
<file path=[Content_Types].xml><?xml version="1.0" encoding="utf-8"?>
<Types xmlns="http://schemas.openxmlformats.org/package/2006/content-types">
  <Default ContentType="application/vnd.openxmlformats-officedocument.spreadsheetml.printerSettings" Extension="bin"/>
  <Default ContentType="image/png" Extension="png"/>
  <Default ContentType="image/jpeg" Extension="jpeg"/>
  <Default ContentType="image/x-emf" Extension="emf"/>
  <Default ContentType="application/vnd.openxmlformats-package.relationships+xml" Extension="rels"/>
  <Default ContentType="application/xml" Extension="xml"/>
  <Default ContentType="application/vnd.openxmlformats-officedocument.vmlDrawing" Extension="v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worksheet+xml" PartName="/xl/worksheets/sheet13.xml"/>
  <Override ContentType="application/vnd.openxmlformats-officedocument.spreadsheetml.worksheet+xml" PartName="/xl/worksheets/sheet14.xml"/>
  <Override ContentType="application/vnd.openxmlformats-officedocument.spreadsheetml.worksheet+xml" PartName="/xl/worksheets/sheet15.xml"/>
  <Override ContentType="application/vnd.openxmlformats-officedocument.spreadsheetml.worksheet+xml" PartName="/xl/worksheets/sheet16.xml"/>
  <Override ContentType="application/vnd.openxmlformats-officedocument.spreadsheetml.worksheet+xml" PartName="/xl/worksheets/sheet17.xml"/>
  <Override ContentType="application/vnd.openxmlformats-officedocument.spreadsheetml.worksheet+xml" PartName="/xl/worksheets/sheet18.xml"/>
  <Override ContentType="application/vnd.openxmlformats-officedocument.spreadsheetml.worksheet+xml" PartName="/xl/worksheets/sheet19.xml"/>
  <Override ContentType="application/vnd.openxmlformats-officedocument.spreadsheetml.worksheet+xml" PartName="/xl/worksheets/sheet20.xml"/>
  <Override ContentType="application/vnd.openxmlformats-officedocument.spreadsheetml.worksheet+xml" PartName="/xl/worksheets/sheet21.xml"/>
  <Override ContentType="application/vnd.openxmlformats-officedocument.spreadsheetml.worksheet+xml" PartName="/xl/worksheets/sheet22.xml"/>
  <Override ContentType="application/vnd.openxmlformats-officedocument.spreadsheetml.worksheet+xml" PartName="/xl/worksheets/sheet23.xml"/>
  <Override ContentType="application/vnd.openxmlformats-officedocument.spreadsheetml.worksheet+xml" PartName="/xl/worksheets/sheet24.xml"/>
  <Override ContentType="application/vnd.openxmlformats-officedocument.spreadsheetml.worksheet+xml" PartName="/xl/worksheets/sheet25.xml"/>
  <Override ContentType="application/vnd.openxmlformats-officedocument.spreadsheetml.worksheet+xml" PartName="/xl/worksheets/sheet26.xml"/>
  <Override ContentType="application/vnd.openxmlformats-officedocument.spreadsheetml.worksheet+xml" PartName="/xl/worksheets/sheet27.xml"/>
  <Override ContentType="application/vnd.openxmlformats-officedocument.spreadsheetml.worksheet+xml" PartName="/xl/worksheets/sheet28.xml"/>
  <Override ContentType="application/vnd.openxmlformats-officedocument.theme+xml" PartName="/xl/theme/theme1.xml"/>
  <Override ContentType="application/vnd.openxmlformats-officedocument.spreadsheetml.styles+xml" PartName="/xl/styles.xml"/>
  <Override ContentType="application/vnd.openxmlformats-officedocument.spreadsheetml.sharedStrings+xml" PartName="/xl/sharedStrings.xml"/>
  <Override ContentType="application/vnd.openxmlformats-officedocument.drawing+xml" PartName="/xl/drawings/drawing1.xml"/>
  <Override ContentType="application/vnd.openxmlformats-officedocument.drawing+xml" PartName="/xl/drawings/drawing2.xml"/>
  <Override ContentType="application/vnd.openxmlformats-officedocument.drawing+xml" PartName="/xl/drawings/drawing3.xml"/>
  <Override ContentType="application/vnd.openxmlformats-officedocument.drawing+xml" PartName="/xl/drawings/drawing4.xml"/>
  <Override ContentType="application/vnd.openxmlformats-officedocument.drawing+xml" PartName="/xl/drawings/drawing5.xml"/>
  <Override ContentType="application/vnd.ms-office.activeX+xml" PartName="/xl/activeX/activeX1.xml"/>
  <Override ContentType="application/vnd.ms-office.activeX" PartName="/xl/activeX/activeX1.bin"/>
  <Override ContentType="application/vnd.ms-office.activeX+xml" PartName="/xl/activeX/activeX2.xml"/>
  <Override ContentType="application/vnd.ms-office.activeX" PartName="/xl/activeX/activeX2.bin"/>
  <Override ContentType="application/vnd.openxmlformats-officedocument.drawing+xml" PartName="/xl/drawings/drawing6.xml"/>
  <Override ContentType="application/vnd.ms-excel.controlproperties+xml" PartName="/xl/ctrlProps/ctrlProp1.xml"/>
  <Override ContentType="application/vnd.openxmlformats-officedocument.drawingml.chart+xml" PartName="/xl/charts/chart1.xml"/>
  <Override ContentType="application/vnd.openxmlformats-officedocument.drawing+xml" PartName="/xl/drawings/drawing7.xml"/>
  <Override ContentType="application/vnd.ms-excel.controlproperties+xml" PartName="/xl/ctrlProps/ctrlProp2.xml"/>
  <Override ContentType="application/vnd.ms-excel.controlproperties+xml" PartName="/xl/ctrlProps/ctrlProp3.xml"/>
  <Override ContentType="application/vnd.openxmlformats-officedocument.drawingml.chart+xml" PartName="/xl/charts/chart2.xml"/>
  <Override ContentType="application/vnd.openxmlformats-officedocument.drawingml.chart+xml" PartName="/xl/charts/chart3.xml"/>
  <Override ContentType="application/vnd.openxmlformats-officedocument.drawingml.chart+xml" PartName="/xl/charts/chart4.xml"/>
  <Override ContentType="application/vnd.openxmlformats-officedocument.drawingml.chart+xml" PartName="/xl/charts/chart5.xml"/>
  <Override ContentType="application/vnd.openxmlformats-officedocument.drawingml.chart+xml" PartName="/xl/charts/chart6.xml"/>
  <Override ContentType="application/vnd.openxmlformats-officedocument.drawingml.chart+xml" PartName="/xl/charts/chart7.xml"/>
  <Override ContentType="application/vnd.openxmlformats-officedocument.drawing+xml" PartName="/xl/drawings/drawing8.xml"/>
  <Override ContentType="application/vnd.ms-excel.controlproperties+xml" PartName="/xl/ctrlProps/ctrlProp4.xml"/>
  <Override ContentType="application/vnd.ms-excel.controlproperties+xml" PartName="/xl/ctrlProps/ctrlProp5.xml"/>
  <Override ContentType="application/vnd.openxmlformats-officedocument.drawingml.chart+xml" PartName="/xl/charts/chart8.xml"/>
  <Override ContentType="application/vnd.openxmlformats-officedocument.drawingml.chart+xml" PartName="/xl/charts/chart9.xml"/>
  <Override ContentType="application/vnd.openxmlformats-officedocument.drawingml.chart+xml" PartName="/xl/charts/chart10.xml"/>
  <Override ContentType="application/vnd.openxmlformats-officedocument.drawingml.chart+xml" PartName="/xl/charts/chart11.xml"/>
  <Override ContentType="application/vnd.openxmlformats-officedocument.drawing+xml" PartName="/xl/drawings/drawing9.xml"/>
  <Override ContentType="application/vnd.ms-excel.controlproperties+xml" PartName="/xl/ctrlProps/ctrlProp6.xml"/>
  <Override ContentType="application/vnd.openxmlformats-officedocument.drawingml.chart+xml" PartName="/xl/charts/chart12.xml"/>
  <Override ContentType="application/vnd.openxmlformats-officedocument.drawingml.chart+xml" PartName="/xl/charts/chart13.xml"/>
  <Override ContentType="application/vnd.openxmlformats-officedocument.drawingml.chart+xml" PartName="/xl/charts/chart14.xml"/>
  <Override ContentType="application/vnd.openxmlformats-officedocument.drawingml.chart+xml" PartName="/xl/charts/chart15.xml"/>
  <Override ContentType="application/vnd.openxmlformats-officedocument.drawing+xml" PartName="/xl/drawings/drawing10.xml"/>
  <Override ContentType="application/vnd.ms-excel.controlproperties+xml" PartName="/xl/ctrlProps/ctrlProp7.xml"/>
  <Override ContentType="application/vnd.ms-excel.controlproperties+xml" PartName="/xl/ctrlProps/ctrlProp8.xml"/>
  <Override ContentType="application/vnd.openxmlformats-officedocument.drawingml.chart+xml" PartName="/xl/charts/chart16.xml"/>
  <Override ContentType="application/vnd.openxmlformats-officedocument.drawingml.chartshapes+xml" PartName="/xl/drawings/drawing11.xml"/>
  <Override ContentType="application/vnd.openxmlformats-officedocument.drawingml.chart+xml" PartName="/xl/charts/chart17.xml"/>
  <Override ContentType="application/vnd.openxmlformats-officedocument.drawingml.chart+xml" PartName="/xl/charts/chart18.xml"/>
  <Override ContentType="application/vnd.openxmlformats-officedocument.drawingml.chart+xml" PartName="/xl/charts/chart19.xml"/>
  <Override ContentType="application/vnd.openxmlformats-officedocument.drawing+xml" PartName="/xl/drawings/drawing12.xml"/>
  <Override ContentType="application/vnd.ms-excel.controlproperties+xml" PartName="/xl/ctrlProps/ctrlProp9.xml"/>
  <Override ContentType="application/vnd.openxmlformats-officedocument.drawingml.chart+xml" PartName="/xl/charts/chart20.xml"/>
  <Override ContentType="application/vnd.openxmlformats-officedocument.drawingml.chart+xml" PartName="/xl/charts/chart21.xml"/>
  <Override ContentType="application/vnd.openxmlformats-officedocument.drawingml.chart+xml" PartName="/xl/charts/chart22.xml"/>
  <Override ContentType="application/vnd.openxmlformats-officedocument.drawingml.chart+xml" PartName="/xl/charts/chart23.xml"/>
  <Override ContentType="application/vnd.openxmlformats-officedocument.drawingml.chart+xml" PartName="/xl/charts/chart24.xml"/>
  <Override ContentType="application/vnd.openxmlformats-officedocument.drawingml.chart+xml" PartName="/xl/charts/chart25.xml"/>
  <Override ContentType="application/vnd.openxmlformats-officedocument.drawingml.chart+xml" PartName="/xl/charts/chart26.xml"/>
  <Override ContentType="application/vnd.openxmlformats-officedocument.drawingml.chart+xml" PartName="/xl/charts/chart27.xml"/>
  <Override ContentType="application/vnd.openxmlformats-officedocument.drawingml.chart+xml" PartName="/xl/charts/chart28.xml"/>
  <Override ContentType="application/vnd.openxmlformats-officedocument.drawing+xml" PartName="/xl/drawings/drawing13.xml"/>
  <Override ContentType="application/vnd.ms-excel.controlproperties+xml" PartName="/xl/ctrlProps/ctrlProp10.xml"/>
  <Override ContentType="application/vnd.openxmlformats-officedocument.drawingml.chart+xml" PartName="/xl/charts/chart29.xml"/>
  <Override ContentType="application/vnd.openxmlformats-officedocument.drawingml.chart+xml" PartName="/xl/charts/chart30.xml"/>
  <Override ContentType="application/vnd.openxmlformats-officedocument.drawingml.chart+xml" PartName="/xl/charts/chart31.xml"/>
  <Override ContentType="application/vnd.openxmlformats-officedocument.drawingml.chart+xml" PartName="/xl/charts/chart32.xml"/>
  <Override ContentType="application/vnd.openxmlformats-officedocument.drawingml.chart+xml" PartName="/xl/charts/chart33.xml"/>
  <Override ContentType="application/vnd.openxmlformats-officedocument.drawing+xml" PartName="/xl/drawings/drawing14.xml"/>
  <Override ContentType="application/vnd.ms-excel.controlproperties+xml" PartName="/xl/ctrlProps/ctrlProp11.xml"/>
  <Override ContentType="application/vnd.openxmlformats-officedocument.drawingml.chart+xml" PartName="/xl/charts/chart34.xml"/>
  <Override ContentType="application/vnd.openxmlformats-officedocument.drawingml.chart+xml" PartName="/xl/charts/chart35.xml"/>
  <Override ContentType="application/vnd.openxmlformats-officedocument.drawingml.chart+xml" PartName="/xl/charts/chart36.xml"/>
  <Override ContentType="application/vnd.openxmlformats-officedocument.drawingml.chart+xml" PartName="/xl/charts/chart37.xml"/>
  <Override ContentType="application/vnd.openxmlformats-officedocument.drawingml.chart+xml" PartName="/xl/charts/chart38.xml"/>
  <Override ContentType="application/vnd.openxmlformats-officedocument.drawingml.chart+xml" PartName="/xl/charts/chart39.xml"/>
  <Override ContentType="application/vnd.openxmlformats-officedocument.drawing+xml" PartName="/xl/drawings/drawing15.xml"/>
  <Override ContentType="application/vnd.ms-excel.controlproperties+xml" PartName="/xl/ctrlProps/ctrlProp12.xml"/>
  <Override ContentType="application/vnd.openxmlformats-officedocument.drawingml.chart+xml" PartName="/xl/charts/chart40.xml"/>
  <Override ContentType="application/vnd.openxmlformats-officedocument.drawingml.chart+xml" PartName="/xl/charts/chart41.xml"/>
  <Override ContentType="application/vnd.openxmlformats-officedocument.drawingml.chart+xml" PartName="/xl/charts/chart42.xml"/>
  <Override ContentType="application/vnd.openxmlformats-officedocument.drawingml.chart+xml" PartName="/xl/charts/chart43.xml"/>
  <Override ContentType="application/vnd.openxmlformats-officedocument.drawing+xml" PartName="/xl/drawings/drawing16.xml"/>
  <Override ContentType="application/vnd.ms-excel.controlproperties+xml" PartName="/xl/ctrlProps/ctrlProp13.xml"/>
  <Override ContentType="application/vnd.openxmlformats-officedocument.drawingml.chart+xml" PartName="/xl/charts/chart44.xml"/>
  <Override ContentType="application/vnd.openxmlformats-officedocument.drawingml.chart+xml" PartName="/xl/charts/chart45.xml"/>
  <Override ContentType="application/vnd.openxmlformats-officedocument.drawingml.chart+xml" PartName="/xl/charts/chart46.xml"/>
  <Override ContentType="application/vnd.openxmlformats-officedocument.drawingml.chart+xml" PartName="/xl/charts/chart47.xml"/>
  <Override ContentType="application/vnd.openxmlformats-officedocument.drawing+xml" PartName="/xl/drawings/drawing17.xml"/>
  <Override ContentType="application/vnd.ms-excel.controlproperties+xml" PartName="/xl/ctrlProps/ctrlProp14.xml"/>
  <Override ContentType="application/vnd.openxmlformats-officedocument.drawingml.chart+xml" PartName="/xl/charts/chart48.xml"/>
  <Override ContentType="application/vnd.openxmlformats-officedocument.drawingml.chart+xml" PartName="/xl/charts/chart49.xml"/>
  <Override ContentType="application/vnd.openxmlformats-officedocument.drawing+xml" PartName="/xl/drawings/drawing18.xml"/>
  <Override ContentType="application/vnd.ms-excel.controlproperties+xml" PartName="/xl/ctrlProps/ctrlProp15.xml"/>
  <Override ContentType="application/vnd.openxmlformats-officedocument.drawingml.chart+xml" PartName="/xl/charts/chart50.xml"/>
  <Override ContentType="application/vnd.openxmlformats-officedocument.drawingml.chart+xml" PartName="/xl/charts/chart51.xml"/>
  <Override ContentType="application/vnd.openxmlformats-officedocument.drawingml.chart+xml" PartName="/xl/charts/chart52.xml"/>
  <Override ContentType="application/vnd.openxmlformats-officedocument.drawingml.chart+xml" PartName="/xl/charts/chart53.xml"/>
  <Override ContentType="application/vnd.openxmlformats-officedocument.drawing+xml" PartName="/xl/drawings/drawing19.xml"/>
  <Override ContentType="application/vnd.ms-excel.controlproperties+xml" PartName="/xl/ctrlProps/ctrlProp16.xml"/>
  <Override ContentType="application/vnd.openxmlformats-officedocument.drawingml.chart+xml" PartName="/xl/charts/chart54.xml"/>
  <Override ContentType="application/vnd.openxmlformats-officedocument.drawingml.chart+xml" PartName="/xl/charts/chart55.xml"/>
  <Override ContentType="application/vnd.openxmlformats-officedocument.drawing+xml" PartName="/xl/drawings/drawing20.xml"/>
  <Override ContentType="application/vnd.ms-excel.controlproperties+xml" PartName="/xl/ctrlProps/ctrlProp17.xml"/>
  <Override ContentType="application/vnd.openxmlformats-officedocument.drawingml.chart+xml" PartName="/xl/charts/chart56.xml"/>
  <Override ContentType="application/vnd.openxmlformats-officedocument.drawingml.chart+xml" PartName="/xl/charts/chart57.xml"/>
  <Override ContentType="application/vnd.openxmlformats-officedocument.drawingml.chart+xml" PartName="/xl/charts/chart58.xml"/>
  <Override ContentType="application/vnd.openxmlformats-officedocument.drawingml.chart+xml" PartName="/xl/charts/chart59.xml"/>
  <Override ContentType="application/vnd.openxmlformats-officedocument.drawingml.chart+xml" PartName="/xl/charts/chart60.xml"/>
  <Override ContentType="application/vnd.openxmlformats-officedocument.drawingml.chart+xml" PartName="/xl/charts/chart61.xml"/>
  <Override ContentType="application/vnd.openxmlformats-officedocument.drawingml.chart+xml" PartName="/xl/charts/chart62.xml"/>
  <Override ContentType="application/vnd.openxmlformats-officedocument.drawingml.chart+xml" PartName="/xl/charts/chart63.xml"/>
  <Override ContentType="application/vnd.openxmlformats-officedocument.drawingml.chart+xml" PartName="/xl/charts/chart64.xml"/>
  <Override ContentType="application/vnd.openxmlformats-officedocument.drawing+xml" PartName="/xl/drawings/drawing21.xml"/>
  <Override ContentType="application/vnd.ms-excel.controlproperties+xml" PartName="/xl/ctrlProps/ctrlProp18.xml"/>
  <Override ContentType="application/vnd.ms-excel.controlproperties+xml" PartName="/xl/ctrlProps/ctrlProp19.xml"/>
  <Override ContentType="application/vnd.openxmlformats-officedocument.drawingml.chart+xml" PartName="/xl/charts/chart65.xml"/>
  <Override ContentType="application/vnd.openxmlformats-officedocument.drawingml.chart+xml" PartName="/xl/charts/chart66.xml"/>
  <Override ContentType="application/vnd.openxmlformats-officedocument.drawingml.chart+xml" PartName="/xl/charts/chart67.xml"/>
  <Override ContentType="application/vnd.openxmlformats-officedocument.drawingml.chart+xml" PartName="/xl/charts/chart68.xml"/>
  <Override ContentType="application/vnd.openxmlformats-officedocument.drawing+xml" PartName="/xl/drawings/drawing22.xml"/>
  <Override ContentType="application/vnd.ms-excel.controlproperties+xml" PartName="/xl/ctrlProps/ctrlProp20.xml"/>
  <Override ContentType="application/vnd.ms-excel.controlproperties+xml" PartName="/xl/ctrlProps/ctrlProp21.xml"/>
  <Override ContentType="application/vnd.openxmlformats-officedocument.drawingml.chart+xml" PartName="/xl/charts/chart69.xml"/>
  <Override ContentType="application/vnd.openxmlformats-officedocument.drawingml.chart+xml" PartName="/xl/charts/chart70.xml"/>
  <Override ContentType="application/vnd.openxmlformats-officedocument.drawingml.chart+xml" PartName="/xl/charts/chart71.xml"/>
  <Override ContentType="application/vnd.openxmlformats-officedocument.drawingml.chart+xml" PartName="/xl/charts/chart72.xml"/>
  <Override ContentType="application/vnd.openxmlformats-officedocument.drawing+xml" PartName="/xl/drawings/drawing23.xml"/>
  <Override ContentType="application/vnd.ms-excel.controlproperties+xml" PartName="/xl/ctrlProps/ctrlProp22.xml"/>
  <Override ContentType="application/vnd.openxmlformats-officedocument.drawingml.chart+xml" PartName="/xl/charts/chart73.xml"/>
  <Override ContentType="application/vnd.openxmlformats-officedocument.drawingml.chart+xml" PartName="/xl/charts/chart74.xml"/>
  <Override ContentType="application/vnd.openxmlformats-officedocument.drawingml.chart+xml" PartName="/xl/charts/chart75.xml"/>
  <Override ContentType="application/vnd.openxmlformats-officedocument.drawing+xml" PartName="/xl/drawings/drawing24.xml"/>
  <Override ContentType="application/vnd.ms-excel.controlproperties+xml" PartName="/xl/ctrlProps/ctrlProp23.xml"/>
  <Override ContentType="application/vnd.openxmlformats-officedocument.drawingml.chart+xml" PartName="/xl/charts/chart76.xml"/>
  <Override ContentType="application/vnd.openxmlformats-officedocument.drawingml.chart+xml" PartName="/xl/charts/chart77.xml"/>
  <Override ContentType="application/vnd.openxmlformats-officedocument.drawingml.chart+xml" PartName="/xl/charts/chart78.xml"/>
  <Override ContentType="application/vnd.openxmlformats-officedocument.drawing+xml" PartName="/xl/drawings/drawing25.xml"/>
  <Override ContentType="application/vnd.ms-excel.controlproperties+xml" PartName="/xl/ctrlProps/ctrlProp24.xml"/>
  <Override ContentType="application/vnd.openxmlformats-officedocument.drawingml.chart+xml" PartName="/xl/charts/chart79.xml"/>
  <Override ContentType="application/vnd.openxmlformats-officedocument.drawingml.chart+xml" PartName="/xl/charts/chart80.xml"/>
  <Override ContentType="application/vnd.openxmlformats-officedocument.drawingml.chart+xml" PartName="/xl/charts/chart81.xml"/>
  <Override ContentType="application/vnd.openxmlformats-officedocument.drawingml.chart+xml" PartName="/xl/charts/chart82.xml"/>
  <Override ContentType="application/vnd.openxmlformats-officedocument.drawing+xml" PartName="/xl/drawings/drawing26.xml"/>
  <Override ContentType="application/vnd.ms-excel.controlproperties+xml" PartName="/xl/ctrlProps/ctrlProp25.xml"/>
  <Override ContentType="application/vnd.openxmlformats-officedocument.drawingml.chart+xml" PartName="/xl/charts/chart83.xml"/>
  <Override ContentType="application/vnd.openxmlformats-officedocument.drawingml.chart+xml" PartName="/xl/charts/chart84.xml"/>
  <Override ContentType="application/vnd.openxmlformats-officedocument.drawingml.chart+xml" PartName="/xl/charts/chart85.xml"/>
  <Override ContentType="application/vnd.openxmlformats-officedocument.drawingml.chart+xml" PartName="/xl/charts/chart86.xml"/>
  <Override ContentType="application/vnd.openxmlformats-officedocument.drawing+xml" PartName="/xl/drawings/drawing27.xml"/>
  <Override ContentType="application/vnd.ms-excel.controlproperties+xml" PartName="/xl/ctrlProps/ctrlProp26.xml"/>
  <Override ContentType="application/vnd.openxmlformats-officedocument.drawingml.chart+xml" PartName="/xl/charts/chart87.xml"/>
  <Override ContentType="application/vnd.openxmlformats-officedocument.drawingml.chart+xml" PartName="/xl/charts/chart88.xml"/>
  <Override ContentType="application/vnd.openxmlformats-officedocument.drawingml.chart+xml" PartName="/xl/charts/chart89.xml"/>
  <Override ContentType="application/vnd.openxmlformats-officedocument.drawing+xml" PartName="/xl/drawings/drawing28.xml"/>
  <Override ContentType="application/vnd.ms-excel.controlproperties+xml" PartName="/xl/ctrlProps/ctrlProp27.xml"/>
  <Override ContentType="application/vnd.openxmlformats-officedocument.drawingml.chart+xml" PartName="/xl/charts/chart90.xml"/>
  <Override ContentType="application/vnd.openxmlformats-officedocument.drawingml.chart+xml" PartName="/xl/charts/chart91.xml"/>
  <Override ContentType="application/vnd.openxmlformats-officedocument.drawingml.chart+xml" PartName="/xl/charts/chart92.xml"/>
  <Override ContentType="application/vnd.openxmlformats-officedocument.customXmlProperties+xml" PartName="/customXml/itemProps1.xml"/>
  <Override ContentType="application/vnd.openxmlformats-officedocument.customXmlProperties+xml" PartName="/customXml/itemProps2.xml"/>
  <Override ContentType="application/vnd.openxmlformats-officedocument.customXmlProperties+xml" PartName="/customXml/itemProps3.xml"/>
  <Override ContentType="application/vnd.openxmlformats-package.core-properties+xml" PartName="/docProps/core.xml"/>
  <Override ContentType="application/vnd.openxmlformats-officedocument.extended-properties+xml" PartName="/docProps/app.xml"/>
  <Override ContentType="application/vnd.openxmlformats-officedocument.custom-properties+xml" PartName="/docProps/custom.xml"/>
  <Override ContentType="text/plain" PartName="/EPPlusLicense.txt"/>
</Types>
</file>

<file path=_rels/.rels><?xml version="1.0" encoding="UTF-8" standalone="yes"?><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C:\Users\jroldan1\Desktop\"/>
    </mc:Choice>
  </mc:AlternateContent>
  <workbookProtection lockRevision="1" lockStructure="1" workbookPassword="d98e"/>
  <bookViews>
    <workbookView xWindow="0" yWindow="0" windowWidth="28800" windowHeight="12300" tabRatio="923" firstSheet="4" activeTab="4"/>
  </bookViews>
  <sheets>
    <sheet name="Portada" sheetId="1" r:id="rId1"/>
    <sheet name="Evolucion datos" sheetId="125" r:id="rId2"/>
    <sheet name="Índice" sheetId="4" r:id="rId3"/>
    <sheet name="1- Introducción" sheetId="5" r:id="rId4"/>
    <sheet name="2- Tablas Resumen" sheetId="6" r:id="rId5"/>
    <sheet name="3- Nº Explot. por CA" sheetId="7" r:id="rId6"/>
    <sheet name="4- Nº Explot. por CA y Tipo" sheetId="8" r:id="rId7"/>
    <sheet name="5.1- BOVINO (CENSO)" sheetId="9" r:id="rId8"/>
    <sheet name="5.2- BOVINO (SUBEXPLOT)" sheetId="10" r:id="rId9"/>
    <sheet name="6.1- PORCINO (CENSO)" sheetId="58" r:id="rId10"/>
    <sheet name="6.2- PORCINO (SUBEXPLOT)" sheetId="59" r:id="rId11"/>
    <sheet name="7.1- CAPRINO (CENSO)" sheetId="85" r:id="rId12"/>
    <sheet name="7.2- CAPRINO (SUBEXPLOT)" sheetId="38" r:id="rId13"/>
    <sheet name="8.1- OVINO (CENSO)" sheetId="2" r:id="rId14"/>
    <sheet name="8.2- OVINO (SUBEXPLOT)" sheetId="11" r:id="rId15"/>
    <sheet name="9.1- APICULTURA (CENSO)" sheetId="12" r:id="rId16"/>
    <sheet name="9.2- APICULTURA (SUBEXPLOT)" sheetId="62" r:id="rId17"/>
    <sheet name="10.1- EQUINO (CENSO)" sheetId="37" r:id="rId18"/>
    <sheet name="10.2- EQUINO (SUBEXPLOT)" sheetId="123" r:id="rId19"/>
    <sheet name="11.1- GALLINAS (CENSO)" sheetId="122" r:id="rId20"/>
    <sheet name="11.2- GALLINAS (SUBEXPLOT)" sheetId="105" r:id="rId21"/>
    <sheet name="12.1- PAVOS (CENSO)" sheetId="106" r:id="rId22"/>
    <sheet name="12.2- PAVOS (SUBEXPLOT)" sheetId="107" r:id="rId23"/>
    <sheet name="13.1- PATOS (CENSO)" sheetId="104" r:id="rId24"/>
    <sheet name="13.2- PATOS (SUBEXPLOT)" sheetId="108" r:id="rId25"/>
    <sheet name="14.1- CONEJOS (CENSO)" sheetId="109" r:id="rId26"/>
    <sheet name="14.2- CONEJOS (SUBEXPLOT)" sheetId="110" r:id="rId27"/>
    <sheet name="AUX" sheetId="126" state="veryHidden" r:id="rId28"/>
  </sheets>
  <definedNames>
    <definedName name="_xlnm.Print_Area" localSheetId="17">'10.1- EQUINO (CENSO)'!$A$1:$M$83</definedName>
    <definedName name="_xlnm.Print_Area" localSheetId="18">'10.2- EQUINO (SUBEXPLOT)'!$A$1:$N$164</definedName>
    <definedName name="_xlnm.Print_Area" localSheetId="19">'11.1- GALLINAS (CENSO)'!$A$1:$O$154</definedName>
    <definedName name="_xlnm.Print_Area" localSheetId="20">'11.2- GALLINAS (SUBEXPLOT)'!$A$1:$O$153</definedName>
    <definedName name="_xlnm.Print_Area" localSheetId="21">'12.1- PAVOS (CENSO)'!$A$1:$N$100</definedName>
    <definedName name="_xlnm.Print_Area" localSheetId="22">'12.2- PAVOS (SUBEXPLOT)'!$A$1:$N$99</definedName>
    <definedName name="_xlnm.Print_Area" localSheetId="23">'13.1- PATOS (CENSO)'!$A$1:$N$119</definedName>
    <definedName name="_xlnm.Print_Area" localSheetId="24">'13.2- PATOS (SUBEXPLOT)'!$A$1:$O$117</definedName>
    <definedName name="_xlnm.Print_Area" localSheetId="25">'14.1- CONEJOS (CENSO)'!$A$1:$N$99</definedName>
    <definedName name="_xlnm.Print_Area" localSheetId="26">'14.2- CONEJOS (SUBEXPLOT)'!$A$1:$O$97</definedName>
    <definedName name="_xlnm.Print_Area" localSheetId="4">'2- Tablas Resumen'!$A$1:$V$113</definedName>
    <definedName name="_xlnm.Print_Area" localSheetId="5">'3- Nº Explot. por CA'!$A$1:$N$48</definedName>
    <definedName name="_xlnm.Print_Area" localSheetId="6">'4- Nº Explot. por CA y Tipo'!$A$1:$Y$92</definedName>
    <definedName name="_xlnm.Print_Area" localSheetId="7">'5.1- BOVINO (CENSO)'!$A$1:$N$175</definedName>
    <definedName name="_xlnm.Print_Area" localSheetId="8">'5.2- BOVINO (SUBEXPLOT)'!$A$1:$N$152</definedName>
    <definedName name="_xlnm.Print_Area" localSheetId="9">'6.1- PORCINO (CENSO)'!$A$1:$N$173</definedName>
    <definedName name="_xlnm.Print_Area" localSheetId="10">'6.2- PORCINO (SUBEXPLOT)'!$A$1:$O$159</definedName>
    <definedName name="_xlnm.Print_Area" localSheetId="11">'7.1- CAPRINO (CENSO)'!$A$1:$N$129</definedName>
    <definedName name="_xlnm.Print_Area" localSheetId="12">'7.2- CAPRINO (SUBEXPLOT)'!$A$1:$P$143</definedName>
    <definedName name="_xlnm.Print_Area" localSheetId="13">'8.1- OVINO (CENSO)'!$A$1:$N$135</definedName>
    <definedName name="_xlnm.Print_Area" localSheetId="14">'8.2- OVINO (SUBEXPLOT)'!$A$1:$P$113</definedName>
    <definedName name="_xlnm.Print_Area" localSheetId="15">'9.1- APICULTURA (CENSO)'!$A$1:$N$93</definedName>
    <definedName name="_xlnm.Print_Area" localSheetId="16">'9.2- APICULTURA (SUBEXPLOT)'!$A$1:$N$138</definedName>
    <definedName name="_xlnm.Print_Area" localSheetId="1">'Evolucion datos'!$A$1:$Y$50</definedName>
    <definedName name="_xlnm.Print_Area" localSheetId="2">Índice!$A$1:$L$62</definedName>
    <definedName name="_xlnm.Print_Area" localSheetId="0">Portada!$A$1:$G$52</definedName>
    <definedName name="_xlnm.Print_Titles" localSheetId="3">'1- Introducción'!$1:$6</definedName>
    <definedName name="_xlnm.Print_Titles" localSheetId="17">'10.1- EQUINO (CENSO)'!$1:$6</definedName>
    <definedName name="_xlnm.Print_Titles" localSheetId="18">'10.2- EQUINO (SUBEXPLOT)'!$1:$9</definedName>
    <definedName name="_xlnm.Print_Titles" localSheetId="19">'11.1- GALLINAS (CENSO)'!$1:$6</definedName>
    <definedName name="_xlnm.Print_Titles" localSheetId="20">'11.2- GALLINAS (SUBEXPLOT)'!$1:$6</definedName>
    <definedName name="_xlnm.Print_Titles" localSheetId="21">'12.1- PAVOS (CENSO)'!$1:$6</definedName>
    <definedName name="_xlnm.Print_Titles" localSheetId="22">'12.2- PAVOS (SUBEXPLOT)'!$1:$6</definedName>
    <definedName name="_xlnm.Print_Titles" localSheetId="23">'13.1- PATOS (CENSO)'!$1:$6</definedName>
    <definedName name="_xlnm.Print_Titles" localSheetId="24">'13.2- PATOS (SUBEXPLOT)'!$1:$6</definedName>
    <definedName name="_xlnm.Print_Titles" localSheetId="25">'14.1- CONEJOS (CENSO)'!$1:$6</definedName>
    <definedName name="_xlnm.Print_Titles" localSheetId="26">'14.2- CONEJOS (SUBEXPLOT)'!$1:$6</definedName>
    <definedName name="_xlnm.Print_Titles" localSheetId="4">'2- Tablas Resumen'!$1:$9</definedName>
    <definedName name="_xlnm.Print_Titles" localSheetId="6">'4- Nº Explot. por CA y Tipo'!$1:$6</definedName>
    <definedName name="_xlnm.Print_Titles" localSheetId="7">'5.1- BOVINO (CENSO)'!$1:$9</definedName>
    <definedName name="_xlnm.Print_Titles" localSheetId="8">'5.2- BOVINO (SUBEXPLOT)'!$1:$9</definedName>
    <definedName name="_xlnm.Print_Titles" localSheetId="9">'6.1- PORCINO (CENSO)'!$1:$6</definedName>
    <definedName name="_xlnm.Print_Titles" localSheetId="11">'7.1- CAPRINO (CENSO)'!$1:$6</definedName>
    <definedName name="_xlnm.Print_Titles" localSheetId="12">'7.2- CAPRINO (SUBEXPLOT)'!$1:$9</definedName>
    <definedName name="_xlnm.Print_Titles" localSheetId="13">'8.1- OVINO (CENSO)'!$1:$6</definedName>
    <definedName name="_xlnm.Print_Titles" localSheetId="14">'8.2- OVINO (SUBEXPLOT)'!$1:$6</definedName>
    <definedName name="_xlnm.Print_Titles" localSheetId="15">'9.1- APICULTURA (CENSO)'!$1:$6</definedName>
    <definedName name="_xlnm.Print_Titles" localSheetId="16">'9.2- APICULTURA (SUBEXPLOT)'!$1:$9</definedName>
  </definedNames>
  <calcPr calcId="162913" fullCalcOnLoad="1" fullPrecision="1"/>
</workbook>
</file>

<file path=xl/sharedStrings.xml><?xml version="1.0" encoding="utf-8"?>
<sst xmlns="http://schemas.openxmlformats.org/spreadsheetml/2006/main" count="433" uniqueCount="433">
  <si>
    <t>Inicio de datos:</t>
  </si>
  <si>
    <t>Cadencia:</t>
  </si>
  <si>
    <t>EXPLOTACIONES POR COMUNIDAD AUTÓNOMA</t>
  </si>
  <si>
    <t>EXPLOTACIONES POR COMUNIDAD AUTÓNOMA (ALTA)</t>
  </si>
  <si>
    <t>CCAA</t>
  </si>
  <si>
    <t>Producción y Reproducción</t>
  </si>
  <si>
    <t>Explotaciones especiales</t>
  </si>
  <si>
    <t>Total</t>
  </si>
  <si>
    <t>Andalucía</t>
  </si>
  <si>
    <t>Aragón</t>
  </si>
  <si>
    <t>Asturias</t>
  </si>
  <si>
    <t>Baleares</t>
  </si>
  <si>
    <t>Canarias</t>
  </si>
  <si>
    <t>Cantabria</t>
  </si>
  <si>
    <t>C. Mancha</t>
  </si>
  <si>
    <t>C. y León</t>
  </si>
  <si>
    <t>Cataluña</t>
  </si>
  <si>
    <t>Extremadura</t>
  </si>
  <si>
    <t>Galicia</t>
  </si>
  <si>
    <t>Madrid</t>
  </si>
  <si>
    <t>Murcia</t>
  </si>
  <si>
    <t>Navarra</t>
  </si>
  <si>
    <t>País Vasco</t>
  </si>
  <si>
    <t>La Rioja</t>
  </si>
  <si>
    <t>Valencia</t>
  </si>
  <si>
    <t>Ceuta</t>
  </si>
  <si>
    <t>Melilla</t>
  </si>
  <si>
    <t>CENSO POR CATEGORÍA Y POR COMUNIDAD AUTÓNOMA (ALTA)</t>
  </si>
  <si>
    <t>Vacuno</t>
  </si>
  <si>
    <t>Porcino</t>
  </si>
  <si>
    <t>Ovino</t>
  </si>
  <si>
    <t>Caprino</t>
  </si>
  <si>
    <t>Équidos</t>
  </si>
  <si>
    <t>Abejas</t>
  </si>
  <si>
    <t xml:space="preserve"> Vacas</t>
  </si>
  <si>
    <t>Cerdas(*)</t>
  </si>
  <si>
    <t>Rep. hembras</t>
  </si>
  <si>
    <t>C.Mancha</t>
  </si>
  <si>
    <t>C.y León</t>
  </si>
  <si>
    <t>(*) El dato Cerdas comprende las Categorías: Cerdas, Recría/Transición y Reposición</t>
  </si>
  <si>
    <t>SUBEXPLOTACIONES POR APTITUD Y COMUNIDAD AUTÓNOMA (ALTA)</t>
  </si>
  <si>
    <t>carne</t>
  </si>
  <si>
    <t>leche</t>
  </si>
  <si>
    <t>mixta</t>
  </si>
  <si>
    <t>Otras</t>
  </si>
  <si>
    <t>total</t>
  </si>
  <si>
    <t>prod.</t>
  </si>
  <si>
    <t>reprod.</t>
  </si>
  <si>
    <t>Équidos (*)</t>
  </si>
  <si>
    <t>otras</t>
  </si>
  <si>
    <t>INFORME SITRAN</t>
  </si>
  <si>
    <t xml:space="preserve">Subdirección General  de Sanidad e Higiene Animal y Trazabilidad</t>
  </si>
  <si>
    <t>Dirección General de Sanidad de la Producción Agraria</t>
  </si>
  <si>
    <t>ÍNDICE</t>
  </si>
  <si>
    <t>1.- Introducción</t>
  </si>
  <si>
    <t>2.- Tablas resumen</t>
  </si>
  <si>
    <t>3.- Número total de explotaciones por C.A. Datos de junio y diciembre</t>
  </si>
  <si>
    <t>4.- Número total de explotaciones por C.A. y tipo. Datos de junio y diciembre</t>
  </si>
  <si>
    <t xml:space="preserve">5.- Bovino: </t>
  </si>
  <si>
    <t>5.1.- Censo de bóvidos. Datos de junio y diciembre</t>
  </si>
  <si>
    <t>5.2.- Nº subexplotaciones por clasificación zootécnica. Datos de junio y diciembre</t>
  </si>
  <si>
    <t xml:space="preserve">6.- Porcino: </t>
  </si>
  <si>
    <t>6.1.- Censo por categoría. Datos de junio y diciembre</t>
  </si>
  <si>
    <t>6.2.- Nº subexplotaciones por clasificación zootécnica. Datos de junio y diciembre</t>
  </si>
  <si>
    <t>7.- Caprino:</t>
  </si>
  <si>
    <t>7.1.- Censo por categoría. Datos de junio y diciembre</t>
  </si>
  <si>
    <t>7.2.- Nº de subexplotaciones por clasificación zootécnica. Datos de junio y diciembre</t>
  </si>
  <si>
    <t>8.- Ovino:</t>
  </si>
  <si>
    <t>8.1.- Censo por categoría. Datos de junio y diciembre</t>
  </si>
  <si>
    <t>8.2.- Nº subexplotaciones por clasificación zootécnica. Datos de junio y diciembre</t>
  </si>
  <si>
    <t xml:space="preserve">9.- Abejas: </t>
  </si>
  <si>
    <t>9.1.- Censo total por Comunidad Autónoma. Datos de junio y diciembre</t>
  </si>
  <si>
    <t>9.2.- Nº de subexplotaciones por clasificación zootécnica. Datos de junio y diciembre</t>
  </si>
  <si>
    <t>10.- Equino:</t>
  </si>
  <si>
    <t>10.1.- Censo total por Comunidad Autónoma. Datos de junio y diciembre</t>
  </si>
  <si>
    <t>10.2.- Nº de subexplotaciones por clasificación zootécnica. Datos de junio y diciembre</t>
  </si>
  <si>
    <t xml:space="preserve">11.- Gallinas: </t>
  </si>
  <si>
    <t>11.1.- Censo por clasificaión zootécnica. Datos de junio y diciembre</t>
  </si>
  <si>
    <t>11.2.- Nº de subexplotaciones por clasificación zootécnica. Datos de junio y diciembre</t>
  </si>
  <si>
    <t>12.- Pavos:</t>
  </si>
  <si>
    <t>12.1.- Censo por categoría. Datos de junio y diciembre</t>
  </si>
  <si>
    <t>12.2.- Nº de subexplotaciones por clasificación zootécnica. Datos de junio y diciembre</t>
  </si>
  <si>
    <t>13.- Patos:</t>
  </si>
  <si>
    <t>13.1.- Censo por categoría. Datos de junio y diciembre</t>
  </si>
  <si>
    <t>13.2.- Nº de subexplotaciones por clasificación zootécnica. Datos de junio y diciembre</t>
  </si>
  <si>
    <t xml:space="preserve">14.- Conejos: </t>
  </si>
  <si>
    <t>14.1.- Censo por categoría. Datos de junio y diciembre</t>
  </si>
  <si>
    <t>14.2.- Nº de subexplotaciones por clasificación zootécnica. Datos de junio y diciembre</t>
  </si>
  <si>
    <t>BOVINO</t>
  </si>
  <si>
    <t>CENSO</t>
  </si>
  <si>
    <t>SUBEXPLOTACIONES</t>
  </si>
  <si>
    <t>EQUINO</t>
  </si>
  <si>
    <t>PORCINO</t>
  </si>
  <si>
    <t>GALLINAS PRODUCCION HUEVOS</t>
  </si>
  <si>
    <t>CAPRINO</t>
  </si>
  <si>
    <t>GALLINAS PRODUCCION CARNE</t>
  </si>
  <si>
    <t>OVINO</t>
  </si>
  <si>
    <t>PAVOS</t>
  </si>
  <si>
    <t>ABEJAS</t>
  </si>
  <si>
    <t>CONEJOS</t>
  </si>
  <si>
    <t>F.Inicio:</t>
  </si>
  <si>
    <t>Seleccione la Comunidad Autónoma</t>
  </si>
  <si>
    <t>CUNICULTURA</t>
  </si>
  <si>
    <t>Nº DE SUBEXPLOTACIONES DE CONEJOS POR CLASIFICACIÓN ZOOTÉCNICA Y C.A.</t>
  </si>
  <si>
    <t>Producción</t>
  </si>
  <si>
    <t>Reproducción</t>
  </si>
  <si>
    <t>Todas (*)</t>
  </si>
  <si>
    <t>(*) El número Todas de las subexplotaciones tiene en cuenta todos los tipos de Clasificaciones Zootécnicas posibles para los conejos, no sólo las estudiadas en esta tabla.</t>
  </si>
  <si>
    <t>Todas</t>
  </si>
  <si>
    <t>Castilla La Mancha</t>
  </si>
  <si>
    <t>Castilla y León</t>
  </si>
  <si>
    <r>
      <t>Producción</t>
    </r>
    <r>
      <rPr>
        <rFont val="Arial Unicode MS"/>
        <family val="2"/>
        <b/>
        <color indexed="16"/>
        <sz val="8"/>
      </rPr>
      <t xml:space="preserve"> </t>
    </r>
    <r>
      <rPr>
        <rFont val="Arial Unicode MS"/>
        <family val="2"/>
        <b/>
        <color indexed="16"/>
        <sz val="7"/>
      </rPr>
      <t>(Explotaciones de Cría de animales de compañía+Explotaciones de Cría de animales de experimentación+Producción de pelo+Producción de piel+Granjas de producción para caza para repoblación+Producción de gazapos para carne)</t>
    </r>
  </si>
  <si>
    <t>Explotaciones de Cría de animales de compañía</t>
  </si>
  <si>
    <t>Producción de pelo</t>
  </si>
  <si>
    <t>Granjas de producción para caza para repoblación</t>
  </si>
  <si>
    <t>Multiplicación</t>
  </si>
  <si>
    <t>Producción de gazapos para carne</t>
  </si>
  <si>
    <r>
      <t xml:space="preserve">Reproducción </t>
    </r>
    <r>
      <rPr>
        <rFont val="Arial Unicode MS"/>
        <family val="2"/>
        <b/>
        <color indexed="16"/>
        <sz val="8"/>
      </rPr>
      <t>(selección+multiplicación+centros de inseminación artificial)</t>
    </r>
  </si>
  <si>
    <t>Explotaciones de Cría de animales de experimentación</t>
  </si>
  <si>
    <t>Producción de piel</t>
  </si>
  <si>
    <t>Selección</t>
  </si>
  <si>
    <t>Centros Inseminación Artificial</t>
  </si>
  <si>
    <t>01/07/2006</t>
  </si>
  <si>
    <t>6 meses</t>
  </si>
  <si>
    <t>01/01/2007</t>
  </si>
  <si>
    <t>12 meses</t>
  </si>
  <si>
    <t>01/07/2007</t>
  </si>
  <si>
    <t>18 meses</t>
  </si>
  <si>
    <t>01/01/2008</t>
  </si>
  <si>
    <t>24 meses</t>
  </si>
  <si>
    <t>01/07/2008</t>
  </si>
  <si>
    <t>30 meses</t>
  </si>
  <si>
    <t>01/01/2009</t>
  </si>
  <si>
    <t>01/07/2009</t>
  </si>
  <si>
    <t>01/01/2010</t>
  </si>
  <si>
    <t>01/07/2010</t>
  </si>
  <si>
    <t>01/01/2011</t>
  </si>
  <si>
    <t>Inicio:</t>
  </si>
  <si>
    <t>01/07/2011</t>
  </si>
  <si>
    <t>01/01/2012</t>
  </si>
  <si>
    <t>01/07/2012</t>
  </si>
  <si>
    <t>01/01/2013</t>
  </si>
  <si>
    <t>Fecha boletin</t>
  </si>
  <si>
    <t>01/07/2013</t>
  </si>
  <si>
    <t>01/01/2014</t>
  </si>
  <si>
    <t>01/07/2014</t>
  </si>
  <si>
    <t>01/01/2015</t>
  </si>
  <si>
    <t>01/07/2015</t>
  </si>
  <si>
    <t>01/01/2016</t>
  </si>
  <si>
    <t>01/07/2016</t>
  </si>
  <si>
    <t>01/01/2017</t>
  </si>
  <si>
    <t>01/07/2017</t>
  </si>
  <si>
    <t>01/01/2018</t>
  </si>
  <si>
    <t>01/07/2018</t>
  </si>
  <si>
    <t>01/01/2019</t>
  </si>
  <si>
    <t xml:space="preserve">Distribución del Censo Total de Bovino por C.A. </t>
  </si>
  <si>
    <t>01/07/2019</t>
  </si>
  <si>
    <t>01/01/2020</t>
  </si>
  <si>
    <t>01/07/2020</t>
  </si>
  <si>
    <t>01/01/2021</t>
  </si>
  <si>
    <t>Titulo_P_40</t>
  </si>
  <si>
    <t>Titulo_P_51</t>
  </si>
  <si>
    <t>Titulo_P_52</t>
  </si>
  <si>
    <t>Titulo_P_61</t>
  </si>
  <si>
    <t>Titulo_P_62</t>
  </si>
  <si>
    <t>Titulo_P_71</t>
  </si>
  <si>
    <t>Titulo_P_72</t>
  </si>
  <si>
    <t>Titulo_P_81</t>
  </si>
  <si>
    <t>Titulo_P_82</t>
  </si>
  <si>
    <t>Titulo_P_91</t>
  </si>
  <si>
    <t>Titulo_P_92</t>
  </si>
  <si>
    <t>Titulo_P_101</t>
  </si>
  <si>
    <t>Titulo_P_102</t>
  </si>
  <si>
    <t>Titulo_P_111</t>
  </si>
  <si>
    <t>Titulo_P_112</t>
  </si>
  <si>
    <t>Titulo_P_121</t>
  </si>
  <si>
    <t>Titulo_P_122</t>
  </si>
  <si>
    <t>Titulo_P_131</t>
  </si>
  <si>
    <t>Titulo_P_132</t>
  </si>
  <si>
    <t>Titulo_P_141</t>
  </si>
  <si>
    <t>Titulo_P_142</t>
  </si>
  <si>
    <t>GRANJAS DE PATOS</t>
  </si>
  <si>
    <t>Nº DE SUBEXPLOTACIONES POR CLASIFICACIÓN ZOOTÉCNICA Y C.A.</t>
  </si>
  <si>
    <t>Granjas de Producción para Carne</t>
  </si>
  <si>
    <t>Cebo de Palmípedas Grasas</t>
  </si>
  <si>
    <t>Los pavos pueden tener más de una clasificación zootécnica por subexplotación.</t>
  </si>
  <si>
    <t>Granja de Selección para Carne</t>
  </si>
  <si>
    <t>Granja de Multiplicación para Carne</t>
  </si>
  <si>
    <t>Granja de Producción para Carne</t>
  </si>
  <si>
    <t>Granja de Cría para Carne (Aves de Cría)</t>
  </si>
  <si>
    <t>Incubadora</t>
  </si>
  <si>
    <t>Granja de Cría para Carnes (Aves en Explotación)</t>
  </si>
  <si>
    <t>Nº DE SUBEXPLOTACIONES POR CLASIFICACIÓN ZOOTÉCNICA Y C.A</t>
  </si>
  <si>
    <t xml:space="preserve"> </t>
  </si>
  <si>
    <t>Cebo o Cebadero</t>
  </si>
  <si>
    <t>Recría de reproductores</t>
  </si>
  <si>
    <t>Transición de reproductoras primíparas</t>
  </si>
  <si>
    <t>Producción de lechones</t>
  </si>
  <si>
    <t>Producción de ciclo abierto</t>
  </si>
  <si>
    <t>Producción de ciclo cerrado</t>
  </si>
  <si>
    <t>Producción mixto</t>
  </si>
  <si>
    <t>Transición de lechones</t>
  </si>
  <si>
    <t>Centros de inseminación artificial/Centros de recogida de semen</t>
  </si>
  <si>
    <t>Cebo destete/acabado</t>
  </si>
  <si>
    <t>Otras clasificaciones</t>
  </si>
  <si>
    <t>Total (*)</t>
  </si>
  <si>
    <t>Recría de Reproductores</t>
  </si>
  <si>
    <t>Transición de Reproductoras Primíparas</t>
  </si>
  <si>
    <t>Centros de Inseminación artificial/Centros de recogida de semen</t>
  </si>
  <si>
    <t>Producción de Ciclo Abierto</t>
  </si>
  <si>
    <t>Producción de Ciclo Cerrado</t>
  </si>
  <si>
    <t>Producción de Lechones</t>
  </si>
  <si>
    <t>Producción Mixto</t>
  </si>
  <si>
    <t>Transición de Lechones</t>
  </si>
  <si>
    <t>Centros de Inseminación Artificial/Centros de recogida de semen</t>
  </si>
  <si>
    <t>CENSO POR CATEGORIA Y C.A.</t>
  </si>
  <si>
    <t>Cebo</t>
  </si>
  <si>
    <t>Cerdas</t>
  </si>
  <si>
    <t>Lechones (*)</t>
  </si>
  <si>
    <t>Recría /Transición</t>
  </si>
  <si>
    <t>Reposición</t>
  </si>
  <si>
    <t>Verracos</t>
  </si>
  <si>
    <t xml:space="preserve"> * Se incluyen al cerdo ibérico y sus cruces en todas las categorías que se contabilizan</t>
  </si>
  <si>
    <t>* Los datos mostrados para el censo de Aragón, correspondiente a los periodos de Julio de 2009 y Enero 2011 no corresponden con la información registrada en el sistema. Se ha realizado una estimación, en función del censo registrado en Julio de 2008 y Enero 2010 respectivamente.</t>
  </si>
  <si>
    <t>Categoría</t>
  </si>
  <si>
    <t>Lechones</t>
  </si>
  <si>
    <t>Recría/transición</t>
  </si>
  <si>
    <t>CEBO</t>
  </si>
  <si>
    <t>CERDAS</t>
  </si>
  <si>
    <t>LECHONES</t>
  </si>
  <si>
    <t>RECRÍA/TRANSICION</t>
  </si>
  <si>
    <t>REPOSICIÓN</t>
  </si>
  <si>
    <t>VERRACOS</t>
  </si>
  <si>
    <t>TOTAL</t>
  </si>
  <si>
    <t xml:space="preserve">CENSO POR  CATEGORIA Y C.A.</t>
  </si>
  <si>
    <t>No Reproductores de 4 a 12 meses</t>
  </si>
  <si>
    <t>No Reproductores menores de 4 meses</t>
  </si>
  <si>
    <t>Reproductoras Hembra</t>
  </si>
  <si>
    <t>Reproductores Macho</t>
  </si>
  <si>
    <t>Reproducción para producción de leche</t>
  </si>
  <si>
    <t>Reproducción para producción de carne</t>
  </si>
  <si>
    <t>Reproducción Mixta</t>
  </si>
  <si>
    <t>Reproducción mixta</t>
  </si>
  <si>
    <t>Reproducción para Producción de Leche</t>
  </si>
  <si>
    <t>Reproducción para Producción de Carne</t>
  </si>
  <si>
    <t>CENSO DE CONEJOS POR CATEGORÍA Y C.A.</t>
  </si>
  <si>
    <t>Todos</t>
  </si>
  <si>
    <t>Reproductores Hembra</t>
  </si>
  <si>
    <t>Otros animales</t>
  </si>
  <si>
    <t>Reproducción (reproductores hembra+reproductores macho)</t>
  </si>
  <si>
    <t>Producción (cebo+reposición+otros animales)</t>
  </si>
  <si>
    <t xml:space="preserve">CENSO POR  CATEGORIA Y C.A. (*)</t>
  </si>
  <si>
    <r>
      <t xml:space="preserve">* Los datos mostrados para el censo de </t>
    </r>
    <r>
      <rPr>
        <rFont val="Arial"/>
        <family val="2"/>
        <b/>
        <sz val="8"/>
      </rPr>
      <t>Aragón</t>
    </r>
    <r>
      <rPr>
        <rFont val="Arial"/>
        <family val="2"/>
        <sz val="8"/>
      </rPr>
      <t xml:space="preserve">, correspondiente al periodo Enero de 2011 no corresponde con la información registrada en el sistema. Se ha realizado una estimación, en función del censo registrado en Febrero de 2011._x000A_* Los datos mostrados para el censo de </t>
    </r>
    <r>
      <rPr>
        <rFont val="Arial"/>
        <family val="2"/>
        <b/>
        <sz val="8"/>
      </rPr>
      <t>Cantabria</t>
    </r>
    <r>
      <rPr>
        <rFont val="Arial"/>
        <family val="2"/>
        <sz val="8"/>
      </rPr>
      <t>, correspondiente al periodo Enero de  2011 no correponde con la información registrada en el sistema. Se ha realizado una estimación, en función del censo registrado en Octubre de 2010.</t>
    </r>
  </si>
  <si>
    <t>Otras Clasificaciones</t>
  </si>
  <si>
    <t>R. para Producción de Leche</t>
  </si>
  <si>
    <t>R. para Producción de Carne</t>
  </si>
  <si>
    <t>R. Mixta</t>
  </si>
  <si>
    <t>Reproducción para Producción de Carne (Reproducción para Producción de Carne+Mixta)</t>
  </si>
  <si>
    <t>Mixta</t>
  </si>
  <si>
    <t>Precebo</t>
  </si>
  <si>
    <t>Recría de Novillas</t>
  </si>
  <si>
    <t>SUMA</t>
  </si>
  <si>
    <t>mixta sumar a Repro para prod de carne</t>
  </si>
  <si>
    <t>hacer gráfico evolución</t>
  </si>
  <si>
    <t>Reproducción para Producción de carne</t>
  </si>
  <si>
    <t>NÚMERO DE EXPLOTACIONES DE TODAS LAS ESPECIES POR C.A.</t>
  </si>
  <si>
    <t>ALTA</t>
  </si>
  <si>
    <t>BAJA</t>
  </si>
  <si>
    <t>INACTIVA</t>
  </si>
  <si>
    <t>Alta</t>
  </si>
  <si>
    <t>Baja</t>
  </si>
  <si>
    <t>Inactiva</t>
  </si>
  <si>
    <t>CENSO POR C.A.</t>
  </si>
  <si>
    <t>Bovinos menores de 12 meses</t>
  </si>
  <si>
    <t>Machos</t>
  </si>
  <si>
    <t>Hembras</t>
  </si>
  <si>
    <t>Bovinos de 12 a 24 meses</t>
  </si>
  <si>
    <t>Bovinos mayores de 24 meses</t>
  </si>
  <si>
    <t>Vacas nodrizas</t>
  </si>
  <si>
    <t>Vacas de leche</t>
  </si>
  <si>
    <t>Total Bovinos</t>
  </si>
  <si>
    <t>Clasificación:</t>
  </si>
  <si>
    <t>TOTAL ANIMALES</t>
  </si>
  <si>
    <t>TOTAL ANIMALES &lt;12 MESES</t>
  </si>
  <si>
    <t>MACHOS &lt;12 MESES</t>
  </si>
  <si>
    <t>HEMBRAS &lt;12 MESES</t>
  </si>
  <si>
    <t>TOTAL ANIMALES 12-24 MESES</t>
  </si>
  <si>
    <t>MACHOS 12-24 MESES</t>
  </si>
  <si>
    <t>HEMBRAS 12-24 MESES</t>
  </si>
  <si>
    <t>TOTAL ANIMALES &gt;24 MESES</t>
  </si>
  <si>
    <t>MACHOS &gt;24 MESES</t>
  </si>
  <si>
    <t>VACAS NODRIZAS &gt;24 MESES</t>
  </si>
  <si>
    <t>VACAS LECHE &gt;24 MESES</t>
  </si>
  <si>
    <t>Total animales</t>
  </si>
  <si>
    <t>Total animales &lt;12 meses</t>
  </si>
  <si>
    <t>Total animales 12-24 meses</t>
  </si>
  <si>
    <t>Total animales &gt; 24 meses</t>
  </si>
  <si>
    <t>Nodrizas &gt; 24 meses</t>
  </si>
  <si>
    <t>Hembras Leche &gt; 24 meses</t>
  </si>
  <si>
    <t>TOTAL &lt; 12M</t>
  </si>
  <si>
    <t>M. &lt; 12M</t>
  </si>
  <si>
    <t>H. &lt; 12M</t>
  </si>
  <si>
    <t>TOTAL DE 12 A 24M</t>
  </si>
  <si>
    <t>M. DE 12 A 24M</t>
  </si>
  <si>
    <t>H. DE 12 A 24M</t>
  </si>
  <si>
    <t>TOTAL &gt; 24M</t>
  </si>
  <si>
    <t>M. &gt; 24M</t>
  </si>
  <si>
    <t>H. NODRIZAS &gt; 24M</t>
  </si>
  <si>
    <t>LECHE &gt; 24M</t>
  </si>
  <si>
    <t>Castilla la Mancha</t>
  </si>
  <si>
    <t>TOTALES</t>
  </si>
  <si>
    <t>Machos &lt;12 meses</t>
  </si>
  <si>
    <t>Machos 12-24 meses</t>
  </si>
  <si>
    <t>Machos &gt; 24 meses</t>
  </si>
  <si>
    <t>Hembras Leche NO Frisonas &gt; 24 meses</t>
  </si>
  <si>
    <t>Hembras &lt;12 meses</t>
  </si>
  <si>
    <t>Hembras 12-24 meses</t>
  </si>
  <si>
    <t>Hembras &gt; 24 meses</t>
  </si>
  <si>
    <t>Hembras Leche Frisonas &gt; 24 meses</t>
  </si>
  <si>
    <t xml:space="preserve">                                 Seleccione la Comunidad Autónoma</t>
  </si>
  <si>
    <t xml:space="preserve">  Nº DE EXPLOTACIONES DE TODAS LAS ESPECIES POR COMUNIDAD AUTÓNOMA Y TIPO</t>
  </si>
  <si>
    <t xml:space="preserve">  Nº DE EXPLOTACIONES POR COMUNIDAD AUTÓNOMA Y TIPO (Sólo con estado de Alta)</t>
  </si>
  <si>
    <t>Especiales</t>
  </si>
  <si>
    <t>Producción y Reproducción (sólo con estado de alta)</t>
  </si>
  <si>
    <t>Especiales (sólo con estado de alta)</t>
  </si>
  <si>
    <t>Total (sólo con estado de alta)</t>
  </si>
  <si>
    <t xml:space="preserve"> CENSO POR COMUNIDAD AUTÓNOMA</t>
  </si>
  <si>
    <t>INTRODUCCIÓN</t>
  </si>
  <si>
    <r>
      <t xml:space="preserve">Los datos que se publican en este INFORME proceden de la base de datos del </t>
    </r>
    <r>
      <rPr>
        <rFont val="Arial"/>
        <family val="2"/>
        <b/>
        <sz val="12"/>
        <u val="single"/>
      </rPr>
      <t>SISTEMA INTEGRAL DE TRAZABILIDAD ANIMAL (SITRAN)</t>
    </r>
    <r>
      <rPr>
        <rFont val="Arial"/>
        <family val="2"/>
        <b/>
        <sz val="12"/>
      </rPr>
      <t>.</t>
    </r>
  </si>
  <si>
    <t xml:space="preserve">Los cuadros y gráficos que figuran corresponden a una extracción realizada a una fecha determinada (que se señala en cada uno de ellos). </t>
  </si>
  <si>
    <t xml:space="preserve">Se trata de una base de datos  única pero distribuída  que integra  las bases de datos de las diecisiete Comunidades Autónomas en un registro multiespecie. </t>
  </si>
  <si>
    <t>El Sistema Integral de Trazabilidad Animal (SITRAN) está compuesto por el Registro General de Explotaciones Ganaderas (REGA), el Registro General de Movimientos de Ganado (REMO) y el Registro General de Identificación Individual de Animales (RIIA), regulado el primero por el Real Decreto 479/2004 y los siguientes por el Real Decreto 728/2007.</t>
  </si>
  <si>
    <t>REGA</t>
  </si>
  <si>
    <t>REGA es un sistema multiespecie que se aplica a los animales de producción, tal y como se definen en la ley 8/2003 de sanidad animal, y en el que han de quedar reflejadas una serie de comunicaciones como, por ejemplo, la declaración anual del censo o los cambios en los datos consignados en los registros, que han de realizar los titulares de las explotaciones directamente a los servicios veterinarios de la comunidad autónoma en la que se encuentren ubicadas las explotaciones. A su vez, las comunidades autónomas han de incluirlas en REGA para que el registro permanezca actualizado.</t>
  </si>
  <si>
    <t>REMO y RIIA</t>
  </si>
  <si>
    <t>En cuanto a REMO y RIIA, en el Real Decreto 728/2007 se establecen los datos mínimos que deben contener los documentos de movimiento de los animales y la información que será incluida en las bases de datos, independientemente de las obligaciones que imponga la normativa de sanidad animal correspondiente para autorizar el movimiento de los animales. En la normativa sectorial se indica si los registros de movimientos se deben realizar de forma individual (ej. bovino) o por lotes (ej. porcino). No obstante, en cada especie existe una serie de características determinadas.</t>
  </si>
  <si>
    <t>DEFINICIONES</t>
  </si>
  <si>
    <t xml:space="preserve">Explotación REGA  (RD 479/2004 anexo 3):</t>
  </si>
  <si>
    <t>Cualquier instalación, construcción o lugar en los que se tengan, críen o manejen o se expongan al público animales de producción, con o sin fines lucrativos. Se entenderán incluidos los núcleos zoológicos, los mataderos y otros lugares en que se realice el sacrificio de animales, los centros de espectáculos taurinos, las instalaciones de los operadores comerciales y los centros de concentración. Son ubicaciones ligadas a un mismo titular dentro de un mismo término municipal y que, por tanto, constituyen una unidad epidemiológica. Pueden albergar distintas especies ganaderas.</t>
  </si>
  <si>
    <t xml:space="preserve">Tipo de Explotaciones:   </t>
  </si>
  <si>
    <t xml:space="preserve">1.  Explotaciones ganaderas de producción y reproducción</t>
  </si>
  <si>
    <t>2. Explotaciones ganaderas especiales (Explotaciones de tratantes u operadores comerciales, Centros de concentración de animales, Explotaciones de ocio, enseñanza e investigación, Mataderos, Plazas de toros, Centros de inspección, Centros de cuarentena, Puestos de control, Pastos y Centros de sacrificio domiciliario).</t>
  </si>
  <si>
    <t>Subexplotación REGA (RD 479/2004 anexo 1):</t>
  </si>
  <si>
    <t>Dentro de cada explotación REGA se considera que cada una de las especies mantenidas en la misma constituye una subexplotación. Todas las subexplotaciones de una misma explotación comparten el código REGA de la misma.</t>
  </si>
  <si>
    <t>Clasificación de especies y grupos de especies de animales de producción:</t>
  </si>
  <si>
    <t>Bóvidos, Porcino, Pequeños rumiantes (ovino, caprino), Équidos (caballos, asnos, mulas y cebras), Aves de corral (gallinas, pavos, pintadas, patos, ocas, codornices, palomas, faisanes, perdices, aves corredoras), Cunicultura, Apicultura, Especies peleteras (visón, zorro rojo, nutria, chinchilla) , Especies cinegéticas de caza mayor (ciervos, corzos, gamos, jabalíes), Otras (piscicultura, crustáceos, moluscos, caracoles, ranas).</t>
  </si>
  <si>
    <t>Estado:</t>
  </si>
  <si>
    <t xml:space="preserve">Determina si el registro está de alta, de baja, inactivo o de baja por recodificación (se utiliza cuando se asigna un nuevo código REGA a una explotación, por ejemplo cuando se fusionan dos explotaciones diferentes; REGA mantiene el vínculo entre los códigos antiguos y los nuevos). </t>
  </si>
  <si>
    <t>Para elaborar los cuadros y gráficos de los datos relativos a las especies se han utilizado solamente los datos correspondientes a explotaciones con estado de Alta.</t>
  </si>
  <si>
    <r>
      <t xml:space="preserve">Clasificaciones utilizadas para calcular el </t>
    </r>
    <r>
      <rPr>
        <rFont val="Arial"/>
        <family val="2"/>
        <b/>
        <i/>
        <sz val="12"/>
        <u val="single"/>
      </rPr>
      <t>censo</t>
    </r>
    <r>
      <rPr>
        <rFont val="Arial"/>
        <family val="2"/>
        <b/>
        <i/>
        <sz val="12"/>
      </rPr>
      <t>:</t>
    </r>
  </si>
  <si>
    <r>
      <t xml:space="preserve">Con carácter general se han utilizado las clasificaciones recogidas en la normativa sectorial correspondiente, cuando ésta existe. En el caso de </t>
    </r>
    <r>
      <rPr>
        <rFont val="Arial"/>
        <family val="2"/>
        <sz val="12"/>
        <u val="single"/>
      </rPr>
      <t>porcino</t>
    </r>
    <r>
      <rPr>
        <rFont val="Arial"/>
        <family val="2"/>
        <sz val="12"/>
      </rPr>
      <t xml:space="preserve">, al obligar la normativa que lo regula a declarar autoconsumo, los datos del presente informe incluyen autoconsumo. En cambio, para los </t>
    </r>
    <r>
      <rPr>
        <rFont val="Arial"/>
        <family val="2"/>
        <sz val="12"/>
        <u val="single"/>
      </rPr>
      <t>conejos</t>
    </r>
    <r>
      <rPr>
        <rFont val="Arial"/>
        <family val="2"/>
        <sz val="12"/>
      </rPr>
      <t xml:space="preserve"> y las </t>
    </r>
    <r>
      <rPr>
        <rFont val="Arial"/>
        <family val="2"/>
        <sz val="12"/>
        <u val="single"/>
      </rPr>
      <t>aves de corral</t>
    </r>
    <r>
      <rPr>
        <rFont val="Arial"/>
        <family val="2"/>
        <sz val="12"/>
      </rPr>
      <t xml:space="preserve">, al no estar obligados por normativa, los datos no incluyen autoconsumo. Para el </t>
    </r>
    <r>
      <rPr>
        <rFont val="Arial"/>
        <family val="2"/>
        <sz val="12"/>
        <u val="single"/>
      </rPr>
      <t>resto de las especies</t>
    </r>
    <r>
      <rPr>
        <rFont val="Arial"/>
        <family val="2"/>
        <sz val="12"/>
      </rPr>
      <t>, para las que no está definido el autoconsumo, los datos no consideran esta categoría.</t>
    </r>
  </si>
  <si>
    <r>
      <t xml:space="preserve">Para la especie </t>
    </r>
    <r>
      <rPr>
        <rFont val="Arial"/>
        <family val="2"/>
        <sz val="12"/>
        <u val="single"/>
      </rPr>
      <t>Bovina</t>
    </r>
    <r>
      <rPr>
        <rFont val="Arial"/>
        <family val="2"/>
        <sz val="12"/>
      </rPr>
      <t>, se ha agrupado según la siguiente estructura: animales menores de 12 meses (machos, hembras y total); animales de 12 a 24 meses (machos, hembras y total); y animales mayores de 24 meses (machos, hembras nodrizas, hembras de leche y total)</t>
    </r>
  </si>
  <si>
    <r>
      <t xml:space="preserve">Para la Especie </t>
    </r>
    <r>
      <rPr>
        <rFont val="Arial"/>
        <family val="2"/>
        <sz val="12"/>
        <u val="single"/>
      </rPr>
      <t>Porcina</t>
    </r>
    <r>
      <rPr>
        <rFont val="Arial"/>
        <family val="2"/>
        <sz val="12"/>
      </rPr>
      <t xml:space="preserve">, se ha agrupado según las Categorías: Cebo, Cerdas, Lechones, Recría/Transición, Reposición y Verracos.     </t>
    </r>
  </si>
  <si>
    <r>
      <t xml:space="preserve">Para los </t>
    </r>
    <r>
      <rPr>
        <rFont val="Arial"/>
        <family val="2"/>
        <sz val="12"/>
        <u val="single"/>
      </rPr>
      <t>Pequeños Rumiantes (Ovino y Caprino)</t>
    </r>
    <r>
      <rPr>
        <rFont val="Arial"/>
        <family val="2"/>
        <sz val="12"/>
      </rPr>
      <t>, se ha agrupado según las Categorías: No Reproductores menores de 4 meses, No Reproductores de 4 a 12 meses, Reproductores macho y Reproductoras hembra.</t>
    </r>
  </si>
  <si>
    <r>
      <t xml:space="preserve">Para las </t>
    </r>
    <r>
      <rPr>
        <rFont val="Arial"/>
        <family val="2"/>
        <sz val="12"/>
        <u val="single"/>
      </rPr>
      <t>Abejas</t>
    </r>
    <r>
      <rPr>
        <rFont val="Arial"/>
        <family val="2"/>
        <sz val="12"/>
      </rPr>
      <t>, se ha utilizado la Categoría: Número total de colmenas.</t>
    </r>
  </si>
  <si>
    <r>
      <t xml:space="preserve">Para los </t>
    </r>
    <r>
      <rPr>
        <rFont val="Arial"/>
        <family val="2"/>
        <sz val="12"/>
        <u val="single"/>
      </rPr>
      <t>Équidos</t>
    </r>
    <r>
      <rPr>
        <rFont val="Arial"/>
        <family val="2"/>
        <sz val="12"/>
      </rPr>
      <t xml:space="preserve">, se ha utilizado la Categoría: Total de animales. </t>
    </r>
  </si>
  <si>
    <r>
      <t xml:space="preserve">Para las </t>
    </r>
    <r>
      <rPr>
        <rFont val="Arial"/>
        <family val="2"/>
        <sz val="12"/>
        <u val="single"/>
      </rPr>
      <t>Gallinas</t>
    </r>
    <r>
      <rPr>
        <rFont val="Arial"/>
        <family val="2"/>
        <sz val="12"/>
      </rPr>
      <t>, se ha agrupado en: Producción para huevos (englobando las Categorías: Granjas de Producción para Huevos Campera, Granjas de Producción para Huevos Ecológica, Granjas de Producción para Huevos en Jaula, y Granjas de Producción para Huevos en Suelo); Producción para carne (la Categoría: Granjas de Producción para Carne); Reproducción para huevos (englobando las Categorías: Granjas de Multiplicación para Huevos, Granjas de Cría para Huevos y Granjas de Selección para Huevos); y Reproducción para carne (englobando las Categorías: Granjas de Multiplicación para Carne, Granjas de Selección para Carne, Granjas de Cría para Carne (animales en explotación) y Granjas de Cría para Carne).</t>
    </r>
  </si>
  <si>
    <r>
      <t xml:space="preserve">Para los </t>
    </r>
    <r>
      <rPr>
        <rFont val="Arial"/>
        <family val="2"/>
        <sz val="12"/>
        <u val="single"/>
      </rPr>
      <t>Patos</t>
    </r>
    <r>
      <rPr>
        <rFont val="Arial"/>
        <family val="2"/>
        <sz val="12"/>
      </rPr>
      <t>, se ha utilizado la Categoría: Granjas de Producción para carne.</t>
    </r>
  </si>
  <si>
    <r>
      <t xml:space="preserve">Para los </t>
    </r>
    <r>
      <rPr>
        <rFont val="Arial"/>
        <family val="2"/>
        <sz val="12"/>
        <u val="single"/>
      </rPr>
      <t>Pavos</t>
    </r>
    <r>
      <rPr>
        <rFont val="Arial"/>
        <family val="2"/>
        <sz val="12"/>
      </rPr>
      <t>, se ha utilizado la Categoría: Granjas de Producción para carne.</t>
    </r>
  </si>
  <si>
    <r>
      <t xml:space="preserve">Para los </t>
    </r>
    <r>
      <rPr>
        <rFont val="Arial"/>
        <family val="2"/>
        <sz val="12"/>
        <u val="single"/>
      </rPr>
      <t>Conejos</t>
    </r>
    <r>
      <rPr>
        <rFont val="Arial"/>
        <family val="2"/>
        <sz val="12"/>
      </rPr>
      <t xml:space="preserve">, se ha agrupado en: Reproducción (englobando las Categorías: Reproductores Hembra y Reproductores Macho) y Producción (englobando las Categorías: Cebo, Reposición y Otros Animales). </t>
    </r>
  </si>
  <si>
    <t>En los cuadros de censos están incluídos todos los animales de todo tipo de explotación en estado de alta.</t>
  </si>
  <si>
    <r>
      <t>Clasificaciones Zootécnicas utilizadas para cuantificar el número de</t>
    </r>
    <r>
      <rPr>
        <rFont val="Arial"/>
        <family val="2"/>
        <b/>
        <i/>
        <sz val="12"/>
        <u val="single"/>
      </rPr>
      <t xml:space="preserve"> subexplotaciones</t>
    </r>
    <r>
      <rPr>
        <rFont val="Arial"/>
        <family val="2"/>
        <b/>
        <i/>
        <sz val="12"/>
      </rPr>
      <t xml:space="preserve"> : </t>
    </r>
    <r>
      <rPr>
        <rFont val="Arial"/>
        <family val="2"/>
        <sz val="12"/>
      </rPr>
      <t xml:space="preserve">Una explotación REGA sólo admite una clasificación zootécnica por especie o grupo de especies (por subexplotación) excepto para aves de corral y cunicultura. </t>
    </r>
  </si>
  <si>
    <r>
      <t xml:space="preserve">En el caso de </t>
    </r>
    <r>
      <rPr>
        <rFont val="Arial"/>
        <family val="2"/>
        <sz val="12"/>
        <u val="single"/>
      </rPr>
      <t>porcino</t>
    </r>
    <r>
      <rPr>
        <rFont val="Arial"/>
        <family val="2"/>
        <sz val="12"/>
      </rPr>
      <t xml:space="preserve">, al obligar la normativa que lo regula a declarar autoconsumo, los datos del presente informe incluyen autoconsumo. En cambio, para los </t>
    </r>
    <r>
      <rPr>
        <rFont val="Arial"/>
        <family val="2"/>
        <sz val="12"/>
        <u val="single"/>
      </rPr>
      <t>conejos</t>
    </r>
    <r>
      <rPr>
        <rFont val="Arial"/>
        <family val="2"/>
        <sz val="12"/>
      </rPr>
      <t xml:space="preserve"> y las </t>
    </r>
    <r>
      <rPr>
        <rFont val="Arial"/>
        <family val="2"/>
        <sz val="12"/>
        <u val="single"/>
      </rPr>
      <t>aves de corral</t>
    </r>
    <r>
      <rPr>
        <rFont val="Arial"/>
        <family val="2"/>
        <sz val="12"/>
      </rPr>
      <t xml:space="preserve">, al no estar obligados por normativa, los datos no incluyen autoconsumo. Para el </t>
    </r>
    <r>
      <rPr>
        <rFont val="Arial"/>
        <family val="2"/>
        <sz val="12"/>
        <u val="single"/>
      </rPr>
      <t>resto de las especies</t>
    </r>
    <r>
      <rPr>
        <rFont val="Arial"/>
        <family val="2"/>
        <sz val="12"/>
      </rPr>
      <t>, para las que no está definido el autoconsumo, los datos no consideran esta categoría.</t>
    </r>
  </si>
  <si>
    <r>
      <t xml:space="preserve">Para la Especie </t>
    </r>
    <r>
      <rPr>
        <rFont val="Arial"/>
        <family val="2"/>
        <sz val="12"/>
        <u val="single"/>
      </rPr>
      <t>Bovina</t>
    </r>
    <r>
      <rPr>
        <rFont val="Arial"/>
        <family val="2"/>
        <sz val="12"/>
      </rPr>
      <t xml:space="preserve"> (RD 51/2004 y RD 1047/2003): Cebo o cebadero, Reproducción para producción de leche, Reproducción para producción de carne, Mixta (englobando las Clasificaciones Zootécnicas: Reproducción Mixta y Mixta), Precebo  y Recría de novillas.</t>
    </r>
  </si>
  <si>
    <r>
      <t xml:space="preserve">Para la Especie </t>
    </r>
    <r>
      <rPr>
        <rFont val="Arial"/>
        <family val="2"/>
        <sz val="12"/>
        <u val="single"/>
      </rPr>
      <t>Porcina</t>
    </r>
    <r>
      <rPr>
        <rFont val="Arial"/>
        <family val="2"/>
        <sz val="12"/>
      </rPr>
      <t xml:space="preserve"> (RD 324/2000): Cebo o Cebadero, Selección, Multiplicación, Recría de reproductores, Transición de reproductoras primíparas, Producción de ciclo cerrado, Producción de lechones, Producción mixta, Transición de lechones y Centros de inseminación artificial.  </t>
    </r>
  </si>
  <si>
    <r>
      <t xml:space="preserve">Para los </t>
    </r>
    <r>
      <rPr>
        <rFont val="Arial"/>
        <family val="2"/>
        <sz val="12"/>
        <u val="single"/>
      </rPr>
      <t>Pequeños Rumiantes (Ovino y Caprino)</t>
    </r>
    <r>
      <rPr>
        <rFont val="Arial"/>
        <family val="2"/>
        <sz val="12"/>
      </rPr>
      <t xml:space="preserve"> (RD 947/2005): Cebo o Cebadero, Reproducción para producción de leche, Reproducción para producción de carne y Reproducción mixta.</t>
    </r>
  </si>
  <si>
    <r>
      <t xml:space="preserve">Para las </t>
    </r>
    <r>
      <rPr>
        <rFont val="Arial"/>
        <family val="2"/>
        <sz val="12"/>
        <u val="single"/>
      </rPr>
      <t>Abejas</t>
    </r>
    <r>
      <rPr>
        <rFont val="Arial"/>
        <family val="2"/>
        <sz val="12"/>
      </rPr>
      <t xml:space="preserve"> (RD 448/2005): Mixtas, Producción productos apícolas, Selección y cría, Polinización y Otras.</t>
    </r>
  </si>
  <si>
    <r>
      <t xml:space="preserve">Para los </t>
    </r>
    <r>
      <rPr>
        <rFont val="Arial"/>
        <family val="2"/>
        <sz val="12"/>
        <u val="single"/>
      </rPr>
      <t>Équido</t>
    </r>
    <r>
      <rPr>
        <rFont val="Arial"/>
        <family val="2"/>
        <sz val="12"/>
      </rPr>
      <t>s: Cebo o cebadero, Reproducción para producción de carne, Selección, Explotaciones de cría, Establecimiento para la práctica ecuestre, Sin ánimo de lucro, Uso particular y Sin clasificar.</t>
    </r>
  </si>
  <si>
    <r>
      <t xml:space="preserve">Para las </t>
    </r>
    <r>
      <rPr>
        <rFont val="Arial"/>
        <family val="2"/>
        <sz val="12"/>
        <u val="single"/>
      </rPr>
      <t>Gallinas</t>
    </r>
    <r>
      <rPr>
        <rFont val="Arial"/>
        <family val="2"/>
        <sz val="12"/>
      </rPr>
      <t>: Granjas de Producción para Huevos, Granjas de Producción para Carne; Reproducción para huevos (englobando las Clasificaciones Zootécnicas: Granjas de Selección para Huevos, Granjas de Multiplicación para Huevos, y Granjas de Cría para Huevos), y Reproducción para carne (englobando las Clasificaciones Zootécnicas: Granjas de Selección para carne, Granjas de Multiplicación para Carne, y Granjas de Cría para Carne).</t>
    </r>
  </si>
  <si>
    <r>
      <t xml:space="preserve">Para los </t>
    </r>
    <r>
      <rPr>
        <rFont val="Arial"/>
        <family val="2"/>
        <sz val="12"/>
        <u val="single"/>
      </rPr>
      <t>Patos</t>
    </r>
    <r>
      <rPr>
        <rFont val="Arial"/>
        <family val="2"/>
        <sz val="12"/>
      </rPr>
      <t>: Granjas de Producción para carne</t>
    </r>
  </si>
  <si>
    <r>
      <t xml:space="preserve">Para los </t>
    </r>
    <r>
      <rPr>
        <rFont val="Arial"/>
        <family val="2"/>
        <sz val="12"/>
        <u val="single"/>
      </rPr>
      <t>Pavos</t>
    </r>
    <r>
      <rPr>
        <rFont val="Arial"/>
        <family val="2"/>
        <sz val="12"/>
      </rPr>
      <t>: Granjas de Producción para carne</t>
    </r>
  </si>
  <si>
    <r>
      <t xml:space="preserve">Para los </t>
    </r>
    <r>
      <rPr>
        <rFont val="Arial"/>
        <family val="2"/>
        <sz val="12"/>
        <u val="single"/>
      </rPr>
      <t>Conejos</t>
    </r>
    <r>
      <rPr>
        <rFont val="Arial"/>
        <family val="2"/>
        <sz val="12"/>
      </rPr>
      <t>: Reproducción (englobando las Clasificaciones Zootécnicas: Selección, Multiplicación y Centros de Inseminación Artificial); y Producción (englobando las Clasificaciones Zootécnicas: Explotaciones de Cría de animales de compañía, Explotaciones de Cría de animales de experimentación, Producción de pelo, Producción de piel, Granjas de producción para caza para repoblación y Producción de gazapos para carne)</t>
    </r>
  </si>
  <si>
    <t>Utilización del INFORME</t>
  </si>
  <si>
    <t xml:space="preserve">En las hojas de cálculo que componen el informe, aparecen cuadros  y gráficos dinámicos; cada hoja ofrece la posibilidad de seleccionar datos específicos de una Comunidad Autónoma determinada o datos totales de España.</t>
  </si>
  <si>
    <t>CENSO DE GALLINAS</t>
  </si>
  <si>
    <t>Nº DE GALLINAS POR CLASIFICACIÓN ZOOTÉCNICA Y C.A.</t>
  </si>
  <si>
    <t>Producción para Huevos</t>
  </si>
  <si>
    <t>Producción para Carne</t>
  </si>
  <si>
    <t>Reproducción para Huevos</t>
  </si>
  <si>
    <t>Reproducción para Carne</t>
  </si>
  <si>
    <t>* Los datos de Enero de 2011 son datos de censo obtenidos a partir de las clasificaciones zootécnicas de las subexplotaciones de gallinas (a fecha 01/01/2011), mientras que los anteriores a esta fecha se obtuvieron a partir de las categorías.</t>
  </si>
  <si>
    <t>(*) El número Todas de censo tiene en cuenta todos los tipos de Categorías posibles para la especie gallinas, no sólo las estudiadas en esta tabla.</t>
  </si>
  <si>
    <t>Granjas de Selección para Carne</t>
  </si>
  <si>
    <t>Granjas de Multiplicación para Carne</t>
  </si>
  <si>
    <t>Granjas de Cría para Carne + Granjas de cría para carne (aves de explotación)</t>
  </si>
  <si>
    <t>Reproducción de Carne (Multiplicación, Selección y Cría)</t>
  </si>
  <si>
    <t>Prod. Huevo</t>
  </si>
  <si>
    <t>Prod. Carne</t>
  </si>
  <si>
    <t>Repr. Huevo</t>
  </si>
  <si>
    <t>Repr. Carne</t>
  </si>
  <si>
    <t>Granjas de Selección para Huevos</t>
  </si>
  <si>
    <t>Granjas de Multiplicación para Huevos</t>
  </si>
  <si>
    <t>Granjas de Producción para Huevos</t>
  </si>
  <si>
    <t>Granjas de Cría para Huevos</t>
  </si>
  <si>
    <t>Reproducción de Huevos (Multiplicación, Selección y Cría)</t>
  </si>
  <si>
    <t>GRANJAS DE GALLINAS</t>
  </si>
  <si>
    <t>Granjas de Reproducción para Huevos</t>
  </si>
  <si>
    <t>Granjas de Reproducción para Carne</t>
  </si>
  <si>
    <t>* Los datos de Julio de 2010 se han obtenido de los Sistemas Autonómicos a fecha 01/07/2010.</t>
  </si>
  <si>
    <t>Las gallinas pueden tener más de una clasificación zootécnica por subexplotación.</t>
  </si>
  <si>
    <t>Clasificación zootécnica</t>
  </si>
  <si>
    <t>Granja de Producción para Huevos</t>
  </si>
  <si>
    <t>Granja de Reproducción para Huevos</t>
  </si>
  <si>
    <t>Granja de Reproducción para Carne</t>
  </si>
  <si>
    <t>Granjas de Cría para Carne</t>
  </si>
  <si>
    <r>
      <t xml:space="preserve">Granjas de Reproducción para Carne </t>
    </r>
    <r>
      <rPr>
        <rFont val="Arial Unicode MS"/>
        <family val="2"/>
        <b/>
        <color indexed="16"/>
        <sz val="8"/>
      </rPr>
      <t>(multiplicación, selección y cría)</t>
    </r>
  </si>
  <si>
    <r>
      <t>Granjas de Reproducción para Huevos (</t>
    </r>
    <r>
      <rPr>
        <rFont val="Arial Unicode MS"/>
        <family val="2"/>
        <b/>
        <color indexed="16"/>
        <sz val="8"/>
      </rPr>
      <t>multiplicación, selección y cría)</t>
    </r>
  </si>
  <si>
    <t>CENSO DE PAVOS</t>
  </si>
  <si>
    <t>Nº DE PAVOS POR CATEGORÍA Y C.A.</t>
  </si>
  <si>
    <t>(*) El número Todas de censo tiene en cuenta todos los tipos de Categorías posibles para la especie pavos, no sólo la estudiada en esta tabla.</t>
  </si>
  <si>
    <t>Censo de Producción para Carne</t>
  </si>
  <si>
    <t>CENSO DE PATOS</t>
  </si>
  <si>
    <t>Nº DE PATOS POR CATEGORÍA Y C.A.</t>
  </si>
  <si>
    <t>(*) El número Todas de censo tiene en cuenta todos los tipos de Categorías posibles para los patos, no sólo la estudiada en esta tabla.</t>
  </si>
  <si>
    <t>GRANJAS DE PAVOS</t>
  </si>
  <si>
    <t>Reproducción para Producción Mixta</t>
  </si>
  <si>
    <t>Explotaciones de Cría</t>
  </si>
  <si>
    <t>Establecimientos para la práctica Ecuestre</t>
  </si>
  <si>
    <t>Sin Ánimo de Lucro</t>
  </si>
  <si>
    <t>Uso Particular</t>
  </si>
  <si>
    <t>Reproducción para silla</t>
  </si>
  <si>
    <t>Explotaciones no comerciales</t>
  </si>
  <si>
    <t>Explotaciones de caballos silvestres o semisilvestres</t>
  </si>
  <si>
    <t>Depósitos o paradas de sementales equinos y centros de reproducción</t>
  </si>
  <si>
    <t>* Los datos de Julio de 2011 se han obtenido de los Sistemas Autonómicos a fecha 01/01/2011.</t>
  </si>
  <si>
    <t>Reproducción para producción mixta</t>
  </si>
  <si>
    <t>Producción Productos Apícolas</t>
  </si>
  <si>
    <t>Selección y Cría Apícola</t>
  </si>
  <si>
    <t>Polinización</t>
  </si>
  <si>
    <t xml:space="preserve">Producción  Productos Apícolas</t>
  </si>
  <si>
    <t xml:space="preserve"> CENSO POR C.A. (*)</t>
  </si>
  <si>
    <t>* Los datos mostrados hasta julio de 2024 se elaboraban a partir de los censos REGA declarados. Desde enero de 2025 los datos que se muestran parten de los équidos vivos en RIIA.</t>
  </si>
  <si>
    <t>Censo Total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</si>
</sst>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C0A]mmm\-yy;@"/>
    <numFmt numFmtId="165" formatCode="[$-C0A]d\-mmm\-yy;@"/>
  </numFmts>
  <fonts count="68">
    <font>
      <sz val="10"/>
      <name val="Arial"/>
    </font>
    <font>
      <sz val="10"/>
      <name val="Arial"/>
      <family val="2"/>
    </font>
    <font>
      <sz val="8"/>
      <name val="Arial"/>
      <family val="2"/>
    </font>
    <font>
      <b/>
      <sz val="36"/>
      <name val="Arial"/>
      <family val="2"/>
    </font>
    <font>
      <b/>
      <sz val="10"/>
      <name val="Arial"/>
      <family val="2"/>
    </font>
    <font>
      <b/>
      <sz val="16"/>
      <name val="Arial"/>
      <family val="2"/>
    </font>
    <font>
      <b/>
      <u/>
      <sz val="18"/>
      <name val="Arial"/>
      <family val="2"/>
    </font>
    <font>
      <sz val="14"/>
      <name val="Times New Roman"/>
      <family val="1"/>
    </font>
    <font>
      <sz val="12"/>
      <name val="Arial"/>
      <family val="2"/>
    </font>
    <font>
      <b/>
      <sz val="12"/>
      <name val="Arial"/>
      <family val="2"/>
    </font>
    <font>
      <sz val="12"/>
      <color indexed="8"/>
      <name val="Arial"/>
      <family val="2"/>
    </font>
    <font>
      <b/>
      <u/>
      <sz val="14"/>
      <color indexed="8"/>
      <name val="Arial"/>
      <family val="2"/>
    </font>
    <font>
      <b/>
      <i/>
      <sz val="12"/>
      <color indexed="8"/>
      <name val="Arial"/>
      <family val="2"/>
    </font>
    <font>
      <b/>
      <i/>
      <sz val="12"/>
      <name val="Arial"/>
      <family val="2"/>
    </font>
    <font>
      <b/>
      <u/>
      <sz val="14"/>
      <name val="Arial"/>
      <family val="2"/>
    </font>
    <font>
      <b/>
      <sz val="7"/>
      <color indexed="16"/>
      <name val="Courier"/>
      <family val="3"/>
    </font>
    <font>
      <b/>
      <sz val="14"/>
      <name val="Arial"/>
      <family val="2"/>
    </font>
    <font>
      <b/>
      <sz val="10.5"/>
      <name val="Arial"/>
      <family val="2"/>
    </font>
    <font>
      <b/>
      <sz val="9"/>
      <color indexed="16"/>
      <name val="Arial"/>
      <family val="2"/>
    </font>
    <font>
      <b/>
      <sz val="10"/>
      <color indexed="16"/>
      <name val="Arial"/>
      <family val="2"/>
    </font>
    <font>
      <sz val="10"/>
      <name val="Arial"/>
      <family val="2"/>
    </font>
    <font>
      <b/>
      <sz val="11"/>
      <name val="Arial"/>
      <family val="2"/>
    </font>
    <font>
      <b/>
      <sz val="7"/>
      <color indexed="16"/>
      <name val="Verdana"/>
      <family val="2"/>
    </font>
    <font>
      <sz val="10"/>
      <name val="Arial Unicode MS"/>
      <family val="2"/>
    </font>
    <font>
      <sz val="11"/>
      <name val="Arial"/>
      <family val="2"/>
    </font>
    <font>
      <b/>
      <sz val="8"/>
      <color indexed="16"/>
      <name val="Verdana"/>
      <family val="2"/>
    </font>
    <font>
      <b/>
      <sz val="8"/>
      <name val="Arial"/>
      <family val="2"/>
    </font>
    <font>
      <sz val="7.5"/>
      <color indexed="16"/>
      <name val="Verdana"/>
      <family val="2"/>
    </font>
    <font>
      <b/>
      <sz val="7"/>
      <color indexed="16"/>
      <name val="Century Schoolbook"/>
      <family val="1"/>
    </font>
    <font>
      <sz val="8"/>
      <name val="Arial"/>
      <family val="2"/>
    </font>
    <font>
      <sz val="7.5"/>
      <name val="Verdana"/>
      <family val="2"/>
    </font>
    <font>
      <sz val="16"/>
      <color indexed="10"/>
      <name val="Arial"/>
      <family val="2"/>
    </font>
    <font>
      <sz val="10"/>
      <color indexed="10"/>
      <name val="Arial"/>
      <family val="2"/>
    </font>
    <font>
      <b/>
      <sz val="9"/>
      <name val="Arial"/>
      <family val="2"/>
    </font>
    <font>
      <sz val="9"/>
      <name val="Arial"/>
      <family val="2"/>
    </font>
    <font>
      <sz val="11"/>
      <color indexed="16"/>
      <name val="Verdana"/>
      <family val="2"/>
    </font>
    <font>
      <sz val="11"/>
      <name val="Verdana"/>
      <family val="2"/>
    </font>
    <font>
      <sz val="11"/>
      <name val="Arial"/>
      <family val="2"/>
    </font>
    <font>
      <b/>
      <sz val="12"/>
      <name val="Arial"/>
      <family val="2"/>
    </font>
    <font>
      <sz val="10"/>
      <color indexed="10"/>
      <name val="Arial"/>
      <family val="2"/>
    </font>
    <font>
      <sz val="8"/>
      <color indexed="16"/>
      <name val="Verdana"/>
      <family val="2"/>
    </font>
    <font>
      <sz val="10"/>
      <color indexed="52"/>
      <name val="Arial"/>
      <family val="2"/>
    </font>
    <font>
      <sz val="8"/>
      <color indexed="52"/>
      <name val="Verdana"/>
      <family val="2"/>
    </font>
    <font>
      <b/>
      <sz val="7"/>
      <name val="Verdana"/>
      <family val="2"/>
    </font>
    <font>
      <b/>
      <sz val="12"/>
      <color indexed="63"/>
      <name val="Arial"/>
      <family val="2"/>
    </font>
    <font>
      <b/>
      <sz val="8"/>
      <color indexed="63"/>
      <name val="Verdana"/>
      <family val="2"/>
    </font>
    <font>
      <sz val="11"/>
      <color indexed="9"/>
      <name val="Arial Unicode MS"/>
      <family val="2"/>
    </font>
    <font>
      <b/>
      <sz val="11"/>
      <color indexed="8"/>
      <name val="Arial"/>
      <family val="2"/>
    </font>
    <font>
      <b/>
      <sz val="10"/>
      <color indexed="16"/>
      <name val="Verdana"/>
      <family val="2"/>
    </font>
    <font>
      <sz val="8"/>
      <color indexed="16"/>
      <name val="Courier"/>
      <family val="3"/>
    </font>
    <font>
      <b/>
      <sz val="10"/>
      <color indexed="63"/>
      <name val="Arial"/>
      <family val="2"/>
    </font>
    <font>
      <sz val="12"/>
      <name val="Arial"/>
      <family val="2"/>
    </font>
    <font>
      <b/>
      <sz val="11"/>
      <name val="Arial"/>
      <family val="2"/>
    </font>
    <font>
      <sz val="8"/>
      <color indexed="8"/>
      <name val="Arial"/>
      <family val="2"/>
    </font>
    <font>
      <b/>
      <sz val="10"/>
      <color indexed="8"/>
      <name val="Arial"/>
      <family val="2"/>
    </font>
    <font>
      <b/>
      <sz val="11.5"/>
      <name val="Arial"/>
      <family val="2"/>
    </font>
    <font>
      <b/>
      <sz val="8"/>
      <color indexed="57"/>
      <name val="Arial"/>
      <family val="2"/>
    </font>
    <font>
      <b/>
      <sz val="8"/>
      <color indexed="10"/>
      <name val="Arial"/>
      <family val="2"/>
    </font>
    <font>
      <b/>
      <sz val="8"/>
      <name val="Arial"/>
      <family val="2"/>
    </font>
    <font>
      <sz val="8"/>
      <color indexed="43"/>
      <name val="Arial"/>
      <family val="2"/>
    </font>
    <font>
      <b/>
      <sz val="10"/>
      <color indexed="17"/>
      <name val="Arial"/>
      <family val="2"/>
    </font>
    <font>
      <sz val="10"/>
      <color indexed="8"/>
      <name val="Arial"/>
      <family val="2"/>
    </font>
    <font>
      <b/>
      <sz val="12"/>
      <name val="Sans-serif"/>
    </font>
    <font>
      <sz val="10"/>
      <name val="Arial"/>
      <family val="2"/>
    </font>
    <font>
      <i/>
      <sz val="12"/>
      <name val="Sans-serif"/>
    </font>
    <font>
      <sz val="10"/>
      <name val="Arial"/>
      <family val="2"/>
    </font>
    <font>
      <b/>
      <sz val="11.3"/>
      <color rgb="FF000000"/>
      <name val="Arial"/>
      <family val="2"/>
    </font>
    <font>
      <b/>
      <sz val="12"/>
      <color rgb="FF000000"/>
      <name val="Arial"/>
      <family val="2"/>
    </font>
  </fonts>
  <fills count="25">
    <fill>
      <patternFill patternType="none"/>
    </fill>
    <fill>
      <patternFill patternType="gray125"/>
    </fill>
    <fill>
      <patternFill patternType="solid">
        <fgColor indexed="50"/>
        <bgColor indexed="64"/>
      </patternFill>
    </fill>
    <fill>
      <patternFill patternType="solid">
        <fgColor indexed="51"/>
        <bgColor indexed="64"/>
      </patternFill>
    </fill>
    <fill>
      <patternFill patternType="solid">
        <fgColor indexed="26"/>
        <bgColor indexed="64"/>
      </patternFill>
    </fill>
    <fill>
      <patternFill patternType="solid">
        <fgColor indexed="24"/>
        <bgColor indexed="64"/>
      </patternFill>
    </fill>
    <fill>
      <patternFill patternType="solid">
        <fgColor indexed="22"/>
        <bgColor indexed="64"/>
      </patternFill>
    </fill>
    <fill>
      <patternFill patternType="solid">
        <fgColor indexed="55"/>
        <bgColor indexed="64"/>
      </patternFill>
    </fill>
    <fill>
      <patternFill patternType="solid">
        <fgColor indexed="53"/>
        <bgColor indexed="64"/>
      </patternFill>
    </fill>
    <fill>
      <patternFill patternType="solid">
        <fgColor indexed="47"/>
        <bgColor indexed="64"/>
      </patternFill>
    </fill>
    <fill>
      <patternFill patternType="solid">
        <fgColor indexed="23"/>
        <bgColor indexed="64"/>
      </patternFill>
    </fill>
    <fill>
      <patternFill patternType="solid">
        <fgColor indexed="46"/>
        <bgColor indexed="64"/>
      </patternFill>
    </fill>
    <fill>
      <patternFill patternType="solid">
        <fgColor indexed="43"/>
        <bgColor indexed="64"/>
      </patternFill>
    </fill>
    <fill>
      <patternFill patternType="solid">
        <fgColor indexed="49"/>
        <bgColor indexed="64"/>
      </patternFill>
    </fill>
    <fill>
      <patternFill patternType="solid">
        <fgColor indexed="60"/>
        <bgColor indexed="64"/>
      </patternFill>
    </fill>
    <fill>
      <patternFill patternType="solid">
        <fgColor indexed="42"/>
        <bgColor indexed="64"/>
      </patternFill>
    </fill>
    <fill>
      <patternFill patternType="solid">
        <fgColor indexed="44"/>
        <bgColor indexed="64"/>
      </patternFill>
    </fill>
    <fill>
      <patternFill patternType="solid">
        <fgColor indexed="52"/>
        <bgColor indexed="64"/>
      </patternFill>
    </fill>
    <fill>
      <patternFill patternType="solid">
        <fgColor rgb="FFFFFF66"/>
        <bgColor indexed="64"/>
      </patternFill>
    </fill>
    <fill>
      <patternFill patternType="solid">
        <fgColor rgb="FFB8CCE4"/>
        <bgColor indexed="64"/>
      </patternFill>
    </fill>
    <fill>
      <patternFill patternType="solid">
        <fgColor rgb="FFE4DFEC"/>
        <bgColor indexed="64"/>
      </patternFill>
    </fill>
    <fill>
      <patternFill patternType="solid">
        <fgColor rgb="FFE4DFEC"/>
      </patternFill>
    </fill>
    <fill>
      <patternFill patternType="solid">
        <fgColor rgb="FFFFFFFF"/>
        <bgColor indexed="64"/>
      </patternFill>
    </fill>
    <fill>
      <patternFill patternType="solid">
        <fgColor rgb="FFFFFFFF"/>
      </patternFill>
    </fill>
    <fill>
      <patternFill patternType="solid">
        <fgColor rgb="FFB8CCE4"/>
      </patternFill>
    </fill>
  </fills>
  <borders count="87">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top style="thin">
        <color indexed="64"/>
      </top>
      <bottom/>
      <diagonal/>
    </border>
    <border>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style="medium">
        <color indexed="64"/>
      </right>
      <top/>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8"/>
      </right>
      <top/>
      <bottom style="medium">
        <color indexed="64"/>
      </bottom>
      <diagonal/>
    </border>
    <border>
      <left style="medium">
        <color indexed="8"/>
      </left>
      <right style="thin">
        <color indexed="8"/>
      </right>
      <top/>
      <bottom style="medium">
        <color indexed="8"/>
      </bottom>
      <diagonal/>
    </border>
    <border>
      <left style="thin">
        <color indexed="8"/>
      </left>
      <right style="medium">
        <color indexed="8"/>
      </right>
      <top/>
      <bottom style="medium">
        <color indexed="8"/>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style="thin">
        <color indexed="64"/>
      </top>
      <bottom/>
      <diagonal/>
    </border>
    <border>
      <left style="medium">
        <color indexed="64"/>
      </left>
      <right style="medium">
        <color indexed="64"/>
      </right>
      <top style="thin">
        <color indexed="64"/>
      </top>
      <bottom style="medium">
        <color indexed="64"/>
      </bottom>
      <diagonal/>
    </border>
    <border>
      <left/>
      <right style="thin">
        <color indexed="64"/>
      </right>
      <top style="medium">
        <color indexed="64"/>
      </top>
      <bottom/>
      <diagonal/>
    </border>
    <border>
      <left/>
      <right style="medium">
        <color indexed="64"/>
      </right>
      <top/>
      <bottom style="thin">
        <color indexed="64"/>
      </bottom>
      <diagonal/>
    </border>
    <border>
      <left style="thin">
        <color indexed="8"/>
      </left>
      <right style="thin">
        <color indexed="8"/>
      </right>
      <top/>
      <bottom style="medium">
        <color indexed="64"/>
      </bottom>
      <diagonal/>
    </border>
    <border>
      <left style="thin">
        <color indexed="8"/>
      </left>
      <right style="medium">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style="thin">
        <color indexed="8"/>
      </right>
      <top style="medium">
        <color indexed="64"/>
      </top>
      <bottom/>
      <diagonal/>
    </border>
    <border>
      <left style="medium">
        <color indexed="64"/>
      </left>
      <right style="medium">
        <color indexed="64"/>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thin">
        <color indexed="64"/>
      </left>
      <right style="thin">
        <color indexed="64"/>
      </right>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right style="medium">
        <color indexed="64"/>
      </right>
      <top style="thin">
        <color indexed="64"/>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thin">
        <color indexed="64"/>
      </top>
      <bottom style="thin">
        <color indexed="64"/>
      </bottom>
      <diagonal/>
    </border>
    <border>
      <left/>
      <right/>
      <top/>
      <bottom style="thin">
        <color indexed="64"/>
      </bottom>
      <diagonal/>
    </border>
    <border>
      <left style="thick">
        <color rgb="FFFFFFFF"/>
      </left>
      <right style="thick">
        <color rgb="FFFFFFFF"/>
      </right>
      <top/>
      <bottom style="medium">
        <color indexed="64"/>
      </bottom>
      <diagonal/>
    </border>
    <border>
      <left style="thick">
        <color rgb="FFFFFFFF"/>
      </left>
      <right style="thick">
        <color rgb="FFFFFFFF"/>
      </right>
      <top style="thin">
        <color indexed="64"/>
      </top>
      <bottom style="thin">
        <color indexed="64"/>
      </bottom>
      <diagonal/>
    </border>
    <border>
      <left style="thick">
        <color rgb="FFFFFFFF"/>
      </left>
      <right style="thick">
        <color rgb="FFFFFFFF"/>
      </right>
      <top style="thin">
        <color indexed="64"/>
      </top>
      <bottom/>
      <diagonal/>
    </border>
    <border>
      <left style="thick">
        <color rgb="FFFFFFFF"/>
      </left>
      <right style="thick">
        <color rgb="FFFFFFFF"/>
      </right>
      <top style="medium">
        <color indexed="64"/>
      </top>
      <bottom style="thin">
        <color indexed="64"/>
      </bottom>
      <diagonal/>
    </border>
    <border>
      <left/>
      <right/>
      <top style="thin">
        <color indexed="64"/>
      </top>
      <bottom style="medium">
        <color indexed="64"/>
      </bottom>
      <diagonal/>
    </border>
    <border>
      <left style="thick">
        <color rgb="FFFFFFFF"/>
      </left>
      <right style="thick">
        <color rgb="FFFFFFFF"/>
      </right>
      <top/>
      <bottom/>
      <diagonal/>
    </border>
    <border>
      <left style="thick">
        <color rgb="FFFFFFFF"/>
      </left>
      <right style="thick">
        <color rgb="FFFFFFFF"/>
      </right>
      <top style="medium">
        <color indexed="64"/>
      </top>
      <bottom/>
      <diagonal/>
    </border>
  </borders>
  <cellStyleXfs count="2">
    <xf numFmtId="0" fontId="0" fillId="0" borderId="0"/>
    <xf numFmtId="0" fontId="20" applyFont="1" fillId="0" borderId="0"/>
  </cellStyleXfs>
  <cellXfs count="851">
    <xf numFmtId="0" fontId="0" fillId="0" borderId="0" xfId="0"/>
    <xf numFmtId="0" fontId="0" fillId="2" applyFill="1" borderId="1" applyBorder="1" xfId="0"/>
    <xf numFmtId="0" fontId="0" fillId="2" applyFill="1" borderId="2" applyBorder="1" xfId="0"/>
    <xf numFmtId="0" fontId="0" fillId="2" applyFill="1" borderId="3" applyBorder="1" xfId="0"/>
    <xf numFmtId="0" fontId="0" fillId="2" applyFill="1" borderId="0" applyBorder="1" xfId="0"/>
    <xf numFmtId="0" fontId="0" fillId="0" borderId="0" applyBorder="1" xfId="0"/>
    <xf numFmtId="0" fontId="0" fillId="2" applyFill="1" borderId="4" applyBorder="1" xfId="0"/>
    <xf numFmtId="0" fontId="0" fillId="2" applyFill="1" borderId="5" applyBorder="1" xfId="0"/>
    <xf numFmtId="0" fontId="0" fillId="2" applyFill="1" borderId="6" applyBorder="1" xfId="0"/>
    <xf numFmtId="0" fontId="0" fillId="2" applyFill="1" borderId="7" applyBorder="1" xfId="0"/>
    <xf numFmtId="0" fontId="0" fillId="2" applyFill="1" borderId="8" applyBorder="1" xfId="0"/>
    <xf numFmtId="0" fontId="0" fillId="0" applyFill="1" borderId="0" xfId="0"/>
    <xf numFmtId="0" fontId="0" fillId="0" applyFill="1" borderId="0" applyBorder="1" xfId="0"/>
    <xf numFmtId="0" fontId="2" applyFont="1" fillId="0" borderId="0" xfId="0"/>
    <xf numFmtId="165" applyNumberFormat="1" fontId="4" applyFont="1" fillId="3" applyFill="1" borderId="9" applyBorder="1" xfId="0" applyAlignment="1">
      <alignment horizontal="center" wrapText="1"/>
    </xf>
    <xf numFmtId="165" applyNumberFormat="1" fontId="4" applyFont="1" fillId="3" applyFill="1" borderId="10" applyBorder="1" xfId="0" applyAlignment="1">
      <alignment horizontal="center" wrapText="1"/>
    </xf>
    <xf numFmtId="0" fontId="0" fillId="0" borderId="11" applyBorder="1" xfId="0"/>
    <xf numFmtId="0" fontId="4" applyFont="1" fillId="0" applyFill="1" borderId="0" applyBorder="1" xfId="0" applyAlignment="1"/>
    <xf numFmtId="3" applyNumberFormat="1" fontId="0" fillId="0" borderId="0" xfId="0"/>
    <xf numFmtId="0" fontId="37" applyFont="1" fillId="0" borderId="0" xfId="0"/>
    <xf numFmtId="0" fontId="22" applyFont="1" fillId="4" applyFill="1" borderId="12" applyBorder="1" xfId="0" applyAlignment="1">
      <alignment horizontal="left" vertical="center" wrapText="1"/>
    </xf>
    <xf numFmtId="0" fontId="22" applyFont="1" fillId="4" applyFill="1" borderId="13" applyBorder="1" xfId="0" applyAlignment="1">
      <alignment horizontal="left" vertical="center" wrapText="1"/>
    </xf>
    <xf numFmtId="0" fontId="46" applyFont="1" fillId="0" applyFill="1" borderId="0" applyBorder="1" xfId="0" applyAlignment="1">
      <alignment wrapText="1"/>
    </xf>
    <xf numFmtId="0" fontId="45" applyFont="1" fillId="0" borderId="0" applyBorder="1" xfId="0" applyAlignment="1"/>
    <xf numFmtId="0" fontId="21" applyFont="1" fillId="2" applyFill="1" borderId="14" applyBorder="1" xfId="0" applyAlignment="1">
      <alignment wrapText="1"/>
    </xf>
    <xf numFmtId="15" applyNumberFormat="1" fontId="4" applyFont="1" fillId="0" borderId="15" applyBorder="1" xfId="0" applyAlignment="1">
      <alignment horizontal="center"/>
    </xf>
    <xf numFmtId="0" fontId="0" fillId="0" borderId="16" applyBorder="1" xfId="0"/>
    <xf numFmtId="0" fontId="0" fillId="0" borderId="17" applyBorder="1" xfId="0"/>
    <xf numFmtId="0" fontId="0" fillId="0" borderId="18" applyBorder="1" xfId="0"/>
    <xf numFmtId="165" applyNumberFormat="1" fontId="21" applyFont="1" fillId="3" applyFill="1" borderId="17" applyBorder="1" xfId="0" applyAlignment="1">
      <alignment horizontal="center" wrapText="1"/>
    </xf>
    <xf numFmtId="3" applyNumberFormat="1" fontId="24" applyFont="1" fillId="0" borderId="17" applyBorder="1" xfId="0" applyAlignment="1">
      <alignment horizontal="right"/>
    </xf>
    <xf numFmtId="3" applyNumberFormat="1" fontId="24" applyFont="1" fillId="0" borderId="19" applyBorder="1" xfId="0" applyAlignment="1">
      <alignment horizontal="right"/>
    </xf>
    <xf numFmtId="165" applyNumberFormat="1" fontId="4" applyFont="1" fillId="3" applyFill="1" borderId="20" applyBorder="1" xfId="0" applyAlignment="1">
      <alignment horizontal="center" wrapText="1"/>
    </xf>
    <xf numFmtId="165" applyNumberFormat="1" fontId="0" fillId="0" borderId="0" xfId="0" quotePrefix="1"/>
    <xf numFmtId="1" applyNumberFormat="1" fontId="0" fillId="0" borderId="0" xfId="0"/>
    <xf numFmtId="0" fontId="0" fillId="0" borderId="21" applyBorder="1" xfId="0"/>
    <xf numFmtId="0" fontId="0" fillId="0" borderId="22" applyBorder="1" xfId="0"/>
    <xf numFmtId="0" fontId="0" fillId="0" borderId="19" applyBorder="1" xfId="0"/>
    <xf numFmtId="0" fontId="0" fillId="0" borderId="23" applyBorder="1" xfId="0"/>
    <xf numFmtId="14" applyNumberFormat="1" fontId="0" fillId="0" borderId="0" xfId="0"/>
    <xf numFmtId="165" applyNumberFormat="1" fontId="21" applyFont="1" fillId="3" applyFill="1" borderId="11" applyBorder="1" xfId="0" applyAlignment="1">
      <alignment horizontal="center" wrapText="1"/>
    </xf>
    <xf numFmtId="165" applyNumberFormat="1" fontId="21" applyFont="1" fillId="3" applyFill="1" borderId="18" applyBorder="1" xfId="0" applyAlignment="1">
      <alignment horizontal="center" wrapText="1"/>
    </xf>
    <xf numFmtId="3" applyNumberFormat="1" fontId="24" applyFont="1" fillId="0" borderId="11" applyBorder="1" xfId="0" applyAlignment="1">
      <alignment horizontal="right"/>
    </xf>
    <xf numFmtId="3" applyNumberFormat="1" fontId="24" applyFont="1" fillId="0" borderId="18" applyBorder="1" xfId="0" applyAlignment="1">
      <alignment horizontal="right"/>
    </xf>
    <xf numFmtId="3" applyNumberFormat="1" fontId="24" applyFont="1" fillId="0" borderId="24" applyBorder="1" xfId="0" applyAlignment="1">
      <alignment horizontal="right"/>
    </xf>
    <xf numFmtId="3" applyNumberFormat="1" fontId="24" applyFont="1" fillId="0" borderId="16" applyBorder="1" xfId="0" applyAlignment="1">
      <alignment horizontal="right"/>
    </xf>
    <xf numFmtId="0" fontId="0" fillId="2" applyFill="1" borderId="1" applyBorder="1" xfId="0" applyProtection="1">
      <protection hidden="1"/>
    </xf>
    <xf numFmtId="0" fontId="0" fillId="2" applyFill="1" borderId="2" applyBorder="1" xfId="0" applyProtection="1">
      <protection hidden="1"/>
    </xf>
    <xf numFmtId="0" fontId="0" fillId="2" applyFill="1" borderId="3" applyBorder="1" xfId="0" applyProtection="1">
      <protection hidden="1"/>
    </xf>
    <xf numFmtId="0" fontId="0" fillId="2" applyFill="1" borderId="0" applyBorder="1" xfId="0" applyProtection="1">
      <protection hidden="1"/>
    </xf>
    <xf numFmtId="0" fontId="0" fillId="0" borderId="0" applyBorder="1" xfId="0" applyProtection="1">
      <protection hidden="1"/>
    </xf>
    <xf numFmtId="0" fontId="0" fillId="0" borderId="0" xfId="0" applyProtection="1">
      <protection hidden="1"/>
    </xf>
    <xf numFmtId="0" fontId="0" fillId="2" applyFill="1" borderId="4" applyBorder="1" xfId="0" applyProtection="1">
      <protection hidden="1"/>
    </xf>
    <xf numFmtId="0" fontId="0" fillId="2" applyFill="1" borderId="5" applyBorder="1" xfId="0" applyProtection="1">
      <protection hidden="1"/>
    </xf>
    <xf numFmtId="0" fontId="0" fillId="2" applyFill="1" borderId="6" applyBorder="1" xfId="0" applyProtection="1">
      <protection hidden="1"/>
    </xf>
    <xf numFmtId="0" fontId="0" fillId="2" applyFill="1" borderId="7" applyBorder="1" xfId="0" applyProtection="1">
      <protection hidden="1"/>
    </xf>
    <xf numFmtId="0" fontId="0" fillId="2" applyFill="1" borderId="8" applyBorder="1" xfId="0" applyProtection="1">
      <protection hidden="1"/>
    </xf>
    <xf numFmtId="0" fontId="0" fillId="0" applyFill="1" borderId="0" xfId="0" applyProtection="1">
      <protection hidden="1"/>
    </xf>
    <xf numFmtId="0" fontId="0" fillId="0" applyFill="1" borderId="0" applyBorder="1" xfId="0" applyProtection="1">
      <protection hidden="1"/>
    </xf>
    <xf numFmtId="0" fontId="15" applyFont="1" fillId="0" applyFill="1" borderId="0" applyBorder="1" xfId="0" applyProtection="1" applyAlignment="1">
      <alignment wrapText="1"/>
      <protection hidden="1"/>
    </xf>
    <xf numFmtId="0" fontId="0" fillId="0" borderId="0" xfId="0" applyProtection="1" applyAlignment="1">
      <alignment vertical="center"/>
      <protection hidden="1"/>
    </xf>
    <xf numFmtId="0" fontId="4" applyFont="1" fillId="5" applyFill="1" borderId="20" applyBorder="1" xfId="0" applyProtection="1" applyAlignment="1">
      <alignment horizontal="center" vertical="center" wrapText="1"/>
      <protection hidden="1"/>
    </xf>
    <xf numFmtId="0" fontId="18" applyFont="1" fillId="2" applyFill="1" borderId="9" applyBorder="1" xfId="0" applyProtection="1" applyAlignment="1">
      <alignment horizontal="center" vertical="center" wrapText="1"/>
      <protection hidden="1"/>
    </xf>
    <xf numFmtId="0" fontId="18" applyFont="1" fillId="2" applyFill="1" borderId="10" applyBorder="1" xfId="0" applyProtection="1" applyAlignment="1">
      <alignment horizontal="center" vertical="center" wrapText="1"/>
      <protection hidden="1"/>
    </xf>
    <xf numFmtId="0" fontId="18" applyFont="1" fillId="2" applyFill="1" borderId="25" applyBorder="1" xfId="0" applyProtection="1" applyAlignment="1">
      <alignment horizontal="center" vertical="center" wrapText="1"/>
      <protection hidden="1"/>
    </xf>
    <xf numFmtId="0" fontId="18" applyFont="1" fillId="2" applyFill="1" borderId="26" applyBorder="1" xfId="0" applyProtection="1" applyAlignment="1">
      <alignment horizontal="center" vertical="center" wrapText="1"/>
      <protection hidden="1"/>
    </xf>
    <xf numFmtId="0" fontId="0" fillId="0" borderId="0" applyBorder="1" xfId="0" applyProtection="1" applyAlignment="1">
      <alignment vertical="center"/>
      <protection hidden="1"/>
    </xf>
    <xf numFmtId="0" fontId="19" applyFont="1" fillId="4" applyFill="1" borderId="27" applyBorder="1" xfId="0" applyProtection="1" applyAlignment="1">
      <alignment wrapText="1"/>
      <protection hidden="1"/>
    </xf>
    <xf numFmtId="3" applyNumberFormat="1" fontId="20" applyFont="1" fillId="0" borderId="28" applyBorder="1" xfId="0" applyProtection="1" applyAlignment="1">
      <alignment wrapText="1"/>
      <protection hidden="1"/>
    </xf>
    <xf numFmtId="3" applyNumberFormat="1" fontId="20" applyFont="1" fillId="0" borderId="29" applyBorder="1" xfId="0" applyProtection="1" applyAlignment="1">
      <alignment wrapText="1"/>
      <protection hidden="1"/>
    </xf>
    <xf numFmtId="0" fontId="19" applyFont="1" fillId="4" applyFill="1" borderId="12" applyBorder="1" xfId="0" applyProtection="1" applyAlignment="1">
      <alignment wrapText="1"/>
      <protection hidden="1"/>
    </xf>
    <xf numFmtId="3" applyNumberFormat="1" fontId="20" applyFont="1" fillId="0" applyFill="1" borderId="21" applyBorder="1" xfId="0" applyProtection="1" applyAlignment="1">
      <alignment wrapText="1"/>
      <protection hidden="1"/>
    </xf>
    <xf numFmtId="3" applyNumberFormat="1" fontId="20" applyFont="1" fillId="0" applyFill="1" borderId="30" applyBorder="1" xfId="0" applyProtection="1" applyAlignment="1">
      <alignment wrapText="1"/>
      <protection hidden="1"/>
    </xf>
    <xf numFmtId="3" applyNumberFormat="1" fontId="20" applyFont="1" fillId="0" applyFill="1" borderId="22" applyBorder="1" xfId="0" applyProtection="1" applyAlignment="1">
      <alignment wrapText="1"/>
      <protection hidden="1"/>
    </xf>
    <xf numFmtId="0" fontId="19" applyFont="1" fillId="4" applyFill="1" borderId="31" applyBorder="1" xfId="0" applyProtection="1" applyAlignment="1">
      <alignment wrapText="1"/>
      <protection hidden="1"/>
    </xf>
    <xf numFmtId="0" fontId="19" applyFont="1" fillId="4" applyFill="1" borderId="13" applyBorder="1" xfId="0" applyProtection="1" applyAlignment="1">
      <alignment wrapText="1"/>
      <protection hidden="1"/>
    </xf>
    <xf numFmtId="3" applyNumberFormat="1" fontId="20" applyFont="1" fillId="0" applyFill="1" borderId="17" applyBorder="1" xfId="0" applyProtection="1" applyAlignment="1">
      <alignment wrapText="1"/>
      <protection hidden="1"/>
    </xf>
    <xf numFmtId="3" applyNumberFormat="1" fontId="20" applyFont="1" fillId="0" applyFill="1" borderId="11" applyBorder="1" xfId="0" applyProtection="1" applyAlignment="1">
      <alignment wrapText="1"/>
      <protection hidden="1"/>
    </xf>
    <xf numFmtId="3" applyNumberFormat="1" fontId="20" applyFont="1" fillId="0" applyFill="1" borderId="18" applyBorder="1" xfId="0" applyProtection="1" applyAlignment="1">
      <alignment wrapText="1"/>
      <protection hidden="1"/>
    </xf>
    <xf numFmtId="0" fontId="19" applyFont="1" fillId="4" applyFill="1" borderId="32" applyBorder="1" xfId="0" applyProtection="1" applyAlignment="1">
      <alignment wrapText="1"/>
      <protection hidden="1"/>
    </xf>
    <xf numFmtId="0" fontId="19" applyFont="1" fillId="4" applyFill="1" borderId="33" applyBorder="1" xfId="0" applyProtection="1" applyAlignment="1">
      <alignment wrapText="1"/>
      <protection hidden="1"/>
    </xf>
    <xf numFmtId="3" applyNumberFormat="1" fontId="20" applyFont="1" fillId="0" applyFill="1" borderId="19" applyBorder="1" xfId="0" applyProtection="1" applyAlignment="1">
      <alignment wrapText="1"/>
      <protection hidden="1"/>
    </xf>
    <xf numFmtId="3" applyNumberFormat="1" fontId="20" applyFont="1" fillId="0" applyFill="1" borderId="24" applyBorder="1" xfId="0" applyProtection="1" applyAlignment="1">
      <alignment wrapText="1"/>
      <protection hidden="1"/>
    </xf>
    <xf numFmtId="3" applyNumberFormat="1" fontId="20" applyFont="1" fillId="0" applyFill="1" borderId="16" applyBorder="1" xfId="0" applyProtection="1" applyAlignment="1">
      <alignment wrapText="1"/>
      <protection hidden="1"/>
    </xf>
    <xf numFmtId="0" fontId="19" applyFont="1" fillId="4" applyFill="1" borderId="15" applyBorder="1" xfId="0" applyProtection="1" applyAlignment="1">
      <alignment wrapText="1"/>
      <protection hidden="1"/>
    </xf>
    <xf numFmtId="3" applyNumberFormat="1" fontId="4" applyFont="1" fillId="0" borderId="20" applyBorder="1" xfId="0" applyProtection="1" applyAlignment="1">
      <alignment wrapText="1"/>
      <protection hidden="1"/>
    </xf>
    <xf numFmtId="3" applyNumberFormat="1" fontId="4" applyFont="1" fillId="0" borderId="9" applyBorder="1" xfId="0" applyProtection="1" applyAlignment="1">
      <alignment wrapText="1"/>
      <protection hidden="1"/>
    </xf>
    <xf numFmtId="3" applyNumberFormat="1" fontId="4" applyFont="1" fillId="0" borderId="10" applyBorder="1" xfId="0" applyProtection="1" applyAlignment="1">
      <alignment wrapText="1"/>
      <protection hidden="1"/>
    </xf>
    <xf numFmtId="3" applyNumberFormat="1" fontId="4" applyFont="1" fillId="0" applyFill="1" borderId="34" applyBorder="1" xfId="0" applyProtection="1" applyAlignment="1">
      <alignment wrapText="1"/>
      <protection hidden="1"/>
    </xf>
    <xf numFmtId="0" fontId="19" applyFont="1" fillId="0" applyFill="1" borderId="0" applyBorder="1" xfId="0" applyProtection="1" applyAlignment="1">
      <alignment wrapText="1"/>
      <protection hidden="1"/>
    </xf>
    <xf numFmtId="3" applyNumberFormat="1" fontId="20" applyFont="1" fillId="0" applyFill="1" borderId="0" applyBorder="1" xfId="0" applyProtection="1" applyAlignment="1">
      <alignment wrapText="1"/>
      <protection hidden="1"/>
    </xf>
    <xf numFmtId="3" applyNumberFormat="1" fontId="20" applyFont="1" fillId="0" borderId="0" applyBorder="1" xfId="0" applyProtection="1" applyAlignment="1">
      <alignment wrapText="1"/>
      <protection hidden="1"/>
    </xf>
    <xf numFmtId="0" fontId="4" applyFont="1" fillId="5" applyFill="1" borderId="15" applyBorder="1" xfId="0" applyProtection="1" applyAlignment="1">
      <alignment horizontal="center"/>
      <protection hidden="1"/>
    </xf>
    <xf numFmtId="0" fontId="19" applyFont="1" fillId="2" applyFill="1" borderId="35" applyBorder="1" xfId="0" applyProtection="1" applyAlignment="1">
      <alignment horizontal="center"/>
      <protection hidden="1"/>
    </xf>
    <xf numFmtId="0" fontId="19" applyFont="1" fillId="2" applyFill="1" borderId="36" applyBorder="1" xfId="0" applyProtection="1" applyAlignment="1">
      <alignment horizontal="center"/>
      <protection hidden="1"/>
    </xf>
    <xf numFmtId="0" fontId="19" applyFont="1" fillId="2" applyFill="1" borderId="37" applyBorder="1" xfId="0" applyProtection="1" applyAlignment="1">
      <alignment horizontal="center"/>
      <protection hidden="1"/>
    </xf>
    <xf numFmtId="3" applyNumberFormat="1" fontId="20" applyFont="1" fillId="0" borderId="21" applyBorder="1" xfId="0" applyProtection="1" applyAlignment="1">
      <alignment wrapText="1"/>
      <protection hidden="1"/>
    </xf>
    <xf numFmtId="3" applyNumberFormat="1" fontId="0" fillId="0" borderId="21" applyBorder="1" xfId="0" applyProtection="1">
      <protection hidden="1"/>
    </xf>
    <xf numFmtId="3" applyNumberFormat="1" fontId="0" fillId="0" borderId="0" xfId="0" applyProtection="1">
      <protection hidden="1"/>
    </xf>
    <xf numFmtId="3" applyNumberFormat="1" fontId="20" applyFont="1" fillId="0" borderId="17" applyBorder="1" xfId="0" applyProtection="1" applyAlignment="1">
      <alignment wrapText="1"/>
      <protection hidden="1"/>
    </xf>
    <xf numFmtId="3" applyNumberFormat="1" fontId="0" fillId="0" borderId="17" applyBorder="1" xfId="0" applyProtection="1">
      <protection hidden="1"/>
    </xf>
    <xf numFmtId="3" applyNumberFormat="1" fontId="4" applyFont="1" fillId="0" applyFill="1" borderId="38" applyBorder="1" xfId="0" applyProtection="1" applyAlignment="1">
      <alignment wrapText="1"/>
      <protection hidden="1"/>
    </xf>
    <xf numFmtId="3" applyNumberFormat="1" fontId="4" applyFont="1" fillId="0" applyFill="1" borderId="39" applyBorder="1" xfId="0" applyProtection="1" applyAlignment="1">
      <alignment wrapText="1"/>
      <protection hidden="1"/>
    </xf>
    <xf numFmtId="3" applyNumberFormat="1" fontId="4" applyFont="1" fillId="0" applyFill="1" borderId="40" applyBorder="1" xfId="0" applyProtection="1" applyAlignment="1">
      <alignment wrapText="1"/>
      <protection hidden="1"/>
    </xf>
    <xf numFmtId="3" applyNumberFormat="1" fontId="4" applyFont="1" fillId="0" borderId="41" applyBorder="1" xfId="0" applyProtection="1" applyAlignment="1">
      <alignment wrapText="1"/>
      <protection hidden="1"/>
    </xf>
    <xf numFmtId="3" applyNumberFormat="1" fontId="4" applyFont="1" fillId="0" borderId="42" applyBorder="1" xfId="0" applyProtection="1" applyAlignment="1">
      <alignment wrapText="1"/>
      <protection hidden="1"/>
    </xf>
    <xf numFmtId="3" applyNumberFormat="1" fontId="4" applyFont="1" fillId="0" borderId="41" applyBorder="1" xfId="0" applyProtection="1">
      <protection hidden="1"/>
    </xf>
    <xf numFmtId="3" applyNumberFormat="1" fontId="4" applyFont="1" fillId="0" applyFill="1" borderId="8" applyBorder="1" xfId="0" applyProtection="1" applyAlignment="1">
      <alignment wrapText="1"/>
      <protection hidden="1"/>
    </xf>
    <xf numFmtId="3" applyNumberFormat="1" fontId="0" fillId="0" applyFill="1" borderId="0" xfId="0" applyProtection="1">
      <protection hidden="1"/>
    </xf>
    <xf numFmtId="0" fontId="19" applyFont="1" fillId="2" applyFill="1" borderId="43" applyBorder="1" xfId="0" applyProtection="1" applyAlignment="1">
      <alignment horizontal="center"/>
      <protection hidden="1"/>
    </xf>
    <xf numFmtId="0" fontId="19" applyFont="1" fillId="2" applyFill="1" borderId="25" applyBorder="1" xfId="0" applyProtection="1" applyAlignment="1">
      <alignment horizontal="center"/>
      <protection hidden="1"/>
    </xf>
    <xf numFmtId="0" fontId="19" applyFont="1" fillId="2" applyFill="1" borderId="26" applyBorder="1" xfId="0" applyProtection="1" applyAlignment="1">
      <alignment horizontal="center"/>
      <protection hidden="1"/>
    </xf>
    <xf numFmtId="0" fontId="19" applyFont="1" fillId="2" applyFill="1" borderId="44" applyBorder="1" xfId="0" applyProtection="1" applyAlignment="1">
      <alignment horizontal="center"/>
      <protection hidden="1"/>
    </xf>
    <xf numFmtId="3" applyNumberFormat="1" fontId="20" applyFont="1" fillId="0" borderId="30" applyBorder="1" xfId="0" applyProtection="1" applyAlignment="1">
      <alignment wrapText="1"/>
      <protection hidden="1"/>
    </xf>
    <xf numFmtId="3" applyNumberFormat="1" fontId="20" applyFont="1" fillId="0" borderId="22" applyBorder="1" xfId="0" applyProtection="1" applyAlignment="1">
      <alignment wrapText="1"/>
      <protection hidden="1"/>
    </xf>
    <xf numFmtId="3" applyNumberFormat="1" fontId="20" applyFont="1" fillId="0" borderId="11" applyBorder="1" xfId="0" applyProtection="1" applyAlignment="1">
      <alignment wrapText="1"/>
      <protection hidden="1"/>
    </xf>
    <xf numFmtId="3" applyNumberFormat="1" fontId="20" applyFont="1" fillId="0" borderId="18" applyBorder="1" xfId="0" applyProtection="1" applyAlignment="1">
      <alignment wrapText="1"/>
      <protection hidden="1"/>
    </xf>
    <xf numFmtId="3" applyNumberFormat="1" fontId="20" applyFont="1" fillId="0" borderId="19" applyBorder="1" xfId="0" applyProtection="1" applyAlignment="1">
      <alignment wrapText="1"/>
      <protection hidden="1"/>
    </xf>
    <xf numFmtId="3" applyNumberFormat="1" fontId="20" applyFont="1" fillId="0" borderId="24" applyBorder="1" xfId="0" applyProtection="1" applyAlignment="1">
      <alignment wrapText="1"/>
      <protection hidden="1"/>
    </xf>
    <xf numFmtId="3" applyNumberFormat="1" fontId="20" applyFont="1" fillId="0" borderId="16" applyBorder="1" xfId="0" applyProtection="1" applyAlignment="1">
      <alignment wrapText="1"/>
      <protection hidden="1"/>
    </xf>
    <xf numFmtId="3" applyNumberFormat="1" fontId="20" applyFont="1" fillId="0" borderId="45" applyBorder="1" xfId="0" applyProtection="1" applyAlignment="1">
      <alignment wrapText="1"/>
      <protection hidden="1"/>
    </xf>
    <xf numFmtId="3" applyNumberFormat="1" fontId="20" applyFont="1" fillId="0" borderId="46" applyBorder="1" xfId="0" applyProtection="1" applyAlignment="1">
      <alignment wrapText="1"/>
      <protection hidden="1"/>
    </xf>
    <xf numFmtId="3" applyNumberFormat="1" fontId="20" applyFont="1" fillId="0" borderId="47" applyBorder="1" xfId="0" applyProtection="1" applyAlignment="1">
      <alignment wrapText="1"/>
      <protection hidden="1"/>
    </xf>
    <xf numFmtId="0" fontId="4" applyFont="1" fillId="4" applyFill="1" borderId="14" applyBorder="1" xfId="0" applyProtection="1" applyAlignment="1">
      <alignment horizontal="left" vertical="center" wrapText="1"/>
      <protection hidden="1"/>
    </xf>
    <xf numFmtId="0" fontId="4" applyFont="1" fillId="0" applyFill="1" borderId="0" applyBorder="1" xfId="0" applyProtection="1" applyAlignment="1">
      <alignment horizontal="left" vertical="center" wrapText="1"/>
      <protection hidden="1"/>
    </xf>
    <xf numFmtId="0" fontId="22" applyFont="1" fillId="4" applyFill="1" borderId="12" applyBorder="1" xfId="0" applyProtection="1" applyAlignment="1">
      <alignment wrapText="1"/>
      <protection hidden="1"/>
    </xf>
    <xf numFmtId="0" fontId="22" applyFont="1" fillId="4" applyFill="1" borderId="13" applyBorder="1" xfId="0" applyProtection="1" applyAlignment="1">
      <alignment wrapText="1"/>
      <protection hidden="1"/>
    </xf>
    <xf numFmtId="0" fontId="22" applyFont="1" fillId="4" applyFill="1" borderId="33" applyBorder="1" xfId="0" applyProtection="1" applyAlignment="1">
      <alignment wrapText="1"/>
      <protection hidden="1"/>
    </xf>
    <xf numFmtId="0" fontId="22" applyFont="1" fillId="4" applyFill="1" borderId="14" applyBorder="1" xfId="0" applyProtection="1" applyAlignment="1">
      <alignment wrapText="1"/>
      <protection hidden="1"/>
    </xf>
    <xf numFmtId="3" applyNumberFormat="1" fontId="20" applyFont="1" fillId="0" borderId="9" applyBorder="1" xfId="0" applyProtection="1" applyAlignment="1">
      <alignment wrapText="1"/>
      <protection hidden="1"/>
    </xf>
    <xf numFmtId="3" applyNumberFormat="1" fontId="20" applyFont="1" fillId="0" borderId="10" applyBorder="1" xfId="0" applyProtection="1" applyAlignment="1">
      <alignment wrapText="1"/>
      <protection hidden="1"/>
    </xf>
    <xf numFmtId="0" fontId="0" fillId="0" borderId="0" xfId="0" applyProtection="1">
      <protection locked="0" hidden="1"/>
    </xf>
    <xf numFmtId="0" fontId="0" fillId="0" borderId="48" applyBorder="1" xfId="0" applyProtection="1">
      <protection locked="0"/>
    </xf>
    <xf numFmtId="0" fontId="4" applyFont="1" fillId="0" borderId="0" xfId="0" applyProtection="1" applyAlignment="1">
      <protection hidden="1"/>
    </xf>
    <xf numFmtId="0" fontId="25" applyFont="1" fillId="0" applyFill="1" borderId="0" applyBorder="1" xfId="0" applyProtection="1" applyAlignment="1">
      <alignment horizontal="right" vertical="center" wrapText="1"/>
      <protection hidden="1"/>
    </xf>
    <xf numFmtId="3" applyNumberFormat="1" fontId="25" applyFont="1" fillId="0" applyFill="1" borderId="0" applyBorder="1" xfId="0" applyProtection="1" applyAlignment="1">
      <alignment horizontal="right" vertical="center" wrapText="1"/>
      <protection hidden="1"/>
    </xf>
    <xf numFmtId="17" applyNumberFormat="1" fontId="26" applyFont="1" fillId="0" applyFill="1" borderId="0" applyBorder="1" xfId="0" applyProtection="1" applyAlignment="1">
      <alignment horizontal="center" vertical="center"/>
      <protection hidden="1"/>
    </xf>
    <xf numFmtId="0" fontId="2" applyFont="1" fillId="0" applyFill="1" borderId="0" applyBorder="1" xfId="0" applyProtection="1" applyAlignment="1">
      <alignment horizontal="center" vertical="center"/>
      <protection hidden="1"/>
    </xf>
    <xf numFmtId="0" fontId="27" applyFont="1" fillId="0" borderId="0" applyBorder="1" xfId="0" applyProtection="1" applyAlignment="1">
      <alignment wrapText="1"/>
      <protection hidden="1"/>
    </xf>
    <xf numFmtId="0" fontId="22" applyFont="1" fillId="4" applyFill="1" borderId="23" applyBorder="1" xfId="0" applyProtection="1" applyAlignment="1">
      <alignment wrapText="1"/>
      <protection hidden="1"/>
    </xf>
    <xf numFmtId="0" fontId="22" applyFont="1" fillId="4" applyFill="1" borderId="6" applyBorder="1" xfId="0" applyProtection="1" applyAlignment="1">
      <alignment wrapText="1"/>
      <protection hidden="1"/>
    </xf>
    <xf numFmtId="0" fontId="0" fillId="0" borderId="17" applyBorder="1" xfId="0" applyProtection="1">
      <protection hidden="1"/>
    </xf>
    <xf numFmtId="0" fontId="0" fillId="0" borderId="11" applyBorder="1" xfId="0" applyProtection="1">
      <protection hidden="1"/>
    </xf>
    <xf numFmtId="0" fontId="0" fillId="0" borderId="18" applyBorder="1" xfId="0" applyProtection="1">
      <protection hidden="1"/>
    </xf>
    <xf numFmtId="0" fontId="27" applyFont="1" fillId="0" applyFill="1" borderId="0" applyBorder="1" xfId="0" applyProtection="1" applyAlignment="1">
      <alignment wrapText="1"/>
      <protection hidden="1"/>
    </xf>
    <xf numFmtId="165" applyNumberFormat="1" fontId="21" applyFont="1" fillId="3" applyFill="1" borderId="17" applyBorder="1" xfId="0" applyProtection="1" applyAlignment="1">
      <alignment horizontal="center" wrapText="1"/>
      <protection hidden="1"/>
    </xf>
    <xf numFmtId="165" applyNumberFormat="1" fontId="21" applyFont="1" fillId="3" applyFill="1" borderId="11" applyBorder="1" xfId="0" applyProtection="1" applyAlignment="1">
      <alignment horizontal="center" wrapText="1"/>
      <protection hidden="1"/>
    </xf>
    <xf numFmtId="165" applyNumberFormat="1" fontId="21" applyFont="1" fillId="3" applyFill="1" borderId="18" applyBorder="1" xfId="0" applyProtection="1" applyAlignment="1">
      <alignment horizontal="center" wrapText="1"/>
      <protection hidden="1"/>
    </xf>
    <xf numFmtId="0" fontId="4" applyFont="1" fillId="4" applyFill="1" borderId="14" applyBorder="1" xfId="0" applyProtection="1" applyAlignment="1">
      <alignment horizontal="left" vertical="justify" wrapText="1"/>
      <protection hidden="1"/>
    </xf>
    <xf numFmtId="0" fontId="30" applyFont="1" fillId="0" borderId="0" applyBorder="1" xfId="0" applyProtection="1" applyAlignment="1">
      <alignment wrapText="1"/>
      <protection hidden="1"/>
    </xf>
    <xf numFmtId="3" applyNumberFormat="1" fontId="24" applyFont="1" fillId="4" applyFill="1" borderId="17" applyBorder="1" xfId="0" applyProtection="1" applyAlignment="1">
      <alignment horizontal="right" wrapText="1"/>
      <protection hidden="1"/>
    </xf>
    <xf numFmtId="3" applyNumberFormat="1" fontId="24" applyFont="1" fillId="4" applyFill="1" borderId="11" applyBorder="1" xfId="0" applyProtection="1" applyAlignment="1">
      <alignment horizontal="right" wrapText="1"/>
      <protection hidden="1"/>
    </xf>
    <xf numFmtId="3" applyNumberFormat="1" fontId="24" applyFont="1" fillId="4" applyFill="1" borderId="18" applyBorder="1" xfId="0" applyProtection="1" applyAlignment="1">
      <alignment horizontal="right" wrapText="1"/>
      <protection hidden="1"/>
    </xf>
    <xf numFmtId="0" fontId="4" applyFont="1" fillId="0" applyFill="1" borderId="0" applyBorder="1" xfId="0" applyProtection="1" applyAlignment="1">
      <alignment wrapText="1"/>
      <protection hidden="1"/>
    </xf>
    <xf numFmtId="0" fontId="30" applyFont="1" fillId="0" applyFill="1" borderId="0" applyBorder="1" xfId="0" applyProtection="1" applyAlignment="1">
      <alignment wrapText="1"/>
      <protection hidden="1"/>
    </xf>
    <xf numFmtId="3" applyNumberFormat="1" fontId="24" applyFont="1" fillId="4" applyFill="1" borderId="19" applyBorder="1" xfId="0" applyProtection="1" applyAlignment="1">
      <alignment horizontal="right" wrapText="1"/>
      <protection hidden="1"/>
    </xf>
    <xf numFmtId="3" applyNumberFormat="1" fontId="24" applyFont="1" fillId="4" applyFill="1" borderId="24" applyBorder="1" xfId="0" applyProtection="1" applyAlignment="1">
      <alignment horizontal="right" wrapText="1"/>
      <protection hidden="1"/>
    </xf>
    <xf numFmtId="3" applyNumberFormat="1" fontId="24" applyFont="1" fillId="4" applyFill="1" borderId="16" applyBorder="1" xfId="0" applyProtection="1" applyAlignment="1">
      <alignment horizontal="right" wrapText="1"/>
      <protection hidden="1"/>
    </xf>
    <xf numFmtId="3" applyNumberFormat="1" fontId="20" applyFont="1" fillId="0" applyFill="1" borderId="0" applyBorder="1" xfId="0" applyProtection="1" applyAlignment="1">
      <alignment horizontal="right" wrapText="1"/>
      <protection hidden="1"/>
    </xf>
    <xf numFmtId="0" fontId="22" applyFont="1" fillId="0" applyFill="1" borderId="0" applyBorder="1" xfId="0" applyProtection="1" applyAlignment="1">
      <alignment horizontal="center" wrapText="1"/>
      <protection hidden="1"/>
    </xf>
    <xf numFmtId="3" applyNumberFormat="1" fontId="31" applyFont="1" fillId="0" applyFill="1" borderId="0" applyBorder="1" xfId="0" applyProtection="1" applyAlignment="1">
      <alignment wrapText="1"/>
      <protection hidden="1"/>
    </xf>
    <xf numFmtId="0" fontId="1" applyFont="1" fillId="0" applyFill="1" borderId="0" applyBorder="1" xfId="0" applyProtection="1">
      <protection hidden="1"/>
    </xf>
    <xf numFmtId="0" fontId="22" applyFont="1" fillId="0" applyFill="1" borderId="0" applyBorder="1" xfId="0" applyProtection="1" applyAlignment="1">
      <alignment wrapText="1"/>
      <protection hidden="1"/>
    </xf>
    <xf numFmtId="0" fontId="32" applyFont="1" fillId="0" borderId="0" xfId="0" applyProtection="1" applyAlignment="1">
      <alignment horizontal="center" wrapText="1"/>
      <protection hidden="1"/>
    </xf>
    <xf numFmtId="0" fontId="4" applyFont="1" fillId="0" applyFill="1" borderId="0" applyBorder="1" xfId="0" applyProtection="1" applyAlignment="1">
      <protection hidden="1"/>
    </xf>
    <xf numFmtId="3" applyNumberFormat="1" fontId="0" fillId="0" applyFill="1" borderId="0" applyBorder="1" xfId="0" applyProtection="1">
      <protection hidden="1"/>
    </xf>
    <xf numFmtId="3" applyNumberFormat="1" fontId="0" fillId="0" borderId="30" applyBorder="1" xfId="0" applyProtection="1">
      <protection hidden="1"/>
    </xf>
    <xf numFmtId="3" applyNumberFormat="1" fontId="0" fillId="0" borderId="22" applyBorder="1" xfId="0" applyProtection="1">
      <protection hidden="1"/>
    </xf>
    <xf numFmtId="3" applyNumberFormat="1" fontId="0" fillId="0" borderId="11" applyBorder="1" xfId="0" applyProtection="1">
      <protection hidden="1"/>
    </xf>
    <xf numFmtId="3" applyNumberFormat="1" fontId="0" fillId="0" borderId="18" applyBorder="1" xfId="0" applyProtection="1">
      <protection hidden="1"/>
    </xf>
    <xf numFmtId="3" applyNumberFormat="1" fontId="20" applyFont="1" fillId="0" borderId="9" applyBorder="1" xfId="0" applyProtection="1">
      <protection hidden="1"/>
    </xf>
    <xf numFmtId="165" applyNumberFormat="1" fontId="4" applyFont="1" fillId="3" applyFill="1" borderId="0" applyBorder="1" xfId="0" applyProtection="1" applyAlignment="1">
      <alignment horizontal="center" wrapText="1"/>
      <protection hidden="1"/>
    </xf>
    <xf numFmtId="3" applyNumberFormat="1" fontId="0" fillId="0" borderId="0" applyBorder="1" xfId="0" applyProtection="1">
      <protection hidden="1"/>
    </xf>
    <xf numFmtId="3" applyNumberFormat="1" fontId="20" applyFont="1" fillId="0" borderId="0" applyBorder="1" xfId="0" applyProtection="1">
      <protection hidden="1"/>
    </xf>
    <xf numFmtId="0" fontId="0" fillId="0" borderId="15" applyBorder="1" xfId="0" applyProtection="1">
      <protection hidden="1"/>
    </xf>
    <xf numFmtId="0" fontId="33" applyFont="1" fillId="6" applyFill="1" borderId="49" applyBorder="1" xfId="0" applyProtection="1" applyAlignment="1">
      <alignment horizontal="center"/>
      <protection hidden="1"/>
    </xf>
    <xf numFmtId="0" fontId="33" applyFont="1" fillId="6" applyFill="1" borderId="25" applyBorder="1" xfId="0" applyProtection="1" applyAlignment="1">
      <alignment horizontal="center"/>
      <protection hidden="1"/>
    </xf>
    <xf numFmtId="0" fontId="33" applyFont="1" fillId="6" applyFill="1" borderId="26" applyBorder="1" xfId="0" applyProtection="1" applyAlignment="1">
      <alignment horizontal="center"/>
      <protection hidden="1"/>
    </xf>
    <xf numFmtId="0" fontId="0" fillId="0" borderId="0" applyBorder="1" xfId="0" applyProtection="1" applyAlignment="1">
      <alignment horizontal="center"/>
      <protection hidden="1"/>
    </xf>
    <xf numFmtId="0" fontId="22" applyFont="1" fillId="4" applyFill="1" borderId="27" applyBorder="1" xfId="0" applyProtection="1" applyAlignment="1">
      <alignment wrapText="1"/>
      <protection hidden="1"/>
    </xf>
    <xf numFmtId="3" applyNumberFormat="1" fontId="20" applyFont="1" fillId="0" borderId="50" applyBorder="1" xfId="0" applyProtection="1" applyAlignment="1">
      <alignment wrapText="1"/>
      <protection hidden="1"/>
    </xf>
    <xf numFmtId="10" applyNumberFormat="1" fontId="20" applyFont="1" fillId="7" applyFill="1" borderId="0" applyBorder="1" xfId="0" applyProtection="1" applyAlignment="1">
      <alignment wrapText="1"/>
      <protection hidden="1"/>
    </xf>
    <xf numFmtId="3" applyNumberFormat="1" fontId="20" applyFont="1" fillId="7" applyFill="1" borderId="21" applyBorder="1" xfId="0" applyProtection="1">
      <protection hidden="1"/>
    </xf>
    <xf numFmtId="3" applyNumberFormat="1" fontId="20" applyFont="1" fillId="7" applyFill="1" borderId="30" applyBorder="1" xfId="0" applyProtection="1">
      <protection hidden="1"/>
    </xf>
    <xf numFmtId="3" applyNumberFormat="1" fontId="20" applyFont="1" fillId="7" applyFill="1" borderId="22" applyBorder="1" xfId="0" applyProtection="1">
      <protection hidden="1"/>
    </xf>
    <xf numFmtId="0" fontId="22" applyFont="1" fillId="4" applyFill="1" borderId="31" applyBorder="1" xfId="0" applyProtection="1" applyAlignment="1">
      <alignment wrapText="1"/>
      <protection hidden="1"/>
    </xf>
    <xf numFmtId="3" applyNumberFormat="1" fontId="20" applyFont="1" fillId="7" applyFill="1" borderId="17" applyBorder="1" xfId="0" applyProtection="1">
      <protection hidden="1"/>
    </xf>
    <xf numFmtId="3" applyNumberFormat="1" fontId="20" applyFont="1" fillId="7" applyFill="1" borderId="11" applyBorder="1" xfId="0" applyProtection="1">
      <protection hidden="1"/>
    </xf>
    <xf numFmtId="3" applyNumberFormat="1" fontId="20" applyFont="1" fillId="7" applyFill="1" borderId="18" applyBorder="1" xfId="0" applyProtection="1">
      <protection hidden="1"/>
    </xf>
    <xf numFmtId="0" fontId="22" applyFont="1" fillId="4" applyFill="1" borderId="48" applyBorder="1" xfId="0" applyProtection="1" applyAlignment="1">
      <alignment wrapText="1"/>
      <protection hidden="1"/>
    </xf>
    <xf numFmtId="3" applyNumberFormat="1" fontId="20" applyFont="1" fillId="0" borderId="5" applyBorder="1" xfId="0" applyProtection="1" applyAlignment="1">
      <alignment wrapText="1"/>
      <protection hidden="1"/>
    </xf>
    <xf numFmtId="0" fontId="22" applyFont="1" fillId="4" applyFill="1" borderId="15" applyBorder="1" xfId="0" applyProtection="1" applyAlignment="1">
      <alignment wrapText="1"/>
      <protection hidden="1"/>
    </xf>
    <xf numFmtId="3" applyNumberFormat="1" fontId="20" applyFont="1" fillId="0" borderId="15" applyBorder="1" xfId="0" applyProtection="1" applyAlignment="1">
      <alignment wrapText="1"/>
      <protection hidden="1"/>
    </xf>
    <xf numFmtId="3" applyNumberFormat="1" fontId="20" applyFont="1" fillId="7" applyFill="1" borderId="20" applyBorder="1" xfId="0" applyProtection="1">
      <protection hidden="1"/>
    </xf>
    <xf numFmtId="3" applyNumberFormat="1" fontId="20" applyFont="1" fillId="7" applyFill="1" borderId="9" applyBorder="1" xfId="0" applyProtection="1">
      <protection hidden="1"/>
    </xf>
    <xf numFmtId="3" applyNumberFormat="1" fontId="20" applyFont="1" fillId="7" applyFill="1" borderId="10" applyBorder="1" xfId="0" applyProtection="1">
      <protection hidden="1"/>
    </xf>
    <xf numFmtId="0" fontId="1" applyFont="1" fillId="0" borderId="0" xfId="0" applyProtection="1">
      <protection hidden="1"/>
    </xf>
    <xf numFmtId="0" fontId="1" applyFont="1" fillId="0" borderId="0" applyBorder="1" xfId="0" applyProtection="1">
      <protection hidden="1"/>
    </xf>
    <xf numFmtId="0" fontId="22" applyFont="1" fillId="8" applyFill="1" borderId="0" applyBorder="1" xfId="0" applyProtection="1" applyAlignment="1">
      <alignment horizontal="center" wrapText="1"/>
      <protection hidden="1"/>
    </xf>
    <xf numFmtId="3" applyNumberFormat="1" fontId="20" applyFont="1" fillId="0" borderId="0" applyBorder="1" xfId="0" applyProtection="1" applyAlignment="1">
      <alignment wrapText="1"/>
      <protection locked="0" hidden="1"/>
    </xf>
    <xf numFmtId="0" fontId="0" fillId="0" borderId="0" xfId="0" applyProtection="1" applyAlignment="1">
      <protection hidden="1"/>
    </xf>
    <xf numFmtId="0" fontId="0" fillId="0" borderId="0" applyBorder="1" xfId="0" applyProtection="1" applyAlignment="1">
      <alignment vertical="top" wrapText="1"/>
      <protection hidden="1"/>
    </xf>
    <xf numFmtId="49" applyNumberFormat="1" fontId="0" fillId="0" borderId="0" applyBorder="1" xfId="0" applyProtection="1" applyAlignment="1">
      <alignment horizontal="center" vertical="top" wrapText="1"/>
      <protection hidden="1"/>
    </xf>
    <xf numFmtId="0" fontId="35" applyFont="1" fillId="0" applyFill="1" borderId="0" applyBorder="1" xfId="0" applyProtection="1" applyAlignment="1">
      <alignment wrapText="1"/>
      <protection hidden="1"/>
    </xf>
    <xf numFmtId="0" fontId="4" applyFont="1" fillId="4" applyFill="1" borderId="14" applyBorder="1" xfId="0" applyProtection="1" applyAlignment="1">
      <alignment wrapText="1"/>
      <protection hidden="1"/>
    </xf>
    <xf numFmtId="0" fontId="36" applyFont="1" fillId="0" borderId="0" applyBorder="1" xfId="0" applyProtection="1" applyAlignment="1">
      <alignment wrapText="1"/>
      <protection hidden="1"/>
    </xf>
    <xf numFmtId="0" fontId="21" applyFont="1" fillId="0" applyFill="1" borderId="0" applyBorder="1" xfId="0" applyProtection="1" applyAlignment="1">
      <alignment wrapText="1"/>
      <protection hidden="1"/>
    </xf>
    <xf numFmtId="0" fontId="36" applyFont="1" fillId="0" applyFill="1" borderId="0" applyBorder="1" xfId="0" applyProtection="1" applyAlignment="1">
      <alignment wrapText="1"/>
      <protection hidden="1"/>
    </xf>
    <xf numFmtId="0" fontId="0" fillId="0" borderId="0" applyBorder="1" xfId="0" applyProtection="1" applyAlignment="1">
      <alignment wrapText="1"/>
      <protection hidden="1"/>
    </xf>
    <xf numFmtId="0" fontId="37" applyFont="1" fillId="0" borderId="0" xfId="0" applyProtection="1">
      <protection hidden="1"/>
    </xf>
    <xf numFmtId="0" fontId="1" applyFont="1" fillId="8" applyFill="1" borderId="0" xfId="0" applyProtection="1">
      <protection hidden="1"/>
    </xf>
    <xf numFmtId="0" fontId="0" fillId="8" applyFill="1" borderId="0" xfId="0" applyProtection="1">
      <protection hidden="1"/>
    </xf>
    <xf numFmtId="0" fontId="0" fillId="8" applyFill="1" borderId="0" applyBorder="1" xfId="0" applyProtection="1">
      <protection hidden="1"/>
    </xf>
    <xf numFmtId="3" applyNumberFormat="1" fontId="20" applyFont="1" fillId="8" applyFill="1" borderId="0" applyBorder="1" xfId="0" applyProtection="1" applyAlignment="1">
      <alignment wrapText="1"/>
      <protection hidden="1"/>
    </xf>
    <xf numFmtId="3" applyNumberFormat="1" fontId="20" applyFont="1" fillId="0" borderId="11" applyBorder="1" xfId="0" applyProtection="1">
      <protection hidden="1"/>
    </xf>
    <xf numFmtId="0" fontId="22" applyFont="1" fillId="4" applyFill="1" borderId="0" applyBorder="1" xfId="0" applyProtection="1" applyAlignment="1">
      <alignment wrapText="1"/>
      <protection hidden="1"/>
    </xf>
    <xf numFmtId="0" fontId="20" applyFont="1" fillId="0" borderId="0" applyBorder="1" xfId="0" applyProtection="1" applyAlignment="1">
      <alignment wrapText="1"/>
      <protection hidden="1"/>
    </xf>
    <xf numFmtId="0" fontId="20" applyFont="1" fillId="0" borderId="0" applyBorder="1" xfId="0" applyProtection="1">
      <protection hidden="1"/>
    </xf>
    <xf numFmtId="0" fontId="20" applyFont="1" fillId="0" borderId="0" xfId="0" applyProtection="1">
      <protection hidden="1"/>
    </xf>
    <xf numFmtId="0" fontId="23" applyFont="1" fillId="0" borderId="0" applyBorder="1" xfId="0" applyProtection="1" applyAlignment="1">
      <alignment wrapText="1"/>
      <protection hidden="1"/>
    </xf>
    <xf numFmtId="3" applyNumberFormat="1" fontId="20" applyFont="1" fillId="0" borderId="48" applyBorder="1" xfId="0" applyProtection="1" applyAlignment="1">
      <alignment wrapText="1"/>
      <protection hidden="1"/>
    </xf>
    <xf numFmtId="0" fontId="20" applyFont="1" fillId="2" applyFill="1" borderId="3" applyBorder="1" xfId="0" applyProtection="1">
      <protection hidden="1"/>
    </xf>
    <xf numFmtId="0" fontId="20" applyFont="1" fillId="0" applyFill="1" borderId="0" applyBorder="1" xfId="0" applyProtection="1">
      <protection hidden="1"/>
    </xf>
    <xf numFmtId="0" fontId="20" applyFont="1" fillId="2" applyFill="1" borderId="5" applyBorder="1" xfId="0" applyProtection="1">
      <protection hidden="1"/>
    </xf>
    <xf numFmtId="0" fontId="20" applyFont="1" fillId="2" applyFill="1" borderId="8" applyBorder="1" xfId="0" applyProtection="1">
      <protection hidden="1"/>
    </xf>
    <xf numFmtId="0" fontId="20" applyFont="1" fillId="0" applyFill="1" borderId="0" xfId="0" applyProtection="1">
      <protection hidden="1"/>
    </xf>
    <xf numFmtId="0" fontId="4" applyFont="1" fillId="0" borderId="0" applyBorder="1" xfId="0" applyProtection="1" applyAlignment="1">
      <protection hidden="1"/>
    </xf>
    <xf numFmtId="0" fontId="0" fillId="0" applyFill="1" borderId="0" applyBorder="1" xfId="0" applyProtection="1" applyAlignment="1">
      <alignment horizontal="center"/>
      <protection hidden="1"/>
    </xf>
    <xf numFmtId="0" fontId="0" fillId="0" applyFill="1" borderId="11" applyBorder="1" xfId="0" applyProtection="1" applyAlignment="1">
      <protection hidden="1"/>
    </xf>
    <xf numFmtId="0" fontId="20" applyFont="1" fillId="0" applyFill="1" borderId="0" applyBorder="1" xfId="0" applyProtection="1" applyAlignment="1">
      <protection hidden="1"/>
    </xf>
    <xf numFmtId="0" fontId="29" applyFont="1" fillId="0" applyFill="1" borderId="0" applyBorder="1" xfId="0" applyProtection="1" applyAlignment="1">
      <alignment wrapText="1"/>
      <protection hidden="1"/>
    </xf>
    <xf numFmtId="165" applyNumberFormat="1" fontId="21" applyFont="1" fillId="0" applyFill="1" borderId="0" applyBorder="1" xfId="0" applyProtection="1" applyAlignment="1">
      <alignment horizontal="center" wrapText="1"/>
      <protection hidden="1"/>
    </xf>
    <xf numFmtId="0" fontId="4" applyFont="1" fillId="0" applyFill="1" borderId="0" applyBorder="1" xfId="0" applyProtection="1" applyAlignment="1">
      <alignment horizontal="center"/>
      <protection hidden="1"/>
    </xf>
    <xf numFmtId="0" fontId="21" applyFont="1" fillId="9" applyFill="1" borderId="14" applyBorder="1" xfId="0" applyProtection="1" applyAlignment="1">
      <alignment wrapText="1"/>
      <protection hidden="1"/>
    </xf>
    <xf numFmtId="3" applyNumberFormat="1" fontId="24" applyFont="1" fillId="0" borderId="17" applyBorder="1" xfId="0" applyProtection="1" applyAlignment="1">
      <alignment horizontal="right" wrapText="1"/>
      <protection hidden="1"/>
    </xf>
    <xf numFmtId="3" applyNumberFormat="1" fontId="24" applyFont="1" fillId="0" borderId="11" applyBorder="1" xfId="0" applyProtection="1" applyAlignment="1">
      <alignment horizontal="right" wrapText="1"/>
      <protection hidden="1"/>
    </xf>
    <xf numFmtId="3" applyNumberFormat="1" fontId="24" applyFont="1" fillId="0" borderId="18" applyBorder="1" xfId="0" applyProtection="1" applyAlignment="1">
      <alignment horizontal="right" wrapText="1"/>
      <protection hidden="1"/>
    </xf>
    <xf numFmtId="10" applyNumberFormat="1" fontId="24" applyFont="1" fillId="0" applyFill="1" borderId="0" applyBorder="1" xfId="0" applyProtection="1" applyAlignment="1">
      <alignment horizontal="right" wrapText="1"/>
      <protection hidden="1"/>
    </xf>
    <xf numFmtId="3" applyNumberFormat="1" fontId="24" applyFont="1" fillId="0" applyFill="1" borderId="0" applyBorder="1" xfId="0" applyProtection="1" applyAlignment="1">
      <alignment horizontal="right" wrapText="1"/>
      <protection hidden="1"/>
    </xf>
    <xf numFmtId="0" fontId="26" applyFont="1" fillId="0" applyFill="1" borderId="0" applyBorder="1" xfId="0" applyProtection="1" applyAlignment="1">
      <alignment wrapText="1"/>
      <protection hidden="1"/>
    </xf>
    <xf numFmtId="3" applyNumberFormat="1" fontId="24" applyFont="1" fillId="0" borderId="19" applyBorder="1" xfId="0" applyProtection="1" applyAlignment="1">
      <alignment horizontal="right" wrapText="1"/>
      <protection hidden="1"/>
    </xf>
    <xf numFmtId="3" applyNumberFormat="1" fontId="24" applyFont="1" fillId="0" borderId="24" applyBorder="1" xfId="0" applyProtection="1" applyAlignment="1">
      <alignment horizontal="right" wrapText="1"/>
      <protection hidden="1"/>
    </xf>
    <xf numFmtId="3" applyNumberFormat="1" fontId="24" applyFont="1" fillId="0" borderId="16" applyBorder="1" xfId="0" applyProtection="1" applyAlignment="1">
      <alignment horizontal="right" wrapText="1"/>
      <protection hidden="1"/>
    </xf>
    <xf numFmtId="0" fontId="4" applyFont="1" fillId="0" borderId="0" xfId="0" applyProtection="1">
      <protection hidden="1"/>
    </xf>
    <xf numFmtId="0" fontId="27" applyFont="1" fillId="0" borderId="5" applyBorder="1" xfId="0" applyProtection="1" applyAlignment="1">
      <alignment wrapText="1"/>
      <protection hidden="1"/>
    </xf>
    <xf numFmtId="0" fontId="0" fillId="0" borderId="0" applyBorder="1" xfId="0" applyProtection="1" applyAlignment="1">
      <protection hidden="1"/>
    </xf>
    <xf numFmtId="3" applyNumberFormat="1" fontId="20" applyFont="1" fillId="0" borderId="30" applyBorder="1" xfId="0" applyProtection="1">
      <protection hidden="1"/>
    </xf>
    <xf numFmtId="0" fontId="39" applyFont="1" fillId="0" borderId="0" xfId="0" applyProtection="1">
      <protection hidden="1"/>
    </xf>
    <xf numFmtId="0" fontId="4" applyFont="1" fillId="0" borderId="43" applyBorder="1" xfId="0" applyProtection="1" applyAlignment="1">
      <alignment horizontal="center"/>
      <protection hidden="1"/>
    </xf>
    <xf numFmtId="0" fontId="4" applyFont="1" fillId="0" borderId="25" applyBorder="1" xfId="0" applyProtection="1" applyAlignment="1">
      <alignment horizontal="center"/>
      <protection hidden="1"/>
    </xf>
    <xf numFmtId="0" fontId="4" applyFont="1" fillId="0" borderId="26" applyBorder="1" xfId="0" applyProtection="1" applyAlignment="1">
      <alignment horizontal="center"/>
      <protection hidden="1"/>
    </xf>
    <xf numFmtId="3" applyNumberFormat="1" fontId="0" fillId="0" borderId="19" applyBorder="1" xfId="0" applyProtection="1">
      <protection hidden="1"/>
    </xf>
    <xf numFmtId="3" applyNumberFormat="1" fontId="0" fillId="0" borderId="24" applyBorder="1" xfId="0" applyProtection="1">
      <protection hidden="1"/>
    </xf>
    <xf numFmtId="3" applyNumberFormat="1" fontId="20" applyFont="1" fillId="0" borderId="24" applyBorder="1" xfId="0" applyProtection="1">
      <protection hidden="1"/>
    </xf>
    <xf numFmtId="3" applyNumberFormat="1" fontId="0" fillId="0" borderId="16" applyBorder="1" xfId="0" applyProtection="1">
      <protection hidden="1"/>
    </xf>
    <xf numFmtId="3" applyNumberFormat="1" fontId="20" applyFont="1" fillId="0" borderId="39" applyBorder="1" xfId="0" applyProtection="1" applyAlignment="1">
      <alignment wrapText="1"/>
      <protection hidden="1"/>
    </xf>
    <xf numFmtId="3" applyNumberFormat="1" fontId="20" applyFont="1" fillId="0" borderId="51" applyBorder="1" xfId="0" applyProtection="1" applyAlignment="1">
      <alignment wrapText="1"/>
      <protection hidden="1"/>
    </xf>
    <xf numFmtId="3" applyNumberFormat="1" fontId="20" applyFont="1" fillId="0" borderId="52" applyBorder="1" xfId="0" applyProtection="1" applyAlignment="1">
      <alignment wrapText="1"/>
      <protection hidden="1"/>
    </xf>
    <xf numFmtId="0" fontId="4" applyFont="1" fillId="0" borderId="44" applyBorder="1" xfId="0" applyProtection="1" applyAlignment="1">
      <alignment horizontal="center"/>
      <protection hidden="1"/>
    </xf>
    <xf numFmtId="0" applyNumberFormat="1" fontId="4" applyFont="1" fillId="0" borderId="0" applyBorder="1" xfId="0" applyProtection="1" applyAlignment="1">
      <alignment horizontal="center"/>
      <protection hidden="1"/>
    </xf>
    <xf numFmtId="3" applyNumberFormat="1" fontId="4" applyFont="1" fillId="0" borderId="53" applyBorder="1" xfId="0" applyProtection="1" applyAlignment="1">
      <alignment horizontal="center"/>
      <protection hidden="1"/>
    </xf>
    <xf numFmtId="0" fontId="0" fillId="0" borderId="0" xfId="0" applyProtection="1" applyAlignment="1">
      <alignment horizontal="center"/>
      <protection hidden="1"/>
    </xf>
    <xf numFmtId="0" fontId="0" fillId="0" borderId="11" applyBorder="1" xfId="0" applyProtection="1" applyAlignment="1">
      <protection hidden="1"/>
    </xf>
    <xf numFmtId="49" applyNumberFormat="1" fontId="0" fillId="0" applyFill="1" borderId="0" applyBorder="1" xfId="0" applyProtection="1" applyAlignment="1">
      <alignment horizontal="center" vertical="top" wrapText="1"/>
      <protection hidden="1"/>
    </xf>
    <xf numFmtId="3" applyNumberFormat="1" fontId="24" applyFont="1" fillId="0" applyFill="1" borderId="17" applyBorder="1" xfId="0" applyProtection="1" applyAlignment="1">
      <alignment horizontal="right" wrapText="1"/>
      <protection hidden="1"/>
    </xf>
    <xf numFmtId="3" applyNumberFormat="1" fontId="24" applyFont="1" fillId="0" applyFill="1" borderId="11" applyBorder="1" xfId="0" applyProtection="1" applyAlignment="1">
      <alignment horizontal="right" wrapText="1"/>
      <protection hidden="1"/>
    </xf>
    <xf numFmtId="3" applyNumberFormat="1" fontId="24" applyFont="1" fillId="0" applyFill="1" borderId="18" applyBorder="1" xfId="0" applyProtection="1" applyAlignment="1">
      <alignment horizontal="right" wrapText="1"/>
      <protection hidden="1"/>
    </xf>
    <xf numFmtId="3" applyNumberFormat="1" fontId="24" applyFont="1" fillId="0" applyFill="1" borderId="19" applyBorder="1" xfId="0" applyProtection="1" applyAlignment="1">
      <alignment horizontal="right" wrapText="1"/>
      <protection hidden="1"/>
    </xf>
    <xf numFmtId="3" applyNumberFormat="1" fontId="24" applyFont="1" fillId="0" applyFill="1" borderId="24" applyBorder="1" xfId="0" applyProtection="1" applyAlignment="1">
      <alignment horizontal="right" wrapText="1"/>
      <protection hidden="1"/>
    </xf>
    <xf numFmtId="3" applyNumberFormat="1" fontId="24" applyFont="1" fillId="0" applyFill="1" borderId="16" applyBorder="1" xfId="0" applyProtection="1" applyAlignment="1">
      <alignment horizontal="right" wrapText="1"/>
      <protection hidden="1"/>
    </xf>
    <xf numFmtId="0" fontId="40" applyFont="1" fillId="0" applyFill="1" borderId="0" applyBorder="1" xfId="0" applyProtection="1" applyAlignment="1">
      <alignment wrapText="1"/>
      <protection hidden="1"/>
    </xf>
    <xf numFmtId="3" applyNumberFormat="1" fontId="40" applyFont="1" fillId="0" applyFill="1" borderId="0" applyBorder="1" xfId="0" applyProtection="1" applyAlignment="1">
      <alignment wrapText="1"/>
      <protection hidden="1"/>
    </xf>
    <xf numFmtId="0" fontId="41" applyFont="1" fillId="0" borderId="0" xfId="0" applyProtection="1">
      <protection hidden="1"/>
    </xf>
    <xf numFmtId="0" fontId="42" applyFont="1" fillId="0" applyFill="1" borderId="0" applyBorder="1" xfId="0" applyProtection="1" applyAlignment="1">
      <alignment wrapText="1"/>
      <protection hidden="1"/>
    </xf>
    <xf numFmtId="0" fontId="0" fillId="0" borderId="0" xfId="0" applyProtection="1" applyAlignment="1">
      <alignment horizontal="left" vertical="center"/>
      <protection hidden="1"/>
    </xf>
    <xf numFmtId="0" fontId="23" applyFont="1" fillId="10" applyFill="1" borderId="0" applyBorder="1" xfId="0" applyProtection="1" applyAlignment="1">
      <alignment wrapText="1"/>
      <protection hidden="1"/>
    </xf>
    <xf numFmtId="0" fontId="22" applyFont="1" fillId="4" applyFill="1" borderId="27" applyBorder="1" xfId="0" applyProtection="1" applyAlignment="1">
      <alignment horizontal="left" vertical="center" wrapText="1"/>
      <protection hidden="1"/>
    </xf>
    <xf numFmtId="0" fontId="22" applyFont="1" fillId="4" applyFill="1" borderId="31" applyBorder="1" xfId="0" applyProtection="1" applyAlignment="1">
      <alignment horizontal="left" vertical="center" wrapText="1"/>
      <protection hidden="1"/>
    </xf>
    <xf numFmtId="0" fontId="22" applyFont="1" fillId="4" applyFill="1" borderId="48" applyBorder="1" xfId="0" applyProtection="1" applyAlignment="1">
      <alignment horizontal="left" vertical="center" wrapText="1"/>
      <protection hidden="1"/>
    </xf>
    <xf numFmtId="0" fontId="37" applyFont="1" fillId="0" borderId="0" applyBorder="1" xfId="0" applyProtection="1">
      <protection hidden="1"/>
    </xf>
    <xf numFmtId="0" fontId="21" applyFont="1" fillId="11" applyFill="1" borderId="14" applyBorder="1" xfId="0" applyProtection="1" applyAlignment="1">
      <alignment wrapText="1"/>
      <protection hidden="1"/>
    </xf>
    <xf numFmtId="0" fontId="24" applyFont="1" fillId="0" applyFill="1" borderId="0" applyBorder="1" xfId="0" applyProtection="1" applyAlignment="1">
      <alignment wrapText="1"/>
      <protection hidden="1"/>
    </xf>
    <xf numFmtId="0" fontId="43" applyFont="1" fillId="0" applyFill="1" borderId="0" applyBorder="1" xfId="0" applyProtection="1" applyAlignment="1">
      <alignment wrapText="1"/>
      <protection hidden="1"/>
    </xf>
    <xf numFmtId="3" applyNumberFormat="1" fontId="40" applyFont="1" fillId="0" borderId="0" applyBorder="1" xfId="0" applyProtection="1" applyAlignment="1">
      <alignment wrapText="1"/>
      <protection hidden="1"/>
    </xf>
    <xf numFmtId="0" fontId="40" applyFont="1" fillId="0" borderId="0" applyBorder="1" xfId="0" applyProtection="1" applyAlignment="1">
      <alignment wrapText="1"/>
      <protection hidden="1"/>
    </xf>
    <xf numFmtId="0" fontId="45" applyFont="1" fillId="0" borderId="0" xfId="0" applyProtection="1" applyAlignment="1">
      <protection hidden="1"/>
    </xf>
    <xf numFmtId="0" fontId="0" fillId="0" borderId="17" applyBorder="1" xfId="0" applyProtection="1" applyAlignment="1">
      <protection hidden="1"/>
    </xf>
    <xf numFmtId="49" applyNumberFormat="1" fontId="0" fillId="0" borderId="0" applyBorder="1" xfId="0" applyProtection="1" applyAlignment="1">
      <alignment vertical="top" wrapText="1"/>
      <protection hidden="1"/>
    </xf>
    <xf numFmtId="0" fontId="46" applyFont="1" fillId="0" applyFill="1" borderId="0" applyBorder="1" xfId="0" applyProtection="1" applyAlignment="1">
      <alignment wrapText="1"/>
      <protection hidden="1"/>
    </xf>
    <xf numFmtId="3" applyNumberFormat="1" fontId="24" applyFont="1" fillId="0" borderId="17" applyBorder="1" xfId="0" applyProtection="1" applyAlignment="1">
      <alignment horizontal="right"/>
      <protection hidden="1"/>
    </xf>
    <xf numFmtId="3" applyNumberFormat="1" fontId="24" applyFont="1" fillId="0" borderId="11" applyBorder="1" xfId="0" applyProtection="1" applyAlignment="1">
      <alignment horizontal="right"/>
      <protection hidden="1"/>
    </xf>
    <xf numFmtId="3" applyNumberFormat="1" fontId="24" applyFont="1" fillId="0" borderId="18" applyBorder="1" xfId="0" applyProtection="1" applyAlignment="1">
      <alignment horizontal="right"/>
      <protection hidden="1"/>
    </xf>
    <xf numFmtId="3" applyNumberFormat="1" fontId="24" applyFont="1" fillId="0" borderId="19" applyBorder="1" xfId="0" applyProtection="1" applyAlignment="1">
      <alignment horizontal="right"/>
      <protection hidden="1"/>
    </xf>
    <xf numFmtId="3" applyNumberFormat="1" fontId="24" applyFont="1" fillId="0" borderId="24" applyBorder="1" xfId="0" applyProtection="1" applyAlignment="1">
      <alignment horizontal="right"/>
      <protection hidden="1"/>
    </xf>
    <xf numFmtId="3" applyNumberFormat="1" fontId="24" applyFont="1" fillId="0" borderId="16" applyBorder="1" xfId="0" applyProtection="1" applyAlignment="1">
      <alignment horizontal="right"/>
      <protection hidden="1"/>
    </xf>
    <xf numFmtId="0" fontId="45" applyFont="1" fillId="0" applyFill="1" borderId="0" applyBorder="1" xfId="0" applyProtection="1" applyAlignment="1">
      <protection hidden="1"/>
    </xf>
    <xf numFmtId="3" applyNumberFormat="1" fontId="20" applyFont="1" fillId="0" borderId="20" applyBorder="1" xfId="0" applyProtection="1" applyAlignment="1">
      <alignment vertical="center" wrapText="1"/>
      <protection hidden="1"/>
    </xf>
    <xf numFmtId="0" fontId="23" applyFont="1" fillId="11" applyFill="1" borderId="0" applyBorder="1" xfId="0" applyProtection="1" applyAlignment="1">
      <alignment wrapText="1"/>
      <protection hidden="1"/>
    </xf>
    <xf numFmtId="3" applyNumberFormat="1" fontId="20" applyFont="1" fillId="0" borderId="9" applyBorder="1" xfId="0" applyProtection="1" applyAlignment="1">
      <alignment vertical="center" wrapText="1"/>
      <protection hidden="1"/>
    </xf>
    <xf numFmtId="3" applyNumberFormat="1" fontId="20" applyFont="1" fillId="0" borderId="10" applyBorder="1" xfId="0" applyProtection="1" applyAlignment="1">
      <alignment vertical="center" wrapText="1"/>
      <protection hidden="1"/>
    </xf>
    <xf numFmtId="0" fontId="22" applyFont="1" fillId="4" applyFill="1" borderId="21" applyBorder="1" xfId="0" applyProtection="1" applyAlignment="1">
      <alignment horizontal="left" vertical="center" wrapText="1"/>
      <protection hidden="1"/>
    </xf>
    <xf numFmtId="0" fontId="22" applyFont="1" fillId="4" applyFill="1" borderId="17" applyBorder="1" xfId="0" applyProtection="1" applyAlignment="1">
      <alignment horizontal="left" vertical="center" wrapText="1"/>
      <protection hidden="1"/>
    </xf>
    <xf numFmtId="0" fontId="22" applyFont="1" fillId="4" applyFill="1" borderId="19" applyBorder="1" xfId="0" applyProtection="1" applyAlignment="1">
      <alignment horizontal="left" vertical="center" wrapText="1"/>
      <protection hidden="1"/>
    </xf>
    <xf numFmtId="0" fontId="48" applyFont="1" fillId="0" applyFill="1" borderId="17" applyBorder="1" xfId="0" applyProtection="1" applyAlignment="1">
      <alignment wrapText="1"/>
      <protection hidden="1"/>
    </xf>
    <xf numFmtId="0" fontId="48" applyFont="1" fillId="0" applyFill="1" borderId="11" applyBorder="1" xfId="0" applyProtection="1" applyAlignment="1">
      <alignment wrapText="1"/>
      <protection hidden="1"/>
    </xf>
    <xf numFmtId="0" fontId="37" applyFont="1" fillId="0" applyFill="1" borderId="0" applyBorder="1" xfId="0" applyProtection="1">
      <protection hidden="1"/>
    </xf>
    <xf numFmtId="0" fontId="4" applyFont="1" fillId="9" applyFill="1" borderId="14" applyBorder="1" xfId="0" applyProtection="1" applyAlignment="1">
      <alignment wrapText="1"/>
      <protection hidden="1"/>
    </xf>
    <xf numFmtId="3" applyNumberFormat="1" fontId="49" applyFont="1" fillId="0" applyFill="1" borderId="0" applyBorder="1" xfId="0" applyProtection="1" applyAlignment="1">
      <alignment wrapText="1"/>
      <protection hidden="1"/>
    </xf>
    <xf numFmtId="0" fontId="49" applyFont="1" fillId="0" applyFill="1" borderId="0" applyBorder="1" xfId="0" applyProtection="1" applyAlignment="1">
      <alignment wrapText="1"/>
      <protection hidden="1"/>
    </xf>
    <xf numFmtId="0" fontId="22" applyFont="1" fillId="4" applyFill="1" borderId="0" applyBorder="1" xfId="0" applyProtection="1" applyAlignment="1">
      <alignment horizontal="left" vertical="center" wrapText="1"/>
      <protection hidden="1"/>
    </xf>
    <xf numFmtId="0" fontId="50" applyFont="1" fillId="0" applyFill="1" borderId="0" applyBorder="1" xfId="0" applyProtection="1" applyAlignment="1">
      <protection hidden="1"/>
    </xf>
    <xf numFmtId="0" fontId="23" applyFont="1" fillId="9" applyFill="1" borderId="0" applyBorder="1" xfId="0" applyProtection="1" applyAlignment="1">
      <alignment wrapText="1"/>
      <protection hidden="1"/>
    </xf>
    <xf numFmtId="3" applyNumberFormat="1" fontId="0" fillId="0" borderId="31" applyBorder="1" xfId="0" applyProtection="1">
      <protection hidden="1"/>
    </xf>
    <xf numFmtId="3" applyNumberFormat="1" fontId="0" fillId="0" borderId="48" applyBorder="1" xfId="0" applyProtection="1">
      <protection hidden="1"/>
    </xf>
    <xf numFmtId="0" fontId="51" applyFont="1" fillId="0" borderId="11" applyBorder="1" xfId="0" applyProtection="1">
      <protection hidden="1"/>
    </xf>
    <xf numFmtId="165" applyNumberFormat="1" fontId="52" applyFont="1" fillId="3" applyFill="1" borderId="17" applyBorder="1" xfId="0" applyProtection="1" applyAlignment="1">
      <alignment horizontal="center" wrapText="1"/>
      <protection hidden="1"/>
    </xf>
    <xf numFmtId="165" applyNumberFormat="1" fontId="52" applyFont="1" fillId="3" applyFill="1" borderId="11" applyBorder="1" xfId="0" applyProtection="1" applyAlignment="1">
      <alignment horizontal="center" wrapText="1"/>
      <protection hidden="1"/>
    </xf>
    <xf numFmtId="165" applyNumberFormat="1" fontId="52" applyFont="1" fillId="3" applyFill="1" borderId="18" applyBorder="1" xfId="0" applyProtection="1" applyAlignment="1">
      <alignment horizontal="center" wrapText="1"/>
      <protection hidden="1"/>
    </xf>
    <xf numFmtId="0" fontId="52" applyFont="1" fillId="12" applyFill="1" borderId="14" applyBorder="1" xfId="0" applyProtection="1" applyAlignment="1">
      <alignment wrapText="1"/>
      <protection hidden="1"/>
    </xf>
    <xf numFmtId="3" applyNumberFormat="1" fontId="37" applyFont="1" fillId="0" borderId="19" applyBorder="1" xfId="0" applyProtection="1" applyAlignment="1">
      <alignment horizontal="right" wrapText="1"/>
      <protection hidden="1"/>
    </xf>
    <xf numFmtId="3" applyNumberFormat="1" fontId="37" applyFont="1" fillId="0" borderId="24" applyBorder="1" xfId="0" applyProtection="1" applyAlignment="1">
      <alignment horizontal="right" wrapText="1"/>
      <protection hidden="1"/>
    </xf>
    <xf numFmtId="3" applyNumberFormat="1" fontId="37" applyFont="1" fillId="0" borderId="16" applyBorder="1" xfId="0" applyProtection="1" applyAlignment="1">
      <alignment horizontal="right" wrapText="1"/>
      <protection hidden="1"/>
    </xf>
    <xf numFmtId="0" fontId="0" fillId="0" borderId="0" xfId="0" applyProtection="1" applyAlignment="1">
      <alignment wrapText="1"/>
      <protection hidden="1"/>
    </xf>
    <xf numFmtId="0" fontId="21" applyFont="1" fillId="12" applyFill="1" borderId="14" applyBorder="1" xfId="0" applyProtection="1" applyAlignment="1">
      <alignment wrapText="1"/>
      <protection hidden="1"/>
    </xf>
    <xf numFmtId="0" fontId="23" applyFont="1" fillId="12" applyFill="1" borderId="0" applyBorder="1" xfId="0" applyProtection="1" applyAlignment="1">
      <alignment wrapText="1"/>
      <protection hidden="1"/>
    </xf>
    <xf numFmtId="0" fontId="21" applyFont="1" fillId="0" applyFill="1" borderId="0" applyBorder="1" xfId="0" applyProtection="1" applyAlignment="1">
      <alignment horizontal="center"/>
      <protection hidden="1"/>
    </xf>
    <xf numFmtId="0" fontId="24" applyFont="1" fillId="0" borderId="0" xfId="0" applyProtection="1">
      <protection hidden="1"/>
    </xf>
    <xf numFmtId="0" fontId="21" applyFont="1" fillId="2" applyFill="1" borderId="14" applyBorder="1" xfId="0" applyProtection="1" applyAlignment="1">
      <alignment horizontal="left" vertical="center" wrapText="1"/>
      <protection hidden="1"/>
    </xf>
    <xf numFmtId="3" applyNumberFormat="1" fontId="49" applyFont="1" fillId="0" borderId="0" applyBorder="1" xfId="0" applyProtection="1" applyAlignment="1">
      <alignment wrapText="1"/>
      <protection hidden="1"/>
    </xf>
    <xf numFmtId="0" fontId="51" applyFont="1" fillId="0" borderId="0" xfId="0" applyProtection="1">
      <protection hidden="1"/>
    </xf>
    <xf numFmtId="0" fontId="38" applyFont="1" fillId="0" applyFill="1" borderId="0" applyBorder="1" xfId="0" applyProtection="1" applyAlignment="1">
      <protection hidden="1"/>
    </xf>
    <xf numFmtId="165" applyNumberFormat="1" fontId="4" applyFont="1" fillId="3" applyFill="1" borderId="17" applyBorder="1" xfId="0" applyProtection="1" applyAlignment="1">
      <alignment horizontal="center" wrapText="1"/>
      <protection hidden="1"/>
    </xf>
    <xf numFmtId="165" applyNumberFormat="1" fontId="4" applyFont="1" fillId="3" applyFill="1" borderId="11" applyBorder="1" xfId="0" applyProtection="1" applyAlignment="1">
      <alignment horizontal="center" wrapText="1"/>
      <protection hidden="1"/>
    </xf>
    <xf numFmtId="165" applyNumberFormat="1" fontId="4" applyFont="1" fillId="3" applyFill="1" borderId="18" applyBorder="1" xfId="0" applyProtection="1" applyAlignment="1">
      <alignment horizontal="center" wrapText="1"/>
      <protection hidden="1"/>
    </xf>
    <xf numFmtId="0" fontId="21" applyFont="1" fillId="13" applyFill="1" borderId="14" applyBorder="1" xfId="0" applyProtection="1" applyAlignment="1">
      <alignment wrapText="1"/>
      <protection hidden="1"/>
    </xf>
    <xf numFmtId="0" fontId="0" fillId="0" borderId="0" applyBorder="1" xfId="0" applyProtection="1" applyAlignment="1">
      <alignment horizontal="center" vertical="top" wrapText="1"/>
      <protection hidden="1"/>
    </xf>
    <xf numFmtId="3" applyNumberFormat="1" fontId="20" applyFont="1" fillId="0" applyFill="1" borderId="0" applyBorder="1" xfId="0" applyProtection="1" applyAlignment="1">
      <alignment horizontal="right"/>
      <protection hidden="1"/>
    </xf>
    <xf numFmtId="0" fontId="23" applyFont="1" fillId="2" applyFill="1" borderId="0" applyBorder="1" xfId="0" applyProtection="1" applyAlignment="1">
      <alignment wrapText="1"/>
      <protection hidden="1"/>
    </xf>
    <xf numFmtId="165" applyNumberFormat="1" fontId="4" applyFont="1" fillId="3" applyFill="1" borderId="10" applyBorder="1" xfId="0" applyProtection="1" applyAlignment="1">
      <alignment horizontal="center" wrapText="1"/>
      <protection hidden="1"/>
    </xf>
    <xf numFmtId="0" fontId="4" applyFont="1" fillId="0" applyFill="1" borderId="54" applyBorder="1" xfId="0" applyProtection="1" applyAlignment="1">
      <alignment horizontal="center" vertical="center" wrapText="1"/>
      <protection hidden="1"/>
    </xf>
    <xf numFmtId="0" fontId="4" applyFont="1" fillId="0" applyFill="1" borderId="44" applyBorder="1" xfId="0" applyProtection="1" applyAlignment="1">
      <alignment horizontal="center" vertical="center" wrapText="1"/>
      <protection hidden="1"/>
    </xf>
    <xf numFmtId="0" fontId="23" applyFont="1" fillId="0" applyFill="1" borderId="0" applyBorder="1" xfId="0" applyProtection="1" applyAlignment="1">
      <alignment wrapText="1"/>
      <protection hidden="1"/>
    </xf>
    <xf numFmtId="0" fontId="22" applyFont="1" fillId="4" applyFill="1" borderId="32" applyBorder="1" xfId="0" applyProtection="1" applyAlignment="1">
      <alignment horizontal="left" vertical="center" wrapText="1"/>
      <protection hidden="1"/>
    </xf>
    <xf numFmtId="0" fontId="22" applyFont="1" fillId="4" applyFill="1" borderId="15" applyBorder="1" xfId="0" applyProtection="1" applyAlignment="1">
      <alignment horizontal="left" vertical="center" wrapText="1"/>
      <protection hidden="1"/>
    </xf>
    <xf numFmtId="0" fontId="45" applyFont="1" fillId="0" borderId="0" applyBorder="1" xfId="0" applyProtection="1" applyAlignment="1">
      <protection hidden="1"/>
    </xf>
    <xf numFmtId="165" applyNumberFormat="1" fontId="4" applyFont="1" fillId="3" applyFill="1" borderId="20" applyBorder="1" xfId="0" applyProtection="1" applyAlignment="1">
      <alignment horizontal="center" vertical="center" wrapText="1"/>
      <protection hidden="1"/>
    </xf>
    <xf numFmtId="165" applyNumberFormat="1" fontId="4" applyFont="1" fillId="3" applyFill="1" borderId="15" applyBorder="1" xfId="0" applyProtection="1" applyAlignment="1">
      <alignment horizontal="center" vertical="center" wrapText="1"/>
      <protection hidden="1"/>
    </xf>
    <xf numFmtId="0" fontId="22" applyFont="1" fillId="4" applyFill="1" borderId="55" applyBorder="1" xfId="0" applyProtection="1" applyAlignment="1">
      <alignment horizontal="left" vertical="center" wrapText="1"/>
      <protection hidden="1"/>
    </xf>
    <xf numFmtId="3" applyNumberFormat="1" fontId="20" applyFont="1" fillId="12" applyFill="1" borderId="29" applyBorder="1" xfId="0" applyProtection="1">
      <protection hidden="1"/>
    </xf>
    <xf numFmtId="3" applyNumberFormat="1" fontId="20" applyFont="1" fillId="12" applyFill="1" borderId="18" applyBorder="1" xfId="0" applyProtection="1">
      <protection hidden="1"/>
    </xf>
    <xf numFmtId="3" applyNumberFormat="1" fontId="20" applyFont="1" fillId="0" borderId="20" applyBorder="1" xfId="0" applyProtection="1">
      <protection hidden="1"/>
    </xf>
    <xf numFmtId="3" applyNumberFormat="1" fontId="20" applyFont="1" fillId="12" applyFill="1" borderId="10" applyBorder="1" xfId="0" applyProtection="1">
      <protection hidden="1"/>
    </xf>
    <xf numFmtId="0" fontId="0" fillId="0" applyFill="1" borderId="11" applyBorder="1" xfId="0" applyProtection="1">
      <protection hidden="1"/>
    </xf>
    <xf numFmtId="0" fontId="21" applyFont="1" fillId="14" applyFill="1" borderId="14" applyBorder="1" xfId="0" applyProtection="1" applyAlignment="1">
      <alignment wrapText="1"/>
      <protection hidden="1"/>
    </xf>
    <xf numFmtId="0" fontId="54" applyFont="1" fillId="0" applyFill="1" borderId="0" applyBorder="1" xfId="0" applyProtection="1" applyAlignment="1">
      <alignment wrapText="1"/>
      <protection hidden="1"/>
    </xf>
    <xf numFmtId="0" fontId="40" applyFont="1" fillId="15" applyFill="1" borderId="0" applyBorder="1" xfId="0" applyProtection="1" applyAlignment="1">
      <alignment wrapText="1"/>
      <protection hidden="1"/>
    </xf>
    <xf numFmtId="3" applyNumberFormat="1" fontId="40" applyFont="1" fillId="15" applyFill="1" borderId="0" applyBorder="1" xfId="0" applyProtection="1" applyAlignment="1">
      <alignment wrapText="1"/>
      <protection hidden="1"/>
    </xf>
    <xf numFmtId="0" fontId="2" applyFont="1" fillId="0" borderId="0" applyBorder="1" xfId="0" applyProtection="1" applyAlignment="1">
      <alignment vertical="top" wrapText="1"/>
      <protection hidden="1"/>
    </xf>
    <xf numFmtId="3" applyNumberFormat="1" fontId="24" applyFont="1" fillId="0" borderId="0" applyBorder="1" xfId="0" applyProtection="1" applyAlignment="1">
      <alignment horizontal="right"/>
      <protection hidden="1"/>
    </xf>
    <xf numFmtId="0" fontId="21" applyFont="1" fillId="16" applyFill="1" borderId="14" applyBorder="1" xfId="0" applyProtection="1" applyAlignment="1">
      <alignment wrapText="1"/>
      <protection hidden="1"/>
    </xf>
    <xf numFmtId="0" fontId="54" applyFont="1" fillId="0" applyFill="1" borderId="0" applyBorder="1" xfId="0" applyProtection="1" applyAlignment="1">
      <alignment horizontal="center" vertical="distributed"/>
      <protection hidden="1"/>
    </xf>
    <xf numFmtId="3" applyNumberFormat="1" fontId="20" applyFont="1" fillId="0" borderId="0" applyBorder="1" xfId="0" applyProtection="1" applyAlignment="1">
      <alignment horizontal="right"/>
      <protection hidden="1"/>
    </xf>
    <xf numFmtId="0" fontId="0" fillId="0" applyFill="1" borderId="18" applyBorder="1" xfId="0" applyProtection="1">
      <protection hidden="1"/>
    </xf>
    <xf numFmtId="3" applyNumberFormat="1" fontId="0" fillId="0" applyFill="1" borderId="11" applyBorder="1" xfId="0" applyProtection="1" applyAlignment="1">
      <alignment horizontal="right"/>
      <protection hidden="1"/>
    </xf>
    <xf numFmtId="0" fontId="21" applyFont="1" fillId="4" applyFill="1" borderId="17" applyBorder="1" xfId="0" applyProtection="1" applyAlignment="1">
      <alignment horizontal="left" vertical="center" wrapText="1"/>
      <protection hidden="1"/>
    </xf>
    <xf numFmtId="0" fontId="4" applyFont="1" fillId="0" borderId="17" applyBorder="1" xfId="0" applyProtection="1" applyAlignment="1">
      <alignment horizontal="left" vertical="center"/>
      <protection hidden="1"/>
    </xf>
    <xf numFmtId="3" applyNumberFormat="1" fontId="0" fillId="0" applyFill="1" borderId="18" applyBorder="1" xfId="0" applyProtection="1" applyAlignment="1">
      <alignment horizontal="right"/>
      <protection hidden="1"/>
    </xf>
    <xf numFmtId="0" fontId="4" applyFont="1" fillId="0" borderId="19" applyBorder="1" xfId="0" applyProtection="1" applyAlignment="1">
      <alignment horizontal="left" vertical="center"/>
      <protection hidden="1"/>
    </xf>
    <xf numFmtId="3" applyNumberFormat="1" fontId="0" fillId="0" applyFill="1" borderId="24" applyBorder="1" xfId="0" applyProtection="1" applyAlignment="1">
      <alignment horizontal="right"/>
      <protection hidden="1"/>
    </xf>
    <xf numFmtId="3" applyNumberFormat="1" fontId="0" fillId="0" applyFill="1" borderId="16" applyBorder="1" xfId="0" applyProtection="1" applyAlignment="1">
      <alignment horizontal="right"/>
      <protection hidden="1"/>
    </xf>
    <xf numFmtId="0" fontId="0" fillId="0" borderId="56" applyBorder="1" xfId="0" applyProtection="1">
      <protection hidden="1"/>
    </xf>
    <xf numFmtId="165" applyNumberFormat="1" fontId="21" applyFont="1" fillId="3" applyFill="1" borderId="56" applyBorder="1" xfId="0" applyProtection="1" applyAlignment="1">
      <alignment horizontal="center" wrapText="1"/>
      <protection hidden="1"/>
    </xf>
    <xf numFmtId="3" applyNumberFormat="1" fontId="0" fillId="0" applyFill="1" borderId="56" applyBorder="1" xfId="0" applyProtection="1" applyAlignment="1">
      <alignment horizontal="right"/>
      <protection hidden="1"/>
    </xf>
    <xf numFmtId="3" applyNumberFormat="1" fontId="0" fillId="0" applyFill="1" borderId="57" applyBorder="1" xfId="0" applyProtection="1" applyAlignment="1">
      <alignment horizontal="right"/>
      <protection hidden="1"/>
    </xf>
    <xf numFmtId="0" fontId="21" applyFont="1" fillId="4" applyFill="1" borderId="17" applyBorder="1" xfId="0" applyProtection="1" applyAlignment="1">
      <alignment vertical="center" wrapText="1"/>
      <protection hidden="1"/>
    </xf>
    <xf numFmtId="0" fontId="4" applyFont="1" fillId="0" borderId="17" applyBorder="1" xfId="0" applyProtection="1" applyAlignment="1">
      <alignment vertical="center"/>
      <protection hidden="1"/>
    </xf>
    <xf numFmtId="0" fontId="4" applyFont="1" fillId="0" borderId="19" applyBorder="1" xfId="0" applyProtection="1" applyAlignment="1">
      <alignment vertical="center"/>
      <protection hidden="1"/>
    </xf>
    <xf numFmtId="0" fontId="2" applyFont="1" fillId="0" borderId="0" xfId="0" applyProtection="1">
      <protection hidden="1"/>
    </xf>
    <xf numFmtId="0" fontId="0" fillId="0" borderId="58" applyBorder="1" xfId="0" applyProtection="1">
      <protection hidden="1"/>
    </xf>
    <xf numFmtId="0" fontId="0" fillId="0" borderId="59" applyBorder="1" xfId="0" applyProtection="1">
      <protection hidden="1"/>
    </xf>
    <xf numFmtId="0" fontId="2" applyFont="1" fillId="0" borderId="59" applyBorder="1" xfId="0" applyProtection="1">
      <protection hidden="1"/>
    </xf>
    <xf numFmtId="49" applyNumberFormat="1" fontId="2" applyFont="1" fillId="0" borderId="59" applyBorder="1" xfId="0" applyProtection="1">
      <protection hidden="1"/>
    </xf>
    <xf numFmtId="0" fontId="0" fillId="0" borderId="60" applyBorder="1" xfId="0" applyProtection="1">
      <protection hidden="1"/>
    </xf>
    <xf numFmtId="0" fontId="0" fillId="0" borderId="61" applyBorder="1" xfId="0" applyProtection="1">
      <protection hidden="1"/>
    </xf>
    <xf numFmtId="0" fontId="2" applyFont="1" fillId="2" applyFill="1" borderId="2" applyBorder="1" xfId="0" applyProtection="1">
      <protection hidden="1"/>
    </xf>
    <xf numFmtId="49" applyNumberFormat="1" fontId="2" applyFont="1" fillId="2" applyFill="1" borderId="2" applyBorder="1" xfId="0" applyProtection="1">
      <protection hidden="1"/>
    </xf>
    <xf numFmtId="0" fontId="2" applyFont="1" fillId="2" applyFill="1" borderId="3" applyBorder="1" xfId="0" applyProtection="1">
      <protection hidden="1"/>
    </xf>
    <xf numFmtId="0" fontId="2" applyFont="1" fillId="0" borderId="0" applyBorder="1" xfId="0" applyProtection="1">
      <protection hidden="1"/>
    </xf>
    <xf numFmtId="0" fontId="2" applyFont="1" fillId="2" applyFill="1" borderId="1" applyBorder="1" xfId="0" applyProtection="1">
      <protection hidden="1"/>
    </xf>
    <xf numFmtId="0" fontId="0" fillId="0" borderId="62" applyBorder="1" xfId="0" applyProtection="1">
      <protection hidden="1"/>
    </xf>
    <xf numFmtId="0" fontId="56" applyFont="1" fillId="2" applyFill="1" borderId="0" applyBorder="1" xfId="0" applyProtection="1">
      <protection hidden="1"/>
    </xf>
    <xf numFmtId="0" fontId="2" applyFont="1" fillId="2" applyFill="1" borderId="0" applyBorder="1" xfId="0" applyProtection="1">
      <protection hidden="1"/>
    </xf>
    <xf numFmtId="0" fontId="2" applyFont="1" fillId="2" applyFill="1" borderId="5" applyBorder="1" xfId="0" applyProtection="1">
      <protection hidden="1"/>
    </xf>
    <xf numFmtId="0" fontId="2" applyFont="1" fillId="2" applyFill="1" borderId="4" applyBorder="1" xfId="0" applyProtection="1">
      <protection hidden="1"/>
    </xf>
    <xf numFmtId="49" applyNumberFormat="1" fontId="2" applyFont="1" fillId="12" applyFill="1" borderId="4" applyBorder="1" xfId="0" applyProtection="1">
      <protection hidden="1"/>
    </xf>
    <xf numFmtId="3" applyNumberFormat="1" fontId="59" applyFont="1" fillId="12" applyFill="1" borderId="0" applyBorder="1" xfId="0" applyProtection="1">
      <protection hidden="1"/>
    </xf>
    <xf numFmtId="0" fontId="2" applyFont="1" fillId="12" applyFill="1" borderId="5" applyBorder="1" xfId="0" applyProtection="1">
      <protection hidden="1"/>
    </xf>
    <xf numFmtId="3" applyNumberFormat="1" fontId="2" applyFont="1" fillId="12" applyFill="1" borderId="11" applyBorder="1" xfId="0" applyProtection="1">
      <protection hidden="1"/>
    </xf>
    <xf numFmtId="0" fontId="2" applyFont="1" fillId="12" applyFill="1" borderId="18" applyBorder="1" xfId="0" applyProtection="1" applyAlignment="1">
      <alignment horizontal="left"/>
      <protection hidden="1"/>
    </xf>
    <xf numFmtId="3" applyNumberFormat="1" fontId="2" applyFont="1" fillId="12" applyFill="1" borderId="24" applyBorder="1" xfId="0" applyProtection="1">
      <protection hidden="1"/>
    </xf>
    <xf numFmtId="0" fontId="58" applyFont="1" fillId="12" applyFill="1" borderId="16" applyBorder="1" xfId="0" applyProtection="1" applyAlignment="1">
      <alignment horizontal="left"/>
      <protection hidden="1"/>
    </xf>
    <xf numFmtId="0" fontId="2" applyFont="1" fillId="2" applyFill="1" borderId="7" applyBorder="1" xfId="0" applyProtection="1">
      <protection hidden="1"/>
    </xf>
    <xf numFmtId="49" applyNumberFormat="1" fontId="2" applyFont="1" fillId="2" applyFill="1" borderId="7" applyBorder="1" xfId="0" applyProtection="1">
      <protection hidden="1"/>
    </xf>
    <xf numFmtId="0" fontId="2" applyFont="1" fillId="2" applyFill="1" borderId="8" applyBorder="1" xfId="0" applyProtection="1">
      <protection hidden="1"/>
    </xf>
    <xf numFmtId="0" fontId="2" applyFont="1" fillId="2" applyFill="1" borderId="6" applyBorder="1" xfId="0" applyProtection="1">
      <protection hidden="1"/>
    </xf>
    <xf numFmtId="49" applyNumberFormat="1" fontId="2" applyFont="1" fillId="0" borderId="0" applyBorder="1" xfId="0" applyProtection="1">
      <protection hidden="1"/>
    </xf>
    <xf numFmtId="0" fontId="26" applyFont="1" fillId="12" applyFill="1" borderId="18" applyBorder="1" xfId="0" applyProtection="1" applyAlignment="1">
      <alignment horizontal="left"/>
      <protection hidden="1"/>
    </xf>
    <xf numFmtId="0" fontId="0" fillId="0" borderId="63" applyBorder="1" xfId="0" applyProtection="1">
      <protection hidden="1"/>
    </xf>
    <xf numFmtId="0" fontId="0" fillId="0" borderId="64" applyBorder="1" xfId="0" applyProtection="1">
      <protection hidden="1"/>
    </xf>
    <xf numFmtId="0" fontId="2" applyFont="1" fillId="0" borderId="64" applyBorder="1" xfId="0" applyProtection="1">
      <protection hidden="1"/>
    </xf>
    <xf numFmtId="49" applyNumberFormat="1" fontId="2" applyFont="1" fillId="0" borderId="64" applyBorder="1" xfId="0" applyProtection="1">
      <protection hidden="1"/>
    </xf>
    <xf numFmtId="0" fontId="0" fillId="0" borderId="65" applyBorder="1" xfId="0" applyProtection="1">
      <protection hidden="1"/>
    </xf>
    <xf numFmtId="49" applyNumberFormat="1" fontId="2" applyFont="1" fillId="0" borderId="0" xfId="0" applyProtection="1">
      <protection hidden="1"/>
    </xf>
    <xf numFmtId="0" fontId="7" applyFont="1" fillId="0" borderId="0" xfId="0" applyProtection="1">
      <protection hidden="1"/>
    </xf>
    <xf numFmtId="0" fontId="8" applyFont="1" fillId="0" borderId="0" xfId="0" applyProtection="1">
      <protection hidden="1"/>
    </xf>
    <xf numFmtId="0" fontId="8" applyFont="1" fillId="0" applyFill="1" borderId="0" xfId="0" applyProtection="1">
      <protection hidden="1"/>
    </xf>
    <xf numFmtId="0" fontId="0" fillId="0" borderId="0" xfId="0" applyProtection="1" applyAlignment="1">
      <alignment horizontal="justify" vertical="center" wrapText="1"/>
      <protection hidden="1"/>
    </xf>
    <xf numFmtId="0" fontId="10" applyFont="1" fillId="0" borderId="0" xfId="0" applyProtection="1">
      <protection hidden="1"/>
    </xf>
    <xf numFmtId="0" fontId="11" applyFont="1" fillId="0" borderId="0" xfId="0" applyProtection="1">
      <protection hidden="1"/>
    </xf>
    <xf numFmtId="0" applyNumberFormat="1" fontId="10" applyFont="1" fillId="0" borderId="0" xfId="0" applyProtection="1">
      <protection hidden="1"/>
    </xf>
    <xf numFmtId="0" fontId="12" applyFont="1" fillId="0" borderId="0" xfId="0" applyProtection="1">
      <protection hidden="1"/>
    </xf>
    <xf numFmtId="0" applyNumberFormat="1" fontId="8" applyFont="1" fillId="0" borderId="0" xfId="0" applyProtection="1" applyAlignment="1">
      <alignment horizontal="justify" vertical="center" wrapText="1"/>
      <protection hidden="1"/>
    </xf>
    <xf numFmtId="0" fontId="8" applyFont="1" fillId="0" borderId="0" xfId="0" applyProtection="1" applyAlignment="1">
      <protection hidden="1"/>
    </xf>
    <xf numFmtId="0" fontId="1" applyFont="1" fillId="0" borderId="0" xfId="0" applyProtection="1" applyAlignment="1">
      <protection hidden="1"/>
    </xf>
    <xf numFmtId="0" fontId="13" applyFont="1" fillId="0" borderId="0" xfId="0" applyProtection="1" applyAlignment="1">
      <protection hidden="1"/>
    </xf>
    <xf numFmtId="0" applyNumberFormat="1" fontId="8" applyFont="1" fillId="0" borderId="0" xfId="0" applyProtection="1" applyAlignment="1">
      <protection hidden="1"/>
    </xf>
    <xf numFmtId="0" applyNumberFormat="1" fontId="8" applyFont="1" fillId="0" borderId="0" xfId="0" applyProtection="1">
      <protection hidden="1"/>
    </xf>
    <xf numFmtId="0" applyNumberFormat="1" fontId="13" applyFont="1" fillId="0" borderId="0" xfId="0" applyProtection="1">
      <protection hidden="1"/>
    </xf>
    <xf numFmtId="0" applyNumberFormat="1" fontId="8" applyFont="1" fillId="0" borderId="0" xfId="0" applyProtection="1" applyAlignment="1">
      <alignment vertical="center"/>
      <protection hidden="1"/>
    </xf>
    <xf numFmtId="0" applyNumberFormat="1" fontId="8" applyFont="1" fillId="0" borderId="0" xfId="0" applyProtection="1" applyAlignment="1">
      <alignment vertical="center" wrapText="1"/>
      <protection hidden="1"/>
    </xf>
    <xf numFmtId="0" applyNumberFormat="1" fontId="8" applyFont="1" fillId="0" borderId="0" xfId="0" applyProtection="1" applyAlignment="1">
      <alignment wrapText="1"/>
      <protection hidden="1"/>
    </xf>
    <xf numFmtId="0" fontId="0" fillId="0" borderId="0" xfId="0" applyProtection="1" applyAlignment="1">
      <alignment vertical="center" wrapText="1"/>
      <protection hidden="1"/>
    </xf>
    <xf numFmtId="0" fontId="0" fillId="0" borderId="0" xfId="0" applyProtection="1" applyAlignment="1">
      <alignment horizontal="left" vertical="center" wrapText="1"/>
      <protection hidden="1"/>
    </xf>
    <xf numFmtId="0" applyNumberFormat="1" fontId="8" applyFont="1" fillId="0" applyFill="1" borderId="0" xfId="0" applyProtection="1" applyAlignment="1">
      <alignment vertical="center"/>
      <protection hidden="1"/>
    </xf>
    <xf numFmtId="0" applyNumberFormat="1" fontId="14" applyFont="1" fillId="0" borderId="0" xfId="0" applyProtection="1">
      <protection hidden="1"/>
    </xf>
    <xf numFmtId="15" applyNumberFormat="1" fontId="4" applyFont="1" fillId="0" borderId="20" applyBorder="1" xfId="0" applyProtection="1" applyAlignment="1">
      <alignment horizontal="center"/>
      <protection hidden="1"/>
    </xf>
    <xf numFmtId="0" fontId="22" applyFont="1" fillId="4" applyFill="1" borderId="23" applyBorder="1" xfId="0" applyAlignment="1">
      <alignment horizontal="left" vertical="center" wrapText="1"/>
    </xf>
    <xf numFmtId="3" applyNumberFormat="1" fontId="0" fillId="0" borderId="27" applyBorder="1" xfId="0"/>
    <xf numFmtId="3" applyNumberFormat="1" fontId="0" fillId="0" borderId="31" applyBorder="1" xfId="0"/>
    <xf numFmtId="3" applyNumberFormat="1" fontId="0" fillId="0" borderId="48" applyBorder="1" xfId="0"/>
    <xf numFmtId="3" applyNumberFormat="1" fontId="20" applyFont="1" fillId="12" applyFill="1" borderId="22" applyBorder="1" xfId="0" applyProtection="1" applyAlignment="1">
      <alignment wrapText="1"/>
      <protection hidden="1"/>
    </xf>
    <xf numFmtId="3" applyNumberFormat="1" fontId="20" applyFont="1" fillId="12" applyFill="1" borderId="18" applyBorder="1" xfId="0" applyProtection="1" applyAlignment="1">
      <alignment wrapText="1"/>
      <protection hidden="1"/>
    </xf>
    <xf numFmtId="3" applyNumberFormat="1" fontId="20" applyFont="1" fillId="12" applyFill="1" borderId="16" applyBorder="1" xfId="0" applyProtection="1" applyAlignment="1">
      <alignment wrapText="1"/>
      <protection hidden="1"/>
    </xf>
    <xf numFmtId="165" applyNumberFormat="1" fontId="4" applyFont="1" fillId="3" applyFill="1" borderId="21" applyBorder="1" xfId="0" applyProtection="1" applyAlignment="1">
      <alignment horizontal="center" wrapText="1"/>
      <protection hidden="1"/>
    </xf>
    <xf numFmtId="165" applyNumberFormat="1" fontId="4" applyFont="1" fillId="3" applyFill="1" borderId="30" applyBorder="1" xfId="0" applyProtection="1" applyAlignment="1">
      <alignment horizontal="center" wrapText="1"/>
      <protection hidden="1"/>
    </xf>
    <xf numFmtId="165" applyNumberFormat="1" fontId="4" applyFont="1" fillId="3" applyFill="1" borderId="22" applyBorder="1" xfId="0" applyProtection="1" applyAlignment="1">
      <alignment horizontal="center" wrapText="1"/>
      <protection hidden="1"/>
    </xf>
    <xf numFmtId="3" applyNumberFormat="1" fontId="20" applyFont="1" fillId="4" applyFill="1" borderId="17" applyBorder="1" xfId="0" applyProtection="1" applyAlignment="1">
      <alignment horizontal="right" vertical="center" wrapText="1"/>
      <protection hidden="1"/>
    </xf>
    <xf numFmtId="3" applyNumberFormat="1" fontId="20" applyFont="1" fillId="4" applyFill="1" borderId="11" applyBorder="1" xfId="0" applyProtection="1" applyAlignment="1">
      <alignment horizontal="right" vertical="center" wrapText="1"/>
      <protection hidden="1"/>
    </xf>
    <xf numFmtId="3" applyNumberFormat="1" fontId="20" applyFont="1" fillId="4" applyFill="1" borderId="18" applyBorder="1" xfId="0" applyProtection="1" applyAlignment="1">
      <alignment horizontal="right" vertical="center" wrapText="1"/>
      <protection hidden="1"/>
    </xf>
    <xf numFmtId="3" applyNumberFormat="1" fontId="20" applyFont="1" fillId="4" applyFill="1" borderId="19" applyBorder="1" xfId="0" applyProtection="1" applyAlignment="1">
      <alignment horizontal="right" vertical="center" wrapText="1"/>
      <protection hidden="1"/>
    </xf>
    <xf numFmtId="3" applyNumberFormat="1" fontId="20" applyFont="1" fillId="4" applyFill="1" borderId="24" applyBorder="1" xfId="0" applyProtection="1" applyAlignment="1">
      <alignment horizontal="right" vertical="center" wrapText="1"/>
      <protection hidden="1"/>
    </xf>
    <xf numFmtId="3" applyNumberFormat="1" fontId="20" applyFont="1" fillId="4" applyFill="1" borderId="16" applyBorder="1" xfId="0" applyProtection="1" applyAlignment="1">
      <alignment horizontal="right" vertical="center" wrapText="1"/>
      <protection hidden="1"/>
    </xf>
    <xf numFmtId="0" fontId="21" applyFont="1" fillId="18" applyFill="1" borderId="14" applyBorder="1" xfId="0" applyProtection="1" applyAlignment="1">
      <alignment wrapText="1"/>
      <protection hidden="1"/>
    </xf>
    <xf numFmtId="3" applyNumberFormat="1" fontId="20" applyFont="1" fillId="0" applyFill="1" borderId="27" applyBorder="1" xfId="0" applyProtection="1" applyAlignment="1">
      <alignment wrapText="1"/>
      <protection hidden="1"/>
    </xf>
    <xf numFmtId="3" applyNumberFormat="1" fontId="4" applyFont="1" fillId="0" borderId="8" applyBorder="1" xfId="0" applyProtection="1" applyAlignment="1">
      <alignment wrapText="1"/>
      <protection hidden="1"/>
    </xf>
    <xf numFmtId="3" applyNumberFormat="1" fontId="4" applyFont="1" fillId="0" borderId="39" applyBorder="1" xfId="0" applyProtection="1" applyAlignment="1">
      <alignment wrapText="1"/>
      <protection hidden="1"/>
    </xf>
    <xf numFmtId="3" applyNumberFormat="1" fontId="4" applyFont="1" fillId="0" borderId="66" applyBorder="1" xfId="0" applyProtection="1" applyAlignment="1">
      <alignment wrapText="1"/>
      <protection hidden="1"/>
    </xf>
    <xf numFmtId="3" applyNumberFormat="1" fontId="4" applyFont="1" fillId="0" borderId="38" applyBorder="1" xfId="0" applyProtection="1" applyAlignment="1">
      <alignment wrapText="1"/>
      <protection hidden="1"/>
    </xf>
    <xf numFmtId="3" applyNumberFormat="1" fontId="20" applyFont="1" fillId="12" applyFill="1" borderId="67" applyBorder="1" xfId="0" applyProtection="1" applyAlignment="1">
      <alignment wrapText="1"/>
      <protection hidden="1"/>
    </xf>
    <xf numFmtId="3" applyNumberFormat="1" fontId="20" applyFont="1" fillId="12" applyFill="1" borderId="68" applyBorder="1" xfId="0" applyProtection="1" applyAlignment="1">
      <alignment wrapText="1"/>
      <protection hidden="1"/>
    </xf>
    <xf numFmtId="3" applyNumberFormat="1" fontId="20" applyFont="1" fillId="12" applyFill="1" borderId="69" applyBorder="1" xfId="0" applyProtection="1" applyAlignment="1">
      <alignment wrapText="1"/>
      <protection hidden="1"/>
    </xf>
    <xf numFmtId="165" applyNumberFormat="1" fontId="4" applyFont="1" fillId="3" applyFill="1" borderId="26" applyBorder="1" xfId="0" applyProtection="1" applyAlignment="1">
      <alignment horizontal="center" wrapText="1"/>
      <protection hidden="1"/>
    </xf>
    <xf numFmtId="0" fontId="22" applyFont="1" fillId="4" applyFill="1" borderId="53" applyBorder="1" xfId="0" applyProtection="1" applyAlignment="1">
      <alignment wrapText="1"/>
      <protection hidden="1"/>
    </xf>
    <xf numFmtId="0" fontId="22" applyFont="1" fillId="4" applyFill="1" borderId="21" applyBorder="1" xfId="0" applyProtection="1" applyAlignment="1">
      <alignment wrapText="1"/>
      <protection hidden="1"/>
    </xf>
    <xf numFmtId="3" applyNumberFormat="1" fontId="4" applyFont="1" fillId="0" borderId="22" applyBorder="1" xfId="0" applyProtection="1" applyAlignment="1">
      <alignment horizontal="center"/>
      <protection hidden="1"/>
    </xf>
    <xf numFmtId="0" fontId="22" applyFont="1" fillId="4" applyFill="1" borderId="17" applyBorder="1" xfId="0" applyProtection="1" applyAlignment="1">
      <alignment wrapText="1"/>
      <protection hidden="1"/>
    </xf>
    <xf numFmtId="3" applyNumberFormat="1" fontId="4" applyFont="1" fillId="0" borderId="18" applyBorder="1" xfId="0" applyProtection="1" applyAlignment="1">
      <alignment horizontal="center"/>
      <protection hidden="1"/>
    </xf>
    <xf numFmtId="0" applyNumberFormat="1" fontId="4" applyFont="1" fillId="0" borderId="18" applyBorder="1" xfId="0" applyProtection="1" applyAlignment="1">
      <alignment horizontal="center"/>
      <protection hidden="1"/>
    </xf>
    <xf numFmtId="0" fontId="22" applyFont="1" fillId="4" applyFill="1" borderId="19" applyBorder="1" xfId="0" applyProtection="1" applyAlignment="1">
      <alignment wrapText="1"/>
      <protection hidden="1"/>
    </xf>
    <xf numFmtId="0" applyNumberFormat="1" fontId="4" applyFont="1" fillId="0" borderId="16" applyBorder="1" xfId="0" applyProtection="1" applyAlignment="1">
      <alignment horizontal="center"/>
      <protection hidden="1"/>
    </xf>
    <xf numFmtId="3" applyNumberFormat="1" fontId="20" applyFont="1" fillId="0" borderId="70" applyBorder="1" xfId="0" applyProtection="1" applyAlignment="1">
      <alignment wrapText="1"/>
      <protection hidden="1"/>
    </xf>
    <xf numFmtId="3" applyNumberFormat="1" fontId="20" applyFont="1" fillId="0" applyFill="1" borderId="67" applyBorder="1" xfId="0" applyProtection="1" applyAlignment="1">
      <alignment wrapText="1"/>
      <protection hidden="1"/>
    </xf>
    <xf numFmtId="3" applyNumberFormat="1" fontId="20" applyFont="1" fillId="0" applyFill="1" borderId="68" applyBorder="1" xfId="0" applyProtection="1" applyAlignment="1">
      <alignment wrapText="1"/>
      <protection hidden="1"/>
    </xf>
    <xf numFmtId="3" applyNumberFormat="1" fontId="20" applyFont="1" fillId="0" applyFill="1" borderId="69" applyBorder="1" xfId="0" applyProtection="1" applyAlignment="1">
      <alignment wrapText="1"/>
      <protection hidden="1"/>
    </xf>
    <xf numFmtId="3" applyNumberFormat="1" fontId="20" applyFont="1" fillId="0" borderId="71" applyBorder="1" xfId="0" applyProtection="1" applyAlignment="1">
      <alignment wrapText="1"/>
      <protection hidden="1"/>
    </xf>
    <xf numFmtId="3" applyNumberFormat="1" fontId="20" applyFont="1" fillId="0" borderId="72" applyBorder="1" xfId="0" applyProtection="1" applyAlignment="1">
      <alignment wrapText="1"/>
      <protection hidden="1"/>
    </xf>
    <xf numFmtId="3" applyNumberFormat="1" fontId="20" applyFont="1" fillId="0" applyFill="1" borderId="31" applyBorder="1" xfId="0" applyProtection="1" applyAlignment="1">
      <alignment wrapText="1"/>
      <protection hidden="1"/>
    </xf>
    <xf numFmtId="3" applyNumberFormat="1" fontId="20" applyFont="1" fillId="0" applyFill="1" borderId="48" applyBorder="1" xfId="0" applyProtection="1" applyAlignment="1">
      <alignment wrapText="1"/>
      <protection hidden="1"/>
    </xf>
    <xf numFmtId="0" fontId="19" applyFont="1" fillId="4" applyFill="1" borderId="14" applyBorder="1" xfId="0" applyProtection="1" applyAlignment="1">
      <alignment wrapText="1"/>
      <protection hidden="1"/>
    </xf>
    <xf numFmtId="3" applyNumberFormat="1" fontId="20" applyFont="1" fillId="12" applyFill="1" borderId="27" applyBorder="1" xfId="0" applyProtection="1" applyAlignment="1">
      <alignment wrapText="1"/>
      <protection hidden="1"/>
    </xf>
    <xf numFmtId="3" applyNumberFormat="1" fontId="20" applyFont="1" fillId="12" applyFill="1" borderId="31" applyBorder="1" xfId="0" applyProtection="1" applyAlignment="1">
      <alignment wrapText="1"/>
      <protection hidden="1"/>
    </xf>
    <xf numFmtId="3" applyNumberFormat="1" fontId="20" applyFont="1" fillId="12" applyFill="1" borderId="48" applyBorder="1" xfId="0" applyProtection="1" applyAlignment="1">
      <alignment wrapText="1"/>
      <protection hidden="1"/>
    </xf>
    <xf numFmtId="3" applyNumberFormat="1" fontId="20" applyFont="1" fillId="12" applyFill="1" borderId="32" applyBorder="1" xfId="0" applyProtection="1" applyAlignment="1">
      <alignment wrapText="1"/>
      <protection hidden="1"/>
    </xf>
    <xf numFmtId="3" applyNumberFormat="1" fontId="20" applyFont="1" fillId="0" borderId="73" applyBorder="1" xfId="0" applyProtection="1" applyAlignment="1">
      <alignment wrapText="1"/>
      <protection hidden="1"/>
    </xf>
    <xf numFmtId="3" applyNumberFormat="1" fontId="20" applyFont="1" fillId="12" applyFill="1" borderId="46" applyBorder="1" xfId="0" applyProtection="1" applyAlignment="1">
      <alignment wrapText="1"/>
      <protection hidden="1"/>
    </xf>
    <xf numFmtId="3" applyNumberFormat="1" fontId="2" applyFont="1" fillId="12" applyFill="1" borderId="47" applyBorder="1" xfId="0" applyProtection="1">
      <protection hidden="1"/>
    </xf>
    <xf numFmtId="0" applyNumberFormat="1" fontId="2" applyFont="1" fillId="12" applyFill="1" borderId="19" applyBorder="1" xfId="0" quotePrefix="1" applyProtection="1" applyAlignment="1">
      <alignment horizontal="left"/>
      <protection hidden="1"/>
    </xf>
    <xf numFmtId="0" applyNumberFormat="1" fontId="2" applyFont="1" fillId="12" applyFill="1" borderId="17" applyBorder="1" xfId="0" applyProtection="1" applyAlignment="1">
      <alignment horizontal="left"/>
      <protection hidden="1"/>
    </xf>
    <xf numFmtId="0" fontId="23" applyFont="1" fillId="0" borderId="0" applyBorder="1" xfId="0" applyProtection="1" applyAlignment="1">
      <protection hidden="1"/>
    </xf>
    <xf numFmtId="3" applyNumberFormat="1" fontId="61" applyFont="1" fillId="0" borderId="27" applyBorder="1" xfId="0" applyProtection="1" applyAlignment="1">
      <alignment wrapText="1"/>
      <protection hidden="1"/>
    </xf>
    <xf numFmtId="3" applyNumberFormat="1" fontId="0" fillId="0" borderId="31" applyBorder="1" xfId="0" applyProtection="1" applyAlignment="1">
      <alignment wrapText="1"/>
      <protection hidden="1"/>
    </xf>
    <xf numFmtId="3" applyNumberFormat="1" fontId="61" applyFont="1" fillId="0" borderId="31" applyBorder="1" xfId="0" applyProtection="1" applyAlignment="1">
      <alignment wrapText="1"/>
      <protection hidden="1"/>
    </xf>
    <xf numFmtId="3" applyNumberFormat="1" fontId="0" fillId="0" borderId="32" applyBorder="1" xfId="0" applyProtection="1" applyAlignment="1">
      <alignment wrapText="1"/>
      <protection hidden="1"/>
    </xf>
    <xf numFmtId="3" applyNumberFormat="1" fontId="20" applyFont="1" fillId="0" borderId="74" applyBorder="1" xfId="0" applyProtection="1" applyAlignment="1">
      <alignment wrapText="1"/>
      <protection hidden="1"/>
    </xf>
    <xf numFmtId="3" applyNumberFormat="1" fontId="20" applyFont="1" fillId="0" borderId="32" applyBorder="1" xfId="0" applyProtection="1" applyAlignment="1">
      <alignment wrapText="1"/>
      <protection hidden="1"/>
    </xf>
    <xf numFmtId="3" applyNumberFormat="1" fontId="20" applyFont="1" fillId="0" borderId="15" applyBorder="1" xfId="0" applyProtection="1" applyAlignment="1">
      <alignment vertical="center" wrapText="1"/>
      <protection hidden="1"/>
    </xf>
    <xf numFmtId="15" applyNumberFormat="1" fontId="4" applyFont="1" fillId="0" borderId="0" applyBorder="1" xfId="0" applyProtection="1" applyAlignment="1">
      <alignment horizontal="center"/>
      <protection hidden="1"/>
    </xf>
    <xf numFmtId="15" applyNumberFormat="1" fontId="4" applyFont="1" fillId="0" borderId="15" applyBorder="1" xfId="0" applyProtection="1" applyAlignment="1">
      <alignment horizontal="center"/>
      <protection hidden="1"/>
    </xf>
    <xf numFmtId="0" fontId="20" applyFont="1" fillId="0" borderId="12" applyBorder="1" xfId="0"/>
    <xf numFmtId="0" fontId="20" applyFont="1" fillId="0" borderId="27" applyBorder="1" xfId="0" applyProtection="1"/>
    <xf numFmtId="165" applyNumberFormat="1" fontId="0" fillId="0" borderId="15" applyBorder="1" xfId="0" applyAlignment="1">
      <alignment horizontal="right"/>
    </xf>
    <xf numFmtId="0" fontId="20" applyFont="1" fillId="0" borderId="15" applyBorder="1" xfId="0"/>
    <xf numFmtId="0" fontId="20" applyFont="1" fillId="0" borderId="11" applyBorder="1" xfId="0" applyAlignment="1">
      <alignment vertical="center"/>
    </xf>
    <xf numFmtId="0" fontId="0" fillId="0" borderId="79" applyBorder="1" xfId="0" applyAlignment="1"/>
    <xf numFmtId="0" fontId="67" applyFont="1" fillId="0" borderId="0" xfId="0" applyAlignment="1">
      <alignment horizontal="center" vertical="center" readingOrder="1"/>
    </xf>
    <xf numFmtId="0" applyNumberFormat="1" fontId="0" applyFont="1" fillId="0" applyFill="1" borderId="0" applyBorder="1" xfId="0" applyProtection="1">
      <protection hidden="1"/>
    </xf>
    <xf numFmtId="0" applyNumberFormat="1" fontId="22" applyFont="1" fillId="19" applyFill="1" borderId="80" applyBorder="1" xfId="0" applyProtection="1" applyAlignment="1">
      <alignment wrapText="1"/>
      <protection hidden="1"/>
    </xf>
    <xf numFmtId="0" applyNumberFormat="1" fontId="22" applyFont="1" fillId="19" applyFill="1" borderId="81" applyBorder="1" xfId="0" applyProtection="1" applyAlignment="1">
      <alignment wrapText="1"/>
      <protection hidden="1"/>
    </xf>
    <xf numFmtId="0" applyNumberFormat="1" fontId="22" applyFont="1" fillId="19" applyFill="1" borderId="82" applyBorder="1" xfId="0" applyProtection="1" applyAlignment="1">
      <alignment wrapText="1"/>
      <protection hidden="1"/>
    </xf>
    <xf numFmtId="0" applyNumberFormat="1" fontId="22" applyFont="1" fillId="19" applyFill="1" borderId="83" applyBorder="1" xfId="0" applyProtection="1" applyAlignment="1">
      <alignment wrapText="1"/>
      <protection hidden="1"/>
    </xf>
    <xf numFmtId="3" applyNumberFormat="1" fontId="1" applyFont="1" fillId="0" borderId="27" applyBorder="1" xfId="0" applyProtection="1" applyAlignment="1">
      <alignment wrapText="1"/>
      <protection hidden="1"/>
    </xf>
    <xf numFmtId="3" applyNumberFormat="1" fontId="1" applyFont="1" fillId="0" borderId="31" applyBorder="1" xfId="0" applyProtection="1" applyAlignment="1">
      <alignment wrapText="1"/>
      <protection hidden="1"/>
    </xf>
    <xf numFmtId="3" applyNumberFormat="1" fontId="1" applyFont="1" fillId="0" borderId="48" applyBorder="1" xfId="0" applyProtection="1" applyAlignment="1">
      <alignment wrapText="1"/>
      <protection hidden="1"/>
    </xf>
    <xf numFmtId="3" applyNumberFormat="1" fontId="1" applyFont="1" fillId="0" applyFill="1" borderId="22" applyBorder="1" xfId="0" applyProtection="1" applyAlignment="1">
      <alignment horizontal="right" wrapText="1"/>
      <protection hidden="1"/>
    </xf>
    <xf numFmtId="3" applyNumberFormat="1" fontId="1" applyFont="1" fillId="0" applyFill="1" borderId="18" applyBorder="1" xfId="0" applyProtection="1" applyAlignment="1">
      <alignment horizontal="right" wrapText="1"/>
      <protection hidden="1"/>
    </xf>
    <xf numFmtId="3" applyNumberFormat="1" fontId="1" applyFont="1" fillId="0" applyFill="1" borderId="16" applyBorder="1" xfId="0" applyProtection="1" applyAlignment="1">
      <alignment horizontal="right" wrapText="1"/>
      <protection hidden="1"/>
    </xf>
    <xf numFmtId="3" applyNumberFormat="1" fontId="24" applyFont="1" fillId="0" applyFill="1" borderId="56" applyBorder="1" xfId="0" applyProtection="1" applyAlignment="1">
      <alignment horizontal="right" wrapText="1"/>
      <protection hidden="1"/>
    </xf>
    <xf numFmtId="0" fontId="0" fillId="0" borderId="4" applyBorder="1" xfId="0" applyProtection="1">
      <protection hidden="1"/>
    </xf>
    <xf numFmtId="0" fontId="20" applyFont="1" fillId="0" borderId="4" applyBorder="1" xfId="0" applyProtection="1">
      <protection hidden="1"/>
    </xf>
    <xf numFmtId="49" applyNumberFormat="1" fontId="0" fillId="0" borderId="4" applyBorder="1" xfId="0" applyProtection="1" applyAlignment="1">
      <alignment horizontal="center" vertical="top" wrapText="1"/>
      <protection hidden="1"/>
    </xf>
    <xf numFmtId="3" applyNumberFormat="1" fontId="24" applyFont="1" fillId="0" applyFill="1" borderId="72" applyBorder="1" xfId="0" applyProtection="1" applyAlignment="1">
      <alignment horizontal="right" wrapText="1"/>
      <protection hidden="1"/>
    </xf>
    <xf numFmtId="3" applyNumberFormat="1" fontId="24" applyFont="1" fillId="0" borderId="57" applyBorder="1" xfId="0" applyProtection="1" applyAlignment="1">
      <alignment horizontal="right"/>
      <protection hidden="1"/>
    </xf>
    <xf numFmtId="0" fontId="0" fillId="0" borderId="4" applyBorder="1" xfId="0" applyProtection="1" applyAlignment="1">
      <alignment horizontal="center" vertical="top" wrapText="1"/>
      <protection hidden="1"/>
    </xf>
    <xf numFmtId="3" applyNumberFormat="1" fontId="24" applyFont="1" fillId="0" borderId="23" applyBorder="1" xfId="0" applyProtection="1" applyAlignment="1">
      <alignment horizontal="right"/>
      <protection hidden="1"/>
    </xf>
    <xf numFmtId="3" applyNumberFormat="1" fontId="24" applyFont="1" fillId="0" borderId="84" applyBorder="1" xfId="0" applyProtection="1" applyAlignment="1">
      <alignment horizontal="right"/>
      <protection hidden="1"/>
    </xf>
    <xf numFmtId="0" fontId="0" fillId="0" borderId="4" applyBorder="1" xfId="0" applyProtection="1" applyAlignment="1">
      <alignment vertical="top" wrapText="1"/>
      <protection hidden="1"/>
    </xf>
    <xf numFmtId="3" applyNumberFormat="1" fontId="24" applyFont="1" fillId="0" applyFill="1" borderId="13" applyBorder="1" xfId="0" applyProtection="1" applyAlignment="1">
      <alignment horizontal="right" wrapText="1"/>
      <protection hidden="1"/>
    </xf>
    <xf numFmtId="3" applyNumberFormat="1" fontId="24" applyFont="1" fillId="0" applyFill="1" borderId="78" applyBorder="1" xfId="0" applyProtection="1" applyAlignment="1">
      <alignment horizontal="right" wrapText="1"/>
      <protection hidden="1"/>
    </xf>
    <xf numFmtId="3" applyNumberFormat="1" fontId="20" applyFont="1" fillId="0" borderId="0" applyBorder="1" xfId="0" applyProtection="1" applyAlignment="1">
      <alignment wrapText="1"/>
      <protection hidden="1"/>
    </xf>
    <xf numFmtId="0" fontId="2" applyFont="1" fillId="0" borderId="0" xfId="0" applyAlignment="1">
      <alignment horizontal="center" vertical="center"/>
    </xf>
    <xf numFmtId="0" fontId="64" applyFont="1" fillId="0" borderId="0" xfId="0" applyProtection="1" applyAlignment="1">
      <alignment horizontal="center" vertical="center" wrapText="1"/>
      <protection hidden="1"/>
    </xf>
    <xf numFmtId="0" fontId="65" applyFont="1" fillId="0" borderId="0" xfId="0" applyProtection="1" applyAlignment="1">
      <alignment horizontal="center" vertical="center" wrapText="1"/>
      <protection hidden="1"/>
    </xf>
    <xf numFmtId="0" fontId="3" applyFont="1" fillId="0" borderId="0" xfId="0" applyProtection="1" applyAlignment="1">
      <alignment horizontal="center" vertical="center" wrapText="1"/>
      <protection hidden="1"/>
    </xf>
    <xf numFmtId="0" fontId="4" applyFont="1" fillId="0" borderId="0" xfId="0" applyProtection="1" applyAlignment="1">
      <alignment horizontal="center" vertical="center" wrapText="1"/>
      <protection hidden="1"/>
    </xf>
    <xf numFmtId="0" applyNumberFormat="1" fontId="5" applyFont="1" fillId="0" applyFill="1" borderId="0" xfId="0" applyProtection="1" applyAlignment="1">
      <alignment horizontal="center" vertical="center"/>
      <protection hidden="1"/>
    </xf>
    <xf numFmtId="0" applyNumberFormat="1" fontId="0" fillId="0" applyFill="1" borderId="0" xfId="0" applyProtection="1" applyAlignment="1">
      <protection hidden="1"/>
    </xf>
    <xf numFmtId="0" fontId="4" applyFont="1" fillId="0" applyFill="1" borderId="0" xfId="0" applyProtection="1" applyAlignment="1">
      <alignment horizontal="center"/>
      <protection hidden="1"/>
    </xf>
    <xf numFmtId="0" fontId="4" applyFont="1" fillId="0" applyFill="1" borderId="0" xfId="0" applyProtection="1" applyAlignment="1">
      <protection hidden="1"/>
    </xf>
    <xf numFmtId="0" fontId="62" applyFont="1" fillId="0" borderId="0" xfId="0" applyProtection="1" applyAlignment="1">
      <alignment horizontal="center" vertical="center" wrapText="1"/>
      <protection hidden="1"/>
    </xf>
    <xf numFmtId="0" fontId="63" applyFont="1" fillId="0" borderId="0" xfId="0" applyProtection="1" applyAlignment="1">
      <alignment horizontal="center" vertical="center" wrapText="1"/>
      <protection hidden="1"/>
    </xf>
    <xf numFmtId="0" fontId="60" applyFont="1" fillId="0" borderId="0" xfId="0" applyProtection="1" applyAlignment="1">
      <alignment horizontal="center" vertical="center"/>
      <protection hidden="1"/>
    </xf>
    <xf numFmtId="0" fontId="60" applyFont="1" fillId="0" borderId="64" applyBorder="1" xfId="0" applyProtection="1" applyAlignment="1">
      <alignment horizontal="center" vertical="center"/>
      <protection hidden="1"/>
    </xf>
    <xf numFmtId="0" fontId="56" applyFont="1" fillId="2" applyFill="1" borderId="0" applyBorder="1" xfId="0" applyProtection="1" applyAlignment="1">
      <alignment horizontal="left" vertical="distributed"/>
      <protection hidden="1"/>
    </xf>
    <xf numFmtId="0" fontId="57" applyFont="1" fillId="12" applyFill="1" borderId="1" applyBorder="1" xfId="0" applyProtection="1" applyAlignment="1">
      <alignment horizontal="center"/>
      <protection hidden="1"/>
    </xf>
    <xf numFmtId="0" fontId="57" applyFont="1" fillId="12" applyFill="1" borderId="2" applyBorder="1" xfId="0" applyProtection="1" applyAlignment="1">
      <alignment horizontal="center"/>
      <protection hidden="1"/>
    </xf>
    <xf numFmtId="0" fontId="57" applyFont="1" fillId="12" applyFill="1" borderId="3" applyBorder="1" xfId="0" applyProtection="1" applyAlignment="1">
      <alignment horizontal="center"/>
      <protection hidden="1"/>
    </xf>
    <xf numFmtId="0" fontId="6" applyFont="1" fillId="0" applyFill="1" borderId="14" applyBorder="1" xfId="0" applyProtection="1" applyAlignment="1">
      <alignment horizontal="center"/>
      <protection hidden="1"/>
    </xf>
    <xf numFmtId="0" fontId="6" applyFont="1" fillId="0" applyFill="1" borderId="75" applyBorder="1" xfId="0" applyProtection="1" applyAlignment="1">
      <alignment horizontal="center"/>
      <protection hidden="1"/>
    </xf>
    <xf numFmtId="0" fontId="6" applyFont="1" fillId="0" applyFill="1" borderId="76" applyBorder="1" xfId="0" applyProtection="1" applyAlignment="1">
      <alignment horizontal="center"/>
      <protection hidden="1"/>
    </xf>
    <xf numFmtId="0" fontId="8" applyFont="1" fillId="0" borderId="0" xfId="0" applyProtection="1" applyAlignment="1">
      <alignment wrapText="1"/>
      <protection hidden="1"/>
    </xf>
    <xf numFmtId="0" fontId="0" fillId="0" borderId="0" xfId="0" applyProtection="1" applyAlignment="1">
      <alignment wrapText="1"/>
      <protection hidden="1"/>
    </xf>
    <xf numFmtId="0" fontId="10" applyFont="1" fillId="0" borderId="0" xfId="0" applyProtection="1" applyAlignment="1">
      <alignment wrapText="1"/>
      <protection hidden="1"/>
    </xf>
    <xf numFmtId="0" applyNumberFormat="1" fontId="10" applyFont="1" fillId="0" borderId="0" xfId="0" applyProtection="1" applyAlignment="1">
      <alignment horizontal="justify" vertical="center" wrapText="1"/>
      <protection hidden="1"/>
    </xf>
    <xf numFmtId="0" fontId="0" fillId="0" borderId="0" xfId="0" applyProtection="1" applyAlignment="1">
      <alignment horizontal="justify" vertical="center" wrapText="1"/>
      <protection hidden="1"/>
    </xf>
    <xf numFmtId="0" fontId="11" applyFont="1" fillId="0" borderId="0" xfId="0" applyProtection="1" applyAlignment="1">
      <alignment wrapText="1"/>
      <protection hidden="1"/>
    </xf>
    <xf numFmtId="0" fontId="12" applyFont="1" fillId="0" borderId="0" xfId="0" applyProtection="1" applyAlignment="1">
      <alignment wrapText="1"/>
      <protection hidden="1"/>
    </xf>
    <xf numFmtId="0" applyNumberFormat="1" fontId="8" applyFont="1" fillId="0" borderId="0" xfId="0" applyProtection="1" applyAlignment="1">
      <alignment horizontal="justify" vertical="center" wrapText="1"/>
      <protection hidden="1"/>
    </xf>
    <xf numFmtId="0" fontId="13" applyFont="1" fillId="0" borderId="0" xfId="0" applyProtection="1" applyAlignment="1">
      <alignment wrapText="1"/>
      <protection hidden="1"/>
    </xf>
    <xf numFmtId="0" applyNumberFormat="1" fontId="13" applyFont="1" fillId="0" borderId="0" xfId="0" applyProtection="1" applyAlignment="1">
      <alignment wrapText="1"/>
      <protection hidden="1"/>
    </xf>
    <xf numFmtId="0" applyNumberFormat="1" fontId="8" applyFont="1" fillId="0" applyFill="1" borderId="0" xfId="0" applyProtection="1" applyAlignment="1">
      <alignment horizontal="justify" vertical="center" wrapText="1"/>
      <protection hidden="1"/>
    </xf>
    <xf numFmtId="0" fontId="0" fillId="0" applyFill="1" borderId="0" xfId="0" applyProtection="1" applyAlignment="1">
      <alignment horizontal="justify" vertical="center" wrapText="1"/>
      <protection hidden="1"/>
    </xf>
    <xf numFmtId="0" applyNumberFormat="1" fontId="8" applyFont="1" fillId="0" borderId="0" xfId="0" applyProtection="1" applyAlignment="1">
      <alignment vertical="center" wrapText="1"/>
      <protection hidden="1"/>
    </xf>
    <xf numFmtId="0" applyNumberFormat="1" fontId="8" applyFont="1" fillId="0" borderId="0" xfId="0" applyProtection="1" applyAlignment="1">
      <alignment wrapText="1"/>
      <protection hidden="1"/>
    </xf>
    <xf numFmtId="0" applyNumberFormat="1" fontId="13" applyFont="1" fillId="0" applyFill="1" borderId="0" xfId="0" applyProtection="1" applyAlignment="1">
      <alignment vertical="center" wrapText="1"/>
      <protection hidden="1"/>
    </xf>
    <xf numFmtId="0" fontId="0" fillId="0" borderId="0" xfId="0" applyProtection="1" applyAlignment="1">
      <alignment vertical="center" wrapText="1"/>
      <protection hidden="1"/>
    </xf>
    <xf numFmtId="0" applyNumberFormat="1" fontId="8" applyFont="1" fillId="0" applyFill="1" borderId="0" xfId="0" applyProtection="1" applyAlignment="1">
      <alignment vertical="center" wrapText="1"/>
      <protection hidden="1"/>
    </xf>
    <xf numFmtId="0" fontId="33" applyFont="1" fillId="0" applyFill="1" borderId="14" applyBorder="1" xfId="0" applyProtection="1" applyAlignment="1">
      <alignment horizontal="left" vertical="center" wrapText="1"/>
      <protection hidden="1"/>
    </xf>
    <xf numFmtId="0" fontId="34" applyFont="1" fillId="0" applyFill="1" borderId="75" applyBorder="1" xfId="0" applyProtection="1" applyAlignment="1">
      <alignment horizontal="left" vertical="center" wrapText="1"/>
      <protection hidden="1"/>
    </xf>
    <xf numFmtId="0" fontId="34" applyFont="1" fillId="0" applyFill="1" borderId="76" applyBorder="1" xfId="0" applyProtection="1" applyAlignment="1">
      <alignment horizontal="left" vertical="center" wrapText="1"/>
      <protection hidden="1"/>
    </xf>
    <xf numFmtId="0" fontId="16" applyFont="1" fillId="0" applyFill="1" borderId="14" applyBorder="1" xfId="0" applyProtection="1" applyAlignment="1">
      <alignment horizontal="center" wrapText="1"/>
      <protection hidden="1"/>
    </xf>
    <xf numFmtId="0" fontId="16" applyFont="1" fillId="0" applyFill="1" borderId="75" applyBorder="1" xfId="0" applyProtection="1" applyAlignment="1">
      <alignment horizontal="center" wrapText="1"/>
      <protection hidden="1"/>
    </xf>
    <xf numFmtId="0" fontId="16" applyFont="1" fillId="0" applyFill="1" borderId="76" applyBorder="1" xfId="0" applyProtection="1" applyAlignment="1">
      <alignment horizontal="center" wrapText="1"/>
      <protection hidden="1"/>
    </xf>
    <xf numFmtId="0" fontId="17" applyFont="1" fillId="0" applyFill="1" borderId="14" applyBorder="1" xfId="0" applyProtection="1" applyAlignment="1">
      <alignment horizontal="center" vertical="center"/>
      <protection hidden="1"/>
    </xf>
    <xf numFmtId="0" fontId="17" applyFont="1" fillId="0" applyFill="1" borderId="75" applyBorder="1" xfId="0" applyProtection="1" applyAlignment="1">
      <alignment horizontal="center" vertical="center"/>
      <protection hidden="1"/>
    </xf>
    <xf numFmtId="0" fontId="17" applyFont="1" fillId="0" applyFill="1" borderId="76" applyBorder="1" xfId="0" applyProtection="1" applyAlignment="1">
      <alignment horizontal="center" vertical="center"/>
      <protection hidden="1"/>
    </xf>
    <xf numFmtId="0" fontId="4" applyFont="1" fillId="5" applyFill="1" borderId="20" applyBorder="1" xfId="0" applyProtection="1" applyAlignment="1">
      <alignment horizontal="center"/>
      <protection hidden="1"/>
    </xf>
    <xf numFmtId="0" fontId="4" applyFont="1" fillId="5" applyFill="1" borderId="10" applyBorder="1" xfId="0" applyProtection="1" applyAlignment="1">
      <alignment horizontal="center"/>
      <protection hidden="1"/>
    </xf>
    <xf numFmtId="0" fontId="33" applyFont="1" fillId="0" borderId="14" applyBorder="1" xfId="0" applyProtection="1" applyAlignment="1">
      <alignment horizontal="center" vertical="center"/>
      <protection hidden="1"/>
    </xf>
    <xf numFmtId="0" fontId="33" applyFont="1" fillId="0" borderId="75" applyBorder="1" xfId="0" applyProtection="1" applyAlignment="1">
      <alignment horizontal="center" vertical="center"/>
      <protection hidden="1"/>
    </xf>
    <xf numFmtId="0" fontId="33" applyFont="1" fillId="0" borderId="76" applyBorder="1" xfId="0" applyProtection="1" applyAlignment="1">
      <alignment horizontal="center" vertical="center"/>
      <protection hidden="1"/>
    </xf>
    <xf numFmtId="0" fontId="4" applyFont="1" fillId="5" applyFill="1" borderId="44" applyBorder="1" xfId="0" applyProtection="1" applyAlignment="1">
      <alignment horizontal="center" vertical="center" wrapText="1"/>
      <protection hidden="1"/>
    </xf>
    <xf numFmtId="0" fontId="0" fillId="0" borderId="53" applyBorder="1" xfId="0" applyProtection="1" applyAlignment="1">
      <alignment vertical="center" wrapText="1"/>
      <protection hidden="1"/>
    </xf>
    <xf numFmtId="0" fontId="4" applyFont="1" fillId="0" borderId="75" applyBorder="1" xfId="0" applyProtection="1" applyAlignment="1">
      <alignment horizontal="center" vertical="center" wrapText="1"/>
      <protection hidden="1"/>
    </xf>
    <xf numFmtId="0" fontId="4" applyFont="1" fillId="5" applyFill="1" borderId="20" applyBorder="1" xfId="0" applyProtection="1" applyAlignment="1">
      <alignment horizontal="center" wrapText="1"/>
      <protection hidden="1"/>
    </xf>
    <xf numFmtId="0" fontId="4" applyFont="1" fillId="5" applyFill="1" borderId="10" applyBorder="1" xfId="0" applyProtection="1" applyAlignment="1">
      <alignment horizontal="center" wrapText="1"/>
      <protection hidden="1"/>
    </xf>
    <xf numFmtId="0" fontId="17" applyFont="1" fillId="0" applyFill="1" borderId="14" applyBorder="1" xfId="0" applyProtection="1" applyAlignment="1">
      <alignment horizontal="left" vertical="center"/>
      <protection hidden="1"/>
    </xf>
    <xf numFmtId="0" fontId="17" applyFont="1" fillId="0" applyFill="1" borderId="75" applyBorder="1" xfId="0" applyProtection="1" applyAlignment="1">
      <alignment horizontal="left" vertical="center"/>
      <protection hidden="1"/>
    </xf>
    <xf numFmtId="0" fontId="17" applyFont="1" fillId="0" applyFill="1" borderId="76" applyBorder="1" xfId="0" applyProtection="1" applyAlignment="1">
      <alignment horizontal="left" vertical="center"/>
      <protection hidden="1"/>
    </xf>
    <xf numFmtId="0" fontId="4" applyFont="1" fillId="5" applyFill="1" borderId="14" applyBorder="1" xfId="0" applyProtection="1" applyAlignment="1">
      <alignment horizontal="center" wrapText="1"/>
      <protection hidden="1"/>
    </xf>
    <xf numFmtId="0" fontId="4" applyFont="1" fillId="5" applyFill="1" borderId="75" applyBorder="1" xfId="0" applyProtection="1" applyAlignment="1">
      <alignment horizontal="center" wrapText="1"/>
      <protection hidden="1"/>
    </xf>
    <xf numFmtId="0" fontId="4" applyFont="1" fillId="5" applyFill="1" borderId="76" applyBorder="1" xfId="0" applyProtection="1" applyAlignment="1">
      <alignment horizontal="center" wrapText="1"/>
      <protection hidden="1"/>
    </xf>
    <xf numFmtId="0" fontId="4" applyFont="1" fillId="5" applyFill="1" borderId="14" applyBorder="1" xfId="0" applyProtection="1" applyAlignment="1">
      <alignment horizontal="center"/>
      <protection hidden="1"/>
    </xf>
    <xf numFmtId="0" fontId="4" applyFont="1" fillId="5" applyFill="1" borderId="75" applyBorder="1" xfId="0" applyProtection="1" applyAlignment="1">
      <alignment horizontal="center"/>
      <protection hidden="1"/>
    </xf>
    <xf numFmtId="0" fontId="4" applyFont="1" fillId="5" applyFill="1" borderId="76" applyBorder="1" xfId="0" applyProtection="1" applyAlignment="1">
      <alignment horizontal="center"/>
      <protection hidden="1"/>
    </xf>
    <xf numFmtId="0" fontId="22" applyFont="1" fillId="4" applyFill="1" borderId="14" applyBorder="1" xfId="0" applyProtection="1" applyAlignment="1">
      <alignment horizontal="center" wrapText="1"/>
      <protection hidden="1"/>
    </xf>
    <xf numFmtId="0" fontId="22" applyFont="1" fillId="4" applyFill="1" borderId="75" applyBorder="1" xfId="0" applyProtection="1" applyAlignment="1">
      <alignment horizontal="center" wrapText="1"/>
      <protection hidden="1"/>
    </xf>
    <xf numFmtId="0" fontId="22" applyFont="1" fillId="4" applyFill="1" borderId="76" applyBorder="1" xfId="0" applyProtection="1" applyAlignment="1">
      <alignment horizontal="center" wrapText="1"/>
      <protection hidden="1"/>
    </xf>
    <xf numFmtId="0" fontId="4" applyFont="1" fillId="0" borderId="0" xfId="0" applyProtection="1" applyAlignment="1">
      <alignment horizontal="center"/>
      <protection hidden="1"/>
    </xf>
    <xf numFmtId="0" fontId="9" applyFont="1" fillId="0" borderId="0" applyBorder="1" xfId="0" applyProtection="1" applyAlignment="1">
      <alignment horizontal="center"/>
      <protection hidden="1"/>
    </xf>
    <xf numFmtId="0" fontId="21" applyFont="1" fillId="16" applyFill="1" borderId="14" applyBorder="1" xfId="0" applyProtection="1" applyAlignment="1">
      <alignment horizontal="center" vertical="center" wrapText="1"/>
      <protection hidden="1"/>
    </xf>
    <xf numFmtId="0" fontId="21" applyFont="1" fillId="16" applyFill="1" borderId="75" applyBorder="1" xfId="0" applyProtection="1" applyAlignment="1">
      <alignment horizontal="center" vertical="center" wrapText="1"/>
      <protection hidden="1"/>
    </xf>
    <xf numFmtId="0" fontId="21" applyFont="1" fillId="16" applyFill="1" borderId="76" applyBorder="1" xfId="0" applyProtection="1" applyAlignment="1">
      <alignment horizontal="center" vertical="center" wrapText="1"/>
      <protection hidden="1"/>
    </xf>
    <xf numFmtId="0" fontId="4" applyFont="1" fillId="16" applyFill="1" borderId="17" applyBorder="1" xfId="0" applyProtection="1" applyAlignment="1">
      <alignment horizontal="center" vertical="center"/>
      <protection hidden="1"/>
    </xf>
    <xf numFmtId="0" fontId="4" applyFont="1" fillId="16" applyFill="1" borderId="11" applyBorder="1" xfId="0" applyProtection="1" applyAlignment="1">
      <alignment horizontal="center" vertical="center"/>
      <protection hidden="1"/>
    </xf>
    <xf numFmtId="0" fontId="4" applyFont="1" fillId="16" applyFill="1" borderId="18" applyBorder="1" xfId="0" applyProtection="1" applyAlignment="1">
      <alignment horizontal="center" vertical="center"/>
      <protection hidden="1"/>
    </xf>
    <xf numFmtId="0" fontId="0" fillId="0" borderId="0" xfId="0" applyProtection="1" applyAlignment="1">
      <protection hidden="1"/>
    </xf>
    <xf numFmtId="0" fontId="4" applyFont="1" fillId="16" applyFill="1" borderId="0" applyBorder="1" xfId="0" applyProtection="1" applyAlignment="1">
      <alignment horizontal="center"/>
      <protection hidden="1"/>
    </xf>
    <xf numFmtId="0" fontId="9" applyFont="1" fillId="16" applyFill="1" borderId="21" applyBorder="1" xfId="0" applyProtection="1" applyAlignment="1">
      <alignment horizontal="center"/>
      <protection hidden="1"/>
    </xf>
    <xf numFmtId="0" fontId="9" applyFont="1" fillId="16" applyFill="1" borderId="30" applyBorder="1" xfId="0" applyProtection="1" applyAlignment="1">
      <alignment horizontal="center"/>
      <protection hidden="1"/>
    </xf>
    <xf numFmtId="0" fontId="9" applyFont="1" fillId="16" applyFill="1" borderId="77" applyBorder="1" xfId="0" applyProtection="1" applyAlignment="1">
      <alignment horizontal="center"/>
      <protection hidden="1"/>
    </xf>
    <xf numFmtId="0" fontId="9" applyFont="1" fillId="16" applyFill="1" borderId="21" applyBorder="1" xfId="0" applyProtection="1" applyAlignment="1">
      <alignment horizontal="center" wrapText="1"/>
      <protection hidden="1"/>
    </xf>
    <xf numFmtId="0" fontId="9" applyFont="1" fillId="16" applyFill="1" borderId="30" applyBorder="1" xfId="0" applyProtection="1" applyAlignment="1">
      <alignment horizontal="center" wrapText="1"/>
      <protection hidden="1"/>
    </xf>
    <xf numFmtId="0" fontId="9" applyFont="1" fillId="16" applyFill="1" borderId="22" applyBorder="1" xfId="0" applyProtection="1" applyAlignment="1">
      <alignment horizontal="center" wrapText="1"/>
      <protection hidden="1"/>
    </xf>
    <xf numFmtId="0" fontId="4" applyFont="1" fillId="16" applyFill="1" borderId="0" applyBorder="1" xfId="0" applyProtection="1" applyAlignment="1">
      <alignment horizontal="center" wrapText="1"/>
      <protection hidden="1"/>
    </xf>
    <xf numFmtId="0" fontId="28" applyFont="1" fillId="16" applyFill="1" borderId="14" applyBorder="1" xfId="0" applyProtection="1" applyAlignment="1">
      <alignment horizontal="center" wrapText="1"/>
      <protection hidden="1"/>
    </xf>
    <xf numFmtId="0" fontId="28" applyFont="1" fillId="16" applyFill="1" borderId="75" applyBorder="1" xfId="0" applyProtection="1" applyAlignment="1">
      <alignment horizontal="center" wrapText="1"/>
      <protection hidden="1"/>
    </xf>
    <xf numFmtId="0" fontId="28" applyFont="1" fillId="16" applyFill="1" borderId="76" applyBorder="1" xfId="0" applyProtection="1" applyAlignment="1">
      <alignment horizontal="center" wrapText="1"/>
      <protection hidden="1"/>
    </xf>
    <xf numFmtId="0" fontId="22" applyFont="1" fillId="8" applyFill="1" borderId="14" applyBorder="1" xfId="0" applyProtection="1" applyAlignment="1">
      <alignment horizontal="center" wrapText="1"/>
      <protection hidden="1"/>
    </xf>
    <xf numFmtId="0" fontId="22" applyFont="1" fillId="8" applyFill="1" borderId="75" applyBorder="1" xfId="0" applyProtection="1" applyAlignment="1">
      <alignment horizontal="center" wrapText="1"/>
      <protection hidden="1"/>
    </xf>
    <xf numFmtId="0" fontId="22" applyFont="1" fillId="8" applyFill="1" borderId="76" applyBorder="1" xfId="0" applyProtection="1" applyAlignment="1">
      <alignment horizontal="center" wrapText="1"/>
      <protection hidden="1"/>
    </xf>
    <xf numFmtId="0" fontId="0" fillId="0" borderId="76" applyBorder="1" xfId="0" applyAlignment="1"/>
    <xf numFmtId="0" fontId="24" applyFont="1" fillId="12" applyFill="1" borderId="17" applyBorder="1" xfId="0" applyProtection="1" applyAlignment="1">
      <alignment horizontal="center" wrapText="1"/>
      <protection hidden="1"/>
    </xf>
    <xf numFmtId="0" fontId="24" applyFont="1" fillId="12" applyFill="1" borderId="11" applyBorder="1" xfId="0" applyProtection="1" applyAlignment="1">
      <alignment horizontal="center" wrapText="1"/>
      <protection hidden="1"/>
    </xf>
    <xf numFmtId="0" fontId="24" applyFont="1" fillId="12" applyFill="1" borderId="18" applyBorder="1" xfId="0" applyProtection="1" applyAlignment="1">
      <alignment horizontal="center" wrapText="1"/>
      <protection hidden="1"/>
    </xf>
    <xf numFmtId="0" fontId="21" applyFont="1" fillId="9" applyFill="1" borderId="17" applyBorder="1" xfId="0" applyProtection="1" applyAlignment="1">
      <alignment horizontal="center" wrapText="1"/>
      <protection hidden="1"/>
    </xf>
    <xf numFmtId="0" fontId="21" applyFont="1" fillId="9" applyFill="1" borderId="11" applyBorder="1" xfId="0" applyProtection="1" applyAlignment="1">
      <alignment horizontal="center" wrapText="1"/>
      <protection hidden="1"/>
    </xf>
    <xf numFmtId="0" fontId="21" applyFont="1" fillId="9" applyFill="1" borderId="18" applyBorder="1" xfId="0" applyProtection="1" applyAlignment="1">
      <alignment horizontal="center" wrapText="1"/>
      <protection hidden="1"/>
    </xf>
    <xf numFmtId="3" applyNumberFormat="1" fontId="8" applyFont="1" fillId="0" borderId="0" applyBorder="1" xfId="0" applyProtection="1" applyAlignment="1">
      <alignment wrapText="1"/>
      <protection hidden="1"/>
    </xf>
    <xf numFmtId="164" applyNumberFormat="1" fontId="21" applyFont="1" fillId="15" applyFill="1" borderId="17" applyBorder="1" xfId="0" applyProtection="1" applyAlignment="1">
      <alignment horizontal="center" wrapText="1"/>
      <protection hidden="1"/>
    </xf>
    <xf numFmtId="164" applyNumberFormat="1" fontId="21" applyFont="1" fillId="15" applyFill="1" borderId="11" applyBorder="1" xfId="0" applyProtection="1" applyAlignment="1">
      <alignment horizontal="center" wrapText="1"/>
      <protection hidden="1"/>
    </xf>
    <xf numFmtId="164" applyNumberFormat="1" fontId="21" applyFont="1" fillId="15" applyFill="1" borderId="18" applyBorder="1" xfId="0" applyProtection="1" applyAlignment="1">
      <alignment horizontal="center" wrapText="1"/>
      <protection hidden="1"/>
    </xf>
    <xf numFmtId="0" fontId="9" applyFont="1" fillId="0" borderId="0" xfId="0" applyProtection="1" applyAlignment="1">
      <alignment horizontal="center" wrapText="1"/>
      <protection hidden="1"/>
    </xf>
    <xf numFmtId="0" fontId="9" applyFont="1" fillId="15" applyFill="1" borderId="21" applyBorder="1" xfId="0" applyProtection="1" applyAlignment="1">
      <alignment horizontal="center"/>
      <protection hidden="1"/>
    </xf>
    <xf numFmtId="0" fontId="9" applyFont="1" fillId="15" applyFill="1" borderId="30" applyBorder="1" xfId="0" applyProtection="1" applyAlignment="1">
      <alignment horizontal="center"/>
      <protection hidden="1"/>
    </xf>
    <xf numFmtId="0" fontId="9" applyFont="1" fillId="15" applyFill="1" borderId="22" applyBorder="1" xfId="0" applyProtection="1" applyAlignment="1">
      <alignment horizontal="center"/>
      <protection hidden="1"/>
    </xf>
    <xf numFmtId="0" fontId="9" applyFont="1" fillId="15" applyFill="1" borderId="17" applyBorder="1" xfId="0" applyProtection="1" applyAlignment="1">
      <alignment horizontal="center"/>
      <protection hidden="1"/>
    </xf>
    <xf numFmtId="0" fontId="9" applyFont="1" fillId="15" applyFill="1" borderId="11" applyBorder="1" xfId="0" applyProtection="1" applyAlignment="1">
      <alignment horizontal="center"/>
      <protection hidden="1"/>
    </xf>
    <xf numFmtId="0" fontId="9" applyFont="1" fillId="15" applyFill="1" borderId="18" applyBorder="1" xfId="0" applyProtection="1" applyAlignment="1">
      <alignment horizontal="center"/>
      <protection hidden="1"/>
    </xf>
    <xf numFmtId="3" applyNumberFormat="1" fontId="20" applyFont="1" fillId="0" borderId="0" applyBorder="1" xfId="0" applyProtection="1" applyAlignment="1">
      <alignment wrapText="1"/>
      <protection hidden="1"/>
    </xf>
    <xf numFmtId="0" fontId="21" applyFont="1" fillId="15" applyFill="1" borderId="17" applyBorder="1" xfId="0" applyProtection="1" applyAlignment="1">
      <alignment horizontal="center" wrapText="1"/>
      <protection hidden="1"/>
    </xf>
    <xf numFmtId="0" fontId="21" applyFont="1" fillId="15" applyFill="1" borderId="11" applyBorder="1" xfId="0" applyProtection="1" applyAlignment="1">
      <alignment horizontal="center" wrapText="1"/>
      <protection hidden="1"/>
    </xf>
    <xf numFmtId="0" fontId="21" applyFont="1" fillId="15" applyFill="1" borderId="18" applyBorder="1" xfId="0" applyProtection="1" applyAlignment="1">
      <alignment horizontal="center" wrapText="1"/>
      <protection hidden="1"/>
    </xf>
    <xf numFmtId="0" fontId="21" applyFont="1" fillId="15" applyFill="1" borderId="17" applyBorder="1" xfId="0" applyProtection="1" applyAlignment="1">
      <alignment wrapText="1"/>
      <protection hidden="1"/>
    </xf>
    <xf numFmtId="0" fontId="21" applyFont="1" fillId="15" applyFill="1" borderId="11" applyBorder="1" xfId="0" applyProtection="1" applyAlignment="1">
      <alignment wrapText="1"/>
      <protection hidden="1"/>
    </xf>
    <xf numFmtId="0" fontId="21" applyFont="1" fillId="15" applyFill="1" borderId="18" applyBorder="1" xfId="0" applyProtection="1" applyAlignment="1">
      <alignment wrapText="1"/>
      <protection hidden="1"/>
    </xf>
    <xf numFmtId="0" fontId="19" applyFont="1" fillId="8" applyFill="1" borderId="14" applyBorder="1" xfId="0" applyProtection="1" applyAlignment="1">
      <alignment horizontal="center" wrapText="1"/>
      <protection hidden="1"/>
    </xf>
    <xf numFmtId="0" fontId="19" applyFont="1" fillId="8" applyFill="1" borderId="75" applyBorder="1" xfId="0" applyProtection="1" applyAlignment="1">
      <alignment horizontal="center" wrapText="1"/>
      <protection hidden="1"/>
    </xf>
    <xf numFmtId="0" fontId="19" applyFont="1" fillId="8" applyFill="1" borderId="76" applyBorder="1" xfId="0" applyProtection="1" applyAlignment="1">
      <alignment horizontal="center" wrapText="1"/>
      <protection hidden="1"/>
    </xf>
    <xf numFmtId="0" fontId="21" applyFont="1" fillId="9" applyFill="1" borderId="17" applyBorder="1" xfId="0" applyProtection="1" applyAlignment="1">
      <alignment horizontal="center"/>
      <protection hidden="1"/>
    </xf>
    <xf numFmtId="0" fontId="21" applyFont="1" fillId="9" applyFill="1" borderId="11" applyBorder="1" xfId="0" applyProtection="1" applyAlignment="1">
      <alignment horizontal="center"/>
      <protection hidden="1"/>
    </xf>
    <xf numFmtId="0" fontId="21" applyFont="1" fillId="9" applyFill="1" borderId="18" applyBorder="1" xfId="0" applyProtection="1" applyAlignment="1">
      <alignment horizontal="center"/>
      <protection hidden="1"/>
    </xf>
    <xf numFmtId="0" fontId="2" applyFont="1" fillId="0" applyFill="1" borderId="0" applyBorder="1" xfId="0" applyProtection="1" applyAlignment="1">
      <alignment horizontal="center" vertical="top" wrapText="1"/>
      <protection hidden="1"/>
    </xf>
    <xf numFmtId="0" fontId="2" applyFont="1" fillId="0" borderId="2" applyBorder="1" xfId="0" applyProtection="1" applyAlignment="1">
      <alignment horizontal="left"/>
      <protection hidden="1"/>
    </xf>
    <xf numFmtId="0" fontId="9" applyFont="1" fillId="17" applyFill="1" borderId="21" applyBorder="1" xfId="0" applyProtection="1" applyAlignment="1">
      <alignment horizontal="center" vertical="center" wrapText="1"/>
      <protection hidden="1"/>
    </xf>
    <xf numFmtId="0" fontId="9" applyFont="1" fillId="17" applyFill="1" borderId="30" applyBorder="1" xfId="0" applyProtection="1" applyAlignment="1">
      <alignment horizontal="center" vertical="center" wrapText="1"/>
      <protection hidden="1"/>
    </xf>
    <xf numFmtId="0" fontId="9" applyFont="1" fillId="17" applyFill="1" borderId="22" applyBorder="1" xfId="0" applyProtection="1" applyAlignment="1">
      <alignment horizontal="center" vertical="center" wrapText="1"/>
      <protection hidden="1"/>
    </xf>
    <xf numFmtId="0" fontId="9" applyFont="1" fillId="17" applyFill="1" borderId="17" applyBorder="1" xfId="0" applyProtection="1" applyAlignment="1">
      <alignment horizontal="center" vertical="center" wrapText="1"/>
      <protection hidden="1"/>
    </xf>
    <xf numFmtId="0" fontId="9" applyFont="1" fillId="17" applyFill="1" borderId="11" applyBorder="1" xfId="0" applyProtection="1" applyAlignment="1">
      <alignment horizontal="center" vertical="center" wrapText="1"/>
      <protection hidden="1"/>
    </xf>
    <xf numFmtId="0" fontId="9" applyFont="1" fillId="17" applyFill="1" borderId="18" applyBorder="1" xfId="0" applyProtection="1" applyAlignment="1">
      <alignment horizontal="center" vertical="center" wrapText="1"/>
      <protection hidden="1"/>
    </xf>
    <xf numFmtId="0" fontId="22" applyFont="1" fillId="8" applyFill="1" borderId="14" applyBorder="1" xfId="0" applyProtection="1" applyAlignment="1">
      <alignment horizontal="center" vertical="center" wrapText="1"/>
      <protection hidden="1"/>
    </xf>
    <xf numFmtId="0" fontId="22" applyFont="1" fillId="8" applyFill="1" borderId="75" applyBorder="1" xfId="0" applyProtection="1" applyAlignment="1">
      <alignment horizontal="center" vertical="center" wrapText="1"/>
      <protection hidden="1"/>
    </xf>
    <xf numFmtId="0" fontId="22" applyFont="1" fillId="8" applyFill="1" borderId="76" applyBorder="1" xfId="0" applyProtection="1" applyAlignment="1">
      <alignment horizontal="center" vertical="center" wrapText="1"/>
      <protection hidden="1"/>
    </xf>
    <xf numFmtId="0" fontId="21" applyFont="1" fillId="9" applyFill="1" borderId="13" applyBorder="1" xfId="0" applyProtection="1" applyAlignment="1">
      <alignment horizontal="center" wrapText="1"/>
      <protection hidden="1"/>
    </xf>
    <xf numFmtId="0" fontId="21" applyFont="1" fillId="9" applyFill="1" borderId="78" applyBorder="1" xfId="0" applyProtection="1" applyAlignment="1">
      <alignment horizontal="center" wrapText="1"/>
      <protection hidden="1"/>
    </xf>
    <xf numFmtId="0" fontId="21" applyFont="1" fillId="9" applyFill="1" borderId="68" applyBorder="1" xfId="0" applyProtection="1" applyAlignment="1">
      <alignment horizontal="center" wrapText="1"/>
      <protection hidden="1"/>
    </xf>
    <xf numFmtId="0" fontId="9" applyFont="1" fillId="17" applyFill="1" borderId="21" applyBorder="1" xfId="0" applyProtection="1" applyAlignment="1">
      <alignment horizontal="center"/>
      <protection hidden="1"/>
    </xf>
    <xf numFmtId="0" fontId="9" applyFont="1" fillId="17" applyFill="1" borderId="30" applyBorder="1" xfId="0" applyProtection="1" applyAlignment="1">
      <alignment horizontal="center"/>
      <protection hidden="1"/>
    </xf>
    <xf numFmtId="0" fontId="9" applyFont="1" fillId="17" applyFill="1" borderId="22" applyBorder="1" xfId="0" applyProtection="1" applyAlignment="1">
      <alignment horizontal="center"/>
      <protection hidden="1"/>
    </xf>
    <xf numFmtId="0" fontId="21" applyFont="1" fillId="17" applyFill="1" borderId="17" applyBorder="1" xfId="0" applyProtection="1" applyAlignment="1">
      <alignment horizontal="center"/>
      <protection hidden="1"/>
    </xf>
    <xf numFmtId="0" fontId="21" applyFont="1" fillId="17" applyFill="1" borderId="11" applyBorder="1" xfId="0" applyProtection="1" applyAlignment="1">
      <alignment horizontal="center"/>
      <protection hidden="1"/>
    </xf>
    <xf numFmtId="0" fontId="21" applyFont="1" fillId="17" applyFill="1" borderId="18" applyBorder="1" xfId="0" applyProtection="1" applyAlignment="1">
      <alignment horizontal="center"/>
      <protection hidden="1"/>
    </xf>
    <xf numFmtId="164" applyNumberFormat="1" fontId="21" applyFont="1" fillId="9" applyFill="1" borderId="13" applyBorder="1" xfId="0" applyProtection="1" applyAlignment="1">
      <alignment horizontal="center" wrapText="1"/>
      <protection hidden="1"/>
    </xf>
    <xf numFmtId="164" applyNumberFormat="1" fontId="21" applyFont="1" fillId="9" applyFill="1" borderId="78" applyBorder="1" xfId="0" applyProtection="1" applyAlignment="1">
      <alignment horizontal="center" wrapText="1"/>
      <protection hidden="1"/>
    </xf>
    <xf numFmtId="164" applyNumberFormat="1" fontId="21" applyFont="1" fillId="9" applyFill="1" borderId="68" applyBorder="1" xfId="0" applyProtection="1" applyAlignment="1">
      <alignment horizontal="center" wrapText="1"/>
      <protection hidden="1"/>
    </xf>
    <xf numFmtId="0" fontId="21" applyFont="1" fillId="9" applyFill="1" borderId="45" applyBorder="1" xfId="0" applyProtection="1" applyAlignment="1">
      <alignment horizontal="center" wrapText="1"/>
      <protection hidden="1"/>
    </xf>
    <xf numFmtId="0" fontId="21" applyFont="1" fillId="9" applyFill="1" borderId="47" applyBorder="1" xfId="0" applyProtection="1" applyAlignment="1">
      <alignment horizontal="center" wrapText="1"/>
      <protection hidden="1"/>
    </xf>
    <xf numFmtId="0" fontId="21" applyFont="1" fillId="9" applyFill="1" borderId="46" applyBorder="1" xfId="0" applyProtection="1" applyAlignment="1">
      <alignment horizontal="center" wrapText="1"/>
      <protection hidden="1"/>
    </xf>
    <xf numFmtId="0" fontId="21" applyFont="1" fillId="11" applyFill="1" borderId="17" applyBorder="1" xfId="0" applyProtection="1" applyAlignment="1">
      <alignment horizontal="center" wrapText="1"/>
      <protection hidden="1"/>
    </xf>
    <xf numFmtId="0" fontId="21" applyFont="1" fillId="11" applyFill="1" borderId="11" applyBorder="1" xfId="0" applyProtection="1" applyAlignment="1">
      <alignment horizontal="center" wrapText="1"/>
      <protection hidden="1"/>
    </xf>
    <xf numFmtId="0" fontId="21" applyFont="1" fillId="11" applyFill="1" borderId="18" applyBorder="1" xfId="0" applyProtection="1" applyAlignment="1">
      <alignment horizontal="center" wrapText="1"/>
      <protection hidden="1"/>
    </xf>
    <xf numFmtId="0" fontId="9" applyFont="1" fillId="11" applyFill="1" borderId="21" applyBorder="1" xfId="0" applyProtection="1" applyAlignment="1">
      <alignment horizontal="center" wrapText="1"/>
      <protection hidden="1"/>
    </xf>
    <xf numFmtId="0" fontId="9" applyFont="1" fillId="11" applyFill="1" borderId="30" applyBorder="1" xfId="0" applyProtection="1" applyAlignment="1">
      <alignment horizontal="center" wrapText="1"/>
      <protection hidden="1"/>
    </xf>
    <xf numFmtId="0" fontId="9" applyFont="1" fillId="11" applyFill="1" borderId="22" applyBorder="1" xfId="0" applyProtection="1" applyAlignment="1">
      <alignment horizontal="center" wrapText="1"/>
      <protection hidden="1"/>
    </xf>
    <xf numFmtId="0" fontId="9" applyFont="1" fillId="11" applyFill="1" borderId="17" applyBorder="1" xfId="0" applyProtection="1" applyAlignment="1">
      <alignment horizontal="center"/>
      <protection hidden="1"/>
    </xf>
    <xf numFmtId="0" fontId="9" applyFont="1" fillId="11" applyFill="1" borderId="11" applyBorder="1" xfId="0" applyProtection="1" applyAlignment="1">
      <alignment horizontal="center"/>
      <protection hidden="1"/>
    </xf>
    <xf numFmtId="0" fontId="9" applyFont="1" fillId="11" applyFill="1" borderId="18" applyBorder="1" xfId="0" applyProtection="1" applyAlignment="1">
      <alignment horizontal="center"/>
      <protection hidden="1"/>
    </xf>
    <xf numFmtId="0" fontId="22" applyFont="1" fillId="4" applyFill="1" borderId="14" applyBorder="1" xfId="0" applyProtection="1" applyAlignment="1">
      <alignment horizontal="center" vertical="center" wrapText="1"/>
      <protection hidden="1"/>
    </xf>
    <xf numFmtId="0" fontId="22" applyFont="1" fillId="4" applyFill="1" borderId="75" applyBorder="1" xfId="0" applyProtection="1" applyAlignment="1">
      <alignment horizontal="center" vertical="center" wrapText="1"/>
      <protection hidden="1"/>
    </xf>
    <xf numFmtId="0" fontId="22" applyFont="1" fillId="4" applyFill="1" borderId="76" applyBorder="1" xfId="0" applyProtection="1" applyAlignment="1">
      <alignment horizontal="center" vertical="center" wrapText="1"/>
      <protection hidden="1"/>
    </xf>
    <xf numFmtId="0" fontId="47" applyFont="1" fillId="11" applyFill="1" borderId="17" applyBorder="1" xfId="0" applyProtection="1" applyAlignment="1">
      <alignment horizontal="center" wrapText="1"/>
      <protection hidden="1"/>
    </xf>
    <xf numFmtId="0" fontId="47" applyFont="1" fillId="11" applyFill="1" borderId="11" applyBorder="1" xfId="0" applyProtection="1" applyAlignment="1">
      <alignment horizontal="center" wrapText="1"/>
      <protection hidden="1"/>
    </xf>
    <xf numFmtId="0" fontId="47" applyFont="1" fillId="11" applyFill="1" borderId="18" applyBorder="1" xfId="0" applyProtection="1" applyAlignment="1">
      <alignment horizontal="center" wrapText="1"/>
      <protection hidden="1"/>
    </xf>
    <xf numFmtId="0" fontId="44" applyFont="1" fillId="11" applyFill="1" borderId="17" applyBorder="1" xfId="0" applyProtection="1" applyAlignment="1">
      <alignment horizontal="center"/>
      <protection hidden="1"/>
    </xf>
    <xf numFmtId="0" fontId="44" applyFont="1" fillId="11" applyFill="1" borderId="11" applyBorder="1" xfId="0" applyProtection="1" applyAlignment="1">
      <alignment horizontal="center"/>
      <protection hidden="1"/>
    </xf>
    <xf numFmtId="0" fontId="44" applyFont="1" fillId="11" applyFill="1" borderId="18" applyBorder="1" xfId="0" applyProtection="1" applyAlignment="1">
      <alignment horizontal="center"/>
      <protection hidden="1"/>
    </xf>
    <xf numFmtId="0" fontId="9" applyFont="1" fillId="9" applyFill="1" borderId="21" applyBorder="1" xfId="0" applyProtection="1" applyAlignment="1">
      <alignment horizontal="center" wrapText="1"/>
      <protection hidden="1"/>
    </xf>
    <xf numFmtId="0" fontId="9" applyFont="1" fillId="9" applyFill="1" borderId="30" applyBorder="1" xfId="0" applyProtection="1" applyAlignment="1">
      <alignment horizontal="center" wrapText="1"/>
      <protection hidden="1"/>
    </xf>
    <xf numFmtId="0" fontId="9" applyFont="1" fillId="9" applyFill="1" borderId="22" applyBorder="1" xfId="0" applyProtection="1" applyAlignment="1">
      <alignment horizontal="center" wrapText="1"/>
      <protection hidden="1"/>
    </xf>
    <xf numFmtId="0" fontId="9" applyFont="1" fillId="9" applyFill="1" borderId="17" applyBorder="1" xfId="0" applyProtection="1" applyAlignment="1">
      <alignment horizontal="center"/>
      <protection hidden="1"/>
    </xf>
    <xf numFmtId="0" fontId="9" applyFont="1" fillId="9" applyFill="1" borderId="11" applyBorder="1" xfId="0" applyProtection="1" applyAlignment="1">
      <alignment horizontal="center"/>
      <protection hidden="1"/>
    </xf>
    <xf numFmtId="0" fontId="9" applyFont="1" fillId="9" applyFill="1" borderId="18" applyBorder="1" xfId="0" applyProtection="1" applyAlignment="1">
      <alignment horizontal="center"/>
      <protection hidden="1"/>
    </xf>
    <xf numFmtId="0" fontId="2" applyFont="1" fillId="0" applyFill="1" borderId="2" applyBorder="1" xfId="0" applyProtection="1" applyAlignment="1">
      <alignment horizontal="left" vertical="top" wrapText="1"/>
      <protection hidden="1"/>
    </xf>
    <xf numFmtId="0" fontId="2" applyFont="1" fillId="0" applyFill="1" borderId="0" applyBorder="1" xfId="0" applyProtection="1" applyAlignment="1">
      <alignment horizontal="left" vertical="top" wrapText="1"/>
      <protection hidden="1"/>
    </xf>
    <xf numFmtId="0" fontId="47" applyFont="1" fillId="9" applyFill="1" borderId="17" applyBorder="1" xfId="0" applyProtection="1" applyAlignment="1">
      <alignment horizontal="center" wrapText="1"/>
      <protection hidden="1"/>
    </xf>
    <xf numFmtId="0" fontId="47" applyFont="1" fillId="9" applyFill="1" borderId="11" applyBorder="1" xfId="0" applyProtection="1" applyAlignment="1">
      <alignment horizontal="center" wrapText="1"/>
      <protection hidden="1"/>
    </xf>
    <xf numFmtId="0" fontId="47" applyFont="1" fillId="9" applyFill="1" borderId="18" applyBorder="1" xfId="0" applyProtection="1" applyAlignment="1">
      <alignment horizontal="center" wrapText="1"/>
      <protection hidden="1"/>
    </xf>
    <xf numFmtId="0" fontId="9" applyFont="1" fillId="12" applyFill="1" borderId="21" applyBorder="1" xfId="0" applyProtection="1" applyAlignment="1">
      <alignment horizontal="center" wrapText="1"/>
      <protection hidden="1"/>
    </xf>
    <xf numFmtId="0" fontId="9" applyFont="1" fillId="12" applyFill="1" borderId="30" applyBorder="1" xfId="0" applyProtection="1" applyAlignment="1">
      <alignment horizontal="center" wrapText="1"/>
      <protection hidden="1"/>
    </xf>
    <xf numFmtId="0" fontId="9" applyFont="1" fillId="12" applyFill="1" borderId="22" applyBorder="1" xfId="0" applyProtection="1" applyAlignment="1">
      <alignment horizontal="center" wrapText="1"/>
      <protection hidden="1"/>
    </xf>
    <xf numFmtId="0" fontId="9" applyFont="1" fillId="12" applyFill="1" borderId="17" applyBorder="1" xfId="0" applyProtection="1" applyAlignment="1">
      <alignment horizontal="center" wrapText="1"/>
      <protection hidden="1"/>
    </xf>
    <xf numFmtId="0" fontId="9" applyFont="1" fillId="12" applyFill="1" borderId="11" applyBorder="1" xfId="0" applyProtection="1" applyAlignment="1">
      <alignment horizontal="center" wrapText="1"/>
      <protection hidden="1"/>
    </xf>
    <xf numFmtId="0" fontId="9" applyFont="1" fillId="12" applyFill="1" borderId="18" applyBorder="1" xfId="0" applyProtection="1" applyAlignment="1">
      <alignment horizontal="center" wrapText="1"/>
      <protection hidden="1"/>
    </xf>
    <xf numFmtId="0" fontId="52" applyFont="1" fillId="12" applyFill="1" borderId="17" applyBorder="1" xfId="0" applyProtection="1" applyAlignment="1">
      <alignment horizontal="center" wrapText="1"/>
      <protection hidden="1"/>
    </xf>
    <xf numFmtId="0" fontId="52" applyFont="1" fillId="12" applyFill="1" borderId="11" applyBorder="1" xfId="0" applyProtection="1" applyAlignment="1">
      <alignment horizontal="center" wrapText="1"/>
      <protection hidden="1"/>
    </xf>
    <xf numFmtId="0" fontId="52" applyFont="1" fillId="12" applyFill="1" borderId="18" applyBorder="1" xfId="0" applyProtection="1" applyAlignment="1">
      <alignment horizontal="center" wrapText="1"/>
      <protection hidden="1"/>
    </xf>
    <xf numFmtId="0" fontId="47" applyFont="1" fillId="12" applyFill="1" borderId="17" applyBorder="1" xfId="0" applyProtection="1" applyAlignment="1">
      <alignment horizontal="center" wrapText="1"/>
      <protection hidden="1"/>
    </xf>
    <xf numFmtId="0" fontId="47" applyFont="1" fillId="12" applyFill="1" borderId="11" applyBorder="1" xfId="0" applyProtection="1" applyAlignment="1">
      <alignment horizontal="center" wrapText="1"/>
      <protection hidden="1"/>
    </xf>
    <xf numFmtId="0" fontId="47" applyFont="1" fillId="12" applyFill="1" borderId="18" applyBorder="1" xfId="0" applyProtection="1" applyAlignment="1">
      <alignment horizontal="center" wrapText="1"/>
      <protection hidden="1"/>
    </xf>
    <xf numFmtId="0" fontId="9" applyFont="1" fillId="12" applyFill="1" borderId="17" applyBorder="1" xfId="0" applyProtection="1" applyAlignment="1">
      <alignment horizontal="center"/>
      <protection hidden="1"/>
    </xf>
    <xf numFmtId="0" fontId="9" applyFont="1" fillId="12" applyFill="1" borderId="11" applyBorder="1" xfId="0" applyProtection="1" applyAlignment="1">
      <alignment horizontal="center"/>
      <protection hidden="1"/>
    </xf>
    <xf numFmtId="0" fontId="9" applyFont="1" fillId="12" applyFill="1" borderId="18" applyBorder="1" xfId="0" applyProtection="1" applyAlignment="1">
      <alignment horizontal="center"/>
      <protection hidden="1"/>
    </xf>
    <xf numFmtId="0" fontId="9" applyFont="1" fillId="2" applyFill="1" borderId="17" applyBorder="1" xfId="0" applyProtection="1" applyAlignment="1">
      <alignment horizontal="center"/>
      <protection hidden="1"/>
    </xf>
    <xf numFmtId="0" fontId="9" applyFont="1" fillId="2" applyFill="1" borderId="11" applyBorder="1" xfId="0" applyProtection="1" applyAlignment="1">
      <alignment horizontal="center"/>
      <protection hidden="1"/>
    </xf>
    <xf numFmtId="0" fontId="9" applyFont="1" fillId="2" applyFill="1" borderId="18" applyBorder="1" xfId="0" applyProtection="1" applyAlignment="1">
      <alignment horizontal="center"/>
      <protection hidden="1"/>
    </xf>
    <xf numFmtId="0" fontId="9" applyFont="1" fillId="2" applyFill="1" borderId="21" applyBorder="1" xfId="0" applyProtection="1" applyAlignment="1">
      <alignment horizontal="center" wrapText="1"/>
      <protection hidden="1"/>
    </xf>
    <xf numFmtId="0" fontId="9" applyFont="1" fillId="2" applyFill="1" borderId="30" applyBorder="1" xfId="0" applyProtection="1" applyAlignment="1">
      <alignment horizontal="center" wrapText="1"/>
      <protection hidden="1"/>
    </xf>
    <xf numFmtId="0" fontId="9" applyFont="1" fillId="2" applyFill="1" borderId="22" applyBorder="1" xfId="0" applyProtection="1" applyAlignment="1">
      <alignment horizontal="center" wrapText="1"/>
      <protection hidden="1"/>
    </xf>
    <xf numFmtId="0" fontId="21" applyFont="1" fillId="2" applyFill="1" borderId="17" applyBorder="1" xfId="0" applyProtection="1" applyAlignment="1">
      <alignment horizontal="center" wrapText="1"/>
      <protection hidden="1"/>
    </xf>
    <xf numFmtId="0" fontId="21" applyFont="1" fillId="2" applyFill="1" borderId="11" applyBorder="1" xfId="0" applyProtection="1" applyAlignment="1">
      <alignment horizontal="center" wrapText="1"/>
      <protection hidden="1"/>
    </xf>
    <xf numFmtId="0" fontId="21" applyFont="1" fillId="2" applyFill="1" borderId="18" applyBorder="1" xfId="0" applyProtection="1" applyAlignment="1">
      <alignment horizontal="center" wrapText="1"/>
      <protection hidden="1"/>
    </xf>
    <xf numFmtId="0" fontId="2" applyFont="1" fillId="0" borderId="0" xfId="0" applyAlignment="1">
      <alignment horizontal="left" vertical="top" wrapText="1"/>
    </xf>
    <xf numFmtId="0" fontId="0" fillId="0" borderId="0" xfId="0" applyAlignment="1">
      <alignment horizontal="left" wrapText="1"/>
    </xf>
    <xf numFmtId="0" fontId="22" applyFont="1" fillId="4" applyFill="1" borderId="14" applyBorder="1" xfId="0" applyAlignment="1">
      <alignment horizontal="center" vertical="center" wrapText="1"/>
    </xf>
    <xf numFmtId="0" fontId="22" applyFont="1" fillId="4" applyFill="1" borderId="75" applyBorder="1" xfId="0" applyAlignment="1">
      <alignment horizontal="center" vertical="center" wrapText="1"/>
    </xf>
    <xf numFmtId="0" fontId="22" applyFont="1" fillId="4" applyFill="1" borderId="76" applyBorder="1" xfId="0" applyAlignment="1">
      <alignment horizontal="center" vertical="center" wrapText="1"/>
    </xf>
    <xf numFmtId="0" fontId="47" applyFont="1" fillId="2" applyFill="1" borderId="17" applyBorder="1" xfId="0" applyAlignment="1">
      <alignment horizontal="center" wrapText="1"/>
    </xf>
    <xf numFmtId="0" fontId="47" applyFont="1" fillId="2" applyFill="1" borderId="11" applyBorder="1" xfId="0" applyAlignment="1">
      <alignment horizontal="center" wrapText="1"/>
    </xf>
    <xf numFmtId="0" fontId="47" applyFont="1" fillId="2" applyFill="1" borderId="18" applyBorder="1" xfId="0" applyAlignment="1">
      <alignment horizontal="center" wrapText="1"/>
    </xf>
    <xf numFmtId="0" fontId="4" applyFont="1" fillId="0" borderId="0" xfId="0" applyAlignment="1">
      <alignment horizontal="center"/>
    </xf>
    <xf numFmtId="0" fontId="9" applyFont="1" fillId="2" applyFill="1" borderId="21" applyBorder="1" xfId="0" applyAlignment="1">
      <alignment horizontal="center" wrapText="1"/>
    </xf>
    <xf numFmtId="0" fontId="9" applyFont="1" fillId="2" applyFill="1" borderId="30" applyBorder="1" xfId="0" applyAlignment="1">
      <alignment horizontal="center" wrapText="1"/>
    </xf>
    <xf numFmtId="0" fontId="9" applyFont="1" fillId="2" applyFill="1" borderId="22" applyBorder="1" xfId="0" applyAlignment="1">
      <alignment horizontal="center" wrapText="1"/>
    </xf>
    <xf numFmtId="0" fontId="9" applyFont="1" fillId="2" applyFill="1" borderId="17" applyBorder="1" xfId="0" applyAlignment="1">
      <alignment horizontal="center"/>
    </xf>
    <xf numFmtId="0" fontId="9" applyFont="1" fillId="2" applyFill="1" borderId="11" applyBorder="1" xfId="0" applyAlignment="1">
      <alignment horizontal="center"/>
    </xf>
    <xf numFmtId="0" fontId="9" applyFont="1" fillId="2" applyFill="1" borderId="18" applyBorder="1" xfId="0" applyAlignment="1">
      <alignment horizontal="center"/>
    </xf>
    <xf numFmtId="0" fontId="47" applyFont="1" fillId="13" applyFill="1" borderId="17" applyBorder="1" xfId="0" applyProtection="1" applyAlignment="1">
      <alignment horizontal="center" wrapText="1"/>
      <protection hidden="1"/>
    </xf>
    <xf numFmtId="0" fontId="47" applyFont="1" fillId="13" applyFill="1" borderId="11" applyBorder="1" xfId="0" applyProtection="1" applyAlignment="1">
      <alignment horizontal="center" wrapText="1"/>
      <protection hidden="1"/>
    </xf>
    <xf numFmtId="0" fontId="47" applyFont="1" fillId="13" applyFill="1" borderId="18" applyBorder="1" xfId="0" applyProtection="1" applyAlignment="1">
      <alignment horizontal="center" wrapText="1"/>
      <protection hidden="1"/>
    </xf>
    <xf numFmtId="3" applyNumberFormat="1" fontId="20" applyFont="1" fillId="0" applyFill="1" borderId="1" applyBorder="1" xfId="0" applyProtection="1" applyAlignment="1">
      <alignment horizontal="center" vertical="distributed"/>
      <protection hidden="1"/>
    </xf>
    <xf numFmtId="0" fontId="0" fillId="0" borderId="2" applyBorder="1" xfId="0"/>
    <xf numFmtId="0" fontId="0" fillId="0" borderId="3" applyBorder="1" xfId="0"/>
    <xf numFmtId="0" fontId="0" fillId="0" borderId="6" applyBorder="1" xfId="0"/>
    <xf numFmtId="0" fontId="0" fillId="0" borderId="7" applyBorder="1" xfId="0"/>
    <xf numFmtId="0" fontId="0" fillId="0" borderId="8" applyBorder="1" xfId="0"/>
    <xf numFmtId="0" fontId="53" applyFont="1" fillId="0" applyFill="1" borderId="0" applyBorder="1" xfId="0" applyProtection="1" applyAlignment="1">
      <alignment wrapText="1"/>
      <protection hidden="1"/>
    </xf>
    <xf numFmtId="0" fontId="38" applyFont="1" fillId="13" applyFill="1" borderId="21" applyBorder="1" xfId="0" applyProtection="1" applyAlignment="1">
      <alignment horizontal="center" wrapText="1"/>
      <protection hidden="1"/>
    </xf>
    <xf numFmtId="0" fontId="38" applyFont="1" fillId="13" applyFill="1" borderId="30" applyBorder="1" xfId="0" applyProtection="1" applyAlignment="1">
      <alignment horizontal="center" wrapText="1"/>
      <protection hidden="1"/>
    </xf>
    <xf numFmtId="0" fontId="38" applyFont="1" fillId="13" applyFill="1" borderId="22" applyBorder="1" xfId="0" applyProtection="1" applyAlignment="1">
      <alignment horizontal="center" wrapText="1"/>
      <protection hidden="1"/>
    </xf>
    <xf numFmtId="0" fontId="38" applyFont="1" fillId="13" applyFill="1" borderId="17" applyBorder="1" xfId="0" applyProtection="1" applyAlignment="1">
      <alignment horizontal="center"/>
      <protection hidden="1"/>
    </xf>
    <xf numFmtId="0" fontId="38" applyFont="1" fillId="13" applyFill="1" borderId="11" applyBorder="1" xfId="0" applyProtection="1" applyAlignment="1">
      <alignment horizontal="center"/>
      <protection hidden="1"/>
    </xf>
    <xf numFmtId="0" fontId="38" applyFont="1" fillId="13" applyFill="1" borderId="18" applyBorder="1" xfId="0" applyProtection="1" applyAlignment="1">
      <alignment horizontal="center"/>
      <protection hidden="1"/>
    </xf>
    <xf numFmtId="0" fontId="4" applyFont="1" fillId="0" borderId="0" xfId="0" applyProtection="1" applyAlignment="1">
      <protection hidden="1"/>
    </xf>
    <xf numFmtId="0" fontId="54" applyFont="1" fillId="0" applyFill="1" borderId="1" applyBorder="1" xfId="0" applyProtection="1" applyAlignment="1">
      <alignment horizontal="center" vertical="distributed" wrapText="1"/>
      <protection hidden="1"/>
    </xf>
    <xf numFmtId="0" fontId="54" applyFont="1" fillId="0" applyFill="1" borderId="2" applyBorder="1" xfId="0" applyProtection="1" applyAlignment="1">
      <alignment horizontal="center" vertical="distributed" wrapText="1"/>
      <protection hidden="1"/>
    </xf>
    <xf numFmtId="0" fontId="54" applyFont="1" fillId="0" applyFill="1" borderId="3" applyBorder="1" xfId="0" applyProtection="1" applyAlignment="1">
      <alignment horizontal="center" vertical="distributed" wrapText="1"/>
      <protection hidden="1"/>
    </xf>
    <xf numFmtId="0" fontId="54" applyFont="1" fillId="0" applyFill="1" borderId="6" applyBorder="1" xfId="0" applyProtection="1" applyAlignment="1">
      <alignment horizontal="center" vertical="distributed" wrapText="1"/>
      <protection hidden="1"/>
    </xf>
    <xf numFmtId="0" fontId="54" applyFont="1" fillId="0" applyFill="1" borderId="7" applyBorder="1" xfId="0" applyProtection="1" applyAlignment="1">
      <alignment horizontal="center" vertical="distributed" wrapText="1"/>
      <protection hidden="1"/>
    </xf>
    <xf numFmtId="0" fontId="54" applyFont="1" fillId="0" applyFill="1" borderId="8" applyBorder="1" xfId="0" applyProtection="1" applyAlignment="1">
      <alignment horizontal="center" vertical="distributed" wrapText="1"/>
      <protection hidden="1"/>
    </xf>
    <xf numFmtId="0" fontId="9" applyFont="1" fillId="13" applyFill="1" borderId="21" applyBorder="1" xfId="0" applyProtection="1" applyAlignment="1">
      <alignment horizontal="center" wrapText="1"/>
      <protection hidden="1"/>
    </xf>
    <xf numFmtId="0" fontId="9" applyFont="1" fillId="13" applyFill="1" borderId="30" applyBorder="1" xfId="0" applyProtection="1" applyAlignment="1">
      <alignment horizontal="center" wrapText="1"/>
      <protection hidden="1"/>
    </xf>
    <xf numFmtId="0" fontId="9" applyFont="1" fillId="13" applyFill="1" borderId="22" applyBorder="1" xfId="0" applyProtection="1" applyAlignment="1">
      <alignment horizontal="center" wrapText="1"/>
      <protection hidden="1"/>
    </xf>
    <xf numFmtId="0" fontId="9" applyFont="1" fillId="13" applyFill="1" borderId="17" applyBorder="1" xfId="0" applyProtection="1" applyAlignment="1">
      <alignment horizontal="center"/>
      <protection hidden="1"/>
    </xf>
    <xf numFmtId="0" fontId="9" applyFont="1" fillId="13" applyFill="1" borderId="11" applyBorder="1" xfId="0" applyProtection="1" applyAlignment="1">
      <alignment horizontal="center"/>
      <protection hidden="1"/>
    </xf>
    <xf numFmtId="0" fontId="9" applyFont="1" fillId="13" applyFill="1" borderId="18" applyBorder="1" xfId="0" applyProtection="1" applyAlignment="1">
      <alignment horizontal="center"/>
      <protection hidden="1"/>
    </xf>
    <xf numFmtId="3" applyNumberFormat="1" fontId="20" applyFont="1" fillId="0" applyFill="1" borderId="2" applyBorder="1" xfId="0" applyProtection="1" applyAlignment="1">
      <alignment horizontal="center" vertical="distributed"/>
      <protection hidden="1"/>
    </xf>
    <xf numFmtId="3" applyNumberFormat="1" fontId="20" applyFont="1" fillId="0" applyFill="1" borderId="3" applyBorder="1" xfId="0" applyProtection="1" applyAlignment="1">
      <alignment horizontal="center" vertical="distributed"/>
      <protection hidden="1"/>
    </xf>
    <xf numFmtId="3" applyNumberFormat="1" fontId="20" applyFont="1" fillId="0" applyFill="1" borderId="6" applyBorder="1" xfId="0" applyProtection="1" applyAlignment="1">
      <alignment horizontal="center" vertical="distributed"/>
      <protection hidden="1"/>
    </xf>
    <xf numFmtId="3" applyNumberFormat="1" fontId="20" applyFont="1" fillId="0" applyFill="1" borderId="7" applyBorder="1" xfId="0" applyProtection="1" applyAlignment="1">
      <alignment horizontal="center" vertical="distributed"/>
      <protection hidden="1"/>
    </xf>
    <xf numFmtId="3" applyNumberFormat="1" fontId="20" applyFont="1" fillId="0" applyFill="1" borderId="8" applyBorder="1" xfId="0" applyProtection="1" applyAlignment="1">
      <alignment horizontal="center" vertical="distributed"/>
      <protection hidden="1"/>
    </xf>
    <xf numFmtId="0" fontId="9" applyFont="1" fillId="14" applyFill="1" borderId="21" applyBorder="1" xfId="0" applyProtection="1" applyAlignment="1">
      <alignment horizontal="center" wrapText="1"/>
      <protection hidden="1"/>
    </xf>
    <xf numFmtId="0" fontId="9" applyFont="1" fillId="14" applyFill="1" borderId="30" applyBorder="1" xfId="0" applyProtection="1" applyAlignment="1">
      <alignment horizontal="center" wrapText="1"/>
      <protection hidden="1"/>
    </xf>
    <xf numFmtId="0" fontId="9" applyFont="1" fillId="14" applyFill="1" borderId="22" applyBorder="1" xfId="0" applyProtection="1" applyAlignment="1">
      <alignment horizontal="center" wrapText="1"/>
      <protection hidden="1"/>
    </xf>
    <xf numFmtId="0" fontId="9" applyFont="1" fillId="14" applyFill="1" borderId="17" applyBorder="1" xfId="0" applyProtection="1" applyAlignment="1">
      <alignment horizontal="center"/>
      <protection hidden="1"/>
    </xf>
    <xf numFmtId="0" fontId="9" applyFont="1" fillId="14" applyFill="1" borderId="11" applyBorder="1" xfId="0" applyProtection="1" applyAlignment="1">
      <alignment horizontal="center"/>
      <protection hidden="1"/>
    </xf>
    <xf numFmtId="0" fontId="9" applyFont="1" fillId="14" applyFill="1" borderId="18" applyBorder="1" xfId="0" applyProtection="1" applyAlignment="1">
      <alignment horizontal="center"/>
      <protection hidden="1"/>
    </xf>
    <xf numFmtId="0" fontId="47" applyFont="1" fillId="14" applyFill="1" borderId="17" applyBorder="1" xfId="0" applyProtection="1" applyAlignment="1">
      <alignment horizontal="center" wrapText="1"/>
      <protection hidden="1"/>
    </xf>
    <xf numFmtId="0" fontId="47" applyFont="1" fillId="14" applyFill="1" borderId="11" applyBorder="1" xfId="0" applyProtection="1" applyAlignment="1">
      <alignment horizontal="center" wrapText="1"/>
      <protection hidden="1"/>
    </xf>
    <xf numFmtId="0" fontId="47" applyFont="1" fillId="14" applyFill="1" borderId="18" applyBorder="1" xfId="0" applyProtection="1" applyAlignment="1">
      <alignment horizontal="center" wrapText="1"/>
      <protection hidden="1"/>
    </xf>
    <xf numFmtId="3" applyNumberFormat="1" fontId="24" applyFont="1" fillId="0" borderId="1" applyBorder="1" xfId="0" applyProtection="1" applyAlignment="1">
      <alignment horizontal="center" vertical="distributed"/>
      <protection hidden="1"/>
    </xf>
    <xf numFmtId="3" applyNumberFormat="1" fontId="24" applyFont="1" fillId="0" borderId="2" applyBorder="1" xfId="0" applyProtection="1" applyAlignment="1">
      <alignment horizontal="center" vertical="distributed"/>
      <protection hidden="1"/>
    </xf>
    <xf numFmtId="3" applyNumberFormat="1" fontId="24" applyFont="1" fillId="0" borderId="3" applyBorder="1" xfId="0" applyProtection="1" applyAlignment="1">
      <alignment horizontal="center" vertical="distributed"/>
      <protection hidden="1"/>
    </xf>
    <xf numFmtId="3" applyNumberFormat="1" fontId="24" applyFont="1" fillId="0" borderId="6" applyBorder="1" xfId="0" applyProtection="1" applyAlignment="1">
      <alignment horizontal="center" vertical="distributed"/>
      <protection hidden="1"/>
    </xf>
    <xf numFmtId="3" applyNumberFormat="1" fontId="24" applyFont="1" fillId="0" borderId="7" applyBorder="1" xfId="0" applyProtection="1" applyAlignment="1">
      <alignment horizontal="center" vertical="distributed"/>
      <protection hidden="1"/>
    </xf>
    <xf numFmtId="3" applyNumberFormat="1" fontId="24" applyFont="1" fillId="0" borderId="8" applyBorder="1" xfId="0" applyProtection="1" applyAlignment="1">
      <alignment horizontal="center" vertical="distributed"/>
      <protection hidden="1"/>
    </xf>
    <xf numFmtId="0" fontId="9" applyFont="1" fillId="16" applyFill="1" borderId="17" applyBorder="1" xfId="0" applyProtection="1" applyAlignment="1">
      <alignment horizontal="center"/>
      <protection hidden="1"/>
    </xf>
    <xf numFmtId="0" fontId="9" applyFont="1" fillId="16" applyFill="1" borderId="11" applyBorder="1" xfId="0" applyProtection="1" applyAlignment="1">
      <alignment horizontal="center"/>
      <protection hidden="1"/>
    </xf>
    <xf numFmtId="0" fontId="9" applyFont="1" fillId="16" applyFill="1" borderId="18" applyBorder="1" xfId="0" applyProtection="1" applyAlignment="1">
      <alignment horizontal="center"/>
      <protection hidden="1"/>
    </xf>
    <xf numFmtId="0" fontId="47" applyFont="1" fillId="16" applyFill="1" borderId="17" applyBorder="1" xfId="0" applyProtection="1" applyAlignment="1">
      <alignment horizontal="center" wrapText="1"/>
      <protection hidden="1"/>
    </xf>
    <xf numFmtId="0" fontId="47" applyFont="1" fillId="16" applyFill="1" borderId="11" applyBorder="1" xfId="0" applyProtection="1" applyAlignment="1">
      <alignment horizontal="center" wrapText="1"/>
      <protection hidden="1"/>
    </xf>
    <xf numFmtId="0" fontId="47" applyFont="1" fillId="16" applyFill="1" borderId="18" applyBorder="1" xfId="0" applyProtection="1" applyAlignment="1">
      <alignment horizontal="center" wrapText="1"/>
      <protection hidden="1"/>
    </xf>
    <xf numFmtId="0" fontId="47" applyFont="1" fillId="16" applyFill="1" borderId="28" applyBorder="1" xfId="0" applyProtection="1" applyAlignment="1">
      <alignment horizontal="center" wrapText="1"/>
      <protection hidden="1"/>
    </xf>
    <xf numFmtId="0" fontId="54" applyFont="1" fillId="0" applyFill="1" borderId="1" applyBorder="1" xfId="0" applyProtection="1" applyAlignment="1">
      <alignment horizontal="center" vertical="distributed"/>
      <protection hidden="1"/>
    </xf>
    <xf numFmtId="0" fontId="54" applyFont="1" fillId="0" applyFill="1" borderId="2" applyBorder="1" xfId="0" applyProtection="1" applyAlignment="1">
      <alignment horizontal="center" vertical="distributed"/>
      <protection hidden="1"/>
    </xf>
    <xf numFmtId="0" fontId="54" applyFont="1" fillId="0" applyFill="1" borderId="3" applyBorder="1" xfId="0" applyProtection="1" applyAlignment="1">
      <alignment horizontal="center" vertical="distributed"/>
      <protection hidden="1"/>
    </xf>
    <xf numFmtId="0" fontId="54" applyFont="1" fillId="0" applyFill="1" borderId="6" applyBorder="1" xfId="0" applyProtection="1" applyAlignment="1">
      <alignment horizontal="center" vertical="distributed"/>
      <protection hidden="1"/>
    </xf>
    <xf numFmtId="0" fontId="54" applyFont="1" fillId="0" applyFill="1" borderId="7" applyBorder="1" xfId="0" applyProtection="1" applyAlignment="1">
      <alignment horizontal="center" vertical="distributed"/>
      <protection hidden="1"/>
    </xf>
    <xf numFmtId="0" fontId="54" applyFont="1" fillId="0" applyFill="1" borderId="8" applyBorder="1" xfId="0" applyProtection="1" applyAlignment="1">
      <alignment horizontal="center" vertical="distributed"/>
      <protection hidden="1"/>
    </xf>
    <xf numFmtId="0" fontId="47" applyFont="1" fillId="18" applyFill="1" borderId="17" applyBorder="1" xfId="0" applyProtection="1" applyAlignment="1">
      <alignment horizontal="center" wrapText="1"/>
      <protection hidden="1"/>
    </xf>
    <xf numFmtId="0" fontId="47" applyFont="1" fillId="18" applyFill="1" borderId="11" applyBorder="1" xfId="0" applyProtection="1" applyAlignment="1">
      <alignment horizontal="center" wrapText="1"/>
      <protection hidden="1"/>
    </xf>
    <xf numFmtId="0" fontId="47" applyFont="1" fillId="18" applyFill="1" borderId="18" applyBorder="1" xfId="0" applyProtection="1" applyAlignment="1">
      <alignment horizontal="center" wrapText="1"/>
      <protection hidden="1"/>
    </xf>
    <xf numFmtId="0" fontId="9" applyFont="1" fillId="18" applyFill="1" borderId="21" applyBorder="1" xfId="0" applyProtection="1" applyAlignment="1">
      <alignment horizontal="center" wrapText="1"/>
      <protection hidden="1"/>
    </xf>
    <xf numFmtId="0" fontId="9" applyFont="1" fillId="18" applyFill="1" borderId="30" applyBorder="1" xfId="0" applyProtection="1" applyAlignment="1">
      <alignment horizontal="center" wrapText="1"/>
      <protection hidden="1"/>
    </xf>
    <xf numFmtId="0" fontId="9" applyFont="1" fillId="18" applyFill="1" borderId="22" applyBorder="1" xfId="0" applyProtection="1" applyAlignment="1">
      <alignment horizontal="center" wrapText="1"/>
      <protection hidden="1"/>
    </xf>
    <xf numFmtId="0" fontId="9" applyFont="1" fillId="18" applyFill="1" borderId="17" applyBorder="1" xfId="0" applyProtection="1" applyAlignment="1">
      <alignment horizontal="center"/>
      <protection hidden="1"/>
    </xf>
    <xf numFmtId="0" fontId="9" applyFont="1" fillId="18" applyFill="1" borderId="11" applyBorder="1" xfId="0" applyProtection="1" applyAlignment="1">
      <alignment horizontal="center"/>
      <protection hidden="1"/>
    </xf>
    <xf numFmtId="0" fontId="9" applyFont="1" fillId="18" applyFill="1" borderId="18" applyBorder="1" xfId="0" applyProtection="1" applyAlignment="1">
      <alignment horizontal="center"/>
      <protection hidden="1"/>
    </xf>
    <xf numFmtId="0" fontId="55" applyFont="1" fillId="18" applyFill="1" borderId="17" applyBorder="1" xfId="0" applyProtection="1" applyAlignment="1">
      <alignment horizontal="center"/>
      <protection hidden="1"/>
    </xf>
    <xf numFmtId="0" fontId="55" applyFont="1" fillId="18" applyFill="1" borderId="11" applyBorder="1" xfId="0" applyProtection="1" applyAlignment="1">
      <alignment horizontal="center"/>
      <protection hidden="1"/>
    </xf>
    <xf numFmtId="0" fontId="55" applyFont="1" fillId="18" applyFill="1" borderId="18" applyBorder="1" xfId="0" applyProtection="1" applyAlignment="1">
      <alignment horizontal="center"/>
      <protection hidden="1"/>
    </xf>
    <xf numFmtId="0" fontId="66" applyFont="1" fillId="0" borderId="56" applyBorder="1" xfId="0" applyAlignment="1">
      <alignment horizontal="center" vertical="center" wrapText="1"/>
    </xf>
    <xf numFmtId="0" fontId="66" applyFont="1" fillId="0" borderId="78" applyBorder="1" xfId="0" applyAlignment="1">
      <alignment horizontal="center" vertical="center" wrapText="1"/>
    </xf>
    <xf numFmtId="0" fontId="66" applyFont="1" fillId="0" borderId="72" applyBorder="1" xfId="0" applyAlignment="1">
      <alignment horizontal="center" vertical="center" wrapText="1"/>
    </xf>
    <xf numFmtId="0" fontId="22" applyFont="1" fillId="20" applyFill="1" borderId="83" applyBorder="1" xfId="0" applyProtection="1" applyAlignment="1">
      <alignment wrapText="1"/>
      <protection hidden="1"/>
    </xf>
    <xf numFmtId="3" applyNumberFormat="1" fontId="20" applyFont="1" fillId="21" applyFill="1" borderId="85" applyBorder="1" xfId="0" applyProtection="1" applyAlignment="1">
      <alignment wrapText="1"/>
      <protection hidden="1"/>
    </xf>
    <xf numFmtId="3" applyNumberFormat="1" fontId="20" applyFont="1" fillId="21" applyFill="1" borderId="86" applyBorder="1" xfId="0" applyProtection="1" applyAlignment="1">
      <alignment wrapText="1"/>
      <protection hidden="1"/>
    </xf>
    <xf numFmtId="0" fontId="0" fillId="21" applyFill="1" borderId="85" applyBorder="1" xfId="0" applyProtection="1">
      <protection hidden="1"/>
    </xf>
    <xf numFmtId="0" fontId="22" applyFont="1" fillId="22" applyFill="1" borderId="81" applyBorder="1" xfId="0" applyProtection="1" applyAlignment="1">
      <alignment wrapText="1"/>
      <protection hidden="1"/>
    </xf>
    <xf numFmtId="3" applyNumberFormat="1" fontId="20" applyFont="1" fillId="23" applyFill="1" borderId="85" applyBorder="1" xfId="0" applyProtection="1" applyAlignment="1">
      <alignment wrapText="1"/>
      <protection hidden="1"/>
    </xf>
    <xf numFmtId="0" fontId="0" fillId="23" applyFill="1" borderId="85" applyBorder="1" xfId="0" applyProtection="1">
      <protection hidden="1"/>
    </xf>
    <xf numFmtId="0" fontId="22" applyFont="1" fillId="20" applyFill="1" borderId="81" applyBorder="1" xfId="0" applyProtection="1" applyAlignment="1">
      <alignment wrapText="1"/>
      <protection hidden="1"/>
    </xf>
    <xf numFmtId="0" fontId="22" applyFont="1" fillId="20" applyFill="1" borderId="82" applyBorder="1" xfId="0" applyProtection="1" applyAlignment="1">
      <alignment wrapText="1"/>
      <protection hidden="1"/>
    </xf>
    <xf numFmtId="0" fontId="22" applyFont="1" fillId="20" applyFill="1" borderId="80" applyBorder="1" xfId="0" applyProtection="1" applyAlignment="1">
      <alignment wrapText="1"/>
      <protection hidden="1"/>
    </xf>
    <xf numFmtId="3" applyNumberFormat="1" fontId="20" applyFont="1" fillId="21" applyFill="1" borderId="80" applyBorder="1" xfId="0" applyProtection="1" applyAlignment="1">
      <alignment wrapText="1"/>
      <protection hidden="1"/>
    </xf>
    <xf numFmtId="0" fontId="22" applyFont="1" fillId="22" applyFill="1" borderId="83" applyBorder="1" xfId="0" applyProtection="1" applyAlignment="1">
      <alignment wrapText="1"/>
      <protection hidden="1"/>
    </xf>
    <xf numFmtId="3" applyNumberFormat="1" fontId="20" applyFont="1" fillId="23" applyFill="1" borderId="86" applyBorder="1" xfId="0" applyProtection="1" applyAlignment="1">
      <alignment wrapText="1"/>
      <protection hidden="1"/>
    </xf>
    <xf numFmtId="0" fontId="22" applyFont="1" fillId="22" applyFill="1" borderId="82" applyBorder="1" xfId="0" applyProtection="1" applyAlignment="1">
      <alignment wrapText="1"/>
      <protection hidden="1"/>
    </xf>
    <xf numFmtId="0" fontId="22" applyFont="1" fillId="22" applyFill="1" borderId="80" applyBorder="1" xfId="0" applyProtection="1" applyAlignment="1">
      <alignment wrapText="1"/>
      <protection hidden="1"/>
    </xf>
    <xf numFmtId="3" applyNumberFormat="1" fontId="20" applyFont="1" fillId="23" applyFill="1" borderId="80" applyBorder="1" xfId="0" applyProtection="1" applyAlignment="1">
      <alignment wrapText="1"/>
      <protection hidden="1"/>
    </xf>
    <xf numFmtId="0" fontId="22" applyFont="1" fillId="19" applyFill="1" borderId="83" applyBorder="1" xfId="0" applyProtection="1" applyAlignment="1">
      <alignment wrapText="1"/>
      <protection hidden="1"/>
    </xf>
    <xf numFmtId="3" applyNumberFormat="1" fontId="20" applyFont="1" fillId="24" applyFill="1" borderId="85" applyBorder="1" xfId="0" applyProtection="1" applyAlignment="1">
      <alignment wrapText="1"/>
      <protection hidden="1"/>
    </xf>
    <xf numFmtId="3" applyNumberFormat="1" fontId="20" applyFont="1" fillId="24" applyFill="1" borderId="86" applyBorder="1" xfId="0" applyProtection="1" applyAlignment="1">
      <alignment wrapText="1"/>
      <protection hidden="1"/>
    </xf>
    <xf numFmtId="0" fontId="0" fillId="24" applyFill="1" borderId="85" applyBorder="1" xfId="0" applyProtection="1">
      <protection hidden="1"/>
    </xf>
    <xf numFmtId="0" fontId="22" applyFont="1" fillId="19" applyFill="1" borderId="81" applyBorder="1" xfId="0" applyProtection="1" applyAlignment="1">
      <alignment wrapText="1"/>
      <protection hidden="1"/>
    </xf>
    <xf numFmtId="0" fontId="22" applyFont="1" fillId="19" applyFill="1" borderId="82" applyBorder="1" xfId="0" applyProtection="1" applyAlignment="1">
      <alignment wrapText="1"/>
      <protection hidden="1"/>
    </xf>
    <xf numFmtId="0" fontId="22" applyFont="1" fillId="19" applyFill="1" borderId="80" applyBorder="1" xfId="0" applyProtection="1" applyAlignment="1">
      <alignment wrapText="1"/>
      <protection hidden="1"/>
    </xf>
    <xf numFmtId="3" applyNumberFormat="1" fontId="20" applyFont="1" fillId="24" applyFill="1" borderId="80" applyBorder="1" xfId="0" applyProtection="1" applyAlignment="1">
      <alignment wrapText="1"/>
      <protection hidden="1"/>
    </xf>
    <xf numFmtId="165" applyNumberFormat="1" fontId="0" fillId="23" applyFill="1" borderId="85" applyBorder="1" xfId="0" quotePrefix="1"/>
    <xf numFmtId="1" applyNumberFormat="1" fontId="0" fillId="23" applyFill="1" borderId="85" applyBorder="1" xfId="0"/>
    <xf numFmtId="165" applyNumberFormat="1" fontId="0" fillId="21" applyFill="1" borderId="85" applyBorder="1" xfId="0" quotePrefix="1"/>
    <xf numFmtId="1" applyNumberFormat="1" fontId="0" fillId="21" applyFill="1" borderId="85" applyBorder="1" xfId="0"/>
    <xf numFmtId="165" applyNumberFormat="1" fontId="20" applyFont="1" fillId="21" applyFill="1" borderId="85" applyBorder="1" xfId="0" quotePrefix="1"/>
  </cellXfs>
  <cellStyles count="2">
    <cellStyle name="Normal" xfId="0" builtinId="0"/>
    <cellStyle name="Normal 2" xfId="1"/>
  </cellStyles>
  <dxfs count="607">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border>
    </dxf>
    <dxf>
      <numFmt numFmtId="3" formatCode="#,##0"/>
      <border>
        <right style="thin">
          <color auto="1"/>
        </right>
        <top style="thin">
          <color auto="1"/>
        </top>
        <bottom style="thin">
          <color auto="1"/>
        </bottom>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 Id="rId35" Type="http://schemas.openxmlformats.org/officeDocument/2006/relationships/customXml" Target="../customXml/item3.xml"/><Relationship Id="rId8" Type="http://schemas.openxmlformats.org/officeDocument/2006/relationships/worksheet" Target="worksheets/sheet8.xml"/></Relationships>
</file>

<file path=xl/activeX/_rels/activeX1.xml.rels><?xml version="1.0" encoding="UTF-8" standalone="yes"?><Relationships xmlns="http://schemas.openxmlformats.org/package/2006/relationships"><Relationship Id="rId1" Type="http://schemas.microsoft.com/office/2006/relationships/activeXControlBinary" Target="activeX1.bin"/></Relationships>
</file>

<file path=xl/activeX/_rels/activeX2.xml.rels><?xml version="1.0" encoding="UTF-8" standalone="yes"?><Relationships xmlns="http://schemas.openxmlformats.org/package/2006/relationships"><Relationship Id="rId1" Type="http://schemas.microsoft.com/office/2006/relationships/activeXControlBinary" Target="activeX2.bin"/></Relationships>
</file>

<file path=xl/activeX/activeX1.xml><?xml version="1.0" encoding="utf-8"?>
<ax:ocx xmlns:ax="http://schemas.microsoft.com/office/2006/activeX" xmlns:r="http://schemas.openxmlformats.org/officeDocument/2006/relationships" ax:classid="{8BD21D30-EC42-11CE-9E0D-00AA006002F3}" ax:persistence="persistStreamInit" r:id="rId1"/>
</file>

<file path=xl/activeX/activeX2.xml><?xml version="1.0" encoding="utf-8"?>
<ax:ocx xmlns:ax="http://schemas.microsoft.com/office/2006/activeX" xmlns:r="http://schemas.openxmlformats.org/officeDocument/2006/relationships" ax:classid="{8BD21D30-EC42-11CE-9E0D-00AA006002F3}" ax:persistence="persistStreamInit" r:id="rId1"/>
</file>

<file path=xl/charts/_rels/chart16.xml.rels><?xml version="1.0" encoding="UTF-8" standalone="yes"?><Relationships xmlns="http://schemas.openxmlformats.org/package/2006/relationships"><Relationship Id="rId1" Type="http://schemas.openxmlformats.org/officeDocument/2006/relationships/chartUserShapes" Target="../drawings/drawing1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ES"/>
              <a:t>Número de Explotaciones por C.A. (ALTA)</a:t>
            </a:r>
          </a:p>
        </c:rich>
      </c:tx>
      <c:layout>
        <c:manualLayout>
          <c:xMode val="edge"/>
          <c:yMode val="edge"/>
          <c:x val="0.30588247645514899"/>
          <c:y val="3.519061583577713E-2"/>
        </c:manualLayout>
      </c:layout>
      <c:overlay val="0"/>
      <c:spPr>
        <a:noFill/>
        <a:ln w="25400">
          <a:noFill/>
        </a:ln>
      </c:spPr>
    </c:title>
    <c:autoTitleDeleted val="0"/>
    <c:plotArea>
      <c:layout>
        <c:manualLayout>
          <c:layoutTarget val="inner"/>
          <c:xMode val="edge"/>
          <c:yMode val="edge"/>
          <c:x val="7.529416089967883E-2"/>
          <c:y val="0.20234604105571846"/>
          <c:w val="0.80470634461531743"/>
          <c:h val="0.61583577712609971"/>
        </c:manualLayout>
      </c:layout>
      <c:lineChart>
        <c:grouping val="standard"/>
        <c:varyColors val="0"/>
        <c:ser>
          <c:idx val="0"/>
          <c:order val="0"/>
          <c:tx>
            <c:v>Alta</c:v>
          </c:tx>
          <c:spPr>
            <a:ln w="12700">
              <a:solidFill>
                <a:srgbClr val="000080"/>
              </a:solidFill>
              <a:prstDash val="solid"/>
            </a:ln>
          </c:spPr>
          <c:marker>
            <c:symbol val="diamond"/>
            <c:size val="5"/>
            <c:spPr>
              <a:solidFill>
                <a:srgbClr val="000080"/>
              </a:solidFill>
              <a:ln>
                <a:solidFill>
                  <a:srgbClr val="000080"/>
                </a:solidFill>
                <a:prstDash val="solid"/>
              </a:ln>
            </c:spPr>
          </c:marker>
          <c:cat>
            <c:numRef>
              <c:f>'3- Nº Explot. por CA'!$C$16:$M$16</c:f>
              <c:numCache>
                <c:formatCode>[$-C0A]d\-mmm\-yy;@</c:formatCode>
                <c:ptCount val="11"/>
                <c:pt idx="0">
                  <c:v>0</c:v>
                </c:pt>
                <c:pt idx="1">
                  <c:v>38899</c:v>
                </c:pt>
                <c:pt idx="2">
                  <c:v>39083</c:v>
                </c:pt>
                <c:pt idx="3">
                  <c:v>39264</c:v>
                </c:pt>
                <c:pt idx="4">
                  <c:v>39448</c:v>
                </c:pt>
                <c:pt idx="5">
                  <c:v>39630</c:v>
                </c:pt>
                <c:pt idx="6">
                  <c:v>39814</c:v>
                </c:pt>
                <c:pt idx="7">
                  <c:v>39995</c:v>
                </c:pt>
                <c:pt idx="8">
                  <c:v>40179</c:v>
                </c:pt>
                <c:pt idx="9">
                  <c:v>40360</c:v>
                </c:pt>
                <c:pt idx="10">
                  <c:v>40544</c:v>
                </c:pt>
              </c:numCache>
            </c:numRef>
          </c:cat>
          <c:val>
            <c:numRef>
              <c:f>'3- Nº Explot. por CA'!$C$18:$M$18</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0-8CF1-4806-9C4B-D1437A3BB410}"/>
            </c:ext>
          </c:extLst>
        </c:ser>
        <c:dLbls>
          <c:showLegendKey val="0"/>
          <c:showVal val="0"/>
          <c:showCatName val="0"/>
          <c:showSerName val="0"/>
          <c:showPercent val="0"/>
          <c:showBubbleSize val="0"/>
        </c:dLbls>
        <c:marker val="1"/>
        <c:smooth val="0"/>
        <c:axId val="118512128"/>
        <c:axId val="116724800"/>
      </c:lineChart>
      <c:catAx>
        <c:axId val="118512128"/>
        <c:scaling>
          <c:orientation val="minMax"/>
        </c:scaling>
        <c:delete val="0"/>
        <c:axPos val="b"/>
        <c:title>
          <c:tx>
            <c:rich>
              <a:bodyPr/>
              <a:lstStyle/>
              <a:p>
                <a:pPr>
                  <a:defRPr sz="950" b="1" i="0" u="none" strike="noStrike" baseline="0">
                    <a:solidFill>
                      <a:srgbClr val="000000"/>
                    </a:solidFill>
                    <a:latin typeface="Arial"/>
                    <a:ea typeface="Arial"/>
                    <a:cs typeface="Arial"/>
                  </a:defRPr>
                </a:pPr>
                <a:r>
                  <a:rPr lang="es-ES"/>
                  <a:t>Fecha</a:t>
                </a:r>
              </a:p>
            </c:rich>
          </c:tx>
          <c:layout>
            <c:manualLayout>
              <c:xMode val="edge"/>
              <c:yMode val="edge"/>
              <c:x val="0.45294142349853328"/>
              <c:y val="0.8973607038123167"/>
            </c:manualLayout>
          </c:layout>
          <c:overlay val="0"/>
          <c:spPr>
            <a:noFill/>
            <a:ln w="25400">
              <a:noFill/>
            </a:ln>
          </c:spPr>
        </c:title>
        <c:numFmt formatCode="dd\-mmm\-yy" sourceLinked="0"/>
        <c:majorTickMark val="out"/>
        <c:minorTickMark val="none"/>
        <c:tickLblPos val="nextTo"/>
        <c:spPr>
          <a:ln w="3175">
            <a:solidFill>
              <a:srgbClr val="000000"/>
            </a:solidFill>
            <a:prstDash val="solid"/>
          </a:ln>
        </c:spPr>
        <c:txPr>
          <a:bodyPr rot="0" vert="horz"/>
          <a:lstStyle/>
          <a:p>
            <a:pPr>
              <a:defRPr sz="825" b="0" i="0" u="none" strike="noStrike" baseline="0">
                <a:solidFill>
                  <a:srgbClr val="000000"/>
                </a:solidFill>
                <a:latin typeface="Arial"/>
                <a:ea typeface="Arial"/>
                <a:cs typeface="Arial"/>
              </a:defRPr>
            </a:pPr>
            <a:endParaRPr lang="es-ES"/>
          </a:p>
        </c:txPr>
        <c:crossAx val="116724800"/>
        <c:crosses val="autoZero"/>
        <c:auto val="0"/>
        <c:lblAlgn val="ctr"/>
        <c:lblOffset val="100"/>
        <c:tickLblSkip val="1"/>
        <c:tickMarkSkip val="1"/>
        <c:noMultiLvlLbl val="0"/>
      </c:catAx>
      <c:valAx>
        <c:axId val="116724800"/>
        <c:scaling>
          <c:orientation val="minMax"/>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825" b="0" i="0" u="none" strike="noStrike" baseline="0">
                <a:solidFill>
                  <a:srgbClr val="000000"/>
                </a:solidFill>
                <a:latin typeface="Arial"/>
                <a:ea typeface="Arial"/>
                <a:cs typeface="Arial"/>
              </a:defRPr>
            </a:pPr>
            <a:endParaRPr lang="es-ES"/>
          </a:p>
        </c:txPr>
        <c:crossAx val="118512128"/>
        <c:crosses val="autoZero"/>
        <c:crossBetween val="between"/>
      </c:valAx>
      <c:spPr>
        <a:solidFill>
          <a:srgbClr val="C0C0C0"/>
        </a:solidFill>
        <a:ln w="12700">
          <a:solidFill>
            <a:srgbClr val="808080"/>
          </a:solidFill>
          <a:prstDash val="solid"/>
        </a:ln>
      </c:spPr>
    </c:plotArea>
    <c:legend>
      <c:legendPos val="r"/>
      <c:layout>
        <c:manualLayout>
          <c:xMode val="edge"/>
          <c:yMode val="edge"/>
          <c:x val="0.90823578817353712"/>
          <c:y val="0.49560117302052786"/>
          <c:w val="6.7058823529411726E-2"/>
          <c:h val="5.8651026392961825E-2"/>
        </c:manualLayout>
      </c:layout>
      <c:overlay val="0"/>
      <c:spPr>
        <a:solidFill>
          <a:srgbClr val="FFFFFF"/>
        </a:solidFill>
        <a:ln w="3175">
          <a:solidFill>
            <a:srgbClr val="000000"/>
          </a:solidFill>
          <a:prstDash val="solid"/>
        </a:ln>
      </c:spPr>
      <c:txPr>
        <a:bodyPr/>
        <a:lstStyle/>
        <a:p>
          <a:pPr>
            <a:defRPr sz="575" b="0" i="0" u="none" strike="noStrike" baseline="0">
              <a:solidFill>
                <a:srgbClr val="000000"/>
              </a:solidFill>
              <a:latin typeface="Arial"/>
              <a:ea typeface="Arial"/>
              <a:cs typeface="Arial"/>
            </a:defRPr>
          </a:pPr>
          <a:endParaRPr lang="es-ES"/>
        </a:p>
      </c:txPr>
    </c:legend>
    <c:plotVisOnly val="1"/>
    <c:dispBlanksAs val="gap"/>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825"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AUX!$H$33</c:f>
          <c:strCache>
            <c:ptCount val="1"/>
            <c:pt idx="0">
              <c:v>Distribución del Censo Total de Bovino por C.A. 
(31 de diciembre de 1904)</c:v>
            </c:pt>
          </c:strCache>
        </c:strRef>
      </c:tx>
      <c:layout>
        <c:manualLayout>
          <c:xMode val="edge"/>
          <c:yMode val="edge"/>
          <c:x val="0.29678883162860453"/>
          <c:y val="2.5766871165644172E-2"/>
        </c:manualLayout>
      </c:layout>
      <c:overlay val="0"/>
      <c:spPr>
        <a:noFill/>
        <a:ln w="25400">
          <a:noFill/>
        </a:ln>
      </c:spPr>
      <c:txPr>
        <a:bodyPr/>
        <a:lstStyle/>
        <a:p>
          <a:pPr>
            <a:defRPr sz="1475" b="0" i="0" u="none" strike="noStrike" baseline="0">
              <a:solidFill>
                <a:srgbClr val="000000"/>
              </a:solidFill>
              <a:latin typeface="Arial"/>
              <a:ea typeface="Arial"/>
              <a:cs typeface="Arial"/>
            </a:defRPr>
          </a:pPr>
          <a:endParaRPr lang="es-ES"/>
        </a:p>
      </c:txPr>
    </c:title>
    <c:autoTitleDeleted val="0"/>
    <c:plotArea>
      <c:layout>
        <c:manualLayout>
          <c:layoutTarget val="inner"/>
          <c:xMode val="edge"/>
          <c:yMode val="edge"/>
          <c:x val="0.33776337746074009"/>
          <c:y val="0.42576687116564416"/>
          <c:w val="0.35215984928693556"/>
          <c:h val="0.39018404907975462"/>
        </c:manualLayout>
      </c:layout>
      <c:pieChart>
        <c:varyColors val="1"/>
        <c:ser>
          <c:idx val="0"/>
          <c:order val="0"/>
          <c:tx>
            <c:strRef>
              <c:f>'5.1- BOVINO (CENSO)'!$C$325</c:f>
              <c:strCache>
                <c:ptCount val="1"/>
                <c:pt idx="0">
                  <c:v>TOTAL ANIMALES</c:v>
                </c:pt>
              </c:strCache>
            </c:strRef>
          </c:tx>
          <c:spPr>
            <a:solidFill>
              <a:srgbClr val="9999FF"/>
            </a:solidFill>
            <a:ln w="12700">
              <a:solidFill>
                <a:srgbClr val="000000"/>
              </a:solidFill>
              <a:prstDash val="solid"/>
            </a:ln>
          </c:spPr>
          <c:dPt>
            <c:idx val="0"/>
            <c:bubble3D val="0"/>
            <c:extLst>
              <c:ext xmlns:c16="http://schemas.microsoft.com/office/drawing/2014/chart" uri="{C3380CC4-5D6E-409C-BE32-E72D297353CC}">
                <c16:uniqueId val="{00000000-2447-4C99-9F27-2F6FACE04B4A}"/>
              </c:ext>
            </c:extLst>
          </c:dPt>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2-2447-4C99-9F27-2F6FACE04B4A}"/>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4-2447-4C99-9F27-2F6FACE04B4A}"/>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6-2447-4C99-9F27-2F6FACE04B4A}"/>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8-2447-4C99-9F27-2F6FACE04B4A}"/>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A-2447-4C99-9F27-2F6FACE04B4A}"/>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C-2447-4C99-9F27-2F6FACE04B4A}"/>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E-2447-4C99-9F27-2F6FACE04B4A}"/>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10-2447-4C99-9F27-2F6FACE04B4A}"/>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2-2447-4C99-9F27-2F6FACE04B4A}"/>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4-2447-4C99-9F27-2F6FACE04B4A}"/>
              </c:ext>
            </c:extLst>
          </c:dPt>
          <c:dPt>
            <c:idx val="11"/>
            <c:bubble3D val="0"/>
            <c:spPr>
              <a:solidFill>
                <a:srgbClr val="00FFFF"/>
              </a:solidFill>
              <a:ln w="12700">
                <a:solidFill>
                  <a:srgbClr val="000000"/>
                </a:solidFill>
                <a:prstDash val="solid"/>
              </a:ln>
            </c:spPr>
            <c:extLst>
              <c:ext xmlns:c16="http://schemas.microsoft.com/office/drawing/2014/chart" uri="{C3380CC4-5D6E-409C-BE32-E72D297353CC}">
                <c16:uniqueId val="{00000016-2447-4C99-9F27-2F6FACE04B4A}"/>
              </c:ext>
            </c:extLst>
          </c:dPt>
          <c:dPt>
            <c:idx val="12"/>
            <c:bubble3D val="0"/>
            <c:spPr>
              <a:solidFill>
                <a:srgbClr val="800080"/>
              </a:solidFill>
              <a:ln w="12700">
                <a:solidFill>
                  <a:srgbClr val="000000"/>
                </a:solidFill>
                <a:prstDash val="solid"/>
              </a:ln>
            </c:spPr>
            <c:extLst>
              <c:ext xmlns:c16="http://schemas.microsoft.com/office/drawing/2014/chart" uri="{C3380CC4-5D6E-409C-BE32-E72D297353CC}">
                <c16:uniqueId val="{00000018-2447-4C99-9F27-2F6FACE04B4A}"/>
              </c:ext>
            </c:extLst>
          </c:dPt>
          <c:dPt>
            <c:idx val="13"/>
            <c:bubble3D val="0"/>
            <c:spPr>
              <a:solidFill>
                <a:srgbClr val="800000"/>
              </a:solidFill>
              <a:ln w="12700">
                <a:solidFill>
                  <a:srgbClr val="000000"/>
                </a:solidFill>
                <a:prstDash val="solid"/>
              </a:ln>
            </c:spPr>
            <c:extLst>
              <c:ext xmlns:c16="http://schemas.microsoft.com/office/drawing/2014/chart" uri="{C3380CC4-5D6E-409C-BE32-E72D297353CC}">
                <c16:uniqueId val="{0000001A-2447-4C99-9F27-2F6FACE04B4A}"/>
              </c:ext>
            </c:extLst>
          </c:dPt>
          <c:dPt>
            <c:idx val="14"/>
            <c:bubble3D val="0"/>
            <c:spPr>
              <a:solidFill>
                <a:srgbClr val="008080"/>
              </a:solidFill>
              <a:ln w="12700">
                <a:solidFill>
                  <a:srgbClr val="000000"/>
                </a:solidFill>
                <a:prstDash val="solid"/>
              </a:ln>
            </c:spPr>
            <c:extLst>
              <c:ext xmlns:c16="http://schemas.microsoft.com/office/drawing/2014/chart" uri="{C3380CC4-5D6E-409C-BE32-E72D297353CC}">
                <c16:uniqueId val="{0000001C-2447-4C99-9F27-2F6FACE04B4A}"/>
              </c:ext>
            </c:extLst>
          </c:dPt>
          <c:dPt>
            <c:idx val="15"/>
            <c:bubble3D val="0"/>
            <c:spPr>
              <a:solidFill>
                <a:srgbClr val="0000FF"/>
              </a:solidFill>
              <a:ln w="12700">
                <a:solidFill>
                  <a:srgbClr val="000000"/>
                </a:solidFill>
                <a:prstDash val="solid"/>
              </a:ln>
            </c:spPr>
            <c:extLst>
              <c:ext xmlns:c16="http://schemas.microsoft.com/office/drawing/2014/chart" uri="{C3380CC4-5D6E-409C-BE32-E72D297353CC}">
                <c16:uniqueId val="{0000001E-2447-4C99-9F27-2F6FACE04B4A}"/>
              </c:ext>
            </c:extLst>
          </c:dPt>
          <c:dPt>
            <c:idx val="16"/>
            <c:bubble3D val="0"/>
            <c:spPr>
              <a:solidFill>
                <a:srgbClr val="00CCFF"/>
              </a:solidFill>
              <a:ln w="12700">
                <a:solidFill>
                  <a:srgbClr val="000000"/>
                </a:solidFill>
                <a:prstDash val="solid"/>
              </a:ln>
            </c:spPr>
            <c:extLst>
              <c:ext xmlns:c16="http://schemas.microsoft.com/office/drawing/2014/chart" uri="{C3380CC4-5D6E-409C-BE32-E72D297353CC}">
                <c16:uniqueId val="{00000020-2447-4C99-9F27-2F6FACE04B4A}"/>
              </c:ext>
            </c:extLst>
          </c:dPt>
          <c:dPt>
            <c:idx val="17"/>
            <c:bubble3D val="0"/>
            <c:spPr>
              <a:solidFill>
                <a:srgbClr val="CCFFFF"/>
              </a:solidFill>
              <a:ln w="12700">
                <a:solidFill>
                  <a:srgbClr val="000000"/>
                </a:solidFill>
                <a:prstDash val="solid"/>
              </a:ln>
            </c:spPr>
            <c:extLst>
              <c:ext xmlns:c16="http://schemas.microsoft.com/office/drawing/2014/chart" uri="{C3380CC4-5D6E-409C-BE32-E72D297353CC}">
                <c16:uniqueId val="{00000022-2447-4C99-9F27-2F6FACE04B4A}"/>
              </c:ext>
            </c:extLst>
          </c:dPt>
          <c:dPt>
            <c:idx val="18"/>
            <c:bubble3D val="0"/>
            <c:spPr>
              <a:solidFill>
                <a:srgbClr val="CCFFCC"/>
              </a:solidFill>
              <a:ln w="12700">
                <a:solidFill>
                  <a:srgbClr val="000000"/>
                </a:solidFill>
                <a:prstDash val="solid"/>
              </a:ln>
            </c:spPr>
            <c:extLst>
              <c:ext xmlns:c16="http://schemas.microsoft.com/office/drawing/2014/chart" uri="{C3380CC4-5D6E-409C-BE32-E72D297353CC}">
                <c16:uniqueId val="{00000024-2447-4C99-9F27-2F6FACE04B4A}"/>
              </c:ext>
            </c:extLst>
          </c:dPt>
          <c:dLbls>
            <c:dLbl>
              <c:idx val="0"/>
              <c:layout>
                <c:manualLayout>
                  <c:x val="0.19715920602530712"/>
                  <c:y val="-0.12712867333301126"/>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2447-4C99-9F27-2F6FACE04B4A}"/>
                </c:ext>
              </c:extLst>
            </c:dLbl>
            <c:dLbl>
              <c:idx val="1"/>
              <c:layout>
                <c:manualLayout>
                  <c:x val="0.1773087263643319"/>
                  <c:y val="-0.10762327101750316"/>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2447-4C99-9F27-2F6FACE04B4A}"/>
                </c:ext>
              </c:extLst>
            </c:dLbl>
            <c:dLbl>
              <c:idx val="2"/>
              <c:layout>
                <c:manualLayout>
                  <c:x val="7.4775313174257299E-2"/>
                  <c:y val="5.2368484614270039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2447-4C99-9F27-2F6FACE04B4A}"/>
                </c:ext>
              </c:extLst>
            </c:dLbl>
            <c:dLbl>
              <c:idx val="3"/>
              <c:layout>
                <c:manualLayout>
                  <c:x val="0.17279190061189131"/>
                  <c:y val="1.4066180377759526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2447-4C99-9F27-2F6FACE04B4A}"/>
                </c:ext>
              </c:extLst>
            </c:dLbl>
            <c:dLbl>
              <c:idx val="4"/>
              <c:layout>
                <c:manualLayout>
                  <c:x val="0.1455192344366672"/>
                  <c:y val="9.2300082121636706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2447-4C99-9F27-2F6FACE04B4A}"/>
                </c:ext>
              </c:extLst>
            </c:dLbl>
            <c:dLbl>
              <c:idx val="5"/>
              <c:layout>
                <c:manualLayout>
                  <c:x val="3.8191605170294643E-2"/>
                  <c:y val="5.6330418820346902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A-2447-4C99-9F27-2F6FACE04B4A}"/>
                </c:ext>
              </c:extLst>
            </c:dLbl>
            <c:dLbl>
              <c:idx val="6"/>
              <c:layout>
                <c:manualLayout>
                  <c:x val="6.6100920379215847E-2"/>
                  <c:y val="0.1018618746276347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C-2447-4C99-9F27-2F6FACE04B4A}"/>
                </c:ext>
              </c:extLst>
            </c:dLbl>
            <c:dLbl>
              <c:idx val="7"/>
              <c:layout>
                <c:manualLayout>
                  <c:x val="-1.6454247911342437E-2"/>
                  <c:y val="6.2471056148656307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E-2447-4C99-9F27-2F6FACE04B4A}"/>
                </c:ext>
              </c:extLst>
            </c:dLbl>
            <c:dLbl>
              <c:idx val="8"/>
              <c:layout>
                <c:manualLayout>
                  <c:x val="9.3868907558332191E-3"/>
                  <c:y val="3.6842608019109997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0-2447-4C99-9F27-2F6FACE04B4A}"/>
                </c:ext>
              </c:extLst>
            </c:dLbl>
            <c:dLbl>
              <c:idx val="9"/>
              <c:layout>
                <c:manualLayout>
                  <c:x val="-4.9276396382036514E-2"/>
                  <c:y val="5.1380190973060964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2-2447-4C99-9F27-2F6FACE04B4A}"/>
                </c:ext>
              </c:extLst>
            </c:dLbl>
            <c:dLbl>
              <c:idx val="10"/>
              <c:layout>
                <c:manualLayout>
                  <c:x val="-3.8811853365053862E-2"/>
                  <c:y val="4.6734360658905412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4-2447-4C99-9F27-2F6FACE04B4A}"/>
                </c:ext>
              </c:extLst>
            </c:dLbl>
            <c:dLbl>
              <c:idx val="11"/>
              <c:layout>
                <c:manualLayout>
                  <c:x val="-0.12574506965610727"/>
                  <c:y val="3.7913659565560469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6-2447-4C99-9F27-2F6FACE04B4A}"/>
                </c:ext>
              </c:extLst>
            </c:dLbl>
            <c:dLbl>
              <c:idx val="12"/>
              <c:layout>
                <c:manualLayout>
                  <c:x val="-9.3687745049324006E-2"/>
                  <c:y val="-4.0012366552340438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8-2447-4C99-9F27-2F6FACE04B4A}"/>
                </c:ext>
              </c:extLst>
            </c:dLbl>
            <c:dLbl>
              <c:idx val="13"/>
              <c:layout>
                <c:manualLayout>
                  <c:x val="-0.12487584603882364"/>
                  <c:y val="-0.1680246042864274"/>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A-2447-4C99-9F27-2F6FACE04B4A}"/>
                </c:ext>
              </c:extLst>
            </c:dLbl>
            <c:dLbl>
              <c:idx val="14"/>
              <c:layout>
                <c:manualLayout>
                  <c:x val="-5.5811356427958633E-2"/>
                  <c:y val="-0.2033705296040449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C-2447-4C99-9F27-2F6FACE04B4A}"/>
                </c:ext>
              </c:extLst>
            </c:dLbl>
            <c:dLbl>
              <c:idx val="15"/>
              <c:layout>
                <c:manualLayout>
                  <c:x val="-1.0430302934202282E-2"/>
                  <c:y val="-0.24354816997568554"/>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E-2447-4C99-9F27-2F6FACE04B4A}"/>
                </c:ext>
              </c:extLst>
            </c:dLbl>
            <c:dLbl>
              <c:idx val="16"/>
              <c:layout>
                <c:manualLayout>
                  <c:x val="3.533345868291398E-2"/>
                  <c:y val="-0.1607857913466338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20-2447-4C99-9F27-2F6FACE04B4A}"/>
                </c:ext>
              </c:extLst>
            </c:dLbl>
            <c:dLbl>
              <c:idx val="17"/>
              <c:layout>
                <c:manualLayout>
                  <c:x val="8.8356906212501779E-2"/>
                  <c:y val="-0.10916986296958275"/>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22-2447-4C99-9F27-2F6FACE04B4A}"/>
                </c:ext>
              </c:extLst>
            </c:dLbl>
            <c:dLbl>
              <c:idx val="18"/>
              <c:layout>
                <c:manualLayout>
                  <c:x val="0.18038364062405032"/>
                  <c:y val="-0.13370974027019628"/>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24-2447-4C99-9F27-2F6FACE04B4A}"/>
                </c:ext>
              </c:extLst>
            </c:dLbl>
            <c:numFmt formatCode="0.0%" sourceLinked="0"/>
            <c:spPr>
              <a:noFill/>
              <a:ln w="25400">
                <a:noFill/>
              </a:ln>
            </c:spPr>
            <c:txPr>
              <a:bodyPr/>
              <a:lstStyle/>
              <a:p>
                <a:pPr>
                  <a:defRPr sz="1000" b="0" i="0" u="none" strike="noStrike" baseline="0">
                    <a:solidFill>
                      <a:srgbClr val="000000"/>
                    </a:solidFill>
                    <a:latin typeface="Arial"/>
                    <a:ea typeface="Arial"/>
                    <a:cs typeface="Arial"/>
                  </a:defRPr>
                </a:pPr>
                <a:endParaRPr lang="es-ES"/>
              </a:p>
            </c:txPr>
            <c:showLegendKey val="0"/>
            <c:showVal val="0"/>
            <c:showCatName val="1"/>
            <c:showSerName val="0"/>
            <c:showPercent val="1"/>
            <c:showBubbleSize val="0"/>
            <c:showLeaderLines val="1"/>
            <c:extLst>
              <c:ext xmlns:c15="http://schemas.microsoft.com/office/drawing/2012/chart" uri="{CE6537A1-D6FC-4f65-9D91-7224C49458BB}"/>
            </c:extLst>
          </c:dLbls>
          <c:cat>
            <c:strRef>
              <c:f>'5.1- BOVINO (CENSO)'!$B$326:$B$344</c:f>
              <c:strCache>
                <c:ptCount val="19"/>
                <c:pt idx="0">
                  <c:v>Andalucía</c:v>
                </c:pt>
                <c:pt idx="1">
                  <c:v>Aragón</c:v>
                </c:pt>
                <c:pt idx="2">
                  <c:v>Asturias</c:v>
                </c:pt>
                <c:pt idx="3">
                  <c:v>Baleares</c:v>
                </c:pt>
                <c:pt idx="4">
                  <c:v>Canarias</c:v>
                </c:pt>
                <c:pt idx="5">
                  <c:v>Cantabria</c:v>
                </c:pt>
                <c:pt idx="6">
                  <c:v>Castilla La Mancha</c:v>
                </c:pt>
                <c:pt idx="7">
                  <c:v>Castilla y León</c:v>
                </c:pt>
                <c:pt idx="8">
                  <c:v>Cataluña</c:v>
                </c:pt>
                <c:pt idx="9">
                  <c:v>Extremadura</c:v>
                </c:pt>
                <c:pt idx="10">
                  <c:v>Galicia</c:v>
                </c:pt>
                <c:pt idx="11">
                  <c:v>Madrid</c:v>
                </c:pt>
                <c:pt idx="12">
                  <c:v>Murcia</c:v>
                </c:pt>
                <c:pt idx="13">
                  <c:v>Navarra</c:v>
                </c:pt>
                <c:pt idx="14">
                  <c:v>País Vasco</c:v>
                </c:pt>
                <c:pt idx="15">
                  <c:v>La Rioja</c:v>
                </c:pt>
                <c:pt idx="16">
                  <c:v>Valencia</c:v>
                </c:pt>
                <c:pt idx="17">
                  <c:v>Ceuta</c:v>
                </c:pt>
                <c:pt idx="18">
                  <c:v>Melilla</c:v>
                </c:pt>
              </c:strCache>
            </c:strRef>
          </c:cat>
          <c:val>
            <c:numRef>
              <c:f>'5.1- BOVINO (CENSO)'!$C$326:$C$344</c:f>
              <c:numCache>
                <c:formatCode>#,##0</c:formatCode>
                <c:ptCount val="19"/>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0</c:v>
                </c:pt>
                <c:pt idx="18">
                  <c:v>0</c:v>
                </c:pt>
              </c:numCache>
            </c:numRef>
          </c:val>
          <c:extLst>
            <c:ext xmlns:c16="http://schemas.microsoft.com/office/drawing/2014/chart" uri="{C3380CC4-5D6E-409C-BE32-E72D297353CC}">
              <c16:uniqueId val="{00000025-2447-4C99-9F27-2F6FACE04B4A}"/>
            </c:ext>
          </c:extLst>
        </c:ser>
        <c:dLbls>
          <c:showLegendKey val="0"/>
          <c:showVal val="0"/>
          <c:showCatName val="0"/>
          <c:showSerName val="0"/>
          <c:showPercent val="0"/>
          <c:showBubbleSize val="0"/>
          <c:showLeaderLines val="1"/>
        </c:dLbls>
        <c:firstSliceAng val="0"/>
      </c:pieChart>
      <c:spPr>
        <a:noFill/>
        <a:ln w="25400">
          <a:noFill/>
        </a:ln>
      </c:spPr>
    </c:plotArea>
    <c:plotVisOnly val="0"/>
    <c:dispBlanksAs val="zero"/>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1475"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ES"/>
              <a:t>Censo de vacas 
Animales mayores de 24 meses por C.A.</a:t>
            </a:r>
          </a:p>
        </c:rich>
      </c:tx>
      <c:layout>
        <c:manualLayout>
          <c:xMode val="edge"/>
          <c:yMode val="edge"/>
          <c:x val="0.32852409542036987"/>
          <c:y val="3.4267912772585667E-2"/>
        </c:manualLayout>
      </c:layout>
      <c:overlay val="0"/>
      <c:spPr>
        <a:noFill/>
        <a:ln w="25400">
          <a:noFill/>
        </a:ln>
      </c:spPr>
    </c:title>
    <c:autoTitleDeleted val="0"/>
    <c:plotArea>
      <c:layout>
        <c:manualLayout>
          <c:layoutTarget val="inner"/>
          <c:xMode val="edge"/>
          <c:yMode val="edge"/>
          <c:x val="0.12652615069960824"/>
          <c:y val="0.27414413619589723"/>
          <c:w val="0.85904597053944542"/>
          <c:h val="0.52025080391721401"/>
        </c:manualLayout>
      </c:layout>
      <c:lineChart>
        <c:grouping val="standard"/>
        <c:varyColors val="0"/>
        <c:ser>
          <c:idx val="2"/>
          <c:order val="0"/>
          <c:tx>
            <c:v>Vacas nodrizas</c:v>
          </c:tx>
          <c:spPr>
            <a:ln w="12700">
              <a:solidFill>
                <a:srgbClr val="008000"/>
              </a:solidFill>
              <a:prstDash val="solid"/>
            </a:ln>
          </c:spPr>
          <c:marker>
            <c:symbol val="triangle"/>
            <c:size val="5"/>
            <c:spPr>
              <a:solidFill>
                <a:srgbClr val="008000"/>
              </a:solidFill>
              <a:ln>
                <a:solidFill>
                  <a:srgbClr val="008000"/>
                </a:solidFill>
                <a:prstDash val="solid"/>
              </a:ln>
            </c:spPr>
          </c:marker>
          <c:cat>
            <c:numRef>
              <c:f>'5.1- BOVINO (CENSO)'!$C$16:$M$16</c:f>
              <c:numCache>
                <c:formatCode>[$-C0A]d\-mmm\-yy;@</c:formatCode>
                <c:ptCount val="11"/>
                <c:pt idx="0">
                  <c:v>0</c:v>
                </c:pt>
                <c:pt idx="1">
                  <c:v>38899</c:v>
                </c:pt>
                <c:pt idx="2">
                  <c:v>39083</c:v>
                </c:pt>
                <c:pt idx="3">
                  <c:v>39264</c:v>
                </c:pt>
                <c:pt idx="4">
                  <c:v>39448</c:v>
                </c:pt>
                <c:pt idx="5">
                  <c:v>39630</c:v>
                </c:pt>
                <c:pt idx="6">
                  <c:v>39814</c:v>
                </c:pt>
                <c:pt idx="7">
                  <c:v>39995</c:v>
                </c:pt>
                <c:pt idx="8">
                  <c:v>40179</c:v>
                </c:pt>
                <c:pt idx="9">
                  <c:v>40360</c:v>
                </c:pt>
                <c:pt idx="10">
                  <c:v>40544</c:v>
                </c:pt>
              </c:numCache>
            </c:numRef>
          </c:cat>
          <c:val>
            <c:numRef>
              <c:f>'5.1- BOVINO (CENSO)'!$C$37:$M$37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0-098D-43C8-B1C5-CDCFA79F6840}"/>
            </c:ext>
          </c:extLst>
        </c:ser>
        <c:ser>
          <c:idx val="4"/>
          <c:order val="1"/>
          <c:tx>
            <c:v>Vacas de leche</c:v>
          </c:tx>
          <c:spPr>
            <a:ln w="12700">
              <a:solidFill>
                <a:srgbClr val="FF00FF"/>
              </a:solidFill>
              <a:prstDash val="solid"/>
            </a:ln>
          </c:spPr>
          <c:marker>
            <c:symbol val="star"/>
            <c:size val="5"/>
            <c:spPr>
              <a:noFill/>
              <a:ln>
                <a:solidFill>
                  <a:srgbClr val="FF00FF"/>
                </a:solidFill>
                <a:prstDash val="solid"/>
              </a:ln>
            </c:spPr>
          </c:marker>
          <c:cat>
            <c:numRef>
              <c:f>'5.1- BOVINO (CENSO)'!$C$16:$M$16</c:f>
              <c:numCache>
                <c:formatCode>[$-C0A]d\-mmm\-yy;@</c:formatCode>
                <c:ptCount val="11"/>
                <c:pt idx="0">
                  <c:v>0</c:v>
                </c:pt>
                <c:pt idx="1">
                  <c:v>38899</c:v>
                </c:pt>
                <c:pt idx="2">
                  <c:v>39083</c:v>
                </c:pt>
                <c:pt idx="3">
                  <c:v>39264</c:v>
                </c:pt>
                <c:pt idx="4">
                  <c:v>39448</c:v>
                </c:pt>
                <c:pt idx="5">
                  <c:v>39630</c:v>
                </c:pt>
                <c:pt idx="6">
                  <c:v>39814</c:v>
                </c:pt>
                <c:pt idx="7">
                  <c:v>39995</c:v>
                </c:pt>
                <c:pt idx="8">
                  <c:v>40179</c:v>
                </c:pt>
                <c:pt idx="9">
                  <c:v>40360</c:v>
                </c:pt>
                <c:pt idx="10">
                  <c:v>40544</c:v>
                </c:pt>
              </c:numCache>
            </c:numRef>
          </c:cat>
          <c:val>
            <c:numRef>
              <c:f>'5.1- BOVINO (CENSO)'!$C$39:$M$39</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1-098D-43C8-B1C5-CDCFA79F6840}"/>
            </c:ext>
          </c:extLst>
        </c:ser>
        <c:dLbls>
          <c:showLegendKey val="0"/>
          <c:showVal val="0"/>
          <c:showCatName val="0"/>
          <c:showSerName val="0"/>
          <c:showPercent val="0"/>
          <c:showBubbleSize val="0"/>
        </c:dLbls>
        <c:marker val="1"/>
        <c:smooth val="0"/>
        <c:axId val="124310528"/>
        <c:axId val="123073024"/>
      </c:lineChart>
      <c:catAx>
        <c:axId val="124310528"/>
        <c:scaling>
          <c:orientation val="minMax"/>
        </c:scaling>
        <c:delete val="0"/>
        <c:axPos val="b"/>
        <c:title>
          <c:tx>
            <c:rich>
              <a:bodyPr/>
              <a:lstStyle/>
              <a:p>
                <a:pPr>
                  <a:defRPr sz="850" b="1" i="0" u="none" strike="noStrike" baseline="0">
                    <a:solidFill>
                      <a:srgbClr val="000000"/>
                    </a:solidFill>
                    <a:latin typeface="Arial"/>
                    <a:ea typeface="Arial"/>
                    <a:cs typeface="Arial"/>
                  </a:defRPr>
                </a:pPr>
                <a:r>
                  <a:rPr lang="es-ES"/>
                  <a:t>Fecha</a:t>
                </a:r>
              </a:p>
            </c:rich>
          </c:tx>
          <c:layout>
            <c:manualLayout>
              <c:xMode val="edge"/>
              <c:yMode val="edge"/>
              <c:x val="0.53607126523169069"/>
              <c:y val="0.88785308378508765"/>
            </c:manualLayout>
          </c:layout>
          <c:overlay val="0"/>
          <c:spPr>
            <a:noFill/>
            <a:ln w="25400">
              <a:noFill/>
            </a:ln>
          </c:spPr>
        </c:title>
        <c:numFmt formatCode="dd\-mmm\-yy"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s-ES"/>
          </a:p>
        </c:txPr>
        <c:crossAx val="123073024"/>
        <c:crosses val="autoZero"/>
        <c:auto val="0"/>
        <c:lblAlgn val="ctr"/>
        <c:lblOffset val="100"/>
        <c:tickLblSkip val="1"/>
        <c:tickMarkSkip val="1"/>
        <c:noMultiLvlLbl val="0"/>
      </c:catAx>
      <c:valAx>
        <c:axId val="123073024"/>
        <c:scaling>
          <c:orientation val="minMax"/>
        </c:scaling>
        <c:delete val="0"/>
        <c:axPos val="l"/>
        <c:majorGridlines>
          <c:spPr>
            <a:ln w="3175">
              <a:solidFill>
                <a:srgbClr val="000000"/>
              </a:solidFill>
              <a:prstDash val="solid"/>
            </a:ln>
          </c:spPr>
        </c:majorGridlines>
        <c:title>
          <c:tx>
            <c:rich>
              <a:bodyPr/>
              <a:lstStyle/>
              <a:p>
                <a:pPr>
                  <a:defRPr sz="1100" b="0" i="0" u="none" strike="noStrike" baseline="0">
                    <a:solidFill>
                      <a:srgbClr val="000000"/>
                    </a:solidFill>
                    <a:latin typeface="Calibri"/>
                    <a:ea typeface="Calibri"/>
                    <a:cs typeface="Calibri"/>
                  </a:defRPr>
                </a:pPr>
                <a:r>
                  <a:rPr lang="es-ES" sz="900" b="1" i="0" u="none" strike="noStrike" baseline="0">
                    <a:solidFill>
                      <a:srgbClr val="008000"/>
                    </a:solidFill>
                    <a:latin typeface="Arial"/>
                    <a:cs typeface="Arial"/>
                  </a:rPr>
                  <a:t>Vacas nodrizas</a:t>
                </a:r>
              </a:p>
              <a:p>
                <a:pPr>
                  <a:defRPr sz="1100" b="0" i="0" u="none" strike="noStrike" baseline="0">
                    <a:solidFill>
                      <a:srgbClr val="000000"/>
                    </a:solidFill>
                    <a:latin typeface="Calibri"/>
                    <a:ea typeface="Calibri"/>
                    <a:cs typeface="Calibri"/>
                  </a:defRPr>
                </a:pPr>
                <a:r>
                  <a:rPr lang="es-ES" sz="900" b="1" i="0" u="none" strike="noStrike" baseline="0">
                    <a:solidFill>
                      <a:srgbClr val="FF00FF"/>
                    </a:solidFill>
                    <a:latin typeface="Arial"/>
                    <a:cs typeface="Arial"/>
                  </a:rPr>
                  <a:t>Vacas de leche</a:t>
                </a:r>
              </a:p>
            </c:rich>
          </c:tx>
          <c:layout>
            <c:manualLayout>
              <c:xMode val="edge"/>
              <c:yMode val="edge"/>
              <c:x val="6.6592674805771362E-3"/>
              <c:y val="0.38629414313864974"/>
            </c:manualLayout>
          </c:layout>
          <c:overlay val="0"/>
          <c:spPr>
            <a:noFill/>
            <a:ln w="3175">
              <a:solidFill>
                <a:srgbClr val="000080"/>
              </a:solidFill>
              <a:prstDash val="solid"/>
            </a:ln>
          </c:spPr>
        </c:title>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24310528"/>
        <c:crosses val="autoZero"/>
        <c:crossBetween val="between"/>
      </c:valAx>
      <c:spPr>
        <a:gradFill rotWithShape="0">
          <a:gsLst>
            <a:gs pos="0">
              <a:srgbClr xmlns:mc="http://schemas.openxmlformats.org/markup-compatibility/2006" xmlns:a14="http://schemas.microsoft.com/office/drawing/2010/main" val="DDDDDD" mc:Ignorable="a14" a14:legacySpreadsheetColorIndex="22">
                <a:gamma/>
                <a:tint val="54510"/>
                <a:invGamma/>
              </a:srgbClr>
            </a:gs>
            <a:gs pos="100000">
              <a:srgbClr xmlns:mc="http://schemas.openxmlformats.org/markup-compatibility/2006" xmlns:a14="http://schemas.microsoft.com/office/drawing/2010/main" val="C0C0C0" mc:Ignorable="a14" a14:legacySpreadsheetColorIndex="22"/>
            </a:gs>
          </a:gsLst>
          <a:lin ang="5400000" scaled="1"/>
        </a:gradFill>
        <a:ln w="12700">
          <a:solidFill>
            <a:srgbClr val="808080"/>
          </a:solidFill>
          <a:prstDash val="solid"/>
        </a:ln>
      </c:spPr>
    </c:plotArea>
    <c:plotVisOnly val="1"/>
    <c:dispBlanksAs val="gap"/>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ES"/>
              <a:t>Nº de Subexplotaciones de Bovino por Clasificación Zootécnica y C.A.</a:t>
            </a:r>
          </a:p>
        </c:rich>
      </c:tx>
      <c:layout>
        <c:manualLayout>
          <c:xMode val="edge"/>
          <c:yMode val="edge"/>
          <c:x val="0.19209064098775733"/>
          <c:y val="3.3854166666666664E-2"/>
        </c:manualLayout>
      </c:layout>
      <c:overlay val="0"/>
      <c:spPr>
        <a:noFill/>
        <a:ln w="25400">
          <a:noFill/>
        </a:ln>
      </c:spPr>
    </c:title>
    <c:autoTitleDeleted val="0"/>
    <c:plotArea>
      <c:layout>
        <c:manualLayout>
          <c:layoutTarget val="inner"/>
          <c:xMode val="edge"/>
          <c:yMode val="edge"/>
          <c:x val="0.13333348046155594"/>
          <c:y val="0.18489630354894904"/>
          <c:w val="0.76723248502878383"/>
          <c:h val="0.64583497577661075"/>
        </c:manualLayout>
      </c:layout>
      <c:lineChart>
        <c:grouping val="standard"/>
        <c:varyColors val="0"/>
        <c:ser>
          <c:idx val="0"/>
          <c:order val="0"/>
          <c:tx>
            <c:v>Cebo o Cebadero</c:v>
          </c:tx>
          <c:spPr>
            <a:ln w="12700">
              <a:solidFill>
                <a:srgbClr val="000080"/>
              </a:solidFill>
              <a:prstDash val="solid"/>
            </a:ln>
          </c:spPr>
          <c:marker>
            <c:symbol val="diamond"/>
            <c:size val="5"/>
            <c:spPr>
              <a:solidFill>
                <a:srgbClr val="000080"/>
              </a:solidFill>
              <a:ln>
                <a:solidFill>
                  <a:srgbClr val="000080"/>
                </a:solidFill>
                <a:prstDash val="solid"/>
              </a:ln>
            </c:spPr>
          </c:marker>
          <c:cat>
            <c:numRef>
              <c:f>'5.2- BOVINO (SUBEXPLOT)'!$C$16:$M$16</c:f>
              <c:numCache>
                <c:formatCode>[$-C0A]d\-mmm\-yy;@</c:formatCode>
                <c:ptCount val="11"/>
                <c:pt idx="0">
                  <c:v>0</c:v>
                </c:pt>
                <c:pt idx="1">
                  <c:v>38899</c:v>
                </c:pt>
                <c:pt idx="2">
                  <c:v>39083</c:v>
                </c:pt>
                <c:pt idx="3">
                  <c:v>39264</c:v>
                </c:pt>
                <c:pt idx="4">
                  <c:v>39448</c:v>
                </c:pt>
                <c:pt idx="5">
                  <c:v>39630</c:v>
                </c:pt>
                <c:pt idx="6">
                  <c:v>39814</c:v>
                </c:pt>
                <c:pt idx="7">
                  <c:v>39995</c:v>
                </c:pt>
                <c:pt idx="8">
                  <c:v>40179</c:v>
                </c:pt>
                <c:pt idx="9">
                  <c:v>40360</c:v>
                </c:pt>
                <c:pt idx="10">
                  <c:v>40544</c:v>
                </c:pt>
              </c:numCache>
            </c:numRef>
          </c:cat>
          <c:val>
            <c:numRef>
              <c:f>'5.2- BOVINO (SUBEXPLOT)'!$C$18:$M$18</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0-59DD-4E42-A3AD-800A39A059BA}"/>
            </c:ext>
          </c:extLst>
        </c:ser>
        <c:ser>
          <c:idx val="1"/>
          <c:order val="1"/>
          <c:tx>
            <c:v>Reproducción para Producción de Leche</c:v>
          </c:tx>
          <c:spPr>
            <a:ln w="12700">
              <a:solidFill>
                <a:srgbClr val="FF00FF"/>
              </a:solidFill>
              <a:prstDash val="solid"/>
            </a:ln>
          </c:spPr>
          <c:marker>
            <c:symbol val="square"/>
            <c:size val="5"/>
            <c:spPr>
              <a:solidFill>
                <a:srgbClr val="FF00FF"/>
              </a:solidFill>
              <a:ln>
                <a:solidFill>
                  <a:srgbClr val="FF00FF"/>
                </a:solidFill>
                <a:prstDash val="solid"/>
              </a:ln>
            </c:spPr>
          </c:marker>
          <c:cat>
            <c:numRef>
              <c:f>'5.2- BOVINO (SUBEXPLOT)'!$C$16:$M$16</c:f>
              <c:numCache>
                <c:formatCode>[$-C0A]d\-mmm\-yy;@</c:formatCode>
                <c:ptCount val="11"/>
                <c:pt idx="0">
                  <c:v>0</c:v>
                </c:pt>
                <c:pt idx="1">
                  <c:v>38899</c:v>
                </c:pt>
                <c:pt idx="2">
                  <c:v>39083</c:v>
                </c:pt>
                <c:pt idx="3">
                  <c:v>39264</c:v>
                </c:pt>
                <c:pt idx="4">
                  <c:v>39448</c:v>
                </c:pt>
                <c:pt idx="5">
                  <c:v>39630</c:v>
                </c:pt>
                <c:pt idx="6">
                  <c:v>39814</c:v>
                </c:pt>
                <c:pt idx="7">
                  <c:v>39995</c:v>
                </c:pt>
                <c:pt idx="8">
                  <c:v>40179</c:v>
                </c:pt>
                <c:pt idx="9">
                  <c:v>40360</c:v>
                </c:pt>
                <c:pt idx="10">
                  <c:v>40544</c:v>
                </c:pt>
              </c:numCache>
            </c:numRef>
          </c:cat>
          <c:val>
            <c:numRef>
              <c:f>'5.2- BOVINO (SUBEXPLOT)'!$C$20:$M$20</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1-59DD-4E42-A3AD-800A39A059BA}"/>
            </c:ext>
          </c:extLst>
        </c:ser>
        <c:ser>
          <c:idx val="3"/>
          <c:order val="3"/>
          <c:val>
            <c:numRef>
              <c:f>'5.2- BOVINO (SUBEXPLOT)'!$C$26:$H$26</c:f>
            </c:numRef>
          </c:val>
          <c:smooth val="0"/>
          <c:extLst>
            <c:ext xmlns:c16="http://schemas.microsoft.com/office/drawing/2014/chart" uri="{C3380CC4-5D6E-409C-BE32-E72D297353CC}">
              <c16:uniqueId val="{00000002-59DD-4E42-A3AD-800A39A059BA}"/>
            </c:ext>
          </c:extLst>
        </c:ser>
        <c:ser>
          <c:idx val="5"/>
          <c:order val="5"/>
          <c:tx>
            <c:v>Reproducción Mixta</c:v>
          </c:tx>
          <c:spPr>
            <a:ln w="12700">
              <a:solidFill>
                <a:srgbClr val="00FFFF"/>
              </a:solidFill>
              <a:prstDash val="solid"/>
            </a:ln>
          </c:spPr>
          <c:marker>
            <c:symbol val="circle"/>
            <c:size val="5"/>
            <c:spPr>
              <a:solidFill>
                <a:srgbClr val="00FFFF"/>
              </a:solidFill>
              <a:ln>
                <a:solidFill>
                  <a:srgbClr val="00FFFF"/>
                </a:solidFill>
                <a:prstDash val="solid"/>
              </a:ln>
            </c:spPr>
          </c:marker>
          <c:cat>
            <c:numRef>
              <c:f>'5.2- BOVINO (SUBEXPLOT)'!$C$16:$M$16</c:f>
              <c:numCache>
                <c:formatCode>[$-C0A]d\-mmm\-yy;@</c:formatCode>
                <c:ptCount val="11"/>
                <c:pt idx="0">
                  <c:v>0</c:v>
                </c:pt>
                <c:pt idx="1">
                  <c:v>38899</c:v>
                </c:pt>
                <c:pt idx="2">
                  <c:v>39083</c:v>
                </c:pt>
                <c:pt idx="3">
                  <c:v>39264</c:v>
                </c:pt>
                <c:pt idx="4">
                  <c:v>39448</c:v>
                </c:pt>
                <c:pt idx="5">
                  <c:v>39630</c:v>
                </c:pt>
                <c:pt idx="6">
                  <c:v>39814</c:v>
                </c:pt>
                <c:pt idx="7">
                  <c:v>39995</c:v>
                </c:pt>
                <c:pt idx="8">
                  <c:v>40179</c:v>
                </c:pt>
                <c:pt idx="9">
                  <c:v>40360</c:v>
                </c:pt>
                <c:pt idx="10">
                  <c:v>40544</c:v>
                </c:pt>
              </c:numCache>
            </c:numRef>
          </c:cat>
          <c:val>
            <c:numRef>
              <c:f>'5.2- BOVINO (SUBEXPLOT)'!$C$28:$M$28</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9DD-4E42-A3AD-800A39A059BA}"/>
            </c:ext>
          </c:extLst>
        </c:ser>
        <c:dLbls>
          <c:showLegendKey val="0"/>
          <c:showVal val="0"/>
          <c:showCatName val="0"/>
          <c:showSerName val="0"/>
          <c:showPercent val="0"/>
          <c:showBubbleSize val="0"/>
        </c:dLbls>
        <c:marker val="1"/>
        <c:smooth val="0"/>
        <c:axId val="123271680"/>
        <c:axId val="123317056"/>
      </c:lineChart>
      <c:lineChart>
        <c:grouping val="standard"/>
        <c:varyColors val="0"/>
        <c:ser>
          <c:idx val="2"/>
          <c:order val="2"/>
          <c:tx>
            <c:v>Reproducción para Producción de Carne (Reproducción para Producción de Carne+Mixta)</c:v>
          </c:tx>
          <c:spPr>
            <a:ln w="12700">
              <a:solidFill>
                <a:srgbClr val="FFFF00"/>
              </a:solidFill>
              <a:prstDash val="solid"/>
            </a:ln>
          </c:spPr>
          <c:marker>
            <c:symbol val="triangle"/>
            <c:size val="5"/>
            <c:spPr>
              <a:solidFill>
                <a:srgbClr val="FFCC00"/>
              </a:solidFill>
              <a:ln>
                <a:solidFill>
                  <a:srgbClr val="FFCC00"/>
                </a:solidFill>
                <a:prstDash val="solid"/>
              </a:ln>
            </c:spPr>
          </c:marker>
          <c:cat>
            <c:numRef>
              <c:f>'5.2- BOVINO (SUBEXPLOT)'!$C$16:$M$16</c:f>
              <c:numCache>
                <c:formatCode>[$-C0A]d\-mmm\-yy;@</c:formatCode>
                <c:ptCount val="11"/>
                <c:pt idx="0">
                  <c:v>0</c:v>
                </c:pt>
                <c:pt idx="1">
                  <c:v>38899</c:v>
                </c:pt>
                <c:pt idx="2">
                  <c:v>39083</c:v>
                </c:pt>
                <c:pt idx="3">
                  <c:v>39264</c:v>
                </c:pt>
                <c:pt idx="4">
                  <c:v>39448</c:v>
                </c:pt>
                <c:pt idx="5">
                  <c:v>39630</c:v>
                </c:pt>
                <c:pt idx="6">
                  <c:v>39814</c:v>
                </c:pt>
                <c:pt idx="7">
                  <c:v>39995</c:v>
                </c:pt>
                <c:pt idx="8">
                  <c:v>40179</c:v>
                </c:pt>
                <c:pt idx="9">
                  <c:v>40360</c:v>
                </c:pt>
                <c:pt idx="10">
                  <c:v>40544</c:v>
                </c:pt>
              </c:numCache>
            </c:numRef>
          </c:cat>
          <c:val>
            <c:numRef>
              <c:f>'5.2- BOVINO (SUBEXPLOT)'!$C$22:$M$22</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4-59DD-4E42-A3AD-800A39A059BA}"/>
            </c:ext>
          </c:extLst>
        </c:ser>
        <c:ser>
          <c:idx val="4"/>
          <c:order val="4"/>
          <c:val>
            <c:numRef>
              <c:f>'5.2- BOVINO (SUBEXPLOT)'!$C$24:$H$24</c:f>
            </c:numRef>
          </c:val>
          <c:smooth val="0"/>
          <c:extLst>
            <c:ext xmlns:c16="http://schemas.microsoft.com/office/drawing/2014/chart" uri="{C3380CC4-5D6E-409C-BE32-E72D297353CC}">
              <c16:uniqueId val="{00000005-59DD-4E42-A3AD-800A39A059BA}"/>
            </c:ext>
          </c:extLst>
        </c:ser>
        <c:dLbls>
          <c:showLegendKey val="0"/>
          <c:showVal val="0"/>
          <c:showCatName val="0"/>
          <c:showSerName val="0"/>
          <c:showPercent val="0"/>
          <c:showBubbleSize val="0"/>
        </c:dLbls>
        <c:marker val="1"/>
        <c:smooth val="0"/>
        <c:axId val="123272192"/>
        <c:axId val="123317632"/>
      </c:lineChart>
      <c:catAx>
        <c:axId val="123271680"/>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s-ES"/>
                  <a:t>Fecha</a:t>
                </a:r>
              </a:p>
            </c:rich>
          </c:tx>
          <c:layout>
            <c:manualLayout>
              <c:xMode val="edge"/>
              <c:yMode val="edge"/>
              <c:x val="0.49265601733558134"/>
              <c:y val="0.90104385389326325"/>
            </c:manualLayout>
          </c:layout>
          <c:overlay val="0"/>
          <c:spPr>
            <a:noFill/>
            <a:ln w="25400">
              <a:noFill/>
            </a:ln>
          </c:spPr>
        </c:title>
        <c:numFmt formatCode="dd\-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23317056"/>
        <c:crosses val="autoZero"/>
        <c:auto val="0"/>
        <c:lblAlgn val="ctr"/>
        <c:lblOffset val="100"/>
        <c:tickLblSkip val="1"/>
        <c:tickMarkSkip val="1"/>
        <c:noMultiLvlLbl val="0"/>
      </c:catAx>
      <c:valAx>
        <c:axId val="123317056"/>
        <c:scaling>
          <c:orientation val="minMax"/>
        </c:scaling>
        <c:delete val="0"/>
        <c:axPos val="l"/>
        <c:majorGridlines>
          <c:spPr>
            <a:ln w="3175">
              <a:solidFill>
                <a:srgbClr val="000000"/>
              </a:solidFill>
              <a:prstDash val="solid"/>
            </a:ln>
          </c:spPr>
        </c:majorGridlines>
        <c:title>
          <c:tx>
            <c:rich>
              <a:bodyPr/>
              <a:lstStyle/>
              <a:p>
                <a:pPr>
                  <a:defRPr sz="1100" b="0" i="0" u="none" strike="noStrike" baseline="0">
                    <a:solidFill>
                      <a:srgbClr val="000000"/>
                    </a:solidFill>
                    <a:latin typeface="Calibri"/>
                    <a:ea typeface="Calibri"/>
                    <a:cs typeface="Calibri"/>
                  </a:defRPr>
                </a:pPr>
                <a:r>
                  <a:rPr lang="es-ES" sz="1000" b="1" i="0" u="none" strike="noStrike" baseline="0">
                    <a:solidFill>
                      <a:srgbClr val="000080"/>
                    </a:solidFill>
                    <a:latin typeface="Arial"/>
                    <a:cs typeface="Arial"/>
                  </a:rPr>
                  <a:t>Cebo o Cebadero</a:t>
                </a:r>
              </a:p>
              <a:p>
                <a:pPr>
                  <a:defRPr sz="1100" b="0" i="0" u="none" strike="noStrike" baseline="0">
                    <a:solidFill>
                      <a:srgbClr val="000000"/>
                    </a:solidFill>
                    <a:latin typeface="Calibri"/>
                    <a:ea typeface="Calibri"/>
                    <a:cs typeface="Calibri"/>
                  </a:defRPr>
                </a:pPr>
                <a:r>
                  <a:rPr lang="es-ES" sz="1000" b="1" i="0" u="none" strike="noStrike" baseline="0">
                    <a:solidFill>
                      <a:srgbClr val="FF00FF"/>
                    </a:solidFill>
                    <a:latin typeface="Arial"/>
                    <a:cs typeface="Arial"/>
                  </a:rPr>
                  <a:t>R. para Producción de Leche</a:t>
                </a:r>
                <a:endParaRPr lang="es-ES" sz="1000" b="1" i="0" u="none" strike="noStrike" baseline="0">
                  <a:solidFill>
                    <a:srgbClr val="000080"/>
                  </a:solidFill>
                  <a:latin typeface="Arial"/>
                  <a:cs typeface="Arial"/>
                </a:endParaRPr>
              </a:p>
              <a:p>
                <a:pPr>
                  <a:defRPr sz="1100" b="0" i="0" u="none" strike="noStrike" baseline="0">
                    <a:solidFill>
                      <a:srgbClr val="000000"/>
                    </a:solidFill>
                    <a:latin typeface="Calibri"/>
                    <a:ea typeface="Calibri"/>
                    <a:cs typeface="Calibri"/>
                  </a:defRPr>
                </a:pPr>
                <a:r>
                  <a:rPr lang="es-ES" sz="1000" b="1" i="0" u="none" strike="noStrike" baseline="0">
                    <a:solidFill>
                      <a:srgbClr val="00FFFF"/>
                    </a:solidFill>
                    <a:latin typeface="Arial"/>
                    <a:cs typeface="Arial"/>
                  </a:rPr>
                  <a:t>R. Mixta</a:t>
                </a:r>
              </a:p>
            </c:rich>
          </c:tx>
          <c:layout>
            <c:manualLayout>
              <c:xMode val="edge"/>
              <c:yMode val="edge"/>
              <c:x val="1.8079064620233728E-2"/>
              <c:y val="0.26041721347331581"/>
            </c:manualLayout>
          </c:layout>
          <c:overlay val="0"/>
          <c:spPr>
            <a:noFill/>
            <a:ln w="3175">
              <a:solidFill>
                <a:srgbClr val="000080"/>
              </a:solidFill>
              <a:prstDash val="solid"/>
            </a:ln>
          </c:spPr>
        </c:title>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23271680"/>
        <c:crosses val="autoZero"/>
        <c:crossBetween val="between"/>
      </c:valAx>
      <c:catAx>
        <c:axId val="123272192"/>
        <c:scaling>
          <c:orientation val="minMax"/>
        </c:scaling>
        <c:delete val="1"/>
        <c:axPos val="b"/>
        <c:numFmt formatCode="[$-C0A]d\-mmm\-yy;@" sourceLinked="1"/>
        <c:majorTickMark val="out"/>
        <c:minorTickMark val="none"/>
        <c:tickLblPos val="nextTo"/>
        <c:crossAx val="123317632"/>
        <c:crosses val="autoZero"/>
        <c:auto val="0"/>
        <c:lblAlgn val="ctr"/>
        <c:lblOffset val="100"/>
        <c:noMultiLvlLbl val="0"/>
      </c:catAx>
      <c:valAx>
        <c:axId val="123317632"/>
        <c:scaling>
          <c:orientation val="minMax"/>
        </c:scaling>
        <c:delete val="0"/>
        <c:axPos val="r"/>
        <c:title>
          <c:tx>
            <c:rich>
              <a:bodyPr/>
              <a:lstStyle/>
              <a:p>
                <a:pPr>
                  <a:defRPr sz="1000" b="1" i="0" u="none" strike="noStrike" baseline="0">
                    <a:solidFill>
                      <a:srgbClr val="FFCC00"/>
                    </a:solidFill>
                    <a:latin typeface="Arial"/>
                    <a:ea typeface="Arial"/>
                    <a:cs typeface="Arial"/>
                  </a:defRPr>
                </a:pPr>
                <a:r>
                  <a:rPr lang="es-ES"/>
                  <a:t>R. para Producción de Carne</a:t>
                </a:r>
              </a:p>
            </c:rich>
          </c:tx>
          <c:layout>
            <c:manualLayout>
              <c:xMode val="edge"/>
              <c:yMode val="edge"/>
              <c:x val="0.95593332290417343"/>
              <c:y val="0.26041721347331581"/>
            </c:manualLayout>
          </c:layout>
          <c:overlay val="0"/>
          <c:spPr>
            <a:noFill/>
            <a:ln w="3175">
              <a:solidFill>
                <a:srgbClr val="FFCC00"/>
              </a:solidFill>
              <a:prstDash val="solid"/>
            </a:ln>
          </c:spPr>
        </c:title>
        <c:numFmt formatCode="#,##0"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23272192"/>
        <c:crosses val="max"/>
        <c:crossBetween val="between"/>
      </c:valAx>
      <c:spPr>
        <a:solidFill>
          <a:srgbClr val="C0C0C0"/>
        </a:solidFill>
        <a:ln w="12700">
          <a:solidFill>
            <a:srgbClr val="808080"/>
          </a:solidFill>
          <a:prstDash val="solid"/>
        </a:ln>
      </c:spPr>
    </c:plotArea>
    <c:plotVisOnly val="1"/>
    <c:dispBlanksAs val="gap"/>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ES"/>
              <a:t>Nº de Subexplotaciones de Bovino por C.A.</a:t>
            </a:r>
          </a:p>
        </c:rich>
      </c:tx>
      <c:layout>
        <c:manualLayout>
          <c:xMode val="edge"/>
          <c:yMode val="edge"/>
          <c:x val="0.31038391976085677"/>
          <c:y val="3.287671232876712E-2"/>
        </c:manualLayout>
      </c:layout>
      <c:overlay val="0"/>
      <c:spPr>
        <a:noFill/>
        <a:ln w="25400">
          <a:noFill/>
        </a:ln>
      </c:spPr>
    </c:title>
    <c:autoTitleDeleted val="0"/>
    <c:plotArea>
      <c:layout>
        <c:manualLayout>
          <c:layoutTarget val="inner"/>
          <c:xMode val="edge"/>
          <c:yMode val="edge"/>
          <c:x val="0.10158019142178651"/>
          <c:y val="0.18630136986301371"/>
          <c:w val="0.88261899657596721"/>
          <c:h val="0.63561643835616444"/>
        </c:manualLayout>
      </c:layout>
      <c:lineChart>
        <c:grouping val="standard"/>
        <c:varyColors val="0"/>
        <c:ser>
          <c:idx val="0"/>
          <c:order val="0"/>
          <c:tx>
            <c:v>Total (*)</c:v>
          </c:tx>
          <c:spPr>
            <a:ln w="12700">
              <a:solidFill>
                <a:srgbClr val="000080"/>
              </a:solidFill>
              <a:prstDash val="solid"/>
            </a:ln>
          </c:spPr>
          <c:marker>
            <c:symbol val="diamond"/>
            <c:size val="5"/>
            <c:spPr>
              <a:solidFill>
                <a:srgbClr val="000080"/>
              </a:solidFill>
              <a:ln>
                <a:solidFill>
                  <a:srgbClr val="000080"/>
                </a:solidFill>
                <a:prstDash val="solid"/>
              </a:ln>
            </c:spPr>
          </c:marker>
          <c:cat>
            <c:numRef>
              <c:f>'5.2- BOVINO (SUBEXPLOT)'!$C$16:$M$16</c:f>
              <c:numCache>
                <c:formatCode>[$-C0A]d\-mmm\-yy;@</c:formatCode>
                <c:ptCount val="11"/>
                <c:pt idx="0">
                  <c:v>0</c:v>
                </c:pt>
                <c:pt idx="1">
                  <c:v>38899</c:v>
                </c:pt>
                <c:pt idx="2">
                  <c:v>39083</c:v>
                </c:pt>
                <c:pt idx="3">
                  <c:v>39264</c:v>
                </c:pt>
                <c:pt idx="4">
                  <c:v>39448</c:v>
                </c:pt>
                <c:pt idx="5">
                  <c:v>39630</c:v>
                </c:pt>
                <c:pt idx="6">
                  <c:v>39814</c:v>
                </c:pt>
                <c:pt idx="7">
                  <c:v>39995</c:v>
                </c:pt>
                <c:pt idx="8">
                  <c:v>40179</c:v>
                </c:pt>
                <c:pt idx="9">
                  <c:v>40360</c:v>
                </c:pt>
                <c:pt idx="10">
                  <c:v>40544</c:v>
                </c:pt>
              </c:numCache>
            </c:numRef>
          </c:cat>
          <c:val>
            <c:numRef>
              <c:f>'5.2- BOVINO (SUBEXPLOT)'!$C$36:$M$36</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0-FECF-465C-A202-5644982EDB06}"/>
            </c:ext>
          </c:extLst>
        </c:ser>
        <c:dLbls>
          <c:showLegendKey val="0"/>
          <c:showVal val="0"/>
          <c:showCatName val="0"/>
          <c:showSerName val="0"/>
          <c:showPercent val="0"/>
          <c:showBubbleSize val="0"/>
        </c:dLbls>
        <c:marker val="1"/>
        <c:smooth val="0"/>
        <c:axId val="123272704"/>
        <c:axId val="123319360"/>
      </c:lineChart>
      <c:catAx>
        <c:axId val="123272704"/>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s-ES"/>
                  <a:t>Fecha</a:t>
                </a:r>
              </a:p>
            </c:rich>
          </c:tx>
          <c:layout>
            <c:manualLayout>
              <c:xMode val="edge"/>
              <c:yMode val="edge"/>
              <c:x val="0.51918753816191943"/>
              <c:y val="0.89589041095890409"/>
            </c:manualLayout>
          </c:layout>
          <c:overlay val="0"/>
          <c:spPr>
            <a:noFill/>
            <a:ln w="25400">
              <a:noFill/>
            </a:ln>
          </c:spPr>
        </c:title>
        <c:numFmt formatCode="dd\-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23319360"/>
        <c:crosses val="autoZero"/>
        <c:auto val="0"/>
        <c:lblAlgn val="ctr"/>
        <c:lblOffset val="100"/>
        <c:tickLblSkip val="1"/>
        <c:tickMarkSkip val="1"/>
        <c:noMultiLvlLbl val="0"/>
      </c:catAx>
      <c:valAx>
        <c:axId val="123319360"/>
        <c:scaling>
          <c:orientation val="minMax"/>
        </c:scaling>
        <c:delete val="0"/>
        <c:axPos val="l"/>
        <c:majorGridlines>
          <c:spPr>
            <a:ln w="3175">
              <a:solidFill>
                <a:srgbClr val="000000"/>
              </a:solidFill>
              <a:prstDash val="solid"/>
            </a:ln>
          </c:spPr>
        </c:majorGridlines>
        <c:title>
          <c:tx>
            <c:rich>
              <a:bodyPr/>
              <a:lstStyle/>
              <a:p>
                <a:pPr>
                  <a:defRPr sz="1000" b="1" i="0" u="none" strike="noStrike" baseline="0">
                    <a:solidFill>
                      <a:srgbClr val="000080"/>
                    </a:solidFill>
                    <a:latin typeface="Arial"/>
                    <a:ea typeface="Arial"/>
                    <a:cs typeface="Arial"/>
                  </a:defRPr>
                </a:pPr>
                <a:r>
                  <a:rPr lang="es-ES"/>
                  <a:t>Total</a:t>
                </a:r>
              </a:p>
            </c:rich>
          </c:tx>
          <c:layout>
            <c:manualLayout>
              <c:xMode val="edge"/>
              <c:yMode val="edge"/>
              <c:x val="1.1286725873709005E-2"/>
              <c:y val="0.45753424657534247"/>
            </c:manualLayout>
          </c:layout>
          <c:overlay val="0"/>
          <c:spPr>
            <a:noFill/>
            <a:ln w="3175">
              <a:solidFill>
                <a:srgbClr val="000080"/>
              </a:solidFill>
              <a:prstDash val="solid"/>
            </a:ln>
          </c:spPr>
        </c:title>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23272704"/>
        <c:crosses val="autoZero"/>
        <c:crossBetween val="between"/>
      </c:valAx>
      <c:spPr>
        <a:solidFill>
          <a:srgbClr val="C0C0C0"/>
        </a:solidFill>
        <a:ln w="12700">
          <a:solidFill>
            <a:srgbClr val="808080"/>
          </a:solidFill>
          <a:prstDash val="solid"/>
        </a:ln>
      </c:spPr>
    </c:plotArea>
    <c:plotVisOnly val="1"/>
    <c:dispBlanksAs val="gap"/>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ES"/>
              <a:t>Total de Censo y Subexplotaciones de Bovino.</a:t>
            </a:r>
          </a:p>
        </c:rich>
      </c:tx>
      <c:layout>
        <c:manualLayout>
          <c:xMode val="edge"/>
          <c:yMode val="edge"/>
          <c:x val="0.29650502387642075"/>
          <c:y val="3.3854166666666664E-2"/>
        </c:manualLayout>
      </c:layout>
      <c:overlay val="0"/>
      <c:spPr>
        <a:noFill/>
        <a:ln w="25400">
          <a:noFill/>
        </a:ln>
      </c:spPr>
    </c:title>
    <c:autoTitleDeleted val="0"/>
    <c:plotArea>
      <c:layout>
        <c:manualLayout>
          <c:layoutTarget val="inner"/>
          <c:xMode val="edge"/>
          <c:yMode val="edge"/>
          <c:x val="9.8083427282976324E-2"/>
          <c:y val="0.11197945144513816"/>
          <c:w val="0.8060879368658399"/>
          <c:h val="0.67187670867082894"/>
        </c:manualLayout>
      </c:layout>
      <c:lineChart>
        <c:grouping val="standard"/>
        <c:varyColors val="0"/>
        <c:ser>
          <c:idx val="0"/>
          <c:order val="0"/>
          <c:tx>
            <c:v>Total Bovinos</c:v>
          </c:tx>
          <c:spPr>
            <a:ln w="12700">
              <a:solidFill>
                <a:srgbClr val="000080"/>
              </a:solidFill>
              <a:prstDash val="solid"/>
            </a:ln>
          </c:spPr>
          <c:marker>
            <c:symbol val="diamond"/>
            <c:size val="5"/>
            <c:spPr>
              <a:solidFill>
                <a:srgbClr val="000080"/>
              </a:solidFill>
              <a:ln>
                <a:solidFill>
                  <a:srgbClr val="000080"/>
                </a:solidFill>
                <a:prstDash val="solid"/>
              </a:ln>
            </c:spPr>
          </c:marker>
          <c:cat>
            <c:numRef>
              <c:f>'5.2- BOVINO (SUBEXPLOT)'!$C$16:$M$16</c:f>
              <c:numCache>
                <c:formatCode>[$-C0A]d\-mmm\-yy;@</c:formatCode>
                <c:ptCount val="11"/>
                <c:pt idx="0">
                  <c:v>0</c:v>
                </c:pt>
                <c:pt idx="1">
                  <c:v>38899</c:v>
                </c:pt>
                <c:pt idx="2">
                  <c:v>39083</c:v>
                </c:pt>
                <c:pt idx="3">
                  <c:v>39264</c:v>
                </c:pt>
                <c:pt idx="4">
                  <c:v>39448</c:v>
                </c:pt>
                <c:pt idx="5">
                  <c:v>39630</c:v>
                </c:pt>
                <c:pt idx="6">
                  <c:v>39814</c:v>
                </c:pt>
                <c:pt idx="7">
                  <c:v>39995</c:v>
                </c:pt>
                <c:pt idx="8">
                  <c:v>40179</c:v>
                </c:pt>
                <c:pt idx="9">
                  <c:v>40360</c:v>
                </c:pt>
                <c:pt idx="10">
                  <c:v>40544</c:v>
                </c:pt>
              </c:numCache>
            </c:numRef>
          </c:cat>
          <c:val>
            <c:numRef>
              <c:f>'5.1- BOVINO (CENSO)'!$C$43:$M$43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0-9718-4DAE-927D-441188D786AB}"/>
            </c:ext>
          </c:extLst>
        </c:ser>
        <c:dLbls>
          <c:showLegendKey val="0"/>
          <c:showVal val="0"/>
          <c:showCatName val="0"/>
          <c:showSerName val="0"/>
          <c:showPercent val="0"/>
          <c:showBubbleSize val="0"/>
        </c:dLbls>
        <c:marker val="1"/>
        <c:smooth val="0"/>
        <c:axId val="127643648"/>
        <c:axId val="123321088"/>
      </c:lineChart>
      <c:lineChart>
        <c:grouping val="standard"/>
        <c:varyColors val="0"/>
        <c:ser>
          <c:idx val="1"/>
          <c:order val="1"/>
          <c:tx>
            <c:v>Total(*)</c:v>
          </c:tx>
          <c:spPr>
            <a:ln w="12700">
              <a:solidFill>
                <a:srgbClr val="FF00FF"/>
              </a:solidFill>
              <a:prstDash val="solid"/>
            </a:ln>
          </c:spPr>
          <c:marker>
            <c:symbol val="square"/>
            <c:size val="5"/>
            <c:spPr>
              <a:solidFill>
                <a:srgbClr val="FF00FF"/>
              </a:solidFill>
              <a:ln>
                <a:solidFill>
                  <a:srgbClr val="FF00FF"/>
                </a:solidFill>
                <a:prstDash val="solid"/>
              </a:ln>
            </c:spPr>
          </c:marker>
          <c:cat>
            <c:numRef>
              <c:f>'5.2- BOVINO (SUBEXPLOT)'!$C$16:$M$16</c:f>
              <c:numCache>
                <c:formatCode>[$-C0A]d\-mmm\-yy;@</c:formatCode>
                <c:ptCount val="11"/>
                <c:pt idx="0">
                  <c:v>0</c:v>
                </c:pt>
                <c:pt idx="1">
                  <c:v>38899</c:v>
                </c:pt>
                <c:pt idx="2">
                  <c:v>39083</c:v>
                </c:pt>
                <c:pt idx="3">
                  <c:v>39264</c:v>
                </c:pt>
                <c:pt idx="4">
                  <c:v>39448</c:v>
                </c:pt>
                <c:pt idx="5">
                  <c:v>39630</c:v>
                </c:pt>
                <c:pt idx="6">
                  <c:v>39814</c:v>
                </c:pt>
                <c:pt idx="7">
                  <c:v>39995</c:v>
                </c:pt>
                <c:pt idx="8">
                  <c:v>40179</c:v>
                </c:pt>
                <c:pt idx="9">
                  <c:v>40360</c:v>
                </c:pt>
                <c:pt idx="10">
                  <c:v>40544</c:v>
                </c:pt>
              </c:numCache>
            </c:numRef>
          </c:cat>
          <c:val>
            <c:numRef>
              <c:f>'5.2- BOVINO (SUBEXPLOT)'!$C$36:$M$36</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1-9718-4DAE-927D-441188D786AB}"/>
            </c:ext>
          </c:extLst>
        </c:ser>
        <c:dLbls>
          <c:showLegendKey val="0"/>
          <c:showVal val="0"/>
          <c:showCatName val="0"/>
          <c:showSerName val="0"/>
          <c:showPercent val="0"/>
          <c:showBubbleSize val="0"/>
        </c:dLbls>
        <c:marker val="1"/>
        <c:smooth val="0"/>
        <c:axId val="127644672"/>
        <c:axId val="123321664"/>
      </c:lineChart>
      <c:catAx>
        <c:axId val="127643648"/>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s-ES"/>
                  <a:t>Fecha</a:t>
                </a:r>
              </a:p>
            </c:rich>
          </c:tx>
          <c:layout>
            <c:manualLayout>
              <c:xMode val="edge"/>
              <c:yMode val="edge"/>
              <c:x val="0.47688843409992249"/>
              <c:y val="0.85416885389326336"/>
            </c:manualLayout>
          </c:layout>
          <c:overlay val="0"/>
          <c:spPr>
            <a:noFill/>
            <a:ln w="25400">
              <a:noFill/>
            </a:ln>
          </c:spPr>
        </c:title>
        <c:numFmt formatCode="dd\-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23321088"/>
        <c:crosses val="autoZero"/>
        <c:auto val="0"/>
        <c:lblAlgn val="ctr"/>
        <c:lblOffset val="100"/>
        <c:tickLblSkip val="1"/>
        <c:tickMarkSkip val="1"/>
        <c:noMultiLvlLbl val="0"/>
      </c:catAx>
      <c:valAx>
        <c:axId val="123321088"/>
        <c:scaling>
          <c:orientation val="minMax"/>
        </c:scaling>
        <c:delete val="0"/>
        <c:axPos val="l"/>
        <c:majorGridlines>
          <c:spPr>
            <a:ln w="3175">
              <a:solidFill>
                <a:srgbClr val="000000"/>
              </a:solidFill>
              <a:prstDash val="solid"/>
            </a:ln>
          </c:spPr>
        </c:majorGridlines>
        <c:title>
          <c:tx>
            <c:rich>
              <a:bodyPr/>
              <a:lstStyle/>
              <a:p>
                <a:pPr>
                  <a:defRPr sz="900" b="1" i="0" u="none" strike="noStrike" baseline="0">
                    <a:solidFill>
                      <a:srgbClr val="000080"/>
                    </a:solidFill>
                    <a:latin typeface="Arial"/>
                    <a:ea typeface="Arial"/>
                    <a:cs typeface="Arial"/>
                  </a:defRPr>
                </a:pPr>
                <a:r>
                  <a:rPr lang="es-ES"/>
                  <a:t>Censo</a:t>
                </a:r>
              </a:p>
            </c:rich>
          </c:tx>
          <c:layout>
            <c:manualLayout>
              <c:xMode val="edge"/>
              <c:yMode val="edge"/>
              <c:x val="5.6370321551215789E-3"/>
              <c:y val="0.38802192694663168"/>
            </c:manualLayout>
          </c:layout>
          <c:overlay val="0"/>
          <c:spPr>
            <a:noFill/>
            <a:ln w="3175">
              <a:solidFill>
                <a:srgbClr val="000080"/>
              </a:solidFill>
              <a:prstDash val="solid"/>
            </a:ln>
          </c:spPr>
        </c:title>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27643648"/>
        <c:crosses val="autoZero"/>
        <c:crossBetween val="between"/>
      </c:valAx>
      <c:dateAx>
        <c:axId val="127644672"/>
        <c:scaling>
          <c:orientation val="minMax"/>
        </c:scaling>
        <c:delete val="1"/>
        <c:axPos val="b"/>
        <c:numFmt formatCode="[$-C0A]d\-mmm\-yy;@" sourceLinked="1"/>
        <c:majorTickMark val="out"/>
        <c:minorTickMark val="none"/>
        <c:tickLblPos val="nextTo"/>
        <c:crossAx val="123321664"/>
        <c:crosses val="autoZero"/>
        <c:auto val="1"/>
        <c:lblOffset val="100"/>
        <c:baseTimeUnit val="months"/>
      </c:dateAx>
      <c:valAx>
        <c:axId val="123321664"/>
        <c:scaling>
          <c:orientation val="minMax"/>
        </c:scaling>
        <c:delete val="0"/>
        <c:axPos val="r"/>
        <c:title>
          <c:tx>
            <c:rich>
              <a:bodyPr/>
              <a:lstStyle/>
              <a:p>
                <a:pPr>
                  <a:defRPr sz="900" b="1" i="0" u="none" strike="noStrike" baseline="0">
                    <a:solidFill>
                      <a:srgbClr val="FF00FF"/>
                    </a:solidFill>
                    <a:latin typeface="Arial"/>
                    <a:ea typeface="Arial"/>
                    <a:cs typeface="Arial"/>
                  </a:defRPr>
                </a:pPr>
                <a:r>
                  <a:rPr lang="es-ES"/>
                  <a:t>Subexplotaciones</a:t>
                </a:r>
              </a:p>
            </c:rich>
          </c:tx>
          <c:layout>
            <c:manualLayout>
              <c:xMode val="edge"/>
              <c:yMode val="edge"/>
              <c:x val="0.96843294367939692"/>
              <c:y val="0.30468832020997377"/>
            </c:manualLayout>
          </c:layout>
          <c:overlay val="0"/>
          <c:spPr>
            <a:noFill/>
            <a:ln w="3175">
              <a:solidFill>
                <a:srgbClr val="FF00FF"/>
              </a:solidFill>
              <a:prstDash val="solid"/>
            </a:ln>
          </c:spPr>
        </c:title>
        <c:numFmt formatCode="#,##0" sourceLinked="1"/>
        <c:majorTickMark val="cross"/>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s-ES"/>
          </a:p>
        </c:txPr>
        <c:crossAx val="127644672"/>
        <c:crosses val="max"/>
        <c:crossBetween val="between"/>
      </c:valAx>
      <c:spPr>
        <a:solidFill>
          <a:srgbClr val="C0C0C0"/>
        </a:solidFill>
        <a:ln w="12700">
          <a:solidFill>
            <a:srgbClr val="808080"/>
          </a:solidFill>
          <a:prstDash val="solid"/>
        </a:ln>
      </c:spPr>
    </c:plotArea>
    <c:plotVisOnly val="1"/>
    <c:dispBlanksAs val="gap"/>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AUX!$H$34</c:f>
          <c:strCache>
            <c:ptCount val="1"/>
            <c:pt idx="0">
              <c:v>Distribución de las Subexplotaciones de Bovino por 
Clasificación Zootécnica y C.A.  
(31 de diciembre de 1904)</c:v>
            </c:pt>
          </c:strCache>
        </c:strRef>
      </c:tx>
      <c:layout>
        <c:manualLayout>
          <c:xMode val="edge"/>
          <c:yMode val="edge"/>
          <c:x val="0.26155584076219546"/>
          <c:y val="3.3726812816188868E-2"/>
        </c:manualLayout>
      </c:layout>
      <c:overlay val="0"/>
      <c:spPr>
        <a:noFill/>
        <a:ln w="25400">
          <a:noFill/>
        </a:ln>
      </c:spPr>
      <c:txPr>
        <a:bodyPr/>
        <a:lstStyle/>
        <a:p>
          <a:pPr>
            <a:defRPr sz="1450" b="0" i="0" u="none" strike="noStrike" baseline="0">
              <a:solidFill>
                <a:srgbClr val="000000"/>
              </a:solidFill>
              <a:latin typeface="Arial"/>
              <a:ea typeface="Arial"/>
              <a:cs typeface="Arial"/>
            </a:defRPr>
          </a:pPr>
          <a:endParaRPr lang="es-ES"/>
        </a:p>
      </c:txPr>
    </c:title>
    <c:autoTitleDeleted val="0"/>
    <c:plotArea>
      <c:layout>
        <c:manualLayout>
          <c:layoutTarget val="inner"/>
          <c:xMode val="edge"/>
          <c:yMode val="edge"/>
          <c:x val="0.37542277339346108"/>
          <c:y val="0.38617200674536256"/>
          <c:w val="0.24577226606538896"/>
          <c:h val="0.36762225969645868"/>
        </c:manualLayout>
      </c:layout>
      <c:pieChart>
        <c:varyColors val="1"/>
        <c:ser>
          <c:idx val="0"/>
          <c:order val="0"/>
          <c:tx>
            <c:v>Total</c:v>
          </c:tx>
          <c:spPr>
            <a:solidFill>
              <a:srgbClr val="9999FF"/>
            </a:solidFill>
            <a:ln w="12700">
              <a:solidFill>
                <a:srgbClr val="000000"/>
              </a:solidFill>
              <a:prstDash val="solid"/>
            </a:ln>
          </c:spPr>
          <c:dPt>
            <c:idx val="0"/>
            <c:bubble3D val="0"/>
            <c:extLst>
              <c:ext xmlns:c16="http://schemas.microsoft.com/office/drawing/2014/chart" uri="{C3380CC4-5D6E-409C-BE32-E72D297353CC}">
                <c16:uniqueId val="{00000000-3925-45F1-B59A-3BAE4DEDF820}"/>
              </c:ext>
            </c:extLst>
          </c:dPt>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2-3925-45F1-B59A-3BAE4DEDF820}"/>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4-3925-45F1-B59A-3BAE4DEDF820}"/>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6-3925-45F1-B59A-3BAE4DEDF820}"/>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8-3925-45F1-B59A-3BAE4DEDF820}"/>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A-3925-45F1-B59A-3BAE4DEDF820}"/>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C-3925-45F1-B59A-3BAE4DEDF820}"/>
              </c:ext>
            </c:extLst>
          </c:dPt>
          <c:dLbls>
            <c:dLbl>
              <c:idx val="0"/>
              <c:layout>
                <c:manualLayout>
                  <c:x val="6.5692075976410483E-2"/>
                  <c:y val="-1.9962024139899844E-2"/>
                </c:manualLayout>
              </c:layout>
              <c:dLblPos val="bestFit"/>
              <c:showLegendKey val="1"/>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0-3925-45F1-B59A-3BAE4DEDF820}"/>
                </c:ext>
              </c:extLst>
            </c:dLbl>
            <c:dLbl>
              <c:idx val="1"/>
              <c:layout>
                <c:manualLayout>
                  <c:x val="1.8120237788765689E-2"/>
                  <c:y val="-1.5781669787061439E-3"/>
                </c:manualLayout>
              </c:layout>
              <c:dLblPos val="bestFit"/>
              <c:showLegendKey val="1"/>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2-3925-45F1-B59A-3BAE4DEDF820}"/>
                </c:ext>
              </c:extLst>
            </c:dLbl>
            <c:dLbl>
              <c:idx val="2"/>
              <c:layout>
                <c:manualLayout>
                  <c:x val="-2.9199963307855958E-2"/>
                  <c:y val="3.3742569699866741E-2"/>
                </c:manualLayout>
              </c:layout>
              <c:dLblPos val="bestFit"/>
              <c:showLegendKey val="1"/>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4-3925-45F1-B59A-3BAE4DEDF820}"/>
                </c:ext>
              </c:extLst>
            </c:dLbl>
            <c:dLbl>
              <c:idx val="3"/>
              <c:layout>
                <c:manualLayout>
                  <c:x val="-8.6045563357567939E-2"/>
                  <c:y val="0.11541297641336148"/>
                </c:manualLayout>
              </c:layout>
              <c:dLblPos val="bestFit"/>
              <c:showLegendKey val="1"/>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6-3925-45F1-B59A-3BAE4DEDF820}"/>
                </c:ext>
              </c:extLst>
            </c:dLbl>
            <c:dLbl>
              <c:idx val="4"/>
              <c:layout>
                <c:manualLayout>
                  <c:x val="-2.8042858791467319E-2"/>
                  <c:y val="-5.8005514909287223E-2"/>
                </c:manualLayout>
              </c:layout>
              <c:dLblPos val="bestFit"/>
              <c:showLegendKey val="1"/>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8-3925-45F1-B59A-3BAE4DEDF820}"/>
                </c:ext>
              </c:extLst>
            </c:dLbl>
            <c:dLbl>
              <c:idx val="5"/>
              <c:layout>
                <c:manualLayout>
                  <c:x val="5.3430626695902012E-2"/>
                  <c:y val="-0.11454811824744499"/>
                </c:manualLayout>
              </c:layout>
              <c:dLblPos val="bestFit"/>
              <c:showLegendKey val="1"/>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A-3925-45F1-B59A-3BAE4DEDF820}"/>
                </c:ext>
              </c:extLst>
            </c:dLbl>
            <c:dLbl>
              <c:idx val="6"/>
              <c:layout>
                <c:manualLayout>
                  <c:x val="4.3463383311584357E-2"/>
                  <c:y val="-2.3716765589798408E-3"/>
                </c:manualLayout>
              </c:layout>
              <c:dLblPos val="bestFit"/>
              <c:showLegendKey val="1"/>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C-3925-45F1-B59A-3BAE4DEDF820}"/>
                </c:ext>
              </c:extLst>
            </c:dLbl>
            <c:numFmt formatCode="0.0%" sourceLinked="0"/>
            <c:spPr>
              <a:noFill/>
              <a:ln w="25400">
                <a:noFill/>
              </a:ln>
            </c:spPr>
            <c:txPr>
              <a:bodyPr/>
              <a:lstStyle/>
              <a:p>
                <a:pPr>
                  <a:defRPr sz="1025" b="0" i="0" u="none" strike="noStrike" baseline="0">
                    <a:solidFill>
                      <a:srgbClr val="000000"/>
                    </a:solidFill>
                    <a:latin typeface="Arial"/>
                    <a:ea typeface="Arial"/>
                    <a:cs typeface="Arial"/>
                  </a:defRPr>
                </a:pPr>
                <a:endParaRPr lang="es-ES"/>
              </a:p>
            </c:txPr>
            <c:showLegendKey val="1"/>
            <c:showVal val="0"/>
            <c:showCatName val="0"/>
            <c:showSerName val="0"/>
            <c:showPercent val="1"/>
            <c:showBubbleSize val="0"/>
            <c:showLeaderLines val="1"/>
            <c:extLst>
              <c:ext xmlns:c15="http://schemas.microsoft.com/office/drawing/2012/chart" uri="{CE6537A1-D6FC-4f65-9D91-7224C49458BB}"/>
            </c:extLst>
          </c:dLbls>
          <c:cat>
            <c:strRef>
              <c:f>'5.2- BOVINO (SUBEXPLOT)'!$B$373:$B$379</c:f>
              <c:strCache>
                <c:ptCount val="7"/>
                <c:pt idx="0">
                  <c:v>Cebo o Cebadero</c:v>
                </c:pt>
                <c:pt idx="1">
                  <c:v>Reproducción para Producción de Leche</c:v>
                </c:pt>
                <c:pt idx="2">
                  <c:v>Reproducción para Producción de Carne</c:v>
                </c:pt>
                <c:pt idx="3">
                  <c:v>Reproducción Mixta</c:v>
                </c:pt>
                <c:pt idx="4">
                  <c:v>Precebo</c:v>
                </c:pt>
                <c:pt idx="5">
                  <c:v>Recría de Novillas</c:v>
                </c:pt>
                <c:pt idx="6">
                  <c:v>Otras clasificaciones</c:v>
                </c:pt>
              </c:strCache>
            </c:strRef>
          </c:cat>
          <c:val>
            <c:numRef>
              <c:f>'5.2- BOVINO (SUBEXPLOT)'!$C$373:$C$379</c:f>
              <c:numCache>
                <c:formatCode>#,##0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D-3925-45F1-B59A-3BAE4DEDF820}"/>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81397967324569009"/>
          <c:y val="0.4148397976391231"/>
          <c:w val="0.1657272191196365"/>
          <c:h val="0.33726812816188873"/>
        </c:manualLayout>
      </c:layout>
      <c:overlay val="0"/>
      <c:spPr>
        <a:solidFill>
          <a:srgbClr val="FFFFFF"/>
        </a:solidFill>
        <a:ln w="3175">
          <a:solidFill>
            <a:srgbClr val="000000"/>
          </a:solidFill>
          <a:prstDash val="solid"/>
        </a:ln>
      </c:spPr>
      <c:txPr>
        <a:bodyPr/>
        <a:lstStyle/>
        <a:p>
          <a:pPr>
            <a:defRPr sz="630" b="0" i="0" u="none" strike="noStrike" baseline="0">
              <a:solidFill>
                <a:srgbClr val="000000"/>
              </a:solidFill>
              <a:latin typeface="Arial"/>
              <a:ea typeface="Arial"/>
              <a:cs typeface="Arial"/>
            </a:defRPr>
          </a:pPr>
          <a:endParaRPr lang="es-ES"/>
        </a:p>
      </c:txPr>
    </c:legend>
    <c:plotVisOnly val="0"/>
    <c:dispBlanksAs val="zero"/>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145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ES"/>
              <a:t>Censo de Porcino por Categoría y C.A</a:t>
            </a:r>
          </a:p>
        </c:rich>
      </c:tx>
      <c:layout>
        <c:manualLayout>
          <c:xMode val="edge"/>
          <c:yMode val="edge"/>
          <c:x val="0.35673076923076924"/>
          <c:y val="3.9274924471299093E-2"/>
        </c:manualLayout>
      </c:layout>
      <c:overlay val="0"/>
      <c:spPr>
        <a:noFill/>
        <a:ln w="25400">
          <a:noFill/>
        </a:ln>
      </c:spPr>
    </c:title>
    <c:autoTitleDeleted val="0"/>
    <c:plotArea>
      <c:layout>
        <c:manualLayout>
          <c:layoutTarget val="inner"/>
          <c:xMode val="edge"/>
          <c:yMode val="edge"/>
          <c:x val="8.5576923076923078E-2"/>
          <c:y val="0.14501531966242162"/>
          <c:w val="0.77115384615384619"/>
          <c:h val="0.61027280357935765"/>
        </c:manualLayout>
      </c:layout>
      <c:lineChart>
        <c:grouping val="standard"/>
        <c:varyColors val="0"/>
        <c:ser>
          <c:idx val="0"/>
          <c:order val="0"/>
          <c:tx>
            <c:v>Cebo</c:v>
          </c:tx>
          <c:spPr>
            <a:ln w="12700">
              <a:solidFill>
                <a:srgbClr val="000080"/>
              </a:solidFill>
              <a:prstDash val="solid"/>
            </a:ln>
          </c:spPr>
          <c:marker>
            <c:symbol val="diamond"/>
            <c:size val="5"/>
            <c:spPr>
              <a:solidFill>
                <a:srgbClr val="000080"/>
              </a:solidFill>
              <a:ln>
                <a:solidFill>
                  <a:srgbClr val="000080"/>
                </a:solidFill>
                <a:prstDash val="solid"/>
              </a:ln>
            </c:spPr>
          </c:marker>
          <c:cat>
            <c:numRef>
              <c:f>'6.1- PORCINO (CENSO)'!$C$16:$M$16</c:f>
              <c:numCache>
                <c:formatCode>[$-C0A]d\-mmm\-yy;@</c:formatCode>
                <c:ptCount val="11"/>
                <c:pt idx="0">
                  <c:v>0</c:v>
                </c:pt>
                <c:pt idx="1">
                  <c:v>38899</c:v>
                </c:pt>
                <c:pt idx="2">
                  <c:v>39083</c:v>
                </c:pt>
                <c:pt idx="3">
                  <c:v>39264</c:v>
                </c:pt>
                <c:pt idx="4">
                  <c:v>39448</c:v>
                </c:pt>
                <c:pt idx="5">
                  <c:v>39630</c:v>
                </c:pt>
                <c:pt idx="6">
                  <c:v>39814</c:v>
                </c:pt>
                <c:pt idx="7">
                  <c:v>39995</c:v>
                </c:pt>
                <c:pt idx="8">
                  <c:v>40179</c:v>
                </c:pt>
                <c:pt idx="9">
                  <c:v>40360</c:v>
                </c:pt>
                <c:pt idx="10">
                  <c:v>40544</c:v>
                </c:pt>
              </c:numCache>
            </c:numRef>
          </c:cat>
          <c:val>
            <c:numRef>
              <c:f>'6.1- PORCINO (CENSO)'!$C$18:$M$18</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0-DE6F-40F7-BBD2-429640EF2A7A}"/>
            </c:ext>
          </c:extLst>
        </c:ser>
        <c:dLbls>
          <c:showLegendKey val="0"/>
          <c:showVal val="0"/>
          <c:showCatName val="0"/>
          <c:showSerName val="0"/>
          <c:showPercent val="0"/>
          <c:showBubbleSize val="0"/>
        </c:dLbls>
        <c:marker val="1"/>
        <c:smooth val="0"/>
        <c:axId val="126022144"/>
        <c:axId val="127819072"/>
      </c:lineChart>
      <c:lineChart>
        <c:grouping val="standard"/>
        <c:varyColors val="0"/>
        <c:ser>
          <c:idx val="1"/>
          <c:order val="1"/>
          <c:tx>
            <c:v>Cerdas</c:v>
          </c:tx>
          <c:spPr>
            <a:ln w="12700">
              <a:solidFill>
                <a:srgbClr val="FF00FF"/>
              </a:solidFill>
              <a:prstDash val="solid"/>
            </a:ln>
          </c:spPr>
          <c:marker>
            <c:symbol val="square"/>
            <c:size val="5"/>
            <c:spPr>
              <a:solidFill>
                <a:srgbClr val="FF00FF"/>
              </a:solidFill>
              <a:ln>
                <a:solidFill>
                  <a:srgbClr val="FF00FF"/>
                </a:solidFill>
                <a:prstDash val="solid"/>
              </a:ln>
            </c:spPr>
          </c:marker>
          <c:cat>
            <c:numRef>
              <c:f>'6.1- PORCINO (CENSO)'!$C$16:$M$16</c:f>
              <c:numCache>
                <c:formatCode>[$-C0A]d\-mmm\-yy;@</c:formatCode>
                <c:ptCount val="11"/>
                <c:pt idx="0">
                  <c:v>0</c:v>
                </c:pt>
                <c:pt idx="1">
                  <c:v>38899</c:v>
                </c:pt>
                <c:pt idx="2">
                  <c:v>39083</c:v>
                </c:pt>
                <c:pt idx="3">
                  <c:v>39264</c:v>
                </c:pt>
                <c:pt idx="4">
                  <c:v>39448</c:v>
                </c:pt>
                <c:pt idx="5">
                  <c:v>39630</c:v>
                </c:pt>
                <c:pt idx="6">
                  <c:v>39814</c:v>
                </c:pt>
                <c:pt idx="7">
                  <c:v>39995</c:v>
                </c:pt>
                <c:pt idx="8">
                  <c:v>40179</c:v>
                </c:pt>
                <c:pt idx="9">
                  <c:v>40360</c:v>
                </c:pt>
                <c:pt idx="10">
                  <c:v>40544</c:v>
                </c:pt>
              </c:numCache>
            </c:numRef>
          </c:cat>
          <c:val>
            <c:numRef>
              <c:f>'6.1- PORCINO (CENSO)'!$C$20:$M$20</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1-DE6F-40F7-BBD2-429640EF2A7A}"/>
            </c:ext>
          </c:extLst>
        </c:ser>
        <c:ser>
          <c:idx val="2"/>
          <c:order val="2"/>
          <c:tx>
            <c:v>Lechones(*)</c:v>
          </c:tx>
          <c:spPr>
            <a:ln w="12700">
              <a:solidFill>
                <a:srgbClr val="FFFF00"/>
              </a:solidFill>
              <a:prstDash val="solid"/>
            </a:ln>
          </c:spPr>
          <c:marker>
            <c:symbol val="triangle"/>
            <c:size val="5"/>
            <c:spPr>
              <a:solidFill>
                <a:srgbClr val="FFFF00"/>
              </a:solidFill>
              <a:ln>
                <a:solidFill>
                  <a:srgbClr val="FFFF00"/>
                </a:solidFill>
                <a:prstDash val="solid"/>
              </a:ln>
            </c:spPr>
          </c:marker>
          <c:cat>
            <c:numRef>
              <c:f>'6.1- PORCINO (CENSO)'!$C$16:$M$16</c:f>
              <c:numCache>
                <c:formatCode>[$-C0A]d\-mmm\-yy;@</c:formatCode>
                <c:ptCount val="11"/>
                <c:pt idx="0">
                  <c:v>0</c:v>
                </c:pt>
                <c:pt idx="1">
                  <c:v>38899</c:v>
                </c:pt>
                <c:pt idx="2">
                  <c:v>39083</c:v>
                </c:pt>
                <c:pt idx="3">
                  <c:v>39264</c:v>
                </c:pt>
                <c:pt idx="4">
                  <c:v>39448</c:v>
                </c:pt>
                <c:pt idx="5">
                  <c:v>39630</c:v>
                </c:pt>
                <c:pt idx="6">
                  <c:v>39814</c:v>
                </c:pt>
                <c:pt idx="7">
                  <c:v>39995</c:v>
                </c:pt>
                <c:pt idx="8">
                  <c:v>40179</c:v>
                </c:pt>
                <c:pt idx="9">
                  <c:v>40360</c:v>
                </c:pt>
                <c:pt idx="10">
                  <c:v>40544</c:v>
                </c:pt>
              </c:numCache>
            </c:numRef>
          </c:cat>
          <c:val>
            <c:numRef>
              <c:f>'6.1- PORCINO (CENSO)'!$C$22:$M$22</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DE6F-40F7-BBD2-429640EF2A7A}"/>
            </c:ext>
          </c:extLst>
        </c:ser>
        <c:ser>
          <c:idx val="3"/>
          <c:order val="3"/>
          <c:tx>
            <c:v>Recría/Transición</c:v>
          </c:tx>
          <c:spPr>
            <a:ln w="12700">
              <a:solidFill>
                <a:srgbClr val="00FFFF"/>
              </a:solidFill>
              <a:prstDash val="solid"/>
            </a:ln>
          </c:spPr>
          <c:marker>
            <c:symbol val="x"/>
            <c:size val="5"/>
            <c:spPr>
              <a:noFill/>
              <a:ln>
                <a:solidFill>
                  <a:srgbClr val="00FFFF"/>
                </a:solidFill>
                <a:prstDash val="solid"/>
              </a:ln>
            </c:spPr>
          </c:marker>
          <c:cat>
            <c:numRef>
              <c:f>'6.1- PORCINO (CENSO)'!$C$16:$M$16</c:f>
              <c:numCache>
                <c:formatCode>[$-C0A]d\-mmm\-yy;@</c:formatCode>
                <c:ptCount val="11"/>
                <c:pt idx="0">
                  <c:v>0</c:v>
                </c:pt>
                <c:pt idx="1">
                  <c:v>38899</c:v>
                </c:pt>
                <c:pt idx="2">
                  <c:v>39083</c:v>
                </c:pt>
                <c:pt idx="3">
                  <c:v>39264</c:v>
                </c:pt>
                <c:pt idx="4">
                  <c:v>39448</c:v>
                </c:pt>
                <c:pt idx="5">
                  <c:v>39630</c:v>
                </c:pt>
                <c:pt idx="6">
                  <c:v>39814</c:v>
                </c:pt>
                <c:pt idx="7">
                  <c:v>39995</c:v>
                </c:pt>
                <c:pt idx="8">
                  <c:v>40179</c:v>
                </c:pt>
                <c:pt idx="9">
                  <c:v>40360</c:v>
                </c:pt>
                <c:pt idx="10">
                  <c:v>40544</c:v>
                </c:pt>
              </c:numCache>
            </c:numRef>
          </c:cat>
          <c:val>
            <c:numRef>
              <c:f>'6.1- PORCINO (CENSO)'!$C$24:$M$24</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DE6F-40F7-BBD2-429640EF2A7A}"/>
            </c:ext>
          </c:extLst>
        </c:ser>
        <c:dLbls>
          <c:showLegendKey val="0"/>
          <c:showVal val="0"/>
          <c:showCatName val="0"/>
          <c:showSerName val="0"/>
          <c:showPercent val="0"/>
          <c:showBubbleSize val="0"/>
        </c:dLbls>
        <c:marker val="1"/>
        <c:smooth val="0"/>
        <c:axId val="126023168"/>
        <c:axId val="126050304"/>
      </c:lineChart>
      <c:catAx>
        <c:axId val="126022144"/>
        <c:scaling>
          <c:orientation val="minMax"/>
        </c:scaling>
        <c:delete val="0"/>
        <c:axPos val="b"/>
        <c:title>
          <c:tx>
            <c:rich>
              <a:bodyPr/>
              <a:lstStyle/>
              <a:p>
                <a:pPr>
                  <a:defRPr sz="975" b="1" i="0" u="none" strike="noStrike" baseline="0">
                    <a:solidFill>
                      <a:srgbClr val="000000"/>
                    </a:solidFill>
                    <a:latin typeface="Arial"/>
                    <a:ea typeface="Arial"/>
                    <a:cs typeface="Arial"/>
                  </a:defRPr>
                </a:pPr>
                <a:r>
                  <a:rPr lang="es-ES"/>
                  <a:t>Fecha</a:t>
                </a:r>
              </a:p>
            </c:rich>
          </c:tx>
          <c:layout>
            <c:manualLayout>
              <c:xMode val="edge"/>
              <c:yMode val="edge"/>
              <c:x val="0.45096153846153847"/>
              <c:y val="0.83685927476588085"/>
            </c:manualLayout>
          </c:layout>
          <c:overlay val="0"/>
          <c:spPr>
            <a:noFill/>
            <a:ln w="25400">
              <a:noFill/>
            </a:ln>
          </c:spPr>
        </c:title>
        <c:numFmt formatCode="dd\-mmm\-yy" sourceLinked="0"/>
        <c:majorTickMark val="out"/>
        <c:minorTickMark val="none"/>
        <c:tickLblPos val="nextTo"/>
        <c:spPr>
          <a:ln w="3175">
            <a:solidFill>
              <a:srgbClr val="000000"/>
            </a:solidFill>
            <a:prstDash val="solid"/>
          </a:ln>
        </c:spPr>
        <c:txPr>
          <a:bodyPr rot="0" vert="horz"/>
          <a:lstStyle/>
          <a:p>
            <a:pPr>
              <a:defRPr sz="825" b="0" i="0" u="none" strike="noStrike" baseline="0">
                <a:solidFill>
                  <a:srgbClr val="000000"/>
                </a:solidFill>
                <a:latin typeface="Arial"/>
                <a:ea typeface="Arial"/>
                <a:cs typeface="Arial"/>
              </a:defRPr>
            </a:pPr>
            <a:endParaRPr lang="es-ES"/>
          </a:p>
        </c:txPr>
        <c:crossAx val="127819072"/>
        <c:crosses val="autoZero"/>
        <c:auto val="0"/>
        <c:lblAlgn val="ctr"/>
        <c:lblOffset val="100"/>
        <c:tickLblSkip val="1"/>
        <c:tickMarkSkip val="1"/>
        <c:noMultiLvlLbl val="0"/>
      </c:catAx>
      <c:valAx>
        <c:axId val="127819072"/>
        <c:scaling>
          <c:orientation val="minMax"/>
        </c:scaling>
        <c:delete val="0"/>
        <c:axPos val="l"/>
        <c:majorGridlines>
          <c:spPr>
            <a:ln w="3175">
              <a:solidFill>
                <a:srgbClr val="000000"/>
              </a:solidFill>
              <a:prstDash val="solid"/>
            </a:ln>
          </c:spPr>
        </c:majorGridlines>
        <c:title>
          <c:tx>
            <c:rich>
              <a:bodyPr/>
              <a:lstStyle/>
              <a:p>
                <a:pPr>
                  <a:defRPr sz="875" b="1" i="0" u="none" strike="noStrike" baseline="0">
                    <a:solidFill>
                      <a:srgbClr val="000080"/>
                    </a:solidFill>
                    <a:latin typeface="Arial"/>
                    <a:ea typeface="Arial"/>
                    <a:cs typeface="Arial"/>
                  </a:defRPr>
                </a:pPr>
                <a:r>
                  <a:rPr lang="es-ES"/>
                  <a:t>Cebo</a:t>
                </a:r>
              </a:p>
            </c:rich>
          </c:tx>
          <c:layout>
            <c:manualLayout>
              <c:xMode val="edge"/>
              <c:yMode val="edge"/>
              <c:x val="9.6153846153846159E-3"/>
              <c:y val="0.39879217514729087"/>
            </c:manualLayout>
          </c:layout>
          <c:overlay val="0"/>
          <c:spPr>
            <a:noFill/>
            <a:ln w="3175">
              <a:solidFill>
                <a:srgbClr val="000080"/>
              </a:solidFill>
              <a:prstDash val="solid"/>
            </a:ln>
          </c:spPr>
        </c:title>
        <c:numFmt formatCode="#,##0" sourceLinked="1"/>
        <c:majorTickMark val="out"/>
        <c:minorTickMark val="none"/>
        <c:tickLblPos val="nextTo"/>
        <c:spPr>
          <a:ln w="3175">
            <a:solidFill>
              <a:srgbClr val="000000"/>
            </a:solidFill>
            <a:prstDash val="solid"/>
          </a:ln>
        </c:spPr>
        <c:txPr>
          <a:bodyPr rot="0" vert="horz"/>
          <a:lstStyle/>
          <a:p>
            <a:pPr>
              <a:defRPr sz="825" b="0" i="0" u="none" strike="noStrike" baseline="0">
                <a:solidFill>
                  <a:srgbClr val="000000"/>
                </a:solidFill>
                <a:latin typeface="Arial"/>
                <a:ea typeface="Arial"/>
                <a:cs typeface="Arial"/>
              </a:defRPr>
            </a:pPr>
            <a:endParaRPr lang="es-ES"/>
          </a:p>
        </c:txPr>
        <c:crossAx val="126022144"/>
        <c:crosses val="autoZero"/>
        <c:crossBetween val="between"/>
      </c:valAx>
      <c:dateAx>
        <c:axId val="126023168"/>
        <c:scaling>
          <c:orientation val="minMax"/>
        </c:scaling>
        <c:delete val="1"/>
        <c:axPos val="b"/>
        <c:numFmt formatCode="[$-C0A]d\-mmm\-yy;@" sourceLinked="1"/>
        <c:majorTickMark val="out"/>
        <c:minorTickMark val="none"/>
        <c:tickLblPos val="nextTo"/>
        <c:crossAx val="126050304"/>
        <c:crosses val="autoZero"/>
        <c:auto val="1"/>
        <c:lblOffset val="100"/>
        <c:baseTimeUnit val="months"/>
      </c:dateAx>
      <c:valAx>
        <c:axId val="126050304"/>
        <c:scaling>
          <c:orientation val="minMax"/>
        </c:scaling>
        <c:delete val="0"/>
        <c:axPos val="r"/>
        <c:title>
          <c:tx>
            <c:rich>
              <a:bodyPr/>
              <a:lstStyle/>
              <a:p>
                <a:pPr>
                  <a:defRPr sz="875" b="0" i="0" u="none" strike="noStrike" baseline="0">
                    <a:solidFill>
                      <a:srgbClr val="000000"/>
                    </a:solidFill>
                    <a:latin typeface="Arial"/>
                    <a:ea typeface="Arial"/>
                    <a:cs typeface="Arial"/>
                  </a:defRPr>
                </a:pPr>
                <a:r>
                  <a:rPr lang="es-ES" sz="875" b="1" i="0" u="none" strike="noStrike" baseline="0">
                    <a:solidFill>
                      <a:srgbClr val="FF00FF"/>
                    </a:solidFill>
                    <a:latin typeface="Arial"/>
                    <a:cs typeface="Arial"/>
                  </a:rPr>
                  <a:t>Cerdas</a:t>
                </a:r>
              </a:p>
              <a:p>
                <a:pPr>
                  <a:defRPr sz="875" b="0" i="0" u="none" strike="noStrike" baseline="0">
                    <a:solidFill>
                      <a:srgbClr val="000000"/>
                    </a:solidFill>
                    <a:latin typeface="Arial"/>
                    <a:ea typeface="Arial"/>
                    <a:cs typeface="Arial"/>
                  </a:defRPr>
                </a:pPr>
                <a:r>
                  <a:rPr lang="es-ES" sz="875" b="1" i="0" u="none" strike="noStrike" baseline="0">
                    <a:solidFill>
                      <a:srgbClr val="FFCC00"/>
                    </a:solidFill>
                    <a:latin typeface="Arial"/>
                    <a:cs typeface="Arial"/>
                  </a:rPr>
                  <a:t>Lechones</a:t>
                </a:r>
                <a:endParaRPr lang="es-ES" sz="875" b="1" i="0" u="none" strike="noStrike" baseline="0">
                  <a:solidFill>
                    <a:srgbClr val="FF00FF"/>
                  </a:solidFill>
                  <a:latin typeface="Arial"/>
                  <a:cs typeface="Arial"/>
                </a:endParaRPr>
              </a:p>
              <a:p>
                <a:pPr>
                  <a:defRPr sz="875" b="0" i="0" u="none" strike="noStrike" baseline="0">
                    <a:solidFill>
                      <a:srgbClr val="000000"/>
                    </a:solidFill>
                    <a:latin typeface="Arial"/>
                    <a:ea typeface="Arial"/>
                    <a:cs typeface="Arial"/>
                  </a:defRPr>
                </a:pPr>
                <a:r>
                  <a:rPr lang="es-ES" sz="875" b="1" i="0" u="none" strike="noStrike" baseline="0">
                    <a:solidFill>
                      <a:srgbClr val="00FFFF"/>
                    </a:solidFill>
                    <a:latin typeface="Arial"/>
                    <a:cs typeface="Arial"/>
                  </a:rPr>
                  <a:t>Recría/Transición</a:t>
                </a:r>
              </a:p>
            </c:rich>
          </c:tx>
          <c:layout>
            <c:manualLayout>
              <c:xMode val="edge"/>
              <c:yMode val="edge"/>
              <c:x val="0.92211538461538467"/>
              <c:y val="0.28700938062500492"/>
            </c:manualLayout>
          </c:layout>
          <c:overlay val="0"/>
          <c:spPr>
            <a:noFill/>
            <a:ln w="3175">
              <a:solidFill>
                <a:srgbClr val="FF00FF"/>
              </a:solidFill>
              <a:prstDash val="solid"/>
            </a:ln>
          </c:spPr>
        </c:title>
        <c:numFmt formatCode="#,##0" sourceLinked="1"/>
        <c:majorTickMark val="cross"/>
        <c:minorTickMark val="none"/>
        <c:tickLblPos val="nextTo"/>
        <c:spPr>
          <a:ln w="3175">
            <a:solidFill>
              <a:srgbClr val="000000"/>
            </a:solidFill>
            <a:prstDash val="solid"/>
          </a:ln>
        </c:spPr>
        <c:txPr>
          <a:bodyPr rot="0" vert="horz"/>
          <a:lstStyle/>
          <a:p>
            <a:pPr>
              <a:defRPr sz="875" b="0" i="0" u="none" strike="noStrike" baseline="0">
                <a:solidFill>
                  <a:srgbClr val="000000"/>
                </a:solidFill>
                <a:latin typeface="Arial"/>
                <a:ea typeface="Arial"/>
                <a:cs typeface="Arial"/>
              </a:defRPr>
            </a:pPr>
            <a:endParaRPr lang="es-ES"/>
          </a:p>
        </c:txPr>
        <c:crossAx val="126023168"/>
        <c:crosses val="max"/>
        <c:crossBetween val="between"/>
      </c:valAx>
      <c:spPr>
        <a:solidFill>
          <a:srgbClr val="C0C0C0"/>
        </a:solidFill>
        <a:ln w="12700">
          <a:solidFill>
            <a:srgbClr val="808080"/>
          </a:solidFill>
          <a:prstDash val="solid"/>
        </a:ln>
      </c:spPr>
    </c:plotArea>
    <c:plotVisOnly val="1"/>
    <c:dispBlanksAs val="gap"/>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875"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ES"/>
              <a:t>Censo de Porcino por Categoría y C.A</a:t>
            </a:r>
          </a:p>
        </c:rich>
      </c:tx>
      <c:layout>
        <c:manualLayout>
          <c:xMode val="edge"/>
          <c:yMode val="edge"/>
          <c:x val="0.35872709739633557"/>
          <c:y val="2.7692307692307693E-2"/>
        </c:manualLayout>
      </c:layout>
      <c:overlay val="0"/>
      <c:spPr>
        <a:noFill/>
        <a:ln w="25400">
          <a:noFill/>
        </a:ln>
      </c:spPr>
    </c:title>
    <c:autoTitleDeleted val="0"/>
    <c:plotArea>
      <c:layout>
        <c:manualLayout>
          <c:layoutTarget val="inner"/>
          <c:xMode val="edge"/>
          <c:yMode val="edge"/>
          <c:x val="6.9431051108968175E-2"/>
          <c:y val="0.12615403568815459"/>
          <c:w val="0.86595949855351972"/>
          <c:h val="0.69846258783441684"/>
        </c:manualLayout>
      </c:layout>
      <c:lineChart>
        <c:grouping val="standard"/>
        <c:varyColors val="0"/>
        <c:ser>
          <c:idx val="0"/>
          <c:order val="0"/>
          <c:tx>
            <c:v>Reposicion</c:v>
          </c:tx>
          <c:spPr>
            <a:ln w="12700">
              <a:solidFill>
                <a:srgbClr val="000080"/>
              </a:solidFill>
              <a:prstDash val="solid"/>
            </a:ln>
          </c:spPr>
          <c:marker>
            <c:symbol val="diamond"/>
            <c:size val="5"/>
            <c:spPr>
              <a:solidFill>
                <a:srgbClr val="000080"/>
              </a:solidFill>
              <a:ln>
                <a:solidFill>
                  <a:srgbClr val="000080"/>
                </a:solidFill>
                <a:prstDash val="solid"/>
              </a:ln>
            </c:spPr>
          </c:marker>
          <c:cat>
            <c:numRef>
              <c:f>'6.1- PORCINO (CENSO)'!$C$16:$M$16</c:f>
              <c:numCache>
                <c:formatCode>[$-C0A]d\-mmm\-yy;@</c:formatCode>
                <c:ptCount val="11"/>
                <c:pt idx="0">
                  <c:v>0</c:v>
                </c:pt>
                <c:pt idx="1">
                  <c:v>38899</c:v>
                </c:pt>
                <c:pt idx="2">
                  <c:v>39083</c:v>
                </c:pt>
                <c:pt idx="3">
                  <c:v>39264</c:v>
                </c:pt>
                <c:pt idx="4">
                  <c:v>39448</c:v>
                </c:pt>
                <c:pt idx="5">
                  <c:v>39630</c:v>
                </c:pt>
                <c:pt idx="6">
                  <c:v>39814</c:v>
                </c:pt>
                <c:pt idx="7">
                  <c:v>39995</c:v>
                </c:pt>
                <c:pt idx="8">
                  <c:v>40179</c:v>
                </c:pt>
                <c:pt idx="9">
                  <c:v>40360</c:v>
                </c:pt>
                <c:pt idx="10">
                  <c:v>40544</c:v>
                </c:pt>
              </c:numCache>
            </c:numRef>
          </c:cat>
          <c:val>
            <c:numRef>
              <c:f>'6.1- PORCINO (CENSO)'!$C$26:$M$26</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0-7D09-4197-B7CF-32D90C8F8A81}"/>
            </c:ext>
          </c:extLst>
        </c:ser>
        <c:dLbls>
          <c:showLegendKey val="0"/>
          <c:showVal val="0"/>
          <c:showCatName val="0"/>
          <c:showSerName val="0"/>
          <c:showPercent val="0"/>
          <c:showBubbleSize val="0"/>
        </c:dLbls>
        <c:marker val="1"/>
        <c:smooth val="0"/>
        <c:axId val="126022656"/>
        <c:axId val="126052032"/>
      </c:lineChart>
      <c:lineChart>
        <c:grouping val="standard"/>
        <c:varyColors val="0"/>
        <c:ser>
          <c:idx val="1"/>
          <c:order val="1"/>
          <c:tx>
            <c:v>Verracos</c:v>
          </c:tx>
          <c:spPr>
            <a:ln w="12700">
              <a:solidFill>
                <a:srgbClr val="FF00FF"/>
              </a:solidFill>
              <a:prstDash val="solid"/>
            </a:ln>
          </c:spPr>
          <c:marker>
            <c:symbol val="square"/>
            <c:size val="5"/>
            <c:spPr>
              <a:solidFill>
                <a:srgbClr val="FF00FF"/>
              </a:solidFill>
              <a:ln>
                <a:solidFill>
                  <a:srgbClr val="FF00FF"/>
                </a:solidFill>
                <a:prstDash val="solid"/>
              </a:ln>
            </c:spPr>
          </c:marker>
          <c:cat>
            <c:numRef>
              <c:f>'6.1- PORCINO (CENSO)'!$C$16:$M$16</c:f>
              <c:numCache>
                <c:formatCode>[$-C0A]d\-mmm\-yy;@</c:formatCode>
                <c:ptCount val="11"/>
                <c:pt idx="0">
                  <c:v>0</c:v>
                </c:pt>
                <c:pt idx="1">
                  <c:v>38899</c:v>
                </c:pt>
                <c:pt idx="2">
                  <c:v>39083</c:v>
                </c:pt>
                <c:pt idx="3">
                  <c:v>39264</c:v>
                </c:pt>
                <c:pt idx="4">
                  <c:v>39448</c:v>
                </c:pt>
                <c:pt idx="5">
                  <c:v>39630</c:v>
                </c:pt>
                <c:pt idx="6">
                  <c:v>39814</c:v>
                </c:pt>
                <c:pt idx="7">
                  <c:v>39995</c:v>
                </c:pt>
                <c:pt idx="8">
                  <c:v>40179</c:v>
                </c:pt>
                <c:pt idx="9">
                  <c:v>40360</c:v>
                </c:pt>
                <c:pt idx="10">
                  <c:v>40544</c:v>
                </c:pt>
              </c:numCache>
            </c:numRef>
          </c:cat>
          <c:val>
            <c:numRef>
              <c:f>'6.1- PORCINO (CENSO)'!$C$28:$M$28</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1-7D09-4197-B7CF-32D90C8F8A81}"/>
            </c:ext>
          </c:extLst>
        </c:ser>
        <c:dLbls>
          <c:showLegendKey val="0"/>
          <c:showVal val="0"/>
          <c:showCatName val="0"/>
          <c:showSerName val="0"/>
          <c:showPercent val="0"/>
          <c:showBubbleSize val="0"/>
        </c:dLbls>
        <c:marker val="1"/>
        <c:smooth val="0"/>
        <c:axId val="126024704"/>
        <c:axId val="126052608"/>
      </c:lineChart>
      <c:catAx>
        <c:axId val="126022656"/>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Fecha</a:t>
                </a:r>
              </a:p>
            </c:rich>
          </c:tx>
          <c:layout>
            <c:manualLayout>
              <c:xMode val="edge"/>
              <c:yMode val="edge"/>
              <c:x val="0.485053037608486"/>
              <c:y val="0.90769359983848164"/>
            </c:manualLayout>
          </c:layout>
          <c:overlay val="0"/>
          <c:spPr>
            <a:noFill/>
            <a:ln w="25400">
              <a:noFill/>
            </a:ln>
          </c:spPr>
        </c:title>
        <c:numFmt formatCode="dd\-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26052032"/>
        <c:crosses val="autoZero"/>
        <c:auto val="0"/>
        <c:lblAlgn val="ctr"/>
        <c:lblOffset val="100"/>
        <c:tickLblSkip val="1"/>
        <c:tickMarkSkip val="1"/>
        <c:noMultiLvlLbl val="0"/>
      </c:catAx>
      <c:valAx>
        <c:axId val="126052032"/>
        <c:scaling>
          <c:orientation val="minMax"/>
        </c:scaling>
        <c:delete val="0"/>
        <c:axPos val="l"/>
        <c:majorGridlines>
          <c:spPr>
            <a:ln w="3175">
              <a:solidFill>
                <a:srgbClr val="000000"/>
              </a:solidFill>
              <a:prstDash val="solid"/>
            </a:ln>
          </c:spPr>
        </c:majorGridlines>
        <c:title>
          <c:tx>
            <c:rich>
              <a:bodyPr/>
              <a:lstStyle/>
              <a:p>
                <a:pPr>
                  <a:defRPr sz="825" b="1" i="0" u="none" strike="noStrike" baseline="0">
                    <a:solidFill>
                      <a:srgbClr val="000080"/>
                    </a:solidFill>
                    <a:latin typeface="Arial"/>
                    <a:ea typeface="Arial"/>
                    <a:cs typeface="Arial"/>
                  </a:defRPr>
                </a:pPr>
                <a:r>
                  <a:rPr lang="es-ES"/>
                  <a:t>Reposición</a:t>
                </a:r>
              </a:p>
            </c:rich>
          </c:tx>
          <c:layout>
            <c:manualLayout>
              <c:xMode val="edge"/>
              <c:yMode val="edge"/>
              <c:x val="7.7145612343297977E-3"/>
              <c:y val="0.37230833838077931"/>
            </c:manualLayout>
          </c:layout>
          <c:overlay val="0"/>
          <c:spPr>
            <a:noFill/>
            <a:ln w="3175">
              <a:solidFill>
                <a:srgbClr val="000080"/>
              </a:solidFill>
              <a:prstDash val="solid"/>
            </a:ln>
          </c:spPr>
        </c:title>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26022656"/>
        <c:crosses val="autoZero"/>
        <c:crossBetween val="between"/>
      </c:valAx>
      <c:dateAx>
        <c:axId val="126024704"/>
        <c:scaling>
          <c:orientation val="minMax"/>
        </c:scaling>
        <c:delete val="1"/>
        <c:axPos val="b"/>
        <c:numFmt formatCode="[$-C0A]d\-mmm\-yy;@" sourceLinked="1"/>
        <c:majorTickMark val="out"/>
        <c:minorTickMark val="none"/>
        <c:tickLblPos val="nextTo"/>
        <c:crossAx val="126052608"/>
        <c:crosses val="autoZero"/>
        <c:auto val="1"/>
        <c:lblOffset val="100"/>
        <c:baseTimeUnit val="months"/>
      </c:dateAx>
      <c:valAx>
        <c:axId val="126052608"/>
        <c:scaling>
          <c:orientation val="minMax"/>
        </c:scaling>
        <c:delete val="0"/>
        <c:axPos val="r"/>
        <c:title>
          <c:tx>
            <c:rich>
              <a:bodyPr/>
              <a:lstStyle/>
              <a:p>
                <a:pPr>
                  <a:defRPr sz="825" b="1" i="0" u="none" strike="noStrike" baseline="0">
                    <a:solidFill>
                      <a:srgbClr val="FF00FF"/>
                    </a:solidFill>
                    <a:latin typeface="Arial"/>
                    <a:ea typeface="Arial"/>
                    <a:cs typeface="Arial"/>
                  </a:defRPr>
                </a:pPr>
                <a:r>
                  <a:rPr lang="es-ES"/>
                  <a:t>Verracos</a:t>
                </a:r>
              </a:p>
            </c:rich>
          </c:tx>
          <c:layout>
            <c:manualLayout>
              <c:xMode val="edge"/>
              <c:yMode val="edge"/>
              <c:x val="0.96914175506268085"/>
              <c:y val="0.3876929537653947"/>
            </c:manualLayout>
          </c:layout>
          <c:overlay val="0"/>
          <c:spPr>
            <a:noFill/>
            <a:ln w="3175">
              <a:solidFill>
                <a:srgbClr val="FF00FF"/>
              </a:solidFill>
              <a:prstDash val="solid"/>
            </a:ln>
          </c:spPr>
        </c:title>
        <c:numFmt formatCode="#,##0" sourceLinked="1"/>
        <c:majorTickMark val="cross"/>
        <c:minorTickMark val="none"/>
        <c:tickLblPos val="nextTo"/>
        <c:spPr>
          <a:ln w="3175">
            <a:solidFill>
              <a:srgbClr val="000000"/>
            </a:solidFill>
            <a:prstDash val="solid"/>
          </a:ln>
        </c:spPr>
        <c:txPr>
          <a:bodyPr rot="0" vert="horz"/>
          <a:lstStyle/>
          <a:p>
            <a:pPr>
              <a:defRPr sz="825" b="0" i="0" u="none" strike="noStrike" baseline="0">
                <a:solidFill>
                  <a:srgbClr val="000000"/>
                </a:solidFill>
                <a:latin typeface="Arial"/>
                <a:ea typeface="Arial"/>
                <a:cs typeface="Arial"/>
              </a:defRPr>
            </a:pPr>
            <a:endParaRPr lang="es-ES"/>
          </a:p>
        </c:txPr>
        <c:crossAx val="126024704"/>
        <c:crosses val="max"/>
        <c:crossBetween val="between"/>
      </c:valAx>
      <c:spPr>
        <a:solidFill>
          <a:srgbClr val="C0C0C0"/>
        </a:solidFill>
        <a:ln w="12700">
          <a:solidFill>
            <a:srgbClr val="808080"/>
          </a:solidFill>
          <a:prstDash val="solid"/>
        </a:ln>
      </c:spPr>
    </c:plotArea>
    <c:plotVisOnly val="1"/>
    <c:dispBlanksAs val="gap"/>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85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ES"/>
              <a:t>Censo de Porcino por C.A</a:t>
            </a:r>
          </a:p>
        </c:rich>
      </c:tx>
      <c:layout>
        <c:manualLayout>
          <c:xMode val="edge"/>
          <c:yMode val="edge"/>
          <c:x val="0.40192307692307694"/>
          <c:y val="3.5820895522388062E-2"/>
        </c:manualLayout>
      </c:layout>
      <c:overlay val="0"/>
      <c:spPr>
        <a:noFill/>
        <a:ln w="25400">
          <a:noFill/>
        </a:ln>
      </c:spPr>
    </c:title>
    <c:autoTitleDeleted val="0"/>
    <c:plotArea>
      <c:layout>
        <c:manualLayout>
          <c:layoutTarget val="inner"/>
          <c:xMode val="edge"/>
          <c:yMode val="edge"/>
          <c:x val="8.269230769230769E-2"/>
          <c:y val="0.14328358208955225"/>
          <c:w val="0.87884615384615383"/>
          <c:h val="0.72537313432835826"/>
        </c:manualLayout>
      </c:layout>
      <c:lineChart>
        <c:grouping val="standard"/>
        <c:varyColors val="0"/>
        <c:ser>
          <c:idx val="0"/>
          <c:order val="0"/>
          <c:tx>
            <c:v>Total</c:v>
          </c:tx>
          <c:spPr>
            <a:ln w="12700">
              <a:solidFill>
                <a:srgbClr val="000080"/>
              </a:solidFill>
              <a:prstDash val="solid"/>
            </a:ln>
          </c:spPr>
          <c:marker>
            <c:symbol val="diamond"/>
            <c:size val="5"/>
            <c:spPr>
              <a:solidFill>
                <a:srgbClr val="000080"/>
              </a:solidFill>
              <a:ln>
                <a:solidFill>
                  <a:srgbClr val="000080"/>
                </a:solidFill>
                <a:prstDash val="solid"/>
              </a:ln>
            </c:spPr>
          </c:marker>
          <c:cat>
            <c:numRef>
              <c:f>'6.1- PORCINO (CENSO)'!$C$16:$M$16</c:f>
              <c:numCache>
                <c:formatCode>[$-C0A]d\-mmm\-yy;@</c:formatCode>
                <c:ptCount val="11"/>
                <c:pt idx="0">
                  <c:v>0</c:v>
                </c:pt>
                <c:pt idx="1">
                  <c:v>38899</c:v>
                </c:pt>
                <c:pt idx="2">
                  <c:v>39083</c:v>
                </c:pt>
                <c:pt idx="3">
                  <c:v>39264</c:v>
                </c:pt>
                <c:pt idx="4">
                  <c:v>39448</c:v>
                </c:pt>
                <c:pt idx="5">
                  <c:v>39630</c:v>
                </c:pt>
                <c:pt idx="6">
                  <c:v>39814</c:v>
                </c:pt>
                <c:pt idx="7">
                  <c:v>39995</c:v>
                </c:pt>
                <c:pt idx="8">
                  <c:v>40179</c:v>
                </c:pt>
                <c:pt idx="9">
                  <c:v>40360</c:v>
                </c:pt>
                <c:pt idx="10">
                  <c:v>40544</c:v>
                </c:pt>
              </c:numCache>
            </c:numRef>
          </c:cat>
          <c:val>
            <c:numRef>
              <c:f>'6.1- PORCINO (CENSO)'!$C$30:$M$30</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0-D882-485B-891D-6586A1E37C87}"/>
            </c:ext>
          </c:extLst>
        </c:ser>
        <c:dLbls>
          <c:showLegendKey val="0"/>
          <c:showVal val="0"/>
          <c:showCatName val="0"/>
          <c:showSerName val="0"/>
          <c:showPercent val="0"/>
          <c:showBubbleSize val="0"/>
        </c:dLbls>
        <c:marker val="1"/>
        <c:smooth val="0"/>
        <c:axId val="126025216"/>
        <c:axId val="126054336"/>
      </c:lineChart>
      <c:catAx>
        <c:axId val="126025216"/>
        <c:scaling>
          <c:orientation val="minMax"/>
        </c:scaling>
        <c:delete val="0"/>
        <c:axPos val="b"/>
        <c:title>
          <c:tx>
            <c:rich>
              <a:bodyPr/>
              <a:lstStyle/>
              <a:p>
                <a:pPr>
                  <a:defRPr sz="825" b="1" i="0" u="none" strike="noStrike" baseline="0">
                    <a:solidFill>
                      <a:srgbClr val="000000"/>
                    </a:solidFill>
                    <a:latin typeface="Arial"/>
                    <a:ea typeface="Arial"/>
                    <a:cs typeface="Arial"/>
                  </a:defRPr>
                </a:pPr>
                <a:r>
                  <a:rPr lang="es-ES"/>
                  <a:t>Fecha</a:t>
                </a:r>
              </a:p>
            </c:rich>
          </c:tx>
          <c:layout>
            <c:manualLayout>
              <c:xMode val="edge"/>
              <c:yMode val="edge"/>
              <c:x val="0.50480769230769229"/>
              <c:y val="0.92537313432835822"/>
            </c:manualLayout>
          </c:layout>
          <c:overlay val="0"/>
          <c:spPr>
            <a:noFill/>
            <a:ln w="25400">
              <a:noFill/>
            </a:ln>
          </c:spPr>
        </c:title>
        <c:numFmt formatCode="dd\-mmm\-yy" sourceLinked="0"/>
        <c:majorTickMark val="out"/>
        <c:minorTickMark val="none"/>
        <c:tickLblPos val="nextTo"/>
        <c:spPr>
          <a:ln w="3175">
            <a:solidFill>
              <a:srgbClr val="000000"/>
            </a:solidFill>
            <a:prstDash val="solid"/>
          </a:ln>
        </c:spPr>
        <c:txPr>
          <a:bodyPr rot="0" vert="horz"/>
          <a:lstStyle/>
          <a:p>
            <a:pPr>
              <a:defRPr sz="825" b="0" i="0" u="none" strike="noStrike" baseline="0">
                <a:solidFill>
                  <a:srgbClr val="000000"/>
                </a:solidFill>
                <a:latin typeface="Arial"/>
                <a:ea typeface="Arial"/>
                <a:cs typeface="Arial"/>
              </a:defRPr>
            </a:pPr>
            <a:endParaRPr lang="es-ES"/>
          </a:p>
        </c:txPr>
        <c:crossAx val="126054336"/>
        <c:crosses val="autoZero"/>
        <c:auto val="0"/>
        <c:lblAlgn val="ctr"/>
        <c:lblOffset val="100"/>
        <c:tickLblSkip val="1"/>
        <c:tickMarkSkip val="1"/>
        <c:noMultiLvlLbl val="0"/>
      </c:catAx>
      <c:valAx>
        <c:axId val="126054336"/>
        <c:scaling>
          <c:orientation val="minMax"/>
        </c:scaling>
        <c:delete val="0"/>
        <c:axPos val="l"/>
        <c:majorGridlines>
          <c:spPr>
            <a:ln w="3175">
              <a:solidFill>
                <a:srgbClr val="000000"/>
              </a:solidFill>
              <a:prstDash val="solid"/>
            </a:ln>
          </c:spPr>
        </c:majorGridlines>
        <c:title>
          <c:tx>
            <c:rich>
              <a:bodyPr/>
              <a:lstStyle/>
              <a:p>
                <a:pPr>
                  <a:defRPr sz="875" b="1" i="0" u="none" strike="noStrike" baseline="0">
                    <a:solidFill>
                      <a:srgbClr val="000080"/>
                    </a:solidFill>
                    <a:latin typeface="Arial"/>
                    <a:ea typeface="Arial"/>
                    <a:cs typeface="Arial"/>
                  </a:defRPr>
                </a:pPr>
                <a:r>
                  <a:rPr lang="es-ES"/>
                  <a:t>Total</a:t>
                </a:r>
              </a:p>
            </c:rich>
          </c:tx>
          <c:layout>
            <c:manualLayout>
              <c:xMode val="edge"/>
              <c:yMode val="edge"/>
              <c:x val="4.807692307692308E-3"/>
              <c:y val="0.45074626865671641"/>
            </c:manualLayout>
          </c:layout>
          <c:overlay val="0"/>
          <c:spPr>
            <a:noFill/>
            <a:ln w="3175">
              <a:solidFill>
                <a:srgbClr val="000080"/>
              </a:solidFill>
              <a:prstDash val="solid"/>
            </a:ln>
          </c:spPr>
        </c:title>
        <c:numFmt formatCode="#,##0" sourceLinked="1"/>
        <c:majorTickMark val="out"/>
        <c:minorTickMark val="none"/>
        <c:tickLblPos val="nextTo"/>
        <c:spPr>
          <a:ln w="3175">
            <a:solidFill>
              <a:srgbClr val="000000"/>
            </a:solidFill>
            <a:prstDash val="solid"/>
          </a:ln>
        </c:spPr>
        <c:txPr>
          <a:bodyPr rot="0" vert="horz"/>
          <a:lstStyle/>
          <a:p>
            <a:pPr>
              <a:defRPr sz="825" b="0" i="0" u="none" strike="noStrike" baseline="0">
                <a:solidFill>
                  <a:srgbClr val="000000"/>
                </a:solidFill>
                <a:latin typeface="Arial"/>
                <a:ea typeface="Arial"/>
                <a:cs typeface="Arial"/>
              </a:defRPr>
            </a:pPr>
            <a:endParaRPr lang="es-ES"/>
          </a:p>
        </c:txPr>
        <c:crossAx val="126025216"/>
        <c:crosses val="autoZero"/>
        <c:crossBetween val="between"/>
      </c:valAx>
      <c:spPr>
        <a:solidFill>
          <a:srgbClr val="C0C0C0"/>
        </a:solidFill>
        <a:ln w="12700">
          <a:solidFill>
            <a:srgbClr val="808080"/>
          </a:solidFill>
          <a:prstDash val="solid"/>
        </a:ln>
      </c:spPr>
    </c:plotArea>
    <c:plotVisOnly val="1"/>
    <c:dispBlanksAs val="gap"/>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875"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AUX!$H$35</c:f>
          <c:strCache>
            <c:ptCount val="1"/>
            <c:pt idx="0">
              <c:v>Distribución del Censo Total de Porcino por C.A. y Categorías 
(31 de diciembre de 1904)</c:v>
            </c:pt>
          </c:strCache>
        </c:strRef>
      </c:tx>
      <c:layout>
        <c:manualLayout>
          <c:xMode val="edge"/>
          <c:yMode val="edge"/>
          <c:x val="0.24705882352941178"/>
          <c:y val="2.5000000000000001E-2"/>
        </c:manualLayout>
      </c:layout>
      <c:overlay val="0"/>
      <c:spPr>
        <a:noFill/>
        <a:ln w="25400">
          <a:noFill/>
        </a:ln>
      </c:spPr>
      <c:txPr>
        <a:bodyPr/>
        <a:lstStyle/>
        <a:p>
          <a:pPr>
            <a:defRPr sz="1525" b="0" i="0" u="none" strike="noStrike" baseline="0">
              <a:solidFill>
                <a:srgbClr val="000000"/>
              </a:solidFill>
              <a:latin typeface="Arial"/>
              <a:ea typeface="Arial"/>
              <a:cs typeface="Arial"/>
            </a:defRPr>
          </a:pPr>
          <a:endParaRPr lang="es-ES"/>
        </a:p>
      </c:txPr>
    </c:title>
    <c:autoTitleDeleted val="0"/>
    <c:plotArea>
      <c:layout>
        <c:manualLayout>
          <c:layoutTarget val="inner"/>
          <c:xMode val="edge"/>
          <c:yMode val="edge"/>
          <c:x val="0.29839572192513369"/>
          <c:y val="0.37826086956521737"/>
          <c:w val="0.40106951871657753"/>
          <c:h val="0.40760869565217389"/>
        </c:manualLayout>
      </c:layout>
      <c:pieChart>
        <c:varyColors val="1"/>
        <c:ser>
          <c:idx val="0"/>
          <c:order val="0"/>
          <c:tx>
            <c:strRef>
              <c:f>'6.1- PORCINO (CENSO)'!$C$362</c:f>
              <c:strCache>
                <c:ptCount val="1"/>
                <c:pt idx="0">
                  <c:v>TOTAL</c:v>
                </c:pt>
              </c:strCache>
            </c:strRef>
          </c:tx>
          <c:spPr>
            <a:solidFill>
              <a:srgbClr val="9999FF"/>
            </a:solidFill>
            <a:ln w="12700">
              <a:solidFill>
                <a:srgbClr val="000000"/>
              </a:solidFill>
              <a:prstDash val="solid"/>
            </a:ln>
          </c:spPr>
          <c:dPt>
            <c:idx val="0"/>
            <c:bubble3D val="0"/>
            <c:extLst>
              <c:ext xmlns:c16="http://schemas.microsoft.com/office/drawing/2014/chart" uri="{C3380CC4-5D6E-409C-BE32-E72D297353CC}">
                <c16:uniqueId val="{00000000-63C2-4F8E-94E6-781259D09B42}"/>
              </c:ext>
            </c:extLst>
          </c:dPt>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2-63C2-4F8E-94E6-781259D09B42}"/>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4-63C2-4F8E-94E6-781259D09B42}"/>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6-63C2-4F8E-94E6-781259D09B42}"/>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8-63C2-4F8E-94E6-781259D09B42}"/>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A-63C2-4F8E-94E6-781259D09B42}"/>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C-63C2-4F8E-94E6-781259D09B42}"/>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E-63C2-4F8E-94E6-781259D09B42}"/>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10-63C2-4F8E-94E6-781259D09B42}"/>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2-63C2-4F8E-94E6-781259D09B42}"/>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4-63C2-4F8E-94E6-781259D09B42}"/>
              </c:ext>
            </c:extLst>
          </c:dPt>
          <c:dPt>
            <c:idx val="11"/>
            <c:bubble3D val="0"/>
            <c:spPr>
              <a:solidFill>
                <a:srgbClr val="00FFFF"/>
              </a:solidFill>
              <a:ln w="12700">
                <a:solidFill>
                  <a:srgbClr val="000000"/>
                </a:solidFill>
                <a:prstDash val="solid"/>
              </a:ln>
            </c:spPr>
            <c:extLst>
              <c:ext xmlns:c16="http://schemas.microsoft.com/office/drawing/2014/chart" uri="{C3380CC4-5D6E-409C-BE32-E72D297353CC}">
                <c16:uniqueId val="{00000016-63C2-4F8E-94E6-781259D09B42}"/>
              </c:ext>
            </c:extLst>
          </c:dPt>
          <c:dPt>
            <c:idx val="12"/>
            <c:bubble3D val="0"/>
            <c:spPr>
              <a:solidFill>
                <a:srgbClr val="800080"/>
              </a:solidFill>
              <a:ln w="12700">
                <a:solidFill>
                  <a:srgbClr val="000000"/>
                </a:solidFill>
                <a:prstDash val="solid"/>
              </a:ln>
            </c:spPr>
            <c:extLst>
              <c:ext xmlns:c16="http://schemas.microsoft.com/office/drawing/2014/chart" uri="{C3380CC4-5D6E-409C-BE32-E72D297353CC}">
                <c16:uniqueId val="{00000018-63C2-4F8E-94E6-781259D09B42}"/>
              </c:ext>
            </c:extLst>
          </c:dPt>
          <c:dPt>
            <c:idx val="13"/>
            <c:bubble3D val="0"/>
            <c:spPr>
              <a:solidFill>
                <a:srgbClr val="800000"/>
              </a:solidFill>
              <a:ln w="12700">
                <a:solidFill>
                  <a:srgbClr val="000000"/>
                </a:solidFill>
                <a:prstDash val="solid"/>
              </a:ln>
            </c:spPr>
            <c:extLst>
              <c:ext xmlns:c16="http://schemas.microsoft.com/office/drawing/2014/chart" uri="{C3380CC4-5D6E-409C-BE32-E72D297353CC}">
                <c16:uniqueId val="{0000001A-63C2-4F8E-94E6-781259D09B42}"/>
              </c:ext>
            </c:extLst>
          </c:dPt>
          <c:dPt>
            <c:idx val="14"/>
            <c:bubble3D val="0"/>
            <c:spPr>
              <a:solidFill>
                <a:srgbClr val="008080"/>
              </a:solidFill>
              <a:ln w="12700">
                <a:solidFill>
                  <a:srgbClr val="000000"/>
                </a:solidFill>
                <a:prstDash val="solid"/>
              </a:ln>
            </c:spPr>
            <c:extLst>
              <c:ext xmlns:c16="http://schemas.microsoft.com/office/drawing/2014/chart" uri="{C3380CC4-5D6E-409C-BE32-E72D297353CC}">
                <c16:uniqueId val="{0000001C-63C2-4F8E-94E6-781259D09B42}"/>
              </c:ext>
            </c:extLst>
          </c:dPt>
          <c:dPt>
            <c:idx val="15"/>
            <c:bubble3D val="0"/>
            <c:spPr>
              <a:solidFill>
                <a:srgbClr val="0000FF"/>
              </a:solidFill>
              <a:ln w="12700">
                <a:solidFill>
                  <a:srgbClr val="000000"/>
                </a:solidFill>
                <a:prstDash val="solid"/>
              </a:ln>
            </c:spPr>
            <c:extLst>
              <c:ext xmlns:c16="http://schemas.microsoft.com/office/drawing/2014/chart" uri="{C3380CC4-5D6E-409C-BE32-E72D297353CC}">
                <c16:uniqueId val="{0000001E-63C2-4F8E-94E6-781259D09B42}"/>
              </c:ext>
            </c:extLst>
          </c:dPt>
          <c:dPt>
            <c:idx val="16"/>
            <c:bubble3D val="0"/>
            <c:spPr>
              <a:solidFill>
                <a:srgbClr val="00CCFF"/>
              </a:solidFill>
              <a:ln w="12700">
                <a:solidFill>
                  <a:srgbClr val="000000"/>
                </a:solidFill>
                <a:prstDash val="solid"/>
              </a:ln>
            </c:spPr>
            <c:extLst>
              <c:ext xmlns:c16="http://schemas.microsoft.com/office/drawing/2014/chart" uri="{C3380CC4-5D6E-409C-BE32-E72D297353CC}">
                <c16:uniqueId val="{00000020-63C2-4F8E-94E6-781259D09B42}"/>
              </c:ext>
            </c:extLst>
          </c:dPt>
          <c:dPt>
            <c:idx val="17"/>
            <c:bubble3D val="0"/>
            <c:spPr>
              <a:solidFill>
                <a:srgbClr val="CCFFFF"/>
              </a:solidFill>
              <a:ln w="12700">
                <a:solidFill>
                  <a:srgbClr val="000000"/>
                </a:solidFill>
                <a:prstDash val="solid"/>
              </a:ln>
            </c:spPr>
            <c:extLst>
              <c:ext xmlns:c16="http://schemas.microsoft.com/office/drawing/2014/chart" uri="{C3380CC4-5D6E-409C-BE32-E72D297353CC}">
                <c16:uniqueId val="{00000022-63C2-4F8E-94E6-781259D09B42}"/>
              </c:ext>
            </c:extLst>
          </c:dPt>
          <c:dPt>
            <c:idx val="18"/>
            <c:bubble3D val="0"/>
            <c:spPr>
              <a:solidFill>
                <a:srgbClr val="CCFFCC"/>
              </a:solidFill>
              <a:ln w="12700">
                <a:solidFill>
                  <a:srgbClr val="000000"/>
                </a:solidFill>
                <a:prstDash val="solid"/>
              </a:ln>
            </c:spPr>
            <c:extLst>
              <c:ext xmlns:c16="http://schemas.microsoft.com/office/drawing/2014/chart" uri="{C3380CC4-5D6E-409C-BE32-E72D297353CC}">
                <c16:uniqueId val="{00000024-63C2-4F8E-94E6-781259D09B42}"/>
              </c:ext>
            </c:extLst>
          </c:dPt>
          <c:dLbls>
            <c:dLbl>
              <c:idx val="0"/>
              <c:layout>
                <c:manualLayout>
                  <c:x val="7.670689292180724E-2"/>
                  <c:y val="-6.6422458062307295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63C2-4F8E-94E6-781259D09B42}"/>
                </c:ext>
              </c:extLst>
            </c:dLbl>
            <c:dLbl>
              <c:idx val="1"/>
              <c:layout>
                <c:manualLayout>
                  <c:x val="4.0377615899616859E-2"/>
                  <c:y val="-2.3750313819468197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63C2-4F8E-94E6-781259D09B42}"/>
                </c:ext>
              </c:extLst>
            </c:dLbl>
            <c:dLbl>
              <c:idx val="2"/>
              <c:layout>
                <c:manualLayout>
                  <c:x val="5.9331059553384705E-2"/>
                  <c:y val="-0.18809528700216821"/>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63C2-4F8E-94E6-781259D09B42}"/>
                </c:ext>
              </c:extLst>
            </c:dLbl>
            <c:dLbl>
              <c:idx val="3"/>
              <c:layout>
                <c:manualLayout>
                  <c:x val="5.4685811332406936E-2"/>
                  <c:y val="-0.13635090722355356"/>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63C2-4F8E-94E6-781259D09B42}"/>
                </c:ext>
              </c:extLst>
            </c:dLbl>
            <c:dLbl>
              <c:idx val="4"/>
              <c:layout>
                <c:manualLayout>
                  <c:x val="5.1540921021235982E-2"/>
                  <c:y val="-8.4638936437293186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63C2-4F8E-94E6-781259D09B42}"/>
                </c:ext>
              </c:extLst>
            </c:dLbl>
            <c:dLbl>
              <c:idx val="5"/>
              <c:layout>
                <c:manualLayout>
                  <c:x val="5.9037433155080227E-2"/>
                  <c:y val="-3.8935980828483402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A-63C2-4F8E-94E6-781259D09B42}"/>
                </c:ext>
              </c:extLst>
            </c:dLbl>
            <c:dLbl>
              <c:idx val="6"/>
              <c:layout>
                <c:manualLayout>
                  <c:x val="0.12428537341923168"/>
                  <c:y val="2.8768686522882185E-4"/>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C-63C2-4F8E-94E6-781259D09B42}"/>
                </c:ext>
              </c:extLst>
            </c:dLbl>
            <c:dLbl>
              <c:idx val="7"/>
              <c:layout>
                <c:manualLayout>
                  <c:x val="3.5493424284531228E-2"/>
                  <c:y val="-7.3248887367339628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E-63C2-4F8E-94E6-781259D09B42}"/>
                </c:ext>
              </c:extLst>
            </c:dLbl>
            <c:dLbl>
              <c:idx val="8"/>
              <c:layout>
                <c:manualLayout>
                  <c:x val="2.829458082445576E-2"/>
                  <c:y val="2.4790939176081297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0-63C2-4F8E-94E6-781259D09B42}"/>
                </c:ext>
              </c:extLst>
            </c:dLbl>
            <c:dLbl>
              <c:idx val="9"/>
              <c:layout>
                <c:manualLayout>
                  <c:x val="-4.9481269386781178E-2"/>
                  <c:y val="5.9722697706265017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2-63C2-4F8E-94E6-781259D09B42}"/>
                </c:ext>
              </c:extLst>
            </c:dLbl>
            <c:dLbl>
              <c:idx val="10"/>
              <c:layout>
                <c:manualLayout>
                  <c:x val="-7.3465324855783387E-2"/>
                  <c:y val="5.0100536346000243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4-63C2-4F8E-94E6-781259D09B42}"/>
                </c:ext>
              </c:extLst>
            </c:dLbl>
            <c:dLbl>
              <c:idx val="11"/>
              <c:layout>
                <c:manualLayout>
                  <c:x val="-9.3636840849439282E-2"/>
                  <c:y val="9.3095971699189775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6-63C2-4F8E-94E6-781259D09B42}"/>
                </c:ext>
              </c:extLst>
            </c:dLbl>
            <c:dLbl>
              <c:idx val="12"/>
              <c:layout>
                <c:manualLayout>
                  <c:x val="-0.10516967731974679"/>
                  <c:y val="-5.8092662330252218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8-63C2-4F8E-94E6-781259D09B42}"/>
                </c:ext>
              </c:extLst>
            </c:dLbl>
            <c:dLbl>
              <c:idx val="13"/>
              <c:layout>
                <c:manualLayout>
                  <c:x val="-9.6944994175193339E-2"/>
                  <c:y val="-9.3976263836585652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A-63C2-4F8E-94E6-781259D09B42}"/>
                </c:ext>
              </c:extLst>
            </c:dLbl>
            <c:dLbl>
              <c:idx val="14"/>
              <c:layout>
                <c:manualLayout>
                  <c:x val="-0.10438895672800258"/>
                  <c:y val="-0.1649105329225151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C-63C2-4F8E-94E6-781259D09B42}"/>
                </c:ext>
              </c:extLst>
            </c:dLbl>
            <c:dLbl>
              <c:idx val="15"/>
              <c:layout>
                <c:manualLayout>
                  <c:x val="-6.3762740887335564E-2"/>
                  <c:y val="-0.2147848910190574"/>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E-63C2-4F8E-94E6-781259D09B42}"/>
                </c:ext>
              </c:extLst>
            </c:dLbl>
            <c:dLbl>
              <c:idx val="16"/>
              <c:layout>
                <c:manualLayout>
                  <c:x val="1.7958145606130752E-2"/>
                  <c:y val="-0.22429727262353075"/>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20-63C2-4F8E-94E6-781259D09B42}"/>
                </c:ext>
              </c:extLst>
            </c:dLbl>
            <c:dLbl>
              <c:idx val="17"/>
              <c:layout>
                <c:manualLayout>
                  <c:x val="4.1186632419610639E-2"/>
                  <c:y val="-0.1031667237247518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22-63C2-4F8E-94E6-781259D09B42}"/>
                </c:ext>
              </c:extLst>
            </c:dLbl>
            <c:dLbl>
              <c:idx val="18"/>
              <c:layout>
                <c:manualLayout>
                  <c:x val="0.15668757982792261"/>
                  <c:y val="-7.0558028072577869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24-63C2-4F8E-94E6-781259D09B42}"/>
                </c:ext>
              </c:extLst>
            </c:dLbl>
            <c:numFmt formatCode="0.0%" sourceLinked="0"/>
            <c:spPr>
              <a:noFill/>
              <a:ln w="25400">
                <a:noFill/>
              </a:ln>
            </c:spPr>
            <c:txPr>
              <a:bodyPr/>
              <a:lstStyle/>
              <a:p>
                <a:pPr>
                  <a:defRPr sz="900" b="0" i="0" u="none" strike="noStrike" baseline="0">
                    <a:solidFill>
                      <a:srgbClr val="000000"/>
                    </a:solidFill>
                    <a:latin typeface="Arial"/>
                    <a:ea typeface="Arial"/>
                    <a:cs typeface="Arial"/>
                  </a:defRPr>
                </a:pPr>
                <a:endParaRPr lang="es-ES"/>
              </a:p>
            </c:txPr>
            <c:showLegendKey val="0"/>
            <c:showVal val="0"/>
            <c:showCatName val="1"/>
            <c:showSerName val="0"/>
            <c:showPercent val="1"/>
            <c:showBubbleSize val="0"/>
            <c:showLeaderLines val="1"/>
            <c:extLst>
              <c:ext xmlns:c15="http://schemas.microsoft.com/office/drawing/2012/chart" uri="{CE6537A1-D6FC-4f65-9D91-7224C49458BB}"/>
            </c:extLst>
          </c:dLbls>
          <c:cat>
            <c:strRef>
              <c:f>'6.1- PORCINO (CENSO)'!$B$363:$B$381</c:f>
              <c:strCache>
                <c:ptCount val="19"/>
                <c:pt idx="0">
                  <c:v>Andalucía</c:v>
                </c:pt>
                <c:pt idx="1">
                  <c:v>Aragón</c:v>
                </c:pt>
                <c:pt idx="2">
                  <c:v>Asturias</c:v>
                </c:pt>
                <c:pt idx="3">
                  <c:v>Baleares</c:v>
                </c:pt>
                <c:pt idx="4">
                  <c:v>Canarias</c:v>
                </c:pt>
                <c:pt idx="5">
                  <c:v>Cantabria</c:v>
                </c:pt>
                <c:pt idx="6">
                  <c:v>Castilla La Mancha</c:v>
                </c:pt>
                <c:pt idx="7">
                  <c:v>Castilla y León</c:v>
                </c:pt>
                <c:pt idx="8">
                  <c:v>Cataluña</c:v>
                </c:pt>
                <c:pt idx="9">
                  <c:v>Extremadura</c:v>
                </c:pt>
                <c:pt idx="10">
                  <c:v>Galicia</c:v>
                </c:pt>
                <c:pt idx="11">
                  <c:v>Madrid</c:v>
                </c:pt>
                <c:pt idx="12">
                  <c:v>Murcia</c:v>
                </c:pt>
                <c:pt idx="13">
                  <c:v>Navarra</c:v>
                </c:pt>
                <c:pt idx="14">
                  <c:v>País Vasco</c:v>
                </c:pt>
                <c:pt idx="15">
                  <c:v>La Rioja</c:v>
                </c:pt>
                <c:pt idx="16">
                  <c:v>Valencia</c:v>
                </c:pt>
                <c:pt idx="17">
                  <c:v>Ceuta</c:v>
                </c:pt>
                <c:pt idx="18">
                  <c:v>Melilla</c:v>
                </c:pt>
              </c:strCache>
            </c:strRef>
          </c:cat>
          <c:val>
            <c:numRef>
              <c:f>'6.1- PORCINO (CENSO)'!$C$363:$C$381</c:f>
              <c:numCache>
                <c:formatCode>#,##0</c:formatCode>
                <c:ptCount val="19"/>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formatCode="General">
                  <c:v>#N/A</c:v>
                </c:pt>
                <c:pt idx="18" formatCode="General">
                  <c:v>#N/A</c:v>
                </c:pt>
              </c:numCache>
            </c:numRef>
          </c:val>
          <c:extLst>
            <c:ext xmlns:c16="http://schemas.microsoft.com/office/drawing/2014/chart" uri="{C3380CC4-5D6E-409C-BE32-E72D297353CC}">
              <c16:uniqueId val="{00000025-63C2-4F8E-94E6-781259D09B42}"/>
            </c:ext>
          </c:extLst>
        </c:ser>
        <c:dLbls>
          <c:showLegendKey val="0"/>
          <c:showVal val="0"/>
          <c:showCatName val="0"/>
          <c:showSerName val="0"/>
          <c:showPercent val="0"/>
          <c:showBubbleSize val="0"/>
          <c:showLeaderLines val="1"/>
        </c:dLbls>
        <c:firstSliceAng val="0"/>
      </c:pieChart>
      <c:spPr>
        <a:noFill/>
        <a:ln w="25400">
          <a:noFill/>
        </a:ln>
      </c:spPr>
    </c:plotArea>
    <c:plotVisOnly val="0"/>
    <c:dispBlanksAs val="zero"/>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1525"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ES"/>
              <a:t>Nº de Explotaciones por C.A. y Tipo</a:t>
            </a:r>
          </a:p>
        </c:rich>
      </c:tx>
      <c:layout>
        <c:manualLayout>
          <c:xMode val="edge"/>
          <c:yMode val="edge"/>
          <c:x val="0.22834666335999337"/>
          <c:y val="3.8461524489369625E-2"/>
        </c:manualLayout>
      </c:layout>
      <c:overlay val="0"/>
      <c:spPr>
        <a:noFill/>
        <a:ln w="25400">
          <a:noFill/>
        </a:ln>
      </c:spPr>
    </c:title>
    <c:autoTitleDeleted val="0"/>
    <c:plotArea>
      <c:layout>
        <c:manualLayout>
          <c:layoutTarget val="inner"/>
          <c:xMode val="edge"/>
          <c:yMode val="edge"/>
          <c:x val="9.4488279796959396E-2"/>
          <c:y val="0.21678358689286989"/>
          <c:w val="0.7657487675211917"/>
          <c:h val="0.461539249513852"/>
        </c:manualLayout>
      </c:layout>
      <c:lineChart>
        <c:grouping val="standard"/>
        <c:varyColors val="0"/>
        <c:ser>
          <c:idx val="0"/>
          <c:order val="0"/>
          <c:tx>
            <c:v>Especiales</c:v>
          </c:tx>
          <c:spPr>
            <a:ln w="12700">
              <a:solidFill>
                <a:srgbClr val="000080"/>
              </a:solidFill>
              <a:prstDash val="solid"/>
            </a:ln>
          </c:spPr>
          <c:marker>
            <c:symbol val="diamond"/>
            <c:size val="5"/>
            <c:spPr>
              <a:solidFill>
                <a:srgbClr val="000080"/>
              </a:solidFill>
              <a:ln>
                <a:solidFill>
                  <a:srgbClr val="000080"/>
                </a:solidFill>
                <a:prstDash val="solid"/>
              </a:ln>
            </c:spPr>
          </c:marker>
          <c:cat>
            <c:numRef>
              <c:f>'4- Nº Explot. por CA y Tipo'!$B$15:$L$15</c:f>
              <c:numCache>
                <c:formatCode>[$-C0A]d\-mmm\-yy;@</c:formatCode>
                <c:ptCount val="11"/>
                <c:pt idx="0">
                  <c:v>0</c:v>
                </c:pt>
                <c:pt idx="1">
                  <c:v>38899</c:v>
                </c:pt>
                <c:pt idx="2">
                  <c:v>39083</c:v>
                </c:pt>
                <c:pt idx="3">
                  <c:v>39264</c:v>
                </c:pt>
                <c:pt idx="4">
                  <c:v>39448</c:v>
                </c:pt>
                <c:pt idx="5">
                  <c:v>39630</c:v>
                </c:pt>
                <c:pt idx="6">
                  <c:v>39814</c:v>
                </c:pt>
                <c:pt idx="7">
                  <c:v>39995</c:v>
                </c:pt>
                <c:pt idx="8">
                  <c:v>40179</c:v>
                </c:pt>
                <c:pt idx="9">
                  <c:v>40360</c:v>
                </c:pt>
                <c:pt idx="10">
                  <c:v>40544</c:v>
                </c:pt>
              </c:numCache>
            </c:numRef>
          </c:cat>
          <c:val>
            <c:numRef>
              <c:f>'4- Nº Explot. por CA y Tipo'!$B$17:$L$17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0-7978-4502-8DAA-08488DDA6D8B}"/>
            </c:ext>
          </c:extLst>
        </c:ser>
        <c:dLbls>
          <c:showLegendKey val="0"/>
          <c:showVal val="0"/>
          <c:showCatName val="0"/>
          <c:showSerName val="0"/>
          <c:showPercent val="0"/>
          <c:showBubbleSize val="0"/>
        </c:dLbls>
        <c:marker val="1"/>
        <c:smooth val="0"/>
        <c:axId val="117803520"/>
        <c:axId val="117948992"/>
      </c:lineChart>
      <c:catAx>
        <c:axId val="117803520"/>
        <c:scaling>
          <c:orientation val="minMax"/>
        </c:scaling>
        <c:delete val="0"/>
        <c:axPos val="b"/>
        <c:title>
          <c:tx>
            <c:rich>
              <a:bodyPr/>
              <a:lstStyle/>
              <a:p>
                <a:pPr>
                  <a:defRPr sz="1025" b="1" i="0" u="none" strike="noStrike" baseline="0">
                    <a:solidFill>
                      <a:srgbClr val="000000"/>
                    </a:solidFill>
                    <a:latin typeface="Arial"/>
                    <a:ea typeface="Arial"/>
                    <a:cs typeface="Arial"/>
                  </a:defRPr>
                </a:pPr>
                <a:r>
                  <a:rPr lang="es-ES"/>
                  <a:t>Fecha</a:t>
                </a:r>
              </a:p>
            </c:rich>
          </c:tx>
          <c:layout>
            <c:manualLayout>
              <c:xMode val="edge"/>
              <c:yMode val="edge"/>
              <c:x val="0.43110277553888438"/>
              <c:y val="0.87762380913458482"/>
            </c:manualLayout>
          </c:layout>
          <c:overlay val="0"/>
          <c:spPr>
            <a:noFill/>
            <a:ln w="25400">
              <a:noFill/>
            </a:ln>
          </c:spPr>
        </c:title>
        <c:numFmt formatCode="dd\-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17948992"/>
        <c:crosses val="autoZero"/>
        <c:auto val="0"/>
        <c:lblAlgn val="ctr"/>
        <c:lblOffset val="100"/>
        <c:tickLblSkip val="1"/>
        <c:tickMarkSkip val="1"/>
        <c:noMultiLvlLbl val="0"/>
      </c:catAx>
      <c:valAx>
        <c:axId val="117948992"/>
        <c:scaling>
          <c:orientation val="minMax"/>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17803520"/>
        <c:crosses val="autoZero"/>
        <c:crossBetween val="between"/>
      </c:valAx>
      <c:spPr>
        <a:solidFill>
          <a:srgbClr val="C0C0C0"/>
        </a:solidFill>
        <a:ln w="12700">
          <a:solidFill>
            <a:srgbClr val="808080"/>
          </a:solidFill>
          <a:prstDash val="solid"/>
        </a:ln>
      </c:spPr>
    </c:plotArea>
    <c:legend>
      <c:legendPos val="r"/>
      <c:layout>
        <c:manualLayout>
          <c:xMode val="edge"/>
          <c:yMode val="edge"/>
          <c:x val="0.8188984644635956"/>
          <c:y val="0.11538493674449864"/>
          <c:w val="0.17322855312377294"/>
          <c:h val="7.6923048978739236E-2"/>
        </c:manualLayout>
      </c:layout>
      <c:overlay val="0"/>
      <c:spPr>
        <a:solidFill>
          <a:srgbClr val="FFFFFF"/>
        </a:solidFill>
        <a:ln w="3175">
          <a:solidFill>
            <a:srgbClr val="000000"/>
          </a:solidFill>
          <a:prstDash val="solid"/>
        </a:ln>
      </c:spPr>
      <c:txPr>
        <a:bodyPr/>
        <a:lstStyle/>
        <a:p>
          <a:pPr>
            <a:defRPr sz="570" b="0" i="0" u="none" strike="noStrike" baseline="0">
              <a:solidFill>
                <a:srgbClr val="000000"/>
              </a:solidFill>
              <a:latin typeface="Arial"/>
              <a:ea typeface="Arial"/>
              <a:cs typeface="Arial"/>
            </a:defRPr>
          </a:pPr>
          <a:endParaRPr lang="es-ES"/>
        </a:p>
      </c:txPr>
    </c:legend>
    <c:plotVisOnly val="1"/>
    <c:dispBlanksAs val="gap"/>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AUX!$H$36</c:f>
          <c:strCache>
            <c:ptCount val="1"/>
            <c:pt idx="0">
              <c:v>Distribución de las Subexplotaciones de Porcino por clasificación zootécnica 
(31 de diciembre de 1904)</c:v>
            </c:pt>
          </c:strCache>
        </c:strRef>
      </c:tx>
      <c:layout>
        <c:manualLayout>
          <c:xMode val="edge"/>
          <c:yMode val="edge"/>
          <c:x val="0.14792899408284024"/>
          <c:y val="3.4383954154727794E-2"/>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s-ES"/>
        </a:p>
      </c:txPr>
    </c:title>
    <c:autoTitleDeleted val="0"/>
    <c:plotArea>
      <c:layout>
        <c:manualLayout>
          <c:layoutTarget val="inner"/>
          <c:xMode val="edge"/>
          <c:yMode val="edge"/>
          <c:x val="0.19881656804733727"/>
          <c:y val="0.29799426934097423"/>
          <c:w val="0.2804733727810651"/>
          <c:h val="0.33954154727793695"/>
        </c:manualLayout>
      </c:layout>
      <c:pieChart>
        <c:varyColors val="1"/>
        <c:ser>
          <c:idx val="0"/>
          <c:order val="0"/>
          <c:spPr>
            <a:solidFill>
              <a:srgbClr val="9999FF"/>
            </a:solidFill>
            <a:ln w="12700">
              <a:solidFill>
                <a:srgbClr val="000000"/>
              </a:solidFill>
              <a:prstDash val="solid"/>
            </a:ln>
          </c:spPr>
          <c:dPt>
            <c:idx val="0"/>
            <c:bubble3D val="0"/>
            <c:extLst>
              <c:ext xmlns:c16="http://schemas.microsoft.com/office/drawing/2014/chart" uri="{C3380CC4-5D6E-409C-BE32-E72D297353CC}">
                <c16:uniqueId val="{00000000-8325-4BAD-A440-E2DF1AAEA86B}"/>
              </c:ext>
            </c:extLst>
          </c:dPt>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2-8325-4BAD-A440-E2DF1AAEA86B}"/>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4-8325-4BAD-A440-E2DF1AAEA86B}"/>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6-8325-4BAD-A440-E2DF1AAEA86B}"/>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8-8325-4BAD-A440-E2DF1AAEA86B}"/>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A-8325-4BAD-A440-E2DF1AAEA86B}"/>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C-8325-4BAD-A440-E2DF1AAEA86B}"/>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E-8325-4BAD-A440-E2DF1AAEA86B}"/>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10-8325-4BAD-A440-E2DF1AAEA86B}"/>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2-8325-4BAD-A440-E2DF1AAEA86B}"/>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4-8325-4BAD-A440-E2DF1AAEA86B}"/>
              </c:ext>
            </c:extLst>
          </c:dPt>
          <c:dLbls>
            <c:dLbl>
              <c:idx val="1"/>
              <c:layout>
                <c:manualLayout>
                  <c:x val="0.10577471307210859"/>
                  <c:y val="9.4000255698696702E-2"/>
                </c:manualLayout>
              </c:layout>
              <c:dLblPos val="bestFit"/>
              <c:showLegendKey val="1"/>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2-8325-4BAD-A440-E2DF1AAEA86B}"/>
                </c:ext>
              </c:extLst>
            </c:dLbl>
            <c:dLbl>
              <c:idx val="8"/>
              <c:layout>
                <c:manualLayout>
                  <c:x val="2.0802310953734506E-3"/>
                  <c:y val="-0.15548511307146781"/>
                </c:manualLayout>
              </c:layout>
              <c:dLblPos val="bestFit"/>
              <c:showLegendKey val="1"/>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10-8325-4BAD-A440-E2DF1AAEA86B}"/>
                </c:ext>
              </c:extLst>
            </c:dLbl>
            <c:dLbl>
              <c:idx val="9"/>
              <c:layout>
                <c:manualLayout>
                  <c:x val="6.9059249250648408E-2"/>
                  <c:y val="-0.11269168001564274"/>
                </c:manualLayout>
              </c:layout>
              <c:dLblPos val="bestFit"/>
              <c:showLegendKey val="1"/>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12-8325-4BAD-A440-E2DF1AAEA86B}"/>
                </c:ext>
              </c:extLst>
            </c:dLbl>
            <c:dLbl>
              <c:idx val="10"/>
              <c:layout>
                <c:manualLayout>
                  <c:x val="0.10030930749040985"/>
                  <c:y val="-4.5132474486534457E-2"/>
                </c:manualLayout>
              </c:layout>
              <c:dLblPos val="bestFit"/>
              <c:showLegendKey val="1"/>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14-8325-4BAD-A440-E2DF1AAEA86B}"/>
                </c:ext>
              </c:extLst>
            </c:dLbl>
            <c:numFmt formatCode="0.0%" sourceLinked="0"/>
            <c:spPr>
              <a:noFill/>
              <a:ln w="25400">
                <a:noFill/>
              </a:ln>
            </c:spPr>
            <c:txPr>
              <a:bodyPr/>
              <a:lstStyle/>
              <a:p>
                <a:pPr>
                  <a:defRPr sz="1000" b="0" i="0" u="none" strike="noStrike" baseline="0">
                    <a:solidFill>
                      <a:srgbClr val="000000"/>
                    </a:solidFill>
                    <a:latin typeface="Arial"/>
                    <a:ea typeface="Arial"/>
                    <a:cs typeface="Arial"/>
                  </a:defRPr>
                </a:pPr>
                <a:endParaRPr lang="es-ES"/>
              </a:p>
            </c:txPr>
            <c:showLegendKey val="1"/>
            <c:showVal val="0"/>
            <c:showCatName val="0"/>
            <c:showSerName val="0"/>
            <c:showPercent val="1"/>
            <c:showBubbleSize val="0"/>
            <c:showLeaderLines val="1"/>
            <c:extLst>
              <c:ext xmlns:c15="http://schemas.microsoft.com/office/drawing/2012/chart" uri="{CE6537A1-D6FC-4f65-9D91-7224C49458BB}"/>
            </c:extLst>
          </c:dLbls>
          <c:cat>
            <c:strRef>
              <c:f>'6.2- PORCINO (SUBEXPLOT)'!$B$440:$B$452</c:f>
              <c:strCache>
                <c:ptCount val="13"/>
                <c:pt idx="0">
                  <c:v>Cebo o Cebadero</c:v>
                </c:pt>
                <c:pt idx="1">
                  <c:v>Selección</c:v>
                </c:pt>
                <c:pt idx="2">
                  <c:v>Multiplicación</c:v>
                </c:pt>
                <c:pt idx="3">
                  <c:v>Recría de Reproductores</c:v>
                </c:pt>
                <c:pt idx="4">
                  <c:v>Transición de Reproductoras Primíparas</c:v>
                </c:pt>
                <c:pt idx="5">
                  <c:v>Producción de Ciclo Abierto</c:v>
                </c:pt>
                <c:pt idx="6">
                  <c:v>Producción de Ciclo Cerrado</c:v>
                </c:pt>
                <c:pt idx="7">
                  <c:v>Producción de Lechones</c:v>
                </c:pt>
                <c:pt idx="8">
                  <c:v>Producción Mixto</c:v>
                </c:pt>
                <c:pt idx="9">
                  <c:v>Transición de Lechones</c:v>
                </c:pt>
                <c:pt idx="10">
                  <c:v>Centros de Inseminación Artificial/Centros de recogida de semen</c:v>
                </c:pt>
                <c:pt idx="11">
                  <c:v>Cebo destete/acabado</c:v>
                </c:pt>
                <c:pt idx="12">
                  <c:v>Otras clasificaciones</c:v>
                </c:pt>
              </c:strCache>
            </c:strRef>
          </c:cat>
          <c:val>
            <c:numRef>
              <c:f>'6.2- PORCINO (SUBEXPLOT)'!$C$440:$C$452</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15-8325-4BAD-A440-E2DF1AAEA86B}"/>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58934911242603549"/>
          <c:y val="0.26790830945558741"/>
          <c:w val="0.29230769230769238"/>
          <c:h val="0.44269340974212035"/>
        </c:manualLayout>
      </c:layout>
      <c:overlay val="0"/>
      <c:spPr>
        <a:solidFill>
          <a:srgbClr val="FFFFFF"/>
        </a:solidFill>
        <a:ln w="3175">
          <a:solidFill>
            <a:srgbClr val="000000"/>
          </a:solidFill>
          <a:prstDash val="solid"/>
        </a:ln>
      </c:spPr>
      <c:txPr>
        <a:bodyPr/>
        <a:lstStyle/>
        <a:p>
          <a:pPr>
            <a:defRPr sz="710" b="0" i="0" u="none" strike="noStrike" baseline="0">
              <a:solidFill>
                <a:srgbClr val="000000"/>
              </a:solidFill>
              <a:latin typeface="Arial"/>
              <a:ea typeface="Arial"/>
              <a:cs typeface="Arial"/>
            </a:defRPr>
          </a:pPr>
          <a:endParaRPr lang="es-ES"/>
        </a:p>
      </c:txPr>
    </c:legend>
    <c:plotVisOnly val="0"/>
    <c:dispBlanksAs val="zero"/>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ES"/>
              <a:t>Nº de Subexplotaciones de Porcino por Clasificación Zootécnica y C.A.</a:t>
            </a:r>
          </a:p>
        </c:rich>
      </c:tx>
      <c:layout>
        <c:manualLayout>
          <c:xMode val="edge"/>
          <c:yMode val="edge"/>
          <c:x val="0.19802000987500323"/>
          <c:y val="3.8062283737024222E-2"/>
        </c:manualLayout>
      </c:layout>
      <c:overlay val="0"/>
      <c:spPr>
        <a:noFill/>
        <a:ln w="25400">
          <a:noFill/>
        </a:ln>
      </c:spPr>
    </c:title>
    <c:autoTitleDeleted val="0"/>
    <c:plotArea>
      <c:layout>
        <c:manualLayout>
          <c:layoutTarget val="inner"/>
          <c:xMode val="edge"/>
          <c:yMode val="edge"/>
          <c:x val="0.16435659455889789"/>
          <c:y val="0.2768170766940769"/>
          <c:w val="0.70693137659670535"/>
          <c:h val="0.36678262661965194"/>
        </c:manualLayout>
      </c:layout>
      <c:lineChart>
        <c:grouping val="standard"/>
        <c:varyColors val="0"/>
        <c:ser>
          <c:idx val="0"/>
          <c:order val="0"/>
          <c:tx>
            <c:strRef>
              <c:f>'6.2- PORCINO (SUBEXPLOT)'!$C$15:$M$15</c:f>
              <c:strCache>
                <c:ptCount val="11"/>
                <c:pt idx="0">
                  <c:v>Cebo o Cebadero</c:v>
                </c:pt>
              </c:strCache>
            </c:strRef>
          </c:tx>
          <c:spPr>
            <a:ln w="12700">
              <a:solidFill>
                <a:srgbClr val="000080"/>
              </a:solidFill>
              <a:prstDash val="solid"/>
            </a:ln>
          </c:spPr>
          <c:marker>
            <c:symbol val="diamond"/>
            <c:size val="5"/>
            <c:spPr>
              <a:solidFill>
                <a:srgbClr val="000080"/>
              </a:solidFill>
              <a:ln>
                <a:solidFill>
                  <a:srgbClr val="000080"/>
                </a:solidFill>
                <a:prstDash val="solid"/>
              </a:ln>
            </c:spPr>
          </c:marker>
          <c:cat>
            <c:numRef>
              <c:f>'6.2- PORCINO (SUBEXPLOT)'!$C$14:$M$14</c:f>
              <c:numCache>
                <c:formatCode>[$-C0A]d\-mmm\-yy;@</c:formatCode>
                <c:ptCount val="11"/>
                <c:pt idx="0">
                  <c:v>0</c:v>
                </c:pt>
                <c:pt idx="1">
                  <c:v>38899</c:v>
                </c:pt>
                <c:pt idx="2">
                  <c:v>39083</c:v>
                </c:pt>
                <c:pt idx="3">
                  <c:v>39264</c:v>
                </c:pt>
                <c:pt idx="4">
                  <c:v>39448</c:v>
                </c:pt>
                <c:pt idx="5">
                  <c:v>39630</c:v>
                </c:pt>
                <c:pt idx="6">
                  <c:v>39814</c:v>
                </c:pt>
                <c:pt idx="7">
                  <c:v>39995</c:v>
                </c:pt>
                <c:pt idx="8">
                  <c:v>40179</c:v>
                </c:pt>
                <c:pt idx="9">
                  <c:v>40360</c:v>
                </c:pt>
                <c:pt idx="10">
                  <c:v>40544</c:v>
                </c:pt>
              </c:numCache>
            </c:numRef>
          </c:cat>
          <c:val>
            <c:numRef>
              <c:f>'6.2- PORCINO (SUBEXPLOT)'!$C$16:$M$16</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0-E02C-4EB2-866D-43482E04C542}"/>
            </c:ext>
          </c:extLst>
        </c:ser>
        <c:dLbls>
          <c:showLegendKey val="0"/>
          <c:showVal val="0"/>
          <c:showCatName val="0"/>
          <c:showSerName val="0"/>
          <c:showPercent val="0"/>
          <c:showBubbleSize val="0"/>
        </c:dLbls>
        <c:marker val="1"/>
        <c:smooth val="0"/>
        <c:axId val="362916671"/>
        <c:axId val="1"/>
      </c:lineChart>
      <c:lineChart>
        <c:grouping val="standard"/>
        <c:varyColors val="0"/>
        <c:ser>
          <c:idx val="1"/>
          <c:order val="1"/>
          <c:tx>
            <c:strRef>
              <c:f>'6.2- PORCINO (SUBEXPLOT)'!$C$17:$M$17</c:f>
              <c:strCache>
                <c:ptCount val="11"/>
                <c:pt idx="0">
                  <c:v>Selección</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cat>
            <c:numRef>
              <c:f>'6.2- PORCINO (SUBEXPLOT)'!$C$14:$M$14</c:f>
              <c:numCache>
                <c:formatCode>[$-C0A]d\-mmm\-yy;@</c:formatCode>
                <c:ptCount val="11"/>
                <c:pt idx="0">
                  <c:v>0</c:v>
                </c:pt>
                <c:pt idx="1">
                  <c:v>38899</c:v>
                </c:pt>
                <c:pt idx="2">
                  <c:v>39083</c:v>
                </c:pt>
                <c:pt idx="3">
                  <c:v>39264</c:v>
                </c:pt>
                <c:pt idx="4">
                  <c:v>39448</c:v>
                </c:pt>
                <c:pt idx="5">
                  <c:v>39630</c:v>
                </c:pt>
                <c:pt idx="6">
                  <c:v>39814</c:v>
                </c:pt>
                <c:pt idx="7">
                  <c:v>39995</c:v>
                </c:pt>
                <c:pt idx="8">
                  <c:v>40179</c:v>
                </c:pt>
                <c:pt idx="9">
                  <c:v>40360</c:v>
                </c:pt>
                <c:pt idx="10">
                  <c:v>40544</c:v>
                </c:pt>
              </c:numCache>
            </c:numRef>
          </c:cat>
          <c:val>
            <c:numRef>
              <c:f>'6.2- PORCINO (SUBEXPLOT)'!$C$18:$M$18</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1-E02C-4EB2-866D-43482E04C542}"/>
            </c:ext>
          </c:extLst>
        </c:ser>
        <c:dLbls>
          <c:showLegendKey val="0"/>
          <c:showVal val="0"/>
          <c:showCatName val="0"/>
          <c:showSerName val="0"/>
          <c:showPercent val="0"/>
          <c:showBubbleSize val="0"/>
        </c:dLbls>
        <c:marker val="1"/>
        <c:smooth val="0"/>
        <c:axId val="3"/>
        <c:axId val="4"/>
      </c:lineChart>
      <c:catAx>
        <c:axId val="362916671"/>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Fecha</a:t>
                </a:r>
              </a:p>
            </c:rich>
          </c:tx>
          <c:layout>
            <c:manualLayout>
              <c:xMode val="edge"/>
              <c:yMode val="edge"/>
              <c:x val="0.48118853460149164"/>
              <c:y val="0.84083190293254861"/>
            </c:manualLayout>
          </c:layout>
          <c:overlay val="0"/>
          <c:spPr>
            <a:noFill/>
            <a:ln w="25400">
              <a:noFill/>
            </a:ln>
          </c:spPr>
        </c:title>
        <c:numFmt formatCode="dd\-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
        <c:crosses val="autoZero"/>
        <c:auto val="0"/>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title>
          <c:tx>
            <c:rich>
              <a:bodyPr/>
              <a:lstStyle/>
              <a:p>
                <a:pPr>
                  <a:defRPr sz="800" b="1" i="0" u="none" strike="noStrike" baseline="0">
                    <a:solidFill>
                      <a:srgbClr val="000080"/>
                    </a:solidFill>
                    <a:latin typeface="Arial"/>
                    <a:ea typeface="Arial"/>
                    <a:cs typeface="Arial"/>
                  </a:defRPr>
                </a:pPr>
                <a:r>
                  <a:rPr lang="es-ES"/>
                  <a:t>Cebo o Cebadero</a:t>
                </a:r>
              </a:p>
            </c:rich>
          </c:tx>
          <c:layout>
            <c:manualLayout>
              <c:xMode val="edge"/>
              <c:yMode val="edge"/>
              <c:x val="1.1881188118811881E-2"/>
              <c:y val="0.28373738749784305"/>
            </c:manualLayout>
          </c:layout>
          <c:overlay val="0"/>
          <c:spPr>
            <a:noFill/>
            <a:ln w="3175">
              <a:solidFill>
                <a:srgbClr val="000080"/>
              </a:solidFill>
              <a:prstDash val="solid"/>
            </a:ln>
          </c:spPr>
        </c:title>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362916671"/>
        <c:crosses val="autoZero"/>
        <c:crossBetween val="between"/>
      </c:valAx>
      <c:dateAx>
        <c:axId val="3"/>
        <c:scaling>
          <c:orientation val="minMax"/>
        </c:scaling>
        <c:delete val="1"/>
        <c:axPos val="b"/>
        <c:numFmt formatCode="[$-C0A]d\-mmm\-yy;@" sourceLinked="1"/>
        <c:majorTickMark val="out"/>
        <c:minorTickMark val="none"/>
        <c:tickLblPos val="nextTo"/>
        <c:crossAx val="4"/>
        <c:crosses val="autoZero"/>
        <c:auto val="1"/>
        <c:lblOffset val="100"/>
        <c:baseTimeUnit val="months"/>
      </c:dateAx>
      <c:valAx>
        <c:axId val="4"/>
        <c:scaling>
          <c:orientation val="minMax"/>
        </c:scaling>
        <c:delete val="0"/>
        <c:axPos val="r"/>
        <c:title>
          <c:tx>
            <c:rich>
              <a:bodyPr/>
              <a:lstStyle/>
              <a:p>
                <a:pPr>
                  <a:defRPr sz="800" b="1" i="0" u="none" strike="noStrike" baseline="0">
                    <a:solidFill>
                      <a:srgbClr val="FF00FF"/>
                    </a:solidFill>
                    <a:latin typeface="Arial"/>
                    <a:ea typeface="Arial"/>
                    <a:cs typeface="Arial"/>
                  </a:defRPr>
                </a:pPr>
                <a:r>
                  <a:rPr lang="es-ES"/>
                  <a:t>Selección</a:t>
                </a:r>
              </a:p>
            </c:rich>
          </c:tx>
          <c:layout>
            <c:manualLayout>
              <c:xMode val="edge"/>
              <c:yMode val="edge"/>
              <c:x val="0.94653548504456742"/>
              <c:y val="0.36332252586073799"/>
            </c:manualLayout>
          </c:layout>
          <c:overlay val="0"/>
          <c:spPr>
            <a:noFill/>
            <a:ln w="3175">
              <a:solidFill>
                <a:srgbClr val="FF00FF"/>
              </a:solidFill>
              <a:prstDash val="solid"/>
            </a:ln>
          </c:spPr>
        </c:title>
        <c:numFmt formatCode="#,##0"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3"/>
        <c:crosses val="max"/>
        <c:crossBetween val="between"/>
      </c:valAx>
      <c:spPr>
        <a:solidFill>
          <a:srgbClr val="C0C0C0"/>
        </a:solidFill>
        <a:ln w="12700">
          <a:solidFill>
            <a:srgbClr val="808080"/>
          </a:solidFill>
          <a:prstDash val="solid"/>
        </a:ln>
      </c:spPr>
    </c:plotArea>
    <c:plotVisOnly val="1"/>
    <c:dispBlanksAs val="gap"/>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ES"/>
              <a:t>Nº de Subexplotaciones de Porcino por Clasificación Zootécnica y C.A.</a:t>
            </a:r>
          </a:p>
        </c:rich>
      </c:tx>
      <c:layout>
        <c:manualLayout>
          <c:xMode val="edge"/>
          <c:yMode val="edge"/>
          <c:x val="0.12222250597053747"/>
          <c:y val="3.8062283737024222E-2"/>
        </c:manualLayout>
      </c:layout>
      <c:overlay val="0"/>
      <c:spPr>
        <a:noFill/>
        <a:ln w="25400">
          <a:noFill/>
        </a:ln>
      </c:spPr>
    </c:title>
    <c:autoTitleDeleted val="0"/>
    <c:plotArea>
      <c:layout>
        <c:manualLayout>
          <c:layoutTarget val="inner"/>
          <c:xMode val="edge"/>
          <c:yMode val="edge"/>
          <c:x val="0.12222244325528656"/>
          <c:y val="0.27335686323540098"/>
          <c:w val="0.6981494107158035"/>
          <c:h val="0.42906646887581923"/>
        </c:manualLayout>
      </c:layout>
      <c:lineChart>
        <c:grouping val="standard"/>
        <c:varyColors val="0"/>
        <c:ser>
          <c:idx val="0"/>
          <c:order val="0"/>
          <c:tx>
            <c:strRef>
              <c:f>'6.2- PORCINO (SUBEXPLOT)'!$C$19:$M$19</c:f>
              <c:strCache>
                <c:ptCount val="11"/>
                <c:pt idx="0">
                  <c:v>Multiplicación</c:v>
                </c:pt>
              </c:strCache>
            </c:strRef>
          </c:tx>
          <c:spPr>
            <a:ln w="12700">
              <a:solidFill>
                <a:srgbClr val="000080"/>
              </a:solidFill>
              <a:prstDash val="solid"/>
            </a:ln>
          </c:spPr>
          <c:marker>
            <c:symbol val="diamond"/>
            <c:size val="5"/>
            <c:spPr>
              <a:solidFill>
                <a:srgbClr val="000080"/>
              </a:solidFill>
              <a:ln>
                <a:solidFill>
                  <a:srgbClr val="000080"/>
                </a:solidFill>
                <a:prstDash val="solid"/>
              </a:ln>
            </c:spPr>
          </c:marker>
          <c:cat>
            <c:numRef>
              <c:f>'6.2- PORCINO (SUBEXPLOT)'!$C$14:$M$14</c:f>
              <c:numCache>
                <c:formatCode>[$-C0A]d\-mmm\-yy;@</c:formatCode>
                <c:ptCount val="11"/>
                <c:pt idx="0">
                  <c:v>0</c:v>
                </c:pt>
                <c:pt idx="1">
                  <c:v>38899</c:v>
                </c:pt>
                <c:pt idx="2">
                  <c:v>39083</c:v>
                </c:pt>
                <c:pt idx="3">
                  <c:v>39264</c:v>
                </c:pt>
                <c:pt idx="4">
                  <c:v>39448</c:v>
                </c:pt>
                <c:pt idx="5">
                  <c:v>39630</c:v>
                </c:pt>
                <c:pt idx="6">
                  <c:v>39814</c:v>
                </c:pt>
                <c:pt idx="7">
                  <c:v>39995</c:v>
                </c:pt>
                <c:pt idx="8">
                  <c:v>40179</c:v>
                </c:pt>
                <c:pt idx="9">
                  <c:v>40360</c:v>
                </c:pt>
                <c:pt idx="10">
                  <c:v>40544</c:v>
                </c:pt>
              </c:numCache>
            </c:numRef>
          </c:cat>
          <c:val>
            <c:numRef>
              <c:f>'6.2- PORCINO (SUBEXPLOT)'!$C$20:$M$20</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0-701C-4B18-93AA-5A48D4D84020}"/>
            </c:ext>
          </c:extLst>
        </c:ser>
        <c:dLbls>
          <c:showLegendKey val="0"/>
          <c:showVal val="0"/>
          <c:showCatName val="0"/>
          <c:showSerName val="0"/>
          <c:showPercent val="0"/>
          <c:showBubbleSize val="0"/>
        </c:dLbls>
        <c:marker val="1"/>
        <c:smooth val="0"/>
        <c:axId val="362917087"/>
        <c:axId val="1"/>
      </c:lineChart>
      <c:lineChart>
        <c:grouping val="standard"/>
        <c:varyColors val="0"/>
        <c:ser>
          <c:idx val="1"/>
          <c:order val="1"/>
          <c:tx>
            <c:strRef>
              <c:f>'6.2- PORCINO (SUBEXPLOT)'!$C$21:$M$21</c:f>
              <c:strCache>
                <c:ptCount val="11"/>
                <c:pt idx="0">
                  <c:v>Recría de reproductores</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cat>
            <c:numRef>
              <c:f>'6.2- PORCINO (SUBEXPLOT)'!$C$14:$M$14</c:f>
              <c:numCache>
                <c:formatCode>[$-C0A]d\-mmm\-yy;@</c:formatCode>
                <c:ptCount val="11"/>
                <c:pt idx="0">
                  <c:v>0</c:v>
                </c:pt>
                <c:pt idx="1">
                  <c:v>38899</c:v>
                </c:pt>
                <c:pt idx="2">
                  <c:v>39083</c:v>
                </c:pt>
                <c:pt idx="3">
                  <c:v>39264</c:v>
                </c:pt>
                <c:pt idx="4">
                  <c:v>39448</c:v>
                </c:pt>
                <c:pt idx="5">
                  <c:v>39630</c:v>
                </c:pt>
                <c:pt idx="6">
                  <c:v>39814</c:v>
                </c:pt>
                <c:pt idx="7">
                  <c:v>39995</c:v>
                </c:pt>
                <c:pt idx="8">
                  <c:v>40179</c:v>
                </c:pt>
                <c:pt idx="9">
                  <c:v>40360</c:v>
                </c:pt>
                <c:pt idx="10">
                  <c:v>40544</c:v>
                </c:pt>
              </c:numCache>
            </c:numRef>
          </c:cat>
          <c:val>
            <c:numRef>
              <c:f>'6.2- PORCINO (SUBEXPLOT)'!$C$22:$M$22</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1-701C-4B18-93AA-5A48D4D84020}"/>
            </c:ext>
          </c:extLst>
        </c:ser>
        <c:dLbls>
          <c:showLegendKey val="0"/>
          <c:showVal val="0"/>
          <c:showCatName val="0"/>
          <c:showSerName val="0"/>
          <c:showPercent val="0"/>
          <c:showBubbleSize val="0"/>
        </c:dLbls>
        <c:marker val="1"/>
        <c:smooth val="0"/>
        <c:axId val="3"/>
        <c:axId val="4"/>
      </c:lineChart>
      <c:catAx>
        <c:axId val="362917087"/>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s-ES"/>
                  <a:t>Fecha</a:t>
                </a:r>
              </a:p>
            </c:rich>
          </c:tx>
          <c:layout>
            <c:manualLayout>
              <c:xMode val="edge"/>
              <c:yMode val="edge"/>
              <c:x val="0.43148225390745076"/>
              <c:y val="0.8477523181574621"/>
            </c:manualLayout>
          </c:layout>
          <c:overlay val="0"/>
          <c:spPr>
            <a:noFill/>
            <a:ln w="25400">
              <a:noFill/>
            </a:ln>
          </c:spPr>
        </c:title>
        <c:numFmt formatCode="dd\-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
        <c:crosses val="autoZero"/>
        <c:auto val="0"/>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title>
          <c:tx>
            <c:rich>
              <a:bodyPr/>
              <a:lstStyle/>
              <a:p>
                <a:pPr>
                  <a:defRPr sz="1000" b="1" i="0" u="none" strike="noStrike" baseline="0">
                    <a:solidFill>
                      <a:srgbClr val="000080"/>
                    </a:solidFill>
                    <a:latin typeface="Arial"/>
                    <a:ea typeface="Arial"/>
                    <a:cs typeface="Arial"/>
                  </a:defRPr>
                </a:pPr>
                <a:r>
                  <a:rPr lang="es-ES"/>
                  <a:t>Multiplicación</a:t>
                </a:r>
              </a:p>
            </c:rich>
          </c:tx>
          <c:layout>
            <c:manualLayout>
              <c:xMode val="edge"/>
              <c:yMode val="edge"/>
              <c:x val="9.2592750230545504E-3"/>
              <c:y val="0.32526024212371374"/>
            </c:manualLayout>
          </c:layout>
          <c:overlay val="0"/>
          <c:spPr>
            <a:noFill/>
            <a:ln w="3175">
              <a:solidFill>
                <a:srgbClr val="000080"/>
              </a:solidFill>
              <a:prstDash val="solid"/>
            </a:ln>
          </c:spPr>
        </c:title>
        <c:numFmt formatCode="#,##0"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s-ES"/>
          </a:p>
        </c:txPr>
        <c:crossAx val="362917087"/>
        <c:crosses val="autoZero"/>
        <c:crossBetween val="between"/>
      </c:valAx>
      <c:dateAx>
        <c:axId val="3"/>
        <c:scaling>
          <c:orientation val="minMax"/>
        </c:scaling>
        <c:delete val="1"/>
        <c:axPos val="b"/>
        <c:numFmt formatCode="[$-C0A]d\-mmm\-yy;@" sourceLinked="1"/>
        <c:majorTickMark val="out"/>
        <c:minorTickMark val="none"/>
        <c:tickLblPos val="nextTo"/>
        <c:crossAx val="4"/>
        <c:crosses val="autoZero"/>
        <c:auto val="1"/>
        <c:lblOffset val="100"/>
        <c:baseTimeUnit val="months"/>
      </c:dateAx>
      <c:valAx>
        <c:axId val="4"/>
        <c:scaling>
          <c:orientation val="minMax"/>
        </c:scaling>
        <c:delete val="0"/>
        <c:axPos val="r"/>
        <c:title>
          <c:tx>
            <c:rich>
              <a:bodyPr/>
              <a:lstStyle/>
              <a:p>
                <a:pPr>
                  <a:defRPr sz="1000" b="1" i="0" u="none" strike="noStrike" baseline="0">
                    <a:solidFill>
                      <a:srgbClr val="FF00FF"/>
                    </a:solidFill>
                    <a:latin typeface="Arial"/>
                    <a:ea typeface="Arial"/>
                    <a:cs typeface="Arial"/>
                  </a:defRPr>
                </a:pPr>
                <a:r>
                  <a:rPr lang="es-ES"/>
                  <a:t>Recría de Reproductores</a:t>
                </a:r>
              </a:p>
            </c:rich>
          </c:tx>
          <c:layout>
            <c:manualLayout>
              <c:xMode val="edge"/>
              <c:yMode val="edge"/>
              <c:x val="0.93148310515239652"/>
              <c:y val="0.21684004032367923"/>
            </c:manualLayout>
          </c:layout>
          <c:overlay val="0"/>
          <c:spPr>
            <a:noFill/>
            <a:ln w="3175">
              <a:solidFill>
                <a:srgbClr val="FF00FF"/>
              </a:solidFill>
              <a:prstDash val="solid"/>
            </a:ln>
          </c:spPr>
        </c:title>
        <c:numFmt formatCode="#,##0"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3"/>
        <c:crosses val="max"/>
        <c:crossBetween val="between"/>
      </c:valAx>
      <c:spPr>
        <a:solidFill>
          <a:srgbClr val="C0C0C0"/>
        </a:solidFill>
        <a:ln w="12700">
          <a:solidFill>
            <a:srgbClr val="808080"/>
          </a:solidFill>
          <a:prstDash val="solid"/>
        </a:ln>
      </c:spPr>
    </c:plotArea>
    <c:plotVisOnly val="1"/>
    <c:dispBlanksAs val="gap"/>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ES"/>
              <a:t>Nº de Subexplotaciones de Porcino por Clasificación Zootécnica y C.A.</a:t>
            </a:r>
          </a:p>
        </c:rich>
      </c:tx>
      <c:layout>
        <c:manualLayout>
          <c:xMode val="edge"/>
          <c:yMode val="edge"/>
          <c:x val="0.19921145951430624"/>
          <c:y val="3.5460905465108675E-2"/>
        </c:manualLayout>
      </c:layout>
      <c:overlay val="0"/>
      <c:spPr>
        <a:noFill/>
        <a:ln w="25400">
          <a:noFill/>
        </a:ln>
      </c:spPr>
    </c:title>
    <c:autoTitleDeleted val="0"/>
    <c:plotArea>
      <c:layout>
        <c:manualLayout>
          <c:layoutTarget val="inner"/>
          <c:xMode val="edge"/>
          <c:yMode val="edge"/>
          <c:x val="0.17159796366101851"/>
          <c:y val="0.23758947525167348"/>
          <c:w val="0.62722014303682627"/>
          <c:h val="0.390072272801255"/>
        </c:manualLayout>
      </c:layout>
      <c:lineChart>
        <c:grouping val="standard"/>
        <c:varyColors val="0"/>
        <c:ser>
          <c:idx val="0"/>
          <c:order val="0"/>
          <c:tx>
            <c:strRef>
              <c:f>'6.2- PORCINO (SUBEXPLOT)'!$C$23:$M$23</c:f>
              <c:strCache>
                <c:ptCount val="11"/>
                <c:pt idx="0">
                  <c:v>Transición de reproductoras primíparas</c:v>
                </c:pt>
              </c:strCache>
            </c:strRef>
          </c:tx>
          <c:spPr>
            <a:ln w="12700">
              <a:solidFill>
                <a:srgbClr val="000080"/>
              </a:solidFill>
              <a:prstDash val="solid"/>
            </a:ln>
          </c:spPr>
          <c:marker>
            <c:symbol val="diamond"/>
            <c:size val="5"/>
            <c:spPr>
              <a:solidFill>
                <a:srgbClr val="000080"/>
              </a:solidFill>
              <a:ln>
                <a:solidFill>
                  <a:srgbClr val="000080"/>
                </a:solidFill>
                <a:prstDash val="solid"/>
              </a:ln>
            </c:spPr>
          </c:marker>
          <c:cat>
            <c:numRef>
              <c:f>'6.2- PORCINO (SUBEXPLOT)'!$C$14:$M$14</c:f>
              <c:numCache>
                <c:formatCode>[$-C0A]d\-mmm\-yy;@</c:formatCode>
                <c:ptCount val="11"/>
                <c:pt idx="0">
                  <c:v>0</c:v>
                </c:pt>
                <c:pt idx="1">
                  <c:v>38899</c:v>
                </c:pt>
                <c:pt idx="2">
                  <c:v>39083</c:v>
                </c:pt>
                <c:pt idx="3">
                  <c:v>39264</c:v>
                </c:pt>
                <c:pt idx="4">
                  <c:v>39448</c:v>
                </c:pt>
                <c:pt idx="5">
                  <c:v>39630</c:v>
                </c:pt>
                <c:pt idx="6">
                  <c:v>39814</c:v>
                </c:pt>
                <c:pt idx="7">
                  <c:v>39995</c:v>
                </c:pt>
                <c:pt idx="8">
                  <c:v>40179</c:v>
                </c:pt>
                <c:pt idx="9">
                  <c:v>40360</c:v>
                </c:pt>
                <c:pt idx="10">
                  <c:v>40544</c:v>
                </c:pt>
              </c:numCache>
            </c:numRef>
          </c:cat>
          <c:val>
            <c:numRef>
              <c:f>'6.2- PORCINO (SUBEXPLOT)'!$C$24:$M$24</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0-FCEE-45BA-ABA2-24D10E2678B6}"/>
            </c:ext>
          </c:extLst>
        </c:ser>
        <c:dLbls>
          <c:showLegendKey val="0"/>
          <c:showVal val="0"/>
          <c:showCatName val="0"/>
          <c:showSerName val="0"/>
          <c:showPercent val="0"/>
          <c:showBubbleSize val="0"/>
        </c:dLbls>
        <c:marker val="1"/>
        <c:smooth val="0"/>
        <c:axId val="362917503"/>
        <c:axId val="1"/>
      </c:lineChart>
      <c:lineChart>
        <c:grouping val="standard"/>
        <c:varyColors val="0"/>
        <c:ser>
          <c:idx val="1"/>
          <c:order val="1"/>
          <c:tx>
            <c:strRef>
              <c:f>'6.2- PORCINO (SUBEXPLOT)'!$C$25:$M$25</c:f>
              <c:strCache>
                <c:ptCount val="11"/>
                <c:pt idx="0">
                  <c:v>Producción de lechones</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cat>
            <c:numRef>
              <c:f>'6.2- PORCINO (SUBEXPLOT)'!$C$14:$M$14</c:f>
              <c:numCache>
                <c:formatCode>[$-C0A]d\-mmm\-yy;@</c:formatCode>
                <c:ptCount val="11"/>
                <c:pt idx="0">
                  <c:v>0</c:v>
                </c:pt>
                <c:pt idx="1">
                  <c:v>38899</c:v>
                </c:pt>
                <c:pt idx="2">
                  <c:v>39083</c:v>
                </c:pt>
                <c:pt idx="3">
                  <c:v>39264</c:v>
                </c:pt>
                <c:pt idx="4">
                  <c:v>39448</c:v>
                </c:pt>
                <c:pt idx="5">
                  <c:v>39630</c:v>
                </c:pt>
                <c:pt idx="6">
                  <c:v>39814</c:v>
                </c:pt>
                <c:pt idx="7">
                  <c:v>39995</c:v>
                </c:pt>
                <c:pt idx="8">
                  <c:v>40179</c:v>
                </c:pt>
                <c:pt idx="9">
                  <c:v>40360</c:v>
                </c:pt>
                <c:pt idx="10">
                  <c:v>40544</c:v>
                </c:pt>
              </c:numCache>
            </c:numRef>
          </c:cat>
          <c:val>
            <c:numRef>
              <c:f>'6.2- PORCINO (SUBEXPLOT)'!$C$26:$M$26</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1-FCEE-45BA-ABA2-24D10E2678B6}"/>
            </c:ext>
          </c:extLst>
        </c:ser>
        <c:dLbls>
          <c:showLegendKey val="0"/>
          <c:showVal val="0"/>
          <c:showCatName val="0"/>
          <c:showSerName val="0"/>
          <c:showPercent val="0"/>
          <c:showBubbleSize val="0"/>
        </c:dLbls>
        <c:marker val="1"/>
        <c:smooth val="0"/>
        <c:axId val="3"/>
        <c:axId val="4"/>
      </c:lineChart>
      <c:catAx>
        <c:axId val="362917503"/>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s-ES"/>
                  <a:t>Fecha</a:t>
                </a:r>
              </a:p>
            </c:rich>
          </c:tx>
          <c:layout>
            <c:manualLayout>
              <c:xMode val="edge"/>
              <c:yMode val="edge"/>
              <c:x val="0.44378781054735017"/>
              <c:y val="0.82979011965141369"/>
            </c:manualLayout>
          </c:layout>
          <c:overlay val="0"/>
          <c:spPr>
            <a:noFill/>
            <a:ln w="25400">
              <a:noFill/>
            </a:ln>
          </c:spPr>
        </c:title>
        <c:numFmt formatCode="dd\-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
        <c:crosses val="autoZero"/>
        <c:auto val="0"/>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title>
          <c:tx>
            <c:rich>
              <a:bodyPr/>
              <a:lstStyle/>
              <a:p>
                <a:pPr>
                  <a:defRPr sz="900" b="1" i="0" u="none" strike="noStrike" baseline="0">
                    <a:solidFill>
                      <a:srgbClr val="000080"/>
                    </a:solidFill>
                    <a:latin typeface="Arial"/>
                    <a:ea typeface="Arial"/>
                    <a:cs typeface="Arial"/>
                  </a:defRPr>
                </a:pPr>
                <a:r>
                  <a:rPr lang="es-ES"/>
                  <a:t>Transición de Reproductoras Primíparas</a:t>
                </a:r>
              </a:p>
            </c:rich>
          </c:tx>
          <c:layout>
            <c:manualLayout>
              <c:xMode val="edge"/>
              <c:yMode val="edge"/>
              <c:x val="2.7613412228796843E-2"/>
              <c:y val="0.15130140760874641"/>
            </c:manualLayout>
          </c:layout>
          <c:overlay val="0"/>
          <c:spPr>
            <a:noFill/>
            <a:ln w="3175">
              <a:solidFill>
                <a:srgbClr val="000080"/>
              </a:solidFill>
              <a:prstDash val="solid"/>
            </a:ln>
          </c:spPr>
        </c:title>
        <c:numFmt formatCode="#,##0"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s-ES"/>
          </a:p>
        </c:txPr>
        <c:crossAx val="362917503"/>
        <c:crosses val="autoZero"/>
        <c:crossBetween val="between"/>
      </c:valAx>
      <c:dateAx>
        <c:axId val="3"/>
        <c:scaling>
          <c:orientation val="minMax"/>
        </c:scaling>
        <c:delete val="1"/>
        <c:axPos val="b"/>
        <c:numFmt formatCode="[$-C0A]d\-mmm\-yy;@" sourceLinked="1"/>
        <c:majorTickMark val="out"/>
        <c:minorTickMark val="none"/>
        <c:tickLblPos val="nextTo"/>
        <c:crossAx val="4"/>
        <c:crosses val="autoZero"/>
        <c:auto val="1"/>
        <c:lblOffset val="100"/>
        <c:baseTimeUnit val="months"/>
      </c:dateAx>
      <c:valAx>
        <c:axId val="4"/>
        <c:scaling>
          <c:orientation val="minMax"/>
        </c:scaling>
        <c:delete val="0"/>
        <c:axPos val="r"/>
        <c:title>
          <c:tx>
            <c:rich>
              <a:bodyPr/>
              <a:lstStyle/>
              <a:p>
                <a:pPr>
                  <a:defRPr sz="1000" b="1" i="0" u="none" strike="noStrike" baseline="0">
                    <a:solidFill>
                      <a:srgbClr val="FF00FF"/>
                    </a:solidFill>
                    <a:latin typeface="Arial"/>
                    <a:ea typeface="Arial"/>
                    <a:cs typeface="Arial"/>
                  </a:defRPr>
                </a:pPr>
                <a:r>
                  <a:rPr lang="es-ES"/>
                  <a:t>Producción de Lechones</a:t>
                </a:r>
              </a:p>
            </c:rich>
          </c:tx>
          <c:layout>
            <c:manualLayout>
              <c:xMode val="edge"/>
              <c:yMode val="edge"/>
              <c:x val="0.93162558822159058"/>
              <c:y val="0.16430334108592298"/>
            </c:manualLayout>
          </c:layout>
          <c:overlay val="0"/>
          <c:spPr>
            <a:noFill/>
            <a:ln w="3175">
              <a:solidFill>
                <a:srgbClr val="FF00FF"/>
              </a:solidFill>
              <a:prstDash val="solid"/>
            </a:ln>
          </c:spPr>
        </c:title>
        <c:numFmt formatCode="#,##0"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3"/>
        <c:crosses val="max"/>
        <c:crossBetween val="between"/>
      </c:valAx>
      <c:spPr>
        <a:solidFill>
          <a:srgbClr val="C0C0C0"/>
        </a:solidFill>
        <a:ln w="12700">
          <a:solidFill>
            <a:srgbClr val="808080"/>
          </a:solidFill>
          <a:prstDash val="solid"/>
        </a:ln>
      </c:spPr>
    </c:plotArea>
    <c:plotVisOnly val="1"/>
    <c:dispBlanksAs val="gap"/>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ES"/>
              <a:t>Nº de Subexplotaciones de Porcino por Clasificación Zootécnica y C.A.</a:t>
            </a:r>
          </a:p>
        </c:rich>
      </c:tx>
      <c:layout>
        <c:manualLayout>
          <c:xMode val="edge"/>
          <c:yMode val="edge"/>
          <c:x val="0.12244899892928547"/>
          <c:y val="3.5460992907801421E-2"/>
        </c:manualLayout>
      </c:layout>
      <c:overlay val="0"/>
      <c:spPr>
        <a:noFill/>
        <a:ln w="25400">
          <a:noFill/>
        </a:ln>
      </c:spPr>
    </c:title>
    <c:autoTitleDeleted val="0"/>
    <c:plotArea>
      <c:layout>
        <c:manualLayout>
          <c:layoutTarget val="inner"/>
          <c:xMode val="edge"/>
          <c:yMode val="edge"/>
          <c:x val="0.17625231910946196"/>
          <c:y val="0.30496559509916299"/>
          <c:w val="0.66975881261595549"/>
          <c:h val="0.41134894222677798"/>
        </c:manualLayout>
      </c:layout>
      <c:lineChart>
        <c:grouping val="standard"/>
        <c:varyColors val="0"/>
        <c:ser>
          <c:idx val="0"/>
          <c:order val="0"/>
          <c:tx>
            <c:strRef>
              <c:f>'6.2- PORCINO (SUBEXPLOT)'!$C$27:$M$27</c:f>
              <c:strCache>
                <c:ptCount val="11"/>
                <c:pt idx="0">
                  <c:v>Producción de ciclo abierto</c:v>
                </c:pt>
              </c:strCache>
            </c:strRef>
          </c:tx>
          <c:spPr>
            <a:ln w="12700">
              <a:solidFill>
                <a:srgbClr val="000080"/>
              </a:solidFill>
              <a:prstDash val="solid"/>
            </a:ln>
          </c:spPr>
          <c:marker>
            <c:symbol val="diamond"/>
            <c:size val="5"/>
            <c:spPr>
              <a:solidFill>
                <a:srgbClr val="000080"/>
              </a:solidFill>
              <a:ln>
                <a:solidFill>
                  <a:srgbClr val="000080"/>
                </a:solidFill>
                <a:prstDash val="solid"/>
              </a:ln>
            </c:spPr>
          </c:marker>
          <c:cat>
            <c:numRef>
              <c:f>'6.2- PORCINO (SUBEXPLOT)'!$C$14:$M$14</c:f>
              <c:numCache>
                <c:formatCode>[$-C0A]d\-mmm\-yy;@</c:formatCode>
                <c:ptCount val="11"/>
                <c:pt idx="0">
                  <c:v>0</c:v>
                </c:pt>
                <c:pt idx="1">
                  <c:v>38899</c:v>
                </c:pt>
                <c:pt idx="2">
                  <c:v>39083</c:v>
                </c:pt>
                <c:pt idx="3">
                  <c:v>39264</c:v>
                </c:pt>
                <c:pt idx="4">
                  <c:v>39448</c:v>
                </c:pt>
                <c:pt idx="5">
                  <c:v>39630</c:v>
                </c:pt>
                <c:pt idx="6">
                  <c:v>39814</c:v>
                </c:pt>
                <c:pt idx="7">
                  <c:v>39995</c:v>
                </c:pt>
                <c:pt idx="8">
                  <c:v>40179</c:v>
                </c:pt>
                <c:pt idx="9">
                  <c:v>40360</c:v>
                </c:pt>
                <c:pt idx="10">
                  <c:v>40544</c:v>
                </c:pt>
              </c:numCache>
            </c:numRef>
          </c:cat>
          <c:val>
            <c:numRef>
              <c:f>'6.2- PORCINO (SUBEXPLOT)'!$C$28:$M$28</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0-EB24-402B-A39B-7A243025C02C}"/>
            </c:ext>
          </c:extLst>
        </c:ser>
        <c:dLbls>
          <c:showLegendKey val="0"/>
          <c:showVal val="0"/>
          <c:showCatName val="0"/>
          <c:showSerName val="0"/>
          <c:showPercent val="0"/>
          <c:showBubbleSize val="0"/>
        </c:dLbls>
        <c:marker val="1"/>
        <c:smooth val="0"/>
        <c:axId val="362915007"/>
        <c:axId val="1"/>
      </c:lineChart>
      <c:lineChart>
        <c:grouping val="standard"/>
        <c:varyColors val="0"/>
        <c:ser>
          <c:idx val="1"/>
          <c:order val="1"/>
          <c:tx>
            <c:strRef>
              <c:f>'6.2- PORCINO (SUBEXPLOT)'!$C$29:$M$29</c:f>
              <c:strCache>
                <c:ptCount val="11"/>
                <c:pt idx="0">
                  <c:v>Producción de ciclo cerrado</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cat>
            <c:numRef>
              <c:f>'6.2- PORCINO (SUBEXPLOT)'!$C$14:$M$14</c:f>
              <c:numCache>
                <c:formatCode>[$-C0A]d\-mmm\-yy;@</c:formatCode>
                <c:ptCount val="11"/>
                <c:pt idx="0">
                  <c:v>0</c:v>
                </c:pt>
                <c:pt idx="1">
                  <c:v>38899</c:v>
                </c:pt>
                <c:pt idx="2">
                  <c:v>39083</c:v>
                </c:pt>
                <c:pt idx="3">
                  <c:v>39264</c:v>
                </c:pt>
                <c:pt idx="4">
                  <c:v>39448</c:v>
                </c:pt>
                <c:pt idx="5">
                  <c:v>39630</c:v>
                </c:pt>
                <c:pt idx="6">
                  <c:v>39814</c:v>
                </c:pt>
                <c:pt idx="7">
                  <c:v>39995</c:v>
                </c:pt>
                <c:pt idx="8">
                  <c:v>40179</c:v>
                </c:pt>
                <c:pt idx="9">
                  <c:v>40360</c:v>
                </c:pt>
                <c:pt idx="10">
                  <c:v>40544</c:v>
                </c:pt>
              </c:numCache>
            </c:numRef>
          </c:cat>
          <c:val>
            <c:numRef>
              <c:f>'6.2- PORCINO (SUBEXPLOT)'!$C$30:$M$30</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1-EB24-402B-A39B-7A243025C02C}"/>
            </c:ext>
          </c:extLst>
        </c:ser>
        <c:dLbls>
          <c:showLegendKey val="0"/>
          <c:showVal val="0"/>
          <c:showCatName val="0"/>
          <c:showSerName val="0"/>
          <c:showPercent val="0"/>
          <c:showBubbleSize val="0"/>
        </c:dLbls>
        <c:marker val="1"/>
        <c:smooth val="0"/>
        <c:axId val="3"/>
        <c:axId val="4"/>
      </c:lineChart>
      <c:catAx>
        <c:axId val="362915007"/>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s-ES"/>
                  <a:t>Fecha</a:t>
                </a:r>
              </a:p>
            </c:rich>
          </c:tx>
          <c:layout>
            <c:manualLayout>
              <c:xMode val="edge"/>
              <c:yMode val="edge"/>
              <c:x val="0.47124307115040226"/>
              <c:y val="0.86525120530146493"/>
            </c:manualLayout>
          </c:layout>
          <c:overlay val="0"/>
          <c:spPr>
            <a:noFill/>
            <a:ln w="25400">
              <a:noFill/>
            </a:ln>
          </c:spPr>
        </c:title>
        <c:numFmt formatCode="dd\-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
        <c:crosses val="autoZero"/>
        <c:auto val="0"/>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title>
          <c:tx>
            <c:rich>
              <a:bodyPr/>
              <a:lstStyle/>
              <a:p>
                <a:pPr>
                  <a:defRPr sz="1000" b="1" i="0" u="none" strike="noStrike" baseline="0">
                    <a:solidFill>
                      <a:srgbClr val="000080"/>
                    </a:solidFill>
                    <a:latin typeface="Arial"/>
                    <a:ea typeface="Arial"/>
                    <a:cs typeface="Arial"/>
                  </a:defRPr>
                </a:pPr>
                <a:r>
                  <a:rPr lang="es-ES"/>
                  <a:t>Producción de Ciclo</a:t>
                </a:r>
                <a:r>
                  <a:rPr lang="es-ES" baseline="0"/>
                  <a:t> Abierto</a:t>
                </a:r>
                <a:endParaRPr lang="es-ES"/>
              </a:p>
            </c:rich>
          </c:tx>
          <c:layout>
            <c:manualLayout>
              <c:xMode val="edge"/>
              <c:yMode val="edge"/>
              <c:x val="3.2158389948548853E-2"/>
              <c:y val="0.2234053722008153"/>
            </c:manualLayout>
          </c:layout>
          <c:overlay val="0"/>
          <c:spPr>
            <a:noFill/>
            <a:ln w="3175">
              <a:solidFill>
                <a:srgbClr val="000080"/>
              </a:solidFill>
              <a:prstDash val="solid"/>
            </a:ln>
          </c:spPr>
        </c:title>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362915007"/>
        <c:crosses val="autoZero"/>
        <c:crossBetween val="between"/>
      </c:valAx>
      <c:dateAx>
        <c:axId val="3"/>
        <c:scaling>
          <c:orientation val="minMax"/>
        </c:scaling>
        <c:delete val="1"/>
        <c:axPos val="b"/>
        <c:numFmt formatCode="[$-C0A]d\-mmm\-yy;@" sourceLinked="1"/>
        <c:majorTickMark val="out"/>
        <c:minorTickMark val="none"/>
        <c:tickLblPos val="nextTo"/>
        <c:crossAx val="4"/>
        <c:crosses val="autoZero"/>
        <c:auto val="1"/>
        <c:lblOffset val="100"/>
        <c:baseTimeUnit val="months"/>
      </c:dateAx>
      <c:valAx>
        <c:axId val="4"/>
        <c:scaling>
          <c:orientation val="minMax"/>
        </c:scaling>
        <c:delete val="0"/>
        <c:axPos val="r"/>
        <c:title>
          <c:tx>
            <c:rich>
              <a:bodyPr/>
              <a:lstStyle/>
              <a:p>
                <a:pPr>
                  <a:defRPr sz="1000" b="1" i="0" u="none" strike="noStrike" baseline="0">
                    <a:solidFill>
                      <a:srgbClr val="FF00FF"/>
                    </a:solidFill>
                    <a:latin typeface="Arial"/>
                    <a:ea typeface="Arial"/>
                    <a:cs typeface="Arial"/>
                  </a:defRPr>
                </a:pPr>
                <a:r>
                  <a:rPr lang="es-ES"/>
                  <a:t>Producción de Ciclo Cerrado</a:t>
                </a:r>
              </a:p>
            </c:rich>
          </c:tx>
          <c:layout>
            <c:manualLayout>
              <c:xMode val="edge"/>
              <c:yMode val="edge"/>
              <c:x val="0.94063086879483016"/>
              <c:y val="0.19149047858379403"/>
            </c:manualLayout>
          </c:layout>
          <c:overlay val="0"/>
          <c:spPr>
            <a:noFill/>
            <a:ln w="3175">
              <a:solidFill>
                <a:srgbClr val="FF00FF"/>
              </a:solidFill>
              <a:prstDash val="solid"/>
            </a:ln>
          </c:spPr>
        </c:title>
        <c:numFmt formatCode="#,##0"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3"/>
        <c:crosses val="max"/>
        <c:crossBetween val="between"/>
      </c:valAx>
      <c:spPr>
        <a:solidFill>
          <a:srgbClr val="C0C0C0"/>
        </a:solidFill>
        <a:ln w="12700">
          <a:solidFill>
            <a:srgbClr val="808080"/>
          </a:solidFill>
          <a:prstDash val="solid"/>
        </a:ln>
      </c:spPr>
    </c:plotArea>
    <c:plotVisOnly val="1"/>
    <c:dispBlanksAs val="gap"/>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ES"/>
              <a:t>Nº de Subexplotaciones de Porcino por Clasificación Zootécnica y C.A.</a:t>
            </a:r>
          </a:p>
        </c:rich>
      </c:tx>
      <c:layout>
        <c:manualLayout>
          <c:xMode val="edge"/>
          <c:yMode val="edge"/>
          <c:x val="0.19762845849802371"/>
          <c:y val="3.3950617283950615E-2"/>
        </c:manualLayout>
      </c:layout>
      <c:overlay val="0"/>
      <c:spPr>
        <a:noFill/>
        <a:ln w="25400">
          <a:noFill/>
        </a:ln>
      </c:spPr>
    </c:title>
    <c:autoTitleDeleted val="0"/>
    <c:plotArea>
      <c:layout>
        <c:manualLayout>
          <c:layoutTarget val="inner"/>
          <c:xMode val="edge"/>
          <c:yMode val="edge"/>
          <c:x val="0.15810276679841898"/>
          <c:y val="0.32407505086278349"/>
          <c:w val="0.67193675889328064"/>
          <c:h val="0.35802577047697987"/>
        </c:manualLayout>
      </c:layout>
      <c:lineChart>
        <c:grouping val="standard"/>
        <c:varyColors val="0"/>
        <c:ser>
          <c:idx val="0"/>
          <c:order val="0"/>
          <c:tx>
            <c:strRef>
              <c:f>'6.2- PORCINO (SUBEXPLOT)'!$C$31:$M$31</c:f>
              <c:strCache>
                <c:ptCount val="11"/>
                <c:pt idx="0">
                  <c:v>Producción mixto</c:v>
                </c:pt>
              </c:strCache>
            </c:strRef>
          </c:tx>
          <c:spPr>
            <a:ln w="12700">
              <a:solidFill>
                <a:srgbClr val="000080"/>
              </a:solidFill>
              <a:prstDash val="solid"/>
            </a:ln>
          </c:spPr>
          <c:marker>
            <c:symbol val="diamond"/>
            <c:size val="5"/>
            <c:spPr>
              <a:solidFill>
                <a:srgbClr val="000080"/>
              </a:solidFill>
              <a:ln>
                <a:solidFill>
                  <a:srgbClr val="000080"/>
                </a:solidFill>
                <a:prstDash val="solid"/>
              </a:ln>
            </c:spPr>
          </c:marker>
          <c:cat>
            <c:numRef>
              <c:f>'6.2- PORCINO (SUBEXPLOT)'!$C$14:$M$14</c:f>
              <c:numCache>
                <c:formatCode>[$-C0A]d\-mmm\-yy;@</c:formatCode>
                <c:ptCount val="11"/>
                <c:pt idx="0">
                  <c:v>0</c:v>
                </c:pt>
                <c:pt idx="1">
                  <c:v>38899</c:v>
                </c:pt>
                <c:pt idx="2">
                  <c:v>39083</c:v>
                </c:pt>
                <c:pt idx="3">
                  <c:v>39264</c:v>
                </c:pt>
                <c:pt idx="4">
                  <c:v>39448</c:v>
                </c:pt>
                <c:pt idx="5">
                  <c:v>39630</c:v>
                </c:pt>
                <c:pt idx="6">
                  <c:v>39814</c:v>
                </c:pt>
                <c:pt idx="7">
                  <c:v>39995</c:v>
                </c:pt>
                <c:pt idx="8">
                  <c:v>40179</c:v>
                </c:pt>
                <c:pt idx="9">
                  <c:v>40360</c:v>
                </c:pt>
                <c:pt idx="10">
                  <c:v>40544</c:v>
                </c:pt>
              </c:numCache>
            </c:numRef>
          </c:cat>
          <c:val>
            <c:numRef>
              <c:f>'6.2- PORCINO (SUBEXPLOT)'!$C$32:$M$32</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0-DA24-4EF0-90BA-CE64E26D1B23}"/>
            </c:ext>
          </c:extLst>
        </c:ser>
        <c:dLbls>
          <c:showLegendKey val="0"/>
          <c:showVal val="0"/>
          <c:showCatName val="0"/>
          <c:showSerName val="0"/>
          <c:showPercent val="0"/>
          <c:showBubbleSize val="0"/>
        </c:dLbls>
        <c:marker val="1"/>
        <c:smooth val="0"/>
        <c:axId val="362919167"/>
        <c:axId val="1"/>
      </c:lineChart>
      <c:lineChart>
        <c:grouping val="standard"/>
        <c:varyColors val="0"/>
        <c:ser>
          <c:idx val="1"/>
          <c:order val="1"/>
          <c:tx>
            <c:strRef>
              <c:f>'6.2- PORCINO (SUBEXPLOT)'!$C$33:$M$33</c:f>
              <c:strCache>
                <c:ptCount val="11"/>
                <c:pt idx="0">
                  <c:v>Transición de lechones</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cat>
            <c:numRef>
              <c:f>'6.2- PORCINO (SUBEXPLOT)'!$C$14:$M$14</c:f>
              <c:numCache>
                <c:formatCode>[$-C0A]d\-mmm\-yy;@</c:formatCode>
                <c:ptCount val="11"/>
                <c:pt idx="0">
                  <c:v>0</c:v>
                </c:pt>
                <c:pt idx="1">
                  <c:v>38899</c:v>
                </c:pt>
                <c:pt idx="2">
                  <c:v>39083</c:v>
                </c:pt>
                <c:pt idx="3">
                  <c:v>39264</c:v>
                </c:pt>
                <c:pt idx="4">
                  <c:v>39448</c:v>
                </c:pt>
                <c:pt idx="5">
                  <c:v>39630</c:v>
                </c:pt>
                <c:pt idx="6">
                  <c:v>39814</c:v>
                </c:pt>
                <c:pt idx="7">
                  <c:v>39995</c:v>
                </c:pt>
                <c:pt idx="8">
                  <c:v>40179</c:v>
                </c:pt>
                <c:pt idx="9">
                  <c:v>40360</c:v>
                </c:pt>
                <c:pt idx="10">
                  <c:v>40544</c:v>
                </c:pt>
              </c:numCache>
            </c:numRef>
          </c:cat>
          <c:val>
            <c:numRef>
              <c:f>'6.2- PORCINO (SUBEXPLOT)'!$C$34:$M$34</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1-DA24-4EF0-90BA-CE64E26D1B23}"/>
            </c:ext>
          </c:extLst>
        </c:ser>
        <c:dLbls>
          <c:showLegendKey val="0"/>
          <c:showVal val="0"/>
          <c:showCatName val="0"/>
          <c:showSerName val="0"/>
          <c:showPercent val="0"/>
          <c:showBubbleSize val="0"/>
        </c:dLbls>
        <c:marker val="1"/>
        <c:smooth val="0"/>
        <c:axId val="3"/>
        <c:axId val="4"/>
      </c:lineChart>
      <c:catAx>
        <c:axId val="362919167"/>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s-ES"/>
                  <a:t>Fecha</a:t>
                </a:r>
              </a:p>
            </c:rich>
          </c:tx>
          <c:layout>
            <c:manualLayout>
              <c:xMode val="edge"/>
              <c:yMode val="edge"/>
              <c:x val="0.4525691699604743"/>
              <c:y val="0.85802728362658376"/>
            </c:manualLayout>
          </c:layout>
          <c:overlay val="0"/>
          <c:spPr>
            <a:noFill/>
            <a:ln w="25400">
              <a:noFill/>
            </a:ln>
          </c:spPr>
        </c:title>
        <c:numFmt formatCode="dd\-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
        <c:crosses val="autoZero"/>
        <c:auto val="0"/>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title>
          <c:tx>
            <c:rich>
              <a:bodyPr/>
              <a:lstStyle/>
              <a:p>
                <a:pPr>
                  <a:defRPr sz="800" b="1" i="0" u="none" strike="noStrike" baseline="0">
                    <a:solidFill>
                      <a:srgbClr val="000080"/>
                    </a:solidFill>
                    <a:latin typeface="Arial"/>
                    <a:ea typeface="Arial"/>
                    <a:cs typeface="Arial"/>
                  </a:defRPr>
                </a:pPr>
                <a:r>
                  <a:rPr lang="es-ES"/>
                  <a:t>Producción Mixto</a:t>
                </a:r>
              </a:p>
            </c:rich>
          </c:tx>
          <c:layout>
            <c:manualLayout>
              <c:xMode val="edge"/>
              <c:yMode val="edge"/>
              <c:x val="3.7549407114624504E-2"/>
              <c:y val="0.28703800913774669"/>
            </c:manualLayout>
          </c:layout>
          <c:overlay val="0"/>
          <c:spPr>
            <a:noFill/>
            <a:ln w="3175">
              <a:solidFill>
                <a:srgbClr val="000080"/>
              </a:solidFill>
              <a:prstDash val="solid"/>
            </a:ln>
          </c:spPr>
        </c:title>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362919167"/>
        <c:crosses val="autoZero"/>
        <c:crossBetween val="between"/>
      </c:valAx>
      <c:dateAx>
        <c:axId val="3"/>
        <c:scaling>
          <c:orientation val="minMax"/>
        </c:scaling>
        <c:delete val="1"/>
        <c:axPos val="b"/>
        <c:numFmt formatCode="[$-C0A]d\-mmm\-yy;@" sourceLinked="1"/>
        <c:majorTickMark val="out"/>
        <c:minorTickMark val="none"/>
        <c:tickLblPos val="nextTo"/>
        <c:crossAx val="4"/>
        <c:crosses val="autoZero"/>
        <c:auto val="1"/>
        <c:lblOffset val="100"/>
        <c:baseTimeUnit val="months"/>
      </c:dateAx>
      <c:valAx>
        <c:axId val="4"/>
        <c:scaling>
          <c:orientation val="minMax"/>
        </c:scaling>
        <c:delete val="0"/>
        <c:axPos val="r"/>
        <c:title>
          <c:tx>
            <c:rich>
              <a:bodyPr/>
              <a:lstStyle/>
              <a:p>
                <a:pPr>
                  <a:defRPr sz="800" b="1" i="0" u="none" strike="noStrike" baseline="0">
                    <a:solidFill>
                      <a:srgbClr val="FF00FF"/>
                    </a:solidFill>
                    <a:latin typeface="Arial"/>
                    <a:ea typeface="Arial"/>
                    <a:cs typeface="Arial"/>
                  </a:defRPr>
                </a:pPr>
                <a:r>
                  <a:rPr lang="es-ES"/>
                  <a:t>Transición de Lechones</a:t>
                </a:r>
              </a:p>
            </c:rich>
          </c:tx>
          <c:layout>
            <c:manualLayout>
              <c:xMode val="edge"/>
              <c:yMode val="edge"/>
              <c:x val="0.9268774703557312"/>
              <c:y val="0.26131784452869317"/>
            </c:manualLayout>
          </c:layout>
          <c:overlay val="0"/>
          <c:spPr>
            <a:noFill/>
            <a:ln w="3175">
              <a:solidFill>
                <a:srgbClr val="FF00FF"/>
              </a:solidFill>
              <a:prstDash val="solid"/>
            </a:ln>
          </c:spPr>
        </c:title>
        <c:numFmt formatCode="#,##0"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3"/>
        <c:crosses val="max"/>
        <c:crossBetween val="between"/>
      </c:valAx>
      <c:spPr>
        <a:solidFill>
          <a:srgbClr val="C0C0C0"/>
        </a:solidFill>
        <a:ln w="12700">
          <a:solidFill>
            <a:srgbClr val="808080"/>
          </a:solidFill>
          <a:prstDash val="solid"/>
        </a:ln>
      </c:spPr>
    </c:plotArea>
    <c:plotVisOnly val="1"/>
    <c:dispBlanksAs val="gap"/>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ES"/>
              <a:t>Nº de Subexplotaciones de Porcino por C.A.</a:t>
            </a:r>
          </a:p>
        </c:rich>
      </c:tx>
      <c:layout>
        <c:manualLayout>
          <c:xMode val="edge"/>
          <c:yMode val="edge"/>
          <c:x val="0.18198881161752589"/>
          <c:y val="3.3950617283950615E-2"/>
        </c:manualLayout>
      </c:layout>
      <c:overlay val="0"/>
      <c:spPr>
        <a:noFill/>
        <a:ln w="25400">
          <a:noFill/>
        </a:ln>
      </c:spPr>
    </c:title>
    <c:autoTitleDeleted val="0"/>
    <c:plotArea>
      <c:layout>
        <c:manualLayout>
          <c:layoutTarget val="inner"/>
          <c:xMode val="edge"/>
          <c:yMode val="edge"/>
          <c:x val="0.17636022514071295"/>
          <c:y val="0.28086504408107904"/>
          <c:w val="0.80487804878048785"/>
          <c:h val="0.45679150026373294"/>
        </c:manualLayout>
      </c:layout>
      <c:lineChart>
        <c:grouping val="standard"/>
        <c:varyColors val="0"/>
        <c:ser>
          <c:idx val="0"/>
          <c:order val="0"/>
          <c:tx>
            <c:strRef>
              <c:f>'6.2- PORCINO (SUBEXPLOT)'!$C$41:$M$41</c:f>
              <c:strCache>
                <c:ptCount val="11"/>
                <c:pt idx="0">
                  <c:v>Total (*)</c:v>
                </c:pt>
              </c:strCache>
            </c:strRef>
          </c:tx>
          <c:spPr>
            <a:ln w="12700">
              <a:solidFill>
                <a:srgbClr val="000080"/>
              </a:solidFill>
              <a:prstDash val="solid"/>
            </a:ln>
          </c:spPr>
          <c:marker>
            <c:symbol val="diamond"/>
            <c:size val="5"/>
            <c:spPr>
              <a:solidFill>
                <a:srgbClr val="000080"/>
              </a:solidFill>
              <a:ln>
                <a:solidFill>
                  <a:srgbClr val="000080"/>
                </a:solidFill>
                <a:prstDash val="solid"/>
              </a:ln>
            </c:spPr>
          </c:marker>
          <c:cat>
            <c:numRef>
              <c:f>'6.2- PORCINO (SUBEXPLOT)'!$C$14:$M$14</c:f>
              <c:numCache>
                <c:formatCode>[$-C0A]d\-mmm\-yy;@</c:formatCode>
                <c:ptCount val="11"/>
                <c:pt idx="0">
                  <c:v>0</c:v>
                </c:pt>
                <c:pt idx="1">
                  <c:v>38899</c:v>
                </c:pt>
                <c:pt idx="2">
                  <c:v>39083</c:v>
                </c:pt>
                <c:pt idx="3">
                  <c:v>39264</c:v>
                </c:pt>
                <c:pt idx="4">
                  <c:v>39448</c:v>
                </c:pt>
                <c:pt idx="5">
                  <c:v>39630</c:v>
                </c:pt>
                <c:pt idx="6">
                  <c:v>39814</c:v>
                </c:pt>
                <c:pt idx="7">
                  <c:v>39995</c:v>
                </c:pt>
                <c:pt idx="8">
                  <c:v>40179</c:v>
                </c:pt>
                <c:pt idx="9">
                  <c:v>40360</c:v>
                </c:pt>
                <c:pt idx="10">
                  <c:v>40544</c:v>
                </c:pt>
              </c:numCache>
            </c:numRef>
          </c:cat>
          <c:val>
            <c:numRef>
              <c:f>'6.2- PORCINO (SUBEXPLOT)'!$C$42:$M$42</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0-DAA7-4C0C-ABFE-4002572BCA42}"/>
            </c:ext>
          </c:extLst>
        </c:ser>
        <c:dLbls>
          <c:showLegendKey val="0"/>
          <c:showVal val="0"/>
          <c:showCatName val="0"/>
          <c:showSerName val="0"/>
          <c:showPercent val="0"/>
          <c:showBubbleSize val="0"/>
        </c:dLbls>
        <c:marker val="1"/>
        <c:smooth val="0"/>
        <c:axId val="362927903"/>
        <c:axId val="1"/>
      </c:lineChart>
      <c:catAx>
        <c:axId val="362927903"/>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s-ES"/>
                  <a:t>Fecha</a:t>
                </a:r>
              </a:p>
            </c:rich>
          </c:tx>
          <c:layout>
            <c:manualLayout>
              <c:xMode val="edge"/>
              <c:yMode val="edge"/>
              <c:x val="0.53846159740981281"/>
              <c:y val="0.86728654288584295"/>
            </c:manualLayout>
          </c:layout>
          <c:overlay val="0"/>
          <c:spPr>
            <a:noFill/>
            <a:ln w="25400">
              <a:noFill/>
            </a:ln>
          </c:spPr>
        </c:title>
        <c:numFmt formatCode="dd\-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
        <c:crosses val="autoZero"/>
        <c:auto val="0"/>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title>
          <c:tx>
            <c:rich>
              <a:bodyPr/>
              <a:lstStyle/>
              <a:p>
                <a:pPr>
                  <a:defRPr sz="1000" b="1" i="0" u="none" strike="noStrike" baseline="0">
                    <a:solidFill>
                      <a:srgbClr val="000080"/>
                    </a:solidFill>
                    <a:latin typeface="Arial"/>
                    <a:ea typeface="Arial"/>
                    <a:cs typeface="Arial"/>
                  </a:defRPr>
                </a:pPr>
                <a:r>
                  <a:rPr lang="es-ES"/>
                  <a:t>Total</a:t>
                </a:r>
              </a:p>
            </c:rich>
          </c:tx>
          <c:layout>
            <c:manualLayout>
              <c:xMode val="edge"/>
              <c:yMode val="edge"/>
              <c:x val="3.3771097955821221E-2"/>
              <c:y val="0.44753216033181037"/>
            </c:manualLayout>
          </c:layout>
          <c:overlay val="0"/>
          <c:spPr>
            <a:noFill/>
            <a:ln w="3175">
              <a:solidFill>
                <a:srgbClr val="000080"/>
              </a:solidFill>
              <a:prstDash val="solid"/>
            </a:ln>
          </c:spPr>
        </c:title>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362927903"/>
        <c:crosses val="autoZero"/>
        <c:crossBetween val="between"/>
      </c:valAx>
      <c:spPr>
        <a:solidFill>
          <a:srgbClr val="C0C0C0"/>
        </a:solidFill>
        <a:ln w="12700">
          <a:solidFill>
            <a:srgbClr val="808080"/>
          </a:solidFill>
          <a:prstDash val="solid"/>
        </a:ln>
      </c:spPr>
    </c:plotArea>
    <c:plotVisOnly val="1"/>
    <c:dispBlanksAs val="gap"/>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ES"/>
              <a:t>Nº de Subexplotaciones de Porcino por Clasificación Zootécnica y C.A.</a:t>
            </a:r>
          </a:p>
        </c:rich>
      </c:tx>
      <c:layout>
        <c:manualLayout>
          <c:xMode val="edge"/>
          <c:yMode val="edge"/>
          <c:x val="0.19762845849802371"/>
          <c:y val="3.3950617283950615E-2"/>
        </c:manualLayout>
      </c:layout>
      <c:overlay val="0"/>
      <c:spPr>
        <a:noFill/>
        <a:ln w="25400">
          <a:noFill/>
        </a:ln>
      </c:spPr>
    </c:title>
    <c:autoTitleDeleted val="0"/>
    <c:plotArea>
      <c:layout>
        <c:manualLayout>
          <c:layoutTarget val="inner"/>
          <c:xMode val="edge"/>
          <c:yMode val="edge"/>
          <c:x val="0.15810276679841898"/>
          <c:y val="0.27469233012540101"/>
          <c:w val="0.82740447957839247"/>
          <c:h val="0.45679109555749986"/>
        </c:manualLayout>
      </c:layout>
      <c:lineChart>
        <c:grouping val="standard"/>
        <c:varyColors val="0"/>
        <c:ser>
          <c:idx val="0"/>
          <c:order val="0"/>
          <c:tx>
            <c:strRef>
              <c:f>'6.2- PORCINO (SUBEXPLOT)'!$C$39:$M$39</c:f>
              <c:strCache>
                <c:ptCount val="11"/>
                <c:pt idx="0">
                  <c:v>Otras clasificaciones</c:v>
                </c:pt>
              </c:strCache>
            </c:strRef>
          </c:tx>
          <c:spPr>
            <a:ln w="12700">
              <a:solidFill>
                <a:srgbClr val="000080"/>
              </a:solidFill>
              <a:prstDash val="solid"/>
            </a:ln>
          </c:spPr>
          <c:marker>
            <c:symbol val="diamond"/>
            <c:size val="5"/>
            <c:spPr>
              <a:solidFill>
                <a:srgbClr val="000080"/>
              </a:solidFill>
              <a:ln>
                <a:solidFill>
                  <a:srgbClr val="000080"/>
                </a:solidFill>
                <a:prstDash val="solid"/>
              </a:ln>
            </c:spPr>
          </c:marker>
          <c:cat>
            <c:numRef>
              <c:f>'6.2- PORCINO (SUBEXPLOT)'!$C$14:$M$14</c:f>
              <c:numCache>
                <c:formatCode>[$-C0A]d\-mmm\-yy;@</c:formatCode>
                <c:ptCount val="11"/>
                <c:pt idx="0">
                  <c:v>0</c:v>
                </c:pt>
                <c:pt idx="1">
                  <c:v>38899</c:v>
                </c:pt>
                <c:pt idx="2">
                  <c:v>39083</c:v>
                </c:pt>
                <c:pt idx="3">
                  <c:v>39264</c:v>
                </c:pt>
                <c:pt idx="4">
                  <c:v>39448</c:v>
                </c:pt>
                <c:pt idx="5">
                  <c:v>39630</c:v>
                </c:pt>
                <c:pt idx="6">
                  <c:v>39814</c:v>
                </c:pt>
                <c:pt idx="7">
                  <c:v>39995</c:v>
                </c:pt>
                <c:pt idx="8">
                  <c:v>40179</c:v>
                </c:pt>
                <c:pt idx="9">
                  <c:v>40360</c:v>
                </c:pt>
                <c:pt idx="10">
                  <c:v>40544</c:v>
                </c:pt>
              </c:numCache>
            </c:numRef>
          </c:cat>
          <c:val>
            <c:numRef>
              <c:f>'6.2- PORCINO (SUBEXPLOT)'!$C$40:$M$40</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0-7AEF-4881-AEA9-585AC31F0F1A}"/>
            </c:ext>
          </c:extLst>
        </c:ser>
        <c:dLbls>
          <c:showLegendKey val="0"/>
          <c:showVal val="0"/>
          <c:showCatName val="0"/>
          <c:showSerName val="0"/>
          <c:showPercent val="0"/>
          <c:showBubbleSize val="0"/>
        </c:dLbls>
        <c:marker val="1"/>
        <c:smooth val="0"/>
        <c:axId val="362911679"/>
        <c:axId val="1"/>
      </c:lineChart>
      <c:catAx>
        <c:axId val="362911679"/>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s-ES"/>
                  <a:t>Fecha</a:t>
                </a:r>
              </a:p>
            </c:rich>
          </c:tx>
          <c:layout>
            <c:manualLayout>
              <c:xMode val="edge"/>
              <c:yMode val="edge"/>
              <c:x val="0.4525691699604743"/>
              <c:y val="0.85802728362658376"/>
            </c:manualLayout>
          </c:layout>
          <c:overlay val="0"/>
          <c:spPr>
            <a:noFill/>
            <a:ln w="25400">
              <a:noFill/>
            </a:ln>
          </c:spPr>
        </c:title>
        <c:numFmt formatCode="dd\-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
        <c:crosses val="autoZero"/>
        <c:auto val="0"/>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title>
          <c:tx>
            <c:rich>
              <a:bodyPr/>
              <a:lstStyle/>
              <a:p>
                <a:pPr>
                  <a:defRPr sz="800" b="1" i="0" u="none" strike="noStrike" baseline="0">
                    <a:solidFill>
                      <a:srgbClr val="000080"/>
                    </a:solidFill>
                    <a:latin typeface="Arial"/>
                    <a:ea typeface="Arial"/>
                    <a:cs typeface="Arial"/>
                  </a:defRPr>
                </a:pPr>
                <a:r>
                  <a:rPr lang="es-ES"/>
                  <a:t>Otras clasificaciones</a:t>
                </a:r>
              </a:p>
            </c:rich>
          </c:tx>
          <c:layout>
            <c:manualLayout>
              <c:xMode val="edge"/>
              <c:yMode val="edge"/>
              <c:x val="3.7549407114624504E-2"/>
              <c:y val="0.28703800913774669"/>
            </c:manualLayout>
          </c:layout>
          <c:overlay val="0"/>
          <c:spPr>
            <a:noFill/>
            <a:ln w="3175">
              <a:solidFill>
                <a:srgbClr val="000080"/>
              </a:solidFill>
              <a:prstDash val="solid"/>
            </a:ln>
          </c:spPr>
        </c:title>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362911679"/>
        <c:crosses val="autoZero"/>
        <c:crossBetween val="between"/>
      </c:valAx>
      <c:spPr>
        <a:solidFill>
          <a:srgbClr val="C0C0C0"/>
        </a:solidFill>
        <a:ln w="12700">
          <a:solidFill>
            <a:srgbClr val="808080"/>
          </a:solidFill>
          <a:prstDash val="solid"/>
        </a:ln>
      </c:spPr>
    </c:plotArea>
    <c:plotVisOnly val="1"/>
    <c:dispBlanksAs val="gap"/>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orientation="portrait"/>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ES"/>
              <a:t>Nº de Subexplotaciones de Porcino por Clasificación Zootécnica y C.A.</a:t>
            </a:r>
          </a:p>
        </c:rich>
      </c:tx>
      <c:layout>
        <c:manualLayout>
          <c:xMode val="edge"/>
          <c:yMode val="edge"/>
          <c:x val="0.19762844189930806"/>
          <c:y val="3.3950617283950615E-2"/>
        </c:manualLayout>
      </c:layout>
      <c:overlay val="0"/>
      <c:spPr>
        <a:noFill/>
        <a:ln w="25400">
          <a:noFill/>
        </a:ln>
      </c:spPr>
    </c:title>
    <c:autoTitleDeleted val="0"/>
    <c:plotArea>
      <c:layout>
        <c:manualLayout>
          <c:layoutTarget val="inner"/>
          <c:xMode val="edge"/>
          <c:yMode val="edge"/>
          <c:x val="0.15810276679841898"/>
          <c:y val="0.32407505086278349"/>
          <c:w val="0.67193675889328064"/>
          <c:h val="0.35802577047697987"/>
        </c:manualLayout>
      </c:layout>
      <c:lineChart>
        <c:grouping val="standard"/>
        <c:varyColors val="0"/>
        <c:ser>
          <c:idx val="0"/>
          <c:order val="0"/>
          <c:tx>
            <c:strRef>
              <c:f>'6.2- PORCINO (SUBEXPLOT)'!$C$35:$M$35</c:f>
              <c:strCache>
                <c:ptCount val="11"/>
                <c:pt idx="0">
                  <c:v>Centros de inseminación artificial/Centros de recogida de semen</c:v>
                </c:pt>
              </c:strCache>
            </c:strRef>
          </c:tx>
          <c:spPr>
            <a:ln w="12700">
              <a:solidFill>
                <a:srgbClr val="000080"/>
              </a:solidFill>
              <a:prstDash val="solid"/>
            </a:ln>
          </c:spPr>
          <c:marker>
            <c:symbol val="diamond"/>
            <c:size val="5"/>
            <c:spPr>
              <a:solidFill>
                <a:srgbClr val="000080"/>
              </a:solidFill>
              <a:ln>
                <a:solidFill>
                  <a:srgbClr val="000080"/>
                </a:solidFill>
                <a:prstDash val="solid"/>
              </a:ln>
            </c:spPr>
          </c:marker>
          <c:cat>
            <c:numRef>
              <c:f>'6.2- PORCINO (SUBEXPLOT)'!$C$14:$M$14</c:f>
              <c:numCache>
                <c:formatCode>[$-C0A]d\-mmm\-yy;@</c:formatCode>
                <c:ptCount val="11"/>
                <c:pt idx="0">
                  <c:v>0</c:v>
                </c:pt>
                <c:pt idx="1">
                  <c:v>38899</c:v>
                </c:pt>
                <c:pt idx="2">
                  <c:v>39083</c:v>
                </c:pt>
                <c:pt idx="3">
                  <c:v>39264</c:v>
                </c:pt>
                <c:pt idx="4">
                  <c:v>39448</c:v>
                </c:pt>
                <c:pt idx="5">
                  <c:v>39630</c:v>
                </c:pt>
                <c:pt idx="6">
                  <c:v>39814</c:v>
                </c:pt>
                <c:pt idx="7">
                  <c:v>39995</c:v>
                </c:pt>
                <c:pt idx="8">
                  <c:v>40179</c:v>
                </c:pt>
                <c:pt idx="9">
                  <c:v>40360</c:v>
                </c:pt>
                <c:pt idx="10">
                  <c:v>40544</c:v>
                </c:pt>
              </c:numCache>
            </c:numRef>
          </c:cat>
          <c:val>
            <c:numRef>
              <c:f>'6.2- PORCINO (SUBEXPLOT)'!$C$36:$M$36</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0-62BC-48F2-8EBB-284C31BE1BA7}"/>
            </c:ext>
          </c:extLst>
        </c:ser>
        <c:dLbls>
          <c:showLegendKey val="0"/>
          <c:showVal val="0"/>
          <c:showCatName val="0"/>
          <c:showSerName val="0"/>
          <c:showPercent val="0"/>
          <c:showBubbleSize val="0"/>
        </c:dLbls>
        <c:marker val="1"/>
        <c:smooth val="0"/>
        <c:axId val="362912095"/>
        <c:axId val="1"/>
      </c:lineChart>
      <c:lineChart>
        <c:grouping val="standard"/>
        <c:varyColors val="0"/>
        <c:ser>
          <c:idx val="1"/>
          <c:order val="1"/>
          <c:tx>
            <c:strRef>
              <c:f>'6.2- PORCINO (SUBEXPLOT)'!$C$37:$M$37</c:f>
              <c:strCache>
                <c:ptCount val="11"/>
                <c:pt idx="0">
                  <c:v>Cebo destete/acabado</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cat>
            <c:numRef>
              <c:f>'6.2- PORCINO (SUBEXPLOT)'!$C$14:$M$14</c:f>
              <c:numCache>
                <c:formatCode>[$-C0A]d\-mmm\-yy;@</c:formatCode>
                <c:ptCount val="11"/>
                <c:pt idx="0">
                  <c:v>0</c:v>
                </c:pt>
                <c:pt idx="1">
                  <c:v>38899</c:v>
                </c:pt>
                <c:pt idx="2">
                  <c:v>39083</c:v>
                </c:pt>
                <c:pt idx="3">
                  <c:v>39264</c:v>
                </c:pt>
                <c:pt idx="4">
                  <c:v>39448</c:v>
                </c:pt>
                <c:pt idx="5">
                  <c:v>39630</c:v>
                </c:pt>
                <c:pt idx="6">
                  <c:v>39814</c:v>
                </c:pt>
                <c:pt idx="7">
                  <c:v>39995</c:v>
                </c:pt>
                <c:pt idx="8">
                  <c:v>40179</c:v>
                </c:pt>
                <c:pt idx="9">
                  <c:v>40360</c:v>
                </c:pt>
                <c:pt idx="10">
                  <c:v>40544</c:v>
                </c:pt>
              </c:numCache>
            </c:numRef>
          </c:cat>
          <c:val>
            <c:numRef>
              <c:f>'6.2- PORCINO (SUBEXPLOT)'!$C$38:$M$38</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1-62BC-48F2-8EBB-284C31BE1BA7}"/>
            </c:ext>
          </c:extLst>
        </c:ser>
        <c:dLbls>
          <c:showLegendKey val="0"/>
          <c:showVal val="0"/>
          <c:showCatName val="0"/>
          <c:showSerName val="0"/>
          <c:showPercent val="0"/>
          <c:showBubbleSize val="0"/>
        </c:dLbls>
        <c:marker val="1"/>
        <c:smooth val="0"/>
        <c:axId val="3"/>
        <c:axId val="4"/>
      </c:lineChart>
      <c:catAx>
        <c:axId val="362912095"/>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s-ES"/>
                  <a:t>Fecha</a:t>
                </a:r>
              </a:p>
            </c:rich>
          </c:tx>
          <c:layout>
            <c:manualLayout>
              <c:xMode val="edge"/>
              <c:yMode val="edge"/>
              <c:x val="0.45256902887139105"/>
              <c:y val="0.85802728362658376"/>
            </c:manualLayout>
          </c:layout>
          <c:overlay val="0"/>
          <c:spPr>
            <a:noFill/>
            <a:ln w="25400">
              <a:noFill/>
            </a:ln>
          </c:spPr>
        </c:title>
        <c:numFmt formatCode="dd\-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
        <c:crosses val="autoZero"/>
        <c:auto val="0"/>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title>
          <c:tx>
            <c:rich>
              <a:bodyPr/>
              <a:lstStyle/>
              <a:p>
                <a:pPr>
                  <a:defRPr sz="800" b="1" i="0" u="none" strike="noStrike" baseline="0">
                    <a:solidFill>
                      <a:srgbClr val="000080"/>
                    </a:solidFill>
                    <a:latin typeface="Arial"/>
                    <a:ea typeface="Arial"/>
                    <a:cs typeface="Arial"/>
                  </a:defRPr>
                </a:pPr>
                <a:r>
                  <a:rPr lang="es-ES"/>
                  <a:t>Centros de inseminación artificial/Centros de recogida de semen</a:t>
                </a:r>
              </a:p>
            </c:rich>
          </c:tx>
          <c:layout>
            <c:manualLayout>
              <c:xMode val="edge"/>
              <c:yMode val="edge"/>
              <c:x val="3.7549415413982344E-2"/>
              <c:y val="0.2137037037037037"/>
            </c:manualLayout>
          </c:layout>
          <c:overlay val="0"/>
          <c:spPr>
            <a:noFill/>
            <a:ln w="3175">
              <a:solidFill>
                <a:srgbClr val="000080"/>
              </a:solidFill>
              <a:prstDash val="solid"/>
            </a:ln>
          </c:spPr>
        </c:title>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362912095"/>
        <c:crosses val="autoZero"/>
        <c:crossBetween val="between"/>
      </c:valAx>
      <c:dateAx>
        <c:axId val="3"/>
        <c:scaling>
          <c:orientation val="minMax"/>
        </c:scaling>
        <c:delete val="1"/>
        <c:axPos val="b"/>
        <c:numFmt formatCode="[$-C0A]d\-mmm\-yy;@" sourceLinked="1"/>
        <c:majorTickMark val="out"/>
        <c:minorTickMark val="none"/>
        <c:tickLblPos val="nextTo"/>
        <c:crossAx val="4"/>
        <c:crosses val="autoZero"/>
        <c:auto val="1"/>
        <c:lblOffset val="100"/>
        <c:baseTimeUnit val="months"/>
      </c:dateAx>
      <c:valAx>
        <c:axId val="4"/>
        <c:scaling>
          <c:orientation val="minMax"/>
        </c:scaling>
        <c:delete val="0"/>
        <c:axPos val="r"/>
        <c:title>
          <c:tx>
            <c:rich>
              <a:bodyPr/>
              <a:lstStyle/>
              <a:p>
                <a:pPr>
                  <a:defRPr sz="800" b="1" i="0" u="none" strike="noStrike" baseline="0">
                    <a:solidFill>
                      <a:srgbClr val="FF00FF"/>
                    </a:solidFill>
                    <a:latin typeface="Arial"/>
                    <a:ea typeface="Arial"/>
                    <a:cs typeface="Arial"/>
                  </a:defRPr>
                </a:pPr>
                <a:r>
                  <a:rPr lang="es-ES"/>
                  <a:t>Cebo destete/acabado</a:t>
                </a:r>
              </a:p>
            </c:rich>
          </c:tx>
          <c:layout>
            <c:manualLayout>
              <c:xMode val="edge"/>
              <c:yMode val="edge"/>
              <c:x val="0.9268774039608686"/>
              <c:y val="0.26131784452869317"/>
            </c:manualLayout>
          </c:layout>
          <c:overlay val="0"/>
          <c:spPr>
            <a:noFill/>
            <a:ln w="3175">
              <a:solidFill>
                <a:srgbClr val="FF00FF"/>
              </a:solidFill>
              <a:prstDash val="solid"/>
            </a:ln>
          </c:spPr>
        </c:title>
        <c:numFmt formatCode="#,##0"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3"/>
        <c:crosses val="max"/>
        <c:crossBetween val="between"/>
      </c:valAx>
      <c:spPr>
        <a:solidFill>
          <a:srgbClr val="C0C0C0"/>
        </a:solidFill>
        <a:ln w="12700">
          <a:solidFill>
            <a:srgbClr val="808080"/>
          </a:solidFill>
          <a:prstDash val="solid"/>
        </a:ln>
      </c:spPr>
    </c:plotArea>
    <c:plotVisOnly val="1"/>
    <c:dispBlanksAs val="gap"/>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ES"/>
              <a:t>Censo de Caprino por Categoría y C.A.</a:t>
            </a:r>
          </a:p>
        </c:rich>
      </c:tx>
      <c:layout>
        <c:manualLayout>
          <c:xMode val="edge"/>
          <c:yMode val="edge"/>
          <c:x val="0.19800000000000001"/>
          <c:y val="3.6101083032490974E-2"/>
        </c:manualLayout>
      </c:layout>
      <c:overlay val="0"/>
      <c:spPr>
        <a:noFill/>
        <a:ln w="25400">
          <a:noFill/>
        </a:ln>
      </c:spPr>
    </c:title>
    <c:autoTitleDeleted val="0"/>
    <c:plotArea>
      <c:layout>
        <c:manualLayout>
          <c:layoutTarget val="inner"/>
          <c:xMode val="edge"/>
          <c:yMode val="edge"/>
          <c:x val="0.25600000000000001"/>
          <c:y val="0.2527080266880547"/>
          <c:w val="0.72799999999999998"/>
          <c:h val="0.33935077869538777"/>
        </c:manualLayout>
      </c:layout>
      <c:lineChart>
        <c:grouping val="standard"/>
        <c:varyColors val="0"/>
        <c:ser>
          <c:idx val="0"/>
          <c:order val="0"/>
          <c:tx>
            <c:v>No Reproductores de 4 a 12 meses</c:v>
          </c:tx>
          <c:spPr>
            <a:ln w="12700">
              <a:solidFill>
                <a:srgbClr val="000080"/>
              </a:solidFill>
              <a:prstDash val="solid"/>
            </a:ln>
          </c:spPr>
          <c:marker>
            <c:symbol val="diamond"/>
            <c:size val="5"/>
            <c:spPr>
              <a:solidFill>
                <a:srgbClr val="000080"/>
              </a:solidFill>
              <a:ln>
                <a:solidFill>
                  <a:srgbClr val="000080"/>
                </a:solidFill>
                <a:prstDash val="solid"/>
              </a:ln>
            </c:spPr>
          </c:marker>
          <c:cat>
            <c:numRef>
              <c:f>'7.1- CAPRINO (CENSO)'!$C$16:$M$16</c:f>
              <c:numCache>
                <c:formatCode>[$-C0A]d\-mmm\-yy;@</c:formatCode>
                <c:ptCount val="11"/>
                <c:pt idx="0">
                  <c:v>0</c:v>
                </c:pt>
                <c:pt idx="1">
                  <c:v>38899</c:v>
                </c:pt>
                <c:pt idx="2">
                  <c:v>39083</c:v>
                </c:pt>
                <c:pt idx="3">
                  <c:v>39264</c:v>
                </c:pt>
                <c:pt idx="4">
                  <c:v>39448</c:v>
                </c:pt>
                <c:pt idx="5">
                  <c:v>39630</c:v>
                </c:pt>
                <c:pt idx="6">
                  <c:v>39814</c:v>
                </c:pt>
                <c:pt idx="7">
                  <c:v>39995</c:v>
                </c:pt>
                <c:pt idx="8">
                  <c:v>40179</c:v>
                </c:pt>
                <c:pt idx="9">
                  <c:v>40360</c:v>
                </c:pt>
                <c:pt idx="10">
                  <c:v>40544</c:v>
                </c:pt>
              </c:numCache>
            </c:numRef>
          </c:cat>
          <c:val>
            <c:numRef>
              <c:f>'7.1- CAPRINO (CENSO)'!$C$18:$M$18</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0-809C-44EF-9735-C0C24B8BCA41}"/>
            </c:ext>
          </c:extLst>
        </c:ser>
        <c:dLbls>
          <c:showLegendKey val="0"/>
          <c:showVal val="0"/>
          <c:showCatName val="0"/>
          <c:showSerName val="0"/>
          <c:showPercent val="0"/>
          <c:showBubbleSize val="0"/>
        </c:dLbls>
        <c:marker val="1"/>
        <c:smooth val="0"/>
        <c:axId val="125960192"/>
        <c:axId val="136461056"/>
      </c:lineChart>
      <c:lineChart>
        <c:grouping val="standard"/>
        <c:varyColors val="0"/>
        <c:ser>
          <c:idx val="1"/>
          <c:order val="1"/>
          <c:tx>
            <c:v>No Reproductores menores de 4 meses</c:v>
          </c:tx>
          <c:spPr>
            <a:ln w="12700">
              <a:solidFill>
                <a:srgbClr val="FF00FF"/>
              </a:solidFill>
              <a:prstDash val="solid"/>
            </a:ln>
          </c:spPr>
          <c:marker>
            <c:symbol val="square"/>
            <c:size val="5"/>
            <c:spPr>
              <a:solidFill>
                <a:srgbClr val="FF00FF"/>
              </a:solidFill>
              <a:ln>
                <a:solidFill>
                  <a:srgbClr val="FF00FF"/>
                </a:solidFill>
                <a:prstDash val="solid"/>
              </a:ln>
            </c:spPr>
          </c:marker>
          <c:cat>
            <c:numRef>
              <c:f>'7.1- CAPRINO (CENSO)'!$C$16:$M$16</c:f>
              <c:numCache>
                <c:formatCode>[$-C0A]d\-mmm\-yy;@</c:formatCode>
                <c:ptCount val="11"/>
                <c:pt idx="0">
                  <c:v>0</c:v>
                </c:pt>
                <c:pt idx="1">
                  <c:v>38899</c:v>
                </c:pt>
                <c:pt idx="2">
                  <c:v>39083</c:v>
                </c:pt>
                <c:pt idx="3">
                  <c:v>39264</c:v>
                </c:pt>
                <c:pt idx="4">
                  <c:v>39448</c:v>
                </c:pt>
                <c:pt idx="5">
                  <c:v>39630</c:v>
                </c:pt>
                <c:pt idx="6">
                  <c:v>39814</c:v>
                </c:pt>
                <c:pt idx="7">
                  <c:v>39995</c:v>
                </c:pt>
                <c:pt idx="8">
                  <c:v>40179</c:v>
                </c:pt>
                <c:pt idx="9">
                  <c:v>40360</c:v>
                </c:pt>
                <c:pt idx="10">
                  <c:v>40544</c:v>
                </c:pt>
              </c:numCache>
            </c:numRef>
          </c:cat>
          <c:val>
            <c:numRef>
              <c:f>'7.1- CAPRINO (CENSO)'!$C$20:$M$20</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1-809C-44EF-9735-C0C24B8BCA41}"/>
            </c:ext>
          </c:extLst>
        </c:ser>
        <c:dLbls>
          <c:showLegendKey val="0"/>
          <c:showVal val="0"/>
          <c:showCatName val="0"/>
          <c:showSerName val="0"/>
          <c:showPercent val="0"/>
          <c:showBubbleSize val="0"/>
        </c:dLbls>
        <c:marker val="1"/>
        <c:smooth val="0"/>
        <c:axId val="125961216"/>
        <c:axId val="136461632"/>
      </c:lineChart>
      <c:catAx>
        <c:axId val="125960192"/>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Fecha</a:t>
                </a:r>
              </a:p>
            </c:rich>
          </c:tx>
          <c:layout>
            <c:manualLayout>
              <c:xMode val="edge"/>
              <c:yMode val="edge"/>
              <c:x val="0.58399999999999996"/>
              <c:y val="0.79783545107403087"/>
            </c:manualLayout>
          </c:layout>
          <c:overlay val="0"/>
          <c:spPr>
            <a:noFill/>
            <a:ln w="25400">
              <a:noFill/>
            </a:ln>
          </c:spPr>
        </c:title>
        <c:numFmt formatCode="dd\-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36461056"/>
        <c:crosses val="autoZero"/>
        <c:auto val="0"/>
        <c:lblAlgn val="ctr"/>
        <c:lblOffset val="100"/>
        <c:tickLblSkip val="1"/>
        <c:tickMarkSkip val="1"/>
        <c:noMultiLvlLbl val="0"/>
      </c:catAx>
      <c:valAx>
        <c:axId val="136461056"/>
        <c:scaling>
          <c:orientation val="minMax"/>
        </c:scaling>
        <c:delete val="0"/>
        <c:axPos val="l"/>
        <c:majorGridlines>
          <c:spPr>
            <a:ln w="3175">
              <a:solidFill>
                <a:srgbClr val="000000"/>
              </a:solidFill>
              <a:prstDash val="solid"/>
            </a:ln>
          </c:spPr>
        </c:majorGridlines>
        <c:title>
          <c:tx>
            <c:rich>
              <a:bodyPr/>
              <a:lstStyle/>
              <a:p>
                <a:pPr>
                  <a:defRPr sz="1100" b="0" i="0" u="none" strike="noStrike" baseline="0">
                    <a:solidFill>
                      <a:srgbClr val="000000"/>
                    </a:solidFill>
                    <a:latin typeface="Calibri"/>
                    <a:ea typeface="Calibri"/>
                    <a:cs typeface="Calibri"/>
                  </a:defRPr>
                </a:pPr>
                <a:r>
                  <a:rPr lang="es-ES" sz="800" b="1" i="0" u="none" strike="noStrike" baseline="0">
                    <a:solidFill>
                      <a:srgbClr val="000080"/>
                    </a:solidFill>
                    <a:latin typeface="Arial"/>
                    <a:cs typeface="Arial"/>
                  </a:rPr>
                  <a:t>No Reproductores de 4 a 12 meses</a:t>
                </a:r>
              </a:p>
              <a:p>
                <a:pPr>
                  <a:defRPr sz="1100" b="0" i="0" u="none" strike="noStrike" baseline="0">
                    <a:solidFill>
                      <a:srgbClr val="000000"/>
                    </a:solidFill>
                    <a:latin typeface="Calibri"/>
                    <a:ea typeface="Calibri"/>
                    <a:cs typeface="Calibri"/>
                  </a:defRPr>
                </a:pPr>
                <a:r>
                  <a:rPr lang="es-ES" sz="800" b="1" i="0" u="none" strike="noStrike" baseline="0">
                    <a:solidFill>
                      <a:srgbClr val="FF00FF"/>
                    </a:solidFill>
                    <a:latin typeface="Arial"/>
                    <a:cs typeface="Arial"/>
                  </a:rPr>
                  <a:t>No Reproductores menores de 4 meses</a:t>
                </a:r>
              </a:p>
            </c:rich>
          </c:tx>
          <c:layout>
            <c:manualLayout>
              <c:xMode val="edge"/>
              <c:yMode val="edge"/>
              <c:x val="3.4000000000000002E-2"/>
              <c:y val="0.11311710584913348"/>
            </c:manualLayout>
          </c:layout>
          <c:overlay val="0"/>
          <c:spPr>
            <a:noFill/>
            <a:ln w="3175">
              <a:solidFill>
                <a:srgbClr val="000080"/>
              </a:solidFill>
              <a:prstDash val="solid"/>
            </a:ln>
          </c:spPr>
        </c:title>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25960192"/>
        <c:crosses val="autoZero"/>
        <c:crossBetween val="between"/>
      </c:valAx>
      <c:dateAx>
        <c:axId val="125961216"/>
        <c:scaling>
          <c:orientation val="minMax"/>
        </c:scaling>
        <c:delete val="1"/>
        <c:axPos val="b"/>
        <c:numFmt formatCode="[$-C0A]d\-mmm\-yy;@" sourceLinked="1"/>
        <c:majorTickMark val="out"/>
        <c:minorTickMark val="none"/>
        <c:tickLblPos val="nextTo"/>
        <c:crossAx val="136461632"/>
        <c:crosses val="autoZero"/>
        <c:auto val="1"/>
        <c:lblOffset val="100"/>
        <c:baseTimeUnit val="months"/>
      </c:dateAx>
      <c:valAx>
        <c:axId val="136461632"/>
        <c:scaling>
          <c:orientation val="minMax"/>
        </c:scaling>
        <c:delete val="1"/>
        <c:axPos val="r"/>
        <c:numFmt formatCode="#,##0" sourceLinked="1"/>
        <c:majorTickMark val="out"/>
        <c:minorTickMark val="none"/>
        <c:tickLblPos val="nextTo"/>
        <c:crossAx val="125961216"/>
        <c:crosses val="max"/>
        <c:crossBetween val="between"/>
      </c:valAx>
      <c:spPr>
        <a:solidFill>
          <a:srgbClr val="C0C0C0"/>
        </a:solidFill>
        <a:ln w="12700">
          <a:solidFill>
            <a:srgbClr val="808080"/>
          </a:solidFill>
          <a:prstDash val="solid"/>
        </a:ln>
      </c:spPr>
    </c:plotArea>
    <c:plotVisOnly val="1"/>
    <c:dispBlanksAs val="gap"/>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25" b="0" i="0" u="none" strike="noStrike" baseline="0">
                <a:solidFill>
                  <a:srgbClr val="000000"/>
                </a:solidFill>
                <a:latin typeface="Arial"/>
                <a:ea typeface="Arial"/>
                <a:cs typeface="Arial"/>
              </a:defRPr>
            </a:pPr>
            <a:r>
              <a:rPr lang="es-ES" sz="1200" b="1" i="0" u="none" strike="noStrike" baseline="0">
                <a:solidFill>
                  <a:srgbClr val="000000"/>
                </a:solidFill>
                <a:latin typeface="Arial"/>
                <a:cs typeface="Arial"/>
              </a:rPr>
              <a:t>Distribución del Total de las Explotaciones por C.A. </a:t>
            </a:r>
          </a:p>
          <a:p>
            <a:pPr>
              <a:defRPr sz="925" b="0" i="0" u="none" strike="noStrike" baseline="0">
                <a:solidFill>
                  <a:srgbClr val="000000"/>
                </a:solidFill>
                <a:latin typeface="Arial"/>
                <a:ea typeface="Arial"/>
                <a:cs typeface="Arial"/>
              </a:defRPr>
            </a:pPr>
            <a:endParaRPr lang="es-ES" sz="1200" b="1" i="0" u="none" strike="noStrike" baseline="0">
              <a:solidFill>
                <a:srgbClr val="000000"/>
              </a:solidFill>
              <a:latin typeface="Arial"/>
              <a:cs typeface="Arial"/>
            </a:endParaRPr>
          </a:p>
          <a:p>
            <a:pPr>
              <a:defRPr sz="925" b="0" i="0" u="none" strike="noStrike" baseline="0">
                <a:solidFill>
                  <a:srgbClr val="000000"/>
                </a:solidFill>
                <a:latin typeface="Arial"/>
                <a:ea typeface="Arial"/>
                <a:cs typeface="Arial"/>
              </a:defRPr>
            </a:pPr>
            <a:r>
              <a:rPr lang="es-ES" sz="1200" b="1" i="0" u="none" strike="noStrike" baseline="0">
                <a:solidFill>
                  <a:srgbClr val="000000"/>
                </a:solidFill>
                <a:latin typeface="Arial"/>
                <a:cs typeface="Arial"/>
              </a:rPr>
              <a:t>(1 de Enero de 2019)</a:t>
            </a:r>
          </a:p>
        </c:rich>
      </c:tx>
      <c:layout>
        <c:manualLayout>
          <c:xMode val="edge"/>
          <c:yMode val="edge"/>
          <c:x val="0.1519434628975265"/>
          <c:y val="2.8716216216216218E-2"/>
        </c:manualLayout>
      </c:layout>
      <c:overlay val="0"/>
      <c:spPr>
        <a:noFill/>
        <a:ln w="25400">
          <a:noFill/>
        </a:ln>
      </c:spPr>
    </c:title>
    <c:autoTitleDeleted val="0"/>
    <c:plotArea>
      <c:layout>
        <c:manualLayout>
          <c:layoutTarget val="inner"/>
          <c:xMode val="edge"/>
          <c:yMode val="edge"/>
          <c:x val="0.31095406360424027"/>
          <c:y val="0.43750036085003896"/>
          <c:w val="0.3127208480565371"/>
          <c:h val="0.29898673309056717"/>
        </c:manualLayout>
      </c:layout>
      <c:pieChart>
        <c:varyColors val="1"/>
        <c:ser>
          <c:idx val="0"/>
          <c:order val="0"/>
          <c:spPr>
            <a:solidFill>
              <a:srgbClr val="9999FF"/>
            </a:solidFill>
            <a:ln w="12700">
              <a:solidFill>
                <a:srgbClr val="000000"/>
              </a:solidFill>
              <a:prstDash val="solid"/>
            </a:ln>
          </c:spPr>
          <c:dPt>
            <c:idx val="0"/>
            <c:bubble3D val="0"/>
            <c:extLst>
              <c:ext xmlns:c16="http://schemas.microsoft.com/office/drawing/2014/chart" uri="{C3380CC4-5D6E-409C-BE32-E72D297353CC}">
                <c16:uniqueId val="{00000026-AB46-40DC-BF42-6F5FC3139AA1}"/>
              </c:ext>
            </c:extLst>
          </c:dPt>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28-AB46-40DC-BF42-6F5FC3139AA1}"/>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2A-AB46-40DC-BF42-6F5FC3139AA1}"/>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2C-AB46-40DC-BF42-6F5FC3139AA1}"/>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2E-AB46-40DC-BF42-6F5FC3139AA1}"/>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30-AB46-40DC-BF42-6F5FC3139AA1}"/>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32-AB46-40DC-BF42-6F5FC3139AA1}"/>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34-AB46-40DC-BF42-6F5FC3139AA1}"/>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36-AB46-40DC-BF42-6F5FC3139AA1}"/>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38-AB46-40DC-BF42-6F5FC3139AA1}"/>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3A-AB46-40DC-BF42-6F5FC3139AA1}"/>
              </c:ext>
            </c:extLst>
          </c:dPt>
          <c:dPt>
            <c:idx val="11"/>
            <c:bubble3D val="0"/>
            <c:spPr>
              <a:solidFill>
                <a:srgbClr val="00FFFF"/>
              </a:solidFill>
              <a:ln w="12700">
                <a:solidFill>
                  <a:srgbClr val="000000"/>
                </a:solidFill>
                <a:prstDash val="solid"/>
              </a:ln>
            </c:spPr>
            <c:extLst>
              <c:ext xmlns:c16="http://schemas.microsoft.com/office/drawing/2014/chart" uri="{C3380CC4-5D6E-409C-BE32-E72D297353CC}">
                <c16:uniqueId val="{0000003C-AB46-40DC-BF42-6F5FC3139AA1}"/>
              </c:ext>
            </c:extLst>
          </c:dPt>
          <c:dPt>
            <c:idx val="12"/>
            <c:bubble3D val="0"/>
            <c:spPr>
              <a:solidFill>
                <a:srgbClr val="800080"/>
              </a:solidFill>
              <a:ln w="12700">
                <a:solidFill>
                  <a:srgbClr val="000000"/>
                </a:solidFill>
                <a:prstDash val="solid"/>
              </a:ln>
            </c:spPr>
            <c:extLst>
              <c:ext xmlns:c16="http://schemas.microsoft.com/office/drawing/2014/chart" uri="{C3380CC4-5D6E-409C-BE32-E72D297353CC}">
                <c16:uniqueId val="{0000003E-AB46-40DC-BF42-6F5FC3139AA1}"/>
              </c:ext>
            </c:extLst>
          </c:dPt>
          <c:dPt>
            <c:idx val="13"/>
            <c:bubble3D val="0"/>
            <c:spPr>
              <a:solidFill>
                <a:srgbClr val="800000"/>
              </a:solidFill>
              <a:ln w="12700">
                <a:solidFill>
                  <a:srgbClr val="000000"/>
                </a:solidFill>
                <a:prstDash val="solid"/>
              </a:ln>
            </c:spPr>
            <c:extLst>
              <c:ext xmlns:c16="http://schemas.microsoft.com/office/drawing/2014/chart" uri="{C3380CC4-5D6E-409C-BE32-E72D297353CC}">
                <c16:uniqueId val="{00000040-AB46-40DC-BF42-6F5FC3139AA1}"/>
              </c:ext>
            </c:extLst>
          </c:dPt>
          <c:dPt>
            <c:idx val="14"/>
            <c:bubble3D val="0"/>
            <c:spPr>
              <a:solidFill>
                <a:srgbClr val="008080"/>
              </a:solidFill>
              <a:ln w="12700">
                <a:solidFill>
                  <a:srgbClr val="000000"/>
                </a:solidFill>
                <a:prstDash val="solid"/>
              </a:ln>
            </c:spPr>
            <c:extLst>
              <c:ext xmlns:c16="http://schemas.microsoft.com/office/drawing/2014/chart" uri="{C3380CC4-5D6E-409C-BE32-E72D297353CC}">
                <c16:uniqueId val="{00000042-AB46-40DC-BF42-6F5FC3139AA1}"/>
              </c:ext>
            </c:extLst>
          </c:dPt>
          <c:dPt>
            <c:idx val="15"/>
            <c:bubble3D val="0"/>
            <c:spPr>
              <a:solidFill>
                <a:srgbClr val="0000FF"/>
              </a:solidFill>
              <a:ln w="12700">
                <a:solidFill>
                  <a:srgbClr val="000000"/>
                </a:solidFill>
                <a:prstDash val="solid"/>
              </a:ln>
            </c:spPr>
            <c:extLst>
              <c:ext xmlns:c16="http://schemas.microsoft.com/office/drawing/2014/chart" uri="{C3380CC4-5D6E-409C-BE32-E72D297353CC}">
                <c16:uniqueId val="{00000044-AB46-40DC-BF42-6F5FC3139AA1}"/>
              </c:ext>
            </c:extLst>
          </c:dPt>
          <c:dPt>
            <c:idx val="16"/>
            <c:bubble3D val="0"/>
            <c:spPr>
              <a:solidFill>
                <a:srgbClr val="00CCFF"/>
              </a:solidFill>
              <a:ln w="12700">
                <a:solidFill>
                  <a:srgbClr val="000000"/>
                </a:solidFill>
                <a:prstDash val="solid"/>
              </a:ln>
            </c:spPr>
            <c:extLst>
              <c:ext xmlns:c16="http://schemas.microsoft.com/office/drawing/2014/chart" uri="{C3380CC4-5D6E-409C-BE32-E72D297353CC}">
                <c16:uniqueId val="{00000046-AB46-40DC-BF42-6F5FC3139AA1}"/>
              </c:ext>
            </c:extLst>
          </c:dPt>
          <c:dPt>
            <c:idx val="17"/>
            <c:bubble3D val="0"/>
            <c:spPr>
              <a:solidFill>
                <a:srgbClr val="CCFFFF"/>
              </a:solidFill>
              <a:ln w="12700">
                <a:solidFill>
                  <a:srgbClr val="000000"/>
                </a:solidFill>
                <a:prstDash val="solid"/>
              </a:ln>
            </c:spPr>
            <c:extLst>
              <c:ext xmlns:c16="http://schemas.microsoft.com/office/drawing/2014/chart" uri="{C3380CC4-5D6E-409C-BE32-E72D297353CC}">
                <c16:uniqueId val="{00000048-AB46-40DC-BF42-6F5FC3139AA1}"/>
              </c:ext>
            </c:extLst>
          </c:dPt>
          <c:dPt>
            <c:idx val="18"/>
            <c:bubble3D val="0"/>
            <c:spPr>
              <a:solidFill>
                <a:srgbClr val="CCFFCC"/>
              </a:solidFill>
              <a:ln w="12700">
                <a:solidFill>
                  <a:srgbClr val="000000"/>
                </a:solidFill>
                <a:prstDash val="solid"/>
              </a:ln>
            </c:spPr>
            <c:extLst>
              <c:ext xmlns:c16="http://schemas.microsoft.com/office/drawing/2014/chart" uri="{C3380CC4-5D6E-409C-BE32-E72D297353CC}">
                <c16:uniqueId val="{0000004A-AB46-40DC-BF42-6F5FC3139AA1}"/>
              </c:ext>
            </c:extLst>
          </c:dPt>
          <c:dLbls>
            <c:dLbl>
              <c:idx val="6"/>
              <c:layout>
                <c:manualLayout>
                  <c:x val="5.1592331877243235E-2"/>
                  <c:y val="0.12749412379595967"/>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32-AB46-40DC-BF42-6F5FC3139AA1}"/>
                </c:ext>
              </c:extLst>
            </c:dLbl>
            <c:dLbl>
              <c:idx val="7"/>
              <c:layout>
                <c:manualLayout>
                  <c:x val="-3.0618699164371224E-2"/>
                  <c:y val="0.1167792776761352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34-AB46-40DC-BF42-6F5FC3139AA1}"/>
                </c:ext>
              </c:extLst>
            </c:dLbl>
            <c:dLbl>
              <c:idx val="10"/>
              <c:layout>
                <c:manualLayout>
                  <c:x val="-4.0475594260964712E-2"/>
                  <c:y val="6.8295674176496096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3A-AB46-40DC-BF42-6F5FC3139AA1}"/>
                </c:ext>
              </c:extLst>
            </c:dLbl>
            <c:dLbl>
              <c:idx val="11"/>
              <c:layout>
                <c:manualLayout>
                  <c:x val="-0.11148215130352522"/>
                  <c:y val="9.0920094907909588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3C-AB46-40DC-BF42-6F5FC3139AA1}"/>
                </c:ext>
              </c:extLst>
            </c:dLbl>
            <c:dLbl>
              <c:idx val="12"/>
              <c:layout>
                <c:manualLayout>
                  <c:x val="-0.26270758558007107"/>
                  <c:y val="5.3180468699896968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3E-AB46-40DC-BF42-6F5FC3139AA1}"/>
                </c:ext>
              </c:extLst>
            </c:dLbl>
            <c:dLbl>
              <c:idx val="13"/>
              <c:layout>
                <c:manualLayout>
                  <c:x val="-0.15965424816597573"/>
                  <c:y val="-1.5223330986865694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40-AB46-40DC-BF42-6F5FC3139AA1}"/>
                </c:ext>
              </c:extLst>
            </c:dLbl>
            <c:dLbl>
              <c:idx val="14"/>
              <c:layout>
                <c:manualLayout>
                  <c:x val="-0.13405933798911179"/>
                  <c:y val="-9.0077444822894814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42-AB46-40DC-BF42-6F5FC3139AA1}"/>
                </c:ext>
              </c:extLst>
            </c:dLbl>
            <c:dLbl>
              <c:idx val="15"/>
              <c:layout>
                <c:manualLayout>
                  <c:x val="-8.2838726431280874E-2"/>
                  <c:y val="-0.17158404069631511"/>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44-AB46-40DC-BF42-6F5FC3139AA1}"/>
                </c:ext>
              </c:extLst>
            </c:dLbl>
            <c:dLbl>
              <c:idx val="16"/>
              <c:layout>
                <c:manualLayout>
                  <c:x val="1.6374799439822698E-2"/>
                  <c:y val="-0.19100804833528975"/>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46-AB46-40DC-BF42-6F5FC3139AA1}"/>
                </c:ext>
              </c:extLst>
            </c:dLbl>
            <c:dLbl>
              <c:idx val="17"/>
              <c:layout>
                <c:manualLayout>
                  <c:x val="0.11929718149188942"/>
                  <c:y val="-0.17390811952735036"/>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48-AB46-40DC-BF42-6F5FC3139AA1}"/>
                </c:ext>
              </c:extLst>
            </c:dLbl>
            <c:dLbl>
              <c:idx val="18"/>
              <c:layout>
                <c:manualLayout>
                  <c:x val="0.17978334863619075"/>
                  <c:y val="-9.2826971570586406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4A-AB46-40DC-BF42-6F5FC3139AA1}"/>
                </c:ext>
              </c:extLst>
            </c:dLbl>
            <c:numFmt formatCode="0.0%" sourceLinked="0"/>
            <c:spPr>
              <a:noFill/>
              <a:ln w="25400">
                <a:noFill/>
              </a:ln>
            </c:spPr>
            <c:txPr>
              <a:bodyPr/>
              <a:lstStyle/>
              <a:p>
                <a:pPr>
                  <a:defRPr sz="1125" b="0" i="0" u="none" strike="noStrike" baseline="0">
                    <a:solidFill>
                      <a:srgbClr val="000000"/>
                    </a:solidFill>
                    <a:latin typeface="Arial"/>
                    <a:ea typeface="Arial"/>
                    <a:cs typeface="Arial"/>
                  </a:defRPr>
                </a:pPr>
                <a:endParaRPr lang="es-ES"/>
              </a:p>
            </c:txPr>
            <c:showLegendKey val="0"/>
            <c:showVal val="0"/>
            <c:showCatName val="1"/>
            <c:showSerName val="0"/>
            <c:showPercent val="1"/>
            <c:showBubbleSize val="0"/>
            <c:showLeaderLines val="1"/>
            <c:extLst>
              <c:ext xmlns:c15="http://schemas.microsoft.com/office/drawing/2012/chart" uri="{CE6537A1-D6FC-4f65-9D91-7224C49458BB}"/>
            </c:extLst>
          </c:dLbls>
          <c:cat>
            <c:strRef>
              <c:f>'4- Nº Explot. por CA y Tipo'!$A$237:$A$255</c:f>
              <c:strCache>
                <c:ptCount val="19"/>
                <c:pt idx="0">
                  <c:v>Andalucía</c:v>
                </c:pt>
                <c:pt idx="1">
                  <c:v>Aragón</c:v>
                </c:pt>
                <c:pt idx="2">
                  <c:v>Asturias</c:v>
                </c:pt>
                <c:pt idx="3">
                  <c:v>Baleares</c:v>
                </c:pt>
                <c:pt idx="4">
                  <c:v>Canarias</c:v>
                </c:pt>
                <c:pt idx="5">
                  <c:v>Cantabria</c:v>
                </c:pt>
                <c:pt idx="6">
                  <c:v>Castilla La Mancha</c:v>
                </c:pt>
                <c:pt idx="7">
                  <c:v>Castilla y León</c:v>
                </c:pt>
                <c:pt idx="8">
                  <c:v>Cataluña</c:v>
                </c:pt>
                <c:pt idx="9">
                  <c:v>Extremadura</c:v>
                </c:pt>
                <c:pt idx="10">
                  <c:v>Galicia</c:v>
                </c:pt>
                <c:pt idx="11">
                  <c:v>Madrid</c:v>
                </c:pt>
                <c:pt idx="12">
                  <c:v>Murcia</c:v>
                </c:pt>
                <c:pt idx="13">
                  <c:v>Navarra</c:v>
                </c:pt>
                <c:pt idx="14">
                  <c:v>País Vasco</c:v>
                </c:pt>
                <c:pt idx="15">
                  <c:v>La Rioja</c:v>
                </c:pt>
                <c:pt idx="16">
                  <c:v>Valencia</c:v>
                </c:pt>
                <c:pt idx="17">
                  <c:v>Ceuta</c:v>
                </c:pt>
                <c:pt idx="18">
                  <c:v>Melilla</c:v>
                </c:pt>
              </c:strCache>
            </c:strRef>
          </c:cat>
          <c:val>
            <c:numRef>
              <c:f>'4- Nº Explot. por CA y Tipo'!$B$237:$B$255</c:f>
              <c:numCache>
                <c:formatCode>General</c:formatCode>
                <c:ptCount val="19"/>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numCache>
            </c:numRef>
          </c:val>
          <c:extLst>
            <c:ext xmlns:c16="http://schemas.microsoft.com/office/drawing/2014/chart" uri="{C3380CC4-5D6E-409C-BE32-E72D297353CC}">
              <c16:uniqueId val="{0000004B-AB46-40DC-BF42-6F5FC3139AA1}"/>
            </c:ext>
          </c:extLst>
        </c:ser>
        <c:dLbls>
          <c:showLegendKey val="0"/>
          <c:showVal val="0"/>
          <c:showCatName val="0"/>
          <c:showSerName val="0"/>
          <c:showPercent val="0"/>
          <c:showBubbleSize val="0"/>
          <c:showLeaderLines val="1"/>
        </c:dLbls>
        <c:firstSliceAng val="0"/>
      </c:pieChart>
      <c:spPr>
        <a:noFill/>
        <a:ln w="25400">
          <a:noFill/>
        </a:ln>
      </c:spPr>
    </c:plotArea>
    <c:plotVisOnly val="0"/>
    <c:dispBlanksAs val="zero"/>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925"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ES"/>
              <a:t>Censo de Caprino por Categoría y C.A.</a:t>
            </a:r>
          </a:p>
        </c:rich>
      </c:tx>
      <c:layout>
        <c:manualLayout>
          <c:xMode val="edge"/>
          <c:yMode val="edge"/>
          <c:x val="0.21042471042471042"/>
          <c:y val="3.6101083032490974E-2"/>
        </c:manualLayout>
      </c:layout>
      <c:overlay val="0"/>
      <c:spPr>
        <a:noFill/>
        <a:ln w="25400">
          <a:noFill/>
        </a:ln>
      </c:spPr>
    </c:title>
    <c:autoTitleDeleted val="0"/>
    <c:plotArea>
      <c:layout>
        <c:manualLayout>
          <c:layoutTarget val="inner"/>
          <c:xMode val="edge"/>
          <c:yMode val="edge"/>
          <c:x val="0.18339768339768339"/>
          <c:y val="0.27075860002291574"/>
          <c:w val="0.79536679536679533"/>
          <c:h val="0.40794295736785974"/>
        </c:manualLayout>
      </c:layout>
      <c:lineChart>
        <c:grouping val="standard"/>
        <c:varyColors val="0"/>
        <c:ser>
          <c:idx val="0"/>
          <c:order val="0"/>
          <c:tx>
            <c:v>Reproductoras Hembra</c:v>
          </c:tx>
          <c:spPr>
            <a:ln w="12700">
              <a:solidFill>
                <a:srgbClr val="FF00FF"/>
              </a:solidFill>
              <a:prstDash val="solid"/>
            </a:ln>
          </c:spPr>
          <c:marker>
            <c:symbol val="diamond"/>
            <c:size val="5"/>
            <c:spPr>
              <a:solidFill>
                <a:srgbClr val="FF00FF"/>
              </a:solidFill>
              <a:ln>
                <a:solidFill>
                  <a:srgbClr val="FF00FF"/>
                </a:solidFill>
                <a:prstDash val="solid"/>
              </a:ln>
            </c:spPr>
          </c:marker>
          <c:cat>
            <c:numRef>
              <c:f>'7.1- CAPRINO (CENSO)'!$C$16:$M$16</c:f>
              <c:numCache>
                <c:formatCode>[$-C0A]d\-mmm\-yy;@</c:formatCode>
                <c:ptCount val="11"/>
                <c:pt idx="0">
                  <c:v>0</c:v>
                </c:pt>
                <c:pt idx="1">
                  <c:v>38899</c:v>
                </c:pt>
                <c:pt idx="2">
                  <c:v>39083</c:v>
                </c:pt>
                <c:pt idx="3">
                  <c:v>39264</c:v>
                </c:pt>
                <c:pt idx="4">
                  <c:v>39448</c:v>
                </c:pt>
                <c:pt idx="5">
                  <c:v>39630</c:v>
                </c:pt>
                <c:pt idx="6">
                  <c:v>39814</c:v>
                </c:pt>
                <c:pt idx="7">
                  <c:v>39995</c:v>
                </c:pt>
                <c:pt idx="8">
                  <c:v>40179</c:v>
                </c:pt>
                <c:pt idx="9">
                  <c:v>40360</c:v>
                </c:pt>
                <c:pt idx="10">
                  <c:v>40544</c:v>
                </c:pt>
              </c:numCache>
            </c:numRef>
          </c:cat>
          <c:val>
            <c:numRef>
              <c:f>'7.1- CAPRINO (CENSO)'!$C$22:$M$22</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0-8012-40F4-9F3F-04AEF04C6BC7}"/>
            </c:ext>
          </c:extLst>
        </c:ser>
        <c:dLbls>
          <c:showLegendKey val="0"/>
          <c:showVal val="0"/>
          <c:showCatName val="0"/>
          <c:showSerName val="0"/>
          <c:showPercent val="0"/>
          <c:showBubbleSize val="0"/>
        </c:dLbls>
        <c:marker val="1"/>
        <c:smooth val="0"/>
        <c:axId val="125961728"/>
        <c:axId val="133768320"/>
      </c:lineChart>
      <c:catAx>
        <c:axId val="125961728"/>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Fecha</a:t>
                </a:r>
              </a:p>
            </c:rich>
          </c:tx>
          <c:layout>
            <c:manualLayout>
              <c:xMode val="edge"/>
              <c:yMode val="edge"/>
              <c:x val="0.54633204633204635"/>
              <c:y val="0.83032642580327276"/>
            </c:manualLayout>
          </c:layout>
          <c:overlay val="0"/>
          <c:spPr>
            <a:noFill/>
            <a:ln w="25400">
              <a:noFill/>
            </a:ln>
          </c:spPr>
        </c:title>
        <c:numFmt formatCode="dd\-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33768320"/>
        <c:crosses val="autoZero"/>
        <c:auto val="0"/>
        <c:lblAlgn val="ctr"/>
        <c:lblOffset val="100"/>
        <c:tickLblSkip val="1"/>
        <c:tickMarkSkip val="1"/>
        <c:noMultiLvlLbl val="0"/>
      </c:catAx>
      <c:valAx>
        <c:axId val="133768320"/>
        <c:scaling>
          <c:orientation val="minMax"/>
        </c:scaling>
        <c:delete val="0"/>
        <c:axPos val="l"/>
        <c:majorGridlines>
          <c:spPr>
            <a:ln w="3175">
              <a:solidFill>
                <a:srgbClr val="000000"/>
              </a:solidFill>
              <a:prstDash val="solid"/>
            </a:ln>
          </c:spPr>
        </c:majorGridlines>
        <c:title>
          <c:tx>
            <c:rich>
              <a:bodyPr/>
              <a:lstStyle/>
              <a:p>
                <a:pPr>
                  <a:defRPr sz="800" b="1" i="0" u="none" strike="noStrike" baseline="0">
                    <a:solidFill>
                      <a:srgbClr val="FF00FF"/>
                    </a:solidFill>
                    <a:latin typeface="Arial"/>
                    <a:ea typeface="Arial"/>
                    <a:cs typeface="Arial"/>
                  </a:defRPr>
                </a:pPr>
                <a:r>
                  <a:rPr lang="es-ES"/>
                  <a:t>Reproductoras Hembra</a:t>
                </a:r>
              </a:p>
            </c:rich>
          </c:tx>
          <c:layout>
            <c:manualLayout>
              <c:xMode val="edge"/>
              <c:yMode val="edge"/>
              <c:x val="2.3166023166023165E-2"/>
              <c:y val="0.23104731042193732"/>
            </c:manualLayout>
          </c:layout>
          <c:overlay val="0"/>
          <c:spPr>
            <a:noFill/>
            <a:ln w="3175">
              <a:solidFill>
                <a:srgbClr val="FF00FF"/>
              </a:solidFill>
              <a:prstDash val="solid"/>
            </a:ln>
          </c:spPr>
        </c:title>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25961728"/>
        <c:crosses val="autoZero"/>
        <c:crossBetween val="between"/>
      </c:valAx>
      <c:spPr>
        <a:solidFill>
          <a:srgbClr val="C0C0C0"/>
        </a:solidFill>
        <a:ln w="12700">
          <a:solidFill>
            <a:srgbClr val="808080"/>
          </a:solidFill>
          <a:prstDash val="solid"/>
        </a:ln>
      </c:spPr>
    </c:plotArea>
    <c:plotVisOnly val="1"/>
    <c:dispBlanksAs val="gap"/>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ES"/>
              <a:t>Censo de Caprino por C.A.</a:t>
            </a:r>
          </a:p>
        </c:rich>
      </c:tx>
      <c:layout>
        <c:manualLayout>
          <c:xMode val="edge"/>
          <c:yMode val="edge"/>
          <c:x val="0.3807390817469205"/>
          <c:y val="6.3604240282685506E-2"/>
        </c:manualLayout>
      </c:layout>
      <c:overlay val="0"/>
      <c:spPr>
        <a:noFill/>
        <a:ln w="25400">
          <a:noFill/>
        </a:ln>
      </c:spPr>
    </c:title>
    <c:autoTitleDeleted val="0"/>
    <c:plotArea>
      <c:layout>
        <c:manualLayout>
          <c:layoutTarget val="inner"/>
          <c:xMode val="edge"/>
          <c:yMode val="edge"/>
          <c:x val="0.11870100783874581"/>
          <c:y val="0.22261522508424161"/>
          <c:w val="0.86674132138857785"/>
          <c:h val="0.55477127520993541"/>
        </c:manualLayout>
      </c:layout>
      <c:lineChart>
        <c:grouping val="standard"/>
        <c:varyColors val="0"/>
        <c:ser>
          <c:idx val="0"/>
          <c:order val="0"/>
          <c:tx>
            <c:v>Total</c:v>
          </c:tx>
          <c:spPr>
            <a:ln w="12700">
              <a:solidFill>
                <a:srgbClr val="000080"/>
              </a:solidFill>
              <a:prstDash val="solid"/>
            </a:ln>
          </c:spPr>
          <c:marker>
            <c:symbol val="diamond"/>
            <c:size val="5"/>
            <c:spPr>
              <a:solidFill>
                <a:srgbClr val="000080"/>
              </a:solidFill>
              <a:ln>
                <a:solidFill>
                  <a:srgbClr val="000080"/>
                </a:solidFill>
                <a:prstDash val="solid"/>
              </a:ln>
            </c:spPr>
          </c:marker>
          <c:cat>
            <c:numRef>
              <c:f>'7.1- CAPRINO (CENSO)'!$C$16:$M$16</c:f>
              <c:numCache>
                <c:formatCode>[$-C0A]d\-mmm\-yy;@</c:formatCode>
                <c:ptCount val="11"/>
                <c:pt idx="0">
                  <c:v>0</c:v>
                </c:pt>
                <c:pt idx="1">
                  <c:v>38899</c:v>
                </c:pt>
                <c:pt idx="2">
                  <c:v>39083</c:v>
                </c:pt>
                <c:pt idx="3">
                  <c:v>39264</c:v>
                </c:pt>
                <c:pt idx="4">
                  <c:v>39448</c:v>
                </c:pt>
                <c:pt idx="5">
                  <c:v>39630</c:v>
                </c:pt>
                <c:pt idx="6">
                  <c:v>39814</c:v>
                </c:pt>
                <c:pt idx="7">
                  <c:v>39995</c:v>
                </c:pt>
                <c:pt idx="8">
                  <c:v>40179</c:v>
                </c:pt>
                <c:pt idx="9">
                  <c:v>40360</c:v>
                </c:pt>
                <c:pt idx="10">
                  <c:v>40544</c:v>
                </c:pt>
              </c:numCache>
            </c:numRef>
          </c:cat>
          <c:val>
            <c:numRef>
              <c:f>'7.1- CAPRINO (CENSO)'!$C$26:$M$26</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0-E113-426A-ABBB-1C377B4AB453}"/>
            </c:ext>
          </c:extLst>
        </c:ser>
        <c:dLbls>
          <c:showLegendKey val="0"/>
          <c:showVal val="0"/>
          <c:showCatName val="0"/>
          <c:showSerName val="0"/>
          <c:showPercent val="0"/>
          <c:showBubbleSize val="0"/>
        </c:dLbls>
        <c:marker val="1"/>
        <c:smooth val="0"/>
        <c:axId val="125962240"/>
        <c:axId val="133769472"/>
      </c:lineChart>
      <c:catAx>
        <c:axId val="125962240"/>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Fecha</a:t>
                </a:r>
              </a:p>
            </c:rich>
          </c:tx>
          <c:layout>
            <c:manualLayout>
              <c:xMode val="edge"/>
              <c:yMode val="edge"/>
              <c:x val="0.53191489361702127"/>
              <c:y val="0.89399441677564151"/>
            </c:manualLayout>
          </c:layout>
          <c:overlay val="0"/>
          <c:spPr>
            <a:noFill/>
            <a:ln w="25400">
              <a:noFill/>
            </a:ln>
          </c:spPr>
        </c:title>
        <c:numFmt formatCode="dd\-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33769472"/>
        <c:crosses val="autoZero"/>
        <c:auto val="0"/>
        <c:lblAlgn val="ctr"/>
        <c:lblOffset val="100"/>
        <c:tickLblSkip val="1"/>
        <c:tickMarkSkip val="1"/>
        <c:noMultiLvlLbl val="0"/>
      </c:catAx>
      <c:valAx>
        <c:axId val="133769472"/>
        <c:scaling>
          <c:orientation val="minMax"/>
        </c:scaling>
        <c:delete val="0"/>
        <c:axPos val="l"/>
        <c:majorGridlines>
          <c:spPr>
            <a:ln w="3175">
              <a:solidFill>
                <a:srgbClr val="000000"/>
              </a:solidFill>
              <a:prstDash val="solid"/>
            </a:ln>
          </c:spPr>
        </c:majorGridlines>
        <c:title>
          <c:tx>
            <c:rich>
              <a:bodyPr/>
              <a:lstStyle/>
              <a:p>
                <a:pPr>
                  <a:defRPr sz="875" b="1" i="0" u="none" strike="noStrike" baseline="0">
                    <a:solidFill>
                      <a:srgbClr val="000080"/>
                    </a:solidFill>
                    <a:latin typeface="Arial"/>
                    <a:ea typeface="Arial"/>
                    <a:cs typeface="Arial"/>
                  </a:defRPr>
                </a:pPr>
                <a:r>
                  <a:rPr lang="es-ES"/>
                  <a:t>Total</a:t>
                </a:r>
              </a:p>
            </c:rich>
          </c:tx>
          <c:layout>
            <c:manualLayout>
              <c:xMode val="edge"/>
              <c:yMode val="edge"/>
              <c:x val="1.4557670772676373E-2"/>
              <c:y val="0.43816328612633665"/>
            </c:manualLayout>
          </c:layout>
          <c:overlay val="0"/>
          <c:spPr>
            <a:noFill/>
            <a:ln w="3175">
              <a:solidFill>
                <a:srgbClr val="000080"/>
              </a:solidFill>
              <a:prstDash val="solid"/>
            </a:ln>
          </c:spPr>
        </c:title>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25962240"/>
        <c:crosses val="autoZero"/>
        <c:crossBetween val="between"/>
      </c:valAx>
      <c:spPr>
        <a:solidFill>
          <a:srgbClr val="C0C0C0"/>
        </a:solidFill>
        <a:ln w="12700">
          <a:solidFill>
            <a:srgbClr val="808080"/>
          </a:solidFill>
          <a:prstDash val="solid"/>
        </a:ln>
      </c:spPr>
    </c:plotArea>
    <c:plotVisOnly val="1"/>
    <c:dispBlanksAs val="gap"/>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AUX!$H$37</c:f>
          <c:strCache>
            <c:ptCount val="1"/>
            <c:pt idx="0">
              <c:v>Distribución del Total del Censo de Caprino por C.A. 
(31 de diciembre de 1904)</c:v>
            </c:pt>
          </c:strCache>
        </c:strRef>
      </c:tx>
      <c:layout>
        <c:manualLayout>
          <c:xMode val="edge"/>
          <c:yMode val="edge"/>
          <c:x val="0.2869287991498406"/>
          <c:y val="2.6950354609929079E-2"/>
        </c:manualLayout>
      </c:layout>
      <c:overlay val="0"/>
      <c:spPr>
        <a:noFill/>
        <a:ln w="25400">
          <a:noFill/>
        </a:ln>
      </c:spPr>
      <c:txPr>
        <a:bodyPr/>
        <a:lstStyle/>
        <a:p>
          <a:pPr>
            <a:defRPr sz="1000" b="0" i="0" u="none" strike="noStrike" baseline="0">
              <a:solidFill>
                <a:srgbClr val="000000"/>
              </a:solidFill>
              <a:latin typeface="Arial"/>
              <a:ea typeface="Arial"/>
              <a:cs typeface="Arial"/>
            </a:defRPr>
          </a:pPr>
          <a:endParaRPr lang="es-ES"/>
        </a:p>
      </c:txPr>
    </c:title>
    <c:autoTitleDeleted val="0"/>
    <c:plotArea>
      <c:layout>
        <c:manualLayout>
          <c:layoutTarget val="inner"/>
          <c:xMode val="edge"/>
          <c:yMode val="edge"/>
          <c:x val="0.35919234856535598"/>
          <c:y val="0.35886574532599919"/>
          <c:w val="0.30924548352816156"/>
          <c:h val="0.41276652920895557"/>
        </c:manualLayout>
      </c:layout>
      <c:pieChart>
        <c:varyColors val="1"/>
        <c:ser>
          <c:idx val="0"/>
          <c:order val="0"/>
          <c:spPr>
            <a:ln w="12700">
              <a:solidFill>
                <a:srgbClr val="000000"/>
              </a:solidFill>
              <a:prstDash val="solid"/>
            </a:ln>
          </c:spPr>
          <c:dPt>
            <c:idx val="0"/>
            <c:bubble3D val="0"/>
            <c:spPr>
              <a:solidFill>
                <a:srgbClr val="9999FF"/>
              </a:solidFill>
              <a:ln w="12700">
                <a:solidFill>
                  <a:srgbClr val="000000"/>
                </a:solidFill>
                <a:prstDash val="solid"/>
              </a:ln>
            </c:spPr>
            <c:extLst>
              <c:ext xmlns:c16="http://schemas.microsoft.com/office/drawing/2014/chart" uri="{C3380CC4-5D6E-409C-BE32-E72D297353CC}">
                <c16:uniqueId val="{00000001-A930-480D-8757-E62EE47C2696}"/>
              </c:ext>
            </c:extLst>
          </c:dPt>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3-A930-480D-8757-E62EE47C2696}"/>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5-A930-480D-8757-E62EE47C2696}"/>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7-A930-480D-8757-E62EE47C2696}"/>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9-A930-480D-8757-E62EE47C2696}"/>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B-A930-480D-8757-E62EE47C2696}"/>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D-A930-480D-8757-E62EE47C2696}"/>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F-A930-480D-8757-E62EE47C2696}"/>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11-A930-480D-8757-E62EE47C2696}"/>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3-A930-480D-8757-E62EE47C2696}"/>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5-A930-480D-8757-E62EE47C2696}"/>
              </c:ext>
            </c:extLst>
          </c:dPt>
          <c:dPt>
            <c:idx val="11"/>
            <c:bubble3D val="0"/>
            <c:spPr>
              <a:solidFill>
                <a:srgbClr val="00FFFF"/>
              </a:solidFill>
              <a:ln w="12700">
                <a:solidFill>
                  <a:srgbClr val="000000"/>
                </a:solidFill>
                <a:prstDash val="solid"/>
              </a:ln>
            </c:spPr>
            <c:extLst>
              <c:ext xmlns:c16="http://schemas.microsoft.com/office/drawing/2014/chart" uri="{C3380CC4-5D6E-409C-BE32-E72D297353CC}">
                <c16:uniqueId val="{00000017-A930-480D-8757-E62EE47C2696}"/>
              </c:ext>
            </c:extLst>
          </c:dPt>
          <c:dPt>
            <c:idx val="12"/>
            <c:bubble3D val="0"/>
            <c:spPr>
              <a:solidFill>
                <a:srgbClr val="800080"/>
              </a:solidFill>
              <a:ln w="12700">
                <a:solidFill>
                  <a:srgbClr val="000000"/>
                </a:solidFill>
                <a:prstDash val="solid"/>
              </a:ln>
            </c:spPr>
            <c:extLst>
              <c:ext xmlns:c16="http://schemas.microsoft.com/office/drawing/2014/chart" uri="{C3380CC4-5D6E-409C-BE32-E72D297353CC}">
                <c16:uniqueId val="{00000019-A930-480D-8757-E62EE47C2696}"/>
              </c:ext>
            </c:extLst>
          </c:dPt>
          <c:dPt>
            <c:idx val="13"/>
            <c:bubble3D val="0"/>
            <c:spPr>
              <a:solidFill>
                <a:srgbClr val="800000"/>
              </a:solidFill>
              <a:ln w="12700">
                <a:solidFill>
                  <a:srgbClr val="000000"/>
                </a:solidFill>
                <a:prstDash val="solid"/>
              </a:ln>
            </c:spPr>
            <c:extLst>
              <c:ext xmlns:c16="http://schemas.microsoft.com/office/drawing/2014/chart" uri="{C3380CC4-5D6E-409C-BE32-E72D297353CC}">
                <c16:uniqueId val="{0000001B-A930-480D-8757-E62EE47C2696}"/>
              </c:ext>
            </c:extLst>
          </c:dPt>
          <c:dPt>
            <c:idx val="14"/>
            <c:bubble3D val="0"/>
            <c:spPr>
              <a:solidFill>
                <a:srgbClr val="008080"/>
              </a:solidFill>
              <a:ln w="12700">
                <a:solidFill>
                  <a:srgbClr val="000000"/>
                </a:solidFill>
                <a:prstDash val="solid"/>
              </a:ln>
            </c:spPr>
            <c:extLst>
              <c:ext xmlns:c16="http://schemas.microsoft.com/office/drawing/2014/chart" uri="{C3380CC4-5D6E-409C-BE32-E72D297353CC}">
                <c16:uniqueId val="{0000001D-A930-480D-8757-E62EE47C2696}"/>
              </c:ext>
            </c:extLst>
          </c:dPt>
          <c:dPt>
            <c:idx val="15"/>
            <c:bubble3D val="0"/>
            <c:spPr>
              <a:solidFill>
                <a:srgbClr val="0000FF"/>
              </a:solidFill>
              <a:ln w="12700">
                <a:solidFill>
                  <a:srgbClr val="000000"/>
                </a:solidFill>
                <a:prstDash val="solid"/>
              </a:ln>
            </c:spPr>
            <c:extLst>
              <c:ext xmlns:c16="http://schemas.microsoft.com/office/drawing/2014/chart" uri="{C3380CC4-5D6E-409C-BE32-E72D297353CC}">
                <c16:uniqueId val="{0000001F-A930-480D-8757-E62EE47C2696}"/>
              </c:ext>
            </c:extLst>
          </c:dPt>
          <c:dPt>
            <c:idx val="16"/>
            <c:bubble3D val="0"/>
            <c:spPr>
              <a:solidFill>
                <a:srgbClr val="00CCFF"/>
              </a:solidFill>
              <a:ln w="12700">
                <a:solidFill>
                  <a:srgbClr val="000000"/>
                </a:solidFill>
                <a:prstDash val="solid"/>
              </a:ln>
            </c:spPr>
            <c:extLst>
              <c:ext xmlns:c16="http://schemas.microsoft.com/office/drawing/2014/chart" uri="{C3380CC4-5D6E-409C-BE32-E72D297353CC}">
                <c16:uniqueId val="{00000021-A930-480D-8757-E62EE47C2696}"/>
              </c:ext>
            </c:extLst>
          </c:dPt>
          <c:dPt>
            <c:idx val="17"/>
            <c:bubble3D val="0"/>
            <c:extLst>
              <c:ext xmlns:c16="http://schemas.microsoft.com/office/drawing/2014/chart" uri="{C3380CC4-5D6E-409C-BE32-E72D297353CC}">
                <c16:uniqueId val="{00000022-A930-480D-8757-E62EE47C2696}"/>
              </c:ext>
            </c:extLst>
          </c:dPt>
          <c:dPt>
            <c:idx val="18"/>
            <c:bubble3D val="0"/>
            <c:extLst>
              <c:ext xmlns:c16="http://schemas.microsoft.com/office/drawing/2014/chart" uri="{C3380CC4-5D6E-409C-BE32-E72D297353CC}">
                <c16:uniqueId val="{00000023-A930-480D-8757-E62EE47C2696}"/>
              </c:ext>
            </c:extLst>
          </c:dPt>
          <c:dLbls>
            <c:dLbl>
              <c:idx val="6"/>
              <c:layout>
                <c:manualLayout>
                  <c:x val="1.0951994443840101E-2"/>
                  <c:y val="3.4840674000641933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D-A930-480D-8757-E62EE47C2696}"/>
                </c:ext>
              </c:extLst>
            </c:dLbl>
            <c:dLbl>
              <c:idx val="7"/>
              <c:layout>
                <c:manualLayout>
                  <c:x val="-7.0820956094621969E-3"/>
                  <c:y val="2.5537076818450802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F-A930-480D-8757-E62EE47C2696}"/>
                </c:ext>
              </c:extLst>
            </c:dLbl>
            <c:dLbl>
              <c:idx val="8"/>
              <c:layout>
                <c:manualLayout>
                  <c:x val="-5.9137400598569898E-3"/>
                  <c:y val="2.2529465168922881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1-A930-480D-8757-E62EE47C2696}"/>
                </c:ext>
              </c:extLst>
            </c:dLbl>
            <c:dLbl>
              <c:idx val="9"/>
              <c:layout>
                <c:manualLayout>
                  <c:x val="-7.469230533218417E-2"/>
                  <c:y val="0.1069636284075814"/>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3-A930-480D-8757-E62EE47C2696}"/>
                </c:ext>
              </c:extLst>
            </c:dLbl>
            <c:dLbl>
              <c:idx val="10"/>
              <c:layout>
                <c:manualLayout>
                  <c:x val="-0.14688188418530576"/>
                  <c:y val="0.15465784958082457"/>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5-A930-480D-8757-E62EE47C2696}"/>
                </c:ext>
              </c:extLst>
            </c:dLbl>
            <c:dLbl>
              <c:idx val="11"/>
              <c:layout>
                <c:manualLayout>
                  <c:x val="-0.12088842773505595"/>
                  <c:y val="9.5631885705237077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7-A930-480D-8757-E62EE47C2696}"/>
                </c:ext>
              </c:extLst>
            </c:dLbl>
            <c:dLbl>
              <c:idx val="12"/>
              <c:layout>
                <c:manualLayout>
                  <c:x val="-0.12294610357552274"/>
                  <c:y val="4.8561089581844546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9-A930-480D-8757-E62EE47C2696}"/>
                </c:ext>
              </c:extLst>
            </c:dLbl>
            <c:dLbl>
              <c:idx val="13"/>
              <c:layout>
                <c:manualLayout>
                  <c:x val="-0.11786746104133371"/>
                  <c:y val="-2.9240758437974145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B-A930-480D-8757-E62EE47C2696}"/>
                </c:ext>
              </c:extLst>
            </c:dLbl>
            <c:dLbl>
              <c:idx val="14"/>
              <c:layout>
                <c:manualLayout>
                  <c:x val="-6.9744422223523866E-2"/>
                  <c:y val="-0.1116589995935832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D-A930-480D-8757-E62EE47C2696}"/>
                </c:ext>
              </c:extLst>
            </c:dLbl>
            <c:dLbl>
              <c:idx val="15"/>
              <c:layout>
                <c:manualLayout>
                  <c:x val="-6.2124115463250609E-3"/>
                  <c:y val="-0.1661426507184751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F-A930-480D-8757-E62EE47C2696}"/>
                </c:ext>
              </c:extLst>
            </c:dLbl>
            <c:dLbl>
              <c:idx val="16"/>
              <c:layout>
                <c:manualLayout>
                  <c:x val="4.3827390864133481E-2"/>
                  <c:y val="-0.1008848065925588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21-A930-480D-8757-E62EE47C2696}"/>
                </c:ext>
              </c:extLst>
            </c:dLbl>
            <c:dLbl>
              <c:idx val="17"/>
              <c:layout>
                <c:manualLayout>
                  <c:x val="7.5993093849453811E-2"/>
                  <c:y val="-7.176408823213816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22-A930-480D-8757-E62EE47C2696}"/>
                </c:ext>
              </c:extLst>
            </c:dLbl>
            <c:dLbl>
              <c:idx val="18"/>
              <c:layout>
                <c:manualLayout>
                  <c:x val="6.3233673899157863E-2"/>
                  <c:y val="4.8317625489051486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23-A930-480D-8757-E62EE47C2696}"/>
                </c:ext>
              </c:extLst>
            </c:dLbl>
            <c:numFmt formatCode="0.0%" sourceLinked="0"/>
            <c:spPr>
              <a:noFill/>
              <a:ln w="25400">
                <a:noFill/>
              </a:ln>
            </c:spPr>
            <c:txPr>
              <a:bodyPr/>
              <a:lstStyle/>
              <a:p>
                <a:pPr>
                  <a:defRPr sz="900" b="0" i="0" u="none" strike="noStrike" baseline="0">
                    <a:solidFill>
                      <a:srgbClr val="000000"/>
                    </a:solidFill>
                    <a:latin typeface="Arial"/>
                    <a:ea typeface="Arial"/>
                    <a:cs typeface="Arial"/>
                  </a:defRPr>
                </a:pPr>
                <a:endParaRPr lang="es-ES"/>
              </a:p>
            </c:txPr>
            <c:showLegendKey val="0"/>
            <c:showVal val="0"/>
            <c:showCatName val="1"/>
            <c:showSerName val="0"/>
            <c:showPercent val="1"/>
            <c:showBubbleSize val="0"/>
            <c:showLeaderLines val="1"/>
            <c:extLst>
              <c:ext xmlns:c15="http://schemas.microsoft.com/office/drawing/2012/chart" uri="{CE6537A1-D6FC-4f65-9D91-7224C49458BB}"/>
            </c:extLst>
          </c:dLbls>
          <c:cat>
            <c:strRef>
              <c:f>'7.1- CAPRINO (CENSO)'!$B$247:$B$265</c:f>
              <c:strCache>
                <c:ptCount val="19"/>
                <c:pt idx="0">
                  <c:v>Andalucía</c:v>
                </c:pt>
                <c:pt idx="1">
                  <c:v>Aragón</c:v>
                </c:pt>
                <c:pt idx="2">
                  <c:v>Asturias</c:v>
                </c:pt>
                <c:pt idx="3">
                  <c:v>Baleares</c:v>
                </c:pt>
                <c:pt idx="4">
                  <c:v>Canarias</c:v>
                </c:pt>
                <c:pt idx="5">
                  <c:v>Cantabria</c:v>
                </c:pt>
                <c:pt idx="6">
                  <c:v>Castilla La Mancha</c:v>
                </c:pt>
                <c:pt idx="7">
                  <c:v>Castilla y León</c:v>
                </c:pt>
                <c:pt idx="8">
                  <c:v>Cataluña</c:v>
                </c:pt>
                <c:pt idx="9">
                  <c:v>Extremadura</c:v>
                </c:pt>
                <c:pt idx="10">
                  <c:v>Galicia</c:v>
                </c:pt>
                <c:pt idx="11">
                  <c:v>Madrid</c:v>
                </c:pt>
                <c:pt idx="12">
                  <c:v>Murcia</c:v>
                </c:pt>
                <c:pt idx="13">
                  <c:v>Navarra</c:v>
                </c:pt>
                <c:pt idx="14">
                  <c:v>País Vasco</c:v>
                </c:pt>
                <c:pt idx="15">
                  <c:v>La Rioja</c:v>
                </c:pt>
                <c:pt idx="16">
                  <c:v>Valencia</c:v>
                </c:pt>
                <c:pt idx="17">
                  <c:v>Ceuta</c:v>
                </c:pt>
                <c:pt idx="18">
                  <c:v>Melilla</c:v>
                </c:pt>
              </c:strCache>
            </c:strRef>
          </c:cat>
          <c:val>
            <c:numRef>
              <c:f>'7.1- CAPRINO (CENSO)'!$C$247:$C$265</c:f>
              <c:numCache>
                <c:formatCode>General</c:formatCode>
                <c:ptCount val="19"/>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numCache>
            </c:numRef>
          </c:val>
          <c:extLst>
            <c:ext xmlns:c16="http://schemas.microsoft.com/office/drawing/2014/chart" uri="{C3380CC4-5D6E-409C-BE32-E72D297353CC}">
              <c16:uniqueId val="{00000024-A930-480D-8757-E62EE47C2696}"/>
            </c:ext>
          </c:extLst>
        </c:ser>
        <c:dLbls>
          <c:showLegendKey val="0"/>
          <c:showVal val="0"/>
          <c:showCatName val="0"/>
          <c:showSerName val="0"/>
          <c:showPercent val="0"/>
          <c:showBubbleSize val="0"/>
          <c:showLeaderLines val="1"/>
        </c:dLbls>
        <c:firstSliceAng val="0"/>
      </c:pieChart>
      <c:spPr>
        <a:noFill/>
        <a:ln w="25400">
          <a:noFill/>
        </a:ln>
      </c:spPr>
    </c:plotArea>
    <c:plotVisOnly val="0"/>
    <c:dispBlanksAs val="zero"/>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ES"/>
              <a:t>Censo de Caprino por Categoría y C.A.</a:t>
            </a:r>
          </a:p>
        </c:rich>
      </c:tx>
      <c:layout>
        <c:manualLayout>
          <c:xMode val="edge"/>
          <c:yMode val="edge"/>
          <c:x val="0.21194645467004483"/>
          <c:y val="3.5971223021582732E-2"/>
        </c:manualLayout>
      </c:layout>
      <c:overlay val="0"/>
      <c:spPr>
        <a:noFill/>
        <a:ln w="25400">
          <a:noFill/>
        </a:ln>
      </c:spPr>
    </c:title>
    <c:autoTitleDeleted val="0"/>
    <c:plotArea>
      <c:layout>
        <c:manualLayout>
          <c:layoutTarget val="inner"/>
          <c:xMode val="edge"/>
          <c:yMode val="edge"/>
          <c:x val="0.1599232296243332"/>
          <c:y val="0.26978417266187049"/>
          <c:w val="0.75915364424081055"/>
          <c:h val="0.35611510791366907"/>
        </c:manualLayout>
      </c:layout>
      <c:lineChart>
        <c:grouping val="standard"/>
        <c:varyColors val="0"/>
        <c:ser>
          <c:idx val="1"/>
          <c:order val="0"/>
          <c:tx>
            <c:v>Reproductores Macho</c:v>
          </c:tx>
          <c:spPr>
            <a:ln w="12700">
              <a:solidFill>
                <a:srgbClr val="000080"/>
              </a:solidFill>
              <a:prstDash val="solid"/>
            </a:ln>
          </c:spPr>
          <c:marker>
            <c:symbol val="square"/>
            <c:size val="5"/>
            <c:spPr>
              <a:solidFill>
                <a:srgbClr val="000080"/>
              </a:solidFill>
              <a:ln>
                <a:solidFill>
                  <a:srgbClr val="000080"/>
                </a:solidFill>
                <a:prstDash val="solid"/>
              </a:ln>
            </c:spPr>
          </c:marker>
          <c:cat>
            <c:numRef>
              <c:f>'7.1- CAPRINO (CENSO)'!$C$16:$M$16</c:f>
              <c:numCache>
                <c:formatCode>[$-C0A]d\-mmm\-yy;@</c:formatCode>
                <c:ptCount val="11"/>
                <c:pt idx="0">
                  <c:v>0</c:v>
                </c:pt>
                <c:pt idx="1">
                  <c:v>38899</c:v>
                </c:pt>
                <c:pt idx="2">
                  <c:v>39083</c:v>
                </c:pt>
                <c:pt idx="3">
                  <c:v>39264</c:v>
                </c:pt>
                <c:pt idx="4">
                  <c:v>39448</c:v>
                </c:pt>
                <c:pt idx="5">
                  <c:v>39630</c:v>
                </c:pt>
                <c:pt idx="6">
                  <c:v>39814</c:v>
                </c:pt>
                <c:pt idx="7">
                  <c:v>39995</c:v>
                </c:pt>
                <c:pt idx="8">
                  <c:v>40179</c:v>
                </c:pt>
                <c:pt idx="9">
                  <c:v>40360</c:v>
                </c:pt>
                <c:pt idx="10">
                  <c:v>40544</c:v>
                </c:pt>
              </c:numCache>
            </c:numRef>
          </c:cat>
          <c:val>
            <c:numRef>
              <c:f>'7.1- CAPRINO (CENSO)'!$C$24:$M$24</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0-E333-4D62-9A83-83FC5BD86355}"/>
            </c:ext>
          </c:extLst>
        </c:ser>
        <c:dLbls>
          <c:showLegendKey val="0"/>
          <c:showVal val="0"/>
          <c:showCatName val="0"/>
          <c:showSerName val="0"/>
          <c:showPercent val="0"/>
          <c:showBubbleSize val="0"/>
        </c:dLbls>
        <c:marker val="1"/>
        <c:smooth val="0"/>
        <c:axId val="125962752"/>
        <c:axId val="133772928"/>
      </c:lineChart>
      <c:catAx>
        <c:axId val="125962752"/>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Fecha</a:t>
                </a:r>
              </a:p>
            </c:rich>
          </c:tx>
          <c:layout>
            <c:manualLayout>
              <c:xMode val="edge"/>
              <c:yMode val="edge"/>
              <c:x val="0.50481796711827209"/>
              <c:y val="0.8309352517985612"/>
            </c:manualLayout>
          </c:layout>
          <c:overlay val="0"/>
          <c:spPr>
            <a:noFill/>
            <a:ln w="25400">
              <a:noFill/>
            </a:ln>
          </c:spPr>
        </c:title>
        <c:numFmt formatCode="dd\-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33772928"/>
        <c:crosses val="autoZero"/>
        <c:auto val="0"/>
        <c:lblAlgn val="ctr"/>
        <c:lblOffset val="100"/>
        <c:tickLblSkip val="1"/>
        <c:tickMarkSkip val="1"/>
        <c:noMultiLvlLbl val="0"/>
      </c:catAx>
      <c:valAx>
        <c:axId val="133772928"/>
        <c:scaling>
          <c:orientation val="minMax"/>
        </c:scaling>
        <c:delete val="0"/>
        <c:axPos val="l"/>
        <c:majorGridlines>
          <c:spPr>
            <a:ln w="3175">
              <a:solidFill>
                <a:srgbClr val="000000"/>
              </a:solidFill>
              <a:prstDash val="solid"/>
            </a:ln>
          </c:spPr>
        </c:majorGridlines>
        <c:title>
          <c:tx>
            <c:rich>
              <a:bodyPr/>
              <a:lstStyle/>
              <a:p>
                <a:pPr>
                  <a:defRPr sz="800" b="1" i="0" u="none" strike="noStrike" baseline="0">
                    <a:solidFill>
                      <a:srgbClr val="000080"/>
                    </a:solidFill>
                    <a:latin typeface="Arial"/>
                    <a:ea typeface="Arial"/>
                    <a:cs typeface="Arial"/>
                  </a:defRPr>
                </a:pPr>
                <a:r>
                  <a:rPr lang="es-ES"/>
                  <a:t>Reproductores Macho</a:t>
                </a:r>
              </a:p>
            </c:rich>
          </c:tx>
          <c:layout>
            <c:manualLayout>
              <c:xMode val="edge"/>
              <c:yMode val="edge"/>
              <c:x val="1.348747591522158E-2"/>
              <c:y val="0.21582733812949639"/>
            </c:manualLayout>
          </c:layout>
          <c:overlay val="0"/>
          <c:spPr>
            <a:noFill/>
            <a:ln w="3175">
              <a:solidFill>
                <a:srgbClr val="000080"/>
              </a:solidFill>
              <a:prstDash val="solid"/>
            </a:ln>
          </c:spPr>
        </c:title>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25962752"/>
        <c:crosses val="autoZero"/>
        <c:crossBetween val="between"/>
      </c:valAx>
      <c:spPr>
        <a:solidFill>
          <a:srgbClr val="C0C0C0"/>
        </a:solidFill>
        <a:ln w="12700">
          <a:solidFill>
            <a:srgbClr val="808080"/>
          </a:solidFill>
          <a:prstDash val="solid"/>
        </a:ln>
      </c:spPr>
    </c:plotArea>
    <c:plotVisOnly val="1"/>
    <c:dispBlanksAs val="gap"/>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ES"/>
              <a:t>Nº de Subexplotaciones de Caprino por Clasificación Zootécnica y C.A.</a:t>
            </a:r>
          </a:p>
        </c:rich>
      </c:tx>
      <c:layout>
        <c:manualLayout>
          <c:xMode val="edge"/>
          <c:yMode val="edge"/>
          <c:x val="0.13725508910316692"/>
          <c:y val="3.6065573770491806E-2"/>
        </c:manualLayout>
      </c:layout>
      <c:overlay val="0"/>
      <c:spPr>
        <a:noFill/>
        <a:ln w="25400">
          <a:noFill/>
        </a:ln>
      </c:spPr>
    </c:title>
    <c:autoTitleDeleted val="0"/>
    <c:plotArea>
      <c:layout>
        <c:manualLayout>
          <c:layoutTarget val="inner"/>
          <c:xMode val="edge"/>
          <c:yMode val="edge"/>
          <c:x val="5.8823631809185276E-2"/>
          <c:y val="0.27868852459016391"/>
          <c:w val="0.82353084532859389"/>
          <c:h val="0.43606557377049182"/>
        </c:manualLayout>
      </c:layout>
      <c:lineChart>
        <c:grouping val="standard"/>
        <c:varyColors val="0"/>
        <c:ser>
          <c:idx val="0"/>
          <c:order val="0"/>
          <c:tx>
            <c:v>Cebo o Cebadero</c:v>
          </c:tx>
          <c:spPr>
            <a:ln w="12700">
              <a:solidFill>
                <a:srgbClr val="000080"/>
              </a:solidFill>
              <a:prstDash val="solid"/>
            </a:ln>
          </c:spPr>
          <c:marker>
            <c:symbol val="diamond"/>
            <c:size val="5"/>
            <c:spPr>
              <a:solidFill>
                <a:srgbClr val="000080"/>
              </a:solidFill>
              <a:ln>
                <a:solidFill>
                  <a:srgbClr val="000080"/>
                </a:solidFill>
                <a:prstDash val="solid"/>
              </a:ln>
            </c:spPr>
          </c:marker>
          <c:cat>
            <c:numRef>
              <c:f>'7.2- CAPRINO (SUBEXPLOT)'!$C$16:$M$16</c:f>
              <c:numCache>
                <c:formatCode>[$-C0A]d\-mmm\-yy;@</c:formatCode>
                <c:ptCount val="11"/>
                <c:pt idx="0">
                  <c:v>0</c:v>
                </c:pt>
                <c:pt idx="1">
                  <c:v>38899</c:v>
                </c:pt>
                <c:pt idx="2">
                  <c:v>39083</c:v>
                </c:pt>
                <c:pt idx="3">
                  <c:v>39264</c:v>
                </c:pt>
                <c:pt idx="4">
                  <c:v>39448</c:v>
                </c:pt>
                <c:pt idx="5">
                  <c:v>39630</c:v>
                </c:pt>
                <c:pt idx="6">
                  <c:v>39814</c:v>
                </c:pt>
                <c:pt idx="7">
                  <c:v>39995</c:v>
                </c:pt>
                <c:pt idx="8">
                  <c:v>40179</c:v>
                </c:pt>
                <c:pt idx="9">
                  <c:v>40360</c:v>
                </c:pt>
                <c:pt idx="10">
                  <c:v>40544</c:v>
                </c:pt>
              </c:numCache>
            </c:numRef>
          </c:cat>
          <c:val>
            <c:numRef>
              <c:f>'7.2- CAPRINO (SUBEXPLOT)'!$C$18:$M$18</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0-75EA-4481-A4BD-33006D832E0D}"/>
            </c:ext>
          </c:extLst>
        </c:ser>
        <c:dLbls>
          <c:showLegendKey val="0"/>
          <c:showVal val="0"/>
          <c:showCatName val="0"/>
          <c:showSerName val="0"/>
          <c:showPercent val="0"/>
          <c:showBubbleSize val="0"/>
        </c:dLbls>
        <c:marker val="1"/>
        <c:smooth val="0"/>
        <c:axId val="138201600"/>
        <c:axId val="136743744"/>
      </c:lineChart>
      <c:catAx>
        <c:axId val="138201600"/>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Fecha</a:t>
                </a:r>
              </a:p>
            </c:rich>
          </c:tx>
          <c:layout>
            <c:manualLayout>
              <c:xMode val="edge"/>
              <c:yMode val="edge"/>
              <c:x val="0.43850342236632184"/>
              <c:y val="0.85245901639344257"/>
            </c:manualLayout>
          </c:layout>
          <c:overlay val="0"/>
          <c:spPr>
            <a:noFill/>
            <a:ln w="25400">
              <a:noFill/>
            </a:ln>
          </c:spPr>
        </c:title>
        <c:numFmt formatCode="dd\-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36743744"/>
        <c:crosses val="autoZero"/>
        <c:auto val="0"/>
        <c:lblAlgn val="ctr"/>
        <c:lblOffset val="100"/>
        <c:tickLblSkip val="1"/>
        <c:tickMarkSkip val="1"/>
        <c:noMultiLvlLbl val="0"/>
      </c:catAx>
      <c:valAx>
        <c:axId val="136743744"/>
        <c:scaling>
          <c:orientation val="minMax"/>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38201600"/>
        <c:crosses val="autoZero"/>
        <c:crossBetween val="between"/>
      </c:valAx>
      <c:spPr>
        <a:solidFill>
          <a:srgbClr val="C0C0C0"/>
        </a:solidFill>
        <a:ln w="12700">
          <a:solidFill>
            <a:srgbClr val="808080"/>
          </a:solidFill>
          <a:prstDash val="solid"/>
        </a:ln>
      </c:spPr>
    </c:plotArea>
    <c:legend>
      <c:legendPos val="r"/>
      <c:layout>
        <c:manualLayout>
          <c:xMode val="edge"/>
          <c:yMode val="edge"/>
          <c:x val="0.84492128323531746"/>
          <c:y val="0.5540983606557377"/>
          <c:w val="0.1479502762689423"/>
          <c:h val="0.13114754098360659"/>
        </c:manualLayout>
      </c:layout>
      <c:overlay val="0"/>
      <c:spPr>
        <a:solidFill>
          <a:srgbClr val="FFFFFF"/>
        </a:solidFill>
        <a:ln w="3175">
          <a:solidFill>
            <a:srgbClr val="000000"/>
          </a:solidFill>
          <a:prstDash val="solid"/>
        </a:ln>
      </c:spPr>
      <c:txPr>
        <a:bodyPr/>
        <a:lstStyle/>
        <a:p>
          <a:pPr>
            <a:defRPr sz="570" b="0" i="0" u="none" strike="noStrike" baseline="0">
              <a:solidFill>
                <a:srgbClr val="000000"/>
              </a:solidFill>
              <a:latin typeface="Arial"/>
              <a:ea typeface="Arial"/>
              <a:cs typeface="Arial"/>
            </a:defRPr>
          </a:pPr>
          <a:endParaRPr lang="es-ES"/>
        </a:p>
      </c:txPr>
    </c:legend>
    <c:plotVisOnly val="1"/>
    <c:dispBlanksAs val="gap"/>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ES"/>
              <a:t>Nº de Subexplotaciones de Caprino por Clasificación Zootécnica y C.A.</a:t>
            </a:r>
          </a:p>
        </c:rich>
      </c:tx>
      <c:layout>
        <c:manualLayout>
          <c:xMode val="edge"/>
          <c:yMode val="edge"/>
          <c:x val="0.11146013341738875"/>
          <c:y val="3.6184210526315791E-2"/>
        </c:manualLayout>
      </c:layout>
      <c:overlay val="0"/>
      <c:spPr>
        <a:noFill/>
        <a:ln w="25400">
          <a:noFill/>
        </a:ln>
      </c:spPr>
    </c:title>
    <c:autoTitleDeleted val="0"/>
    <c:plotArea>
      <c:layout>
        <c:manualLayout>
          <c:layoutTarget val="inner"/>
          <c:xMode val="edge"/>
          <c:yMode val="edge"/>
          <c:x val="7.6923135887166316E-2"/>
          <c:y val="0.24013196464452585"/>
          <c:w val="0.75510261962708158"/>
          <c:h val="0.50000080309545114"/>
        </c:manualLayout>
      </c:layout>
      <c:lineChart>
        <c:grouping val="standard"/>
        <c:varyColors val="0"/>
        <c:ser>
          <c:idx val="0"/>
          <c:order val="0"/>
          <c:tx>
            <c:v>Reproducción para producción de leche</c:v>
          </c:tx>
          <c:spPr>
            <a:ln w="12700">
              <a:solidFill>
                <a:srgbClr val="000080"/>
              </a:solidFill>
              <a:prstDash val="solid"/>
            </a:ln>
          </c:spPr>
          <c:marker>
            <c:symbol val="diamond"/>
            <c:size val="5"/>
            <c:spPr>
              <a:solidFill>
                <a:srgbClr val="000080"/>
              </a:solidFill>
              <a:ln>
                <a:solidFill>
                  <a:srgbClr val="000080"/>
                </a:solidFill>
                <a:prstDash val="solid"/>
              </a:ln>
            </c:spPr>
          </c:marker>
          <c:cat>
            <c:numRef>
              <c:f>'7.2- CAPRINO (SUBEXPLOT)'!$C$16:$M$16</c:f>
              <c:numCache>
                <c:formatCode>[$-C0A]d\-mmm\-yy;@</c:formatCode>
                <c:ptCount val="11"/>
                <c:pt idx="0">
                  <c:v>0</c:v>
                </c:pt>
                <c:pt idx="1">
                  <c:v>38899</c:v>
                </c:pt>
                <c:pt idx="2">
                  <c:v>39083</c:v>
                </c:pt>
                <c:pt idx="3">
                  <c:v>39264</c:v>
                </c:pt>
                <c:pt idx="4">
                  <c:v>39448</c:v>
                </c:pt>
                <c:pt idx="5">
                  <c:v>39630</c:v>
                </c:pt>
                <c:pt idx="6">
                  <c:v>39814</c:v>
                </c:pt>
                <c:pt idx="7">
                  <c:v>39995</c:v>
                </c:pt>
                <c:pt idx="8">
                  <c:v>40179</c:v>
                </c:pt>
                <c:pt idx="9">
                  <c:v>40360</c:v>
                </c:pt>
                <c:pt idx="10">
                  <c:v>40544</c:v>
                </c:pt>
              </c:numCache>
            </c:numRef>
          </c:cat>
          <c:val>
            <c:numRef>
              <c:f>'7.2- CAPRINO (SUBEXPLOT)'!$C$20:$M$20</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0-BFE3-47C4-9151-03F64BF0A569}"/>
            </c:ext>
          </c:extLst>
        </c:ser>
        <c:dLbls>
          <c:showLegendKey val="0"/>
          <c:showVal val="0"/>
          <c:showCatName val="0"/>
          <c:showSerName val="0"/>
          <c:showPercent val="0"/>
          <c:showBubbleSize val="0"/>
        </c:dLbls>
        <c:marker val="1"/>
        <c:smooth val="0"/>
        <c:axId val="138200064"/>
        <c:axId val="136745472"/>
      </c:lineChart>
      <c:catAx>
        <c:axId val="138200064"/>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Fecha</a:t>
                </a:r>
              </a:p>
            </c:rich>
          </c:tx>
          <c:layout>
            <c:manualLayout>
              <c:xMode val="edge"/>
              <c:yMode val="edge"/>
              <c:x val="0.42543204077512287"/>
              <c:y val="0.8782908550904821"/>
            </c:manualLayout>
          </c:layout>
          <c:overlay val="0"/>
          <c:spPr>
            <a:noFill/>
            <a:ln w="25400">
              <a:noFill/>
            </a:ln>
          </c:spPr>
        </c:title>
        <c:numFmt formatCode="dd\-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36745472"/>
        <c:crosses val="autoZero"/>
        <c:auto val="0"/>
        <c:lblAlgn val="ctr"/>
        <c:lblOffset val="100"/>
        <c:tickLblSkip val="1"/>
        <c:tickMarkSkip val="1"/>
        <c:noMultiLvlLbl val="0"/>
      </c:catAx>
      <c:valAx>
        <c:axId val="136745472"/>
        <c:scaling>
          <c:orientation val="minMax"/>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38200064"/>
        <c:crosses val="autoZero"/>
        <c:crossBetween val="between"/>
      </c:valAx>
      <c:spPr>
        <a:solidFill>
          <a:srgbClr val="C0C0C0"/>
        </a:solidFill>
        <a:ln w="12700">
          <a:solidFill>
            <a:srgbClr val="808080"/>
          </a:solidFill>
          <a:prstDash val="solid"/>
        </a:ln>
      </c:spPr>
    </c:plotArea>
    <c:legend>
      <c:legendPos val="r"/>
      <c:layout>
        <c:manualLayout>
          <c:xMode val="edge"/>
          <c:yMode val="edge"/>
          <c:x val="0.80847789630691769"/>
          <c:y val="0.49890419947506559"/>
          <c:w val="0.18367363420231808"/>
          <c:h val="0.16885999447437494"/>
        </c:manualLayout>
      </c:layout>
      <c:overlay val="0"/>
      <c:spPr>
        <a:solidFill>
          <a:srgbClr val="FFFFFF"/>
        </a:solidFill>
        <a:ln w="3175">
          <a:solidFill>
            <a:srgbClr val="000000"/>
          </a:solidFill>
          <a:prstDash val="solid"/>
        </a:ln>
      </c:spPr>
      <c:txPr>
        <a:bodyPr/>
        <a:lstStyle/>
        <a:p>
          <a:pPr>
            <a:defRPr sz="570" b="0" i="0" u="none" strike="noStrike" baseline="0">
              <a:solidFill>
                <a:srgbClr val="000000"/>
              </a:solidFill>
              <a:latin typeface="Arial"/>
              <a:ea typeface="Arial"/>
              <a:cs typeface="Arial"/>
            </a:defRPr>
          </a:pPr>
          <a:endParaRPr lang="es-ES"/>
        </a:p>
      </c:txPr>
    </c:legend>
    <c:plotVisOnly val="1"/>
    <c:dispBlanksAs val="gap"/>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ES"/>
              <a:t>Nº de Subexplotaciones de Caprino por Clasificación Zootécnica y C.A.</a:t>
            </a:r>
          </a:p>
        </c:rich>
      </c:tx>
      <c:layout>
        <c:manualLayout>
          <c:xMode val="edge"/>
          <c:yMode val="edge"/>
          <c:x val="0.1357142857142857"/>
          <c:y val="3.8596491228070177E-2"/>
        </c:manualLayout>
      </c:layout>
      <c:overlay val="0"/>
      <c:spPr>
        <a:noFill/>
        <a:ln w="25400">
          <a:noFill/>
        </a:ln>
      </c:spPr>
    </c:title>
    <c:autoTitleDeleted val="0"/>
    <c:plotArea>
      <c:layout>
        <c:manualLayout>
          <c:layoutTarget val="inner"/>
          <c:xMode val="edge"/>
          <c:yMode val="edge"/>
          <c:x val="7.4999999999999997E-2"/>
          <c:y val="0.2280709569317329"/>
          <c:w val="0.7678571428571429"/>
          <c:h val="0.49122975339142472"/>
        </c:manualLayout>
      </c:layout>
      <c:lineChart>
        <c:grouping val="standard"/>
        <c:varyColors val="0"/>
        <c:ser>
          <c:idx val="0"/>
          <c:order val="0"/>
          <c:tx>
            <c:v>Reproducción para producción de carne</c:v>
          </c:tx>
          <c:spPr>
            <a:ln w="12700">
              <a:solidFill>
                <a:srgbClr val="000080"/>
              </a:solidFill>
              <a:prstDash val="solid"/>
            </a:ln>
          </c:spPr>
          <c:marker>
            <c:symbol val="diamond"/>
            <c:size val="5"/>
            <c:spPr>
              <a:solidFill>
                <a:srgbClr val="000080"/>
              </a:solidFill>
              <a:ln>
                <a:solidFill>
                  <a:srgbClr val="000080"/>
                </a:solidFill>
                <a:prstDash val="solid"/>
              </a:ln>
            </c:spPr>
          </c:marker>
          <c:cat>
            <c:numRef>
              <c:f>'7.2- CAPRINO (SUBEXPLOT)'!$C$16:$M$16</c:f>
              <c:numCache>
                <c:formatCode>[$-C0A]d\-mmm\-yy;@</c:formatCode>
                <c:ptCount val="11"/>
                <c:pt idx="0">
                  <c:v>0</c:v>
                </c:pt>
                <c:pt idx="1">
                  <c:v>38899</c:v>
                </c:pt>
                <c:pt idx="2">
                  <c:v>39083</c:v>
                </c:pt>
                <c:pt idx="3">
                  <c:v>39264</c:v>
                </c:pt>
                <c:pt idx="4">
                  <c:v>39448</c:v>
                </c:pt>
                <c:pt idx="5">
                  <c:v>39630</c:v>
                </c:pt>
                <c:pt idx="6">
                  <c:v>39814</c:v>
                </c:pt>
                <c:pt idx="7">
                  <c:v>39995</c:v>
                </c:pt>
                <c:pt idx="8">
                  <c:v>40179</c:v>
                </c:pt>
                <c:pt idx="9">
                  <c:v>40360</c:v>
                </c:pt>
                <c:pt idx="10">
                  <c:v>40544</c:v>
                </c:pt>
              </c:numCache>
            </c:numRef>
          </c:cat>
          <c:val>
            <c:numRef>
              <c:f>'7.2- CAPRINO (SUBEXPLOT)'!$C$22:$M$22</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0-A10C-45F7-9440-DCD3ECCAD6BB}"/>
            </c:ext>
          </c:extLst>
        </c:ser>
        <c:dLbls>
          <c:showLegendKey val="0"/>
          <c:showVal val="0"/>
          <c:showCatName val="0"/>
          <c:showSerName val="0"/>
          <c:showPercent val="0"/>
          <c:showBubbleSize val="0"/>
        </c:dLbls>
        <c:marker val="1"/>
        <c:smooth val="0"/>
        <c:axId val="138202624"/>
        <c:axId val="136748352"/>
      </c:lineChart>
      <c:catAx>
        <c:axId val="138202624"/>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Fecha</a:t>
                </a:r>
              </a:p>
            </c:rich>
          </c:tx>
          <c:layout>
            <c:manualLayout>
              <c:xMode val="edge"/>
              <c:yMode val="edge"/>
              <c:x val="0.42678571428571427"/>
              <c:y val="0.86666961366671269"/>
            </c:manualLayout>
          </c:layout>
          <c:overlay val="0"/>
          <c:spPr>
            <a:noFill/>
            <a:ln w="25400">
              <a:noFill/>
            </a:ln>
          </c:spPr>
        </c:title>
        <c:numFmt formatCode="dd\-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36748352"/>
        <c:crosses val="autoZero"/>
        <c:auto val="0"/>
        <c:lblAlgn val="ctr"/>
        <c:lblOffset val="100"/>
        <c:tickLblSkip val="1"/>
        <c:tickMarkSkip val="1"/>
        <c:noMultiLvlLbl val="0"/>
      </c:catAx>
      <c:valAx>
        <c:axId val="136748352"/>
        <c:scaling>
          <c:orientation val="minMax"/>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38202624"/>
        <c:crosses val="autoZero"/>
        <c:crossBetween val="between"/>
      </c:valAx>
      <c:spPr>
        <a:solidFill>
          <a:srgbClr val="C0C0C0"/>
        </a:solidFill>
        <a:ln w="12700">
          <a:solidFill>
            <a:srgbClr val="808080"/>
          </a:solidFill>
          <a:prstDash val="solid"/>
        </a:ln>
      </c:spPr>
    </c:plotArea>
    <c:legend>
      <c:legendPos val="r"/>
      <c:layout>
        <c:manualLayout>
          <c:xMode val="edge"/>
          <c:yMode val="edge"/>
          <c:x val="0.79226190476190472"/>
          <c:y val="0.47836404659943821"/>
          <c:w val="0.19107142857142856"/>
          <c:h val="0.20117069576829205"/>
        </c:manualLayout>
      </c:layout>
      <c:overlay val="0"/>
      <c:spPr>
        <a:solidFill>
          <a:srgbClr val="FFFFFF"/>
        </a:solidFill>
        <a:ln w="3175">
          <a:solidFill>
            <a:srgbClr val="000000"/>
          </a:solidFill>
          <a:prstDash val="solid"/>
        </a:ln>
      </c:spPr>
      <c:txPr>
        <a:bodyPr/>
        <a:lstStyle/>
        <a:p>
          <a:pPr>
            <a:defRPr sz="570" b="0" i="0" u="none" strike="noStrike" baseline="0">
              <a:solidFill>
                <a:srgbClr val="000000"/>
              </a:solidFill>
              <a:latin typeface="Arial"/>
              <a:ea typeface="Arial"/>
              <a:cs typeface="Arial"/>
            </a:defRPr>
          </a:pPr>
          <a:endParaRPr lang="es-ES"/>
        </a:p>
      </c:txPr>
    </c:legend>
    <c:plotVisOnly val="1"/>
    <c:dispBlanksAs val="gap"/>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ES"/>
              <a:t>Nº de Subexplotaciones de Caprino por Clasificación Zootécnica y C.A.</a:t>
            </a:r>
          </a:p>
        </c:rich>
      </c:tx>
      <c:layout>
        <c:manualLayout>
          <c:xMode val="edge"/>
          <c:yMode val="edge"/>
          <c:x val="0.11459985084282047"/>
          <c:y val="3.5087719298245612E-2"/>
        </c:manualLayout>
      </c:layout>
      <c:overlay val="0"/>
      <c:spPr>
        <a:noFill/>
        <a:ln w="25400">
          <a:noFill/>
        </a:ln>
      </c:spPr>
    </c:title>
    <c:autoTitleDeleted val="0"/>
    <c:plotArea>
      <c:layout>
        <c:manualLayout>
          <c:layoutTarget val="inner"/>
          <c:xMode val="edge"/>
          <c:yMode val="edge"/>
          <c:x val="6.5934116474713991E-2"/>
          <c:y val="0.23157974088452879"/>
          <c:w val="0.77865051836805088"/>
          <c:h val="0.48772096943862886"/>
        </c:manualLayout>
      </c:layout>
      <c:lineChart>
        <c:grouping val="standard"/>
        <c:varyColors val="0"/>
        <c:ser>
          <c:idx val="0"/>
          <c:order val="0"/>
          <c:tx>
            <c:v>Reproducción Mixta</c:v>
          </c:tx>
          <c:spPr>
            <a:ln w="12700">
              <a:solidFill>
                <a:srgbClr val="000080"/>
              </a:solidFill>
              <a:prstDash val="solid"/>
            </a:ln>
          </c:spPr>
          <c:marker>
            <c:symbol val="diamond"/>
            <c:size val="5"/>
            <c:spPr>
              <a:solidFill>
                <a:srgbClr val="000080"/>
              </a:solidFill>
              <a:ln>
                <a:solidFill>
                  <a:srgbClr val="000080"/>
                </a:solidFill>
                <a:prstDash val="solid"/>
              </a:ln>
            </c:spPr>
          </c:marker>
          <c:cat>
            <c:numRef>
              <c:f>'7.2- CAPRINO (SUBEXPLOT)'!$C$16:$M$16</c:f>
              <c:numCache>
                <c:formatCode>[$-C0A]d\-mmm\-yy;@</c:formatCode>
                <c:ptCount val="11"/>
                <c:pt idx="0">
                  <c:v>0</c:v>
                </c:pt>
                <c:pt idx="1">
                  <c:v>38899</c:v>
                </c:pt>
                <c:pt idx="2">
                  <c:v>39083</c:v>
                </c:pt>
                <c:pt idx="3">
                  <c:v>39264</c:v>
                </c:pt>
                <c:pt idx="4">
                  <c:v>39448</c:v>
                </c:pt>
                <c:pt idx="5">
                  <c:v>39630</c:v>
                </c:pt>
                <c:pt idx="6">
                  <c:v>39814</c:v>
                </c:pt>
                <c:pt idx="7">
                  <c:v>39995</c:v>
                </c:pt>
                <c:pt idx="8">
                  <c:v>40179</c:v>
                </c:pt>
                <c:pt idx="9">
                  <c:v>40360</c:v>
                </c:pt>
                <c:pt idx="10">
                  <c:v>40544</c:v>
                </c:pt>
              </c:numCache>
            </c:numRef>
          </c:cat>
          <c:val>
            <c:numRef>
              <c:f>'7.2- CAPRINO (SUBEXPLOT)'!$C$24:$M$24</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0-3C2A-4D5F-97DD-92432F22AEB0}"/>
            </c:ext>
          </c:extLst>
        </c:ser>
        <c:dLbls>
          <c:showLegendKey val="0"/>
          <c:showVal val="0"/>
          <c:showCatName val="0"/>
          <c:showSerName val="0"/>
          <c:showPercent val="0"/>
          <c:showBubbleSize val="0"/>
        </c:dLbls>
        <c:marker val="1"/>
        <c:smooth val="0"/>
        <c:axId val="139202560"/>
        <c:axId val="137593984"/>
      </c:lineChart>
      <c:catAx>
        <c:axId val="139202560"/>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Fecha</a:t>
                </a:r>
              </a:p>
            </c:rich>
          </c:tx>
          <c:layout>
            <c:manualLayout>
              <c:xMode val="edge"/>
              <c:yMode val="edge"/>
              <c:x val="0.42700189948783873"/>
              <c:y val="0.86666961366671269"/>
            </c:manualLayout>
          </c:layout>
          <c:overlay val="0"/>
          <c:spPr>
            <a:noFill/>
            <a:ln w="25400">
              <a:noFill/>
            </a:ln>
          </c:spPr>
        </c:title>
        <c:numFmt formatCode="dd\-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37593984"/>
        <c:crosses val="autoZero"/>
        <c:auto val="0"/>
        <c:lblAlgn val="ctr"/>
        <c:lblOffset val="100"/>
        <c:tickLblSkip val="1"/>
        <c:tickMarkSkip val="1"/>
        <c:noMultiLvlLbl val="0"/>
      </c:catAx>
      <c:valAx>
        <c:axId val="137593984"/>
        <c:scaling>
          <c:orientation val="minMax"/>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39202560"/>
        <c:crosses val="autoZero"/>
        <c:crossBetween val="between"/>
      </c:valAx>
      <c:spPr>
        <a:solidFill>
          <a:srgbClr val="C0C0C0"/>
        </a:solidFill>
        <a:ln w="12700">
          <a:solidFill>
            <a:srgbClr val="808080"/>
          </a:solidFill>
          <a:prstDash val="solid"/>
        </a:ln>
      </c:spPr>
    </c:plotArea>
    <c:legend>
      <c:legendPos val="r"/>
      <c:layout>
        <c:manualLayout>
          <c:xMode val="edge"/>
          <c:yMode val="edge"/>
          <c:x val="0.82888605957222372"/>
          <c:y val="0.53801316940645583"/>
          <c:w val="0.1648353296497278"/>
          <c:h val="0.14269079522954364"/>
        </c:manualLayout>
      </c:layout>
      <c:overlay val="0"/>
      <c:spPr>
        <a:solidFill>
          <a:srgbClr val="FFFFFF"/>
        </a:solidFill>
        <a:ln w="3175">
          <a:solidFill>
            <a:srgbClr val="000000"/>
          </a:solidFill>
          <a:prstDash val="solid"/>
        </a:ln>
      </c:spPr>
      <c:txPr>
        <a:bodyPr/>
        <a:lstStyle/>
        <a:p>
          <a:pPr>
            <a:defRPr sz="570" b="0" i="0" u="none" strike="noStrike" baseline="0">
              <a:solidFill>
                <a:srgbClr val="000000"/>
              </a:solidFill>
              <a:latin typeface="Arial"/>
              <a:ea typeface="Arial"/>
              <a:cs typeface="Arial"/>
            </a:defRPr>
          </a:pPr>
          <a:endParaRPr lang="es-ES"/>
        </a:p>
      </c:txPr>
    </c:legend>
    <c:plotVisOnly val="1"/>
    <c:dispBlanksAs val="gap"/>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ES"/>
              <a:t>Nº de Subexplotaciones de Caprino por C.A.</a:t>
            </a:r>
          </a:p>
        </c:rich>
      </c:tx>
      <c:layout>
        <c:manualLayout>
          <c:xMode val="edge"/>
          <c:yMode val="edge"/>
          <c:x val="0.28032359162651838"/>
          <c:y val="4.195804195804196E-2"/>
        </c:manualLayout>
      </c:layout>
      <c:overlay val="0"/>
      <c:spPr>
        <a:noFill/>
        <a:ln w="25400">
          <a:noFill/>
        </a:ln>
      </c:spPr>
    </c:title>
    <c:autoTitleDeleted val="0"/>
    <c:plotArea>
      <c:layout>
        <c:manualLayout>
          <c:layoutTarget val="inner"/>
          <c:xMode val="edge"/>
          <c:yMode val="edge"/>
          <c:x val="7.6819457559974075E-2"/>
          <c:y val="0.17132896383468749"/>
          <c:w val="0.7776285440720182"/>
          <c:h val="0.60839264708644125"/>
        </c:manualLayout>
      </c:layout>
      <c:lineChart>
        <c:grouping val="standard"/>
        <c:varyColors val="0"/>
        <c:ser>
          <c:idx val="0"/>
          <c:order val="0"/>
          <c:tx>
            <c:v>Total (*)</c:v>
          </c:tx>
          <c:spPr>
            <a:ln w="12700">
              <a:solidFill>
                <a:srgbClr val="000080"/>
              </a:solidFill>
              <a:prstDash val="solid"/>
            </a:ln>
          </c:spPr>
          <c:marker>
            <c:symbol val="diamond"/>
            <c:size val="5"/>
            <c:spPr>
              <a:solidFill>
                <a:srgbClr val="000080"/>
              </a:solidFill>
              <a:ln>
                <a:solidFill>
                  <a:srgbClr val="000080"/>
                </a:solidFill>
                <a:prstDash val="solid"/>
              </a:ln>
            </c:spPr>
          </c:marker>
          <c:cat>
            <c:numRef>
              <c:f>'7.2- CAPRINO (SUBEXPLOT)'!$C$16:$M$16</c:f>
              <c:numCache>
                <c:formatCode>[$-C0A]d\-mmm\-yy;@</c:formatCode>
                <c:ptCount val="11"/>
                <c:pt idx="0">
                  <c:v>0</c:v>
                </c:pt>
                <c:pt idx="1">
                  <c:v>38899</c:v>
                </c:pt>
                <c:pt idx="2">
                  <c:v>39083</c:v>
                </c:pt>
                <c:pt idx="3">
                  <c:v>39264</c:v>
                </c:pt>
                <c:pt idx="4">
                  <c:v>39448</c:v>
                </c:pt>
                <c:pt idx="5">
                  <c:v>39630</c:v>
                </c:pt>
                <c:pt idx="6">
                  <c:v>39814</c:v>
                </c:pt>
                <c:pt idx="7">
                  <c:v>39995</c:v>
                </c:pt>
                <c:pt idx="8">
                  <c:v>40179</c:v>
                </c:pt>
                <c:pt idx="9">
                  <c:v>40360</c:v>
                </c:pt>
                <c:pt idx="10">
                  <c:v>40544</c:v>
                </c:pt>
              </c:numCache>
            </c:numRef>
          </c:cat>
          <c:val>
            <c:numRef>
              <c:f>'7.2- CAPRINO (SUBEXPLOT)'!$C$28:$M$28</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0-5F25-4E57-8144-BA13F9D36B1A}"/>
            </c:ext>
          </c:extLst>
        </c:ser>
        <c:dLbls>
          <c:showLegendKey val="0"/>
          <c:showVal val="0"/>
          <c:showCatName val="0"/>
          <c:showSerName val="0"/>
          <c:showPercent val="0"/>
          <c:showBubbleSize val="0"/>
        </c:dLbls>
        <c:marker val="1"/>
        <c:smooth val="0"/>
        <c:axId val="139203072"/>
        <c:axId val="137595712"/>
      </c:lineChart>
      <c:catAx>
        <c:axId val="139203072"/>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Fecha</a:t>
                </a:r>
              </a:p>
            </c:rich>
          </c:tx>
          <c:layout>
            <c:manualLayout>
              <c:xMode val="edge"/>
              <c:yMode val="edge"/>
              <c:x val="0.44070109160883192"/>
              <c:y val="0.87412734247379908"/>
            </c:manualLayout>
          </c:layout>
          <c:overlay val="0"/>
          <c:spPr>
            <a:noFill/>
            <a:ln w="25400">
              <a:noFill/>
            </a:ln>
          </c:spPr>
        </c:title>
        <c:numFmt formatCode="dd\-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37595712"/>
        <c:crosses val="autoZero"/>
        <c:auto val="0"/>
        <c:lblAlgn val="ctr"/>
        <c:lblOffset val="100"/>
        <c:tickLblSkip val="1"/>
        <c:tickMarkSkip val="1"/>
        <c:noMultiLvlLbl val="0"/>
      </c:catAx>
      <c:valAx>
        <c:axId val="137595712"/>
        <c:scaling>
          <c:orientation val="minMax"/>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39203072"/>
        <c:crosses val="autoZero"/>
        <c:crossBetween val="between"/>
      </c:valAx>
      <c:spPr>
        <a:solidFill>
          <a:srgbClr val="C0C0C0"/>
        </a:solidFill>
        <a:ln w="12700">
          <a:solidFill>
            <a:srgbClr val="808080"/>
          </a:solidFill>
          <a:prstDash val="solid"/>
        </a:ln>
      </c:spPr>
    </c:plotArea>
    <c:legend>
      <c:legendPos val="r"/>
      <c:layout>
        <c:manualLayout>
          <c:xMode val="edge"/>
          <c:yMode val="edge"/>
          <c:x val="0.87870676542790638"/>
          <c:y val="0.50000073417396251"/>
          <c:w val="0.11051227087180138"/>
          <c:h val="7.3426573426573438E-2"/>
        </c:manualLayout>
      </c:layout>
      <c:overlay val="0"/>
      <c:spPr>
        <a:solidFill>
          <a:srgbClr val="FFFFFF"/>
        </a:solidFill>
        <a:ln w="3175">
          <a:solidFill>
            <a:srgbClr val="000000"/>
          </a:solidFill>
          <a:prstDash val="solid"/>
        </a:ln>
      </c:spPr>
      <c:txPr>
        <a:bodyPr/>
        <a:lstStyle/>
        <a:p>
          <a:pPr>
            <a:defRPr sz="630" b="0" i="0" u="none" strike="noStrike" baseline="0">
              <a:solidFill>
                <a:srgbClr val="000000"/>
              </a:solidFill>
              <a:latin typeface="Arial"/>
              <a:ea typeface="Arial"/>
              <a:cs typeface="Arial"/>
            </a:defRPr>
          </a:pPr>
          <a:endParaRPr lang="es-ES"/>
        </a:p>
      </c:txPr>
    </c:legend>
    <c:plotVisOnly val="1"/>
    <c:dispBlanksAs val="gap"/>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AUX!$H$38</c:f>
          <c:strCache>
            <c:ptCount val="1"/>
            <c:pt idx="0">
              <c:v>Distribución de las Subexplotaciones de Caprino 
por Clasificación Zootécnica y C.A.  
(31 de diciembre de 1904)</c:v>
            </c:pt>
          </c:strCache>
        </c:strRef>
      </c:tx>
      <c:layout>
        <c:manualLayout>
          <c:xMode val="edge"/>
          <c:yMode val="edge"/>
          <c:x val="0.30105263157894735"/>
          <c:y val="2.6573426573426574E-2"/>
        </c:manualLayout>
      </c:layout>
      <c:overlay val="0"/>
      <c:spPr>
        <a:noFill/>
        <a:ln w="25400">
          <a:noFill/>
        </a:ln>
      </c:spPr>
      <c:txPr>
        <a:bodyPr/>
        <a:lstStyle/>
        <a:p>
          <a:pPr>
            <a:defRPr sz="1000" b="0" i="0" u="none" strike="noStrike" baseline="0">
              <a:solidFill>
                <a:srgbClr val="000000"/>
              </a:solidFill>
              <a:latin typeface="Arial"/>
              <a:ea typeface="Arial"/>
              <a:cs typeface="Arial"/>
            </a:defRPr>
          </a:pPr>
          <a:endParaRPr lang="es-ES"/>
        </a:p>
      </c:txPr>
    </c:title>
    <c:autoTitleDeleted val="0"/>
    <c:plotArea>
      <c:layout>
        <c:manualLayout>
          <c:layoutTarget val="inner"/>
          <c:xMode val="edge"/>
          <c:yMode val="edge"/>
          <c:x val="0.24631578947368421"/>
          <c:y val="0.38181844256613484"/>
          <c:w val="0.33263157894736844"/>
          <c:h val="0.44195834377618537"/>
        </c:manualLayout>
      </c:layout>
      <c:pieChart>
        <c:varyColors val="1"/>
        <c:ser>
          <c:idx val="0"/>
          <c:order val="0"/>
          <c:spPr>
            <a:solidFill>
              <a:srgbClr val="9999FF"/>
            </a:solidFill>
            <a:ln w="12700">
              <a:solidFill>
                <a:srgbClr val="000000"/>
              </a:solidFill>
              <a:prstDash val="solid"/>
            </a:ln>
          </c:spPr>
          <c:dPt>
            <c:idx val="0"/>
            <c:bubble3D val="0"/>
            <c:extLst>
              <c:ext xmlns:c16="http://schemas.microsoft.com/office/drawing/2014/chart" uri="{C3380CC4-5D6E-409C-BE32-E72D297353CC}">
                <c16:uniqueId val="{00000000-58F0-448B-8B88-E308C6F28689}"/>
              </c:ext>
            </c:extLst>
          </c:dPt>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2-58F0-448B-8B88-E308C6F28689}"/>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4-58F0-448B-8B88-E308C6F28689}"/>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6-58F0-448B-8B88-E308C6F28689}"/>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8-58F0-448B-8B88-E308C6F28689}"/>
              </c:ext>
            </c:extLst>
          </c:dPt>
          <c:dLbls>
            <c:dLbl>
              <c:idx val="0"/>
              <c:layout>
                <c:manualLayout>
                  <c:x val="3.1031910484873167E-4"/>
                  <c:y val="-0.12649391241412711"/>
                </c:manualLayout>
              </c:layout>
              <c:dLblPos val="bestFit"/>
              <c:showLegendKey val="1"/>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0-58F0-448B-8B88-E308C6F28689}"/>
                </c:ext>
              </c:extLst>
            </c:dLbl>
            <c:dLbl>
              <c:idx val="1"/>
              <c:layout>
                <c:manualLayout>
                  <c:x val="9.9848929410139536E-2"/>
                  <c:y val="-2.2424747703402091E-3"/>
                </c:manualLayout>
              </c:layout>
              <c:dLblPos val="bestFit"/>
              <c:showLegendKey val="1"/>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2-58F0-448B-8B88-E308C6F28689}"/>
                </c:ext>
              </c:extLst>
            </c:dLbl>
            <c:dLbl>
              <c:idx val="3"/>
              <c:layout>
                <c:manualLayout>
                  <c:x val="-1.341312335958007E-2"/>
                  <c:y val="-2.3262314866556645E-2"/>
                </c:manualLayout>
              </c:layout>
              <c:dLblPos val="bestFit"/>
              <c:showLegendKey val="1"/>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6-58F0-448B-8B88-E308C6F28689}"/>
                </c:ext>
              </c:extLst>
            </c:dLbl>
            <c:numFmt formatCode="0.0%" sourceLinked="0"/>
            <c:spPr>
              <a:noFill/>
              <a:ln w="25400">
                <a:noFill/>
              </a:ln>
            </c:spPr>
            <c:txPr>
              <a:bodyPr/>
              <a:lstStyle/>
              <a:p>
                <a:pPr>
                  <a:defRPr sz="1000" b="0" i="0" u="none" strike="noStrike" baseline="0">
                    <a:solidFill>
                      <a:srgbClr val="000000"/>
                    </a:solidFill>
                    <a:latin typeface="Arial"/>
                    <a:ea typeface="Arial"/>
                    <a:cs typeface="Arial"/>
                  </a:defRPr>
                </a:pPr>
                <a:endParaRPr lang="es-ES"/>
              </a:p>
            </c:txPr>
            <c:dLblPos val="bestFit"/>
            <c:showLegendKey val="1"/>
            <c:showVal val="0"/>
            <c:showCatName val="0"/>
            <c:showSerName val="0"/>
            <c:showPercent val="1"/>
            <c:showBubbleSize val="0"/>
            <c:showLeaderLines val="1"/>
            <c:extLst>
              <c:ext xmlns:c15="http://schemas.microsoft.com/office/drawing/2012/chart" uri="{CE6537A1-D6FC-4f65-9D91-7224C49458BB}"/>
            </c:extLst>
          </c:dLbls>
          <c:cat>
            <c:strRef>
              <c:f>'7.2- CAPRINO (SUBEXPLOT)'!$B$291:$B$295</c:f>
              <c:strCache>
                <c:ptCount val="5"/>
                <c:pt idx="0">
                  <c:v>Cebo o Cebadero</c:v>
                </c:pt>
                <c:pt idx="1">
                  <c:v>R. para Producción de Leche</c:v>
                </c:pt>
                <c:pt idx="2">
                  <c:v>R. para Producción de Carne</c:v>
                </c:pt>
                <c:pt idx="3">
                  <c:v>R. Mixta</c:v>
                </c:pt>
                <c:pt idx="4">
                  <c:v>Otras clasificaciones</c:v>
                </c:pt>
              </c:strCache>
            </c:strRef>
          </c:cat>
          <c:val>
            <c:numRef>
              <c:f>'7.2- CAPRINO (SUBEXPLOT)'!$C$291:$C$295</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09-58F0-448B-8B88-E308C6F28689}"/>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79789473684210521"/>
          <c:y val="0.47972057338986474"/>
          <c:w val="0.19789473684210523"/>
          <c:h val="0.14825189508654069"/>
        </c:manualLayout>
      </c:layout>
      <c:overlay val="0"/>
      <c:spPr>
        <a:solidFill>
          <a:srgbClr val="FFFFFF"/>
        </a:solidFill>
        <a:ln w="3175">
          <a:solidFill>
            <a:srgbClr val="000000"/>
          </a:solidFill>
          <a:prstDash val="solid"/>
        </a:ln>
      </c:spPr>
      <c:txPr>
        <a:bodyPr/>
        <a:lstStyle/>
        <a:p>
          <a:pPr>
            <a:defRPr sz="710" b="0" i="0" u="none" strike="noStrike" baseline="0">
              <a:solidFill>
                <a:srgbClr val="000000"/>
              </a:solidFill>
              <a:latin typeface="Arial"/>
              <a:ea typeface="Arial"/>
              <a:cs typeface="Arial"/>
            </a:defRPr>
          </a:pPr>
          <a:endParaRPr lang="es-ES"/>
        </a:p>
      </c:txPr>
    </c:legend>
    <c:plotVisOnly val="0"/>
    <c:dispBlanksAs val="zero"/>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Arial"/>
                <a:ea typeface="Arial"/>
                <a:cs typeface="Arial"/>
              </a:defRPr>
            </a:pPr>
            <a:r>
              <a:rPr lang="es-ES" sz="1200" b="1" i="0" u="none" strike="noStrike" baseline="0">
                <a:solidFill>
                  <a:srgbClr val="000000"/>
                </a:solidFill>
                <a:latin typeface="Arial"/>
                <a:cs typeface="Arial"/>
              </a:rPr>
              <a:t>Nº de Explotaciones por C.A. y Tipo</a:t>
            </a:r>
          </a:p>
          <a:p>
            <a:pPr>
              <a:defRPr sz="800" b="0" i="0" u="none" strike="noStrike" baseline="0">
                <a:solidFill>
                  <a:srgbClr val="000000"/>
                </a:solidFill>
                <a:latin typeface="Arial"/>
                <a:ea typeface="Arial"/>
                <a:cs typeface="Arial"/>
              </a:defRPr>
            </a:pPr>
            <a:r>
              <a:rPr lang="es-ES" sz="1200" b="1" i="0" u="none" strike="noStrike" baseline="0">
                <a:solidFill>
                  <a:srgbClr val="000000"/>
                </a:solidFill>
                <a:latin typeface="Arial"/>
                <a:cs typeface="Arial"/>
              </a:rPr>
              <a:t>(Sólo con Estado de Alta)</a:t>
            </a:r>
          </a:p>
        </c:rich>
      </c:tx>
      <c:layout>
        <c:manualLayout>
          <c:xMode val="edge"/>
          <c:yMode val="edge"/>
          <c:x val="0.11954782711934836"/>
          <c:y val="3.8327526132404179E-2"/>
        </c:manualLayout>
      </c:layout>
      <c:overlay val="0"/>
      <c:spPr>
        <a:noFill/>
        <a:ln w="25400">
          <a:noFill/>
        </a:ln>
      </c:spPr>
    </c:title>
    <c:autoTitleDeleted val="0"/>
    <c:plotArea>
      <c:layout>
        <c:manualLayout>
          <c:layoutTarget val="inner"/>
          <c:xMode val="edge"/>
          <c:yMode val="edge"/>
          <c:x val="9.0468568940397301E-2"/>
          <c:y val="0.22996515679442509"/>
          <c:w val="0.72859508200212819"/>
          <c:h val="0.49825783972125437"/>
        </c:manualLayout>
      </c:layout>
      <c:lineChart>
        <c:grouping val="standard"/>
        <c:varyColors val="0"/>
        <c:ser>
          <c:idx val="0"/>
          <c:order val="0"/>
          <c:tx>
            <c:v>Producción y Reproducción</c:v>
          </c:tx>
          <c:spPr>
            <a:ln w="12700">
              <a:solidFill>
                <a:srgbClr val="000080"/>
              </a:solidFill>
              <a:prstDash val="solid"/>
            </a:ln>
          </c:spPr>
          <c:marker>
            <c:symbol val="diamond"/>
            <c:size val="5"/>
            <c:spPr>
              <a:solidFill>
                <a:srgbClr val="000080"/>
              </a:solidFill>
              <a:ln>
                <a:solidFill>
                  <a:srgbClr val="000080"/>
                </a:solidFill>
                <a:prstDash val="solid"/>
              </a:ln>
            </c:spPr>
          </c:marker>
          <c:cat>
            <c:numRef>
              <c:f>'4- Nº Explot. por CA y Tipo'!$N$15:$X$15</c:f>
              <c:numCache>
                <c:formatCode>[$-C0A]d\-mmm\-yy;@</c:formatCode>
                <c:ptCount val="11"/>
                <c:pt idx="0">
                  <c:v>40179</c:v>
                </c:pt>
                <c:pt idx="1">
                  <c:v>38899</c:v>
                </c:pt>
                <c:pt idx="2">
                  <c:v>39083</c:v>
                </c:pt>
                <c:pt idx="3">
                  <c:v>39264</c:v>
                </c:pt>
                <c:pt idx="4">
                  <c:v>39448</c:v>
                </c:pt>
                <c:pt idx="5">
                  <c:v>39630</c:v>
                </c:pt>
                <c:pt idx="6">
                  <c:v>39814</c:v>
                </c:pt>
                <c:pt idx="7">
                  <c:v>39995</c:v>
                </c:pt>
                <c:pt idx="8">
                  <c:v>40179</c:v>
                </c:pt>
                <c:pt idx="9">
                  <c:v>40360</c:v>
                </c:pt>
                <c:pt idx="10">
                  <c:v>40544</c:v>
                </c:pt>
              </c:numCache>
            </c:numRef>
          </c:cat>
          <c:val>
            <c:numRef>
              <c:f>'4- Nº Explot. por CA y Tipo'!$N$16:$X$16</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0-B2D1-43D1-AEEB-AD8946F6DCF0}"/>
            </c:ext>
          </c:extLst>
        </c:ser>
        <c:ser>
          <c:idx val="2"/>
          <c:order val="1"/>
          <c:tx>
            <c:v>Total</c:v>
          </c:tx>
          <c:spPr>
            <a:ln w="12700">
              <a:solidFill>
                <a:srgbClr val="FF9900"/>
              </a:solidFill>
              <a:prstDash val="solid"/>
            </a:ln>
          </c:spPr>
          <c:marker>
            <c:symbol val="triangle"/>
            <c:size val="5"/>
            <c:spPr>
              <a:solidFill>
                <a:srgbClr val="FF9900"/>
              </a:solidFill>
              <a:ln>
                <a:solidFill>
                  <a:srgbClr val="FF9900"/>
                </a:solidFill>
                <a:prstDash val="solid"/>
              </a:ln>
            </c:spPr>
          </c:marker>
          <c:cat>
            <c:numRef>
              <c:f>'4- Nº Explot. por CA y Tipo'!$N$15:$X$15</c:f>
              <c:numCache>
                <c:formatCode>[$-C0A]d\-mmm\-yy;@</c:formatCode>
                <c:ptCount val="11"/>
                <c:pt idx="0">
                  <c:v>40179</c:v>
                </c:pt>
                <c:pt idx="1">
                  <c:v>38899</c:v>
                </c:pt>
                <c:pt idx="2">
                  <c:v>39083</c:v>
                </c:pt>
                <c:pt idx="3">
                  <c:v>39264</c:v>
                </c:pt>
                <c:pt idx="4">
                  <c:v>39448</c:v>
                </c:pt>
                <c:pt idx="5">
                  <c:v>39630</c:v>
                </c:pt>
                <c:pt idx="6">
                  <c:v>39814</c:v>
                </c:pt>
                <c:pt idx="7">
                  <c:v>39995</c:v>
                </c:pt>
                <c:pt idx="8">
                  <c:v>40179</c:v>
                </c:pt>
                <c:pt idx="9">
                  <c:v>40360</c:v>
                </c:pt>
                <c:pt idx="10">
                  <c:v>40544</c:v>
                </c:pt>
              </c:numCache>
            </c:numRef>
          </c:cat>
          <c:val>
            <c:numRef>
              <c:f>'4- Nº Explot. por CA y Tipo'!$N$18:$X$18</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1-B2D1-43D1-AEEB-AD8946F6DCF0}"/>
            </c:ext>
          </c:extLst>
        </c:ser>
        <c:dLbls>
          <c:showLegendKey val="0"/>
          <c:showVal val="0"/>
          <c:showCatName val="0"/>
          <c:showSerName val="0"/>
          <c:showPercent val="0"/>
          <c:showBubbleSize val="0"/>
        </c:dLbls>
        <c:marker val="1"/>
        <c:smooth val="0"/>
        <c:axId val="115533824"/>
        <c:axId val="117953600"/>
      </c:lineChart>
      <c:catAx>
        <c:axId val="115533824"/>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Fecha</a:t>
                </a:r>
              </a:p>
            </c:rich>
          </c:tx>
          <c:layout>
            <c:manualLayout>
              <c:xMode val="edge"/>
              <c:yMode val="edge"/>
              <c:x val="0.42487917604806669"/>
              <c:y val="0.87456445993031362"/>
            </c:manualLayout>
          </c:layout>
          <c:overlay val="0"/>
          <c:spPr>
            <a:noFill/>
            <a:ln w="25400">
              <a:noFill/>
            </a:ln>
          </c:spPr>
        </c:title>
        <c:numFmt formatCode="[$-C0A]d\-mmm\-yy;@"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17953600"/>
        <c:crosses val="autoZero"/>
        <c:auto val="0"/>
        <c:lblAlgn val="ctr"/>
        <c:lblOffset val="100"/>
        <c:tickLblSkip val="1"/>
        <c:tickMarkSkip val="1"/>
        <c:noMultiLvlLbl val="0"/>
      </c:catAx>
      <c:valAx>
        <c:axId val="117953600"/>
        <c:scaling>
          <c:orientation val="minMax"/>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15533824"/>
        <c:crosses val="autoZero"/>
        <c:crossBetween val="between"/>
      </c:valAx>
      <c:spPr>
        <a:solidFill>
          <a:srgbClr val="C0C0C0"/>
        </a:solidFill>
        <a:ln w="12700">
          <a:solidFill>
            <a:srgbClr val="808080"/>
          </a:solidFill>
          <a:prstDash val="solid"/>
        </a:ln>
      </c:spPr>
    </c:plotArea>
    <c:legend>
      <c:legendPos val="r"/>
      <c:layout>
        <c:manualLayout>
          <c:xMode val="edge"/>
          <c:yMode val="edge"/>
          <c:x val="0.81421715661955818"/>
          <c:y val="0.11498257839721254"/>
          <c:w val="0.17932165587540649"/>
          <c:h val="0.22648083623693377"/>
        </c:manualLayout>
      </c:layout>
      <c:overlay val="0"/>
      <c:spPr>
        <a:solidFill>
          <a:srgbClr val="FFFFFF"/>
        </a:solidFill>
        <a:ln w="3175">
          <a:solidFill>
            <a:srgbClr val="000000"/>
          </a:solidFill>
          <a:prstDash val="solid"/>
        </a:ln>
      </c:spPr>
      <c:txPr>
        <a:bodyPr/>
        <a:lstStyle/>
        <a:p>
          <a:pPr>
            <a:defRPr sz="570" b="0" i="0" u="none" strike="noStrike" baseline="0">
              <a:solidFill>
                <a:srgbClr val="000000"/>
              </a:solidFill>
              <a:latin typeface="Arial"/>
              <a:ea typeface="Arial"/>
              <a:cs typeface="Arial"/>
            </a:defRPr>
          </a:pPr>
          <a:endParaRPr lang="es-ES"/>
        </a:p>
      </c:txPr>
    </c:legend>
    <c:plotVisOnly val="1"/>
    <c:dispBlanksAs val="gap"/>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ES"/>
              <a:t>Censo de Ovino por Categoría y C.A.</a:t>
            </a:r>
          </a:p>
        </c:rich>
      </c:tx>
      <c:layout>
        <c:manualLayout>
          <c:xMode val="edge"/>
          <c:yMode val="edge"/>
          <c:x val="0.23106100373816907"/>
          <c:y val="3.4161490683229816E-2"/>
        </c:manualLayout>
      </c:layout>
      <c:overlay val="0"/>
      <c:spPr>
        <a:noFill/>
        <a:ln w="25400">
          <a:noFill/>
        </a:ln>
      </c:spPr>
    </c:title>
    <c:autoTitleDeleted val="0"/>
    <c:plotArea>
      <c:layout>
        <c:manualLayout>
          <c:layoutTarget val="inner"/>
          <c:xMode val="edge"/>
          <c:yMode val="edge"/>
          <c:x val="0.21022766155388398"/>
          <c:y val="0.18944128105784322"/>
          <c:w val="0.57007681196143312"/>
          <c:h val="0.48757837911608831"/>
        </c:manualLayout>
      </c:layout>
      <c:lineChart>
        <c:grouping val="standard"/>
        <c:varyColors val="0"/>
        <c:ser>
          <c:idx val="0"/>
          <c:order val="0"/>
          <c:tx>
            <c:v>No Reproductores de 4 a 12 meses</c:v>
          </c:tx>
          <c:spPr>
            <a:ln w="12700">
              <a:solidFill>
                <a:srgbClr val="000080"/>
              </a:solidFill>
              <a:prstDash val="solid"/>
            </a:ln>
          </c:spPr>
          <c:marker>
            <c:symbol val="diamond"/>
            <c:size val="5"/>
            <c:spPr>
              <a:solidFill>
                <a:srgbClr val="000080"/>
              </a:solidFill>
              <a:ln>
                <a:solidFill>
                  <a:srgbClr val="000080"/>
                </a:solidFill>
                <a:prstDash val="solid"/>
              </a:ln>
            </c:spPr>
          </c:marker>
          <c:cat>
            <c:numRef>
              <c:f>'8.1- OVINO (CENSO)'!$C$16:$M$16</c:f>
              <c:numCache>
                <c:formatCode>[$-C0A]d\-mmm\-yy;@</c:formatCode>
                <c:ptCount val="11"/>
                <c:pt idx="0">
                  <c:v>0</c:v>
                </c:pt>
                <c:pt idx="1">
                  <c:v>38899</c:v>
                </c:pt>
                <c:pt idx="2">
                  <c:v>39083</c:v>
                </c:pt>
                <c:pt idx="3">
                  <c:v>39264</c:v>
                </c:pt>
                <c:pt idx="4">
                  <c:v>39448</c:v>
                </c:pt>
                <c:pt idx="5">
                  <c:v>39630</c:v>
                </c:pt>
                <c:pt idx="6">
                  <c:v>39814</c:v>
                </c:pt>
                <c:pt idx="7">
                  <c:v>39995</c:v>
                </c:pt>
                <c:pt idx="8">
                  <c:v>40179</c:v>
                </c:pt>
                <c:pt idx="9">
                  <c:v>40360</c:v>
                </c:pt>
                <c:pt idx="10">
                  <c:v>40544</c:v>
                </c:pt>
              </c:numCache>
            </c:numRef>
          </c:cat>
          <c:val>
            <c:numRef>
              <c:f>'8.1- OVINO (CENSO)'!$C$18:$M$18</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0-E524-41FA-94F6-5A726DD43056}"/>
            </c:ext>
          </c:extLst>
        </c:ser>
        <c:dLbls>
          <c:showLegendKey val="0"/>
          <c:showVal val="0"/>
          <c:showCatName val="0"/>
          <c:showSerName val="0"/>
          <c:showPercent val="0"/>
          <c:showBubbleSize val="0"/>
        </c:dLbls>
        <c:marker val="1"/>
        <c:smooth val="0"/>
        <c:axId val="139206144"/>
        <c:axId val="139765440"/>
      </c:lineChart>
      <c:lineChart>
        <c:grouping val="standard"/>
        <c:varyColors val="0"/>
        <c:ser>
          <c:idx val="1"/>
          <c:order val="1"/>
          <c:tx>
            <c:v>No Reproductores menores de 4 meses</c:v>
          </c:tx>
          <c:spPr>
            <a:ln w="12700">
              <a:solidFill>
                <a:srgbClr val="FF00FF"/>
              </a:solidFill>
              <a:prstDash val="solid"/>
            </a:ln>
          </c:spPr>
          <c:marker>
            <c:symbol val="square"/>
            <c:size val="5"/>
            <c:spPr>
              <a:solidFill>
                <a:srgbClr val="FF00FF"/>
              </a:solidFill>
              <a:ln>
                <a:solidFill>
                  <a:srgbClr val="FF00FF"/>
                </a:solidFill>
                <a:prstDash val="solid"/>
              </a:ln>
            </c:spPr>
          </c:marker>
          <c:cat>
            <c:numRef>
              <c:f>'8.1- OVINO (CENSO)'!$C$16:$M$16</c:f>
              <c:numCache>
                <c:formatCode>[$-C0A]d\-mmm\-yy;@</c:formatCode>
                <c:ptCount val="11"/>
                <c:pt idx="0">
                  <c:v>0</c:v>
                </c:pt>
                <c:pt idx="1">
                  <c:v>38899</c:v>
                </c:pt>
                <c:pt idx="2">
                  <c:v>39083</c:v>
                </c:pt>
                <c:pt idx="3">
                  <c:v>39264</c:v>
                </c:pt>
                <c:pt idx="4">
                  <c:v>39448</c:v>
                </c:pt>
                <c:pt idx="5">
                  <c:v>39630</c:v>
                </c:pt>
                <c:pt idx="6">
                  <c:v>39814</c:v>
                </c:pt>
                <c:pt idx="7">
                  <c:v>39995</c:v>
                </c:pt>
                <c:pt idx="8">
                  <c:v>40179</c:v>
                </c:pt>
                <c:pt idx="9">
                  <c:v>40360</c:v>
                </c:pt>
                <c:pt idx="10">
                  <c:v>40544</c:v>
                </c:pt>
              </c:numCache>
            </c:numRef>
          </c:cat>
          <c:val>
            <c:numRef>
              <c:f>'8.1- OVINO (CENSO)'!$C$20:$M$20</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1-E524-41FA-94F6-5A726DD43056}"/>
            </c:ext>
          </c:extLst>
        </c:ser>
        <c:dLbls>
          <c:showLegendKey val="0"/>
          <c:showVal val="0"/>
          <c:showCatName val="0"/>
          <c:showSerName val="0"/>
          <c:showPercent val="0"/>
          <c:showBubbleSize val="0"/>
        </c:dLbls>
        <c:marker val="1"/>
        <c:smooth val="0"/>
        <c:axId val="140546560"/>
        <c:axId val="139766016"/>
      </c:lineChart>
      <c:catAx>
        <c:axId val="139206144"/>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Fecha</a:t>
                </a:r>
              </a:p>
            </c:rich>
          </c:tx>
          <c:layout>
            <c:manualLayout>
              <c:xMode val="edge"/>
              <c:yMode val="edge"/>
              <c:x val="0.46022806808239874"/>
              <c:y val="0.85403857126554827"/>
            </c:manualLayout>
          </c:layout>
          <c:overlay val="0"/>
          <c:spPr>
            <a:noFill/>
            <a:ln w="25400">
              <a:noFill/>
            </a:ln>
          </c:spPr>
        </c:title>
        <c:numFmt formatCode="dd\-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39765440"/>
        <c:crosses val="autoZero"/>
        <c:auto val="0"/>
        <c:lblAlgn val="ctr"/>
        <c:lblOffset val="100"/>
        <c:tickLblSkip val="1"/>
        <c:tickMarkSkip val="1"/>
        <c:noMultiLvlLbl val="0"/>
      </c:catAx>
      <c:valAx>
        <c:axId val="139765440"/>
        <c:scaling>
          <c:orientation val="minMax"/>
        </c:scaling>
        <c:delete val="0"/>
        <c:axPos val="l"/>
        <c:majorGridlines>
          <c:spPr>
            <a:ln w="3175">
              <a:solidFill>
                <a:srgbClr val="000000"/>
              </a:solidFill>
              <a:prstDash val="solid"/>
            </a:ln>
          </c:spPr>
        </c:majorGridlines>
        <c:title>
          <c:tx>
            <c:rich>
              <a:bodyPr/>
              <a:lstStyle/>
              <a:p>
                <a:pPr>
                  <a:defRPr sz="900" b="1" i="0" u="none" strike="noStrike" baseline="0">
                    <a:solidFill>
                      <a:srgbClr val="000080"/>
                    </a:solidFill>
                    <a:latin typeface="Arial"/>
                    <a:ea typeface="Arial"/>
                    <a:cs typeface="Arial"/>
                  </a:defRPr>
                </a:pPr>
                <a:r>
                  <a:rPr lang="es-ES"/>
                  <a:t>No Reproductores de 4 a 12 meses</a:t>
                </a:r>
              </a:p>
            </c:rich>
          </c:tx>
          <c:layout>
            <c:manualLayout>
              <c:xMode val="edge"/>
              <c:yMode val="edge"/>
              <c:x val="3.2196969696969696E-2"/>
              <c:y val="0.18012454964868521"/>
            </c:manualLayout>
          </c:layout>
          <c:overlay val="0"/>
          <c:spPr>
            <a:noFill/>
            <a:ln w="3175">
              <a:solidFill>
                <a:srgbClr val="000080"/>
              </a:solidFill>
              <a:prstDash val="solid"/>
            </a:ln>
          </c:spPr>
        </c:title>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39206144"/>
        <c:crosses val="autoZero"/>
        <c:crossBetween val="between"/>
      </c:valAx>
      <c:dateAx>
        <c:axId val="140546560"/>
        <c:scaling>
          <c:orientation val="minMax"/>
        </c:scaling>
        <c:delete val="1"/>
        <c:axPos val="b"/>
        <c:numFmt formatCode="[$-C0A]d\-mmm\-yy;@" sourceLinked="1"/>
        <c:majorTickMark val="out"/>
        <c:minorTickMark val="none"/>
        <c:tickLblPos val="nextTo"/>
        <c:crossAx val="139766016"/>
        <c:crosses val="autoZero"/>
        <c:auto val="1"/>
        <c:lblOffset val="100"/>
        <c:baseTimeUnit val="months"/>
      </c:dateAx>
      <c:valAx>
        <c:axId val="139766016"/>
        <c:scaling>
          <c:orientation val="minMax"/>
        </c:scaling>
        <c:delete val="0"/>
        <c:axPos val="r"/>
        <c:title>
          <c:tx>
            <c:rich>
              <a:bodyPr/>
              <a:lstStyle/>
              <a:p>
                <a:pPr>
                  <a:defRPr sz="900" b="1" i="0" u="none" strike="noStrike" baseline="0">
                    <a:solidFill>
                      <a:srgbClr val="FF00FF"/>
                    </a:solidFill>
                    <a:latin typeface="Arial"/>
                    <a:ea typeface="Arial"/>
                    <a:cs typeface="Arial"/>
                  </a:defRPr>
                </a:pPr>
                <a:r>
                  <a:rPr lang="es-ES"/>
                  <a:t>No Reproductores menores de 4 meses</a:t>
                </a:r>
              </a:p>
            </c:rich>
          </c:tx>
          <c:layout>
            <c:manualLayout>
              <c:xMode val="edge"/>
              <c:yMode val="edge"/>
              <c:x val="0.93371371192237329"/>
              <c:y val="0.1770189595865734"/>
            </c:manualLayout>
          </c:layout>
          <c:overlay val="0"/>
          <c:spPr>
            <a:noFill/>
            <a:ln w="3175">
              <a:solidFill>
                <a:srgbClr val="FF00FF"/>
              </a:solidFill>
              <a:prstDash val="solid"/>
            </a:ln>
          </c:spPr>
        </c:title>
        <c:numFmt formatCode="#,##0"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40546560"/>
        <c:crosses val="max"/>
        <c:crossBetween val="between"/>
      </c:valAx>
      <c:spPr>
        <a:solidFill>
          <a:srgbClr val="C0C0C0"/>
        </a:solidFill>
        <a:ln w="12700">
          <a:solidFill>
            <a:srgbClr val="808080"/>
          </a:solidFill>
          <a:prstDash val="solid"/>
        </a:ln>
      </c:spPr>
    </c:plotArea>
    <c:plotVisOnly val="1"/>
    <c:dispBlanksAs val="gap"/>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ES"/>
              <a:t>Censo de Ovino por Categoría y C.A.</a:t>
            </a:r>
          </a:p>
        </c:rich>
      </c:tx>
      <c:layout>
        <c:manualLayout>
          <c:xMode val="edge"/>
          <c:yMode val="edge"/>
          <c:x val="0.22630581235372657"/>
          <c:y val="3.4161490683229816E-2"/>
        </c:manualLayout>
      </c:layout>
      <c:overlay val="0"/>
      <c:spPr>
        <a:noFill/>
        <a:ln w="25400">
          <a:noFill/>
        </a:ln>
      </c:spPr>
    </c:title>
    <c:autoTitleDeleted val="0"/>
    <c:plotArea>
      <c:layout>
        <c:manualLayout>
          <c:layoutTarget val="inner"/>
          <c:xMode val="edge"/>
          <c:yMode val="edge"/>
          <c:x val="0.17214716451882528"/>
          <c:y val="0.20807484968648354"/>
          <c:w val="0.66924628003947806"/>
          <c:h val="0.50310635297328854"/>
        </c:manualLayout>
      </c:layout>
      <c:lineChart>
        <c:grouping val="standard"/>
        <c:varyColors val="0"/>
        <c:ser>
          <c:idx val="0"/>
          <c:order val="0"/>
          <c:tx>
            <c:v>Reproductoras Hembra</c:v>
          </c:tx>
          <c:spPr>
            <a:ln w="12700">
              <a:solidFill>
                <a:srgbClr val="000080"/>
              </a:solidFill>
              <a:prstDash val="solid"/>
            </a:ln>
          </c:spPr>
          <c:marker>
            <c:symbol val="diamond"/>
            <c:size val="5"/>
            <c:spPr>
              <a:solidFill>
                <a:srgbClr val="000080"/>
              </a:solidFill>
              <a:ln>
                <a:solidFill>
                  <a:srgbClr val="000080"/>
                </a:solidFill>
                <a:prstDash val="solid"/>
              </a:ln>
            </c:spPr>
          </c:marker>
          <c:cat>
            <c:numRef>
              <c:f>'8.1- OVINO (CENSO)'!$C$16:$M$16</c:f>
              <c:numCache>
                <c:formatCode>[$-C0A]d\-mmm\-yy;@</c:formatCode>
                <c:ptCount val="11"/>
                <c:pt idx="0">
                  <c:v>0</c:v>
                </c:pt>
                <c:pt idx="1">
                  <c:v>38899</c:v>
                </c:pt>
                <c:pt idx="2">
                  <c:v>39083</c:v>
                </c:pt>
                <c:pt idx="3">
                  <c:v>39264</c:v>
                </c:pt>
                <c:pt idx="4">
                  <c:v>39448</c:v>
                </c:pt>
                <c:pt idx="5">
                  <c:v>39630</c:v>
                </c:pt>
                <c:pt idx="6">
                  <c:v>39814</c:v>
                </c:pt>
                <c:pt idx="7">
                  <c:v>39995</c:v>
                </c:pt>
                <c:pt idx="8">
                  <c:v>40179</c:v>
                </c:pt>
                <c:pt idx="9">
                  <c:v>40360</c:v>
                </c:pt>
                <c:pt idx="10">
                  <c:v>40544</c:v>
                </c:pt>
              </c:numCache>
            </c:numRef>
          </c:cat>
          <c:val>
            <c:numRef>
              <c:f>'8.1- OVINO (CENSO)'!$C$22:$M$22</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0-2A46-49C0-A90B-315316912ECA}"/>
            </c:ext>
          </c:extLst>
        </c:ser>
        <c:dLbls>
          <c:showLegendKey val="0"/>
          <c:showVal val="0"/>
          <c:showCatName val="0"/>
          <c:showSerName val="0"/>
          <c:showPercent val="0"/>
          <c:showBubbleSize val="0"/>
        </c:dLbls>
        <c:marker val="1"/>
        <c:smooth val="0"/>
        <c:axId val="140547584"/>
        <c:axId val="139767168"/>
      </c:lineChart>
      <c:lineChart>
        <c:grouping val="standard"/>
        <c:varyColors val="0"/>
        <c:ser>
          <c:idx val="1"/>
          <c:order val="1"/>
          <c:tx>
            <c:v>Reproductores Macho</c:v>
          </c:tx>
          <c:spPr>
            <a:ln w="12700">
              <a:solidFill>
                <a:srgbClr val="FF00FF"/>
              </a:solidFill>
              <a:prstDash val="solid"/>
            </a:ln>
          </c:spPr>
          <c:marker>
            <c:symbol val="square"/>
            <c:size val="5"/>
            <c:spPr>
              <a:solidFill>
                <a:srgbClr val="FF00FF"/>
              </a:solidFill>
              <a:ln>
                <a:solidFill>
                  <a:srgbClr val="FF00FF"/>
                </a:solidFill>
                <a:prstDash val="solid"/>
              </a:ln>
            </c:spPr>
          </c:marker>
          <c:cat>
            <c:numRef>
              <c:f>'8.1- OVINO (CENSO)'!$C$16:$M$16</c:f>
              <c:numCache>
                <c:formatCode>[$-C0A]d\-mmm\-yy;@</c:formatCode>
                <c:ptCount val="11"/>
                <c:pt idx="0">
                  <c:v>0</c:v>
                </c:pt>
                <c:pt idx="1">
                  <c:v>38899</c:v>
                </c:pt>
                <c:pt idx="2">
                  <c:v>39083</c:v>
                </c:pt>
                <c:pt idx="3">
                  <c:v>39264</c:v>
                </c:pt>
                <c:pt idx="4">
                  <c:v>39448</c:v>
                </c:pt>
                <c:pt idx="5">
                  <c:v>39630</c:v>
                </c:pt>
                <c:pt idx="6">
                  <c:v>39814</c:v>
                </c:pt>
                <c:pt idx="7">
                  <c:v>39995</c:v>
                </c:pt>
                <c:pt idx="8">
                  <c:v>40179</c:v>
                </c:pt>
                <c:pt idx="9">
                  <c:v>40360</c:v>
                </c:pt>
                <c:pt idx="10">
                  <c:v>40544</c:v>
                </c:pt>
              </c:numCache>
            </c:numRef>
          </c:cat>
          <c:val>
            <c:numRef>
              <c:f>'8.1- OVINO (CENSO)'!$C$24:$M$24</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1-2A46-49C0-A90B-315316912ECA}"/>
            </c:ext>
          </c:extLst>
        </c:ser>
        <c:dLbls>
          <c:showLegendKey val="0"/>
          <c:showVal val="0"/>
          <c:showCatName val="0"/>
          <c:showSerName val="0"/>
          <c:showPercent val="0"/>
          <c:showBubbleSize val="0"/>
        </c:dLbls>
        <c:marker val="1"/>
        <c:smooth val="0"/>
        <c:axId val="140548608"/>
        <c:axId val="139767744"/>
      </c:lineChart>
      <c:catAx>
        <c:axId val="140547584"/>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Fecha</a:t>
                </a:r>
              </a:p>
            </c:rich>
          </c:tx>
          <c:layout>
            <c:manualLayout>
              <c:xMode val="edge"/>
              <c:yMode val="edge"/>
              <c:x val="0.47195398447534481"/>
              <c:y val="0.8882000619487781"/>
            </c:manualLayout>
          </c:layout>
          <c:overlay val="0"/>
          <c:spPr>
            <a:noFill/>
            <a:ln w="25400">
              <a:noFill/>
            </a:ln>
          </c:spPr>
        </c:title>
        <c:numFmt formatCode="dd\-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39767168"/>
        <c:crosses val="autoZero"/>
        <c:auto val="0"/>
        <c:lblAlgn val="ctr"/>
        <c:lblOffset val="100"/>
        <c:tickLblSkip val="1"/>
        <c:tickMarkSkip val="1"/>
        <c:noMultiLvlLbl val="0"/>
      </c:catAx>
      <c:valAx>
        <c:axId val="139767168"/>
        <c:scaling>
          <c:orientation val="minMax"/>
        </c:scaling>
        <c:delete val="0"/>
        <c:axPos val="l"/>
        <c:majorGridlines>
          <c:spPr>
            <a:ln w="3175">
              <a:solidFill>
                <a:srgbClr val="000000"/>
              </a:solidFill>
              <a:prstDash val="solid"/>
            </a:ln>
          </c:spPr>
        </c:majorGridlines>
        <c:title>
          <c:tx>
            <c:rich>
              <a:bodyPr/>
              <a:lstStyle/>
              <a:p>
                <a:pPr>
                  <a:defRPr sz="875" b="1" i="0" u="none" strike="noStrike" baseline="0">
                    <a:solidFill>
                      <a:srgbClr val="000080"/>
                    </a:solidFill>
                    <a:latin typeface="Arial"/>
                    <a:ea typeface="Arial"/>
                    <a:cs typeface="Arial"/>
                  </a:defRPr>
                </a:pPr>
                <a:r>
                  <a:rPr lang="es-ES"/>
                  <a:t>Reproductoras Hembra</a:t>
                </a:r>
              </a:p>
            </c:rich>
          </c:tx>
          <c:layout>
            <c:manualLayout>
              <c:xMode val="edge"/>
              <c:yMode val="edge"/>
              <c:x val="1.0315925209542231E-2"/>
              <c:y val="0.24534194095303302"/>
            </c:manualLayout>
          </c:layout>
          <c:overlay val="0"/>
          <c:spPr>
            <a:noFill/>
            <a:ln w="3175">
              <a:solidFill>
                <a:srgbClr val="000080"/>
              </a:solidFill>
              <a:prstDash val="solid"/>
            </a:ln>
          </c:spPr>
        </c:title>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40547584"/>
        <c:crosses val="autoZero"/>
        <c:crossBetween val="between"/>
      </c:valAx>
      <c:dateAx>
        <c:axId val="140548608"/>
        <c:scaling>
          <c:orientation val="minMax"/>
        </c:scaling>
        <c:delete val="1"/>
        <c:axPos val="b"/>
        <c:numFmt formatCode="[$-C0A]d\-mmm\-yy;@" sourceLinked="1"/>
        <c:majorTickMark val="out"/>
        <c:minorTickMark val="none"/>
        <c:tickLblPos val="nextTo"/>
        <c:crossAx val="139767744"/>
        <c:crosses val="autoZero"/>
        <c:auto val="1"/>
        <c:lblOffset val="100"/>
        <c:baseTimeUnit val="months"/>
      </c:dateAx>
      <c:valAx>
        <c:axId val="139767744"/>
        <c:scaling>
          <c:orientation val="minMax"/>
        </c:scaling>
        <c:delete val="0"/>
        <c:axPos val="r"/>
        <c:title>
          <c:tx>
            <c:rich>
              <a:bodyPr/>
              <a:lstStyle/>
              <a:p>
                <a:pPr>
                  <a:defRPr sz="875" b="1" i="0" u="none" strike="noStrike" baseline="0">
                    <a:solidFill>
                      <a:srgbClr val="FF00FF"/>
                    </a:solidFill>
                    <a:latin typeface="Arial"/>
                    <a:ea typeface="Arial"/>
                    <a:cs typeface="Arial"/>
                  </a:defRPr>
                </a:pPr>
                <a:r>
                  <a:rPr lang="es-ES"/>
                  <a:t>Reproductores Macho</a:t>
                </a:r>
              </a:p>
            </c:rich>
          </c:tx>
          <c:layout>
            <c:manualLayout>
              <c:xMode val="edge"/>
              <c:yMode val="edge"/>
              <c:x val="0.95293440350903913"/>
              <c:y val="0.25879949788885082"/>
            </c:manualLayout>
          </c:layout>
          <c:overlay val="0"/>
          <c:spPr>
            <a:noFill/>
            <a:ln w="3175">
              <a:solidFill>
                <a:srgbClr val="FF00FF"/>
              </a:solidFill>
              <a:prstDash val="solid"/>
            </a:ln>
          </c:spPr>
        </c:title>
        <c:numFmt formatCode="#,##0"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40548608"/>
        <c:crosses val="max"/>
        <c:crossBetween val="between"/>
      </c:valAx>
      <c:spPr>
        <a:solidFill>
          <a:srgbClr val="C0C0C0"/>
        </a:solidFill>
        <a:ln w="12700">
          <a:solidFill>
            <a:srgbClr val="808080"/>
          </a:solidFill>
          <a:prstDash val="solid"/>
        </a:ln>
      </c:spPr>
    </c:plotArea>
    <c:plotVisOnly val="1"/>
    <c:dispBlanksAs val="gap"/>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ES"/>
              <a:t>Censo de Ovino por C.A.</a:t>
            </a:r>
          </a:p>
        </c:rich>
      </c:tx>
      <c:layout>
        <c:manualLayout>
          <c:xMode val="edge"/>
          <c:yMode val="edge"/>
          <c:x val="0.3867924528301887"/>
          <c:y val="3.4267912772585667E-2"/>
        </c:manualLayout>
      </c:layout>
      <c:overlay val="0"/>
      <c:spPr>
        <a:noFill/>
        <a:ln w="25400">
          <a:noFill/>
        </a:ln>
      </c:spPr>
    </c:title>
    <c:autoTitleDeleted val="0"/>
    <c:plotArea>
      <c:layout>
        <c:manualLayout>
          <c:layoutTarget val="inner"/>
          <c:xMode val="edge"/>
          <c:yMode val="edge"/>
          <c:x val="0.10613207547169812"/>
          <c:y val="0.20560810214692291"/>
          <c:w val="0.87735849056603776"/>
          <c:h val="0.59813266079104843"/>
        </c:manualLayout>
      </c:layout>
      <c:lineChart>
        <c:grouping val="standard"/>
        <c:varyColors val="0"/>
        <c:ser>
          <c:idx val="0"/>
          <c:order val="0"/>
          <c:tx>
            <c:v>Total</c:v>
          </c:tx>
          <c:spPr>
            <a:ln w="12700">
              <a:solidFill>
                <a:srgbClr val="000080"/>
              </a:solidFill>
              <a:prstDash val="solid"/>
            </a:ln>
          </c:spPr>
          <c:marker>
            <c:symbol val="diamond"/>
            <c:size val="5"/>
            <c:spPr>
              <a:solidFill>
                <a:srgbClr val="000080"/>
              </a:solidFill>
              <a:ln>
                <a:solidFill>
                  <a:srgbClr val="000080"/>
                </a:solidFill>
                <a:prstDash val="solid"/>
              </a:ln>
            </c:spPr>
          </c:marker>
          <c:cat>
            <c:numRef>
              <c:f>'8.1- OVINO (CENSO)'!$C$16:$M$16</c:f>
              <c:numCache>
                <c:formatCode>[$-C0A]d\-mmm\-yy;@</c:formatCode>
                <c:ptCount val="11"/>
                <c:pt idx="0">
                  <c:v>0</c:v>
                </c:pt>
                <c:pt idx="1">
                  <c:v>38899</c:v>
                </c:pt>
                <c:pt idx="2">
                  <c:v>39083</c:v>
                </c:pt>
                <c:pt idx="3">
                  <c:v>39264</c:v>
                </c:pt>
                <c:pt idx="4">
                  <c:v>39448</c:v>
                </c:pt>
                <c:pt idx="5">
                  <c:v>39630</c:v>
                </c:pt>
                <c:pt idx="6">
                  <c:v>39814</c:v>
                </c:pt>
                <c:pt idx="7">
                  <c:v>39995</c:v>
                </c:pt>
                <c:pt idx="8">
                  <c:v>40179</c:v>
                </c:pt>
                <c:pt idx="9">
                  <c:v>40360</c:v>
                </c:pt>
                <c:pt idx="10">
                  <c:v>40544</c:v>
                </c:pt>
              </c:numCache>
            </c:numRef>
          </c:cat>
          <c:val>
            <c:numRef>
              <c:f>'8.1- OVINO (CENSO)'!$C$26:$M$26</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0-7E3D-485D-8621-A423DC7D82DD}"/>
            </c:ext>
          </c:extLst>
        </c:ser>
        <c:dLbls>
          <c:showLegendKey val="0"/>
          <c:showVal val="0"/>
          <c:showCatName val="0"/>
          <c:showSerName val="0"/>
          <c:showPercent val="0"/>
          <c:showBubbleSize val="0"/>
        </c:dLbls>
        <c:marker val="1"/>
        <c:smooth val="0"/>
        <c:axId val="140549632"/>
        <c:axId val="139769472"/>
      </c:lineChart>
      <c:catAx>
        <c:axId val="140549632"/>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Fecha</a:t>
                </a:r>
              </a:p>
            </c:rich>
          </c:tx>
          <c:layout>
            <c:manualLayout>
              <c:xMode val="edge"/>
              <c:yMode val="edge"/>
              <c:x val="0.52358490566037741"/>
              <c:y val="0.88785308378508765"/>
            </c:manualLayout>
          </c:layout>
          <c:overlay val="0"/>
          <c:spPr>
            <a:noFill/>
            <a:ln w="25400">
              <a:noFill/>
            </a:ln>
          </c:spPr>
        </c:title>
        <c:numFmt formatCode="dd\-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39769472"/>
        <c:crosses val="autoZero"/>
        <c:auto val="0"/>
        <c:lblAlgn val="ctr"/>
        <c:lblOffset val="100"/>
        <c:tickLblSkip val="1"/>
        <c:tickMarkSkip val="1"/>
        <c:noMultiLvlLbl val="0"/>
      </c:catAx>
      <c:valAx>
        <c:axId val="139769472"/>
        <c:scaling>
          <c:orientation val="minMax"/>
        </c:scaling>
        <c:delete val="0"/>
        <c:axPos val="l"/>
        <c:majorGridlines>
          <c:spPr>
            <a:ln w="3175">
              <a:solidFill>
                <a:srgbClr val="000000"/>
              </a:solidFill>
              <a:prstDash val="solid"/>
            </a:ln>
          </c:spPr>
        </c:majorGridlines>
        <c:title>
          <c:tx>
            <c:rich>
              <a:bodyPr/>
              <a:lstStyle/>
              <a:p>
                <a:pPr>
                  <a:defRPr sz="1000" b="1" i="0" u="none" strike="noStrike" baseline="0">
                    <a:solidFill>
                      <a:srgbClr val="000080"/>
                    </a:solidFill>
                    <a:latin typeface="Arial"/>
                    <a:ea typeface="Arial"/>
                    <a:cs typeface="Arial"/>
                  </a:defRPr>
                </a:pPr>
                <a:r>
                  <a:rPr lang="es-ES"/>
                  <a:t>Total</a:t>
                </a:r>
              </a:p>
            </c:rich>
          </c:tx>
          <c:layout>
            <c:manualLayout>
              <c:xMode val="edge"/>
              <c:yMode val="edge"/>
              <c:x val="5.89622641509434E-3"/>
              <c:y val="0.44548417429129772"/>
            </c:manualLayout>
          </c:layout>
          <c:overlay val="0"/>
          <c:spPr>
            <a:noFill/>
            <a:ln w="3175">
              <a:solidFill>
                <a:srgbClr val="000080"/>
              </a:solidFill>
              <a:prstDash val="solid"/>
            </a:ln>
          </c:spPr>
        </c:title>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40549632"/>
        <c:crosses val="autoZero"/>
        <c:crossBetween val="between"/>
      </c:valAx>
      <c:spPr>
        <a:solidFill>
          <a:srgbClr val="C0C0C0"/>
        </a:solidFill>
        <a:ln w="12700">
          <a:solidFill>
            <a:srgbClr val="808080"/>
          </a:solidFill>
          <a:prstDash val="solid"/>
        </a:ln>
      </c:spPr>
    </c:plotArea>
    <c:plotVisOnly val="1"/>
    <c:dispBlanksAs val="gap"/>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AUX!$H$39</c:f>
          <c:strCache>
            <c:ptCount val="1"/>
            <c:pt idx="0">
              <c:v>Distribución del Total del Censo de Ovino por C.A. 
(31 de diciembre de 1904)</c:v>
            </c:pt>
          </c:strCache>
        </c:strRef>
      </c:tx>
      <c:layout>
        <c:manualLayout>
          <c:xMode val="edge"/>
          <c:yMode val="edge"/>
          <c:x val="0.31822503773430588"/>
          <c:y val="2.5943396226415096E-2"/>
        </c:manualLayout>
      </c:layout>
      <c:overlay val="0"/>
      <c:spPr>
        <a:noFill/>
        <a:ln w="25400">
          <a:noFill/>
        </a:ln>
      </c:spPr>
      <c:txPr>
        <a:bodyPr/>
        <a:lstStyle/>
        <a:p>
          <a:pPr>
            <a:defRPr sz="1000" b="0" i="0" u="none" strike="noStrike" baseline="0">
              <a:solidFill>
                <a:srgbClr val="000000"/>
              </a:solidFill>
              <a:latin typeface="Arial"/>
              <a:ea typeface="Arial"/>
              <a:cs typeface="Arial"/>
            </a:defRPr>
          </a:pPr>
          <a:endParaRPr lang="es-ES"/>
        </a:p>
      </c:txPr>
    </c:title>
    <c:autoTitleDeleted val="0"/>
    <c:plotArea>
      <c:layout>
        <c:manualLayout>
          <c:layoutTarget val="inner"/>
          <c:xMode val="edge"/>
          <c:yMode val="edge"/>
          <c:x val="0.33144506485063374"/>
          <c:y val="0.35495283018867924"/>
          <c:w val="0.30311642682921208"/>
          <c:h val="0.37853773584905659"/>
        </c:manualLayout>
      </c:layout>
      <c:pieChart>
        <c:varyColors val="1"/>
        <c:ser>
          <c:idx val="0"/>
          <c:order val="0"/>
          <c:spPr>
            <a:solidFill>
              <a:srgbClr val="9999FF"/>
            </a:solidFill>
            <a:ln w="12700">
              <a:solidFill>
                <a:srgbClr val="000000"/>
              </a:solidFill>
              <a:prstDash val="solid"/>
            </a:ln>
          </c:spPr>
          <c:dPt>
            <c:idx val="0"/>
            <c:bubble3D val="0"/>
            <c:extLst>
              <c:ext xmlns:c16="http://schemas.microsoft.com/office/drawing/2014/chart" uri="{C3380CC4-5D6E-409C-BE32-E72D297353CC}">
                <c16:uniqueId val="{00000000-8E59-4F26-961B-5D0A7D8B9ED4}"/>
              </c:ext>
            </c:extLst>
          </c:dPt>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2-8E59-4F26-961B-5D0A7D8B9ED4}"/>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4-8E59-4F26-961B-5D0A7D8B9ED4}"/>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6-8E59-4F26-961B-5D0A7D8B9ED4}"/>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8-8E59-4F26-961B-5D0A7D8B9ED4}"/>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A-8E59-4F26-961B-5D0A7D8B9ED4}"/>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C-8E59-4F26-961B-5D0A7D8B9ED4}"/>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E-8E59-4F26-961B-5D0A7D8B9ED4}"/>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10-8E59-4F26-961B-5D0A7D8B9ED4}"/>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2-8E59-4F26-961B-5D0A7D8B9ED4}"/>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4-8E59-4F26-961B-5D0A7D8B9ED4}"/>
              </c:ext>
            </c:extLst>
          </c:dPt>
          <c:dPt>
            <c:idx val="11"/>
            <c:bubble3D val="0"/>
            <c:spPr>
              <a:solidFill>
                <a:srgbClr val="00FFFF"/>
              </a:solidFill>
              <a:ln w="12700">
                <a:solidFill>
                  <a:srgbClr val="000000"/>
                </a:solidFill>
                <a:prstDash val="solid"/>
              </a:ln>
            </c:spPr>
            <c:extLst>
              <c:ext xmlns:c16="http://schemas.microsoft.com/office/drawing/2014/chart" uri="{C3380CC4-5D6E-409C-BE32-E72D297353CC}">
                <c16:uniqueId val="{00000016-8E59-4F26-961B-5D0A7D8B9ED4}"/>
              </c:ext>
            </c:extLst>
          </c:dPt>
          <c:dPt>
            <c:idx val="12"/>
            <c:bubble3D val="0"/>
            <c:spPr>
              <a:solidFill>
                <a:srgbClr val="800080"/>
              </a:solidFill>
              <a:ln w="12700">
                <a:solidFill>
                  <a:srgbClr val="000000"/>
                </a:solidFill>
                <a:prstDash val="solid"/>
              </a:ln>
            </c:spPr>
            <c:extLst>
              <c:ext xmlns:c16="http://schemas.microsoft.com/office/drawing/2014/chart" uri="{C3380CC4-5D6E-409C-BE32-E72D297353CC}">
                <c16:uniqueId val="{00000018-8E59-4F26-961B-5D0A7D8B9ED4}"/>
              </c:ext>
            </c:extLst>
          </c:dPt>
          <c:dPt>
            <c:idx val="13"/>
            <c:bubble3D val="0"/>
            <c:spPr>
              <a:solidFill>
                <a:srgbClr val="800000"/>
              </a:solidFill>
              <a:ln w="12700">
                <a:solidFill>
                  <a:srgbClr val="000000"/>
                </a:solidFill>
                <a:prstDash val="solid"/>
              </a:ln>
            </c:spPr>
            <c:extLst>
              <c:ext xmlns:c16="http://schemas.microsoft.com/office/drawing/2014/chart" uri="{C3380CC4-5D6E-409C-BE32-E72D297353CC}">
                <c16:uniqueId val="{0000001A-8E59-4F26-961B-5D0A7D8B9ED4}"/>
              </c:ext>
            </c:extLst>
          </c:dPt>
          <c:dPt>
            <c:idx val="14"/>
            <c:bubble3D val="0"/>
            <c:spPr>
              <a:solidFill>
                <a:srgbClr val="008080"/>
              </a:solidFill>
              <a:ln w="12700">
                <a:solidFill>
                  <a:srgbClr val="000000"/>
                </a:solidFill>
                <a:prstDash val="solid"/>
              </a:ln>
            </c:spPr>
            <c:extLst>
              <c:ext xmlns:c16="http://schemas.microsoft.com/office/drawing/2014/chart" uri="{C3380CC4-5D6E-409C-BE32-E72D297353CC}">
                <c16:uniqueId val="{0000001C-8E59-4F26-961B-5D0A7D8B9ED4}"/>
              </c:ext>
            </c:extLst>
          </c:dPt>
          <c:dPt>
            <c:idx val="15"/>
            <c:bubble3D val="0"/>
            <c:spPr>
              <a:solidFill>
                <a:srgbClr val="0000FF"/>
              </a:solidFill>
              <a:ln w="12700">
                <a:solidFill>
                  <a:srgbClr val="000000"/>
                </a:solidFill>
                <a:prstDash val="solid"/>
              </a:ln>
            </c:spPr>
            <c:extLst>
              <c:ext xmlns:c16="http://schemas.microsoft.com/office/drawing/2014/chart" uri="{C3380CC4-5D6E-409C-BE32-E72D297353CC}">
                <c16:uniqueId val="{0000001E-8E59-4F26-961B-5D0A7D8B9ED4}"/>
              </c:ext>
            </c:extLst>
          </c:dPt>
          <c:dPt>
            <c:idx val="16"/>
            <c:bubble3D val="0"/>
            <c:spPr>
              <a:solidFill>
                <a:srgbClr val="00CCFF"/>
              </a:solidFill>
              <a:ln w="12700">
                <a:solidFill>
                  <a:srgbClr val="000000"/>
                </a:solidFill>
                <a:prstDash val="solid"/>
              </a:ln>
            </c:spPr>
            <c:extLst>
              <c:ext xmlns:c16="http://schemas.microsoft.com/office/drawing/2014/chart" uri="{C3380CC4-5D6E-409C-BE32-E72D297353CC}">
                <c16:uniqueId val="{00000020-8E59-4F26-961B-5D0A7D8B9ED4}"/>
              </c:ext>
            </c:extLst>
          </c:dPt>
          <c:dPt>
            <c:idx val="17"/>
            <c:bubble3D val="0"/>
            <c:spPr>
              <a:solidFill>
                <a:srgbClr val="CCFFFF"/>
              </a:solidFill>
              <a:ln w="12700">
                <a:solidFill>
                  <a:srgbClr val="000000"/>
                </a:solidFill>
                <a:prstDash val="solid"/>
              </a:ln>
            </c:spPr>
            <c:extLst>
              <c:ext xmlns:c16="http://schemas.microsoft.com/office/drawing/2014/chart" uri="{C3380CC4-5D6E-409C-BE32-E72D297353CC}">
                <c16:uniqueId val="{00000022-8E59-4F26-961B-5D0A7D8B9ED4}"/>
              </c:ext>
            </c:extLst>
          </c:dPt>
          <c:dPt>
            <c:idx val="18"/>
            <c:bubble3D val="0"/>
            <c:spPr>
              <a:solidFill>
                <a:srgbClr val="CCFFCC"/>
              </a:solidFill>
              <a:ln w="12700">
                <a:solidFill>
                  <a:srgbClr val="000000"/>
                </a:solidFill>
                <a:prstDash val="solid"/>
              </a:ln>
            </c:spPr>
            <c:extLst>
              <c:ext xmlns:c16="http://schemas.microsoft.com/office/drawing/2014/chart" uri="{C3380CC4-5D6E-409C-BE32-E72D297353CC}">
                <c16:uniqueId val="{00000024-8E59-4F26-961B-5D0A7D8B9ED4}"/>
              </c:ext>
            </c:extLst>
          </c:dPt>
          <c:dLbls>
            <c:dLbl>
              <c:idx val="0"/>
              <c:layout>
                <c:manualLayout>
                  <c:x val="7.688100889532655E-2"/>
                  <c:y val="2.9172361709503308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8E59-4F26-961B-5D0A7D8B9ED4}"/>
                </c:ext>
              </c:extLst>
            </c:dLbl>
            <c:dLbl>
              <c:idx val="1"/>
              <c:layout>
                <c:manualLayout>
                  <c:x val="1.354211734997136E-2"/>
                  <c:y val="-1.934333679988115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8E59-4F26-961B-5D0A7D8B9ED4}"/>
                </c:ext>
              </c:extLst>
            </c:dLbl>
            <c:dLbl>
              <c:idx val="7"/>
              <c:layout>
                <c:manualLayout>
                  <c:x val="7.827999812229194E-3"/>
                  <c:y val="2.4309166542861492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E-8E59-4F26-961B-5D0A7D8B9ED4}"/>
                </c:ext>
              </c:extLst>
            </c:dLbl>
            <c:dLbl>
              <c:idx val="8"/>
              <c:layout>
                <c:manualLayout>
                  <c:x val="-1.5448759489610109E-2"/>
                  <c:y val="2.6700836923686501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0-8E59-4F26-961B-5D0A7D8B9ED4}"/>
                </c:ext>
              </c:extLst>
            </c:dLbl>
            <c:dLbl>
              <c:idx val="9"/>
              <c:layout>
                <c:manualLayout>
                  <c:x val="-7.3262602629215355E-3"/>
                  <c:y val="2.1655400386272564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2-8E59-4F26-961B-5D0A7D8B9ED4}"/>
                </c:ext>
              </c:extLst>
            </c:dLbl>
            <c:dLbl>
              <c:idx val="10"/>
              <c:layout>
                <c:manualLayout>
                  <c:x val="-6.3754068857425669E-2"/>
                  <c:y val="8.6522681127123274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4-8E59-4F26-961B-5D0A7D8B9ED4}"/>
                </c:ext>
              </c:extLst>
            </c:dLbl>
            <c:dLbl>
              <c:idx val="11"/>
              <c:layout>
                <c:manualLayout>
                  <c:x val="-6.2114224377955662E-2"/>
                  <c:y val="3.9540434804140059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6-8E59-4F26-961B-5D0A7D8B9ED4}"/>
                </c:ext>
              </c:extLst>
            </c:dLbl>
            <c:dLbl>
              <c:idx val="12"/>
              <c:layout>
                <c:manualLayout>
                  <c:x val="-6.6875693929456179E-2"/>
                  <c:y val="-4.7770266924181621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8-8E59-4F26-961B-5D0A7D8B9ED4}"/>
                </c:ext>
              </c:extLst>
            </c:dLbl>
            <c:dLbl>
              <c:idx val="13"/>
              <c:layout>
                <c:manualLayout>
                  <c:x val="-7.0330221822493461E-2"/>
                  <c:y val="-3.6833308572277533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A-8E59-4F26-961B-5D0A7D8B9ED4}"/>
                </c:ext>
              </c:extLst>
            </c:dLbl>
            <c:dLbl>
              <c:idx val="14"/>
              <c:layout>
                <c:manualLayout>
                  <c:x val="-5.7480455436667431E-2"/>
                  <c:y val="-8.0008171148417767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C-8E59-4F26-961B-5D0A7D8B9ED4}"/>
                </c:ext>
              </c:extLst>
            </c:dLbl>
            <c:dLbl>
              <c:idx val="15"/>
              <c:layout>
                <c:manualLayout>
                  <c:x val="6.7769553253144363E-3"/>
                  <c:y val="-0.1081112266627049"/>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E-8E59-4F26-961B-5D0A7D8B9ED4}"/>
                </c:ext>
              </c:extLst>
            </c:dLbl>
            <c:dLbl>
              <c:idx val="16"/>
              <c:layout>
                <c:manualLayout>
                  <c:x val="6.3346809288768624E-2"/>
                  <c:y val="-8.4000148566334878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20-8E59-4F26-961B-5D0A7D8B9ED4}"/>
                </c:ext>
              </c:extLst>
            </c:dLbl>
            <c:dLbl>
              <c:idx val="17"/>
              <c:layout>
                <c:manualLayout>
                  <c:x val="5.6927456541303746E-2"/>
                  <c:y val="-2.7020502154211853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22-8E59-4F26-961B-5D0A7D8B9ED4}"/>
                </c:ext>
              </c:extLst>
            </c:dLbl>
            <c:dLbl>
              <c:idx val="18"/>
              <c:layout>
                <c:manualLayout>
                  <c:x val="0.13445354453761102"/>
                  <c:y val="1.2813846382409711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24-8E59-4F26-961B-5D0A7D8B9ED4}"/>
                </c:ext>
              </c:extLst>
            </c:dLbl>
            <c:numFmt formatCode="0.0%" sourceLinked="0"/>
            <c:spPr>
              <a:noFill/>
              <a:ln w="25400">
                <a:noFill/>
              </a:ln>
            </c:spPr>
            <c:txPr>
              <a:bodyPr/>
              <a:lstStyle/>
              <a:p>
                <a:pPr>
                  <a:defRPr sz="1000" b="0" i="0" u="none" strike="noStrike" baseline="0">
                    <a:solidFill>
                      <a:srgbClr val="000000"/>
                    </a:solidFill>
                    <a:latin typeface="Arial"/>
                    <a:ea typeface="Arial"/>
                    <a:cs typeface="Arial"/>
                  </a:defRPr>
                </a:pPr>
                <a:endParaRPr lang="es-ES"/>
              </a:p>
            </c:txPr>
            <c:showLegendKey val="0"/>
            <c:showVal val="0"/>
            <c:showCatName val="1"/>
            <c:showSerName val="0"/>
            <c:showPercent val="1"/>
            <c:showBubbleSize val="0"/>
            <c:showLeaderLines val="1"/>
            <c:extLst>
              <c:ext xmlns:c15="http://schemas.microsoft.com/office/drawing/2012/chart" uri="{CE6537A1-D6FC-4f65-9D91-7224C49458BB}"/>
            </c:extLst>
          </c:dLbls>
          <c:cat>
            <c:strRef>
              <c:f>'8.1- OVINO (CENSO)'!$B$253:$B$271</c:f>
              <c:strCache>
                <c:ptCount val="19"/>
                <c:pt idx="0">
                  <c:v>Andalucía</c:v>
                </c:pt>
                <c:pt idx="1">
                  <c:v>Aragón</c:v>
                </c:pt>
                <c:pt idx="2">
                  <c:v>Asturias</c:v>
                </c:pt>
                <c:pt idx="3">
                  <c:v>Baleares</c:v>
                </c:pt>
                <c:pt idx="4">
                  <c:v>Canarias</c:v>
                </c:pt>
                <c:pt idx="5">
                  <c:v>Cantabria</c:v>
                </c:pt>
                <c:pt idx="6">
                  <c:v>Castilla La Mancha</c:v>
                </c:pt>
                <c:pt idx="7">
                  <c:v>Castilla y León</c:v>
                </c:pt>
                <c:pt idx="8">
                  <c:v>Cataluña</c:v>
                </c:pt>
                <c:pt idx="9">
                  <c:v>Extremadura</c:v>
                </c:pt>
                <c:pt idx="10">
                  <c:v>Galicia</c:v>
                </c:pt>
                <c:pt idx="11">
                  <c:v>Madrid</c:v>
                </c:pt>
                <c:pt idx="12">
                  <c:v>Murcia</c:v>
                </c:pt>
                <c:pt idx="13">
                  <c:v>Navarra</c:v>
                </c:pt>
                <c:pt idx="14">
                  <c:v>País Vasco</c:v>
                </c:pt>
                <c:pt idx="15">
                  <c:v>La Rioja</c:v>
                </c:pt>
                <c:pt idx="16">
                  <c:v>Valencia</c:v>
                </c:pt>
                <c:pt idx="17">
                  <c:v>Ceuta</c:v>
                </c:pt>
                <c:pt idx="18">
                  <c:v>Melilla</c:v>
                </c:pt>
              </c:strCache>
            </c:strRef>
          </c:cat>
          <c:val>
            <c:numRef>
              <c:f>'8.1- OVINO (CENSO)'!$C$253:$C$271</c:f>
              <c:numCache>
                <c:formatCode>General</c:formatCode>
                <c:ptCount val="19"/>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numCache>
            </c:numRef>
          </c:val>
          <c:extLst>
            <c:ext xmlns:c16="http://schemas.microsoft.com/office/drawing/2014/chart" uri="{C3380CC4-5D6E-409C-BE32-E72D297353CC}">
              <c16:uniqueId val="{00000025-8E59-4F26-961B-5D0A7D8B9ED4}"/>
            </c:ext>
          </c:extLst>
        </c:ser>
        <c:dLbls>
          <c:showLegendKey val="0"/>
          <c:showVal val="0"/>
          <c:showCatName val="0"/>
          <c:showSerName val="0"/>
          <c:showPercent val="0"/>
          <c:showBubbleSize val="0"/>
          <c:showLeaderLines val="1"/>
        </c:dLbls>
        <c:firstSliceAng val="0"/>
      </c:pieChart>
      <c:spPr>
        <a:noFill/>
        <a:ln w="25400">
          <a:noFill/>
        </a:ln>
      </c:spPr>
    </c:plotArea>
    <c:plotVisOnly val="0"/>
    <c:dispBlanksAs val="zero"/>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ES"/>
              <a:t>Nº de Subexplotaciones de Ovino por Clasificación Zootécnica y C.A.</a:t>
            </a:r>
          </a:p>
        </c:rich>
      </c:tx>
      <c:layout>
        <c:manualLayout>
          <c:xMode val="edge"/>
          <c:yMode val="edge"/>
          <c:x val="0.14102588795105647"/>
          <c:y val="3.3639143730886847E-2"/>
        </c:manualLayout>
      </c:layout>
      <c:overlay val="0"/>
      <c:spPr>
        <a:noFill/>
        <a:ln w="25400">
          <a:noFill/>
        </a:ln>
      </c:spPr>
    </c:title>
    <c:autoTitleDeleted val="0"/>
    <c:plotArea>
      <c:layout>
        <c:manualLayout>
          <c:layoutTarget val="inner"/>
          <c:xMode val="edge"/>
          <c:yMode val="edge"/>
          <c:x val="0.14468890347574598"/>
          <c:y val="0.26605584042861369"/>
          <c:w val="0.63003775690704578"/>
          <c:h val="0.42201960895573204"/>
        </c:manualLayout>
      </c:layout>
      <c:lineChart>
        <c:grouping val="standard"/>
        <c:varyColors val="0"/>
        <c:ser>
          <c:idx val="0"/>
          <c:order val="0"/>
          <c:tx>
            <c:v>Cebo o Cebadero</c:v>
          </c:tx>
          <c:spPr>
            <a:ln w="12700">
              <a:solidFill>
                <a:srgbClr val="000080"/>
              </a:solidFill>
              <a:prstDash val="solid"/>
            </a:ln>
          </c:spPr>
          <c:marker>
            <c:symbol val="diamond"/>
            <c:size val="5"/>
            <c:spPr>
              <a:solidFill>
                <a:srgbClr val="000080"/>
              </a:solidFill>
              <a:ln>
                <a:solidFill>
                  <a:srgbClr val="000080"/>
                </a:solidFill>
                <a:prstDash val="solid"/>
              </a:ln>
            </c:spPr>
          </c:marker>
          <c:cat>
            <c:numRef>
              <c:f>'8.2- OVINO (SUBEXPLOT)'!$C$17:$M$17</c:f>
              <c:numCache>
                <c:formatCode>[$-C0A]d\-mmm\-yy;@</c:formatCode>
                <c:ptCount val="11"/>
                <c:pt idx="0">
                  <c:v>0</c:v>
                </c:pt>
                <c:pt idx="1">
                  <c:v>38899</c:v>
                </c:pt>
                <c:pt idx="2">
                  <c:v>39083</c:v>
                </c:pt>
                <c:pt idx="3">
                  <c:v>39264</c:v>
                </c:pt>
                <c:pt idx="4">
                  <c:v>39448</c:v>
                </c:pt>
                <c:pt idx="5">
                  <c:v>39630</c:v>
                </c:pt>
                <c:pt idx="6">
                  <c:v>39814</c:v>
                </c:pt>
                <c:pt idx="7">
                  <c:v>39995</c:v>
                </c:pt>
                <c:pt idx="8">
                  <c:v>40179</c:v>
                </c:pt>
                <c:pt idx="9">
                  <c:v>40360</c:v>
                </c:pt>
                <c:pt idx="10">
                  <c:v>40544</c:v>
                </c:pt>
              </c:numCache>
            </c:numRef>
          </c:cat>
          <c:val>
            <c:numRef>
              <c:f>'8.2- OVINO (SUBEXPLOT)'!$C$19:$M$19</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0-E667-4A7D-8553-66BDEBFFD50D}"/>
            </c:ext>
          </c:extLst>
        </c:ser>
        <c:dLbls>
          <c:showLegendKey val="0"/>
          <c:showVal val="0"/>
          <c:showCatName val="0"/>
          <c:showSerName val="0"/>
          <c:showPercent val="0"/>
          <c:showBubbleSize val="0"/>
        </c:dLbls>
        <c:marker val="1"/>
        <c:smooth val="0"/>
        <c:axId val="140605952"/>
        <c:axId val="140907008"/>
      </c:lineChart>
      <c:lineChart>
        <c:grouping val="standard"/>
        <c:varyColors val="0"/>
        <c:ser>
          <c:idx val="1"/>
          <c:order val="1"/>
          <c:tx>
            <c:v>Reproducción para producción de leche</c:v>
          </c:tx>
          <c:spPr>
            <a:ln w="12700">
              <a:solidFill>
                <a:srgbClr val="FF00FF"/>
              </a:solidFill>
              <a:prstDash val="solid"/>
            </a:ln>
          </c:spPr>
          <c:marker>
            <c:symbol val="square"/>
            <c:size val="5"/>
            <c:spPr>
              <a:solidFill>
                <a:srgbClr val="FF00FF"/>
              </a:solidFill>
              <a:ln>
                <a:solidFill>
                  <a:srgbClr val="FF00FF"/>
                </a:solidFill>
                <a:prstDash val="solid"/>
              </a:ln>
            </c:spPr>
          </c:marker>
          <c:cat>
            <c:numRef>
              <c:f>'8.2- OVINO (SUBEXPLOT)'!$C$17:$M$17</c:f>
              <c:numCache>
                <c:formatCode>[$-C0A]d\-mmm\-yy;@</c:formatCode>
                <c:ptCount val="11"/>
                <c:pt idx="0">
                  <c:v>0</c:v>
                </c:pt>
                <c:pt idx="1">
                  <c:v>38899</c:v>
                </c:pt>
                <c:pt idx="2">
                  <c:v>39083</c:v>
                </c:pt>
                <c:pt idx="3">
                  <c:v>39264</c:v>
                </c:pt>
                <c:pt idx="4">
                  <c:v>39448</c:v>
                </c:pt>
                <c:pt idx="5">
                  <c:v>39630</c:v>
                </c:pt>
                <c:pt idx="6">
                  <c:v>39814</c:v>
                </c:pt>
                <c:pt idx="7">
                  <c:v>39995</c:v>
                </c:pt>
                <c:pt idx="8">
                  <c:v>40179</c:v>
                </c:pt>
                <c:pt idx="9">
                  <c:v>40360</c:v>
                </c:pt>
                <c:pt idx="10">
                  <c:v>40544</c:v>
                </c:pt>
              </c:numCache>
            </c:numRef>
          </c:cat>
          <c:val>
            <c:numRef>
              <c:f>'8.2- OVINO (SUBEXPLOT)'!$C$21:$M$21</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1-E667-4A7D-8553-66BDEBFFD50D}"/>
            </c:ext>
          </c:extLst>
        </c:ser>
        <c:dLbls>
          <c:showLegendKey val="0"/>
          <c:showVal val="0"/>
          <c:showCatName val="0"/>
          <c:showSerName val="0"/>
          <c:showPercent val="0"/>
          <c:showBubbleSize val="0"/>
        </c:dLbls>
        <c:marker val="1"/>
        <c:smooth val="0"/>
        <c:axId val="140606976"/>
        <c:axId val="140907584"/>
      </c:lineChart>
      <c:catAx>
        <c:axId val="140605952"/>
        <c:scaling>
          <c:orientation val="minMax"/>
        </c:scaling>
        <c:delete val="0"/>
        <c:axPos val="b"/>
        <c:title>
          <c:tx>
            <c:rich>
              <a:bodyPr/>
              <a:lstStyle/>
              <a:p>
                <a:pPr>
                  <a:defRPr sz="850" b="1" i="0" u="none" strike="noStrike" baseline="0">
                    <a:solidFill>
                      <a:srgbClr val="000000"/>
                    </a:solidFill>
                    <a:latin typeface="Arial"/>
                    <a:ea typeface="Arial"/>
                    <a:cs typeface="Arial"/>
                  </a:defRPr>
                </a:pPr>
                <a:r>
                  <a:rPr lang="es-ES"/>
                  <a:t>Fecha</a:t>
                </a:r>
              </a:p>
            </c:rich>
          </c:tx>
          <c:layout>
            <c:manualLayout>
              <c:xMode val="edge"/>
              <c:yMode val="edge"/>
              <c:x val="0.42674068619120453"/>
              <c:y val="0.86238788958719614"/>
            </c:manualLayout>
          </c:layout>
          <c:overlay val="0"/>
          <c:spPr>
            <a:noFill/>
            <a:ln w="25400">
              <a:noFill/>
            </a:ln>
          </c:spPr>
        </c:title>
        <c:numFmt formatCode="dd\-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40907008"/>
        <c:crosses val="autoZero"/>
        <c:auto val="0"/>
        <c:lblAlgn val="ctr"/>
        <c:lblOffset val="100"/>
        <c:tickLblSkip val="1"/>
        <c:tickMarkSkip val="1"/>
        <c:noMultiLvlLbl val="0"/>
      </c:catAx>
      <c:valAx>
        <c:axId val="140907008"/>
        <c:scaling>
          <c:orientation val="minMax"/>
        </c:scaling>
        <c:delete val="0"/>
        <c:axPos val="l"/>
        <c:majorGridlines>
          <c:spPr>
            <a:ln w="3175">
              <a:solidFill>
                <a:srgbClr val="000000"/>
              </a:solidFill>
              <a:prstDash val="solid"/>
            </a:ln>
          </c:spPr>
        </c:majorGridlines>
        <c:title>
          <c:tx>
            <c:rich>
              <a:bodyPr/>
              <a:lstStyle/>
              <a:p>
                <a:pPr>
                  <a:defRPr sz="1000" b="1" i="0" u="none" strike="noStrike" baseline="0">
                    <a:solidFill>
                      <a:srgbClr val="000080"/>
                    </a:solidFill>
                    <a:latin typeface="Arial"/>
                    <a:ea typeface="Arial"/>
                    <a:cs typeface="Arial"/>
                  </a:defRPr>
                </a:pPr>
                <a:r>
                  <a:rPr lang="es-ES"/>
                  <a:t>Cebo o Cebadero</a:t>
                </a:r>
              </a:p>
            </c:rich>
          </c:tx>
          <c:layout>
            <c:manualLayout>
              <c:xMode val="edge"/>
              <c:yMode val="edge"/>
              <c:x val="2.9303989878962971E-2"/>
              <c:y val="0.32110188061354716"/>
            </c:manualLayout>
          </c:layout>
          <c:overlay val="0"/>
          <c:spPr>
            <a:noFill/>
            <a:ln w="3175">
              <a:solidFill>
                <a:srgbClr val="000080"/>
              </a:solidFill>
              <a:prstDash val="solid"/>
            </a:ln>
          </c:spPr>
        </c:title>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40605952"/>
        <c:crosses val="autoZero"/>
        <c:crossBetween val="between"/>
      </c:valAx>
      <c:dateAx>
        <c:axId val="140606976"/>
        <c:scaling>
          <c:orientation val="minMax"/>
        </c:scaling>
        <c:delete val="1"/>
        <c:axPos val="b"/>
        <c:numFmt formatCode="[$-C0A]d\-mmm\-yy;@" sourceLinked="1"/>
        <c:majorTickMark val="out"/>
        <c:minorTickMark val="none"/>
        <c:tickLblPos val="nextTo"/>
        <c:crossAx val="140907584"/>
        <c:crosses val="autoZero"/>
        <c:auto val="1"/>
        <c:lblOffset val="100"/>
        <c:baseTimeUnit val="months"/>
      </c:dateAx>
      <c:valAx>
        <c:axId val="140907584"/>
        <c:scaling>
          <c:orientation val="minMax"/>
        </c:scaling>
        <c:delete val="0"/>
        <c:axPos val="r"/>
        <c:title>
          <c:tx>
            <c:rich>
              <a:bodyPr/>
              <a:lstStyle/>
              <a:p>
                <a:pPr>
                  <a:defRPr sz="1000" b="1" i="0" u="none" strike="noStrike" baseline="0">
                    <a:solidFill>
                      <a:srgbClr val="FF00FF"/>
                    </a:solidFill>
                    <a:latin typeface="Arial"/>
                    <a:ea typeface="Arial"/>
                    <a:cs typeface="Arial"/>
                  </a:defRPr>
                </a:pPr>
                <a:r>
                  <a:rPr lang="es-ES"/>
                  <a:t>Reproducción para Producción de Leche</a:t>
                </a:r>
              </a:p>
            </c:rich>
          </c:tx>
          <c:layout>
            <c:manualLayout>
              <c:xMode val="edge"/>
              <c:yMode val="edge"/>
              <c:x val="0.87335825827526958"/>
              <c:y val="0.1989472416865323"/>
            </c:manualLayout>
          </c:layout>
          <c:overlay val="0"/>
          <c:spPr>
            <a:noFill/>
            <a:ln w="3175">
              <a:solidFill>
                <a:srgbClr val="FF00FF"/>
              </a:solidFill>
              <a:prstDash val="solid"/>
            </a:ln>
          </c:spPr>
        </c:title>
        <c:numFmt formatCode="#,##0"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40606976"/>
        <c:crosses val="max"/>
        <c:crossBetween val="between"/>
      </c:valAx>
      <c:spPr>
        <a:solidFill>
          <a:srgbClr val="C0C0C0"/>
        </a:solidFill>
        <a:ln w="12700">
          <a:solidFill>
            <a:srgbClr val="808080"/>
          </a:solidFill>
          <a:prstDash val="solid"/>
        </a:ln>
      </c:spPr>
    </c:plotArea>
    <c:plotVisOnly val="1"/>
    <c:dispBlanksAs val="gap"/>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85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ES"/>
              <a:t>Nº de Subexplotaciones de Ovino por Clasificación Zootécnica y C.A.</a:t>
            </a:r>
          </a:p>
        </c:rich>
      </c:tx>
      <c:layout>
        <c:manualLayout>
          <c:xMode val="edge"/>
          <c:yMode val="edge"/>
          <c:x val="0.17763157894736842"/>
          <c:y val="3.3639143730886847E-2"/>
        </c:manualLayout>
      </c:layout>
      <c:overlay val="0"/>
      <c:spPr>
        <a:noFill/>
        <a:ln w="25400">
          <a:noFill/>
        </a:ln>
      </c:spPr>
    </c:title>
    <c:autoTitleDeleted val="0"/>
    <c:plotArea>
      <c:layout>
        <c:manualLayout>
          <c:layoutTarget val="inner"/>
          <c:xMode val="edge"/>
          <c:yMode val="edge"/>
          <c:x val="0.14638157894736842"/>
          <c:y val="0.26911395353698853"/>
          <c:w val="0.71710526315789469"/>
          <c:h val="0.49235621044835404"/>
        </c:manualLayout>
      </c:layout>
      <c:lineChart>
        <c:grouping val="standard"/>
        <c:varyColors val="0"/>
        <c:ser>
          <c:idx val="0"/>
          <c:order val="0"/>
          <c:tx>
            <c:v>Reproducción para producción de carne</c:v>
          </c:tx>
          <c:spPr>
            <a:ln w="12700">
              <a:solidFill>
                <a:srgbClr val="000080"/>
              </a:solidFill>
              <a:prstDash val="solid"/>
            </a:ln>
          </c:spPr>
          <c:marker>
            <c:symbol val="diamond"/>
            <c:size val="5"/>
            <c:spPr>
              <a:solidFill>
                <a:srgbClr val="000080"/>
              </a:solidFill>
              <a:ln>
                <a:solidFill>
                  <a:srgbClr val="000080"/>
                </a:solidFill>
                <a:prstDash val="solid"/>
              </a:ln>
            </c:spPr>
          </c:marker>
          <c:cat>
            <c:numRef>
              <c:f>'8.2- OVINO (SUBEXPLOT)'!$C$17:$M$17</c:f>
              <c:numCache>
                <c:formatCode>[$-C0A]d\-mmm\-yy;@</c:formatCode>
                <c:ptCount val="11"/>
                <c:pt idx="0">
                  <c:v>0</c:v>
                </c:pt>
                <c:pt idx="1">
                  <c:v>38899</c:v>
                </c:pt>
                <c:pt idx="2">
                  <c:v>39083</c:v>
                </c:pt>
                <c:pt idx="3">
                  <c:v>39264</c:v>
                </c:pt>
                <c:pt idx="4">
                  <c:v>39448</c:v>
                </c:pt>
                <c:pt idx="5">
                  <c:v>39630</c:v>
                </c:pt>
                <c:pt idx="6">
                  <c:v>39814</c:v>
                </c:pt>
                <c:pt idx="7">
                  <c:v>39995</c:v>
                </c:pt>
                <c:pt idx="8">
                  <c:v>40179</c:v>
                </c:pt>
                <c:pt idx="9">
                  <c:v>40360</c:v>
                </c:pt>
                <c:pt idx="10">
                  <c:v>40544</c:v>
                </c:pt>
              </c:numCache>
            </c:numRef>
          </c:cat>
          <c:val>
            <c:numRef>
              <c:f>'8.2- OVINO (SUBEXPLOT)'!$C$23:$M$23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0-1862-4C4C-8BDA-C080CFBDC4D5}"/>
            </c:ext>
          </c:extLst>
        </c:ser>
        <c:dLbls>
          <c:showLegendKey val="0"/>
          <c:showVal val="0"/>
          <c:showCatName val="0"/>
          <c:showSerName val="0"/>
          <c:showPercent val="0"/>
          <c:showBubbleSize val="0"/>
        </c:dLbls>
        <c:marker val="1"/>
        <c:smooth val="0"/>
        <c:axId val="139313152"/>
        <c:axId val="140909312"/>
      </c:lineChart>
      <c:lineChart>
        <c:grouping val="standard"/>
        <c:varyColors val="0"/>
        <c:ser>
          <c:idx val="1"/>
          <c:order val="1"/>
          <c:tx>
            <c:v>Reproducción Mixta</c:v>
          </c:tx>
          <c:spPr>
            <a:ln w="12700">
              <a:solidFill>
                <a:srgbClr val="FF00FF"/>
              </a:solidFill>
              <a:prstDash val="solid"/>
            </a:ln>
          </c:spPr>
          <c:marker>
            <c:symbol val="square"/>
            <c:size val="5"/>
            <c:spPr>
              <a:solidFill>
                <a:srgbClr val="FF00FF"/>
              </a:solidFill>
              <a:ln>
                <a:solidFill>
                  <a:srgbClr val="FF00FF"/>
                </a:solidFill>
                <a:prstDash val="solid"/>
              </a:ln>
            </c:spPr>
          </c:marker>
          <c:cat>
            <c:numRef>
              <c:f>'8.2- OVINO (SUBEXPLOT)'!$C$17:$M$17</c:f>
              <c:numCache>
                <c:formatCode>[$-C0A]d\-mmm\-yy;@</c:formatCode>
                <c:ptCount val="11"/>
                <c:pt idx="0">
                  <c:v>0</c:v>
                </c:pt>
                <c:pt idx="1">
                  <c:v>38899</c:v>
                </c:pt>
                <c:pt idx="2">
                  <c:v>39083</c:v>
                </c:pt>
                <c:pt idx="3">
                  <c:v>39264</c:v>
                </c:pt>
                <c:pt idx="4">
                  <c:v>39448</c:v>
                </c:pt>
                <c:pt idx="5">
                  <c:v>39630</c:v>
                </c:pt>
                <c:pt idx="6">
                  <c:v>39814</c:v>
                </c:pt>
                <c:pt idx="7">
                  <c:v>39995</c:v>
                </c:pt>
                <c:pt idx="8">
                  <c:v>40179</c:v>
                </c:pt>
                <c:pt idx="9">
                  <c:v>40360</c:v>
                </c:pt>
                <c:pt idx="10">
                  <c:v>40544</c:v>
                </c:pt>
              </c:numCache>
            </c:numRef>
          </c:cat>
          <c:val>
            <c:numRef>
              <c:f>'8.2- OVINO (SUBEXPLOT)'!$C$25:$M$25</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1-1862-4C4C-8BDA-C080CFBDC4D5}"/>
            </c:ext>
          </c:extLst>
        </c:ser>
        <c:dLbls>
          <c:showLegendKey val="0"/>
          <c:showVal val="0"/>
          <c:showCatName val="0"/>
          <c:showSerName val="0"/>
          <c:showPercent val="0"/>
          <c:showBubbleSize val="0"/>
        </c:dLbls>
        <c:marker val="1"/>
        <c:smooth val="0"/>
        <c:axId val="139314176"/>
        <c:axId val="140909888"/>
      </c:lineChart>
      <c:catAx>
        <c:axId val="139313152"/>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Fecha</a:t>
                </a:r>
              </a:p>
            </c:rich>
          </c:tx>
          <c:layout>
            <c:manualLayout>
              <c:xMode val="edge"/>
              <c:yMode val="edge"/>
              <c:x val="0.47532894736842107"/>
              <c:y val="0.8899108253670126"/>
            </c:manualLayout>
          </c:layout>
          <c:overlay val="0"/>
          <c:spPr>
            <a:noFill/>
            <a:ln w="25400">
              <a:noFill/>
            </a:ln>
          </c:spPr>
        </c:title>
        <c:numFmt formatCode="dd\-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40909312"/>
        <c:crosses val="autoZero"/>
        <c:auto val="0"/>
        <c:lblAlgn val="ctr"/>
        <c:lblOffset val="100"/>
        <c:tickLblSkip val="1"/>
        <c:tickMarkSkip val="1"/>
        <c:noMultiLvlLbl val="0"/>
      </c:catAx>
      <c:valAx>
        <c:axId val="140909312"/>
        <c:scaling>
          <c:orientation val="minMax"/>
        </c:scaling>
        <c:delete val="0"/>
        <c:axPos val="l"/>
        <c:majorGridlines>
          <c:spPr>
            <a:ln w="3175">
              <a:solidFill>
                <a:srgbClr val="000000"/>
              </a:solidFill>
              <a:prstDash val="solid"/>
            </a:ln>
          </c:spPr>
        </c:majorGridlines>
        <c:title>
          <c:tx>
            <c:rich>
              <a:bodyPr/>
              <a:lstStyle/>
              <a:p>
                <a:pPr>
                  <a:defRPr sz="1000" b="1" i="0" u="none" strike="noStrike" baseline="0">
                    <a:solidFill>
                      <a:srgbClr val="000080"/>
                    </a:solidFill>
                    <a:latin typeface="Arial"/>
                    <a:ea typeface="Arial"/>
                    <a:cs typeface="Arial"/>
                  </a:defRPr>
                </a:pPr>
                <a:r>
                  <a:rPr lang="es-ES"/>
                  <a:t>Reproducción para producción de carne</a:t>
                </a:r>
              </a:p>
            </c:rich>
          </c:tx>
          <c:layout>
            <c:manualLayout>
              <c:xMode val="edge"/>
              <c:yMode val="edge"/>
              <c:x val="8.2236842105263153E-3"/>
              <c:y val="0.19728543106423624"/>
            </c:manualLayout>
          </c:layout>
          <c:overlay val="0"/>
          <c:spPr>
            <a:noFill/>
            <a:ln w="3175">
              <a:solidFill>
                <a:srgbClr val="000080"/>
              </a:solidFill>
              <a:prstDash val="solid"/>
            </a:ln>
          </c:spPr>
        </c:title>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39313152"/>
        <c:crosses val="autoZero"/>
        <c:crossBetween val="between"/>
      </c:valAx>
      <c:dateAx>
        <c:axId val="139314176"/>
        <c:scaling>
          <c:orientation val="minMax"/>
        </c:scaling>
        <c:delete val="1"/>
        <c:axPos val="b"/>
        <c:numFmt formatCode="[$-C0A]d\-mmm\-yy;@" sourceLinked="1"/>
        <c:majorTickMark val="out"/>
        <c:minorTickMark val="none"/>
        <c:tickLblPos val="nextTo"/>
        <c:crossAx val="140909888"/>
        <c:crosses val="autoZero"/>
        <c:auto val="1"/>
        <c:lblOffset val="100"/>
        <c:baseTimeUnit val="months"/>
      </c:dateAx>
      <c:valAx>
        <c:axId val="140909888"/>
        <c:scaling>
          <c:orientation val="minMax"/>
        </c:scaling>
        <c:delete val="0"/>
        <c:axPos val="r"/>
        <c:title>
          <c:tx>
            <c:rich>
              <a:bodyPr/>
              <a:lstStyle/>
              <a:p>
                <a:pPr>
                  <a:defRPr sz="1000" b="1" i="0" u="none" strike="noStrike" baseline="0">
                    <a:solidFill>
                      <a:srgbClr val="FF00FF"/>
                    </a:solidFill>
                    <a:latin typeface="Arial"/>
                    <a:ea typeface="Arial"/>
                    <a:cs typeface="Arial"/>
                  </a:defRPr>
                </a:pPr>
                <a:r>
                  <a:rPr lang="es-ES"/>
                  <a:t>Reproducción Mixta</a:t>
                </a:r>
              </a:p>
            </c:rich>
          </c:tx>
          <c:layout>
            <c:manualLayout>
              <c:xMode val="edge"/>
              <c:yMode val="edge"/>
              <c:x val="0.94572368421052633"/>
              <c:y val="0.31192756868694166"/>
            </c:manualLayout>
          </c:layout>
          <c:overlay val="0"/>
          <c:spPr>
            <a:noFill/>
            <a:ln w="3175">
              <a:solidFill>
                <a:srgbClr val="FF00FF"/>
              </a:solidFill>
              <a:prstDash val="solid"/>
            </a:ln>
          </c:spPr>
        </c:title>
        <c:numFmt formatCode="#,##0"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39314176"/>
        <c:crosses val="max"/>
        <c:crossBetween val="between"/>
      </c:valAx>
      <c:spPr>
        <a:solidFill>
          <a:srgbClr val="C0C0C0"/>
        </a:solidFill>
        <a:ln w="12700">
          <a:solidFill>
            <a:srgbClr val="808080"/>
          </a:solidFill>
          <a:prstDash val="solid"/>
        </a:ln>
      </c:spPr>
    </c:plotArea>
    <c:plotVisOnly val="1"/>
    <c:dispBlanksAs val="gap"/>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ES"/>
              <a:t>Nº de Subexplotaciones de Ovino por C.A.</a:t>
            </a:r>
          </a:p>
        </c:rich>
      </c:tx>
      <c:layout>
        <c:manualLayout>
          <c:xMode val="edge"/>
          <c:yMode val="edge"/>
          <c:x val="0.27647887976011143"/>
          <c:y val="3.4090909090909088E-2"/>
        </c:manualLayout>
      </c:layout>
      <c:overlay val="0"/>
      <c:spPr>
        <a:noFill/>
        <a:ln w="25400">
          <a:noFill/>
        </a:ln>
      </c:spPr>
    </c:title>
    <c:autoTitleDeleted val="0"/>
    <c:plotArea>
      <c:layout>
        <c:manualLayout>
          <c:layoutTarget val="inner"/>
          <c:xMode val="edge"/>
          <c:yMode val="edge"/>
          <c:x val="0.12379650680538251"/>
          <c:y val="0.19318208615679122"/>
          <c:w val="0.85694693044170345"/>
          <c:h val="0.62784178000957147"/>
        </c:manualLayout>
      </c:layout>
      <c:lineChart>
        <c:grouping val="standard"/>
        <c:varyColors val="0"/>
        <c:ser>
          <c:idx val="1"/>
          <c:order val="0"/>
          <c:tx>
            <c:v>Total (*)</c:v>
          </c:tx>
          <c:spPr>
            <a:ln w="12700">
              <a:solidFill>
                <a:srgbClr val="FF00FF"/>
              </a:solidFill>
              <a:prstDash val="solid"/>
            </a:ln>
          </c:spPr>
          <c:marker>
            <c:symbol val="square"/>
            <c:size val="5"/>
            <c:spPr>
              <a:solidFill>
                <a:srgbClr val="FF00FF"/>
              </a:solidFill>
              <a:ln>
                <a:solidFill>
                  <a:srgbClr val="FF00FF"/>
                </a:solidFill>
                <a:prstDash val="solid"/>
              </a:ln>
            </c:spPr>
          </c:marker>
          <c:cat>
            <c:numRef>
              <c:f>'8.2- OVINO (SUBEXPLOT)'!$C$17:$M$17</c:f>
              <c:numCache>
                <c:formatCode>[$-C0A]d\-mmm\-yy;@</c:formatCode>
                <c:ptCount val="11"/>
                <c:pt idx="0">
                  <c:v>0</c:v>
                </c:pt>
                <c:pt idx="1">
                  <c:v>38899</c:v>
                </c:pt>
                <c:pt idx="2">
                  <c:v>39083</c:v>
                </c:pt>
                <c:pt idx="3">
                  <c:v>39264</c:v>
                </c:pt>
                <c:pt idx="4">
                  <c:v>39448</c:v>
                </c:pt>
                <c:pt idx="5">
                  <c:v>39630</c:v>
                </c:pt>
                <c:pt idx="6">
                  <c:v>39814</c:v>
                </c:pt>
                <c:pt idx="7">
                  <c:v>39995</c:v>
                </c:pt>
                <c:pt idx="8">
                  <c:v>40179</c:v>
                </c:pt>
                <c:pt idx="9">
                  <c:v>40360</c:v>
                </c:pt>
                <c:pt idx="10">
                  <c:v>40544</c:v>
                </c:pt>
              </c:numCache>
            </c:numRef>
          </c:cat>
          <c:val>
            <c:numRef>
              <c:f>'8.2- OVINO (SUBEXPLOT)'!$C$29:$M$29</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0-83BD-48D0-A3DD-82A39BAD728C}"/>
            </c:ext>
          </c:extLst>
        </c:ser>
        <c:dLbls>
          <c:showLegendKey val="0"/>
          <c:showVal val="0"/>
          <c:showCatName val="0"/>
          <c:showSerName val="0"/>
          <c:showPercent val="0"/>
          <c:showBubbleSize val="0"/>
        </c:dLbls>
        <c:marker val="1"/>
        <c:smooth val="0"/>
        <c:axId val="139314688"/>
        <c:axId val="140928128"/>
      </c:lineChart>
      <c:catAx>
        <c:axId val="139314688"/>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Fecha</a:t>
                </a:r>
              </a:p>
            </c:rich>
          </c:tx>
          <c:layout>
            <c:manualLayout>
              <c:xMode val="edge"/>
              <c:yMode val="edge"/>
              <c:x val="0.52682286491664798"/>
              <c:y val="0.89772876401813417"/>
            </c:manualLayout>
          </c:layout>
          <c:overlay val="0"/>
          <c:spPr>
            <a:noFill/>
            <a:ln w="25400">
              <a:noFill/>
            </a:ln>
          </c:spPr>
        </c:title>
        <c:numFmt formatCode="dd\-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40928128"/>
        <c:crosses val="autoZero"/>
        <c:auto val="0"/>
        <c:lblAlgn val="ctr"/>
        <c:lblOffset val="100"/>
        <c:tickLblSkip val="1"/>
        <c:tickMarkSkip val="1"/>
        <c:noMultiLvlLbl val="0"/>
      </c:catAx>
      <c:valAx>
        <c:axId val="140928128"/>
        <c:scaling>
          <c:orientation val="minMax"/>
        </c:scaling>
        <c:delete val="0"/>
        <c:axPos val="l"/>
        <c:majorGridlines>
          <c:spPr>
            <a:ln w="3175">
              <a:solidFill>
                <a:srgbClr val="000000"/>
              </a:solidFill>
              <a:prstDash val="solid"/>
            </a:ln>
          </c:spPr>
        </c:majorGridlines>
        <c:title>
          <c:tx>
            <c:rich>
              <a:bodyPr/>
              <a:lstStyle/>
              <a:p>
                <a:pPr>
                  <a:defRPr sz="1000" b="1" i="0" u="none" strike="noStrike" baseline="0">
                    <a:solidFill>
                      <a:srgbClr val="FF00FF"/>
                    </a:solidFill>
                    <a:latin typeface="Arial"/>
                    <a:ea typeface="Arial"/>
                    <a:cs typeface="Arial"/>
                  </a:defRPr>
                </a:pPr>
                <a:r>
                  <a:rPr lang="es-ES"/>
                  <a:t>Total</a:t>
                </a:r>
              </a:p>
            </c:rich>
          </c:tx>
          <c:layout>
            <c:manualLayout>
              <c:xMode val="edge"/>
              <c:yMode val="edge"/>
              <c:x val="2.2008212338450909E-2"/>
              <c:y val="0.45170514197088996"/>
            </c:manualLayout>
          </c:layout>
          <c:overlay val="0"/>
          <c:spPr>
            <a:noFill/>
            <a:ln w="3175">
              <a:solidFill>
                <a:srgbClr val="FF00FF"/>
              </a:solidFill>
              <a:prstDash val="solid"/>
            </a:ln>
          </c:spPr>
        </c:title>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39314688"/>
        <c:crosses val="autoZero"/>
        <c:crossBetween val="between"/>
      </c:valAx>
      <c:spPr>
        <a:solidFill>
          <a:srgbClr val="C0C0C0"/>
        </a:solidFill>
        <a:ln w="12700">
          <a:solidFill>
            <a:srgbClr val="808080"/>
          </a:solidFill>
          <a:prstDash val="solid"/>
        </a:ln>
      </c:spPr>
    </c:plotArea>
    <c:plotVisOnly val="1"/>
    <c:dispBlanksAs val="gap"/>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AUX!$H$40</c:f>
          <c:strCache>
            <c:ptCount val="1"/>
            <c:pt idx="0">
              <c:v>Distribución de las Subexplotaciones de Ovino 
por Clasificación Zootécnica y C.A.  
(31 de diciembre de 1904)</c:v>
            </c:pt>
          </c:strCache>
        </c:strRef>
      </c:tx>
      <c:layout>
        <c:manualLayout>
          <c:xMode val="edge"/>
          <c:yMode val="edge"/>
          <c:x val="0.28260913686505179"/>
          <c:y val="2.100840336134454E-2"/>
        </c:manualLayout>
      </c:layout>
      <c:overlay val="0"/>
      <c:spPr>
        <a:noFill/>
        <a:ln w="25400">
          <a:noFill/>
        </a:ln>
      </c:spPr>
      <c:txPr>
        <a:bodyPr/>
        <a:lstStyle/>
        <a:p>
          <a:pPr>
            <a:defRPr sz="1200" b="0" i="0" u="none" strike="noStrike" baseline="0">
              <a:solidFill>
                <a:srgbClr val="000000"/>
              </a:solidFill>
              <a:latin typeface="Arial"/>
              <a:ea typeface="Arial"/>
              <a:cs typeface="Arial"/>
            </a:defRPr>
          </a:pPr>
          <a:endParaRPr lang="es-ES"/>
        </a:p>
      </c:txPr>
    </c:title>
    <c:autoTitleDeleted val="0"/>
    <c:plotArea>
      <c:layout>
        <c:manualLayout>
          <c:layoutTarget val="inner"/>
          <c:xMode val="edge"/>
          <c:yMode val="edge"/>
          <c:x val="0.15729242973005064"/>
          <c:y val="0.30346146543838809"/>
          <c:w val="0.30376461806388311"/>
          <c:h val="0.55158073406232966"/>
        </c:manualLayout>
      </c:layout>
      <c:pieChart>
        <c:varyColors val="1"/>
        <c:ser>
          <c:idx val="0"/>
          <c:order val="0"/>
          <c:spPr>
            <a:solidFill>
              <a:srgbClr val="9999FF"/>
            </a:solidFill>
            <a:ln w="12700">
              <a:solidFill>
                <a:srgbClr val="000000"/>
              </a:solidFill>
              <a:prstDash val="solid"/>
            </a:ln>
          </c:spPr>
          <c:dPt>
            <c:idx val="0"/>
            <c:bubble3D val="0"/>
            <c:extLst>
              <c:ext xmlns:c16="http://schemas.microsoft.com/office/drawing/2014/chart" uri="{C3380CC4-5D6E-409C-BE32-E72D297353CC}">
                <c16:uniqueId val="{00000000-2F62-41FB-8F40-D1DF86FED4B1}"/>
              </c:ext>
            </c:extLst>
          </c:dPt>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2-2F62-41FB-8F40-D1DF86FED4B1}"/>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4-2F62-41FB-8F40-D1DF86FED4B1}"/>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6-2F62-41FB-8F40-D1DF86FED4B1}"/>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8-2F62-41FB-8F40-D1DF86FED4B1}"/>
              </c:ext>
            </c:extLst>
          </c:dPt>
          <c:dLbls>
            <c:dLbl>
              <c:idx val="0"/>
              <c:layout>
                <c:manualLayout>
                  <c:x val="4.8397786772559712E-4"/>
                  <c:y val="-5.9044751758971295E-2"/>
                </c:manualLayout>
              </c:layout>
              <c:dLblPos val="bestFit"/>
              <c:showLegendKey val="1"/>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0-2F62-41FB-8F40-D1DF86FED4B1}"/>
                </c:ext>
              </c:extLst>
            </c:dLbl>
            <c:dLbl>
              <c:idx val="1"/>
              <c:layout>
                <c:manualLayout>
                  <c:x val="1.4578303628474345E-2"/>
                  <c:y val="-4.6282449987869135E-3"/>
                </c:manualLayout>
              </c:layout>
              <c:dLblPos val="bestFit"/>
              <c:showLegendKey val="1"/>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2-2F62-41FB-8F40-D1DF86FED4B1}"/>
                </c:ext>
              </c:extLst>
            </c:dLbl>
            <c:dLbl>
              <c:idx val="2"/>
              <c:layout>
                <c:manualLayout>
                  <c:x val="7.890531891143103E-3"/>
                  <c:y val="1.2777079335671276E-2"/>
                </c:manualLayout>
              </c:layout>
              <c:dLblPos val="bestFit"/>
              <c:showLegendKey val="1"/>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4-2F62-41FB-8F40-D1DF86FED4B1}"/>
                </c:ext>
              </c:extLst>
            </c:dLbl>
            <c:dLbl>
              <c:idx val="3"/>
              <c:layout>
                <c:manualLayout>
                  <c:x val="-5.8167690776363551E-3"/>
                  <c:y val="7.5372196122543379E-3"/>
                </c:manualLayout>
              </c:layout>
              <c:dLblPos val="bestFit"/>
              <c:showLegendKey val="1"/>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6-2F62-41FB-8F40-D1DF86FED4B1}"/>
                </c:ext>
              </c:extLst>
            </c:dLbl>
            <c:numFmt formatCode="0.0%" sourceLinked="0"/>
            <c:spPr>
              <a:noFill/>
              <a:ln w="25400">
                <a:noFill/>
              </a:ln>
            </c:spPr>
            <c:txPr>
              <a:bodyPr/>
              <a:lstStyle/>
              <a:p>
                <a:pPr algn="l">
                  <a:defRPr sz="975" b="0" i="0" u="none" strike="noStrike" baseline="0">
                    <a:solidFill>
                      <a:srgbClr val="000000"/>
                    </a:solidFill>
                    <a:latin typeface="Arial"/>
                    <a:ea typeface="Arial"/>
                    <a:cs typeface="Arial"/>
                  </a:defRPr>
                </a:pPr>
                <a:endParaRPr lang="es-ES"/>
              </a:p>
            </c:txPr>
            <c:dLblPos val="bestFit"/>
            <c:showLegendKey val="1"/>
            <c:showVal val="0"/>
            <c:showCatName val="0"/>
            <c:showSerName val="0"/>
            <c:showPercent val="1"/>
            <c:showBubbleSize val="0"/>
            <c:showLeaderLines val="1"/>
            <c:extLst>
              <c:ext xmlns:c15="http://schemas.microsoft.com/office/drawing/2012/chart" uri="{CE6537A1-D6FC-4f65-9D91-7224C49458BB}"/>
            </c:extLst>
          </c:dLbls>
          <c:cat>
            <c:strRef>
              <c:f>'8.2- OVINO (SUBEXPLOT)'!$B$265:$B$269</c:f>
              <c:strCache>
                <c:ptCount val="5"/>
                <c:pt idx="0">
                  <c:v>Cebo o Cebadero</c:v>
                </c:pt>
                <c:pt idx="1">
                  <c:v>Reproducción para Producción de Leche</c:v>
                </c:pt>
                <c:pt idx="2">
                  <c:v>Reproducción para Producción de Carne</c:v>
                </c:pt>
                <c:pt idx="3">
                  <c:v>Reproducción Mixta</c:v>
                </c:pt>
                <c:pt idx="4">
                  <c:v>Otras clasificaciones</c:v>
                </c:pt>
              </c:strCache>
            </c:strRef>
          </c:cat>
          <c:val>
            <c:numRef>
              <c:f>'8.2- OVINO (SUBEXPLOT)'!$C$265:$C$269</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09-2F62-41FB-8F40-D1DF86FED4B1}"/>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61231954597560745"/>
          <c:y val="0.34815920068814926"/>
          <c:w val="0.25120803813604442"/>
          <c:h val="0.37873155561437172"/>
        </c:manualLayout>
      </c:layout>
      <c:overlay val="0"/>
      <c:spPr>
        <a:solidFill>
          <a:srgbClr val="FFFFFF"/>
        </a:solidFill>
        <a:ln w="3175">
          <a:solidFill>
            <a:srgbClr val="000000"/>
          </a:solidFill>
          <a:prstDash val="solid"/>
        </a:ln>
      </c:spPr>
      <c:txPr>
        <a:bodyPr/>
        <a:lstStyle/>
        <a:p>
          <a:pPr>
            <a:defRPr sz="775" b="0" i="0" u="none" strike="noStrike" baseline="0">
              <a:solidFill>
                <a:srgbClr val="000000"/>
              </a:solidFill>
              <a:latin typeface="Arial"/>
              <a:ea typeface="Arial"/>
              <a:cs typeface="Arial"/>
            </a:defRPr>
          </a:pPr>
          <a:endParaRPr lang="es-ES"/>
        </a:p>
      </c:txPr>
    </c:legend>
    <c:plotVisOnly val="0"/>
    <c:dispBlanksAs val="zero"/>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ES"/>
              <a:t>Censo Total por C.A.</a:t>
            </a:r>
          </a:p>
        </c:rich>
      </c:tx>
      <c:layout>
        <c:manualLayout>
          <c:xMode val="edge"/>
          <c:yMode val="edge"/>
          <c:x val="0.39507799219398093"/>
          <c:y val="3.3613445378151259E-2"/>
        </c:manualLayout>
      </c:layout>
      <c:overlay val="0"/>
      <c:spPr>
        <a:noFill/>
        <a:ln w="25400">
          <a:noFill/>
        </a:ln>
      </c:spPr>
    </c:title>
    <c:autoTitleDeleted val="0"/>
    <c:plotArea>
      <c:layout>
        <c:manualLayout>
          <c:layoutTarget val="inner"/>
          <c:xMode val="edge"/>
          <c:yMode val="edge"/>
          <c:x val="0.12953376068511216"/>
          <c:y val="0.19047671151936579"/>
          <c:w val="0.85233214530803803"/>
          <c:h val="0.60504367188504438"/>
        </c:manualLayout>
      </c:layout>
      <c:lineChart>
        <c:grouping val="standard"/>
        <c:varyColors val="0"/>
        <c:ser>
          <c:idx val="0"/>
          <c:order val="0"/>
          <c:tx>
            <c:v>Total</c:v>
          </c:tx>
          <c:spPr>
            <a:ln w="12700">
              <a:solidFill>
                <a:srgbClr val="000080"/>
              </a:solidFill>
              <a:prstDash val="solid"/>
            </a:ln>
          </c:spPr>
          <c:marker>
            <c:symbol val="diamond"/>
            <c:size val="5"/>
            <c:spPr>
              <a:solidFill>
                <a:srgbClr val="000080"/>
              </a:solidFill>
              <a:ln>
                <a:solidFill>
                  <a:srgbClr val="000080"/>
                </a:solidFill>
                <a:prstDash val="solid"/>
              </a:ln>
            </c:spPr>
          </c:marker>
          <c:cat>
            <c:numRef>
              <c:f>'9.1- APICULTURA (CENSO)'!$C$16:$M$16</c:f>
              <c:numCache>
                <c:formatCode>[$-C0A]d\-mmm\-yy;@</c:formatCode>
                <c:ptCount val="11"/>
                <c:pt idx="0">
                  <c:v>0</c:v>
                </c:pt>
                <c:pt idx="1">
                  <c:v>38899</c:v>
                </c:pt>
                <c:pt idx="2">
                  <c:v>39083</c:v>
                </c:pt>
                <c:pt idx="3">
                  <c:v>39264</c:v>
                </c:pt>
                <c:pt idx="4">
                  <c:v>39448</c:v>
                </c:pt>
                <c:pt idx="5">
                  <c:v>39630</c:v>
                </c:pt>
                <c:pt idx="6">
                  <c:v>39814</c:v>
                </c:pt>
                <c:pt idx="7">
                  <c:v>39995</c:v>
                </c:pt>
                <c:pt idx="8">
                  <c:v>40179</c:v>
                </c:pt>
                <c:pt idx="9">
                  <c:v>40360</c:v>
                </c:pt>
                <c:pt idx="10">
                  <c:v>40544</c:v>
                </c:pt>
              </c:numCache>
            </c:numRef>
          </c:cat>
          <c:val>
            <c:numRef>
              <c:f>'9.1- APICULTURA (CENSO)'!$C$18:$M$18</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0-E6C3-4B98-B20F-16FC3392DBA5}"/>
            </c:ext>
          </c:extLst>
        </c:ser>
        <c:dLbls>
          <c:showLegendKey val="0"/>
          <c:showVal val="0"/>
          <c:showCatName val="0"/>
          <c:showSerName val="0"/>
          <c:showPercent val="0"/>
          <c:showBubbleSize val="0"/>
        </c:dLbls>
        <c:marker val="1"/>
        <c:smooth val="0"/>
        <c:axId val="142156288"/>
        <c:axId val="140932160"/>
      </c:lineChart>
      <c:catAx>
        <c:axId val="142156288"/>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Fecha</a:t>
                </a:r>
              </a:p>
            </c:rich>
          </c:tx>
          <c:layout>
            <c:manualLayout>
              <c:xMode val="edge"/>
              <c:yMode val="edge"/>
              <c:x val="0.5323836916758462"/>
              <c:y val="0.8711508120308491"/>
            </c:manualLayout>
          </c:layout>
          <c:overlay val="0"/>
          <c:spPr>
            <a:noFill/>
            <a:ln w="25400">
              <a:noFill/>
            </a:ln>
          </c:spPr>
        </c:title>
        <c:numFmt formatCode="dd\-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40932160"/>
        <c:crosses val="autoZero"/>
        <c:auto val="0"/>
        <c:lblAlgn val="ctr"/>
        <c:lblOffset val="100"/>
        <c:tickLblSkip val="1"/>
        <c:tickMarkSkip val="1"/>
        <c:noMultiLvlLbl val="0"/>
      </c:catAx>
      <c:valAx>
        <c:axId val="140932160"/>
        <c:scaling>
          <c:orientation val="minMax"/>
        </c:scaling>
        <c:delete val="0"/>
        <c:axPos val="l"/>
        <c:majorGridlines>
          <c:spPr>
            <a:ln w="3175">
              <a:solidFill>
                <a:srgbClr val="000000"/>
              </a:solidFill>
              <a:prstDash val="solid"/>
            </a:ln>
          </c:spPr>
        </c:majorGridlines>
        <c:title>
          <c:tx>
            <c:rich>
              <a:bodyPr/>
              <a:lstStyle/>
              <a:p>
                <a:pPr>
                  <a:defRPr sz="875" b="1" i="0" u="none" strike="noStrike" baseline="0">
                    <a:solidFill>
                      <a:srgbClr val="000080"/>
                    </a:solidFill>
                    <a:latin typeface="Arial"/>
                    <a:ea typeface="Arial"/>
                    <a:cs typeface="Arial"/>
                  </a:defRPr>
                </a:pPr>
                <a:r>
                  <a:rPr lang="es-ES"/>
                  <a:t>Censo total</a:t>
                </a:r>
              </a:p>
            </c:rich>
          </c:tx>
          <c:layout>
            <c:manualLayout>
              <c:xMode val="edge"/>
              <c:yMode val="edge"/>
              <c:x val="2.072538860103627E-2"/>
              <c:y val="0.39495915951682509"/>
            </c:manualLayout>
          </c:layout>
          <c:overlay val="0"/>
          <c:spPr>
            <a:noFill/>
            <a:ln w="3175">
              <a:solidFill>
                <a:srgbClr val="000080"/>
              </a:solidFill>
              <a:prstDash val="solid"/>
            </a:ln>
          </c:spPr>
        </c:title>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42156288"/>
        <c:crosses val="autoZero"/>
        <c:crossBetween val="between"/>
      </c:valAx>
      <c:spPr>
        <a:solidFill>
          <a:srgbClr val="C0C0C0"/>
        </a:solidFill>
        <a:ln w="12700">
          <a:solidFill>
            <a:srgbClr val="808080"/>
          </a:solidFill>
          <a:prstDash val="solid"/>
        </a:ln>
      </c:spPr>
    </c:plotArea>
    <c:plotVisOnly val="1"/>
    <c:dispBlanksAs val="gap"/>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875"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AUX!$H$41</c:f>
          <c:strCache>
            <c:ptCount val="1"/>
            <c:pt idx="0">
              <c:v>Distribución del Total del Censo de Abejas por C.A. 
(31 de diciembre de 1904)</c:v>
            </c:pt>
          </c:strCache>
        </c:strRef>
      </c:tx>
      <c:layout>
        <c:manualLayout>
          <c:xMode val="edge"/>
          <c:yMode val="edge"/>
          <c:x val="0.26424884065657595"/>
          <c:y val="2.6647966339410939E-2"/>
        </c:manualLayout>
      </c:layout>
      <c:overlay val="0"/>
      <c:spPr>
        <a:noFill/>
        <a:ln w="25400">
          <a:noFill/>
        </a:ln>
      </c:spPr>
      <c:txPr>
        <a:bodyPr/>
        <a:lstStyle/>
        <a:p>
          <a:pPr>
            <a:defRPr sz="1200" b="0" i="0" u="none" strike="noStrike" baseline="0">
              <a:solidFill>
                <a:srgbClr val="000000"/>
              </a:solidFill>
              <a:latin typeface="Arial"/>
              <a:ea typeface="Arial"/>
              <a:cs typeface="Arial"/>
            </a:defRPr>
          </a:pPr>
          <a:endParaRPr lang="es-ES"/>
        </a:p>
      </c:txPr>
    </c:title>
    <c:autoTitleDeleted val="0"/>
    <c:plotArea>
      <c:layout>
        <c:manualLayout>
          <c:layoutTarget val="inner"/>
          <c:xMode val="edge"/>
          <c:yMode val="edge"/>
          <c:x val="0.36917121795256963"/>
          <c:y val="0.26367461430575034"/>
          <c:w val="0.33160642735388712"/>
          <c:h val="0.35904628330995791"/>
        </c:manualLayout>
      </c:layout>
      <c:pieChart>
        <c:varyColors val="1"/>
        <c:ser>
          <c:idx val="0"/>
          <c:order val="0"/>
          <c:spPr>
            <a:solidFill>
              <a:srgbClr val="9999FF"/>
            </a:solidFill>
            <a:ln w="12700">
              <a:solidFill>
                <a:srgbClr val="000000"/>
              </a:solidFill>
              <a:prstDash val="solid"/>
            </a:ln>
          </c:spPr>
          <c:dPt>
            <c:idx val="0"/>
            <c:bubble3D val="0"/>
            <c:extLst>
              <c:ext xmlns:c16="http://schemas.microsoft.com/office/drawing/2014/chart" uri="{C3380CC4-5D6E-409C-BE32-E72D297353CC}">
                <c16:uniqueId val="{00000000-5499-4D6F-927A-A97FEC586FDB}"/>
              </c:ext>
            </c:extLst>
          </c:dPt>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2-5499-4D6F-927A-A97FEC586FDB}"/>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4-5499-4D6F-927A-A97FEC586FDB}"/>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6-5499-4D6F-927A-A97FEC586FDB}"/>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8-5499-4D6F-927A-A97FEC586FDB}"/>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A-5499-4D6F-927A-A97FEC586FDB}"/>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C-5499-4D6F-927A-A97FEC586FDB}"/>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E-5499-4D6F-927A-A97FEC586FDB}"/>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10-5499-4D6F-927A-A97FEC586FDB}"/>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2-5499-4D6F-927A-A97FEC586FDB}"/>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4-5499-4D6F-927A-A97FEC586FDB}"/>
              </c:ext>
            </c:extLst>
          </c:dPt>
          <c:dPt>
            <c:idx val="11"/>
            <c:bubble3D val="0"/>
            <c:spPr>
              <a:solidFill>
                <a:srgbClr val="00FFFF"/>
              </a:solidFill>
              <a:ln w="12700">
                <a:solidFill>
                  <a:srgbClr val="000000"/>
                </a:solidFill>
                <a:prstDash val="solid"/>
              </a:ln>
            </c:spPr>
            <c:extLst>
              <c:ext xmlns:c16="http://schemas.microsoft.com/office/drawing/2014/chart" uri="{C3380CC4-5D6E-409C-BE32-E72D297353CC}">
                <c16:uniqueId val="{00000016-5499-4D6F-927A-A97FEC586FDB}"/>
              </c:ext>
            </c:extLst>
          </c:dPt>
          <c:dPt>
            <c:idx val="12"/>
            <c:bubble3D val="0"/>
            <c:spPr>
              <a:solidFill>
                <a:srgbClr val="800080"/>
              </a:solidFill>
              <a:ln w="12700">
                <a:solidFill>
                  <a:srgbClr val="000000"/>
                </a:solidFill>
                <a:prstDash val="solid"/>
              </a:ln>
            </c:spPr>
            <c:extLst>
              <c:ext xmlns:c16="http://schemas.microsoft.com/office/drawing/2014/chart" uri="{C3380CC4-5D6E-409C-BE32-E72D297353CC}">
                <c16:uniqueId val="{00000018-5499-4D6F-927A-A97FEC586FDB}"/>
              </c:ext>
            </c:extLst>
          </c:dPt>
          <c:dPt>
            <c:idx val="13"/>
            <c:bubble3D val="0"/>
            <c:spPr>
              <a:solidFill>
                <a:srgbClr val="800000"/>
              </a:solidFill>
              <a:ln w="12700">
                <a:solidFill>
                  <a:srgbClr val="000000"/>
                </a:solidFill>
                <a:prstDash val="solid"/>
              </a:ln>
            </c:spPr>
            <c:extLst>
              <c:ext xmlns:c16="http://schemas.microsoft.com/office/drawing/2014/chart" uri="{C3380CC4-5D6E-409C-BE32-E72D297353CC}">
                <c16:uniqueId val="{0000001A-5499-4D6F-927A-A97FEC586FDB}"/>
              </c:ext>
            </c:extLst>
          </c:dPt>
          <c:dPt>
            <c:idx val="14"/>
            <c:bubble3D val="0"/>
            <c:spPr>
              <a:solidFill>
                <a:srgbClr val="008080"/>
              </a:solidFill>
              <a:ln w="12700">
                <a:solidFill>
                  <a:srgbClr val="000000"/>
                </a:solidFill>
                <a:prstDash val="solid"/>
              </a:ln>
            </c:spPr>
            <c:extLst>
              <c:ext xmlns:c16="http://schemas.microsoft.com/office/drawing/2014/chart" uri="{C3380CC4-5D6E-409C-BE32-E72D297353CC}">
                <c16:uniqueId val="{0000001C-5499-4D6F-927A-A97FEC586FDB}"/>
              </c:ext>
            </c:extLst>
          </c:dPt>
          <c:dPt>
            <c:idx val="15"/>
            <c:bubble3D val="0"/>
            <c:spPr>
              <a:solidFill>
                <a:srgbClr val="0000FF"/>
              </a:solidFill>
              <a:ln w="12700">
                <a:solidFill>
                  <a:srgbClr val="000000"/>
                </a:solidFill>
                <a:prstDash val="solid"/>
              </a:ln>
            </c:spPr>
            <c:extLst>
              <c:ext xmlns:c16="http://schemas.microsoft.com/office/drawing/2014/chart" uri="{C3380CC4-5D6E-409C-BE32-E72D297353CC}">
                <c16:uniqueId val="{0000001E-5499-4D6F-927A-A97FEC586FDB}"/>
              </c:ext>
            </c:extLst>
          </c:dPt>
          <c:dPt>
            <c:idx val="16"/>
            <c:bubble3D val="0"/>
            <c:spPr>
              <a:solidFill>
                <a:srgbClr val="00CCFF"/>
              </a:solidFill>
              <a:ln w="12700">
                <a:solidFill>
                  <a:srgbClr val="000000"/>
                </a:solidFill>
                <a:prstDash val="solid"/>
              </a:ln>
            </c:spPr>
            <c:extLst>
              <c:ext xmlns:c16="http://schemas.microsoft.com/office/drawing/2014/chart" uri="{C3380CC4-5D6E-409C-BE32-E72D297353CC}">
                <c16:uniqueId val="{00000020-5499-4D6F-927A-A97FEC586FDB}"/>
              </c:ext>
            </c:extLst>
          </c:dPt>
          <c:dPt>
            <c:idx val="17"/>
            <c:bubble3D val="0"/>
            <c:spPr>
              <a:solidFill>
                <a:srgbClr val="CCFFFF"/>
              </a:solidFill>
              <a:ln w="12700">
                <a:solidFill>
                  <a:srgbClr val="000000"/>
                </a:solidFill>
                <a:prstDash val="solid"/>
              </a:ln>
            </c:spPr>
            <c:extLst>
              <c:ext xmlns:c16="http://schemas.microsoft.com/office/drawing/2014/chart" uri="{C3380CC4-5D6E-409C-BE32-E72D297353CC}">
                <c16:uniqueId val="{00000022-5499-4D6F-927A-A97FEC586FDB}"/>
              </c:ext>
            </c:extLst>
          </c:dPt>
          <c:dPt>
            <c:idx val="18"/>
            <c:bubble3D val="0"/>
            <c:spPr>
              <a:solidFill>
                <a:srgbClr val="CCFFCC"/>
              </a:solidFill>
              <a:ln w="12700">
                <a:solidFill>
                  <a:srgbClr val="000000"/>
                </a:solidFill>
                <a:prstDash val="solid"/>
              </a:ln>
            </c:spPr>
            <c:extLst>
              <c:ext xmlns:c16="http://schemas.microsoft.com/office/drawing/2014/chart" uri="{C3380CC4-5D6E-409C-BE32-E72D297353CC}">
                <c16:uniqueId val="{00000024-5499-4D6F-927A-A97FEC586FDB}"/>
              </c:ext>
            </c:extLst>
          </c:dPt>
          <c:dLbls>
            <c:dLbl>
              <c:idx val="7"/>
              <c:layout>
                <c:manualLayout>
                  <c:x val="-5.6132410982630297E-2"/>
                  <c:y val="1.8198363353248464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E-5499-4D6F-927A-A97FEC586FDB}"/>
                </c:ext>
              </c:extLst>
            </c:dLbl>
            <c:dLbl>
              <c:idx val="10"/>
              <c:layout>
                <c:manualLayout>
                  <c:x val="-3.537660329851286E-2"/>
                  <c:y val="1.8347965971294258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4-5499-4D6F-927A-A97FEC586FDB}"/>
                </c:ext>
              </c:extLst>
            </c:dLbl>
            <c:dLbl>
              <c:idx val="11"/>
              <c:layout>
                <c:manualLayout>
                  <c:x val="-6.6463206658795598E-2"/>
                  <c:y val="-1.3550963913522059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6-5499-4D6F-927A-A97FEC586FDB}"/>
                </c:ext>
              </c:extLst>
            </c:dLbl>
            <c:dLbl>
              <c:idx val="12"/>
              <c:layout>
                <c:manualLayout>
                  <c:x val="-6.9477632277520018E-2"/>
                  <c:y val="-4.8382164010704831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8-5499-4D6F-927A-A97FEC586FDB}"/>
                </c:ext>
              </c:extLst>
            </c:dLbl>
            <c:dLbl>
              <c:idx val="13"/>
              <c:layout>
                <c:manualLayout>
                  <c:x val="-5.4239022089781201E-2"/>
                  <c:y val="-8.3366353399373497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A-5499-4D6F-927A-A97FEC586FDB}"/>
                </c:ext>
              </c:extLst>
            </c:dLbl>
            <c:dLbl>
              <c:idx val="14"/>
              <c:layout>
                <c:manualLayout>
                  <c:x val="-1.4301023593539129E-2"/>
                  <c:y val="-0.1344160381074385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C-5499-4D6F-927A-A97FEC586FDB}"/>
                </c:ext>
              </c:extLst>
            </c:dLbl>
            <c:dLbl>
              <c:idx val="15"/>
              <c:layout>
                <c:manualLayout>
                  <c:x val="7.9612587801345166E-3"/>
                  <c:y val="-0.17893960309659748"/>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E-5499-4D6F-927A-A97FEC586FDB}"/>
                </c:ext>
              </c:extLst>
            </c:dLbl>
            <c:dLbl>
              <c:idx val="16"/>
              <c:layout>
                <c:manualLayout>
                  <c:x val="4.0743741986450178E-2"/>
                  <c:y val="-1.5511406095275956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20-5499-4D6F-927A-A97FEC586FDB}"/>
                </c:ext>
              </c:extLst>
            </c:dLbl>
            <c:numFmt formatCode="0.0%" sourceLinked="0"/>
            <c:spPr>
              <a:noFill/>
              <a:ln w="25400">
                <a:noFill/>
              </a:ln>
            </c:spPr>
            <c:txPr>
              <a:bodyPr/>
              <a:lstStyle/>
              <a:p>
                <a:pPr>
                  <a:defRPr sz="1000" b="0" i="0" u="none" strike="noStrike" baseline="0">
                    <a:solidFill>
                      <a:srgbClr val="000000"/>
                    </a:solidFill>
                    <a:latin typeface="Arial"/>
                    <a:ea typeface="Arial"/>
                    <a:cs typeface="Arial"/>
                  </a:defRPr>
                </a:pPr>
                <a:endParaRPr lang="es-ES"/>
              </a:p>
            </c:txPr>
            <c:showLegendKey val="0"/>
            <c:showVal val="0"/>
            <c:showCatName val="1"/>
            <c:showSerName val="0"/>
            <c:showPercent val="1"/>
            <c:showBubbleSize val="0"/>
            <c:showLeaderLines val="1"/>
            <c:extLst>
              <c:ext xmlns:c15="http://schemas.microsoft.com/office/drawing/2012/chart" uri="{CE6537A1-D6FC-4f65-9D91-7224C49458BB}"/>
            </c:extLst>
          </c:dLbls>
          <c:cat>
            <c:strRef>
              <c:f>'9.1- APICULTURA (CENSO)'!$B$138:$B$156</c:f>
              <c:strCache>
                <c:ptCount val="19"/>
                <c:pt idx="0">
                  <c:v>Andalucía</c:v>
                </c:pt>
                <c:pt idx="1">
                  <c:v>Aragón</c:v>
                </c:pt>
                <c:pt idx="2">
                  <c:v>Asturias</c:v>
                </c:pt>
                <c:pt idx="3">
                  <c:v>Baleares</c:v>
                </c:pt>
                <c:pt idx="4">
                  <c:v>Canarias</c:v>
                </c:pt>
                <c:pt idx="5">
                  <c:v>Cantabria</c:v>
                </c:pt>
                <c:pt idx="6">
                  <c:v>Castilla La Mancha</c:v>
                </c:pt>
                <c:pt idx="7">
                  <c:v>Castilla y León</c:v>
                </c:pt>
                <c:pt idx="8">
                  <c:v>Cataluña</c:v>
                </c:pt>
                <c:pt idx="9">
                  <c:v>Extremadura</c:v>
                </c:pt>
                <c:pt idx="10">
                  <c:v>Galicia</c:v>
                </c:pt>
                <c:pt idx="11">
                  <c:v>Madrid</c:v>
                </c:pt>
                <c:pt idx="12">
                  <c:v>Murcia</c:v>
                </c:pt>
                <c:pt idx="13">
                  <c:v>Navarra</c:v>
                </c:pt>
                <c:pt idx="14">
                  <c:v>País Vasco</c:v>
                </c:pt>
                <c:pt idx="15">
                  <c:v>La Rioja</c:v>
                </c:pt>
                <c:pt idx="16">
                  <c:v>Valencia</c:v>
                </c:pt>
                <c:pt idx="17">
                  <c:v>Ceuta</c:v>
                </c:pt>
                <c:pt idx="18">
                  <c:v>Melilla</c:v>
                </c:pt>
              </c:strCache>
            </c:strRef>
          </c:cat>
          <c:val>
            <c:numRef>
              <c:f>'9.1- APICULTURA (CENSO)'!$C$138:$C$156</c:f>
              <c:numCache>
                <c:formatCode>General</c:formatCode>
                <c:ptCount val="19"/>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numCache>
            </c:numRef>
          </c:val>
          <c:extLst>
            <c:ext xmlns:c16="http://schemas.microsoft.com/office/drawing/2014/chart" uri="{C3380CC4-5D6E-409C-BE32-E72D297353CC}">
              <c16:uniqueId val="{00000025-5499-4D6F-927A-A97FEC586FDB}"/>
            </c:ext>
          </c:extLst>
        </c:ser>
        <c:dLbls>
          <c:showLegendKey val="0"/>
          <c:showVal val="0"/>
          <c:showCatName val="0"/>
          <c:showSerName val="0"/>
          <c:showPercent val="0"/>
          <c:showBubbleSize val="0"/>
          <c:showLeaderLines val="1"/>
        </c:dLbls>
        <c:firstSliceAng val="0"/>
      </c:pieChart>
      <c:spPr>
        <a:noFill/>
        <a:ln w="25400">
          <a:noFill/>
        </a:ln>
      </c:spPr>
    </c:plotArea>
    <c:plotVisOnly val="0"/>
    <c:dispBlanksAs val="zero"/>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ES"/>
              <a:t>Nº de Explotaciones por C.A. y Tipo 
(Sólo con Estado de Alta)</a:t>
            </a:r>
          </a:p>
        </c:rich>
      </c:tx>
      <c:layout>
        <c:manualLayout>
          <c:xMode val="edge"/>
          <c:yMode val="edge"/>
          <c:x val="0.23091997062011083"/>
          <c:y val="3.873239436619718E-2"/>
        </c:manualLayout>
      </c:layout>
      <c:overlay val="0"/>
      <c:spPr>
        <a:noFill/>
        <a:ln w="25400">
          <a:noFill/>
        </a:ln>
      </c:spPr>
    </c:title>
    <c:autoTitleDeleted val="0"/>
    <c:plotArea>
      <c:layout>
        <c:manualLayout>
          <c:layoutTarget val="inner"/>
          <c:xMode val="edge"/>
          <c:yMode val="edge"/>
          <c:x val="0.11350304387751105"/>
          <c:y val="0.30281690140845069"/>
          <c:w val="0.73189893810670914"/>
          <c:h val="0.36971830985915494"/>
        </c:manualLayout>
      </c:layout>
      <c:lineChart>
        <c:grouping val="standard"/>
        <c:varyColors val="0"/>
        <c:ser>
          <c:idx val="0"/>
          <c:order val="0"/>
          <c:tx>
            <c:v>Especiales</c:v>
          </c:tx>
          <c:spPr>
            <a:ln w="12700">
              <a:solidFill>
                <a:srgbClr val="000080"/>
              </a:solidFill>
              <a:prstDash val="solid"/>
            </a:ln>
          </c:spPr>
          <c:marker>
            <c:symbol val="diamond"/>
            <c:size val="5"/>
            <c:spPr>
              <a:solidFill>
                <a:srgbClr val="000080"/>
              </a:solidFill>
              <a:ln>
                <a:solidFill>
                  <a:srgbClr val="000080"/>
                </a:solidFill>
                <a:prstDash val="solid"/>
              </a:ln>
            </c:spPr>
          </c:marker>
          <c:cat>
            <c:numRef>
              <c:f>'4- Nº Explot. por CA y Tipo'!$N$15:$X$15</c:f>
              <c:numCache>
                <c:formatCode>[$-C0A]d\-mmm\-yy;@</c:formatCode>
                <c:ptCount val="11"/>
                <c:pt idx="0">
                  <c:v>40179</c:v>
                </c:pt>
                <c:pt idx="1">
                  <c:v>38899</c:v>
                </c:pt>
                <c:pt idx="2">
                  <c:v>39083</c:v>
                </c:pt>
                <c:pt idx="3">
                  <c:v>39264</c:v>
                </c:pt>
                <c:pt idx="4">
                  <c:v>39448</c:v>
                </c:pt>
                <c:pt idx="5">
                  <c:v>39630</c:v>
                </c:pt>
                <c:pt idx="6">
                  <c:v>39814</c:v>
                </c:pt>
                <c:pt idx="7">
                  <c:v>39995</c:v>
                </c:pt>
                <c:pt idx="8">
                  <c:v>40179</c:v>
                </c:pt>
                <c:pt idx="9">
                  <c:v>40360</c:v>
                </c:pt>
                <c:pt idx="10">
                  <c:v>40544</c:v>
                </c:pt>
              </c:numCache>
            </c:numRef>
          </c:cat>
          <c:val>
            <c:numRef>
              <c:f>'4- Nº Explot. por CA y Tipo'!$N$17:$X$17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0-6F52-4851-ACF1-A7AE963E3421}"/>
            </c:ext>
          </c:extLst>
        </c:ser>
        <c:dLbls>
          <c:showLegendKey val="0"/>
          <c:showVal val="0"/>
          <c:showCatName val="0"/>
          <c:showSerName val="0"/>
          <c:showPercent val="0"/>
          <c:showBubbleSize val="0"/>
        </c:dLbls>
        <c:marker val="1"/>
        <c:smooth val="0"/>
        <c:axId val="118845440"/>
        <c:axId val="117954752"/>
      </c:lineChart>
      <c:catAx>
        <c:axId val="118845440"/>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Fecha</a:t>
                </a:r>
              </a:p>
            </c:rich>
          </c:tx>
          <c:layout>
            <c:manualLayout>
              <c:xMode val="edge"/>
              <c:yMode val="edge"/>
              <c:x val="0.44422741677838212"/>
              <c:y val="0.87323943661971826"/>
            </c:manualLayout>
          </c:layout>
          <c:overlay val="0"/>
          <c:spPr>
            <a:noFill/>
            <a:ln w="25400">
              <a:noFill/>
            </a:ln>
          </c:spPr>
        </c:title>
        <c:numFmt formatCode="[$-C0A]d\-mmm\-yy;@"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17954752"/>
        <c:crosses val="autoZero"/>
        <c:auto val="0"/>
        <c:lblAlgn val="ctr"/>
        <c:lblOffset val="100"/>
        <c:tickLblSkip val="1"/>
        <c:tickMarkSkip val="1"/>
        <c:noMultiLvlLbl val="0"/>
      </c:catAx>
      <c:valAx>
        <c:axId val="117954752"/>
        <c:scaling>
          <c:orientation val="minMax"/>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18845440"/>
        <c:crosses val="autoZero"/>
        <c:crossBetween val="between"/>
      </c:valAx>
      <c:spPr>
        <a:solidFill>
          <a:srgbClr val="C0C0C0"/>
        </a:solidFill>
        <a:ln w="12700">
          <a:solidFill>
            <a:srgbClr val="808080"/>
          </a:solidFill>
          <a:prstDash val="solid"/>
        </a:ln>
      </c:spPr>
    </c:plotArea>
    <c:legend>
      <c:legendPos val="t"/>
      <c:layout>
        <c:manualLayout>
          <c:xMode val="edge"/>
          <c:yMode val="edge"/>
          <c:x val="0.81604778854697957"/>
          <c:y val="0.18661971830985916"/>
          <c:w val="0.17025460858488584"/>
          <c:h val="7.0422535211267595E-2"/>
        </c:manualLayout>
      </c:layout>
      <c:overlay val="0"/>
      <c:spPr>
        <a:solidFill>
          <a:srgbClr val="FFFFFF"/>
        </a:solidFill>
        <a:ln w="3175">
          <a:solidFill>
            <a:srgbClr val="000000"/>
          </a:solidFill>
          <a:prstDash val="solid"/>
        </a:ln>
      </c:spPr>
      <c:txPr>
        <a:bodyPr/>
        <a:lstStyle/>
        <a:p>
          <a:pPr>
            <a:defRPr sz="570" b="0" i="0" u="none" strike="noStrike" baseline="0">
              <a:solidFill>
                <a:srgbClr val="000000"/>
              </a:solidFill>
              <a:latin typeface="Arial"/>
              <a:ea typeface="Arial"/>
              <a:cs typeface="Arial"/>
            </a:defRPr>
          </a:pPr>
          <a:endParaRPr lang="es-ES"/>
        </a:p>
      </c:txPr>
    </c:legend>
    <c:plotVisOnly val="1"/>
    <c:dispBlanksAs val="gap"/>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ES"/>
              <a:t>Nº de Subexplotaciones de Abejas por Clasificación Zootécnica y C.A.</a:t>
            </a:r>
          </a:p>
        </c:rich>
      </c:tx>
      <c:layout>
        <c:manualLayout>
          <c:xMode val="edge"/>
          <c:yMode val="edge"/>
          <c:x val="0.11685843867217746"/>
          <c:y val="3.4591194968553458E-2"/>
        </c:manualLayout>
      </c:layout>
      <c:overlay val="0"/>
      <c:spPr>
        <a:noFill/>
        <a:ln w="25400">
          <a:noFill/>
        </a:ln>
      </c:spPr>
    </c:title>
    <c:autoTitleDeleted val="0"/>
    <c:plotArea>
      <c:layout>
        <c:manualLayout>
          <c:layoutTarget val="inner"/>
          <c:xMode val="edge"/>
          <c:yMode val="edge"/>
          <c:x val="0.13026844294114234"/>
          <c:y val="0.27987507331918643"/>
          <c:w val="0.69348788742196377"/>
          <c:h val="0.47169956177390976"/>
        </c:manualLayout>
      </c:layout>
      <c:lineChart>
        <c:grouping val="standard"/>
        <c:varyColors val="0"/>
        <c:ser>
          <c:idx val="0"/>
          <c:order val="0"/>
          <c:tx>
            <c:v>Mixta</c:v>
          </c:tx>
          <c:spPr>
            <a:ln w="12700">
              <a:solidFill>
                <a:srgbClr val="000080"/>
              </a:solidFill>
              <a:prstDash val="solid"/>
            </a:ln>
          </c:spPr>
          <c:marker>
            <c:symbol val="diamond"/>
            <c:size val="5"/>
            <c:spPr>
              <a:solidFill>
                <a:srgbClr val="000080"/>
              </a:solidFill>
              <a:ln>
                <a:solidFill>
                  <a:srgbClr val="000080"/>
                </a:solidFill>
                <a:prstDash val="solid"/>
              </a:ln>
            </c:spPr>
          </c:marker>
          <c:cat>
            <c:numRef>
              <c:f>'9.2- APICULTURA (SUBEXPLOT)'!$C$16:$M$16</c:f>
              <c:numCache>
                <c:formatCode>[$-C0A]d\-mmm\-yy;@</c:formatCode>
                <c:ptCount val="11"/>
                <c:pt idx="0">
                  <c:v>0</c:v>
                </c:pt>
                <c:pt idx="1">
                  <c:v>38899</c:v>
                </c:pt>
                <c:pt idx="2">
                  <c:v>39083</c:v>
                </c:pt>
                <c:pt idx="3">
                  <c:v>39264</c:v>
                </c:pt>
                <c:pt idx="4">
                  <c:v>39448</c:v>
                </c:pt>
                <c:pt idx="5">
                  <c:v>39630</c:v>
                </c:pt>
                <c:pt idx="6">
                  <c:v>39814</c:v>
                </c:pt>
                <c:pt idx="7">
                  <c:v>39995</c:v>
                </c:pt>
                <c:pt idx="8">
                  <c:v>40179</c:v>
                </c:pt>
                <c:pt idx="9">
                  <c:v>40360</c:v>
                </c:pt>
                <c:pt idx="10">
                  <c:v>40544</c:v>
                </c:pt>
              </c:numCache>
            </c:numRef>
          </c:cat>
          <c:val>
            <c:numRef>
              <c:f>'9.2- APICULTURA (SUBEXPLOT)'!$C$18:$M$18</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0-801B-4F48-9874-98CC8F75D073}"/>
            </c:ext>
          </c:extLst>
        </c:ser>
        <c:dLbls>
          <c:showLegendKey val="0"/>
          <c:showVal val="0"/>
          <c:showCatName val="0"/>
          <c:showSerName val="0"/>
          <c:showPercent val="0"/>
          <c:showBubbleSize val="0"/>
        </c:dLbls>
        <c:marker val="1"/>
        <c:smooth val="0"/>
        <c:axId val="142159360"/>
        <c:axId val="142290880"/>
      </c:lineChart>
      <c:lineChart>
        <c:grouping val="standard"/>
        <c:varyColors val="0"/>
        <c:ser>
          <c:idx val="1"/>
          <c:order val="1"/>
          <c:tx>
            <c:v>Producción Productos Apícolas</c:v>
          </c:tx>
          <c:spPr>
            <a:ln w="12700">
              <a:solidFill>
                <a:srgbClr val="FF00FF"/>
              </a:solidFill>
              <a:prstDash val="solid"/>
            </a:ln>
          </c:spPr>
          <c:marker>
            <c:symbol val="square"/>
            <c:size val="5"/>
            <c:spPr>
              <a:solidFill>
                <a:srgbClr val="FF00FF"/>
              </a:solidFill>
              <a:ln>
                <a:solidFill>
                  <a:srgbClr val="FF00FF"/>
                </a:solidFill>
                <a:prstDash val="solid"/>
              </a:ln>
            </c:spPr>
          </c:marker>
          <c:cat>
            <c:numRef>
              <c:f>'9.2- APICULTURA (SUBEXPLOT)'!$C$16:$M$16</c:f>
              <c:numCache>
                <c:formatCode>[$-C0A]d\-mmm\-yy;@</c:formatCode>
                <c:ptCount val="11"/>
                <c:pt idx="0">
                  <c:v>0</c:v>
                </c:pt>
                <c:pt idx="1">
                  <c:v>38899</c:v>
                </c:pt>
                <c:pt idx="2">
                  <c:v>39083</c:v>
                </c:pt>
                <c:pt idx="3">
                  <c:v>39264</c:v>
                </c:pt>
                <c:pt idx="4">
                  <c:v>39448</c:v>
                </c:pt>
                <c:pt idx="5">
                  <c:v>39630</c:v>
                </c:pt>
                <c:pt idx="6">
                  <c:v>39814</c:v>
                </c:pt>
                <c:pt idx="7">
                  <c:v>39995</c:v>
                </c:pt>
                <c:pt idx="8">
                  <c:v>40179</c:v>
                </c:pt>
                <c:pt idx="9">
                  <c:v>40360</c:v>
                </c:pt>
                <c:pt idx="10">
                  <c:v>40544</c:v>
                </c:pt>
              </c:numCache>
            </c:numRef>
          </c:cat>
          <c:val>
            <c:numRef>
              <c:f>'9.2- APICULTURA (SUBEXPLOT)'!$C$20:$M$20</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1-801B-4F48-9874-98CC8F75D073}"/>
            </c:ext>
          </c:extLst>
        </c:ser>
        <c:dLbls>
          <c:showLegendKey val="0"/>
          <c:showVal val="0"/>
          <c:showCatName val="0"/>
          <c:showSerName val="0"/>
          <c:showPercent val="0"/>
          <c:showBubbleSize val="0"/>
        </c:dLbls>
        <c:marker val="1"/>
        <c:smooth val="0"/>
        <c:axId val="143557120"/>
        <c:axId val="142291456"/>
      </c:lineChart>
      <c:catAx>
        <c:axId val="142159360"/>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Fecha</a:t>
                </a:r>
              </a:p>
            </c:rich>
          </c:tx>
          <c:layout>
            <c:manualLayout>
              <c:xMode val="edge"/>
              <c:yMode val="edge"/>
              <c:x val="0.44252954012932288"/>
              <c:y val="0.88365043992142489"/>
            </c:manualLayout>
          </c:layout>
          <c:overlay val="0"/>
          <c:spPr>
            <a:noFill/>
            <a:ln w="25400">
              <a:noFill/>
            </a:ln>
          </c:spPr>
        </c:title>
        <c:numFmt formatCode="dd\-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42290880"/>
        <c:crosses val="autoZero"/>
        <c:auto val="0"/>
        <c:lblAlgn val="ctr"/>
        <c:lblOffset val="100"/>
        <c:tickLblSkip val="1"/>
        <c:tickMarkSkip val="1"/>
        <c:noMultiLvlLbl val="0"/>
      </c:catAx>
      <c:valAx>
        <c:axId val="142290880"/>
        <c:scaling>
          <c:orientation val="minMax"/>
        </c:scaling>
        <c:delete val="0"/>
        <c:axPos val="l"/>
        <c:majorGridlines>
          <c:spPr>
            <a:ln w="3175">
              <a:solidFill>
                <a:srgbClr val="000000"/>
              </a:solidFill>
              <a:prstDash val="solid"/>
            </a:ln>
          </c:spPr>
        </c:majorGridlines>
        <c:title>
          <c:tx>
            <c:rich>
              <a:bodyPr/>
              <a:lstStyle/>
              <a:p>
                <a:pPr>
                  <a:defRPr sz="1000" b="1" i="0" u="none" strike="noStrike" baseline="0">
                    <a:solidFill>
                      <a:srgbClr val="000080"/>
                    </a:solidFill>
                    <a:latin typeface="Arial"/>
                    <a:ea typeface="Arial"/>
                    <a:cs typeface="Arial"/>
                  </a:defRPr>
                </a:pPr>
                <a:r>
                  <a:rPr lang="es-ES"/>
                  <a:t>Mixta</a:t>
                </a:r>
              </a:p>
            </c:rich>
          </c:tx>
          <c:layout>
            <c:manualLayout>
              <c:xMode val="edge"/>
              <c:yMode val="edge"/>
              <c:x val="9.5785440613026813E-3"/>
              <c:y val="0.48113339606134137"/>
            </c:manualLayout>
          </c:layout>
          <c:overlay val="0"/>
          <c:spPr>
            <a:noFill/>
            <a:ln w="3175">
              <a:solidFill>
                <a:srgbClr val="000080"/>
              </a:solidFill>
              <a:prstDash val="solid"/>
            </a:ln>
          </c:spPr>
        </c:title>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42159360"/>
        <c:crosses val="autoZero"/>
        <c:crossBetween val="between"/>
      </c:valAx>
      <c:dateAx>
        <c:axId val="143557120"/>
        <c:scaling>
          <c:orientation val="minMax"/>
        </c:scaling>
        <c:delete val="1"/>
        <c:axPos val="b"/>
        <c:numFmt formatCode="[$-C0A]d\-mmm\-yy;@" sourceLinked="1"/>
        <c:majorTickMark val="out"/>
        <c:minorTickMark val="none"/>
        <c:tickLblPos val="nextTo"/>
        <c:crossAx val="142291456"/>
        <c:crosses val="autoZero"/>
        <c:auto val="1"/>
        <c:lblOffset val="100"/>
        <c:baseTimeUnit val="months"/>
      </c:dateAx>
      <c:valAx>
        <c:axId val="142291456"/>
        <c:scaling>
          <c:orientation val="minMax"/>
        </c:scaling>
        <c:delete val="0"/>
        <c:axPos val="r"/>
        <c:title>
          <c:tx>
            <c:rich>
              <a:bodyPr/>
              <a:lstStyle/>
              <a:p>
                <a:pPr>
                  <a:defRPr sz="900" b="1" i="0" u="none" strike="noStrike" baseline="0">
                    <a:solidFill>
                      <a:srgbClr val="FF00FF"/>
                    </a:solidFill>
                    <a:latin typeface="Arial"/>
                    <a:ea typeface="Arial"/>
                    <a:cs typeface="Arial"/>
                  </a:defRPr>
                </a:pPr>
                <a:r>
                  <a:rPr lang="es-ES"/>
                  <a:t>Producción Productos Apícolas</a:t>
                </a:r>
              </a:p>
            </c:rich>
          </c:tx>
          <c:layout>
            <c:manualLayout>
              <c:xMode val="edge"/>
              <c:yMode val="edge"/>
              <c:x val="0.93869912812622558"/>
              <c:y val="0.25471797157430792"/>
            </c:manualLayout>
          </c:layout>
          <c:overlay val="0"/>
          <c:spPr>
            <a:noFill/>
            <a:ln w="3175">
              <a:solidFill>
                <a:srgbClr val="FF00FF"/>
              </a:solidFill>
              <a:prstDash val="solid"/>
            </a:ln>
          </c:spPr>
        </c:title>
        <c:numFmt formatCode="#,##0"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43557120"/>
        <c:crosses val="max"/>
        <c:crossBetween val="between"/>
      </c:valAx>
      <c:spPr>
        <a:solidFill>
          <a:srgbClr val="C0C0C0"/>
        </a:solidFill>
        <a:ln w="12700">
          <a:solidFill>
            <a:srgbClr val="808080"/>
          </a:solidFill>
          <a:prstDash val="solid"/>
        </a:ln>
      </c:spPr>
    </c:plotArea>
    <c:plotVisOnly val="1"/>
    <c:dispBlanksAs val="gap"/>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ES"/>
              <a:t>Nº de Subexplotaciones de Abejas por Clasificación Zootécnica y C.A.</a:t>
            </a:r>
          </a:p>
        </c:rich>
      </c:tx>
      <c:layout>
        <c:manualLayout>
          <c:xMode val="edge"/>
          <c:yMode val="edge"/>
          <c:x val="0.11392404653122064"/>
          <c:y val="3.4591194968553458E-2"/>
        </c:manualLayout>
      </c:layout>
      <c:overlay val="0"/>
      <c:spPr>
        <a:noFill/>
        <a:ln w="25400">
          <a:noFill/>
        </a:ln>
      </c:spPr>
    </c:title>
    <c:autoTitleDeleted val="0"/>
    <c:plotArea>
      <c:layout>
        <c:manualLayout>
          <c:layoutTarget val="inner"/>
          <c:xMode val="edge"/>
          <c:yMode val="edge"/>
          <c:x val="0.11075949367088607"/>
          <c:y val="0.27358574582886763"/>
          <c:w val="0.78164556962025311"/>
          <c:h val="0.48113355300938793"/>
        </c:manualLayout>
      </c:layout>
      <c:lineChart>
        <c:grouping val="standard"/>
        <c:varyColors val="0"/>
        <c:ser>
          <c:idx val="0"/>
          <c:order val="0"/>
          <c:tx>
            <c:v>Selección y Cría Apícola</c:v>
          </c:tx>
          <c:spPr>
            <a:ln w="12700">
              <a:solidFill>
                <a:srgbClr val="000080"/>
              </a:solidFill>
              <a:prstDash val="solid"/>
            </a:ln>
          </c:spPr>
          <c:marker>
            <c:symbol val="diamond"/>
            <c:size val="5"/>
            <c:spPr>
              <a:solidFill>
                <a:srgbClr val="000080"/>
              </a:solidFill>
              <a:ln>
                <a:solidFill>
                  <a:srgbClr val="000080"/>
                </a:solidFill>
                <a:prstDash val="solid"/>
              </a:ln>
            </c:spPr>
          </c:marker>
          <c:cat>
            <c:numRef>
              <c:f>'9.2- APICULTURA (SUBEXPLOT)'!$C$16:$M$16</c:f>
              <c:numCache>
                <c:formatCode>[$-C0A]d\-mmm\-yy;@</c:formatCode>
                <c:ptCount val="11"/>
                <c:pt idx="0">
                  <c:v>0</c:v>
                </c:pt>
                <c:pt idx="1">
                  <c:v>38899</c:v>
                </c:pt>
                <c:pt idx="2">
                  <c:v>39083</c:v>
                </c:pt>
                <c:pt idx="3">
                  <c:v>39264</c:v>
                </c:pt>
                <c:pt idx="4">
                  <c:v>39448</c:v>
                </c:pt>
                <c:pt idx="5">
                  <c:v>39630</c:v>
                </c:pt>
                <c:pt idx="6">
                  <c:v>39814</c:v>
                </c:pt>
                <c:pt idx="7">
                  <c:v>39995</c:v>
                </c:pt>
                <c:pt idx="8">
                  <c:v>40179</c:v>
                </c:pt>
                <c:pt idx="9">
                  <c:v>40360</c:v>
                </c:pt>
                <c:pt idx="10">
                  <c:v>40544</c:v>
                </c:pt>
              </c:numCache>
            </c:numRef>
          </c:cat>
          <c:val>
            <c:numRef>
              <c:f>'9.2- APICULTURA (SUBEXPLOT)'!$C$22:$M$22</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0-E664-46EE-B094-02514DBF29DE}"/>
            </c:ext>
          </c:extLst>
        </c:ser>
        <c:dLbls>
          <c:showLegendKey val="0"/>
          <c:showVal val="0"/>
          <c:showCatName val="0"/>
          <c:showSerName val="0"/>
          <c:showPercent val="0"/>
          <c:showBubbleSize val="0"/>
        </c:dLbls>
        <c:marker val="1"/>
        <c:smooth val="0"/>
        <c:axId val="143557632"/>
        <c:axId val="142293184"/>
      </c:lineChart>
      <c:lineChart>
        <c:grouping val="standard"/>
        <c:varyColors val="0"/>
        <c:ser>
          <c:idx val="1"/>
          <c:order val="1"/>
          <c:tx>
            <c:v>Polinización</c:v>
          </c:tx>
          <c:spPr>
            <a:ln w="12700">
              <a:solidFill>
                <a:srgbClr val="FF00FF"/>
              </a:solidFill>
              <a:prstDash val="solid"/>
            </a:ln>
          </c:spPr>
          <c:marker>
            <c:symbol val="square"/>
            <c:size val="5"/>
            <c:spPr>
              <a:solidFill>
                <a:srgbClr val="FF00FF"/>
              </a:solidFill>
              <a:ln>
                <a:solidFill>
                  <a:srgbClr val="FF00FF"/>
                </a:solidFill>
                <a:prstDash val="solid"/>
              </a:ln>
            </c:spPr>
          </c:marker>
          <c:cat>
            <c:numRef>
              <c:f>'9.2- APICULTURA (SUBEXPLOT)'!$C$16:$M$16</c:f>
              <c:numCache>
                <c:formatCode>[$-C0A]d\-mmm\-yy;@</c:formatCode>
                <c:ptCount val="11"/>
                <c:pt idx="0">
                  <c:v>0</c:v>
                </c:pt>
                <c:pt idx="1">
                  <c:v>38899</c:v>
                </c:pt>
                <c:pt idx="2">
                  <c:v>39083</c:v>
                </c:pt>
                <c:pt idx="3">
                  <c:v>39264</c:v>
                </c:pt>
                <c:pt idx="4">
                  <c:v>39448</c:v>
                </c:pt>
                <c:pt idx="5">
                  <c:v>39630</c:v>
                </c:pt>
                <c:pt idx="6">
                  <c:v>39814</c:v>
                </c:pt>
                <c:pt idx="7">
                  <c:v>39995</c:v>
                </c:pt>
                <c:pt idx="8">
                  <c:v>40179</c:v>
                </c:pt>
                <c:pt idx="9">
                  <c:v>40360</c:v>
                </c:pt>
                <c:pt idx="10">
                  <c:v>40544</c:v>
                </c:pt>
              </c:numCache>
            </c:numRef>
          </c:cat>
          <c:val>
            <c:numRef>
              <c:f>'9.2- APICULTURA (SUBEXPLOT)'!$C$24:$M$24</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1-E664-46EE-B094-02514DBF29DE}"/>
            </c:ext>
          </c:extLst>
        </c:ser>
        <c:dLbls>
          <c:showLegendKey val="0"/>
          <c:showVal val="0"/>
          <c:showCatName val="0"/>
          <c:showSerName val="0"/>
          <c:showPercent val="0"/>
          <c:showBubbleSize val="0"/>
        </c:dLbls>
        <c:marker val="1"/>
        <c:smooth val="0"/>
        <c:axId val="143558144"/>
        <c:axId val="142293760"/>
      </c:lineChart>
      <c:catAx>
        <c:axId val="143557632"/>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Fecha</a:t>
                </a:r>
              </a:p>
            </c:rich>
          </c:tx>
          <c:layout>
            <c:manualLayout>
              <c:xMode val="edge"/>
              <c:yMode val="edge"/>
              <c:x val="0.47310132529730081"/>
              <c:y val="0.8867950940094752"/>
            </c:manualLayout>
          </c:layout>
          <c:overlay val="0"/>
          <c:spPr>
            <a:noFill/>
            <a:ln w="25400">
              <a:noFill/>
            </a:ln>
          </c:spPr>
        </c:title>
        <c:numFmt formatCode="dd\-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42293184"/>
        <c:crosses val="autoZero"/>
        <c:auto val="0"/>
        <c:lblAlgn val="ctr"/>
        <c:lblOffset val="100"/>
        <c:tickLblSkip val="1"/>
        <c:tickMarkSkip val="1"/>
        <c:noMultiLvlLbl val="0"/>
      </c:catAx>
      <c:valAx>
        <c:axId val="142293184"/>
        <c:scaling>
          <c:orientation val="minMax"/>
        </c:scaling>
        <c:delete val="0"/>
        <c:axPos val="l"/>
        <c:majorGridlines>
          <c:spPr>
            <a:ln w="3175">
              <a:solidFill>
                <a:srgbClr val="000000"/>
              </a:solidFill>
              <a:prstDash val="solid"/>
            </a:ln>
          </c:spPr>
        </c:majorGridlines>
        <c:title>
          <c:tx>
            <c:rich>
              <a:bodyPr/>
              <a:lstStyle/>
              <a:p>
                <a:pPr>
                  <a:defRPr sz="1000" b="1" i="0" u="none" strike="noStrike" baseline="0">
                    <a:solidFill>
                      <a:srgbClr val="000080"/>
                    </a:solidFill>
                    <a:latin typeface="Arial"/>
                    <a:ea typeface="Arial"/>
                    <a:cs typeface="Arial"/>
                  </a:defRPr>
                </a:pPr>
                <a:r>
                  <a:rPr lang="es-ES"/>
                  <a:t>Selección y Cría Apícola</a:t>
                </a:r>
              </a:p>
            </c:rich>
          </c:tx>
          <c:layout>
            <c:manualLayout>
              <c:xMode val="edge"/>
              <c:yMode val="edge"/>
              <c:x val="1.8199507468973787E-2"/>
              <c:y val="0.28930916654286143"/>
            </c:manualLayout>
          </c:layout>
          <c:overlay val="0"/>
          <c:spPr>
            <a:noFill/>
            <a:ln w="3175">
              <a:solidFill>
                <a:srgbClr val="000080"/>
              </a:solidFill>
              <a:prstDash val="solid"/>
            </a:ln>
          </c:spPr>
        </c:title>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43557632"/>
        <c:crosses val="autoZero"/>
        <c:crossBetween val="between"/>
      </c:valAx>
      <c:dateAx>
        <c:axId val="143558144"/>
        <c:scaling>
          <c:orientation val="minMax"/>
        </c:scaling>
        <c:delete val="1"/>
        <c:axPos val="b"/>
        <c:numFmt formatCode="[$-C0A]d\-mmm\-yy;@" sourceLinked="1"/>
        <c:majorTickMark val="out"/>
        <c:minorTickMark val="none"/>
        <c:tickLblPos val="nextTo"/>
        <c:crossAx val="142293760"/>
        <c:crosses val="autoZero"/>
        <c:auto val="1"/>
        <c:lblOffset val="100"/>
        <c:baseTimeUnit val="months"/>
      </c:dateAx>
      <c:valAx>
        <c:axId val="142293760"/>
        <c:scaling>
          <c:orientation val="minMax"/>
        </c:scaling>
        <c:delete val="0"/>
        <c:axPos val="r"/>
        <c:title>
          <c:tx>
            <c:rich>
              <a:bodyPr/>
              <a:lstStyle/>
              <a:p>
                <a:pPr>
                  <a:defRPr sz="1000" b="1" i="0" u="none" strike="noStrike" baseline="0">
                    <a:solidFill>
                      <a:srgbClr val="FF00FF"/>
                    </a:solidFill>
                    <a:latin typeface="Arial"/>
                    <a:ea typeface="Arial"/>
                    <a:cs typeface="Arial"/>
                  </a:defRPr>
                </a:pPr>
                <a:r>
                  <a:rPr lang="es-ES"/>
                  <a:t>Polinización</a:t>
                </a:r>
              </a:p>
            </c:rich>
          </c:tx>
          <c:layout>
            <c:manualLayout>
              <c:xMode val="edge"/>
              <c:yMode val="edge"/>
              <c:x val="0.95094941835974212"/>
              <c:y val="0.38050446524373133"/>
            </c:manualLayout>
          </c:layout>
          <c:overlay val="0"/>
          <c:spPr>
            <a:noFill/>
            <a:ln w="3175">
              <a:solidFill>
                <a:srgbClr val="FF00FF"/>
              </a:solidFill>
              <a:prstDash val="solid"/>
            </a:ln>
          </c:spPr>
        </c:title>
        <c:numFmt formatCode="#,##0"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43558144"/>
        <c:crosses val="max"/>
        <c:crossBetween val="between"/>
      </c:valAx>
      <c:spPr>
        <a:solidFill>
          <a:srgbClr val="C0C0C0"/>
        </a:solidFill>
        <a:ln w="12700">
          <a:solidFill>
            <a:srgbClr val="808080"/>
          </a:solidFill>
          <a:prstDash val="solid"/>
        </a:ln>
      </c:spPr>
    </c:plotArea>
    <c:plotVisOnly val="1"/>
    <c:dispBlanksAs val="gap"/>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ES"/>
              <a:t>Nº de Subexplotaciones de Abejas por Clasificación Zootécnica y C.A.</a:t>
            </a:r>
          </a:p>
        </c:rich>
      </c:tx>
      <c:layout>
        <c:manualLayout>
          <c:xMode val="edge"/>
          <c:yMode val="edge"/>
          <c:x val="0.12795549374130738"/>
          <c:y val="3.5398230088495575E-2"/>
        </c:manualLayout>
      </c:layout>
      <c:overlay val="0"/>
      <c:spPr>
        <a:noFill/>
        <a:ln w="25400">
          <a:noFill/>
        </a:ln>
      </c:spPr>
    </c:title>
    <c:autoTitleDeleted val="0"/>
    <c:plotArea>
      <c:layout>
        <c:manualLayout>
          <c:layoutTarget val="inner"/>
          <c:xMode val="edge"/>
          <c:yMode val="edge"/>
          <c:x val="0.11126564673157163"/>
          <c:y val="0.20354040935082893"/>
          <c:w val="0.78164116828929064"/>
          <c:h val="0.60767136704740232"/>
        </c:manualLayout>
      </c:layout>
      <c:lineChart>
        <c:grouping val="standard"/>
        <c:varyColors val="0"/>
        <c:ser>
          <c:idx val="0"/>
          <c:order val="0"/>
          <c:tx>
            <c:v>Otras</c:v>
          </c:tx>
          <c:spPr>
            <a:ln w="12700">
              <a:solidFill>
                <a:srgbClr val="000080"/>
              </a:solidFill>
              <a:prstDash val="solid"/>
            </a:ln>
          </c:spPr>
          <c:marker>
            <c:symbol val="diamond"/>
            <c:size val="5"/>
            <c:spPr>
              <a:solidFill>
                <a:srgbClr val="000080"/>
              </a:solidFill>
              <a:ln>
                <a:solidFill>
                  <a:srgbClr val="000080"/>
                </a:solidFill>
                <a:prstDash val="solid"/>
              </a:ln>
            </c:spPr>
          </c:marker>
          <c:cat>
            <c:numRef>
              <c:f>'9.2- APICULTURA (SUBEXPLOT)'!$C$16:$M$16</c:f>
              <c:numCache>
                <c:formatCode>[$-C0A]d\-mmm\-yy;@</c:formatCode>
                <c:ptCount val="11"/>
                <c:pt idx="0">
                  <c:v>0</c:v>
                </c:pt>
                <c:pt idx="1">
                  <c:v>38899</c:v>
                </c:pt>
                <c:pt idx="2">
                  <c:v>39083</c:v>
                </c:pt>
                <c:pt idx="3">
                  <c:v>39264</c:v>
                </c:pt>
                <c:pt idx="4">
                  <c:v>39448</c:v>
                </c:pt>
                <c:pt idx="5">
                  <c:v>39630</c:v>
                </c:pt>
                <c:pt idx="6">
                  <c:v>39814</c:v>
                </c:pt>
                <c:pt idx="7">
                  <c:v>39995</c:v>
                </c:pt>
                <c:pt idx="8">
                  <c:v>40179</c:v>
                </c:pt>
                <c:pt idx="9">
                  <c:v>40360</c:v>
                </c:pt>
                <c:pt idx="10">
                  <c:v>40544</c:v>
                </c:pt>
              </c:numCache>
            </c:numRef>
          </c:cat>
          <c:val>
            <c:numRef>
              <c:f>'9.2- APICULTURA (SUBEXPLOT)'!$C$26:$M$26</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0-E17D-4F10-92B0-C7EBC470D415}"/>
            </c:ext>
          </c:extLst>
        </c:ser>
        <c:dLbls>
          <c:showLegendKey val="0"/>
          <c:showVal val="0"/>
          <c:showCatName val="0"/>
          <c:showSerName val="0"/>
          <c:showPercent val="0"/>
          <c:showBubbleSize val="0"/>
        </c:dLbls>
        <c:marker val="1"/>
        <c:smooth val="0"/>
        <c:axId val="143558656"/>
        <c:axId val="142328384"/>
      </c:lineChart>
      <c:lineChart>
        <c:grouping val="standard"/>
        <c:varyColors val="0"/>
        <c:ser>
          <c:idx val="1"/>
          <c:order val="1"/>
          <c:tx>
            <c:v>Todas (*)</c:v>
          </c:tx>
          <c:spPr>
            <a:ln w="12700">
              <a:solidFill>
                <a:srgbClr val="FF00FF"/>
              </a:solidFill>
              <a:prstDash val="solid"/>
            </a:ln>
          </c:spPr>
          <c:marker>
            <c:symbol val="square"/>
            <c:size val="5"/>
            <c:spPr>
              <a:solidFill>
                <a:srgbClr val="FF00FF"/>
              </a:solidFill>
              <a:ln>
                <a:solidFill>
                  <a:srgbClr val="FF00FF"/>
                </a:solidFill>
                <a:prstDash val="solid"/>
              </a:ln>
            </c:spPr>
          </c:marker>
          <c:cat>
            <c:numRef>
              <c:f>'9.2- APICULTURA (SUBEXPLOT)'!$C$16:$M$16</c:f>
              <c:numCache>
                <c:formatCode>[$-C0A]d\-mmm\-yy;@</c:formatCode>
                <c:ptCount val="11"/>
                <c:pt idx="0">
                  <c:v>0</c:v>
                </c:pt>
                <c:pt idx="1">
                  <c:v>38899</c:v>
                </c:pt>
                <c:pt idx="2">
                  <c:v>39083</c:v>
                </c:pt>
                <c:pt idx="3">
                  <c:v>39264</c:v>
                </c:pt>
                <c:pt idx="4">
                  <c:v>39448</c:v>
                </c:pt>
                <c:pt idx="5">
                  <c:v>39630</c:v>
                </c:pt>
                <c:pt idx="6">
                  <c:v>39814</c:v>
                </c:pt>
                <c:pt idx="7">
                  <c:v>39995</c:v>
                </c:pt>
                <c:pt idx="8">
                  <c:v>40179</c:v>
                </c:pt>
                <c:pt idx="9">
                  <c:v>40360</c:v>
                </c:pt>
                <c:pt idx="10">
                  <c:v>40544</c:v>
                </c:pt>
              </c:numCache>
            </c:numRef>
          </c:cat>
          <c:val>
            <c:numRef>
              <c:f>'9.2- APICULTURA (SUBEXPLOT)'!$C$28:$M$28</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1-E17D-4F10-92B0-C7EBC470D415}"/>
            </c:ext>
          </c:extLst>
        </c:ser>
        <c:dLbls>
          <c:showLegendKey val="0"/>
          <c:showVal val="0"/>
          <c:showCatName val="0"/>
          <c:showSerName val="0"/>
          <c:showPercent val="0"/>
          <c:showBubbleSize val="0"/>
        </c:dLbls>
        <c:marker val="1"/>
        <c:smooth val="0"/>
        <c:axId val="143559680"/>
        <c:axId val="142328960"/>
      </c:lineChart>
      <c:catAx>
        <c:axId val="143558656"/>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Fecha</a:t>
                </a:r>
              </a:p>
            </c:rich>
          </c:tx>
          <c:layout>
            <c:manualLayout>
              <c:xMode val="edge"/>
              <c:yMode val="edge"/>
              <c:x val="0.47705146036161333"/>
              <c:y val="0.89085793479354902"/>
            </c:manualLayout>
          </c:layout>
          <c:overlay val="0"/>
          <c:spPr>
            <a:noFill/>
            <a:ln w="25400">
              <a:noFill/>
            </a:ln>
          </c:spPr>
        </c:title>
        <c:numFmt formatCode="dd\-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42328384"/>
        <c:crosses val="autoZero"/>
        <c:auto val="0"/>
        <c:lblAlgn val="ctr"/>
        <c:lblOffset val="100"/>
        <c:tickLblSkip val="1"/>
        <c:tickMarkSkip val="1"/>
        <c:noMultiLvlLbl val="0"/>
      </c:catAx>
      <c:valAx>
        <c:axId val="142328384"/>
        <c:scaling>
          <c:orientation val="minMax"/>
        </c:scaling>
        <c:delete val="0"/>
        <c:axPos val="l"/>
        <c:majorGridlines>
          <c:spPr>
            <a:ln w="3175">
              <a:solidFill>
                <a:srgbClr val="000000"/>
              </a:solidFill>
              <a:prstDash val="solid"/>
            </a:ln>
          </c:spPr>
        </c:majorGridlines>
        <c:title>
          <c:tx>
            <c:rich>
              <a:bodyPr/>
              <a:lstStyle/>
              <a:p>
                <a:pPr>
                  <a:defRPr sz="1000" b="1" i="0" u="none" strike="noStrike" baseline="0">
                    <a:solidFill>
                      <a:srgbClr val="000080"/>
                    </a:solidFill>
                    <a:latin typeface="Arial"/>
                    <a:ea typeface="Arial"/>
                    <a:cs typeface="Arial"/>
                  </a:defRPr>
                </a:pPr>
                <a:r>
                  <a:rPr lang="es-ES"/>
                  <a:t>Otras</a:t>
                </a:r>
              </a:p>
            </c:rich>
          </c:tx>
          <c:layout>
            <c:manualLayout>
              <c:xMode val="edge"/>
              <c:yMode val="edge"/>
              <c:x val="6.954102920723227E-3"/>
              <c:y val="0.4513286724115238"/>
            </c:manualLayout>
          </c:layout>
          <c:overlay val="0"/>
          <c:spPr>
            <a:noFill/>
            <a:ln w="3175">
              <a:solidFill>
                <a:srgbClr val="000080"/>
              </a:solidFill>
              <a:prstDash val="solid"/>
            </a:ln>
          </c:spPr>
        </c:title>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43558656"/>
        <c:crosses val="autoZero"/>
        <c:crossBetween val="between"/>
      </c:valAx>
      <c:dateAx>
        <c:axId val="143559680"/>
        <c:scaling>
          <c:orientation val="minMax"/>
        </c:scaling>
        <c:delete val="1"/>
        <c:axPos val="b"/>
        <c:numFmt formatCode="[$-C0A]d\-mmm\-yy;@" sourceLinked="1"/>
        <c:majorTickMark val="out"/>
        <c:minorTickMark val="none"/>
        <c:tickLblPos val="nextTo"/>
        <c:crossAx val="142328960"/>
        <c:crosses val="autoZero"/>
        <c:auto val="1"/>
        <c:lblOffset val="100"/>
        <c:baseTimeUnit val="months"/>
      </c:dateAx>
      <c:valAx>
        <c:axId val="142328960"/>
        <c:scaling>
          <c:orientation val="minMax"/>
        </c:scaling>
        <c:delete val="0"/>
        <c:axPos val="r"/>
        <c:title>
          <c:tx>
            <c:rich>
              <a:bodyPr/>
              <a:lstStyle/>
              <a:p>
                <a:pPr>
                  <a:defRPr sz="1000" b="1" i="0" u="none" strike="noStrike" baseline="0">
                    <a:solidFill>
                      <a:srgbClr val="FF00FF"/>
                    </a:solidFill>
                    <a:latin typeface="Arial"/>
                    <a:ea typeface="Arial"/>
                    <a:cs typeface="Arial"/>
                  </a:defRPr>
                </a:pPr>
                <a:r>
                  <a:rPr lang="es-ES"/>
                  <a:t>Todas</a:t>
                </a:r>
              </a:p>
            </c:rich>
          </c:tx>
          <c:layout>
            <c:manualLayout>
              <c:xMode val="edge"/>
              <c:yMode val="edge"/>
              <c:x val="0.95966620305980532"/>
              <c:y val="0.44247911488939989"/>
            </c:manualLayout>
          </c:layout>
          <c:overlay val="0"/>
          <c:spPr>
            <a:noFill/>
            <a:ln w="3175">
              <a:solidFill>
                <a:srgbClr val="FF00FF"/>
              </a:solidFill>
              <a:prstDash val="solid"/>
            </a:ln>
          </c:spPr>
        </c:title>
        <c:numFmt formatCode="#,##0"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43559680"/>
        <c:crosses val="max"/>
        <c:crossBetween val="between"/>
      </c:valAx>
      <c:spPr>
        <a:solidFill>
          <a:srgbClr val="C0C0C0"/>
        </a:solidFill>
        <a:ln w="12700">
          <a:solidFill>
            <a:srgbClr val="808080"/>
          </a:solidFill>
          <a:prstDash val="solid"/>
        </a:ln>
      </c:spPr>
    </c:plotArea>
    <c:plotVisOnly val="1"/>
    <c:dispBlanksAs val="gap"/>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AUX!$H$42</c:f>
          <c:strCache>
            <c:ptCount val="1"/>
            <c:pt idx="0">
              <c:v>Distribución de las Subexplotaciones de Abejas
por Clasificación Zootécnica y C.A.
(31 de diciembre de 1904)</c:v>
            </c:pt>
          </c:strCache>
        </c:strRef>
      </c:tx>
      <c:layout>
        <c:manualLayout>
          <c:xMode val="edge"/>
          <c:yMode val="edge"/>
          <c:x val="0.31992149165848871"/>
          <c:y val="2.6874115983026876E-2"/>
        </c:manualLayout>
      </c:layout>
      <c:overlay val="0"/>
      <c:spPr>
        <a:noFill/>
        <a:ln w="25400">
          <a:noFill/>
        </a:ln>
      </c:spPr>
      <c:txPr>
        <a:bodyPr/>
        <a:lstStyle/>
        <a:p>
          <a:pPr>
            <a:defRPr sz="1000" b="0" i="0" u="none" strike="noStrike" baseline="0">
              <a:solidFill>
                <a:srgbClr val="000000"/>
              </a:solidFill>
              <a:latin typeface="Arial"/>
              <a:ea typeface="Arial"/>
              <a:cs typeface="Arial"/>
            </a:defRPr>
          </a:pPr>
          <a:endParaRPr lang="es-ES"/>
        </a:p>
      </c:txPr>
    </c:title>
    <c:autoTitleDeleted val="0"/>
    <c:plotArea>
      <c:layout>
        <c:manualLayout>
          <c:layoutTarget val="inner"/>
          <c:xMode val="edge"/>
          <c:yMode val="edge"/>
          <c:x val="0.22963689892051031"/>
          <c:y val="0.33239038189533238"/>
          <c:w val="0.31108930323846906"/>
          <c:h val="0.44837340876944837"/>
        </c:manualLayout>
      </c:layout>
      <c:pieChart>
        <c:varyColors val="1"/>
        <c:ser>
          <c:idx val="0"/>
          <c:order val="0"/>
          <c:spPr>
            <a:solidFill>
              <a:srgbClr val="9999FF"/>
            </a:solidFill>
            <a:ln w="12700">
              <a:solidFill>
                <a:srgbClr val="000000"/>
              </a:solidFill>
              <a:prstDash val="solid"/>
            </a:ln>
          </c:spPr>
          <c:dPt>
            <c:idx val="0"/>
            <c:bubble3D val="0"/>
            <c:extLst>
              <c:ext xmlns:c16="http://schemas.microsoft.com/office/drawing/2014/chart" uri="{C3380CC4-5D6E-409C-BE32-E72D297353CC}">
                <c16:uniqueId val="{00000000-9909-4A58-A0A5-EE88B7842E70}"/>
              </c:ext>
            </c:extLst>
          </c:dPt>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2-9909-4A58-A0A5-EE88B7842E70}"/>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4-9909-4A58-A0A5-EE88B7842E70}"/>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6-9909-4A58-A0A5-EE88B7842E70}"/>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8-9909-4A58-A0A5-EE88B7842E70}"/>
              </c:ext>
            </c:extLst>
          </c:dPt>
          <c:dLbls>
            <c:numFmt formatCode="0.0%" sourceLinked="0"/>
            <c:spPr>
              <a:noFill/>
              <a:ln w="25400">
                <a:noFill/>
              </a:ln>
            </c:spPr>
            <c:txPr>
              <a:bodyPr/>
              <a:lstStyle/>
              <a:p>
                <a:pPr>
                  <a:defRPr sz="1000" b="0" i="0" u="none" strike="noStrike" baseline="0">
                    <a:solidFill>
                      <a:srgbClr val="000000"/>
                    </a:solidFill>
                    <a:latin typeface="Arial"/>
                    <a:ea typeface="Arial"/>
                    <a:cs typeface="Arial"/>
                  </a:defRPr>
                </a:pPr>
                <a:endParaRPr lang="es-ES"/>
              </a:p>
            </c:txPr>
            <c:showLegendKey val="1"/>
            <c:showVal val="0"/>
            <c:showCatName val="0"/>
            <c:showSerName val="0"/>
            <c:showPercent val="1"/>
            <c:showBubbleSize val="0"/>
            <c:showLeaderLines val="1"/>
            <c:extLst>
              <c:ext xmlns:c15="http://schemas.microsoft.com/office/drawing/2012/chart" uri="{CE6537A1-D6FC-4f65-9D91-7224C49458BB}"/>
            </c:extLst>
          </c:dLbls>
          <c:cat>
            <c:strRef>
              <c:f>'9.2- APICULTURA (SUBEXPLOT)'!$B$315:$B$319</c:f>
              <c:strCache>
                <c:ptCount val="5"/>
                <c:pt idx="0">
                  <c:v>Mixta</c:v>
                </c:pt>
                <c:pt idx="1">
                  <c:v>Producción  Productos Apícolas</c:v>
                </c:pt>
                <c:pt idx="2">
                  <c:v>Selección y Cría Apícola</c:v>
                </c:pt>
                <c:pt idx="3">
                  <c:v>Polinización</c:v>
                </c:pt>
                <c:pt idx="4">
                  <c:v>Otras clasificaciones</c:v>
                </c:pt>
              </c:strCache>
            </c:strRef>
          </c:cat>
          <c:val>
            <c:numRef>
              <c:f>'9.2- APICULTURA (SUBEXPLOT)'!$C$315:$C$319</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09-9909-4A58-A0A5-EE88B7842E70}"/>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78115799803729147"/>
          <c:y val="0.4780763790664781"/>
          <c:w val="0.21491658488714427"/>
          <c:h val="0.17680339462517686"/>
        </c:manualLayout>
      </c:layout>
      <c:overlay val="0"/>
      <c:spPr>
        <a:solidFill>
          <a:srgbClr val="FFFFFF"/>
        </a:solidFill>
        <a:ln w="3175">
          <a:solidFill>
            <a:srgbClr val="000000"/>
          </a:solidFill>
          <a:prstDash val="solid"/>
        </a:ln>
      </c:spPr>
      <c:txPr>
        <a:bodyPr/>
        <a:lstStyle/>
        <a:p>
          <a:pPr>
            <a:defRPr sz="710" b="0" i="0" u="none" strike="noStrike" baseline="0">
              <a:solidFill>
                <a:srgbClr val="000000"/>
              </a:solidFill>
              <a:latin typeface="Arial"/>
              <a:ea typeface="Arial"/>
              <a:cs typeface="Arial"/>
            </a:defRPr>
          </a:pPr>
          <a:endParaRPr lang="es-ES"/>
        </a:p>
      </c:txPr>
    </c:legend>
    <c:plotVisOnly val="0"/>
    <c:dispBlanksAs val="zero"/>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ES"/>
              <a:t>Censo de Equino por C.A.</a:t>
            </a:r>
          </a:p>
        </c:rich>
      </c:tx>
      <c:layout>
        <c:manualLayout>
          <c:xMode val="edge"/>
          <c:yMode val="edge"/>
          <c:x val="0.36314405821223567"/>
          <c:y val="3.519061583577713E-2"/>
        </c:manualLayout>
      </c:layout>
      <c:overlay val="0"/>
      <c:spPr>
        <a:noFill/>
        <a:ln w="25400">
          <a:noFill/>
        </a:ln>
      </c:spPr>
    </c:title>
    <c:autoTitleDeleted val="0"/>
    <c:plotArea>
      <c:layout>
        <c:manualLayout>
          <c:layoutTarget val="inner"/>
          <c:xMode val="edge"/>
          <c:yMode val="edge"/>
          <c:x val="0.13550153431668985"/>
          <c:y val="0.20234604105571846"/>
          <c:w val="0.8455295741361446"/>
          <c:h val="0.58064516129032262"/>
        </c:manualLayout>
      </c:layout>
      <c:lineChart>
        <c:grouping val="standard"/>
        <c:varyColors val="0"/>
        <c:ser>
          <c:idx val="0"/>
          <c:order val="0"/>
          <c:tx>
            <c:v>Total</c:v>
          </c:tx>
          <c:spPr>
            <a:ln w="12700">
              <a:solidFill>
                <a:srgbClr val="000080"/>
              </a:solidFill>
              <a:prstDash val="solid"/>
            </a:ln>
          </c:spPr>
          <c:marker>
            <c:symbol val="diamond"/>
            <c:size val="5"/>
            <c:spPr>
              <a:solidFill>
                <a:srgbClr val="000080"/>
              </a:solidFill>
              <a:ln>
                <a:solidFill>
                  <a:srgbClr val="000080"/>
                </a:solidFill>
                <a:prstDash val="solid"/>
              </a:ln>
            </c:spPr>
          </c:marker>
          <c:cat>
            <c:numRef>
              <c:f>'10.1- EQUINO (CENSO)'!$B$15:$L$15</c:f>
              <c:numCache>
                <c:formatCode>[$-C0A]d\-mmm\-yy;@</c:formatCode>
                <c:ptCount val="11"/>
                <c:pt idx="0">
                  <c:v>0</c:v>
                </c:pt>
                <c:pt idx="1">
                  <c:v>38899</c:v>
                </c:pt>
                <c:pt idx="2">
                  <c:v>39083</c:v>
                </c:pt>
                <c:pt idx="3">
                  <c:v>39264</c:v>
                </c:pt>
                <c:pt idx="4">
                  <c:v>39448</c:v>
                </c:pt>
                <c:pt idx="5">
                  <c:v>39630</c:v>
                </c:pt>
                <c:pt idx="6">
                  <c:v>39814</c:v>
                </c:pt>
                <c:pt idx="7">
                  <c:v>39995</c:v>
                </c:pt>
                <c:pt idx="8">
                  <c:v>40179</c:v>
                </c:pt>
                <c:pt idx="9">
                  <c:v>40360</c:v>
                </c:pt>
                <c:pt idx="10">
                  <c:v>40544</c:v>
                </c:pt>
              </c:numCache>
            </c:numRef>
          </c:cat>
          <c:val>
            <c:numRef>
              <c:f>'10.1- EQUINO (CENSO)'!$B$17:$L$17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0-FA48-44A0-96C4-FDD1CD21B36B}"/>
            </c:ext>
          </c:extLst>
        </c:ser>
        <c:dLbls>
          <c:showLegendKey val="0"/>
          <c:showVal val="0"/>
          <c:showCatName val="0"/>
          <c:showSerName val="0"/>
          <c:showPercent val="0"/>
          <c:showBubbleSize val="0"/>
        </c:dLbls>
        <c:marker val="1"/>
        <c:smooth val="0"/>
        <c:axId val="143873536"/>
        <c:axId val="142332992"/>
      </c:lineChart>
      <c:catAx>
        <c:axId val="143873536"/>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Fecha</a:t>
                </a:r>
              </a:p>
            </c:rich>
          </c:tx>
          <c:layout>
            <c:manualLayout>
              <c:xMode val="edge"/>
              <c:yMode val="edge"/>
              <c:x val="0.53387605004658978"/>
              <c:y val="0.8621700879765396"/>
            </c:manualLayout>
          </c:layout>
          <c:overlay val="0"/>
          <c:spPr>
            <a:noFill/>
            <a:ln w="25400">
              <a:noFill/>
            </a:ln>
          </c:spPr>
        </c:title>
        <c:numFmt formatCode="dd\-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42332992"/>
        <c:crosses val="autoZero"/>
        <c:auto val="0"/>
        <c:lblAlgn val="ctr"/>
        <c:lblOffset val="100"/>
        <c:tickLblSkip val="1"/>
        <c:tickMarkSkip val="1"/>
        <c:noMultiLvlLbl val="0"/>
      </c:catAx>
      <c:valAx>
        <c:axId val="142332992"/>
        <c:scaling>
          <c:orientation val="minMax"/>
        </c:scaling>
        <c:delete val="0"/>
        <c:axPos val="l"/>
        <c:majorGridlines>
          <c:spPr>
            <a:ln w="3175">
              <a:solidFill>
                <a:srgbClr val="000000"/>
              </a:solidFill>
              <a:prstDash val="solid"/>
            </a:ln>
          </c:spPr>
        </c:majorGridlines>
        <c:title>
          <c:tx>
            <c:rich>
              <a:bodyPr/>
              <a:lstStyle/>
              <a:p>
                <a:pPr>
                  <a:defRPr sz="900" b="1" i="0" u="none" strike="noStrike" baseline="0">
                    <a:solidFill>
                      <a:srgbClr val="000080"/>
                    </a:solidFill>
                    <a:latin typeface="Arial"/>
                    <a:ea typeface="Arial"/>
                    <a:cs typeface="Arial"/>
                  </a:defRPr>
                </a:pPr>
                <a:r>
                  <a:rPr lang="es-ES"/>
                  <a:t>Censo Total</a:t>
                </a:r>
              </a:p>
            </c:rich>
          </c:tx>
          <c:layout>
            <c:manualLayout>
              <c:xMode val="edge"/>
              <c:yMode val="edge"/>
              <c:x val="2.9810298102981029E-2"/>
              <c:y val="0.38709677419354838"/>
            </c:manualLayout>
          </c:layout>
          <c:overlay val="0"/>
          <c:spPr>
            <a:noFill/>
            <a:ln w="3175">
              <a:solidFill>
                <a:srgbClr val="000080"/>
              </a:solidFill>
              <a:prstDash val="solid"/>
            </a:ln>
          </c:spPr>
        </c:title>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43873536"/>
        <c:crosses val="autoZero"/>
        <c:crossBetween val="between"/>
      </c:valAx>
      <c:spPr>
        <a:solidFill>
          <a:srgbClr val="C0C0C0"/>
        </a:solidFill>
        <a:ln w="12700">
          <a:solidFill>
            <a:srgbClr val="808080"/>
          </a:solidFill>
          <a:prstDash val="solid"/>
        </a:ln>
      </c:spPr>
    </c:plotArea>
    <c:plotVisOnly val="1"/>
    <c:dispBlanksAs val="gap"/>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9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AUX!$H$43</c:f>
          <c:strCache>
            <c:ptCount val="1"/>
            <c:pt idx="0">
              <c:v>Distribución del Censo Total de Equino por C.A.
(31 de diciembre de 1904)</c:v>
            </c:pt>
          </c:strCache>
        </c:strRef>
      </c:tx>
      <c:layout>
        <c:manualLayout>
          <c:xMode val="edge"/>
          <c:yMode val="edge"/>
          <c:x val="0.27703536450410282"/>
          <c:y val="2.7734976887519261E-2"/>
        </c:manualLayout>
      </c:layout>
      <c:overlay val="0"/>
      <c:spPr>
        <a:noFill/>
        <a:ln w="25400">
          <a:noFill/>
        </a:ln>
      </c:spPr>
      <c:txPr>
        <a:bodyPr/>
        <a:lstStyle/>
        <a:p>
          <a:pPr>
            <a:defRPr sz="1200" b="0" i="0" u="none" strike="noStrike" baseline="0">
              <a:solidFill>
                <a:srgbClr val="000000"/>
              </a:solidFill>
              <a:latin typeface="Arial"/>
              <a:ea typeface="Arial"/>
              <a:cs typeface="Arial"/>
            </a:defRPr>
          </a:pPr>
          <a:endParaRPr lang="es-ES"/>
        </a:p>
      </c:txPr>
    </c:title>
    <c:autoTitleDeleted val="0"/>
    <c:plotArea>
      <c:layout>
        <c:manualLayout>
          <c:layoutTarget val="inner"/>
          <c:xMode val="edge"/>
          <c:yMode val="edge"/>
          <c:x val="0.39125175096098908"/>
          <c:y val="0.28659497679345686"/>
          <c:w val="0.24179844236408954"/>
          <c:h val="0.30662580850482751"/>
        </c:manualLayout>
      </c:layout>
      <c:pieChart>
        <c:varyColors val="1"/>
        <c:ser>
          <c:idx val="0"/>
          <c:order val="0"/>
          <c:spPr>
            <a:solidFill>
              <a:srgbClr val="9999FF"/>
            </a:solidFill>
            <a:ln w="12700">
              <a:solidFill>
                <a:srgbClr val="000000"/>
              </a:solidFill>
              <a:prstDash val="solid"/>
            </a:ln>
          </c:spPr>
          <c:dPt>
            <c:idx val="0"/>
            <c:bubble3D val="0"/>
            <c:extLst>
              <c:ext xmlns:c16="http://schemas.microsoft.com/office/drawing/2014/chart" uri="{C3380CC4-5D6E-409C-BE32-E72D297353CC}">
                <c16:uniqueId val="{00000000-5C22-4357-8C9E-97AEBC98BA83}"/>
              </c:ext>
            </c:extLst>
          </c:dPt>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2-5C22-4357-8C9E-97AEBC98BA83}"/>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4-5C22-4357-8C9E-97AEBC98BA83}"/>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6-5C22-4357-8C9E-97AEBC98BA83}"/>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8-5C22-4357-8C9E-97AEBC98BA83}"/>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A-5C22-4357-8C9E-97AEBC98BA83}"/>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C-5C22-4357-8C9E-97AEBC98BA83}"/>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E-5C22-4357-8C9E-97AEBC98BA83}"/>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10-5C22-4357-8C9E-97AEBC98BA83}"/>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2-5C22-4357-8C9E-97AEBC98BA83}"/>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4-5C22-4357-8C9E-97AEBC98BA83}"/>
              </c:ext>
            </c:extLst>
          </c:dPt>
          <c:dPt>
            <c:idx val="11"/>
            <c:bubble3D val="0"/>
            <c:spPr>
              <a:solidFill>
                <a:srgbClr val="00FFFF"/>
              </a:solidFill>
              <a:ln w="12700">
                <a:solidFill>
                  <a:srgbClr val="000000"/>
                </a:solidFill>
                <a:prstDash val="solid"/>
              </a:ln>
            </c:spPr>
            <c:extLst>
              <c:ext xmlns:c16="http://schemas.microsoft.com/office/drawing/2014/chart" uri="{C3380CC4-5D6E-409C-BE32-E72D297353CC}">
                <c16:uniqueId val="{00000016-5C22-4357-8C9E-97AEBC98BA83}"/>
              </c:ext>
            </c:extLst>
          </c:dPt>
          <c:dPt>
            <c:idx val="12"/>
            <c:bubble3D val="0"/>
            <c:spPr>
              <a:solidFill>
                <a:srgbClr val="800080"/>
              </a:solidFill>
              <a:ln w="12700">
                <a:solidFill>
                  <a:srgbClr val="000000"/>
                </a:solidFill>
                <a:prstDash val="solid"/>
              </a:ln>
            </c:spPr>
            <c:extLst>
              <c:ext xmlns:c16="http://schemas.microsoft.com/office/drawing/2014/chart" uri="{C3380CC4-5D6E-409C-BE32-E72D297353CC}">
                <c16:uniqueId val="{00000018-5C22-4357-8C9E-97AEBC98BA83}"/>
              </c:ext>
            </c:extLst>
          </c:dPt>
          <c:dPt>
            <c:idx val="13"/>
            <c:bubble3D val="0"/>
            <c:spPr>
              <a:solidFill>
                <a:srgbClr val="800000"/>
              </a:solidFill>
              <a:ln w="12700">
                <a:solidFill>
                  <a:srgbClr val="000000"/>
                </a:solidFill>
                <a:prstDash val="solid"/>
              </a:ln>
            </c:spPr>
            <c:extLst>
              <c:ext xmlns:c16="http://schemas.microsoft.com/office/drawing/2014/chart" uri="{C3380CC4-5D6E-409C-BE32-E72D297353CC}">
                <c16:uniqueId val="{0000001A-5C22-4357-8C9E-97AEBC98BA83}"/>
              </c:ext>
            </c:extLst>
          </c:dPt>
          <c:dPt>
            <c:idx val="14"/>
            <c:bubble3D val="0"/>
            <c:spPr>
              <a:solidFill>
                <a:srgbClr val="008080"/>
              </a:solidFill>
              <a:ln w="12700">
                <a:solidFill>
                  <a:srgbClr val="000000"/>
                </a:solidFill>
                <a:prstDash val="solid"/>
              </a:ln>
            </c:spPr>
            <c:extLst>
              <c:ext xmlns:c16="http://schemas.microsoft.com/office/drawing/2014/chart" uri="{C3380CC4-5D6E-409C-BE32-E72D297353CC}">
                <c16:uniqueId val="{0000001C-5C22-4357-8C9E-97AEBC98BA83}"/>
              </c:ext>
            </c:extLst>
          </c:dPt>
          <c:dPt>
            <c:idx val="15"/>
            <c:bubble3D val="0"/>
            <c:spPr>
              <a:solidFill>
                <a:srgbClr val="0000FF"/>
              </a:solidFill>
              <a:ln w="12700">
                <a:solidFill>
                  <a:srgbClr val="000000"/>
                </a:solidFill>
                <a:prstDash val="solid"/>
              </a:ln>
            </c:spPr>
            <c:extLst>
              <c:ext xmlns:c16="http://schemas.microsoft.com/office/drawing/2014/chart" uri="{C3380CC4-5D6E-409C-BE32-E72D297353CC}">
                <c16:uniqueId val="{0000001E-5C22-4357-8C9E-97AEBC98BA83}"/>
              </c:ext>
            </c:extLst>
          </c:dPt>
          <c:dPt>
            <c:idx val="16"/>
            <c:bubble3D val="0"/>
            <c:spPr>
              <a:solidFill>
                <a:srgbClr val="00CCFF"/>
              </a:solidFill>
              <a:ln w="12700">
                <a:solidFill>
                  <a:srgbClr val="000000"/>
                </a:solidFill>
                <a:prstDash val="solid"/>
              </a:ln>
            </c:spPr>
            <c:extLst>
              <c:ext xmlns:c16="http://schemas.microsoft.com/office/drawing/2014/chart" uri="{C3380CC4-5D6E-409C-BE32-E72D297353CC}">
                <c16:uniqueId val="{00000020-5C22-4357-8C9E-97AEBC98BA83}"/>
              </c:ext>
            </c:extLst>
          </c:dPt>
          <c:dPt>
            <c:idx val="17"/>
            <c:bubble3D val="0"/>
            <c:spPr>
              <a:solidFill>
                <a:srgbClr val="CCFFFF"/>
              </a:solidFill>
              <a:ln w="12700">
                <a:solidFill>
                  <a:srgbClr val="000000"/>
                </a:solidFill>
                <a:prstDash val="solid"/>
              </a:ln>
            </c:spPr>
            <c:extLst>
              <c:ext xmlns:c16="http://schemas.microsoft.com/office/drawing/2014/chart" uri="{C3380CC4-5D6E-409C-BE32-E72D297353CC}">
                <c16:uniqueId val="{00000022-5C22-4357-8C9E-97AEBC98BA83}"/>
              </c:ext>
            </c:extLst>
          </c:dPt>
          <c:dPt>
            <c:idx val="18"/>
            <c:bubble3D val="0"/>
            <c:spPr>
              <a:solidFill>
                <a:srgbClr val="CCFFCC"/>
              </a:solidFill>
              <a:ln w="12700">
                <a:solidFill>
                  <a:srgbClr val="000000"/>
                </a:solidFill>
                <a:prstDash val="solid"/>
              </a:ln>
            </c:spPr>
            <c:extLst>
              <c:ext xmlns:c16="http://schemas.microsoft.com/office/drawing/2014/chart" uri="{C3380CC4-5D6E-409C-BE32-E72D297353CC}">
                <c16:uniqueId val="{00000024-5C22-4357-8C9E-97AEBC98BA83}"/>
              </c:ext>
            </c:extLst>
          </c:dPt>
          <c:dLbls>
            <c:dLbl>
              <c:idx val="0"/>
              <c:layout>
                <c:manualLayout>
                  <c:x val="4.3225520462599865E-2"/>
                  <c:y val="4.2501028391149616E-2"/>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5C22-4357-8C9E-97AEBC98BA83}"/>
                </c:ext>
              </c:extLst>
            </c:dLbl>
            <c:dLbl>
              <c:idx val="1"/>
              <c:layout>
                <c:manualLayout>
                  <c:x val="8.6929807829075889E-2"/>
                  <c:y val="-7.4866309343450857E-2"/>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5C22-4357-8C9E-97AEBC98BA83}"/>
                </c:ext>
              </c:extLst>
            </c:dLbl>
            <c:dLbl>
              <c:idx val="2"/>
              <c:layout>
                <c:manualLayout>
                  <c:x val="0.11339274931727487"/>
                  <c:y val="1.001689452956101E-2"/>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5C22-4357-8C9E-97AEBC98BA83}"/>
                </c:ext>
              </c:extLst>
            </c:dLbl>
            <c:dLbl>
              <c:idx val="3"/>
              <c:layout>
                <c:manualLayout>
                  <c:x val="4.7563863075534951E-2"/>
                  <c:y val="7.2447755760247048E-2"/>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5C22-4357-8C9E-97AEBC98BA83}"/>
                </c:ext>
              </c:extLst>
            </c:dLbl>
            <c:dLbl>
              <c:idx val="4"/>
              <c:layout>
                <c:manualLayout>
                  <c:x val="1.9355217292856618E-2"/>
                  <c:y val="0.11977287892942504"/>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5C22-4357-8C9E-97AEBC98BA83}"/>
                </c:ext>
              </c:extLst>
            </c:dLbl>
            <c:dLbl>
              <c:idx val="5"/>
              <c:layout>
                <c:manualLayout>
                  <c:x val="-5.5677632262279425E-2"/>
                  <c:y val="0.1048324334981743"/>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A-5C22-4357-8C9E-97AEBC98BA83}"/>
                </c:ext>
              </c:extLst>
            </c:dLbl>
            <c:dLbl>
              <c:idx val="9"/>
              <c:layout>
                <c:manualLayout>
                  <c:x val="-3.9192757543822128E-2"/>
                  <c:y val="2.5691560883257924E-2"/>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2-5C22-4357-8C9E-97AEBC98BA83}"/>
                </c:ext>
              </c:extLst>
            </c:dLbl>
            <c:dLbl>
              <c:idx val="10"/>
              <c:layout>
                <c:manualLayout>
                  <c:x val="-7.214918754803612E-2"/>
                  <c:y val="6.460056848439516E-2"/>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4-5C22-4357-8C9E-97AEBC98BA83}"/>
                </c:ext>
              </c:extLst>
            </c:dLbl>
            <c:dLbl>
              <c:idx val="11"/>
              <c:layout>
                <c:manualLayout>
                  <c:x val="-6.6649671511542954E-2"/>
                  <c:y val="4.5197025706665298E-2"/>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6-5C22-4357-8C9E-97AEBC98BA83}"/>
                </c:ext>
              </c:extLst>
            </c:dLbl>
            <c:dLbl>
              <c:idx val="12"/>
              <c:layout>
                <c:manualLayout>
                  <c:x val="-5.7168566142702229E-2"/>
                  <c:y val="-2.0472815561232618E-3"/>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8-5C22-4357-8C9E-97AEBC98BA83}"/>
                </c:ext>
              </c:extLst>
            </c:dLbl>
            <c:dLbl>
              <c:idx val="13"/>
              <c:layout>
                <c:manualLayout>
                  <c:x val="-4.9415347534326561E-2"/>
                  <c:y val="-5.1949745374528698E-2"/>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A-5C22-4357-8C9E-97AEBC98BA83}"/>
                </c:ext>
              </c:extLst>
            </c:dLbl>
            <c:dLbl>
              <c:idx val="14"/>
              <c:layout>
                <c:manualLayout>
                  <c:x val="-1.4082838005014888E-2"/>
                  <c:y val="-8.6439189337861294E-2"/>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C-5C22-4357-8C9E-97AEBC98BA83}"/>
                </c:ext>
              </c:extLst>
            </c:dLbl>
            <c:dLbl>
              <c:idx val="15"/>
              <c:layout>
                <c:manualLayout>
                  <c:x val="2.6547530112492751E-2"/>
                  <c:y val="-9.079251423177509E-2"/>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E-5C22-4357-8C9E-97AEBC98BA83}"/>
                </c:ext>
              </c:extLst>
            </c:dLbl>
            <c:dLbl>
              <c:idx val="16"/>
              <c:layout>
                <c:manualLayout>
                  <c:x val="9.9661571978617872E-2"/>
                  <c:y val="-9.8044704032740335E-2"/>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20-5C22-4357-8C9E-97AEBC98BA83}"/>
                </c:ext>
              </c:extLst>
            </c:dLbl>
            <c:dLbl>
              <c:idx val="17"/>
              <c:layout>
                <c:manualLayout>
                  <c:x val="8.1398709441926745E-2"/>
                  <c:y val="-3.7524496569141107E-2"/>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22-5C22-4357-8C9E-97AEBC98BA83}"/>
                </c:ext>
              </c:extLst>
            </c:dLbl>
            <c:dLbl>
              <c:idx val="18"/>
              <c:layout>
                <c:manualLayout>
                  <c:x val="0.1604996699088761"/>
                  <c:y val="1.6404665730702934E-2"/>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24-5C22-4357-8C9E-97AEBC98BA83}"/>
                </c:ext>
              </c:extLst>
            </c:dLbl>
            <c:numFmt formatCode="0%" sourceLinked="0"/>
            <c:spPr>
              <a:noFill/>
              <a:ln w="25400">
                <a:noFill/>
              </a:ln>
            </c:spPr>
            <c:txPr>
              <a:bodyPr/>
              <a:lstStyle/>
              <a:p>
                <a:pPr>
                  <a:defRPr sz="1000" b="0" i="0" u="none" strike="noStrike" baseline="0">
                    <a:solidFill>
                      <a:srgbClr val="000000"/>
                    </a:solidFill>
                    <a:latin typeface="Arial"/>
                    <a:ea typeface="Arial"/>
                    <a:cs typeface="Arial"/>
                  </a:defRPr>
                </a:pPr>
                <a:endParaRPr lang="es-ES"/>
              </a:p>
            </c:txPr>
            <c:showLegendKey val="1"/>
            <c:showVal val="0"/>
            <c:showCatName val="1"/>
            <c:showSerName val="0"/>
            <c:showPercent val="1"/>
            <c:showBubbleSize val="0"/>
            <c:showLeaderLines val="1"/>
            <c:extLst>
              <c:ext xmlns:c15="http://schemas.microsoft.com/office/drawing/2012/chart" uri="{CE6537A1-D6FC-4f65-9D91-7224C49458BB}"/>
            </c:extLst>
          </c:dLbls>
          <c:cat>
            <c:strRef>
              <c:f>'10.1- EQUINO (CENSO)'!$B$110:$B$128</c:f>
              <c:strCache>
                <c:ptCount val="19"/>
                <c:pt idx="0">
                  <c:v>Andalucía</c:v>
                </c:pt>
                <c:pt idx="1">
                  <c:v>Aragón</c:v>
                </c:pt>
                <c:pt idx="2">
                  <c:v>Asturias</c:v>
                </c:pt>
                <c:pt idx="3">
                  <c:v>Baleares</c:v>
                </c:pt>
                <c:pt idx="4">
                  <c:v>Canarias</c:v>
                </c:pt>
                <c:pt idx="5">
                  <c:v>Cantabria</c:v>
                </c:pt>
                <c:pt idx="6">
                  <c:v>Castilla La Mancha</c:v>
                </c:pt>
                <c:pt idx="7">
                  <c:v>Castilla y León</c:v>
                </c:pt>
                <c:pt idx="8">
                  <c:v>Cataluña</c:v>
                </c:pt>
                <c:pt idx="9">
                  <c:v>Extremadura</c:v>
                </c:pt>
                <c:pt idx="10">
                  <c:v>Galicia</c:v>
                </c:pt>
                <c:pt idx="11">
                  <c:v>Madrid</c:v>
                </c:pt>
                <c:pt idx="12">
                  <c:v>Murcia</c:v>
                </c:pt>
                <c:pt idx="13">
                  <c:v>Navarra</c:v>
                </c:pt>
                <c:pt idx="14">
                  <c:v>País Vasco</c:v>
                </c:pt>
                <c:pt idx="15">
                  <c:v>La Rioja</c:v>
                </c:pt>
                <c:pt idx="16">
                  <c:v>Valencia</c:v>
                </c:pt>
                <c:pt idx="17">
                  <c:v>Ceuta</c:v>
                </c:pt>
                <c:pt idx="18">
                  <c:v>Melilla</c:v>
                </c:pt>
              </c:strCache>
            </c:strRef>
          </c:cat>
          <c:val>
            <c:numRef>
              <c:f>'10.1- EQUINO (CENSO)'!$C$110:$C$128</c:f>
              <c:numCache>
                <c:formatCode>General</c:formatCode>
                <c:ptCount val="19"/>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numCache>
            </c:numRef>
          </c:val>
          <c:extLst>
            <c:ext xmlns:c16="http://schemas.microsoft.com/office/drawing/2014/chart" uri="{C3380CC4-5D6E-409C-BE32-E72D297353CC}">
              <c16:uniqueId val="{00000025-5C22-4357-8C9E-97AEBC98BA83}"/>
            </c:ext>
          </c:extLst>
        </c:ser>
        <c:dLbls>
          <c:showLegendKey val="0"/>
          <c:showVal val="0"/>
          <c:showCatName val="0"/>
          <c:showSerName val="0"/>
          <c:showPercent val="0"/>
          <c:showBubbleSize val="0"/>
          <c:showLeaderLines val="1"/>
        </c:dLbls>
        <c:firstSliceAng val="0"/>
      </c:pieChart>
      <c:spPr>
        <a:noFill/>
        <a:ln w="25400">
          <a:noFill/>
        </a:ln>
      </c:spPr>
    </c:plotArea>
    <c:plotVisOnly val="0"/>
    <c:dispBlanksAs val="zero"/>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ES"/>
              <a:t>Nº de Subexplotaciones de Equino por Clasificación Zootécnica y C.A.</a:t>
            </a:r>
          </a:p>
        </c:rich>
      </c:tx>
      <c:layout>
        <c:manualLayout>
          <c:xMode val="edge"/>
          <c:yMode val="edge"/>
          <c:x val="0.14886183009960882"/>
          <c:y val="3.6764705882352942E-2"/>
        </c:manualLayout>
      </c:layout>
      <c:overlay val="0"/>
      <c:spPr>
        <a:noFill/>
        <a:ln w="25400">
          <a:noFill/>
        </a:ln>
      </c:spPr>
    </c:title>
    <c:autoTitleDeleted val="0"/>
    <c:plotArea>
      <c:layout>
        <c:manualLayout>
          <c:layoutTarget val="inner"/>
          <c:xMode val="edge"/>
          <c:yMode val="edge"/>
          <c:x val="0.11033284391148676"/>
          <c:y val="0.20220588235294118"/>
          <c:w val="0.71453651295058096"/>
          <c:h val="0.5625"/>
        </c:manualLayout>
      </c:layout>
      <c:lineChart>
        <c:grouping val="standard"/>
        <c:varyColors val="0"/>
        <c:ser>
          <c:idx val="0"/>
          <c:order val="0"/>
          <c:tx>
            <c:v>Cebo o Cebadero</c:v>
          </c:tx>
          <c:spPr>
            <a:ln w="12700">
              <a:solidFill>
                <a:srgbClr val="000080"/>
              </a:solidFill>
              <a:prstDash val="solid"/>
            </a:ln>
          </c:spPr>
          <c:marker>
            <c:symbol val="diamond"/>
            <c:size val="5"/>
            <c:spPr>
              <a:solidFill>
                <a:srgbClr val="000080"/>
              </a:solidFill>
              <a:ln>
                <a:solidFill>
                  <a:srgbClr val="000080"/>
                </a:solidFill>
                <a:prstDash val="solid"/>
              </a:ln>
            </c:spPr>
          </c:marker>
          <c:cat>
            <c:numRef>
              <c:f>'10.2- EQUINO (SUBEXPLOT)'!$C$17:$M$17</c:f>
              <c:numCache>
                <c:formatCode>[$-C0A]d\-mmm\-yy;@</c:formatCode>
                <c:ptCount val="11"/>
                <c:pt idx="0">
                  <c:v>0</c:v>
                </c:pt>
                <c:pt idx="1">
                  <c:v>38899</c:v>
                </c:pt>
                <c:pt idx="2">
                  <c:v>39083</c:v>
                </c:pt>
                <c:pt idx="3">
                  <c:v>39264</c:v>
                </c:pt>
                <c:pt idx="4">
                  <c:v>39448</c:v>
                </c:pt>
                <c:pt idx="5">
                  <c:v>39630</c:v>
                </c:pt>
                <c:pt idx="6">
                  <c:v>39814</c:v>
                </c:pt>
                <c:pt idx="7">
                  <c:v>39995</c:v>
                </c:pt>
                <c:pt idx="8">
                  <c:v>40179</c:v>
                </c:pt>
                <c:pt idx="9">
                  <c:v>40360</c:v>
                </c:pt>
                <c:pt idx="10">
                  <c:v>40544</c:v>
                </c:pt>
              </c:numCache>
            </c:numRef>
          </c:cat>
          <c:val>
            <c:numRef>
              <c:f>'10.2- EQUINO (SUBEXPLOT)'!$C$19:$M$19</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0-3334-4BE2-8922-7FEF30AF1B68}"/>
            </c:ext>
          </c:extLst>
        </c:ser>
        <c:dLbls>
          <c:showLegendKey val="0"/>
          <c:showVal val="0"/>
          <c:showCatName val="0"/>
          <c:showSerName val="0"/>
          <c:showPercent val="0"/>
          <c:showBubbleSize val="0"/>
        </c:dLbls>
        <c:marker val="1"/>
        <c:smooth val="0"/>
        <c:axId val="143920640"/>
        <c:axId val="144072000"/>
      </c:lineChart>
      <c:lineChart>
        <c:grouping val="standard"/>
        <c:varyColors val="0"/>
        <c:ser>
          <c:idx val="1"/>
          <c:order val="1"/>
          <c:tx>
            <c:v>Reproducción para Producción de Carne</c:v>
          </c:tx>
          <c:spPr>
            <a:ln w="12700">
              <a:solidFill>
                <a:srgbClr val="FF00FF"/>
              </a:solidFill>
              <a:prstDash val="solid"/>
            </a:ln>
          </c:spPr>
          <c:marker>
            <c:symbol val="square"/>
            <c:size val="5"/>
            <c:spPr>
              <a:solidFill>
                <a:srgbClr val="FF00FF"/>
              </a:solidFill>
              <a:ln>
                <a:solidFill>
                  <a:srgbClr val="FF00FF"/>
                </a:solidFill>
                <a:prstDash val="solid"/>
              </a:ln>
            </c:spPr>
          </c:marker>
          <c:cat>
            <c:numRef>
              <c:f>'10.2- EQUINO (SUBEXPLOT)'!$C$17:$M$17</c:f>
              <c:numCache>
                <c:formatCode>[$-C0A]d\-mmm\-yy;@</c:formatCode>
                <c:ptCount val="11"/>
                <c:pt idx="0">
                  <c:v>0</c:v>
                </c:pt>
                <c:pt idx="1">
                  <c:v>38899</c:v>
                </c:pt>
                <c:pt idx="2">
                  <c:v>39083</c:v>
                </c:pt>
                <c:pt idx="3">
                  <c:v>39264</c:v>
                </c:pt>
                <c:pt idx="4">
                  <c:v>39448</c:v>
                </c:pt>
                <c:pt idx="5">
                  <c:v>39630</c:v>
                </c:pt>
                <c:pt idx="6">
                  <c:v>39814</c:v>
                </c:pt>
                <c:pt idx="7">
                  <c:v>39995</c:v>
                </c:pt>
                <c:pt idx="8">
                  <c:v>40179</c:v>
                </c:pt>
                <c:pt idx="9">
                  <c:v>40360</c:v>
                </c:pt>
                <c:pt idx="10">
                  <c:v>40544</c:v>
                </c:pt>
              </c:numCache>
            </c:numRef>
          </c:cat>
          <c:val>
            <c:numRef>
              <c:f>'10.2- EQUINO (SUBEXPLOT)'!$C$21:$M$21</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1-3334-4BE2-8922-7FEF30AF1B68}"/>
            </c:ext>
          </c:extLst>
        </c:ser>
        <c:dLbls>
          <c:showLegendKey val="0"/>
          <c:showVal val="0"/>
          <c:showCatName val="0"/>
          <c:showSerName val="0"/>
          <c:showPercent val="0"/>
          <c:showBubbleSize val="0"/>
        </c:dLbls>
        <c:marker val="1"/>
        <c:smooth val="0"/>
        <c:axId val="144413696"/>
        <c:axId val="144089088"/>
      </c:lineChart>
      <c:catAx>
        <c:axId val="143920640"/>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Fecha</a:t>
                </a:r>
              </a:p>
            </c:rich>
          </c:tx>
          <c:layout>
            <c:manualLayout>
              <c:xMode val="edge"/>
              <c:yMode val="edge"/>
              <c:x val="0.43607742552321066"/>
              <c:y val="0.90808823529411764"/>
            </c:manualLayout>
          </c:layout>
          <c:overlay val="0"/>
          <c:spPr>
            <a:noFill/>
            <a:ln w="25400">
              <a:noFill/>
            </a:ln>
          </c:spPr>
        </c:title>
        <c:numFmt formatCode="dd\-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44072000"/>
        <c:crosses val="autoZero"/>
        <c:auto val="0"/>
        <c:lblAlgn val="ctr"/>
        <c:lblOffset val="100"/>
        <c:tickLblSkip val="1"/>
        <c:tickMarkSkip val="1"/>
        <c:noMultiLvlLbl val="0"/>
      </c:catAx>
      <c:valAx>
        <c:axId val="144072000"/>
        <c:scaling>
          <c:orientation val="minMax"/>
        </c:scaling>
        <c:delete val="0"/>
        <c:axPos val="l"/>
        <c:majorGridlines>
          <c:spPr>
            <a:ln w="3175">
              <a:solidFill>
                <a:srgbClr val="000000"/>
              </a:solidFill>
              <a:prstDash val="solid"/>
            </a:ln>
          </c:spPr>
        </c:majorGridlines>
        <c:title>
          <c:tx>
            <c:rich>
              <a:bodyPr/>
              <a:lstStyle/>
              <a:p>
                <a:pPr>
                  <a:defRPr sz="900" b="1" i="0" u="none" strike="noStrike" baseline="0">
                    <a:solidFill>
                      <a:srgbClr val="000080"/>
                    </a:solidFill>
                    <a:latin typeface="Arial"/>
                    <a:ea typeface="Arial"/>
                    <a:cs typeface="Arial"/>
                  </a:defRPr>
                </a:pPr>
                <a:r>
                  <a:rPr lang="es-ES"/>
                  <a:t>Cebo o Cebadero</a:t>
                </a:r>
              </a:p>
            </c:rich>
          </c:tx>
          <c:layout>
            <c:manualLayout>
              <c:xMode val="edge"/>
              <c:yMode val="edge"/>
              <c:x val="8.7565674255691769E-3"/>
              <c:y val="0.29411764705882354"/>
            </c:manualLayout>
          </c:layout>
          <c:overlay val="0"/>
          <c:spPr>
            <a:noFill/>
            <a:ln w="3175">
              <a:solidFill>
                <a:srgbClr val="000080"/>
              </a:solidFill>
              <a:prstDash val="solid"/>
            </a:ln>
          </c:spPr>
        </c:title>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43920640"/>
        <c:crosses val="autoZero"/>
        <c:crossBetween val="between"/>
      </c:valAx>
      <c:dateAx>
        <c:axId val="144413696"/>
        <c:scaling>
          <c:orientation val="minMax"/>
        </c:scaling>
        <c:delete val="1"/>
        <c:axPos val="b"/>
        <c:numFmt formatCode="[$-C0A]d\-mmm\-yy;@" sourceLinked="1"/>
        <c:majorTickMark val="out"/>
        <c:minorTickMark val="none"/>
        <c:tickLblPos val="nextTo"/>
        <c:crossAx val="144089088"/>
        <c:crosses val="autoZero"/>
        <c:auto val="1"/>
        <c:lblOffset val="100"/>
        <c:baseTimeUnit val="months"/>
      </c:dateAx>
      <c:valAx>
        <c:axId val="144089088"/>
        <c:scaling>
          <c:orientation val="minMax"/>
        </c:scaling>
        <c:delete val="0"/>
        <c:axPos val="r"/>
        <c:title>
          <c:tx>
            <c:rich>
              <a:bodyPr/>
              <a:lstStyle/>
              <a:p>
                <a:pPr>
                  <a:defRPr sz="900" b="1" i="0" u="none" strike="noStrike" baseline="0">
                    <a:solidFill>
                      <a:srgbClr val="FF00FF"/>
                    </a:solidFill>
                    <a:latin typeface="Arial"/>
                    <a:ea typeface="Arial"/>
                    <a:cs typeface="Arial"/>
                  </a:defRPr>
                </a:pPr>
                <a:r>
                  <a:rPr lang="es-ES"/>
                  <a:t>Reproducción para Producción de Carne</a:t>
                </a:r>
              </a:p>
            </c:rich>
          </c:tx>
          <c:layout>
            <c:manualLayout>
              <c:xMode val="edge"/>
              <c:yMode val="edge"/>
              <c:x val="0.91822956456187288"/>
              <c:y val="0.16495098039215686"/>
            </c:manualLayout>
          </c:layout>
          <c:overlay val="0"/>
          <c:spPr>
            <a:noFill/>
            <a:ln w="3175">
              <a:solidFill>
                <a:srgbClr val="FF00FF"/>
              </a:solidFill>
              <a:prstDash val="solid"/>
            </a:ln>
          </c:spPr>
        </c:title>
        <c:numFmt formatCode="#,##0"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44413696"/>
        <c:crosses val="max"/>
        <c:crossBetween val="between"/>
      </c:valAx>
      <c:spPr>
        <a:solidFill>
          <a:srgbClr val="C0C0C0"/>
        </a:solidFill>
        <a:ln w="12700">
          <a:solidFill>
            <a:srgbClr val="808080"/>
          </a:solidFill>
          <a:prstDash val="solid"/>
        </a:ln>
      </c:spPr>
    </c:plotArea>
    <c:plotVisOnly val="1"/>
    <c:dispBlanksAs val="gap"/>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ES"/>
              <a:t>Nº de Subexplotaciones de Equino por Clasificación Zootécnica y C.A.</a:t>
            </a:r>
          </a:p>
        </c:rich>
      </c:tx>
      <c:layout>
        <c:manualLayout>
          <c:xMode val="edge"/>
          <c:yMode val="edge"/>
          <c:x val="0.15130434782608695"/>
          <c:y val="3.873239436619718E-2"/>
        </c:manualLayout>
      </c:layout>
      <c:overlay val="0"/>
      <c:spPr>
        <a:noFill/>
        <a:ln w="25400">
          <a:noFill/>
        </a:ln>
      </c:spPr>
    </c:title>
    <c:autoTitleDeleted val="0"/>
    <c:plotArea>
      <c:layout>
        <c:manualLayout>
          <c:layoutTarget val="inner"/>
          <c:xMode val="edge"/>
          <c:yMode val="edge"/>
          <c:x val="0.10260869565217391"/>
          <c:y val="0.20422535211267606"/>
          <c:w val="0.74260869565217391"/>
          <c:h val="0.57042253521126762"/>
        </c:manualLayout>
      </c:layout>
      <c:lineChart>
        <c:grouping val="standard"/>
        <c:varyColors val="0"/>
        <c:ser>
          <c:idx val="0"/>
          <c:order val="0"/>
          <c:tx>
            <c:v>Selección</c:v>
          </c:tx>
          <c:spPr>
            <a:ln w="12700">
              <a:solidFill>
                <a:srgbClr val="000080"/>
              </a:solidFill>
              <a:prstDash val="solid"/>
            </a:ln>
          </c:spPr>
          <c:marker>
            <c:symbol val="diamond"/>
            <c:size val="5"/>
            <c:spPr>
              <a:solidFill>
                <a:srgbClr val="000080"/>
              </a:solidFill>
              <a:ln>
                <a:solidFill>
                  <a:srgbClr val="000080"/>
                </a:solidFill>
                <a:prstDash val="solid"/>
              </a:ln>
            </c:spPr>
          </c:marker>
          <c:cat>
            <c:numRef>
              <c:f>'10.2- EQUINO (SUBEXPLOT)'!$C$17:$M$17</c:f>
              <c:numCache>
                <c:formatCode>[$-C0A]d\-mmm\-yy;@</c:formatCode>
                <c:ptCount val="11"/>
                <c:pt idx="0">
                  <c:v>0</c:v>
                </c:pt>
                <c:pt idx="1">
                  <c:v>38899</c:v>
                </c:pt>
                <c:pt idx="2">
                  <c:v>39083</c:v>
                </c:pt>
                <c:pt idx="3">
                  <c:v>39264</c:v>
                </c:pt>
                <c:pt idx="4">
                  <c:v>39448</c:v>
                </c:pt>
                <c:pt idx="5">
                  <c:v>39630</c:v>
                </c:pt>
                <c:pt idx="6">
                  <c:v>39814</c:v>
                </c:pt>
                <c:pt idx="7">
                  <c:v>39995</c:v>
                </c:pt>
                <c:pt idx="8">
                  <c:v>40179</c:v>
                </c:pt>
                <c:pt idx="9">
                  <c:v>40360</c:v>
                </c:pt>
                <c:pt idx="10">
                  <c:v>40544</c:v>
                </c:pt>
              </c:numCache>
            </c:numRef>
          </c:cat>
          <c:val>
            <c:numRef>
              <c:f>'10.2- EQUINO (SUBEXPLOT)'!$C$25:$M$25</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0-1F03-4997-8D0A-795BDD92B83D}"/>
            </c:ext>
          </c:extLst>
        </c:ser>
        <c:dLbls>
          <c:showLegendKey val="0"/>
          <c:showVal val="0"/>
          <c:showCatName val="0"/>
          <c:showSerName val="0"/>
          <c:showPercent val="0"/>
          <c:showBubbleSize val="0"/>
        </c:dLbls>
        <c:marker val="1"/>
        <c:smooth val="0"/>
        <c:axId val="144414208"/>
        <c:axId val="144090816"/>
      </c:lineChart>
      <c:lineChart>
        <c:grouping val="standard"/>
        <c:varyColors val="0"/>
        <c:ser>
          <c:idx val="1"/>
          <c:order val="1"/>
          <c:tx>
            <c:v>Explotaciones de Cría</c:v>
          </c:tx>
          <c:spPr>
            <a:ln w="12700">
              <a:solidFill>
                <a:srgbClr val="FF00FF"/>
              </a:solidFill>
              <a:prstDash val="solid"/>
            </a:ln>
          </c:spPr>
          <c:marker>
            <c:symbol val="square"/>
            <c:size val="5"/>
            <c:spPr>
              <a:solidFill>
                <a:srgbClr val="FF00FF"/>
              </a:solidFill>
              <a:ln>
                <a:solidFill>
                  <a:srgbClr val="FF00FF"/>
                </a:solidFill>
                <a:prstDash val="solid"/>
              </a:ln>
            </c:spPr>
          </c:marker>
          <c:cat>
            <c:numRef>
              <c:f>'10.2- EQUINO (SUBEXPLOT)'!$C$17:$M$17</c:f>
              <c:numCache>
                <c:formatCode>[$-C0A]d\-mmm\-yy;@</c:formatCode>
                <c:ptCount val="11"/>
                <c:pt idx="0">
                  <c:v>0</c:v>
                </c:pt>
                <c:pt idx="1">
                  <c:v>38899</c:v>
                </c:pt>
                <c:pt idx="2">
                  <c:v>39083</c:v>
                </c:pt>
                <c:pt idx="3">
                  <c:v>39264</c:v>
                </c:pt>
                <c:pt idx="4">
                  <c:v>39448</c:v>
                </c:pt>
                <c:pt idx="5">
                  <c:v>39630</c:v>
                </c:pt>
                <c:pt idx="6">
                  <c:v>39814</c:v>
                </c:pt>
                <c:pt idx="7">
                  <c:v>39995</c:v>
                </c:pt>
                <c:pt idx="8">
                  <c:v>40179</c:v>
                </c:pt>
                <c:pt idx="9">
                  <c:v>40360</c:v>
                </c:pt>
                <c:pt idx="10">
                  <c:v>40544</c:v>
                </c:pt>
              </c:numCache>
            </c:numRef>
          </c:cat>
          <c:val>
            <c:numRef>
              <c:f>'10.2- EQUINO (SUBEXPLOT)'!$C$27:$M$27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1-1F03-4997-8D0A-795BDD92B83D}"/>
            </c:ext>
          </c:extLst>
        </c:ser>
        <c:dLbls>
          <c:showLegendKey val="0"/>
          <c:showVal val="0"/>
          <c:showCatName val="0"/>
          <c:showSerName val="0"/>
          <c:showPercent val="0"/>
          <c:showBubbleSize val="0"/>
        </c:dLbls>
        <c:marker val="1"/>
        <c:smooth val="0"/>
        <c:axId val="144415232"/>
        <c:axId val="144091392"/>
      </c:lineChart>
      <c:catAx>
        <c:axId val="144414208"/>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Fecha</a:t>
                </a:r>
              </a:p>
            </c:rich>
          </c:tx>
          <c:layout>
            <c:manualLayout>
              <c:xMode val="edge"/>
              <c:yMode val="edge"/>
              <c:x val="0.44173913043478263"/>
              <c:y val="0.9119718309859155"/>
            </c:manualLayout>
          </c:layout>
          <c:overlay val="0"/>
          <c:spPr>
            <a:noFill/>
            <a:ln w="25400">
              <a:noFill/>
            </a:ln>
          </c:spPr>
        </c:title>
        <c:numFmt formatCode="dd\-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44090816"/>
        <c:crosses val="autoZero"/>
        <c:auto val="0"/>
        <c:lblAlgn val="ctr"/>
        <c:lblOffset val="100"/>
        <c:tickLblSkip val="1"/>
        <c:tickMarkSkip val="1"/>
        <c:noMultiLvlLbl val="0"/>
      </c:catAx>
      <c:valAx>
        <c:axId val="144090816"/>
        <c:scaling>
          <c:orientation val="minMax"/>
        </c:scaling>
        <c:delete val="0"/>
        <c:axPos val="l"/>
        <c:majorGridlines>
          <c:spPr>
            <a:ln w="3175">
              <a:solidFill>
                <a:srgbClr val="000000"/>
              </a:solidFill>
              <a:prstDash val="solid"/>
            </a:ln>
          </c:spPr>
        </c:majorGridlines>
        <c:title>
          <c:tx>
            <c:rich>
              <a:bodyPr/>
              <a:lstStyle/>
              <a:p>
                <a:pPr>
                  <a:defRPr sz="900" b="1" i="0" u="none" strike="noStrike" baseline="0">
                    <a:solidFill>
                      <a:srgbClr val="000080"/>
                    </a:solidFill>
                    <a:latin typeface="Arial"/>
                    <a:ea typeface="Arial"/>
                    <a:cs typeface="Arial"/>
                  </a:defRPr>
                </a:pPr>
                <a:r>
                  <a:rPr lang="es-ES"/>
                  <a:t>Selección</a:t>
                </a:r>
              </a:p>
            </c:rich>
          </c:tx>
          <c:layout>
            <c:manualLayout>
              <c:xMode val="edge"/>
              <c:yMode val="edge"/>
              <c:x val="8.6956521739130436E-3"/>
              <c:y val="0.37676056338028169"/>
            </c:manualLayout>
          </c:layout>
          <c:overlay val="0"/>
          <c:spPr>
            <a:noFill/>
            <a:ln w="3175">
              <a:solidFill>
                <a:srgbClr val="000080"/>
              </a:solidFill>
              <a:prstDash val="solid"/>
            </a:ln>
          </c:spPr>
        </c:title>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44414208"/>
        <c:crosses val="autoZero"/>
        <c:crossBetween val="between"/>
      </c:valAx>
      <c:dateAx>
        <c:axId val="144415232"/>
        <c:scaling>
          <c:orientation val="minMax"/>
        </c:scaling>
        <c:delete val="1"/>
        <c:axPos val="b"/>
        <c:numFmt formatCode="[$-C0A]d\-mmm\-yy;@" sourceLinked="1"/>
        <c:majorTickMark val="out"/>
        <c:minorTickMark val="none"/>
        <c:tickLblPos val="nextTo"/>
        <c:crossAx val="144091392"/>
        <c:crosses val="autoZero"/>
        <c:auto val="1"/>
        <c:lblOffset val="100"/>
        <c:baseTimeUnit val="months"/>
      </c:dateAx>
      <c:valAx>
        <c:axId val="144091392"/>
        <c:scaling>
          <c:orientation val="minMax"/>
        </c:scaling>
        <c:delete val="0"/>
        <c:axPos val="r"/>
        <c:title>
          <c:tx>
            <c:rich>
              <a:bodyPr/>
              <a:lstStyle/>
              <a:p>
                <a:pPr>
                  <a:defRPr sz="900" b="1" i="0" u="none" strike="noStrike" baseline="0">
                    <a:solidFill>
                      <a:srgbClr val="FF00FF"/>
                    </a:solidFill>
                    <a:latin typeface="Arial"/>
                    <a:ea typeface="Arial"/>
                    <a:cs typeface="Arial"/>
                  </a:defRPr>
                </a:pPr>
                <a:r>
                  <a:rPr lang="es-ES"/>
                  <a:t>Explotaciones de Cría</a:t>
                </a:r>
              </a:p>
            </c:rich>
          </c:tx>
          <c:layout>
            <c:manualLayout>
              <c:xMode val="edge"/>
              <c:yMode val="edge"/>
              <c:x val="0.93968020084445969"/>
              <c:y val="0.26270156371298659"/>
            </c:manualLayout>
          </c:layout>
          <c:overlay val="0"/>
          <c:spPr>
            <a:noFill/>
            <a:ln w="3175">
              <a:solidFill>
                <a:srgbClr val="FF00FF"/>
              </a:solidFill>
              <a:prstDash val="solid"/>
            </a:ln>
          </c:spPr>
        </c:title>
        <c:numFmt formatCode="#,##0"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44415232"/>
        <c:crosses val="max"/>
        <c:crossBetween val="between"/>
      </c:valAx>
      <c:spPr>
        <a:solidFill>
          <a:srgbClr val="C0C0C0"/>
        </a:solidFill>
        <a:ln w="12700">
          <a:solidFill>
            <a:srgbClr val="808080"/>
          </a:solidFill>
          <a:prstDash val="solid"/>
        </a:ln>
      </c:spPr>
    </c:plotArea>
    <c:plotVisOnly val="1"/>
    <c:dispBlanksAs val="gap"/>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ES"/>
              <a:t>Nº de Subexplotaciones de Equino por Clasificación Zootécnica y C.A.</a:t>
            </a:r>
          </a:p>
        </c:rich>
      </c:tx>
      <c:layout>
        <c:manualLayout>
          <c:xMode val="edge"/>
          <c:yMode val="edge"/>
          <c:x val="0.16415445556742592"/>
          <c:y val="3.6630036630036632E-2"/>
        </c:manualLayout>
      </c:layout>
      <c:overlay val="0"/>
      <c:spPr>
        <a:noFill/>
        <a:ln w="25400">
          <a:noFill/>
        </a:ln>
      </c:spPr>
    </c:title>
    <c:autoTitleDeleted val="0"/>
    <c:plotArea>
      <c:layout>
        <c:manualLayout>
          <c:layoutTarget val="inner"/>
          <c:xMode val="edge"/>
          <c:yMode val="edge"/>
          <c:x val="0.16917950622171113"/>
          <c:y val="0.2161179892041166"/>
          <c:w val="0.68341820335107073"/>
          <c:h val="0.54212648139337727"/>
        </c:manualLayout>
      </c:layout>
      <c:lineChart>
        <c:grouping val="standard"/>
        <c:varyColors val="0"/>
        <c:ser>
          <c:idx val="0"/>
          <c:order val="0"/>
          <c:tx>
            <c:v>Establecimientos para la práctica Ecuestre</c:v>
          </c:tx>
          <c:spPr>
            <a:ln w="12700">
              <a:solidFill>
                <a:srgbClr val="000080"/>
              </a:solidFill>
              <a:prstDash val="solid"/>
            </a:ln>
          </c:spPr>
          <c:marker>
            <c:symbol val="diamond"/>
            <c:size val="5"/>
            <c:spPr>
              <a:solidFill>
                <a:srgbClr val="000080"/>
              </a:solidFill>
              <a:ln>
                <a:solidFill>
                  <a:srgbClr val="000080"/>
                </a:solidFill>
                <a:prstDash val="solid"/>
              </a:ln>
            </c:spPr>
          </c:marker>
          <c:cat>
            <c:numRef>
              <c:f>'10.2- EQUINO (SUBEXPLOT)'!$C$17:$M$17</c:f>
              <c:numCache>
                <c:formatCode>[$-C0A]d\-mmm\-yy;@</c:formatCode>
                <c:ptCount val="11"/>
                <c:pt idx="0">
                  <c:v>0</c:v>
                </c:pt>
                <c:pt idx="1">
                  <c:v>38899</c:v>
                </c:pt>
                <c:pt idx="2">
                  <c:v>39083</c:v>
                </c:pt>
                <c:pt idx="3">
                  <c:v>39264</c:v>
                </c:pt>
                <c:pt idx="4">
                  <c:v>39448</c:v>
                </c:pt>
                <c:pt idx="5">
                  <c:v>39630</c:v>
                </c:pt>
                <c:pt idx="6">
                  <c:v>39814</c:v>
                </c:pt>
                <c:pt idx="7">
                  <c:v>39995</c:v>
                </c:pt>
                <c:pt idx="8">
                  <c:v>40179</c:v>
                </c:pt>
                <c:pt idx="9">
                  <c:v>40360</c:v>
                </c:pt>
                <c:pt idx="10">
                  <c:v>40544</c:v>
                </c:pt>
              </c:numCache>
            </c:numRef>
          </c:cat>
          <c:val>
            <c:numRef>
              <c:f>'10.2- EQUINO (SUBEXPLOT)'!$C$29:$M$29</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0-AD3D-4782-A521-E7A23FC01049}"/>
            </c:ext>
          </c:extLst>
        </c:ser>
        <c:dLbls>
          <c:showLegendKey val="0"/>
          <c:showVal val="0"/>
          <c:showCatName val="0"/>
          <c:showSerName val="0"/>
          <c:showPercent val="0"/>
          <c:showBubbleSize val="0"/>
        </c:dLbls>
        <c:marker val="1"/>
        <c:smooth val="0"/>
        <c:axId val="144150528"/>
        <c:axId val="144093120"/>
      </c:lineChart>
      <c:lineChart>
        <c:grouping val="standard"/>
        <c:varyColors val="0"/>
        <c:ser>
          <c:idx val="1"/>
          <c:order val="1"/>
          <c:tx>
            <c:v>Sin Ánimo de Lucro</c:v>
          </c:tx>
          <c:spPr>
            <a:ln w="12700">
              <a:solidFill>
                <a:srgbClr val="FF00FF"/>
              </a:solidFill>
              <a:prstDash val="solid"/>
            </a:ln>
          </c:spPr>
          <c:marker>
            <c:symbol val="square"/>
            <c:size val="5"/>
            <c:spPr>
              <a:solidFill>
                <a:srgbClr val="FF00FF"/>
              </a:solidFill>
              <a:ln>
                <a:solidFill>
                  <a:srgbClr val="FF00FF"/>
                </a:solidFill>
                <a:prstDash val="solid"/>
              </a:ln>
            </c:spPr>
          </c:marker>
          <c:cat>
            <c:numRef>
              <c:f>'10.2- EQUINO (SUBEXPLOT)'!$C$17:$M$17</c:f>
              <c:numCache>
                <c:formatCode>[$-C0A]d\-mmm\-yy;@</c:formatCode>
                <c:ptCount val="11"/>
                <c:pt idx="0">
                  <c:v>0</c:v>
                </c:pt>
                <c:pt idx="1">
                  <c:v>38899</c:v>
                </c:pt>
                <c:pt idx="2">
                  <c:v>39083</c:v>
                </c:pt>
                <c:pt idx="3">
                  <c:v>39264</c:v>
                </c:pt>
                <c:pt idx="4">
                  <c:v>39448</c:v>
                </c:pt>
                <c:pt idx="5">
                  <c:v>39630</c:v>
                </c:pt>
                <c:pt idx="6">
                  <c:v>39814</c:v>
                </c:pt>
                <c:pt idx="7">
                  <c:v>39995</c:v>
                </c:pt>
                <c:pt idx="8">
                  <c:v>40179</c:v>
                </c:pt>
                <c:pt idx="9">
                  <c:v>40360</c:v>
                </c:pt>
                <c:pt idx="10">
                  <c:v>40544</c:v>
                </c:pt>
              </c:numCache>
            </c:numRef>
          </c:cat>
          <c:val>
            <c:numRef>
              <c:f>'10.2- EQUINO (SUBEXPLOT)'!$C$31:$M$31</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1-AD3D-4782-A521-E7A23FC01049}"/>
            </c:ext>
          </c:extLst>
        </c:ser>
        <c:dLbls>
          <c:showLegendKey val="0"/>
          <c:showVal val="0"/>
          <c:showCatName val="0"/>
          <c:showSerName val="0"/>
          <c:showPercent val="0"/>
          <c:showBubbleSize val="0"/>
        </c:dLbls>
        <c:marker val="1"/>
        <c:smooth val="0"/>
        <c:axId val="144151552"/>
        <c:axId val="144093696"/>
      </c:lineChart>
      <c:catAx>
        <c:axId val="144150528"/>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Fecha</a:t>
                </a:r>
              </a:p>
            </c:rich>
          </c:tx>
          <c:layout>
            <c:manualLayout>
              <c:xMode val="edge"/>
              <c:yMode val="edge"/>
              <c:x val="0.48073772185511982"/>
              <c:y val="0.90842798496341803"/>
            </c:manualLayout>
          </c:layout>
          <c:overlay val="0"/>
          <c:spPr>
            <a:noFill/>
            <a:ln w="25400">
              <a:noFill/>
            </a:ln>
          </c:spPr>
        </c:title>
        <c:numFmt formatCode="dd\-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44093120"/>
        <c:crosses val="autoZero"/>
        <c:auto val="0"/>
        <c:lblAlgn val="ctr"/>
        <c:lblOffset val="100"/>
        <c:tickLblSkip val="1"/>
        <c:tickMarkSkip val="1"/>
        <c:noMultiLvlLbl val="0"/>
      </c:catAx>
      <c:valAx>
        <c:axId val="144093120"/>
        <c:scaling>
          <c:orientation val="minMax"/>
        </c:scaling>
        <c:delete val="0"/>
        <c:axPos val="l"/>
        <c:majorGridlines>
          <c:spPr>
            <a:ln w="3175">
              <a:solidFill>
                <a:srgbClr val="000000"/>
              </a:solidFill>
              <a:prstDash val="solid"/>
            </a:ln>
          </c:spPr>
        </c:majorGridlines>
        <c:title>
          <c:tx>
            <c:rich>
              <a:bodyPr/>
              <a:lstStyle/>
              <a:p>
                <a:pPr>
                  <a:defRPr sz="900" b="1" i="0" u="none" strike="noStrike" baseline="0">
                    <a:solidFill>
                      <a:srgbClr val="000080"/>
                    </a:solidFill>
                    <a:latin typeface="Arial"/>
                    <a:ea typeface="Arial"/>
                    <a:cs typeface="Arial"/>
                  </a:defRPr>
                </a:pPr>
                <a:r>
                  <a:rPr lang="es-ES"/>
                  <a:t>Establecimientos para la práctica Ecuestre</a:t>
                </a:r>
              </a:p>
            </c:rich>
          </c:tx>
          <c:layout>
            <c:manualLayout>
              <c:xMode val="edge"/>
              <c:yMode val="edge"/>
              <c:x val="2.3962858913992535E-2"/>
              <c:y val="0.18569832617076712"/>
            </c:manualLayout>
          </c:layout>
          <c:overlay val="0"/>
          <c:spPr>
            <a:noFill/>
            <a:ln w="3175">
              <a:solidFill>
                <a:srgbClr val="000080"/>
              </a:solidFill>
              <a:prstDash val="solid"/>
            </a:ln>
          </c:spPr>
        </c:title>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44150528"/>
        <c:crosses val="autoZero"/>
        <c:crossBetween val="between"/>
      </c:valAx>
      <c:dateAx>
        <c:axId val="144151552"/>
        <c:scaling>
          <c:orientation val="minMax"/>
        </c:scaling>
        <c:delete val="1"/>
        <c:axPos val="b"/>
        <c:numFmt formatCode="[$-C0A]d\-mmm\-yy;@" sourceLinked="1"/>
        <c:majorTickMark val="out"/>
        <c:minorTickMark val="none"/>
        <c:tickLblPos val="nextTo"/>
        <c:crossAx val="144093696"/>
        <c:crosses val="autoZero"/>
        <c:auto val="1"/>
        <c:lblOffset val="100"/>
        <c:baseTimeUnit val="months"/>
      </c:dateAx>
      <c:valAx>
        <c:axId val="144093696"/>
        <c:scaling>
          <c:orientation val="minMax"/>
        </c:scaling>
        <c:delete val="0"/>
        <c:axPos val="r"/>
        <c:title>
          <c:tx>
            <c:rich>
              <a:bodyPr/>
              <a:lstStyle/>
              <a:p>
                <a:pPr>
                  <a:defRPr sz="900" b="1" i="0" u="none" strike="noStrike" baseline="0">
                    <a:solidFill>
                      <a:srgbClr val="FF00FF"/>
                    </a:solidFill>
                    <a:latin typeface="Arial"/>
                    <a:ea typeface="Arial"/>
                    <a:cs typeface="Arial"/>
                  </a:defRPr>
                </a:pPr>
                <a:r>
                  <a:rPr lang="es-ES"/>
                  <a:t>Sin Ánimo de Lucro</a:t>
                </a:r>
              </a:p>
            </c:rich>
          </c:tx>
          <c:layout>
            <c:manualLayout>
              <c:xMode val="edge"/>
              <c:yMode val="edge"/>
              <c:x val="0.93966050726071304"/>
              <c:y val="0.26918673627335044"/>
            </c:manualLayout>
          </c:layout>
          <c:overlay val="0"/>
          <c:spPr>
            <a:noFill/>
            <a:ln w="3175">
              <a:solidFill>
                <a:srgbClr val="FF00FF"/>
              </a:solidFill>
              <a:prstDash val="solid"/>
            </a:ln>
          </c:spPr>
        </c:title>
        <c:numFmt formatCode="#,##0"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44151552"/>
        <c:crosses val="max"/>
        <c:crossBetween val="between"/>
      </c:valAx>
      <c:spPr>
        <a:solidFill>
          <a:srgbClr val="C0C0C0"/>
        </a:solidFill>
        <a:ln w="12700">
          <a:solidFill>
            <a:srgbClr val="808080"/>
          </a:solidFill>
          <a:prstDash val="solid"/>
        </a:ln>
      </c:spPr>
    </c:plotArea>
    <c:plotVisOnly val="1"/>
    <c:dispBlanksAs val="gap"/>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ES"/>
              <a:t>Nº de Subexplotaciones de Equino por Clasificación Zootécnica y C.A.</a:t>
            </a:r>
          </a:p>
        </c:rich>
      </c:tx>
      <c:layout>
        <c:manualLayout>
          <c:xMode val="edge"/>
          <c:yMode val="edge"/>
          <c:x val="0.16275167785234898"/>
          <c:y val="3.873239436619718E-2"/>
        </c:manualLayout>
      </c:layout>
      <c:overlay val="0"/>
      <c:spPr>
        <a:noFill/>
        <a:ln w="25400">
          <a:noFill/>
        </a:ln>
      </c:spPr>
    </c:title>
    <c:autoTitleDeleted val="0"/>
    <c:plotArea>
      <c:layout>
        <c:manualLayout>
          <c:layoutTarget val="inner"/>
          <c:xMode val="edge"/>
          <c:yMode val="edge"/>
          <c:x val="0.12751677852348994"/>
          <c:y val="0.20422535211267606"/>
          <c:w val="0.75671140939597314"/>
          <c:h val="0.57042253521126762"/>
        </c:manualLayout>
      </c:layout>
      <c:lineChart>
        <c:grouping val="standard"/>
        <c:varyColors val="0"/>
        <c:ser>
          <c:idx val="0"/>
          <c:order val="0"/>
          <c:tx>
            <c:v>Uso Particular</c:v>
          </c:tx>
          <c:spPr>
            <a:ln w="12700">
              <a:solidFill>
                <a:srgbClr val="000080"/>
              </a:solidFill>
              <a:prstDash val="solid"/>
            </a:ln>
          </c:spPr>
          <c:marker>
            <c:symbol val="diamond"/>
            <c:size val="5"/>
            <c:spPr>
              <a:solidFill>
                <a:srgbClr val="000080"/>
              </a:solidFill>
              <a:ln>
                <a:solidFill>
                  <a:srgbClr val="000080"/>
                </a:solidFill>
                <a:prstDash val="solid"/>
              </a:ln>
            </c:spPr>
          </c:marker>
          <c:cat>
            <c:numRef>
              <c:f>'10.2- EQUINO (SUBEXPLOT)'!$C$17:$M$17</c:f>
              <c:numCache>
                <c:formatCode>[$-C0A]d\-mmm\-yy;@</c:formatCode>
                <c:ptCount val="11"/>
                <c:pt idx="0">
                  <c:v>0</c:v>
                </c:pt>
                <c:pt idx="1">
                  <c:v>38899</c:v>
                </c:pt>
                <c:pt idx="2">
                  <c:v>39083</c:v>
                </c:pt>
                <c:pt idx="3">
                  <c:v>39264</c:v>
                </c:pt>
                <c:pt idx="4">
                  <c:v>39448</c:v>
                </c:pt>
                <c:pt idx="5">
                  <c:v>39630</c:v>
                </c:pt>
                <c:pt idx="6">
                  <c:v>39814</c:v>
                </c:pt>
                <c:pt idx="7">
                  <c:v>39995</c:v>
                </c:pt>
                <c:pt idx="8">
                  <c:v>40179</c:v>
                </c:pt>
                <c:pt idx="9">
                  <c:v>40360</c:v>
                </c:pt>
                <c:pt idx="10">
                  <c:v>40544</c:v>
                </c:pt>
              </c:numCache>
            </c:numRef>
          </c:cat>
          <c:val>
            <c:numRef>
              <c:f>'10.2- EQUINO (SUBEXPLOT)'!$C$33:$M$33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0-7A39-4A7A-9E31-BD33C9CC6B01}"/>
            </c:ext>
          </c:extLst>
        </c:ser>
        <c:dLbls>
          <c:showLegendKey val="0"/>
          <c:showVal val="0"/>
          <c:showCatName val="0"/>
          <c:showSerName val="0"/>
          <c:showPercent val="0"/>
          <c:showBubbleSize val="0"/>
        </c:dLbls>
        <c:marker val="1"/>
        <c:smooth val="0"/>
        <c:axId val="144415744"/>
        <c:axId val="144095424"/>
      </c:lineChart>
      <c:lineChart>
        <c:grouping val="standard"/>
        <c:varyColors val="0"/>
        <c:ser>
          <c:idx val="1"/>
          <c:order val="1"/>
          <c:tx>
            <c:v>Sin Clasificar</c:v>
          </c:tx>
          <c:spPr>
            <a:ln w="12700">
              <a:solidFill>
                <a:srgbClr val="FF00FF"/>
              </a:solidFill>
              <a:prstDash val="solid"/>
            </a:ln>
          </c:spPr>
          <c:marker>
            <c:symbol val="square"/>
            <c:size val="5"/>
            <c:spPr>
              <a:solidFill>
                <a:srgbClr val="FF00FF"/>
              </a:solidFill>
              <a:ln>
                <a:solidFill>
                  <a:srgbClr val="FF00FF"/>
                </a:solidFill>
                <a:prstDash val="solid"/>
              </a:ln>
            </c:spPr>
          </c:marker>
          <c:cat>
            <c:numRef>
              <c:f>'10.2- EQUINO (SUBEXPLOT)'!$C$17:$M$17</c:f>
              <c:numCache>
                <c:formatCode>[$-C0A]d\-mmm\-yy;@</c:formatCode>
                <c:ptCount val="11"/>
                <c:pt idx="0">
                  <c:v>0</c:v>
                </c:pt>
                <c:pt idx="1">
                  <c:v>38899</c:v>
                </c:pt>
                <c:pt idx="2">
                  <c:v>39083</c:v>
                </c:pt>
                <c:pt idx="3">
                  <c:v>39264</c:v>
                </c:pt>
                <c:pt idx="4">
                  <c:v>39448</c:v>
                </c:pt>
                <c:pt idx="5">
                  <c:v>39630</c:v>
                </c:pt>
                <c:pt idx="6">
                  <c:v>39814</c:v>
                </c:pt>
                <c:pt idx="7">
                  <c:v>39995</c:v>
                </c:pt>
                <c:pt idx="8">
                  <c:v>40179</c:v>
                </c:pt>
                <c:pt idx="9">
                  <c:v>40360</c:v>
                </c:pt>
                <c:pt idx="10">
                  <c:v>40544</c:v>
                </c:pt>
              </c:numCache>
            </c:numRef>
          </c:cat>
          <c:val>
            <c:numRef>
              <c:f>'10.2- EQUINO (SUBEXPLOT)'!$C$35:$M$35</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1-7A39-4A7A-9E31-BD33C9CC6B01}"/>
            </c:ext>
          </c:extLst>
        </c:ser>
        <c:dLbls>
          <c:showLegendKey val="0"/>
          <c:showVal val="0"/>
          <c:showCatName val="0"/>
          <c:showSerName val="0"/>
          <c:showPercent val="0"/>
          <c:showBubbleSize val="0"/>
        </c:dLbls>
        <c:marker val="1"/>
        <c:smooth val="0"/>
        <c:axId val="144152064"/>
        <c:axId val="144096000"/>
      </c:lineChart>
      <c:catAx>
        <c:axId val="144415744"/>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Fecha</a:t>
                </a:r>
              </a:p>
            </c:rich>
          </c:tx>
          <c:layout>
            <c:manualLayout>
              <c:xMode val="edge"/>
              <c:yMode val="edge"/>
              <c:x val="0.47483221476510068"/>
              <c:y val="0.9119718309859155"/>
            </c:manualLayout>
          </c:layout>
          <c:overlay val="0"/>
          <c:spPr>
            <a:noFill/>
            <a:ln w="25400">
              <a:noFill/>
            </a:ln>
          </c:spPr>
        </c:title>
        <c:numFmt formatCode="dd\-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44095424"/>
        <c:crosses val="autoZero"/>
        <c:auto val="0"/>
        <c:lblAlgn val="ctr"/>
        <c:lblOffset val="100"/>
        <c:tickLblSkip val="1"/>
        <c:tickMarkSkip val="1"/>
        <c:noMultiLvlLbl val="0"/>
      </c:catAx>
      <c:valAx>
        <c:axId val="144095424"/>
        <c:scaling>
          <c:orientation val="minMax"/>
        </c:scaling>
        <c:delete val="0"/>
        <c:axPos val="l"/>
        <c:majorGridlines>
          <c:spPr>
            <a:ln w="3175">
              <a:solidFill>
                <a:srgbClr val="000000"/>
              </a:solidFill>
              <a:prstDash val="solid"/>
            </a:ln>
          </c:spPr>
        </c:majorGridlines>
        <c:title>
          <c:tx>
            <c:rich>
              <a:bodyPr/>
              <a:lstStyle/>
              <a:p>
                <a:pPr>
                  <a:defRPr sz="900" b="1" i="0" u="none" strike="noStrike" baseline="0">
                    <a:solidFill>
                      <a:srgbClr val="000080"/>
                    </a:solidFill>
                    <a:latin typeface="Arial"/>
                    <a:ea typeface="Arial"/>
                    <a:cs typeface="Arial"/>
                  </a:defRPr>
                </a:pPr>
                <a:r>
                  <a:rPr lang="es-ES"/>
                  <a:t>Uso Particular</a:t>
                </a:r>
              </a:p>
            </c:rich>
          </c:tx>
          <c:layout>
            <c:manualLayout>
              <c:xMode val="edge"/>
              <c:yMode val="edge"/>
              <c:x val="8.389261744966443E-3"/>
              <c:y val="0.3380281690140845"/>
            </c:manualLayout>
          </c:layout>
          <c:overlay val="0"/>
          <c:spPr>
            <a:noFill/>
            <a:ln w="3175">
              <a:solidFill>
                <a:srgbClr val="000080"/>
              </a:solidFill>
              <a:prstDash val="solid"/>
            </a:ln>
          </c:spPr>
        </c:title>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44415744"/>
        <c:crosses val="autoZero"/>
        <c:crossBetween val="between"/>
      </c:valAx>
      <c:dateAx>
        <c:axId val="144152064"/>
        <c:scaling>
          <c:orientation val="minMax"/>
        </c:scaling>
        <c:delete val="1"/>
        <c:axPos val="b"/>
        <c:numFmt formatCode="[$-C0A]d\-mmm\-yy;@" sourceLinked="1"/>
        <c:majorTickMark val="out"/>
        <c:minorTickMark val="none"/>
        <c:tickLblPos val="nextTo"/>
        <c:crossAx val="144096000"/>
        <c:crosses val="autoZero"/>
        <c:auto val="1"/>
        <c:lblOffset val="100"/>
        <c:baseTimeUnit val="months"/>
      </c:dateAx>
      <c:valAx>
        <c:axId val="144096000"/>
        <c:scaling>
          <c:orientation val="minMax"/>
        </c:scaling>
        <c:delete val="0"/>
        <c:axPos val="r"/>
        <c:title>
          <c:tx>
            <c:rich>
              <a:bodyPr/>
              <a:lstStyle/>
              <a:p>
                <a:pPr>
                  <a:defRPr sz="900" b="1" i="0" u="none" strike="noStrike" baseline="0">
                    <a:solidFill>
                      <a:srgbClr val="FF00FF"/>
                    </a:solidFill>
                    <a:latin typeface="Arial"/>
                    <a:ea typeface="Arial"/>
                    <a:cs typeface="Arial"/>
                  </a:defRPr>
                </a:pPr>
                <a:r>
                  <a:rPr lang="es-ES"/>
                  <a:t>Sin Clasificar</a:t>
                </a:r>
              </a:p>
            </c:rich>
          </c:tx>
          <c:layout>
            <c:manualLayout>
              <c:xMode val="edge"/>
              <c:yMode val="edge"/>
              <c:x val="0.96194225721784776"/>
              <c:y val="0.30980370411445052"/>
            </c:manualLayout>
          </c:layout>
          <c:overlay val="0"/>
          <c:spPr>
            <a:noFill/>
            <a:ln w="3175">
              <a:solidFill>
                <a:srgbClr val="FF00FF"/>
              </a:solidFill>
              <a:prstDash val="solid"/>
            </a:ln>
          </c:spPr>
        </c:title>
        <c:numFmt formatCode="#,##0"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44152064"/>
        <c:crosses val="max"/>
        <c:crossBetween val="between"/>
      </c:valAx>
      <c:spPr>
        <a:solidFill>
          <a:srgbClr val="C0C0C0"/>
        </a:solidFill>
        <a:ln w="12700">
          <a:solidFill>
            <a:srgbClr val="808080"/>
          </a:solidFill>
          <a:prstDash val="solid"/>
        </a:ln>
      </c:spPr>
    </c:plotArea>
    <c:plotVisOnly val="1"/>
    <c:dispBlanksAs val="gap"/>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ES"/>
              <a:t>Nº de Explotaciones por C.A. y Tipo</a:t>
            </a:r>
          </a:p>
        </c:rich>
      </c:tx>
      <c:layout>
        <c:manualLayout>
          <c:xMode val="edge"/>
          <c:yMode val="edge"/>
          <c:x val="0.18372724078781491"/>
          <c:y val="3.8461538461538464E-2"/>
        </c:manualLayout>
      </c:layout>
      <c:overlay val="0"/>
      <c:spPr>
        <a:noFill/>
        <a:ln w="25400">
          <a:noFill/>
        </a:ln>
      </c:spPr>
    </c:title>
    <c:autoTitleDeleted val="0"/>
    <c:plotArea>
      <c:layout>
        <c:manualLayout>
          <c:layoutTarget val="inner"/>
          <c:xMode val="edge"/>
          <c:yMode val="edge"/>
          <c:x val="9.4488279796959396E-2"/>
          <c:y val="0.21678358689286989"/>
          <c:w val="0.7657487675211917"/>
          <c:h val="0.461539249513852"/>
        </c:manualLayout>
      </c:layout>
      <c:lineChart>
        <c:grouping val="standard"/>
        <c:varyColors val="0"/>
        <c:ser>
          <c:idx val="0"/>
          <c:order val="0"/>
          <c:tx>
            <c:strRef>
              <c:f>'4- Nº Explot. por CA y Tipo'!$A$16</c:f>
              <c:strCache>
                <c:ptCount val="1"/>
                <c:pt idx="0">
                  <c:v>Producción y Reproducción</c:v>
                </c:pt>
              </c:strCache>
            </c:strRef>
          </c:tx>
          <c:spPr>
            <a:ln w="12700">
              <a:solidFill>
                <a:srgbClr val="000080"/>
              </a:solidFill>
              <a:prstDash val="solid"/>
            </a:ln>
          </c:spPr>
          <c:marker>
            <c:symbol val="diamond"/>
            <c:size val="5"/>
            <c:spPr>
              <a:solidFill>
                <a:srgbClr val="000080"/>
              </a:solidFill>
              <a:ln>
                <a:solidFill>
                  <a:srgbClr val="000080"/>
                </a:solidFill>
                <a:prstDash val="solid"/>
              </a:ln>
            </c:spPr>
          </c:marker>
          <c:cat>
            <c:numRef>
              <c:f>'4- Nº Explot. por CA y Tipo'!$B$15:$L$15</c:f>
              <c:numCache>
                <c:formatCode>[$-C0A]d\-mmm\-yy;@</c:formatCode>
                <c:ptCount val="11"/>
                <c:pt idx="0">
                  <c:v>0</c:v>
                </c:pt>
                <c:pt idx="1">
                  <c:v>38899</c:v>
                </c:pt>
                <c:pt idx="2">
                  <c:v>39083</c:v>
                </c:pt>
                <c:pt idx="3">
                  <c:v>39264</c:v>
                </c:pt>
                <c:pt idx="4">
                  <c:v>39448</c:v>
                </c:pt>
                <c:pt idx="5">
                  <c:v>39630</c:v>
                </c:pt>
                <c:pt idx="6">
                  <c:v>39814</c:v>
                </c:pt>
                <c:pt idx="7">
                  <c:v>39995</c:v>
                </c:pt>
                <c:pt idx="8">
                  <c:v>40179</c:v>
                </c:pt>
                <c:pt idx="9">
                  <c:v>40360</c:v>
                </c:pt>
                <c:pt idx="10">
                  <c:v>40544</c:v>
                </c:pt>
              </c:numCache>
            </c:numRef>
          </c:cat>
          <c:val>
            <c:numRef>
              <c:f>'4- Nº Explot. por CA y Tipo'!$B$16:$L$16</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0-1D1C-42AE-9BE0-1648147D1D9B}"/>
            </c:ext>
          </c:extLst>
        </c:ser>
        <c:ser>
          <c:idx val="2"/>
          <c:order val="1"/>
          <c:tx>
            <c:strRef>
              <c:f>'4- Nº Explot. por CA y Tipo'!$A$18</c:f>
              <c:strCache>
                <c:ptCount val="1"/>
                <c:pt idx="0">
                  <c:v>Total</c:v>
                </c:pt>
              </c:strCache>
            </c:strRef>
          </c:tx>
          <c:cat>
            <c:numRef>
              <c:f>'4- Nº Explot. por CA y Tipo'!$B$15:$L$15</c:f>
              <c:numCache>
                <c:formatCode>[$-C0A]d\-mmm\-yy;@</c:formatCode>
                <c:ptCount val="11"/>
                <c:pt idx="0">
                  <c:v>0</c:v>
                </c:pt>
                <c:pt idx="1">
                  <c:v>38899</c:v>
                </c:pt>
                <c:pt idx="2">
                  <c:v>39083</c:v>
                </c:pt>
                <c:pt idx="3">
                  <c:v>39264</c:v>
                </c:pt>
                <c:pt idx="4">
                  <c:v>39448</c:v>
                </c:pt>
                <c:pt idx="5">
                  <c:v>39630</c:v>
                </c:pt>
                <c:pt idx="6">
                  <c:v>39814</c:v>
                </c:pt>
                <c:pt idx="7">
                  <c:v>39995</c:v>
                </c:pt>
                <c:pt idx="8">
                  <c:v>40179</c:v>
                </c:pt>
                <c:pt idx="9">
                  <c:v>40360</c:v>
                </c:pt>
                <c:pt idx="10">
                  <c:v>40544</c:v>
                </c:pt>
              </c:numCache>
            </c:numRef>
          </c:cat>
          <c:val>
            <c:numRef>
              <c:f>'4- Nº Explot. por CA y Tipo'!$B$18:$L$18</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1-1D1C-42AE-9BE0-1648147D1D9B}"/>
            </c:ext>
          </c:extLst>
        </c:ser>
        <c:dLbls>
          <c:showLegendKey val="0"/>
          <c:showVal val="0"/>
          <c:showCatName val="0"/>
          <c:showSerName val="0"/>
          <c:showPercent val="0"/>
          <c:showBubbleSize val="0"/>
        </c:dLbls>
        <c:marker val="1"/>
        <c:smooth val="0"/>
        <c:axId val="118848000"/>
        <c:axId val="117745344"/>
      </c:lineChart>
      <c:catAx>
        <c:axId val="118848000"/>
        <c:scaling>
          <c:orientation val="minMax"/>
        </c:scaling>
        <c:delete val="0"/>
        <c:axPos val="b"/>
        <c:title>
          <c:tx>
            <c:rich>
              <a:bodyPr/>
              <a:lstStyle/>
              <a:p>
                <a:pPr>
                  <a:defRPr sz="1025" b="1" i="0" u="none" strike="noStrike" baseline="0">
                    <a:solidFill>
                      <a:srgbClr val="000000"/>
                    </a:solidFill>
                    <a:latin typeface="Arial"/>
                    <a:ea typeface="Arial"/>
                    <a:cs typeface="Arial"/>
                  </a:defRPr>
                </a:pPr>
                <a:r>
                  <a:rPr lang="es-ES"/>
                  <a:t>Fecha</a:t>
                </a:r>
              </a:p>
            </c:rich>
          </c:tx>
          <c:layout>
            <c:manualLayout>
              <c:xMode val="edge"/>
              <c:yMode val="edge"/>
              <c:x val="0.43110277553888438"/>
              <c:y val="0.87762384597030263"/>
            </c:manualLayout>
          </c:layout>
          <c:overlay val="0"/>
          <c:spPr>
            <a:noFill/>
            <a:ln w="25400">
              <a:noFill/>
            </a:ln>
          </c:spPr>
        </c:title>
        <c:numFmt formatCode="dd\-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17745344"/>
        <c:crosses val="autoZero"/>
        <c:auto val="0"/>
        <c:lblAlgn val="ctr"/>
        <c:lblOffset val="100"/>
        <c:tickLblSkip val="1"/>
        <c:tickMarkSkip val="1"/>
        <c:noMultiLvlLbl val="0"/>
      </c:catAx>
      <c:valAx>
        <c:axId val="117745344"/>
        <c:scaling>
          <c:orientation val="minMax"/>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18848000"/>
        <c:crosses val="autoZero"/>
        <c:crossBetween val="between"/>
      </c:valAx>
      <c:spPr>
        <a:solidFill>
          <a:srgbClr val="C0C0C0"/>
        </a:solidFill>
        <a:ln w="12700">
          <a:solidFill>
            <a:srgbClr val="808080"/>
          </a:solidFill>
          <a:prstDash val="solid"/>
        </a:ln>
      </c:spPr>
    </c:plotArea>
    <c:legend>
      <c:legendPos val="r"/>
      <c:layout>
        <c:manualLayout>
          <c:xMode val="edge"/>
          <c:yMode val="edge"/>
          <c:x val="0.77427904189141705"/>
          <c:y val="5.477892186553604E-2"/>
          <c:w val="0.2152222704445409"/>
          <c:h val="0.14322339078244589"/>
        </c:manualLayout>
      </c:layout>
      <c:overlay val="0"/>
      <c:spPr>
        <a:solidFill>
          <a:srgbClr val="FFFFFF"/>
        </a:solidFill>
        <a:ln w="3175">
          <a:solidFill>
            <a:srgbClr val="000000"/>
          </a:solidFill>
          <a:prstDash val="solid"/>
        </a:ln>
      </c:spPr>
      <c:txPr>
        <a:bodyPr/>
        <a:lstStyle/>
        <a:p>
          <a:pPr>
            <a:defRPr sz="570" b="0" i="0" u="none" strike="noStrike" baseline="0">
              <a:solidFill>
                <a:srgbClr val="000000"/>
              </a:solidFill>
              <a:latin typeface="Arial"/>
              <a:ea typeface="Arial"/>
              <a:cs typeface="Arial"/>
            </a:defRPr>
          </a:pPr>
          <a:endParaRPr lang="es-ES"/>
        </a:p>
      </c:txPr>
    </c:legend>
    <c:plotVisOnly val="1"/>
    <c:dispBlanksAs val="gap"/>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75" b="1" i="0" u="none" strike="noStrike" baseline="0">
                <a:solidFill>
                  <a:srgbClr val="000000"/>
                </a:solidFill>
                <a:latin typeface="Arial"/>
                <a:ea typeface="Arial"/>
                <a:cs typeface="Arial"/>
              </a:defRPr>
            </a:pPr>
            <a:r>
              <a:rPr lang="es-ES"/>
              <a:t>Nº de Subexplotaciones de Equino por C.A.</a:t>
            </a:r>
          </a:p>
        </c:rich>
      </c:tx>
      <c:layout>
        <c:manualLayout>
          <c:xMode val="edge"/>
          <c:yMode val="edge"/>
          <c:x val="0.30520438109793235"/>
          <c:y val="3.793103448275862E-2"/>
        </c:manualLayout>
      </c:layout>
      <c:overlay val="0"/>
      <c:spPr>
        <a:noFill/>
        <a:ln w="25400">
          <a:noFill/>
        </a:ln>
      </c:spPr>
    </c:title>
    <c:autoTitleDeleted val="0"/>
    <c:plotArea>
      <c:layout>
        <c:manualLayout>
          <c:layoutTarget val="inner"/>
          <c:xMode val="edge"/>
          <c:yMode val="edge"/>
          <c:x val="0.12376950895732924"/>
          <c:y val="0.20344827586206896"/>
          <c:w val="0.85654126085242621"/>
          <c:h val="0.57931034482758625"/>
        </c:manualLayout>
      </c:layout>
      <c:lineChart>
        <c:grouping val="standard"/>
        <c:varyColors val="0"/>
        <c:ser>
          <c:idx val="0"/>
          <c:order val="0"/>
          <c:tx>
            <c:v>Todas</c:v>
          </c:tx>
          <c:spPr>
            <a:ln w="12700">
              <a:solidFill>
                <a:srgbClr val="000080"/>
              </a:solidFill>
              <a:prstDash val="solid"/>
            </a:ln>
          </c:spPr>
          <c:marker>
            <c:symbol val="diamond"/>
            <c:size val="5"/>
            <c:spPr>
              <a:solidFill>
                <a:srgbClr val="000080"/>
              </a:solidFill>
              <a:ln>
                <a:solidFill>
                  <a:srgbClr val="000080"/>
                </a:solidFill>
                <a:prstDash val="solid"/>
              </a:ln>
            </c:spPr>
          </c:marker>
          <c:cat>
            <c:numRef>
              <c:f>'10.2- EQUINO (SUBEXPLOT)'!$C$17:$M$17</c:f>
              <c:numCache>
                <c:formatCode>[$-C0A]d\-mmm\-yy;@</c:formatCode>
                <c:ptCount val="11"/>
                <c:pt idx="0">
                  <c:v>0</c:v>
                </c:pt>
                <c:pt idx="1">
                  <c:v>38899</c:v>
                </c:pt>
                <c:pt idx="2">
                  <c:v>39083</c:v>
                </c:pt>
                <c:pt idx="3">
                  <c:v>39264</c:v>
                </c:pt>
                <c:pt idx="4">
                  <c:v>39448</c:v>
                </c:pt>
                <c:pt idx="5">
                  <c:v>39630</c:v>
                </c:pt>
                <c:pt idx="6">
                  <c:v>39814</c:v>
                </c:pt>
                <c:pt idx="7">
                  <c:v>39995</c:v>
                </c:pt>
                <c:pt idx="8">
                  <c:v>40179</c:v>
                </c:pt>
                <c:pt idx="9">
                  <c:v>40360</c:v>
                </c:pt>
                <c:pt idx="10">
                  <c:v>40544</c:v>
                </c:pt>
              </c:numCache>
            </c:numRef>
          </c:cat>
          <c:val>
            <c:numRef>
              <c:f>'10.2- EQUINO (SUBEXPLOT)'!$C$45:$M$45</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0-A0C7-49E0-B564-E6F2D2B0DA89}"/>
            </c:ext>
          </c:extLst>
        </c:ser>
        <c:dLbls>
          <c:showLegendKey val="0"/>
          <c:showVal val="0"/>
          <c:showCatName val="0"/>
          <c:showSerName val="0"/>
          <c:showPercent val="0"/>
          <c:showBubbleSize val="0"/>
        </c:dLbls>
        <c:marker val="1"/>
        <c:smooth val="0"/>
        <c:axId val="144152576"/>
        <c:axId val="144491072"/>
      </c:lineChart>
      <c:catAx>
        <c:axId val="144152576"/>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Fecha</a:t>
                </a:r>
              </a:p>
            </c:rich>
          </c:tx>
          <c:layout>
            <c:manualLayout>
              <c:xMode val="edge"/>
              <c:yMode val="edge"/>
              <c:x val="0.5260204288809891"/>
              <c:y val="0.87586206896551722"/>
            </c:manualLayout>
          </c:layout>
          <c:overlay val="0"/>
          <c:spPr>
            <a:noFill/>
            <a:ln w="25400">
              <a:noFill/>
            </a:ln>
          </c:spPr>
        </c:title>
        <c:numFmt formatCode="dd\-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44491072"/>
        <c:crosses val="autoZero"/>
        <c:auto val="0"/>
        <c:lblAlgn val="ctr"/>
        <c:lblOffset val="100"/>
        <c:tickLblSkip val="1"/>
        <c:tickMarkSkip val="1"/>
        <c:noMultiLvlLbl val="0"/>
      </c:catAx>
      <c:valAx>
        <c:axId val="144491072"/>
        <c:scaling>
          <c:orientation val="minMax"/>
        </c:scaling>
        <c:delete val="0"/>
        <c:axPos val="l"/>
        <c:majorGridlines>
          <c:spPr>
            <a:ln w="3175">
              <a:solidFill>
                <a:srgbClr val="000000"/>
              </a:solidFill>
              <a:prstDash val="solid"/>
            </a:ln>
          </c:spPr>
        </c:majorGridlines>
        <c:title>
          <c:tx>
            <c:rich>
              <a:bodyPr/>
              <a:lstStyle/>
              <a:p>
                <a:pPr>
                  <a:defRPr sz="800" b="1" i="0" u="none" strike="noStrike" baseline="0">
                    <a:solidFill>
                      <a:srgbClr val="000080"/>
                    </a:solidFill>
                    <a:latin typeface="Arial"/>
                    <a:ea typeface="Arial"/>
                    <a:cs typeface="Arial"/>
                  </a:defRPr>
                </a:pPr>
                <a:r>
                  <a:rPr lang="es-ES"/>
                  <a:t>Todas</a:t>
                </a:r>
              </a:p>
            </c:rich>
          </c:tx>
          <c:layout>
            <c:manualLayout>
              <c:xMode val="edge"/>
              <c:yMode val="edge"/>
              <c:x val="2.2503516174402251E-2"/>
              <c:y val="0.42413793103448277"/>
            </c:manualLayout>
          </c:layout>
          <c:overlay val="0"/>
          <c:spPr>
            <a:noFill/>
            <a:ln w="3175">
              <a:solidFill>
                <a:srgbClr val="000080"/>
              </a:solidFill>
              <a:prstDash val="solid"/>
            </a:ln>
          </c:spPr>
        </c:title>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44152576"/>
        <c:crosses val="autoZero"/>
        <c:crossBetween val="between"/>
      </c:valAx>
      <c:spPr>
        <a:solidFill>
          <a:srgbClr val="C0C0C0"/>
        </a:solidFill>
        <a:ln w="12700">
          <a:solidFill>
            <a:srgbClr val="808080"/>
          </a:solidFill>
          <a:prstDash val="solid"/>
        </a:ln>
      </c:spPr>
    </c:plotArea>
    <c:plotVisOnly val="1"/>
    <c:dispBlanksAs val="gap"/>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AUX!$H$44</c:f>
          <c:strCache>
            <c:ptCount val="1"/>
            <c:pt idx="0">
              <c:v>Distribución de las Subexplotaciones de Equino 
por Clasificación Zootécnica y C.A.  
(31 de diciembre de 1904)</c:v>
            </c:pt>
          </c:strCache>
        </c:strRef>
      </c:tx>
      <c:layout>
        <c:manualLayout>
          <c:xMode val="edge"/>
          <c:yMode val="edge"/>
          <c:x val="0.24149683670493569"/>
          <c:y val="9.1911764705882356E-3"/>
        </c:manualLayout>
      </c:layout>
      <c:overlay val="0"/>
      <c:spPr>
        <a:noFill/>
        <a:ln w="25400">
          <a:noFill/>
        </a:ln>
      </c:spPr>
      <c:txPr>
        <a:bodyPr/>
        <a:lstStyle/>
        <a:p>
          <a:pPr>
            <a:defRPr sz="1000" b="0" i="0" u="none" strike="noStrike" baseline="0">
              <a:solidFill>
                <a:srgbClr val="000000"/>
              </a:solidFill>
              <a:latin typeface="Arial"/>
              <a:ea typeface="Arial"/>
              <a:cs typeface="Arial"/>
            </a:defRPr>
          </a:pPr>
          <a:endParaRPr lang="es-ES"/>
        </a:p>
      </c:txPr>
    </c:title>
    <c:autoTitleDeleted val="0"/>
    <c:plotArea>
      <c:layout>
        <c:manualLayout>
          <c:layoutTarget val="inner"/>
          <c:xMode val="edge"/>
          <c:yMode val="edge"/>
          <c:x val="0.33219991430156326"/>
          <c:y val="0.41360331241680587"/>
          <c:w val="0.24376444223493551"/>
          <c:h val="0.39522094297605892"/>
        </c:manualLayout>
      </c:layout>
      <c:pieChart>
        <c:varyColors val="1"/>
        <c:ser>
          <c:idx val="0"/>
          <c:order val="0"/>
          <c:spPr>
            <a:solidFill>
              <a:srgbClr val="9999FF"/>
            </a:solidFill>
            <a:ln w="12700">
              <a:solidFill>
                <a:srgbClr val="000000"/>
              </a:solidFill>
              <a:prstDash val="solid"/>
            </a:ln>
          </c:spPr>
          <c:dPt>
            <c:idx val="0"/>
            <c:bubble3D val="0"/>
            <c:extLst>
              <c:ext xmlns:c16="http://schemas.microsoft.com/office/drawing/2014/chart" uri="{C3380CC4-5D6E-409C-BE32-E72D297353CC}">
                <c16:uniqueId val="{00000000-C255-4365-96B9-84FDDD4D7FDE}"/>
              </c:ext>
            </c:extLst>
          </c:dPt>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2-C255-4365-96B9-84FDDD4D7FDE}"/>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4-C255-4365-96B9-84FDDD4D7FDE}"/>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6-C255-4365-96B9-84FDDD4D7FDE}"/>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8-C255-4365-96B9-84FDDD4D7FDE}"/>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A-C255-4365-96B9-84FDDD4D7FDE}"/>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C-C255-4365-96B9-84FDDD4D7FDE}"/>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E-C255-4365-96B9-84FDDD4D7FDE}"/>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10-C255-4365-96B9-84FDDD4D7FDE}"/>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2-C255-4365-96B9-84FDDD4D7FDE}"/>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4-C255-4365-96B9-84FDDD4D7FDE}"/>
              </c:ext>
            </c:extLst>
          </c:dPt>
          <c:dPt>
            <c:idx val="11"/>
            <c:bubble3D val="0"/>
            <c:spPr>
              <a:solidFill>
                <a:srgbClr val="00FFFF"/>
              </a:solidFill>
              <a:ln w="12700">
                <a:solidFill>
                  <a:srgbClr val="000000"/>
                </a:solidFill>
                <a:prstDash val="solid"/>
              </a:ln>
            </c:spPr>
            <c:extLst>
              <c:ext xmlns:c16="http://schemas.microsoft.com/office/drawing/2014/chart" uri="{C3380CC4-5D6E-409C-BE32-E72D297353CC}">
                <c16:uniqueId val="{00000016-C255-4365-96B9-84FDDD4D7FDE}"/>
              </c:ext>
            </c:extLst>
          </c:dPt>
          <c:dPt>
            <c:idx val="12"/>
            <c:bubble3D val="0"/>
            <c:spPr>
              <a:solidFill>
                <a:srgbClr val="800080"/>
              </a:solidFill>
              <a:ln w="12700">
                <a:solidFill>
                  <a:srgbClr val="000000"/>
                </a:solidFill>
                <a:prstDash val="solid"/>
              </a:ln>
            </c:spPr>
            <c:extLst>
              <c:ext xmlns:c16="http://schemas.microsoft.com/office/drawing/2014/chart" uri="{C3380CC4-5D6E-409C-BE32-E72D297353CC}">
                <c16:uniqueId val="{00000018-C255-4365-96B9-84FDDD4D7FDE}"/>
              </c:ext>
            </c:extLst>
          </c:dPt>
          <c:dLbls>
            <c:numFmt formatCode="0.0%" sourceLinked="0"/>
            <c:spPr>
              <a:noFill/>
              <a:ln w="25400">
                <a:noFill/>
              </a:ln>
            </c:spPr>
            <c:txPr>
              <a:bodyPr/>
              <a:lstStyle/>
              <a:p>
                <a:pPr>
                  <a:defRPr sz="1000" b="0" i="0" u="none" strike="noStrike" baseline="0">
                    <a:solidFill>
                      <a:srgbClr val="000000"/>
                    </a:solidFill>
                    <a:latin typeface="Arial"/>
                    <a:ea typeface="Arial"/>
                    <a:cs typeface="Arial"/>
                  </a:defRPr>
                </a:pPr>
                <a:endParaRPr lang="es-ES"/>
              </a:p>
            </c:txPr>
            <c:dLblPos val="bestFit"/>
            <c:showLegendKey val="1"/>
            <c:showVal val="0"/>
            <c:showCatName val="0"/>
            <c:showSerName val="0"/>
            <c:showPercent val="1"/>
            <c:showBubbleSize val="0"/>
            <c:showLeaderLines val="1"/>
            <c:extLst>
              <c:ext xmlns:c15="http://schemas.microsoft.com/office/drawing/2012/chart" uri="{CE6537A1-D6FC-4f65-9D91-7224C49458BB}"/>
            </c:extLst>
          </c:dLbls>
          <c:cat>
            <c:strRef>
              <c:f>'10.2- EQUINO (SUBEXPLOT)'!$B$374:$B$386</c:f>
              <c:strCache>
                <c:ptCount val="13"/>
                <c:pt idx="0">
                  <c:v>Cebo o Cebadero</c:v>
                </c:pt>
                <c:pt idx="1">
                  <c:v>Reproducción para Producción de Carne</c:v>
                </c:pt>
                <c:pt idx="2">
                  <c:v>Selección</c:v>
                </c:pt>
                <c:pt idx="3">
                  <c:v>Explotaciones de Cría</c:v>
                </c:pt>
                <c:pt idx="4">
                  <c:v>Establecimientos para la práctica Ecuestre</c:v>
                </c:pt>
                <c:pt idx="5">
                  <c:v>Sin Ánimo de Lucro</c:v>
                </c:pt>
                <c:pt idx="6">
                  <c:v>Uso Particular</c:v>
                </c:pt>
                <c:pt idx="7">
                  <c:v>Otras Clasificaciones</c:v>
                </c:pt>
                <c:pt idx="8">
                  <c:v>Reproducción para silla</c:v>
                </c:pt>
                <c:pt idx="9">
                  <c:v>Explotaciones no comerciales</c:v>
                </c:pt>
                <c:pt idx="10">
                  <c:v>Explotaciones de caballos silvestres o semisilvestres</c:v>
                </c:pt>
                <c:pt idx="11">
                  <c:v>Depósitos o paradas de sementales equinos y centros de reproducción</c:v>
                </c:pt>
                <c:pt idx="12">
                  <c:v>Reproducción para Producción Mixta</c:v>
                </c:pt>
              </c:strCache>
            </c:strRef>
          </c:cat>
          <c:val>
            <c:numRef>
              <c:f>'10.2- EQUINO (SUBEXPLOT)'!$C$374:$C$386</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19-C255-4365-96B9-84FDDD4D7FDE}"/>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77097588991852206"/>
          <c:y val="1.8382352941176471E-2"/>
          <c:w val="0.22335624713577473"/>
          <c:h val="0.95588312490350469"/>
        </c:manualLayout>
      </c:layout>
      <c:overlay val="0"/>
      <c:spPr>
        <a:solidFill>
          <a:srgbClr val="FFFFFF"/>
        </a:solidFill>
        <a:ln w="3175">
          <a:solidFill>
            <a:srgbClr val="000000"/>
          </a:solidFill>
          <a:prstDash val="solid"/>
        </a:ln>
      </c:spPr>
      <c:txPr>
        <a:bodyPr/>
        <a:lstStyle/>
        <a:p>
          <a:pPr>
            <a:defRPr sz="630" b="0" i="0" u="none" strike="noStrike" baseline="0">
              <a:solidFill>
                <a:srgbClr val="000000"/>
              </a:solidFill>
              <a:latin typeface="Arial"/>
              <a:ea typeface="Arial"/>
              <a:cs typeface="Arial"/>
            </a:defRPr>
          </a:pPr>
          <a:endParaRPr lang="es-ES"/>
        </a:p>
      </c:txPr>
    </c:legend>
    <c:plotVisOnly val="0"/>
    <c:dispBlanksAs val="zero"/>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ES"/>
              <a:t>Nº de Subexplotaciones de Equino por Clasificación Zootécnica y C.A.</a:t>
            </a:r>
          </a:p>
        </c:rich>
      </c:tx>
      <c:layout>
        <c:manualLayout>
          <c:xMode val="edge"/>
          <c:yMode val="edge"/>
          <c:x val="0.15130434782608695"/>
          <c:y val="3.873239436619718E-2"/>
        </c:manualLayout>
      </c:layout>
      <c:overlay val="0"/>
      <c:spPr>
        <a:noFill/>
        <a:ln w="25400">
          <a:noFill/>
        </a:ln>
      </c:spPr>
    </c:title>
    <c:autoTitleDeleted val="0"/>
    <c:plotArea>
      <c:layout>
        <c:manualLayout>
          <c:layoutTarget val="inner"/>
          <c:xMode val="edge"/>
          <c:yMode val="edge"/>
          <c:x val="0.12869565217391304"/>
          <c:y val="0.20422535211267606"/>
          <c:w val="0.70608695652173914"/>
          <c:h val="0.57042253521126762"/>
        </c:manualLayout>
      </c:layout>
      <c:lineChart>
        <c:grouping val="standard"/>
        <c:varyColors val="0"/>
        <c:ser>
          <c:idx val="0"/>
          <c:order val="0"/>
          <c:tx>
            <c:v>Reproducción para silla</c:v>
          </c:tx>
          <c:spPr>
            <a:ln w="12700">
              <a:solidFill>
                <a:srgbClr val="000080"/>
              </a:solidFill>
              <a:prstDash val="solid"/>
            </a:ln>
          </c:spPr>
          <c:marker>
            <c:symbol val="diamond"/>
            <c:size val="5"/>
            <c:spPr>
              <a:solidFill>
                <a:srgbClr val="000080"/>
              </a:solidFill>
              <a:ln>
                <a:solidFill>
                  <a:srgbClr val="000080"/>
                </a:solidFill>
                <a:prstDash val="solid"/>
              </a:ln>
            </c:spPr>
          </c:marker>
          <c:cat>
            <c:numRef>
              <c:f>'10.2- EQUINO (SUBEXPLOT)'!$C$17:$M$17</c:f>
              <c:numCache>
                <c:formatCode>[$-C0A]d\-mmm\-yy;@</c:formatCode>
                <c:ptCount val="11"/>
                <c:pt idx="0">
                  <c:v>0</c:v>
                </c:pt>
                <c:pt idx="1">
                  <c:v>38899</c:v>
                </c:pt>
                <c:pt idx="2">
                  <c:v>39083</c:v>
                </c:pt>
                <c:pt idx="3">
                  <c:v>39264</c:v>
                </c:pt>
                <c:pt idx="4">
                  <c:v>39448</c:v>
                </c:pt>
                <c:pt idx="5">
                  <c:v>39630</c:v>
                </c:pt>
                <c:pt idx="6">
                  <c:v>39814</c:v>
                </c:pt>
                <c:pt idx="7">
                  <c:v>39995</c:v>
                </c:pt>
                <c:pt idx="8">
                  <c:v>40179</c:v>
                </c:pt>
                <c:pt idx="9">
                  <c:v>40360</c:v>
                </c:pt>
                <c:pt idx="10">
                  <c:v>40544</c:v>
                </c:pt>
              </c:numCache>
            </c:numRef>
          </c:cat>
          <c:val>
            <c:numRef>
              <c:f>'10.2- EQUINO (SUBEXPLOT)'!$C$37:$M$37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0-2307-4522-B711-A250F6C01B79}"/>
            </c:ext>
          </c:extLst>
        </c:ser>
        <c:dLbls>
          <c:showLegendKey val="0"/>
          <c:showVal val="0"/>
          <c:showCatName val="0"/>
          <c:showSerName val="0"/>
          <c:showPercent val="0"/>
          <c:showBubbleSize val="0"/>
        </c:dLbls>
        <c:marker val="1"/>
        <c:smooth val="0"/>
        <c:axId val="144153088"/>
        <c:axId val="144494528"/>
      </c:lineChart>
      <c:lineChart>
        <c:grouping val="standard"/>
        <c:varyColors val="0"/>
        <c:ser>
          <c:idx val="1"/>
          <c:order val="1"/>
          <c:tx>
            <c:v>Explotaciones no comerciales</c:v>
          </c:tx>
          <c:spPr>
            <a:ln w="12700">
              <a:solidFill>
                <a:srgbClr val="FF00FF"/>
              </a:solidFill>
              <a:prstDash val="solid"/>
            </a:ln>
          </c:spPr>
          <c:marker>
            <c:symbol val="square"/>
            <c:size val="5"/>
            <c:spPr>
              <a:solidFill>
                <a:srgbClr val="FF00FF"/>
              </a:solidFill>
              <a:ln>
                <a:solidFill>
                  <a:srgbClr val="FF00FF"/>
                </a:solidFill>
                <a:prstDash val="solid"/>
              </a:ln>
            </c:spPr>
          </c:marker>
          <c:cat>
            <c:numRef>
              <c:f>'10.2- EQUINO (SUBEXPLOT)'!$C$17:$M$17</c:f>
              <c:numCache>
                <c:formatCode>[$-C0A]d\-mmm\-yy;@</c:formatCode>
                <c:ptCount val="11"/>
                <c:pt idx="0">
                  <c:v>0</c:v>
                </c:pt>
                <c:pt idx="1">
                  <c:v>38899</c:v>
                </c:pt>
                <c:pt idx="2">
                  <c:v>39083</c:v>
                </c:pt>
                <c:pt idx="3">
                  <c:v>39264</c:v>
                </c:pt>
                <c:pt idx="4">
                  <c:v>39448</c:v>
                </c:pt>
                <c:pt idx="5">
                  <c:v>39630</c:v>
                </c:pt>
                <c:pt idx="6">
                  <c:v>39814</c:v>
                </c:pt>
                <c:pt idx="7">
                  <c:v>39995</c:v>
                </c:pt>
                <c:pt idx="8">
                  <c:v>40179</c:v>
                </c:pt>
                <c:pt idx="9">
                  <c:v>40360</c:v>
                </c:pt>
                <c:pt idx="10">
                  <c:v>40544</c:v>
                </c:pt>
              </c:numCache>
            </c:numRef>
          </c:cat>
          <c:val>
            <c:numRef>
              <c:f>'10.2- EQUINO (SUBEXPLOT)'!$C$39:$M$39</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1-2307-4522-B711-A250F6C01B79}"/>
            </c:ext>
          </c:extLst>
        </c:ser>
        <c:dLbls>
          <c:showLegendKey val="0"/>
          <c:showVal val="0"/>
          <c:showCatName val="0"/>
          <c:showSerName val="0"/>
          <c:showPercent val="0"/>
          <c:showBubbleSize val="0"/>
        </c:dLbls>
        <c:marker val="1"/>
        <c:smooth val="0"/>
        <c:axId val="144154112"/>
        <c:axId val="144495104"/>
      </c:lineChart>
      <c:catAx>
        <c:axId val="144153088"/>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Fecha</a:t>
                </a:r>
              </a:p>
            </c:rich>
          </c:tx>
          <c:layout>
            <c:manualLayout>
              <c:xMode val="edge"/>
              <c:yMode val="edge"/>
              <c:x val="0.45043478260869563"/>
              <c:y val="0.9119718309859155"/>
            </c:manualLayout>
          </c:layout>
          <c:overlay val="0"/>
          <c:spPr>
            <a:noFill/>
            <a:ln w="25400">
              <a:noFill/>
            </a:ln>
          </c:spPr>
        </c:title>
        <c:numFmt formatCode="dd\-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44494528"/>
        <c:crosses val="autoZero"/>
        <c:auto val="0"/>
        <c:lblAlgn val="ctr"/>
        <c:lblOffset val="100"/>
        <c:tickLblSkip val="1"/>
        <c:tickMarkSkip val="1"/>
        <c:noMultiLvlLbl val="0"/>
      </c:catAx>
      <c:valAx>
        <c:axId val="144494528"/>
        <c:scaling>
          <c:orientation val="minMax"/>
        </c:scaling>
        <c:delete val="0"/>
        <c:axPos val="l"/>
        <c:majorGridlines>
          <c:spPr>
            <a:ln w="3175">
              <a:solidFill>
                <a:srgbClr val="000000"/>
              </a:solidFill>
              <a:prstDash val="solid"/>
            </a:ln>
          </c:spPr>
        </c:majorGridlines>
        <c:title>
          <c:tx>
            <c:rich>
              <a:bodyPr/>
              <a:lstStyle/>
              <a:p>
                <a:pPr>
                  <a:defRPr sz="900" b="1" i="0" u="none" strike="noStrike" baseline="0">
                    <a:solidFill>
                      <a:srgbClr val="000080"/>
                    </a:solidFill>
                    <a:latin typeface="Arial"/>
                    <a:ea typeface="Arial"/>
                    <a:cs typeface="Arial"/>
                  </a:defRPr>
                </a:pPr>
                <a:r>
                  <a:rPr lang="es-ES"/>
                  <a:t>Reproducción para silla</a:t>
                </a:r>
              </a:p>
            </c:rich>
          </c:tx>
          <c:layout>
            <c:manualLayout>
              <c:xMode val="edge"/>
              <c:yMode val="edge"/>
              <c:x val="8.6956521739130436E-3"/>
              <c:y val="0.28521126760563381"/>
            </c:manualLayout>
          </c:layout>
          <c:overlay val="0"/>
          <c:spPr>
            <a:noFill/>
            <a:ln w="3175">
              <a:solidFill>
                <a:srgbClr val="000080"/>
              </a:solidFill>
              <a:prstDash val="solid"/>
            </a:ln>
          </c:spPr>
        </c:title>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44153088"/>
        <c:crosses val="autoZero"/>
        <c:crossBetween val="between"/>
      </c:valAx>
      <c:dateAx>
        <c:axId val="144154112"/>
        <c:scaling>
          <c:orientation val="minMax"/>
        </c:scaling>
        <c:delete val="1"/>
        <c:axPos val="b"/>
        <c:numFmt formatCode="[$-C0A]d\-mmm\-yy;@" sourceLinked="1"/>
        <c:majorTickMark val="out"/>
        <c:minorTickMark val="none"/>
        <c:tickLblPos val="nextTo"/>
        <c:crossAx val="144495104"/>
        <c:crosses val="autoZero"/>
        <c:auto val="1"/>
        <c:lblOffset val="100"/>
        <c:baseTimeUnit val="months"/>
      </c:dateAx>
      <c:valAx>
        <c:axId val="144495104"/>
        <c:scaling>
          <c:orientation val="minMax"/>
        </c:scaling>
        <c:delete val="0"/>
        <c:axPos val="r"/>
        <c:title>
          <c:tx>
            <c:rich>
              <a:bodyPr/>
              <a:lstStyle/>
              <a:p>
                <a:pPr>
                  <a:defRPr sz="900" b="1" i="0" u="none" strike="noStrike" baseline="0">
                    <a:solidFill>
                      <a:srgbClr val="FF00FF"/>
                    </a:solidFill>
                    <a:latin typeface="Arial"/>
                    <a:ea typeface="Arial"/>
                    <a:cs typeface="Arial"/>
                  </a:defRPr>
                </a:pPr>
                <a:r>
                  <a:rPr lang="es-ES"/>
                  <a:t>Explotaciones no comerciales</a:t>
                </a:r>
              </a:p>
            </c:rich>
          </c:tx>
          <c:layout>
            <c:manualLayout>
              <c:xMode val="edge"/>
              <c:yMode val="edge"/>
              <c:x val="0.93736574232568759"/>
              <c:y val="0.20936823037965324"/>
            </c:manualLayout>
          </c:layout>
          <c:overlay val="0"/>
          <c:spPr>
            <a:noFill/>
            <a:ln w="3175">
              <a:solidFill>
                <a:srgbClr val="FF00FF"/>
              </a:solidFill>
              <a:prstDash val="solid"/>
            </a:ln>
          </c:spPr>
        </c:title>
        <c:numFmt formatCode="#,##0"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44154112"/>
        <c:crosses val="max"/>
        <c:crossBetween val="between"/>
      </c:valAx>
      <c:spPr>
        <a:solidFill>
          <a:srgbClr val="C0C0C0"/>
        </a:solidFill>
        <a:ln w="12700">
          <a:solidFill>
            <a:srgbClr val="808080"/>
          </a:solidFill>
          <a:prstDash val="solid"/>
        </a:ln>
      </c:spPr>
    </c:plotArea>
    <c:plotVisOnly val="1"/>
    <c:dispBlanksAs val="gap"/>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ES"/>
              <a:t>Nº de Subexplotaciones de Equino por Clasificación Zootécnica y C.A.</a:t>
            </a:r>
          </a:p>
        </c:rich>
      </c:tx>
      <c:layout>
        <c:manualLayout>
          <c:xMode val="edge"/>
          <c:yMode val="edge"/>
          <c:x val="0.16275167785234898"/>
          <c:y val="3.873239436619718E-2"/>
        </c:manualLayout>
      </c:layout>
      <c:overlay val="0"/>
      <c:spPr>
        <a:noFill/>
        <a:ln w="25400">
          <a:noFill/>
        </a:ln>
      </c:spPr>
    </c:title>
    <c:autoTitleDeleted val="0"/>
    <c:plotArea>
      <c:layout>
        <c:manualLayout>
          <c:layoutTarget val="inner"/>
          <c:xMode val="edge"/>
          <c:yMode val="edge"/>
          <c:x val="0.15771812080536912"/>
          <c:y val="0.20422535211267606"/>
          <c:w val="0.73154362416107388"/>
          <c:h val="0.55633802816901412"/>
        </c:manualLayout>
      </c:layout>
      <c:lineChart>
        <c:grouping val="standard"/>
        <c:varyColors val="0"/>
        <c:ser>
          <c:idx val="0"/>
          <c:order val="0"/>
          <c:tx>
            <c:v>Explotaciones de caballos silvestres o semisilvestres</c:v>
          </c:tx>
          <c:spPr>
            <a:ln w="12700">
              <a:solidFill>
                <a:srgbClr val="000080"/>
              </a:solidFill>
              <a:prstDash val="solid"/>
            </a:ln>
          </c:spPr>
          <c:marker>
            <c:symbol val="diamond"/>
            <c:size val="5"/>
            <c:spPr>
              <a:solidFill>
                <a:srgbClr val="000080"/>
              </a:solidFill>
              <a:ln>
                <a:solidFill>
                  <a:srgbClr val="000080"/>
                </a:solidFill>
                <a:prstDash val="solid"/>
              </a:ln>
            </c:spPr>
          </c:marker>
          <c:cat>
            <c:numRef>
              <c:f>'10.2- EQUINO (SUBEXPLOT)'!$C$17:$M$17</c:f>
              <c:numCache>
                <c:formatCode>[$-C0A]d\-mmm\-yy;@</c:formatCode>
                <c:ptCount val="11"/>
                <c:pt idx="0">
                  <c:v>0</c:v>
                </c:pt>
                <c:pt idx="1">
                  <c:v>38899</c:v>
                </c:pt>
                <c:pt idx="2">
                  <c:v>39083</c:v>
                </c:pt>
                <c:pt idx="3">
                  <c:v>39264</c:v>
                </c:pt>
                <c:pt idx="4">
                  <c:v>39448</c:v>
                </c:pt>
                <c:pt idx="5">
                  <c:v>39630</c:v>
                </c:pt>
                <c:pt idx="6">
                  <c:v>39814</c:v>
                </c:pt>
                <c:pt idx="7">
                  <c:v>39995</c:v>
                </c:pt>
                <c:pt idx="8">
                  <c:v>40179</c:v>
                </c:pt>
                <c:pt idx="9">
                  <c:v>40360</c:v>
                </c:pt>
                <c:pt idx="10">
                  <c:v>40544</c:v>
                </c:pt>
              </c:numCache>
            </c:numRef>
          </c:cat>
          <c:val>
            <c:numRef>
              <c:f>'10.2- EQUINO (SUBEXPLOT)'!$C$41:$M$41</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0-DBB7-417E-A345-E288B36DD016}"/>
            </c:ext>
          </c:extLst>
        </c:ser>
        <c:dLbls>
          <c:showLegendKey val="0"/>
          <c:showVal val="0"/>
          <c:showCatName val="0"/>
          <c:showSerName val="0"/>
          <c:showPercent val="0"/>
          <c:showBubbleSize val="0"/>
        </c:dLbls>
        <c:marker val="1"/>
        <c:smooth val="0"/>
        <c:axId val="156950528"/>
        <c:axId val="144496832"/>
      </c:lineChart>
      <c:lineChart>
        <c:grouping val="standard"/>
        <c:varyColors val="0"/>
        <c:ser>
          <c:idx val="1"/>
          <c:order val="1"/>
          <c:tx>
            <c:v>Depósitos o paradas de sementales y centros de reproducción</c:v>
          </c:tx>
          <c:spPr>
            <a:ln w="12700">
              <a:solidFill>
                <a:srgbClr val="FF00FF"/>
              </a:solidFill>
              <a:prstDash val="solid"/>
            </a:ln>
          </c:spPr>
          <c:marker>
            <c:symbol val="square"/>
            <c:size val="5"/>
            <c:spPr>
              <a:solidFill>
                <a:srgbClr val="FF00FF"/>
              </a:solidFill>
              <a:ln>
                <a:solidFill>
                  <a:srgbClr val="FF00FF"/>
                </a:solidFill>
                <a:prstDash val="solid"/>
              </a:ln>
            </c:spPr>
          </c:marker>
          <c:cat>
            <c:numRef>
              <c:f>'10.2- EQUINO (SUBEXPLOT)'!$C$17:$M$17</c:f>
              <c:numCache>
                <c:formatCode>[$-C0A]d\-mmm\-yy;@</c:formatCode>
                <c:ptCount val="11"/>
                <c:pt idx="0">
                  <c:v>0</c:v>
                </c:pt>
                <c:pt idx="1">
                  <c:v>38899</c:v>
                </c:pt>
                <c:pt idx="2">
                  <c:v>39083</c:v>
                </c:pt>
                <c:pt idx="3">
                  <c:v>39264</c:v>
                </c:pt>
                <c:pt idx="4">
                  <c:v>39448</c:v>
                </c:pt>
                <c:pt idx="5">
                  <c:v>39630</c:v>
                </c:pt>
                <c:pt idx="6">
                  <c:v>39814</c:v>
                </c:pt>
                <c:pt idx="7">
                  <c:v>39995</c:v>
                </c:pt>
                <c:pt idx="8">
                  <c:v>40179</c:v>
                </c:pt>
                <c:pt idx="9">
                  <c:v>40360</c:v>
                </c:pt>
                <c:pt idx="10">
                  <c:v>40544</c:v>
                </c:pt>
              </c:numCache>
            </c:numRef>
          </c:cat>
          <c:val>
            <c:numRef>
              <c:f>'10.2- EQUINO (SUBEXPLOT)'!$C$43:$M$43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1-DBB7-417E-A345-E288B36DD016}"/>
            </c:ext>
          </c:extLst>
        </c:ser>
        <c:dLbls>
          <c:showLegendKey val="0"/>
          <c:showVal val="0"/>
          <c:showCatName val="0"/>
          <c:showSerName val="0"/>
          <c:showPercent val="0"/>
          <c:showBubbleSize val="0"/>
        </c:dLbls>
        <c:marker val="1"/>
        <c:smooth val="0"/>
        <c:axId val="156951552"/>
        <c:axId val="144497408"/>
      </c:lineChart>
      <c:catAx>
        <c:axId val="156950528"/>
        <c:scaling>
          <c:orientation val="minMax"/>
        </c:scaling>
        <c:delete val="0"/>
        <c:axPos val="b"/>
        <c:title>
          <c:tx>
            <c:rich>
              <a:bodyPr/>
              <a:lstStyle/>
              <a:p>
                <a:pPr>
                  <a:defRPr sz="900" b="0" i="0" u="none" strike="noStrike" baseline="0">
                    <a:solidFill>
                      <a:srgbClr val="000000"/>
                    </a:solidFill>
                    <a:latin typeface="Arial"/>
                    <a:ea typeface="Arial"/>
                    <a:cs typeface="Arial"/>
                  </a:defRPr>
                </a:pPr>
                <a:r>
                  <a:rPr lang="es-ES"/>
                  <a:t>Fecha</a:t>
                </a:r>
              </a:p>
            </c:rich>
          </c:tx>
          <c:layout>
            <c:manualLayout>
              <c:xMode val="edge"/>
              <c:yMode val="edge"/>
              <c:x val="0.49161073825503354"/>
              <c:y val="0.90845070422535212"/>
            </c:manualLayout>
          </c:layout>
          <c:overlay val="0"/>
          <c:spPr>
            <a:noFill/>
            <a:ln w="25400">
              <a:noFill/>
            </a:ln>
          </c:spPr>
        </c:title>
        <c:numFmt formatCode="dd\-mmm\-yy"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s-ES"/>
          </a:p>
        </c:txPr>
        <c:crossAx val="144496832"/>
        <c:crosses val="autoZero"/>
        <c:auto val="0"/>
        <c:lblAlgn val="ctr"/>
        <c:lblOffset val="100"/>
        <c:tickLblSkip val="1"/>
        <c:tickMarkSkip val="1"/>
        <c:noMultiLvlLbl val="0"/>
      </c:catAx>
      <c:valAx>
        <c:axId val="144496832"/>
        <c:scaling>
          <c:orientation val="minMax"/>
        </c:scaling>
        <c:delete val="0"/>
        <c:axPos val="l"/>
        <c:majorGridlines>
          <c:spPr>
            <a:ln w="3175">
              <a:solidFill>
                <a:srgbClr val="000000"/>
              </a:solidFill>
              <a:prstDash val="solid"/>
            </a:ln>
          </c:spPr>
        </c:majorGridlines>
        <c:title>
          <c:tx>
            <c:rich>
              <a:bodyPr/>
              <a:lstStyle/>
              <a:p>
                <a:pPr>
                  <a:defRPr sz="900" b="1" i="0" u="none" strike="noStrike" baseline="0">
                    <a:solidFill>
                      <a:srgbClr val="0000FF"/>
                    </a:solidFill>
                    <a:latin typeface="Arial"/>
                    <a:ea typeface="Arial"/>
                    <a:cs typeface="Arial"/>
                  </a:defRPr>
                </a:pPr>
                <a:r>
                  <a:rPr lang="es-ES"/>
                  <a:t>Explotaciones de caballos silvestres o semisilvestres</a:t>
                </a:r>
              </a:p>
            </c:rich>
          </c:tx>
          <c:layout>
            <c:manualLayout>
              <c:xMode val="edge"/>
              <c:yMode val="edge"/>
              <c:x val="2.4003065053109972E-2"/>
              <c:y val="0.13902998040737866"/>
            </c:manualLayout>
          </c:layout>
          <c:overlay val="0"/>
          <c:spPr>
            <a:noFill/>
            <a:ln w="3175">
              <a:solidFill>
                <a:srgbClr val="000080"/>
              </a:solidFill>
              <a:prstDash val="solid"/>
            </a:ln>
          </c:spPr>
        </c:title>
        <c:numFmt formatCode="#,##0"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s-ES"/>
          </a:p>
        </c:txPr>
        <c:crossAx val="156950528"/>
        <c:crosses val="autoZero"/>
        <c:crossBetween val="between"/>
      </c:valAx>
      <c:dateAx>
        <c:axId val="156951552"/>
        <c:scaling>
          <c:orientation val="minMax"/>
        </c:scaling>
        <c:delete val="1"/>
        <c:axPos val="b"/>
        <c:numFmt formatCode="[$-C0A]d\-mmm\-yy;@" sourceLinked="1"/>
        <c:majorTickMark val="out"/>
        <c:minorTickMark val="none"/>
        <c:tickLblPos val="nextTo"/>
        <c:crossAx val="144497408"/>
        <c:crosses val="autoZero"/>
        <c:auto val="1"/>
        <c:lblOffset val="100"/>
        <c:baseTimeUnit val="months"/>
      </c:dateAx>
      <c:valAx>
        <c:axId val="144497408"/>
        <c:scaling>
          <c:orientation val="minMax"/>
        </c:scaling>
        <c:delete val="0"/>
        <c:axPos val="r"/>
        <c:title>
          <c:tx>
            <c:rich>
              <a:bodyPr/>
              <a:lstStyle/>
              <a:p>
                <a:pPr>
                  <a:defRPr sz="800" b="1" i="0" u="none" strike="noStrike" baseline="0">
                    <a:solidFill>
                      <a:srgbClr val="FF00FF"/>
                    </a:solidFill>
                    <a:latin typeface="Arial"/>
                    <a:ea typeface="Arial"/>
                    <a:cs typeface="Arial"/>
                  </a:defRPr>
                </a:pPr>
                <a:r>
                  <a:rPr lang="es-ES"/>
                  <a:t>Depósitos o paradas de sementales y centros de reproducción</a:t>
                </a:r>
              </a:p>
            </c:rich>
          </c:tx>
          <c:layout>
            <c:manualLayout>
              <c:xMode val="edge"/>
              <c:yMode val="edge"/>
              <c:x val="0.94547851820535855"/>
              <c:y val="0.15762411740785923"/>
            </c:manualLayout>
          </c:layout>
          <c:overlay val="0"/>
          <c:spPr>
            <a:noFill/>
            <a:ln w="3175">
              <a:solidFill>
                <a:srgbClr val="FF00FF"/>
              </a:solidFill>
              <a:prstDash val="solid"/>
            </a:ln>
          </c:spPr>
        </c:title>
        <c:numFmt formatCode="#,##0" sourceLinked="1"/>
        <c:majorTickMark val="cross"/>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s-ES"/>
          </a:p>
        </c:txPr>
        <c:crossAx val="156951552"/>
        <c:crosses val="max"/>
        <c:crossBetween val="between"/>
      </c:valAx>
      <c:spPr>
        <a:solidFill>
          <a:srgbClr val="C0C0C0"/>
        </a:solidFill>
        <a:ln w="12700">
          <a:solidFill>
            <a:srgbClr val="808080"/>
          </a:solidFill>
          <a:prstDash val="solid"/>
        </a:ln>
      </c:spPr>
    </c:plotArea>
    <c:plotVisOnly val="1"/>
    <c:dispBlanksAs val="gap"/>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9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ES"/>
              <a:t>Nº de Subexplotaciones de Equino por Clasificación Zootécnica y C.A.</a:t>
            </a:r>
          </a:p>
        </c:rich>
      </c:tx>
      <c:layout>
        <c:manualLayout>
          <c:xMode val="edge"/>
          <c:yMode val="edge"/>
          <c:x val="0.20420442533092006"/>
          <c:y val="4.2553191489361701E-2"/>
        </c:manualLayout>
      </c:layout>
      <c:overlay val="0"/>
      <c:spPr>
        <a:noFill/>
        <a:ln w="25400">
          <a:noFill/>
        </a:ln>
      </c:spPr>
    </c:title>
    <c:autoTitleDeleted val="0"/>
    <c:plotArea>
      <c:layout>
        <c:manualLayout>
          <c:layoutTarget val="inner"/>
          <c:xMode val="edge"/>
          <c:yMode val="edge"/>
          <c:x val="0.23772102161100198"/>
          <c:y val="0.24255369546562389"/>
          <c:w val="0.65225933202357567"/>
          <c:h val="0.40000083111874818"/>
        </c:manualLayout>
      </c:layout>
      <c:lineChart>
        <c:grouping val="standard"/>
        <c:varyColors val="0"/>
        <c:ser>
          <c:idx val="0"/>
          <c:order val="0"/>
          <c:tx>
            <c:v>Mixta</c:v>
          </c:tx>
          <c:spPr>
            <a:ln w="12700">
              <a:solidFill>
                <a:srgbClr val="000080"/>
              </a:solidFill>
              <a:prstDash val="solid"/>
            </a:ln>
          </c:spPr>
          <c:marker>
            <c:symbol val="diamond"/>
            <c:size val="5"/>
            <c:spPr>
              <a:solidFill>
                <a:srgbClr val="000080"/>
              </a:solidFill>
              <a:ln>
                <a:solidFill>
                  <a:srgbClr val="000080"/>
                </a:solidFill>
                <a:prstDash val="solid"/>
              </a:ln>
            </c:spPr>
          </c:marker>
          <c:cat>
            <c:numRef>
              <c:f>'10.2- EQUINO (SUBEXPLOT)'!$C$17:$M$17</c:f>
              <c:numCache>
                <c:formatCode>[$-C0A]d\-mmm\-yy;@</c:formatCode>
                <c:ptCount val="11"/>
                <c:pt idx="0">
                  <c:v>0</c:v>
                </c:pt>
                <c:pt idx="1">
                  <c:v>38899</c:v>
                </c:pt>
                <c:pt idx="2">
                  <c:v>39083</c:v>
                </c:pt>
                <c:pt idx="3">
                  <c:v>39264</c:v>
                </c:pt>
                <c:pt idx="4">
                  <c:v>39448</c:v>
                </c:pt>
                <c:pt idx="5">
                  <c:v>39630</c:v>
                </c:pt>
                <c:pt idx="6">
                  <c:v>39814</c:v>
                </c:pt>
                <c:pt idx="7">
                  <c:v>39995</c:v>
                </c:pt>
                <c:pt idx="8">
                  <c:v>40179</c:v>
                </c:pt>
                <c:pt idx="9">
                  <c:v>40360</c:v>
                </c:pt>
                <c:pt idx="10">
                  <c:v>40544</c:v>
                </c:pt>
              </c:numCache>
            </c:numRef>
          </c:cat>
          <c:val>
            <c:numRef>
              <c:f>'10.2- EQUINO (SUBEXPLOT)'!$C$23:$M$23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0-AC4E-4BE3-874F-32F53C8A9421}"/>
            </c:ext>
          </c:extLst>
        </c:ser>
        <c:dLbls>
          <c:showLegendKey val="0"/>
          <c:showVal val="0"/>
          <c:showCatName val="0"/>
          <c:showSerName val="0"/>
          <c:showPercent val="0"/>
          <c:showBubbleSize val="0"/>
        </c:dLbls>
        <c:marker val="1"/>
        <c:smooth val="0"/>
        <c:axId val="156952064"/>
        <c:axId val="156754496"/>
      </c:lineChart>
      <c:catAx>
        <c:axId val="156952064"/>
        <c:scaling>
          <c:orientation val="minMax"/>
        </c:scaling>
        <c:delete val="0"/>
        <c:axPos val="b"/>
        <c:title>
          <c:tx>
            <c:rich>
              <a:bodyPr/>
              <a:lstStyle/>
              <a:p>
                <a:pPr>
                  <a:defRPr sz="900" b="0" i="0" u="none" strike="noStrike" baseline="0">
                    <a:solidFill>
                      <a:srgbClr val="000000"/>
                    </a:solidFill>
                    <a:latin typeface="Arial"/>
                    <a:ea typeface="Arial"/>
                    <a:cs typeface="Arial"/>
                  </a:defRPr>
                </a:pPr>
                <a:r>
                  <a:rPr lang="es-ES"/>
                  <a:t>Fecha</a:t>
                </a:r>
              </a:p>
            </c:rich>
          </c:tx>
          <c:layout>
            <c:manualLayout>
              <c:xMode val="edge"/>
              <c:yMode val="edge"/>
              <c:x val="0.52652259332023577"/>
              <c:y val="0.88936348913832575"/>
            </c:manualLayout>
          </c:layout>
          <c:overlay val="0"/>
          <c:spPr>
            <a:noFill/>
            <a:ln w="25400">
              <a:noFill/>
            </a:ln>
          </c:spPr>
        </c:title>
        <c:numFmt formatCode="dd\-mmm\-yy"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s-ES"/>
          </a:p>
        </c:txPr>
        <c:crossAx val="156754496"/>
        <c:crosses val="autoZero"/>
        <c:auto val="0"/>
        <c:lblAlgn val="ctr"/>
        <c:lblOffset val="100"/>
        <c:tickLblSkip val="1"/>
        <c:tickMarkSkip val="1"/>
        <c:noMultiLvlLbl val="0"/>
      </c:catAx>
      <c:valAx>
        <c:axId val="156754496"/>
        <c:scaling>
          <c:orientation val="minMax"/>
        </c:scaling>
        <c:delete val="0"/>
        <c:axPos val="l"/>
        <c:majorGridlines>
          <c:spPr>
            <a:ln w="3175">
              <a:solidFill>
                <a:srgbClr val="000000"/>
              </a:solidFill>
              <a:prstDash val="solid"/>
            </a:ln>
          </c:spPr>
        </c:majorGridlines>
        <c:title>
          <c:tx>
            <c:rich>
              <a:bodyPr/>
              <a:lstStyle/>
              <a:p>
                <a:pPr>
                  <a:defRPr sz="900" b="1" i="0" u="none" strike="noStrike" baseline="0">
                    <a:solidFill>
                      <a:srgbClr val="0000FF"/>
                    </a:solidFill>
                    <a:latin typeface="Arial"/>
                    <a:ea typeface="Arial"/>
                    <a:cs typeface="Arial"/>
                  </a:defRPr>
                </a:pPr>
                <a:r>
                  <a:rPr lang="es-ES"/>
                  <a:t>Reproducción para producción Mixta</a:t>
                </a:r>
              </a:p>
            </c:rich>
          </c:tx>
          <c:layout>
            <c:manualLayout>
              <c:xMode val="edge"/>
              <c:yMode val="edge"/>
              <c:x val="5.1080550098231828E-2"/>
              <c:y val="0.20000044675266654"/>
            </c:manualLayout>
          </c:layout>
          <c:overlay val="0"/>
          <c:spPr>
            <a:noFill/>
            <a:ln w="3175">
              <a:solidFill>
                <a:srgbClr val="000080"/>
              </a:solidFill>
              <a:prstDash val="solid"/>
            </a:ln>
          </c:spPr>
        </c:title>
        <c:numFmt formatCode="#,##0"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s-ES"/>
          </a:p>
        </c:txPr>
        <c:crossAx val="156952064"/>
        <c:crosses val="autoZero"/>
        <c:crossBetween val="between"/>
      </c:valAx>
      <c:spPr>
        <a:solidFill>
          <a:srgbClr val="C0C0C0"/>
        </a:solidFill>
        <a:ln w="12700">
          <a:solidFill>
            <a:srgbClr val="808080"/>
          </a:solidFill>
          <a:prstDash val="solid"/>
        </a:ln>
      </c:spPr>
    </c:plotArea>
    <c:plotVisOnly val="1"/>
    <c:dispBlanksAs val="gap"/>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9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ES"/>
              <a:t>Censo de Gallinas para Huevos por Categoría y C.A.</a:t>
            </a:r>
          </a:p>
        </c:rich>
      </c:tx>
      <c:layout>
        <c:manualLayout>
          <c:xMode val="edge"/>
          <c:yMode val="edge"/>
          <c:x val="0.16101686800550583"/>
          <c:y val="3.4883720930232558E-2"/>
        </c:manualLayout>
      </c:layout>
      <c:overlay val="0"/>
      <c:spPr>
        <a:noFill/>
        <a:ln w="25400">
          <a:noFill/>
        </a:ln>
      </c:spPr>
    </c:title>
    <c:autoTitleDeleted val="0"/>
    <c:plotArea>
      <c:layout>
        <c:manualLayout>
          <c:layoutTarget val="inner"/>
          <c:xMode val="edge"/>
          <c:yMode val="edge"/>
          <c:x val="0.16779661016949152"/>
          <c:y val="0.19186046511627908"/>
          <c:w val="0.67627118644067796"/>
          <c:h val="0.49127906976744184"/>
        </c:manualLayout>
      </c:layout>
      <c:lineChart>
        <c:grouping val="standard"/>
        <c:varyColors val="0"/>
        <c:ser>
          <c:idx val="0"/>
          <c:order val="0"/>
          <c:tx>
            <c:v>Producción para Huevos</c:v>
          </c:tx>
          <c:spPr>
            <a:ln w="12700">
              <a:solidFill>
                <a:srgbClr val="000080"/>
              </a:solidFill>
              <a:prstDash val="solid"/>
            </a:ln>
          </c:spPr>
          <c:marker>
            <c:symbol val="diamond"/>
            <c:size val="5"/>
            <c:spPr>
              <a:solidFill>
                <a:srgbClr val="000080"/>
              </a:solidFill>
              <a:ln>
                <a:solidFill>
                  <a:srgbClr val="000080"/>
                </a:solidFill>
                <a:prstDash val="solid"/>
              </a:ln>
            </c:spPr>
          </c:marker>
          <c:cat>
            <c:numRef>
              <c:f>'11.1- GALLINAS (CENSO)'!$C$16:$M$16</c:f>
              <c:numCache>
                <c:formatCode>[$-C0A]d\-mmm\-yy;@</c:formatCode>
                <c:ptCount val="11"/>
                <c:pt idx="0">
                  <c:v>0</c:v>
                </c:pt>
                <c:pt idx="1">
                  <c:v>38899</c:v>
                </c:pt>
                <c:pt idx="2">
                  <c:v>39083</c:v>
                </c:pt>
                <c:pt idx="3">
                  <c:v>39264</c:v>
                </c:pt>
                <c:pt idx="4">
                  <c:v>39448</c:v>
                </c:pt>
                <c:pt idx="5">
                  <c:v>39630</c:v>
                </c:pt>
                <c:pt idx="6">
                  <c:v>39814</c:v>
                </c:pt>
                <c:pt idx="7">
                  <c:v>39995</c:v>
                </c:pt>
                <c:pt idx="8">
                  <c:v>40179</c:v>
                </c:pt>
                <c:pt idx="9">
                  <c:v>40360</c:v>
                </c:pt>
                <c:pt idx="10">
                  <c:v>40544</c:v>
                </c:pt>
              </c:numCache>
            </c:numRef>
          </c:cat>
          <c:val>
            <c:numRef>
              <c:f>'11.1- GALLINAS (CENSO)'!$C$18:$M$18</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0-8B20-4D10-B99E-7ACC552D6F6D}"/>
            </c:ext>
          </c:extLst>
        </c:ser>
        <c:dLbls>
          <c:showLegendKey val="0"/>
          <c:showVal val="0"/>
          <c:showCatName val="0"/>
          <c:showSerName val="0"/>
          <c:showPercent val="0"/>
          <c:showBubbleSize val="0"/>
        </c:dLbls>
        <c:marker val="1"/>
        <c:smooth val="0"/>
        <c:axId val="156218880"/>
        <c:axId val="156761408"/>
      </c:lineChart>
      <c:lineChart>
        <c:grouping val="standard"/>
        <c:varyColors val="0"/>
        <c:ser>
          <c:idx val="1"/>
          <c:order val="1"/>
          <c:tx>
            <c:v>Reproducción para Huevos</c:v>
          </c:tx>
          <c:spPr>
            <a:ln w="12700">
              <a:solidFill>
                <a:srgbClr val="FF00FF"/>
              </a:solidFill>
              <a:prstDash val="solid"/>
            </a:ln>
          </c:spPr>
          <c:marker>
            <c:symbol val="square"/>
            <c:size val="5"/>
            <c:spPr>
              <a:solidFill>
                <a:srgbClr val="FF00FF"/>
              </a:solidFill>
              <a:ln>
                <a:solidFill>
                  <a:srgbClr val="FF00FF"/>
                </a:solidFill>
                <a:prstDash val="solid"/>
              </a:ln>
            </c:spPr>
          </c:marker>
          <c:cat>
            <c:numRef>
              <c:f>'11.1- GALLINAS (CENSO)'!$C$16:$M$16</c:f>
              <c:numCache>
                <c:formatCode>[$-C0A]d\-mmm\-yy;@</c:formatCode>
                <c:ptCount val="11"/>
                <c:pt idx="0">
                  <c:v>0</c:v>
                </c:pt>
                <c:pt idx="1">
                  <c:v>38899</c:v>
                </c:pt>
                <c:pt idx="2">
                  <c:v>39083</c:v>
                </c:pt>
                <c:pt idx="3">
                  <c:v>39264</c:v>
                </c:pt>
                <c:pt idx="4">
                  <c:v>39448</c:v>
                </c:pt>
                <c:pt idx="5">
                  <c:v>39630</c:v>
                </c:pt>
                <c:pt idx="6">
                  <c:v>39814</c:v>
                </c:pt>
                <c:pt idx="7">
                  <c:v>39995</c:v>
                </c:pt>
                <c:pt idx="8">
                  <c:v>40179</c:v>
                </c:pt>
                <c:pt idx="9">
                  <c:v>40360</c:v>
                </c:pt>
                <c:pt idx="10">
                  <c:v>40544</c:v>
                </c:pt>
              </c:numCache>
            </c:numRef>
          </c:cat>
          <c:val>
            <c:numRef>
              <c:f>'11.1- GALLINAS (CENSO)'!$C$22:$M$22</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1-8B20-4D10-B99E-7ACC552D6F6D}"/>
            </c:ext>
          </c:extLst>
        </c:ser>
        <c:dLbls>
          <c:showLegendKey val="0"/>
          <c:showVal val="0"/>
          <c:showCatName val="0"/>
          <c:showSerName val="0"/>
          <c:showPercent val="0"/>
          <c:showBubbleSize val="0"/>
        </c:dLbls>
        <c:marker val="1"/>
        <c:smooth val="0"/>
        <c:axId val="156219904"/>
        <c:axId val="156557312"/>
      </c:lineChart>
      <c:catAx>
        <c:axId val="156218880"/>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Fecha</a:t>
                </a:r>
              </a:p>
            </c:rich>
          </c:tx>
          <c:layout>
            <c:manualLayout>
              <c:xMode val="edge"/>
              <c:yMode val="edge"/>
              <c:x val="0.47457624800157311"/>
              <c:y val="0.80523255813953487"/>
            </c:manualLayout>
          </c:layout>
          <c:overlay val="0"/>
          <c:spPr>
            <a:noFill/>
            <a:ln w="25400">
              <a:noFill/>
            </a:ln>
          </c:spPr>
        </c:title>
        <c:numFmt formatCode="dd\-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56761408"/>
        <c:crosses val="autoZero"/>
        <c:auto val="0"/>
        <c:lblAlgn val="ctr"/>
        <c:lblOffset val="100"/>
        <c:tickLblSkip val="1"/>
        <c:tickMarkSkip val="1"/>
        <c:noMultiLvlLbl val="0"/>
      </c:catAx>
      <c:valAx>
        <c:axId val="156761408"/>
        <c:scaling>
          <c:orientation val="minMax"/>
        </c:scaling>
        <c:delete val="0"/>
        <c:axPos val="l"/>
        <c:majorGridlines>
          <c:spPr>
            <a:ln w="3175">
              <a:solidFill>
                <a:srgbClr val="000000"/>
              </a:solidFill>
              <a:prstDash val="solid"/>
            </a:ln>
          </c:spPr>
        </c:majorGridlines>
        <c:title>
          <c:tx>
            <c:rich>
              <a:bodyPr/>
              <a:lstStyle/>
              <a:p>
                <a:pPr>
                  <a:defRPr sz="900" b="1" i="0" u="none" strike="noStrike" baseline="0">
                    <a:solidFill>
                      <a:srgbClr val="000080"/>
                    </a:solidFill>
                    <a:latin typeface="Arial"/>
                    <a:ea typeface="Arial"/>
                    <a:cs typeface="Arial"/>
                  </a:defRPr>
                </a:pPr>
                <a:r>
                  <a:rPr lang="es-ES"/>
                  <a:t>Producción</a:t>
                </a:r>
              </a:p>
            </c:rich>
          </c:tx>
          <c:layout>
            <c:manualLayout>
              <c:xMode val="edge"/>
              <c:yMode val="edge"/>
              <c:x val="8.4745270033428233E-3"/>
              <c:y val="0.33430232558139533"/>
            </c:manualLayout>
          </c:layout>
          <c:overlay val="0"/>
          <c:spPr>
            <a:noFill/>
            <a:ln w="3175">
              <a:solidFill>
                <a:srgbClr val="000080"/>
              </a:solidFill>
              <a:prstDash val="solid"/>
            </a:ln>
          </c:spPr>
        </c:title>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56218880"/>
        <c:crosses val="autoZero"/>
        <c:crossBetween val="between"/>
      </c:valAx>
      <c:dateAx>
        <c:axId val="156219904"/>
        <c:scaling>
          <c:orientation val="minMax"/>
        </c:scaling>
        <c:delete val="1"/>
        <c:axPos val="b"/>
        <c:numFmt formatCode="[$-C0A]d\-mmm\-yy;@" sourceLinked="1"/>
        <c:majorTickMark val="out"/>
        <c:minorTickMark val="none"/>
        <c:tickLblPos val="nextTo"/>
        <c:crossAx val="156557312"/>
        <c:crosses val="autoZero"/>
        <c:auto val="1"/>
        <c:lblOffset val="100"/>
        <c:baseTimeUnit val="months"/>
      </c:dateAx>
      <c:valAx>
        <c:axId val="156557312"/>
        <c:scaling>
          <c:orientation val="minMax"/>
        </c:scaling>
        <c:delete val="0"/>
        <c:axPos val="r"/>
        <c:title>
          <c:tx>
            <c:rich>
              <a:bodyPr/>
              <a:lstStyle/>
              <a:p>
                <a:pPr>
                  <a:defRPr sz="900" b="1" i="0" u="none" strike="noStrike" baseline="0">
                    <a:solidFill>
                      <a:srgbClr val="FF00FF"/>
                    </a:solidFill>
                    <a:latin typeface="Arial"/>
                    <a:ea typeface="Arial"/>
                    <a:cs typeface="Arial"/>
                  </a:defRPr>
                </a:pPr>
                <a:r>
                  <a:rPr lang="es-ES"/>
                  <a:t>Reproducción</a:t>
                </a:r>
              </a:p>
            </c:rich>
          </c:tx>
          <c:layout>
            <c:manualLayout>
              <c:xMode val="edge"/>
              <c:yMode val="edge"/>
              <c:x val="0.94915249600314622"/>
              <c:y val="0.31395348837209303"/>
            </c:manualLayout>
          </c:layout>
          <c:overlay val="0"/>
          <c:spPr>
            <a:noFill/>
            <a:ln w="3175">
              <a:solidFill>
                <a:srgbClr val="FF00FF"/>
              </a:solidFill>
              <a:prstDash val="solid"/>
            </a:ln>
          </c:spPr>
        </c:title>
        <c:numFmt formatCode="#,##0"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56219904"/>
        <c:crosses val="max"/>
        <c:crossBetween val="between"/>
      </c:valAx>
      <c:spPr>
        <a:solidFill>
          <a:srgbClr val="C0C0C0"/>
        </a:solidFill>
        <a:ln w="12700">
          <a:solidFill>
            <a:srgbClr val="808080"/>
          </a:solidFill>
          <a:prstDash val="solid"/>
        </a:ln>
      </c:spPr>
    </c:plotArea>
    <c:plotVisOnly val="1"/>
    <c:dispBlanksAs val="gap"/>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ES"/>
              <a:t>Censo de Gallinas para Carne por Categoría y C.A.</a:t>
            </a:r>
          </a:p>
        </c:rich>
      </c:tx>
      <c:layout>
        <c:manualLayout>
          <c:xMode val="edge"/>
          <c:yMode val="edge"/>
          <c:x val="0.22829154485770578"/>
          <c:y val="3.4782608695652174E-2"/>
        </c:manualLayout>
      </c:layout>
      <c:overlay val="0"/>
      <c:spPr>
        <a:noFill/>
        <a:ln w="25400">
          <a:noFill/>
        </a:ln>
      </c:spPr>
    </c:title>
    <c:autoTitleDeleted val="0"/>
    <c:plotArea>
      <c:layout>
        <c:manualLayout>
          <c:layoutTarget val="inner"/>
          <c:xMode val="edge"/>
          <c:yMode val="edge"/>
          <c:x val="0.1442579003877533"/>
          <c:y val="0.21159480184217008"/>
          <c:w val="0.71848837765939255"/>
          <c:h val="0.34782707152137543"/>
        </c:manualLayout>
      </c:layout>
      <c:lineChart>
        <c:grouping val="standard"/>
        <c:varyColors val="0"/>
        <c:ser>
          <c:idx val="0"/>
          <c:order val="0"/>
          <c:tx>
            <c:v>Producción para Carne</c:v>
          </c:tx>
          <c:spPr>
            <a:ln w="12700">
              <a:solidFill>
                <a:srgbClr val="000080"/>
              </a:solidFill>
              <a:prstDash val="solid"/>
            </a:ln>
          </c:spPr>
          <c:marker>
            <c:symbol val="diamond"/>
            <c:size val="5"/>
            <c:spPr>
              <a:solidFill>
                <a:srgbClr val="000080"/>
              </a:solidFill>
              <a:ln>
                <a:solidFill>
                  <a:srgbClr val="000080"/>
                </a:solidFill>
                <a:prstDash val="solid"/>
              </a:ln>
            </c:spPr>
          </c:marker>
          <c:cat>
            <c:numRef>
              <c:f>'11.1- GALLINAS (CENSO)'!$C$16:$M$16</c:f>
              <c:numCache>
                <c:formatCode>[$-C0A]d\-mmm\-yy;@</c:formatCode>
                <c:ptCount val="11"/>
                <c:pt idx="0">
                  <c:v>0</c:v>
                </c:pt>
                <c:pt idx="1">
                  <c:v>38899</c:v>
                </c:pt>
                <c:pt idx="2">
                  <c:v>39083</c:v>
                </c:pt>
                <c:pt idx="3">
                  <c:v>39264</c:v>
                </c:pt>
                <c:pt idx="4">
                  <c:v>39448</c:v>
                </c:pt>
                <c:pt idx="5">
                  <c:v>39630</c:v>
                </c:pt>
                <c:pt idx="6">
                  <c:v>39814</c:v>
                </c:pt>
                <c:pt idx="7">
                  <c:v>39995</c:v>
                </c:pt>
                <c:pt idx="8">
                  <c:v>40179</c:v>
                </c:pt>
                <c:pt idx="9">
                  <c:v>40360</c:v>
                </c:pt>
                <c:pt idx="10">
                  <c:v>40544</c:v>
                </c:pt>
              </c:numCache>
            </c:numRef>
          </c:cat>
          <c:val>
            <c:numRef>
              <c:f>'11.1- GALLINAS (CENSO)'!$C$20:$M$20</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0-73F6-4AEB-8120-73443F0A7547}"/>
            </c:ext>
          </c:extLst>
        </c:ser>
        <c:dLbls>
          <c:showLegendKey val="0"/>
          <c:showVal val="0"/>
          <c:showCatName val="0"/>
          <c:showSerName val="0"/>
          <c:showPercent val="0"/>
          <c:showBubbleSize val="0"/>
        </c:dLbls>
        <c:marker val="1"/>
        <c:smooth val="0"/>
        <c:axId val="156220416"/>
        <c:axId val="156559040"/>
      </c:lineChart>
      <c:lineChart>
        <c:grouping val="standard"/>
        <c:varyColors val="0"/>
        <c:ser>
          <c:idx val="1"/>
          <c:order val="1"/>
          <c:tx>
            <c:v>Reproducción para Carne</c:v>
          </c:tx>
          <c:spPr>
            <a:ln w="12700">
              <a:solidFill>
                <a:srgbClr val="FF00FF"/>
              </a:solidFill>
              <a:prstDash val="solid"/>
            </a:ln>
          </c:spPr>
          <c:marker>
            <c:symbol val="square"/>
            <c:size val="5"/>
            <c:spPr>
              <a:solidFill>
                <a:srgbClr val="FF00FF"/>
              </a:solidFill>
              <a:ln>
                <a:solidFill>
                  <a:srgbClr val="FF00FF"/>
                </a:solidFill>
                <a:prstDash val="solid"/>
              </a:ln>
            </c:spPr>
          </c:marker>
          <c:cat>
            <c:numRef>
              <c:f>'11.1- GALLINAS (CENSO)'!$C$16:$M$16</c:f>
              <c:numCache>
                <c:formatCode>[$-C0A]d\-mmm\-yy;@</c:formatCode>
                <c:ptCount val="11"/>
                <c:pt idx="0">
                  <c:v>0</c:v>
                </c:pt>
                <c:pt idx="1">
                  <c:v>38899</c:v>
                </c:pt>
                <c:pt idx="2">
                  <c:v>39083</c:v>
                </c:pt>
                <c:pt idx="3">
                  <c:v>39264</c:v>
                </c:pt>
                <c:pt idx="4">
                  <c:v>39448</c:v>
                </c:pt>
                <c:pt idx="5">
                  <c:v>39630</c:v>
                </c:pt>
                <c:pt idx="6">
                  <c:v>39814</c:v>
                </c:pt>
                <c:pt idx="7">
                  <c:v>39995</c:v>
                </c:pt>
                <c:pt idx="8">
                  <c:v>40179</c:v>
                </c:pt>
                <c:pt idx="9">
                  <c:v>40360</c:v>
                </c:pt>
                <c:pt idx="10">
                  <c:v>40544</c:v>
                </c:pt>
              </c:numCache>
            </c:numRef>
          </c:cat>
          <c:val>
            <c:numRef>
              <c:f>'11.1- GALLINAS (CENSO)'!$C$24:$M$24</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1-73F6-4AEB-8120-73443F0A7547}"/>
            </c:ext>
          </c:extLst>
        </c:ser>
        <c:dLbls>
          <c:showLegendKey val="0"/>
          <c:showVal val="0"/>
          <c:showCatName val="0"/>
          <c:showSerName val="0"/>
          <c:showPercent val="0"/>
          <c:showBubbleSize val="0"/>
        </c:dLbls>
        <c:marker val="1"/>
        <c:smooth val="0"/>
        <c:axId val="156220928"/>
        <c:axId val="156559616"/>
      </c:lineChart>
      <c:catAx>
        <c:axId val="156220416"/>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Fecha</a:t>
                </a:r>
              </a:p>
            </c:rich>
          </c:tx>
          <c:layout>
            <c:manualLayout>
              <c:xMode val="edge"/>
              <c:yMode val="edge"/>
              <c:x val="0.47759156121744945"/>
              <c:y val="0.63768298527901401"/>
            </c:manualLayout>
          </c:layout>
          <c:overlay val="0"/>
          <c:spPr>
            <a:noFill/>
            <a:ln w="25400">
              <a:noFill/>
            </a:ln>
          </c:spPr>
        </c:title>
        <c:numFmt formatCode="dd\-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56559040"/>
        <c:crosses val="autoZero"/>
        <c:auto val="0"/>
        <c:lblAlgn val="ctr"/>
        <c:lblOffset val="100"/>
        <c:tickLblSkip val="1"/>
        <c:tickMarkSkip val="1"/>
        <c:noMultiLvlLbl val="0"/>
      </c:catAx>
      <c:valAx>
        <c:axId val="156559040"/>
        <c:scaling>
          <c:orientation val="minMax"/>
        </c:scaling>
        <c:delete val="0"/>
        <c:axPos val="l"/>
        <c:majorGridlines>
          <c:spPr>
            <a:ln w="3175">
              <a:solidFill>
                <a:srgbClr val="000000"/>
              </a:solidFill>
              <a:prstDash val="solid"/>
            </a:ln>
          </c:spPr>
        </c:majorGridlines>
        <c:title>
          <c:tx>
            <c:rich>
              <a:bodyPr/>
              <a:lstStyle/>
              <a:p>
                <a:pPr>
                  <a:defRPr sz="900" b="1" i="0" u="none" strike="noStrike" baseline="0">
                    <a:solidFill>
                      <a:srgbClr val="000080"/>
                    </a:solidFill>
                    <a:latin typeface="Arial"/>
                    <a:ea typeface="Arial"/>
                    <a:cs typeface="Arial"/>
                  </a:defRPr>
                </a:pPr>
                <a:r>
                  <a:rPr lang="es-ES"/>
                  <a:t>Producción</a:t>
                </a:r>
              </a:p>
            </c:rich>
          </c:tx>
          <c:layout>
            <c:manualLayout>
              <c:xMode val="edge"/>
              <c:yMode val="edge"/>
              <c:x val="1.2605111352950799E-2"/>
              <c:y val="0.28405888394385487"/>
            </c:manualLayout>
          </c:layout>
          <c:overlay val="0"/>
          <c:spPr>
            <a:noFill/>
            <a:ln w="3175">
              <a:solidFill>
                <a:srgbClr val="000080"/>
              </a:solidFill>
              <a:prstDash val="solid"/>
            </a:ln>
          </c:spPr>
        </c:title>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56220416"/>
        <c:crosses val="autoZero"/>
        <c:crossBetween val="between"/>
      </c:valAx>
      <c:dateAx>
        <c:axId val="156220928"/>
        <c:scaling>
          <c:orientation val="minMax"/>
        </c:scaling>
        <c:delete val="1"/>
        <c:axPos val="b"/>
        <c:numFmt formatCode="[$-C0A]d\-mmm\-yy;@" sourceLinked="1"/>
        <c:majorTickMark val="out"/>
        <c:minorTickMark val="none"/>
        <c:tickLblPos val="nextTo"/>
        <c:crossAx val="156559616"/>
        <c:crosses val="autoZero"/>
        <c:auto val="1"/>
        <c:lblOffset val="100"/>
        <c:baseTimeUnit val="months"/>
      </c:dateAx>
      <c:valAx>
        <c:axId val="156559616"/>
        <c:scaling>
          <c:orientation val="minMax"/>
        </c:scaling>
        <c:delete val="0"/>
        <c:axPos val="r"/>
        <c:title>
          <c:tx>
            <c:rich>
              <a:bodyPr/>
              <a:lstStyle/>
              <a:p>
                <a:pPr>
                  <a:defRPr sz="900" b="1" i="0" u="none" strike="noStrike" baseline="0">
                    <a:solidFill>
                      <a:srgbClr val="FF00FF"/>
                    </a:solidFill>
                    <a:latin typeface="Arial"/>
                    <a:ea typeface="Arial"/>
                    <a:cs typeface="Arial"/>
                  </a:defRPr>
                </a:pPr>
                <a:r>
                  <a:rPr lang="es-ES"/>
                  <a:t>Reproducción</a:t>
                </a:r>
              </a:p>
            </c:rich>
          </c:tx>
          <c:layout>
            <c:manualLayout>
              <c:xMode val="edge"/>
              <c:yMode val="edge"/>
              <c:x val="0.96078569447111806"/>
              <c:y val="0.26666727528624135"/>
            </c:manualLayout>
          </c:layout>
          <c:overlay val="0"/>
          <c:spPr>
            <a:noFill/>
            <a:ln w="3175">
              <a:solidFill>
                <a:srgbClr val="FF00FF"/>
              </a:solidFill>
              <a:prstDash val="solid"/>
            </a:ln>
          </c:spPr>
        </c:title>
        <c:numFmt formatCode="#,##0"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56220928"/>
        <c:crosses val="max"/>
        <c:crossBetween val="between"/>
      </c:valAx>
      <c:spPr>
        <a:solidFill>
          <a:srgbClr val="C0C0C0"/>
        </a:solidFill>
        <a:ln w="12700">
          <a:solidFill>
            <a:srgbClr val="808080"/>
          </a:solidFill>
          <a:prstDash val="solid"/>
        </a:ln>
      </c:spPr>
    </c:plotArea>
    <c:plotVisOnly val="1"/>
    <c:dispBlanksAs val="gap"/>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ES"/>
              <a:t>Censo total de Gallinas por C.A.</a:t>
            </a:r>
          </a:p>
        </c:rich>
      </c:tx>
      <c:layout>
        <c:manualLayout>
          <c:xMode val="edge"/>
          <c:yMode val="edge"/>
          <c:x val="0.36493955009550511"/>
          <c:y val="3.3149171270718231E-2"/>
        </c:manualLayout>
      </c:layout>
      <c:overlay val="0"/>
      <c:spPr>
        <a:noFill/>
        <a:ln w="25400">
          <a:noFill/>
        </a:ln>
      </c:spPr>
    </c:title>
    <c:autoTitleDeleted val="0"/>
    <c:plotArea>
      <c:layout>
        <c:manualLayout>
          <c:layoutTarget val="inner"/>
          <c:xMode val="edge"/>
          <c:yMode val="edge"/>
          <c:x val="9.371559620680095E-2"/>
          <c:y val="0.18784530386740331"/>
          <c:w val="0.89084943217759016"/>
          <c:h val="0.63812154696132595"/>
        </c:manualLayout>
      </c:layout>
      <c:lineChart>
        <c:grouping val="standard"/>
        <c:varyColors val="0"/>
        <c:ser>
          <c:idx val="0"/>
          <c:order val="0"/>
          <c:tx>
            <c:v>Todas (*)</c:v>
          </c:tx>
          <c:spPr>
            <a:ln w="12700">
              <a:solidFill>
                <a:srgbClr val="000080"/>
              </a:solidFill>
              <a:prstDash val="solid"/>
            </a:ln>
          </c:spPr>
          <c:marker>
            <c:symbol val="diamond"/>
            <c:size val="5"/>
            <c:spPr>
              <a:solidFill>
                <a:srgbClr val="000080"/>
              </a:solidFill>
              <a:ln>
                <a:solidFill>
                  <a:srgbClr val="000080"/>
                </a:solidFill>
                <a:prstDash val="solid"/>
              </a:ln>
            </c:spPr>
          </c:marker>
          <c:cat>
            <c:numRef>
              <c:f>'11.1- GALLINAS (CENSO)'!$C$16:$M$16</c:f>
              <c:numCache>
                <c:formatCode>[$-C0A]d\-mmm\-yy;@</c:formatCode>
                <c:ptCount val="11"/>
                <c:pt idx="0">
                  <c:v>0</c:v>
                </c:pt>
                <c:pt idx="1">
                  <c:v>38899</c:v>
                </c:pt>
                <c:pt idx="2">
                  <c:v>39083</c:v>
                </c:pt>
                <c:pt idx="3">
                  <c:v>39264</c:v>
                </c:pt>
                <c:pt idx="4">
                  <c:v>39448</c:v>
                </c:pt>
                <c:pt idx="5">
                  <c:v>39630</c:v>
                </c:pt>
                <c:pt idx="6">
                  <c:v>39814</c:v>
                </c:pt>
                <c:pt idx="7">
                  <c:v>39995</c:v>
                </c:pt>
                <c:pt idx="8">
                  <c:v>40179</c:v>
                </c:pt>
                <c:pt idx="9">
                  <c:v>40360</c:v>
                </c:pt>
                <c:pt idx="10">
                  <c:v>40544</c:v>
                </c:pt>
              </c:numCache>
            </c:numRef>
          </c:cat>
          <c:val>
            <c:numRef>
              <c:f>'11.1- GALLINAS (CENSO)'!$C$26:$M$26</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0-3E85-4B55-8A35-513A5401BAAC}"/>
            </c:ext>
          </c:extLst>
        </c:ser>
        <c:dLbls>
          <c:showLegendKey val="0"/>
          <c:showVal val="0"/>
          <c:showCatName val="0"/>
          <c:showSerName val="0"/>
          <c:showPercent val="0"/>
          <c:showBubbleSize val="0"/>
        </c:dLbls>
        <c:marker val="1"/>
        <c:smooth val="0"/>
        <c:axId val="157089792"/>
        <c:axId val="156561344"/>
      </c:lineChart>
      <c:catAx>
        <c:axId val="157089792"/>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Fecha</a:t>
                </a:r>
              </a:p>
            </c:rich>
          </c:tx>
          <c:layout>
            <c:manualLayout>
              <c:xMode val="edge"/>
              <c:yMode val="edge"/>
              <c:x val="0.5192945541493178"/>
              <c:y val="0.90055248618784534"/>
            </c:manualLayout>
          </c:layout>
          <c:overlay val="0"/>
          <c:spPr>
            <a:noFill/>
            <a:ln w="25400">
              <a:noFill/>
            </a:ln>
          </c:spPr>
        </c:title>
        <c:numFmt formatCode="dd\-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56561344"/>
        <c:crosses val="autoZero"/>
        <c:auto val="0"/>
        <c:lblAlgn val="ctr"/>
        <c:lblOffset val="100"/>
        <c:tickLblSkip val="1"/>
        <c:tickMarkSkip val="1"/>
        <c:noMultiLvlLbl val="0"/>
      </c:catAx>
      <c:valAx>
        <c:axId val="156561344"/>
        <c:scaling>
          <c:orientation val="minMax"/>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57089792"/>
        <c:crosses val="autoZero"/>
        <c:crossBetween val="between"/>
      </c:valAx>
      <c:spPr>
        <a:solidFill>
          <a:srgbClr val="C0C0C0"/>
        </a:solidFill>
        <a:ln w="12700">
          <a:solidFill>
            <a:srgbClr val="808080"/>
          </a:solidFill>
          <a:prstDash val="solid"/>
        </a:ln>
      </c:spPr>
    </c:plotArea>
    <c:plotVisOnly val="1"/>
    <c:dispBlanksAs val="gap"/>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AUX!$H$45</c:f>
          <c:strCache>
            <c:ptCount val="1"/>
            <c:pt idx="0">
              <c:v>Distribución del Total del Censo de Gallinas por C.A. 
(31 de diciembre de 1904)</c:v>
            </c:pt>
          </c:strCache>
        </c:strRef>
      </c:tx>
      <c:layout>
        <c:manualLayout>
          <c:xMode val="edge"/>
          <c:yMode val="edge"/>
          <c:x val="0.30128849787816259"/>
          <c:y val="2.6315789473684209E-2"/>
        </c:manualLayout>
      </c:layout>
      <c:overlay val="0"/>
      <c:spPr>
        <a:noFill/>
        <a:ln w="25400">
          <a:noFill/>
        </a:ln>
      </c:spPr>
      <c:txPr>
        <a:bodyPr/>
        <a:lstStyle/>
        <a:p>
          <a:pPr>
            <a:defRPr sz="1000" b="0" i="0" u="none" strike="noStrike" baseline="0">
              <a:solidFill>
                <a:srgbClr val="000000"/>
              </a:solidFill>
              <a:latin typeface="Arial"/>
              <a:ea typeface="Arial"/>
              <a:cs typeface="Arial"/>
            </a:defRPr>
          </a:pPr>
          <a:endParaRPr lang="es-ES"/>
        </a:p>
      </c:txPr>
    </c:title>
    <c:autoTitleDeleted val="0"/>
    <c:plotArea>
      <c:layout>
        <c:manualLayout>
          <c:layoutTarget val="inner"/>
          <c:xMode val="edge"/>
          <c:yMode val="edge"/>
          <c:x val="0.36273555710304384"/>
          <c:y val="0.433584490504203"/>
          <c:w val="0.28344909653407252"/>
          <c:h val="0.358396428567058"/>
        </c:manualLayout>
      </c:layout>
      <c:pieChart>
        <c:varyColors val="1"/>
        <c:ser>
          <c:idx val="0"/>
          <c:order val="0"/>
          <c:spPr>
            <a:solidFill>
              <a:srgbClr val="9999FF"/>
            </a:solidFill>
            <a:ln w="12700">
              <a:solidFill>
                <a:srgbClr val="000000"/>
              </a:solidFill>
              <a:prstDash val="solid"/>
            </a:ln>
          </c:spPr>
          <c:dPt>
            <c:idx val="0"/>
            <c:bubble3D val="0"/>
            <c:extLst>
              <c:ext xmlns:c16="http://schemas.microsoft.com/office/drawing/2014/chart" uri="{C3380CC4-5D6E-409C-BE32-E72D297353CC}">
                <c16:uniqueId val="{00000000-28F3-48D0-B8E6-EBDCA24AF6C2}"/>
              </c:ext>
            </c:extLst>
          </c:dPt>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2-28F3-48D0-B8E6-EBDCA24AF6C2}"/>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4-28F3-48D0-B8E6-EBDCA24AF6C2}"/>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6-28F3-48D0-B8E6-EBDCA24AF6C2}"/>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8-28F3-48D0-B8E6-EBDCA24AF6C2}"/>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A-28F3-48D0-B8E6-EBDCA24AF6C2}"/>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C-28F3-48D0-B8E6-EBDCA24AF6C2}"/>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E-28F3-48D0-B8E6-EBDCA24AF6C2}"/>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10-28F3-48D0-B8E6-EBDCA24AF6C2}"/>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2-28F3-48D0-B8E6-EBDCA24AF6C2}"/>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4-28F3-48D0-B8E6-EBDCA24AF6C2}"/>
              </c:ext>
            </c:extLst>
          </c:dPt>
          <c:dPt>
            <c:idx val="11"/>
            <c:bubble3D val="0"/>
            <c:spPr>
              <a:solidFill>
                <a:srgbClr val="00FFFF"/>
              </a:solidFill>
              <a:ln w="12700">
                <a:solidFill>
                  <a:srgbClr val="000000"/>
                </a:solidFill>
                <a:prstDash val="solid"/>
              </a:ln>
            </c:spPr>
            <c:extLst>
              <c:ext xmlns:c16="http://schemas.microsoft.com/office/drawing/2014/chart" uri="{C3380CC4-5D6E-409C-BE32-E72D297353CC}">
                <c16:uniqueId val="{00000016-28F3-48D0-B8E6-EBDCA24AF6C2}"/>
              </c:ext>
            </c:extLst>
          </c:dPt>
          <c:dPt>
            <c:idx val="12"/>
            <c:bubble3D val="0"/>
            <c:spPr>
              <a:solidFill>
                <a:srgbClr val="800080"/>
              </a:solidFill>
              <a:ln w="12700">
                <a:solidFill>
                  <a:srgbClr val="000000"/>
                </a:solidFill>
                <a:prstDash val="solid"/>
              </a:ln>
            </c:spPr>
            <c:extLst>
              <c:ext xmlns:c16="http://schemas.microsoft.com/office/drawing/2014/chart" uri="{C3380CC4-5D6E-409C-BE32-E72D297353CC}">
                <c16:uniqueId val="{00000018-28F3-48D0-B8E6-EBDCA24AF6C2}"/>
              </c:ext>
            </c:extLst>
          </c:dPt>
          <c:dPt>
            <c:idx val="13"/>
            <c:bubble3D val="0"/>
            <c:spPr>
              <a:solidFill>
                <a:srgbClr val="800000"/>
              </a:solidFill>
              <a:ln w="12700">
                <a:solidFill>
                  <a:srgbClr val="000000"/>
                </a:solidFill>
                <a:prstDash val="solid"/>
              </a:ln>
            </c:spPr>
            <c:extLst>
              <c:ext xmlns:c16="http://schemas.microsoft.com/office/drawing/2014/chart" uri="{C3380CC4-5D6E-409C-BE32-E72D297353CC}">
                <c16:uniqueId val="{0000001A-28F3-48D0-B8E6-EBDCA24AF6C2}"/>
              </c:ext>
            </c:extLst>
          </c:dPt>
          <c:dPt>
            <c:idx val="14"/>
            <c:bubble3D val="0"/>
            <c:spPr>
              <a:solidFill>
                <a:srgbClr val="008080"/>
              </a:solidFill>
              <a:ln w="12700">
                <a:solidFill>
                  <a:srgbClr val="000000"/>
                </a:solidFill>
                <a:prstDash val="solid"/>
              </a:ln>
            </c:spPr>
            <c:extLst>
              <c:ext xmlns:c16="http://schemas.microsoft.com/office/drawing/2014/chart" uri="{C3380CC4-5D6E-409C-BE32-E72D297353CC}">
                <c16:uniqueId val="{0000001C-28F3-48D0-B8E6-EBDCA24AF6C2}"/>
              </c:ext>
            </c:extLst>
          </c:dPt>
          <c:dPt>
            <c:idx val="15"/>
            <c:bubble3D val="0"/>
            <c:spPr>
              <a:solidFill>
                <a:srgbClr val="0000FF"/>
              </a:solidFill>
              <a:ln w="12700">
                <a:solidFill>
                  <a:srgbClr val="000000"/>
                </a:solidFill>
                <a:prstDash val="solid"/>
              </a:ln>
            </c:spPr>
            <c:extLst>
              <c:ext xmlns:c16="http://schemas.microsoft.com/office/drawing/2014/chart" uri="{C3380CC4-5D6E-409C-BE32-E72D297353CC}">
                <c16:uniqueId val="{0000001E-28F3-48D0-B8E6-EBDCA24AF6C2}"/>
              </c:ext>
            </c:extLst>
          </c:dPt>
          <c:dPt>
            <c:idx val="16"/>
            <c:bubble3D val="0"/>
            <c:spPr>
              <a:solidFill>
                <a:srgbClr val="00CCFF"/>
              </a:solidFill>
              <a:ln w="12700">
                <a:solidFill>
                  <a:srgbClr val="000000"/>
                </a:solidFill>
                <a:prstDash val="solid"/>
              </a:ln>
            </c:spPr>
            <c:extLst>
              <c:ext xmlns:c16="http://schemas.microsoft.com/office/drawing/2014/chart" uri="{C3380CC4-5D6E-409C-BE32-E72D297353CC}">
                <c16:uniqueId val="{00000020-28F3-48D0-B8E6-EBDCA24AF6C2}"/>
              </c:ext>
            </c:extLst>
          </c:dPt>
          <c:dPt>
            <c:idx val="17"/>
            <c:bubble3D val="0"/>
            <c:spPr>
              <a:solidFill>
                <a:srgbClr val="CCFFFF"/>
              </a:solidFill>
              <a:ln w="12700">
                <a:solidFill>
                  <a:srgbClr val="000000"/>
                </a:solidFill>
                <a:prstDash val="solid"/>
              </a:ln>
            </c:spPr>
            <c:extLst>
              <c:ext xmlns:c16="http://schemas.microsoft.com/office/drawing/2014/chart" uri="{C3380CC4-5D6E-409C-BE32-E72D297353CC}">
                <c16:uniqueId val="{00000022-28F3-48D0-B8E6-EBDCA24AF6C2}"/>
              </c:ext>
            </c:extLst>
          </c:dPt>
          <c:dPt>
            <c:idx val="18"/>
            <c:bubble3D val="0"/>
            <c:spPr>
              <a:solidFill>
                <a:srgbClr val="CCFFCC"/>
              </a:solidFill>
              <a:ln w="12700">
                <a:solidFill>
                  <a:srgbClr val="000000"/>
                </a:solidFill>
                <a:prstDash val="solid"/>
              </a:ln>
            </c:spPr>
            <c:extLst>
              <c:ext xmlns:c16="http://schemas.microsoft.com/office/drawing/2014/chart" uri="{C3380CC4-5D6E-409C-BE32-E72D297353CC}">
                <c16:uniqueId val="{00000024-28F3-48D0-B8E6-EBDCA24AF6C2}"/>
              </c:ext>
            </c:extLst>
          </c:dPt>
          <c:dLbls>
            <c:dLbl>
              <c:idx val="0"/>
              <c:layout>
                <c:manualLayout>
                  <c:x val="9.4676504968822628E-2"/>
                  <c:y val="-7.9302079897074426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28F3-48D0-B8E6-EBDCA24AF6C2}"/>
                </c:ext>
              </c:extLst>
            </c:dLbl>
            <c:dLbl>
              <c:idx val="1"/>
              <c:layout>
                <c:manualLayout>
                  <c:x val="0.12079726510940228"/>
                  <c:y val="-0.1438080085026065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28F3-48D0-B8E6-EBDCA24AF6C2}"/>
                </c:ext>
              </c:extLst>
            </c:dLbl>
            <c:dLbl>
              <c:idx val="2"/>
              <c:layout>
                <c:manualLayout>
                  <c:x val="0.17133833774587251"/>
                  <c:y val="-0.17700334043897786"/>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28F3-48D0-B8E6-EBDCA24AF6C2}"/>
                </c:ext>
              </c:extLst>
            </c:dLbl>
            <c:dLbl>
              <c:idx val="3"/>
              <c:layout>
                <c:manualLayout>
                  <c:x val="0.18191121959632142"/>
                  <c:y val="-0.1007415907884010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28F3-48D0-B8E6-EBDCA24AF6C2}"/>
                </c:ext>
              </c:extLst>
            </c:dLbl>
            <c:dLbl>
              <c:idx val="4"/>
              <c:layout>
                <c:manualLayout>
                  <c:x val="0.18055648836671731"/>
                  <c:y val="-9.3049845241289768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28F3-48D0-B8E6-EBDCA24AF6C2}"/>
                </c:ext>
              </c:extLst>
            </c:dLbl>
            <c:dLbl>
              <c:idx val="5"/>
              <c:layout>
                <c:manualLayout>
                  <c:x val="0.15526640112040183"/>
                  <c:y val="7.4391394321929968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A-28F3-48D0-B8E6-EBDCA24AF6C2}"/>
                </c:ext>
              </c:extLst>
            </c:dLbl>
            <c:dLbl>
              <c:idx val="6"/>
              <c:layout>
                <c:manualLayout>
                  <c:x val="-3.1427441723890924E-3"/>
                  <c:y val="8.2597330638020633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C-28F3-48D0-B8E6-EBDCA24AF6C2}"/>
                </c:ext>
              </c:extLst>
            </c:dLbl>
            <c:dLbl>
              <c:idx val="7"/>
              <c:layout>
                <c:manualLayout>
                  <c:x val="3.5258526281836178E-2"/>
                  <c:y val="2.6590623540478493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E-28F3-48D0-B8E6-EBDCA24AF6C2}"/>
                </c:ext>
              </c:extLst>
            </c:dLbl>
            <c:dLbl>
              <c:idx val="8"/>
              <c:layout>
                <c:manualLayout>
                  <c:x val="1.0724087485340523E-2"/>
                  <c:y val="3.0457855068464653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0-28F3-48D0-B8E6-EBDCA24AF6C2}"/>
                </c:ext>
              </c:extLst>
            </c:dLbl>
            <c:dLbl>
              <c:idx val="10"/>
              <c:layout>
                <c:manualLayout>
                  <c:x val="-1.7141318683033799E-2"/>
                  <c:y val="-5.0445010163203286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4-28F3-48D0-B8E6-EBDCA24AF6C2}"/>
                </c:ext>
              </c:extLst>
            </c:dLbl>
            <c:dLbl>
              <c:idx val="17"/>
              <c:layout>
                <c:manualLayout>
                  <c:x val="2.7613170290823603E-3"/>
                  <c:y val="-0.12482921197895139"/>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22-28F3-48D0-B8E6-EBDCA24AF6C2}"/>
                </c:ext>
              </c:extLst>
            </c:dLbl>
            <c:dLbl>
              <c:idx val="18"/>
              <c:layout>
                <c:manualLayout>
                  <c:x val="3.1601818558686462E-2"/>
                  <c:y val="-5.2147418773044539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24-28F3-48D0-B8E6-EBDCA24AF6C2}"/>
                </c:ext>
              </c:extLst>
            </c:dLbl>
            <c:numFmt formatCode="0.0%" sourceLinked="0"/>
            <c:spPr>
              <a:noFill/>
              <a:ln w="25400">
                <a:noFill/>
              </a:ln>
            </c:spPr>
            <c:txPr>
              <a:bodyPr/>
              <a:lstStyle/>
              <a:p>
                <a:pPr>
                  <a:defRPr sz="1000" b="0" i="0" u="none" strike="noStrike" baseline="0">
                    <a:solidFill>
                      <a:srgbClr val="000000"/>
                    </a:solidFill>
                    <a:latin typeface="Arial"/>
                    <a:ea typeface="Arial"/>
                    <a:cs typeface="Arial"/>
                  </a:defRPr>
                </a:pPr>
                <a:endParaRPr lang="es-ES"/>
              </a:p>
            </c:txPr>
            <c:showLegendKey val="0"/>
            <c:showVal val="0"/>
            <c:showCatName val="1"/>
            <c:showSerName val="0"/>
            <c:showPercent val="1"/>
            <c:showBubbleSize val="0"/>
            <c:showLeaderLines val="1"/>
            <c:extLst>
              <c:ext xmlns:c15="http://schemas.microsoft.com/office/drawing/2012/chart" uri="{CE6537A1-D6FC-4f65-9D91-7224C49458BB}"/>
            </c:extLst>
          </c:dLbls>
          <c:cat>
            <c:strRef>
              <c:f>'11.1- GALLINAS (CENSO)'!$B$308:$B$326</c:f>
              <c:strCache>
                <c:ptCount val="19"/>
                <c:pt idx="0">
                  <c:v>Andalucía</c:v>
                </c:pt>
                <c:pt idx="1">
                  <c:v>Aragón</c:v>
                </c:pt>
                <c:pt idx="2">
                  <c:v>Asturias</c:v>
                </c:pt>
                <c:pt idx="3">
                  <c:v>Baleares</c:v>
                </c:pt>
                <c:pt idx="4">
                  <c:v>Canarias</c:v>
                </c:pt>
                <c:pt idx="5">
                  <c:v>Cantabria</c:v>
                </c:pt>
                <c:pt idx="6">
                  <c:v>Castilla La Mancha</c:v>
                </c:pt>
                <c:pt idx="7">
                  <c:v>Castilla y León</c:v>
                </c:pt>
                <c:pt idx="8">
                  <c:v>Cataluña</c:v>
                </c:pt>
                <c:pt idx="9">
                  <c:v>Extremadura</c:v>
                </c:pt>
                <c:pt idx="10">
                  <c:v>Galicia</c:v>
                </c:pt>
                <c:pt idx="11">
                  <c:v>Madrid</c:v>
                </c:pt>
                <c:pt idx="12">
                  <c:v>Murcia</c:v>
                </c:pt>
                <c:pt idx="13">
                  <c:v>Navarra</c:v>
                </c:pt>
                <c:pt idx="14">
                  <c:v>País Vasco</c:v>
                </c:pt>
                <c:pt idx="15">
                  <c:v>La Rioja</c:v>
                </c:pt>
                <c:pt idx="16">
                  <c:v>Valencia</c:v>
                </c:pt>
                <c:pt idx="17">
                  <c:v>Ceuta</c:v>
                </c:pt>
                <c:pt idx="18">
                  <c:v>Melilla</c:v>
                </c:pt>
              </c:strCache>
            </c:strRef>
          </c:cat>
          <c:val>
            <c:numRef>
              <c:f>'11.1- GALLINAS (CENSO)'!$H$308:$H$326</c:f>
              <c:numCache>
                <c:formatCode>#,##0</c:formatCode>
                <c:ptCount val="19"/>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0</c:v>
                </c:pt>
                <c:pt idx="18">
                  <c:v>0</c:v>
                </c:pt>
              </c:numCache>
            </c:numRef>
          </c:val>
          <c:extLst>
            <c:ext xmlns:c16="http://schemas.microsoft.com/office/drawing/2014/chart" uri="{C3380CC4-5D6E-409C-BE32-E72D297353CC}">
              <c16:uniqueId val="{00000025-28F3-48D0-B8E6-EBDCA24AF6C2}"/>
            </c:ext>
          </c:extLst>
        </c:ser>
        <c:dLbls>
          <c:showLegendKey val="0"/>
          <c:showVal val="0"/>
          <c:showCatName val="0"/>
          <c:showSerName val="0"/>
          <c:showPercent val="0"/>
          <c:showBubbleSize val="0"/>
          <c:showLeaderLines val="1"/>
        </c:dLbls>
        <c:firstSliceAng val="0"/>
      </c:pieChart>
      <c:spPr>
        <a:noFill/>
        <a:ln w="25400">
          <a:noFill/>
        </a:ln>
      </c:spPr>
    </c:plotArea>
    <c:plotVisOnly val="0"/>
    <c:dispBlanksAs val="zero"/>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ES"/>
              <a:t>Nº de Subexplotaciones de Gallinas para Huevos por C.A.</a:t>
            </a:r>
          </a:p>
        </c:rich>
      </c:tx>
      <c:layout>
        <c:manualLayout>
          <c:xMode val="edge"/>
          <c:yMode val="edge"/>
          <c:x val="0.13043497280231275"/>
          <c:y val="3.313253012048193E-2"/>
        </c:manualLayout>
      </c:layout>
      <c:overlay val="0"/>
      <c:spPr>
        <a:noFill/>
        <a:ln w="25400">
          <a:noFill/>
        </a:ln>
      </c:spPr>
    </c:title>
    <c:autoTitleDeleted val="0"/>
    <c:plotArea>
      <c:layout>
        <c:manualLayout>
          <c:layoutTarget val="inner"/>
          <c:xMode val="edge"/>
          <c:yMode val="edge"/>
          <c:x val="0.10507264965581418"/>
          <c:y val="0.15662650602409639"/>
          <c:w val="0.80616084649719499"/>
          <c:h val="0.42168674698795183"/>
        </c:manualLayout>
      </c:layout>
      <c:lineChart>
        <c:grouping val="standard"/>
        <c:varyColors val="0"/>
        <c:ser>
          <c:idx val="0"/>
          <c:order val="0"/>
          <c:tx>
            <c:v>Granjas de Producción para Huevos</c:v>
          </c:tx>
          <c:spPr>
            <a:ln w="12700">
              <a:solidFill>
                <a:srgbClr val="000080"/>
              </a:solidFill>
              <a:prstDash val="solid"/>
            </a:ln>
          </c:spPr>
          <c:marker>
            <c:symbol val="diamond"/>
            <c:size val="5"/>
            <c:spPr>
              <a:solidFill>
                <a:srgbClr val="000080"/>
              </a:solidFill>
              <a:ln>
                <a:solidFill>
                  <a:srgbClr val="000080"/>
                </a:solidFill>
                <a:prstDash val="solid"/>
              </a:ln>
            </c:spPr>
          </c:marker>
          <c:cat>
            <c:numRef>
              <c:f>'11.2- GALLINAS (SUBEXPLOT)'!$C$16:$M$16</c:f>
              <c:numCache>
                <c:formatCode>[$-C0A]d\-mmm\-yy;@</c:formatCode>
                <c:ptCount val="11"/>
                <c:pt idx="0">
                  <c:v>0</c:v>
                </c:pt>
                <c:pt idx="1">
                  <c:v>38899</c:v>
                </c:pt>
                <c:pt idx="2">
                  <c:v>39083</c:v>
                </c:pt>
                <c:pt idx="3">
                  <c:v>39264</c:v>
                </c:pt>
                <c:pt idx="4">
                  <c:v>39448</c:v>
                </c:pt>
                <c:pt idx="5">
                  <c:v>39630</c:v>
                </c:pt>
                <c:pt idx="6">
                  <c:v>39814</c:v>
                </c:pt>
                <c:pt idx="7">
                  <c:v>39995</c:v>
                </c:pt>
                <c:pt idx="8">
                  <c:v>40179</c:v>
                </c:pt>
                <c:pt idx="9">
                  <c:v>40360</c:v>
                </c:pt>
                <c:pt idx="10">
                  <c:v>40544</c:v>
                </c:pt>
              </c:numCache>
            </c:numRef>
          </c:cat>
          <c:val>
            <c:numRef>
              <c:f>'11.2- GALLINAS (SUBEXPLOT)'!$C$18:$M$18</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0-FD40-47CE-981F-9C05E179D7EF}"/>
            </c:ext>
          </c:extLst>
        </c:ser>
        <c:dLbls>
          <c:showLegendKey val="0"/>
          <c:showVal val="0"/>
          <c:showCatName val="0"/>
          <c:showSerName val="0"/>
          <c:showPercent val="0"/>
          <c:showBubbleSize val="0"/>
        </c:dLbls>
        <c:marker val="1"/>
        <c:smooth val="0"/>
        <c:axId val="156201472"/>
        <c:axId val="143134656"/>
      </c:lineChart>
      <c:lineChart>
        <c:grouping val="standard"/>
        <c:varyColors val="0"/>
        <c:ser>
          <c:idx val="1"/>
          <c:order val="1"/>
          <c:tx>
            <c:v>Granjas de Reproducción para Huevos</c:v>
          </c:tx>
          <c:spPr>
            <a:ln w="12700">
              <a:solidFill>
                <a:srgbClr val="FF00FF"/>
              </a:solidFill>
              <a:prstDash val="solid"/>
            </a:ln>
          </c:spPr>
          <c:marker>
            <c:symbol val="square"/>
            <c:size val="5"/>
            <c:spPr>
              <a:solidFill>
                <a:srgbClr val="FF00FF"/>
              </a:solidFill>
              <a:ln>
                <a:solidFill>
                  <a:srgbClr val="FF00FF"/>
                </a:solidFill>
                <a:prstDash val="solid"/>
              </a:ln>
            </c:spPr>
          </c:marker>
          <c:cat>
            <c:numRef>
              <c:f>'11.2- GALLINAS (SUBEXPLOT)'!$C$16:$M$16</c:f>
              <c:numCache>
                <c:formatCode>[$-C0A]d\-mmm\-yy;@</c:formatCode>
                <c:ptCount val="11"/>
                <c:pt idx="0">
                  <c:v>0</c:v>
                </c:pt>
                <c:pt idx="1">
                  <c:v>38899</c:v>
                </c:pt>
                <c:pt idx="2">
                  <c:v>39083</c:v>
                </c:pt>
                <c:pt idx="3">
                  <c:v>39264</c:v>
                </c:pt>
                <c:pt idx="4">
                  <c:v>39448</c:v>
                </c:pt>
                <c:pt idx="5">
                  <c:v>39630</c:v>
                </c:pt>
                <c:pt idx="6">
                  <c:v>39814</c:v>
                </c:pt>
                <c:pt idx="7">
                  <c:v>39995</c:v>
                </c:pt>
                <c:pt idx="8">
                  <c:v>40179</c:v>
                </c:pt>
                <c:pt idx="9">
                  <c:v>40360</c:v>
                </c:pt>
                <c:pt idx="10">
                  <c:v>40544</c:v>
                </c:pt>
              </c:numCache>
            </c:numRef>
          </c:cat>
          <c:val>
            <c:numRef>
              <c:f>'11.2- GALLINAS (SUBEXPLOT)'!$C$22:$M$22</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1-FD40-47CE-981F-9C05E179D7EF}"/>
            </c:ext>
          </c:extLst>
        </c:ser>
        <c:dLbls>
          <c:showLegendKey val="0"/>
          <c:showVal val="0"/>
          <c:showCatName val="0"/>
          <c:showSerName val="0"/>
          <c:showPercent val="0"/>
          <c:showBubbleSize val="0"/>
        </c:dLbls>
        <c:marker val="1"/>
        <c:smooth val="0"/>
        <c:axId val="157093376"/>
        <c:axId val="143135232"/>
      </c:lineChart>
      <c:catAx>
        <c:axId val="156201472"/>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Fecha</a:t>
                </a:r>
              </a:p>
            </c:rich>
          </c:tx>
          <c:layout>
            <c:manualLayout>
              <c:xMode val="edge"/>
              <c:yMode val="edge"/>
              <c:x val="0.47463844193388866"/>
              <c:y val="0.70481927710843373"/>
            </c:manualLayout>
          </c:layout>
          <c:overlay val="0"/>
          <c:spPr>
            <a:noFill/>
            <a:ln w="25400">
              <a:noFill/>
            </a:ln>
          </c:spPr>
        </c:title>
        <c:numFmt formatCode="dd\-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43134656"/>
        <c:crosses val="autoZero"/>
        <c:auto val="0"/>
        <c:lblAlgn val="ctr"/>
        <c:lblOffset val="100"/>
        <c:tickLblSkip val="1"/>
        <c:tickMarkSkip val="1"/>
        <c:noMultiLvlLbl val="0"/>
      </c:catAx>
      <c:valAx>
        <c:axId val="143134656"/>
        <c:scaling>
          <c:orientation val="minMax"/>
        </c:scaling>
        <c:delete val="0"/>
        <c:axPos val="l"/>
        <c:majorGridlines>
          <c:spPr>
            <a:ln w="3175">
              <a:solidFill>
                <a:srgbClr val="000000"/>
              </a:solidFill>
              <a:prstDash val="solid"/>
            </a:ln>
          </c:spPr>
        </c:majorGridlines>
        <c:title>
          <c:tx>
            <c:rich>
              <a:bodyPr/>
              <a:lstStyle/>
              <a:p>
                <a:pPr>
                  <a:defRPr sz="900" b="1" i="0" u="none" strike="noStrike" baseline="0">
                    <a:solidFill>
                      <a:srgbClr val="000080"/>
                    </a:solidFill>
                    <a:latin typeface="Arial"/>
                    <a:ea typeface="Arial"/>
                    <a:cs typeface="Arial"/>
                  </a:defRPr>
                </a:pPr>
                <a:r>
                  <a:rPr lang="es-ES"/>
                  <a:t>Producción</a:t>
                </a:r>
              </a:p>
            </c:rich>
          </c:tx>
          <c:layout>
            <c:manualLayout>
              <c:xMode val="edge"/>
              <c:yMode val="edge"/>
              <c:x val="1.8231960135417855E-3"/>
              <c:y val="0.26204819277108432"/>
            </c:manualLayout>
          </c:layout>
          <c:overlay val="0"/>
          <c:spPr>
            <a:noFill/>
            <a:ln w="3175">
              <a:solidFill>
                <a:srgbClr val="000080"/>
              </a:solidFill>
              <a:prstDash val="solid"/>
            </a:ln>
          </c:spPr>
        </c:title>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56201472"/>
        <c:crosses val="autoZero"/>
        <c:crossBetween val="between"/>
      </c:valAx>
      <c:dateAx>
        <c:axId val="157093376"/>
        <c:scaling>
          <c:orientation val="minMax"/>
        </c:scaling>
        <c:delete val="1"/>
        <c:axPos val="b"/>
        <c:numFmt formatCode="[$-C0A]d\-mmm\-yy;@" sourceLinked="1"/>
        <c:majorTickMark val="out"/>
        <c:minorTickMark val="none"/>
        <c:tickLblPos val="nextTo"/>
        <c:crossAx val="143135232"/>
        <c:crosses val="autoZero"/>
        <c:auto val="1"/>
        <c:lblOffset val="100"/>
        <c:baseTimeUnit val="months"/>
      </c:dateAx>
      <c:valAx>
        <c:axId val="143135232"/>
        <c:scaling>
          <c:orientation val="minMax"/>
        </c:scaling>
        <c:delete val="0"/>
        <c:axPos val="r"/>
        <c:title>
          <c:tx>
            <c:rich>
              <a:bodyPr/>
              <a:lstStyle/>
              <a:p>
                <a:pPr>
                  <a:defRPr sz="900" b="1" i="0" u="none" strike="noStrike" baseline="0">
                    <a:solidFill>
                      <a:srgbClr val="FF00FF"/>
                    </a:solidFill>
                    <a:latin typeface="Arial"/>
                    <a:ea typeface="Arial"/>
                    <a:cs typeface="Arial"/>
                  </a:defRPr>
                </a:pPr>
                <a:r>
                  <a:rPr lang="es-ES"/>
                  <a:t>Reproducción</a:t>
                </a:r>
              </a:p>
            </c:rich>
          </c:tx>
          <c:layout>
            <c:manualLayout>
              <c:xMode val="edge"/>
              <c:yMode val="edge"/>
              <c:x val="0.96374681425691355"/>
              <c:y val="0.24096385542168675"/>
            </c:manualLayout>
          </c:layout>
          <c:overlay val="0"/>
          <c:spPr>
            <a:noFill/>
            <a:ln w="3175">
              <a:solidFill>
                <a:srgbClr val="FF00FF"/>
              </a:solidFill>
              <a:prstDash val="solid"/>
            </a:ln>
          </c:spPr>
        </c:title>
        <c:numFmt formatCode="#,##0"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57093376"/>
        <c:crosses val="max"/>
        <c:crossBetween val="between"/>
      </c:valAx>
      <c:spPr>
        <a:solidFill>
          <a:srgbClr val="C0C0C0"/>
        </a:solidFill>
        <a:ln w="12700">
          <a:solidFill>
            <a:srgbClr val="808080"/>
          </a:solidFill>
          <a:prstDash val="solid"/>
        </a:ln>
      </c:spPr>
    </c:plotArea>
    <c:plotVisOnly val="1"/>
    <c:dispBlanksAs val="gap"/>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ES" sz="1200" b="1" i="0" baseline="0">
                <a:effectLst/>
              </a:rPr>
              <a:t>Distribución del Total de las Explotaciones por C.A.</a:t>
            </a:r>
          </a:p>
          <a:p>
            <a:pPr>
              <a:defRPr sz="1200" b="1" i="0" u="none" strike="noStrike" baseline="0">
                <a:solidFill>
                  <a:srgbClr val="000000"/>
                </a:solidFill>
                <a:latin typeface="Arial"/>
                <a:ea typeface="Arial"/>
                <a:cs typeface="Arial"/>
              </a:defRPr>
            </a:pPr>
            <a:r>
              <a:rPr lang="es-ES" sz="1200" b="1" i="0" baseline="0">
                <a:effectLst/>
              </a:rPr>
              <a:t/>
            </a:r>
          </a:p>
          <a:p>
            <a:pPr>
              <a:defRPr sz="1200" b="1" i="0" u="none" strike="noStrike" baseline="0">
                <a:solidFill>
                  <a:srgbClr val="000000"/>
                </a:solidFill>
                <a:latin typeface="Arial"/>
                <a:ea typeface="Arial"/>
                <a:cs typeface="Arial"/>
              </a:defRPr>
            </a:pPr>
            <a:r>
              <a:rPr lang="es-ES" sz="1200" b="1" i="0" baseline="0">
                <a:effectLst/>
              </a:rPr>
              <a:t>(Sólo con Estado de Alta)(1 de Enero de 2019)</a:t>
            </a:r>
            <a:endParaRPr lang="es-ES" sz="1200" b="1" i="0" u="none" strike="noStrike" baseline="0">
              <a:solidFill>
                <a:srgbClr val="000000"/>
              </a:solidFill>
              <a:latin typeface="Arial"/>
              <a:cs typeface="Arial"/>
            </a:endParaRPr>
          </a:p>
        </c:rich>
      </c:tx>
      <c:layout>
        <c:manualLayout>
          <c:xMode val="edge"/>
          <c:yMode val="edge"/>
          <c:x val="0.1519434628975265"/>
          <c:y val="2.8716216216216218E-2"/>
        </c:manualLayout>
      </c:layout>
      <c:overlay val="0"/>
      <c:spPr>
        <a:noFill/>
        <a:ln w="25400">
          <a:noFill/>
        </a:ln>
      </c:spPr>
    </c:title>
    <c:autoTitleDeleted val="0"/>
    <c:plotArea>
      <c:layout>
        <c:manualLayout>
          <c:layoutTarget val="inner"/>
          <c:xMode val="edge"/>
          <c:yMode val="edge"/>
          <c:x val="0.31095406360424027"/>
          <c:y val="0.43750036085003896"/>
          <c:w val="0.3127208480565371"/>
          <c:h val="0.29898673309056717"/>
        </c:manualLayout>
      </c:layout>
      <c:pieChart>
        <c:varyColors val="1"/>
        <c:ser>
          <c:idx val="0"/>
          <c:order val="0"/>
          <c:tx>
            <c:v>Series1</c:v>
          </c:tx>
          <c:spPr>
            <a:solidFill>
              <a:srgbClr val="9999FF"/>
            </a:solidFill>
            <a:ln w="12700">
              <a:solidFill>
                <a:srgbClr val="000000"/>
              </a:solidFill>
              <a:prstDash val="solid"/>
            </a:ln>
          </c:spPr>
          <c:dPt>
            <c:idx val="0"/>
            <c:bubble3D val="0"/>
            <c:extLst>
              <c:ext xmlns:c16="http://schemas.microsoft.com/office/drawing/2014/chart" uri="{C3380CC4-5D6E-409C-BE32-E72D297353CC}">
                <c16:uniqueId val="{00000000-F32D-4B64-A130-61B58C9DF3F7}"/>
              </c:ext>
            </c:extLst>
          </c:dPt>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2-F32D-4B64-A130-61B58C9DF3F7}"/>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4-F32D-4B64-A130-61B58C9DF3F7}"/>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6-F32D-4B64-A130-61B58C9DF3F7}"/>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8-F32D-4B64-A130-61B58C9DF3F7}"/>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A-F32D-4B64-A130-61B58C9DF3F7}"/>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C-F32D-4B64-A130-61B58C9DF3F7}"/>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E-F32D-4B64-A130-61B58C9DF3F7}"/>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10-F32D-4B64-A130-61B58C9DF3F7}"/>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2-F32D-4B64-A130-61B58C9DF3F7}"/>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4-F32D-4B64-A130-61B58C9DF3F7}"/>
              </c:ext>
            </c:extLst>
          </c:dPt>
          <c:dPt>
            <c:idx val="11"/>
            <c:bubble3D val="0"/>
            <c:spPr>
              <a:solidFill>
                <a:srgbClr val="00FFFF"/>
              </a:solidFill>
              <a:ln w="12700">
                <a:solidFill>
                  <a:srgbClr val="000000"/>
                </a:solidFill>
                <a:prstDash val="solid"/>
              </a:ln>
            </c:spPr>
            <c:extLst>
              <c:ext xmlns:c16="http://schemas.microsoft.com/office/drawing/2014/chart" uri="{C3380CC4-5D6E-409C-BE32-E72D297353CC}">
                <c16:uniqueId val="{00000016-F32D-4B64-A130-61B58C9DF3F7}"/>
              </c:ext>
            </c:extLst>
          </c:dPt>
          <c:dPt>
            <c:idx val="12"/>
            <c:bubble3D val="0"/>
            <c:spPr>
              <a:solidFill>
                <a:srgbClr val="800080"/>
              </a:solidFill>
              <a:ln w="12700">
                <a:solidFill>
                  <a:srgbClr val="000000"/>
                </a:solidFill>
                <a:prstDash val="solid"/>
              </a:ln>
            </c:spPr>
            <c:extLst>
              <c:ext xmlns:c16="http://schemas.microsoft.com/office/drawing/2014/chart" uri="{C3380CC4-5D6E-409C-BE32-E72D297353CC}">
                <c16:uniqueId val="{00000018-F32D-4B64-A130-61B58C9DF3F7}"/>
              </c:ext>
            </c:extLst>
          </c:dPt>
          <c:dPt>
            <c:idx val="13"/>
            <c:bubble3D val="0"/>
            <c:spPr>
              <a:solidFill>
                <a:srgbClr val="800000"/>
              </a:solidFill>
              <a:ln w="12700">
                <a:solidFill>
                  <a:srgbClr val="000000"/>
                </a:solidFill>
                <a:prstDash val="solid"/>
              </a:ln>
            </c:spPr>
            <c:extLst>
              <c:ext xmlns:c16="http://schemas.microsoft.com/office/drawing/2014/chart" uri="{C3380CC4-5D6E-409C-BE32-E72D297353CC}">
                <c16:uniqueId val="{0000001A-F32D-4B64-A130-61B58C9DF3F7}"/>
              </c:ext>
            </c:extLst>
          </c:dPt>
          <c:dPt>
            <c:idx val="14"/>
            <c:bubble3D val="0"/>
            <c:spPr>
              <a:solidFill>
                <a:srgbClr val="008080"/>
              </a:solidFill>
              <a:ln w="12700">
                <a:solidFill>
                  <a:srgbClr val="000000"/>
                </a:solidFill>
                <a:prstDash val="solid"/>
              </a:ln>
            </c:spPr>
            <c:extLst>
              <c:ext xmlns:c16="http://schemas.microsoft.com/office/drawing/2014/chart" uri="{C3380CC4-5D6E-409C-BE32-E72D297353CC}">
                <c16:uniqueId val="{0000001C-F32D-4B64-A130-61B58C9DF3F7}"/>
              </c:ext>
            </c:extLst>
          </c:dPt>
          <c:dPt>
            <c:idx val="15"/>
            <c:bubble3D val="0"/>
            <c:spPr>
              <a:solidFill>
                <a:srgbClr val="0000FF"/>
              </a:solidFill>
              <a:ln w="12700">
                <a:solidFill>
                  <a:srgbClr val="000000"/>
                </a:solidFill>
                <a:prstDash val="solid"/>
              </a:ln>
            </c:spPr>
            <c:extLst>
              <c:ext xmlns:c16="http://schemas.microsoft.com/office/drawing/2014/chart" uri="{C3380CC4-5D6E-409C-BE32-E72D297353CC}">
                <c16:uniqueId val="{0000001E-F32D-4B64-A130-61B58C9DF3F7}"/>
              </c:ext>
            </c:extLst>
          </c:dPt>
          <c:dPt>
            <c:idx val="16"/>
            <c:bubble3D val="0"/>
            <c:spPr>
              <a:solidFill>
                <a:srgbClr val="00CCFF"/>
              </a:solidFill>
              <a:ln w="12700">
                <a:solidFill>
                  <a:srgbClr val="000000"/>
                </a:solidFill>
                <a:prstDash val="solid"/>
              </a:ln>
            </c:spPr>
            <c:extLst>
              <c:ext xmlns:c16="http://schemas.microsoft.com/office/drawing/2014/chart" uri="{C3380CC4-5D6E-409C-BE32-E72D297353CC}">
                <c16:uniqueId val="{00000020-F32D-4B64-A130-61B58C9DF3F7}"/>
              </c:ext>
            </c:extLst>
          </c:dPt>
          <c:dPt>
            <c:idx val="17"/>
            <c:bubble3D val="0"/>
            <c:spPr>
              <a:solidFill>
                <a:srgbClr val="CCFFFF"/>
              </a:solidFill>
              <a:ln w="12700">
                <a:solidFill>
                  <a:srgbClr val="000000"/>
                </a:solidFill>
                <a:prstDash val="solid"/>
              </a:ln>
            </c:spPr>
            <c:extLst>
              <c:ext xmlns:c16="http://schemas.microsoft.com/office/drawing/2014/chart" uri="{C3380CC4-5D6E-409C-BE32-E72D297353CC}">
                <c16:uniqueId val="{00000022-F32D-4B64-A130-61B58C9DF3F7}"/>
              </c:ext>
            </c:extLst>
          </c:dPt>
          <c:dPt>
            <c:idx val="18"/>
            <c:bubble3D val="0"/>
            <c:spPr>
              <a:solidFill>
                <a:srgbClr val="CCFFCC"/>
              </a:solidFill>
              <a:ln w="12700">
                <a:solidFill>
                  <a:srgbClr val="000000"/>
                </a:solidFill>
                <a:prstDash val="solid"/>
              </a:ln>
            </c:spPr>
            <c:extLst>
              <c:ext xmlns:c16="http://schemas.microsoft.com/office/drawing/2014/chart" uri="{C3380CC4-5D6E-409C-BE32-E72D297353CC}">
                <c16:uniqueId val="{00000024-F32D-4B64-A130-61B58C9DF3F7}"/>
              </c:ext>
            </c:extLst>
          </c:dPt>
          <c:dLbls>
            <c:dLbl>
              <c:idx val="6"/>
              <c:layout>
                <c:manualLayout>
                  <c:x val="5.1592331877243235E-2"/>
                  <c:y val="0.12749412379595967"/>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C-F32D-4B64-A130-61B58C9DF3F7}"/>
                </c:ext>
              </c:extLst>
            </c:dLbl>
            <c:dLbl>
              <c:idx val="7"/>
              <c:layout>
                <c:manualLayout>
                  <c:x val="-3.0618699164371224E-2"/>
                  <c:y val="0.1167792776761352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E-F32D-4B64-A130-61B58C9DF3F7}"/>
                </c:ext>
              </c:extLst>
            </c:dLbl>
            <c:dLbl>
              <c:idx val="10"/>
              <c:layout>
                <c:manualLayout>
                  <c:x val="-4.0475594260964712E-2"/>
                  <c:y val="6.8295674176496096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4-F32D-4B64-A130-61B58C9DF3F7}"/>
                </c:ext>
              </c:extLst>
            </c:dLbl>
            <c:dLbl>
              <c:idx val="11"/>
              <c:layout>
                <c:manualLayout>
                  <c:x val="-0.11148215130352522"/>
                  <c:y val="9.0920094907909588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6-F32D-4B64-A130-61B58C9DF3F7}"/>
                </c:ext>
              </c:extLst>
            </c:dLbl>
            <c:dLbl>
              <c:idx val="12"/>
              <c:layout>
                <c:manualLayout>
                  <c:x val="-0.26270758558007107"/>
                  <c:y val="5.3180468699896968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8-F32D-4B64-A130-61B58C9DF3F7}"/>
                </c:ext>
              </c:extLst>
            </c:dLbl>
            <c:dLbl>
              <c:idx val="13"/>
              <c:layout>
                <c:manualLayout>
                  <c:x val="-0.15965424816597573"/>
                  <c:y val="-1.5223330986865694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A-F32D-4B64-A130-61B58C9DF3F7}"/>
                </c:ext>
              </c:extLst>
            </c:dLbl>
            <c:dLbl>
              <c:idx val="14"/>
              <c:layout>
                <c:manualLayout>
                  <c:x val="-0.13405933798911179"/>
                  <c:y val="-9.0077444822894814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C-F32D-4B64-A130-61B58C9DF3F7}"/>
                </c:ext>
              </c:extLst>
            </c:dLbl>
            <c:dLbl>
              <c:idx val="15"/>
              <c:layout>
                <c:manualLayout>
                  <c:x val="-8.2838726431280874E-2"/>
                  <c:y val="-0.17158404069631511"/>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E-F32D-4B64-A130-61B58C9DF3F7}"/>
                </c:ext>
              </c:extLst>
            </c:dLbl>
            <c:dLbl>
              <c:idx val="16"/>
              <c:layout>
                <c:manualLayout>
                  <c:x val="1.6374799439822698E-2"/>
                  <c:y val="-0.19100804833528975"/>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20-F32D-4B64-A130-61B58C9DF3F7}"/>
                </c:ext>
              </c:extLst>
            </c:dLbl>
            <c:dLbl>
              <c:idx val="17"/>
              <c:layout>
                <c:manualLayout>
                  <c:x val="0.11929718149188942"/>
                  <c:y val="-0.17390811952735036"/>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22-F32D-4B64-A130-61B58C9DF3F7}"/>
                </c:ext>
              </c:extLst>
            </c:dLbl>
            <c:dLbl>
              <c:idx val="18"/>
              <c:layout>
                <c:manualLayout>
                  <c:x val="0.17978334863619075"/>
                  <c:y val="-9.2826971570586406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24-F32D-4B64-A130-61B58C9DF3F7}"/>
                </c:ext>
              </c:extLst>
            </c:dLbl>
            <c:numFmt formatCode="0.0%" sourceLinked="0"/>
            <c:spPr>
              <a:noFill/>
              <a:ln w="25400">
                <a:noFill/>
              </a:ln>
            </c:spPr>
            <c:txPr>
              <a:bodyPr/>
              <a:lstStyle/>
              <a:p>
                <a:pPr>
                  <a:defRPr sz="1125" b="0" i="0" u="none" strike="noStrike" baseline="0">
                    <a:solidFill>
                      <a:srgbClr val="000000"/>
                    </a:solidFill>
                    <a:latin typeface="Arial"/>
                    <a:ea typeface="Arial"/>
                    <a:cs typeface="Arial"/>
                  </a:defRPr>
                </a:pPr>
                <a:endParaRPr lang="es-ES"/>
              </a:p>
            </c:txPr>
            <c:showLegendKey val="0"/>
            <c:showVal val="0"/>
            <c:showCatName val="1"/>
            <c:showSerName val="0"/>
            <c:showPercent val="1"/>
            <c:showBubbleSize val="0"/>
            <c:showLeaderLines val="1"/>
            <c:extLst>
              <c:ext xmlns:c15="http://schemas.microsoft.com/office/drawing/2012/chart" uri="{CE6537A1-D6FC-4f65-9D91-7224C49458BB}"/>
            </c:extLst>
          </c:dLbls>
          <c:cat>
            <c:strRef>
              <c:f>'4- Nº Explot. por CA y Tipo'!$A$237:$A$255</c:f>
              <c:strCache>
                <c:ptCount val="19"/>
                <c:pt idx="0">
                  <c:v>Andalucía</c:v>
                </c:pt>
                <c:pt idx="1">
                  <c:v>Aragón</c:v>
                </c:pt>
                <c:pt idx="2">
                  <c:v>Asturias</c:v>
                </c:pt>
                <c:pt idx="3">
                  <c:v>Baleares</c:v>
                </c:pt>
                <c:pt idx="4">
                  <c:v>Canarias</c:v>
                </c:pt>
                <c:pt idx="5">
                  <c:v>Cantabria</c:v>
                </c:pt>
                <c:pt idx="6">
                  <c:v>Castilla La Mancha</c:v>
                </c:pt>
                <c:pt idx="7">
                  <c:v>Castilla y León</c:v>
                </c:pt>
                <c:pt idx="8">
                  <c:v>Cataluña</c:v>
                </c:pt>
                <c:pt idx="9">
                  <c:v>Extremadura</c:v>
                </c:pt>
                <c:pt idx="10">
                  <c:v>Galicia</c:v>
                </c:pt>
                <c:pt idx="11">
                  <c:v>Madrid</c:v>
                </c:pt>
                <c:pt idx="12">
                  <c:v>Murcia</c:v>
                </c:pt>
                <c:pt idx="13">
                  <c:v>Navarra</c:v>
                </c:pt>
                <c:pt idx="14">
                  <c:v>País Vasco</c:v>
                </c:pt>
                <c:pt idx="15">
                  <c:v>La Rioja</c:v>
                </c:pt>
                <c:pt idx="16">
                  <c:v>Valencia</c:v>
                </c:pt>
                <c:pt idx="17">
                  <c:v>Ceuta</c:v>
                </c:pt>
                <c:pt idx="18">
                  <c:v>Melilla</c:v>
                </c:pt>
              </c:strCache>
            </c:strRef>
          </c:cat>
          <c:val>
            <c:numRef>
              <c:f>'4- Nº Explot. por CA y Tipo'!$C$237:$C$255</c:f>
              <c:numCache>
                <c:formatCode>General</c:formatCode>
                <c:ptCount val="19"/>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numCache>
            </c:numRef>
          </c:val>
          <c:extLst>
            <c:ext xmlns:c16="http://schemas.microsoft.com/office/drawing/2014/chart" uri="{C3380CC4-5D6E-409C-BE32-E72D297353CC}">
              <c16:uniqueId val="{00000025-F32D-4B64-A130-61B58C9DF3F7}"/>
            </c:ext>
          </c:extLst>
        </c:ser>
        <c:dLbls>
          <c:showLegendKey val="0"/>
          <c:showVal val="0"/>
          <c:showCatName val="0"/>
          <c:showSerName val="0"/>
          <c:showPercent val="0"/>
          <c:showBubbleSize val="0"/>
          <c:showLeaderLines val="1"/>
        </c:dLbls>
        <c:firstSliceAng val="0"/>
      </c:pieChart>
      <c:spPr>
        <a:noFill/>
        <a:ln w="25400">
          <a:noFill/>
        </a:ln>
      </c:spPr>
    </c:plotArea>
    <c:plotVisOnly val="0"/>
    <c:dispBlanksAs val="zero"/>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925"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ES"/>
              <a:t>Nº de Subexplotaciones de Gallinas para Carne por  C.A.</a:t>
            </a:r>
          </a:p>
        </c:rich>
      </c:tx>
      <c:layout>
        <c:manualLayout>
          <c:xMode val="edge"/>
          <c:yMode val="edge"/>
          <c:x val="0.17804154302670624"/>
          <c:y val="3.3033033033033031E-2"/>
        </c:manualLayout>
      </c:layout>
      <c:overlay val="0"/>
      <c:spPr>
        <a:noFill/>
        <a:ln w="25400">
          <a:noFill/>
        </a:ln>
      </c:spPr>
    </c:title>
    <c:autoTitleDeleted val="0"/>
    <c:plotArea>
      <c:layout>
        <c:manualLayout>
          <c:layoutTarget val="inner"/>
          <c:xMode val="edge"/>
          <c:yMode val="edge"/>
          <c:x val="0.10089020771513353"/>
          <c:y val="0.12912950781692187"/>
          <c:w val="0.81454005934718099"/>
          <c:h val="0.55555718479373351"/>
        </c:manualLayout>
      </c:layout>
      <c:lineChart>
        <c:grouping val="standard"/>
        <c:varyColors val="0"/>
        <c:ser>
          <c:idx val="0"/>
          <c:order val="0"/>
          <c:tx>
            <c:v>Granjas de Producción para Carne</c:v>
          </c:tx>
          <c:spPr>
            <a:ln w="12700">
              <a:solidFill>
                <a:srgbClr val="000080"/>
              </a:solidFill>
              <a:prstDash val="solid"/>
            </a:ln>
          </c:spPr>
          <c:marker>
            <c:symbol val="diamond"/>
            <c:size val="5"/>
            <c:spPr>
              <a:solidFill>
                <a:srgbClr val="000080"/>
              </a:solidFill>
              <a:ln>
                <a:solidFill>
                  <a:srgbClr val="000080"/>
                </a:solidFill>
                <a:prstDash val="solid"/>
              </a:ln>
            </c:spPr>
          </c:marker>
          <c:cat>
            <c:numRef>
              <c:f>'11.2- GALLINAS (SUBEXPLOT)'!$C$16:$M$16</c:f>
              <c:numCache>
                <c:formatCode>[$-C0A]d\-mmm\-yy;@</c:formatCode>
                <c:ptCount val="11"/>
                <c:pt idx="0">
                  <c:v>0</c:v>
                </c:pt>
                <c:pt idx="1">
                  <c:v>38899</c:v>
                </c:pt>
                <c:pt idx="2">
                  <c:v>39083</c:v>
                </c:pt>
                <c:pt idx="3">
                  <c:v>39264</c:v>
                </c:pt>
                <c:pt idx="4">
                  <c:v>39448</c:v>
                </c:pt>
                <c:pt idx="5">
                  <c:v>39630</c:v>
                </c:pt>
                <c:pt idx="6">
                  <c:v>39814</c:v>
                </c:pt>
                <c:pt idx="7">
                  <c:v>39995</c:v>
                </c:pt>
                <c:pt idx="8">
                  <c:v>40179</c:v>
                </c:pt>
                <c:pt idx="9">
                  <c:v>40360</c:v>
                </c:pt>
                <c:pt idx="10">
                  <c:v>40544</c:v>
                </c:pt>
              </c:numCache>
            </c:numRef>
          </c:cat>
          <c:val>
            <c:numRef>
              <c:f>'11.2- GALLINAS (SUBEXPLOT)'!$C$20:$M$20</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0-DC12-460A-A148-C2C56001012B}"/>
            </c:ext>
          </c:extLst>
        </c:ser>
        <c:dLbls>
          <c:showLegendKey val="0"/>
          <c:showVal val="0"/>
          <c:showCatName val="0"/>
          <c:showSerName val="0"/>
          <c:showPercent val="0"/>
          <c:showBubbleSize val="0"/>
        </c:dLbls>
        <c:marker val="1"/>
        <c:smooth val="0"/>
        <c:axId val="156202496"/>
        <c:axId val="143136960"/>
      </c:lineChart>
      <c:lineChart>
        <c:grouping val="standard"/>
        <c:varyColors val="0"/>
        <c:ser>
          <c:idx val="1"/>
          <c:order val="1"/>
          <c:tx>
            <c:v>Granjas de Reproducción para Carne</c:v>
          </c:tx>
          <c:spPr>
            <a:ln w="12700">
              <a:solidFill>
                <a:srgbClr val="FF00FF"/>
              </a:solidFill>
              <a:prstDash val="solid"/>
            </a:ln>
          </c:spPr>
          <c:marker>
            <c:symbol val="square"/>
            <c:size val="5"/>
            <c:spPr>
              <a:solidFill>
                <a:srgbClr val="FF00FF"/>
              </a:solidFill>
              <a:ln>
                <a:solidFill>
                  <a:srgbClr val="FF00FF"/>
                </a:solidFill>
                <a:prstDash val="solid"/>
              </a:ln>
            </c:spPr>
          </c:marker>
          <c:cat>
            <c:numRef>
              <c:f>'11.2- GALLINAS (SUBEXPLOT)'!$C$16:$M$16</c:f>
              <c:numCache>
                <c:formatCode>[$-C0A]d\-mmm\-yy;@</c:formatCode>
                <c:ptCount val="11"/>
                <c:pt idx="0">
                  <c:v>0</c:v>
                </c:pt>
                <c:pt idx="1">
                  <c:v>38899</c:v>
                </c:pt>
                <c:pt idx="2">
                  <c:v>39083</c:v>
                </c:pt>
                <c:pt idx="3">
                  <c:v>39264</c:v>
                </c:pt>
                <c:pt idx="4">
                  <c:v>39448</c:v>
                </c:pt>
                <c:pt idx="5">
                  <c:v>39630</c:v>
                </c:pt>
                <c:pt idx="6">
                  <c:v>39814</c:v>
                </c:pt>
                <c:pt idx="7">
                  <c:v>39995</c:v>
                </c:pt>
                <c:pt idx="8">
                  <c:v>40179</c:v>
                </c:pt>
                <c:pt idx="9">
                  <c:v>40360</c:v>
                </c:pt>
                <c:pt idx="10">
                  <c:v>40544</c:v>
                </c:pt>
              </c:numCache>
            </c:numRef>
          </c:cat>
          <c:val>
            <c:numRef>
              <c:f>'11.2- GALLINAS (SUBEXPLOT)'!$C$24:$M$24</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1-DC12-460A-A148-C2C56001012B}"/>
            </c:ext>
          </c:extLst>
        </c:ser>
        <c:dLbls>
          <c:showLegendKey val="0"/>
          <c:showVal val="0"/>
          <c:showCatName val="0"/>
          <c:showSerName val="0"/>
          <c:showPercent val="0"/>
          <c:showBubbleSize val="0"/>
        </c:dLbls>
        <c:marker val="1"/>
        <c:smooth val="0"/>
        <c:axId val="156203520"/>
        <c:axId val="143137536"/>
      </c:lineChart>
      <c:catAx>
        <c:axId val="156202496"/>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Fecha</a:t>
                </a:r>
              </a:p>
            </c:rich>
          </c:tx>
          <c:layout>
            <c:manualLayout>
              <c:xMode val="edge"/>
              <c:yMode val="edge"/>
              <c:x val="0.48071216617210683"/>
              <c:y val="0.76576797269710661"/>
            </c:manualLayout>
          </c:layout>
          <c:overlay val="0"/>
          <c:spPr>
            <a:noFill/>
            <a:ln w="25400">
              <a:noFill/>
            </a:ln>
          </c:spPr>
        </c:title>
        <c:numFmt formatCode="dd\-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43136960"/>
        <c:crosses val="autoZero"/>
        <c:auto val="0"/>
        <c:lblAlgn val="ctr"/>
        <c:lblOffset val="100"/>
        <c:tickLblSkip val="1"/>
        <c:tickMarkSkip val="1"/>
        <c:noMultiLvlLbl val="0"/>
      </c:catAx>
      <c:valAx>
        <c:axId val="143136960"/>
        <c:scaling>
          <c:orientation val="minMax"/>
        </c:scaling>
        <c:delete val="0"/>
        <c:axPos val="l"/>
        <c:majorGridlines>
          <c:spPr>
            <a:ln w="3175">
              <a:solidFill>
                <a:srgbClr val="000000"/>
              </a:solidFill>
              <a:prstDash val="solid"/>
            </a:ln>
          </c:spPr>
        </c:majorGridlines>
        <c:title>
          <c:tx>
            <c:rich>
              <a:bodyPr/>
              <a:lstStyle/>
              <a:p>
                <a:pPr>
                  <a:defRPr sz="900" b="1" i="0" u="none" strike="noStrike" baseline="0">
                    <a:solidFill>
                      <a:srgbClr val="000080"/>
                    </a:solidFill>
                    <a:latin typeface="Arial"/>
                    <a:ea typeface="Arial"/>
                    <a:cs typeface="Arial"/>
                  </a:defRPr>
                </a:pPr>
                <a:r>
                  <a:rPr lang="es-ES"/>
                  <a:t>Producción</a:t>
                </a:r>
              </a:p>
            </c:rich>
          </c:tx>
          <c:layout>
            <c:manualLayout>
              <c:xMode val="edge"/>
              <c:yMode val="edge"/>
              <c:x val="7.4183976261127599E-3"/>
              <c:y val="0.30030124612801778"/>
            </c:manualLayout>
          </c:layout>
          <c:overlay val="0"/>
          <c:spPr>
            <a:noFill/>
            <a:ln w="3175">
              <a:solidFill>
                <a:srgbClr val="000080"/>
              </a:solidFill>
              <a:prstDash val="solid"/>
            </a:ln>
          </c:spPr>
        </c:title>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56202496"/>
        <c:crosses val="autoZero"/>
        <c:crossBetween val="between"/>
      </c:valAx>
      <c:dateAx>
        <c:axId val="156203520"/>
        <c:scaling>
          <c:orientation val="minMax"/>
        </c:scaling>
        <c:delete val="1"/>
        <c:axPos val="b"/>
        <c:numFmt formatCode="[$-C0A]d\-mmm\-yy;@" sourceLinked="1"/>
        <c:majorTickMark val="out"/>
        <c:minorTickMark val="none"/>
        <c:tickLblPos val="nextTo"/>
        <c:crossAx val="143137536"/>
        <c:crosses val="autoZero"/>
        <c:auto val="1"/>
        <c:lblOffset val="100"/>
        <c:baseTimeUnit val="months"/>
      </c:dateAx>
      <c:valAx>
        <c:axId val="143137536"/>
        <c:scaling>
          <c:orientation val="minMax"/>
        </c:scaling>
        <c:delete val="0"/>
        <c:axPos val="r"/>
        <c:title>
          <c:tx>
            <c:rich>
              <a:bodyPr/>
              <a:lstStyle/>
              <a:p>
                <a:pPr>
                  <a:defRPr sz="900" b="1" i="0" u="none" strike="noStrike" baseline="0">
                    <a:solidFill>
                      <a:srgbClr val="FF00FF"/>
                    </a:solidFill>
                    <a:latin typeface="Arial"/>
                    <a:ea typeface="Arial"/>
                    <a:cs typeface="Arial"/>
                  </a:defRPr>
                </a:pPr>
                <a:r>
                  <a:rPr lang="es-ES"/>
                  <a:t>Reproducción</a:t>
                </a:r>
              </a:p>
            </c:rich>
          </c:tx>
          <c:layout>
            <c:manualLayout>
              <c:xMode val="edge"/>
              <c:yMode val="edge"/>
              <c:x val="0.96880550168617641"/>
              <c:y val="0.271009276993529"/>
            </c:manualLayout>
          </c:layout>
          <c:overlay val="0"/>
          <c:spPr>
            <a:noFill/>
            <a:ln w="3175">
              <a:solidFill>
                <a:srgbClr val="FF00FF"/>
              </a:solidFill>
              <a:prstDash val="solid"/>
            </a:ln>
          </c:spPr>
        </c:title>
        <c:numFmt formatCode="#,##0"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56203520"/>
        <c:crosses val="max"/>
        <c:crossBetween val="between"/>
      </c:valAx>
      <c:spPr>
        <a:solidFill>
          <a:srgbClr val="C0C0C0"/>
        </a:solidFill>
        <a:ln w="12700">
          <a:solidFill>
            <a:srgbClr val="808080"/>
          </a:solidFill>
          <a:prstDash val="solid"/>
        </a:ln>
      </c:spPr>
    </c:plotArea>
    <c:plotVisOnly val="1"/>
    <c:dispBlanksAs val="gap"/>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ES"/>
              <a:t>Nº total de Subexplotaciones de Gallinas por C.A.</a:t>
            </a:r>
          </a:p>
        </c:rich>
      </c:tx>
      <c:layout>
        <c:manualLayout>
          <c:xMode val="edge"/>
          <c:yMode val="edge"/>
          <c:x val="0.27816938375660788"/>
          <c:y val="3.2432432432432434E-2"/>
        </c:manualLayout>
      </c:layout>
      <c:overlay val="0"/>
      <c:spPr>
        <a:noFill/>
        <a:ln w="25400">
          <a:noFill/>
        </a:ln>
      </c:spPr>
    </c:title>
    <c:autoTitleDeleted val="0"/>
    <c:plotArea>
      <c:layout>
        <c:manualLayout>
          <c:layoutTarget val="inner"/>
          <c:xMode val="edge"/>
          <c:yMode val="edge"/>
          <c:x val="6.4554064602205058E-2"/>
          <c:y val="0.15675696362563823"/>
          <c:w val="0.9213625584132904"/>
          <c:h val="0.53783854761210359"/>
        </c:manualLayout>
      </c:layout>
      <c:lineChart>
        <c:grouping val="standard"/>
        <c:varyColors val="0"/>
        <c:ser>
          <c:idx val="0"/>
          <c:order val="0"/>
          <c:tx>
            <c:v>Todas (*)</c:v>
          </c:tx>
          <c:spPr>
            <a:ln w="12700">
              <a:solidFill>
                <a:srgbClr val="000080"/>
              </a:solidFill>
              <a:prstDash val="solid"/>
            </a:ln>
          </c:spPr>
          <c:marker>
            <c:symbol val="diamond"/>
            <c:size val="5"/>
            <c:spPr>
              <a:solidFill>
                <a:srgbClr val="000080"/>
              </a:solidFill>
              <a:ln>
                <a:solidFill>
                  <a:srgbClr val="000080"/>
                </a:solidFill>
                <a:prstDash val="solid"/>
              </a:ln>
            </c:spPr>
          </c:marker>
          <c:cat>
            <c:numRef>
              <c:f>'11.2- GALLINAS (SUBEXPLOT)'!$C$16:$M$16</c:f>
              <c:numCache>
                <c:formatCode>[$-C0A]d\-mmm\-yy;@</c:formatCode>
                <c:ptCount val="11"/>
                <c:pt idx="0">
                  <c:v>0</c:v>
                </c:pt>
                <c:pt idx="1">
                  <c:v>38899</c:v>
                </c:pt>
                <c:pt idx="2">
                  <c:v>39083</c:v>
                </c:pt>
                <c:pt idx="3">
                  <c:v>39264</c:v>
                </c:pt>
                <c:pt idx="4">
                  <c:v>39448</c:v>
                </c:pt>
                <c:pt idx="5">
                  <c:v>39630</c:v>
                </c:pt>
                <c:pt idx="6">
                  <c:v>39814</c:v>
                </c:pt>
                <c:pt idx="7">
                  <c:v>39995</c:v>
                </c:pt>
                <c:pt idx="8">
                  <c:v>40179</c:v>
                </c:pt>
                <c:pt idx="9">
                  <c:v>40360</c:v>
                </c:pt>
                <c:pt idx="10">
                  <c:v>40544</c:v>
                </c:pt>
              </c:numCache>
            </c:numRef>
          </c:cat>
          <c:val>
            <c:numRef>
              <c:f>'11.2- GALLINAS (SUBEXPLOT)'!$C$26:$M$26</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0-5EDC-483C-B9A5-165602D0314F}"/>
            </c:ext>
          </c:extLst>
        </c:ser>
        <c:dLbls>
          <c:showLegendKey val="0"/>
          <c:showVal val="0"/>
          <c:showCatName val="0"/>
          <c:showSerName val="0"/>
          <c:showPercent val="0"/>
          <c:showBubbleSize val="0"/>
        </c:dLbls>
        <c:marker val="1"/>
        <c:smooth val="0"/>
        <c:axId val="156204544"/>
        <c:axId val="159121984"/>
      </c:lineChart>
      <c:catAx>
        <c:axId val="156204544"/>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Fecha</a:t>
                </a:r>
              </a:p>
            </c:rich>
          </c:tx>
          <c:layout>
            <c:manualLayout>
              <c:xMode val="edge"/>
              <c:yMode val="edge"/>
              <c:x val="0.49061094475866573"/>
              <c:y val="0.77297410796623389"/>
            </c:manualLayout>
          </c:layout>
          <c:overlay val="0"/>
          <c:spPr>
            <a:noFill/>
            <a:ln w="25400">
              <a:noFill/>
            </a:ln>
          </c:spPr>
        </c:title>
        <c:numFmt formatCode="dd\-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59121984"/>
        <c:crosses val="autoZero"/>
        <c:auto val="0"/>
        <c:lblAlgn val="ctr"/>
        <c:lblOffset val="100"/>
        <c:tickLblSkip val="1"/>
        <c:tickMarkSkip val="1"/>
        <c:noMultiLvlLbl val="0"/>
      </c:catAx>
      <c:valAx>
        <c:axId val="159121984"/>
        <c:scaling>
          <c:orientation val="minMax"/>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56204544"/>
        <c:crosses val="autoZero"/>
        <c:crossBetween val="between"/>
      </c:valAx>
      <c:spPr>
        <a:solidFill>
          <a:srgbClr val="C0C0C0"/>
        </a:solidFill>
        <a:ln w="12700">
          <a:solidFill>
            <a:srgbClr val="808080"/>
          </a:solidFill>
          <a:prstDash val="solid"/>
        </a:ln>
      </c:spPr>
    </c:plotArea>
    <c:plotVisOnly val="1"/>
    <c:dispBlanksAs val="gap"/>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AUX!$H$46</c:f>
          <c:strCache>
            <c:ptCount val="1"/>
            <c:pt idx="0">
              <c:v>Distribución del Total de las Subexplotaciones de Gallinas por C.A. 
(31 de diciembre de 1904)</c:v>
            </c:pt>
          </c:strCache>
        </c:strRef>
      </c:tx>
      <c:layout>
        <c:manualLayout>
          <c:xMode val="edge"/>
          <c:yMode val="edge"/>
          <c:x val="0.27523736409566579"/>
          <c:y val="5.5974165769644778E-2"/>
        </c:manualLayout>
      </c:layout>
      <c:overlay val="0"/>
      <c:spPr>
        <a:noFill/>
        <a:ln w="25400">
          <a:noFill/>
        </a:ln>
      </c:spPr>
      <c:txPr>
        <a:bodyPr/>
        <a:lstStyle/>
        <a:p>
          <a:pPr>
            <a:defRPr sz="1875" b="0" i="0" u="none" strike="noStrike" baseline="0">
              <a:solidFill>
                <a:srgbClr val="000000"/>
              </a:solidFill>
              <a:latin typeface="Arial"/>
              <a:ea typeface="Arial"/>
              <a:cs typeface="Arial"/>
            </a:defRPr>
          </a:pPr>
          <a:endParaRPr lang="es-ES"/>
        </a:p>
      </c:txPr>
    </c:title>
    <c:autoTitleDeleted val="0"/>
    <c:plotArea>
      <c:layout>
        <c:manualLayout>
          <c:layoutTarget val="inner"/>
          <c:xMode val="edge"/>
          <c:yMode val="edge"/>
          <c:x val="0.38740309677451973"/>
          <c:y val="0.45855758880516684"/>
          <c:w val="0.25711831367217569"/>
          <c:h val="0.32077502691065662"/>
        </c:manualLayout>
      </c:layout>
      <c:pieChart>
        <c:varyColors val="1"/>
        <c:ser>
          <c:idx val="0"/>
          <c:order val="0"/>
          <c:spPr>
            <a:solidFill>
              <a:srgbClr val="9999FF"/>
            </a:solidFill>
            <a:ln w="12700">
              <a:solidFill>
                <a:srgbClr val="000000"/>
              </a:solidFill>
              <a:prstDash val="solid"/>
            </a:ln>
          </c:spPr>
          <c:dPt>
            <c:idx val="0"/>
            <c:bubble3D val="0"/>
            <c:extLst>
              <c:ext xmlns:c16="http://schemas.microsoft.com/office/drawing/2014/chart" uri="{C3380CC4-5D6E-409C-BE32-E72D297353CC}">
                <c16:uniqueId val="{00000000-B74A-4873-BC3D-78D20A92E317}"/>
              </c:ext>
            </c:extLst>
          </c:dPt>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2-B74A-4873-BC3D-78D20A92E317}"/>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4-B74A-4873-BC3D-78D20A92E317}"/>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6-B74A-4873-BC3D-78D20A92E317}"/>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8-B74A-4873-BC3D-78D20A92E317}"/>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A-B74A-4873-BC3D-78D20A92E317}"/>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C-B74A-4873-BC3D-78D20A92E317}"/>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E-B74A-4873-BC3D-78D20A92E317}"/>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10-B74A-4873-BC3D-78D20A92E317}"/>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2-B74A-4873-BC3D-78D20A92E317}"/>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4-B74A-4873-BC3D-78D20A92E317}"/>
              </c:ext>
            </c:extLst>
          </c:dPt>
          <c:dPt>
            <c:idx val="11"/>
            <c:bubble3D val="0"/>
            <c:spPr>
              <a:solidFill>
                <a:srgbClr val="00FFFF"/>
              </a:solidFill>
              <a:ln w="12700">
                <a:solidFill>
                  <a:srgbClr val="000000"/>
                </a:solidFill>
                <a:prstDash val="solid"/>
              </a:ln>
            </c:spPr>
            <c:extLst>
              <c:ext xmlns:c16="http://schemas.microsoft.com/office/drawing/2014/chart" uri="{C3380CC4-5D6E-409C-BE32-E72D297353CC}">
                <c16:uniqueId val="{00000016-B74A-4873-BC3D-78D20A92E317}"/>
              </c:ext>
            </c:extLst>
          </c:dPt>
          <c:dPt>
            <c:idx val="12"/>
            <c:bubble3D val="0"/>
            <c:spPr>
              <a:solidFill>
                <a:srgbClr val="800080"/>
              </a:solidFill>
              <a:ln w="12700">
                <a:solidFill>
                  <a:srgbClr val="000000"/>
                </a:solidFill>
                <a:prstDash val="solid"/>
              </a:ln>
            </c:spPr>
            <c:extLst>
              <c:ext xmlns:c16="http://schemas.microsoft.com/office/drawing/2014/chart" uri="{C3380CC4-5D6E-409C-BE32-E72D297353CC}">
                <c16:uniqueId val="{00000018-B74A-4873-BC3D-78D20A92E317}"/>
              </c:ext>
            </c:extLst>
          </c:dPt>
          <c:dPt>
            <c:idx val="13"/>
            <c:bubble3D val="0"/>
            <c:spPr>
              <a:solidFill>
                <a:srgbClr val="800000"/>
              </a:solidFill>
              <a:ln w="12700">
                <a:solidFill>
                  <a:srgbClr val="000000"/>
                </a:solidFill>
                <a:prstDash val="solid"/>
              </a:ln>
            </c:spPr>
            <c:extLst>
              <c:ext xmlns:c16="http://schemas.microsoft.com/office/drawing/2014/chart" uri="{C3380CC4-5D6E-409C-BE32-E72D297353CC}">
                <c16:uniqueId val="{0000001A-B74A-4873-BC3D-78D20A92E317}"/>
              </c:ext>
            </c:extLst>
          </c:dPt>
          <c:dPt>
            <c:idx val="14"/>
            <c:bubble3D val="0"/>
            <c:spPr>
              <a:solidFill>
                <a:srgbClr val="008080"/>
              </a:solidFill>
              <a:ln w="12700">
                <a:solidFill>
                  <a:srgbClr val="000000"/>
                </a:solidFill>
                <a:prstDash val="solid"/>
              </a:ln>
            </c:spPr>
            <c:extLst>
              <c:ext xmlns:c16="http://schemas.microsoft.com/office/drawing/2014/chart" uri="{C3380CC4-5D6E-409C-BE32-E72D297353CC}">
                <c16:uniqueId val="{0000001C-B74A-4873-BC3D-78D20A92E317}"/>
              </c:ext>
            </c:extLst>
          </c:dPt>
          <c:dPt>
            <c:idx val="15"/>
            <c:bubble3D val="0"/>
            <c:spPr>
              <a:solidFill>
                <a:srgbClr val="0000FF"/>
              </a:solidFill>
              <a:ln w="12700">
                <a:solidFill>
                  <a:srgbClr val="000000"/>
                </a:solidFill>
                <a:prstDash val="solid"/>
              </a:ln>
            </c:spPr>
            <c:extLst>
              <c:ext xmlns:c16="http://schemas.microsoft.com/office/drawing/2014/chart" uri="{C3380CC4-5D6E-409C-BE32-E72D297353CC}">
                <c16:uniqueId val="{0000001E-B74A-4873-BC3D-78D20A92E317}"/>
              </c:ext>
            </c:extLst>
          </c:dPt>
          <c:dPt>
            <c:idx val="16"/>
            <c:bubble3D val="0"/>
            <c:spPr>
              <a:solidFill>
                <a:srgbClr val="00CCFF"/>
              </a:solidFill>
              <a:ln w="12700">
                <a:solidFill>
                  <a:srgbClr val="000000"/>
                </a:solidFill>
                <a:prstDash val="solid"/>
              </a:ln>
            </c:spPr>
            <c:extLst>
              <c:ext xmlns:c16="http://schemas.microsoft.com/office/drawing/2014/chart" uri="{C3380CC4-5D6E-409C-BE32-E72D297353CC}">
                <c16:uniqueId val="{00000020-B74A-4873-BC3D-78D20A92E317}"/>
              </c:ext>
            </c:extLst>
          </c:dPt>
          <c:dPt>
            <c:idx val="17"/>
            <c:bubble3D val="0"/>
            <c:spPr>
              <a:solidFill>
                <a:srgbClr val="CCFFFF"/>
              </a:solidFill>
              <a:ln w="12700">
                <a:solidFill>
                  <a:srgbClr val="000000"/>
                </a:solidFill>
                <a:prstDash val="solid"/>
              </a:ln>
            </c:spPr>
            <c:extLst>
              <c:ext xmlns:c16="http://schemas.microsoft.com/office/drawing/2014/chart" uri="{C3380CC4-5D6E-409C-BE32-E72D297353CC}">
                <c16:uniqueId val="{00000022-B74A-4873-BC3D-78D20A92E317}"/>
              </c:ext>
            </c:extLst>
          </c:dPt>
          <c:dPt>
            <c:idx val="18"/>
            <c:bubble3D val="0"/>
            <c:spPr>
              <a:solidFill>
                <a:srgbClr val="CCFFCC"/>
              </a:solidFill>
              <a:ln w="12700">
                <a:solidFill>
                  <a:srgbClr val="000000"/>
                </a:solidFill>
                <a:prstDash val="solid"/>
              </a:ln>
            </c:spPr>
            <c:extLst>
              <c:ext xmlns:c16="http://schemas.microsoft.com/office/drawing/2014/chart" uri="{C3380CC4-5D6E-409C-BE32-E72D297353CC}">
                <c16:uniqueId val="{00000024-B74A-4873-BC3D-78D20A92E317}"/>
              </c:ext>
            </c:extLst>
          </c:dPt>
          <c:dLbls>
            <c:dLbl>
              <c:idx val="0"/>
              <c:layout>
                <c:manualLayout>
                  <c:x val="2.6856420336810002E-2"/>
                  <c:y val="-0.1071677558066275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B74A-4873-BC3D-78D20A92E317}"/>
                </c:ext>
              </c:extLst>
            </c:dLbl>
            <c:dLbl>
              <c:idx val="1"/>
              <c:layout>
                <c:manualLayout>
                  <c:x val="-2.1364333657128507E-3"/>
                  <c:y val="-7.0872583338277589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B74A-4873-BC3D-78D20A92E317}"/>
                </c:ext>
              </c:extLst>
            </c:dLbl>
            <c:dLbl>
              <c:idx val="2"/>
              <c:layout>
                <c:manualLayout>
                  <c:x val="7.2316352022262276E-2"/>
                  <c:y val="-0.14377569107490279"/>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B74A-4873-BC3D-78D20A92E317}"/>
                </c:ext>
              </c:extLst>
            </c:dLbl>
            <c:dLbl>
              <c:idx val="3"/>
              <c:layout>
                <c:manualLayout>
                  <c:x val="7.0135118652337139E-2"/>
                  <c:y val="-6.9849408063175994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B74A-4873-BC3D-78D20A92E317}"/>
                </c:ext>
              </c:extLst>
            </c:dLbl>
            <c:dLbl>
              <c:idx val="4"/>
              <c:layout>
                <c:manualLayout>
                  <c:x val="0.13554980284021961"/>
                  <c:y val="-3.9894561080833696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B74A-4873-BC3D-78D20A92E317}"/>
                </c:ext>
              </c:extLst>
            </c:dLbl>
            <c:dLbl>
              <c:idx val="5"/>
              <c:layout>
                <c:manualLayout>
                  <c:x val="0.12218114301977313"/>
                  <c:y val="3.3699367871590273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A-B74A-4873-BC3D-78D20A92E317}"/>
                </c:ext>
              </c:extLst>
            </c:dLbl>
            <c:dLbl>
              <c:idx val="6"/>
              <c:layout>
                <c:manualLayout>
                  <c:x val="3.653633657238628E-2"/>
                  <c:y val="5.3000073923601239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C-B74A-4873-BC3D-78D20A92E317}"/>
                </c:ext>
              </c:extLst>
            </c:dLbl>
            <c:dLbl>
              <c:idx val="7"/>
              <c:layout>
                <c:manualLayout>
                  <c:x val="2.2725864086266326E-2"/>
                  <c:y val="7.1225856190378689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E-B74A-4873-BC3D-78D20A92E317}"/>
                </c:ext>
              </c:extLst>
            </c:dLbl>
            <c:dLbl>
              <c:idx val="8"/>
              <c:layout>
                <c:manualLayout>
                  <c:x val="3.9343198695523923E-3"/>
                  <c:y val="3.4892032467954835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0-B74A-4873-BC3D-78D20A92E317}"/>
                </c:ext>
              </c:extLst>
            </c:dLbl>
            <c:dLbl>
              <c:idx val="9"/>
              <c:layout>
                <c:manualLayout>
                  <c:x val="-2.5704627611960952E-3"/>
                  <c:y val="5.2796984876352288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2-B74A-4873-BC3D-78D20A92E317}"/>
                </c:ext>
              </c:extLst>
            </c:dLbl>
            <c:dLbl>
              <c:idx val="10"/>
              <c:layout>
                <c:manualLayout>
                  <c:x val="-3.5643143127778346E-2"/>
                  <c:y val="6.6584620948215753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4-B74A-4873-BC3D-78D20A92E317}"/>
                </c:ext>
              </c:extLst>
            </c:dLbl>
            <c:dLbl>
              <c:idx val="11"/>
              <c:layout>
                <c:manualLayout>
                  <c:x val="-5.0900662894404827E-2"/>
                  <c:y val="3.8653478325973517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6-B74A-4873-BC3D-78D20A92E317}"/>
                </c:ext>
              </c:extLst>
            </c:dLbl>
            <c:dLbl>
              <c:idx val="12"/>
              <c:layout>
                <c:manualLayout>
                  <c:x val="-8.0027417950204821E-2"/>
                  <c:y val="-1.1654447392138447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8-B74A-4873-BC3D-78D20A92E317}"/>
                </c:ext>
              </c:extLst>
            </c:dLbl>
            <c:dLbl>
              <c:idx val="13"/>
              <c:layout>
                <c:manualLayout>
                  <c:x val="-6.8504307995281469E-2"/>
                  <c:y val="-5.8447064407584182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A-B74A-4873-BC3D-78D20A92E317}"/>
                </c:ext>
              </c:extLst>
            </c:dLbl>
            <c:dLbl>
              <c:idx val="14"/>
              <c:layout>
                <c:manualLayout>
                  <c:x val="-6.1742113938851297E-2"/>
                  <c:y val="-0.12107213186080484"/>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C-B74A-4873-BC3D-78D20A92E317}"/>
                </c:ext>
              </c:extLst>
            </c:dLbl>
            <c:dLbl>
              <c:idx val="15"/>
              <c:layout>
                <c:manualLayout>
                  <c:x val="-2.3461223973509335E-2"/>
                  <c:y val="-0.11676104557355037"/>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E-B74A-4873-BC3D-78D20A92E317}"/>
                </c:ext>
              </c:extLst>
            </c:dLbl>
            <c:dLbl>
              <c:idx val="16"/>
              <c:layout>
                <c:manualLayout>
                  <c:x val="6.3042722069379881E-3"/>
                  <c:y val="-0.14088893946683129"/>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20-B74A-4873-BC3D-78D20A92E317}"/>
                </c:ext>
              </c:extLst>
            </c:dLbl>
            <c:numFmt formatCode="0.0%" sourceLinked="0"/>
            <c:spPr>
              <a:noFill/>
              <a:ln w="25400">
                <a:noFill/>
              </a:ln>
            </c:spPr>
            <c:txPr>
              <a:bodyPr/>
              <a:lstStyle/>
              <a:p>
                <a:pPr>
                  <a:defRPr sz="1000" b="0" i="0" u="none" strike="noStrike" baseline="0">
                    <a:solidFill>
                      <a:srgbClr val="000000"/>
                    </a:solidFill>
                    <a:latin typeface="Arial"/>
                    <a:ea typeface="Arial"/>
                    <a:cs typeface="Arial"/>
                  </a:defRPr>
                </a:pPr>
                <a:endParaRPr lang="es-ES"/>
              </a:p>
            </c:txPr>
            <c:showLegendKey val="0"/>
            <c:showVal val="0"/>
            <c:showCatName val="1"/>
            <c:showSerName val="0"/>
            <c:showPercent val="1"/>
            <c:showBubbleSize val="0"/>
            <c:showLeaderLines val="1"/>
            <c:extLst>
              <c:ext xmlns:c15="http://schemas.microsoft.com/office/drawing/2012/chart" uri="{CE6537A1-D6FC-4f65-9D91-7224C49458BB}"/>
            </c:extLst>
          </c:dLbls>
          <c:cat>
            <c:strRef>
              <c:f>'11.2- GALLINAS (SUBEXPLOT)'!$B$300:$B$318</c:f>
              <c:strCache>
                <c:ptCount val="19"/>
                <c:pt idx="0">
                  <c:v>Andalucía</c:v>
                </c:pt>
                <c:pt idx="1">
                  <c:v>Aragón</c:v>
                </c:pt>
                <c:pt idx="2">
                  <c:v>Asturias</c:v>
                </c:pt>
                <c:pt idx="3">
                  <c:v>Baleares</c:v>
                </c:pt>
                <c:pt idx="4">
                  <c:v>Canarias</c:v>
                </c:pt>
                <c:pt idx="5">
                  <c:v>Cantabria</c:v>
                </c:pt>
                <c:pt idx="6">
                  <c:v>Castilla La Mancha</c:v>
                </c:pt>
                <c:pt idx="7">
                  <c:v>Castilla y León</c:v>
                </c:pt>
                <c:pt idx="8">
                  <c:v>Cataluña</c:v>
                </c:pt>
                <c:pt idx="9">
                  <c:v>Extremadura</c:v>
                </c:pt>
                <c:pt idx="10">
                  <c:v>Galicia</c:v>
                </c:pt>
                <c:pt idx="11">
                  <c:v>Madrid</c:v>
                </c:pt>
                <c:pt idx="12">
                  <c:v>Murcia</c:v>
                </c:pt>
                <c:pt idx="13">
                  <c:v>Navarra</c:v>
                </c:pt>
                <c:pt idx="14">
                  <c:v>País Vasco</c:v>
                </c:pt>
                <c:pt idx="15">
                  <c:v>La Rioja</c:v>
                </c:pt>
                <c:pt idx="16">
                  <c:v>Valencia</c:v>
                </c:pt>
                <c:pt idx="17">
                  <c:v>Ceuta</c:v>
                </c:pt>
                <c:pt idx="18">
                  <c:v>Melilla</c:v>
                </c:pt>
              </c:strCache>
            </c:strRef>
          </c:cat>
          <c:val>
            <c:numRef>
              <c:f>'11.2- GALLINAS (SUBEXPLOT)'!$H$300:$H$318</c:f>
              <c:numCache>
                <c:formatCode>#,##0</c:formatCode>
                <c:ptCount val="19"/>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numCache>
            </c:numRef>
          </c:val>
          <c:extLst>
            <c:ext xmlns:c16="http://schemas.microsoft.com/office/drawing/2014/chart" uri="{C3380CC4-5D6E-409C-BE32-E72D297353CC}">
              <c16:uniqueId val="{00000025-B74A-4873-BC3D-78D20A92E317}"/>
            </c:ext>
          </c:extLst>
        </c:ser>
        <c:dLbls>
          <c:showLegendKey val="0"/>
          <c:showVal val="0"/>
          <c:showCatName val="0"/>
          <c:showSerName val="0"/>
          <c:showPercent val="0"/>
          <c:showBubbleSize val="0"/>
          <c:showLeaderLines val="1"/>
        </c:dLbls>
        <c:firstSliceAng val="0"/>
      </c:pieChart>
      <c:spPr>
        <a:noFill/>
        <a:ln w="25400">
          <a:noFill/>
        </a:ln>
      </c:spPr>
    </c:plotArea>
    <c:plotVisOnly val="0"/>
    <c:dispBlanksAs val="zero"/>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1875"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ES"/>
              <a:t>Censo de Pavos de Producción para Carne por C.A.</a:t>
            </a:r>
          </a:p>
        </c:rich>
      </c:tx>
      <c:layout>
        <c:manualLayout>
          <c:xMode val="edge"/>
          <c:yMode val="edge"/>
          <c:x val="0.29035672427738984"/>
          <c:y val="5.5555898649923663E-2"/>
        </c:manualLayout>
      </c:layout>
      <c:overlay val="0"/>
      <c:spPr>
        <a:noFill/>
        <a:ln w="25400">
          <a:noFill/>
        </a:ln>
      </c:spPr>
    </c:title>
    <c:autoTitleDeleted val="0"/>
    <c:plotArea>
      <c:layout>
        <c:manualLayout>
          <c:layoutTarget val="inner"/>
          <c:xMode val="edge"/>
          <c:yMode val="edge"/>
          <c:x val="7.6519994472282082E-2"/>
          <c:y val="0.21568696284901848"/>
          <c:w val="0.9088059617461447"/>
          <c:h val="0.57189724997845814"/>
        </c:manualLayout>
      </c:layout>
      <c:lineChart>
        <c:grouping val="standard"/>
        <c:varyColors val="0"/>
        <c:ser>
          <c:idx val="0"/>
          <c:order val="0"/>
          <c:tx>
            <c:v>Producción para Carne</c:v>
          </c:tx>
          <c:spPr>
            <a:ln w="12700">
              <a:solidFill>
                <a:srgbClr val="000080"/>
              </a:solidFill>
              <a:prstDash val="solid"/>
            </a:ln>
          </c:spPr>
          <c:marker>
            <c:symbol val="diamond"/>
            <c:size val="5"/>
            <c:spPr>
              <a:solidFill>
                <a:srgbClr val="000080"/>
              </a:solidFill>
              <a:ln>
                <a:solidFill>
                  <a:srgbClr val="000080"/>
                </a:solidFill>
                <a:prstDash val="solid"/>
              </a:ln>
            </c:spPr>
          </c:marker>
          <c:cat>
            <c:numRef>
              <c:f>'12.1- PAVOS (CENSO)'!$C$17:$M$17</c:f>
              <c:numCache>
                <c:formatCode>[$-C0A]d\-mmm\-yy;@</c:formatCode>
                <c:ptCount val="11"/>
                <c:pt idx="0">
                  <c:v>0</c:v>
                </c:pt>
                <c:pt idx="1">
                  <c:v>38899</c:v>
                </c:pt>
                <c:pt idx="2">
                  <c:v>39083</c:v>
                </c:pt>
                <c:pt idx="3">
                  <c:v>39264</c:v>
                </c:pt>
                <c:pt idx="4">
                  <c:v>39448</c:v>
                </c:pt>
                <c:pt idx="5">
                  <c:v>39630</c:v>
                </c:pt>
                <c:pt idx="6">
                  <c:v>39814</c:v>
                </c:pt>
                <c:pt idx="7">
                  <c:v>39995</c:v>
                </c:pt>
                <c:pt idx="8">
                  <c:v>40179</c:v>
                </c:pt>
                <c:pt idx="9">
                  <c:v>40360</c:v>
                </c:pt>
                <c:pt idx="10">
                  <c:v>40544</c:v>
                </c:pt>
              </c:numCache>
            </c:numRef>
          </c:cat>
          <c:val>
            <c:numRef>
              <c:f>'12.1- PAVOS (CENSO)'!$C$19:$M$19</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0-38D6-4D91-962E-D5A9D143F202}"/>
            </c:ext>
          </c:extLst>
        </c:ser>
        <c:dLbls>
          <c:showLegendKey val="0"/>
          <c:showVal val="0"/>
          <c:showCatName val="0"/>
          <c:showSerName val="0"/>
          <c:showPercent val="0"/>
          <c:showBubbleSize val="0"/>
        </c:dLbls>
        <c:marker val="1"/>
        <c:smooth val="0"/>
        <c:axId val="156205056"/>
        <c:axId val="159126592"/>
      </c:lineChart>
      <c:catAx>
        <c:axId val="156205056"/>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Fecha</a:t>
                </a:r>
              </a:p>
            </c:rich>
          </c:tx>
          <c:layout>
            <c:manualLayout>
              <c:xMode val="edge"/>
              <c:yMode val="edge"/>
              <c:x val="0.51153094856853587"/>
              <c:y val="0.87581973821899717"/>
            </c:manualLayout>
          </c:layout>
          <c:overlay val="0"/>
          <c:spPr>
            <a:noFill/>
            <a:ln w="25400">
              <a:noFill/>
            </a:ln>
          </c:spPr>
        </c:title>
        <c:numFmt formatCode="dd\-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59126592"/>
        <c:crosses val="autoZero"/>
        <c:auto val="0"/>
        <c:lblAlgn val="ctr"/>
        <c:lblOffset val="100"/>
        <c:tickLblSkip val="1"/>
        <c:tickMarkSkip val="1"/>
        <c:noMultiLvlLbl val="0"/>
      </c:catAx>
      <c:valAx>
        <c:axId val="159126592"/>
        <c:scaling>
          <c:orientation val="minMax"/>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56205056"/>
        <c:crosses val="autoZero"/>
        <c:crossBetween val="between"/>
      </c:valAx>
      <c:spPr>
        <a:solidFill>
          <a:srgbClr val="C0C0C0"/>
        </a:solidFill>
        <a:ln w="12700">
          <a:solidFill>
            <a:srgbClr val="808080"/>
          </a:solidFill>
          <a:prstDash val="solid"/>
        </a:ln>
      </c:spPr>
    </c:plotArea>
    <c:plotVisOnly val="1"/>
    <c:dispBlanksAs val="gap"/>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ES"/>
              <a:t>Censo total de Pavos por C.A.</a:t>
            </a:r>
          </a:p>
        </c:rich>
      </c:tx>
      <c:layout>
        <c:manualLayout>
          <c:xMode val="edge"/>
          <c:yMode val="edge"/>
          <c:x val="0.37945536682128567"/>
          <c:y val="5.8823872506132815E-2"/>
        </c:manualLayout>
      </c:layout>
      <c:overlay val="0"/>
      <c:spPr>
        <a:noFill/>
        <a:ln w="25400">
          <a:noFill/>
        </a:ln>
      </c:spPr>
    </c:title>
    <c:autoTitleDeleted val="0"/>
    <c:plotArea>
      <c:layout>
        <c:manualLayout>
          <c:layoutTarget val="inner"/>
          <c:xMode val="edge"/>
          <c:yMode val="edge"/>
          <c:x val="7.6519994472282082E-2"/>
          <c:y val="0.21568696284901848"/>
          <c:w val="0.9088059617461447"/>
          <c:h val="0.57189724997845814"/>
        </c:manualLayout>
      </c:layout>
      <c:lineChart>
        <c:grouping val="standard"/>
        <c:varyColors val="0"/>
        <c:ser>
          <c:idx val="0"/>
          <c:order val="0"/>
          <c:tx>
            <c:v>Todas (*)</c:v>
          </c:tx>
          <c:spPr>
            <a:ln w="12700">
              <a:solidFill>
                <a:srgbClr val="000080"/>
              </a:solidFill>
              <a:prstDash val="solid"/>
            </a:ln>
          </c:spPr>
          <c:marker>
            <c:symbol val="diamond"/>
            <c:size val="5"/>
            <c:spPr>
              <a:solidFill>
                <a:srgbClr val="000080"/>
              </a:solidFill>
              <a:ln>
                <a:solidFill>
                  <a:srgbClr val="000080"/>
                </a:solidFill>
                <a:prstDash val="solid"/>
              </a:ln>
            </c:spPr>
          </c:marker>
          <c:cat>
            <c:numRef>
              <c:f>'12.1- PAVOS (CENSO)'!$C$17:$M$17</c:f>
              <c:numCache>
                <c:formatCode>[$-C0A]d\-mmm\-yy;@</c:formatCode>
                <c:ptCount val="11"/>
                <c:pt idx="0">
                  <c:v>0</c:v>
                </c:pt>
                <c:pt idx="1">
                  <c:v>38899</c:v>
                </c:pt>
                <c:pt idx="2">
                  <c:v>39083</c:v>
                </c:pt>
                <c:pt idx="3">
                  <c:v>39264</c:v>
                </c:pt>
                <c:pt idx="4">
                  <c:v>39448</c:v>
                </c:pt>
                <c:pt idx="5">
                  <c:v>39630</c:v>
                </c:pt>
                <c:pt idx="6">
                  <c:v>39814</c:v>
                </c:pt>
                <c:pt idx="7">
                  <c:v>39995</c:v>
                </c:pt>
                <c:pt idx="8">
                  <c:v>40179</c:v>
                </c:pt>
                <c:pt idx="9">
                  <c:v>40360</c:v>
                </c:pt>
                <c:pt idx="10">
                  <c:v>40544</c:v>
                </c:pt>
              </c:numCache>
            </c:numRef>
          </c:cat>
          <c:val>
            <c:numRef>
              <c:f>'12.1- PAVOS (CENSO)'!$C$21:$M$21</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0-10AB-4B57-A9F2-1886EB5E8132}"/>
            </c:ext>
          </c:extLst>
        </c:ser>
        <c:dLbls>
          <c:showLegendKey val="0"/>
          <c:showVal val="0"/>
          <c:showCatName val="0"/>
          <c:showSerName val="0"/>
          <c:showPercent val="0"/>
          <c:showBubbleSize val="0"/>
        </c:dLbls>
        <c:marker val="1"/>
        <c:smooth val="0"/>
        <c:axId val="156206592"/>
        <c:axId val="159128320"/>
      </c:lineChart>
      <c:catAx>
        <c:axId val="156206592"/>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Fecha</a:t>
                </a:r>
              </a:p>
            </c:rich>
          </c:tx>
          <c:layout>
            <c:manualLayout>
              <c:xMode val="edge"/>
              <c:yMode val="edge"/>
              <c:x val="0.51153094856853587"/>
              <c:y val="0.87581973821899717"/>
            </c:manualLayout>
          </c:layout>
          <c:overlay val="0"/>
          <c:spPr>
            <a:noFill/>
            <a:ln w="25400">
              <a:noFill/>
            </a:ln>
          </c:spPr>
        </c:title>
        <c:numFmt formatCode="dd\-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59128320"/>
        <c:crosses val="autoZero"/>
        <c:auto val="0"/>
        <c:lblAlgn val="ctr"/>
        <c:lblOffset val="100"/>
        <c:tickLblSkip val="1"/>
        <c:tickMarkSkip val="1"/>
        <c:noMultiLvlLbl val="0"/>
      </c:catAx>
      <c:valAx>
        <c:axId val="159128320"/>
        <c:scaling>
          <c:orientation val="minMax"/>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56206592"/>
        <c:crosses val="autoZero"/>
        <c:crossBetween val="between"/>
      </c:valAx>
      <c:spPr>
        <a:solidFill>
          <a:srgbClr val="C0C0C0"/>
        </a:solidFill>
        <a:ln w="12700">
          <a:solidFill>
            <a:srgbClr val="808080"/>
          </a:solidFill>
          <a:prstDash val="solid"/>
        </a:ln>
      </c:spPr>
    </c:plotArea>
    <c:plotVisOnly val="1"/>
    <c:dispBlanksAs val="gap"/>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AUX!$H$47</c:f>
          <c:strCache>
            <c:ptCount val="1"/>
            <c:pt idx="0">
              <c:v>Distribución del total de Censo de Pavos por C.A.
(31 de diciembre de 1904)</c:v>
            </c:pt>
          </c:strCache>
        </c:strRef>
      </c:tx>
      <c:layout>
        <c:manualLayout>
          <c:xMode val="edge"/>
          <c:yMode val="edge"/>
          <c:x val="0.30157079056217451"/>
          <c:y val="2.8368794326241134E-2"/>
        </c:manualLayout>
      </c:layout>
      <c:overlay val="0"/>
      <c:spPr>
        <a:noFill/>
        <a:ln w="25400">
          <a:noFill/>
        </a:ln>
      </c:spPr>
      <c:txPr>
        <a:bodyPr/>
        <a:lstStyle/>
        <a:p>
          <a:pPr>
            <a:defRPr sz="1550" b="0" i="0" u="none" strike="noStrike" baseline="0">
              <a:solidFill>
                <a:srgbClr val="000000"/>
              </a:solidFill>
              <a:latin typeface="Arial"/>
              <a:ea typeface="Arial"/>
              <a:cs typeface="Arial"/>
            </a:defRPr>
          </a:pPr>
          <a:endParaRPr lang="es-ES"/>
        </a:p>
      </c:txPr>
    </c:title>
    <c:autoTitleDeleted val="0"/>
    <c:plotArea>
      <c:layout>
        <c:manualLayout>
          <c:layoutTarget val="inner"/>
          <c:xMode val="edge"/>
          <c:yMode val="edge"/>
          <c:x val="0.40209444642427111"/>
          <c:y val="0.40425601911572456"/>
          <c:w val="0.19476449748675631"/>
          <c:h val="0.32978780506809113"/>
        </c:manualLayout>
      </c:layout>
      <c:pieChart>
        <c:varyColors val="1"/>
        <c:ser>
          <c:idx val="0"/>
          <c:order val="0"/>
          <c:spPr>
            <a:solidFill>
              <a:srgbClr val="9999FF"/>
            </a:solidFill>
            <a:ln w="12700">
              <a:solidFill>
                <a:srgbClr val="000000"/>
              </a:solidFill>
              <a:prstDash val="solid"/>
            </a:ln>
          </c:spPr>
          <c:dPt>
            <c:idx val="0"/>
            <c:bubble3D val="0"/>
            <c:extLst>
              <c:ext xmlns:c16="http://schemas.microsoft.com/office/drawing/2014/chart" uri="{C3380CC4-5D6E-409C-BE32-E72D297353CC}">
                <c16:uniqueId val="{00000000-062F-4194-9E03-C3876AA82940}"/>
              </c:ext>
            </c:extLst>
          </c:dPt>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2-062F-4194-9E03-C3876AA82940}"/>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4-062F-4194-9E03-C3876AA82940}"/>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6-062F-4194-9E03-C3876AA82940}"/>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8-062F-4194-9E03-C3876AA82940}"/>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A-062F-4194-9E03-C3876AA82940}"/>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C-062F-4194-9E03-C3876AA82940}"/>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E-062F-4194-9E03-C3876AA82940}"/>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10-062F-4194-9E03-C3876AA82940}"/>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2-062F-4194-9E03-C3876AA82940}"/>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4-062F-4194-9E03-C3876AA82940}"/>
              </c:ext>
            </c:extLst>
          </c:dPt>
          <c:dPt>
            <c:idx val="11"/>
            <c:bubble3D val="0"/>
            <c:spPr>
              <a:solidFill>
                <a:srgbClr val="00FFFF"/>
              </a:solidFill>
              <a:ln w="12700">
                <a:solidFill>
                  <a:srgbClr val="000000"/>
                </a:solidFill>
                <a:prstDash val="solid"/>
              </a:ln>
            </c:spPr>
            <c:extLst>
              <c:ext xmlns:c16="http://schemas.microsoft.com/office/drawing/2014/chart" uri="{C3380CC4-5D6E-409C-BE32-E72D297353CC}">
                <c16:uniqueId val="{00000016-062F-4194-9E03-C3876AA82940}"/>
              </c:ext>
            </c:extLst>
          </c:dPt>
          <c:dPt>
            <c:idx val="12"/>
            <c:bubble3D val="0"/>
            <c:spPr>
              <a:solidFill>
                <a:srgbClr val="800080"/>
              </a:solidFill>
              <a:ln w="12700">
                <a:solidFill>
                  <a:srgbClr val="000000"/>
                </a:solidFill>
                <a:prstDash val="solid"/>
              </a:ln>
            </c:spPr>
            <c:extLst>
              <c:ext xmlns:c16="http://schemas.microsoft.com/office/drawing/2014/chart" uri="{C3380CC4-5D6E-409C-BE32-E72D297353CC}">
                <c16:uniqueId val="{00000018-062F-4194-9E03-C3876AA82940}"/>
              </c:ext>
            </c:extLst>
          </c:dPt>
          <c:dPt>
            <c:idx val="13"/>
            <c:bubble3D val="0"/>
            <c:spPr>
              <a:solidFill>
                <a:srgbClr val="800000"/>
              </a:solidFill>
              <a:ln w="12700">
                <a:solidFill>
                  <a:srgbClr val="000000"/>
                </a:solidFill>
                <a:prstDash val="solid"/>
              </a:ln>
            </c:spPr>
            <c:extLst>
              <c:ext xmlns:c16="http://schemas.microsoft.com/office/drawing/2014/chart" uri="{C3380CC4-5D6E-409C-BE32-E72D297353CC}">
                <c16:uniqueId val="{0000001A-062F-4194-9E03-C3876AA82940}"/>
              </c:ext>
            </c:extLst>
          </c:dPt>
          <c:dPt>
            <c:idx val="14"/>
            <c:bubble3D val="0"/>
            <c:spPr>
              <a:solidFill>
                <a:srgbClr val="008080"/>
              </a:solidFill>
              <a:ln w="12700">
                <a:solidFill>
                  <a:srgbClr val="000000"/>
                </a:solidFill>
                <a:prstDash val="solid"/>
              </a:ln>
            </c:spPr>
            <c:extLst>
              <c:ext xmlns:c16="http://schemas.microsoft.com/office/drawing/2014/chart" uri="{C3380CC4-5D6E-409C-BE32-E72D297353CC}">
                <c16:uniqueId val="{0000001C-062F-4194-9E03-C3876AA82940}"/>
              </c:ext>
            </c:extLst>
          </c:dPt>
          <c:dPt>
            <c:idx val="15"/>
            <c:bubble3D val="0"/>
            <c:spPr>
              <a:solidFill>
                <a:srgbClr val="0000FF"/>
              </a:solidFill>
              <a:ln w="12700">
                <a:solidFill>
                  <a:srgbClr val="000000"/>
                </a:solidFill>
                <a:prstDash val="solid"/>
              </a:ln>
            </c:spPr>
            <c:extLst>
              <c:ext xmlns:c16="http://schemas.microsoft.com/office/drawing/2014/chart" uri="{C3380CC4-5D6E-409C-BE32-E72D297353CC}">
                <c16:uniqueId val="{0000001E-062F-4194-9E03-C3876AA82940}"/>
              </c:ext>
            </c:extLst>
          </c:dPt>
          <c:dPt>
            <c:idx val="16"/>
            <c:bubble3D val="0"/>
            <c:spPr>
              <a:solidFill>
                <a:srgbClr val="00CCFF"/>
              </a:solidFill>
              <a:ln w="12700">
                <a:solidFill>
                  <a:srgbClr val="000000"/>
                </a:solidFill>
                <a:prstDash val="solid"/>
              </a:ln>
            </c:spPr>
            <c:extLst>
              <c:ext xmlns:c16="http://schemas.microsoft.com/office/drawing/2014/chart" uri="{C3380CC4-5D6E-409C-BE32-E72D297353CC}">
                <c16:uniqueId val="{00000020-062F-4194-9E03-C3876AA82940}"/>
              </c:ext>
            </c:extLst>
          </c:dPt>
          <c:dPt>
            <c:idx val="17"/>
            <c:bubble3D val="0"/>
            <c:spPr>
              <a:solidFill>
                <a:srgbClr val="CCFFFF"/>
              </a:solidFill>
              <a:ln w="12700">
                <a:solidFill>
                  <a:srgbClr val="000000"/>
                </a:solidFill>
                <a:prstDash val="solid"/>
              </a:ln>
            </c:spPr>
            <c:extLst>
              <c:ext xmlns:c16="http://schemas.microsoft.com/office/drawing/2014/chart" uri="{C3380CC4-5D6E-409C-BE32-E72D297353CC}">
                <c16:uniqueId val="{00000022-062F-4194-9E03-C3876AA82940}"/>
              </c:ext>
            </c:extLst>
          </c:dPt>
          <c:dPt>
            <c:idx val="18"/>
            <c:bubble3D val="0"/>
            <c:spPr>
              <a:solidFill>
                <a:srgbClr val="CCFFCC"/>
              </a:solidFill>
              <a:ln w="12700">
                <a:solidFill>
                  <a:srgbClr val="000000"/>
                </a:solidFill>
                <a:prstDash val="solid"/>
              </a:ln>
            </c:spPr>
            <c:extLst>
              <c:ext xmlns:c16="http://schemas.microsoft.com/office/drawing/2014/chart" uri="{C3380CC4-5D6E-409C-BE32-E72D297353CC}">
                <c16:uniqueId val="{00000024-062F-4194-9E03-C3876AA82940}"/>
              </c:ext>
            </c:extLst>
          </c:dPt>
          <c:dLbls>
            <c:dLbl>
              <c:idx val="0"/>
              <c:layout>
                <c:manualLayout>
                  <c:x val="1.6620339871556658E-2"/>
                  <c:y val="-0.15420527294657546"/>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062F-4194-9E03-C3876AA82940}"/>
                </c:ext>
              </c:extLst>
            </c:dLbl>
            <c:dLbl>
              <c:idx val="1"/>
              <c:layout>
                <c:manualLayout>
                  <c:x val="8.9248744542799324E-2"/>
                  <c:y val="-0.13958001309875176"/>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062F-4194-9E03-C3876AA82940}"/>
                </c:ext>
              </c:extLst>
            </c:dLbl>
            <c:dLbl>
              <c:idx val="2"/>
              <c:layout>
                <c:manualLayout>
                  <c:x val="7.1269159417899991E-2"/>
                  <c:y val="5.0140540943020423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062F-4194-9E03-C3876AA82940}"/>
                </c:ext>
              </c:extLst>
            </c:dLbl>
            <c:dLbl>
              <c:idx val="3"/>
              <c:layout>
                <c:manualLayout>
                  <c:x val="8.6014483791620293E-3"/>
                  <c:y val="0.16513672493066026"/>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062F-4194-9E03-C3876AA82940}"/>
                </c:ext>
              </c:extLst>
            </c:dLbl>
            <c:dLbl>
              <c:idx val="4"/>
              <c:layout>
                <c:manualLayout>
                  <c:x val="-5.7509282543870499E-2"/>
                  <c:y val="0.2057189925727369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062F-4194-9E03-C3876AA82940}"/>
                </c:ext>
              </c:extLst>
            </c:dLbl>
            <c:dLbl>
              <c:idx val="5"/>
              <c:layout>
                <c:manualLayout>
                  <c:x val="-0.13464517458877845"/>
                  <c:y val="0.16310697864894547"/>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A-062F-4194-9E03-C3876AA82940}"/>
                </c:ext>
              </c:extLst>
            </c:dLbl>
            <c:dLbl>
              <c:idx val="6"/>
              <c:layout>
                <c:manualLayout>
                  <c:x val="8.5632463481331855E-2"/>
                  <c:y val="0.1319893523947804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C-062F-4194-9E03-C3876AA82940}"/>
                </c:ext>
              </c:extLst>
            </c:dLbl>
            <c:dLbl>
              <c:idx val="7"/>
              <c:layout>
                <c:manualLayout>
                  <c:x val="0.10603554683495721"/>
                  <c:y val="-3.6734377494809636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E-062F-4194-9E03-C3876AA82940}"/>
                </c:ext>
              </c:extLst>
            </c:dLbl>
            <c:dLbl>
              <c:idx val="8"/>
              <c:layout>
                <c:manualLayout>
                  <c:x val="-2.9094020438620367E-2"/>
                  <c:y val="1.1790319196212787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0-062F-4194-9E03-C3876AA82940}"/>
                </c:ext>
              </c:extLst>
            </c:dLbl>
            <c:dLbl>
              <c:idx val="9"/>
              <c:layout>
                <c:manualLayout>
                  <c:x val="-4.3633830519427284E-2"/>
                  <c:y val="3.4359285391358818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2-062F-4194-9E03-C3876AA82940}"/>
                </c:ext>
              </c:extLst>
            </c:dLbl>
            <c:dLbl>
              <c:idx val="10"/>
              <c:layout>
                <c:manualLayout>
                  <c:x val="-4.438928665875861E-2"/>
                  <c:y val="1.3633456952538234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4-062F-4194-9E03-C3876AA82940}"/>
                </c:ext>
              </c:extLst>
            </c:dLbl>
            <c:dLbl>
              <c:idx val="11"/>
              <c:layout>
                <c:manualLayout>
                  <c:x val="-5.256408102794053E-2"/>
                  <c:y val="7.1441869155367557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6-062F-4194-9E03-C3876AA82940}"/>
                </c:ext>
              </c:extLst>
            </c:dLbl>
            <c:dLbl>
              <c:idx val="12"/>
              <c:layout>
                <c:manualLayout>
                  <c:x val="-0.10619436992340432"/>
                  <c:y val="1.7632426073928394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8-062F-4194-9E03-C3876AA82940}"/>
                </c:ext>
              </c:extLst>
            </c:dLbl>
            <c:dLbl>
              <c:idx val="13"/>
              <c:layout>
                <c:manualLayout>
                  <c:x val="-9.899479545333284E-2"/>
                  <c:y val="-4.2007520810031264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A-062F-4194-9E03-C3876AA82940}"/>
                </c:ext>
              </c:extLst>
            </c:dLbl>
            <c:dLbl>
              <c:idx val="14"/>
              <c:layout>
                <c:manualLayout>
                  <c:x val="-2.336595943440186E-2"/>
                  <c:y val="-9.6967873608325275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C-062F-4194-9E03-C3876AA82940}"/>
                </c:ext>
              </c:extLst>
            </c:dLbl>
            <c:dLbl>
              <c:idx val="15"/>
              <c:layout>
                <c:manualLayout>
                  <c:x val="1.3577906993902754E-2"/>
                  <c:y val="-0.20689732811130004"/>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E-062F-4194-9E03-C3876AA82940}"/>
                </c:ext>
              </c:extLst>
            </c:dLbl>
            <c:dLbl>
              <c:idx val="16"/>
              <c:layout>
                <c:manualLayout>
                  <c:x val="8.9202703298299421E-2"/>
                  <c:y val="-0.1723799478349791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20-062F-4194-9E03-C3876AA82940}"/>
                </c:ext>
              </c:extLst>
            </c:dLbl>
            <c:dLbl>
              <c:idx val="17"/>
              <c:layout>
                <c:manualLayout>
                  <c:x val="8.1530560058448477E-3"/>
                  <c:y val="-6.1371799419486471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22-062F-4194-9E03-C3876AA82940}"/>
                </c:ext>
              </c:extLst>
            </c:dLbl>
            <c:dLbl>
              <c:idx val="18"/>
              <c:layout>
                <c:manualLayout>
                  <c:x val="5.6425386373873225E-2"/>
                  <c:y val="-1.5272428818570516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24-062F-4194-9E03-C3876AA82940}"/>
                </c:ext>
              </c:extLst>
            </c:dLbl>
            <c:numFmt formatCode="0.0%" sourceLinked="0"/>
            <c:spPr>
              <a:noFill/>
              <a:ln w="25400">
                <a:noFill/>
              </a:ln>
            </c:spPr>
            <c:txPr>
              <a:bodyPr/>
              <a:lstStyle/>
              <a:p>
                <a:pPr>
                  <a:defRPr sz="1000" b="0" i="0" u="none" strike="noStrike" baseline="0">
                    <a:solidFill>
                      <a:srgbClr val="000000"/>
                    </a:solidFill>
                    <a:latin typeface="Arial"/>
                    <a:ea typeface="Arial"/>
                    <a:cs typeface="Arial"/>
                  </a:defRPr>
                </a:pPr>
                <a:endParaRPr lang="es-ES"/>
              </a:p>
            </c:txPr>
            <c:showLegendKey val="0"/>
            <c:showVal val="0"/>
            <c:showCatName val="1"/>
            <c:showSerName val="0"/>
            <c:showPercent val="1"/>
            <c:showBubbleSize val="0"/>
            <c:showLeaderLines val="1"/>
            <c:extLst>
              <c:ext xmlns:c15="http://schemas.microsoft.com/office/drawing/2012/chart" uri="{CE6537A1-D6FC-4f65-9D91-7224C49458BB}"/>
            </c:extLst>
          </c:dLbls>
          <c:cat>
            <c:strRef>
              <c:f>'12.1- PAVOS (CENSO)'!$B$153:$B$171</c:f>
              <c:strCache>
                <c:ptCount val="19"/>
                <c:pt idx="0">
                  <c:v>Andalucía</c:v>
                </c:pt>
                <c:pt idx="1">
                  <c:v>Aragón</c:v>
                </c:pt>
                <c:pt idx="2">
                  <c:v>Asturias</c:v>
                </c:pt>
                <c:pt idx="3">
                  <c:v>Baleares</c:v>
                </c:pt>
                <c:pt idx="4">
                  <c:v>Canarias</c:v>
                </c:pt>
                <c:pt idx="5">
                  <c:v>Cantabria</c:v>
                </c:pt>
                <c:pt idx="6">
                  <c:v>Castilla La Mancha</c:v>
                </c:pt>
                <c:pt idx="7">
                  <c:v>Castilla y León</c:v>
                </c:pt>
                <c:pt idx="8">
                  <c:v>Cataluña</c:v>
                </c:pt>
                <c:pt idx="9">
                  <c:v>Extremadura</c:v>
                </c:pt>
                <c:pt idx="10">
                  <c:v>Galicia</c:v>
                </c:pt>
                <c:pt idx="11">
                  <c:v>Madrid</c:v>
                </c:pt>
                <c:pt idx="12">
                  <c:v>Murcia</c:v>
                </c:pt>
                <c:pt idx="13">
                  <c:v>Navarra</c:v>
                </c:pt>
                <c:pt idx="14">
                  <c:v>País Vasco</c:v>
                </c:pt>
                <c:pt idx="15">
                  <c:v>La Rioja</c:v>
                </c:pt>
                <c:pt idx="16">
                  <c:v>Valencia</c:v>
                </c:pt>
                <c:pt idx="17">
                  <c:v>Ceuta</c:v>
                </c:pt>
                <c:pt idx="18">
                  <c:v>Melilla</c:v>
                </c:pt>
              </c:strCache>
            </c:strRef>
          </c:cat>
          <c:val>
            <c:numRef>
              <c:f>'12.1- PAVOS (CENSO)'!$C$153:$C$171</c:f>
              <c:numCache>
                <c:formatCode>General</c:formatCode>
                <c:ptCount val="19"/>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numCache>
            </c:numRef>
          </c:val>
          <c:extLst>
            <c:ext xmlns:c16="http://schemas.microsoft.com/office/drawing/2014/chart" uri="{C3380CC4-5D6E-409C-BE32-E72D297353CC}">
              <c16:uniqueId val="{00000025-062F-4194-9E03-C3876AA82940}"/>
            </c:ext>
          </c:extLst>
        </c:ser>
        <c:dLbls>
          <c:showLegendKey val="0"/>
          <c:showVal val="0"/>
          <c:showCatName val="0"/>
          <c:showSerName val="0"/>
          <c:showPercent val="0"/>
          <c:showBubbleSize val="0"/>
          <c:showLeaderLines val="1"/>
        </c:dLbls>
        <c:firstSliceAng val="0"/>
      </c:pieChart>
      <c:spPr>
        <a:noFill/>
        <a:ln w="25400">
          <a:noFill/>
        </a:ln>
      </c:spPr>
    </c:plotArea>
    <c:plotVisOnly val="0"/>
    <c:dispBlanksAs val="zero"/>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155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ES"/>
              <a:t>Nº de Subexplotaciones de Pavos de Producción para Carne por C.A.</a:t>
            </a:r>
          </a:p>
        </c:rich>
      </c:tx>
      <c:layout>
        <c:manualLayout>
          <c:xMode val="edge"/>
          <c:yMode val="edge"/>
          <c:x val="0.19565229403532797"/>
          <c:y val="7.4803149606299218E-2"/>
        </c:manualLayout>
      </c:layout>
      <c:overlay val="0"/>
      <c:spPr>
        <a:noFill/>
        <a:ln w="25400">
          <a:noFill/>
        </a:ln>
      </c:spPr>
    </c:title>
    <c:autoTitleDeleted val="0"/>
    <c:plotArea>
      <c:layout>
        <c:manualLayout>
          <c:layoutTarget val="inner"/>
          <c:xMode val="edge"/>
          <c:yMode val="edge"/>
          <c:x val="4.9199112154466797E-2"/>
          <c:y val="0.25196850393700787"/>
          <c:w val="0.9347831309348692"/>
          <c:h val="0.49212598425196852"/>
        </c:manualLayout>
      </c:layout>
      <c:lineChart>
        <c:grouping val="standard"/>
        <c:varyColors val="0"/>
        <c:ser>
          <c:idx val="0"/>
          <c:order val="0"/>
          <c:tx>
            <c:v>Granjas de Producción para Carne</c:v>
          </c:tx>
          <c:spPr>
            <a:ln w="12700">
              <a:solidFill>
                <a:srgbClr val="000080"/>
              </a:solidFill>
              <a:prstDash val="solid"/>
            </a:ln>
          </c:spPr>
          <c:marker>
            <c:symbol val="diamond"/>
            <c:size val="5"/>
            <c:spPr>
              <a:solidFill>
                <a:srgbClr val="000080"/>
              </a:solidFill>
              <a:ln>
                <a:solidFill>
                  <a:srgbClr val="000080"/>
                </a:solidFill>
                <a:prstDash val="solid"/>
              </a:ln>
            </c:spPr>
          </c:marker>
          <c:cat>
            <c:numRef>
              <c:f>'12.2- PAVOS (SUBEXPLOT)'!$C$17:$M$17</c:f>
              <c:numCache>
                <c:formatCode>[$-C0A]d\-mmm\-yy;@</c:formatCode>
                <c:ptCount val="11"/>
                <c:pt idx="0">
                  <c:v>0</c:v>
                </c:pt>
                <c:pt idx="1">
                  <c:v>38899</c:v>
                </c:pt>
                <c:pt idx="2">
                  <c:v>39083</c:v>
                </c:pt>
                <c:pt idx="3">
                  <c:v>39264</c:v>
                </c:pt>
                <c:pt idx="4">
                  <c:v>39448</c:v>
                </c:pt>
                <c:pt idx="5">
                  <c:v>39630</c:v>
                </c:pt>
                <c:pt idx="6">
                  <c:v>39814</c:v>
                </c:pt>
                <c:pt idx="7">
                  <c:v>39995</c:v>
                </c:pt>
                <c:pt idx="8">
                  <c:v>40179</c:v>
                </c:pt>
                <c:pt idx="9">
                  <c:v>40360</c:v>
                </c:pt>
                <c:pt idx="10">
                  <c:v>40544</c:v>
                </c:pt>
              </c:numCache>
            </c:numRef>
          </c:cat>
          <c:val>
            <c:numRef>
              <c:f>'12.2- PAVOS (SUBEXPLOT)'!$C$19:$M$19</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0-1CEE-4FEF-85D7-A35A76392C38}"/>
            </c:ext>
          </c:extLst>
        </c:ser>
        <c:dLbls>
          <c:showLegendKey val="0"/>
          <c:showVal val="0"/>
          <c:showCatName val="0"/>
          <c:showSerName val="0"/>
          <c:showPercent val="0"/>
          <c:showBubbleSize val="0"/>
        </c:dLbls>
        <c:marker val="1"/>
        <c:smooth val="0"/>
        <c:axId val="156208640"/>
        <c:axId val="161484736"/>
      </c:lineChart>
      <c:catAx>
        <c:axId val="156208640"/>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Fecha</a:t>
                </a:r>
              </a:p>
            </c:rich>
          </c:tx>
          <c:layout>
            <c:manualLayout>
              <c:xMode val="edge"/>
              <c:yMode val="edge"/>
              <c:x val="0.49542358120566737"/>
              <c:y val="0.85039370078740162"/>
            </c:manualLayout>
          </c:layout>
          <c:overlay val="0"/>
          <c:spPr>
            <a:noFill/>
            <a:ln w="25400">
              <a:noFill/>
            </a:ln>
          </c:spPr>
        </c:title>
        <c:numFmt formatCode="dd\-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61484736"/>
        <c:crosses val="autoZero"/>
        <c:auto val="0"/>
        <c:lblAlgn val="ctr"/>
        <c:lblOffset val="100"/>
        <c:tickLblSkip val="1"/>
        <c:tickMarkSkip val="1"/>
        <c:noMultiLvlLbl val="0"/>
      </c:catAx>
      <c:valAx>
        <c:axId val="161484736"/>
        <c:scaling>
          <c:orientation val="minMax"/>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56208640"/>
        <c:crosses val="autoZero"/>
        <c:crossBetween val="between"/>
      </c:valAx>
      <c:spPr>
        <a:solidFill>
          <a:srgbClr val="C0C0C0"/>
        </a:solidFill>
        <a:ln w="12700">
          <a:solidFill>
            <a:srgbClr val="808080"/>
          </a:solidFill>
          <a:prstDash val="solid"/>
        </a:ln>
      </c:spPr>
    </c:plotArea>
    <c:plotVisOnly val="1"/>
    <c:dispBlanksAs val="gap"/>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ES"/>
              <a:t>Nº total de Subexplotaciones de Pavos por C.A.</a:t>
            </a:r>
          </a:p>
        </c:rich>
      </c:tx>
      <c:layout>
        <c:manualLayout>
          <c:xMode val="edge"/>
          <c:yMode val="edge"/>
          <c:x val="0.29013761467889909"/>
          <c:y val="5.1660516605166053E-2"/>
        </c:manualLayout>
      </c:layout>
      <c:overlay val="0"/>
      <c:spPr>
        <a:noFill/>
        <a:ln w="25400">
          <a:noFill/>
        </a:ln>
      </c:spPr>
    </c:title>
    <c:autoTitleDeleted val="0"/>
    <c:plotArea>
      <c:layout>
        <c:manualLayout>
          <c:layoutTarget val="inner"/>
          <c:xMode val="edge"/>
          <c:yMode val="edge"/>
          <c:x val="5.9633027522935783E-2"/>
          <c:y val="0.23985283068501839"/>
          <c:w val="0.92431192660550454"/>
          <c:h val="0.52029614040903993"/>
        </c:manualLayout>
      </c:layout>
      <c:lineChart>
        <c:grouping val="standard"/>
        <c:varyColors val="0"/>
        <c:ser>
          <c:idx val="0"/>
          <c:order val="0"/>
          <c:tx>
            <c:v>Todas (*)</c:v>
          </c:tx>
          <c:spPr>
            <a:ln w="12700">
              <a:solidFill>
                <a:srgbClr val="000080"/>
              </a:solidFill>
              <a:prstDash val="solid"/>
            </a:ln>
          </c:spPr>
          <c:marker>
            <c:symbol val="diamond"/>
            <c:size val="5"/>
            <c:spPr>
              <a:solidFill>
                <a:srgbClr val="000080"/>
              </a:solidFill>
              <a:ln>
                <a:solidFill>
                  <a:srgbClr val="000080"/>
                </a:solidFill>
                <a:prstDash val="solid"/>
              </a:ln>
            </c:spPr>
          </c:marker>
          <c:cat>
            <c:numRef>
              <c:f>'12.2- PAVOS (SUBEXPLOT)'!$C$17:$M$17</c:f>
              <c:numCache>
                <c:formatCode>[$-C0A]d\-mmm\-yy;@</c:formatCode>
                <c:ptCount val="11"/>
                <c:pt idx="0">
                  <c:v>0</c:v>
                </c:pt>
                <c:pt idx="1">
                  <c:v>38899</c:v>
                </c:pt>
                <c:pt idx="2">
                  <c:v>39083</c:v>
                </c:pt>
                <c:pt idx="3">
                  <c:v>39264</c:v>
                </c:pt>
                <c:pt idx="4">
                  <c:v>39448</c:v>
                </c:pt>
                <c:pt idx="5">
                  <c:v>39630</c:v>
                </c:pt>
                <c:pt idx="6">
                  <c:v>39814</c:v>
                </c:pt>
                <c:pt idx="7">
                  <c:v>39995</c:v>
                </c:pt>
                <c:pt idx="8">
                  <c:v>40179</c:v>
                </c:pt>
                <c:pt idx="9">
                  <c:v>40360</c:v>
                </c:pt>
                <c:pt idx="10">
                  <c:v>40544</c:v>
                </c:pt>
              </c:numCache>
            </c:numRef>
          </c:cat>
          <c:val>
            <c:numRef>
              <c:f>'12.2- PAVOS (SUBEXPLOT)'!$C$21:$M$21</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0-1B90-44FE-B956-A545ADB49C2F}"/>
            </c:ext>
          </c:extLst>
        </c:ser>
        <c:dLbls>
          <c:showLegendKey val="0"/>
          <c:showVal val="0"/>
          <c:showCatName val="0"/>
          <c:showSerName val="0"/>
          <c:showPercent val="0"/>
          <c:showBubbleSize val="0"/>
        </c:dLbls>
        <c:marker val="1"/>
        <c:smooth val="0"/>
        <c:axId val="162234880"/>
        <c:axId val="161486464"/>
      </c:lineChart>
      <c:catAx>
        <c:axId val="162234880"/>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Fecha</a:t>
                </a:r>
              </a:p>
            </c:rich>
          </c:tx>
          <c:layout>
            <c:manualLayout>
              <c:xMode val="edge"/>
              <c:yMode val="edge"/>
              <c:x val="0.50114678899082565"/>
              <c:y val="0.8597801474077732"/>
            </c:manualLayout>
          </c:layout>
          <c:overlay val="0"/>
          <c:spPr>
            <a:noFill/>
            <a:ln w="25400">
              <a:noFill/>
            </a:ln>
          </c:spPr>
        </c:title>
        <c:numFmt formatCode="dd\-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61486464"/>
        <c:crosses val="autoZero"/>
        <c:auto val="0"/>
        <c:lblAlgn val="ctr"/>
        <c:lblOffset val="100"/>
        <c:tickLblSkip val="1"/>
        <c:tickMarkSkip val="1"/>
        <c:noMultiLvlLbl val="0"/>
      </c:catAx>
      <c:valAx>
        <c:axId val="161486464"/>
        <c:scaling>
          <c:orientation val="minMax"/>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62234880"/>
        <c:crosses val="autoZero"/>
        <c:crossBetween val="between"/>
      </c:valAx>
      <c:spPr>
        <a:solidFill>
          <a:srgbClr val="C0C0C0"/>
        </a:solidFill>
        <a:ln w="12700">
          <a:solidFill>
            <a:srgbClr val="808080"/>
          </a:solidFill>
          <a:prstDash val="solid"/>
        </a:ln>
      </c:spPr>
    </c:plotArea>
    <c:plotVisOnly val="1"/>
    <c:dispBlanksAs val="gap"/>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AUX!$H$48</c:f>
          <c:strCache>
            <c:ptCount val="1"/>
            <c:pt idx="0">
              <c:v>Distribución del total de las Subexplotaciones de Pavos por C.A.
(31 de diciembre de 1904)</c:v>
            </c:pt>
          </c:strCache>
        </c:strRef>
      </c:tx>
      <c:layout>
        <c:manualLayout>
          <c:xMode val="edge"/>
          <c:yMode val="edge"/>
          <c:x val="0.21814018942236124"/>
          <c:y val="1.1686143572621035E-2"/>
        </c:manualLayout>
      </c:layout>
      <c:overlay val="0"/>
      <c:spPr>
        <a:noFill/>
        <a:ln w="25400">
          <a:noFill/>
        </a:ln>
      </c:spPr>
      <c:txPr>
        <a:bodyPr/>
        <a:lstStyle/>
        <a:p>
          <a:pPr>
            <a:defRPr sz="1425" b="0" i="0" u="none" strike="noStrike" baseline="0">
              <a:solidFill>
                <a:srgbClr val="000000"/>
              </a:solidFill>
              <a:latin typeface="Arial"/>
              <a:ea typeface="Arial"/>
              <a:cs typeface="Arial"/>
            </a:defRPr>
          </a:pPr>
          <a:endParaRPr lang="es-ES"/>
        </a:p>
      </c:txPr>
    </c:title>
    <c:autoTitleDeleted val="0"/>
    <c:plotArea>
      <c:layout>
        <c:manualLayout>
          <c:layoutTarget val="inner"/>
          <c:xMode val="edge"/>
          <c:yMode val="edge"/>
          <c:x val="0.41791068204127463"/>
          <c:y val="0.37228714524207013"/>
          <c:w val="0.20665912848194901"/>
          <c:h val="0.30050083472454092"/>
        </c:manualLayout>
      </c:layout>
      <c:pieChart>
        <c:varyColors val="1"/>
        <c:ser>
          <c:idx val="0"/>
          <c:order val="0"/>
          <c:spPr>
            <a:solidFill>
              <a:srgbClr val="9999FF"/>
            </a:solidFill>
            <a:ln w="12700">
              <a:solidFill>
                <a:srgbClr val="000000"/>
              </a:solidFill>
              <a:prstDash val="solid"/>
            </a:ln>
          </c:spPr>
          <c:dPt>
            <c:idx val="0"/>
            <c:bubble3D val="0"/>
            <c:extLst>
              <c:ext xmlns:c16="http://schemas.microsoft.com/office/drawing/2014/chart" uri="{C3380CC4-5D6E-409C-BE32-E72D297353CC}">
                <c16:uniqueId val="{00000000-B86E-4064-B033-D867267BEE68}"/>
              </c:ext>
            </c:extLst>
          </c:dPt>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2-B86E-4064-B033-D867267BEE68}"/>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4-B86E-4064-B033-D867267BEE68}"/>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6-B86E-4064-B033-D867267BEE68}"/>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8-B86E-4064-B033-D867267BEE68}"/>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A-B86E-4064-B033-D867267BEE68}"/>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C-B86E-4064-B033-D867267BEE68}"/>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E-B86E-4064-B033-D867267BEE68}"/>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10-B86E-4064-B033-D867267BEE68}"/>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2-B86E-4064-B033-D867267BEE68}"/>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4-B86E-4064-B033-D867267BEE68}"/>
              </c:ext>
            </c:extLst>
          </c:dPt>
          <c:dPt>
            <c:idx val="11"/>
            <c:bubble3D val="0"/>
            <c:spPr>
              <a:solidFill>
                <a:srgbClr val="00FFFF"/>
              </a:solidFill>
              <a:ln w="12700">
                <a:solidFill>
                  <a:srgbClr val="000000"/>
                </a:solidFill>
                <a:prstDash val="solid"/>
              </a:ln>
            </c:spPr>
            <c:extLst>
              <c:ext xmlns:c16="http://schemas.microsoft.com/office/drawing/2014/chart" uri="{C3380CC4-5D6E-409C-BE32-E72D297353CC}">
                <c16:uniqueId val="{00000016-B86E-4064-B033-D867267BEE68}"/>
              </c:ext>
            </c:extLst>
          </c:dPt>
          <c:dPt>
            <c:idx val="12"/>
            <c:bubble3D val="0"/>
            <c:spPr>
              <a:solidFill>
                <a:srgbClr val="800080"/>
              </a:solidFill>
              <a:ln w="12700">
                <a:solidFill>
                  <a:srgbClr val="000000"/>
                </a:solidFill>
                <a:prstDash val="solid"/>
              </a:ln>
            </c:spPr>
            <c:extLst>
              <c:ext xmlns:c16="http://schemas.microsoft.com/office/drawing/2014/chart" uri="{C3380CC4-5D6E-409C-BE32-E72D297353CC}">
                <c16:uniqueId val="{00000018-B86E-4064-B033-D867267BEE68}"/>
              </c:ext>
            </c:extLst>
          </c:dPt>
          <c:dPt>
            <c:idx val="13"/>
            <c:bubble3D val="0"/>
            <c:spPr>
              <a:solidFill>
                <a:srgbClr val="800000"/>
              </a:solidFill>
              <a:ln w="12700">
                <a:solidFill>
                  <a:srgbClr val="000000"/>
                </a:solidFill>
                <a:prstDash val="solid"/>
              </a:ln>
            </c:spPr>
            <c:extLst>
              <c:ext xmlns:c16="http://schemas.microsoft.com/office/drawing/2014/chart" uri="{C3380CC4-5D6E-409C-BE32-E72D297353CC}">
                <c16:uniqueId val="{0000001A-B86E-4064-B033-D867267BEE68}"/>
              </c:ext>
            </c:extLst>
          </c:dPt>
          <c:dPt>
            <c:idx val="14"/>
            <c:bubble3D val="0"/>
            <c:spPr>
              <a:solidFill>
                <a:srgbClr val="008080"/>
              </a:solidFill>
              <a:ln w="12700">
                <a:solidFill>
                  <a:srgbClr val="000000"/>
                </a:solidFill>
                <a:prstDash val="solid"/>
              </a:ln>
            </c:spPr>
            <c:extLst>
              <c:ext xmlns:c16="http://schemas.microsoft.com/office/drawing/2014/chart" uri="{C3380CC4-5D6E-409C-BE32-E72D297353CC}">
                <c16:uniqueId val="{0000001C-B86E-4064-B033-D867267BEE68}"/>
              </c:ext>
            </c:extLst>
          </c:dPt>
          <c:dPt>
            <c:idx val="15"/>
            <c:bubble3D val="0"/>
            <c:spPr>
              <a:solidFill>
                <a:srgbClr val="0000FF"/>
              </a:solidFill>
              <a:ln w="12700">
                <a:solidFill>
                  <a:srgbClr val="000000"/>
                </a:solidFill>
                <a:prstDash val="solid"/>
              </a:ln>
            </c:spPr>
            <c:extLst>
              <c:ext xmlns:c16="http://schemas.microsoft.com/office/drawing/2014/chart" uri="{C3380CC4-5D6E-409C-BE32-E72D297353CC}">
                <c16:uniqueId val="{0000001E-B86E-4064-B033-D867267BEE68}"/>
              </c:ext>
            </c:extLst>
          </c:dPt>
          <c:dPt>
            <c:idx val="16"/>
            <c:bubble3D val="0"/>
            <c:spPr>
              <a:solidFill>
                <a:srgbClr val="00CCFF"/>
              </a:solidFill>
              <a:ln w="12700">
                <a:solidFill>
                  <a:srgbClr val="000000"/>
                </a:solidFill>
                <a:prstDash val="solid"/>
              </a:ln>
            </c:spPr>
            <c:extLst>
              <c:ext xmlns:c16="http://schemas.microsoft.com/office/drawing/2014/chart" uri="{C3380CC4-5D6E-409C-BE32-E72D297353CC}">
                <c16:uniqueId val="{00000020-B86E-4064-B033-D867267BEE68}"/>
              </c:ext>
            </c:extLst>
          </c:dPt>
          <c:dPt>
            <c:idx val="17"/>
            <c:bubble3D val="0"/>
            <c:spPr>
              <a:solidFill>
                <a:srgbClr val="CCFFFF"/>
              </a:solidFill>
              <a:ln w="12700">
                <a:solidFill>
                  <a:srgbClr val="000000"/>
                </a:solidFill>
                <a:prstDash val="solid"/>
              </a:ln>
            </c:spPr>
            <c:extLst>
              <c:ext xmlns:c16="http://schemas.microsoft.com/office/drawing/2014/chart" uri="{C3380CC4-5D6E-409C-BE32-E72D297353CC}">
                <c16:uniqueId val="{00000022-B86E-4064-B033-D867267BEE68}"/>
              </c:ext>
            </c:extLst>
          </c:dPt>
          <c:dPt>
            <c:idx val="18"/>
            <c:bubble3D val="0"/>
            <c:spPr>
              <a:solidFill>
                <a:srgbClr val="CCFFCC"/>
              </a:solidFill>
              <a:ln w="12700">
                <a:solidFill>
                  <a:srgbClr val="000000"/>
                </a:solidFill>
                <a:prstDash val="solid"/>
              </a:ln>
            </c:spPr>
            <c:extLst>
              <c:ext xmlns:c16="http://schemas.microsoft.com/office/drawing/2014/chart" uri="{C3380CC4-5D6E-409C-BE32-E72D297353CC}">
                <c16:uniqueId val="{00000024-B86E-4064-B033-D867267BEE68}"/>
              </c:ext>
            </c:extLst>
          </c:dPt>
          <c:dLbls>
            <c:dLbl>
              <c:idx val="0"/>
              <c:layout>
                <c:manualLayout>
                  <c:x val="9.4986526844146948E-2"/>
                  <c:y val="1.9367362051362878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B86E-4064-B033-D867267BEE68}"/>
                </c:ext>
              </c:extLst>
            </c:dLbl>
            <c:dLbl>
              <c:idx val="1"/>
              <c:layout>
                <c:manualLayout>
                  <c:x val="0.12082040111231615"/>
                  <c:y val="-0.10408791555479606"/>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B86E-4064-B033-D867267BEE68}"/>
                </c:ext>
              </c:extLst>
            </c:dLbl>
            <c:dLbl>
              <c:idx val="2"/>
              <c:layout>
                <c:manualLayout>
                  <c:x val="0.11563950951284992"/>
                  <c:y val="2.4378688890933687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B86E-4064-B033-D867267BEE68}"/>
                </c:ext>
              </c:extLst>
            </c:dLbl>
            <c:dLbl>
              <c:idx val="3"/>
              <c:layout>
                <c:manualLayout>
                  <c:x val="7.9731186755685551E-2"/>
                  <c:y val="7.9467178455781454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B86E-4064-B033-D867267BEE68}"/>
                </c:ext>
              </c:extLst>
            </c:dLbl>
            <c:dLbl>
              <c:idx val="4"/>
              <c:layout>
                <c:manualLayout>
                  <c:x val="0.13026086762485603"/>
                  <c:y val="0.18863354935391"/>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B86E-4064-B033-D867267BEE68}"/>
                </c:ext>
              </c:extLst>
            </c:dLbl>
            <c:dLbl>
              <c:idx val="5"/>
              <c:layout>
                <c:manualLayout>
                  <c:x val="4.8690225953312134E-2"/>
                  <c:y val="0.18937739627287817"/>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A-B86E-4064-B033-D867267BEE68}"/>
                </c:ext>
              </c:extLst>
            </c:dLbl>
            <c:dLbl>
              <c:idx val="6"/>
              <c:layout>
                <c:manualLayout>
                  <c:x val="-2.7618930572773589E-2"/>
                  <c:y val="0.16253335611846509"/>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C-B86E-4064-B033-D867267BEE68}"/>
                </c:ext>
              </c:extLst>
            </c:dLbl>
            <c:dLbl>
              <c:idx val="7"/>
              <c:layout>
                <c:manualLayout>
                  <c:x val="-2.8059993123159939E-2"/>
                  <c:y val="3.3273653814975906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E-B86E-4064-B033-D867267BEE68}"/>
                </c:ext>
              </c:extLst>
            </c:dLbl>
            <c:dLbl>
              <c:idx val="8"/>
              <c:layout>
                <c:manualLayout>
                  <c:x val="-7.387311483209015E-2"/>
                  <c:y val="0.1182669278193314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0-B86E-4064-B033-D867267BEE68}"/>
                </c:ext>
              </c:extLst>
            </c:dLbl>
            <c:dLbl>
              <c:idx val="9"/>
              <c:layout>
                <c:manualLayout>
                  <c:x val="-0.14969335407550194"/>
                  <c:y val="0.15159456486970849"/>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2-B86E-4064-B033-D867267BEE68}"/>
                </c:ext>
              </c:extLst>
            </c:dLbl>
            <c:dLbl>
              <c:idx val="10"/>
              <c:layout>
                <c:manualLayout>
                  <c:x val="-7.9579531909598225E-2"/>
                  <c:y val="5.1775531397473408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4-B86E-4064-B033-D867267BEE68}"/>
                </c:ext>
              </c:extLst>
            </c:dLbl>
            <c:dLbl>
              <c:idx val="11"/>
              <c:layout>
                <c:manualLayout>
                  <c:x val="-0.18512996080191829"/>
                  <c:y val="-9.4510974108203017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6-B86E-4064-B033-D867267BEE68}"/>
                </c:ext>
              </c:extLst>
            </c:dLbl>
            <c:dLbl>
              <c:idx val="12"/>
              <c:layout>
                <c:manualLayout>
                  <c:x val="-0.18449858409901906"/>
                  <c:y val="-0.11315271734605795"/>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8-B86E-4064-B033-D867267BEE68}"/>
                </c:ext>
              </c:extLst>
            </c:dLbl>
            <c:dLbl>
              <c:idx val="13"/>
              <c:layout>
                <c:manualLayout>
                  <c:x val="-4.5793241344240128E-2"/>
                  <c:y val="-8.7742037253690536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A-B86E-4064-B033-D867267BEE68}"/>
                </c:ext>
              </c:extLst>
            </c:dLbl>
            <c:dLbl>
              <c:idx val="14"/>
              <c:layout>
                <c:manualLayout>
                  <c:x val="-5.7537927263160038E-2"/>
                  <c:y val="-0.14831420696786857"/>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C-B86E-4064-B033-D867267BEE68}"/>
                </c:ext>
              </c:extLst>
            </c:dLbl>
            <c:dLbl>
              <c:idx val="15"/>
              <c:layout>
                <c:manualLayout>
                  <c:x val="5.6476813179314224E-2"/>
                  <c:y val="-0.1835328346894868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E-B86E-4064-B033-D867267BEE68}"/>
                </c:ext>
              </c:extLst>
            </c:dLbl>
            <c:dLbl>
              <c:idx val="16"/>
              <c:layout>
                <c:manualLayout>
                  <c:x val="0.12915237973333921"/>
                  <c:y val="-0.14988655633404754"/>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20-B86E-4064-B033-D867267BEE68}"/>
                </c:ext>
              </c:extLst>
            </c:dLbl>
            <c:dLbl>
              <c:idx val="17"/>
              <c:layout>
                <c:manualLayout>
                  <c:x val="4.3180765382152146E-2"/>
                  <c:y val="-3.2945898457183646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22-B86E-4064-B033-D867267BEE68}"/>
                </c:ext>
              </c:extLst>
            </c:dLbl>
            <c:dLbl>
              <c:idx val="18"/>
              <c:layout>
                <c:manualLayout>
                  <c:x val="0.13582902344691727"/>
                  <c:y val="7.1224569382917578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24-B86E-4064-B033-D867267BEE68}"/>
                </c:ext>
              </c:extLst>
            </c:dLbl>
            <c:numFmt formatCode="0.0%" sourceLinked="0"/>
            <c:spPr>
              <a:noFill/>
              <a:ln w="25400">
                <a:noFill/>
              </a:ln>
            </c:spPr>
            <c:txPr>
              <a:bodyPr/>
              <a:lstStyle/>
              <a:p>
                <a:pPr>
                  <a:defRPr sz="1000" b="0" i="0" u="none" strike="noStrike" baseline="0">
                    <a:solidFill>
                      <a:srgbClr val="000000"/>
                    </a:solidFill>
                    <a:latin typeface="Arial"/>
                    <a:ea typeface="Arial"/>
                    <a:cs typeface="Arial"/>
                  </a:defRPr>
                </a:pPr>
                <a:endParaRPr lang="es-ES"/>
              </a:p>
            </c:txPr>
            <c:showLegendKey val="0"/>
            <c:showVal val="0"/>
            <c:showCatName val="1"/>
            <c:showSerName val="0"/>
            <c:showPercent val="1"/>
            <c:showBubbleSize val="0"/>
            <c:showLeaderLines val="1"/>
            <c:extLst>
              <c:ext xmlns:c15="http://schemas.microsoft.com/office/drawing/2012/chart" uri="{CE6537A1-D6FC-4f65-9D91-7224C49458BB}"/>
            </c:extLst>
          </c:dLbls>
          <c:cat>
            <c:strRef>
              <c:f>'12.2- PAVOS (SUBEXPLOT)'!$B$152:$B$170</c:f>
              <c:strCache>
                <c:ptCount val="19"/>
                <c:pt idx="0">
                  <c:v>Andalucía</c:v>
                </c:pt>
                <c:pt idx="1">
                  <c:v>Aragón</c:v>
                </c:pt>
                <c:pt idx="2">
                  <c:v>Asturias</c:v>
                </c:pt>
                <c:pt idx="3">
                  <c:v>Baleares</c:v>
                </c:pt>
                <c:pt idx="4">
                  <c:v>Canarias</c:v>
                </c:pt>
                <c:pt idx="5">
                  <c:v>Cantabria</c:v>
                </c:pt>
                <c:pt idx="6">
                  <c:v>Castilla La Mancha</c:v>
                </c:pt>
                <c:pt idx="7">
                  <c:v>Castilla y León</c:v>
                </c:pt>
                <c:pt idx="8">
                  <c:v>Cataluña</c:v>
                </c:pt>
                <c:pt idx="9">
                  <c:v>Extremadura</c:v>
                </c:pt>
                <c:pt idx="10">
                  <c:v>Galicia</c:v>
                </c:pt>
                <c:pt idx="11">
                  <c:v>Madrid</c:v>
                </c:pt>
                <c:pt idx="12">
                  <c:v>Murcia</c:v>
                </c:pt>
                <c:pt idx="13">
                  <c:v>Navarra</c:v>
                </c:pt>
                <c:pt idx="14">
                  <c:v>País Vasco</c:v>
                </c:pt>
                <c:pt idx="15">
                  <c:v>La Rioja</c:v>
                </c:pt>
                <c:pt idx="16">
                  <c:v>Valencia</c:v>
                </c:pt>
                <c:pt idx="17">
                  <c:v>Ceuta</c:v>
                </c:pt>
                <c:pt idx="18">
                  <c:v>Melilla</c:v>
                </c:pt>
              </c:strCache>
            </c:strRef>
          </c:cat>
          <c:val>
            <c:numRef>
              <c:f>'12.2- PAVOS (SUBEXPLOT)'!$C$152:$C$170</c:f>
              <c:numCache>
                <c:formatCode>General</c:formatCode>
                <c:ptCount val="19"/>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numCache>
            </c:numRef>
          </c:val>
          <c:extLst>
            <c:ext xmlns:c16="http://schemas.microsoft.com/office/drawing/2014/chart" uri="{C3380CC4-5D6E-409C-BE32-E72D297353CC}">
              <c16:uniqueId val="{00000025-B86E-4064-B033-D867267BEE68}"/>
            </c:ext>
          </c:extLst>
        </c:ser>
        <c:dLbls>
          <c:showLegendKey val="0"/>
          <c:showVal val="0"/>
          <c:showCatName val="0"/>
          <c:showSerName val="0"/>
          <c:showPercent val="0"/>
          <c:showBubbleSize val="0"/>
          <c:showLeaderLines val="1"/>
        </c:dLbls>
        <c:firstSliceAng val="0"/>
      </c:pieChart>
      <c:spPr>
        <a:noFill/>
        <a:ln w="25400">
          <a:noFill/>
        </a:ln>
      </c:spPr>
    </c:plotArea>
    <c:plotVisOnly val="0"/>
    <c:dispBlanksAs val="zero"/>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1425"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ES"/>
              <a:t>Censo de Patos de Producción para Carne por C.A.</a:t>
            </a:r>
          </a:p>
        </c:rich>
      </c:tx>
      <c:layout>
        <c:manualLayout>
          <c:xMode val="edge"/>
          <c:yMode val="edge"/>
          <c:x val="0.23202170963364993"/>
          <c:y val="4.3137254901960784E-2"/>
        </c:manualLayout>
      </c:layout>
      <c:overlay val="0"/>
      <c:spPr>
        <a:noFill/>
        <a:ln w="25400">
          <a:noFill/>
        </a:ln>
      </c:spPr>
    </c:title>
    <c:autoTitleDeleted val="0"/>
    <c:plotArea>
      <c:layout>
        <c:manualLayout>
          <c:layoutTarget val="inner"/>
          <c:xMode val="edge"/>
          <c:yMode val="edge"/>
          <c:x val="8.6838534599728623E-2"/>
          <c:y val="0.21568710051738862"/>
          <c:w val="0.89280868385346002"/>
          <c:h val="0.55555679069528063"/>
        </c:manualLayout>
      </c:layout>
      <c:lineChart>
        <c:grouping val="standard"/>
        <c:varyColors val="0"/>
        <c:ser>
          <c:idx val="0"/>
          <c:order val="0"/>
          <c:tx>
            <c:strRef>
              <c:f>'13.1- PATOS (CENSO)'!$C$18:$M$18</c:f>
              <c:strCache>
                <c:ptCount val="11"/>
                <c:pt idx="0">
                  <c:v>Producción para Carne</c:v>
                </c:pt>
              </c:strCache>
            </c:strRef>
          </c:tx>
          <c:spPr>
            <a:ln w="12700">
              <a:solidFill>
                <a:srgbClr val="000080"/>
              </a:solidFill>
              <a:prstDash val="solid"/>
            </a:ln>
          </c:spPr>
          <c:marker>
            <c:symbol val="diamond"/>
            <c:size val="5"/>
            <c:spPr>
              <a:solidFill>
                <a:srgbClr val="000080"/>
              </a:solidFill>
              <a:ln>
                <a:solidFill>
                  <a:srgbClr val="000080"/>
                </a:solidFill>
                <a:prstDash val="solid"/>
              </a:ln>
            </c:spPr>
          </c:marker>
          <c:cat>
            <c:numRef>
              <c:f>'13.1- PATOS (CENSO)'!$C$17:$M$17</c:f>
              <c:numCache>
                <c:formatCode>[$-C0A]d\-mmm\-yy;@</c:formatCode>
                <c:ptCount val="11"/>
                <c:pt idx="0">
                  <c:v>0</c:v>
                </c:pt>
                <c:pt idx="1">
                  <c:v>38899</c:v>
                </c:pt>
                <c:pt idx="2">
                  <c:v>39083</c:v>
                </c:pt>
                <c:pt idx="3">
                  <c:v>39264</c:v>
                </c:pt>
                <c:pt idx="4">
                  <c:v>39448</c:v>
                </c:pt>
                <c:pt idx="5">
                  <c:v>39630</c:v>
                </c:pt>
                <c:pt idx="6">
                  <c:v>39814</c:v>
                </c:pt>
                <c:pt idx="7">
                  <c:v>39995</c:v>
                </c:pt>
                <c:pt idx="8">
                  <c:v>40179</c:v>
                </c:pt>
                <c:pt idx="9">
                  <c:v>40360</c:v>
                </c:pt>
                <c:pt idx="10">
                  <c:v>40544</c:v>
                </c:pt>
              </c:numCache>
            </c:numRef>
          </c:cat>
          <c:val>
            <c:numRef>
              <c:f>'13.1- PATOS (CENSO)'!$C$19:$M$19</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0-90F2-4069-BBC5-24E940EF90D2}"/>
            </c:ext>
          </c:extLst>
        </c:ser>
        <c:dLbls>
          <c:showLegendKey val="0"/>
          <c:showVal val="0"/>
          <c:showCatName val="0"/>
          <c:showSerName val="0"/>
          <c:showPercent val="0"/>
          <c:showBubbleSize val="0"/>
        </c:dLbls>
        <c:marker val="1"/>
        <c:smooth val="0"/>
        <c:axId val="162236416"/>
        <c:axId val="162687808"/>
      </c:lineChart>
      <c:catAx>
        <c:axId val="162236416"/>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Fecha</a:t>
                </a:r>
              </a:p>
            </c:rich>
          </c:tx>
          <c:layout>
            <c:manualLayout>
              <c:xMode val="edge"/>
              <c:yMode val="edge"/>
              <c:x val="0.50881953867028495"/>
              <c:y val="0.88758416962585562"/>
            </c:manualLayout>
          </c:layout>
          <c:overlay val="0"/>
          <c:spPr>
            <a:noFill/>
            <a:ln w="25400">
              <a:noFill/>
            </a:ln>
          </c:spPr>
        </c:title>
        <c:numFmt formatCode="dd\-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62687808"/>
        <c:crosses val="autoZero"/>
        <c:auto val="0"/>
        <c:lblAlgn val="ctr"/>
        <c:lblOffset val="100"/>
        <c:tickLblSkip val="1"/>
        <c:tickMarkSkip val="1"/>
        <c:noMultiLvlLbl val="0"/>
      </c:catAx>
      <c:valAx>
        <c:axId val="162687808"/>
        <c:scaling>
          <c:orientation val="minMax"/>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62236416"/>
        <c:crosses val="autoZero"/>
        <c:crossBetween val="between"/>
      </c:valAx>
      <c:spPr>
        <a:solidFill>
          <a:srgbClr val="C0C0C0"/>
        </a:solidFill>
        <a:ln w="12700">
          <a:solidFill>
            <a:srgbClr val="808080"/>
          </a:solidFill>
          <a:prstDash val="solid"/>
        </a:ln>
      </c:spPr>
    </c:plotArea>
    <c:plotVisOnly val="1"/>
    <c:dispBlanksAs val="gap"/>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ES"/>
              <a:t>Bovinos menores de 12 meses por C.A.</a:t>
            </a:r>
          </a:p>
        </c:rich>
      </c:tx>
      <c:layout>
        <c:manualLayout>
          <c:xMode val="edge"/>
          <c:yMode val="edge"/>
          <c:x val="0.33222626241487252"/>
          <c:y val="3.5714285714285712E-2"/>
        </c:manualLayout>
      </c:layout>
      <c:overlay val="0"/>
      <c:spPr>
        <a:noFill/>
        <a:ln w="25400">
          <a:noFill/>
        </a:ln>
      </c:spPr>
    </c:title>
    <c:autoTitleDeleted val="0"/>
    <c:plotArea>
      <c:layout>
        <c:manualLayout>
          <c:layoutTarget val="inner"/>
          <c:xMode val="edge"/>
          <c:yMode val="edge"/>
          <c:x val="0.14728698099107682"/>
          <c:y val="0.21428571428571427"/>
          <c:w val="0.83721020773875243"/>
          <c:h val="0.56493506493506496"/>
        </c:manualLayout>
      </c:layout>
      <c:lineChart>
        <c:grouping val="standard"/>
        <c:varyColors val="0"/>
        <c:ser>
          <c:idx val="0"/>
          <c:order val="0"/>
          <c:tx>
            <c:v>Total</c:v>
          </c:tx>
          <c:spPr>
            <a:ln w="12700">
              <a:solidFill>
                <a:srgbClr val="000080"/>
              </a:solidFill>
              <a:prstDash val="solid"/>
            </a:ln>
          </c:spPr>
          <c:marker>
            <c:symbol val="diamond"/>
            <c:size val="5"/>
            <c:spPr>
              <a:solidFill>
                <a:srgbClr val="000080"/>
              </a:solidFill>
              <a:ln>
                <a:solidFill>
                  <a:srgbClr val="000080"/>
                </a:solidFill>
                <a:prstDash val="solid"/>
              </a:ln>
            </c:spPr>
          </c:marker>
          <c:cat>
            <c:numRef>
              <c:f>'5.1- BOVINO (CENSO)'!$C$16:$M$16</c:f>
              <c:numCache>
                <c:formatCode>[$-C0A]d\-mmm\-yy;@</c:formatCode>
                <c:ptCount val="11"/>
                <c:pt idx="0">
                  <c:v>0</c:v>
                </c:pt>
                <c:pt idx="1">
                  <c:v>38899</c:v>
                </c:pt>
                <c:pt idx="2">
                  <c:v>39083</c:v>
                </c:pt>
                <c:pt idx="3">
                  <c:v>39264</c:v>
                </c:pt>
                <c:pt idx="4">
                  <c:v>39448</c:v>
                </c:pt>
                <c:pt idx="5">
                  <c:v>39630</c:v>
                </c:pt>
                <c:pt idx="6">
                  <c:v>39814</c:v>
                </c:pt>
                <c:pt idx="7">
                  <c:v>39995</c:v>
                </c:pt>
                <c:pt idx="8">
                  <c:v>40179</c:v>
                </c:pt>
                <c:pt idx="9">
                  <c:v>40360</c:v>
                </c:pt>
                <c:pt idx="10">
                  <c:v>40544</c:v>
                </c:pt>
              </c:numCache>
            </c:numRef>
          </c:cat>
          <c:val>
            <c:numRef>
              <c:f>'5.1- BOVINO (CENSO)'!$C$23:$M$23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0-7499-406B-BEA9-0BA22E479152}"/>
            </c:ext>
          </c:extLst>
        </c:ser>
        <c:ser>
          <c:idx val="1"/>
          <c:order val="1"/>
          <c:tx>
            <c:v>Machos</c:v>
          </c:tx>
          <c:spPr>
            <a:ln w="12700">
              <a:solidFill>
                <a:srgbClr val="008000"/>
              </a:solidFill>
              <a:prstDash val="solid"/>
            </a:ln>
          </c:spPr>
          <c:marker>
            <c:symbol val="star"/>
            <c:size val="5"/>
            <c:spPr>
              <a:solidFill>
                <a:srgbClr val="008000"/>
              </a:solidFill>
              <a:ln>
                <a:solidFill>
                  <a:srgbClr val="008000"/>
                </a:solidFill>
                <a:prstDash val="solid"/>
              </a:ln>
            </c:spPr>
          </c:marker>
          <c:cat>
            <c:numRef>
              <c:f>'5.1- BOVINO (CENSO)'!$C$16:$M$16</c:f>
              <c:numCache>
                <c:formatCode>[$-C0A]d\-mmm\-yy;@</c:formatCode>
                <c:ptCount val="11"/>
                <c:pt idx="0">
                  <c:v>0</c:v>
                </c:pt>
                <c:pt idx="1">
                  <c:v>38899</c:v>
                </c:pt>
                <c:pt idx="2">
                  <c:v>39083</c:v>
                </c:pt>
                <c:pt idx="3">
                  <c:v>39264</c:v>
                </c:pt>
                <c:pt idx="4">
                  <c:v>39448</c:v>
                </c:pt>
                <c:pt idx="5">
                  <c:v>39630</c:v>
                </c:pt>
                <c:pt idx="6">
                  <c:v>39814</c:v>
                </c:pt>
                <c:pt idx="7">
                  <c:v>39995</c:v>
                </c:pt>
                <c:pt idx="8">
                  <c:v>40179</c:v>
                </c:pt>
                <c:pt idx="9">
                  <c:v>40360</c:v>
                </c:pt>
                <c:pt idx="10">
                  <c:v>40544</c:v>
                </c:pt>
              </c:numCache>
            </c:numRef>
          </c:cat>
          <c:val>
            <c:numRef>
              <c:f>'5.1- BOVINO (CENSO)'!$C$19:$M$19</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1-7499-406B-BEA9-0BA22E479152}"/>
            </c:ext>
          </c:extLst>
        </c:ser>
        <c:ser>
          <c:idx val="2"/>
          <c:order val="2"/>
          <c:tx>
            <c:v>Hembras</c:v>
          </c:tx>
          <c:spPr>
            <a:ln w="12700">
              <a:solidFill>
                <a:srgbClr val="FF00FF"/>
              </a:solidFill>
              <a:prstDash val="solid"/>
            </a:ln>
          </c:spPr>
          <c:marker>
            <c:symbol val="triangle"/>
            <c:size val="5"/>
            <c:spPr>
              <a:solidFill>
                <a:srgbClr val="FF00FF"/>
              </a:solidFill>
              <a:ln>
                <a:solidFill>
                  <a:srgbClr val="FF00FF"/>
                </a:solidFill>
                <a:prstDash val="solid"/>
              </a:ln>
            </c:spPr>
          </c:marker>
          <c:cat>
            <c:numRef>
              <c:f>'5.1- BOVINO (CENSO)'!$C$16:$M$16</c:f>
              <c:numCache>
                <c:formatCode>[$-C0A]d\-mmm\-yy;@</c:formatCode>
                <c:ptCount val="11"/>
                <c:pt idx="0">
                  <c:v>0</c:v>
                </c:pt>
                <c:pt idx="1">
                  <c:v>38899</c:v>
                </c:pt>
                <c:pt idx="2">
                  <c:v>39083</c:v>
                </c:pt>
                <c:pt idx="3">
                  <c:v>39264</c:v>
                </c:pt>
                <c:pt idx="4">
                  <c:v>39448</c:v>
                </c:pt>
                <c:pt idx="5">
                  <c:v>39630</c:v>
                </c:pt>
                <c:pt idx="6">
                  <c:v>39814</c:v>
                </c:pt>
                <c:pt idx="7">
                  <c:v>39995</c:v>
                </c:pt>
                <c:pt idx="8">
                  <c:v>40179</c:v>
                </c:pt>
                <c:pt idx="9">
                  <c:v>40360</c:v>
                </c:pt>
                <c:pt idx="10">
                  <c:v>40544</c:v>
                </c:pt>
              </c:numCache>
            </c:numRef>
          </c:cat>
          <c:val>
            <c:numRef>
              <c:f>'5.1- BOVINO (CENSO)'!$C$21:$M$21</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7499-406B-BEA9-0BA22E479152}"/>
            </c:ext>
          </c:extLst>
        </c:ser>
        <c:dLbls>
          <c:showLegendKey val="0"/>
          <c:showVal val="0"/>
          <c:showCatName val="0"/>
          <c:showSerName val="0"/>
          <c:showPercent val="0"/>
          <c:showBubbleSize val="0"/>
        </c:dLbls>
        <c:marker val="1"/>
        <c:smooth val="0"/>
        <c:axId val="124311040"/>
        <c:axId val="123066560"/>
      </c:lineChart>
      <c:catAx>
        <c:axId val="124311040"/>
        <c:scaling>
          <c:orientation val="minMax"/>
        </c:scaling>
        <c:delete val="0"/>
        <c:axPos val="b"/>
        <c:title>
          <c:tx>
            <c:rich>
              <a:bodyPr/>
              <a:lstStyle/>
              <a:p>
                <a:pPr>
                  <a:defRPr sz="975" b="1" i="0" u="none" strike="noStrike" baseline="0">
                    <a:solidFill>
                      <a:srgbClr val="000000"/>
                    </a:solidFill>
                    <a:latin typeface="Arial"/>
                    <a:ea typeface="Arial"/>
                    <a:cs typeface="Arial"/>
                  </a:defRPr>
                </a:pPr>
                <a:r>
                  <a:rPr lang="es-ES"/>
                  <a:t>Fecha</a:t>
                </a:r>
              </a:p>
            </c:rich>
          </c:tx>
          <c:layout>
            <c:manualLayout>
              <c:xMode val="edge"/>
              <c:yMode val="edge"/>
              <c:x val="0.54263624023741219"/>
              <c:y val="0.87662337662337664"/>
            </c:manualLayout>
          </c:layout>
          <c:overlay val="0"/>
          <c:spPr>
            <a:noFill/>
            <a:ln w="25400">
              <a:noFill/>
            </a:ln>
          </c:spPr>
        </c:title>
        <c:numFmt formatCode="dd\-mmm\-yy"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s-ES"/>
          </a:p>
        </c:txPr>
        <c:crossAx val="123066560"/>
        <c:crosses val="autoZero"/>
        <c:auto val="0"/>
        <c:lblAlgn val="ctr"/>
        <c:lblOffset val="100"/>
        <c:tickLblSkip val="1"/>
        <c:tickMarkSkip val="1"/>
        <c:noMultiLvlLbl val="0"/>
      </c:catAx>
      <c:valAx>
        <c:axId val="123066560"/>
        <c:scaling>
          <c:orientation val="minMax"/>
        </c:scaling>
        <c:delete val="0"/>
        <c:axPos val="l"/>
        <c:majorGridlines>
          <c:spPr>
            <a:ln w="3175">
              <a:solidFill>
                <a:srgbClr val="000000"/>
              </a:solidFill>
              <a:prstDash val="solid"/>
            </a:ln>
          </c:spPr>
        </c:majorGridlines>
        <c:title>
          <c:tx>
            <c:rich>
              <a:bodyPr/>
              <a:lstStyle/>
              <a:p>
                <a:pPr>
                  <a:defRPr sz="1100" b="0" i="0" u="none" strike="noStrike" baseline="0">
                    <a:solidFill>
                      <a:srgbClr val="000000"/>
                    </a:solidFill>
                    <a:latin typeface="Calibri"/>
                    <a:ea typeface="Calibri"/>
                    <a:cs typeface="Calibri"/>
                  </a:defRPr>
                </a:pPr>
                <a:r>
                  <a:rPr lang="es-ES" sz="925" b="1" i="0" u="none" strike="noStrike" baseline="0">
                    <a:solidFill>
                      <a:srgbClr val="000080"/>
                    </a:solidFill>
                    <a:latin typeface="Arial"/>
                    <a:cs typeface="Arial"/>
                  </a:rPr>
                  <a:t>Total</a:t>
                </a:r>
              </a:p>
              <a:p>
                <a:pPr>
                  <a:defRPr sz="1100" b="0" i="0" u="none" strike="noStrike" baseline="0">
                    <a:solidFill>
                      <a:srgbClr val="000000"/>
                    </a:solidFill>
                    <a:latin typeface="Calibri"/>
                    <a:ea typeface="Calibri"/>
                    <a:cs typeface="Calibri"/>
                  </a:defRPr>
                </a:pPr>
                <a:r>
                  <a:rPr lang="es-ES" sz="925" b="1" i="0" u="none" strike="noStrike" baseline="0">
                    <a:solidFill>
                      <a:srgbClr val="008000"/>
                    </a:solidFill>
                    <a:latin typeface="Arial"/>
                    <a:cs typeface="Arial"/>
                  </a:rPr>
                  <a:t>Machos</a:t>
                </a:r>
                <a:endParaRPr lang="es-ES" sz="925" b="1" i="0" u="none" strike="noStrike" baseline="0">
                  <a:solidFill>
                    <a:srgbClr val="FFCC00"/>
                  </a:solidFill>
                  <a:latin typeface="Arial"/>
                  <a:cs typeface="Arial"/>
                </a:endParaRPr>
              </a:p>
              <a:p>
                <a:pPr>
                  <a:defRPr sz="1100" b="0" i="0" u="none" strike="noStrike" baseline="0">
                    <a:solidFill>
                      <a:srgbClr val="000000"/>
                    </a:solidFill>
                    <a:latin typeface="Calibri"/>
                    <a:ea typeface="Calibri"/>
                    <a:cs typeface="Calibri"/>
                  </a:defRPr>
                </a:pPr>
                <a:r>
                  <a:rPr lang="es-ES" sz="925" b="1" i="0" u="none" strike="noStrike" baseline="0">
                    <a:solidFill>
                      <a:srgbClr val="FF00FF"/>
                    </a:solidFill>
                    <a:latin typeface="Arial"/>
                    <a:cs typeface="Arial"/>
                  </a:rPr>
                  <a:t>Hembras</a:t>
                </a:r>
              </a:p>
            </c:rich>
          </c:tx>
          <c:layout>
            <c:manualLayout>
              <c:xMode val="edge"/>
              <c:yMode val="edge"/>
              <c:x val="8.8593576965669985E-3"/>
              <c:y val="0.40259740259740262"/>
            </c:manualLayout>
          </c:layout>
          <c:overlay val="0"/>
          <c:spPr>
            <a:noFill/>
            <a:ln w="3175">
              <a:solidFill>
                <a:srgbClr val="000080"/>
              </a:solidFill>
              <a:prstDash val="solid"/>
            </a:ln>
          </c:spPr>
        </c:title>
        <c:numFmt formatCode="#,##0" sourceLinked="1"/>
        <c:majorTickMark val="out"/>
        <c:minorTickMark val="none"/>
        <c:tickLblPos val="nextTo"/>
        <c:spPr>
          <a:ln w="3175">
            <a:solidFill>
              <a:srgbClr val="000000"/>
            </a:solidFill>
            <a:prstDash val="solid"/>
          </a:ln>
        </c:spPr>
        <c:txPr>
          <a:bodyPr rot="0" vert="horz"/>
          <a:lstStyle/>
          <a:p>
            <a:pPr>
              <a:defRPr sz="825" b="0" i="0" u="none" strike="noStrike" baseline="0">
                <a:solidFill>
                  <a:srgbClr val="000000"/>
                </a:solidFill>
                <a:latin typeface="Arial"/>
                <a:ea typeface="Arial"/>
                <a:cs typeface="Arial"/>
              </a:defRPr>
            </a:pPr>
            <a:endParaRPr lang="es-ES"/>
          </a:p>
        </c:txPr>
        <c:crossAx val="124311040"/>
        <c:crosses val="autoZero"/>
        <c:crossBetween val="between"/>
      </c:valAx>
      <c:spPr>
        <a:gradFill rotWithShape="0">
          <a:gsLst>
            <a:gs pos="0">
              <a:srgbClr xmlns:mc="http://schemas.openxmlformats.org/markup-compatibility/2006" xmlns:a14="http://schemas.microsoft.com/office/drawing/2010/main" val="DFDFDF" mc:Ignorable="a14" a14:legacySpreadsheetColorIndex="22">
                <a:gamma/>
                <a:tint val="51373"/>
                <a:invGamma/>
              </a:srgbClr>
            </a:gs>
            <a:gs pos="100000">
              <a:srgbClr xmlns:mc="http://schemas.openxmlformats.org/markup-compatibility/2006" xmlns:a14="http://schemas.microsoft.com/office/drawing/2010/main" val="C0C0C0" mc:Ignorable="a14" a14:legacySpreadsheetColorIndex="22"/>
            </a:gs>
          </a:gsLst>
          <a:lin ang="5400000" scaled="1"/>
        </a:gradFill>
        <a:ln w="12700">
          <a:solidFill>
            <a:srgbClr val="808080"/>
          </a:solidFill>
          <a:prstDash val="solid"/>
        </a:ln>
      </c:spPr>
    </c:plotArea>
    <c:plotVisOnly val="1"/>
    <c:dispBlanksAs val="gap"/>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825"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ES"/>
              <a:t>Censo total de Patos por C.A.</a:t>
            </a:r>
          </a:p>
        </c:rich>
      </c:tx>
      <c:layout>
        <c:manualLayout>
          <c:xMode val="edge"/>
          <c:yMode val="edge"/>
          <c:x val="0.34735413839891449"/>
          <c:y val="5.8823941125006433E-2"/>
        </c:manualLayout>
      </c:layout>
      <c:overlay val="0"/>
      <c:spPr>
        <a:noFill/>
        <a:ln w="25400">
          <a:noFill/>
        </a:ln>
      </c:spPr>
    </c:title>
    <c:autoTitleDeleted val="0"/>
    <c:plotArea>
      <c:layout>
        <c:manualLayout>
          <c:layoutTarget val="inner"/>
          <c:xMode val="edge"/>
          <c:yMode val="edge"/>
          <c:x val="8.6838534599728623E-2"/>
          <c:y val="0.20784393322584721"/>
          <c:w val="0.89416553595658077"/>
          <c:h val="0.45621038546652248"/>
        </c:manualLayout>
      </c:layout>
      <c:lineChart>
        <c:grouping val="standard"/>
        <c:varyColors val="0"/>
        <c:ser>
          <c:idx val="0"/>
          <c:order val="0"/>
          <c:tx>
            <c:strRef>
              <c:f>'13.1- PATOS (CENSO)'!$C$22:$M$22</c:f>
              <c:strCache>
                <c:ptCount val="11"/>
                <c:pt idx="0">
                  <c:v>Todas (*)</c:v>
                </c:pt>
              </c:strCache>
            </c:strRef>
          </c:tx>
          <c:spPr>
            <a:ln w="12700">
              <a:solidFill>
                <a:srgbClr val="000080"/>
              </a:solidFill>
              <a:prstDash val="solid"/>
            </a:ln>
          </c:spPr>
          <c:marker>
            <c:symbol val="diamond"/>
            <c:size val="5"/>
            <c:spPr>
              <a:solidFill>
                <a:srgbClr val="000080"/>
              </a:solidFill>
              <a:ln>
                <a:solidFill>
                  <a:srgbClr val="000080"/>
                </a:solidFill>
                <a:prstDash val="solid"/>
              </a:ln>
            </c:spPr>
          </c:marker>
          <c:cat>
            <c:numRef>
              <c:f>'13.1- PATOS (CENSO)'!$C$17:$M$17</c:f>
              <c:numCache>
                <c:formatCode>[$-C0A]d\-mmm\-yy;@</c:formatCode>
                <c:ptCount val="11"/>
                <c:pt idx="0">
                  <c:v>0</c:v>
                </c:pt>
                <c:pt idx="1">
                  <c:v>38899</c:v>
                </c:pt>
                <c:pt idx="2">
                  <c:v>39083</c:v>
                </c:pt>
                <c:pt idx="3">
                  <c:v>39264</c:v>
                </c:pt>
                <c:pt idx="4">
                  <c:v>39448</c:v>
                </c:pt>
                <c:pt idx="5">
                  <c:v>39630</c:v>
                </c:pt>
                <c:pt idx="6">
                  <c:v>39814</c:v>
                </c:pt>
                <c:pt idx="7">
                  <c:v>39995</c:v>
                </c:pt>
                <c:pt idx="8">
                  <c:v>40179</c:v>
                </c:pt>
                <c:pt idx="9">
                  <c:v>40360</c:v>
                </c:pt>
                <c:pt idx="10">
                  <c:v>40544</c:v>
                </c:pt>
              </c:numCache>
            </c:numRef>
          </c:cat>
          <c:val>
            <c:numRef>
              <c:f>'13.1- PATOS (CENSO)'!$C$23:$M$23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0-1BEF-4772-93C1-10D04B57B56C}"/>
            </c:ext>
          </c:extLst>
        </c:ser>
        <c:dLbls>
          <c:showLegendKey val="0"/>
          <c:showVal val="0"/>
          <c:showCatName val="0"/>
          <c:showSerName val="0"/>
          <c:showPercent val="0"/>
          <c:showBubbleSize val="0"/>
        </c:dLbls>
        <c:marker val="1"/>
        <c:smooth val="0"/>
        <c:axId val="163336192"/>
        <c:axId val="162689536"/>
      </c:lineChart>
      <c:catAx>
        <c:axId val="163336192"/>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Fecha</a:t>
                </a:r>
              </a:p>
            </c:rich>
          </c:tx>
          <c:layout>
            <c:manualLayout>
              <c:xMode val="edge"/>
              <c:yMode val="edge"/>
              <c:x val="0.50881953867028495"/>
              <c:y val="0.89019854871082293"/>
            </c:manualLayout>
          </c:layout>
          <c:overlay val="0"/>
          <c:spPr>
            <a:noFill/>
            <a:ln w="25400">
              <a:noFill/>
            </a:ln>
          </c:spPr>
        </c:title>
        <c:numFmt formatCode="dd\-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62689536"/>
        <c:crosses val="autoZero"/>
        <c:auto val="0"/>
        <c:lblAlgn val="ctr"/>
        <c:lblOffset val="100"/>
        <c:tickLblSkip val="1"/>
        <c:tickMarkSkip val="1"/>
        <c:noMultiLvlLbl val="0"/>
      </c:catAx>
      <c:valAx>
        <c:axId val="162689536"/>
        <c:scaling>
          <c:orientation val="minMax"/>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63336192"/>
        <c:crosses val="autoZero"/>
        <c:crossBetween val="between"/>
      </c:valAx>
      <c:spPr>
        <a:solidFill>
          <a:srgbClr val="C0C0C0"/>
        </a:solidFill>
        <a:ln w="12700">
          <a:solidFill>
            <a:srgbClr val="808080"/>
          </a:solidFill>
          <a:prstDash val="solid"/>
        </a:ln>
      </c:spPr>
    </c:plotArea>
    <c:plotVisOnly val="1"/>
    <c:dispBlanksAs val="gap"/>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AUX!$H$49</c:f>
          <c:strCache>
            <c:ptCount val="1"/>
            <c:pt idx="0">
              <c:v>Distribución del total del Censo de Patos por C.A.
(31 de diciembre de 1904)</c:v>
            </c:pt>
          </c:strCache>
        </c:strRef>
      </c:tx>
      <c:layout>
        <c:manualLayout>
          <c:xMode val="edge"/>
          <c:yMode val="edge"/>
          <c:x val="0.24353770064456229"/>
          <c:y val="1.6591251885369532E-2"/>
        </c:manualLayout>
      </c:layout>
      <c:overlay val="0"/>
      <c:spPr>
        <a:noFill/>
        <a:ln w="25400">
          <a:noFill/>
        </a:ln>
      </c:spPr>
      <c:txPr>
        <a:bodyPr/>
        <a:lstStyle/>
        <a:p>
          <a:pPr>
            <a:defRPr sz="1000" b="0" i="0" u="none" strike="noStrike" baseline="0">
              <a:solidFill>
                <a:srgbClr val="000000"/>
              </a:solidFill>
              <a:latin typeface="Arial"/>
              <a:ea typeface="Arial"/>
              <a:cs typeface="Arial"/>
            </a:defRPr>
          </a:pPr>
          <a:endParaRPr lang="es-ES"/>
        </a:p>
      </c:txPr>
    </c:title>
    <c:autoTitleDeleted val="0"/>
    <c:plotArea>
      <c:layout>
        <c:manualLayout>
          <c:layoutTarget val="inner"/>
          <c:xMode val="edge"/>
          <c:yMode val="edge"/>
          <c:x val="0.32925213814325327"/>
          <c:y val="0.44796446073196633"/>
          <c:w val="0.3632657887778869"/>
          <c:h val="0.402715525304495"/>
        </c:manualLayout>
      </c:layout>
      <c:pieChart>
        <c:varyColors val="1"/>
        <c:ser>
          <c:idx val="0"/>
          <c:order val="0"/>
          <c:spPr>
            <a:solidFill>
              <a:srgbClr val="9999FF"/>
            </a:solidFill>
            <a:ln w="12700">
              <a:solidFill>
                <a:srgbClr val="000000"/>
              </a:solidFill>
              <a:prstDash val="solid"/>
            </a:ln>
          </c:spPr>
          <c:dPt>
            <c:idx val="0"/>
            <c:bubble3D val="0"/>
            <c:extLst>
              <c:ext xmlns:c16="http://schemas.microsoft.com/office/drawing/2014/chart" uri="{C3380CC4-5D6E-409C-BE32-E72D297353CC}">
                <c16:uniqueId val="{00000000-2929-47BF-A788-AEBF42A1E899}"/>
              </c:ext>
            </c:extLst>
          </c:dPt>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2-2929-47BF-A788-AEBF42A1E899}"/>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4-2929-47BF-A788-AEBF42A1E899}"/>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6-2929-47BF-A788-AEBF42A1E899}"/>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8-2929-47BF-A788-AEBF42A1E899}"/>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A-2929-47BF-A788-AEBF42A1E899}"/>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C-2929-47BF-A788-AEBF42A1E899}"/>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E-2929-47BF-A788-AEBF42A1E899}"/>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10-2929-47BF-A788-AEBF42A1E899}"/>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2-2929-47BF-A788-AEBF42A1E899}"/>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4-2929-47BF-A788-AEBF42A1E899}"/>
              </c:ext>
            </c:extLst>
          </c:dPt>
          <c:dPt>
            <c:idx val="11"/>
            <c:bubble3D val="0"/>
            <c:spPr>
              <a:solidFill>
                <a:srgbClr val="00FFFF"/>
              </a:solidFill>
              <a:ln w="12700">
                <a:solidFill>
                  <a:srgbClr val="000000"/>
                </a:solidFill>
                <a:prstDash val="solid"/>
              </a:ln>
            </c:spPr>
            <c:extLst>
              <c:ext xmlns:c16="http://schemas.microsoft.com/office/drawing/2014/chart" uri="{C3380CC4-5D6E-409C-BE32-E72D297353CC}">
                <c16:uniqueId val="{00000016-2929-47BF-A788-AEBF42A1E899}"/>
              </c:ext>
            </c:extLst>
          </c:dPt>
          <c:dPt>
            <c:idx val="12"/>
            <c:bubble3D val="0"/>
            <c:spPr>
              <a:solidFill>
                <a:srgbClr val="800080"/>
              </a:solidFill>
              <a:ln w="12700">
                <a:solidFill>
                  <a:srgbClr val="000000"/>
                </a:solidFill>
                <a:prstDash val="solid"/>
              </a:ln>
            </c:spPr>
            <c:extLst>
              <c:ext xmlns:c16="http://schemas.microsoft.com/office/drawing/2014/chart" uri="{C3380CC4-5D6E-409C-BE32-E72D297353CC}">
                <c16:uniqueId val="{00000018-2929-47BF-A788-AEBF42A1E899}"/>
              </c:ext>
            </c:extLst>
          </c:dPt>
          <c:dPt>
            <c:idx val="13"/>
            <c:bubble3D val="0"/>
            <c:spPr>
              <a:solidFill>
                <a:srgbClr val="800000"/>
              </a:solidFill>
              <a:ln w="12700">
                <a:solidFill>
                  <a:srgbClr val="000000"/>
                </a:solidFill>
                <a:prstDash val="solid"/>
              </a:ln>
            </c:spPr>
            <c:extLst>
              <c:ext xmlns:c16="http://schemas.microsoft.com/office/drawing/2014/chart" uri="{C3380CC4-5D6E-409C-BE32-E72D297353CC}">
                <c16:uniqueId val="{0000001A-2929-47BF-A788-AEBF42A1E899}"/>
              </c:ext>
            </c:extLst>
          </c:dPt>
          <c:dPt>
            <c:idx val="14"/>
            <c:bubble3D val="0"/>
            <c:spPr>
              <a:solidFill>
                <a:srgbClr val="008080"/>
              </a:solidFill>
              <a:ln w="12700">
                <a:solidFill>
                  <a:srgbClr val="000000"/>
                </a:solidFill>
                <a:prstDash val="solid"/>
              </a:ln>
            </c:spPr>
            <c:extLst>
              <c:ext xmlns:c16="http://schemas.microsoft.com/office/drawing/2014/chart" uri="{C3380CC4-5D6E-409C-BE32-E72D297353CC}">
                <c16:uniqueId val="{0000001C-2929-47BF-A788-AEBF42A1E899}"/>
              </c:ext>
            </c:extLst>
          </c:dPt>
          <c:dPt>
            <c:idx val="15"/>
            <c:bubble3D val="0"/>
            <c:spPr>
              <a:solidFill>
                <a:srgbClr val="0000FF"/>
              </a:solidFill>
              <a:ln w="12700">
                <a:solidFill>
                  <a:srgbClr val="000000"/>
                </a:solidFill>
                <a:prstDash val="solid"/>
              </a:ln>
            </c:spPr>
            <c:extLst>
              <c:ext xmlns:c16="http://schemas.microsoft.com/office/drawing/2014/chart" uri="{C3380CC4-5D6E-409C-BE32-E72D297353CC}">
                <c16:uniqueId val="{0000001E-2929-47BF-A788-AEBF42A1E899}"/>
              </c:ext>
            </c:extLst>
          </c:dPt>
          <c:dPt>
            <c:idx val="16"/>
            <c:bubble3D val="0"/>
            <c:spPr>
              <a:solidFill>
                <a:srgbClr val="00CCFF"/>
              </a:solidFill>
              <a:ln w="12700">
                <a:solidFill>
                  <a:srgbClr val="000000"/>
                </a:solidFill>
                <a:prstDash val="solid"/>
              </a:ln>
            </c:spPr>
            <c:extLst>
              <c:ext xmlns:c16="http://schemas.microsoft.com/office/drawing/2014/chart" uri="{C3380CC4-5D6E-409C-BE32-E72D297353CC}">
                <c16:uniqueId val="{00000020-2929-47BF-A788-AEBF42A1E899}"/>
              </c:ext>
            </c:extLst>
          </c:dPt>
          <c:dPt>
            <c:idx val="17"/>
            <c:bubble3D val="0"/>
            <c:spPr>
              <a:solidFill>
                <a:srgbClr val="CCFFFF"/>
              </a:solidFill>
              <a:ln w="12700">
                <a:solidFill>
                  <a:srgbClr val="000000"/>
                </a:solidFill>
                <a:prstDash val="solid"/>
              </a:ln>
            </c:spPr>
            <c:extLst>
              <c:ext xmlns:c16="http://schemas.microsoft.com/office/drawing/2014/chart" uri="{C3380CC4-5D6E-409C-BE32-E72D297353CC}">
                <c16:uniqueId val="{00000022-2929-47BF-A788-AEBF42A1E899}"/>
              </c:ext>
            </c:extLst>
          </c:dPt>
          <c:dPt>
            <c:idx val="18"/>
            <c:bubble3D val="0"/>
            <c:spPr>
              <a:solidFill>
                <a:srgbClr val="CCFFCC"/>
              </a:solidFill>
              <a:ln w="12700">
                <a:solidFill>
                  <a:srgbClr val="000000"/>
                </a:solidFill>
                <a:prstDash val="solid"/>
              </a:ln>
            </c:spPr>
            <c:extLst>
              <c:ext xmlns:c16="http://schemas.microsoft.com/office/drawing/2014/chart" uri="{C3380CC4-5D6E-409C-BE32-E72D297353CC}">
                <c16:uniqueId val="{00000024-2929-47BF-A788-AEBF42A1E899}"/>
              </c:ext>
            </c:extLst>
          </c:dPt>
          <c:dLbls>
            <c:dLbl>
              <c:idx val="0"/>
              <c:layout>
                <c:manualLayout>
                  <c:x val="-1.4680130757609152E-2"/>
                  <c:y val="-0.21268747758985138"/>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2929-47BF-A788-AEBF42A1E899}"/>
                </c:ext>
              </c:extLst>
            </c:dLbl>
            <c:dLbl>
              <c:idx val="1"/>
              <c:layout>
                <c:manualLayout>
                  <c:x val="4.588426446694163E-3"/>
                  <c:y val="-3.3637288551600732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2929-47BF-A788-AEBF42A1E899}"/>
                </c:ext>
              </c:extLst>
            </c:dLbl>
            <c:dLbl>
              <c:idx val="2"/>
              <c:layout>
                <c:manualLayout>
                  <c:x val="4.261952970164444E-2"/>
                  <c:y val="-2.6165484970487287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2929-47BF-A788-AEBF42A1E899}"/>
                </c:ext>
              </c:extLst>
            </c:dLbl>
            <c:dLbl>
              <c:idx val="3"/>
              <c:layout>
                <c:manualLayout>
                  <c:x val="0.18878968700341028"/>
                  <c:y val="3.5217158941105213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2929-47BF-A788-AEBF42A1E899}"/>
                </c:ext>
              </c:extLst>
            </c:dLbl>
            <c:dLbl>
              <c:idx val="4"/>
              <c:layout>
                <c:manualLayout>
                  <c:x val="0.23072575215561419"/>
                  <c:y val="0.1074144270613150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2929-47BF-A788-AEBF42A1E899}"/>
                </c:ext>
              </c:extLst>
            </c:dLbl>
            <c:dLbl>
              <c:idx val="5"/>
              <c:layout>
                <c:manualLayout>
                  <c:x val="0.22242749649158966"/>
                  <c:y val="0.19875140783806611"/>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A-2929-47BF-A788-AEBF42A1E899}"/>
                </c:ext>
              </c:extLst>
            </c:dLbl>
            <c:dLbl>
              <c:idx val="6"/>
              <c:layout>
                <c:manualLayout>
                  <c:x val="5.3278054311025551E-2"/>
                  <c:y val="8.2736167499556201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C-2929-47BF-A788-AEBF42A1E899}"/>
                </c:ext>
              </c:extLst>
            </c:dLbl>
            <c:dLbl>
              <c:idx val="7"/>
              <c:layout>
                <c:manualLayout>
                  <c:x val="3.7554963651706678E-2"/>
                  <c:y val="4.6004273235912857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E-2929-47BF-A788-AEBF42A1E899}"/>
                </c:ext>
              </c:extLst>
            </c:dLbl>
            <c:dLbl>
              <c:idx val="8"/>
              <c:layout>
                <c:manualLayout>
                  <c:x val="3.0514715320127676E-2"/>
                  <c:y val="2.372989507602688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0-2929-47BF-A788-AEBF42A1E899}"/>
                </c:ext>
              </c:extLst>
            </c:dLbl>
            <c:dLbl>
              <c:idx val="9"/>
              <c:layout>
                <c:manualLayout>
                  <c:x val="-1.8132010297891608E-2"/>
                  <c:y val="2.2113307192017838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2-2929-47BF-A788-AEBF42A1E899}"/>
                </c:ext>
              </c:extLst>
            </c:dLbl>
            <c:dLbl>
              <c:idx val="10"/>
              <c:layout>
                <c:manualLayout>
                  <c:x val="-1.0464285181400194E-2"/>
                  <c:y val="2.7243974847701875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4-2929-47BF-A788-AEBF42A1E899}"/>
                </c:ext>
              </c:extLst>
            </c:dLbl>
            <c:dLbl>
              <c:idx val="11"/>
              <c:layout>
                <c:manualLayout>
                  <c:x val="-9.0391129680218549E-2"/>
                  <c:y val="6.7340451221877803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6-2929-47BF-A788-AEBF42A1E899}"/>
                </c:ext>
              </c:extLst>
            </c:dLbl>
            <c:dLbl>
              <c:idx val="12"/>
              <c:layout>
                <c:manualLayout>
                  <c:x val="-2.3774006616339341E-2"/>
                  <c:y val="5.8164115093830631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8-2929-47BF-A788-AEBF42A1E899}"/>
                </c:ext>
              </c:extLst>
            </c:dLbl>
            <c:dLbl>
              <c:idx val="13"/>
              <c:layout>
                <c:manualLayout>
                  <c:x val="-0.17617982565615753"/>
                  <c:y val="8.407154195716246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A-2929-47BF-A788-AEBF42A1E899}"/>
                </c:ext>
              </c:extLst>
            </c:dLbl>
            <c:dLbl>
              <c:idx val="14"/>
              <c:layout>
                <c:manualLayout>
                  <c:x val="-0.268567336909879"/>
                  <c:y val="-2.5803752582968683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C-2929-47BF-A788-AEBF42A1E899}"/>
                </c:ext>
              </c:extLst>
            </c:dLbl>
            <c:dLbl>
              <c:idx val="15"/>
              <c:layout>
                <c:manualLayout>
                  <c:x val="-0.18352055006547999"/>
                  <c:y val="2.3972926709692526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E-2929-47BF-A788-AEBF42A1E899}"/>
                </c:ext>
              </c:extLst>
            </c:dLbl>
            <c:dLbl>
              <c:idx val="16"/>
              <c:layout>
                <c:manualLayout>
                  <c:x val="-0.24665345047938445"/>
                  <c:y val="-0.10712151327628576"/>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20-2929-47BF-A788-AEBF42A1E899}"/>
                </c:ext>
              </c:extLst>
            </c:dLbl>
            <c:dLbl>
              <c:idx val="17"/>
              <c:layout>
                <c:manualLayout>
                  <c:x val="-0.22274024253550767"/>
                  <c:y val="-0.18551072156766904"/>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22-2929-47BF-A788-AEBF42A1E899}"/>
                </c:ext>
              </c:extLst>
            </c:dLbl>
            <c:dLbl>
              <c:idx val="18"/>
              <c:layout>
                <c:manualLayout>
                  <c:x val="-9.1991700064800216E-2"/>
                  <c:y val="-0.16288625385393335"/>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24-2929-47BF-A788-AEBF42A1E899}"/>
                </c:ext>
              </c:extLst>
            </c:dLbl>
            <c:numFmt formatCode="0.0%" sourceLinked="0"/>
            <c:spPr>
              <a:noFill/>
              <a:ln w="25400">
                <a:noFill/>
              </a:ln>
            </c:spPr>
            <c:txPr>
              <a:bodyPr/>
              <a:lstStyle/>
              <a:p>
                <a:pPr>
                  <a:defRPr sz="1000" b="0" i="0" u="none" strike="noStrike" baseline="0">
                    <a:solidFill>
                      <a:srgbClr val="000000"/>
                    </a:solidFill>
                    <a:latin typeface="Arial"/>
                    <a:ea typeface="Arial"/>
                    <a:cs typeface="Arial"/>
                  </a:defRPr>
                </a:pPr>
                <a:endParaRPr lang="es-ES"/>
              </a:p>
            </c:txPr>
            <c:showLegendKey val="0"/>
            <c:showVal val="0"/>
            <c:showCatName val="1"/>
            <c:showSerName val="0"/>
            <c:showPercent val="1"/>
            <c:showBubbleSize val="0"/>
            <c:showLeaderLines val="1"/>
            <c:extLst>
              <c:ext xmlns:c15="http://schemas.microsoft.com/office/drawing/2012/chart" uri="{CE6537A1-D6FC-4f65-9D91-7224C49458BB}"/>
            </c:extLst>
          </c:dLbls>
          <c:cat>
            <c:strRef>
              <c:f>'13.1- PATOS (CENSO)'!$B$173:$B$191</c:f>
              <c:strCache>
                <c:ptCount val="19"/>
                <c:pt idx="0">
                  <c:v>Andalucía</c:v>
                </c:pt>
                <c:pt idx="1">
                  <c:v>Aragón</c:v>
                </c:pt>
                <c:pt idx="2">
                  <c:v>Asturias</c:v>
                </c:pt>
                <c:pt idx="3">
                  <c:v>Baleares</c:v>
                </c:pt>
                <c:pt idx="4">
                  <c:v>Canarias</c:v>
                </c:pt>
                <c:pt idx="5">
                  <c:v>Cantabria</c:v>
                </c:pt>
                <c:pt idx="6">
                  <c:v>Castilla La Mancha</c:v>
                </c:pt>
                <c:pt idx="7">
                  <c:v>Castilla y León</c:v>
                </c:pt>
                <c:pt idx="8">
                  <c:v>Cataluña</c:v>
                </c:pt>
                <c:pt idx="9">
                  <c:v>Extremadura</c:v>
                </c:pt>
                <c:pt idx="10">
                  <c:v>Galicia</c:v>
                </c:pt>
                <c:pt idx="11">
                  <c:v>Madrid</c:v>
                </c:pt>
                <c:pt idx="12">
                  <c:v>Murcia</c:v>
                </c:pt>
                <c:pt idx="13">
                  <c:v>Navarra</c:v>
                </c:pt>
                <c:pt idx="14">
                  <c:v>País Vasco</c:v>
                </c:pt>
                <c:pt idx="15">
                  <c:v>La Rioja</c:v>
                </c:pt>
                <c:pt idx="16">
                  <c:v>Valencia</c:v>
                </c:pt>
                <c:pt idx="17">
                  <c:v>Ceuta</c:v>
                </c:pt>
                <c:pt idx="18">
                  <c:v>Melilla</c:v>
                </c:pt>
              </c:strCache>
            </c:strRef>
          </c:cat>
          <c:val>
            <c:numRef>
              <c:f>'13.1- PATOS (CENSO)'!$C$173:$C$191</c:f>
              <c:numCache>
                <c:formatCode>General</c:formatCode>
                <c:ptCount val="19"/>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numCache>
            </c:numRef>
          </c:val>
          <c:extLst>
            <c:ext xmlns:c16="http://schemas.microsoft.com/office/drawing/2014/chart" uri="{C3380CC4-5D6E-409C-BE32-E72D297353CC}">
              <c16:uniqueId val="{00000025-2929-47BF-A788-AEBF42A1E899}"/>
            </c:ext>
          </c:extLst>
        </c:ser>
        <c:dLbls>
          <c:showLegendKey val="0"/>
          <c:showVal val="0"/>
          <c:showCatName val="0"/>
          <c:showSerName val="0"/>
          <c:showPercent val="0"/>
          <c:showBubbleSize val="0"/>
          <c:showLeaderLines val="1"/>
        </c:dLbls>
        <c:firstSliceAng val="0"/>
      </c:pieChart>
      <c:spPr>
        <a:noFill/>
        <a:ln w="25400">
          <a:noFill/>
        </a:ln>
      </c:spPr>
    </c:plotArea>
    <c:plotVisOnly val="0"/>
    <c:dispBlanksAs val="zero"/>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ES"/>
              <a:t>Censo de Patos</a:t>
            </a:r>
            <a:r>
              <a:rPr lang="es-ES" baseline="0"/>
              <a:t> para Cebo de P</a:t>
            </a:r>
            <a:r>
              <a:rPr lang="es-ES"/>
              <a:t>almípedas Grasas</a:t>
            </a:r>
            <a:r>
              <a:rPr lang="es-ES" baseline="0"/>
              <a:t/>
            </a:r>
            <a:r>
              <a:rPr lang="es-ES"/>
              <a:t>por C.A.</a:t>
            </a:r>
          </a:p>
        </c:rich>
      </c:tx>
      <c:layout>
        <c:manualLayout>
          <c:xMode val="edge"/>
          <c:yMode val="edge"/>
          <c:x val="0.23880597014925373"/>
          <c:y val="5.8823941125006433E-2"/>
        </c:manualLayout>
      </c:layout>
      <c:overlay val="0"/>
      <c:spPr>
        <a:noFill/>
        <a:ln w="25400">
          <a:noFill/>
        </a:ln>
      </c:spPr>
    </c:title>
    <c:autoTitleDeleted val="0"/>
    <c:plotArea>
      <c:layout>
        <c:manualLayout>
          <c:layoutTarget val="inner"/>
          <c:xMode val="edge"/>
          <c:yMode val="edge"/>
          <c:x val="8.6838534599728623E-2"/>
          <c:y val="0.20784393322584721"/>
          <c:w val="0.89416553595658077"/>
          <c:h val="0.45621038546652248"/>
        </c:manualLayout>
      </c:layout>
      <c:lineChart>
        <c:grouping val="standard"/>
        <c:varyColors val="0"/>
        <c:ser>
          <c:idx val="0"/>
          <c:order val="0"/>
          <c:tx>
            <c:strRef>
              <c:f>'13.1- PATOS (CENSO)'!$C$20:$M$20</c:f>
              <c:strCache>
                <c:ptCount val="11"/>
                <c:pt idx="0">
                  <c:v>Cebo de Palmípedas Grasas</c:v>
                </c:pt>
              </c:strCache>
            </c:strRef>
          </c:tx>
          <c:spPr>
            <a:ln w="12700">
              <a:solidFill>
                <a:srgbClr val="000080"/>
              </a:solidFill>
              <a:prstDash val="solid"/>
            </a:ln>
          </c:spPr>
          <c:marker>
            <c:symbol val="diamond"/>
            <c:size val="5"/>
            <c:spPr>
              <a:solidFill>
                <a:srgbClr val="000080"/>
              </a:solidFill>
              <a:ln>
                <a:solidFill>
                  <a:srgbClr val="000080"/>
                </a:solidFill>
                <a:prstDash val="solid"/>
              </a:ln>
            </c:spPr>
          </c:marker>
          <c:cat>
            <c:numRef>
              <c:f>'13.1- PATOS (CENSO)'!$C$17:$M$17</c:f>
              <c:numCache>
                <c:formatCode>[$-C0A]d\-mmm\-yy;@</c:formatCode>
                <c:ptCount val="11"/>
                <c:pt idx="0">
                  <c:v>0</c:v>
                </c:pt>
                <c:pt idx="1">
                  <c:v>38899</c:v>
                </c:pt>
                <c:pt idx="2">
                  <c:v>39083</c:v>
                </c:pt>
                <c:pt idx="3">
                  <c:v>39264</c:v>
                </c:pt>
                <c:pt idx="4">
                  <c:v>39448</c:v>
                </c:pt>
                <c:pt idx="5">
                  <c:v>39630</c:v>
                </c:pt>
                <c:pt idx="6">
                  <c:v>39814</c:v>
                </c:pt>
                <c:pt idx="7">
                  <c:v>39995</c:v>
                </c:pt>
                <c:pt idx="8">
                  <c:v>40179</c:v>
                </c:pt>
                <c:pt idx="9">
                  <c:v>40360</c:v>
                </c:pt>
                <c:pt idx="10">
                  <c:v>40544</c:v>
                </c:pt>
              </c:numCache>
            </c:numRef>
          </c:cat>
          <c:val>
            <c:numRef>
              <c:f>'13.1- PATOS (CENSO)'!$C$21:$M$21</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0-C370-4582-945D-7CAD7B28FFA8}"/>
            </c:ext>
          </c:extLst>
        </c:ser>
        <c:dLbls>
          <c:showLegendKey val="0"/>
          <c:showVal val="0"/>
          <c:showCatName val="0"/>
          <c:showSerName val="0"/>
          <c:showPercent val="0"/>
          <c:showBubbleSize val="0"/>
        </c:dLbls>
        <c:marker val="1"/>
        <c:smooth val="0"/>
        <c:axId val="360330159"/>
        <c:axId val="1"/>
      </c:lineChart>
      <c:catAx>
        <c:axId val="360330159"/>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Fecha</a:t>
                </a:r>
              </a:p>
            </c:rich>
          </c:tx>
          <c:layout>
            <c:manualLayout>
              <c:xMode val="edge"/>
              <c:yMode val="edge"/>
              <c:x val="0.50881953867028495"/>
              <c:y val="0.89019854871082293"/>
            </c:manualLayout>
          </c:layout>
          <c:overlay val="0"/>
          <c:spPr>
            <a:noFill/>
            <a:ln w="25400">
              <a:noFill/>
            </a:ln>
          </c:spPr>
        </c:title>
        <c:numFmt formatCode="dd\-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
        <c:crosses val="autoZero"/>
        <c:auto val="0"/>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360330159"/>
        <c:crosses val="autoZero"/>
        <c:crossBetween val="between"/>
      </c:valAx>
      <c:spPr>
        <a:solidFill>
          <a:srgbClr val="C0C0C0"/>
        </a:solidFill>
        <a:ln w="12700">
          <a:solidFill>
            <a:srgbClr val="808080"/>
          </a:solidFill>
          <a:prstDash val="solid"/>
        </a:ln>
      </c:spPr>
    </c:plotArea>
    <c:plotVisOnly val="1"/>
    <c:dispBlanksAs val="gap"/>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ES"/>
              <a:t>Nº de Subexplotaciones de Patos de Producción para Carne por C.A.</a:t>
            </a:r>
          </a:p>
        </c:rich>
      </c:tx>
      <c:layout>
        <c:manualLayout>
          <c:xMode val="edge"/>
          <c:yMode val="edge"/>
          <c:x val="0.14130449047129978"/>
          <c:y val="7.0247933884297523E-2"/>
        </c:manualLayout>
      </c:layout>
      <c:overlay val="0"/>
      <c:spPr>
        <a:noFill/>
        <a:ln w="25400">
          <a:noFill/>
        </a:ln>
      </c:spPr>
    </c:title>
    <c:autoTitleDeleted val="0"/>
    <c:plotArea>
      <c:layout>
        <c:manualLayout>
          <c:layoutTarget val="inner"/>
          <c:xMode val="edge"/>
          <c:yMode val="edge"/>
          <c:x val="5.8423951803424204E-2"/>
          <c:y val="0.26446280991735538"/>
          <c:w val="0.92255495987267522"/>
          <c:h val="0.25206611570247933"/>
        </c:manualLayout>
      </c:layout>
      <c:lineChart>
        <c:grouping val="standard"/>
        <c:varyColors val="0"/>
        <c:ser>
          <c:idx val="0"/>
          <c:order val="0"/>
          <c:tx>
            <c:strRef>
              <c:f>'13.2- PATOS (SUBEXPLOT)'!$C$18:$M$18</c:f>
              <c:strCache>
                <c:ptCount val="11"/>
                <c:pt idx="0">
                  <c:v>Granjas de Producción para Carne</c:v>
                </c:pt>
              </c:strCache>
            </c:strRef>
          </c:tx>
          <c:spPr>
            <a:ln w="12700">
              <a:solidFill>
                <a:srgbClr val="000080"/>
              </a:solidFill>
              <a:prstDash val="solid"/>
            </a:ln>
          </c:spPr>
          <c:marker>
            <c:symbol val="diamond"/>
            <c:size val="5"/>
            <c:spPr>
              <a:solidFill>
                <a:srgbClr val="000080"/>
              </a:solidFill>
              <a:ln>
                <a:solidFill>
                  <a:srgbClr val="000080"/>
                </a:solidFill>
                <a:prstDash val="solid"/>
              </a:ln>
            </c:spPr>
          </c:marker>
          <c:cat>
            <c:numRef>
              <c:f>'13.2- PATOS (SUBEXPLOT)'!$C$17:$M$17</c:f>
              <c:numCache>
                <c:formatCode>[$-C0A]d\-mmm\-yy;@</c:formatCode>
                <c:ptCount val="11"/>
                <c:pt idx="0">
                  <c:v>0</c:v>
                </c:pt>
                <c:pt idx="1">
                  <c:v>38899</c:v>
                </c:pt>
                <c:pt idx="2">
                  <c:v>39083</c:v>
                </c:pt>
                <c:pt idx="3">
                  <c:v>39264</c:v>
                </c:pt>
                <c:pt idx="4">
                  <c:v>39448</c:v>
                </c:pt>
                <c:pt idx="5">
                  <c:v>39630</c:v>
                </c:pt>
                <c:pt idx="6">
                  <c:v>39814</c:v>
                </c:pt>
                <c:pt idx="7">
                  <c:v>39995</c:v>
                </c:pt>
                <c:pt idx="8">
                  <c:v>40179</c:v>
                </c:pt>
                <c:pt idx="9">
                  <c:v>40360</c:v>
                </c:pt>
                <c:pt idx="10">
                  <c:v>40544</c:v>
                </c:pt>
              </c:numCache>
            </c:numRef>
          </c:cat>
          <c:val>
            <c:numRef>
              <c:f>'13.2- PATOS (SUBEXPLOT)'!$C$19:$M$19</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0-1185-49FF-8B23-24C6B6CDE3D3}"/>
            </c:ext>
          </c:extLst>
        </c:ser>
        <c:dLbls>
          <c:showLegendKey val="0"/>
          <c:showVal val="0"/>
          <c:showCatName val="0"/>
          <c:showSerName val="0"/>
          <c:showPercent val="0"/>
          <c:showBubbleSize val="0"/>
        </c:dLbls>
        <c:marker val="1"/>
        <c:smooth val="0"/>
        <c:axId val="163339776"/>
        <c:axId val="163284672"/>
      </c:lineChart>
      <c:catAx>
        <c:axId val="163339776"/>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Fecha</a:t>
                </a:r>
              </a:p>
            </c:rich>
          </c:tx>
          <c:layout>
            <c:manualLayout>
              <c:xMode val="edge"/>
              <c:yMode val="edge"/>
              <c:x val="0.49456550268173"/>
              <c:y val="0.62809917355371903"/>
            </c:manualLayout>
          </c:layout>
          <c:overlay val="0"/>
          <c:spPr>
            <a:noFill/>
            <a:ln w="25400">
              <a:noFill/>
            </a:ln>
          </c:spPr>
        </c:title>
        <c:numFmt formatCode="dd\-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63284672"/>
        <c:crosses val="autoZero"/>
        <c:auto val="0"/>
        <c:lblAlgn val="ctr"/>
        <c:lblOffset val="100"/>
        <c:tickLblSkip val="1"/>
        <c:tickMarkSkip val="1"/>
        <c:noMultiLvlLbl val="0"/>
      </c:catAx>
      <c:valAx>
        <c:axId val="163284672"/>
        <c:scaling>
          <c:orientation val="minMax"/>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63339776"/>
        <c:crosses val="autoZero"/>
        <c:crossBetween val="between"/>
      </c:valAx>
      <c:spPr>
        <a:solidFill>
          <a:srgbClr val="C0C0C0"/>
        </a:solidFill>
        <a:ln w="12700">
          <a:solidFill>
            <a:srgbClr val="808080"/>
          </a:solidFill>
          <a:prstDash val="solid"/>
        </a:ln>
      </c:spPr>
    </c:plotArea>
    <c:plotVisOnly val="1"/>
    <c:dispBlanksAs val="gap"/>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ES"/>
              <a:t>Nº total de Subexplotaciones de Patos por C.A.</a:t>
            </a:r>
          </a:p>
        </c:rich>
      </c:tx>
      <c:layout>
        <c:manualLayout>
          <c:xMode val="edge"/>
          <c:yMode val="edge"/>
          <c:x val="0.25407622960173454"/>
          <c:y val="7.0796460176991149E-2"/>
        </c:manualLayout>
      </c:layout>
      <c:overlay val="0"/>
      <c:spPr>
        <a:noFill/>
        <a:ln w="25400">
          <a:noFill/>
        </a:ln>
      </c:spPr>
    </c:title>
    <c:autoTitleDeleted val="0"/>
    <c:plotArea>
      <c:layout>
        <c:manualLayout>
          <c:layoutTarget val="inner"/>
          <c:xMode val="edge"/>
          <c:yMode val="edge"/>
          <c:x val="5.8423951803424204E-2"/>
          <c:y val="0.23451378101186784"/>
          <c:w val="0.92255495987267522"/>
          <c:h val="0.31858475911046197"/>
        </c:manualLayout>
      </c:layout>
      <c:lineChart>
        <c:grouping val="standard"/>
        <c:varyColors val="0"/>
        <c:ser>
          <c:idx val="0"/>
          <c:order val="0"/>
          <c:tx>
            <c:strRef>
              <c:f>'13.2- PATOS (SUBEXPLOT)'!$C$22:$M$22</c:f>
              <c:strCache>
                <c:ptCount val="11"/>
                <c:pt idx="0">
                  <c:v>Todas (*)</c:v>
                </c:pt>
              </c:strCache>
            </c:strRef>
          </c:tx>
          <c:spPr>
            <a:ln w="12700">
              <a:solidFill>
                <a:srgbClr val="000080"/>
              </a:solidFill>
              <a:prstDash val="solid"/>
            </a:ln>
          </c:spPr>
          <c:marker>
            <c:symbol val="diamond"/>
            <c:size val="5"/>
            <c:spPr>
              <a:solidFill>
                <a:srgbClr val="000080"/>
              </a:solidFill>
              <a:ln>
                <a:solidFill>
                  <a:srgbClr val="000080"/>
                </a:solidFill>
                <a:prstDash val="solid"/>
              </a:ln>
            </c:spPr>
          </c:marker>
          <c:cat>
            <c:numRef>
              <c:f>'13.2- PATOS (SUBEXPLOT)'!$C$17:$M$17</c:f>
              <c:numCache>
                <c:formatCode>[$-C0A]d\-mmm\-yy;@</c:formatCode>
                <c:ptCount val="11"/>
                <c:pt idx="0">
                  <c:v>0</c:v>
                </c:pt>
                <c:pt idx="1">
                  <c:v>38899</c:v>
                </c:pt>
                <c:pt idx="2">
                  <c:v>39083</c:v>
                </c:pt>
                <c:pt idx="3">
                  <c:v>39264</c:v>
                </c:pt>
                <c:pt idx="4">
                  <c:v>39448</c:v>
                </c:pt>
                <c:pt idx="5">
                  <c:v>39630</c:v>
                </c:pt>
                <c:pt idx="6">
                  <c:v>39814</c:v>
                </c:pt>
                <c:pt idx="7">
                  <c:v>39995</c:v>
                </c:pt>
                <c:pt idx="8">
                  <c:v>40179</c:v>
                </c:pt>
                <c:pt idx="9">
                  <c:v>40360</c:v>
                </c:pt>
                <c:pt idx="10">
                  <c:v>40544</c:v>
                </c:pt>
              </c:numCache>
            </c:numRef>
          </c:cat>
          <c:val>
            <c:numRef>
              <c:f>'13.2- PATOS (SUBEXPLOT)'!$C$23:$M$23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0-D26B-4763-A208-FF3AD4F65603}"/>
            </c:ext>
          </c:extLst>
        </c:ser>
        <c:dLbls>
          <c:showLegendKey val="0"/>
          <c:showVal val="0"/>
          <c:showCatName val="0"/>
          <c:showSerName val="0"/>
          <c:showPercent val="0"/>
          <c:showBubbleSize val="0"/>
        </c:dLbls>
        <c:marker val="1"/>
        <c:smooth val="0"/>
        <c:axId val="164286464"/>
        <c:axId val="163286400"/>
      </c:lineChart>
      <c:catAx>
        <c:axId val="164286464"/>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Fecha</a:t>
                </a:r>
              </a:p>
            </c:rich>
          </c:tx>
          <c:layout>
            <c:manualLayout>
              <c:xMode val="edge"/>
              <c:yMode val="edge"/>
              <c:x val="0.49456550268173"/>
              <c:y val="0.65486865026827401"/>
            </c:manualLayout>
          </c:layout>
          <c:overlay val="0"/>
          <c:spPr>
            <a:noFill/>
            <a:ln w="25400">
              <a:noFill/>
            </a:ln>
          </c:spPr>
        </c:title>
        <c:numFmt formatCode="dd\-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63286400"/>
        <c:crosses val="autoZero"/>
        <c:auto val="0"/>
        <c:lblAlgn val="ctr"/>
        <c:lblOffset val="100"/>
        <c:tickLblSkip val="1"/>
        <c:tickMarkSkip val="1"/>
        <c:noMultiLvlLbl val="0"/>
      </c:catAx>
      <c:valAx>
        <c:axId val="163286400"/>
        <c:scaling>
          <c:orientation val="minMax"/>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64286464"/>
        <c:crosses val="autoZero"/>
        <c:crossBetween val="between"/>
      </c:valAx>
      <c:spPr>
        <a:solidFill>
          <a:srgbClr val="C0C0C0"/>
        </a:solidFill>
        <a:ln w="12700">
          <a:solidFill>
            <a:srgbClr val="808080"/>
          </a:solidFill>
          <a:prstDash val="solid"/>
        </a:ln>
      </c:spPr>
    </c:plotArea>
    <c:plotVisOnly val="1"/>
    <c:dispBlanksAs val="gap"/>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AUX!$H$50</c:f>
          <c:strCache>
            <c:ptCount val="1"/>
            <c:pt idx="0">
              <c:v>Distribución del total de las Subexplotaciones de Patos por C.A.
(31 de diciembre de 1904)</c:v>
            </c:pt>
          </c:strCache>
        </c:strRef>
      </c:tx>
      <c:layout>
        <c:manualLayout>
          <c:xMode val="edge"/>
          <c:yMode val="edge"/>
          <c:x val="0.16734722445408609"/>
          <c:y val="4.2232277526395176E-2"/>
        </c:manualLayout>
      </c:layout>
      <c:overlay val="0"/>
      <c:spPr>
        <a:noFill/>
        <a:ln w="25400">
          <a:noFill/>
        </a:ln>
      </c:spPr>
      <c:txPr>
        <a:bodyPr/>
        <a:lstStyle/>
        <a:p>
          <a:pPr>
            <a:defRPr sz="1200" b="0" i="0" u="none" strike="noStrike" baseline="0">
              <a:solidFill>
                <a:srgbClr val="000000"/>
              </a:solidFill>
              <a:latin typeface="Arial"/>
              <a:ea typeface="Arial"/>
              <a:cs typeface="Arial"/>
            </a:defRPr>
          </a:pPr>
          <a:endParaRPr lang="es-ES"/>
        </a:p>
      </c:txPr>
    </c:title>
    <c:autoTitleDeleted val="0"/>
    <c:plotArea>
      <c:layout>
        <c:manualLayout>
          <c:layoutTarget val="inner"/>
          <c:xMode val="edge"/>
          <c:yMode val="edge"/>
          <c:x val="0.32244940801632654"/>
          <c:y val="0.38310765328592405"/>
          <c:w val="0.32108886199094122"/>
          <c:h val="0.35595829202944129"/>
        </c:manualLayout>
      </c:layout>
      <c:pieChart>
        <c:varyColors val="1"/>
        <c:ser>
          <c:idx val="0"/>
          <c:order val="0"/>
          <c:spPr>
            <a:solidFill>
              <a:srgbClr val="9999FF"/>
            </a:solidFill>
            <a:ln w="12700">
              <a:solidFill>
                <a:srgbClr val="000000"/>
              </a:solidFill>
              <a:prstDash val="solid"/>
            </a:ln>
          </c:spPr>
          <c:dPt>
            <c:idx val="0"/>
            <c:bubble3D val="0"/>
            <c:extLst>
              <c:ext xmlns:c16="http://schemas.microsoft.com/office/drawing/2014/chart" uri="{C3380CC4-5D6E-409C-BE32-E72D297353CC}">
                <c16:uniqueId val="{00000000-3942-40F1-9EA4-7DCDB7E699DA}"/>
              </c:ext>
            </c:extLst>
          </c:dPt>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2-3942-40F1-9EA4-7DCDB7E699DA}"/>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4-3942-40F1-9EA4-7DCDB7E699DA}"/>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6-3942-40F1-9EA4-7DCDB7E699DA}"/>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8-3942-40F1-9EA4-7DCDB7E699DA}"/>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A-3942-40F1-9EA4-7DCDB7E699DA}"/>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C-3942-40F1-9EA4-7DCDB7E699DA}"/>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E-3942-40F1-9EA4-7DCDB7E699DA}"/>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10-3942-40F1-9EA4-7DCDB7E699DA}"/>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2-3942-40F1-9EA4-7DCDB7E699DA}"/>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4-3942-40F1-9EA4-7DCDB7E699DA}"/>
              </c:ext>
            </c:extLst>
          </c:dPt>
          <c:dPt>
            <c:idx val="11"/>
            <c:bubble3D val="0"/>
            <c:spPr>
              <a:solidFill>
                <a:srgbClr val="00FFFF"/>
              </a:solidFill>
              <a:ln w="12700">
                <a:solidFill>
                  <a:srgbClr val="000000"/>
                </a:solidFill>
                <a:prstDash val="solid"/>
              </a:ln>
            </c:spPr>
            <c:extLst>
              <c:ext xmlns:c16="http://schemas.microsoft.com/office/drawing/2014/chart" uri="{C3380CC4-5D6E-409C-BE32-E72D297353CC}">
                <c16:uniqueId val="{00000016-3942-40F1-9EA4-7DCDB7E699DA}"/>
              </c:ext>
            </c:extLst>
          </c:dPt>
          <c:dPt>
            <c:idx val="12"/>
            <c:bubble3D val="0"/>
            <c:spPr>
              <a:solidFill>
                <a:srgbClr val="800080"/>
              </a:solidFill>
              <a:ln w="12700">
                <a:solidFill>
                  <a:srgbClr val="000000"/>
                </a:solidFill>
                <a:prstDash val="solid"/>
              </a:ln>
            </c:spPr>
            <c:extLst>
              <c:ext xmlns:c16="http://schemas.microsoft.com/office/drawing/2014/chart" uri="{C3380CC4-5D6E-409C-BE32-E72D297353CC}">
                <c16:uniqueId val="{00000018-3942-40F1-9EA4-7DCDB7E699DA}"/>
              </c:ext>
            </c:extLst>
          </c:dPt>
          <c:dPt>
            <c:idx val="13"/>
            <c:bubble3D val="0"/>
            <c:spPr>
              <a:solidFill>
                <a:srgbClr val="800000"/>
              </a:solidFill>
              <a:ln w="12700">
                <a:solidFill>
                  <a:srgbClr val="000000"/>
                </a:solidFill>
                <a:prstDash val="solid"/>
              </a:ln>
            </c:spPr>
            <c:extLst>
              <c:ext xmlns:c16="http://schemas.microsoft.com/office/drawing/2014/chart" uri="{C3380CC4-5D6E-409C-BE32-E72D297353CC}">
                <c16:uniqueId val="{0000001A-3942-40F1-9EA4-7DCDB7E699DA}"/>
              </c:ext>
            </c:extLst>
          </c:dPt>
          <c:dPt>
            <c:idx val="14"/>
            <c:bubble3D val="0"/>
            <c:spPr>
              <a:solidFill>
                <a:srgbClr val="008080"/>
              </a:solidFill>
              <a:ln w="12700">
                <a:solidFill>
                  <a:srgbClr val="000000"/>
                </a:solidFill>
                <a:prstDash val="solid"/>
              </a:ln>
            </c:spPr>
            <c:extLst>
              <c:ext xmlns:c16="http://schemas.microsoft.com/office/drawing/2014/chart" uri="{C3380CC4-5D6E-409C-BE32-E72D297353CC}">
                <c16:uniqueId val="{0000001C-3942-40F1-9EA4-7DCDB7E699DA}"/>
              </c:ext>
            </c:extLst>
          </c:dPt>
          <c:dPt>
            <c:idx val="15"/>
            <c:bubble3D val="0"/>
            <c:spPr>
              <a:solidFill>
                <a:srgbClr val="0000FF"/>
              </a:solidFill>
              <a:ln w="12700">
                <a:solidFill>
                  <a:srgbClr val="000000"/>
                </a:solidFill>
                <a:prstDash val="solid"/>
              </a:ln>
            </c:spPr>
            <c:extLst>
              <c:ext xmlns:c16="http://schemas.microsoft.com/office/drawing/2014/chart" uri="{C3380CC4-5D6E-409C-BE32-E72D297353CC}">
                <c16:uniqueId val="{0000001E-3942-40F1-9EA4-7DCDB7E699DA}"/>
              </c:ext>
            </c:extLst>
          </c:dPt>
          <c:dPt>
            <c:idx val="16"/>
            <c:bubble3D val="0"/>
            <c:spPr>
              <a:solidFill>
                <a:srgbClr val="00CCFF"/>
              </a:solidFill>
              <a:ln w="12700">
                <a:solidFill>
                  <a:srgbClr val="000000"/>
                </a:solidFill>
                <a:prstDash val="solid"/>
              </a:ln>
            </c:spPr>
            <c:extLst>
              <c:ext xmlns:c16="http://schemas.microsoft.com/office/drawing/2014/chart" uri="{C3380CC4-5D6E-409C-BE32-E72D297353CC}">
                <c16:uniqueId val="{00000020-3942-40F1-9EA4-7DCDB7E699DA}"/>
              </c:ext>
            </c:extLst>
          </c:dPt>
          <c:dPt>
            <c:idx val="17"/>
            <c:bubble3D val="0"/>
            <c:spPr>
              <a:solidFill>
                <a:srgbClr val="CCFFFF"/>
              </a:solidFill>
              <a:ln w="12700">
                <a:solidFill>
                  <a:srgbClr val="000000"/>
                </a:solidFill>
                <a:prstDash val="solid"/>
              </a:ln>
            </c:spPr>
            <c:extLst>
              <c:ext xmlns:c16="http://schemas.microsoft.com/office/drawing/2014/chart" uri="{C3380CC4-5D6E-409C-BE32-E72D297353CC}">
                <c16:uniqueId val="{00000022-3942-40F1-9EA4-7DCDB7E699DA}"/>
              </c:ext>
            </c:extLst>
          </c:dPt>
          <c:dPt>
            <c:idx val="18"/>
            <c:bubble3D val="0"/>
            <c:spPr>
              <a:solidFill>
                <a:srgbClr val="CCFFCC"/>
              </a:solidFill>
              <a:ln w="12700">
                <a:solidFill>
                  <a:srgbClr val="000000"/>
                </a:solidFill>
                <a:prstDash val="solid"/>
              </a:ln>
            </c:spPr>
            <c:extLst>
              <c:ext xmlns:c16="http://schemas.microsoft.com/office/drawing/2014/chart" uri="{C3380CC4-5D6E-409C-BE32-E72D297353CC}">
                <c16:uniqueId val="{00000024-3942-40F1-9EA4-7DCDB7E699DA}"/>
              </c:ext>
            </c:extLst>
          </c:dPt>
          <c:dLbls>
            <c:dLbl>
              <c:idx val="0"/>
              <c:layout>
                <c:manualLayout>
                  <c:x val="4.2894442720942921E-2"/>
                  <c:y val="-8.8581417101758816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3942-40F1-9EA4-7DCDB7E699DA}"/>
                </c:ext>
              </c:extLst>
            </c:dLbl>
            <c:dLbl>
              <c:idx val="1"/>
              <c:layout>
                <c:manualLayout>
                  <c:x val="4.1296875670178756E-2"/>
                  <c:y val="-3.8513445386979595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3942-40F1-9EA4-7DCDB7E699DA}"/>
                </c:ext>
              </c:extLst>
            </c:dLbl>
            <c:dLbl>
              <c:idx val="2"/>
              <c:layout>
                <c:manualLayout>
                  <c:x val="6.0680933664160774E-2"/>
                  <c:y val="-4.2851982343447365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3942-40F1-9EA4-7DCDB7E699DA}"/>
                </c:ext>
              </c:extLst>
            </c:dLbl>
            <c:dLbl>
              <c:idx val="3"/>
              <c:layout>
                <c:manualLayout>
                  <c:x val="5.0830414534852965E-2"/>
                  <c:y val="-2.3467551213884448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3942-40F1-9EA4-7DCDB7E699DA}"/>
                </c:ext>
              </c:extLst>
            </c:dLbl>
            <c:dLbl>
              <c:idx val="4"/>
              <c:layout>
                <c:manualLayout>
                  <c:x val="5.5013871715538808E-2"/>
                  <c:y val="-3.3012382743306833E-4"/>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3942-40F1-9EA4-7DCDB7E699DA}"/>
                </c:ext>
              </c:extLst>
            </c:dLbl>
            <c:dLbl>
              <c:idx val="5"/>
              <c:layout>
                <c:manualLayout>
                  <c:x val="1.6443476032962888E-2"/>
                  <c:y val="7.5684852399284198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A-3942-40F1-9EA4-7DCDB7E699DA}"/>
                </c:ext>
              </c:extLst>
            </c:dLbl>
            <c:dLbl>
              <c:idx val="6"/>
              <c:layout>
                <c:manualLayout>
                  <c:x val="-4.0316559133186117E-2"/>
                  <c:y val="6.0793789083507847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C-3942-40F1-9EA4-7DCDB7E699DA}"/>
                </c:ext>
              </c:extLst>
            </c:dLbl>
            <c:dLbl>
              <c:idx val="7"/>
              <c:layout>
                <c:manualLayout>
                  <c:x val="-3.7798910931552865E-3"/>
                  <c:y val="3.2386666089945518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E-3942-40F1-9EA4-7DCDB7E699DA}"/>
                </c:ext>
              </c:extLst>
            </c:dLbl>
            <c:dLbl>
              <c:idx val="8"/>
              <c:layout>
                <c:manualLayout>
                  <c:x val="-1.2808793183977275E-2"/>
                  <c:y val="2.5061630291424435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0-3942-40F1-9EA4-7DCDB7E699DA}"/>
                </c:ext>
              </c:extLst>
            </c:dLbl>
            <c:dLbl>
              <c:idx val="9"/>
              <c:layout>
                <c:manualLayout>
                  <c:x val="-1.8590983598683788E-2"/>
                  <c:y val="0.1010517422725920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2-3942-40F1-9EA4-7DCDB7E699DA}"/>
                </c:ext>
              </c:extLst>
            </c:dLbl>
            <c:dLbl>
              <c:idx val="10"/>
              <c:layout>
                <c:manualLayout>
                  <c:x val="-0.11547163480902681"/>
                  <c:y val="7.5389072001654095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4-3942-40F1-9EA4-7DCDB7E699DA}"/>
                </c:ext>
              </c:extLst>
            </c:dLbl>
            <c:dLbl>
              <c:idx val="11"/>
              <c:layout>
                <c:manualLayout>
                  <c:x val="-0.13477706792519903"/>
                  <c:y val="1.3728522266724441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6-3942-40F1-9EA4-7DCDB7E699DA}"/>
                </c:ext>
              </c:extLst>
            </c:dLbl>
            <c:dLbl>
              <c:idx val="12"/>
              <c:layout>
                <c:manualLayout>
                  <c:x val="-0.16519956167531138"/>
                  <c:y val="-3.7016978835286131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8-3942-40F1-9EA4-7DCDB7E699DA}"/>
                </c:ext>
              </c:extLst>
            </c:dLbl>
            <c:dLbl>
              <c:idx val="13"/>
              <c:layout>
                <c:manualLayout>
                  <c:x val="-0.13205806604049775"/>
                  <c:y val="-6.637710850827315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A-3942-40F1-9EA4-7DCDB7E699DA}"/>
                </c:ext>
              </c:extLst>
            </c:dLbl>
            <c:dLbl>
              <c:idx val="14"/>
              <c:layout>
                <c:manualLayout>
                  <c:x val="-0.15987173218937201"/>
                  <c:y val="-0.1299566703489582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C-3942-40F1-9EA4-7DCDB7E699DA}"/>
                </c:ext>
              </c:extLst>
            </c:dLbl>
            <c:dLbl>
              <c:idx val="15"/>
              <c:layout>
                <c:manualLayout>
                  <c:x val="-6.8047477887331648E-2"/>
                  <c:y val="-0.14524408250606394"/>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E-3942-40F1-9EA4-7DCDB7E699DA}"/>
                </c:ext>
              </c:extLst>
            </c:dLbl>
            <c:dLbl>
              <c:idx val="16"/>
              <c:layout>
                <c:manualLayout>
                  <c:x val="2.6283596879672206E-2"/>
                  <c:y val="-0.14347371556663724"/>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20-3942-40F1-9EA4-7DCDB7E699DA}"/>
                </c:ext>
              </c:extLst>
            </c:dLbl>
            <c:dLbl>
              <c:idx val="17"/>
              <c:layout>
                <c:manualLayout>
                  <c:x val="9.3981979038161301E-2"/>
                  <c:y val="-0.13680411051534566"/>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22-3942-40F1-9EA4-7DCDB7E699DA}"/>
                </c:ext>
              </c:extLst>
            </c:dLbl>
            <c:dLbl>
              <c:idx val="18"/>
              <c:layout>
                <c:manualLayout>
                  <c:x val="0.15517483985857783"/>
                  <c:y val="-8.4005134882634266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24-3942-40F1-9EA4-7DCDB7E699DA}"/>
                </c:ext>
              </c:extLst>
            </c:dLbl>
            <c:numFmt formatCode="0.0%" sourceLinked="0"/>
            <c:spPr>
              <a:noFill/>
              <a:ln w="25400">
                <a:noFill/>
              </a:ln>
            </c:spPr>
            <c:txPr>
              <a:bodyPr/>
              <a:lstStyle/>
              <a:p>
                <a:pPr>
                  <a:defRPr sz="900" b="0" i="0" u="none" strike="noStrike" baseline="0">
                    <a:solidFill>
                      <a:srgbClr val="000000"/>
                    </a:solidFill>
                    <a:latin typeface="Arial"/>
                    <a:ea typeface="Arial"/>
                    <a:cs typeface="Arial"/>
                  </a:defRPr>
                </a:pPr>
                <a:endParaRPr lang="es-ES"/>
              </a:p>
            </c:txPr>
            <c:showLegendKey val="0"/>
            <c:showVal val="0"/>
            <c:showCatName val="1"/>
            <c:showSerName val="0"/>
            <c:showPercent val="1"/>
            <c:showBubbleSize val="0"/>
            <c:showLeaderLines val="1"/>
            <c:extLst>
              <c:ext xmlns:c15="http://schemas.microsoft.com/office/drawing/2012/chart" uri="{CE6537A1-D6FC-4f65-9D91-7224C49458BB}"/>
            </c:extLst>
          </c:dLbls>
          <c:cat>
            <c:strRef>
              <c:f>'13.2- PATOS (SUBEXPLOT)'!$B$169:$B$187</c:f>
              <c:strCache>
                <c:ptCount val="19"/>
                <c:pt idx="0">
                  <c:v>Andalucía</c:v>
                </c:pt>
                <c:pt idx="1">
                  <c:v>Aragón</c:v>
                </c:pt>
                <c:pt idx="2">
                  <c:v>Asturias</c:v>
                </c:pt>
                <c:pt idx="3">
                  <c:v>Baleares</c:v>
                </c:pt>
                <c:pt idx="4">
                  <c:v>Canarias</c:v>
                </c:pt>
                <c:pt idx="5">
                  <c:v>Cantabria</c:v>
                </c:pt>
                <c:pt idx="6">
                  <c:v>Castilla La Mancha</c:v>
                </c:pt>
                <c:pt idx="7">
                  <c:v>Castilla y León</c:v>
                </c:pt>
                <c:pt idx="8">
                  <c:v>Cataluña</c:v>
                </c:pt>
                <c:pt idx="9">
                  <c:v>Extremadura</c:v>
                </c:pt>
                <c:pt idx="10">
                  <c:v>Galicia</c:v>
                </c:pt>
                <c:pt idx="11">
                  <c:v>Madrid</c:v>
                </c:pt>
                <c:pt idx="12">
                  <c:v>Murcia</c:v>
                </c:pt>
                <c:pt idx="13">
                  <c:v>Navarra</c:v>
                </c:pt>
                <c:pt idx="14">
                  <c:v>País Vasco</c:v>
                </c:pt>
                <c:pt idx="15">
                  <c:v>La Rioja</c:v>
                </c:pt>
                <c:pt idx="16">
                  <c:v>Valencia</c:v>
                </c:pt>
                <c:pt idx="17">
                  <c:v>Ceuta</c:v>
                </c:pt>
                <c:pt idx="18">
                  <c:v>Melilla</c:v>
                </c:pt>
              </c:strCache>
            </c:strRef>
          </c:cat>
          <c:val>
            <c:numRef>
              <c:f>'13.2- PATOS (SUBEXPLOT)'!$C$169:$C$187</c:f>
              <c:numCache>
                <c:formatCode>General</c:formatCode>
                <c:ptCount val="19"/>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numCache>
            </c:numRef>
          </c:val>
          <c:extLst>
            <c:ext xmlns:c16="http://schemas.microsoft.com/office/drawing/2014/chart" uri="{C3380CC4-5D6E-409C-BE32-E72D297353CC}">
              <c16:uniqueId val="{00000025-3942-40F1-9EA4-7DCDB7E699DA}"/>
            </c:ext>
          </c:extLst>
        </c:ser>
        <c:dLbls>
          <c:showLegendKey val="0"/>
          <c:showVal val="0"/>
          <c:showCatName val="0"/>
          <c:showSerName val="0"/>
          <c:showPercent val="0"/>
          <c:showBubbleSize val="0"/>
          <c:showLeaderLines val="1"/>
        </c:dLbls>
        <c:firstSliceAng val="0"/>
      </c:pieChart>
      <c:spPr>
        <a:noFill/>
        <a:ln w="25400">
          <a:noFill/>
        </a:ln>
      </c:spPr>
    </c:plotArea>
    <c:plotVisOnly val="0"/>
    <c:dispBlanksAs val="zero"/>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ES"/>
              <a:t>Nº total de Subexplotaciones de Patos</a:t>
            </a:r>
            <a:r>
              <a:rPr lang="es-ES" baseline="0"/>
              <a:t> para Cebo de Palmípedas Grasas</a:t>
            </a:r>
            <a:r>
              <a:rPr lang="es-ES"/>
              <a:t> por</a:t>
            </a:r>
            <a:r>
              <a:rPr lang="es-ES" baseline="0"/>
              <a:t> C.A.</a:t>
            </a:r>
            <a:endParaRPr lang="es-ES"/>
          </a:p>
        </c:rich>
      </c:tx>
      <c:layout>
        <c:manualLayout>
          <c:xMode val="edge"/>
          <c:yMode val="edge"/>
          <c:x val="0.11193840579710145"/>
          <c:y val="7.0796460176991149E-2"/>
        </c:manualLayout>
      </c:layout>
      <c:overlay val="0"/>
      <c:spPr>
        <a:noFill/>
        <a:ln w="25400">
          <a:noFill/>
        </a:ln>
      </c:spPr>
    </c:title>
    <c:autoTitleDeleted val="0"/>
    <c:plotArea>
      <c:layout>
        <c:manualLayout>
          <c:layoutTarget val="inner"/>
          <c:xMode val="edge"/>
          <c:yMode val="edge"/>
          <c:x val="5.8423951803424204E-2"/>
          <c:y val="0.23451378101186784"/>
          <c:w val="0.92255495987267522"/>
          <c:h val="0.31858475911046197"/>
        </c:manualLayout>
      </c:layout>
      <c:lineChart>
        <c:grouping val="standard"/>
        <c:varyColors val="0"/>
        <c:ser>
          <c:idx val="0"/>
          <c:order val="0"/>
          <c:tx>
            <c:strRef>
              <c:f>'13.2- PATOS (SUBEXPLOT)'!$C$20:$M$20</c:f>
              <c:strCache>
                <c:ptCount val="11"/>
                <c:pt idx="0">
                  <c:v>Cebo de Palmípedas Grasas</c:v>
                </c:pt>
              </c:strCache>
            </c:strRef>
          </c:tx>
          <c:spPr>
            <a:ln w="12700">
              <a:solidFill>
                <a:srgbClr val="000080"/>
              </a:solidFill>
              <a:prstDash val="solid"/>
            </a:ln>
          </c:spPr>
          <c:marker>
            <c:symbol val="diamond"/>
            <c:size val="5"/>
            <c:spPr>
              <a:solidFill>
                <a:srgbClr val="000080"/>
              </a:solidFill>
              <a:ln>
                <a:solidFill>
                  <a:srgbClr val="000080"/>
                </a:solidFill>
                <a:prstDash val="solid"/>
              </a:ln>
            </c:spPr>
          </c:marker>
          <c:cat>
            <c:numRef>
              <c:f>'13.2- PATOS (SUBEXPLOT)'!$C$17:$M$17</c:f>
              <c:numCache>
                <c:formatCode>[$-C0A]d\-mmm\-yy;@</c:formatCode>
                <c:ptCount val="11"/>
                <c:pt idx="0">
                  <c:v>0</c:v>
                </c:pt>
                <c:pt idx="1">
                  <c:v>38899</c:v>
                </c:pt>
                <c:pt idx="2">
                  <c:v>39083</c:v>
                </c:pt>
                <c:pt idx="3">
                  <c:v>39264</c:v>
                </c:pt>
                <c:pt idx="4">
                  <c:v>39448</c:v>
                </c:pt>
                <c:pt idx="5">
                  <c:v>39630</c:v>
                </c:pt>
                <c:pt idx="6">
                  <c:v>39814</c:v>
                </c:pt>
                <c:pt idx="7">
                  <c:v>39995</c:v>
                </c:pt>
                <c:pt idx="8">
                  <c:v>40179</c:v>
                </c:pt>
                <c:pt idx="9">
                  <c:v>40360</c:v>
                </c:pt>
                <c:pt idx="10">
                  <c:v>40544</c:v>
                </c:pt>
              </c:numCache>
            </c:numRef>
          </c:cat>
          <c:val>
            <c:numRef>
              <c:f>'13.2- PATOS (SUBEXPLOT)'!$C$21:$M$21</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0-D51B-4DEB-8F21-95C707356BFF}"/>
            </c:ext>
          </c:extLst>
        </c:ser>
        <c:dLbls>
          <c:showLegendKey val="0"/>
          <c:showVal val="0"/>
          <c:showCatName val="0"/>
          <c:showSerName val="0"/>
          <c:showPercent val="0"/>
          <c:showBubbleSize val="0"/>
        </c:dLbls>
        <c:marker val="1"/>
        <c:smooth val="0"/>
        <c:axId val="359283903"/>
        <c:axId val="1"/>
      </c:lineChart>
      <c:catAx>
        <c:axId val="359283903"/>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Fecha</a:t>
                </a:r>
              </a:p>
            </c:rich>
          </c:tx>
          <c:layout>
            <c:manualLayout>
              <c:xMode val="edge"/>
              <c:yMode val="edge"/>
              <c:x val="0.49456550268173"/>
              <c:y val="0.65486865026827401"/>
            </c:manualLayout>
          </c:layout>
          <c:overlay val="0"/>
          <c:spPr>
            <a:noFill/>
            <a:ln w="25400">
              <a:noFill/>
            </a:ln>
          </c:spPr>
        </c:title>
        <c:numFmt formatCode="dd\-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
        <c:crosses val="autoZero"/>
        <c:auto val="0"/>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359283903"/>
        <c:crosses val="autoZero"/>
        <c:crossBetween val="between"/>
      </c:valAx>
      <c:spPr>
        <a:solidFill>
          <a:srgbClr val="C0C0C0"/>
        </a:solidFill>
        <a:ln w="12700">
          <a:solidFill>
            <a:srgbClr val="808080"/>
          </a:solidFill>
          <a:prstDash val="solid"/>
        </a:ln>
      </c:spPr>
    </c:plotArea>
    <c:plotVisOnly val="1"/>
    <c:dispBlanksAs val="gap"/>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ES"/>
              <a:t>Censo de Conejos por C.A.</a:t>
            </a:r>
          </a:p>
        </c:rich>
      </c:tx>
      <c:layout>
        <c:manualLayout>
          <c:xMode val="edge"/>
          <c:yMode val="edge"/>
          <c:x val="0.35723979698748753"/>
          <c:y val="3.6496350364963501E-2"/>
        </c:manualLayout>
      </c:layout>
      <c:overlay val="0"/>
      <c:spPr>
        <a:noFill/>
        <a:ln w="25400">
          <a:noFill/>
        </a:ln>
      </c:spPr>
    </c:title>
    <c:autoTitleDeleted val="0"/>
    <c:plotArea>
      <c:layout>
        <c:manualLayout>
          <c:layoutTarget val="inner"/>
          <c:xMode val="edge"/>
          <c:yMode val="edge"/>
          <c:x val="0.13396490583565857"/>
          <c:y val="0.25912454936371848"/>
          <c:w val="0.73342402992855493"/>
          <c:h val="0.4562051925417579"/>
        </c:manualLayout>
      </c:layout>
      <c:lineChart>
        <c:grouping val="standard"/>
        <c:varyColors val="0"/>
        <c:ser>
          <c:idx val="0"/>
          <c:order val="0"/>
          <c:tx>
            <c:v>Producción</c:v>
          </c:tx>
          <c:spPr>
            <a:ln w="12700">
              <a:solidFill>
                <a:srgbClr val="000080"/>
              </a:solidFill>
              <a:prstDash val="solid"/>
            </a:ln>
          </c:spPr>
          <c:marker>
            <c:symbol val="diamond"/>
            <c:size val="5"/>
            <c:spPr>
              <a:solidFill>
                <a:srgbClr val="000080"/>
              </a:solidFill>
              <a:ln>
                <a:solidFill>
                  <a:srgbClr val="000080"/>
                </a:solidFill>
                <a:prstDash val="solid"/>
              </a:ln>
            </c:spPr>
          </c:marker>
          <c:cat>
            <c:numRef>
              <c:f>'14.1- CONEJOS (CENSO)'!$C$17:$M$17</c:f>
              <c:numCache>
                <c:formatCode>[$-C0A]d\-mmm\-yy;@</c:formatCode>
                <c:ptCount val="11"/>
                <c:pt idx="0">
                  <c:v>0</c:v>
                </c:pt>
                <c:pt idx="1">
                  <c:v>38899</c:v>
                </c:pt>
                <c:pt idx="2">
                  <c:v>39083</c:v>
                </c:pt>
                <c:pt idx="3">
                  <c:v>39264</c:v>
                </c:pt>
                <c:pt idx="4">
                  <c:v>39448</c:v>
                </c:pt>
                <c:pt idx="5">
                  <c:v>39630</c:v>
                </c:pt>
                <c:pt idx="6">
                  <c:v>39814</c:v>
                </c:pt>
                <c:pt idx="7">
                  <c:v>39995</c:v>
                </c:pt>
                <c:pt idx="8">
                  <c:v>40179</c:v>
                </c:pt>
                <c:pt idx="9">
                  <c:v>40360</c:v>
                </c:pt>
                <c:pt idx="10">
                  <c:v>40544</c:v>
                </c:pt>
              </c:numCache>
            </c:numRef>
          </c:cat>
          <c:val>
            <c:numRef>
              <c:f>'14.1- CONEJOS (CENSO)'!$C$19:$M$19</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0-DC7C-43FD-85D4-D50EA59EEBA3}"/>
            </c:ext>
          </c:extLst>
        </c:ser>
        <c:dLbls>
          <c:showLegendKey val="0"/>
          <c:showVal val="0"/>
          <c:showCatName val="0"/>
          <c:showSerName val="0"/>
          <c:showPercent val="0"/>
          <c:showBubbleSize val="0"/>
        </c:dLbls>
        <c:marker val="1"/>
        <c:smooth val="0"/>
        <c:axId val="164289024"/>
        <c:axId val="164400512"/>
      </c:lineChart>
      <c:lineChart>
        <c:grouping val="standard"/>
        <c:varyColors val="0"/>
        <c:ser>
          <c:idx val="1"/>
          <c:order val="1"/>
          <c:tx>
            <c:v>Reproducción</c:v>
          </c:tx>
          <c:spPr>
            <a:ln w="12700">
              <a:solidFill>
                <a:srgbClr val="FF00FF"/>
              </a:solidFill>
              <a:prstDash val="solid"/>
            </a:ln>
          </c:spPr>
          <c:marker>
            <c:symbol val="square"/>
            <c:size val="5"/>
            <c:spPr>
              <a:solidFill>
                <a:srgbClr val="FF00FF"/>
              </a:solidFill>
              <a:ln>
                <a:solidFill>
                  <a:srgbClr val="FF00FF"/>
                </a:solidFill>
                <a:prstDash val="solid"/>
              </a:ln>
            </c:spPr>
          </c:marker>
          <c:cat>
            <c:numRef>
              <c:f>'14.1- CONEJOS (CENSO)'!$C$17:$M$17</c:f>
              <c:numCache>
                <c:formatCode>[$-C0A]d\-mmm\-yy;@</c:formatCode>
                <c:ptCount val="11"/>
                <c:pt idx="0">
                  <c:v>0</c:v>
                </c:pt>
                <c:pt idx="1">
                  <c:v>38899</c:v>
                </c:pt>
                <c:pt idx="2">
                  <c:v>39083</c:v>
                </c:pt>
                <c:pt idx="3">
                  <c:v>39264</c:v>
                </c:pt>
                <c:pt idx="4">
                  <c:v>39448</c:v>
                </c:pt>
                <c:pt idx="5">
                  <c:v>39630</c:v>
                </c:pt>
                <c:pt idx="6">
                  <c:v>39814</c:v>
                </c:pt>
                <c:pt idx="7">
                  <c:v>39995</c:v>
                </c:pt>
                <c:pt idx="8">
                  <c:v>40179</c:v>
                </c:pt>
                <c:pt idx="9">
                  <c:v>40360</c:v>
                </c:pt>
                <c:pt idx="10">
                  <c:v>40544</c:v>
                </c:pt>
              </c:numCache>
            </c:numRef>
          </c:cat>
          <c:val>
            <c:numRef>
              <c:f>'14.1- CONEJOS (CENSO)'!$C$21:$M$21</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1-DC7C-43FD-85D4-D50EA59EEBA3}"/>
            </c:ext>
          </c:extLst>
        </c:ser>
        <c:dLbls>
          <c:showLegendKey val="0"/>
          <c:showVal val="0"/>
          <c:showCatName val="0"/>
          <c:showSerName val="0"/>
          <c:showPercent val="0"/>
          <c:showBubbleSize val="0"/>
        </c:dLbls>
        <c:marker val="1"/>
        <c:smooth val="0"/>
        <c:axId val="164290048"/>
        <c:axId val="164401088"/>
      </c:lineChart>
      <c:catAx>
        <c:axId val="164289024"/>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Fecha</a:t>
                </a:r>
              </a:p>
            </c:rich>
          </c:tx>
          <c:layout>
            <c:manualLayout>
              <c:xMode val="edge"/>
              <c:yMode val="edge"/>
              <c:x val="0.47631963460589077"/>
              <c:y val="0.81387014579381955"/>
            </c:manualLayout>
          </c:layout>
          <c:overlay val="0"/>
          <c:spPr>
            <a:noFill/>
            <a:ln w="25400">
              <a:noFill/>
            </a:ln>
          </c:spPr>
        </c:title>
        <c:numFmt formatCode="dd\-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64400512"/>
        <c:crosses val="autoZero"/>
        <c:auto val="0"/>
        <c:lblAlgn val="ctr"/>
        <c:lblOffset val="100"/>
        <c:tickLblSkip val="1"/>
        <c:tickMarkSkip val="1"/>
        <c:noMultiLvlLbl val="0"/>
      </c:catAx>
      <c:valAx>
        <c:axId val="164400512"/>
        <c:scaling>
          <c:orientation val="minMax"/>
        </c:scaling>
        <c:delete val="0"/>
        <c:axPos val="l"/>
        <c:majorGridlines>
          <c:spPr>
            <a:ln w="3175">
              <a:solidFill>
                <a:srgbClr val="000000"/>
              </a:solidFill>
              <a:prstDash val="solid"/>
            </a:ln>
          </c:spPr>
        </c:majorGridlines>
        <c:title>
          <c:tx>
            <c:rich>
              <a:bodyPr/>
              <a:lstStyle/>
              <a:p>
                <a:pPr>
                  <a:defRPr sz="1000" b="1" i="0" u="none" strike="noStrike" baseline="0">
                    <a:solidFill>
                      <a:srgbClr val="000080"/>
                    </a:solidFill>
                    <a:latin typeface="Arial"/>
                    <a:ea typeface="Arial"/>
                    <a:cs typeface="Arial"/>
                  </a:defRPr>
                </a:pPr>
                <a:r>
                  <a:rPr lang="es-ES"/>
                  <a:t>Producción</a:t>
                </a:r>
              </a:p>
            </c:rich>
          </c:tx>
          <c:layout>
            <c:manualLayout>
              <c:xMode val="edge"/>
              <c:yMode val="edge"/>
              <c:x val="1.3531799729364006E-2"/>
              <c:y val="0.33576718968523089"/>
            </c:manualLayout>
          </c:layout>
          <c:overlay val="0"/>
          <c:spPr>
            <a:noFill/>
            <a:ln w="3175">
              <a:solidFill>
                <a:srgbClr val="000080"/>
              </a:solidFill>
              <a:prstDash val="solid"/>
            </a:ln>
          </c:spPr>
        </c:title>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64289024"/>
        <c:crosses val="autoZero"/>
        <c:crossBetween val="between"/>
      </c:valAx>
      <c:dateAx>
        <c:axId val="164290048"/>
        <c:scaling>
          <c:orientation val="minMax"/>
        </c:scaling>
        <c:delete val="1"/>
        <c:axPos val="b"/>
        <c:numFmt formatCode="[$-C0A]d\-mmm\-yy;@" sourceLinked="1"/>
        <c:majorTickMark val="out"/>
        <c:minorTickMark val="none"/>
        <c:tickLblPos val="nextTo"/>
        <c:crossAx val="164401088"/>
        <c:crosses val="autoZero"/>
        <c:auto val="1"/>
        <c:lblOffset val="100"/>
        <c:baseTimeUnit val="months"/>
      </c:dateAx>
      <c:valAx>
        <c:axId val="164401088"/>
        <c:scaling>
          <c:orientation val="minMax"/>
        </c:scaling>
        <c:delete val="0"/>
        <c:axPos val="r"/>
        <c:title>
          <c:tx>
            <c:rich>
              <a:bodyPr/>
              <a:lstStyle/>
              <a:p>
                <a:pPr>
                  <a:defRPr sz="1000" b="1" i="0" u="none" strike="noStrike" baseline="0">
                    <a:solidFill>
                      <a:srgbClr val="FF00FF"/>
                    </a:solidFill>
                    <a:latin typeface="Arial"/>
                    <a:ea typeface="Arial"/>
                    <a:cs typeface="Arial"/>
                  </a:defRPr>
                </a:pPr>
                <a:r>
                  <a:rPr lang="es-ES"/>
                  <a:t>Reproducción</a:t>
                </a:r>
              </a:p>
            </c:rich>
          </c:tx>
          <c:layout>
            <c:manualLayout>
              <c:xMode val="edge"/>
              <c:yMode val="edge"/>
              <c:x val="0.95940516907646356"/>
              <c:y val="0.31386899630246945"/>
            </c:manualLayout>
          </c:layout>
          <c:overlay val="0"/>
          <c:spPr>
            <a:noFill/>
            <a:ln w="3175">
              <a:solidFill>
                <a:srgbClr val="FF00FF"/>
              </a:solidFill>
              <a:prstDash val="solid"/>
            </a:ln>
          </c:spPr>
        </c:title>
        <c:numFmt formatCode="#,##0"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64290048"/>
        <c:crosses val="max"/>
        <c:crossBetween val="between"/>
      </c:valAx>
      <c:spPr>
        <a:solidFill>
          <a:srgbClr val="C0C0C0"/>
        </a:solidFill>
        <a:ln w="12700">
          <a:solidFill>
            <a:srgbClr val="808080"/>
          </a:solidFill>
          <a:prstDash val="solid"/>
        </a:ln>
      </c:spPr>
    </c:plotArea>
    <c:plotVisOnly val="1"/>
    <c:dispBlanksAs val="gap"/>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ES"/>
              <a:t>Censo total de Conejos por C.A.</a:t>
            </a:r>
          </a:p>
        </c:rich>
      </c:tx>
      <c:layout>
        <c:manualLayout>
          <c:xMode val="edge"/>
          <c:yMode val="edge"/>
          <c:x val="0.33242876526458615"/>
          <c:y val="3.8327526132404179E-2"/>
        </c:manualLayout>
      </c:layout>
      <c:overlay val="0"/>
      <c:spPr>
        <a:noFill/>
        <a:ln w="25400">
          <a:noFill/>
        </a:ln>
      </c:spPr>
    </c:title>
    <c:autoTitleDeleted val="0"/>
    <c:plotArea>
      <c:layout>
        <c:manualLayout>
          <c:layoutTarget val="inner"/>
          <c:xMode val="edge"/>
          <c:yMode val="edge"/>
          <c:x val="0.13432835820895522"/>
          <c:y val="0.2264808362369338"/>
          <c:w val="0.84667571234735417"/>
          <c:h val="0.55400696864111498"/>
        </c:manualLayout>
      </c:layout>
      <c:lineChart>
        <c:grouping val="standard"/>
        <c:varyColors val="0"/>
        <c:ser>
          <c:idx val="0"/>
          <c:order val="0"/>
          <c:tx>
            <c:v>Todos</c:v>
          </c:tx>
          <c:spPr>
            <a:ln w="12700">
              <a:solidFill>
                <a:srgbClr val="000080"/>
              </a:solidFill>
              <a:prstDash val="solid"/>
            </a:ln>
          </c:spPr>
          <c:marker>
            <c:symbol val="diamond"/>
            <c:size val="5"/>
            <c:spPr>
              <a:solidFill>
                <a:srgbClr val="000080"/>
              </a:solidFill>
              <a:ln>
                <a:solidFill>
                  <a:srgbClr val="000080"/>
                </a:solidFill>
                <a:prstDash val="solid"/>
              </a:ln>
            </c:spPr>
          </c:marker>
          <c:cat>
            <c:numRef>
              <c:f>'14.1- CONEJOS (CENSO)'!$C$17:$M$17</c:f>
              <c:numCache>
                <c:formatCode>[$-C0A]d\-mmm\-yy;@</c:formatCode>
                <c:ptCount val="11"/>
                <c:pt idx="0">
                  <c:v>0</c:v>
                </c:pt>
                <c:pt idx="1">
                  <c:v>38899</c:v>
                </c:pt>
                <c:pt idx="2">
                  <c:v>39083</c:v>
                </c:pt>
                <c:pt idx="3">
                  <c:v>39264</c:v>
                </c:pt>
                <c:pt idx="4">
                  <c:v>39448</c:v>
                </c:pt>
                <c:pt idx="5">
                  <c:v>39630</c:v>
                </c:pt>
                <c:pt idx="6">
                  <c:v>39814</c:v>
                </c:pt>
                <c:pt idx="7">
                  <c:v>39995</c:v>
                </c:pt>
                <c:pt idx="8">
                  <c:v>40179</c:v>
                </c:pt>
                <c:pt idx="9">
                  <c:v>40360</c:v>
                </c:pt>
                <c:pt idx="10">
                  <c:v>40544</c:v>
                </c:pt>
              </c:numCache>
            </c:numRef>
          </c:cat>
          <c:val>
            <c:numRef>
              <c:f>'14.1- CONEJOS (CENSO)'!$C$23:$M$23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0-607A-4F2D-879C-FC3F2870B1BB}"/>
            </c:ext>
          </c:extLst>
        </c:ser>
        <c:dLbls>
          <c:showLegendKey val="0"/>
          <c:showVal val="0"/>
          <c:showCatName val="0"/>
          <c:showSerName val="0"/>
          <c:showPercent val="0"/>
          <c:showBubbleSize val="0"/>
        </c:dLbls>
        <c:marker val="1"/>
        <c:smooth val="0"/>
        <c:axId val="163950592"/>
        <c:axId val="164402816"/>
      </c:lineChart>
      <c:catAx>
        <c:axId val="163950592"/>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Fecha</a:t>
                </a:r>
              </a:p>
            </c:rich>
          </c:tx>
          <c:layout>
            <c:manualLayout>
              <c:xMode val="edge"/>
              <c:yMode val="edge"/>
              <c:x val="0.53324287652645863"/>
              <c:y val="0.87456445993031362"/>
            </c:manualLayout>
          </c:layout>
          <c:overlay val="0"/>
          <c:spPr>
            <a:noFill/>
            <a:ln w="25400">
              <a:noFill/>
            </a:ln>
          </c:spPr>
        </c:title>
        <c:numFmt formatCode="dd\-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64402816"/>
        <c:crosses val="autoZero"/>
        <c:auto val="0"/>
        <c:lblAlgn val="ctr"/>
        <c:lblOffset val="100"/>
        <c:tickLblSkip val="1"/>
        <c:tickMarkSkip val="1"/>
        <c:noMultiLvlLbl val="0"/>
      </c:catAx>
      <c:valAx>
        <c:axId val="164402816"/>
        <c:scaling>
          <c:orientation val="minMax"/>
        </c:scaling>
        <c:delete val="0"/>
        <c:axPos val="l"/>
        <c:majorGridlines>
          <c:spPr>
            <a:ln w="3175">
              <a:solidFill>
                <a:srgbClr val="000000"/>
              </a:solidFill>
              <a:prstDash val="solid"/>
            </a:ln>
          </c:spPr>
        </c:majorGridlines>
        <c:title>
          <c:tx>
            <c:rich>
              <a:bodyPr/>
              <a:lstStyle/>
              <a:p>
                <a:pPr>
                  <a:defRPr sz="1000" b="1" i="0" u="none" strike="noStrike" baseline="0">
                    <a:solidFill>
                      <a:srgbClr val="000080"/>
                    </a:solidFill>
                    <a:latin typeface="Arial"/>
                    <a:ea typeface="Arial"/>
                    <a:cs typeface="Arial"/>
                  </a:defRPr>
                </a:pPr>
                <a:r>
                  <a:rPr lang="es-ES"/>
                  <a:t>Todos</a:t>
                </a:r>
              </a:p>
            </c:rich>
          </c:tx>
          <c:layout>
            <c:manualLayout>
              <c:xMode val="edge"/>
              <c:yMode val="edge"/>
              <c:x val="6.7842605156037995E-3"/>
              <c:y val="0.42160278745644597"/>
            </c:manualLayout>
          </c:layout>
          <c:overlay val="0"/>
          <c:spPr>
            <a:noFill/>
            <a:ln w="3175">
              <a:solidFill>
                <a:srgbClr val="000080"/>
              </a:solidFill>
              <a:prstDash val="solid"/>
            </a:ln>
          </c:spPr>
        </c:title>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63950592"/>
        <c:crosses val="autoZero"/>
        <c:crossBetween val="between"/>
      </c:valAx>
      <c:spPr>
        <a:solidFill>
          <a:srgbClr val="C0C0C0"/>
        </a:solidFill>
        <a:ln w="12700">
          <a:solidFill>
            <a:srgbClr val="808080"/>
          </a:solidFill>
          <a:prstDash val="solid"/>
        </a:ln>
      </c:spPr>
    </c:plotArea>
    <c:plotVisOnly val="1"/>
    <c:dispBlanksAs val="gap"/>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AUX!$H$51</c:f>
          <c:strCache>
            <c:ptCount val="1"/>
            <c:pt idx="0">
              <c:v>Distribución del total del Censo de Conejos por C.A.
(31 de diciembre de 1904)</c:v>
            </c:pt>
          </c:strCache>
        </c:strRef>
      </c:tx>
      <c:layout>
        <c:manualLayout>
          <c:xMode val="edge"/>
          <c:yMode val="edge"/>
          <c:x val="0.22930800542740842"/>
          <c:y val="2.8622540250447227E-2"/>
        </c:manualLayout>
      </c:layout>
      <c:overlay val="0"/>
      <c:spPr>
        <a:noFill/>
        <a:ln w="25400">
          <a:noFill/>
        </a:ln>
      </c:spPr>
      <c:txPr>
        <a:bodyPr/>
        <a:lstStyle/>
        <a:p>
          <a:pPr>
            <a:defRPr sz="1200" b="0" i="0" u="none" strike="noStrike" baseline="0">
              <a:solidFill>
                <a:srgbClr val="000000"/>
              </a:solidFill>
              <a:latin typeface="Arial"/>
              <a:ea typeface="Arial"/>
              <a:cs typeface="Arial"/>
            </a:defRPr>
          </a:pPr>
          <a:endParaRPr lang="es-ES"/>
        </a:p>
      </c:txPr>
    </c:title>
    <c:autoTitleDeleted val="0"/>
    <c:plotArea>
      <c:layout>
        <c:manualLayout>
          <c:layoutTarget val="inner"/>
          <c:xMode val="edge"/>
          <c:yMode val="edge"/>
          <c:x val="0.34192672998643148"/>
          <c:y val="0.44007194074933331"/>
          <c:w val="0.31207598371777479"/>
          <c:h val="0.41144937549734417"/>
        </c:manualLayout>
      </c:layout>
      <c:pieChart>
        <c:varyColors val="1"/>
        <c:ser>
          <c:idx val="0"/>
          <c:order val="0"/>
          <c:spPr>
            <a:solidFill>
              <a:srgbClr val="9999FF"/>
            </a:solidFill>
            <a:ln w="12700">
              <a:solidFill>
                <a:srgbClr val="000000"/>
              </a:solidFill>
              <a:prstDash val="solid"/>
            </a:ln>
          </c:spPr>
          <c:dPt>
            <c:idx val="0"/>
            <c:bubble3D val="0"/>
            <c:extLst>
              <c:ext xmlns:c16="http://schemas.microsoft.com/office/drawing/2014/chart" uri="{C3380CC4-5D6E-409C-BE32-E72D297353CC}">
                <c16:uniqueId val="{00000000-C931-41C9-95CE-E944262297F7}"/>
              </c:ext>
            </c:extLst>
          </c:dPt>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2-C931-41C9-95CE-E944262297F7}"/>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4-C931-41C9-95CE-E944262297F7}"/>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6-C931-41C9-95CE-E944262297F7}"/>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8-C931-41C9-95CE-E944262297F7}"/>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A-C931-41C9-95CE-E944262297F7}"/>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C-C931-41C9-95CE-E944262297F7}"/>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E-C931-41C9-95CE-E944262297F7}"/>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10-C931-41C9-95CE-E944262297F7}"/>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2-C931-41C9-95CE-E944262297F7}"/>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4-C931-41C9-95CE-E944262297F7}"/>
              </c:ext>
            </c:extLst>
          </c:dPt>
          <c:dPt>
            <c:idx val="11"/>
            <c:bubble3D val="0"/>
            <c:spPr>
              <a:solidFill>
                <a:srgbClr val="00FFFF"/>
              </a:solidFill>
              <a:ln w="12700">
                <a:solidFill>
                  <a:srgbClr val="000000"/>
                </a:solidFill>
                <a:prstDash val="solid"/>
              </a:ln>
            </c:spPr>
            <c:extLst>
              <c:ext xmlns:c16="http://schemas.microsoft.com/office/drawing/2014/chart" uri="{C3380CC4-5D6E-409C-BE32-E72D297353CC}">
                <c16:uniqueId val="{00000016-C931-41C9-95CE-E944262297F7}"/>
              </c:ext>
            </c:extLst>
          </c:dPt>
          <c:dPt>
            <c:idx val="12"/>
            <c:bubble3D val="0"/>
            <c:spPr>
              <a:solidFill>
                <a:srgbClr val="800080"/>
              </a:solidFill>
              <a:ln w="12700">
                <a:solidFill>
                  <a:srgbClr val="000000"/>
                </a:solidFill>
                <a:prstDash val="solid"/>
              </a:ln>
            </c:spPr>
            <c:extLst>
              <c:ext xmlns:c16="http://schemas.microsoft.com/office/drawing/2014/chart" uri="{C3380CC4-5D6E-409C-BE32-E72D297353CC}">
                <c16:uniqueId val="{00000018-C931-41C9-95CE-E944262297F7}"/>
              </c:ext>
            </c:extLst>
          </c:dPt>
          <c:dPt>
            <c:idx val="13"/>
            <c:bubble3D val="0"/>
            <c:spPr>
              <a:solidFill>
                <a:srgbClr val="800000"/>
              </a:solidFill>
              <a:ln w="12700">
                <a:solidFill>
                  <a:srgbClr val="000000"/>
                </a:solidFill>
                <a:prstDash val="solid"/>
              </a:ln>
            </c:spPr>
            <c:extLst>
              <c:ext xmlns:c16="http://schemas.microsoft.com/office/drawing/2014/chart" uri="{C3380CC4-5D6E-409C-BE32-E72D297353CC}">
                <c16:uniqueId val="{0000001A-C931-41C9-95CE-E944262297F7}"/>
              </c:ext>
            </c:extLst>
          </c:dPt>
          <c:dPt>
            <c:idx val="14"/>
            <c:bubble3D val="0"/>
            <c:spPr>
              <a:solidFill>
                <a:srgbClr val="008080"/>
              </a:solidFill>
              <a:ln w="12700">
                <a:solidFill>
                  <a:srgbClr val="000000"/>
                </a:solidFill>
                <a:prstDash val="solid"/>
              </a:ln>
            </c:spPr>
            <c:extLst>
              <c:ext xmlns:c16="http://schemas.microsoft.com/office/drawing/2014/chart" uri="{C3380CC4-5D6E-409C-BE32-E72D297353CC}">
                <c16:uniqueId val="{0000001C-C931-41C9-95CE-E944262297F7}"/>
              </c:ext>
            </c:extLst>
          </c:dPt>
          <c:dPt>
            <c:idx val="15"/>
            <c:bubble3D val="0"/>
            <c:spPr>
              <a:solidFill>
                <a:srgbClr val="0000FF"/>
              </a:solidFill>
              <a:ln w="12700">
                <a:solidFill>
                  <a:srgbClr val="000000"/>
                </a:solidFill>
                <a:prstDash val="solid"/>
              </a:ln>
            </c:spPr>
            <c:extLst>
              <c:ext xmlns:c16="http://schemas.microsoft.com/office/drawing/2014/chart" uri="{C3380CC4-5D6E-409C-BE32-E72D297353CC}">
                <c16:uniqueId val="{0000001E-C931-41C9-95CE-E944262297F7}"/>
              </c:ext>
            </c:extLst>
          </c:dPt>
          <c:dPt>
            <c:idx val="16"/>
            <c:bubble3D val="0"/>
            <c:spPr>
              <a:solidFill>
                <a:srgbClr val="00CCFF"/>
              </a:solidFill>
              <a:ln w="12700">
                <a:solidFill>
                  <a:srgbClr val="000000"/>
                </a:solidFill>
                <a:prstDash val="solid"/>
              </a:ln>
            </c:spPr>
            <c:extLst>
              <c:ext xmlns:c16="http://schemas.microsoft.com/office/drawing/2014/chart" uri="{C3380CC4-5D6E-409C-BE32-E72D297353CC}">
                <c16:uniqueId val="{00000020-C931-41C9-95CE-E944262297F7}"/>
              </c:ext>
            </c:extLst>
          </c:dPt>
          <c:dPt>
            <c:idx val="17"/>
            <c:bubble3D val="0"/>
            <c:spPr>
              <a:solidFill>
                <a:srgbClr val="CCFFFF"/>
              </a:solidFill>
              <a:ln w="12700">
                <a:solidFill>
                  <a:srgbClr val="000000"/>
                </a:solidFill>
                <a:prstDash val="solid"/>
              </a:ln>
            </c:spPr>
            <c:extLst>
              <c:ext xmlns:c16="http://schemas.microsoft.com/office/drawing/2014/chart" uri="{C3380CC4-5D6E-409C-BE32-E72D297353CC}">
                <c16:uniqueId val="{00000022-C931-41C9-95CE-E944262297F7}"/>
              </c:ext>
            </c:extLst>
          </c:dPt>
          <c:dPt>
            <c:idx val="18"/>
            <c:bubble3D val="0"/>
            <c:spPr>
              <a:solidFill>
                <a:srgbClr val="CCFFCC"/>
              </a:solidFill>
              <a:ln w="12700">
                <a:solidFill>
                  <a:srgbClr val="000000"/>
                </a:solidFill>
                <a:prstDash val="solid"/>
              </a:ln>
            </c:spPr>
            <c:extLst>
              <c:ext xmlns:c16="http://schemas.microsoft.com/office/drawing/2014/chart" uri="{C3380CC4-5D6E-409C-BE32-E72D297353CC}">
                <c16:uniqueId val="{00000024-C931-41C9-95CE-E944262297F7}"/>
              </c:ext>
            </c:extLst>
          </c:dPt>
          <c:dLbls>
            <c:dLbl>
              <c:idx val="0"/>
              <c:layout>
                <c:manualLayout>
                  <c:x val="4.7157626327916563E-2"/>
                  <c:y val="-0.2092458366767627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C931-41C9-95CE-E944262297F7}"/>
                </c:ext>
              </c:extLst>
            </c:dLbl>
            <c:dLbl>
              <c:idx val="1"/>
              <c:layout>
                <c:manualLayout>
                  <c:x val="0.13539403911010445"/>
                  <c:y val="-0.14967501993328899"/>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C931-41C9-95CE-E944262297F7}"/>
                </c:ext>
              </c:extLst>
            </c:dLbl>
            <c:dLbl>
              <c:idx val="2"/>
              <c:layout>
                <c:manualLayout>
                  <c:x val="7.284080670377531E-2"/>
                  <c:y val="-6.3753780584749814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C931-41C9-95CE-E944262297F7}"/>
                </c:ext>
              </c:extLst>
            </c:dLbl>
            <c:dLbl>
              <c:idx val="3"/>
              <c:layout>
                <c:manualLayout>
                  <c:x val="0.19182213485186808"/>
                  <c:y val="-3.4699809735024664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C931-41C9-95CE-E944262297F7}"/>
                </c:ext>
              </c:extLst>
            </c:dLbl>
            <c:dLbl>
              <c:idx val="4"/>
              <c:layout>
                <c:manualLayout>
                  <c:x val="0.14414071375406437"/>
                  <c:y val="2.6186624987683448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C931-41C9-95CE-E944262297F7}"/>
                </c:ext>
              </c:extLst>
            </c:dLbl>
            <c:dLbl>
              <c:idx val="5"/>
              <c:layout>
                <c:manualLayout>
                  <c:x val="0.19632745364088638"/>
                  <c:y val="0.11780832620710738"/>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A-C931-41C9-95CE-E944262297F7}"/>
                </c:ext>
              </c:extLst>
            </c:dLbl>
            <c:dLbl>
              <c:idx val="6"/>
              <c:layout>
                <c:manualLayout>
                  <c:x val="0.10144396129588285"/>
                  <c:y val="0.15831718220516347"/>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C-C931-41C9-95CE-E944262297F7}"/>
                </c:ext>
              </c:extLst>
            </c:dLbl>
            <c:dLbl>
              <c:idx val="7"/>
              <c:layout>
                <c:manualLayout>
                  <c:x val="3.4653646584543341E-2"/>
                  <c:y val="8.7838209957252181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E-C931-41C9-95CE-E944262297F7}"/>
                </c:ext>
              </c:extLst>
            </c:dLbl>
            <c:dLbl>
              <c:idx val="8"/>
              <c:layout>
                <c:manualLayout>
                  <c:x val="8.3384224190429374E-2"/>
                  <c:y val="1.1403193472138628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0-C931-41C9-95CE-E944262297F7}"/>
                </c:ext>
              </c:extLst>
            </c:dLbl>
            <c:dLbl>
              <c:idx val="9"/>
              <c:layout>
                <c:manualLayout>
                  <c:x val="5.3321937200183737E-2"/>
                  <c:y val="6.3433705039964802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2-C931-41C9-95CE-E944262297F7}"/>
                </c:ext>
              </c:extLst>
            </c:dLbl>
            <c:dLbl>
              <c:idx val="10"/>
              <c:layout>
                <c:manualLayout>
                  <c:x val="-3.8493573649291124E-2"/>
                  <c:y val="8.7044043877086155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4-C931-41C9-95CE-E944262297F7}"/>
                </c:ext>
              </c:extLst>
            </c:dLbl>
            <c:dLbl>
              <c:idx val="11"/>
              <c:layout>
                <c:manualLayout>
                  <c:x val="-0.11426489599247855"/>
                  <c:y val="0.15755723227590754"/>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6-C931-41C9-95CE-E944262297F7}"/>
                </c:ext>
              </c:extLst>
            </c:dLbl>
            <c:dLbl>
              <c:idx val="12"/>
              <c:layout>
                <c:manualLayout>
                  <c:x val="-0.14452789737782099"/>
                  <c:y val="9.3640814961480481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8-C931-41C9-95CE-E944262297F7}"/>
                </c:ext>
              </c:extLst>
            </c:dLbl>
            <c:dLbl>
              <c:idx val="13"/>
              <c:layout>
                <c:manualLayout>
                  <c:x val="-0.17293446867309836"/>
                  <c:y val="5.9854134997688331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A-C931-41C9-95CE-E944262297F7}"/>
                </c:ext>
              </c:extLst>
            </c:dLbl>
            <c:dLbl>
              <c:idx val="14"/>
              <c:layout>
                <c:manualLayout>
                  <c:x val="-0.10763263140275714"/>
                  <c:y val="-2.3849846544244626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C-C931-41C9-95CE-E944262297F7}"/>
                </c:ext>
              </c:extLst>
            </c:dLbl>
            <c:dLbl>
              <c:idx val="15"/>
              <c:layout>
                <c:manualLayout>
                  <c:x val="-0.14074908207708772"/>
                  <c:y val="-0.15280581691137687"/>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E-C931-41C9-95CE-E944262297F7}"/>
                </c:ext>
              </c:extLst>
            </c:dLbl>
            <c:dLbl>
              <c:idx val="16"/>
              <c:layout>
                <c:manualLayout>
                  <c:x val="-1.4107415677517931E-2"/>
                  <c:y val="-3.3516799488955057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20-C931-41C9-95CE-E944262297F7}"/>
                </c:ext>
              </c:extLst>
            </c:dLbl>
            <c:dLbl>
              <c:idx val="17"/>
              <c:layout>
                <c:manualLayout>
                  <c:x val="-0.16552313593093945"/>
                  <c:y val="-0.16424605585327631"/>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22-C931-41C9-95CE-E944262297F7}"/>
                </c:ext>
              </c:extLst>
            </c:dLbl>
            <c:dLbl>
              <c:idx val="18"/>
              <c:layout>
                <c:manualLayout>
                  <c:x val="-4.6129125311167821E-2"/>
                  <c:y val="-0.13383458027303785"/>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24-C931-41C9-95CE-E944262297F7}"/>
                </c:ext>
              </c:extLst>
            </c:dLbl>
            <c:numFmt formatCode="0.0%" sourceLinked="0"/>
            <c:spPr>
              <a:noFill/>
              <a:ln w="25400">
                <a:noFill/>
              </a:ln>
            </c:spPr>
            <c:txPr>
              <a:bodyPr/>
              <a:lstStyle/>
              <a:p>
                <a:pPr>
                  <a:defRPr sz="900" b="0" i="0" u="none" strike="noStrike" baseline="0">
                    <a:solidFill>
                      <a:srgbClr val="000000"/>
                    </a:solidFill>
                    <a:latin typeface="Arial"/>
                    <a:ea typeface="Arial"/>
                    <a:cs typeface="Arial"/>
                  </a:defRPr>
                </a:pPr>
                <a:endParaRPr lang="es-ES"/>
              </a:p>
            </c:txPr>
            <c:showLegendKey val="0"/>
            <c:showVal val="0"/>
            <c:showCatName val="1"/>
            <c:showSerName val="0"/>
            <c:showPercent val="1"/>
            <c:showBubbleSize val="0"/>
            <c:showLeaderLines val="1"/>
            <c:extLst>
              <c:ext xmlns:c15="http://schemas.microsoft.com/office/drawing/2012/chart" uri="{CE6537A1-D6FC-4f65-9D91-7224C49458BB}"/>
            </c:extLst>
          </c:dLbls>
          <c:cat>
            <c:strRef>
              <c:f>'14.1- CONEJOS (CENSO)'!$B$289:$B$307</c:f>
              <c:strCache>
                <c:ptCount val="19"/>
                <c:pt idx="0">
                  <c:v>Andalucía</c:v>
                </c:pt>
                <c:pt idx="1">
                  <c:v>Aragón</c:v>
                </c:pt>
                <c:pt idx="2">
                  <c:v>Asturias</c:v>
                </c:pt>
                <c:pt idx="3">
                  <c:v>Baleares</c:v>
                </c:pt>
                <c:pt idx="4">
                  <c:v>Canarias</c:v>
                </c:pt>
                <c:pt idx="5">
                  <c:v>Cantabria</c:v>
                </c:pt>
                <c:pt idx="6">
                  <c:v>Castilla La Mancha</c:v>
                </c:pt>
                <c:pt idx="7">
                  <c:v>Castilla y León</c:v>
                </c:pt>
                <c:pt idx="8">
                  <c:v>Cataluña</c:v>
                </c:pt>
                <c:pt idx="9">
                  <c:v>Extremadura</c:v>
                </c:pt>
                <c:pt idx="10">
                  <c:v>Galicia</c:v>
                </c:pt>
                <c:pt idx="11">
                  <c:v>Madrid</c:v>
                </c:pt>
                <c:pt idx="12">
                  <c:v>Murcia</c:v>
                </c:pt>
                <c:pt idx="13">
                  <c:v>Navarra</c:v>
                </c:pt>
                <c:pt idx="14">
                  <c:v>País Vasco</c:v>
                </c:pt>
                <c:pt idx="15">
                  <c:v>La Rioja</c:v>
                </c:pt>
                <c:pt idx="16">
                  <c:v>Valencia</c:v>
                </c:pt>
                <c:pt idx="17">
                  <c:v>Ceuta</c:v>
                </c:pt>
                <c:pt idx="18">
                  <c:v>Melilla</c:v>
                </c:pt>
              </c:strCache>
            </c:strRef>
          </c:cat>
          <c:val>
            <c:numRef>
              <c:f>'14.1- CONEJOS (CENSO)'!$C$289:$C$307</c:f>
              <c:numCache>
                <c:formatCode>General</c:formatCode>
                <c:ptCount val="19"/>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numCache>
            </c:numRef>
          </c:val>
          <c:extLst>
            <c:ext xmlns:c16="http://schemas.microsoft.com/office/drawing/2014/chart" uri="{C3380CC4-5D6E-409C-BE32-E72D297353CC}">
              <c16:uniqueId val="{00000025-C931-41C9-95CE-E944262297F7}"/>
            </c:ext>
          </c:extLst>
        </c:ser>
        <c:dLbls>
          <c:showLegendKey val="0"/>
          <c:showVal val="0"/>
          <c:showCatName val="0"/>
          <c:showSerName val="0"/>
          <c:showPercent val="0"/>
          <c:showBubbleSize val="0"/>
          <c:showLeaderLines val="1"/>
        </c:dLbls>
        <c:firstSliceAng val="0"/>
      </c:pieChart>
      <c:spPr>
        <a:noFill/>
        <a:ln w="25400">
          <a:noFill/>
        </a:ln>
      </c:spPr>
    </c:plotArea>
    <c:plotVisOnly val="0"/>
    <c:dispBlanksAs val="zero"/>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75" b="1" i="0" u="none" strike="noStrike" baseline="0">
                <a:solidFill>
                  <a:srgbClr val="000000"/>
                </a:solidFill>
                <a:latin typeface="Arial"/>
                <a:ea typeface="Arial"/>
                <a:cs typeface="Arial"/>
              </a:defRPr>
            </a:pPr>
            <a:r>
              <a:rPr lang="es-ES"/>
              <a:t>Bovinos de 12 a 24 meses por C.A.</a:t>
            </a:r>
          </a:p>
        </c:rich>
      </c:tx>
      <c:layout>
        <c:manualLayout>
          <c:xMode val="edge"/>
          <c:yMode val="edge"/>
          <c:x val="0.35248618784530389"/>
          <c:y val="3.5369774919614148E-2"/>
        </c:manualLayout>
      </c:layout>
      <c:overlay val="0"/>
      <c:spPr>
        <a:noFill/>
        <a:ln w="25400">
          <a:noFill/>
        </a:ln>
      </c:spPr>
    </c:title>
    <c:autoTitleDeleted val="0"/>
    <c:plotArea>
      <c:layout>
        <c:manualLayout>
          <c:layoutTarget val="inner"/>
          <c:xMode val="edge"/>
          <c:yMode val="edge"/>
          <c:x val="0.14475138121546963"/>
          <c:y val="0.21221864951768488"/>
          <c:w val="0.84088397790055247"/>
          <c:h val="0.57234726688102899"/>
        </c:manualLayout>
      </c:layout>
      <c:lineChart>
        <c:grouping val="standard"/>
        <c:varyColors val="0"/>
        <c:ser>
          <c:idx val="0"/>
          <c:order val="0"/>
          <c:tx>
            <c:v>Hembras</c:v>
          </c:tx>
          <c:spPr>
            <a:ln w="12700">
              <a:solidFill>
                <a:srgbClr val="FF00FF"/>
              </a:solidFill>
              <a:prstDash val="solid"/>
            </a:ln>
          </c:spPr>
          <c:marker>
            <c:symbol val="diamond"/>
            <c:size val="5"/>
            <c:spPr>
              <a:solidFill>
                <a:srgbClr val="FF00FF"/>
              </a:solidFill>
              <a:ln>
                <a:solidFill>
                  <a:srgbClr val="FF00FF"/>
                </a:solidFill>
                <a:prstDash val="solid"/>
              </a:ln>
            </c:spPr>
          </c:marker>
          <c:cat>
            <c:numRef>
              <c:f>'5.1- BOVINO (CENSO)'!$C$16:$M$16</c:f>
              <c:numCache>
                <c:formatCode>[$-C0A]d\-mmm\-yy;@</c:formatCode>
                <c:ptCount val="11"/>
                <c:pt idx="0">
                  <c:v>0</c:v>
                </c:pt>
                <c:pt idx="1">
                  <c:v>38899</c:v>
                </c:pt>
                <c:pt idx="2">
                  <c:v>39083</c:v>
                </c:pt>
                <c:pt idx="3">
                  <c:v>39264</c:v>
                </c:pt>
                <c:pt idx="4">
                  <c:v>39448</c:v>
                </c:pt>
                <c:pt idx="5">
                  <c:v>39630</c:v>
                </c:pt>
                <c:pt idx="6">
                  <c:v>39814</c:v>
                </c:pt>
                <c:pt idx="7">
                  <c:v>39995</c:v>
                </c:pt>
                <c:pt idx="8">
                  <c:v>40179</c:v>
                </c:pt>
                <c:pt idx="9">
                  <c:v>40360</c:v>
                </c:pt>
                <c:pt idx="10">
                  <c:v>40544</c:v>
                </c:pt>
              </c:numCache>
            </c:numRef>
          </c:cat>
          <c:val>
            <c:numRef>
              <c:f>'5.1- BOVINO (CENSO)'!$C$28:$M$28</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0-2BED-4A22-B837-A80A4FE9873B}"/>
            </c:ext>
          </c:extLst>
        </c:ser>
        <c:ser>
          <c:idx val="1"/>
          <c:order val="1"/>
          <c:tx>
            <c:v>Machos</c:v>
          </c:tx>
          <c:spPr>
            <a:ln w="12700">
              <a:solidFill>
                <a:srgbClr val="008000"/>
              </a:solidFill>
              <a:prstDash val="solid"/>
            </a:ln>
          </c:spPr>
          <c:marker>
            <c:symbol val="square"/>
            <c:size val="5"/>
            <c:spPr>
              <a:solidFill>
                <a:srgbClr val="008000"/>
              </a:solidFill>
              <a:ln>
                <a:solidFill>
                  <a:srgbClr val="008000"/>
                </a:solidFill>
                <a:prstDash val="solid"/>
              </a:ln>
            </c:spPr>
          </c:marker>
          <c:cat>
            <c:numRef>
              <c:f>'5.1- BOVINO (CENSO)'!$C$16:$M$16</c:f>
              <c:numCache>
                <c:formatCode>[$-C0A]d\-mmm\-yy;@</c:formatCode>
                <c:ptCount val="11"/>
                <c:pt idx="0">
                  <c:v>0</c:v>
                </c:pt>
                <c:pt idx="1">
                  <c:v>38899</c:v>
                </c:pt>
                <c:pt idx="2">
                  <c:v>39083</c:v>
                </c:pt>
                <c:pt idx="3">
                  <c:v>39264</c:v>
                </c:pt>
                <c:pt idx="4">
                  <c:v>39448</c:v>
                </c:pt>
                <c:pt idx="5">
                  <c:v>39630</c:v>
                </c:pt>
                <c:pt idx="6">
                  <c:v>39814</c:v>
                </c:pt>
                <c:pt idx="7">
                  <c:v>39995</c:v>
                </c:pt>
                <c:pt idx="8">
                  <c:v>40179</c:v>
                </c:pt>
                <c:pt idx="9">
                  <c:v>40360</c:v>
                </c:pt>
                <c:pt idx="10">
                  <c:v>40544</c:v>
                </c:pt>
              </c:numCache>
            </c:numRef>
          </c:cat>
          <c:val>
            <c:numRef>
              <c:f>'5.1- BOVINO (CENSO)'!$C$26:$M$26</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1-2BED-4A22-B837-A80A4FE9873B}"/>
            </c:ext>
          </c:extLst>
        </c:ser>
        <c:ser>
          <c:idx val="2"/>
          <c:order val="2"/>
          <c:tx>
            <c:v>Total</c:v>
          </c:tx>
          <c:spPr>
            <a:ln w="12700">
              <a:solidFill>
                <a:srgbClr val="000080"/>
              </a:solidFill>
              <a:prstDash val="solid"/>
            </a:ln>
          </c:spPr>
          <c:marker>
            <c:symbol val="triangle"/>
            <c:size val="5"/>
            <c:spPr>
              <a:solidFill>
                <a:srgbClr val="000080"/>
              </a:solidFill>
              <a:ln>
                <a:solidFill>
                  <a:srgbClr val="000080"/>
                </a:solidFill>
                <a:prstDash val="solid"/>
              </a:ln>
            </c:spPr>
          </c:marker>
          <c:cat>
            <c:numRef>
              <c:f>'5.1- BOVINO (CENSO)'!$C$16:$M$16</c:f>
              <c:numCache>
                <c:formatCode>[$-C0A]d\-mmm\-yy;@</c:formatCode>
                <c:ptCount val="11"/>
                <c:pt idx="0">
                  <c:v>0</c:v>
                </c:pt>
                <c:pt idx="1">
                  <c:v>38899</c:v>
                </c:pt>
                <c:pt idx="2">
                  <c:v>39083</c:v>
                </c:pt>
                <c:pt idx="3">
                  <c:v>39264</c:v>
                </c:pt>
                <c:pt idx="4">
                  <c:v>39448</c:v>
                </c:pt>
                <c:pt idx="5">
                  <c:v>39630</c:v>
                </c:pt>
                <c:pt idx="6">
                  <c:v>39814</c:v>
                </c:pt>
                <c:pt idx="7">
                  <c:v>39995</c:v>
                </c:pt>
                <c:pt idx="8">
                  <c:v>40179</c:v>
                </c:pt>
                <c:pt idx="9">
                  <c:v>40360</c:v>
                </c:pt>
                <c:pt idx="10">
                  <c:v>40544</c:v>
                </c:pt>
              </c:numCache>
            </c:numRef>
          </c:cat>
          <c:val>
            <c:numRef>
              <c:f>'5.1- BOVINO (CENSO)'!$C$30:$M$30</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2BED-4A22-B837-A80A4FE9873B}"/>
            </c:ext>
          </c:extLst>
        </c:ser>
        <c:dLbls>
          <c:showLegendKey val="0"/>
          <c:showVal val="0"/>
          <c:showCatName val="0"/>
          <c:showSerName val="0"/>
          <c:showPercent val="0"/>
          <c:showBubbleSize val="0"/>
        </c:dLbls>
        <c:marker val="1"/>
        <c:smooth val="0"/>
        <c:axId val="124311552"/>
        <c:axId val="123068992"/>
      </c:lineChart>
      <c:catAx>
        <c:axId val="124311552"/>
        <c:scaling>
          <c:orientation val="minMax"/>
        </c:scaling>
        <c:delete val="0"/>
        <c:axPos val="b"/>
        <c:title>
          <c:tx>
            <c:rich>
              <a:bodyPr/>
              <a:lstStyle/>
              <a:p>
                <a:pPr>
                  <a:defRPr sz="875" b="1" i="0" u="none" strike="noStrike" baseline="0">
                    <a:solidFill>
                      <a:srgbClr val="000000"/>
                    </a:solidFill>
                    <a:latin typeface="Arial"/>
                    <a:ea typeface="Arial"/>
                    <a:cs typeface="Arial"/>
                  </a:defRPr>
                </a:pPr>
                <a:r>
                  <a:rPr lang="es-ES"/>
                  <a:t>Fecha</a:t>
                </a:r>
              </a:p>
            </c:rich>
          </c:tx>
          <c:layout>
            <c:manualLayout>
              <c:xMode val="edge"/>
              <c:yMode val="edge"/>
              <c:x val="0.54364640883977899"/>
              <c:y val="0.88102893890675238"/>
            </c:manualLayout>
          </c:layout>
          <c:overlay val="0"/>
          <c:spPr>
            <a:noFill/>
            <a:ln w="25400">
              <a:noFill/>
            </a:ln>
          </c:spPr>
        </c:title>
        <c:numFmt formatCode="dd\-mmm\-yy"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s-ES"/>
          </a:p>
        </c:txPr>
        <c:crossAx val="123068992"/>
        <c:crosses val="autoZero"/>
        <c:auto val="0"/>
        <c:lblAlgn val="ctr"/>
        <c:lblOffset val="100"/>
        <c:tickLblSkip val="1"/>
        <c:tickMarkSkip val="1"/>
        <c:noMultiLvlLbl val="0"/>
      </c:catAx>
      <c:valAx>
        <c:axId val="123068992"/>
        <c:scaling>
          <c:orientation val="minMax"/>
        </c:scaling>
        <c:delete val="0"/>
        <c:axPos val="l"/>
        <c:majorGridlines>
          <c:spPr>
            <a:ln w="3175">
              <a:solidFill>
                <a:srgbClr val="000000"/>
              </a:solidFill>
              <a:prstDash val="solid"/>
            </a:ln>
          </c:spPr>
        </c:majorGridlines>
        <c:title>
          <c:tx>
            <c:rich>
              <a:bodyPr/>
              <a:lstStyle/>
              <a:p>
                <a:pPr>
                  <a:defRPr sz="1100" b="0" i="0" u="none" strike="noStrike" baseline="0">
                    <a:solidFill>
                      <a:srgbClr val="000000"/>
                    </a:solidFill>
                    <a:latin typeface="Calibri"/>
                    <a:ea typeface="Calibri"/>
                    <a:cs typeface="Calibri"/>
                  </a:defRPr>
                </a:pPr>
                <a:r>
                  <a:rPr lang="es-ES" sz="875" b="1" i="0" u="none" strike="noStrike" baseline="0">
                    <a:solidFill>
                      <a:srgbClr val="000080"/>
                    </a:solidFill>
                    <a:latin typeface="Arial"/>
                    <a:cs typeface="Arial"/>
                  </a:rPr>
                  <a:t>Total</a:t>
                </a:r>
              </a:p>
              <a:p>
                <a:pPr>
                  <a:defRPr sz="1100" b="0" i="0" u="none" strike="noStrike" baseline="0">
                    <a:solidFill>
                      <a:srgbClr val="000000"/>
                    </a:solidFill>
                    <a:latin typeface="Calibri"/>
                    <a:ea typeface="Calibri"/>
                    <a:cs typeface="Calibri"/>
                  </a:defRPr>
                </a:pPr>
                <a:r>
                  <a:rPr lang="es-ES" sz="875" b="1" i="0" u="none" strike="noStrike" baseline="0">
                    <a:solidFill>
                      <a:srgbClr val="008000"/>
                    </a:solidFill>
                    <a:latin typeface="Arial"/>
                    <a:cs typeface="Arial"/>
                  </a:rPr>
                  <a:t>Machos</a:t>
                </a:r>
                <a:endParaRPr lang="es-ES" sz="875" b="1" i="0" u="none" strike="noStrike" baseline="0">
                  <a:solidFill>
                    <a:srgbClr val="000080"/>
                  </a:solidFill>
                  <a:latin typeface="Arial"/>
                  <a:cs typeface="Arial"/>
                </a:endParaRPr>
              </a:p>
              <a:p>
                <a:pPr>
                  <a:defRPr sz="1100" b="0" i="0" u="none" strike="noStrike" baseline="0">
                    <a:solidFill>
                      <a:srgbClr val="000000"/>
                    </a:solidFill>
                    <a:latin typeface="Calibri"/>
                    <a:ea typeface="Calibri"/>
                    <a:cs typeface="Calibri"/>
                  </a:defRPr>
                </a:pPr>
                <a:r>
                  <a:rPr lang="es-ES" sz="875" b="1" i="0" u="none" strike="noStrike" baseline="0">
                    <a:solidFill>
                      <a:srgbClr val="FF00FF"/>
                    </a:solidFill>
                    <a:latin typeface="Arial"/>
                    <a:cs typeface="Arial"/>
                  </a:rPr>
                  <a:t>Hembras</a:t>
                </a:r>
              </a:p>
            </c:rich>
          </c:tx>
          <c:layout>
            <c:manualLayout>
              <c:xMode val="edge"/>
              <c:yMode val="edge"/>
              <c:x val="6.6298342541436465E-3"/>
              <c:y val="0.40514469453376206"/>
            </c:manualLayout>
          </c:layout>
          <c:overlay val="0"/>
          <c:spPr>
            <a:noFill/>
            <a:ln w="3175">
              <a:solidFill>
                <a:srgbClr val="000080"/>
              </a:solidFill>
              <a:prstDash val="solid"/>
            </a:ln>
          </c:spPr>
        </c:title>
        <c:numFmt formatCode="#,##0" sourceLinked="1"/>
        <c:majorTickMark val="out"/>
        <c:minorTickMark val="none"/>
        <c:tickLblPos val="nextTo"/>
        <c:spPr>
          <a:ln w="3175">
            <a:solidFill>
              <a:srgbClr val="000000"/>
            </a:solidFill>
            <a:prstDash val="solid"/>
          </a:ln>
        </c:spPr>
        <c:txPr>
          <a:bodyPr rot="0" vert="horz"/>
          <a:lstStyle/>
          <a:p>
            <a:pPr>
              <a:defRPr sz="825" b="0" i="0" u="none" strike="noStrike" baseline="0">
                <a:solidFill>
                  <a:srgbClr val="000000"/>
                </a:solidFill>
                <a:latin typeface="Arial"/>
                <a:ea typeface="Arial"/>
                <a:cs typeface="Arial"/>
              </a:defRPr>
            </a:pPr>
            <a:endParaRPr lang="es-ES"/>
          </a:p>
        </c:txPr>
        <c:crossAx val="124311552"/>
        <c:crosses val="autoZero"/>
        <c:crossBetween val="between"/>
      </c:valAx>
      <c:spPr>
        <a:gradFill rotWithShape="0">
          <a:gsLst>
            <a:gs pos="0">
              <a:srgbClr xmlns:mc="http://schemas.openxmlformats.org/markup-compatibility/2006" xmlns:a14="http://schemas.microsoft.com/office/drawing/2010/main" val="DBDBDB" mc:Ignorable="a14" a14:legacySpreadsheetColorIndex="22">
                <a:gamma/>
                <a:tint val="57647"/>
                <a:invGamma/>
              </a:srgbClr>
            </a:gs>
            <a:gs pos="100000">
              <a:srgbClr xmlns:mc="http://schemas.openxmlformats.org/markup-compatibility/2006" xmlns:a14="http://schemas.microsoft.com/office/drawing/2010/main" val="C0C0C0" mc:Ignorable="a14" a14:legacySpreadsheetColorIndex="22"/>
            </a:gs>
          </a:gsLst>
          <a:lin ang="5400000" scaled="1"/>
        </a:gradFill>
        <a:ln w="12700">
          <a:solidFill>
            <a:srgbClr val="808080"/>
          </a:solidFill>
          <a:prstDash val="solid"/>
        </a:ln>
      </c:spPr>
    </c:plotArea>
    <c:plotVisOnly val="1"/>
    <c:dispBlanksAs val="gap"/>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825"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ES"/>
              <a:t>Nº de Subexplotaciones de Conejos por C.A.</a:t>
            </a:r>
          </a:p>
        </c:rich>
      </c:tx>
      <c:layout>
        <c:manualLayout>
          <c:xMode val="edge"/>
          <c:yMode val="edge"/>
          <c:x val="0.26630449047129978"/>
          <c:y val="3.9215686274509803E-2"/>
        </c:manualLayout>
      </c:layout>
      <c:overlay val="0"/>
      <c:spPr>
        <a:noFill/>
        <a:ln w="25400">
          <a:noFill/>
        </a:ln>
      </c:spPr>
    </c:title>
    <c:autoTitleDeleted val="0"/>
    <c:plotArea>
      <c:layout>
        <c:manualLayout>
          <c:layoutTarget val="inner"/>
          <c:xMode val="edge"/>
          <c:yMode val="edge"/>
          <c:x val="0.10597833117830438"/>
          <c:y val="0.17647126405968161"/>
          <c:w val="0.8016309666051229"/>
          <c:h val="0.42745261738900653"/>
        </c:manualLayout>
      </c:layout>
      <c:lineChart>
        <c:grouping val="standard"/>
        <c:varyColors val="0"/>
        <c:ser>
          <c:idx val="0"/>
          <c:order val="0"/>
          <c:tx>
            <c:v>Producción</c:v>
          </c:tx>
          <c:spPr>
            <a:ln w="12700">
              <a:solidFill>
                <a:srgbClr val="000080"/>
              </a:solidFill>
              <a:prstDash val="solid"/>
            </a:ln>
          </c:spPr>
          <c:marker>
            <c:symbol val="diamond"/>
            <c:size val="5"/>
            <c:spPr>
              <a:solidFill>
                <a:srgbClr val="000080"/>
              </a:solidFill>
              <a:ln>
                <a:solidFill>
                  <a:srgbClr val="000080"/>
                </a:solidFill>
                <a:prstDash val="solid"/>
              </a:ln>
            </c:spPr>
          </c:marker>
          <c:cat>
            <c:numRef>
              <c:f>'14.2- CONEJOS (SUBEXPLOT)'!$C$17:$M$17</c:f>
              <c:numCache>
                <c:formatCode>[$-C0A]d\-mmm\-yy;@</c:formatCode>
                <c:ptCount val="11"/>
                <c:pt idx="0">
                  <c:v>0</c:v>
                </c:pt>
                <c:pt idx="1">
                  <c:v>38899</c:v>
                </c:pt>
                <c:pt idx="2">
                  <c:v>39083</c:v>
                </c:pt>
                <c:pt idx="3">
                  <c:v>39264</c:v>
                </c:pt>
                <c:pt idx="4">
                  <c:v>39448</c:v>
                </c:pt>
                <c:pt idx="5">
                  <c:v>39630</c:v>
                </c:pt>
                <c:pt idx="6">
                  <c:v>39814</c:v>
                </c:pt>
                <c:pt idx="7">
                  <c:v>39995</c:v>
                </c:pt>
                <c:pt idx="8">
                  <c:v>40179</c:v>
                </c:pt>
                <c:pt idx="9">
                  <c:v>40360</c:v>
                </c:pt>
                <c:pt idx="10">
                  <c:v>40544</c:v>
                </c:pt>
              </c:numCache>
            </c:numRef>
          </c:cat>
          <c:val>
            <c:numRef>
              <c:f>'14.2- CONEJOS (SUBEXPLOT)'!$C$19:$M$19</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0-1AC9-49F8-96D3-995BD6522A65}"/>
            </c:ext>
          </c:extLst>
        </c:ser>
        <c:dLbls>
          <c:showLegendKey val="0"/>
          <c:showVal val="0"/>
          <c:showCatName val="0"/>
          <c:showSerName val="0"/>
          <c:showPercent val="0"/>
          <c:showBubbleSize val="0"/>
        </c:dLbls>
        <c:marker val="1"/>
        <c:smooth val="0"/>
        <c:axId val="164324352"/>
        <c:axId val="164509312"/>
      </c:lineChart>
      <c:lineChart>
        <c:grouping val="standard"/>
        <c:varyColors val="0"/>
        <c:ser>
          <c:idx val="1"/>
          <c:order val="1"/>
          <c:tx>
            <c:v>Reproducción</c:v>
          </c:tx>
          <c:spPr>
            <a:ln w="12700">
              <a:solidFill>
                <a:srgbClr val="FF00FF"/>
              </a:solidFill>
              <a:prstDash val="solid"/>
            </a:ln>
          </c:spPr>
          <c:marker>
            <c:symbol val="square"/>
            <c:size val="5"/>
            <c:spPr>
              <a:solidFill>
                <a:srgbClr val="FF00FF"/>
              </a:solidFill>
              <a:ln>
                <a:solidFill>
                  <a:srgbClr val="FF00FF"/>
                </a:solidFill>
                <a:prstDash val="solid"/>
              </a:ln>
            </c:spPr>
          </c:marker>
          <c:cat>
            <c:numRef>
              <c:f>'14.2- CONEJOS (SUBEXPLOT)'!$C$17:$M$17</c:f>
              <c:numCache>
                <c:formatCode>[$-C0A]d\-mmm\-yy;@</c:formatCode>
                <c:ptCount val="11"/>
                <c:pt idx="0">
                  <c:v>0</c:v>
                </c:pt>
                <c:pt idx="1">
                  <c:v>38899</c:v>
                </c:pt>
                <c:pt idx="2">
                  <c:v>39083</c:v>
                </c:pt>
                <c:pt idx="3">
                  <c:v>39264</c:v>
                </c:pt>
                <c:pt idx="4">
                  <c:v>39448</c:v>
                </c:pt>
                <c:pt idx="5">
                  <c:v>39630</c:v>
                </c:pt>
                <c:pt idx="6">
                  <c:v>39814</c:v>
                </c:pt>
                <c:pt idx="7">
                  <c:v>39995</c:v>
                </c:pt>
                <c:pt idx="8">
                  <c:v>40179</c:v>
                </c:pt>
                <c:pt idx="9">
                  <c:v>40360</c:v>
                </c:pt>
                <c:pt idx="10">
                  <c:v>40544</c:v>
                </c:pt>
              </c:numCache>
            </c:numRef>
          </c:cat>
          <c:val>
            <c:numRef>
              <c:f>'14.2- CONEJOS (SUBEXPLOT)'!$C$21:$M$21</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1-1AC9-49F8-96D3-995BD6522A65}"/>
            </c:ext>
          </c:extLst>
        </c:ser>
        <c:dLbls>
          <c:showLegendKey val="0"/>
          <c:showVal val="0"/>
          <c:showCatName val="0"/>
          <c:showSerName val="0"/>
          <c:showPercent val="0"/>
          <c:showBubbleSize val="0"/>
        </c:dLbls>
        <c:marker val="1"/>
        <c:smooth val="0"/>
        <c:axId val="164325888"/>
        <c:axId val="164509888"/>
      </c:lineChart>
      <c:catAx>
        <c:axId val="164324352"/>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Fecha</a:t>
                </a:r>
              </a:p>
            </c:rich>
          </c:tx>
          <c:layout>
            <c:manualLayout>
              <c:xMode val="edge"/>
              <c:yMode val="edge"/>
              <c:x val="0.48233724181216475"/>
              <c:y val="0.70980680356131953"/>
            </c:manualLayout>
          </c:layout>
          <c:overlay val="0"/>
          <c:spPr>
            <a:noFill/>
            <a:ln w="25400">
              <a:noFill/>
            </a:ln>
          </c:spPr>
        </c:title>
        <c:numFmt formatCode="dd\-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64509312"/>
        <c:crosses val="autoZero"/>
        <c:auto val="0"/>
        <c:lblAlgn val="ctr"/>
        <c:lblOffset val="100"/>
        <c:tickLblSkip val="1"/>
        <c:tickMarkSkip val="1"/>
        <c:noMultiLvlLbl val="0"/>
      </c:catAx>
      <c:valAx>
        <c:axId val="164509312"/>
        <c:scaling>
          <c:orientation val="minMax"/>
        </c:scaling>
        <c:delete val="0"/>
        <c:axPos val="l"/>
        <c:majorGridlines>
          <c:spPr>
            <a:ln w="3175">
              <a:solidFill>
                <a:srgbClr val="000000"/>
              </a:solidFill>
              <a:prstDash val="solid"/>
            </a:ln>
          </c:spPr>
        </c:majorGridlines>
        <c:title>
          <c:tx>
            <c:rich>
              <a:bodyPr/>
              <a:lstStyle/>
              <a:p>
                <a:pPr>
                  <a:defRPr sz="1000" b="1" i="0" u="none" strike="noStrike" baseline="0">
                    <a:solidFill>
                      <a:srgbClr val="000080"/>
                    </a:solidFill>
                    <a:latin typeface="Arial"/>
                    <a:ea typeface="Arial"/>
                    <a:cs typeface="Arial"/>
                  </a:defRPr>
                </a:pPr>
                <a:r>
                  <a:rPr lang="es-ES"/>
                  <a:t>Produción</a:t>
                </a:r>
              </a:p>
            </c:rich>
          </c:tx>
          <c:layout>
            <c:manualLayout>
              <c:xMode val="edge"/>
              <c:yMode val="edge"/>
              <c:x val="6.793478260869565E-3"/>
              <c:y val="0.25098121558334618"/>
            </c:manualLayout>
          </c:layout>
          <c:overlay val="0"/>
          <c:spPr>
            <a:noFill/>
            <a:ln w="3175">
              <a:solidFill>
                <a:srgbClr val="000080"/>
              </a:solidFill>
              <a:prstDash val="solid"/>
            </a:ln>
          </c:spPr>
        </c:title>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64324352"/>
        <c:crosses val="autoZero"/>
        <c:crossBetween val="between"/>
      </c:valAx>
      <c:dateAx>
        <c:axId val="164325888"/>
        <c:scaling>
          <c:orientation val="minMax"/>
        </c:scaling>
        <c:delete val="1"/>
        <c:axPos val="b"/>
        <c:numFmt formatCode="[$-C0A]d\-mmm\-yy;@" sourceLinked="1"/>
        <c:majorTickMark val="out"/>
        <c:minorTickMark val="none"/>
        <c:tickLblPos val="nextTo"/>
        <c:crossAx val="164509888"/>
        <c:crosses val="autoZero"/>
        <c:auto val="1"/>
        <c:lblOffset val="100"/>
        <c:baseTimeUnit val="months"/>
      </c:dateAx>
      <c:valAx>
        <c:axId val="164509888"/>
        <c:scaling>
          <c:orientation val="minMax"/>
        </c:scaling>
        <c:delete val="0"/>
        <c:axPos val="r"/>
        <c:title>
          <c:tx>
            <c:rich>
              <a:bodyPr/>
              <a:lstStyle/>
              <a:p>
                <a:pPr>
                  <a:defRPr sz="1000" b="1" i="0" u="none" strike="noStrike" baseline="0">
                    <a:solidFill>
                      <a:srgbClr val="FF00FF"/>
                    </a:solidFill>
                    <a:latin typeface="Arial"/>
                    <a:ea typeface="Arial"/>
                    <a:cs typeface="Arial"/>
                  </a:defRPr>
                </a:pPr>
                <a:r>
                  <a:rPr lang="es-ES"/>
                  <a:t>Reproducción</a:t>
                </a:r>
              </a:p>
            </c:rich>
          </c:tx>
          <c:layout>
            <c:manualLayout>
              <c:xMode val="edge"/>
              <c:yMode val="edge"/>
              <c:x val="0.95923970101563394"/>
              <c:y val="0.20000082342648345"/>
            </c:manualLayout>
          </c:layout>
          <c:overlay val="0"/>
          <c:spPr>
            <a:noFill/>
            <a:ln w="3175">
              <a:solidFill>
                <a:srgbClr val="FF00FF"/>
              </a:solidFill>
              <a:prstDash val="solid"/>
            </a:ln>
          </c:spPr>
        </c:title>
        <c:numFmt formatCode="#,##0"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64325888"/>
        <c:crosses val="max"/>
        <c:crossBetween val="between"/>
      </c:valAx>
      <c:spPr>
        <a:solidFill>
          <a:srgbClr val="C0C0C0"/>
        </a:solidFill>
        <a:ln w="12700">
          <a:solidFill>
            <a:srgbClr val="808080"/>
          </a:solidFill>
          <a:prstDash val="solid"/>
        </a:ln>
      </c:spPr>
    </c:plotArea>
    <c:plotVisOnly val="1"/>
    <c:dispBlanksAs val="gap"/>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ES"/>
              <a:t>Nº total de Subexplotaciones de Conejos por C.A.</a:t>
            </a:r>
          </a:p>
        </c:rich>
      </c:tx>
      <c:layout>
        <c:manualLayout>
          <c:xMode val="edge"/>
          <c:yMode val="edge"/>
          <c:x val="0.24151967435549526"/>
          <c:y val="4.1493775933609957E-2"/>
        </c:manualLayout>
      </c:layout>
      <c:overlay val="0"/>
      <c:spPr>
        <a:noFill/>
        <a:ln w="25400">
          <a:noFill/>
        </a:ln>
      </c:spPr>
    </c:title>
    <c:autoTitleDeleted val="0"/>
    <c:plotArea>
      <c:layout>
        <c:manualLayout>
          <c:layoutTarget val="inner"/>
          <c:xMode val="edge"/>
          <c:yMode val="edge"/>
          <c:x val="0.10583446404341927"/>
          <c:y val="0.19917052801342067"/>
          <c:w val="0.87381275440976935"/>
          <c:h val="0.56846516592065"/>
        </c:manualLayout>
      </c:layout>
      <c:lineChart>
        <c:grouping val="standard"/>
        <c:varyColors val="0"/>
        <c:ser>
          <c:idx val="0"/>
          <c:order val="0"/>
          <c:tx>
            <c:v>Todas (*)</c:v>
          </c:tx>
          <c:spPr>
            <a:ln w="12700">
              <a:solidFill>
                <a:srgbClr val="000080"/>
              </a:solidFill>
              <a:prstDash val="solid"/>
            </a:ln>
          </c:spPr>
          <c:marker>
            <c:symbol val="diamond"/>
            <c:size val="5"/>
            <c:spPr>
              <a:solidFill>
                <a:srgbClr val="000080"/>
              </a:solidFill>
              <a:ln>
                <a:solidFill>
                  <a:srgbClr val="000080"/>
                </a:solidFill>
                <a:prstDash val="solid"/>
              </a:ln>
            </c:spPr>
          </c:marker>
          <c:cat>
            <c:numRef>
              <c:f>'14.2- CONEJOS (SUBEXPLOT)'!$C$17:$M$17</c:f>
              <c:numCache>
                <c:formatCode>[$-C0A]d\-mmm\-yy;@</c:formatCode>
                <c:ptCount val="11"/>
                <c:pt idx="0">
                  <c:v>0</c:v>
                </c:pt>
                <c:pt idx="1">
                  <c:v>38899</c:v>
                </c:pt>
                <c:pt idx="2">
                  <c:v>39083</c:v>
                </c:pt>
                <c:pt idx="3">
                  <c:v>39264</c:v>
                </c:pt>
                <c:pt idx="4">
                  <c:v>39448</c:v>
                </c:pt>
                <c:pt idx="5">
                  <c:v>39630</c:v>
                </c:pt>
                <c:pt idx="6">
                  <c:v>39814</c:v>
                </c:pt>
                <c:pt idx="7">
                  <c:v>39995</c:v>
                </c:pt>
                <c:pt idx="8">
                  <c:v>40179</c:v>
                </c:pt>
                <c:pt idx="9">
                  <c:v>40360</c:v>
                </c:pt>
                <c:pt idx="10">
                  <c:v>40544</c:v>
                </c:pt>
              </c:numCache>
            </c:numRef>
          </c:cat>
          <c:val>
            <c:numRef>
              <c:f>'14.2- CONEJOS (SUBEXPLOT)'!$C$23:$M$23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0-7D6B-49CF-B80E-C7EA81ED530F}"/>
            </c:ext>
          </c:extLst>
        </c:ser>
        <c:dLbls>
          <c:showLegendKey val="0"/>
          <c:showVal val="0"/>
          <c:showCatName val="0"/>
          <c:showSerName val="0"/>
          <c:showPercent val="0"/>
          <c:showBubbleSize val="0"/>
        </c:dLbls>
        <c:marker val="1"/>
        <c:smooth val="0"/>
        <c:axId val="164326912"/>
        <c:axId val="168099840"/>
      </c:lineChart>
      <c:catAx>
        <c:axId val="164326912"/>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Fecha</a:t>
                </a:r>
              </a:p>
            </c:rich>
          </c:tx>
          <c:layout>
            <c:manualLayout>
              <c:xMode val="edge"/>
              <c:yMode val="edge"/>
              <c:x val="0.51831750339213023"/>
              <c:y val="0.87966935668311164"/>
            </c:manualLayout>
          </c:layout>
          <c:overlay val="0"/>
          <c:spPr>
            <a:noFill/>
            <a:ln w="25400">
              <a:noFill/>
            </a:ln>
          </c:spPr>
        </c:title>
        <c:numFmt formatCode="dd\-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68099840"/>
        <c:crosses val="autoZero"/>
        <c:auto val="0"/>
        <c:lblAlgn val="ctr"/>
        <c:lblOffset val="100"/>
        <c:tickLblSkip val="1"/>
        <c:tickMarkSkip val="1"/>
        <c:noMultiLvlLbl val="0"/>
      </c:catAx>
      <c:valAx>
        <c:axId val="168099840"/>
        <c:scaling>
          <c:orientation val="minMax"/>
        </c:scaling>
        <c:delete val="0"/>
        <c:axPos val="l"/>
        <c:majorGridlines>
          <c:spPr>
            <a:ln w="3175">
              <a:solidFill>
                <a:srgbClr val="000000"/>
              </a:solidFill>
              <a:prstDash val="solid"/>
            </a:ln>
          </c:spPr>
        </c:majorGridlines>
        <c:title>
          <c:tx>
            <c:rich>
              <a:bodyPr/>
              <a:lstStyle/>
              <a:p>
                <a:pPr>
                  <a:defRPr sz="1000" b="1" i="0" u="none" strike="noStrike" baseline="0">
                    <a:solidFill>
                      <a:srgbClr val="000080"/>
                    </a:solidFill>
                    <a:latin typeface="Arial"/>
                    <a:ea typeface="Arial"/>
                    <a:cs typeface="Arial"/>
                  </a:defRPr>
                </a:pPr>
                <a:r>
                  <a:rPr lang="es-ES"/>
                  <a:t>Todas</a:t>
                </a:r>
              </a:p>
            </c:rich>
          </c:tx>
          <c:layout>
            <c:manualLayout>
              <c:xMode val="edge"/>
              <c:yMode val="edge"/>
              <c:x val="2.1709633649932156E-2"/>
              <c:y val="0.26556060160529726"/>
            </c:manualLayout>
          </c:layout>
          <c:overlay val="0"/>
          <c:spPr>
            <a:noFill/>
            <a:ln w="3175">
              <a:solidFill>
                <a:srgbClr val="000080"/>
              </a:solidFill>
              <a:prstDash val="solid"/>
            </a:ln>
          </c:spPr>
        </c:title>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64326912"/>
        <c:crosses val="autoZero"/>
        <c:crossBetween val="between"/>
      </c:valAx>
      <c:spPr>
        <a:solidFill>
          <a:srgbClr val="C0C0C0"/>
        </a:solidFill>
        <a:ln w="12700">
          <a:solidFill>
            <a:srgbClr val="808080"/>
          </a:solidFill>
          <a:prstDash val="solid"/>
        </a:ln>
      </c:spPr>
    </c:plotArea>
    <c:plotVisOnly val="1"/>
    <c:dispBlanksAs val="gap"/>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AUX!$H$52</c:f>
          <c:strCache>
            <c:ptCount val="1"/>
            <c:pt idx="0">
              <c:v>Distribución del total de Subexplotaciones de Conejos por C.A.
(31 de diciembre de 1904)</c:v>
            </c:pt>
          </c:strCache>
        </c:strRef>
      </c:tx>
      <c:layout>
        <c:manualLayout>
          <c:xMode val="edge"/>
          <c:yMode val="edge"/>
          <c:x val="0.23951299727588177"/>
          <c:y val="2.6041666666666668E-2"/>
        </c:manualLayout>
      </c:layout>
      <c:overlay val="0"/>
      <c:spPr>
        <a:noFill/>
        <a:ln w="25400">
          <a:noFill/>
        </a:ln>
      </c:spPr>
      <c:txPr>
        <a:bodyPr/>
        <a:lstStyle/>
        <a:p>
          <a:pPr>
            <a:defRPr sz="1200" b="0" i="0" u="none" strike="noStrike" baseline="0">
              <a:solidFill>
                <a:srgbClr val="000000"/>
              </a:solidFill>
              <a:latin typeface="Arial"/>
              <a:ea typeface="Arial"/>
              <a:cs typeface="Arial"/>
            </a:defRPr>
          </a:pPr>
          <a:endParaRPr lang="es-ES"/>
        </a:p>
      </c:txPr>
    </c:title>
    <c:autoTitleDeleted val="0"/>
    <c:plotArea>
      <c:layout>
        <c:manualLayout>
          <c:layoutTarget val="inner"/>
          <c:xMode val="edge"/>
          <c:yMode val="edge"/>
          <c:x val="0.37347791929941176"/>
          <c:y val="0.45659799634805698"/>
          <c:w val="0.26792981167131713"/>
          <c:h val="0.34375058280195925"/>
        </c:manualLayout>
      </c:layout>
      <c:pieChart>
        <c:varyColors val="1"/>
        <c:ser>
          <c:idx val="0"/>
          <c:order val="0"/>
          <c:spPr>
            <a:solidFill>
              <a:srgbClr val="9999FF"/>
            </a:solidFill>
            <a:ln w="12700">
              <a:solidFill>
                <a:srgbClr val="000000"/>
              </a:solidFill>
              <a:prstDash val="solid"/>
            </a:ln>
          </c:spPr>
          <c:dPt>
            <c:idx val="0"/>
            <c:bubble3D val="0"/>
            <c:extLst>
              <c:ext xmlns:c16="http://schemas.microsoft.com/office/drawing/2014/chart" uri="{C3380CC4-5D6E-409C-BE32-E72D297353CC}">
                <c16:uniqueId val="{00000000-C3A1-4920-A805-2F8A0B124879}"/>
              </c:ext>
            </c:extLst>
          </c:dPt>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2-C3A1-4920-A805-2F8A0B124879}"/>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4-C3A1-4920-A805-2F8A0B124879}"/>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6-C3A1-4920-A805-2F8A0B124879}"/>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8-C3A1-4920-A805-2F8A0B124879}"/>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A-C3A1-4920-A805-2F8A0B124879}"/>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C-C3A1-4920-A805-2F8A0B124879}"/>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E-C3A1-4920-A805-2F8A0B124879}"/>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10-C3A1-4920-A805-2F8A0B124879}"/>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2-C3A1-4920-A805-2F8A0B124879}"/>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4-C3A1-4920-A805-2F8A0B124879}"/>
              </c:ext>
            </c:extLst>
          </c:dPt>
          <c:dPt>
            <c:idx val="11"/>
            <c:bubble3D val="0"/>
            <c:spPr>
              <a:solidFill>
                <a:srgbClr val="00FFFF"/>
              </a:solidFill>
              <a:ln w="12700">
                <a:solidFill>
                  <a:srgbClr val="000000"/>
                </a:solidFill>
                <a:prstDash val="solid"/>
              </a:ln>
            </c:spPr>
            <c:extLst>
              <c:ext xmlns:c16="http://schemas.microsoft.com/office/drawing/2014/chart" uri="{C3380CC4-5D6E-409C-BE32-E72D297353CC}">
                <c16:uniqueId val="{00000016-C3A1-4920-A805-2F8A0B124879}"/>
              </c:ext>
            </c:extLst>
          </c:dPt>
          <c:dPt>
            <c:idx val="12"/>
            <c:bubble3D val="0"/>
            <c:spPr>
              <a:solidFill>
                <a:srgbClr val="800080"/>
              </a:solidFill>
              <a:ln w="12700">
                <a:solidFill>
                  <a:srgbClr val="000000"/>
                </a:solidFill>
                <a:prstDash val="solid"/>
              </a:ln>
            </c:spPr>
            <c:extLst>
              <c:ext xmlns:c16="http://schemas.microsoft.com/office/drawing/2014/chart" uri="{C3380CC4-5D6E-409C-BE32-E72D297353CC}">
                <c16:uniqueId val="{00000018-C3A1-4920-A805-2F8A0B124879}"/>
              </c:ext>
            </c:extLst>
          </c:dPt>
          <c:dPt>
            <c:idx val="13"/>
            <c:bubble3D val="0"/>
            <c:spPr>
              <a:solidFill>
                <a:srgbClr val="800000"/>
              </a:solidFill>
              <a:ln w="12700">
                <a:solidFill>
                  <a:srgbClr val="000000"/>
                </a:solidFill>
                <a:prstDash val="solid"/>
              </a:ln>
            </c:spPr>
            <c:extLst>
              <c:ext xmlns:c16="http://schemas.microsoft.com/office/drawing/2014/chart" uri="{C3380CC4-5D6E-409C-BE32-E72D297353CC}">
                <c16:uniqueId val="{0000001A-C3A1-4920-A805-2F8A0B124879}"/>
              </c:ext>
            </c:extLst>
          </c:dPt>
          <c:dPt>
            <c:idx val="14"/>
            <c:bubble3D val="0"/>
            <c:spPr>
              <a:solidFill>
                <a:srgbClr val="008080"/>
              </a:solidFill>
              <a:ln w="12700">
                <a:solidFill>
                  <a:srgbClr val="000000"/>
                </a:solidFill>
                <a:prstDash val="solid"/>
              </a:ln>
            </c:spPr>
            <c:extLst>
              <c:ext xmlns:c16="http://schemas.microsoft.com/office/drawing/2014/chart" uri="{C3380CC4-5D6E-409C-BE32-E72D297353CC}">
                <c16:uniqueId val="{0000001C-C3A1-4920-A805-2F8A0B124879}"/>
              </c:ext>
            </c:extLst>
          </c:dPt>
          <c:dPt>
            <c:idx val="15"/>
            <c:bubble3D val="0"/>
            <c:spPr>
              <a:solidFill>
                <a:srgbClr val="0000FF"/>
              </a:solidFill>
              <a:ln w="12700">
                <a:solidFill>
                  <a:srgbClr val="000000"/>
                </a:solidFill>
                <a:prstDash val="solid"/>
              </a:ln>
            </c:spPr>
            <c:extLst>
              <c:ext xmlns:c16="http://schemas.microsoft.com/office/drawing/2014/chart" uri="{C3380CC4-5D6E-409C-BE32-E72D297353CC}">
                <c16:uniqueId val="{0000001E-C3A1-4920-A805-2F8A0B124879}"/>
              </c:ext>
            </c:extLst>
          </c:dPt>
          <c:dPt>
            <c:idx val="16"/>
            <c:bubble3D val="0"/>
            <c:spPr>
              <a:solidFill>
                <a:srgbClr val="00CCFF"/>
              </a:solidFill>
              <a:ln w="12700">
                <a:solidFill>
                  <a:srgbClr val="000000"/>
                </a:solidFill>
                <a:prstDash val="solid"/>
              </a:ln>
            </c:spPr>
            <c:extLst>
              <c:ext xmlns:c16="http://schemas.microsoft.com/office/drawing/2014/chart" uri="{C3380CC4-5D6E-409C-BE32-E72D297353CC}">
                <c16:uniqueId val="{00000020-C3A1-4920-A805-2F8A0B124879}"/>
              </c:ext>
            </c:extLst>
          </c:dPt>
          <c:dPt>
            <c:idx val="17"/>
            <c:bubble3D val="0"/>
            <c:spPr>
              <a:solidFill>
                <a:srgbClr val="CCFFFF"/>
              </a:solidFill>
              <a:ln w="12700">
                <a:solidFill>
                  <a:srgbClr val="000000"/>
                </a:solidFill>
                <a:prstDash val="solid"/>
              </a:ln>
            </c:spPr>
            <c:extLst>
              <c:ext xmlns:c16="http://schemas.microsoft.com/office/drawing/2014/chart" uri="{C3380CC4-5D6E-409C-BE32-E72D297353CC}">
                <c16:uniqueId val="{00000022-C3A1-4920-A805-2F8A0B124879}"/>
              </c:ext>
            </c:extLst>
          </c:dPt>
          <c:dPt>
            <c:idx val="18"/>
            <c:bubble3D val="0"/>
            <c:spPr>
              <a:solidFill>
                <a:srgbClr val="CCFFCC"/>
              </a:solidFill>
              <a:ln w="12700">
                <a:solidFill>
                  <a:srgbClr val="000000"/>
                </a:solidFill>
                <a:prstDash val="solid"/>
              </a:ln>
            </c:spPr>
            <c:extLst>
              <c:ext xmlns:c16="http://schemas.microsoft.com/office/drawing/2014/chart" uri="{C3380CC4-5D6E-409C-BE32-E72D297353CC}">
                <c16:uniqueId val="{00000024-C3A1-4920-A805-2F8A0B124879}"/>
              </c:ext>
            </c:extLst>
          </c:dPt>
          <c:dLbls>
            <c:dLbl>
              <c:idx val="0"/>
              <c:layout>
                <c:manualLayout>
                  <c:x val="0.12506891833017825"/>
                  <c:y val="-0.1369312470494389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C3A1-4920-A805-2F8A0B124879}"/>
                </c:ext>
              </c:extLst>
            </c:dLbl>
            <c:dLbl>
              <c:idx val="1"/>
              <c:layout>
                <c:manualLayout>
                  <c:x val="0.11166473422760879"/>
                  <c:y val="-0.1235830734070278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C3A1-4920-A805-2F8A0B124879}"/>
                </c:ext>
              </c:extLst>
            </c:dLbl>
            <c:dLbl>
              <c:idx val="2"/>
              <c:layout>
                <c:manualLayout>
                  <c:x val="0.12544915526872497"/>
                  <c:y val="-0.1205298108174018"/>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C3A1-4920-A805-2F8A0B124879}"/>
                </c:ext>
              </c:extLst>
            </c:dLbl>
            <c:dLbl>
              <c:idx val="3"/>
              <c:layout>
                <c:manualLayout>
                  <c:x val="9.479581162478154E-2"/>
                  <c:y val="-5.0197031763944917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C3A1-4920-A805-2F8A0B124879}"/>
                </c:ext>
              </c:extLst>
            </c:dLbl>
            <c:dLbl>
              <c:idx val="4"/>
              <c:layout>
                <c:manualLayout>
                  <c:x val="9.5492228778529489E-2"/>
                  <c:y val="9.7047078720820246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C3A1-4920-A805-2F8A0B124879}"/>
                </c:ext>
              </c:extLst>
            </c:dLbl>
            <c:dLbl>
              <c:idx val="5"/>
              <c:layout>
                <c:manualLayout>
                  <c:x val="0.1032714971410062"/>
                  <c:y val="5.3502971085976569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A-C3A1-4920-A805-2F8A0B124879}"/>
                </c:ext>
              </c:extLst>
            </c:dLbl>
            <c:dLbl>
              <c:idx val="6"/>
              <c:layout>
                <c:manualLayout>
                  <c:x val="9.4625632484018327E-2"/>
                  <c:y val="0.12316470086779359"/>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C-C3A1-4920-A805-2F8A0B124879}"/>
                </c:ext>
              </c:extLst>
            </c:dLbl>
            <c:dLbl>
              <c:idx val="7"/>
              <c:layout>
                <c:manualLayout>
                  <c:x val="1.0656294496462044E-3"/>
                  <c:y val="0.11800664453640114"/>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E-C3A1-4920-A805-2F8A0B124879}"/>
                </c:ext>
              </c:extLst>
            </c:dLbl>
            <c:dLbl>
              <c:idx val="8"/>
              <c:layout>
                <c:manualLayout>
                  <c:x val="-3.0184695874150191E-2"/>
                  <c:y val="1.0950266393650489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0-C3A1-4920-A805-2F8A0B124879}"/>
                </c:ext>
              </c:extLst>
            </c:dLbl>
            <c:dLbl>
              <c:idx val="9"/>
              <c:layout>
                <c:manualLayout>
                  <c:x val="-5.6353953319184691E-2"/>
                  <c:y val="0.1654272633820560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2-C3A1-4920-A805-2F8A0B124879}"/>
                </c:ext>
              </c:extLst>
            </c:dLbl>
            <c:dLbl>
              <c:idx val="10"/>
              <c:layout>
                <c:manualLayout>
                  <c:x val="-0.11153243808807199"/>
                  <c:y val="0.1615504187320102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4-C3A1-4920-A805-2F8A0B124879}"/>
                </c:ext>
              </c:extLst>
            </c:dLbl>
            <c:dLbl>
              <c:idx val="11"/>
              <c:layout>
                <c:manualLayout>
                  <c:x val="-0.13947755972679934"/>
                  <c:y val="0.11498801258523636"/>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6-C3A1-4920-A805-2F8A0B124879}"/>
                </c:ext>
              </c:extLst>
            </c:dLbl>
            <c:dLbl>
              <c:idx val="12"/>
              <c:layout>
                <c:manualLayout>
                  <c:x val="-0.14584524552189862"/>
                  <c:y val="3.1713754749463127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8-C3A1-4920-A805-2F8A0B124879}"/>
                </c:ext>
              </c:extLst>
            </c:dLbl>
            <c:dLbl>
              <c:idx val="13"/>
              <c:layout>
                <c:manualLayout>
                  <c:x val="-0.13615718009364483"/>
                  <c:y val="-3.7519028651304867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A-C3A1-4920-A805-2F8A0B124879}"/>
                </c:ext>
              </c:extLst>
            </c:dLbl>
            <c:dLbl>
              <c:idx val="14"/>
              <c:layout>
                <c:manualLayout>
                  <c:x val="-9.5976171739069582E-2"/>
                  <c:y val="-0.10217557543140181"/>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C-C3A1-4920-A805-2F8A0B124879}"/>
                </c:ext>
              </c:extLst>
            </c:dLbl>
            <c:dLbl>
              <c:idx val="15"/>
              <c:layout>
                <c:manualLayout>
                  <c:x val="-0.12040131439586237"/>
                  <c:y val="-0.1736349496206969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E-C3A1-4920-A805-2F8A0B124879}"/>
                </c:ext>
              </c:extLst>
            </c:dLbl>
            <c:dLbl>
              <c:idx val="16"/>
              <c:layout>
                <c:manualLayout>
                  <c:x val="-6.3265941784926019E-2"/>
                  <c:y val="-0.17620296534851931"/>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20-C3A1-4920-A805-2F8A0B124879}"/>
                </c:ext>
              </c:extLst>
            </c:dLbl>
            <c:dLbl>
              <c:idx val="17"/>
              <c:layout>
                <c:manualLayout>
                  <c:x val="-1.7299088847907589E-2"/>
                  <c:y val="-0.16824145464973231"/>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22-C3A1-4920-A805-2F8A0B124879}"/>
                </c:ext>
              </c:extLst>
            </c:dLbl>
            <c:dLbl>
              <c:idx val="18"/>
              <c:layout>
                <c:manualLayout>
                  <c:x val="7.051290121921755E-2"/>
                  <c:y val="-0.20990800969017764"/>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24-C3A1-4920-A805-2F8A0B124879}"/>
                </c:ext>
              </c:extLst>
            </c:dLbl>
            <c:numFmt formatCode="0.0%" sourceLinked="0"/>
            <c:spPr>
              <a:noFill/>
              <a:ln w="25400">
                <a:noFill/>
              </a:ln>
            </c:spPr>
            <c:txPr>
              <a:bodyPr/>
              <a:lstStyle/>
              <a:p>
                <a:pPr>
                  <a:defRPr sz="950" b="0" i="0" u="none" strike="noStrike" baseline="0">
                    <a:solidFill>
                      <a:srgbClr val="000000"/>
                    </a:solidFill>
                    <a:latin typeface="Arial"/>
                    <a:ea typeface="Arial"/>
                    <a:cs typeface="Arial"/>
                  </a:defRPr>
                </a:pPr>
                <a:endParaRPr lang="es-ES"/>
              </a:p>
            </c:txPr>
            <c:showLegendKey val="0"/>
            <c:showVal val="0"/>
            <c:showCatName val="1"/>
            <c:showSerName val="0"/>
            <c:showPercent val="1"/>
            <c:showBubbleSize val="0"/>
            <c:showLeaderLines val="1"/>
            <c:extLst>
              <c:ext xmlns:c15="http://schemas.microsoft.com/office/drawing/2012/chart" uri="{CE6537A1-D6FC-4f65-9D91-7224C49458BB}"/>
            </c:extLst>
          </c:dLbls>
          <c:cat>
            <c:strRef>
              <c:f>'14.2- CONEJOS (SUBEXPLOT)'!$B$395:$B$413</c:f>
              <c:strCache>
                <c:ptCount val="19"/>
                <c:pt idx="0">
                  <c:v>Andalucía</c:v>
                </c:pt>
                <c:pt idx="1">
                  <c:v>Aragón</c:v>
                </c:pt>
                <c:pt idx="2">
                  <c:v>Asturias</c:v>
                </c:pt>
                <c:pt idx="3">
                  <c:v>Baleares</c:v>
                </c:pt>
                <c:pt idx="4">
                  <c:v>Canarias</c:v>
                </c:pt>
                <c:pt idx="5">
                  <c:v>Cantabria</c:v>
                </c:pt>
                <c:pt idx="6">
                  <c:v>Castilla La Mancha</c:v>
                </c:pt>
                <c:pt idx="7">
                  <c:v>Castilla y León</c:v>
                </c:pt>
                <c:pt idx="8">
                  <c:v>Cataluña</c:v>
                </c:pt>
                <c:pt idx="9">
                  <c:v>Extremadura</c:v>
                </c:pt>
                <c:pt idx="10">
                  <c:v>Galicia</c:v>
                </c:pt>
                <c:pt idx="11">
                  <c:v>Madrid</c:v>
                </c:pt>
                <c:pt idx="12">
                  <c:v>Murcia</c:v>
                </c:pt>
                <c:pt idx="13">
                  <c:v>Navarra</c:v>
                </c:pt>
                <c:pt idx="14">
                  <c:v>País Vasco</c:v>
                </c:pt>
                <c:pt idx="15">
                  <c:v>La Rioja</c:v>
                </c:pt>
                <c:pt idx="16">
                  <c:v>Valencia</c:v>
                </c:pt>
                <c:pt idx="17">
                  <c:v>Ceuta</c:v>
                </c:pt>
                <c:pt idx="18">
                  <c:v>Melilla</c:v>
                </c:pt>
              </c:strCache>
            </c:strRef>
          </c:cat>
          <c:val>
            <c:numRef>
              <c:f>'14.2- CONEJOS (SUBEXPLOT)'!$C$395:$C$413</c:f>
              <c:numCache>
                <c:formatCode>General</c:formatCode>
                <c:ptCount val="19"/>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numCache>
            </c:numRef>
          </c:val>
          <c:extLst>
            <c:ext xmlns:c16="http://schemas.microsoft.com/office/drawing/2014/chart" uri="{C3380CC4-5D6E-409C-BE32-E72D297353CC}">
              <c16:uniqueId val="{00000025-C3A1-4920-A805-2F8A0B124879}"/>
            </c:ext>
          </c:extLst>
        </c:ser>
        <c:dLbls>
          <c:showLegendKey val="0"/>
          <c:showVal val="0"/>
          <c:showCatName val="0"/>
          <c:showSerName val="0"/>
          <c:showPercent val="0"/>
          <c:showBubbleSize val="0"/>
          <c:showLeaderLines val="1"/>
        </c:dLbls>
        <c:firstSliceAng val="0"/>
      </c:pieChart>
      <c:spPr>
        <a:noFill/>
        <a:ln w="25400">
          <a:noFill/>
        </a:ln>
      </c:spPr>
    </c:plotArea>
    <c:plotVisOnly val="0"/>
    <c:dispBlanksAs val="zero"/>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c:printSettings>
</c:chartSpace>
</file>

<file path=xl/ctrlProps/ctrlProp1.xml><?xml version="1.0" encoding="utf-8"?>
<formControlPr xmlns="http://schemas.microsoft.com/office/spreadsheetml/2009/9/main" objectType="Drop" dropLines="20" dropStyle="combo" dx="16" fmlaLink="$F$8" fmlaRange="AUX!$G$8:$G$27" sel="20" val="0"/>
</file>

<file path=xl/ctrlProps/ctrlProp10.xml><?xml version="1.0" encoding="utf-8"?>
<formControlPr xmlns="http://schemas.microsoft.com/office/spreadsheetml/2009/9/main" objectType="Drop" dropLines="18" dropStyle="combo" dx="16" fmlaLink="$E$8" fmlaRange="AUX!$G$8:$G$27" sel="20" val="2"/>
</file>

<file path=xl/ctrlProps/ctrlProp11.xml><?xml version="1.0" encoding="utf-8"?>
<formControlPr xmlns="http://schemas.microsoft.com/office/spreadsheetml/2009/9/main" objectType="Drop" dropLines="20" dropStyle="combo" dx="16" fmlaLink="$F$8" fmlaRange="AUX!$G$8:$G$27" sel="20" val="0"/>
</file>

<file path=xl/ctrlProps/ctrlProp12.xml><?xml version="1.0" encoding="utf-8"?>
<formControlPr xmlns="http://schemas.microsoft.com/office/spreadsheetml/2009/9/main" objectType="Drop" dropLines="18" dropStyle="combo" dx="16" fmlaLink="$E$8" fmlaRange="AUX!$G$8:$G$27" sel="20" val="2"/>
</file>

<file path=xl/ctrlProps/ctrlProp13.xml><?xml version="1.0" encoding="utf-8"?>
<formControlPr xmlns="http://schemas.microsoft.com/office/spreadsheetml/2009/9/main" objectType="Drop" dropLines="20" dropStyle="combo" dx="16" fmlaLink="$F$8" fmlaRange="AUX!$G$8:$G$27" sel="20" val="0"/>
</file>

<file path=xl/ctrlProps/ctrlProp14.xml><?xml version="1.0" encoding="utf-8"?>
<formControlPr xmlns="http://schemas.microsoft.com/office/spreadsheetml/2009/9/main" objectType="Drop" dropLines="18" dropStyle="combo" dx="16" fmlaLink="$F$8" fmlaRange="AUX!$G$8:$G$27" sel="20" val="2"/>
</file>

<file path=xl/ctrlProps/ctrlProp15.xml><?xml version="1.0" encoding="utf-8"?>
<formControlPr xmlns="http://schemas.microsoft.com/office/spreadsheetml/2009/9/main" objectType="Drop" dropLines="18" dropStyle="combo" dx="16" fmlaLink="$F$8" fmlaRange="AUX!$G$8:$G$27" sel="20" val="2"/>
</file>

<file path=xl/ctrlProps/ctrlProp16.xml><?xml version="1.0" encoding="utf-8"?>
<formControlPr xmlns="http://schemas.microsoft.com/office/spreadsheetml/2009/9/main" objectType="Drop" dropLines="18" dropStyle="combo" dx="16" fmlaLink="$E$8" fmlaRange="AUX!$G$8:$G$27" sel="20" val="2"/>
</file>

<file path=xl/ctrlProps/ctrlProp17.xml><?xml version="1.0" encoding="utf-8"?>
<formControlPr xmlns="http://schemas.microsoft.com/office/spreadsheetml/2009/9/main" objectType="Drop" dropLines="18" dropStyle="combo" dx="16" fmlaLink="$F$8" fmlaRange="AUX!$G$8:$G$27" sel="20" val="2"/>
</file>

<file path=xl/ctrlProps/ctrlProp18.xml><?xml version="1.0" encoding="utf-8"?>
<formControlPr xmlns="http://schemas.microsoft.com/office/spreadsheetml/2009/9/main" objectType="Drop" dropLines="18" dropStyle="combo" dx="16" fmlaLink="$F$8" fmlaRange="AUX!$G$8:$G$27" sel="20" val="2"/>
</file>

<file path=xl/ctrlProps/ctrlProp19.xml><?xml version="1.0" encoding="utf-8"?>
<formControlPr xmlns="http://schemas.microsoft.com/office/spreadsheetml/2009/9/main" objectType="Drop" dropLines="5" dropStyle="combo" dx="16" fmlaLink="$E$98" fmlaRange="$D$111:$D$115" noThreeD="1" sel="5" val="0"/>
</file>

<file path=xl/ctrlProps/ctrlProp2.xml><?xml version="1.0" encoding="utf-8"?>
<formControlPr xmlns="http://schemas.microsoft.com/office/spreadsheetml/2009/9/main" objectType="Drop" dropLines="20" dropStyle="combo" dx="16" fmlaLink="$F$8" fmlaRange="AUX!$G$8:$G$27" sel="20" val="0"/>
</file>

<file path=xl/ctrlProps/ctrlProp20.xml><?xml version="1.0" encoding="utf-8"?>
<formControlPr xmlns="http://schemas.microsoft.com/office/spreadsheetml/2009/9/main" objectType="Drop" dropLines="18" dropStyle="combo" dx="16" fmlaLink="$F$8" fmlaRange="AUX!$G$8:$G$27" sel="20" val="2"/>
</file>

<file path=xl/ctrlProps/ctrlProp21.xml><?xml version="1.0" encoding="utf-8"?>
<formControlPr xmlns="http://schemas.microsoft.com/office/spreadsheetml/2009/9/main" objectType="Drop" dropLines="5" dropStyle="combo" dx="16" fmlaLink="$F$88" fmlaRange="$D$115:$D$119" noThreeD="1" sel="4" val="0"/>
</file>

<file path=xl/ctrlProps/ctrlProp22.xml><?xml version="1.0" encoding="utf-8"?>
<formControlPr xmlns="http://schemas.microsoft.com/office/spreadsheetml/2009/9/main" objectType="Drop" dropLines="18" dropStyle="combo" dx="16" fmlaLink="$F$8" fmlaRange="AUX!$G$8:$G$27" sel="20" val="2"/>
</file>

<file path=xl/ctrlProps/ctrlProp23.xml><?xml version="1.0" encoding="utf-8"?>
<formControlPr xmlns="http://schemas.microsoft.com/office/spreadsheetml/2009/9/main" objectType="Drop" dropLines="18" dropStyle="combo" dx="16" fmlaLink="$F$8" fmlaRange="AUX!$G$8:$G$27" sel="20" val="2"/>
</file>

<file path=xl/ctrlProps/ctrlProp24.xml><?xml version="1.0" encoding="utf-8"?>
<formControlPr xmlns="http://schemas.microsoft.com/office/spreadsheetml/2009/9/main" objectType="Drop" dropLines="18" dropStyle="combo" dx="16" fmlaLink="$F$8" fmlaRange="AUX!$G$8:$G$27" sel="20" val="2"/>
</file>

<file path=xl/ctrlProps/ctrlProp25.xml><?xml version="1.0" encoding="utf-8"?>
<formControlPr xmlns="http://schemas.microsoft.com/office/spreadsheetml/2009/9/main" objectType="Drop" dropLines="18" dropStyle="combo" dx="16" fmlaLink="$F$8" fmlaRange="AUX!$G$8:$G$27" sel="20" val="2"/>
</file>

<file path=xl/ctrlProps/ctrlProp26.xml><?xml version="1.0" encoding="utf-8"?>
<formControlPr xmlns="http://schemas.microsoft.com/office/spreadsheetml/2009/9/main" objectType="Drop" dropLines="18" dropStyle="combo" dx="16" fmlaLink="$F$8" fmlaRange="AUX!$G$8:$G$27" sel="20" val="2"/>
</file>

<file path=xl/ctrlProps/ctrlProp27.xml><?xml version="1.0" encoding="utf-8"?>
<formControlPr xmlns="http://schemas.microsoft.com/office/spreadsheetml/2009/9/main" objectType="Drop" dropLines="18" dropStyle="combo" dx="16" fmlaLink="$F$8" fmlaRange="AUX!$G$8:$G$27" sel="20" val="2"/>
</file>

<file path=xl/ctrlProps/ctrlProp3.xml><?xml version="1.0" encoding="utf-8"?>
<formControlPr xmlns="http://schemas.microsoft.com/office/spreadsheetml/2009/9/main" objectType="Drop" dropLines="20" dropStyle="combo" dx="16" fmlaLink="$F$8" fmlaRange="AUX!$G$8:$G$27" sel="20" val="0"/>
</file>

<file path=xl/ctrlProps/ctrlProp4.xml><?xml version="1.0" encoding="utf-8"?>
<formControlPr xmlns="http://schemas.microsoft.com/office/spreadsheetml/2009/9/main" objectType="Drop" dropLines="18" dropStyle="combo" dx="16" fmlaLink="$F$8" fmlaRange="AUX!$G$8:$G$27" sel="20" val="2"/>
</file>

<file path=xl/ctrlProps/ctrlProp5.xml><?xml version="1.0" encoding="utf-8"?>
<formControlPr xmlns="http://schemas.microsoft.com/office/spreadsheetml/2009/9/main" objectType="Drop" dropLines="11" dropStyle="combo" dx="16" fmlaLink="$D$154" fmlaRange="$C$128:$D$138" noThreeD="1" sel="1" val="0"/>
</file>

<file path=xl/ctrlProps/ctrlProp6.xml><?xml version="1.0" encoding="utf-8"?>
<formControlPr xmlns="http://schemas.microsoft.com/office/spreadsheetml/2009/9/main" objectType="Drop" dropLines="19" dropStyle="combo" dx="16" fmlaLink="$F$8" fmlaRange="AUX!$G$8:$G$27" sel="20" val="0"/>
</file>

<file path=xl/ctrlProps/ctrlProp7.xml><?xml version="1.0" encoding="utf-8"?>
<formControlPr xmlns="http://schemas.microsoft.com/office/spreadsheetml/2009/9/main" objectType="Drop" dropLines="18" dropStyle="combo" dx="16" fmlaLink="$F$8" fmlaRange="AUX!$G$8:$G$27" sel="20" val="2"/>
</file>

<file path=xl/ctrlProps/ctrlProp8.xml><?xml version="1.0" encoding="utf-8"?>
<formControlPr xmlns="http://schemas.microsoft.com/office/spreadsheetml/2009/9/main" objectType="Drop" dropLines="7" dropStyle="combo" dx="16" fmlaLink="$D$130" fmlaRange="$D$132:$D$138" noThreeD="1" sel="7" val="0"/>
</file>

<file path=xl/ctrlProps/ctrlProp9.xml><?xml version="1.0" encoding="utf-8"?>
<formControlPr xmlns="http://schemas.microsoft.com/office/spreadsheetml/2009/9/main" objectType="Drop" dropLines="18" dropStyle="combo" dx="16" fmlaLink="$F$8" fmlaRange="AUX!$G$8:$G$27" sel="20" val="2"/>
</file>

<file path=xl/drawings/_rels/drawing1.xml.rels><?xml version="1.0" encoding="UTF-8" standalone="yes"?><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0.xml.rels><?xml version="1.0" encoding="UTF-8" standalone="yes"?><Relationships xmlns="http://schemas.openxmlformats.org/package/2006/relationships"><Relationship Id="rId3" Type="http://schemas.openxmlformats.org/officeDocument/2006/relationships/chart" Target="../charts/chart18.xml"/><Relationship Id="rId2" Type="http://schemas.openxmlformats.org/officeDocument/2006/relationships/chart" Target="../charts/chart17.xml"/><Relationship Id="rId1" Type="http://schemas.openxmlformats.org/officeDocument/2006/relationships/chart" Target="../charts/chart16.xml"/><Relationship Id="rId6" Type="http://schemas.openxmlformats.org/officeDocument/2006/relationships/image" Target="../media/image22.png"/><Relationship Id="rId5" Type="http://schemas.openxmlformats.org/officeDocument/2006/relationships/image" Target="../media/image21.jpeg"/><Relationship Id="rId4" Type="http://schemas.openxmlformats.org/officeDocument/2006/relationships/chart" Target="../charts/chart19.xml"/></Relationships>
</file>

<file path=xl/drawings/_rels/drawing12.xml.rels><?xml version="1.0" encoding="UTF-8" standalone="yes"?><Relationships xmlns="http://schemas.openxmlformats.org/package/2006/relationships"><Relationship Id="rId8" Type="http://schemas.openxmlformats.org/officeDocument/2006/relationships/chart" Target="../charts/chart25.xml"/><Relationship Id="rId3" Type="http://schemas.openxmlformats.org/officeDocument/2006/relationships/image" Target="../media/image22.png"/><Relationship Id="rId7" Type="http://schemas.openxmlformats.org/officeDocument/2006/relationships/chart" Target="../charts/chart24.xml"/><Relationship Id="rId2" Type="http://schemas.openxmlformats.org/officeDocument/2006/relationships/image" Target="../media/image21.jpeg"/><Relationship Id="rId1" Type="http://schemas.openxmlformats.org/officeDocument/2006/relationships/chart" Target="../charts/chart20.xml"/><Relationship Id="rId6" Type="http://schemas.openxmlformats.org/officeDocument/2006/relationships/chart" Target="../charts/chart23.xml"/><Relationship Id="rId11" Type="http://schemas.openxmlformats.org/officeDocument/2006/relationships/chart" Target="../charts/chart28.xml"/><Relationship Id="rId5" Type="http://schemas.openxmlformats.org/officeDocument/2006/relationships/chart" Target="../charts/chart22.xml"/><Relationship Id="rId10" Type="http://schemas.openxmlformats.org/officeDocument/2006/relationships/chart" Target="../charts/chart27.xml"/><Relationship Id="rId4" Type="http://schemas.openxmlformats.org/officeDocument/2006/relationships/chart" Target="../charts/chart21.xml"/><Relationship Id="rId9" Type="http://schemas.openxmlformats.org/officeDocument/2006/relationships/chart" Target="../charts/chart26.xml"/></Relationships>
</file>

<file path=xl/drawings/_rels/drawing13.xml.rels><?xml version="1.0" encoding="UTF-8" standalone="yes"?><Relationships xmlns="http://schemas.openxmlformats.org/package/2006/relationships"><Relationship Id="rId3" Type="http://schemas.openxmlformats.org/officeDocument/2006/relationships/chart" Target="../charts/chart31.xml"/><Relationship Id="rId7" Type="http://schemas.openxmlformats.org/officeDocument/2006/relationships/image" Target="../media/image22.png"/><Relationship Id="rId2" Type="http://schemas.openxmlformats.org/officeDocument/2006/relationships/chart" Target="../charts/chart30.xml"/><Relationship Id="rId1" Type="http://schemas.openxmlformats.org/officeDocument/2006/relationships/chart" Target="../charts/chart29.xml"/><Relationship Id="rId6" Type="http://schemas.openxmlformats.org/officeDocument/2006/relationships/image" Target="../media/image21.jpeg"/><Relationship Id="rId5" Type="http://schemas.openxmlformats.org/officeDocument/2006/relationships/chart" Target="../charts/chart33.xml"/><Relationship Id="rId4" Type="http://schemas.openxmlformats.org/officeDocument/2006/relationships/chart" Target="../charts/chart32.xml"/></Relationships>
</file>

<file path=xl/drawings/_rels/drawing14.xml.rels><?xml version="1.0" encoding="UTF-8" standalone="yes"?><Relationships xmlns="http://schemas.openxmlformats.org/package/2006/relationships"><Relationship Id="rId8" Type="http://schemas.openxmlformats.org/officeDocument/2006/relationships/image" Target="../media/image22.png"/><Relationship Id="rId3" Type="http://schemas.openxmlformats.org/officeDocument/2006/relationships/chart" Target="../charts/chart36.xml"/><Relationship Id="rId7" Type="http://schemas.openxmlformats.org/officeDocument/2006/relationships/image" Target="../media/image21.jpeg"/><Relationship Id="rId2" Type="http://schemas.openxmlformats.org/officeDocument/2006/relationships/chart" Target="../charts/chart35.xml"/><Relationship Id="rId1" Type="http://schemas.openxmlformats.org/officeDocument/2006/relationships/chart" Target="../charts/chart34.xml"/><Relationship Id="rId6" Type="http://schemas.openxmlformats.org/officeDocument/2006/relationships/chart" Target="../charts/chart39.xml"/><Relationship Id="rId5" Type="http://schemas.openxmlformats.org/officeDocument/2006/relationships/chart" Target="../charts/chart38.xml"/><Relationship Id="rId4" Type="http://schemas.openxmlformats.org/officeDocument/2006/relationships/chart" Target="../charts/chart37.xml"/></Relationships>
</file>

<file path=xl/drawings/_rels/drawing15.xml.rels><?xml version="1.0" encoding="UTF-8" standalone="yes"?><Relationships xmlns="http://schemas.openxmlformats.org/package/2006/relationships"><Relationship Id="rId3" Type="http://schemas.openxmlformats.org/officeDocument/2006/relationships/chart" Target="../charts/chart42.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image" Target="../media/image22.png"/><Relationship Id="rId5" Type="http://schemas.openxmlformats.org/officeDocument/2006/relationships/image" Target="../media/image21.jpeg"/><Relationship Id="rId4" Type="http://schemas.openxmlformats.org/officeDocument/2006/relationships/chart" Target="../charts/chart43.xml"/></Relationships>
</file>

<file path=xl/drawings/_rels/drawing16.xml.rels><?xml version="1.0" encoding="UTF-8" standalone="yes"?><Relationships xmlns="http://schemas.openxmlformats.org/package/2006/relationships"><Relationship Id="rId3" Type="http://schemas.openxmlformats.org/officeDocument/2006/relationships/chart" Target="../charts/chart46.xml"/><Relationship Id="rId2" Type="http://schemas.openxmlformats.org/officeDocument/2006/relationships/chart" Target="../charts/chart45.xml"/><Relationship Id="rId1" Type="http://schemas.openxmlformats.org/officeDocument/2006/relationships/chart" Target="../charts/chart44.xml"/><Relationship Id="rId6" Type="http://schemas.openxmlformats.org/officeDocument/2006/relationships/image" Target="../media/image26.png"/><Relationship Id="rId5" Type="http://schemas.openxmlformats.org/officeDocument/2006/relationships/image" Target="../media/image25.jpeg"/><Relationship Id="rId4" Type="http://schemas.openxmlformats.org/officeDocument/2006/relationships/chart" Target="../charts/chart47.xml"/></Relationships>
</file>

<file path=xl/drawings/_rels/drawing17.xml.rels><?xml version="1.0" encoding="UTF-8" standalone="yes"?><Relationships xmlns="http://schemas.openxmlformats.org/package/2006/relationships"><Relationship Id="rId3" Type="http://schemas.openxmlformats.org/officeDocument/2006/relationships/image" Target="../media/image21.jpeg"/><Relationship Id="rId2" Type="http://schemas.openxmlformats.org/officeDocument/2006/relationships/chart" Target="../charts/chart49.xml"/><Relationship Id="rId1" Type="http://schemas.openxmlformats.org/officeDocument/2006/relationships/chart" Target="../charts/chart48.xml"/><Relationship Id="rId4" Type="http://schemas.openxmlformats.org/officeDocument/2006/relationships/image" Target="../media/image22.png"/></Relationships>
</file>

<file path=xl/drawings/_rels/drawing18.xml.rels><?xml version="1.0" encoding="UTF-8" standalone="yes"?><Relationships xmlns="http://schemas.openxmlformats.org/package/2006/relationships"><Relationship Id="rId3" Type="http://schemas.openxmlformats.org/officeDocument/2006/relationships/chart" Target="../charts/chart52.xml"/><Relationship Id="rId2" Type="http://schemas.openxmlformats.org/officeDocument/2006/relationships/chart" Target="../charts/chart51.xml"/><Relationship Id="rId1" Type="http://schemas.openxmlformats.org/officeDocument/2006/relationships/chart" Target="../charts/chart50.xml"/><Relationship Id="rId6" Type="http://schemas.openxmlformats.org/officeDocument/2006/relationships/image" Target="../media/image22.png"/><Relationship Id="rId5" Type="http://schemas.openxmlformats.org/officeDocument/2006/relationships/image" Target="../media/image21.jpeg"/><Relationship Id="rId4" Type="http://schemas.openxmlformats.org/officeDocument/2006/relationships/chart" Target="../charts/chart53.xml"/></Relationships>
</file>

<file path=xl/drawings/_rels/drawing19.xml.rels><?xml version="1.0" encoding="UTF-8" standalone="yes"?><Relationships xmlns="http://schemas.openxmlformats.org/package/2006/relationships"><Relationship Id="rId3" Type="http://schemas.openxmlformats.org/officeDocument/2006/relationships/image" Target="../media/image21.jpeg"/><Relationship Id="rId2" Type="http://schemas.openxmlformats.org/officeDocument/2006/relationships/chart" Target="../charts/chart55.xml"/><Relationship Id="rId1" Type="http://schemas.openxmlformats.org/officeDocument/2006/relationships/chart" Target="../charts/chart54.xml"/><Relationship Id="rId4" Type="http://schemas.openxmlformats.org/officeDocument/2006/relationships/image" Target="../media/image22.png"/></Relationships>
</file>

<file path=xl/drawings/_rels/drawing2.xml.rels><?xml version="1.0" encoding="UTF-8" standalone="yes"?><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jpe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drawing20.xml.rels><?xml version="1.0" encoding="UTF-8" standalone="yes"?><Relationships xmlns="http://schemas.openxmlformats.org/package/2006/relationships"><Relationship Id="rId8" Type="http://schemas.openxmlformats.org/officeDocument/2006/relationships/chart" Target="../charts/chart63.xml"/><Relationship Id="rId3" Type="http://schemas.openxmlformats.org/officeDocument/2006/relationships/chart" Target="../charts/chart58.xml"/><Relationship Id="rId7" Type="http://schemas.openxmlformats.org/officeDocument/2006/relationships/chart" Target="../charts/chart62.xml"/><Relationship Id="rId2" Type="http://schemas.openxmlformats.org/officeDocument/2006/relationships/chart" Target="../charts/chart57.xml"/><Relationship Id="rId1" Type="http://schemas.openxmlformats.org/officeDocument/2006/relationships/chart" Target="../charts/chart56.xml"/><Relationship Id="rId6" Type="http://schemas.openxmlformats.org/officeDocument/2006/relationships/chart" Target="../charts/chart61.xml"/><Relationship Id="rId11" Type="http://schemas.openxmlformats.org/officeDocument/2006/relationships/image" Target="../media/image24.png"/><Relationship Id="rId5" Type="http://schemas.openxmlformats.org/officeDocument/2006/relationships/chart" Target="../charts/chart60.xml"/><Relationship Id="rId10" Type="http://schemas.openxmlformats.org/officeDocument/2006/relationships/image" Target="../media/image27.jpeg"/><Relationship Id="rId4" Type="http://schemas.openxmlformats.org/officeDocument/2006/relationships/chart" Target="../charts/chart59.xml"/><Relationship Id="rId9" Type="http://schemas.openxmlformats.org/officeDocument/2006/relationships/chart" Target="../charts/chart64.xml"/></Relationships>
</file>

<file path=xl/drawings/_rels/drawing21.xml.rels><?xml version="1.0" encoding="UTF-8" standalone="yes"?><Relationships xmlns="http://schemas.openxmlformats.org/package/2006/relationships"><Relationship Id="rId3" Type="http://schemas.openxmlformats.org/officeDocument/2006/relationships/chart" Target="../charts/chart67.xml"/><Relationship Id="rId2" Type="http://schemas.openxmlformats.org/officeDocument/2006/relationships/chart" Target="../charts/chart66.xml"/><Relationship Id="rId1" Type="http://schemas.openxmlformats.org/officeDocument/2006/relationships/chart" Target="../charts/chart65.xml"/><Relationship Id="rId6" Type="http://schemas.openxmlformats.org/officeDocument/2006/relationships/image" Target="../media/image29.png"/><Relationship Id="rId5" Type="http://schemas.openxmlformats.org/officeDocument/2006/relationships/image" Target="../media/image28.jpeg"/><Relationship Id="rId4" Type="http://schemas.openxmlformats.org/officeDocument/2006/relationships/chart" Target="../charts/chart68.xml"/></Relationships>
</file>

<file path=xl/drawings/_rels/drawing22.xml.rels><?xml version="1.0" encoding="UTF-8" standalone="yes"?><Relationships xmlns="http://schemas.openxmlformats.org/package/2006/relationships"><Relationship Id="rId3" Type="http://schemas.openxmlformats.org/officeDocument/2006/relationships/chart" Target="../charts/chart71.xml"/><Relationship Id="rId2" Type="http://schemas.openxmlformats.org/officeDocument/2006/relationships/chart" Target="../charts/chart70.xml"/><Relationship Id="rId1" Type="http://schemas.openxmlformats.org/officeDocument/2006/relationships/chart" Target="../charts/chart69.xml"/><Relationship Id="rId6" Type="http://schemas.openxmlformats.org/officeDocument/2006/relationships/image" Target="../media/image24.png"/><Relationship Id="rId5" Type="http://schemas.openxmlformats.org/officeDocument/2006/relationships/image" Target="../media/image30.jpeg"/><Relationship Id="rId4" Type="http://schemas.openxmlformats.org/officeDocument/2006/relationships/chart" Target="../charts/chart72.xml"/></Relationships>
</file>

<file path=xl/drawings/_rels/drawing23.xml.rels><?xml version="1.0" encoding="UTF-8" standalone="yes"?><Relationships xmlns="http://schemas.openxmlformats.org/package/2006/relationships"><Relationship Id="rId3" Type="http://schemas.openxmlformats.org/officeDocument/2006/relationships/chart" Target="../charts/chart75.xml"/><Relationship Id="rId2" Type="http://schemas.openxmlformats.org/officeDocument/2006/relationships/chart" Target="../charts/chart74.xml"/><Relationship Id="rId1" Type="http://schemas.openxmlformats.org/officeDocument/2006/relationships/chart" Target="../charts/chart73.xml"/><Relationship Id="rId5" Type="http://schemas.openxmlformats.org/officeDocument/2006/relationships/image" Target="../media/image22.png"/><Relationship Id="rId4" Type="http://schemas.openxmlformats.org/officeDocument/2006/relationships/image" Target="../media/image21.jpeg"/></Relationships>
</file>

<file path=xl/drawings/_rels/drawing24.xml.rels><?xml version="1.0" encoding="UTF-8" standalone="yes"?><Relationships xmlns="http://schemas.openxmlformats.org/package/2006/relationships"><Relationship Id="rId3" Type="http://schemas.openxmlformats.org/officeDocument/2006/relationships/chart" Target="../charts/chart78.xml"/><Relationship Id="rId2" Type="http://schemas.openxmlformats.org/officeDocument/2006/relationships/chart" Target="../charts/chart77.xml"/><Relationship Id="rId1" Type="http://schemas.openxmlformats.org/officeDocument/2006/relationships/chart" Target="../charts/chart76.xml"/><Relationship Id="rId5" Type="http://schemas.openxmlformats.org/officeDocument/2006/relationships/image" Target="../media/image22.png"/><Relationship Id="rId4" Type="http://schemas.openxmlformats.org/officeDocument/2006/relationships/image" Target="../media/image21.jpeg"/></Relationships>
</file>

<file path=xl/drawings/_rels/drawing25.xml.rels><?xml version="1.0" encoding="UTF-8" standalone="yes"?><Relationships xmlns="http://schemas.openxmlformats.org/package/2006/relationships"><Relationship Id="rId3" Type="http://schemas.openxmlformats.org/officeDocument/2006/relationships/chart" Target="../charts/chart81.xml"/><Relationship Id="rId2" Type="http://schemas.openxmlformats.org/officeDocument/2006/relationships/chart" Target="../charts/chart80.xml"/><Relationship Id="rId1" Type="http://schemas.openxmlformats.org/officeDocument/2006/relationships/chart" Target="../charts/chart79.xml"/><Relationship Id="rId6" Type="http://schemas.openxmlformats.org/officeDocument/2006/relationships/chart" Target="../charts/chart82.xml"/><Relationship Id="rId5" Type="http://schemas.openxmlformats.org/officeDocument/2006/relationships/image" Target="../media/image22.png"/><Relationship Id="rId4" Type="http://schemas.openxmlformats.org/officeDocument/2006/relationships/image" Target="../media/image21.jpeg"/></Relationships>
</file>

<file path=xl/drawings/_rels/drawing26.xml.rels><?xml version="1.0" encoding="UTF-8" standalone="yes"?><Relationships xmlns="http://schemas.openxmlformats.org/package/2006/relationships"><Relationship Id="rId3" Type="http://schemas.openxmlformats.org/officeDocument/2006/relationships/chart" Target="../charts/chart85.xml"/><Relationship Id="rId2" Type="http://schemas.openxmlformats.org/officeDocument/2006/relationships/chart" Target="../charts/chart84.xml"/><Relationship Id="rId1" Type="http://schemas.openxmlformats.org/officeDocument/2006/relationships/chart" Target="../charts/chart83.xml"/><Relationship Id="rId6" Type="http://schemas.openxmlformats.org/officeDocument/2006/relationships/chart" Target="../charts/chart86.xml"/><Relationship Id="rId5" Type="http://schemas.openxmlformats.org/officeDocument/2006/relationships/image" Target="../media/image22.png"/><Relationship Id="rId4" Type="http://schemas.openxmlformats.org/officeDocument/2006/relationships/image" Target="../media/image21.jpeg"/></Relationships>
</file>

<file path=xl/drawings/_rels/drawing27.xml.rels><?xml version="1.0" encoding="UTF-8" standalone="yes"?><Relationships xmlns="http://schemas.openxmlformats.org/package/2006/relationships"><Relationship Id="rId3" Type="http://schemas.openxmlformats.org/officeDocument/2006/relationships/chart" Target="../charts/chart89.xml"/><Relationship Id="rId2" Type="http://schemas.openxmlformats.org/officeDocument/2006/relationships/chart" Target="../charts/chart88.xml"/><Relationship Id="rId1" Type="http://schemas.openxmlformats.org/officeDocument/2006/relationships/chart" Target="../charts/chart87.xml"/><Relationship Id="rId5" Type="http://schemas.openxmlformats.org/officeDocument/2006/relationships/image" Target="../media/image22.png"/><Relationship Id="rId4" Type="http://schemas.openxmlformats.org/officeDocument/2006/relationships/image" Target="../media/image21.jpeg"/></Relationships>
</file>

<file path=xl/drawings/_rels/drawing28.xml.rels><?xml version="1.0" encoding="UTF-8" standalone="yes"?><Relationships xmlns="http://schemas.openxmlformats.org/package/2006/relationships"><Relationship Id="rId3" Type="http://schemas.openxmlformats.org/officeDocument/2006/relationships/chart" Target="../charts/chart92.xml"/><Relationship Id="rId2" Type="http://schemas.openxmlformats.org/officeDocument/2006/relationships/chart" Target="../charts/chart91.xml"/><Relationship Id="rId1" Type="http://schemas.openxmlformats.org/officeDocument/2006/relationships/chart" Target="../charts/chart90.xml"/><Relationship Id="rId5" Type="http://schemas.openxmlformats.org/officeDocument/2006/relationships/image" Target="../media/image22.png"/><Relationship Id="rId4" Type="http://schemas.openxmlformats.org/officeDocument/2006/relationships/image" Target="../media/image21.jpeg"/></Relationships>
</file>

<file path=xl/drawings/_rels/drawing3.xml.rels><?xml version="1.0" encoding="UTF-8" standalone="yes"?><Relationships xmlns="http://schemas.openxmlformats.org/package/2006/relationships"><Relationship Id="rId2" Type="http://schemas.openxmlformats.org/officeDocument/2006/relationships/image" Target="../media/image15.png"/><Relationship Id="rId1" Type="http://schemas.openxmlformats.org/officeDocument/2006/relationships/image" Target="../media/image14.jpeg"/></Relationships>
</file>

<file path=xl/drawings/_rels/drawing4.xml.rels><?xml version="1.0" encoding="UTF-8" standalone="yes"?><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16.jpeg"/></Relationships>
</file>

<file path=xl/drawings/_rels/drawing5.xml.rels><?xml version="1.0" encoding="UTF-8" standalone="yes"?><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20.jpeg"/></Relationships>
</file>

<file path=xl/drawings/_rels/drawing6.xml.rels><?xml version="1.0" encoding="UTF-8" standalone="yes"?><Relationships xmlns="http://schemas.openxmlformats.org/package/2006/relationships"><Relationship Id="rId3" Type="http://schemas.openxmlformats.org/officeDocument/2006/relationships/image" Target="../media/image22.png"/><Relationship Id="rId2" Type="http://schemas.openxmlformats.org/officeDocument/2006/relationships/image" Target="../media/image21.jpeg"/><Relationship Id="rId1" Type="http://schemas.openxmlformats.org/officeDocument/2006/relationships/chart" Target="../charts/chart1.xml"/></Relationships>
</file>

<file path=xl/drawings/_rels/drawing7.xml.rels><?xml version="1.0" encoding="UTF-8" standalone="yes"?><Relationships xmlns="http://schemas.openxmlformats.org/package/2006/relationships"><Relationship Id="rId8" Type="http://schemas.openxmlformats.org/officeDocument/2006/relationships/image" Target="../media/image22.png"/><Relationship Id="rId3" Type="http://schemas.openxmlformats.org/officeDocument/2006/relationships/chart" Target="../charts/chart4.xml"/><Relationship Id="rId7" Type="http://schemas.openxmlformats.org/officeDocument/2006/relationships/chart" Target="../charts/chart6.xml"/><Relationship Id="rId2" Type="http://schemas.openxmlformats.org/officeDocument/2006/relationships/chart" Target="../charts/chart3.xml"/><Relationship Id="rId1" Type="http://schemas.openxmlformats.org/officeDocument/2006/relationships/chart" Target="../charts/chart2.xml"/><Relationship Id="rId6" Type="http://schemas.openxmlformats.org/officeDocument/2006/relationships/image" Target="../media/image21.jpeg"/><Relationship Id="rId5" Type="http://schemas.openxmlformats.org/officeDocument/2006/relationships/image" Target="../media/image23.jpeg"/><Relationship Id="rId4" Type="http://schemas.openxmlformats.org/officeDocument/2006/relationships/chart" Target="../charts/chart5.xml"/><Relationship Id="rId9" Type="http://schemas.openxmlformats.org/officeDocument/2006/relationships/chart" Target="../charts/chart7.xml"/></Relationships>
</file>

<file path=xl/drawings/_rels/drawing8.xml.rels><?xml version="1.0" encoding="UTF-8" standalone="yes"?><Relationships xmlns="http://schemas.openxmlformats.org/package/2006/relationships"><Relationship Id="rId3" Type="http://schemas.openxmlformats.org/officeDocument/2006/relationships/chart" Target="../charts/chart10.xml"/><Relationship Id="rId2" Type="http://schemas.openxmlformats.org/officeDocument/2006/relationships/chart" Target="../charts/chart9.xml"/><Relationship Id="rId1" Type="http://schemas.openxmlformats.org/officeDocument/2006/relationships/chart" Target="../charts/chart8.xml"/><Relationship Id="rId6" Type="http://schemas.openxmlformats.org/officeDocument/2006/relationships/image" Target="../media/image24.png"/><Relationship Id="rId5" Type="http://schemas.openxmlformats.org/officeDocument/2006/relationships/image" Target="../media/image20.jpeg"/><Relationship Id="rId4" Type="http://schemas.openxmlformats.org/officeDocument/2006/relationships/chart" Target="../charts/chart11.xml"/></Relationships>
</file>

<file path=xl/drawings/_rels/drawing9.xml.rels><?xml version="1.0" encoding="UTF-8" standalone="yes"?><Relationships xmlns="http://schemas.openxmlformats.org/package/2006/relationships"><Relationship Id="rId3" Type="http://schemas.openxmlformats.org/officeDocument/2006/relationships/chart" Target="../charts/chart14.xml"/><Relationship Id="rId2" Type="http://schemas.openxmlformats.org/officeDocument/2006/relationships/chart" Target="../charts/chart13.xml"/><Relationship Id="rId1" Type="http://schemas.openxmlformats.org/officeDocument/2006/relationships/chart" Target="../charts/chart12.xml"/><Relationship Id="rId6" Type="http://schemas.openxmlformats.org/officeDocument/2006/relationships/image" Target="../media/image22.png"/><Relationship Id="rId5" Type="http://schemas.openxmlformats.org/officeDocument/2006/relationships/image" Target="../media/image21.jpeg"/><Relationship Id="rId4" Type="http://schemas.openxmlformats.org/officeDocument/2006/relationships/chart" Target="../charts/chart15.xml"/></Relationships>
</file>

<file path=xl/drawings/_rels/vmlDrawing1.vml.rels><?xml version="1.0" encoding="UTF-8" standalone="yes"?><Relationships xmlns="http://schemas.openxmlformats.org/package/2006/relationships"><Relationship Id="rId2" Type="http://schemas.openxmlformats.org/officeDocument/2006/relationships/image" Target="../media/image19.emf"/><Relationship Id="rId1" Type="http://schemas.openxmlformats.org/officeDocument/2006/relationships/image" Target="../media/image18.emf"/></Relationships>
</file>

<file path=xl/drawings/drawing1.xml><?xml version="1.0" encoding="utf-8"?>
<xdr:wsDr xmlns:xdr="http://schemas.openxmlformats.org/drawingml/2006/spreadsheetDrawing" xmlns:a="http://schemas.openxmlformats.org/drawingml/2006/main">
  <xdr:twoCellAnchor editAs="oneCell">
    <xdr:from>
      <xdr:col>0</xdr:col>
      <xdr:colOff>114300</xdr:colOff>
      <xdr:row>22</xdr:row>
      <xdr:rowOff>28575</xdr:rowOff>
    </xdr:from>
    <xdr:to>
      <xdr:col>6</xdr:col>
      <xdr:colOff>438150</xdr:colOff>
      <xdr:row>35</xdr:row>
      <xdr:rowOff>9525</xdr:rowOff>
    </xdr:to>
    <xdr:pic>
      <xdr:nvPicPr>
        <xdr:cNvPr id="1577"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300" y="3829050"/>
          <a:ext cx="4857750" cy="2295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6</xdr:row>
      <xdr:rowOff>66675</xdr:rowOff>
    </xdr:from>
    <xdr:to>
      <xdr:col>5</xdr:col>
      <xdr:colOff>9525</xdr:colOff>
      <xdr:row>10</xdr:row>
      <xdr:rowOff>9525</xdr:rowOff>
    </xdr:to>
    <xdr:pic>
      <xdr:nvPicPr>
        <xdr:cNvPr id="1578" name="5 Imagen"/>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495425" y="1038225"/>
          <a:ext cx="228600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57150</xdr:colOff>
          <xdr:row>7</xdr:row>
          <xdr:rowOff>0</xdr:rowOff>
        </xdr:from>
        <xdr:to>
          <xdr:col>6</xdr:col>
          <xdr:colOff>257175</xdr:colOff>
          <xdr:row>9</xdr:row>
          <xdr:rowOff>0</xdr:rowOff>
        </xdr:to>
        <xdr:sp macro="" textlink="">
          <xdr:nvSpPr>
            <xdr:cNvPr id="24577" name="Drop Down 1" hidden="1">
              <a:extLst>
                <a:ext uri="{63B3BB69-23CF-44E3-9099-C40C66FF867C}">
                  <a14:compatExt spid="_x0000_s2457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xdr:col>
      <xdr:colOff>85725</xdr:colOff>
      <xdr:row>33</xdr:row>
      <xdr:rowOff>114300</xdr:rowOff>
    </xdr:from>
    <xdr:to>
      <xdr:col>12</xdr:col>
      <xdr:colOff>638175</xdr:colOff>
      <xdr:row>53</xdr:row>
      <xdr:rowOff>28575</xdr:rowOff>
    </xdr:to>
    <xdr:graphicFrame macro="">
      <xdr:nvGraphicFramePr>
        <xdr:cNvPr id="25358882"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104775</xdr:colOff>
      <xdr:row>56</xdr:row>
      <xdr:rowOff>28575</xdr:rowOff>
    </xdr:from>
    <xdr:to>
      <xdr:col>12</xdr:col>
      <xdr:colOff>628650</xdr:colOff>
      <xdr:row>75</xdr:row>
      <xdr:rowOff>47625</xdr:rowOff>
    </xdr:to>
    <xdr:graphicFrame macro="">
      <xdr:nvGraphicFramePr>
        <xdr:cNvPr id="25358883" name="Gráfico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85725</xdr:colOff>
      <xdr:row>77</xdr:row>
      <xdr:rowOff>152400</xdr:rowOff>
    </xdr:from>
    <xdr:to>
      <xdr:col>12</xdr:col>
      <xdr:colOff>638175</xdr:colOff>
      <xdr:row>97</xdr:row>
      <xdr:rowOff>104775</xdr:rowOff>
    </xdr:to>
    <xdr:graphicFrame macro="">
      <xdr:nvGraphicFramePr>
        <xdr:cNvPr id="25358884" name="Gráfico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9525</xdr:colOff>
          <xdr:row>102</xdr:row>
          <xdr:rowOff>95250</xdr:rowOff>
        </xdr:from>
        <xdr:to>
          <xdr:col>6</xdr:col>
          <xdr:colOff>200025</xdr:colOff>
          <xdr:row>104</xdr:row>
          <xdr:rowOff>76200</xdr:rowOff>
        </xdr:to>
        <xdr:sp macro="" textlink="">
          <xdr:nvSpPr>
            <xdr:cNvPr id="24581" name="Drop Down 5" hidden="1">
              <a:extLst>
                <a:ext uri="{63B3BB69-23CF-44E3-9099-C40C66FF867C}">
                  <a14:compatExt spid="_x0000_s2458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xdr:twoCellAnchor>
    <xdr:from>
      <xdr:col>1</xdr:col>
      <xdr:colOff>409575</xdr:colOff>
      <xdr:row>108</xdr:row>
      <xdr:rowOff>85725</xdr:rowOff>
    </xdr:from>
    <xdr:to>
      <xdr:col>11</xdr:col>
      <xdr:colOff>733425</xdr:colOff>
      <xdr:row>162</xdr:row>
      <xdr:rowOff>104775</xdr:rowOff>
    </xdr:to>
    <xdr:graphicFrame macro="">
      <xdr:nvGraphicFramePr>
        <xdr:cNvPr id="25358885" name="Gráfico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0</xdr:col>
      <xdr:colOff>209550</xdr:colOff>
      <xdr:row>0</xdr:row>
      <xdr:rowOff>114300</xdr:rowOff>
    </xdr:from>
    <xdr:to>
      <xdr:col>2</xdr:col>
      <xdr:colOff>123825</xdr:colOff>
      <xdr:row>5</xdr:row>
      <xdr:rowOff>66675</xdr:rowOff>
    </xdr:to>
    <xdr:pic>
      <xdr:nvPicPr>
        <xdr:cNvPr id="25358886" name="10 Imagen"/>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209550" y="114300"/>
          <a:ext cx="1590675"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152400</xdr:colOff>
      <xdr:row>0</xdr:row>
      <xdr:rowOff>142875</xdr:rowOff>
    </xdr:from>
    <xdr:to>
      <xdr:col>13</xdr:col>
      <xdr:colOff>95250</xdr:colOff>
      <xdr:row>4</xdr:row>
      <xdr:rowOff>95250</xdr:rowOff>
    </xdr:to>
    <xdr:pic>
      <xdr:nvPicPr>
        <xdr:cNvPr id="25358887" name="9 Imagen"/>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8286750" y="142875"/>
          <a:ext cx="229552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c:userShapes xmlns:c="http://schemas.openxmlformats.org/drawingml/2006/chart">
  <cdr:relSizeAnchor xmlns:cdr="http://schemas.openxmlformats.org/drawingml/2006/chartDrawing">
    <cdr:from>
      <cdr:x>0.49926</cdr:x>
      <cdr:y>0.50582</cdr:y>
    </cdr:from>
    <cdr:to>
      <cdr:x>0.50842</cdr:x>
      <cdr:y>0.56013</cdr:y>
    </cdr:to>
    <cdr:sp macro="" textlink="">
      <cdr:nvSpPr>
        <cdr:cNvPr id="25601" name="Text Box 1"/>
        <cdr:cNvSpPr txBox="1">
          <a:spLocks xmlns:a="http://schemas.openxmlformats.org/drawingml/2006/main" noChangeArrowheads="1"/>
        </cdr:cNvSpPr>
      </cdr:nvSpPr>
      <cdr:spPr bwMode="auto">
        <a:xfrm xmlns:a="http://schemas.openxmlformats.org/drawingml/2006/main">
          <a:off x="4953572" y="1602727"/>
          <a:ext cx="90838" cy="171755"/>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es-ES" sz="875" b="0" i="0" u="none" strike="noStrike" baseline="0">
              <a:solidFill>
                <a:srgbClr val="000000"/>
              </a:solidFill>
              <a:latin typeface="Arial"/>
              <a:cs typeface="Arial"/>
            </a:rPr>
            <a:t>  </a:t>
          </a:r>
        </a:p>
      </cdr:txBody>
    </cdr:sp>
  </cdr:relSizeAnchor>
</c:userShapes>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0</xdr:colOff>
          <xdr:row>7</xdr:row>
          <xdr:rowOff>0</xdr:rowOff>
        </xdr:from>
        <xdr:to>
          <xdr:col>7</xdr:col>
          <xdr:colOff>304800</xdr:colOff>
          <xdr:row>9</xdr:row>
          <xdr:rowOff>0</xdr:rowOff>
        </xdr:to>
        <xdr:sp macro="" textlink="">
          <xdr:nvSpPr>
            <xdr:cNvPr id="34817" name="Drop Down 1" hidden="1">
              <a:extLst>
                <a:ext uri="{63B3BB69-23CF-44E3-9099-C40C66FF867C}">
                  <a14:compatExt spid="_x0000_s3481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xdr:col>
      <xdr:colOff>428625</xdr:colOff>
      <xdr:row>119</xdr:row>
      <xdr:rowOff>66675</xdr:rowOff>
    </xdr:from>
    <xdr:to>
      <xdr:col>12</xdr:col>
      <xdr:colOff>123825</xdr:colOff>
      <xdr:row>158</xdr:row>
      <xdr:rowOff>30000</xdr:rowOff>
    </xdr:to>
    <xdr:graphicFrame macro="">
      <xdr:nvGraphicFramePr>
        <xdr:cNvPr id="25364280" name="Gráfico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95250</xdr:colOff>
      <xdr:row>0</xdr:row>
      <xdr:rowOff>114300</xdr:rowOff>
    </xdr:from>
    <xdr:to>
      <xdr:col>2</xdr:col>
      <xdr:colOff>447675</xdr:colOff>
      <xdr:row>5</xdr:row>
      <xdr:rowOff>66675</xdr:rowOff>
    </xdr:to>
    <xdr:pic>
      <xdr:nvPicPr>
        <xdr:cNvPr id="25364282" name="11 Imagen"/>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5250" y="114300"/>
          <a:ext cx="1590675"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0</xdr:row>
      <xdr:rowOff>152400</xdr:rowOff>
    </xdr:from>
    <xdr:to>
      <xdr:col>14</xdr:col>
      <xdr:colOff>76200</xdr:colOff>
      <xdr:row>4</xdr:row>
      <xdr:rowOff>104775</xdr:rowOff>
    </xdr:to>
    <xdr:pic>
      <xdr:nvPicPr>
        <xdr:cNvPr id="25364283" name="12 Imagen"/>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877175" y="152400"/>
          <a:ext cx="229552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114300</xdr:colOff>
      <xdr:row>43</xdr:row>
      <xdr:rowOff>0</xdr:rowOff>
    </xdr:from>
    <xdr:to>
      <xdr:col>7</xdr:col>
      <xdr:colOff>9525</xdr:colOff>
      <xdr:row>60</xdr:row>
      <xdr:rowOff>0</xdr:rowOff>
    </xdr:to>
    <xdr:graphicFrame macro="">
      <xdr:nvGraphicFramePr>
        <xdr:cNvPr id="29"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47625</xdr:colOff>
      <xdr:row>43</xdr:row>
      <xdr:rowOff>0</xdr:rowOff>
    </xdr:from>
    <xdr:to>
      <xdr:col>14</xdr:col>
      <xdr:colOff>152400</xdr:colOff>
      <xdr:row>60</xdr:row>
      <xdr:rowOff>0</xdr:rowOff>
    </xdr:to>
    <xdr:graphicFrame macro="">
      <xdr:nvGraphicFramePr>
        <xdr:cNvPr id="30" name="Gráfico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95250</xdr:colOff>
      <xdr:row>61</xdr:row>
      <xdr:rowOff>28575</xdr:rowOff>
    </xdr:from>
    <xdr:to>
      <xdr:col>7</xdr:col>
      <xdr:colOff>9525</xdr:colOff>
      <xdr:row>77</xdr:row>
      <xdr:rowOff>9525</xdr:rowOff>
    </xdr:to>
    <xdr:graphicFrame macro="">
      <xdr:nvGraphicFramePr>
        <xdr:cNvPr id="31" name="Gráfico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57150</xdr:colOff>
      <xdr:row>61</xdr:row>
      <xdr:rowOff>19050</xdr:rowOff>
    </xdr:from>
    <xdr:to>
      <xdr:col>14</xdr:col>
      <xdr:colOff>152400</xdr:colOff>
      <xdr:row>77</xdr:row>
      <xdr:rowOff>9525</xdr:rowOff>
    </xdr:to>
    <xdr:graphicFrame macro="">
      <xdr:nvGraphicFramePr>
        <xdr:cNvPr id="32" name="Gráfico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104775</xdr:colOff>
      <xdr:row>78</xdr:row>
      <xdr:rowOff>123825</xdr:rowOff>
    </xdr:from>
    <xdr:to>
      <xdr:col>7</xdr:col>
      <xdr:colOff>9525</xdr:colOff>
      <xdr:row>97</xdr:row>
      <xdr:rowOff>133350</xdr:rowOff>
    </xdr:to>
    <xdr:graphicFrame macro="">
      <xdr:nvGraphicFramePr>
        <xdr:cNvPr id="37" name="Gráfico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57150</xdr:colOff>
      <xdr:row>98</xdr:row>
      <xdr:rowOff>152400</xdr:rowOff>
    </xdr:from>
    <xdr:to>
      <xdr:col>14</xdr:col>
      <xdr:colOff>95250</xdr:colOff>
      <xdr:row>118</xdr:row>
      <xdr:rowOff>0</xdr:rowOff>
    </xdr:to>
    <xdr:graphicFrame macro="">
      <xdr:nvGraphicFramePr>
        <xdr:cNvPr id="38" name="Gráfico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104775</xdr:colOff>
      <xdr:row>98</xdr:row>
      <xdr:rowOff>152400</xdr:rowOff>
    </xdr:from>
    <xdr:to>
      <xdr:col>7</xdr:col>
      <xdr:colOff>9525</xdr:colOff>
      <xdr:row>118</xdr:row>
      <xdr:rowOff>0</xdr:rowOff>
    </xdr:to>
    <xdr:graphicFrame macro="">
      <xdr:nvGraphicFramePr>
        <xdr:cNvPr id="39" name="Gráfico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7</xdr:col>
      <xdr:colOff>57150</xdr:colOff>
      <xdr:row>78</xdr:row>
      <xdr:rowOff>123825</xdr:rowOff>
    </xdr:from>
    <xdr:to>
      <xdr:col>14</xdr:col>
      <xdr:colOff>114300</xdr:colOff>
      <xdr:row>97</xdr:row>
      <xdr:rowOff>133350</xdr:rowOff>
    </xdr:to>
    <xdr:graphicFrame macro="">
      <xdr:nvGraphicFramePr>
        <xdr:cNvPr id="40" name="Gráfico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762000</xdr:colOff>
          <xdr:row>7</xdr:row>
          <xdr:rowOff>0</xdr:rowOff>
        </xdr:from>
        <xdr:to>
          <xdr:col>6</xdr:col>
          <xdr:colOff>180975</xdr:colOff>
          <xdr:row>9</xdr:row>
          <xdr:rowOff>0</xdr:rowOff>
        </xdr:to>
        <xdr:sp macro="" textlink="">
          <xdr:nvSpPr>
            <xdr:cNvPr id="43009" name="Drop Down 1" hidden="1">
              <a:extLst>
                <a:ext uri="{63B3BB69-23CF-44E3-9099-C40C66FF867C}">
                  <a14:compatExt spid="_x0000_s4300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3</xdr:col>
      <xdr:colOff>304800</xdr:colOff>
      <xdr:row>49</xdr:row>
      <xdr:rowOff>19050</xdr:rowOff>
    </xdr:from>
    <xdr:to>
      <xdr:col>9</xdr:col>
      <xdr:colOff>381000</xdr:colOff>
      <xdr:row>65</xdr:row>
      <xdr:rowOff>66675</xdr:rowOff>
    </xdr:to>
    <xdr:graphicFrame macro="">
      <xdr:nvGraphicFramePr>
        <xdr:cNvPr id="25372285"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409575</xdr:colOff>
      <xdr:row>30</xdr:row>
      <xdr:rowOff>28575</xdr:rowOff>
    </xdr:from>
    <xdr:to>
      <xdr:col>12</xdr:col>
      <xdr:colOff>676275</xdr:colOff>
      <xdr:row>46</xdr:row>
      <xdr:rowOff>76200</xdr:rowOff>
    </xdr:to>
    <xdr:graphicFrame macro="">
      <xdr:nvGraphicFramePr>
        <xdr:cNvPr id="25372286" name="Gráfico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409575</xdr:colOff>
      <xdr:row>68</xdr:row>
      <xdr:rowOff>152400</xdr:rowOff>
    </xdr:from>
    <xdr:to>
      <xdr:col>11</xdr:col>
      <xdr:colOff>581025</xdr:colOff>
      <xdr:row>85</xdr:row>
      <xdr:rowOff>95250</xdr:rowOff>
    </xdr:to>
    <xdr:graphicFrame macro="">
      <xdr:nvGraphicFramePr>
        <xdr:cNvPr id="25372287" name="Gráfico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85725</xdr:colOff>
      <xdr:row>87</xdr:row>
      <xdr:rowOff>19050</xdr:rowOff>
    </xdr:from>
    <xdr:to>
      <xdr:col>11</xdr:col>
      <xdr:colOff>714375</xdr:colOff>
      <xdr:row>128</xdr:row>
      <xdr:rowOff>95250</xdr:rowOff>
    </xdr:to>
    <xdr:graphicFrame macro="">
      <xdr:nvGraphicFramePr>
        <xdr:cNvPr id="25372288" name="Gráfico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276225</xdr:colOff>
      <xdr:row>30</xdr:row>
      <xdr:rowOff>9525</xdr:rowOff>
    </xdr:from>
    <xdr:to>
      <xdr:col>6</xdr:col>
      <xdr:colOff>295275</xdr:colOff>
      <xdr:row>46</xdr:row>
      <xdr:rowOff>66675</xdr:rowOff>
    </xdr:to>
    <xdr:graphicFrame macro="">
      <xdr:nvGraphicFramePr>
        <xdr:cNvPr id="25372289" name="Gráfico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0</xdr:col>
      <xdr:colOff>276225</xdr:colOff>
      <xdr:row>0</xdr:row>
      <xdr:rowOff>142875</xdr:rowOff>
    </xdr:from>
    <xdr:to>
      <xdr:col>2</xdr:col>
      <xdr:colOff>66675</xdr:colOff>
      <xdr:row>5</xdr:row>
      <xdr:rowOff>95250</xdr:rowOff>
    </xdr:to>
    <xdr:pic>
      <xdr:nvPicPr>
        <xdr:cNvPr id="25372290" name="9 Imagen"/>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276225" y="142875"/>
          <a:ext cx="1590675"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9525</xdr:colOff>
      <xdr:row>0</xdr:row>
      <xdr:rowOff>142875</xdr:rowOff>
    </xdr:from>
    <xdr:to>
      <xdr:col>13</xdr:col>
      <xdr:colOff>0</xdr:colOff>
      <xdr:row>4</xdr:row>
      <xdr:rowOff>95250</xdr:rowOff>
    </xdr:to>
    <xdr:pic>
      <xdr:nvPicPr>
        <xdr:cNvPr id="25372291" name="9 Imagen"/>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8058150" y="142875"/>
          <a:ext cx="229552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9525</xdr:colOff>
          <xdr:row>7</xdr:row>
          <xdr:rowOff>9525</xdr:rowOff>
        </xdr:from>
        <xdr:to>
          <xdr:col>7</xdr:col>
          <xdr:colOff>209550</xdr:colOff>
          <xdr:row>9</xdr:row>
          <xdr:rowOff>9525</xdr:rowOff>
        </xdr:to>
        <xdr:sp macro="" textlink="">
          <xdr:nvSpPr>
            <xdr:cNvPr id="48129" name="Drop Down 1" hidden="1">
              <a:extLst>
                <a:ext uri="{63B3BB69-23CF-44E3-9099-C40C66FF867C}">
                  <a14:compatExt spid="_x0000_s4812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0</xdr:col>
      <xdr:colOff>428625</xdr:colOff>
      <xdr:row>34</xdr:row>
      <xdr:rowOff>47625</xdr:rowOff>
    </xdr:from>
    <xdr:to>
      <xdr:col>7</xdr:col>
      <xdr:colOff>228600</xdr:colOff>
      <xdr:row>52</xdr:row>
      <xdr:rowOff>38100</xdr:rowOff>
    </xdr:to>
    <xdr:graphicFrame macro="">
      <xdr:nvGraphicFramePr>
        <xdr:cNvPr id="25378520"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304800</xdr:colOff>
      <xdr:row>34</xdr:row>
      <xdr:rowOff>47625</xdr:rowOff>
    </xdr:from>
    <xdr:to>
      <xdr:col>14</xdr:col>
      <xdr:colOff>733425</xdr:colOff>
      <xdr:row>52</xdr:row>
      <xdr:rowOff>28575</xdr:rowOff>
    </xdr:to>
    <xdr:graphicFrame macro="">
      <xdr:nvGraphicFramePr>
        <xdr:cNvPr id="25378521" name="Gráfico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438150</xdr:colOff>
      <xdr:row>56</xdr:row>
      <xdr:rowOff>38100</xdr:rowOff>
    </xdr:from>
    <xdr:to>
      <xdr:col>7</xdr:col>
      <xdr:colOff>228600</xdr:colOff>
      <xdr:row>73</xdr:row>
      <xdr:rowOff>0</xdr:rowOff>
    </xdr:to>
    <xdr:graphicFrame macro="">
      <xdr:nvGraphicFramePr>
        <xdr:cNvPr id="25378522" name="Gráfico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314325</xdr:colOff>
      <xdr:row>56</xdr:row>
      <xdr:rowOff>38100</xdr:rowOff>
    </xdr:from>
    <xdr:to>
      <xdr:col>14</xdr:col>
      <xdr:colOff>742950</xdr:colOff>
      <xdr:row>73</xdr:row>
      <xdr:rowOff>0</xdr:rowOff>
    </xdr:to>
    <xdr:graphicFrame macro="">
      <xdr:nvGraphicFramePr>
        <xdr:cNvPr id="25378523" name="Gráfico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704850</xdr:colOff>
      <xdr:row>77</xdr:row>
      <xdr:rowOff>9525</xdr:rowOff>
    </xdr:from>
    <xdr:to>
      <xdr:col>11</xdr:col>
      <xdr:colOff>742950</xdr:colOff>
      <xdr:row>93</xdr:row>
      <xdr:rowOff>142875</xdr:rowOff>
    </xdr:to>
    <xdr:graphicFrame macro="">
      <xdr:nvGraphicFramePr>
        <xdr:cNvPr id="25378524" name="Gráfico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981075</xdr:colOff>
      <xdr:row>99</xdr:row>
      <xdr:rowOff>9525</xdr:rowOff>
    </xdr:from>
    <xdr:to>
      <xdr:col>13</xdr:col>
      <xdr:colOff>142875</xdr:colOff>
      <xdr:row>141</xdr:row>
      <xdr:rowOff>19050</xdr:rowOff>
    </xdr:to>
    <xdr:graphicFrame macro="">
      <xdr:nvGraphicFramePr>
        <xdr:cNvPr id="25378525" name="Gráfico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0</xdr:col>
      <xdr:colOff>247650</xdr:colOff>
      <xdr:row>0</xdr:row>
      <xdr:rowOff>133350</xdr:rowOff>
    </xdr:from>
    <xdr:to>
      <xdr:col>2</xdr:col>
      <xdr:colOff>200025</xdr:colOff>
      <xdr:row>5</xdr:row>
      <xdr:rowOff>85725</xdr:rowOff>
    </xdr:to>
    <xdr:pic>
      <xdr:nvPicPr>
        <xdr:cNvPr id="25378526" name="10 Imagen"/>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247650" y="133350"/>
          <a:ext cx="1590675"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0</xdr:colOff>
      <xdr:row>1</xdr:row>
      <xdr:rowOff>0</xdr:rowOff>
    </xdr:from>
    <xdr:to>
      <xdr:col>14</xdr:col>
      <xdr:colOff>542925</xdr:colOff>
      <xdr:row>4</xdr:row>
      <xdr:rowOff>114300</xdr:rowOff>
    </xdr:to>
    <xdr:pic>
      <xdr:nvPicPr>
        <xdr:cNvPr id="25378527" name="10 Imagen"/>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9429750" y="161925"/>
          <a:ext cx="229552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0</xdr:colOff>
          <xdr:row>7</xdr:row>
          <xdr:rowOff>0</xdr:rowOff>
        </xdr:from>
        <xdr:to>
          <xdr:col>6</xdr:col>
          <xdr:colOff>200025</xdr:colOff>
          <xdr:row>9</xdr:row>
          <xdr:rowOff>0</xdr:rowOff>
        </xdr:to>
        <xdr:sp macro="" textlink="">
          <xdr:nvSpPr>
            <xdr:cNvPr id="55297" name="Drop Down 1" hidden="1">
              <a:extLst>
                <a:ext uri="{63B3BB69-23CF-44E3-9099-C40C66FF867C}">
                  <a14:compatExt spid="_x0000_s5529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0</xdr:col>
      <xdr:colOff>523875</xdr:colOff>
      <xdr:row>31</xdr:row>
      <xdr:rowOff>9525</xdr:rowOff>
    </xdr:from>
    <xdr:to>
      <xdr:col>6</xdr:col>
      <xdr:colOff>523875</xdr:colOff>
      <xdr:row>50</xdr:row>
      <xdr:rowOff>0</xdr:rowOff>
    </xdr:to>
    <xdr:graphicFrame macro="">
      <xdr:nvGraphicFramePr>
        <xdr:cNvPr id="25385506"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581025</xdr:colOff>
      <xdr:row>31</xdr:row>
      <xdr:rowOff>9525</xdr:rowOff>
    </xdr:from>
    <xdr:to>
      <xdr:col>12</xdr:col>
      <xdr:colOff>1019175</xdr:colOff>
      <xdr:row>50</xdr:row>
      <xdr:rowOff>0</xdr:rowOff>
    </xdr:to>
    <xdr:graphicFrame macro="">
      <xdr:nvGraphicFramePr>
        <xdr:cNvPr id="25385507" name="Gráfico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885825</xdr:colOff>
      <xdr:row>55</xdr:row>
      <xdr:rowOff>0</xdr:rowOff>
    </xdr:from>
    <xdr:to>
      <xdr:col>11</xdr:col>
      <xdr:colOff>733425</xdr:colOff>
      <xdr:row>73</xdr:row>
      <xdr:rowOff>142875</xdr:rowOff>
    </xdr:to>
    <xdr:graphicFrame macro="">
      <xdr:nvGraphicFramePr>
        <xdr:cNvPr id="25385508" name="Gráfico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447675</xdr:colOff>
      <xdr:row>83</xdr:row>
      <xdr:rowOff>9525</xdr:rowOff>
    </xdr:from>
    <xdr:to>
      <xdr:col>12</xdr:col>
      <xdr:colOff>952500</xdr:colOff>
      <xdr:row>132</xdr:row>
      <xdr:rowOff>152400</xdr:rowOff>
    </xdr:to>
    <xdr:graphicFrame macro="">
      <xdr:nvGraphicFramePr>
        <xdr:cNvPr id="25385509" name="Gráfico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0</xdr:col>
      <xdr:colOff>171450</xdr:colOff>
      <xdr:row>0</xdr:row>
      <xdr:rowOff>123825</xdr:rowOff>
    </xdr:from>
    <xdr:to>
      <xdr:col>1</xdr:col>
      <xdr:colOff>1057275</xdr:colOff>
      <xdr:row>5</xdr:row>
      <xdr:rowOff>76200</xdr:rowOff>
    </xdr:to>
    <xdr:pic>
      <xdr:nvPicPr>
        <xdr:cNvPr id="25385510" name="8 Imagen"/>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71450" y="123825"/>
          <a:ext cx="1590675"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219075</xdr:colOff>
      <xdr:row>1</xdr:row>
      <xdr:rowOff>0</xdr:rowOff>
    </xdr:from>
    <xdr:to>
      <xdr:col>13</xdr:col>
      <xdr:colOff>133350</xdr:colOff>
      <xdr:row>4</xdr:row>
      <xdr:rowOff>114300</xdr:rowOff>
    </xdr:to>
    <xdr:pic>
      <xdr:nvPicPr>
        <xdr:cNvPr id="25385511" name="8 Imagen"/>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8372475" y="161925"/>
          <a:ext cx="229552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9525</xdr:colOff>
          <xdr:row>7</xdr:row>
          <xdr:rowOff>9525</xdr:rowOff>
        </xdr:from>
        <xdr:to>
          <xdr:col>7</xdr:col>
          <xdr:colOff>342900</xdr:colOff>
          <xdr:row>9</xdr:row>
          <xdr:rowOff>9525</xdr:rowOff>
        </xdr:to>
        <xdr:sp macro="" textlink="">
          <xdr:nvSpPr>
            <xdr:cNvPr id="60417" name="Drop Down 1" hidden="1">
              <a:extLst>
                <a:ext uri="{63B3BB69-23CF-44E3-9099-C40C66FF867C}">
                  <a14:compatExt spid="_x0000_s6041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0</xdr:col>
      <xdr:colOff>66675</xdr:colOff>
      <xdr:row>35</xdr:row>
      <xdr:rowOff>0</xdr:rowOff>
    </xdr:from>
    <xdr:to>
      <xdr:col>6</xdr:col>
      <xdr:colOff>771525</xdr:colOff>
      <xdr:row>54</xdr:row>
      <xdr:rowOff>38100</xdr:rowOff>
    </xdr:to>
    <xdr:graphicFrame macro="">
      <xdr:nvGraphicFramePr>
        <xdr:cNvPr id="25390626"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66675</xdr:colOff>
      <xdr:row>35</xdr:row>
      <xdr:rowOff>9525</xdr:rowOff>
    </xdr:from>
    <xdr:to>
      <xdr:col>14</xdr:col>
      <xdr:colOff>704850</xdr:colOff>
      <xdr:row>54</xdr:row>
      <xdr:rowOff>47625</xdr:rowOff>
    </xdr:to>
    <xdr:graphicFrame macro="">
      <xdr:nvGraphicFramePr>
        <xdr:cNvPr id="25390627" name="Gráfico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428625</xdr:colOff>
      <xdr:row>58</xdr:row>
      <xdr:rowOff>47625</xdr:rowOff>
    </xdr:from>
    <xdr:to>
      <xdr:col>12</xdr:col>
      <xdr:colOff>76200</xdr:colOff>
      <xdr:row>79</xdr:row>
      <xdr:rowOff>0</xdr:rowOff>
    </xdr:to>
    <xdr:graphicFrame macro="">
      <xdr:nvGraphicFramePr>
        <xdr:cNvPr id="25390628" name="Gráfico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1171575</xdr:colOff>
      <xdr:row>83</xdr:row>
      <xdr:rowOff>123825</xdr:rowOff>
    </xdr:from>
    <xdr:to>
      <xdr:col>12</xdr:col>
      <xdr:colOff>609600</xdr:colOff>
      <xdr:row>111</xdr:row>
      <xdr:rowOff>123825</xdr:rowOff>
    </xdr:to>
    <xdr:graphicFrame macro="">
      <xdr:nvGraphicFramePr>
        <xdr:cNvPr id="25390629" name="Gráfico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0</xdr:col>
      <xdr:colOff>142875</xdr:colOff>
      <xdr:row>0</xdr:row>
      <xdr:rowOff>104775</xdr:rowOff>
    </xdr:from>
    <xdr:to>
      <xdr:col>2</xdr:col>
      <xdr:colOff>104775</xdr:colOff>
      <xdr:row>5</xdr:row>
      <xdr:rowOff>76200</xdr:rowOff>
    </xdr:to>
    <xdr:pic>
      <xdr:nvPicPr>
        <xdr:cNvPr id="25390630" name="8 Imagen"/>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42875" y="104775"/>
          <a:ext cx="158115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323850</xdr:colOff>
      <xdr:row>1</xdr:row>
      <xdr:rowOff>9525</xdr:rowOff>
    </xdr:from>
    <xdr:to>
      <xdr:col>15</xdr:col>
      <xdr:colOff>390525</xdr:colOff>
      <xdr:row>4</xdr:row>
      <xdr:rowOff>133350</xdr:rowOff>
    </xdr:to>
    <xdr:pic>
      <xdr:nvPicPr>
        <xdr:cNvPr id="25390631" name="8 Imagen"/>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9315450" y="171450"/>
          <a:ext cx="229552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0</xdr:colOff>
          <xdr:row>7</xdr:row>
          <xdr:rowOff>0</xdr:rowOff>
        </xdr:from>
        <xdr:to>
          <xdr:col>7</xdr:col>
          <xdr:colOff>200025</xdr:colOff>
          <xdr:row>9</xdr:row>
          <xdr:rowOff>0</xdr:rowOff>
        </xdr:to>
        <xdr:sp macro="" textlink="">
          <xdr:nvSpPr>
            <xdr:cNvPr id="65537" name="Drop Down 1" hidden="1">
              <a:extLst>
                <a:ext uri="{63B3BB69-23CF-44E3-9099-C40C66FF867C}">
                  <a14:compatExt spid="_x0000_s6553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xdr:col>
      <xdr:colOff>762000</xdr:colOff>
      <xdr:row>22</xdr:row>
      <xdr:rowOff>0</xdr:rowOff>
    </xdr:from>
    <xdr:to>
      <xdr:col>11</xdr:col>
      <xdr:colOff>0</xdr:colOff>
      <xdr:row>43</xdr:row>
      <xdr:rowOff>0</xdr:rowOff>
    </xdr:to>
    <xdr:graphicFrame macro="">
      <xdr:nvGraphicFramePr>
        <xdr:cNvPr id="25678261"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647700</xdr:colOff>
      <xdr:row>47</xdr:row>
      <xdr:rowOff>142875</xdr:rowOff>
    </xdr:from>
    <xdr:to>
      <xdr:col>10</xdr:col>
      <xdr:colOff>666750</xdr:colOff>
      <xdr:row>89</xdr:row>
      <xdr:rowOff>133350</xdr:rowOff>
    </xdr:to>
    <xdr:graphicFrame macro="">
      <xdr:nvGraphicFramePr>
        <xdr:cNvPr id="25678262" name="Gráfico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133350</xdr:colOff>
      <xdr:row>0</xdr:row>
      <xdr:rowOff>133350</xdr:rowOff>
    </xdr:from>
    <xdr:to>
      <xdr:col>2</xdr:col>
      <xdr:colOff>142875</xdr:colOff>
      <xdr:row>5</xdr:row>
      <xdr:rowOff>85725</xdr:rowOff>
    </xdr:to>
    <xdr:pic>
      <xdr:nvPicPr>
        <xdr:cNvPr id="25678264" name="7 Imagen"/>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33350" y="133350"/>
          <a:ext cx="1590675"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1</xdr:row>
      <xdr:rowOff>0</xdr:rowOff>
    </xdr:from>
    <xdr:to>
      <xdr:col>13</xdr:col>
      <xdr:colOff>19050</xdr:colOff>
      <xdr:row>4</xdr:row>
      <xdr:rowOff>114300</xdr:rowOff>
    </xdr:to>
    <xdr:pic>
      <xdr:nvPicPr>
        <xdr:cNvPr id="25678265" name="7 Imagen"/>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896225" y="161925"/>
          <a:ext cx="229552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523875</xdr:colOff>
          <xdr:row>7</xdr:row>
          <xdr:rowOff>0</xdr:rowOff>
        </xdr:from>
        <xdr:to>
          <xdr:col>6</xdr:col>
          <xdr:colOff>723900</xdr:colOff>
          <xdr:row>9</xdr:row>
          <xdr:rowOff>0</xdr:rowOff>
        </xdr:to>
        <xdr:sp macro="" textlink="">
          <xdr:nvSpPr>
            <xdr:cNvPr id="68609" name="Drop Down 1" hidden="1">
              <a:extLst>
                <a:ext uri="{63B3BB69-23CF-44E3-9099-C40C66FF867C}">
                  <a14:compatExt spid="_x0000_s6860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0</xdr:col>
      <xdr:colOff>38100</xdr:colOff>
      <xdr:row>39</xdr:row>
      <xdr:rowOff>47625</xdr:rowOff>
    </xdr:from>
    <xdr:to>
      <xdr:col>5</xdr:col>
      <xdr:colOff>752475</xdr:colOff>
      <xdr:row>58</xdr:row>
      <xdr:rowOff>0</xdr:rowOff>
    </xdr:to>
    <xdr:graphicFrame macro="">
      <xdr:nvGraphicFramePr>
        <xdr:cNvPr id="25397794"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57150</xdr:colOff>
      <xdr:row>39</xdr:row>
      <xdr:rowOff>47625</xdr:rowOff>
    </xdr:from>
    <xdr:to>
      <xdr:col>13</xdr:col>
      <xdr:colOff>647700</xdr:colOff>
      <xdr:row>58</xdr:row>
      <xdr:rowOff>0</xdr:rowOff>
    </xdr:to>
    <xdr:graphicFrame macro="">
      <xdr:nvGraphicFramePr>
        <xdr:cNvPr id="25397795" name="Gráfico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209550</xdr:colOff>
      <xdr:row>63</xdr:row>
      <xdr:rowOff>142875</xdr:rowOff>
    </xdr:from>
    <xdr:to>
      <xdr:col>11</xdr:col>
      <xdr:colOff>28575</xdr:colOff>
      <xdr:row>83</xdr:row>
      <xdr:rowOff>133350</xdr:rowOff>
    </xdr:to>
    <xdr:graphicFrame macro="">
      <xdr:nvGraphicFramePr>
        <xdr:cNvPr id="25397796" name="Gráfico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657225</xdr:colOff>
      <xdr:row>93</xdr:row>
      <xdr:rowOff>38100</xdr:rowOff>
    </xdr:from>
    <xdr:to>
      <xdr:col>12</xdr:col>
      <xdr:colOff>657225</xdr:colOff>
      <xdr:row>134</xdr:row>
      <xdr:rowOff>133350</xdr:rowOff>
    </xdr:to>
    <xdr:graphicFrame macro="">
      <xdr:nvGraphicFramePr>
        <xdr:cNvPr id="25397797" name="Gráfico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0</xdr:col>
      <xdr:colOff>123825</xdr:colOff>
      <xdr:row>0</xdr:row>
      <xdr:rowOff>123825</xdr:rowOff>
    </xdr:from>
    <xdr:to>
      <xdr:col>1</xdr:col>
      <xdr:colOff>952500</xdr:colOff>
      <xdr:row>5</xdr:row>
      <xdr:rowOff>76200</xdr:rowOff>
    </xdr:to>
    <xdr:pic>
      <xdr:nvPicPr>
        <xdr:cNvPr id="25397798" name="8 Imagen"/>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23825" y="123825"/>
          <a:ext cx="1590675"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209550</xdr:colOff>
      <xdr:row>1</xdr:row>
      <xdr:rowOff>0</xdr:rowOff>
    </xdr:from>
    <xdr:to>
      <xdr:col>13</xdr:col>
      <xdr:colOff>47625</xdr:colOff>
      <xdr:row>4</xdr:row>
      <xdr:rowOff>114300</xdr:rowOff>
    </xdr:to>
    <xdr:pic>
      <xdr:nvPicPr>
        <xdr:cNvPr id="25397799" name="8 Imagen"/>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8372475" y="161925"/>
          <a:ext cx="229552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9525</xdr:colOff>
          <xdr:row>7</xdr:row>
          <xdr:rowOff>0</xdr:rowOff>
        </xdr:from>
        <xdr:to>
          <xdr:col>6</xdr:col>
          <xdr:colOff>209550</xdr:colOff>
          <xdr:row>9</xdr:row>
          <xdr:rowOff>0</xdr:rowOff>
        </xdr:to>
        <xdr:sp macro="" textlink="">
          <xdr:nvSpPr>
            <xdr:cNvPr id="73729" name="Drop Down 1" hidden="1">
              <a:extLst>
                <a:ext uri="{63B3BB69-23CF-44E3-9099-C40C66FF867C}">
                  <a14:compatExt spid="_x0000_s7372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xdr:col>
      <xdr:colOff>552450</xdr:colOff>
      <xdr:row>20</xdr:row>
      <xdr:rowOff>133350</xdr:rowOff>
    </xdr:from>
    <xdr:to>
      <xdr:col>10</xdr:col>
      <xdr:colOff>542925</xdr:colOff>
      <xdr:row>40</xdr:row>
      <xdr:rowOff>142875</xdr:rowOff>
    </xdr:to>
    <xdr:graphicFrame macro="">
      <xdr:nvGraphicFramePr>
        <xdr:cNvPr id="27577609"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152400</xdr:colOff>
      <xdr:row>43</xdr:row>
      <xdr:rowOff>104775</xdr:rowOff>
    </xdr:from>
    <xdr:to>
      <xdr:col>11</xdr:col>
      <xdr:colOff>171450</xdr:colOff>
      <xdr:row>81</xdr:row>
      <xdr:rowOff>123825</xdr:rowOff>
    </xdr:to>
    <xdr:graphicFrame macro="">
      <xdr:nvGraphicFramePr>
        <xdr:cNvPr id="27577610" name="Gráfico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85725</xdr:colOff>
      <xdr:row>0</xdr:row>
      <xdr:rowOff>152400</xdr:rowOff>
    </xdr:from>
    <xdr:to>
      <xdr:col>1</xdr:col>
      <xdr:colOff>476250</xdr:colOff>
      <xdr:row>5</xdr:row>
      <xdr:rowOff>104775</xdr:rowOff>
    </xdr:to>
    <xdr:pic>
      <xdr:nvPicPr>
        <xdr:cNvPr id="27577611" name="6 Imagen"/>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5725" y="152400"/>
          <a:ext cx="1590675"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85725</xdr:colOff>
      <xdr:row>1</xdr:row>
      <xdr:rowOff>0</xdr:rowOff>
    </xdr:from>
    <xdr:to>
      <xdr:col>12</xdr:col>
      <xdr:colOff>38100</xdr:colOff>
      <xdr:row>4</xdr:row>
      <xdr:rowOff>114300</xdr:rowOff>
    </xdr:to>
    <xdr:pic>
      <xdr:nvPicPr>
        <xdr:cNvPr id="27577612" name="6 Imagen"/>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543800" y="161925"/>
          <a:ext cx="229552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9525</xdr:colOff>
      <xdr:row>7</xdr:row>
      <xdr:rowOff>133350</xdr:rowOff>
    </xdr:from>
    <xdr:to>
      <xdr:col>2</xdr:col>
      <xdr:colOff>647700</xdr:colOff>
      <xdr:row>11</xdr:row>
      <xdr:rowOff>114300</xdr:rowOff>
    </xdr:to>
    <xdr:pic>
      <xdr:nvPicPr>
        <xdr:cNvPr id="25339881" name="Picture 125" descr="bovido"/>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47725" y="1419225"/>
          <a:ext cx="63817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19050</xdr:colOff>
      <xdr:row>16</xdr:row>
      <xdr:rowOff>47625</xdr:rowOff>
    </xdr:from>
    <xdr:to>
      <xdr:col>3</xdr:col>
      <xdr:colOff>9525</xdr:colOff>
      <xdr:row>20</xdr:row>
      <xdr:rowOff>0</xdr:rowOff>
    </xdr:to>
    <xdr:pic>
      <xdr:nvPicPr>
        <xdr:cNvPr id="25339882" name="Picture 126" descr="Porcino"/>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7250" y="2924175"/>
          <a:ext cx="64770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25</xdr:row>
      <xdr:rowOff>171450</xdr:rowOff>
    </xdr:from>
    <xdr:to>
      <xdr:col>3</xdr:col>
      <xdr:colOff>0</xdr:colOff>
      <xdr:row>29</xdr:row>
      <xdr:rowOff>104775</xdr:rowOff>
    </xdr:to>
    <xdr:pic>
      <xdr:nvPicPr>
        <xdr:cNvPr id="25339883" name="Picture 127" descr="Caprino"/>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85825" y="4638675"/>
          <a:ext cx="609600"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28575</xdr:colOff>
      <xdr:row>34</xdr:row>
      <xdr:rowOff>95250</xdr:rowOff>
    </xdr:from>
    <xdr:to>
      <xdr:col>3</xdr:col>
      <xdr:colOff>19050</xdr:colOff>
      <xdr:row>38</xdr:row>
      <xdr:rowOff>19050</xdr:rowOff>
    </xdr:to>
    <xdr:pic>
      <xdr:nvPicPr>
        <xdr:cNvPr id="25339884" name="Picture 128" descr="Ovino"/>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66775" y="6153150"/>
          <a:ext cx="64770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28575</xdr:colOff>
      <xdr:row>44</xdr:row>
      <xdr:rowOff>0</xdr:rowOff>
    </xdr:from>
    <xdr:to>
      <xdr:col>3</xdr:col>
      <xdr:colOff>28575</xdr:colOff>
      <xdr:row>47</xdr:row>
      <xdr:rowOff>104775</xdr:rowOff>
    </xdr:to>
    <xdr:pic>
      <xdr:nvPicPr>
        <xdr:cNvPr id="25339885" name="Picture 129" descr="Abejas"/>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66775" y="7877175"/>
          <a:ext cx="65722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28575</xdr:colOff>
      <xdr:row>8</xdr:row>
      <xdr:rowOff>76200</xdr:rowOff>
    </xdr:from>
    <xdr:to>
      <xdr:col>14</xdr:col>
      <xdr:colOff>647700</xdr:colOff>
      <xdr:row>11</xdr:row>
      <xdr:rowOff>95250</xdr:rowOff>
    </xdr:to>
    <xdr:pic>
      <xdr:nvPicPr>
        <xdr:cNvPr id="25339886" name="Picture 130" descr="Equino"/>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238750" y="1571625"/>
          <a:ext cx="619125"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28575</xdr:colOff>
      <xdr:row>17</xdr:row>
      <xdr:rowOff>19050</xdr:rowOff>
    </xdr:from>
    <xdr:to>
      <xdr:col>14</xdr:col>
      <xdr:colOff>628650</xdr:colOff>
      <xdr:row>20</xdr:row>
      <xdr:rowOff>85725</xdr:rowOff>
    </xdr:to>
    <xdr:pic>
      <xdr:nvPicPr>
        <xdr:cNvPr id="25339887" name="Picture 131" descr="Gallinas Huevos"/>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238750" y="3105150"/>
          <a:ext cx="600075"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66675</xdr:colOff>
      <xdr:row>26</xdr:row>
      <xdr:rowOff>38100</xdr:rowOff>
    </xdr:from>
    <xdr:to>
      <xdr:col>14</xdr:col>
      <xdr:colOff>619125</xdr:colOff>
      <xdr:row>29</xdr:row>
      <xdr:rowOff>104775</xdr:rowOff>
    </xdr:to>
    <xdr:pic>
      <xdr:nvPicPr>
        <xdr:cNvPr id="25339888" name="Picture 132" descr="Gallinas Carne"/>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5276850" y="4714875"/>
          <a:ext cx="55245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19050</xdr:colOff>
      <xdr:row>35</xdr:row>
      <xdr:rowOff>47625</xdr:rowOff>
    </xdr:from>
    <xdr:to>
      <xdr:col>14</xdr:col>
      <xdr:colOff>609600</xdr:colOff>
      <xdr:row>38</xdr:row>
      <xdr:rowOff>104775</xdr:rowOff>
    </xdr:to>
    <xdr:pic>
      <xdr:nvPicPr>
        <xdr:cNvPr id="25339889" name="Picture 133" descr="Pavos"/>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229225" y="6315075"/>
          <a:ext cx="590550"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28575</xdr:colOff>
      <xdr:row>44</xdr:row>
      <xdr:rowOff>85725</xdr:rowOff>
    </xdr:from>
    <xdr:to>
      <xdr:col>14</xdr:col>
      <xdr:colOff>638175</xdr:colOff>
      <xdr:row>47</xdr:row>
      <xdr:rowOff>161925</xdr:rowOff>
    </xdr:to>
    <xdr:pic>
      <xdr:nvPicPr>
        <xdr:cNvPr id="25339890" name="Picture 134" descr="Conejos"/>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238750" y="7962900"/>
          <a:ext cx="60960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152400</xdr:colOff>
      <xdr:row>0</xdr:row>
      <xdr:rowOff>76200</xdr:rowOff>
    </xdr:from>
    <xdr:to>
      <xdr:col>2</xdr:col>
      <xdr:colOff>571500</xdr:colOff>
      <xdr:row>3</xdr:row>
      <xdr:rowOff>133350</xdr:rowOff>
    </xdr:to>
    <xdr:pic>
      <xdr:nvPicPr>
        <xdr:cNvPr id="25339891" name="1 Imagen"/>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152400" y="76200"/>
          <a:ext cx="125730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9525</xdr:colOff>
          <xdr:row>7</xdr:row>
          <xdr:rowOff>9525</xdr:rowOff>
        </xdr:from>
        <xdr:to>
          <xdr:col>7</xdr:col>
          <xdr:colOff>200025</xdr:colOff>
          <xdr:row>12</xdr:row>
          <xdr:rowOff>0</xdr:rowOff>
        </xdr:to>
        <xdr:sp macro="" textlink="">
          <xdr:nvSpPr>
            <xdr:cNvPr id="118785" name="Drop Down 1" hidden="1">
              <a:extLst>
                <a:ext uri="{63B3BB69-23CF-44E3-9099-C40C66FF867C}">
                  <a14:compatExt spid="_x0000_s11878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0</xdr:col>
      <xdr:colOff>133350</xdr:colOff>
      <xdr:row>47</xdr:row>
      <xdr:rowOff>123825</xdr:rowOff>
    </xdr:from>
    <xdr:to>
      <xdr:col>6</xdr:col>
      <xdr:colOff>371475</xdr:colOff>
      <xdr:row>63</xdr:row>
      <xdr:rowOff>123825</xdr:rowOff>
    </xdr:to>
    <xdr:graphicFrame macro="">
      <xdr:nvGraphicFramePr>
        <xdr:cNvPr id="25405417"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twoCellAnchor>
    <xdr:from>
      <xdr:col>0</xdr:col>
      <xdr:colOff>114300</xdr:colOff>
      <xdr:row>64</xdr:row>
      <xdr:rowOff>57150</xdr:rowOff>
    </xdr:from>
    <xdr:to>
      <xdr:col>6</xdr:col>
      <xdr:colOff>390525</xdr:colOff>
      <xdr:row>81</xdr:row>
      <xdr:rowOff>9525</xdr:rowOff>
    </xdr:to>
    <xdr:graphicFrame macro="">
      <xdr:nvGraphicFramePr>
        <xdr:cNvPr id="25405418" name="Gráfico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476250</xdr:colOff>
      <xdr:row>47</xdr:row>
      <xdr:rowOff>114300</xdr:rowOff>
    </xdr:from>
    <xdr:to>
      <xdr:col>13</xdr:col>
      <xdr:colOff>733425</xdr:colOff>
      <xdr:row>63</xdr:row>
      <xdr:rowOff>123825</xdr:rowOff>
    </xdr:to>
    <xdr:graphicFrame macro="">
      <xdr:nvGraphicFramePr>
        <xdr:cNvPr id="25405419" name="Gráfico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495300</xdr:colOff>
      <xdr:row>64</xdr:row>
      <xdr:rowOff>66675</xdr:rowOff>
    </xdr:from>
    <xdr:to>
      <xdr:col>13</xdr:col>
      <xdr:colOff>742950</xdr:colOff>
      <xdr:row>81</xdr:row>
      <xdr:rowOff>19050</xdr:rowOff>
    </xdr:to>
    <xdr:graphicFrame macro="">
      <xdr:nvGraphicFramePr>
        <xdr:cNvPr id="25405420" name="Gráfico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257175</xdr:colOff>
      <xdr:row>114</xdr:row>
      <xdr:rowOff>47625</xdr:rowOff>
    </xdr:from>
    <xdr:to>
      <xdr:col>10</xdr:col>
      <xdr:colOff>771525</xdr:colOff>
      <xdr:row>131</xdr:row>
      <xdr:rowOff>57150</xdr:rowOff>
    </xdr:to>
    <xdr:graphicFrame macro="">
      <xdr:nvGraphicFramePr>
        <xdr:cNvPr id="25405421" name="Gráfico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752475</xdr:colOff>
      <xdr:row>131</xdr:row>
      <xdr:rowOff>133350</xdr:rowOff>
    </xdr:from>
    <xdr:to>
      <xdr:col>12</xdr:col>
      <xdr:colOff>47625</xdr:colOff>
      <xdr:row>163</xdr:row>
      <xdr:rowOff>114300</xdr:rowOff>
    </xdr:to>
    <xdr:graphicFrame macro="">
      <xdr:nvGraphicFramePr>
        <xdr:cNvPr id="25405422" name="Gráfico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114300</xdr:colOff>
      <xdr:row>81</xdr:row>
      <xdr:rowOff>133350</xdr:rowOff>
    </xdr:from>
    <xdr:to>
      <xdr:col>6</xdr:col>
      <xdr:colOff>390525</xdr:colOff>
      <xdr:row>98</xdr:row>
      <xdr:rowOff>85725</xdr:rowOff>
    </xdr:to>
    <xdr:graphicFrame macro="">
      <xdr:nvGraphicFramePr>
        <xdr:cNvPr id="25405423" name="Gráfico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6</xdr:col>
      <xdr:colOff>495300</xdr:colOff>
      <xdr:row>81</xdr:row>
      <xdr:rowOff>142875</xdr:rowOff>
    </xdr:from>
    <xdr:to>
      <xdr:col>13</xdr:col>
      <xdr:colOff>742950</xdr:colOff>
      <xdr:row>98</xdr:row>
      <xdr:rowOff>95250</xdr:rowOff>
    </xdr:to>
    <xdr:graphicFrame macro="">
      <xdr:nvGraphicFramePr>
        <xdr:cNvPr id="25405424" name="Gráfico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xdr:col>
      <xdr:colOff>428625</xdr:colOff>
      <xdr:row>100</xdr:row>
      <xdr:rowOff>0</xdr:rowOff>
    </xdr:from>
    <xdr:to>
      <xdr:col>9</xdr:col>
      <xdr:colOff>581025</xdr:colOff>
      <xdr:row>113</xdr:row>
      <xdr:rowOff>133350</xdr:rowOff>
    </xdr:to>
    <xdr:graphicFrame macro="">
      <xdr:nvGraphicFramePr>
        <xdr:cNvPr id="25405425" name="Gráfico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0</xdr:col>
      <xdr:colOff>152400</xdr:colOff>
      <xdr:row>0</xdr:row>
      <xdr:rowOff>123825</xdr:rowOff>
    </xdr:from>
    <xdr:to>
      <xdr:col>1</xdr:col>
      <xdr:colOff>981075</xdr:colOff>
      <xdr:row>5</xdr:row>
      <xdr:rowOff>104775</xdr:rowOff>
    </xdr:to>
    <xdr:pic>
      <xdr:nvPicPr>
        <xdr:cNvPr id="25405426" name="13 Imagen"/>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52400" y="123825"/>
          <a:ext cx="1590675"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419100</xdr:colOff>
      <xdr:row>1</xdr:row>
      <xdr:rowOff>0</xdr:rowOff>
    </xdr:from>
    <xdr:to>
      <xdr:col>13</xdr:col>
      <xdr:colOff>400050</xdr:colOff>
      <xdr:row>4</xdr:row>
      <xdr:rowOff>123825</xdr:rowOff>
    </xdr:to>
    <xdr:pic>
      <xdr:nvPicPr>
        <xdr:cNvPr id="25405427" name="14 Imagen"/>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8743950" y="161925"/>
          <a:ext cx="228600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647700</xdr:colOff>
          <xdr:row>6</xdr:row>
          <xdr:rowOff>152400</xdr:rowOff>
        </xdr:from>
        <xdr:to>
          <xdr:col>6</xdr:col>
          <xdr:colOff>666750</xdr:colOff>
          <xdr:row>8</xdr:row>
          <xdr:rowOff>152400</xdr:rowOff>
        </xdr:to>
        <xdr:sp macro="" textlink="">
          <xdr:nvSpPr>
            <xdr:cNvPr id="83969" name="Drop Down 1" hidden="1">
              <a:extLst>
                <a:ext uri="{63B3BB69-23CF-44E3-9099-C40C66FF867C}">
                  <a14:compatExt spid="_x0000_s8396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0</xdr:col>
      <xdr:colOff>76200</xdr:colOff>
      <xdr:row>36</xdr:row>
      <xdr:rowOff>57150</xdr:rowOff>
    </xdr:from>
    <xdr:to>
      <xdr:col>6</xdr:col>
      <xdr:colOff>352425</xdr:colOff>
      <xdr:row>56</xdr:row>
      <xdr:rowOff>95250</xdr:rowOff>
    </xdr:to>
    <xdr:graphicFrame macro="">
      <xdr:nvGraphicFramePr>
        <xdr:cNvPr id="25415202"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438150</xdr:colOff>
      <xdr:row>36</xdr:row>
      <xdr:rowOff>57150</xdr:rowOff>
    </xdr:from>
    <xdr:to>
      <xdr:col>14</xdr:col>
      <xdr:colOff>733425</xdr:colOff>
      <xdr:row>56</xdr:row>
      <xdr:rowOff>104775</xdr:rowOff>
    </xdr:to>
    <xdr:graphicFrame macro="">
      <xdr:nvGraphicFramePr>
        <xdr:cNvPr id="25415203" name="Gráfico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1181100</xdr:colOff>
      <xdr:row>65</xdr:row>
      <xdr:rowOff>57150</xdr:rowOff>
    </xdr:from>
    <xdr:to>
      <xdr:col>12</xdr:col>
      <xdr:colOff>323850</xdr:colOff>
      <xdr:row>86</xdr:row>
      <xdr:rowOff>104775</xdr:rowOff>
    </xdr:to>
    <xdr:graphicFrame macro="">
      <xdr:nvGraphicFramePr>
        <xdr:cNvPr id="25415204" name="Gráfico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590550</xdr:colOff>
      <xdr:row>104</xdr:row>
      <xdr:rowOff>9525</xdr:rowOff>
    </xdr:from>
    <xdr:to>
      <xdr:col>12</xdr:col>
      <xdr:colOff>704850</xdr:colOff>
      <xdr:row>151</xdr:row>
      <xdr:rowOff>0</xdr:rowOff>
    </xdr:to>
    <xdr:graphicFrame macro="">
      <xdr:nvGraphicFramePr>
        <xdr:cNvPr id="25415205" name="Gráfico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209550</xdr:colOff>
          <xdr:row>96</xdr:row>
          <xdr:rowOff>28575</xdr:rowOff>
        </xdr:from>
        <xdr:to>
          <xdr:col>6</xdr:col>
          <xdr:colOff>209550</xdr:colOff>
          <xdr:row>98</xdr:row>
          <xdr:rowOff>76200</xdr:rowOff>
        </xdr:to>
        <xdr:sp macro="" textlink="">
          <xdr:nvSpPr>
            <xdr:cNvPr id="83974" name="Drop Down 6" hidden="1">
              <a:extLst>
                <a:ext uri="{63B3BB69-23CF-44E3-9099-C40C66FF867C}">
                  <a14:compatExt spid="_x0000_s8397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xdr:twoCellAnchor editAs="oneCell">
    <xdr:from>
      <xdr:col>0</xdr:col>
      <xdr:colOff>295275</xdr:colOff>
      <xdr:row>0</xdr:row>
      <xdr:rowOff>114300</xdr:rowOff>
    </xdr:from>
    <xdr:to>
      <xdr:col>1</xdr:col>
      <xdr:colOff>1114425</xdr:colOff>
      <xdr:row>5</xdr:row>
      <xdr:rowOff>85725</xdr:rowOff>
    </xdr:to>
    <xdr:pic>
      <xdr:nvPicPr>
        <xdr:cNvPr id="25415206" name="9 Imagen"/>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295275" y="114300"/>
          <a:ext cx="158115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123825</xdr:colOff>
      <xdr:row>0</xdr:row>
      <xdr:rowOff>142875</xdr:rowOff>
    </xdr:from>
    <xdr:to>
      <xdr:col>13</xdr:col>
      <xdr:colOff>742950</xdr:colOff>
      <xdr:row>4</xdr:row>
      <xdr:rowOff>114300</xdr:rowOff>
    </xdr:to>
    <xdr:pic>
      <xdr:nvPicPr>
        <xdr:cNvPr id="25415207" name="10 Imagen"/>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0001250" y="142875"/>
          <a:ext cx="228600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676275</xdr:colOff>
          <xdr:row>7</xdr:row>
          <xdr:rowOff>38100</xdr:rowOff>
        </xdr:from>
        <xdr:to>
          <xdr:col>7</xdr:col>
          <xdr:colOff>95250</xdr:colOff>
          <xdr:row>9</xdr:row>
          <xdr:rowOff>0</xdr:rowOff>
        </xdr:to>
        <xdr:sp macro="" textlink="">
          <xdr:nvSpPr>
            <xdr:cNvPr id="89089" name="Drop Down 1" hidden="1">
              <a:extLst>
                <a:ext uri="{63B3BB69-23CF-44E3-9099-C40C66FF867C}">
                  <a14:compatExt spid="_x0000_s8908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0</xdr:col>
      <xdr:colOff>171450</xdr:colOff>
      <xdr:row>33</xdr:row>
      <xdr:rowOff>57150</xdr:rowOff>
    </xdr:from>
    <xdr:to>
      <xdr:col>6</xdr:col>
      <xdr:colOff>238125</xdr:colOff>
      <xdr:row>52</xdr:row>
      <xdr:rowOff>142875</xdr:rowOff>
    </xdr:to>
    <xdr:graphicFrame macro="">
      <xdr:nvGraphicFramePr>
        <xdr:cNvPr id="25420322"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323850</xdr:colOff>
      <xdr:row>33</xdr:row>
      <xdr:rowOff>66675</xdr:rowOff>
    </xdr:from>
    <xdr:to>
      <xdr:col>14</xdr:col>
      <xdr:colOff>533400</xdr:colOff>
      <xdr:row>53</xdr:row>
      <xdr:rowOff>0</xdr:rowOff>
    </xdr:to>
    <xdr:graphicFrame macro="">
      <xdr:nvGraphicFramePr>
        <xdr:cNvPr id="25420323" name="Gráfico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1133475</xdr:colOff>
      <xdr:row>60</xdr:row>
      <xdr:rowOff>38100</xdr:rowOff>
    </xdr:from>
    <xdr:to>
      <xdr:col>12</xdr:col>
      <xdr:colOff>133350</xdr:colOff>
      <xdr:row>82</xdr:row>
      <xdr:rowOff>0</xdr:rowOff>
    </xdr:to>
    <xdr:graphicFrame macro="">
      <xdr:nvGraphicFramePr>
        <xdr:cNvPr id="25420324" name="Gráfico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752475</xdr:colOff>
      <xdr:row>94</xdr:row>
      <xdr:rowOff>28575</xdr:rowOff>
    </xdr:from>
    <xdr:to>
      <xdr:col>14</xdr:col>
      <xdr:colOff>390525</xdr:colOff>
      <xdr:row>148</xdr:row>
      <xdr:rowOff>133350</xdr:rowOff>
    </xdr:to>
    <xdr:graphicFrame macro="">
      <xdr:nvGraphicFramePr>
        <xdr:cNvPr id="25420325" name="Gráfico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180975</xdr:colOff>
          <xdr:row>87</xdr:row>
          <xdr:rowOff>38100</xdr:rowOff>
        </xdr:from>
        <xdr:to>
          <xdr:col>6</xdr:col>
          <xdr:colOff>638175</xdr:colOff>
          <xdr:row>89</xdr:row>
          <xdr:rowOff>85725</xdr:rowOff>
        </xdr:to>
        <xdr:sp macro="" textlink="">
          <xdr:nvSpPr>
            <xdr:cNvPr id="89095" name="Drop Down 7" hidden="1">
              <a:extLst>
                <a:ext uri="{63B3BB69-23CF-44E3-9099-C40C66FF867C}">
                  <a14:compatExt spid="_x0000_s8909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xdr:twoCellAnchor editAs="oneCell">
    <xdr:from>
      <xdr:col>0</xdr:col>
      <xdr:colOff>180975</xdr:colOff>
      <xdr:row>0</xdr:row>
      <xdr:rowOff>133350</xdr:rowOff>
    </xdr:from>
    <xdr:to>
      <xdr:col>1</xdr:col>
      <xdr:colOff>1000125</xdr:colOff>
      <xdr:row>5</xdr:row>
      <xdr:rowOff>114300</xdr:rowOff>
    </xdr:to>
    <xdr:pic>
      <xdr:nvPicPr>
        <xdr:cNvPr id="25420326" name="9 Imagen"/>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80975" y="133350"/>
          <a:ext cx="158115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1</xdr:row>
      <xdr:rowOff>0</xdr:rowOff>
    </xdr:from>
    <xdr:to>
      <xdr:col>13</xdr:col>
      <xdr:colOff>742950</xdr:colOff>
      <xdr:row>4</xdr:row>
      <xdr:rowOff>123825</xdr:rowOff>
    </xdr:to>
    <xdr:pic>
      <xdr:nvPicPr>
        <xdr:cNvPr id="25420327" name="9 Imagen"/>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9096375" y="161925"/>
          <a:ext cx="228600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9525</xdr:colOff>
          <xdr:row>7</xdr:row>
          <xdr:rowOff>9525</xdr:rowOff>
        </xdr:from>
        <xdr:to>
          <xdr:col>7</xdr:col>
          <xdr:colOff>209550</xdr:colOff>
          <xdr:row>9</xdr:row>
          <xdr:rowOff>9525</xdr:rowOff>
        </xdr:to>
        <xdr:sp macro="" textlink="">
          <xdr:nvSpPr>
            <xdr:cNvPr id="94209" name="Drop Down 1" hidden="1">
              <a:extLst>
                <a:ext uri="{63B3BB69-23CF-44E3-9099-C40C66FF867C}">
                  <a14:compatExt spid="_x0000_s9420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xdr:col>
      <xdr:colOff>0</xdr:colOff>
      <xdr:row>26</xdr:row>
      <xdr:rowOff>0</xdr:rowOff>
    </xdr:from>
    <xdr:to>
      <xdr:col>11</xdr:col>
      <xdr:colOff>752475</xdr:colOff>
      <xdr:row>44</xdr:row>
      <xdr:rowOff>0</xdr:rowOff>
    </xdr:to>
    <xdr:graphicFrame macro="">
      <xdr:nvGraphicFramePr>
        <xdr:cNvPr id="25425351"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45</xdr:row>
      <xdr:rowOff>104775</xdr:rowOff>
    </xdr:from>
    <xdr:to>
      <xdr:col>11</xdr:col>
      <xdr:colOff>752475</xdr:colOff>
      <xdr:row>63</xdr:row>
      <xdr:rowOff>104775</xdr:rowOff>
    </xdr:to>
    <xdr:graphicFrame macro="">
      <xdr:nvGraphicFramePr>
        <xdr:cNvPr id="25425352" name="Gráfico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66</xdr:row>
      <xdr:rowOff>0</xdr:rowOff>
    </xdr:from>
    <xdr:to>
      <xdr:col>12</xdr:col>
      <xdr:colOff>0</xdr:colOff>
      <xdr:row>99</xdr:row>
      <xdr:rowOff>28575</xdr:rowOff>
    </xdr:to>
    <xdr:graphicFrame macro="">
      <xdr:nvGraphicFramePr>
        <xdr:cNvPr id="25425353" name="Gráfico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123825</xdr:colOff>
      <xdr:row>0</xdr:row>
      <xdr:rowOff>76200</xdr:rowOff>
    </xdr:from>
    <xdr:to>
      <xdr:col>1</xdr:col>
      <xdr:colOff>952500</xdr:colOff>
      <xdr:row>5</xdr:row>
      <xdr:rowOff>28575</xdr:rowOff>
    </xdr:to>
    <xdr:pic>
      <xdr:nvPicPr>
        <xdr:cNvPr id="25425354" name="7 Imagen"/>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23825" y="76200"/>
          <a:ext cx="1590675"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1</xdr:row>
      <xdr:rowOff>0</xdr:rowOff>
    </xdr:from>
    <xdr:to>
      <xdr:col>12</xdr:col>
      <xdr:colOff>752475</xdr:colOff>
      <xdr:row>4</xdr:row>
      <xdr:rowOff>114300</xdr:rowOff>
    </xdr:to>
    <xdr:pic>
      <xdr:nvPicPr>
        <xdr:cNvPr id="25425355" name="7 Imagen"/>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8315325" y="161925"/>
          <a:ext cx="229552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0</xdr:colOff>
          <xdr:row>7</xdr:row>
          <xdr:rowOff>9525</xdr:rowOff>
        </xdr:from>
        <xdr:to>
          <xdr:col>7</xdr:col>
          <xdr:colOff>200025</xdr:colOff>
          <xdr:row>9</xdr:row>
          <xdr:rowOff>9525</xdr:rowOff>
        </xdr:to>
        <xdr:sp macro="" textlink="">
          <xdr:nvSpPr>
            <xdr:cNvPr id="98305" name="Drop Down 1" hidden="1">
              <a:extLst>
                <a:ext uri="{63B3BB69-23CF-44E3-9099-C40C66FF867C}">
                  <a14:compatExt spid="_x0000_s9830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xdr:col>
      <xdr:colOff>0</xdr:colOff>
      <xdr:row>24</xdr:row>
      <xdr:rowOff>114300</xdr:rowOff>
    </xdr:from>
    <xdr:to>
      <xdr:col>10</xdr:col>
      <xdr:colOff>771525</xdr:colOff>
      <xdr:row>39</xdr:row>
      <xdr:rowOff>104775</xdr:rowOff>
    </xdr:to>
    <xdr:graphicFrame macro="">
      <xdr:nvGraphicFramePr>
        <xdr:cNvPr id="25429447"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9525</xdr:colOff>
      <xdr:row>43</xdr:row>
      <xdr:rowOff>47625</xdr:rowOff>
    </xdr:from>
    <xdr:to>
      <xdr:col>10</xdr:col>
      <xdr:colOff>762000</xdr:colOff>
      <xdr:row>59</xdr:row>
      <xdr:rowOff>38100</xdr:rowOff>
    </xdr:to>
    <xdr:graphicFrame macro="">
      <xdr:nvGraphicFramePr>
        <xdr:cNvPr id="25429448" name="Gráfico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19050</xdr:colOff>
      <xdr:row>62</xdr:row>
      <xdr:rowOff>57150</xdr:rowOff>
    </xdr:from>
    <xdr:to>
      <xdr:col>10</xdr:col>
      <xdr:colOff>762000</xdr:colOff>
      <xdr:row>97</xdr:row>
      <xdr:rowOff>95250</xdr:rowOff>
    </xdr:to>
    <xdr:graphicFrame macro="">
      <xdr:nvGraphicFramePr>
        <xdr:cNvPr id="25429449" name="Gráfico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209550</xdr:colOff>
      <xdr:row>0</xdr:row>
      <xdr:rowOff>133350</xdr:rowOff>
    </xdr:from>
    <xdr:to>
      <xdr:col>1</xdr:col>
      <xdr:colOff>1038225</xdr:colOff>
      <xdr:row>5</xdr:row>
      <xdr:rowOff>85725</xdr:rowOff>
    </xdr:to>
    <xdr:pic>
      <xdr:nvPicPr>
        <xdr:cNvPr id="25429450" name="7 Imagen"/>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09550" y="133350"/>
          <a:ext cx="1590675"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361950</xdr:colOff>
      <xdr:row>0</xdr:row>
      <xdr:rowOff>133350</xdr:rowOff>
    </xdr:from>
    <xdr:to>
      <xdr:col>13</xdr:col>
      <xdr:colOff>352425</xdr:colOff>
      <xdr:row>4</xdr:row>
      <xdr:rowOff>85725</xdr:rowOff>
    </xdr:to>
    <xdr:pic>
      <xdr:nvPicPr>
        <xdr:cNvPr id="25429451" name="7 Imagen"/>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8677275" y="133350"/>
          <a:ext cx="229552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9525</xdr:colOff>
          <xdr:row>7</xdr:row>
          <xdr:rowOff>9525</xdr:rowOff>
        </xdr:from>
        <xdr:to>
          <xdr:col>7</xdr:col>
          <xdr:colOff>209550</xdr:colOff>
          <xdr:row>9</xdr:row>
          <xdr:rowOff>9525</xdr:rowOff>
        </xdr:to>
        <xdr:sp macro="" textlink="">
          <xdr:nvSpPr>
            <xdr:cNvPr id="102401" name="Drop Down 1" hidden="1">
              <a:extLst>
                <a:ext uri="{63B3BB69-23CF-44E3-9099-C40C66FF867C}">
                  <a14:compatExt spid="_x0000_s10240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2</xdr:col>
      <xdr:colOff>9525</xdr:colOff>
      <xdr:row>26</xdr:row>
      <xdr:rowOff>85725</xdr:rowOff>
    </xdr:from>
    <xdr:to>
      <xdr:col>11</xdr:col>
      <xdr:colOff>0</xdr:colOff>
      <xdr:row>41</xdr:row>
      <xdr:rowOff>85725</xdr:rowOff>
    </xdr:to>
    <xdr:graphicFrame macro="">
      <xdr:nvGraphicFramePr>
        <xdr:cNvPr id="25433543"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9525</xdr:colOff>
      <xdr:row>60</xdr:row>
      <xdr:rowOff>66675</xdr:rowOff>
    </xdr:from>
    <xdr:to>
      <xdr:col>11</xdr:col>
      <xdr:colOff>0</xdr:colOff>
      <xdr:row>75</xdr:row>
      <xdr:rowOff>66675</xdr:rowOff>
    </xdr:to>
    <xdr:graphicFrame macro="">
      <xdr:nvGraphicFramePr>
        <xdr:cNvPr id="25433544" name="Gráfico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78</xdr:row>
      <xdr:rowOff>76200</xdr:rowOff>
    </xdr:from>
    <xdr:to>
      <xdr:col>10</xdr:col>
      <xdr:colOff>752475</xdr:colOff>
      <xdr:row>117</xdr:row>
      <xdr:rowOff>76200</xdr:rowOff>
    </xdr:to>
    <xdr:graphicFrame macro="">
      <xdr:nvGraphicFramePr>
        <xdr:cNvPr id="25433545" name="Gráfico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104775</xdr:colOff>
      <xdr:row>0</xdr:row>
      <xdr:rowOff>104775</xdr:rowOff>
    </xdr:from>
    <xdr:to>
      <xdr:col>1</xdr:col>
      <xdr:colOff>933450</xdr:colOff>
      <xdr:row>5</xdr:row>
      <xdr:rowOff>57150</xdr:rowOff>
    </xdr:to>
    <xdr:pic>
      <xdr:nvPicPr>
        <xdr:cNvPr id="25433546" name="7 Imagen"/>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04775" y="104775"/>
          <a:ext cx="1590675"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1</xdr:row>
      <xdr:rowOff>0</xdr:rowOff>
    </xdr:from>
    <xdr:to>
      <xdr:col>13</xdr:col>
      <xdr:colOff>9525</xdr:colOff>
      <xdr:row>4</xdr:row>
      <xdr:rowOff>114300</xdr:rowOff>
    </xdr:to>
    <xdr:pic>
      <xdr:nvPicPr>
        <xdr:cNvPr id="25433547" name="8 Imagen"/>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8315325" y="161925"/>
          <a:ext cx="229552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43</xdr:row>
      <xdr:rowOff>38100</xdr:rowOff>
    </xdr:from>
    <xdr:to>
      <xdr:col>10</xdr:col>
      <xdr:colOff>771525</xdr:colOff>
      <xdr:row>58</xdr:row>
      <xdr:rowOff>38100</xdr:rowOff>
    </xdr:to>
    <xdr:graphicFrame macro="">
      <xdr:nvGraphicFramePr>
        <xdr:cNvPr id="8" name="Gráfico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2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9525</xdr:colOff>
          <xdr:row>7</xdr:row>
          <xdr:rowOff>9525</xdr:rowOff>
        </xdr:from>
        <xdr:to>
          <xdr:col>7</xdr:col>
          <xdr:colOff>209550</xdr:colOff>
          <xdr:row>9</xdr:row>
          <xdr:rowOff>9525</xdr:rowOff>
        </xdr:to>
        <xdr:sp macro="" textlink="">
          <xdr:nvSpPr>
            <xdr:cNvPr id="106497" name="Drop Down 1" hidden="1">
              <a:extLst>
                <a:ext uri="{63B3BB69-23CF-44E3-9099-C40C66FF867C}">
                  <a14:compatExt spid="_x0000_s10649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2</xdr:col>
      <xdr:colOff>9525</xdr:colOff>
      <xdr:row>27</xdr:row>
      <xdr:rowOff>28575</xdr:rowOff>
    </xdr:from>
    <xdr:to>
      <xdr:col>10</xdr:col>
      <xdr:colOff>771525</xdr:colOff>
      <xdr:row>41</xdr:row>
      <xdr:rowOff>76200</xdr:rowOff>
    </xdr:to>
    <xdr:graphicFrame macro="">
      <xdr:nvGraphicFramePr>
        <xdr:cNvPr id="25437639"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60</xdr:row>
      <xdr:rowOff>38100</xdr:rowOff>
    </xdr:from>
    <xdr:to>
      <xdr:col>10</xdr:col>
      <xdr:colOff>762000</xdr:colOff>
      <xdr:row>73</xdr:row>
      <xdr:rowOff>85725</xdr:rowOff>
    </xdr:to>
    <xdr:graphicFrame macro="">
      <xdr:nvGraphicFramePr>
        <xdr:cNvPr id="25437640" name="Gráfico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76</xdr:row>
      <xdr:rowOff>76200</xdr:rowOff>
    </xdr:from>
    <xdr:to>
      <xdr:col>10</xdr:col>
      <xdr:colOff>752475</xdr:colOff>
      <xdr:row>115</xdr:row>
      <xdr:rowOff>76200</xdr:rowOff>
    </xdr:to>
    <xdr:graphicFrame macro="">
      <xdr:nvGraphicFramePr>
        <xdr:cNvPr id="25437641" name="Gráfico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161925</xdr:colOff>
      <xdr:row>0</xdr:row>
      <xdr:rowOff>123825</xdr:rowOff>
    </xdr:from>
    <xdr:to>
      <xdr:col>1</xdr:col>
      <xdr:colOff>990600</xdr:colOff>
      <xdr:row>5</xdr:row>
      <xdr:rowOff>76200</xdr:rowOff>
    </xdr:to>
    <xdr:pic>
      <xdr:nvPicPr>
        <xdr:cNvPr id="25437642" name="7 Imagen"/>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61925" y="123825"/>
          <a:ext cx="1590675"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1</xdr:row>
      <xdr:rowOff>0</xdr:rowOff>
    </xdr:from>
    <xdr:to>
      <xdr:col>14</xdr:col>
      <xdr:colOff>9525</xdr:colOff>
      <xdr:row>4</xdr:row>
      <xdr:rowOff>114300</xdr:rowOff>
    </xdr:to>
    <xdr:pic>
      <xdr:nvPicPr>
        <xdr:cNvPr id="25437643" name="8 Imagen"/>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9096375" y="161925"/>
          <a:ext cx="229552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44</xdr:row>
      <xdr:rowOff>0</xdr:rowOff>
    </xdr:from>
    <xdr:to>
      <xdr:col>10</xdr:col>
      <xdr:colOff>762000</xdr:colOff>
      <xdr:row>57</xdr:row>
      <xdr:rowOff>47625</xdr:rowOff>
    </xdr:to>
    <xdr:graphicFrame macro="">
      <xdr:nvGraphicFramePr>
        <xdr:cNvPr id="8" name="Gráfico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2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9525</xdr:colOff>
          <xdr:row>7</xdr:row>
          <xdr:rowOff>9525</xdr:rowOff>
        </xdr:from>
        <xdr:to>
          <xdr:col>7</xdr:col>
          <xdr:colOff>209550</xdr:colOff>
          <xdr:row>9</xdr:row>
          <xdr:rowOff>9525</xdr:rowOff>
        </xdr:to>
        <xdr:sp macro="" textlink="">
          <xdr:nvSpPr>
            <xdr:cNvPr id="110593" name="Drop Down 1" hidden="1">
              <a:extLst>
                <a:ext uri="{63B3BB69-23CF-44E3-9099-C40C66FF867C}">
                  <a14:compatExt spid="_x0000_s11059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xdr:col>
      <xdr:colOff>1295400</xdr:colOff>
      <xdr:row>25</xdr:row>
      <xdr:rowOff>47625</xdr:rowOff>
    </xdr:from>
    <xdr:to>
      <xdr:col>11</xdr:col>
      <xdr:colOff>0</xdr:colOff>
      <xdr:row>41</xdr:row>
      <xdr:rowOff>66675</xdr:rowOff>
    </xdr:to>
    <xdr:graphicFrame macro="">
      <xdr:nvGraphicFramePr>
        <xdr:cNvPr id="25441735"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43</xdr:row>
      <xdr:rowOff>123825</xdr:rowOff>
    </xdr:from>
    <xdr:to>
      <xdr:col>10</xdr:col>
      <xdr:colOff>771525</xdr:colOff>
      <xdr:row>60</xdr:row>
      <xdr:rowOff>104775</xdr:rowOff>
    </xdr:to>
    <xdr:graphicFrame macro="">
      <xdr:nvGraphicFramePr>
        <xdr:cNvPr id="25441736" name="Gráfico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63</xdr:row>
      <xdr:rowOff>28575</xdr:rowOff>
    </xdr:from>
    <xdr:to>
      <xdr:col>10</xdr:col>
      <xdr:colOff>771525</xdr:colOff>
      <xdr:row>96</xdr:row>
      <xdr:rowOff>9525</xdr:rowOff>
    </xdr:to>
    <xdr:graphicFrame macro="">
      <xdr:nvGraphicFramePr>
        <xdr:cNvPr id="25441737" name="Gráfico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180975</xdr:colOff>
      <xdr:row>0</xdr:row>
      <xdr:rowOff>114300</xdr:rowOff>
    </xdr:from>
    <xdr:to>
      <xdr:col>1</xdr:col>
      <xdr:colOff>1009650</xdr:colOff>
      <xdr:row>5</xdr:row>
      <xdr:rowOff>66675</xdr:rowOff>
    </xdr:to>
    <xdr:pic>
      <xdr:nvPicPr>
        <xdr:cNvPr id="25441738" name="7 Imagen"/>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80975" y="114300"/>
          <a:ext cx="1590675"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1</xdr:row>
      <xdr:rowOff>0</xdr:rowOff>
    </xdr:from>
    <xdr:to>
      <xdr:col>12</xdr:col>
      <xdr:colOff>666750</xdr:colOff>
      <xdr:row>4</xdr:row>
      <xdr:rowOff>114300</xdr:rowOff>
    </xdr:to>
    <xdr:pic>
      <xdr:nvPicPr>
        <xdr:cNvPr id="25441739" name="7 Imagen"/>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8315325" y="161925"/>
          <a:ext cx="229552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752475</xdr:colOff>
          <xdr:row>7</xdr:row>
          <xdr:rowOff>0</xdr:rowOff>
        </xdr:from>
        <xdr:to>
          <xdr:col>7</xdr:col>
          <xdr:colOff>171450</xdr:colOff>
          <xdr:row>9</xdr:row>
          <xdr:rowOff>0</xdr:rowOff>
        </xdr:to>
        <xdr:sp macro="" textlink="">
          <xdr:nvSpPr>
            <xdr:cNvPr id="114689" name="Drop Down 1" hidden="1">
              <a:extLst>
                <a:ext uri="{63B3BB69-23CF-44E3-9099-C40C66FF867C}">
                  <a14:compatExt spid="_x0000_s11468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2</xdr:col>
      <xdr:colOff>9525</xdr:colOff>
      <xdr:row>26</xdr:row>
      <xdr:rowOff>152400</xdr:rowOff>
    </xdr:from>
    <xdr:to>
      <xdr:col>10</xdr:col>
      <xdr:colOff>771525</xdr:colOff>
      <xdr:row>41</xdr:row>
      <xdr:rowOff>152400</xdr:rowOff>
    </xdr:to>
    <xdr:graphicFrame macro="">
      <xdr:nvGraphicFramePr>
        <xdr:cNvPr id="25445831"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45</xdr:row>
      <xdr:rowOff>19050</xdr:rowOff>
    </xdr:from>
    <xdr:to>
      <xdr:col>10</xdr:col>
      <xdr:colOff>771525</xdr:colOff>
      <xdr:row>59</xdr:row>
      <xdr:rowOff>47625</xdr:rowOff>
    </xdr:to>
    <xdr:graphicFrame macro="">
      <xdr:nvGraphicFramePr>
        <xdr:cNvPr id="25445832" name="Gráfico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38100</xdr:colOff>
      <xdr:row>61</xdr:row>
      <xdr:rowOff>9525</xdr:rowOff>
    </xdr:from>
    <xdr:to>
      <xdr:col>11</xdr:col>
      <xdr:colOff>47625</xdr:colOff>
      <xdr:row>94</xdr:row>
      <xdr:rowOff>152400</xdr:rowOff>
    </xdr:to>
    <xdr:graphicFrame macro="">
      <xdr:nvGraphicFramePr>
        <xdr:cNvPr id="25445833" name="Gráfico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152400</xdr:colOff>
      <xdr:row>0</xdr:row>
      <xdr:rowOff>142875</xdr:rowOff>
    </xdr:from>
    <xdr:to>
      <xdr:col>1</xdr:col>
      <xdr:colOff>1009650</xdr:colOff>
      <xdr:row>5</xdr:row>
      <xdr:rowOff>95250</xdr:rowOff>
    </xdr:to>
    <xdr:pic>
      <xdr:nvPicPr>
        <xdr:cNvPr id="25445834" name="7 Imagen"/>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52400" y="142875"/>
          <a:ext cx="1590675"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438150</xdr:colOff>
      <xdr:row>1</xdr:row>
      <xdr:rowOff>0</xdr:rowOff>
    </xdr:from>
    <xdr:to>
      <xdr:col>13</xdr:col>
      <xdr:colOff>257175</xdr:colOff>
      <xdr:row>4</xdr:row>
      <xdr:rowOff>114300</xdr:rowOff>
    </xdr:to>
    <xdr:pic>
      <xdr:nvPicPr>
        <xdr:cNvPr id="25445835" name="7 Imagen"/>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8724900" y="161925"/>
          <a:ext cx="229552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123825</xdr:colOff>
      <xdr:row>0</xdr:row>
      <xdr:rowOff>123825</xdr:rowOff>
    </xdr:from>
    <xdr:to>
      <xdr:col>2</xdr:col>
      <xdr:colOff>609600</xdr:colOff>
      <xdr:row>5</xdr:row>
      <xdr:rowOff>66675</xdr:rowOff>
    </xdr:to>
    <xdr:pic>
      <xdr:nvPicPr>
        <xdr:cNvPr id="2594" name="3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3825" y="123825"/>
          <a:ext cx="1590675"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9525</xdr:colOff>
      <xdr:row>1</xdr:row>
      <xdr:rowOff>28575</xdr:rowOff>
    </xdr:from>
    <xdr:to>
      <xdr:col>11</xdr:col>
      <xdr:colOff>219075</xdr:colOff>
      <xdr:row>4</xdr:row>
      <xdr:rowOff>123825</xdr:rowOff>
    </xdr:to>
    <xdr:pic>
      <xdr:nvPicPr>
        <xdr:cNvPr id="2595" name="4 Imagen"/>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686425" y="190500"/>
          <a:ext cx="228600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228600</xdr:colOff>
      <xdr:row>0</xdr:row>
      <xdr:rowOff>123825</xdr:rowOff>
    </xdr:from>
    <xdr:to>
      <xdr:col>2</xdr:col>
      <xdr:colOff>685800</xdr:colOff>
      <xdr:row>5</xdr:row>
      <xdr:rowOff>66675</xdr:rowOff>
    </xdr:to>
    <xdr:pic>
      <xdr:nvPicPr>
        <xdr:cNvPr id="3619" name="4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 y="123825"/>
          <a:ext cx="15811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390525</xdr:colOff>
      <xdr:row>0</xdr:row>
      <xdr:rowOff>142875</xdr:rowOff>
    </xdr:from>
    <xdr:to>
      <xdr:col>12</xdr:col>
      <xdr:colOff>400050</xdr:colOff>
      <xdr:row>4</xdr:row>
      <xdr:rowOff>76200</xdr:rowOff>
    </xdr:to>
    <xdr:pic>
      <xdr:nvPicPr>
        <xdr:cNvPr id="3620" name="3 Imagen"/>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943725" y="142875"/>
          <a:ext cx="2295525"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28575</xdr:colOff>
          <xdr:row>7</xdr:row>
          <xdr:rowOff>28575</xdr:rowOff>
        </xdr:from>
        <xdr:to>
          <xdr:col>6</xdr:col>
          <xdr:colOff>409575</xdr:colOff>
          <xdr:row>8</xdr:row>
          <xdr:rowOff>104775</xdr:rowOff>
        </xdr:to>
        <xdr:sp macro="" textlink="">
          <xdr:nvSpPr>
            <xdr:cNvPr id="4104" name="ComboBox1" hidden="1">
              <a:extLst>
                <a:ext uri="{63B3BB69-23CF-44E3-9099-C40C66FF867C}">
                  <a14:compatExt spid="_x0000_s410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7</xdr:row>
          <xdr:rowOff>9525</xdr:rowOff>
        </xdr:from>
        <xdr:to>
          <xdr:col>8</xdr:col>
          <xdr:colOff>209550</xdr:colOff>
          <xdr:row>8</xdr:row>
          <xdr:rowOff>76200</xdr:rowOff>
        </xdr:to>
        <xdr:sp macro="" textlink="">
          <xdr:nvSpPr>
            <xdr:cNvPr id="4105" name="ComboBox2" hidden="1">
              <a:extLst>
                <a:ext uri="{63B3BB69-23CF-44E3-9099-C40C66FF867C}">
                  <a14:compatExt spid="_x0000_s410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xdr:twoCellAnchor editAs="oneCell">
    <xdr:from>
      <xdr:col>1</xdr:col>
      <xdr:colOff>9525</xdr:colOff>
      <xdr:row>0</xdr:row>
      <xdr:rowOff>85725</xdr:rowOff>
    </xdr:from>
    <xdr:to>
      <xdr:col>2</xdr:col>
      <xdr:colOff>609600</xdr:colOff>
      <xdr:row>5</xdr:row>
      <xdr:rowOff>66675</xdr:rowOff>
    </xdr:to>
    <xdr:pic>
      <xdr:nvPicPr>
        <xdr:cNvPr id="4650" name="8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1925" y="85725"/>
          <a:ext cx="1590675"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428625</xdr:colOff>
      <xdr:row>1</xdr:row>
      <xdr:rowOff>9525</xdr:rowOff>
    </xdr:from>
    <xdr:to>
      <xdr:col>19</xdr:col>
      <xdr:colOff>390525</xdr:colOff>
      <xdr:row>4</xdr:row>
      <xdr:rowOff>133350</xdr:rowOff>
    </xdr:to>
    <xdr:pic>
      <xdr:nvPicPr>
        <xdr:cNvPr id="4651" name="5 Imagen"/>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325350" y="171450"/>
          <a:ext cx="229552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285750</xdr:colOff>
          <xdr:row>7</xdr:row>
          <xdr:rowOff>9525</xdr:rowOff>
        </xdr:from>
        <xdr:to>
          <xdr:col>6</xdr:col>
          <xdr:colOff>171450</xdr:colOff>
          <xdr:row>9</xdr:row>
          <xdr:rowOff>0</xdr:rowOff>
        </xdr:to>
        <xdr:sp macro="" textlink="">
          <xdr:nvSpPr>
            <xdr:cNvPr id="5121" name="Drop Down 1" hidden="1">
              <a:extLst>
                <a:ext uri="{63B3BB69-23CF-44E3-9099-C40C66FF867C}">
                  <a14:compatExt spid="_x0000_s512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xdr:col>
      <xdr:colOff>1190625</xdr:colOff>
      <xdr:row>25</xdr:row>
      <xdr:rowOff>142875</xdr:rowOff>
    </xdr:from>
    <xdr:to>
      <xdr:col>12</xdr:col>
      <xdr:colOff>409575</xdr:colOff>
      <xdr:row>45</xdr:row>
      <xdr:rowOff>152400</xdr:rowOff>
    </xdr:to>
    <xdr:graphicFrame macro="">
      <xdr:nvGraphicFramePr>
        <xdr:cNvPr id="6040"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304800</xdr:colOff>
      <xdr:row>0</xdr:row>
      <xdr:rowOff>123825</xdr:rowOff>
    </xdr:from>
    <xdr:to>
      <xdr:col>2</xdr:col>
      <xdr:colOff>238125</xdr:colOff>
      <xdr:row>5</xdr:row>
      <xdr:rowOff>76200</xdr:rowOff>
    </xdr:to>
    <xdr:pic>
      <xdr:nvPicPr>
        <xdr:cNvPr id="6041" name="5 Imagen"/>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04800" y="123825"/>
          <a:ext cx="1590675"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1</xdr:row>
      <xdr:rowOff>0</xdr:rowOff>
    </xdr:from>
    <xdr:to>
      <xdr:col>12</xdr:col>
      <xdr:colOff>781050</xdr:colOff>
      <xdr:row>4</xdr:row>
      <xdr:rowOff>114300</xdr:rowOff>
    </xdr:to>
    <xdr:pic>
      <xdr:nvPicPr>
        <xdr:cNvPr id="6042" name="5 Imagen"/>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810500" y="161925"/>
          <a:ext cx="229552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9525</xdr:colOff>
          <xdr:row>7</xdr:row>
          <xdr:rowOff>0</xdr:rowOff>
        </xdr:from>
        <xdr:to>
          <xdr:col>6</xdr:col>
          <xdr:colOff>209550</xdr:colOff>
          <xdr:row>9</xdr:row>
          <xdr:rowOff>0</xdr:rowOff>
        </xdr:to>
        <xdr:sp macro="" textlink="">
          <xdr:nvSpPr>
            <xdr:cNvPr id="7169" name="Drop Down 1" hidden="1">
              <a:extLst>
                <a:ext uri="{63B3BB69-23CF-44E3-9099-C40C66FF867C}">
                  <a14:compatExt spid="_x0000_s716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5</xdr:col>
      <xdr:colOff>466725</xdr:colOff>
      <xdr:row>21</xdr:row>
      <xdr:rowOff>85725</xdr:rowOff>
    </xdr:from>
    <xdr:to>
      <xdr:col>11</xdr:col>
      <xdr:colOff>619125</xdr:colOff>
      <xdr:row>38</xdr:row>
      <xdr:rowOff>85725</xdr:rowOff>
    </xdr:to>
    <xdr:graphicFrame macro="">
      <xdr:nvGraphicFramePr>
        <xdr:cNvPr id="25341838" name="Gráfico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19050</xdr:colOff>
      <xdr:row>44</xdr:row>
      <xdr:rowOff>104775</xdr:rowOff>
    </xdr:from>
    <xdr:to>
      <xdr:col>8</xdr:col>
      <xdr:colOff>723900</xdr:colOff>
      <xdr:row>79</xdr:row>
      <xdr:rowOff>76200</xdr:rowOff>
    </xdr:to>
    <xdr:graphicFrame macro="">
      <xdr:nvGraphicFramePr>
        <xdr:cNvPr id="25341839" name="Gráfico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142875</xdr:colOff>
      <xdr:row>21</xdr:row>
      <xdr:rowOff>85725</xdr:rowOff>
    </xdr:from>
    <xdr:to>
      <xdr:col>18</xdr:col>
      <xdr:colOff>304800</xdr:colOff>
      <xdr:row>38</xdr:row>
      <xdr:rowOff>66675</xdr:rowOff>
    </xdr:to>
    <xdr:graphicFrame macro="">
      <xdr:nvGraphicFramePr>
        <xdr:cNvPr id="25341840" name="Gráfico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18</xdr:col>
      <xdr:colOff>371475</xdr:colOff>
      <xdr:row>21</xdr:row>
      <xdr:rowOff>104775</xdr:rowOff>
    </xdr:from>
    <xdr:to>
      <xdr:col>24</xdr:col>
      <xdr:colOff>552450</xdr:colOff>
      <xdr:row>38</xdr:row>
      <xdr:rowOff>57150</xdr:rowOff>
    </xdr:to>
    <xdr:graphicFrame macro="">
      <xdr:nvGraphicFramePr>
        <xdr:cNvPr id="25341841" name="Gráfico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mc:AlternateContent xmlns:mc="http://schemas.openxmlformats.org/markup-compatibility/2006">
    <mc:Choice xmlns:a14="http://schemas.microsoft.com/office/drawing/2010/main" Requires="a14">
      <xdr:twoCellAnchor editAs="oneCell">
        <xdr:from>
          <xdr:col>17</xdr:col>
          <xdr:colOff>0</xdr:colOff>
          <xdr:row>7</xdr:row>
          <xdr:rowOff>0</xdr:rowOff>
        </xdr:from>
        <xdr:to>
          <xdr:col>19</xdr:col>
          <xdr:colOff>200025</xdr:colOff>
          <xdr:row>9</xdr:row>
          <xdr:rowOff>0</xdr:rowOff>
        </xdr:to>
        <xdr:sp macro="" textlink="">
          <xdr:nvSpPr>
            <xdr:cNvPr id="7178" name="Drop Down 10" hidden="1">
              <a:extLst>
                <a:ext uri="{63B3BB69-23CF-44E3-9099-C40C66FF867C}">
                  <a14:compatExt spid="_x0000_s717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8</xdr:col>
      <xdr:colOff>114300</xdr:colOff>
      <xdr:row>1</xdr:row>
      <xdr:rowOff>9525</xdr:rowOff>
    </xdr:from>
    <xdr:to>
      <xdr:col>11</xdr:col>
      <xdr:colOff>647700</xdr:colOff>
      <xdr:row>4</xdr:row>
      <xdr:rowOff>114300</xdr:rowOff>
    </xdr:to>
    <xdr:pic>
      <xdr:nvPicPr>
        <xdr:cNvPr id="25341843" name="13 Imagen"/>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7258050" y="171450"/>
          <a:ext cx="287655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85725</xdr:colOff>
      <xdr:row>0</xdr:row>
      <xdr:rowOff>123825</xdr:rowOff>
    </xdr:from>
    <xdr:to>
      <xdr:col>12</xdr:col>
      <xdr:colOff>1676400</xdr:colOff>
      <xdr:row>5</xdr:row>
      <xdr:rowOff>76200</xdr:rowOff>
    </xdr:to>
    <xdr:pic>
      <xdr:nvPicPr>
        <xdr:cNvPr id="25341844" name="13 Imagen"/>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0439400" y="123825"/>
          <a:ext cx="1590675"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123825</xdr:colOff>
      <xdr:row>0</xdr:row>
      <xdr:rowOff>104775</xdr:rowOff>
    </xdr:from>
    <xdr:to>
      <xdr:col>0</xdr:col>
      <xdr:colOff>1714500</xdr:colOff>
      <xdr:row>5</xdr:row>
      <xdr:rowOff>57150</xdr:rowOff>
    </xdr:to>
    <xdr:pic>
      <xdr:nvPicPr>
        <xdr:cNvPr id="25341845" name="14 Imagen"/>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23825" y="104775"/>
          <a:ext cx="1590675"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190500</xdr:colOff>
      <xdr:row>21</xdr:row>
      <xdr:rowOff>104775</xdr:rowOff>
    </xdr:from>
    <xdr:to>
      <xdr:col>5</xdr:col>
      <xdr:colOff>228600</xdr:colOff>
      <xdr:row>38</xdr:row>
      <xdr:rowOff>76200</xdr:rowOff>
    </xdr:to>
    <xdr:graphicFrame macro="">
      <xdr:nvGraphicFramePr>
        <xdr:cNvPr id="25341846" name="Gráfico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21</xdr:col>
      <xdr:colOff>333375</xdr:colOff>
      <xdr:row>0</xdr:row>
      <xdr:rowOff>123825</xdr:rowOff>
    </xdr:from>
    <xdr:to>
      <xdr:col>24</xdr:col>
      <xdr:colOff>285750</xdr:colOff>
      <xdr:row>4</xdr:row>
      <xdr:rowOff>76200</xdr:rowOff>
    </xdr:to>
    <xdr:pic>
      <xdr:nvPicPr>
        <xdr:cNvPr id="25341847" name="13 Imagen"/>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8764250" y="123825"/>
          <a:ext cx="229552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304800</xdr:colOff>
      <xdr:row>45</xdr:row>
      <xdr:rowOff>57150</xdr:rowOff>
    </xdr:from>
    <xdr:to>
      <xdr:col>21</xdr:col>
      <xdr:colOff>161925</xdr:colOff>
      <xdr:row>80</xdr:row>
      <xdr:rowOff>28575</xdr:rowOff>
    </xdr:to>
    <xdr:graphicFrame macro="">
      <xdr:nvGraphicFramePr>
        <xdr:cNvPr id="15" name="Gráfico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609600</xdr:colOff>
          <xdr:row>7</xdr:row>
          <xdr:rowOff>0</xdr:rowOff>
        </xdr:from>
        <xdr:to>
          <xdr:col>6</xdr:col>
          <xdr:colOff>695325</xdr:colOff>
          <xdr:row>8</xdr:row>
          <xdr:rowOff>152400</xdr:rowOff>
        </xdr:to>
        <xdr:sp macro="" textlink="">
          <xdr:nvSpPr>
            <xdr:cNvPr id="14337" name="Drop Down 1" hidden="1">
              <a:extLst>
                <a:ext uri="{63B3BB69-23CF-44E3-9099-C40C66FF867C}">
                  <a14:compatExt spid="_x0000_s1433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xdr:col>
      <xdr:colOff>295275</xdr:colOff>
      <xdr:row>47</xdr:row>
      <xdr:rowOff>142875</xdr:rowOff>
    </xdr:from>
    <xdr:to>
      <xdr:col>11</xdr:col>
      <xdr:colOff>295275</xdr:colOff>
      <xdr:row>65</xdr:row>
      <xdr:rowOff>152400</xdr:rowOff>
    </xdr:to>
    <xdr:graphicFrame macro="">
      <xdr:nvGraphicFramePr>
        <xdr:cNvPr id="25348642"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304800</xdr:colOff>
      <xdr:row>70</xdr:row>
      <xdr:rowOff>104775</xdr:rowOff>
    </xdr:from>
    <xdr:to>
      <xdr:col>11</xdr:col>
      <xdr:colOff>323850</xdr:colOff>
      <xdr:row>88</xdr:row>
      <xdr:rowOff>152400</xdr:rowOff>
    </xdr:to>
    <xdr:graphicFrame macro="">
      <xdr:nvGraphicFramePr>
        <xdr:cNvPr id="25348643" name="Gráfico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638175</xdr:colOff>
          <xdr:row>121</xdr:row>
          <xdr:rowOff>133350</xdr:rowOff>
        </xdr:from>
        <xdr:to>
          <xdr:col>6</xdr:col>
          <xdr:colOff>714375</xdr:colOff>
          <xdr:row>123</xdr:row>
          <xdr:rowOff>66675</xdr:rowOff>
        </xdr:to>
        <xdr:sp macro="" textlink="">
          <xdr:nvSpPr>
            <xdr:cNvPr id="14340" name="Drop Down 4" hidden="1">
              <a:extLst>
                <a:ext uri="{63B3BB69-23CF-44E3-9099-C40C66FF867C}">
                  <a14:compatExt spid="_x0000_s1434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xdr:twoCellAnchor>
    <xdr:from>
      <xdr:col>1</xdr:col>
      <xdr:colOff>371475</xdr:colOff>
      <xdr:row>125</xdr:row>
      <xdr:rowOff>28575</xdr:rowOff>
    </xdr:from>
    <xdr:to>
      <xdr:col>11</xdr:col>
      <xdr:colOff>371475</xdr:colOff>
      <xdr:row>171</xdr:row>
      <xdr:rowOff>9525</xdr:rowOff>
    </xdr:to>
    <xdr:graphicFrame macro="">
      <xdr:nvGraphicFramePr>
        <xdr:cNvPr id="25348644" name="Gráfico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323850</xdr:colOff>
      <xdr:row>95</xdr:row>
      <xdr:rowOff>28575</xdr:rowOff>
    </xdr:from>
    <xdr:to>
      <xdr:col>11</xdr:col>
      <xdr:colOff>304800</xdr:colOff>
      <xdr:row>114</xdr:row>
      <xdr:rowOff>9525</xdr:rowOff>
    </xdr:to>
    <xdr:graphicFrame macro="">
      <xdr:nvGraphicFramePr>
        <xdr:cNvPr id="25348645" name="Gráfico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0</xdr:col>
      <xdr:colOff>200025</xdr:colOff>
      <xdr:row>0</xdr:row>
      <xdr:rowOff>123825</xdr:rowOff>
    </xdr:from>
    <xdr:to>
      <xdr:col>2</xdr:col>
      <xdr:colOff>228600</xdr:colOff>
      <xdr:row>5</xdr:row>
      <xdr:rowOff>104775</xdr:rowOff>
    </xdr:to>
    <xdr:pic>
      <xdr:nvPicPr>
        <xdr:cNvPr id="25348646" name="9 Imagen"/>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200025" y="123825"/>
          <a:ext cx="1590675"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1</xdr:row>
      <xdr:rowOff>0</xdr:rowOff>
    </xdr:from>
    <xdr:to>
      <xdr:col>13</xdr:col>
      <xdr:colOff>609600</xdr:colOff>
      <xdr:row>4</xdr:row>
      <xdr:rowOff>123825</xdr:rowOff>
    </xdr:to>
    <xdr:pic>
      <xdr:nvPicPr>
        <xdr:cNvPr id="25348647" name="10 Imagen"/>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8963025" y="161925"/>
          <a:ext cx="229552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0</xdr:colOff>
          <xdr:row>7</xdr:row>
          <xdr:rowOff>9525</xdr:rowOff>
        </xdr:from>
        <xdr:to>
          <xdr:col>7</xdr:col>
          <xdr:colOff>200025</xdr:colOff>
          <xdr:row>9</xdr:row>
          <xdr:rowOff>0</xdr:rowOff>
        </xdr:to>
        <xdr:sp macro="" textlink="">
          <xdr:nvSpPr>
            <xdr:cNvPr id="19457" name="Drop Down 1" hidden="1">
              <a:extLst>
                <a:ext uri="{63B3BB69-23CF-44E3-9099-C40C66FF867C}">
                  <a14:compatExt spid="_x0000_s1945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xdr:col>
      <xdr:colOff>647700</xdr:colOff>
      <xdr:row>40</xdr:row>
      <xdr:rowOff>57150</xdr:rowOff>
    </xdr:from>
    <xdr:to>
      <xdr:col>12</xdr:col>
      <xdr:colOff>200025</xdr:colOff>
      <xdr:row>61</xdr:row>
      <xdr:rowOff>152400</xdr:rowOff>
    </xdr:to>
    <xdr:graphicFrame macro="">
      <xdr:nvGraphicFramePr>
        <xdr:cNvPr id="25353762"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638175</xdr:colOff>
      <xdr:row>63</xdr:row>
      <xdr:rowOff>66675</xdr:rowOff>
    </xdr:from>
    <xdr:to>
      <xdr:col>12</xdr:col>
      <xdr:colOff>200025</xdr:colOff>
      <xdr:row>84</xdr:row>
      <xdr:rowOff>142875</xdr:rowOff>
    </xdr:to>
    <xdr:graphicFrame macro="">
      <xdr:nvGraphicFramePr>
        <xdr:cNvPr id="25353763" name="Gráfico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628650</xdr:colOff>
      <xdr:row>87</xdr:row>
      <xdr:rowOff>133350</xdr:rowOff>
    </xdr:from>
    <xdr:to>
      <xdr:col>12</xdr:col>
      <xdr:colOff>200025</xdr:colOff>
      <xdr:row>110</xdr:row>
      <xdr:rowOff>66675</xdr:rowOff>
    </xdr:to>
    <xdr:graphicFrame macro="">
      <xdr:nvGraphicFramePr>
        <xdr:cNvPr id="25353764" name="Gráfico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676275</xdr:colOff>
      <xdr:row>113</xdr:row>
      <xdr:rowOff>85725</xdr:rowOff>
    </xdr:from>
    <xdr:to>
      <xdr:col>12</xdr:col>
      <xdr:colOff>247650</xdr:colOff>
      <xdr:row>148</xdr:row>
      <xdr:rowOff>66675</xdr:rowOff>
    </xdr:to>
    <xdr:graphicFrame macro="">
      <xdr:nvGraphicFramePr>
        <xdr:cNvPr id="25353765" name="Gráfico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0</xdr:col>
      <xdr:colOff>190500</xdr:colOff>
      <xdr:row>0</xdr:row>
      <xdr:rowOff>95250</xdr:rowOff>
    </xdr:from>
    <xdr:to>
      <xdr:col>2</xdr:col>
      <xdr:colOff>352425</xdr:colOff>
      <xdr:row>5</xdr:row>
      <xdr:rowOff>47625</xdr:rowOff>
    </xdr:to>
    <xdr:pic>
      <xdr:nvPicPr>
        <xdr:cNvPr id="25353766" name="8 Imagen"/>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90500" y="95250"/>
          <a:ext cx="1590675"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1</xdr:row>
      <xdr:rowOff>0</xdr:rowOff>
    </xdr:from>
    <xdr:to>
      <xdr:col>13</xdr:col>
      <xdr:colOff>533400</xdr:colOff>
      <xdr:row>4</xdr:row>
      <xdr:rowOff>114300</xdr:rowOff>
    </xdr:to>
    <xdr:pic>
      <xdr:nvPicPr>
        <xdr:cNvPr id="25353767" name="8 Imagen"/>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8458200" y="161925"/>
          <a:ext cx="229552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Relationships xmlns="http://schemas.openxmlformats.org/package/2006/relationships"><Relationship Id="rId2" Type="http://schemas.openxmlformats.org/officeDocument/2006/relationships/drawing" Target="../drawings/drawing1.xml"/></Relationships>
</file>

<file path=xl/worksheets/_rels/sheet10.xml.rels><?xml version="1.0" encoding="UTF-8" standalone="yes"?><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0.xml"/><Relationship Id="rId5" Type="http://schemas.openxmlformats.org/officeDocument/2006/relationships/ctrlProp" Target="../ctrlProps/ctrlProp8.xml"/><Relationship Id="rId4" Type="http://schemas.openxmlformats.org/officeDocument/2006/relationships/ctrlProp" Target="../ctrlProps/ctrlProp7.xml"/></Relationships>
</file>

<file path=xl/worksheets/_rels/sheet11.xml.rels><?xml version="1.0" encoding="UTF-8" standalone="yes"?><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2.xml"/><Relationship Id="rId4" Type="http://schemas.openxmlformats.org/officeDocument/2006/relationships/ctrlProp" Target="../ctrlProps/ctrlProp9.xml"/></Relationships>
</file>

<file path=xl/worksheets/_rels/sheet12.xml.rels><?xml version="1.0" encoding="UTF-8" standalone="yes"?><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3.xml"/><Relationship Id="rId4" Type="http://schemas.openxmlformats.org/officeDocument/2006/relationships/ctrlProp" Target="../ctrlProps/ctrlProp10.xml"/></Relationships>
</file>

<file path=xl/worksheets/_rels/sheet13.xml.rels><?xml version="1.0" encoding="UTF-8" standalone="yes"?><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4.xml"/><Relationship Id="rId4" Type="http://schemas.openxmlformats.org/officeDocument/2006/relationships/ctrlProp" Target="../ctrlProps/ctrlProp11.xml"/></Relationships>
</file>

<file path=xl/worksheets/_rels/sheet14.xml.rels><?xml version="1.0" encoding="UTF-8" standalone="yes"?><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5.xml"/><Relationship Id="rId4" Type="http://schemas.openxmlformats.org/officeDocument/2006/relationships/ctrlProp" Target="../ctrlProps/ctrlProp12.xml"/></Relationships>
</file>

<file path=xl/worksheets/_rels/sheet15.xml.rels><?xml version="1.0" encoding="UTF-8" standalone="yes"?><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6.xml"/><Relationship Id="rId4" Type="http://schemas.openxmlformats.org/officeDocument/2006/relationships/ctrlProp" Target="../ctrlProps/ctrlProp13.xml"/></Relationships>
</file>

<file path=xl/worksheets/_rels/sheet16.xml.rels><?xml version="1.0" encoding="UTF-8" standalone="yes"?><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7.xml"/><Relationship Id="rId4" Type="http://schemas.openxmlformats.org/officeDocument/2006/relationships/ctrlProp" Target="../ctrlProps/ctrlProp14.xml"/></Relationships>
</file>

<file path=xl/worksheets/_rels/sheet17.xml.rels><?xml version="1.0" encoding="UTF-8" standalone="yes"?><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8.xml"/><Relationship Id="rId4" Type="http://schemas.openxmlformats.org/officeDocument/2006/relationships/ctrlProp" Target="../ctrlProps/ctrlProp15.xml"/></Relationships>
</file>

<file path=xl/worksheets/_rels/sheet18.xml.rels><?xml version="1.0" encoding="UTF-8" standalone="yes"?><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9.xml"/><Relationship Id="rId4" Type="http://schemas.openxmlformats.org/officeDocument/2006/relationships/ctrlProp" Target="../ctrlProps/ctrlProp16.xml"/></Relationships>
</file>

<file path=xl/worksheets/_rels/sheet19.xml.rels><?xml version="1.0" encoding="UTF-8" standalone="yes"?><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20.xml"/><Relationship Id="rId4" Type="http://schemas.openxmlformats.org/officeDocument/2006/relationships/ctrlProp" Target="../ctrlProps/ctrlProp17.xml"/></Relationships>
</file>

<file path=xl/worksheets/_rels/sheet2.xml.rels><?xml version="1.0" encoding="UTF-8" standalone="yes"?><Relationships xmlns="http://schemas.openxmlformats.org/package/2006/relationships"><Relationship Id="rId2" Type="http://schemas.openxmlformats.org/officeDocument/2006/relationships/drawing" Target="../drawings/drawing2.xml"/></Relationships>
</file>

<file path=xl/worksheets/_rels/sheet20.xml.rels><?xml version="1.0" encoding="UTF-8" standalone="yes"?><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21.xml"/><Relationship Id="rId5" Type="http://schemas.openxmlformats.org/officeDocument/2006/relationships/ctrlProp" Target="../ctrlProps/ctrlProp19.xml"/><Relationship Id="rId4" Type="http://schemas.openxmlformats.org/officeDocument/2006/relationships/ctrlProp" Target="../ctrlProps/ctrlProp18.xml"/></Relationships>
</file>

<file path=xl/worksheets/_rels/sheet21.xml.rels><?xml version="1.0" encoding="UTF-8" standalone="yes"?><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22.xml"/><Relationship Id="rId5" Type="http://schemas.openxmlformats.org/officeDocument/2006/relationships/ctrlProp" Target="../ctrlProps/ctrlProp21.xml"/><Relationship Id="rId4" Type="http://schemas.openxmlformats.org/officeDocument/2006/relationships/ctrlProp" Target="../ctrlProps/ctrlProp20.xml"/></Relationships>
</file>

<file path=xl/worksheets/_rels/sheet22.xml.rels><?xml version="1.0" encoding="UTF-8" standalone="yes"?><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23.xml"/><Relationship Id="rId4" Type="http://schemas.openxmlformats.org/officeDocument/2006/relationships/ctrlProp" Target="../ctrlProps/ctrlProp22.xml"/></Relationships>
</file>

<file path=xl/worksheets/_rels/sheet23.xml.rels><?xml version="1.0" encoding="UTF-8" standalone="yes"?><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24.xml"/><Relationship Id="rId4" Type="http://schemas.openxmlformats.org/officeDocument/2006/relationships/ctrlProp" Target="../ctrlProps/ctrlProp23.xml"/></Relationships>
</file>

<file path=xl/worksheets/_rels/sheet24.xml.rels><?xml version="1.0" encoding="UTF-8" standalone="yes"?><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25.xml"/><Relationship Id="rId4" Type="http://schemas.openxmlformats.org/officeDocument/2006/relationships/ctrlProp" Target="../ctrlProps/ctrlProp24.xml"/></Relationships>
</file>

<file path=xl/worksheets/_rels/sheet25.xml.rels><?xml version="1.0" encoding="UTF-8" standalone="yes"?><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6.xml"/><Relationship Id="rId4" Type="http://schemas.openxmlformats.org/officeDocument/2006/relationships/ctrlProp" Target="../ctrlProps/ctrlProp25.xml"/></Relationships>
</file>

<file path=xl/worksheets/_rels/sheet26.xml.rels><?xml version="1.0" encoding="UTF-8" standalone="yes"?><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27.xml"/><Relationship Id="rId4" Type="http://schemas.openxmlformats.org/officeDocument/2006/relationships/ctrlProp" Target="../ctrlProps/ctrlProp26.xml"/></Relationships>
</file>

<file path=xl/worksheets/_rels/sheet27.xml.rels><?xml version="1.0" encoding="UTF-8" standalone="yes"?><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28.xml"/><Relationship Id="rId4" Type="http://schemas.openxmlformats.org/officeDocument/2006/relationships/ctrlProp" Target="../ctrlProps/ctrlProp27.xml"/></Relationships>
</file>

<file path=xl/worksheets/_rels/sheet3.xml.rels><?xml version="1.0" encoding="UTF-8" standalone="yes"?><Relationships xmlns="http://schemas.openxmlformats.org/package/2006/relationships"><Relationship Id="rId2" Type="http://schemas.openxmlformats.org/officeDocument/2006/relationships/drawing" Target="../drawings/drawing3.xml"/></Relationships>
</file>

<file path=xl/worksheets/_rels/sheet4.xml.rels><?xml version="1.0" encoding="UTF-8" standalone="yes"?><Relationships xmlns="http://schemas.openxmlformats.org/package/2006/relationships"><Relationship Id="rId2" Type="http://schemas.openxmlformats.org/officeDocument/2006/relationships/drawing" Target="../drawings/drawing4.xml"/></Relationships>
</file>

<file path=xl/worksheets/_rels/sheet5.xml.rels><?xml version="1.0" encoding="UTF-8" standalone="yes"?><Relationships xmlns="http://schemas.openxmlformats.org/package/2006/relationships"><Relationship Id="rId3" Type="http://schemas.openxmlformats.org/officeDocument/2006/relationships/vmlDrawing" Target="../drawings/vmlDrawing1.vml"/><Relationship Id="rId7" Type="http://schemas.openxmlformats.org/officeDocument/2006/relationships/image" Target="../media/image19.emf"/><Relationship Id="rId2" Type="http://schemas.openxmlformats.org/officeDocument/2006/relationships/drawing" Target="../drawings/drawing5.xml"/><Relationship Id="rId6" Type="http://schemas.openxmlformats.org/officeDocument/2006/relationships/control" Target="../activeX/activeX2.xml"/><Relationship Id="rId5" Type="http://schemas.openxmlformats.org/officeDocument/2006/relationships/image" Target="../media/image18.emf"/><Relationship Id="rId4" Type="http://schemas.openxmlformats.org/officeDocument/2006/relationships/control" Target="../activeX/activeX1.xml"/></Relationships>
</file>

<file path=xl/worksheets/_rels/sheet6.xml.rels><?xml version="1.0" encoding="UTF-8" standalone="yes"?><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6.xml"/><Relationship Id="rId4" Type="http://schemas.openxmlformats.org/officeDocument/2006/relationships/ctrlProp" Target="../ctrlProps/ctrlProp1.xml"/></Relationships>
</file>

<file path=xl/worksheets/_rels/sheet7.xml.rels><?xml version="1.0" encoding="UTF-8" standalone="yes"?><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7.xml"/><Relationship Id="rId5" Type="http://schemas.openxmlformats.org/officeDocument/2006/relationships/ctrlProp" Target="../ctrlProps/ctrlProp3.xml"/><Relationship Id="rId4" Type="http://schemas.openxmlformats.org/officeDocument/2006/relationships/ctrlProp" Target="../ctrlProps/ctrlProp2.xml"/></Relationships>
</file>

<file path=xl/worksheets/_rels/sheet8.xml.rels><?xml version="1.0" encoding="UTF-8" standalone="yes"?><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8.xml"/><Relationship Id="rId5" Type="http://schemas.openxmlformats.org/officeDocument/2006/relationships/ctrlProp" Target="../ctrlProps/ctrlProp5.xml"/><Relationship Id="rId4" Type="http://schemas.openxmlformats.org/officeDocument/2006/relationships/ctrlProp" Target="../ctrlProps/ctrlProp4.xml"/></Relationships>
</file>

<file path=xl/worksheets/_rels/sheet9.xml.rels><?xml version="1.0" encoding="UTF-8" standalone="yes"?><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9.xml"/><Relationship Id="rId4" Type="http://schemas.openxmlformats.org/officeDocument/2006/relationships/ctrlProp" Target="../ctrlProps/ctrlProp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mc:Ignorable="x14ac xr">
  <sheetPr codeName="Hoja2">
    <tabColor indexed="18"/>
  </sheetPr>
  <dimension ref="A16:G40"/>
  <sheetViews>
    <sheetView showGridLines="0" view="pageBreakPreview" zoomScaleNormal="100" zoomScaleSheetLayoutView="100" workbookViewId="0"/>
  </sheetViews>
  <sheetFormatPr baseColWidth="10" defaultRowHeight="12.75"/>
  <cols>
    <col min="1" max="1" width="10.85546875" customWidth="1" style="51"/>
    <col min="2" max="16384" width="11.42578125" customWidth="1" style="51"/>
  </cols>
  <sheetData>
    <row r="16" ht="16.5" customHeight="1">
      <c r="A16" s="532" t="s">
        <v>50</v>
      </c>
      <c r="B16" s="533"/>
      <c r="C16" s="533"/>
      <c r="D16" s="533"/>
      <c r="E16" s="533"/>
      <c r="F16" s="533"/>
      <c r="G16" s="533"/>
    </row>
    <row r="17" ht="15.75" customHeight="1">
      <c r="A17" s="533"/>
      <c r="B17" s="533"/>
      <c r="C17" s="533"/>
      <c r="D17" s="533"/>
      <c r="E17" s="533"/>
      <c r="F17" s="533"/>
      <c r="G17" s="533"/>
    </row>
    <row r="18" ht="13.5" customHeight="1">
      <c r="A18" s="533"/>
      <c r="B18" s="533"/>
      <c r="C18" s="533"/>
      <c r="D18" s="533"/>
      <c r="E18" s="533"/>
      <c r="F18" s="533"/>
      <c r="G18" s="533"/>
    </row>
    <row r="19" ht="15" customHeight="1">
      <c r="A19" s="533"/>
      <c r="B19" s="533"/>
      <c r="C19" s="533"/>
      <c r="D19" s="533"/>
      <c r="E19" s="533"/>
      <c r="F19" s="533"/>
      <c r="G19" s="533"/>
    </row>
    <row r="20" ht="18" customHeight="1">
      <c r="A20" s="534" t="str">
        <f>UPPER(TEXT(AUX!E14," MMMM  AAAA"))</f>
        <v> DICIEMBRE  1904</v>
      </c>
      <c r="B20" s="535"/>
      <c r="C20" s="535"/>
      <c r="D20" s="535"/>
      <c r="E20" s="535"/>
      <c r="F20" s="535"/>
      <c r="G20" s="535"/>
    </row>
    <row r="21" ht="16.5" customHeight="1">
      <c r="A21" s="536"/>
      <c r="B21" s="537"/>
      <c r="C21" s="537"/>
      <c r="D21" s="537"/>
      <c r="E21" s="537"/>
      <c r="F21" s="537"/>
      <c r="G21" s="537"/>
    </row>
    <row r="32" ht="29.25" customHeight="1"/>
    <row r="38" ht="18" customHeight="1">
      <c r="A38" s="538" t="s">
        <v>51</v>
      </c>
      <c r="B38" s="539"/>
      <c r="C38" s="539"/>
      <c r="D38" s="539"/>
      <c r="E38" s="539"/>
      <c r="F38" s="539"/>
      <c r="G38" s="539"/>
    </row>
    <row r="39" ht="12.75" customHeight="1">
      <c r="A39" s="539"/>
      <c r="B39" s="539"/>
      <c r="C39" s="539"/>
      <c r="D39" s="539"/>
      <c r="E39" s="539"/>
      <c r="F39" s="539"/>
      <c r="G39" s="539"/>
    </row>
    <row r="40" ht="21.75" customHeight="1">
      <c r="A40" s="530" t="s">
        <v>52</v>
      </c>
      <c r="B40" s="531"/>
      <c r="C40" s="531"/>
      <c r="D40" s="531"/>
      <c r="E40" s="531"/>
      <c r="F40" s="531"/>
      <c r="G40" s="531"/>
    </row>
  </sheetData>
  <sheetProtection algorithmName="SHA-512" hashValue="h1RWdHGKpB1cHBwdjE9+uVsIkEIydPAXB+ZoI50tzODvbwCHwKQbNOSvO9b8tn4esl4HKdwzTP5+lMM6xRiqVA==" saltValue="bCVAlB6tPKwvgNIvTKDFtQ==" spinCount="100000" sheet="1" objects="1" scenarios="1"/>
  <mergeCells>
    <mergeCell ref="A40:G40"/>
    <mergeCell ref="A16:G19"/>
    <mergeCell ref="A20:G20"/>
    <mergeCell ref="A21:G21"/>
    <mergeCell ref="A38:G39"/>
  </mergeCells>
  <phoneticPr fontId="3" type="noConversion"/>
  <printOptions horizontalCentered="1" verticalCentered="1"/>
  <pageMargins left="0.78740157480314965" right="0.78740157480314965" top="0.98425196850393704" bottom="0.98425196850393704" header="0" footer="0"/>
  <pageSetup paperSize="9" orientation="portrait"/>
  <headerFooter alignWithMargins="0"/>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mc:Ignorable="x14ac xr">
  <sheetPr codeName="Hoja10">
    <tabColor indexed="53"/>
  </sheetPr>
  <dimension ref="A1:IV382"/>
  <sheetViews>
    <sheetView showGridLines="0" view="pageBreakPreview" zoomScaleNormal="100" workbookViewId="0">
      <pane ySplit="9" topLeftCell="A10" activePane="bottomLeft" state="frozen"/>
      <selection pane="bottomLeft" activeCell="A7" sqref="A7"/>
    </sheetView>
  </sheetViews>
  <sheetFormatPr baseColWidth="10" defaultRowHeight="12.75"/>
  <cols>
    <col min="1" max="1" width="5" customWidth="1" style="51"/>
    <col min="2" max="2" width="20.140625" customWidth="1" style="51"/>
    <col min="3" max="3" width="11.7109375" customWidth="1" style="51"/>
    <col min="4" max="4" bestFit="1" width="14.85546875" customWidth="1" style="51"/>
    <col min="5" max="11" width="11.7109375" customWidth="1" style="51"/>
    <col min="12" max="12" width="11.5703125" customWidth="1" style="51"/>
    <col min="13" max="13" width="12" customWidth="1" style="51"/>
    <col min="14" max="15" width="12" customWidth="1" style="218"/>
    <col min="16" max="16384" width="11.42578125" customWidth="1" style="51"/>
  </cols>
  <sheetData>
    <row r="1">
      <c r="A1" s="47"/>
      <c r="B1" s="47"/>
      <c r="C1" s="47"/>
      <c r="D1" s="47"/>
      <c r="E1" s="47"/>
      <c r="F1" s="47"/>
      <c r="G1" s="47"/>
      <c r="H1" s="47"/>
      <c r="I1" s="47"/>
      <c r="J1" s="47"/>
      <c r="K1" s="47"/>
      <c r="L1" s="47"/>
      <c r="M1" s="47"/>
      <c r="N1" s="221"/>
      <c r="O1" s="222"/>
      <c r="P1" s="58"/>
      <c r="Q1" s="58"/>
    </row>
    <row r="2">
      <c r="A2" s="49"/>
      <c r="B2" s="49"/>
      <c r="C2" s="49"/>
      <c r="D2" s="49"/>
      <c r="E2" s="49"/>
      <c r="F2" s="49"/>
      <c r="G2" s="49"/>
      <c r="H2" s="49"/>
      <c r="I2" s="49"/>
      <c r="J2" s="49"/>
      <c r="K2" s="49"/>
      <c r="L2" s="49"/>
      <c r="M2" s="49"/>
      <c r="N2" s="223"/>
      <c r="O2" s="222"/>
      <c r="P2" s="58"/>
      <c r="Q2" s="58"/>
    </row>
    <row r="3">
      <c r="A3" s="49"/>
      <c r="B3" s="49"/>
      <c r="C3" s="49"/>
      <c r="D3" s="49"/>
      <c r="E3" s="49"/>
      <c r="F3" s="49"/>
      <c r="G3" s="49"/>
      <c r="H3" s="49"/>
      <c r="I3" s="49"/>
      <c r="J3" s="49"/>
      <c r="K3" s="49"/>
      <c r="L3" s="49"/>
      <c r="M3" s="49"/>
      <c r="N3" s="223"/>
      <c r="O3" s="222"/>
      <c r="P3" s="58"/>
      <c r="Q3" s="58"/>
    </row>
    <row r="4">
      <c r="A4" s="49"/>
      <c r="B4" s="49"/>
      <c r="C4" s="49"/>
      <c r="D4" s="49"/>
      <c r="E4" s="49"/>
      <c r="F4" s="49"/>
      <c r="G4" s="49"/>
      <c r="H4" s="49"/>
      <c r="I4" s="49"/>
      <c r="J4" s="49"/>
      <c r="K4" s="49"/>
      <c r="L4" s="49"/>
      <c r="M4" s="49"/>
      <c r="N4" s="223"/>
      <c r="O4" s="222"/>
      <c r="P4" s="58"/>
      <c r="Q4" s="58"/>
    </row>
    <row r="5">
      <c r="A5" s="49"/>
      <c r="B5" s="49"/>
      <c r="C5" s="49"/>
      <c r="D5" s="49"/>
      <c r="E5" s="49"/>
      <c r="F5" s="49"/>
      <c r="G5" s="49"/>
      <c r="H5" s="49"/>
      <c r="I5" s="49"/>
      <c r="J5" s="49"/>
      <c r="K5" s="49"/>
      <c r="L5" s="49"/>
      <c r="M5" s="49"/>
      <c r="N5" s="223"/>
      <c r="O5" s="222"/>
      <c r="P5" s="58"/>
      <c r="Q5" s="58"/>
    </row>
    <row r="6" ht="13.5">
      <c r="A6" s="55"/>
      <c r="B6" s="55"/>
      <c r="C6" s="55"/>
      <c r="D6" s="55"/>
      <c r="E6" s="55"/>
      <c r="F6" s="55"/>
      <c r="G6" s="55"/>
      <c r="H6" s="55"/>
      <c r="I6" s="55"/>
      <c r="J6" s="55"/>
      <c r="K6" s="55"/>
      <c r="L6" s="55"/>
      <c r="M6" s="55"/>
      <c r="N6" s="224"/>
      <c r="O6" s="222"/>
      <c r="P6" s="58"/>
      <c r="Q6" s="58"/>
    </row>
    <row r="7" s="57" customFormat="1">
      <c r="N7" s="225"/>
      <c r="O7" s="222"/>
      <c r="P7" s="58"/>
      <c r="Q7" s="58"/>
    </row>
    <row r="8">
      <c r="F8" s="131">
        <v>20</v>
      </c>
      <c r="H8" s="51" t="s">
        <v>100</v>
      </c>
      <c r="I8" s="51" t="e">
        <f>LOOKUP(AUX!$E$10,AUX!$B:$B,AUX!$A:$A)</f>
        <v>#N/A</v>
      </c>
      <c r="O8" s="222"/>
      <c r="P8" s="58"/>
      <c r="Q8" s="58"/>
    </row>
    <row r="9">
      <c r="A9" s="597" t="s">
        <v>101</v>
      </c>
      <c r="B9" s="597"/>
      <c r="C9" s="597"/>
      <c r="D9" s="597"/>
      <c r="H9" s="51" t="s">
        <v>1</v>
      </c>
      <c r="I9" s="51" t="str">
        <f>LOOKUP(AUX!$E$11,AUX!$E1:$E5,AUX!$D1:$D5)</f>
        <v>6 meses</v>
      </c>
    </row>
    <row r="10">
      <c r="B10" s="133"/>
      <c r="C10" s="226"/>
      <c r="D10" s="226"/>
      <c r="E10" s="226"/>
      <c r="F10" s="226"/>
      <c r="G10" s="50"/>
      <c r="H10" s="50"/>
      <c r="I10" s="50"/>
      <c r="L10" s="58"/>
      <c r="M10" s="58"/>
      <c r="N10" s="222"/>
      <c r="O10" s="222"/>
    </row>
    <row r="11">
      <c r="B11" s="133"/>
      <c r="C11" s="226"/>
      <c r="D11" s="226"/>
      <c r="E11" s="226"/>
      <c r="F11" s="226"/>
      <c r="G11" s="50"/>
      <c r="H11" s="50"/>
      <c r="I11" s="50"/>
      <c r="L11" s="58"/>
      <c r="M11" s="58"/>
      <c r="N11" s="222"/>
      <c r="O11" s="222"/>
    </row>
    <row r="12" ht="14.25" customHeight="1">
      <c r="B12" s="133"/>
      <c r="C12" s="226"/>
      <c r="D12" s="226"/>
      <c r="E12" s="226"/>
      <c r="F12" s="226"/>
      <c r="G12" s="50"/>
      <c r="H12" s="50"/>
      <c r="I12" s="50"/>
      <c r="L12" s="58"/>
      <c r="M12" s="58"/>
      <c r="N12" s="222"/>
      <c r="O12" s="222"/>
    </row>
    <row r="13" ht="14.25" customHeight="1">
      <c r="B13" s="133"/>
      <c r="C13" s="653" t="s">
        <v>92</v>
      </c>
      <c r="D13" s="654"/>
      <c r="E13" s="654"/>
      <c r="F13" s="654"/>
      <c r="G13" s="654"/>
      <c r="H13" s="654"/>
      <c r="I13" s="654"/>
      <c r="J13" s="654"/>
      <c r="K13" s="654"/>
      <c r="L13" s="654"/>
      <c r="M13" s="655"/>
      <c r="N13" s="227"/>
      <c r="O13" s="227"/>
    </row>
    <row r="14" ht="13.5" customHeight="1">
      <c r="C14" s="656" t="s">
        <v>215</v>
      </c>
      <c r="D14" s="657"/>
      <c r="E14" s="657"/>
      <c r="F14" s="657"/>
      <c r="G14" s="657"/>
      <c r="H14" s="657"/>
      <c r="I14" s="657"/>
      <c r="J14" s="657"/>
      <c r="K14" s="657"/>
      <c r="L14" s="657"/>
      <c r="M14" s="658"/>
      <c r="N14" s="227"/>
      <c r="O14" s="227"/>
    </row>
    <row r="15">
      <c r="C15" s="141"/>
      <c r="D15" s="142"/>
      <c r="E15" s="142"/>
      <c r="F15" s="142"/>
      <c r="G15" s="142"/>
      <c r="H15" s="142"/>
      <c r="I15" s="142"/>
      <c r="J15" s="142"/>
      <c r="K15" s="142"/>
      <c r="L15" s="228"/>
      <c r="M15" s="143"/>
      <c r="N15" s="229"/>
      <c r="O15" s="229"/>
    </row>
    <row r="16" ht="15.75" customHeight="1">
      <c r="A16" s="230"/>
      <c r="B16" s="230"/>
      <c r="C16" s="145" t="e">
        <f>INDEX(AUX!$G$1:$IV$1,1,AUX!$E$10+(AUX!$E$11*AUX!G$2))</f>
        <v>#VALUE!</v>
      </c>
      <c r="D16" s="146">
        <f>INDEX(AUX!$G$1:$IV$1,1,AUX!$E$10+(AUX!$E$11*AUX!H$2))</f>
        <v>38899</v>
      </c>
      <c r="E16" s="146">
        <f>INDEX(AUX!$G$1:$IV$1,1,AUX!$E$10+(AUX!$E$11*AUX!I$2))</f>
        <v>39083</v>
      </c>
      <c r="F16" s="146">
        <f>INDEX(AUX!$G$1:$IV$1,1,AUX!$E$10+(AUX!$E$11*AUX!J$2))</f>
        <v>39264</v>
      </c>
      <c r="G16" s="146">
        <f>INDEX(AUX!$G$1:$IV$1,1,AUX!$E$10+(AUX!$E$11*AUX!K$2))</f>
        <v>39448</v>
      </c>
      <c r="H16" s="146">
        <f>INDEX(AUX!$G$1:$IV$1,1,AUX!$E$10+(AUX!$E$11*AUX!L$2))</f>
        <v>39630</v>
      </c>
      <c r="I16" s="146">
        <f>INDEX(AUX!$G$1:$IV$1,1,AUX!$E$10+(AUX!$E$11*AUX!M$2))</f>
        <v>39814</v>
      </c>
      <c r="J16" s="146">
        <f>INDEX(AUX!$G$1:$IV$1,1,AUX!$E$10+(AUX!$E$11*AUX!N$2))</f>
        <v>39995</v>
      </c>
      <c r="K16" s="146">
        <f>INDEX(AUX!$G$1:$IV$1,1,AUX!$E$10+(AUX!$E$11*AUX!O$2))</f>
        <v>40179</v>
      </c>
      <c r="L16" s="146">
        <f>INDEX(AUX!$G$1:$IV$1,1,AUX!$E$10+(AUX!$E$11*AUX!P$2))</f>
        <v>40360</v>
      </c>
      <c r="M16" s="147">
        <f>INDEX(AUX!$G$1:$IV$1,1,AUX!$E$10+(AUX!$E$11*AUX!Q$2))</f>
        <v>40544</v>
      </c>
      <c r="N16" s="231"/>
      <c r="O16" s="231"/>
    </row>
    <row r="17" ht="15.75">
      <c r="A17" s="230"/>
      <c r="B17" s="230"/>
      <c r="C17" s="648" t="s">
        <v>216</v>
      </c>
      <c r="D17" s="649"/>
      <c r="E17" s="649"/>
      <c r="F17" s="649"/>
      <c r="G17" s="649"/>
      <c r="H17" s="649"/>
      <c r="I17" s="649"/>
      <c r="J17" s="649"/>
      <c r="K17" s="649"/>
      <c r="L17" s="649"/>
      <c r="M17" s="650"/>
      <c r="N17" s="232"/>
      <c r="O17" s="232"/>
    </row>
    <row r="18" ht="15.75" customHeight="1">
      <c r="A18" s="124"/>
      <c r="B18" s="233" t="str">
        <f>INDEX($B$178:$H$197,$F$8,1)</f>
        <v>Total</v>
      </c>
      <c r="C18" s="234" t="str">
        <f>IF(INDEX($C$178:$II$197,$F$8,AUX!$E$10+(AUX!$E$11*AUX!G$2))="","--",IF(INDEX($C$178:$II$197,$F$8,AUX!$E$10+(AUX!$E$11*AUX!G$2))=0,"-",INDEX($C$178:$II$197,$F$8,AUX!$E$10+(AUX!$E$11*AUX!G$2))))</f>
        <v>--</v>
      </c>
      <c r="D18" s="235" t="str">
        <f>IF(INDEX($C$178:$II$197,$F$8,AUX!$E$10+(AUX!$E$11*AUX!H$2))="","--",IF(INDEX($C$178:$II$197,$F$8,AUX!$E$10+(AUX!$E$11*AUX!H$2))=0,"-",INDEX($C$178:$II$197,$F$8,AUX!$E$10+(AUX!$E$11*AUX!H$2))))</f>
        <v>--</v>
      </c>
      <c r="E18" s="235" t="str">
        <f>IF(INDEX($C$178:$II$197,$F$8,AUX!$E$10+(AUX!$E$11*AUX!I$2))="","--",IF(INDEX($C$178:$II$197,$F$8,AUX!$E$10+(AUX!$E$11*AUX!I$2))=0,"-",INDEX($C$178:$II$197,$F$8,AUX!$E$10+(AUX!$E$11*AUX!I$2))))</f>
        <v>--</v>
      </c>
      <c r="F18" s="235" t="str">
        <f>IF(INDEX($C$178:$II$197,$F$8,AUX!$E$10+(AUX!$E$11*AUX!J$2))="","--",IF(INDEX($C$178:$II$197,$F$8,AUX!$E$10+(AUX!$E$11*AUX!J$2))=0,"-",INDEX($C$178:$II$197,$F$8,AUX!$E$10+(AUX!$E$11*AUX!J$2))))</f>
        <v>--</v>
      </c>
      <c r="G18" s="235" t="str">
        <f>IF(INDEX($C$178:$II$197,$F$8,AUX!$E$10+(AUX!$E$11*AUX!K$2))="","--",IF(INDEX($C$178:$II$197,$F$8,AUX!$E$10+(AUX!$E$11*AUX!K$2))=0,"-",INDEX($C$178:$II$197,$F$8,AUX!$E$10+(AUX!$E$11*AUX!K$2))))</f>
        <v>--</v>
      </c>
      <c r="H18" s="235" t="str">
        <f>IF(INDEX($C$178:$II$197,$F$8,AUX!$E$10+(AUX!$E$11*AUX!L$2))="","--",IF(INDEX($C$178:$II$197,$F$8,AUX!$E$10+(AUX!$E$11*AUX!L$2))=0,"-",INDEX($C$178:$II$197,$F$8,AUX!$E$10+(AUX!$E$11*AUX!L$2))))</f>
        <v>--</v>
      </c>
      <c r="I18" s="235" t="str">
        <f>IF(INDEX($C$178:$II$197,$F$8,AUX!$E$10+(AUX!$E$11*AUX!M$2))="","--",IF(INDEX($C$178:$II$197,$F$8,AUX!$E$10+(AUX!$E$11*AUX!M$2))=0,"-",INDEX($C$178:$II$197,$F$8,AUX!$E$10+(AUX!$E$11*AUX!M$2))))</f>
        <v>--</v>
      </c>
      <c r="J18" s="235" t="str">
        <f>IF(INDEX($C$178:$II$197,$F$8,AUX!$E$10+(AUX!$E$11*AUX!N$2))="","--",IF(INDEX($C$178:$II$197,$F$8,AUX!$E$10+(AUX!$E$11*AUX!N$2))=0,"-",INDEX($C$178:$II$197,$F$8,AUX!$E$10+(AUX!$E$11*AUX!N$2))))</f>
        <v>--</v>
      </c>
      <c r="K18" s="235" t="str">
        <f>IF(INDEX($C$178:$II$197,$F$8,AUX!$E$10+(AUX!$E$11*AUX!O$2))="","--",IF(INDEX($C$178:$II$197,$F$8,AUX!$E$10+(AUX!$E$11*AUX!O$2))=0,"-",INDEX($C$178:$II$197,$F$8,AUX!$E$10+(AUX!$E$11*AUX!O$2))))</f>
        <v>--</v>
      </c>
      <c r="L18" s="235" t="str">
        <f>IF(INDEX($C$178:$II$197,$F$8,AUX!$E$10+(AUX!$E$11*AUX!P$2))="","--",IF(INDEX($C$178:$II$197,$F$8,AUX!$E$10+(AUX!$E$11*AUX!P$2))=0,"-",INDEX($C$178:$II$197,$F$8,AUX!$E$10+(AUX!$E$11*AUX!P$2))))</f>
        <v>--</v>
      </c>
      <c r="M18" s="236" t="str">
        <f>IF(INDEX($C$178:$II$197,$F$8,AUX!$E$10+(AUX!$E$11*AUX!Q$2))="","--",IF(INDEX($C$178:$II$197,$F$8,AUX!$E$10+(AUX!$E$11*AUX!Q$2))=0,"-",INDEX($C$178:$II$197,$F$8,AUX!$E$10+(AUX!$E$11*AUX!Q$2))))</f>
        <v>--</v>
      </c>
      <c r="N18" s="237"/>
      <c r="O18" s="238"/>
    </row>
    <row r="19" ht="15.75" customHeight="1">
      <c r="A19" s="230"/>
      <c r="B19" s="230"/>
      <c r="C19" s="648" t="s">
        <v>217</v>
      </c>
      <c r="D19" s="649"/>
      <c r="E19" s="649"/>
      <c r="F19" s="649"/>
      <c r="G19" s="649"/>
      <c r="H19" s="649"/>
      <c r="I19" s="649"/>
      <c r="J19" s="649"/>
      <c r="K19" s="649"/>
      <c r="L19" s="649"/>
      <c r="M19" s="650"/>
      <c r="N19" s="237"/>
      <c r="O19" s="227"/>
    </row>
    <row r="20" ht="15.75" customHeight="1">
      <c r="A20" s="124"/>
      <c r="B20" s="239"/>
      <c r="C20" s="234" t="str">
        <f>IF(INDEX($C$201:$II$220,$F$8,AUX!$E$10+(AUX!$E$11*AUX!G$2))="","--",IF(INDEX($C$201:$II$220,$F$8,AUX!$E$10+(AUX!$E$11*AUX!G$2))=0,"-",INDEX($C$201:$II$220,$F$8,AUX!$E$10+(AUX!$E$11*AUX!G$2))))</f>
        <v>--</v>
      </c>
      <c r="D20" s="235" t="str">
        <f>IF(INDEX($C$201:$II$220,$F$8,AUX!$E$10+(AUX!$E$11*AUX!H$2))="","--",IF(INDEX($C$201:$II$220,$F$8,AUX!$E$10+(AUX!$E$11*AUX!H$2))=0,"-",INDEX($C$201:$II$220,$F$8,AUX!$E$10+(AUX!$E$11*AUX!H$2))))</f>
        <v>--</v>
      </c>
      <c r="E20" s="235" t="str">
        <f>IF(INDEX($C$201:$II$220,$F$8,AUX!$E$10+(AUX!$E$11*AUX!I$2))="","--",IF(INDEX($C$201:$II$220,$F$8,AUX!$E$10+(AUX!$E$11*AUX!I$2))=0,"-",INDEX($C$201:$II$220,$F$8,AUX!$E$10+(AUX!$E$11*AUX!I$2))))</f>
        <v>--</v>
      </c>
      <c r="F20" s="235" t="str">
        <f>IF(INDEX($C$201:$II$220,$F$8,AUX!$E$10+(AUX!$E$11*AUX!J$2))="","--",IF(INDEX($C$201:$II$220,$F$8,AUX!$E$10+(AUX!$E$11*AUX!J$2))=0,"-",INDEX($C$201:$II$220,$F$8,AUX!$E$10+(AUX!$E$11*AUX!J$2))))</f>
        <v>--</v>
      </c>
      <c r="G20" s="235" t="str">
        <f>IF(INDEX($C$201:$II$220,$F$8,AUX!$E$10+(AUX!$E$11*AUX!K$2))="","--",IF(INDEX($C$201:$II$220,$F$8,AUX!$E$10+(AUX!$E$11*AUX!K$2))=0,"-",INDEX($C$201:$II$220,$F$8,AUX!$E$10+(AUX!$E$11*AUX!K$2))))</f>
        <v>--</v>
      </c>
      <c r="H20" s="235" t="str">
        <f>IF(INDEX($C$201:$II$220,$F$8,AUX!$E$10+(AUX!$E$11*AUX!L$2))="","--",IF(INDEX($C$201:$II$220,$F$8,AUX!$E$10+(AUX!$E$11*AUX!L$2))=0,"-",INDEX($C$201:$II$220,$F$8,AUX!$E$10+(AUX!$E$11*AUX!L$2))))</f>
        <v>--</v>
      </c>
      <c r="I20" s="235" t="str">
        <f>IF(INDEX($C$201:$II$220,$F$8,AUX!$E$10+(AUX!$E$11*AUX!M$2))="","--",IF(INDEX($C$201:$II$220,$F$8,AUX!$E$10+(AUX!$E$11*AUX!M$2))=0,"-",INDEX($C$201:$II$220,$F$8,AUX!$E$10+(AUX!$E$11*AUX!M$2))))</f>
        <v>--</v>
      </c>
      <c r="J20" s="235" t="str">
        <f>IF(INDEX($C$201:$II$220,$F$8,AUX!$E$10+(AUX!$E$11*AUX!N$2))="","--",IF(INDEX($C$201:$II$220,$F$8,AUX!$E$10+(AUX!$E$11*AUX!N$2))=0,"-",INDEX($C$201:$II$220,$F$8,AUX!$E$10+(AUX!$E$11*AUX!N$2))))</f>
        <v>--</v>
      </c>
      <c r="K20" s="235" t="str">
        <f>IF(INDEX($C$201:$II$220,$F$8,AUX!$E$10+(AUX!$E$11*AUX!O$2))="","--",IF(INDEX($C$201:$II$220,$F$8,AUX!$E$10+(AUX!$E$11*AUX!O$2))=0,"-",INDEX($C$201:$II$220,$F$8,AUX!$E$10+(AUX!$E$11*AUX!O$2))))</f>
        <v>--</v>
      </c>
      <c r="L20" s="235" t="str">
        <f>IF(INDEX($C$201:$II$220,$F$8,AUX!$E$10+(AUX!$E$11*AUX!P$2))="","--",IF(INDEX($C$201:$II$220,$F$8,AUX!$E$10+(AUX!$E$11*AUX!P$2))=0,"-",INDEX($C$201:$II$220,$F$8,AUX!$E$10+(AUX!$E$11*AUX!P$2))))</f>
        <v>--</v>
      </c>
      <c r="M20" s="236" t="str">
        <f>IF(INDEX($C$201:$II$220,$F$8,AUX!$E$10+(AUX!$E$11*AUX!Q$2))="","--",IF(INDEX($C$201:$II$220,$F$8,AUX!$E$10+(AUX!$E$11*AUX!Q$2))=0,"-",INDEX($C$201:$II$220,$F$8,AUX!$E$10+(AUX!$E$11*AUX!Q$2))))</f>
        <v>--</v>
      </c>
      <c r="N20" s="237"/>
      <c r="O20" s="238"/>
    </row>
    <row r="21" ht="15.75" customHeight="1">
      <c r="A21" s="230"/>
      <c r="B21" s="230"/>
      <c r="C21" s="648" t="s">
        <v>218</v>
      </c>
      <c r="D21" s="649"/>
      <c r="E21" s="649"/>
      <c r="F21" s="649"/>
      <c r="G21" s="649"/>
      <c r="H21" s="649"/>
      <c r="I21" s="649"/>
      <c r="J21" s="649"/>
      <c r="K21" s="649"/>
      <c r="L21" s="649"/>
      <c r="M21" s="650"/>
      <c r="N21" s="237"/>
      <c r="O21" s="227"/>
    </row>
    <row r="22" ht="15.75" customHeight="1">
      <c r="A22" s="124"/>
      <c r="B22" s="239"/>
      <c r="C22" s="234" t="str">
        <f>IF(INDEX($C$224:$II$243,$F$8,AUX!$E$10+(AUX!$E$11*AUX!G$2))="","--",IF(INDEX($C$224:$II$243,$F$8,AUX!$E$10+(AUX!$E$11*AUX!G$2))=0,"-",INDEX($C$224:$II$243,$F$8,AUX!$E$10+(AUX!$E$11*AUX!G$2))))</f>
        <v>--</v>
      </c>
      <c r="D22" s="235" t="str">
        <f>IF(INDEX($C$224:$II$243,$F$8,AUX!$E$10+(AUX!$E$11*AUX!H$2))="","--",IF(INDEX($C$224:$II$243,$F$8,AUX!$E$10+(AUX!$E$11*AUX!H$2))=0,"-",INDEX($C$224:$II$243,$F$8,AUX!$E$10+(AUX!$E$11*AUX!H$2))))</f>
        <v>--</v>
      </c>
      <c r="E22" s="235" t="str">
        <f>IF(INDEX($C$224:$II$243,$F$8,AUX!$E$10+(AUX!$E$11*AUX!I$2))="","--",IF(INDEX($C$224:$II$243,$F$8,AUX!$E$10+(AUX!$E$11*AUX!I$2))=0,"-",INDEX($C$224:$II$243,$F$8,AUX!$E$10+(AUX!$E$11*AUX!I$2))))</f>
        <v>--</v>
      </c>
      <c r="F22" s="235" t="str">
        <f>IF(INDEX($C$224:$II$243,$F$8,AUX!$E$10+(AUX!$E$11*AUX!J$2))="","--",IF(INDEX($C$224:$II$243,$F$8,AUX!$E$10+(AUX!$E$11*AUX!J$2))=0,"-",INDEX($C$224:$II$243,$F$8,AUX!$E$10+(AUX!$E$11*AUX!J$2))))</f>
        <v>--</v>
      </c>
      <c r="G22" s="235" t="str">
        <f>IF(INDEX($C$224:$II$243,$F$8,AUX!$E$10+(AUX!$E$11*AUX!K$2))="","--",IF(INDEX($C$224:$II$243,$F$8,AUX!$E$10+(AUX!$E$11*AUX!K$2))=0,"-",INDEX($C$224:$II$243,$F$8,AUX!$E$10+(AUX!$E$11*AUX!K$2))))</f>
        <v>--</v>
      </c>
      <c r="H22" s="235" t="str">
        <f>IF(INDEX($C$224:$II$243,$F$8,AUX!$E$10+(AUX!$E$11*AUX!L$2))="","--",IF(INDEX($C$224:$II$243,$F$8,AUX!$E$10+(AUX!$E$11*AUX!L$2))=0,"-",INDEX($C$224:$II$243,$F$8,AUX!$E$10+(AUX!$E$11*AUX!L$2))))</f>
        <v>--</v>
      </c>
      <c r="I22" s="235" t="str">
        <f>IF(INDEX($C$224:$II$243,$F$8,AUX!$E$10+(AUX!$E$11*AUX!M$2))="","--",IF(INDEX($C$224:$II$243,$F$8,AUX!$E$10+(AUX!$E$11*AUX!M$2))=0,"-",INDEX($C$224:$II$243,$F$8,AUX!$E$10+(AUX!$E$11*AUX!M$2))))</f>
        <v>--</v>
      </c>
      <c r="J22" s="235" t="str">
        <f>IF(INDEX($C$224:$II$243,$F$8,AUX!$E$10+(AUX!$E$11*AUX!N$2))="","--",IF(INDEX($C$224:$II$243,$F$8,AUX!$E$10+(AUX!$E$11*AUX!N$2))=0,"-",INDEX($C$224:$II$243,$F$8,AUX!$E$10+(AUX!$E$11*AUX!N$2))))</f>
        <v>--</v>
      </c>
      <c r="K22" s="235" t="str">
        <f>IF(INDEX($C$224:$II$243,$F$8,AUX!$E$10+(AUX!$E$11*AUX!O$2))="","--",IF(INDEX($C$224:$II$243,$F$8,AUX!$E$10+(AUX!$E$11*AUX!O$2))=0,"-",INDEX($C$224:$II$243,$F$8,AUX!$E$10+(AUX!$E$11*AUX!O$2))))</f>
        <v>--</v>
      </c>
      <c r="L22" s="235" t="str">
        <f>IF(INDEX($C$224:$II$243,$F$8,AUX!$E$10+(AUX!$E$11*AUX!P$2))="","--",IF(INDEX($C$224:$II$243,$F$8,AUX!$E$10+(AUX!$E$11*AUX!P$2))=0,"-",INDEX($C$224:$II$243,$F$8,AUX!$E$10+(AUX!$E$11*AUX!P$2))))</f>
        <v>--</v>
      </c>
      <c r="M22" s="236" t="str">
        <f>IF(INDEX($C$224:$II$243,$F$8,AUX!$E$10+(AUX!$E$11*AUX!Q$2))="","--",IF(INDEX($C$224:$II$243,$F$8,AUX!$E$10+(AUX!$E$11*AUX!Q$2))=0,"-",INDEX($C$224:$II$243,$F$8,AUX!$E$10+(AUX!$E$11*AUX!Q$2))))</f>
        <v>--</v>
      </c>
      <c r="N22" s="237"/>
      <c r="O22" s="238"/>
    </row>
    <row r="23" ht="15.75" customHeight="1">
      <c r="A23" s="230"/>
      <c r="B23" s="230"/>
      <c r="C23" s="648" t="s">
        <v>219</v>
      </c>
      <c r="D23" s="649"/>
      <c r="E23" s="649"/>
      <c r="F23" s="649"/>
      <c r="G23" s="649"/>
      <c r="H23" s="649"/>
      <c r="I23" s="649"/>
      <c r="J23" s="649"/>
      <c r="K23" s="649"/>
      <c r="L23" s="649"/>
      <c r="M23" s="650"/>
      <c r="N23" s="237"/>
      <c r="O23" s="227"/>
    </row>
    <row r="24" ht="15.75" customHeight="1">
      <c r="A24" s="124"/>
      <c r="B24" s="239"/>
      <c r="C24" s="234" t="str">
        <f>IF(INDEX($C$247:$II$266,$F$8,AUX!$E$10+(AUX!$E$11*AUX!G$2))="","--",IF(INDEX($C$247:$II$266,$F$8,AUX!$E$10+(AUX!$E$11*AUX!G$2))=0,"-",INDEX($C$247:$II$266,$F$8,AUX!$E$10+(AUX!$E$11*AUX!G$2))))</f>
        <v>--</v>
      </c>
      <c r="D24" s="235" t="str">
        <f>IF(INDEX($C$247:$II$266,$F$8,AUX!$E$10+(AUX!$E$11*AUX!H$2))="","--",IF(INDEX($C$247:$II$266,$F$8,AUX!$E$10+(AUX!$E$11*AUX!H$2))=0,"-",INDEX($C$247:$II$266,$F$8,AUX!$E$10+(AUX!$E$11*AUX!H$2))))</f>
        <v>--</v>
      </c>
      <c r="E24" s="235" t="str">
        <f>IF(INDEX($C$247:$II$266,$F$8,AUX!$E$10+(AUX!$E$11*AUX!I$2))="","--",IF(INDEX($C$247:$II$266,$F$8,AUX!$E$10+(AUX!$E$11*AUX!I$2))=0,"-",INDEX($C$247:$II$266,$F$8,AUX!$E$10+(AUX!$E$11*AUX!I$2))))</f>
        <v>--</v>
      </c>
      <c r="F24" s="235" t="str">
        <f>IF(INDEX($C$247:$II$266,$F$8,AUX!$E$10+(AUX!$E$11*AUX!J$2))="","--",IF(INDEX($C$247:$II$266,$F$8,AUX!$E$10+(AUX!$E$11*AUX!J$2))=0,"-",INDEX($C$247:$II$266,$F$8,AUX!$E$10+(AUX!$E$11*AUX!J$2))))</f>
        <v>--</v>
      </c>
      <c r="G24" s="235" t="str">
        <f>IF(INDEX($C$247:$II$266,$F$8,AUX!$E$10+(AUX!$E$11*AUX!K$2))="","--",IF(INDEX($C$247:$II$266,$F$8,AUX!$E$10+(AUX!$E$11*AUX!K$2))=0,"-",INDEX($C$247:$II$266,$F$8,AUX!$E$10+(AUX!$E$11*AUX!K$2))))</f>
        <v>--</v>
      </c>
      <c r="H24" s="235" t="str">
        <f>IF(INDEX($C$247:$II$266,$F$8,AUX!$E$10+(AUX!$E$11*AUX!L$2))="","--",IF(INDEX($C$247:$II$266,$F$8,AUX!$E$10+(AUX!$E$11*AUX!L$2))=0,"-",INDEX($C$247:$II$266,$F$8,AUX!$E$10+(AUX!$E$11*AUX!L$2))))</f>
        <v>--</v>
      </c>
      <c r="I24" s="235" t="str">
        <f>IF(INDEX($C$247:$II$266,$F$8,AUX!$E$10+(AUX!$E$11*AUX!M$2))="","--",IF(INDEX($C$247:$II$266,$F$8,AUX!$E$10+(AUX!$E$11*AUX!M$2))=0,"-",INDEX($C$247:$II$266,$F$8,AUX!$E$10+(AUX!$E$11*AUX!M$2))))</f>
        <v>--</v>
      </c>
      <c r="J24" s="235" t="str">
        <f>IF(INDEX($C$247:$II$266,$F$8,AUX!$E$10+(AUX!$E$11*AUX!N$2))="","--",IF(INDEX($C$247:$II$266,$F$8,AUX!$E$10+(AUX!$E$11*AUX!N$2))=0,"-",INDEX($C$247:$II$266,$F$8,AUX!$E$10+(AUX!$E$11*AUX!N$2))))</f>
        <v>--</v>
      </c>
      <c r="K24" s="235" t="str">
        <f>IF(INDEX($C$247:$II$266,$F$8,AUX!$E$10+(AUX!$E$11*AUX!O$2))="","--",IF(INDEX($C$247:$II$266,$F$8,AUX!$E$10+(AUX!$E$11*AUX!O$2))=0,"-",INDEX($C$247:$II$266,$F$8,AUX!$E$10+(AUX!$E$11*AUX!O$2))))</f>
        <v>--</v>
      </c>
      <c r="L24" s="235" t="str">
        <f>IF(INDEX($C$247:$II$266,$F$8,AUX!$E$10+(AUX!$E$11*AUX!P$2))="","--",IF(INDEX($C$247:$II$266,$F$8,AUX!$E$10+(AUX!$E$11*AUX!P$2))=0,"-",INDEX($C$247:$II$266,$F$8,AUX!$E$10+(AUX!$E$11*AUX!P$2))))</f>
        <v>--</v>
      </c>
      <c r="M24" s="236" t="str">
        <f>IF(INDEX($C$247:$II$266,$F$8,AUX!$E$10+(AUX!$E$11*AUX!Q$2))="","--",IF(INDEX($C$247:$II$266,$F$8,AUX!$E$10+(AUX!$E$11*AUX!Q$2))=0,"-",INDEX($C$247:$II$266,$F$8,AUX!$E$10+(AUX!$E$11*AUX!Q$2))))</f>
        <v>--</v>
      </c>
      <c r="N24" s="237"/>
      <c r="O24" s="238"/>
    </row>
    <row r="25" ht="15.75" customHeight="1">
      <c r="A25" s="230"/>
      <c r="B25" s="230"/>
      <c r="C25" s="648" t="s">
        <v>220</v>
      </c>
      <c r="D25" s="649"/>
      <c r="E25" s="649"/>
      <c r="F25" s="649"/>
      <c r="G25" s="649"/>
      <c r="H25" s="649"/>
      <c r="I25" s="649"/>
      <c r="J25" s="649"/>
      <c r="K25" s="649"/>
      <c r="L25" s="649"/>
      <c r="M25" s="650"/>
      <c r="N25" s="237"/>
      <c r="O25" s="227"/>
    </row>
    <row r="26" ht="15.75" customHeight="1">
      <c r="A26" s="124"/>
      <c r="B26" s="239"/>
      <c r="C26" s="234" t="str">
        <f>IF(INDEX($C$270:$II$289,$F$8,AUX!$E$10+(AUX!$E$11*AUX!G$2))="","--",IF(INDEX($C$270:$II$289,$F$8,AUX!$E$10+(AUX!$E$11*AUX!G$2))=0,"-",INDEX($C$270:$II$289,$F$8,AUX!$E$10+(AUX!$E$11*AUX!G$2))))</f>
        <v>--</v>
      </c>
      <c r="D26" s="235" t="str">
        <f>IF(INDEX($C$270:$II$289,$F$8,AUX!$E$10+(AUX!$E$11*AUX!H$2))="","--",IF(INDEX($C$270:$II$289,$F$8,AUX!$E$10+(AUX!$E$11*AUX!H$2))=0,"-",INDEX($C$270:$II$289,$F$8,AUX!$E$10+(AUX!$E$11*AUX!H$2))))</f>
        <v>--</v>
      </c>
      <c r="E26" s="235" t="str">
        <f>IF(INDEX($C$270:$II$289,$F$8,AUX!$E$10+(AUX!$E$11*AUX!I$2))="","--",IF(INDEX($C$270:$II$289,$F$8,AUX!$E$10+(AUX!$E$11*AUX!I$2))=0,"-",INDEX($C$270:$II$289,$F$8,AUX!$E$10+(AUX!$E$11*AUX!I$2))))</f>
        <v>--</v>
      </c>
      <c r="F26" s="235" t="str">
        <f>IF(INDEX($C$270:$II$289,$F$8,AUX!$E$10+(AUX!$E$11*AUX!J$2))="","--",IF(INDEX($C$270:$II$289,$F$8,AUX!$E$10+(AUX!$E$11*AUX!J$2))=0,"-",INDEX($C$270:$II$289,$F$8,AUX!$E$10+(AUX!$E$11*AUX!J$2))))</f>
        <v>--</v>
      </c>
      <c r="G26" s="235" t="str">
        <f>IF(INDEX($C$270:$II$289,$F$8,AUX!$E$10+(AUX!$E$11*AUX!K$2))="","--",IF(INDEX($C$270:$II$289,$F$8,AUX!$E$10+(AUX!$E$11*AUX!K$2))=0,"-",INDEX($C$270:$II$289,$F$8,AUX!$E$10+(AUX!$E$11*AUX!K$2))))</f>
        <v>--</v>
      </c>
      <c r="H26" s="235" t="str">
        <f>IF(INDEX($C$270:$II$289,$F$8,AUX!$E$10+(AUX!$E$11*AUX!L$2))="","--",IF(INDEX($C$270:$II$289,$F$8,AUX!$E$10+(AUX!$E$11*AUX!L$2))=0,"-",INDEX($C$270:$II$289,$F$8,AUX!$E$10+(AUX!$E$11*AUX!L$2))))</f>
        <v>--</v>
      </c>
      <c r="I26" s="235" t="str">
        <f>IF(INDEX($C$270:$II$289,$F$8,AUX!$E$10+(AUX!$E$11*AUX!M$2))="","--",IF(INDEX($C$270:$II$289,$F$8,AUX!$E$10+(AUX!$E$11*AUX!M$2))=0,"-",INDEX($C$270:$II$289,$F$8,AUX!$E$10+(AUX!$E$11*AUX!M$2))))</f>
        <v>--</v>
      </c>
      <c r="J26" s="235" t="str">
        <f>IF(INDEX($C$270:$II$289,$F$8,AUX!$E$10+(AUX!$E$11*AUX!N$2))="","--",IF(INDEX($C$270:$II$289,$F$8,AUX!$E$10+(AUX!$E$11*AUX!N$2))=0,"-",INDEX($C$270:$II$289,$F$8,AUX!$E$10+(AUX!$E$11*AUX!N$2))))</f>
        <v>--</v>
      </c>
      <c r="K26" s="235" t="str">
        <f>IF(INDEX($C$270:$II$289,$F$8,AUX!$E$10+(AUX!$E$11*AUX!O$2))="","--",IF(INDEX($C$270:$II$289,$F$8,AUX!$E$10+(AUX!$E$11*AUX!O$2))=0,"-",INDEX($C$270:$II$289,$F$8,AUX!$E$10+(AUX!$E$11*AUX!O$2))))</f>
        <v>--</v>
      </c>
      <c r="L26" s="235" t="str">
        <f>IF(INDEX($C$270:$II$289,$F$8,AUX!$E$10+(AUX!$E$11*AUX!P$2))="","--",IF(INDEX($C$270:$II$289,$F$8,AUX!$E$10+(AUX!$E$11*AUX!P$2))=0,"-",INDEX($C$270:$II$289,$F$8,AUX!$E$10+(AUX!$E$11*AUX!P$2))))</f>
        <v>--</v>
      </c>
      <c r="M26" s="236" t="str">
        <f>IF(INDEX($C$270:$II$289,$F$8,AUX!$E$10+(AUX!$E$11*AUX!Q$2))="","--",IF(INDEX($C$270:$II$289,$F$8,AUX!$E$10+(AUX!$E$11*AUX!Q$2))=0,"-",INDEX($C$270:$II$289,$F$8,AUX!$E$10+(AUX!$E$11*AUX!Q$2))))</f>
        <v>--</v>
      </c>
      <c r="N26" s="237"/>
      <c r="O26" s="238"/>
    </row>
    <row r="27" ht="15.75" customHeight="1">
      <c r="A27" s="230"/>
      <c r="B27" s="230"/>
      <c r="C27" s="648" t="s">
        <v>221</v>
      </c>
      <c r="D27" s="649"/>
      <c r="E27" s="649"/>
      <c r="F27" s="649"/>
      <c r="G27" s="649"/>
      <c r="H27" s="649"/>
      <c r="I27" s="649"/>
      <c r="J27" s="649"/>
      <c r="K27" s="649"/>
      <c r="L27" s="649"/>
      <c r="M27" s="650"/>
      <c r="N27" s="237"/>
      <c r="O27" s="227"/>
    </row>
    <row r="28" ht="15.75" customHeight="1">
      <c r="A28" s="124"/>
      <c r="B28" s="239"/>
      <c r="C28" s="234" t="str">
        <f>IF(INDEX($C$293:$II$312,$F$8,AUX!$E$10+(AUX!$E$11*AUX!G$2))="","--",IF(INDEX($C$293:$II$312,$F$8,AUX!$E$10+(AUX!$E$11*AUX!G$2))=0,"-",INDEX($C$293:$II$312,$F$8,AUX!$E$10+(AUX!$E$11*AUX!G$2))))</f>
        <v>--</v>
      </c>
      <c r="D28" s="235" t="str">
        <f>IF(INDEX($C$293:$II$312,$F$8,AUX!$E$10+(AUX!$E$11*AUX!H$2))="","--",IF(INDEX($C$293:$II$312,$F$8,AUX!$E$10+(AUX!$E$11*AUX!H$2))=0,"-",INDEX($C$293:$II$312,$F$8,AUX!$E$10+(AUX!$E$11*AUX!H$2))))</f>
        <v>--</v>
      </c>
      <c r="E28" s="235" t="str">
        <f>IF(INDEX($C$293:$II$312,$F$8,AUX!$E$10+(AUX!$E$11*AUX!I$2))="","--",IF(INDEX($C$293:$II$312,$F$8,AUX!$E$10+(AUX!$E$11*AUX!I$2))=0,"-",INDEX($C$293:$II$312,$F$8,AUX!$E$10+(AUX!$E$11*AUX!I$2))))</f>
        <v>--</v>
      </c>
      <c r="F28" s="235" t="str">
        <f>IF(INDEX($C$293:$II$312,$F$8,AUX!$E$10+(AUX!$E$11*AUX!J$2))="","--",IF(INDEX($C$293:$II$312,$F$8,AUX!$E$10+(AUX!$E$11*AUX!J$2))=0,"-",INDEX($C$293:$II$312,$F$8,AUX!$E$10+(AUX!$E$11*AUX!J$2))))</f>
        <v>--</v>
      </c>
      <c r="G28" s="235" t="str">
        <f>IF(INDEX($C$293:$II$312,$F$8,AUX!$E$10+(AUX!$E$11*AUX!K$2))="","--",IF(INDEX($C$293:$II$312,$F$8,AUX!$E$10+(AUX!$E$11*AUX!K$2))=0,"-",INDEX($C$293:$II$312,$F$8,AUX!$E$10+(AUX!$E$11*AUX!K$2))))</f>
        <v>--</v>
      </c>
      <c r="H28" s="235" t="str">
        <f>IF(INDEX($C$293:$II$312,$F$8,AUX!$E$10+(AUX!$E$11*AUX!L$2))="","--",IF(INDEX($C$293:$II$312,$F$8,AUX!$E$10+(AUX!$E$11*AUX!L$2))=0,"-",INDEX($C$293:$II$312,$F$8,AUX!$E$10+(AUX!$E$11*AUX!L$2))))</f>
        <v>--</v>
      </c>
      <c r="I28" s="235" t="str">
        <f>IF(INDEX($C$293:$II$312,$F$8,AUX!$E$10+(AUX!$E$11*AUX!M$2))="","--",IF(INDEX($C$293:$II$312,$F$8,AUX!$E$10+(AUX!$E$11*AUX!M$2))=0,"-",INDEX($C$293:$II$312,$F$8,AUX!$E$10+(AUX!$E$11*AUX!M$2))))</f>
        <v>--</v>
      </c>
      <c r="J28" s="235" t="str">
        <f>IF(INDEX($C$293:$II$312,$F$8,AUX!$E$10+(AUX!$E$11*AUX!N$2))="","--",IF(INDEX($C$293:$II$312,$F$8,AUX!$E$10+(AUX!$E$11*AUX!N$2))=0,"-",INDEX($C$293:$II$312,$F$8,AUX!$E$10+(AUX!$E$11*AUX!N$2))))</f>
        <v>--</v>
      </c>
      <c r="K28" s="235" t="str">
        <f>IF(INDEX($C$293:$II$312,$F$8,AUX!$E$10+(AUX!$E$11*AUX!O$2))="","--",IF(INDEX($C$293:$II$312,$F$8,AUX!$E$10+(AUX!$E$11*AUX!O$2))=0,"-",INDEX($C$293:$II$312,$F$8,AUX!$E$10+(AUX!$E$11*AUX!O$2))))</f>
        <v>--</v>
      </c>
      <c r="L28" s="235" t="str">
        <f>IF(INDEX($C$293:$II$312,$F$8,AUX!$E$10+(AUX!$E$11*AUX!P$2))="","--",IF(INDEX($C$293:$II$312,$F$8,AUX!$E$10+(AUX!$E$11*AUX!P$2))=0,"-",INDEX($C$293:$II$312,$F$8,AUX!$E$10+(AUX!$E$11*AUX!P$2))))</f>
        <v>--</v>
      </c>
      <c r="M28" s="236" t="str">
        <f>IF(INDEX($C$293:$II$312,$F$8,AUX!$E$10+(AUX!$E$11*AUX!Q$2))="","--",IF(INDEX($C$293:$II$312,$F$8,AUX!$E$10+(AUX!$E$11*AUX!Q$2))=0,"-",INDEX($C$293:$II$312,$F$8,AUX!$E$10+(AUX!$E$11*AUX!Q$2))))</f>
        <v>--</v>
      </c>
      <c r="N28" s="237"/>
      <c r="O28" s="238"/>
    </row>
    <row r="29" ht="15.75" customHeight="1">
      <c r="A29" s="230"/>
      <c r="B29" s="230"/>
      <c r="C29" s="648" t="s">
        <v>7</v>
      </c>
      <c r="D29" s="649"/>
      <c r="E29" s="649"/>
      <c r="F29" s="649"/>
      <c r="G29" s="649"/>
      <c r="H29" s="649"/>
      <c r="I29" s="649"/>
      <c r="J29" s="649"/>
      <c r="K29" s="649"/>
      <c r="L29" s="649"/>
      <c r="M29" s="650"/>
      <c r="N29" s="237"/>
      <c r="O29" s="227"/>
    </row>
    <row r="30" ht="15.75" customHeight="1">
      <c r="A30" s="124"/>
      <c r="B30" s="239"/>
      <c r="C30" s="240" t="str">
        <f>IF(INDEX($C$316:$II$335,$F$8,AUX!$E$10+(AUX!$E$11*AUX!G$2))="","--",IF(INDEX($C$316:$II$335,$F$8,AUX!$E$10+(AUX!$E$11*AUX!G$2))=0,"-",INDEX($C$316:$II$335,$F$8,AUX!$E$10+(AUX!$E$11*AUX!G$2))))</f>
        <v>--</v>
      </c>
      <c r="D30" s="241" t="str">
        <f>IF(INDEX($C$316:$II$335,$F$8,AUX!$E$10+(AUX!$E$11*AUX!H$2))="","--",IF(INDEX($C$316:$II$335,$F$8,AUX!$E$10+(AUX!$E$11*AUX!H$2))=0,"-",INDEX($C$316:$II$335,$F$8,AUX!$E$10+(AUX!$E$11*AUX!H$2))))</f>
        <v>--</v>
      </c>
      <c r="E30" s="241" t="str">
        <f>IF(INDEX($C$316:$II$335,$F$8,AUX!$E$10+(AUX!$E$11*AUX!I$2))="","--",IF(INDEX($C$316:$II$335,$F$8,AUX!$E$10+(AUX!$E$11*AUX!I$2))=0,"-",INDEX($C$316:$II$335,$F$8,AUX!$E$10+(AUX!$E$11*AUX!I$2))))</f>
        <v>--</v>
      </c>
      <c r="F30" s="241" t="str">
        <f>IF(INDEX($C$316:$II$335,$F$8,AUX!$E$10+(AUX!$E$11*AUX!J$2))="","--",IF(INDEX($C$316:$II$335,$F$8,AUX!$E$10+(AUX!$E$11*AUX!J$2))=0,"-",INDEX($C$316:$II$335,$F$8,AUX!$E$10+(AUX!$E$11*AUX!J$2))))</f>
        <v>--</v>
      </c>
      <c r="G30" s="241" t="str">
        <f>IF(INDEX($C$316:$II$335,$F$8,AUX!$E$10+(AUX!$E$11*AUX!K$2))="","--",IF(INDEX($C$316:$II$335,$F$8,AUX!$E$10+(AUX!$E$11*AUX!K$2))=0,"-",INDEX($C$316:$II$335,$F$8,AUX!$E$10+(AUX!$E$11*AUX!K$2))))</f>
        <v>--</v>
      </c>
      <c r="H30" s="241" t="str">
        <f>IF(INDEX($C$316:$II$335,$F$8,AUX!$E$10+(AUX!$E$11*AUX!L$2))="","--",IF(INDEX($C$316:$II$335,$F$8,AUX!$E$10+(AUX!$E$11*AUX!L$2))=0,"-",INDEX($C$316:$II$335,$F$8,AUX!$E$10+(AUX!$E$11*AUX!L$2))))</f>
        <v>--</v>
      </c>
      <c r="I30" s="241" t="str">
        <f>IF(INDEX($C$316:$II$335,$F$8,AUX!$E$10+(AUX!$E$11*AUX!M$2))="","--",IF(INDEX($C$316:$II$335,$F$8,AUX!$E$10+(AUX!$E$11*AUX!M$2))=0,"-",INDEX($C$316:$II$335,$F$8,AUX!$E$10+(AUX!$E$11*AUX!M$2))))</f>
        <v>--</v>
      </c>
      <c r="J30" s="241" t="str">
        <f>IF(INDEX($C$316:$II$335,$F$8,AUX!$E$10+(AUX!$E$11*AUX!N$2))="","--",IF(INDEX($C$316:$II$335,$F$8,AUX!$E$10+(AUX!$E$11*AUX!N$2))=0,"-",INDEX($C$316:$II$335,$F$8,AUX!$E$10+(AUX!$E$11*AUX!N$2))))</f>
        <v>--</v>
      </c>
      <c r="K30" s="241" t="str">
        <f>IF(INDEX($C$316:$II$335,$F$8,AUX!$E$10+(AUX!$E$11*AUX!O$2))="","--",IF(INDEX($C$316:$II$335,$F$8,AUX!$E$10+(AUX!$E$11*AUX!O$2))=0,"-",INDEX($C$316:$II$335,$F$8,AUX!$E$10+(AUX!$E$11*AUX!O$2))))</f>
        <v>--</v>
      </c>
      <c r="L30" s="241" t="str">
        <f>IF(INDEX($C$316:$II$335,$F$8,AUX!$E$10+(AUX!$E$11*AUX!P$2))="","--",IF(INDEX($C$316:$II$335,$F$8,AUX!$E$10+(AUX!$E$11*AUX!P$2))=0,"-",INDEX($C$316:$II$335,$F$8,AUX!$E$10+(AUX!$E$11*AUX!P$2))))</f>
        <v>--</v>
      </c>
      <c r="M30" s="242" t="str">
        <f>IF(INDEX($C$316:$II$335,$F$8,AUX!$E$10+(AUX!$E$11*AUX!Q$2))="","--",IF(INDEX($C$316:$II$335,$F$8,AUX!$E$10+(AUX!$E$11*AUX!Q$2))=0,"-",INDEX($C$316:$II$335,$F$8,AUX!$E$10+(AUX!$E$11*AUX!Q$2))))</f>
        <v>--</v>
      </c>
      <c r="N30" s="237"/>
      <c r="O30" s="238"/>
    </row>
    <row r="31" ht="16.5" customHeight="1">
      <c r="C31" s="652" t="s">
        <v>222</v>
      </c>
      <c r="D31" s="652"/>
      <c r="E31" s="652"/>
      <c r="F31" s="652"/>
      <c r="G31" s="652"/>
      <c r="H31" s="652"/>
      <c r="I31" s="652"/>
      <c r="J31" s="652"/>
      <c r="K31" s="652"/>
      <c r="L31" s="652"/>
      <c r="M31" s="652"/>
      <c r="N31" s="90"/>
      <c r="O31" s="90"/>
    </row>
    <row r="32" ht="16.5" customHeight="1">
      <c r="C32" s="651" t="s">
        <v>223</v>
      </c>
      <c r="D32" s="651"/>
      <c r="E32" s="651"/>
      <c r="F32" s="651"/>
      <c r="G32" s="651"/>
      <c r="H32" s="651"/>
      <c r="I32" s="651"/>
      <c r="J32" s="651"/>
      <c r="K32" s="651"/>
      <c r="L32" s="651"/>
      <c r="M32" s="651"/>
      <c r="N32" s="91"/>
      <c r="O32" s="91"/>
    </row>
    <row r="33">
      <c r="C33" s="651"/>
      <c r="D33" s="651"/>
      <c r="E33" s="651"/>
      <c r="F33" s="651"/>
      <c r="G33" s="651"/>
      <c r="H33" s="651"/>
      <c r="I33" s="651"/>
      <c r="J33" s="651"/>
      <c r="K33" s="651"/>
      <c r="L33" s="651"/>
      <c r="M33" s="651"/>
      <c r="N33" s="91"/>
      <c r="O33" s="91"/>
    </row>
    <row r="34">
      <c r="I34" s="173"/>
      <c r="J34" s="173"/>
      <c r="K34" s="173"/>
      <c r="L34" s="173"/>
      <c r="M34" s="91"/>
      <c r="N34" s="91"/>
      <c r="O34" s="91"/>
    </row>
    <row r="35">
      <c r="I35" s="173"/>
      <c r="J35" s="173"/>
      <c r="K35" s="173"/>
      <c r="L35" s="173"/>
      <c r="M35" s="91"/>
      <c r="N35" s="91"/>
      <c r="O35" s="91"/>
    </row>
    <row r="53">
      <c r="A53" s="58"/>
      <c r="B53" s="58"/>
      <c r="C53" s="58"/>
    </row>
    <row r="104">
      <c r="D104" s="243" t="s">
        <v>224</v>
      </c>
    </row>
    <row r="130">
      <c r="D130" s="131">
        <v>7</v>
      </c>
    </row>
    <row r="132">
      <c r="D132" s="51" t="s">
        <v>216</v>
      </c>
    </row>
    <row r="133">
      <c r="D133" s="51" t="s">
        <v>217</v>
      </c>
    </row>
    <row r="134">
      <c r="D134" s="51" t="s">
        <v>225</v>
      </c>
    </row>
    <row r="135">
      <c r="D135" s="51" t="s">
        <v>226</v>
      </c>
    </row>
    <row r="136">
      <c r="D136" s="51" t="s">
        <v>220</v>
      </c>
    </row>
    <row r="137">
      <c r="D137" s="51" t="s">
        <v>221</v>
      </c>
    </row>
    <row r="138">
      <c r="D138" s="51" t="s">
        <v>7</v>
      </c>
    </row>
    <row r="175">
      <c r="K175" s="50"/>
      <c r="L175" s="50"/>
      <c r="N175" s="217"/>
      <c r="O175" s="217"/>
    </row>
    <row r="176" hidden="1" ht="13.5">
      <c r="A176" s="138"/>
      <c r="B176" s="244"/>
      <c r="C176" s="645" t="s">
        <v>216</v>
      </c>
      <c r="D176" s="646"/>
      <c r="E176" s="646"/>
      <c r="F176" s="646"/>
      <c r="G176" s="646"/>
      <c r="H176" s="646"/>
      <c r="I176" s="646"/>
      <c r="J176" s="646"/>
      <c r="K176" s="646"/>
      <c r="L176" s="646"/>
      <c r="M176" s="646"/>
      <c r="N176" s="646"/>
      <c r="O176" s="646"/>
      <c r="P176" s="646"/>
      <c r="Q176" s="646"/>
      <c r="R176" s="646"/>
      <c r="S176" s="646"/>
      <c r="T176" s="646"/>
      <c r="U176" s="646"/>
      <c r="V176" s="646"/>
      <c r="W176" s="646"/>
      <c r="X176" s="646"/>
      <c r="Y176" s="646"/>
      <c r="Z176" s="646"/>
      <c r="AA176" s="646"/>
      <c r="AB176" s="647"/>
    </row>
    <row r="177" hidden="1" ht="13.5">
      <c r="A177" s="138"/>
      <c r="C177" s="435" t="str">
        <f> IF(C197&lt;&gt;"",TEXT(AUX!G$1,"dd-MMM-aa"),"")</f>
      </c>
      <c r="D177" s="435" t="str">
        <f> IF(D197&lt;&gt;"",TEXT(AUX!H$1,"dd-MMM-aa"),"")</f>
      </c>
      <c r="E177" s="435" t="str">
        <f> IF(E197&lt;&gt;"",TEXT(AUX!I$1,"dd-MMM-aa"),"")</f>
      </c>
      <c r="F177" s="435" t="str">
        <f> IF(F197&lt;&gt;"",TEXT(AUX!J$1,"dd-MMM-aa"),"")</f>
      </c>
      <c r="G177" s="435" t="str">
        <f> IF(G197&lt;&gt;"",TEXT(AUX!K$1,"dd-MMM-aa"),"")</f>
      </c>
      <c r="H177" s="435" t="str">
        <f> IF(H197&lt;&gt;"",TEXT(AUX!L$1,"dd-MMM-aa"),"")</f>
      </c>
      <c r="I177" s="435" t="str">
        <f> IF(I197&lt;&gt;"",TEXT(AUX!M$1,"dd-MMM-aa"),"")</f>
      </c>
      <c r="J177" s="435" t="str">
        <f> IF(J197&lt;&gt;"",TEXT(AUX!N$1,"dd-MMM-aa"),"")</f>
      </c>
      <c r="K177" s="435" t="str">
        <f> IF(K197&lt;&gt;"",TEXT(AUX!O$1,"dd-MMM-aa"),"")</f>
      </c>
      <c r="L177" s="435" t="str">
        <f> IF(L197&lt;&gt;"",TEXT(AUX!P$1,"dd-MMM-aa"),"")</f>
      </c>
      <c r="M177" s="435" t="str">
        <f> IF(M197&lt;&gt;"",TEXT(AUX!Q$1,"dd-MMM-aa"),"")</f>
      </c>
      <c r="N177" s="435" t="str">
        <f> IF(N197&lt;&gt;"",TEXT(AUX!R$1,"dd-MMM-aa"),"")</f>
      </c>
      <c r="O177" s="435" t="str">
        <f> IF(O197&lt;&gt;"",TEXT(AUX!S$1,"dd-MMM-aa"),"")</f>
      </c>
      <c r="P177" s="435" t="str">
        <f> IF(P197&lt;&gt;"",TEXT(AUX!T$1,"dd-MMM-aa"),"")</f>
      </c>
      <c r="Q177" s="435" t="str">
        <f> IF(Q197&lt;&gt;"",TEXT(AUX!U$1,"dd-MMM-aa"),"")</f>
      </c>
      <c r="R177" s="435" t="str">
        <f> IF(R197&lt;&gt;"",TEXT(AUX!V$1,"dd-MMM-aa"),"")</f>
      </c>
      <c r="S177" s="435" t="str">
        <f> IF(S197&lt;&gt;"",TEXT(AUX!W$1,"dd-MMM-aa"),"")</f>
      </c>
      <c r="T177" s="435" t="str">
        <f> IF(T197&lt;&gt;"",TEXT(AUX!X$1,"dd-MMM-aa"),"")</f>
      </c>
      <c r="U177" s="435" t="str">
        <f> IF(U197&lt;&gt;"",TEXT(AUX!Y$1,"dd-MMM-aa"),"")</f>
      </c>
      <c r="V177" s="435" t="str">
        <f> IF(V197&lt;&gt;"",TEXT(AUX!Z$1,"dd-MMM-aa"),"")</f>
      </c>
      <c r="W177" s="435" t="str">
        <f> IF(W197&lt;&gt;"",TEXT(AUX!AA$1,"dd-MMM-aa"),"")</f>
      </c>
      <c r="X177" s="435" t="str">
        <f> IF(X197&lt;&gt;"",TEXT(AUX!AB$1,"dd-MMM-aa"),"")</f>
      </c>
      <c r="Y177" s="435" t="str">
        <f> IF(Y197&lt;&gt;"",TEXT(AUX!AC$1,"dd-MMM-aa"),"")</f>
      </c>
      <c r="Z177" s="435" t="str">
        <f> IF(Z197&lt;&gt;"",TEXT(AUX!AD$1,"dd-MMM-aa"),"")</f>
      </c>
      <c r="AA177" s="435" t="str">
        <f> IF(AA197&lt;&gt;"",TEXT(AUX!AE$1,"dd-MMM-aa"),"")</f>
      </c>
      <c r="AB177" s="497" t="str">
        <f> IF(AB197&lt;&gt;"",TEXT(AUX!AF$1,"dd-MMM-aa"),"")</f>
      </c>
      <c r="AC177" s="496" t="str">
        <f> IF(AC197&lt;&gt;"",TEXT(AUX!AG$1,"dd-MMM-aa"),"")</f>
      </c>
      <c r="AD177" s="496" t="str">
        <f> IF(AD197&lt;&gt;"",TEXT(AUX!AH$1,"dd-MMM-aa"),"")</f>
      </c>
      <c r="AE177" s="496" t="str">
        <f> IF(AE197&lt;&gt;"",TEXT(AUX!AI$1,"dd-MMM-aa"),"")</f>
      </c>
      <c r="AF177" s="496" t="str">
        <f> IF(AF197&lt;&gt;"",TEXT(AUX!AJ$1,"dd-MMM-aa"),"")</f>
      </c>
      <c r="AG177" s="496" t="str">
        <f> IF(AG197&lt;&gt;"",TEXT(AUX!AK$1,"dd-MMM-aa"),"")</f>
      </c>
      <c r="AH177" s="496" t="str">
        <f> IF(AH197&lt;&gt;"",TEXT(AUX!AL$1,"dd-MMM-aa"),"")</f>
      </c>
      <c r="AI177" s="496" t="str">
        <f> IF(AI197&lt;&gt;"",TEXT(AUX!AM$1,"dd-MMM-aa"),"")</f>
      </c>
      <c r="AJ177" s="496" t="str">
        <f> IF(AJ197&lt;&gt;"",TEXT(AUX!AN$1,"dd-MMM-aa"),"")</f>
      </c>
      <c r="AK177" s="496" t="str">
        <f> IF(AK197&lt;&gt;"",TEXT(AUX!AO$1,"dd-MMM-aa"),"")</f>
      </c>
      <c r="AL177" s="496" t="str">
        <f> IF(AL197&lt;&gt;"",TEXT(AUX!AP$1,"dd-MMM-aa"),"")</f>
      </c>
      <c r="AM177" s="496" t="str">
        <f> IF(AM197&lt;&gt;"",TEXT(AUX!AQ$1,"dd-MMM-aa"),"")</f>
      </c>
      <c r="AN177" s="496" t="str">
        <f> IF(AN197&lt;&gt;"",TEXT(AUX!AR$1,"dd-MMM-aa"),"")</f>
      </c>
      <c r="AO177" s="496" t="str">
        <f> IF(AO197&lt;&gt;"",TEXT(AUX!AS$1,"dd-MMM-aa"),"")</f>
      </c>
      <c r="AP177" s="496" t="str">
        <f> IF(AP197&lt;&gt;"",TEXT(AUX!AT$1,"dd-MMM-aa"),"")</f>
      </c>
      <c r="AQ177" s="496" t="str">
        <f> IF(AQ197&lt;&gt;"",TEXT(AUX!AU$1,"dd-MMM-aa"),"")</f>
      </c>
      <c r="AR177" s="496" t="str">
        <f> IF(AR197&lt;&gt;"",TEXT(AUX!AV$1,"dd-MMM-aa"),"")</f>
      </c>
      <c r="AS177" s="496" t="str">
        <f> IF(AS197&lt;&gt;"",TEXT(AUX!AW$1,"dd-MMM-aa"),"")</f>
      </c>
      <c r="AT177" s="496" t="str">
        <f> IF(AT197&lt;&gt;"",TEXT(AUX!AX$1,"dd-MMM-aa"),"")</f>
      </c>
      <c r="AU177" s="496" t="str">
        <f> IF(AU197&lt;&gt;"",TEXT(AUX!AY$1,"dd-MMM-aa"),"")</f>
      </c>
      <c r="AV177" s="496" t="str">
        <f> IF(AV197&lt;&gt;"",TEXT(AUX!AZ$1,"dd-MMM-aa"),"")</f>
      </c>
      <c r="AW177" s="496" t="str">
        <f> IF(AW197&lt;&gt;"",TEXT(AUX!BA$1,"dd-MMM-aa"),"")</f>
      </c>
      <c r="AX177" s="496" t="str">
        <f> IF(AX197&lt;&gt;"",TEXT(AUX!BB$1,"dd-MMM-aa"),"")</f>
      </c>
      <c r="AY177" s="496" t="str">
        <f> IF(AY197&lt;&gt;"",TEXT(AUX!BC$1,"dd-MMM-aa"),"")</f>
      </c>
      <c r="AZ177" s="496" t="str">
        <f> IF(AZ197&lt;&gt;"",TEXT(AUX!BD$1,"dd-MMM-aa"),"")</f>
      </c>
      <c r="BA177" s="496" t="str">
        <f> IF(BA197&lt;&gt;"",TEXT(AUX!BE$1,"dd-MMM-aa"),"")</f>
      </c>
      <c r="BB177" s="496" t="str">
        <f> IF(BB197&lt;&gt;"",TEXT(AUX!BF$1,"dd-MMM-aa"),"")</f>
      </c>
      <c r="BC177" s="496" t="str">
        <f> IF(BC197&lt;&gt;"",TEXT(AUX!BG$1,"dd-MMM-aa"),"")</f>
      </c>
      <c r="BD177" s="496" t="str">
        <f> IF(BD197&lt;&gt;"",TEXT(AUX!BH$1,"dd-MMM-aa"),"")</f>
      </c>
      <c r="BE177" s="496" t="str">
        <f> IF(BE197&lt;&gt;"",TEXT(AUX!BI$1,"dd-MMM-aa"),"")</f>
      </c>
      <c r="BF177" s="496" t="str">
        <f> IF(BF197&lt;&gt;"",TEXT(AUX!BJ$1,"dd-MMM-aa"),"")</f>
      </c>
      <c r="BG177" s="496" t="str">
        <f> IF(BG197&lt;&gt;"",TEXT(AUX!BK$1,"dd-MMM-aa"),"")</f>
      </c>
      <c r="BH177" s="496" t="str">
        <f> IF(BH197&lt;&gt;"",TEXT(AUX!BL$1,"dd-MMM-aa"),"")</f>
      </c>
      <c r="BI177" s="496" t="str">
        <f> IF(BI197&lt;&gt;"",TEXT(AUX!BM$1,"dd-MMM-aa"),"")</f>
      </c>
      <c r="BJ177" s="496" t="str">
        <f> IF(BJ197&lt;&gt;"",TEXT(AUX!BN$1,"dd-MMM-aa"),"")</f>
      </c>
      <c r="BK177" s="496" t="str">
        <f> IF(BK197&lt;&gt;"",TEXT(AUX!BO$1,"dd-MMM-aa"),"")</f>
      </c>
      <c r="BL177" s="496" t="str">
        <f> IF(BL197&lt;&gt;"",TEXT(AUX!BP$1,"dd-MMM-aa"),"")</f>
      </c>
      <c r="BM177" s="496" t="str">
        <f> IF(BM197&lt;&gt;"",TEXT(AUX!BQ$1,"dd-MMM-aa"),"")</f>
      </c>
      <c r="BN177" s="496" t="str">
        <f> IF(BN197&lt;&gt;"",TEXT(AUX!BR$1,"dd-MMM-aa"),"")</f>
      </c>
      <c r="BO177" s="496" t="str">
        <f> IF(BO197&lt;&gt;"",TEXT(AUX!BS$1,"dd-MMM-aa"),"")</f>
      </c>
      <c r="BP177" s="496" t="str">
        <f> IF(BP197&lt;&gt;"",TEXT(AUX!BT$1,"dd-MMM-aa"),"")</f>
      </c>
      <c r="BQ177" s="496" t="str">
        <f> IF(BQ197&lt;&gt;"",TEXT(AUX!BU$1,"dd-MMM-aa"),"")</f>
      </c>
      <c r="BR177" s="496" t="str">
        <f> IF(BR197&lt;&gt;"",TEXT(AUX!BV$1,"dd-MMM-aa"),"")</f>
      </c>
      <c r="BS177" s="496" t="str">
        <f> IF(BS197&lt;&gt;"",TEXT(AUX!BW$1,"dd-MMM-aa"),"")</f>
      </c>
      <c r="BT177" s="496" t="str">
        <f> IF(BT197&lt;&gt;"",TEXT(AUX!BX$1,"dd-MMM-aa"),"")</f>
      </c>
      <c r="BU177" s="496" t="str">
        <f> IF(BU197&lt;&gt;"",TEXT(AUX!BY$1,"dd-MMM-aa"),"")</f>
      </c>
      <c r="BV177" s="496" t="str">
        <f> IF(BV197&lt;&gt;"",TEXT(AUX!BZ$1,"dd-MMM-aa"),"")</f>
      </c>
      <c r="BW177" s="496" t="str">
        <f> IF(BW197&lt;&gt;"",TEXT(AUX!CA$1,"dd-MMM-aa"),"")</f>
      </c>
      <c r="BX177" s="496" t="str">
        <f> IF(BX197&lt;&gt;"",TEXT(AUX!CB$1,"dd-MMM-aa"),"")</f>
      </c>
      <c r="BY177" s="496" t="str">
        <f> IF(BY197&lt;&gt;"",TEXT(AUX!CC$1,"dd-MMM-aa"),"")</f>
      </c>
      <c r="BZ177" s="496" t="str">
        <f> IF(BZ197&lt;&gt;"",TEXT(AUX!CD$1,"dd-MMM-aa"),"")</f>
      </c>
      <c r="CA177" s="496" t="str">
        <f> IF(CA197&lt;&gt;"",TEXT(AUX!CE$1,"dd-MMM-aa"),"")</f>
      </c>
      <c r="CB177" s="496" t="str">
        <f> IF(CB197&lt;&gt;"",TEXT(AUX!CF$1,"dd-MMM-aa"),"")</f>
      </c>
      <c r="CC177" s="496" t="str">
        <f> IF(CC197&lt;&gt;"",TEXT(AUX!CG$1,"dd-MMM-aa"),"")</f>
      </c>
      <c r="CD177" s="496" t="str">
        <f> IF(CD197&lt;&gt;"",TEXT(AUX!CH$1,"dd-MMM-aa"),"")</f>
      </c>
      <c r="CE177" s="496" t="str">
        <f> IF(CE197&lt;&gt;"",TEXT(AUX!CI$1,"dd-MMM-aa"),"")</f>
      </c>
      <c r="CF177" s="496" t="str">
        <f> IF(CF197&lt;&gt;"",TEXT(AUX!CJ$1,"dd-MMM-aa"),"")</f>
      </c>
      <c r="CG177" s="496" t="str">
        <f> IF(CG197&lt;&gt;"",TEXT(AUX!CK$1,"dd-MMM-aa"),"")</f>
      </c>
      <c r="CH177" s="496" t="str">
        <f> IF(CH197&lt;&gt;"",TEXT(AUX!CL$1,"dd-MMM-aa"),"")</f>
      </c>
      <c r="CI177" s="496" t="str">
        <f> IF(CI197&lt;&gt;"",TEXT(AUX!CM$1,"dd-MMM-aa"),"")</f>
      </c>
      <c r="CJ177" s="496" t="str">
        <f> IF(CJ197&lt;&gt;"",TEXT(AUX!CN$1,"dd-MMM-aa"),"")</f>
      </c>
      <c r="CK177" s="496" t="str">
        <f> IF(CK197&lt;&gt;"",TEXT(AUX!CO$1,"dd-MMM-aa"),"")</f>
      </c>
      <c r="CL177" s="496" t="str">
        <f> IF(CL197&lt;&gt;"",TEXT(AUX!CP$1,"dd-MMM-aa"),"")</f>
      </c>
      <c r="CM177" s="496" t="str">
        <f> IF(CM197&lt;&gt;"",TEXT(AUX!CQ$1,"dd-MMM-aa"),"")</f>
      </c>
      <c r="CN177" s="496" t="str">
        <f> IF(CN197&lt;&gt;"",TEXT(AUX!CR$1,"dd-MMM-aa"),"")</f>
      </c>
      <c r="CO177" s="496" t="str">
        <f> IF(CO197&lt;&gt;"",TEXT(AUX!CS$1,"dd-MMM-aa"),"")</f>
      </c>
      <c r="CP177" s="496" t="str">
        <f> IF(CP197&lt;&gt;"",TEXT(AUX!CT$1,"dd-MMM-aa"),"")</f>
      </c>
      <c r="CQ177" s="496" t="str">
        <f> IF(CQ197&lt;&gt;"",TEXT(AUX!CU$1,"dd-MMM-aa"),"")</f>
      </c>
      <c r="CR177" s="496" t="str">
        <f> IF(CR197&lt;&gt;"",TEXT(AUX!CV$1,"dd-MMM-aa"),"")</f>
      </c>
      <c r="CS177" s="496" t="str">
        <f> IF(CS197&lt;&gt;"",TEXT(AUX!CW$1,"dd-MMM-aa"),"")</f>
      </c>
      <c r="CT177" s="496" t="str">
        <f> IF(CT197&lt;&gt;"",TEXT(AUX!CX$1,"dd-MMM-aa"),"")</f>
      </c>
      <c r="CU177" s="496" t="str">
        <f> IF(CU197&lt;&gt;"",TEXT(AUX!CY$1,"dd-MMM-aa"),"")</f>
      </c>
      <c r="CV177" s="496" t="str">
        <f> IF(CV197&lt;&gt;"",TEXT(AUX!CZ$1,"dd-MMM-aa"),"")</f>
      </c>
      <c r="CW177" s="496" t="str">
        <f> IF(CW197&lt;&gt;"",TEXT(AUX!DA$1,"dd-MMM-aa"),"")</f>
      </c>
      <c r="CX177" s="496" t="str">
        <f> IF(CX197&lt;&gt;"",TEXT(AUX!DB$1,"dd-MMM-aa"),"")</f>
      </c>
      <c r="CY177" s="496" t="str">
        <f> IF(CY197&lt;&gt;"",TEXT(AUX!DC$1,"dd-MMM-aa"),"")</f>
      </c>
      <c r="CZ177" s="496" t="str">
        <f> IF(CZ197&lt;&gt;"",TEXT(AUX!DD$1,"dd-MMM-aa"),"")</f>
      </c>
      <c r="DA177" s="496" t="str">
        <f> IF(DA197&lt;&gt;"",TEXT(AUX!DE$1,"dd-MMM-aa"),"")</f>
      </c>
      <c r="DB177" s="496" t="str">
        <f> IF(DB197&lt;&gt;"",TEXT(AUX!DF$1,"dd-MMM-aa"),"")</f>
      </c>
      <c r="DC177" s="496" t="str">
        <f> IF(DC197&lt;&gt;"",TEXT(AUX!DG$1,"dd-MMM-aa"),"")</f>
      </c>
      <c r="DD177" s="496" t="str">
        <f> IF(DD197&lt;&gt;"",TEXT(AUX!DH$1,"dd-MMM-aa"),"")</f>
      </c>
      <c r="DE177" s="496" t="str">
        <f> IF(DE197&lt;&gt;"",TEXT(AUX!DI$1,"dd-MMM-aa"),"")</f>
      </c>
      <c r="DF177" s="496" t="str">
        <f> IF(DF197&lt;&gt;"",TEXT(AUX!DJ$1,"dd-MMM-aa"),"")</f>
      </c>
      <c r="DG177" s="496" t="str">
        <f> IF(DG197&lt;&gt;"",TEXT(AUX!DK$1,"dd-MMM-aa"),"")</f>
      </c>
      <c r="DH177" s="496" t="str">
        <f> IF(DH197&lt;&gt;"",TEXT(AUX!DL$1,"dd-MMM-aa"),"")</f>
      </c>
      <c r="DI177" s="496" t="str">
        <f> IF(DI197&lt;&gt;"",TEXT(AUX!DM$1,"dd-MMM-aa"),"")</f>
      </c>
      <c r="DJ177" s="496" t="str">
        <f> IF(DJ197&lt;&gt;"",TEXT(AUX!DN$1,"dd-MMM-aa"),"")</f>
      </c>
      <c r="DK177" s="496" t="str">
        <f> IF(DK197&lt;&gt;"",TEXT(AUX!DO$1,"dd-MMM-aa"),"")</f>
      </c>
      <c r="DL177" s="496" t="str">
        <f> IF(DL197&lt;&gt;"",TEXT(AUX!DP$1,"dd-MMM-aa"),"")</f>
      </c>
      <c r="DM177" s="496" t="str">
        <f> IF(DM197&lt;&gt;"",TEXT(AUX!DQ$1,"dd-MMM-aa"),"")</f>
      </c>
      <c r="DN177" s="496" t="str">
        <f> IF(DN197&lt;&gt;"",TEXT(AUX!DR$1,"dd-MMM-aa"),"")</f>
      </c>
      <c r="DO177" s="496" t="str">
        <f> IF(DO197&lt;&gt;"",TEXT(AUX!DS$1,"dd-MMM-aa"),"")</f>
      </c>
      <c r="DP177" s="496" t="str">
        <f> IF(DP197&lt;&gt;"",TEXT(AUX!DT$1,"dd-MMM-aa"),"")</f>
      </c>
      <c r="DQ177" s="496" t="str">
        <f> IF(DQ197&lt;&gt;"",TEXT(AUX!DU$1,"dd-MMM-aa"),"")</f>
      </c>
      <c r="DR177" s="496" t="str">
        <f> IF(DR197&lt;&gt;"",TEXT(AUX!DV$1,"dd-MMM-aa"),"")</f>
      </c>
      <c r="DS177" s="496" t="str">
        <f> IF(DS197&lt;&gt;"",TEXT(AUX!DW$1,"dd-MMM-aa"),"")</f>
      </c>
      <c r="DT177" s="496" t="str">
        <f> IF(DT197&lt;&gt;"",TEXT(AUX!DX$1,"dd-MMM-aa"),"")</f>
      </c>
      <c r="DU177" s="496" t="str">
        <f> IF(DU197&lt;&gt;"",TEXT(AUX!DY$1,"dd-MMM-aa"),"")</f>
      </c>
      <c r="DV177" s="496" t="str">
        <f> IF(DV197&lt;&gt;"",TEXT(AUX!DZ$1,"dd-MMM-aa"),"")</f>
      </c>
      <c r="DW177" s="496" t="str">
        <f> IF(DW197&lt;&gt;"",TEXT(AUX!EA$1,"dd-MMM-aa"),"")</f>
      </c>
      <c r="DX177" s="496" t="str">
        <f> IF(DX197&lt;&gt;"",TEXT(AUX!EB$1,"dd-MMM-aa"),"")</f>
      </c>
      <c r="DY177" s="496" t="str">
        <f> IF(DY197&lt;&gt;"",TEXT(AUX!EC$1,"dd-MMM-aa"),"")</f>
      </c>
      <c r="DZ177" s="496" t="str">
        <f> IF(DZ197&lt;&gt;"",TEXT(AUX!ED$1,"dd-MMM-aa"),"")</f>
      </c>
      <c r="EA177" s="496" t="str">
        <f> IF(EA197&lt;&gt;"",TEXT(AUX!EE$1,"dd-MMM-aa"),"")</f>
      </c>
      <c r="EB177" s="496" t="str">
        <f> IF(EB197&lt;&gt;"",TEXT(AUX!EF$1,"dd-MMM-aa"),"")</f>
      </c>
      <c r="EC177" s="496" t="str">
        <f> IF(EC197&lt;&gt;"",TEXT(AUX!EG$1,"dd-MMM-aa"),"")</f>
      </c>
      <c r="ED177" s="496" t="str">
        <f> IF(ED197&lt;&gt;"",TEXT(AUX!EH$1,"dd-MMM-aa"),"")</f>
      </c>
      <c r="EE177" s="496" t="str">
        <f> IF(EE197&lt;&gt;"",TEXT(AUX!EI$1,"dd-MMM-aa"),"")</f>
      </c>
      <c r="EF177" s="496" t="str">
        <f> IF(EF197&lt;&gt;"",TEXT(AUX!EJ$1,"dd-MMM-aa"),"")</f>
      </c>
      <c r="EG177" s="496" t="str">
        <f> IF(EG197&lt;&gt;"",TEXT(AUX!EK$1,"dd-MMM-aa"),"")</f>
      </c>
      <c r="EH177" s="496" t="str">
        <f> IF(EH197&lt;&gt;"",TEXT(AUX!EL$1,"dd-MMM-aa"),"")</f>
      </c>
      <c r="EI177" s="496" t="str">
        <f> IF(EI197&lt;&gt;"",TEXT(AUX!EM$1,"dd-MMM-aa"),"")</f>
      </c>
      <c r="EJ177" s="496" t="str">
        <f> IF(EJ197&lt;&gt;"",TEXT(AUX!EN$1,"dd-MMM-aa"),"")</f>
      </c>
      <c r="EK177" s="496" t="str">
        <f> IF(EK197&lt;&gt;"",TEXT(AUX!EO$1,"dd-MMM-aa"),"")</f>
      </c>
      <c r="EL177" s="496" t="str">
        <f> IF(EL197&lt;&gt;"",TEXT(AUX!EP$1,"dd-MMM-aa"),"")</f>
      </c>
      <c r="EM177" s="496" t="str">
        <f> IF(EM197&lt;&gt;"",TEXT(AUX!EQ$1,"dd-MMM-aa"),"")</f>
      </c>
      <c r="EN177" s="496" t="str">
        <f> IF(EN197&lt;&gt;"",TEXT(AUX!ER$1,"dd-MMM-aa"),"")</f>
      </c>
      <c r="EO177" s="496" t="str">
        <f> IF(EO197&lt;&gt;"",TEXT(AUX!ES$1,"dd-MMM-aa"),"")</f>
      </c>
      <c r="EP177" s="496" t="str">
        <f> IF(EP197&lt;&gt;"",TEXT(AUX!ET$1,"dd-MMM-aa"),"")</f>
      </c>
      <c r="EQ177" s="496" t="str">
        <f> IF(EQ197&lt;&gt;"",TEXT(AUX!EU$1,"dd-MMM-aa"),"")</f>
      </c>
      <c r="ER177" s="496" t="str">
        <f> IF(ER197&lt;&gt;"",TEXT(AUX!EV$1,"dd-MMM-aa"),"")</f>
      </c>
      <c r="ES177" s="496" t="str">
        <f> IF(ES197&lt;&gt;"",TEXT(AUX!EW$1,"dd-MMM-aa"),"")</f>
      </c>
      <c r="ET177" s="496" t="str">
        <f> IF(ET197&lt;&gt;"",TEXT(AUX!EX$1,"dd-MMM-aa"),"")</f>
      </c>
      <c r="EU177" s="496" t="str">
        <f> IF(EU197&lt;&gt;"",TEXT(AUX!EY$1,"dd-MMM-aa"),"")</f>
      </c>
      <c r="EV177" s="496" t="str">
        <f> IF(EV197&lt;&gt;"",TEXT(AUX!EZ$1,"dd-MMM-aa"),"")</f>
      </c>
      <c r="EW177" s="496" t="str">
        <f> IF(EW197&lt;&gt;"",TEXT(AUX!FA$1,"dd-MMM-aa"),"")</f>
      </c>
      <c r="EX177" s="496" t="str">
        <f> IF(EX197&lt;&gt;"",TEXT(AUX!FB$1,"dd-MMM-aa"),"")</f>
      </c>
      <c r="EY177" s="496" t="str">
        <f> IF(EY197&lt;&gt;"",TEXT(AUX!FC$1,"dd-MMM-aa"),"")</f>
      </c>
      <c r="EZ177" s="496" t="str">
        <f> IF(EZ197&lt;&gt;"",TEXT(AUX!FD$1,"dd-MMM-aa"),"")</f>
      </c>
      <c r="FA177" s="496" t="str">
        <f> IF(FA197&lt;&gt;"",TEXT(AUX!FE$1,"dd-MMM-aa"),"")</f>
      </c>
      <c r="FB177" s="496" t="str">
        <f> IF(FB197&lt;&gt;"",TEXT(AUX!FF$1,"dd-MMM-aa"),"")</f>
      </c>
      <c r="FC177" s="496" t="str">
        <f> IF(FC197&lt;&gt;"",TEXT(AUX!FG$1,"dd-MMM-aa"),"")</f>
      </c>
      <c r="FD177" s="496" t="str">
        <f> IF(FD197&lt;&gt;"",TEXT(AUX!FH$1,"dd-MMM-aa"),"")</f>
      </c>
      <c r="FE177" s="496" t="str">
        <f> IF(FE197&lt;&gt;"",TEXT(AUX!FI$1,"dd-MMM-aa"),"")</f>
      </c>
      <c r="FF177" s="496" t="str">
        <f> IF(FF197&lt;&gt;"",TEXT(AUX!FJ$1,"dd-MMM-aa"),"")</f>
      </c>
      <c r="FG177" s="496" t="str">
        <f> IF(FG197&lt;&gt;"",TEXT(AUX!FK$1,"dd-MMM-aa"),"")</f>
      </c>
      <c r="FH177" s="496" t="str">
        <f> IF(FH197&lt;&gt;"",TEXT(AUX!FL$1,"dd-MMM-aa"),"")</f>
      </c>
      <c r="FI177" s="496" t="str">
        <f> IF(FI197&lt;&gt;"",TEXT(AUX!FM$1,"dd-MMM-aa"),"")</f>
      </c>
      <c r="FJ177" s="496" t="str">
        <f> IF(FJ197&lt;&gt;"",TEXT(AUX!FN$1,"dd-MMM-aa"),"")</f>
      </c>
      <c r="FK177" s="496" t="str">
        <f> IF(FK197&lt;&gt;"",TEXT(AUX!FO$1,"dd-MMM-aa"),"")</f>
      </c>
      <c r="FL177" s="496" t="str">
        <f> IF(FL197&lt;&gt;"",TEXT(AUX!FP$1,"dd-MMM-aa"),"")</f>
      </c>
      <c r="FM177" s="496" t="str">
        <f> IF(FM197&lt;&gt;"",TEXT(AUX!FQ$1,"dd-MMM-aa"),"")</f>
      </c>
      <c r="FN177" s="496" t="str">
        <f> IF(FN197&lt;&gt;"",TEXT(AUX!FR$1,"dd-MMM-aa"),"")</f>
      </c>
      <c r="FO177" s="496" t="str">
        <f> IF(FO197&lt;&gt;"",TEXT(AUX!FS$1,"dd-MMM-aa"),"")</f>
      </c>
      <c r="FP177" s="496" t="str">
        <f> IF(FP197&lt;&gt;"",TEXT(AUX!FT$1,"dd-MMM-aa"),"")</f>
      </c>
      <c r="FQ177" s="496" t="str">
        <f> IF(FQ197&lt;&gt;"",TEXT(AUX!FU$1,"dd-MMM-aa"),"")</f>
      </c>
      <c r="FR177" s="496" t="str">
        <f> IF(FR197&lt;&gt;"",TEXT(AUX!FV$1,"dd-MMM-aa"),"")</f>
      </c>
      <c r="FS177" s="496" t="str">
        <f> IF(FS197&lt;&gt;"",TEXT(AUX!FW$1,"dd-MMM-aa"),"")</f>
      </c>
      <c r="FT177" s="496" t="str">
        <f> IF(FT197&lt;&gt;"",TEXT(AUX!FX$1,"dd-MMM-aa"),"")</f>
      </c>
      <c r="FU177" s="496" t="str">
        <f> IF(FU197&lt;&gt;"",TEXT(AUX!FY$1,"dd-MMM-aa"),"")</f>
      </c>
      <c r="FV177" s="496" t="str">
        <f> IF(FV197&lt;&gt;"",TEXT(AUX!FZ$1,"dd-MMM-aa"),"")</f>
      </c>
      <c r="FW177" s="496" t="str">
        <f> IF(FW197&lt;&gt;"",TEXT(AUX!GA$1,"dd-MMM-aa"),"")</f>
      </c>
      <c r="FX177" s="496" t="str">
        <f> IF(FX197&lt;&gt;"",TEXT(AUX!GB$1,"dd-MMM-aa"),"")</f>
      </c>
      <c r="FY177" s="496" t="str">
        <f> IF(FY197&lt;&gt;"",TEXT(AUX!GC$1,"dd-MMM-aa"),"")</f>
      </c>
      <c r="FZ177" s="496" t="str">
        <f> IF(FZ197&lt;&gt;"",TEXT(AUX!GD$1,"dd-MMM-aa"),"")</f>
      </c>
      <c r="GA177" s="496" t="str">
        <f> IF(GA197&lt;&gt;"",TEXT(AUX!GE$1,"dd-MMM-aa"),"")</f>
      </c>
      <c r="GB177" s="496" t="str">
        <f> IF(GB197&lt;&gt;"",TEXT(AUX!GF$1,"dd-MMM-aa"),"")</f>
      </c>
      <c r="GC177" s="496" t="str">
        <f> IF(GC197&lt;&gt;"",TEXT(AUX!GG$1,"dd-MMM-aa"),"")</f>
      </c>
      <c r="GD177" s="496" t="str">
        <f> IF(GD197&lt;&gt;"",TEXT(AUX!GH$1,"dd-MMM-aa"),"")</f>
      </c>
      <c r="GE177" s="496" t="str">
        <f> IF(GE197&lt;&gt;"",TEXT(AUX!GI$1,"dd-MMM-aa"),"")</f>
      </c>
      <c r="GF177" s="496" t="str">
        <f> IF(GF197&lt;&gt;"",TEXT(AUX!GJ$1,"dd-MMM-aa"),"")</f>
      </c>
      <c r="GG177" s="496" t="str">
        <f> IF(GG197&lt;&gt;"",TEXT(AUX!GK$1,"dd-MMM-aa"),"")</f>
      </c>
      <c r="GH177" s="496" t="str">
        <f> IF(GH197&lt;&gt;"",TEXT(AUX!GL$1,"dd-MMM-aa"),"")</f>
      </c>
      <c r="GI177" s="496" t="str">
        <f> IF(GI197&lt;&gt;"",TEXT(AUX!GM$1,"dd-MMM-aa"),"")</f>
      </c>
      <c r="GJ177" s="496" t="str">
        <f> IF(GJ197&lt;&gt;"",TEXT(AUX!GN$1,"dd-MMM-aa"),"")</f>
      </c>
      <c r="GK177" s="496" t="str">
        <f> IF(GK197&lt;&gt;"",TEXT(AUX!GO$1,"dd-MMM-aa"),"")</f>
      </c>
      <c r="GL177" s="496" t="str">
        <f> IF(GL197&lt;&gt;"",TEXT(AUX!GP$1,"dd-MMM-aa"),"")</f>
      </c>
      <c r="GM177" s="496" t="str">
        <f> IF(GM197&lt;&gt;"",TEXT(AUX!GQ$1,"dd-MMM-aa"),"")</f>
      </c>
      <c r="GN177" s="496" t="str">
        <f> IF(GN197&lt;&gt;"",TEXT(AUX!GR$1,"dd-MMM-aa"),"")</f>
      </c>
      <c r="GO177" s="496" t="str">
        <f> IF(GO197&lt;&gt;"",TEXT(AUX!GS$1,"dd-MMM-aa"),"")</f>
      </c>
      <c r="GP177" s="496" t="str">
        <f> IF(GP197&lt;&gt;"",TEXT(AUX!GT$1,"dd-MMM-aa"),"")</f>
      </c>
      <c r="GQ177" s="496" t="str">
        <f> IF(GQ197&lt;&gt;"",TEXT(AUX!GU$1,"dd-MMM-aa"),"")</f>
      </c>
      <c r="GR177" s="496" t="str">
        <f> IF(GR197&lt;&gt;"",TEXT(AUX!GV$1,"dd-MMM-aa"),"")</f>
      </c>
      <c r="GS177" s="496" t="str">
        <f> IF(GS197&lt;&gt;"",TEXT(AUX!GW$1,"dd-MMM-aa"),"")</f>
      </c>
      <c r="GT177" s="496" t="str">
        <f> IF(GT197&lt;&gt;"",TEXT(AUX!GX$1,"dd-MMM-aa"),"")</f>
      </c>
      <c r="GU177" s="496" t="str">
        <f> IF(GU197&lt;&gt;"",TEXT(AUX!GY$1,"dd-MMM-aa"),"")</f>
      </c>
      <c r="GV177" s="496" t="str">
        <f> IF(GV197&lt;&gt;"",TEXT(AUX!GZ$1,"dd-MMM-aa"),"")</f>
      </c>
      <c r="GW177" s="496" t="str">
        <f> IF(GW197&lt;&gt;"",TEXT(AUX!HA$1,"dd-MMM-aa"),"")</f>
      </c>
      <c r="GX177" s="496" t="str">
        <f> IF(GX197&lt;&gt;"",TEXT(AUX!HB$1,"dd-MMM-aa"),"")</f>
      </c>
      <c r="GY177" s="496" t="str">
        <f> IF(GY197&lt;&gt;"",TEXT(AUX!HC$1,"dd-MMM-aa"),"")</f>
      </c>
      <c r="GZ177" s="496" t="str">
        <f> IF(GZ197&lt;&gt;"",TEXT(AUX!HD$1,"dd-MMM-aa"),"")</f>
      </c>
      <c r="HA177" s="496" t="str">
        <f> IF(HA197&lt;&gt;"",TEXT(AUX!HE$1,"dd-MMM-aa"),"")</f>
      </c>
      <c r="HB177" s="496" t="str">
        <f> IF(HB197&lt;&gt;"",TEXT(AUX!HF$1,"dd-MMM-aa"),"")</f>
      </c>
      <c r="HC177" s="496" t="str">
        <f> IF(HC197&lt;&gt;"",TEXT(AUX!HG$1,"dd-MMM-aa"),"")</f>
      </c>
      <c r="HD177" s="496" t="str">
        <f> IF(HD197&lt;&gt;"",TEXT(AUX!HH$1,"dd-MMM-aa"),"")</f>
      </c>
      <c r="HE177" s="496" t="str">
        <f> IF(HE197&lt;&gt;"",TEXT(AUX!HI$1,"dd-MMM-aa"),"")</f>
      </c>
      <c r="HF177" s="496" t="str">
        <f> IF(HF197&lt;&gt;"",TEXT(AUX!HJ$1,"dd-MMM-aa"),"")</f>
      </c>
      <c r="HG177" s="496" t="str">
        <f> IF(HG197&lt;&gt;"",TEXT(AUX!HK$1,"dd-MMM-aa"),"")</f>
      </c>
      <c r="HH177" s="496" t="str">
        <f> IF(HH197&lt;&gt;"",TEXT(AUX!HL$1,"dd-MMM-aa"),"")</f>
      </c>
      <c r="HI177" s="496" t="str">
        <f> IF(HI197&lt;&gt;"",TEXT(AUX!HM$1,"dd-MMM-aa"),"")</f>
      </c>
      <c r="HJ177" s="496" t="str">
        <f> IF(HJ197&lt;&gt;"",TEXT(AUX!HN$1,"dd-MMM-aa"),"")</f>
      </c>
      <c r="HK177" s="496" t="str">
        <f> IF(HK197&lt;&gt;"",TEXT(AUX!HO$1,"dd-MMM-aa"),"")</f>
      </c>
      <c r="HL177" s="496" t="str">
        <f> IF(HL197&lt;&gt;"",TEXT(AUX!HP$1,"dd-MMM-aa"),"")</f>
      </c>
      <c r="HM177" s="496" t="str">
        <f> IF(HM197&lt;&gt;"",TEXT(AUX!HQ$1,"dd-MMM-aa"),"")</f>
      </c>
      <c r="HN177" s="496" t="str">
        <f> IF(HN197&lt;&gt;"",TEXT(AUX!HR$1,"dd-MMM-aa"),"")</f>
      </c>
      <c r="HO177" s="496" t="str">
        <f> IF(HO197&lt;&gt;"",TEXT(AUX!HS$1,"dd-MMM-aa"),"")</f>
      </c>
      <c r="HP177" s="496" t="str">
        <f> IF(HP197&lt;&gt;"",TEXT(AUX!HT$1,"dd-MMM-aa"),"")</f>
      </c>
      <c r="HQ177" s="496" t="str">
        <f> IF(HQ197&lt;&gt;"",TEXT(AUX!HU$1,"dd-MMM-aa"),"")</f>
      </c>
      <c r="HR177" s="496" t="str">
        <f> IF(HR197&lt;&gt;"",TEXT(AUX!HV$1,"dd-MMM-aa"),"")</f>
      </c>
      <c r="HS177" s="496" t="str">
        <f> IF(HS197&lt;&gt;"",TEXT(AUX!HW$1,"dd-MMM-aa"),"")</f>
      </c>
      <c r="HT177" s="496" t="str">
        <f> IF(HT197&lt;&gt;"",TEXT(AUX!HX$1,"dd-MMM-aa"),"")</f>
      </c>
      <c r="HU177" s="496" t="str">
        <f> IF(HU197&lt;&gt;"",TEXT(AUX!HY$1,"dd-MMM-aa"),"")</f>
      </c>
      <c r="HV177" s="496" t="str">
        <f> IF(HV197&lt;&gt;"",TEXT(AUX!HZ$1,"dd-MMM-aa"),"")</f>
      </c>
      <c r="HW177" s="496" t="str">
        <f> IF(HW197&lt;&gt;"",TEXT(AUX!IA$1,"dd-MMM-aa"),"")</f>
      </c>
      <c r="HX177" s="496" t="str">
        <f> IF(HX197&lt;&gt;"",TEXT(AUX!IB$1,"dd-MMM-aa"),"")</f>
      </c>
      <c r="HY177" s="496" t="str">
        <f> IF(HY197&lt;&gt;"",TEXT(AUX!IC$1,"dd-MMM-aa"),"")</f>
      </c>
      <c r="HZ177" s="496" t="str">
        <f> IF(HZ197&lt;&gt;"",TEXT(AUX!ID$1,"dd-MMM-aa"),"")</f>
      </c>
      <c r="IA177" s="496" t="str">
        <f> IF(IA197&lt;&gt;"",TEXT(AUX!IE$1,"dd-MMM-aa"),"")</f>
      </c>
      <c r="IB177" s="496" t="str">
        <f> IF(IB197&lt;&gt;"",TEXT(AUX!IF$1,"dd-MMM-aa"),"")</f>
      </c>
      <c r="IC177" s="496" t="str">
        <f> IF(IC197&lt;&gt;"",TEXT(AUX!IG$1,"dd-MMM-aa"),"")</f>
      </c>
      <c r="ID177" s="496" t="str">
        <f> IF(ID197&lt;&gt;"",TEXT(AUX!IH$1,"dd-MMM-aa"),"")</f>
      </c>
      <c r="IE177" s="496" t="str">
        <f> IF(IE197&lt;&gt;"",TEXT(AUX!II$1,"dd-MMM-aa"),"")</f>
      </c>
      <c r="IF177" s="496" t="str">
        <f> IF(IF197&lt;&gt;"",TEXT(AUX!IJ$1,"dd-MMM-aa"),"")</f>
      </c>
      <c r="IG177" s="496" t="str">
        <f> IF(IG197&lt;&gt;"",TEXT(AUX!IK$1,"dd-MMM-aa"),"")</f>
      </c>
      <c r="IH177" s="496" t="str">
        <f> IF(IH197&lt;&gt;"",TEXT(AUX!IL$1,"dd-MMM-aa"),"")</f>
      </c>
      <c r="II177" s="496" t="str">
        <f> IF(II197&lt;&gt;"",TEXT(AUX!IM$1,"dd-MMM-aa"),"")</f>
      </c>
      <c r="IJ177" s="496" t="str">
        <f> IF(IJ197&lt;&gt;"",TEXT(AUX!IN$1,"dd-MMM-aa"),"")</f>
      </c>
      <c r="IK177" s="496" t="str">
        <f> IF(IK197&lt;&gt;"",TEXT(AUX!IO$1,"dd-MMM-aa"),"")</f>
      </c>
      <c r="IL177" s="496" t="str">
        <f> IF(IL197&lt;&gt;"",TEXT(AUX!IP$1,"dd-MMM-aa"),"")</f>
      </c>
      <c r="IM177" s="496" t="str">
        <f> IF(IM197&lt;&gt;"",TEXT(AUX!IQ$1,"dd-MMM-aa"),"")</f>
      </c>
      <c r="IN177" s="496" t="str">
        <f> IF(IN197&lt;&gt;"",TEXT(AUX!IR$1,"dd-MMM-aa"),"")</f>
      </c>
      <c r="IO177" s="496" t="str">
        <f> IF(IO197&lt;&gt;"",TEXT(AUX!IS$1,"dd-MMM-aa"),"")</f>
      </c>
      <c r="IP177" s="496" t="str">
        <f> IF(IP197&lt;&gt;"",TEXT(AUX!IT$1,"dd-MMM-aa"),"")</f>
      </c>
      <c r="IQ177" s="496" t="str">
        <f> IF(IQ197&lt;&gt;"",TEXT(AUX!IU$1,"dd-MMM-aa"),"")</f>
      </c>
      <c r="IR177" s="496" t="str">
        <f> IF(IR197&lt;&gt;"",TEXT(AUX!IV$1,"dd-MMM-aa"),"")</f>
      </c>
      <c r="IS177" s="496" t="str">
        <f> IF(IS197&lt;&gt;"",TEXT(AUX!#REF!,"dd-MMM-aa"),"")</f>
      </c>
      <c r="IT177" s="496" t="str">
        <f> IF(IT197&lt;&gt;"",TEXT(AUX!#REF!,"dd-MMM-aa"),"")</f>
      </c>
      <c r="IU177" s="496" t="str">
        <f> IF(IU197&lt;&gt;"",TEXT(AUX!#REF!,"dd-MMM-aa"),"")</f>
      </c>
      <c r="IV177" s="496" t="str">
        <f> IF(IV197&lt;&gt;"",TEXT(AUX!#REF!,"dd-MMM-aa"),"")</f>
      </c>
    </row>
    <row r="178" hidden="1">
      <c r="B178" s="822" t="s">
        <v>8</v>
      </c>
      <c r="C178" s="823">
        <v>1205167</v>
      </c>
      <c r="D178" s="823">
        <v>1462473</v>
      </c>
      <c r="E178" s="823">
        <v>1209459</v>
      </c>
      <c r="F178" s="823">
        <v>1457755</v>
      </c>
      <c r="G178" s="823">
        <v>1180418</v>
      </c>
      <c r="H178" s="823">
        <v>1362348</v>
      </c>
      <c r="I178" s="823">
        <v>1026278</v>
      </c>
      <c r="J178" s="823">
        <v>1141117</v>
      </c>
      <c r="K178" s="823">
        <v>946687</v>
      </c>
      <c r="L178" s="823">
        <v>1113314</v>
      </c>
      <c r="M178" s="823">
        <v>749720</v>
      </c>
      <c r="N178" s="823">
        <v>1139941</v>
      </c>
      <c r="O178" s="823">
        <v>880768</v>
      </c>
      <c r="P178" s="823">
        <v>1056636</v>
      </c>
      <c r="Q178" s="823">
        <v>900528</v>
      </c>
      <c r="R178" s="823">
        <v>1065123</v>
      </c>
      <c r="S178" s="823">
        <v>926557</v>
      </c>
      <c r="T178" s="823">
        <v>1202791</v>
      </c>
      <c r="U178" s="823">
        <v>1109534</v>
      </c>
      <c r="V178" s="823">
        <v>1278347</v>
      </c>
      <c r="W178" s="823">
        <v>1065110</v>
      </c>
      <c r="X178" s="823">
        <v>1226929</v>
      </c>
      <c r="Y178" s="823">
        <v>1115916</v>
      </c>
      <c r="Z178" s="823">
        <v>1348697</v>
      </c>
      <c r="AA178" s="823">
        <v>1201289</v>
      </c>
      <c r="AB178" s="824">
        <v>1423846</v>
      </c>
      <c r="AC178" s="825">
        <v>1213725</v>
      </c>
      <c r="AD178" s="825">
        <v>1465585</v>
      </c>
      <c r="AE178" s="825">
        <v>1191358</v>
      </c>
      <c r="AF178" s="825">
        <v>1428466</v>
      </c>
      <c r="AG178" s="825">
        <v>1234910</v>
      </c>
      <c r="AH178" s="825">
        <v>1483120</v>
      </c>
      <c r="AI178" s="825">
        <v>1264417</v>
      </c>
      <c r="AJ178" s="825">
        <v>1405404</v>
      </c>
      <c r="AK178" s="825">
        <v>1201202</v>
      </c>
      <c r="AL178" s="825">
        <v>1375484</v>
      </c>
      <c r="AM178" s="825">
        <v>1252307</v>
      </c>
      <c r="AN178" s="825">
        <v>1463210</v>
      </c>
      <c r="AO178" s="825">
        <v>1291848</v>
      </c>
      <c r="AP178" s="825">
        <v>1542517</v>
      </c>
    </row>
    <row r="179" hidden="1">
      <c r="B179" s="826" t="s">
        <v>9</v>
      </c>
      <c r="C179" s="827">
        <v>2378852</v>
      </c>
      <c r="D179" s="827">
        <v>2462923</v>
      </c>
      <c r="E179" s="827">
        <v>2476505</v>
      </c>
      <c r="F179" s="827">
        <v>2773854</v>
      </c>
      <c r="G179" s="827">
        <v>2762408</v>
      </c>
      <c r="H179" s="827">
        <v>2762408</v>
      </c>
      <c r="I179" s="827">
        <v>3085282</v>
      </c>
      <c r="J179" s="827">
        <v>2951573</v>
      </c>
      <c r="K179" s="827">
        <v>3004699</v>
      </c>
      <c r="L179" s="827">
        <v>3028925</v>
      </c>
      <c r="M179" s="827">
        <v>3373218</v>
      </c>
      <c r="N179" s="827">
        <v>3802544</v>
      </c>
      <c r="O179" s="827">
        <v>3802544</v>
      </c>
      <c r="P179" s="827">
        <v>4340775</v>
      </c>
      <c r="Q179" s="827">
        <v>3265739</v>
      </c>
      <c r="R179" s="827">
        <v>3066300</v>
      </c>
      <c r="S179" s="827">
        <v>3156420</v>
      </c>
      <c r="T179" s="827">
        <v>3255226</v>
      </c>
      <c r="U179" s="827">
        <v>3400034</v>
      </c>
      <c r="V179" s="827">
        <v>3421306</v>
      </c>
      <c r="W179" s="827">
        <v>3527469</v>
      </c>
      <c r="X179" s="827">
        <v>3554097</v>
      </c>
      <c r="Y179" s="827">
        <v>3671679</v>
      </c>
      <c r="Z179" s="827">
        <v>3751106</v>
      </c>
      <c r="AA179" s="827">
        <v>4026224</v>
      </c>
      <c r="AB179" s="827">
        <v>3868975</v>
      </c>
      <c r="AC179" s="828">
        <v>3908841</v>
      </c>
      <c r="AD179" s="828">
        <v>3875202</v>
      </c>
      <c r="AE179" s="828">
        <v>3718445</v>
      </c>
      <c r="AF179" s="828">
        <v>3767049</v>
      </c>
      <c r="AG179" s="828">
        <v>4301210</v>
      </c>
      <c r="AH179" s="828">
        <v>3996857</v>
      </c>
      <c r="AI179" s="828">
        <v>4224386</v>
      </c>
      <c r="AJ179" s="828">
        <v>4140658</v>
      </c>
      <c r="AK179" s="828">
        <v>4373434</v>
      </c>
      <c r="AL179" s="828">
        <v>4333370</v>
      </c>
      <c r="AM179" s="828">
        <v>4509759</v>
      </c>
      <c r="AN179" s="828">
        <v>4357568</v>
      </c>
      <c r="AO179" s="828">
        <v>4459146</v>
      </c>
      <c r="AP179" s="828">
        <v>4269885</v>
      </c>
    </row>
    <row r="180" hidden="1">
      <c r="B180" s="829" t="s">
        <v>10</v>
      </c>
      <c r="C180" s="823">
        <v>5376</v>
      </c>
      <c r="D180" s="823">
        <v>5362</v>
      </c>
      <c r="E180" s="823">
        <v>4059</v>
      </c>
      <c r="F180" s="823">
        <v>3703</v>
      </c>
      <c r="G180" s="823">
        <v>4600</v>
      </c>
      <c r="H180" s="823">
        <v>3667</v>
      </c>
      <c r="I180" s="823">
        <v>4740</v>
      </c>
      <c r="J180" s="823">
        <v>3855</v>
      </c>
      <c r="K180" s="823">
        <v>4365</v>
      </c>
      <c r="L180" s="823">
        <v>2985</v>
      </c>
      <c r="M180" s="823">
        <v>4486</v>
      </c>
      <c r="N180" s="823">
        <v>3141</v>
      </c>
      <c r="O180" s="823">
        <v>4251</v>
      </c>
      <c r="P180" s="823">
        <v>4043</v>
      </c>
      <c r="Q180" s="823">
        <v>4763</v>
      </c>
      <c r="R180" s="823">
        <v>5069</v>
      </c>
      <c r="S180" s="823">
        <v>4681</v>
      </c>
      <c r="T180" s="823">
        <v>5424</v>
      </c>
      <c r="U180" s="823">
        <v>5480</v>
      </c>
      <c r="V180" s="823">
        <v>5388</v>
      </c>
      <c r="W180" s="823">
        <v>5128</v>
      </c>
      <c r="X180" s="823">
        <v>3993</v>
      </c>
      <c r="Y180" s="823">
        <v>4039</v>
      </c>
      <c r="Z180" s="823">
        <v>3676</v>
      </c>
      <c r="AA180" s="823">
        <v>3860</v>
      </c>
      <c r="AB180" s="823">
        <v>3930</v>
      </c>
      <c r="AC180" s="825">
        <v>4316</v>
      </c>
      <c r="AD180" s="825">
        <v>4257</v>
      </c>
      <c r="AE180" s="825">
        <v>4413</v>
      </c>
      <c r="AF180" s="825">
        <v>4793</v>
      </c>
      <c r="AG180" s="825">
        <v>4821</v>
      </c>
      <c r="AH180" s="825">
        <v>5338</v>
      </c>
      <c r="AI180" s="825">
        <v>4992</v>
      </c>
      <c r="AJ180" s="825">
        <v>4428</v>
      </c>
      <c r="AK180" s="825">
        <v>4419</v>
      </c>
      <c r="AL180" s="825">
        <v>4609</v>
      </c>
      <c r="AM180" s="825">
        <v>4262</v>
      </c>
      <c r="AN180" s="825">
        <v>5043</v>
      </c>
      <c r="AO180" s="825">
        <v>4825</v>
      </c>
      <c r="AP180" s="825">
        <v>4888</v>
      </c>
    </row>
    <row r="181" hidden="1">
      <c r="B181" s="826" t="s">
        <v>11</v>
      </c>
      <c r="C181" s="827">
        <v>35214</v>
      </c>
      <c r="D181" s="827">
        <v>34912</v>
      </c>
      <c r="E181" s="827">
        <v>32738</v>
      </c>
      <c r="F181" s="827">
        <v>32428</v>
      </c>
      <c r="G181" s="827">
        <v>28604</v>
      </c>
      <c r="H181" s="827">
        <v>25873</v>
      </c>
      <c r="I181" s="827">
        <v>22908</v>
      </c>
      <c r="J181" s="827">
        <v>21733</v>
      </c>
      <c r="K181" s="827">
        <v>18621</v>
      </c>
      <c r="L181" s="827">
        <v>21642</v>
      </c>
      <c r="M181" s="827">
        <v>18282</v>
      </c>
      <c r="N181" s="827">
        <v>19531</v>
      </c>
      <c r="O181" s="827">
        <v>18995</v>
      </c>
      <c r="P181" s="827">
        <v>17124</v>
      </c>
      <c r="Q181" s="827">
        <v>15477</v>
      </c>
      <c r="R181" s="827">
        <v>12652</v>
      </c>
      <c r="S181" s="827">
        <v>17366</v>
      </c>
      <c r="T181" s="827">
        <v>16604</v>
      </c>
      <c r="U181" s="827">
        <v>17575</v>
      </c>
      <c r="V181" s="827">
        <v>18366</v>
      </c>
      <c r="W181" s="827">
        <v>18186</v>
      </c>
      <c r="X181" s="827">
        <v>17203</v>
      </c>
      <c r="Y181" s="827">
        <v>15652</v>
      </c>
      <c r="Z181" s="827">
        <v>13036</v>
      </c>
      <c r="AA181" s="827">
        <v>14269</v>
      </c>
      <c r="AB181" s="827">
        <v>15514</v>
      </c>
      <c r="AC181" s="828">
        <v>16552</v>
      </c>
      <c r="AD181" s="828">
        <v>15489</v>
      </c>
      <c r="AE181" s="828">
        <v>16181</v>
      </c>
      <c r="AF181" s="828">
        <v>17631</v>
      </c>
      <c r="AG181" s="828">
        <v>16725</v>
      </c>
      <c r="AH181" s="828">
        <v>15539</v>
      </c>
      <c r="AI181" s="828">
        <v>15352</v>
      </c>
      <c r="AJ181" s="828">
        <v>14770</v>
      </c>
      <c r="AK181" s="828">
        <v>13363</v>
      </c>
      <c r="AL181" s="828">
        <v>13254</v>
      </c>
      <c r="AM181" s="828">
        <v>15049</v>
      </c>
      <c r="AN181" s="828">
        <v>14852</v>
      </c>
      <c r="AO181" s="828">
        <v>15106</v>
      </c>
      <c r="AP181" s="828">
        <v>13231</v>
      </c>
    </row>
    <row r="182" hidden="1">
      <c r="B182" s="829" t="s">
        <v>12</v>
      </c>
      <c r="C182" s="823">
        <v>33594</v>
      </c>
      <c r="D182" s="823">
        <v>29420</v>
      </c>
      <c r="E182" s="823">
        <v>31178</v>
      </c>
      <c r="F182" s="823">
        <v>31490</v>
      </c>
      <c r="G182" s="823">
        <v>30984</v>
      </c>
      <c r="H182" s="823">
        <v>28944</v>
      </c>
      <c r="I182" s="823">
        <v>28613</v>
      </c>
      <c r="J182" s="823">
        <v>28540</v>
      </c>
      <c r="K182" s="823">
        <v>29612</v>
      </c>
      <c r="L182" s="823">
        <v>29431</v>
      </c>
      <c r="M182" s="823">
        <v>28044</v>
      </c>
      <c r="N182" s="823">
        <v>27835</v>
      </c>
      <c r="O182" s="823">
        <v>23577</v>
      </c>
      <c r="P182" s="823">
        <v>21754</v>
      </c>
      <c r="Q182" s="823">
        <v>23126</v>
      </c>
      <c r="R182" s="823">
        <v>22022</v>
      </c>
      <c r="S182" s="823">
        <v>23509</v>
      </c>
      <c r="T182" s="823">
        <v>22580</v>
      </c>
      <c r="U182" s="823">
        <v>20827</v>
      </c>
      <c r="V182" s="823">
        <v>22991</v>
      </c>
      <c r="W182" s="823">
        <v>23644</v>
      </c>
      <c r="X182" s="823">
        <v>20690</v>
      </c>
      <c r="Y182" s="823">
        <v>19546</v>
      </c>
      <c r="Z182" s="823">
        <v>19451</v>
      </c>
      <c r="AA182" s="823">
        <v>21192</v>
      </c>
      <c r="AB182" s="823">
        <v>20498</v>
      </c>
      <c r="AC182" s="825">
        <v>17527</v>
      </c>
      <c r="AD182" s="825">
        <v>17329</v>
      </c>
      <c r="AE182" s="825">
        <v>15909</v>
      </c>
      <c r="AF182" s="825">
        <v>15975</v>
      </c>
      <c r="AG182" s="825">
        <v>17312</v>
      </c>
      <c r="AH182" s="825">
        <v>17154</v>
      </c>
      <c r="AI182" s="825">
        <v>16946</v>
      </c>
      <c r="AJ182" s="825">
        <v>16828</v>
      </c>
      <c r="AK182" s="825">
        <v>17156</v>
      </c>
      <c r="AL182" s="825">
        <v>17215</v>
      </c>
      <c r="AM182" s="825">
        <v>17332</v>
      </c>
      <c r="AN182" s="825">
        <v>16425</v>
      </c>
      <c r="AO182" s="825">
        <v>15844</v>
      </c>
      <c r="AP182" s="825">
        <v>15000</v>
      </c>
    </row>
    <row r="183" hidden="1" ht="12.75" customHeight="1">
      <c r="B183" s="826" t="s">
        <v>13</v>
      </c>
      <c r="C183" s="827">
        <v>3032</v>
      </c>
      <c r="D183" s="827">
        <v>4413</v>
      </c>
      <c r="E183" s="827">
        <v>6302</v>
      </c>
      <c r="F183" s="827">
        <v>6440</v>
      </c>
      <c r="G183" s="827">
        <v>5723</v>
      </c>
      <c r="H183" s="827">
        <v>5720</v>
      </c>
      <c r="I183" s="827">
        <v>3208</v>
      </c>
      <c r="J183" s="827">
        <v>2862</v>
      </c>
      <c r="K183" s="827">
        <v>1058</v>
      </c>
      <c r="L183" s="827">
        <v>1279</v>
      </c>
      <c r="M183" s="827">
        <v>1625</v>
      </c>
      <c r="N183" s="827">
        <v>1401</v>
      </c>
      <c r="O183" s="827">
        <v>1131</v>
      </c>
      <c r="P183" s="827">
        <v>1020</v>
      </c>
      <c r="Q183" s="827">
        <v>1153</v>
      </c>
      <c r="R183" s="827">
        <v>1176</v>
      </c>
      <c r="S183" s="827">
        <v>1262</v>
      </c>
      <c r="T183" s="827">
        <v>1327</v>
      </c>
      <c r="U183" s="827">
        <v>1656</v>
      </c>
      <c r="V183" s="827">
        <v>1669</v>
      </c>
      <c r="W183" s="827">
        <v>1559</v>
      </c>
      <c r="X183" s="827">
        <v>1560</v>
      </c>
      <c r="Y183" s="827">
        <v>1518</v>
      </c>
      <c r="Z183" s="827">
        <v>1523</v>
      </c>
      <c r="AA183" s="827">
        <v>1327</v>
      </c>
      <c r="AB183" s="827">
        <v>1322</v>
      </c>
      <c r="AC183" s="828">
        <v>1270</v>
      </c>
      <c r="AD183" s="828">
        <v>1253</v>
      </c>
      <c r="AE183" s="828">
        <v>1278</v>
      </c>
      <c r="AF183" s="828">
        <v>1279</v>
      </c>
      <c r="AG183" s="828">
        <v>1332</v>
      </c>
      <c r="AH183" s="828">
        <v>1291</v>
      </c>
      <c r="AI183" s="828">
        <v>1355</v>
      </c>
      <c r="AJ183" s="828">
        <v>1331</v>
      </c>
      <c r="AK183" s="828">
        <v>1223</v>
      </c>
      <c r="AL183" s="828">
        <v>1153</v>
      </c>
      <c r="AM183" s="828">
        <v>1048</v>
      </c>
      <c r="AN183" s="828">
        <v>1040</v>
      </c>
      <c r="AO183" s="828">
        <v>1018</v>
      </c>
      <c r="AP183" s="828">
        <v>1005</v>
      </c>
    </row>
    <row r="184" hidden="1" ht="12.75" customHeight="1">
      <c r="B184" s="829" t="s">
        <v>109</v>
      </c>
      <c r="C184" s="823">
        <v>822298</v>
      </c>
      <c r="D184" s="823">
        <v>799565</v>
      </c>
      <c r="E184" s="823">
        <v>931239</v>
      </c>
      <c r="F184" s="823">
        <v>926326</v>
      </c>
      <c r="G184" s="823">
        <v>1033578</v>
      </c>
      <c r="H184" s="823">
        <v>1030199</v>
      </c>
      <c r="I184" s="823">
        <v>988406</v>
      </c>
      <c r="J184" s="823">
        <v>982036</v>
      </c>
      <c r="K184" s="823">
        <v>995065</v>
      </c>
      <c r="L184" s="823">
        <v>979914</v>
      </c>
      <c r="M184" s="823">
        <v>1686660</v>
      </c>
      <c r="N184" s="823">
        <v>1680617</v>
      </c>
      <c r="O184" s="823">
        <v>1768870</v>
      </c>
      <c r="P184" s="823">
        <v>1739064</v>
      </c>
      <c r="Q184" s="823">
        <v>1629722</v>
      </c>
      <c r="R184" s="823">
        <v>1635725</v>
      </c>
      <c r="S184" s="823">
        <v>1679114</v>
      </c>
      <c r="T184" s="823">
        <v>1674843</v>
      </c>
      <c r="U184" s="823">
        <v>1606529</v>
      </c>
      <c r="V184" s="823">
        <v>1618175</v>
      </c>
      <c r="W184" s="823">
        <v>1695394</v>
      </c>
      <c r="X184" s="823">
        <v>1689173</v>
      </c>
      <c r="Y184" s="823">
        <v>1945199</v>
      </c>
      <c r="Z184" s="823">
        <v>1954870</v>
      </c>
      <c r="AA184" s="823">
        <v>1900144</v>
      </c>
      <c r="AB184" s="823">
        <v>1944980</v>
      </c>
      <c r="AC184" s="825">
        <v>2017566</v>
      </c>
      <c r="AD184" s="825">
        <v>2020006</v>
      </c>
      <c r="AE184" s="825">
        <v>2160846</v>
      </c>
      <c r="AF184" s="825">
        <v>2169640</v>
      </c>
      <c r="AG184" s="825">
        <v>1321695</v>
      </c>
      <c r="AH184" s="825">
        <v>1321246</v>
      </c>
      <c r="AI184" s="825">
        <v>1177275</v>
      </c>
      <c r="AJ184" s="825">
        <v>1177441</v>
      </c>
      <c r="AK184" s="825">
        <v>1143750</v>
      </c>
      <c r="AL184" s="825">
        <v>1143891</v>
      </c>
      <c r="AM184" s="825">
        <v>1125457</v>
      </c>
      <c r="AN184" s="825">
        <v>1118635</v>
      </c>
      <c r="AO184" s="825">
        <v>1115337</v>
      </c>
      <c r="AP184" s="825">
        <v>1117806</v>
      </c>
    </row>
    <row r="185" hidden="1">
      <c r="B185" s="826" t="s">
        <v>110</v>
      </c>
      <c r="C185" s="827">
        <v>1969280</v>
      </c>
      <c r="D185" s="827">
        <v>2135515</v>
      </c>
      <c r="E185" s="827">
        <v>2113692</v>
      </c>
      <c r="F185" s="827">
        <v>2221801</v>
      </c>
      <c r="G185" s="827">
        <v>2175440</v>
      </c>
      <c r="H185" s="827">
        <v>2222063</v>
      </c>
      <c r="I185" s="827">
        <v>2189106</v>
      </c>
      <c r="J185" s="827">
        <v>2154395</v>
      </c>
      <c r="K185" s="827">
        <v>2139570</v>
      </c>
      <c r="L185" s="827">
        <v>1784730</v>
      </c>
      <c r="M185" s="827">
        <v>2134066</v>
      </c>
      <c r="N185" s="827">
        <v>2134736</v>
      </c>
      <c r="O185" s="827">
        <v>2034428</v>
      </c>
      <c r="P185" s="827">
        <v>2028124</v>
      </c>
      <c r="Q185" s="827">
        <v>1996062</v>
      </c>
      <c r="R185" s="827">
        <v>2037792</v>
      </c>
      <c r="S185" s="827">
        <v>2085407</v>
      </c>
      <c r="T185" s="827">
        <v>2148321</v>
      </c>
      <c r="U185" s="827">
        <v>2152654</v>
      </c>
      <c r="V185" s="827">
        <v>2236236</v>
      </c>
      <c r="W185" s="827">
        <v>2266955</v>
      </c>
      <c r="X185" s="827">
        <v>2406333</v>
      </c>
      <c r="Y185" s="827">
        <v>2335238</v>
      </c>
      <c r="Z185" s="827">
        <v>2447019</v>
      </c>
      <c r="AA185" s="827">
        <v>2432896</v>
      </c>
      <c r="AB185" s="827">
        <v>2544469</v>
      </c>
      <c r="AC185" s="828">
        <v>2538733</v>
      </c>
      <c r="AD185" s="828">
        <v>2636441</v>
      </c>
      <c r="AE185" s="828">
        <v>2620768</v>
      </c>
      <c r="AF185" s="828">
        <v>2742811</v>
      </c>
      <c r="AG185" s="828">
        <v>2730589</v>
      </c>
      <c r="AH185" s="828">
        <v>2799977</v>
      </c>
      <c r="AI185" s="828">
        <v>2745288</v>
      </c>
      <c r="AJ185" s="828">
        <v>2827734</v>
      </c>
      <c r="AK185" s="828">
        <v>2732885</v>
      </c>
      <c r="AL185" s="828">
        <v>2827817</v>
      </c>
      <c r="AM185" s="828">
        <v>2639595</v>
      </c>
      <c r="AN185" s="828">
        <v>2800754</v>
      </c>
      <c r="AO185" s="828">
        <v>2716466</v>
      </c>
      <c r="AP185" s="828">
        <v>2826880</v>
      </c>
    </row>
    <row r="186" hidden="1">
      <c r="B186" s="829" t="s">
        <v>16</v>
      </c>
      <c r="C186" s="823">
        <v>3714658</v>
      </c>
      <c r="D186" s="823">
        <v>3714658</v>
      </c>
      <c r="E186" s="823">
        <v>3957790</v>
      </c>
      <c r="F186" s="823">
        <v>3985702</v>
      </c>
      <c r="G186" s="823">
        <v>4054731</v>
      </c>
      <c r="H186" s="823">
        <v>4036913</v>
      </c>
      <c r="I186" s="823">
        <v>4008635</v>
      </c>
      <c r="J186" s="823">
        <v>3995859</v>
      </c>
      <c r="K186" s="823">
        <v>4185015</v>
      </c>
      <c r="L186" s="823">
        <v>4952655</v>
      </c>
      <c r="M186" s="823">
        <v>4367168</v>
      </c>
      <c r="N186" s="823">
        <v>4365086</v>
      </c>
      <c r="O186" s="823">
        <v>4538398</v>
      </c>
      <c r="P186" s="823">
        <v>4098319</v>
      </c>
      <c r="Q186" s="823">
        <v>4427501</v>
      </c>
      <c r="R186" s="823">
        <v>4287025</v>
      </c>
      <c r="S186" s="823">
        <v>4405903</v>
      </c>
      <c r="T186" s="823">
        <v>4421157</v>
      </c>
      <c r="U186" s="823">
        <v>5119302</v>
      </c>
      <c r="V186" s="823">
        <v>5142990</v>
      </c>
      <c r="W186" s="823">
        <v>5142990</v>
      </c>
      <c r="X186" s="823">
        <v>5142990</v>
      </c>
      <c r="Y186" s="823">
        <v>5142990</v>
      </c>
      <c r="Z186" s="823">
        <v>5142990</v>
      </c>
      <c r="AA186" s="823">
        <v>5670778</v>
      </c>
      <c r="AB186" s="823">
        <v>5663059</v>
      </c>
      <c r="AC186" s="825">
        <v>5803088</v>
      </c>
      <c r="AD186" s="825">
        <v>5794791</v>
      </c>
      <c r="AE186" s="825">
        <v>5824307</v>
      </c>
      <c r="AF186" s="825">
        <v>5567533</v>
      </c>
      <c r="AG186" s="825">
        <v>5708536</v>
      </c>
      <c r="AH186" s="825">
        <v>5679210</v>
      </c>
      <c r="AI186" s="825">
        <v>5543503</v>
      </c>
      <c r="AJ186" s="825">
        <v>5523611</v>
      </c>
      <c r="AK186" s="825">
        <v>5395260</v>
      </c>
      <c r="AL186" s="825">
        <v>5373347</v>
      </c>
      <c r="AM186" s="825">
        <v>5449384</v>
      </c>
      <c r="AN186" s="825">
        <v>5423425</v>
      </c>
      <c r="AO186" s="825">
        <v>5472834</v>
      </c>
      <c r="AP186" s="825">
        <v>5456217</v>
      </c>
    </row>
    <row r="187" hidden="1">
      <c r="B187" s="826" t="s">
        <v>17</v>
      </c>
      <c r="C187" s="827">
        <v>681321</v>
      </c>
      <c r="D187" s="827">
        <v>729045</v>
      </c>
      <c r="E187" s="827">
        <v>773244</v>
      </c>
      <c r="F187" s="827">
        <v>766995</v>
      </c>
      <c r="G187" s="827">
        <v>860956</v>
      </c>
      <c r="H187" s="827">
        <v>791296</v>
      </c>
      <c r="I187" s="827">
        <v>705812</v>
      </c>
      <c r="J187" s="827">
        <v>609265</v>
      </c>
      <c r="K187" s="827">
        <v>617484</v>
      </c>
      <c r="L187" s="827">
        <v>578591</v>
      </c>
      <c r="M187" s="827">
        <v>617323</v>
      </c>
      <c r="N187" s="827">
        <v>572807</v>
      </c>
      <c r="O187" s="827">
        <v>532827</v>
      </c>
      <c r="P187" s="827">
        <v>505732</v>
      </c>
      <c r="Q187" s="827">
        <v>466158</v>
      </c>
      <c r="R187" s="827">
        <v>456786</v>
      </c>
      <c r="S187" s="827">
        <v>485532</v>
      </c>
      <c r="T187" s="827">
        <v>492491</v>
      </c>
      <c r="U187" s="827">
        <v>571788</v>
      </c>
      <c r="V187" s="827">
        <v>593065</v>
      </c>
      <c r="W187" s="827">
        <v>682212</v>
      </c>
      <c r="X187" s="827">
        <v>668506</v>
      </c>
      <c r="Y187" s="827">
        <v>710127</v>
      </c>
      <c r="Z187" s="827">
        <v>690105</v>
      </c>
      <c r="AA187" s="827">
        <v>732996</v>
      </c>
      <c r="AB187" s="827">
        <v>709922</v>
      </c>
      <c r="AC187" s="828">
        <v>729410</v>
      </c>
      <c r="AD187" s="828">
        <v>712940</v>
      </c>
      <c r="AE187" s="828">
        <v>769794</v>
      </c>
      <c r="AF187" s="828">
        <v>748933</v>
      </c>
      <c r="AG187" s="828">
        <v>719782</v>
      </c>
      <c r="AH187" s="828">
        <v>684799</v>
      </c>
      <c r="AI187" s="828">
        <v>697142</v>
      </c>
      <c r="AJ187" s="828">
        <v>677810</v>
      </c>
      <c r="AK187" s="828">
        <v>683647</v>
      </c>
      <c r="AL187" s="828">
        <v>643313</v>
      </c>
      <c r="AM187" s="828">
        <v>627228</v>
      </c>
      <c r="AN187" s="828">
        <v>608315</v>
      </c>
      <c r="AO187" s="828">
        <v>618044</v>
      </c>
      <c r="AP187" s="828">
        <v>602530</v>
      </c>
    </row>
    <row r="188" hidden="1">
      <c r="B188" s="829" t="s">
        <v>18</v>
      </c>
      <c r="C188" s="823">
        <v>185662</v>
      </c>
      <c r="D188" s="823">
        <v>326328</v>
      </c>
      <c r="E188" s="823">
        <v>381114</v>
      </c>
      <c r="F188" s="823">
        <v>437539</v>
      </c>
      <c r="G188" s="823">
        <v>586412</v>
      </c>
      <c r="H188" s="823">
        <v>1803662</v>
      </c>
      <c r="I188" s="823">
        <v>658415</v>
      </c>
      <c r="J188" s="823">
        <v>695245</v>
      </c>
      <c r="K188" s="823">
        <v>711119</v>
      </c>
      <c r="L188" s="823">
        <v>710645</v>
      </c>
      <c r="M188" s="823">
        <v>742874</v>
      </c>
      <c r="N188" s="823">
        <v>746853</v>
      </c>
      <c r="O188" s="823">
        <v>738824</v>
      </c>
      <c r="P188" s="823">
        <v>757311</v>
      </c>
      <c r="Q188" s="823">
        <v>786564</v>
      </c>
      <c r="R188" s="823">
        <v>790586</v>
      </c>
      <c r="S188" s="823">
        <v>805298</v>
      </c>
      <c r="T188" s="823">
        <v>843884</v>
      </c>
      <c r="U188" s="823">
        <v>836777</v>
      </c>
      <c r="V188" s="823">
        <v>828458</v>
      </c>
      <c r="W188" s="823">
        <v>856523</v>
      </c>
      <c r="X188" s="823">
        <v>846144</v>
      </c>
      <c r="Y188" s="823">
        <v>841645</v>
      </c>
      <c r="Z188" s="823">
        <v>855134</v>
      </c>
      <c r="AA188" s="823">
        <v>873309</v>
      </c>
      <c r="AB188" s="823">
        <v>881006</v>
      </c>
      <c r="AC188" s="825">
        <v>909666</v>
      </c>
      <c r="AD188" s="825">
        <v>925208</v>
      </c>
      <c r="AE188" s="825">
        <v>952028</v>
      </c>
      <c r="AF188" s="825">
        <v>1018164</v>
      </c>
      <c r="AG188" s="825">
        <v>985488</v>
      </c>
      <c r="AH188" s="825">
        <v>1007645</v>
      </c>
      <c r="AI188" s="825">
        <v>998802</v>
      </c>
      <c r="AJ188" s="825">
        <v>999424</v>
      </c>
      <c r="AK188" s="825">
        <v>982180</v>
      </c>
      <c r="AL188" s="825">
        <v>975093</v>
      </c>
      <c r="AM188" s="825">
        <v>951574</v>
      </c>
      <c r="AN188" s="825">
        <v>969344</v>
      </c>
      <c r="AO188" s="825">
        <v>968613</v>
      </c>
      <c r="AP188" s="825">
        <v>975157</v>
      </c>
    </row>
    <row r="189" hidden="1">
      <c r="B189" s="826" t="s">
        <v>19</v>
      </c>
      <c r="C189" s="827">
        <v>11790</v>
      </c>
      <c r="D189" s="827">
        <v>12670</v>
      </c>
      <c r="E189" s="827">
        <v>13580</v>
      </c>
      <c r="F189" s="827">
        <v>13378</v>
      </c>
      <c r="G189" s="827">
        <v>13269</v>
      </c>
      <c r="H189" s="827">
        <v>12081</v>
      </c>
      <c r="I189" s="827">
        <v>9766</v>
      </c>
      <c r="J189" s="827">
        <v>9604</v>
      </c>
      <c r="K189" s="827">
        <v>10560</v>
      </c>
      <c r="L189" s="827">
        <v>9322</v>
      </c>
      <c r="M189" s="827">
        <v>6882</v>
      </c>
      <c r="N189" s="827">
        <v>6582</v>
      </c>
      <c r="O189" s="827">
        <v>6726</v>
      </c>
      <c r="P189" s="827">
        <v>6640</v>
      </c>
      <c r="Q189" s="827">
        <v>6295</v>
      </c>
      <c r="R189" s="827">
        <v>5970</v>
      </c>
      <c r="S189" s="827">
        <v>4827</v>
      </c>
      <c r="T189" s="827">
        <v>4865</v>
      </c>
      <c r="U189" s="827">
        <v>8346</v>
      </c>
      <c r="V189" s="827">
        <v>8543</v>
      </c>
      <c r="W189" s="827">
        <v>11230</v>
      </c>
      <c r="X189" s="827">
        <v>11343</v>
      </c>
      <c r="Y189" s="827">
        <v>8269</v>
      </c>
      <c r="Z189" s="827">
        <v>8313</v>
      </c>
      <c r="AA189" s="827">
        <v>7591</v>
      </c>
      <c r="AB189" s="827">
        <v>8156</v>
      </c>
      <c r="AC189" s="828">
        <v>11204</v>
      </c>
      <c r="AD189" s="828">
        <v>11159</v>
      </c>
      <c r="AE189" s="828">
        <v>10253</v>
      </c>
      <c r="AF189" s="828">
        <v>7461</v>
      </c>
      <c r="AG189" s="828">
        <v>3938</v>
      </c>
      <c r="AH189" s="828">
        <v>3947</v>
      </c>
      <c r="AI189" s="828">
        <v>6178</v>
      </c>
      <c r="AJ189" s="828">
        <v>5912</v>
      </c>
      <c r="AK189" s="828">
        <v>3218</v>
      </c>
      <c r="AL189" s="828">
        <v>3203</v>
      </c>
      <c r="AM189" s="828">
        <v>4755</v>
      </c>
      <c r="AN189" s="828">
        <v>4758</v>
      </c>
      <c r="AO189" s="828">
        <v>4546</v>
      </c>
      <c r="AP189" s="828">
        <v>4551</v>
      </c>
    </row>
    <row r="190" hidden="1">
      <c r="B190" s="829" t="s">
        <v>20</v>
      </c>
      <c r="C190" s="823">
        <v>694386</v>
      </c>
      <c r="D190" s="823">
        <v>680866</v>
      </c>
      <c r="E190" s="823">
        <v>1164020</v>
      </c>
      <c r="F190" s="823">
        <v>1048719</v>
      </c>
      <c r="G190" s="823">
        <v>1016539</v>
      </c>
      <c r="H190" s="823">
        <v>1122978</v>
      </c>
      <c r="I190" s="823">
        <v>1063492</v>
      </c>
      <c r="J190" s="823">
        <v>1090871</v>
      </c>
      <c r="K190" s="823">
        <v>1217041</v>
      </c>
      <c r="L190" s="823">
        <v>1196951</v>
      </c>
      <c r="M190" s="823">
        <v>1252080</v>
      </c>
      <c r="N190" s="823">
        <v>1205784</v>
      </c>
      <c r="O190" s="823">
        <v>1369942</v>
      </c>
      <c r="P190" s="823">
        <v>1302818</v>
      </c>
      <c r="Q190" s="823">
        <v>1472729</v>
      </c>
      <c r="R190" s="823">
        <v>1420360</v>
      </c>
      <c r="S190" s="823">
        <v>1443220</v>
      </c>
      <c r="T190" s="823">
        <v>1442700</v>
      </c>
      <c r="U190" s="823">
        <v>1558486</v>
      </c>
      <c r="V190" s="823">
        <v>1479821</v>
      </c>
      <c r="W190" s="823">
        <v>1588689</v>
      </c>
      <c r="X190" s="823">
        <v>1573119</v>
      </c>
      <c r="Y190" s="823">
        <v>1656565</v>
      </c>
      <c r="Z190" s="823">
        <v>1642983</v>
      </c>
      <c r="AA190" s="823">
        <v>1718061</v>
      </c>
      <c r="AB190" s="823">
        <v>1693310</v>
      </c>
      <c r="AC190" s="825">
        <v>1810877</v>
      </c>
      <c r="AD190" s="825">
        <v>1735383</v>
      </c>
      <c r="AE190" s="825">
        <v>1839419</v>
      </c>
      <c r="AF190" s="825">
        <v>1792891</v>
      </c>
      <c r="AG190" s="825">
        <v>1901041</v>
      </c>
      <c r="AH190" s="825">
        <v>1765353</v>
      </c>
      <c r="AI190" s="825">
        <v>1824733</v>
      </c>
      <c r="AJ190" s="825">
        <v>1744850</v>
      </c>
      <c r="AK190" s="825">
        <v>1685910</v>
      </c>
      <c r="AL190" s="825">
        <v>1632098</v>
      </c>
      <c r="AM190" s="825">
        <v>1582990</v>
      </c>
      <c r="AN190" s="825">
        <v>1558148</v>
      </c>
      <c r="AO190" s="825">
        <v>1628961</v>
      </c>
      <c r="AP190" s="825">
        <v>1628570</v>
      </c>
    </row>
    <row r="191" hidden="1">
      <c r="B191" s="826" t="s">
        <v>21</v>
      </c>
      <c r="C191" s="827">
        <v>413114</v>
      </c>
      <c r="D191" s="827">
        <v>411499</v>
      </c>
      <c r="E191" s="827">
        <v>405854</v>
      </c>
      <c r="F191" s="827">
        <v>404110</v>
      </c>
      <c r="G191" s="827">
        <v>407819</v>
      </c>
      <c r="H191" s="827">
        <v>413944</v>
      </c>
      <c r="I191" s="827">
        <v>403302</v>
      </c>
      <c r="J191" s="827">
        <v>403044</v>
      </c>
      <c r="K191" s="827">
        <v>402043</v>
      </c>
      <c r="L191" s="827">
        <v>398152</v>
      </c>
      <c r="M191" s="827">
        <v>386836</v>
      </c>
      <c r="N191" s="827">
        <v>391747</v>
      </c>
      <c r="O191" s="827">
        <v>389966</v>
      </c>
      <c r="P191" s="827">
        <v>391171</v>
      </c>
      <c r="Q191" s="827">
        <v>398354</v>
      </c>
      <c r="R191" s="827">
        <v>392117</v>
      </c>
      <c r="S191" s="827">
        <v>387170</v>
      </c>
      <c r="T191" s="827">
        <v>390128</v>
      </c>
      <c r="U191" s="827">
        <v>393699</v>
      </c>
      <c r="V191" s="827">
        <v>393708</v>
      </c>
      <c r="W191" s="827">
        <v>397012</v>
      </c>
      <c r="X191" s="827">
        <v>398166</v>
      </c>
      <c r="Y191" s="827">
        <v>425643</v>
      </c>
      <c r="Z191" s="827">
        <v>426045</v>
      </c>
      <c r="AA191" s="827">
        <v>438678</v>
      </c>
      <c r="AB191" s="827">
        <v>445744</v>
      </c>
      <c r="AC191" s="828">
        <v>464974</v>
      </c>
      <c r="AD191" s="828">
        <v>471072</v>
      </c>
      <c r="AE191" s="828">
        <v>485929</v>
      </c>
      <c r="AF191" s="828">
        <v>493557</v>
      </c>
      <c r="AG191" s="828">
        <v>506855</v>
      </c>
      <c r="AH191" s="828">
        <v>511446</v>
      </c>
      <c r="AI191" s="828">
        <v>523730</v>
      </c>
      <c r="AJ191" s="828">
        <v>525326</v>
      </c>
      <c r="AK191" s="828">
        <v>521643</v>
      </c>
      <c r="AL191" s="828">
        <v>530725</v>
      </c>
      <c r="AM191" s="828">
        <v>537819</v>
      </c>
      <c r="AN191" s="828">
        <v>539456</v>
      </c>
      <c r="AO191" s="828">
        <v>544876</v>
      </c>
      <c r="AP191" s="828">
        <v>545572</v>
      </c>
    </row>
    <row r="192" hidden="1">
      <c r="B192" s="829" t="s">
        <v>22</v>
      </c>
      <c r="C192" s="823">
        <v>8319</v>
      </c>
      <c r="D192" s="823">
        <v>8294</v>
      </c>
      <c r="E192" s="823">
        <v>6670</v>
      </c>
      <c r="F192" s="823">
        <v>6627</v>
      </c>
      <c r="G192" s="823">
        <v>6819</v>
      </c>
      <c r="H192" s="823">
        <v>6804</v>
      </c>
      <c r="I192" s="823">
        <v>7290</v>
      </c>
      <c r="J192" s="823">
        <v>6948</v>
      </c>
      <c r="K192" s="823">
        <v>7739</v>
      </c>
      <c r="L192" s="823">
        <v>7202</v>
      </c>
      <c r="M192" s="823">
        <v>6679</v>
      </c>
      <c r="N192" s="823">
        <v>4939</v>
      </c>
      <c r="O192" s="823">
        <v>3338</v>
      </c>
      <c r="P192" s="823">
        <v>3767</v>
      </c>
      <c r="Q192" s="823">
        <v>13326</v>
      </c>
      <c r="R192" s="823">
        <v>6115</v>
      </c>
      <c r="S192" s="823">
        <v>15025</v>
      </c>
      <c r="T192" s="823">
        <v>15032</v>
      </c>
      <c r="U192" s="823">
        <v>15585</v>
      </c>
      <c r="V192" s="823">
        <v>15801</v>
      </c>
      <c r="W192" s="823">
        <v>19336</v>
      </c>
      <c r="X192" s="823">
        <v>19222</v>
      </c>
      <c r="Y192" s="823">
        <v>19038</v>
      </c>
      <c r="Z192" s="823">
        <v>19315</v>
      </c>
      <c r="AA192" s="823">
        <v>20306</v>
      </c>
      <c r="AB192" s="823">
        <v>20451</v>
      </c>
      <c r="AC192" s="825">
        <v>20404</v>
      </c>
      <c r="AD192" s="825">
        <v>20404</v>
      </c>
      <c r="AE192" s="825">
        <v>21010</v>
      </c>
      <c r="AF192" s="825">
        <v>21144</v>
      </c>
      <c r="AG192" s="825">
        <v>21757</v>
      </c>
      <c r="AH192" s="825">
        <v>21632</v>
      </c>
      <c r="AI192" s="825">
        <v>20375</v>
      </c>
      <c r="AJ192" s="825">
        <v>20691</v>
      </c>
      <c r="AK192" s="825">
        <v>20890</v>
      </c>
      <c r="AL192" s="825">
        <v>20118</v>
      </c>
      <c r="AM192" s="825">
        <v>21455</v>
      </c>
      <c r="AN192" s="825">
        <v>21460</v>
      </c>
      <c r="AO192" s="825">
        <v>19486</v>
      </c>
      <c r="AP192" s="825">
        <v>19005</v>
      </c>
    </row>
    <row r="193" hidden="1">
      <c r="B193" s="826" t="s">
        <v>23</v>
      </c>
      <c r="C193" s="827">
        <v>83055</v>
      </c>
      <c r="D193" s="827">
        <v>83061</v>
      </c>
      <c r="E193" s="827">
        <v>93890</v>
      </c>
      <c r="F193" s="827">
        <v>93892</v>
      </c>
      <c r="G193" s="827">
        <v>96880</v>
      </c>
      <c r="H193" s="827">
        <v>96837</v>
      </c>
      <c r="I193" s="827">
        <v>95489</v>
      </c>
      <c r="J193" s="827">
        <v>95491</v>
      </c>
      <c r="K193" s="827">
        <v>91321</v>
      </c>
      <c r="L193" s="827">
        <v>88781</v>
      </c>
      <c r="M193" s="827">
        <v>89907</v>
      </c>
      <c r="N193" s="827">
        <v>89903</v>
      </c>
      <c r="O193" s="827">
        <v>93309</v>
      </c>
      <c r="P193" s="827">
        <v>85372</v>
      </c>
      <c r="Q193" s="827">
        <v>87931</v>
      </c>
      <c r="R193" s="827">
        <v>81491</v>
      </c>
      <c r="S193" s="827">
        <v>85553</v>
      </c>
      <c r="T193" s="827">
        <v>86364</v>
      </c>
      <c r="U193" s="827">
        <v>92571</v>
      </c>
      <c r="V193" s="827">
        <v>92578</v>
      </c>
      <c r="W193" s="827">
        <v>103045</v>
      </c>
      <c r="X193" s="827">
        <v>104545</v>
      </c>
      <c r="Y193" s="827">
        <v>112478</v>
      </c>
      <c r="Z193" s="827">
        <v>112479</v>
      </c>
      <c r="AA193" s="827">
        <v>121670</v>
      </c>
      <c r="AB193" s="827">
        <v>121666</v>
      </c>
      <c r="AC193" s="828">
        <v>130405</v>
      </c>
      <c r="AD193" s="828">
        <v>130405</v>
      </c>
      <c r="AE193" s="828">
        <v>140560</v>
      </c>
      <c r="AF193" s="828">
        <v>140560</v>
      </c>
      <c r="AG193" s="828">
        <v>136780</v>
      </c>
      <c r="AH193" s="828">
        <v>136780</v>
      </c>
      <c r="AI193" s="828">
        <v>145100</v>
      </c>
      <c r="AJ193" s="828">
        <v>145100</v>
      </c>
      <c r="AK193" s="828">
        <v>138541</v>
      </c>
      <c r="AL193" s="828">
        <v>138541</v>
      </c>
      <c r="AM193" s="828">
        <v>147633</v>
      </c>
      <c r="AN193" s="828">
        <v>147265</v>
      </c>
      <c r="AO193" s="828">
        <v>148819</v>
      </c>
      <c r="AP193" s="828">
        <v>148529</v>
      </c>
    </row>
    <row r="194" hidden="1">
      <c r="B194" s="830" t="s">
        <v>24</v>
      </c>
      <c r="C194" s="823">
        <v>906075</v>
      </c>
      <c r="D194" s="823">
        <v>878282</v>
      </c>
      <c r="E194" s="823">
        <v>874390</v>
      </c>
      <c r="F194" s="823">
        <v>876852</v>
      </c>
      <c r="G194" s="823">
        <v>915477</v>
      </c>
      <c r="H194" s="823">
        <v>916245</v>
      </c>
      <c r="I194" s="823">
        <v>907811</v>
      </c>
      <c r="J194" s="823">
        <v>891278</v>
      </c>
      <c r="K194" s="823">
        <v>863693</v>
      </c>
      <c r="L194" s="823">
        <v>846289</v>
      </c>
      <c r="M194" s="823">
        <v>854216</v>
      </c>
      <c r="N194" s="823">
        <v>851069</v>
      </c>
      <c r="O194" s="823">
        <v>828788</v>
      </c>
      <c r="P194" s="823">
        <v>818763</v>
      </c>
      <c r="Q194" s="823">
        <v>815752</v>
      </c>
      <c r="R194" s="823">
        <v>811479</v>
      </c>
      <c r="S194" s="823">
        <v>870397</v>
      </c>
      <c r="T194" s="823">
        <v>897609</v>
      </c>
      <c r="U194" s="823">
        <v>915209</v>
      </c>
      <c r="V194" s="823">
        <v>916860</v>
      </c>
      <c r="W194" s="823">
        <v>915303</v>
      </c>
      <c r="X194" s="823">
        <v>918032</v>
      </c>
      <c r="Y194" s="823">
        <v>921915</v>
      </c>
      <c r="Z194" s="823">
        <v>923350</v>
      </c>
      <c r="AA194" s="823">
        <v>940327</v>
      </c>
      <c r="AB194" s="823">
        <v>939832</v>
      </c>
      <c r="AC194" s="825">
        <v>951235</v>
      </c>
      <c r="AD194" s="825">
        <v>945611</v>
      </c>
      <c r="AE194" s="825">
        <v>960268</v>
      </c>
      <c r="AF194" s="825">
        <v>959280</v>
      </c>
      <c r="AG194" s="825">
        <v>992480</v>
      </c>
      <c r="AH194" s="825">
        <v>988303</v>
      </c>
      <c r="AI194" s="825">
        <v>991415</v>
      </c>
      <c r="AJ194" s="825">
        <v>984114</v>
      </c>
      <c r="AK194" s="825">
        <v>973279</v>
      </c>
      <c r="AL194" s="825">
        <v>968927</v>
      </c>
      <c r="AM194" s="825">
        <v>909096</v>
      </c>
      <c r="AN194" s="825">
        <v>904746</v>
      </c>
      <c r="AO194" s="825">
        <v>913647</v>
      </c>
      <c r="AP194" s="825">
        <v>904856</v>
      </c>
    </row>
    <row r="195" hidden="1">
      <c r="B195" s="826" t="s">
        <v>25</v>
      </c>
      <c r="C195" s="827">
        <v>0</v>
      </c>
      <c r="D195" s="827">
        <v>0</v>
      </c>
      <c r="E195" s="827">
        <v>0</v>
      </c>
      <c r="F195" s="827">
        <v>0</v>
      </c>
      <c r="G195" s="827">
        <v>0</v>
      </c>
      <c r="H195" s="827">
        <v>0</v>
      </c>
      <c r="I195" s="827">
        <v>0</v>
      </c>
      <c r="J195" s="827">
        <v>0</v>
      </c>
      <c r="K195" s="827">
        <v>0</v>
      </c>
      <c r="L195" s="827">
        <v>0</v>
      </c>
      <c r="M195" s="827">
        <v>0</v>
      </c>
      <c r="N195" s="827">
        <v>0</v>
      </c>
      <c r="O195" s="827">
        <v>0</v>
      </c>
      <c r="P195" s="827">
        <v>0</v>
      </c>
      <c r="Q195" s="827">
        <v>0</v>
      </c>
      <c r="R195" s="827">
        <v>0</v>
      </c>
      <c r="S195" s="827">
        <v>0</v>
      </c>
      <c r="T195" s="827">
        <v>0</v>
      </c>
      <c r="U195" s="827">
        <v>0</v>
      </c>
      <c r="V195" s="827">
        <v>0</v>
      </c>
      <c r="W195" s="827">
        <v>0</v>
      </c>
      <c r="X195" s="827">
        <v>0</v>
      </c>
      <c r="Y195" s="827">
        <v>0</v>
      </c>
      <c r="Z195" s="827">
        <v>0</v>
      </c>
      <c r="AA195" s="827">
        <v>0</v>
      </c>
      <c r="AB195" s="827">
        <v>0</v>
      </c>
      <c r="AC195" s="828">
        <v>0</v>
      </c>
      <c r="AD195" s="828">
        <v>0</v>
      </c>
      <c r="AE195" s="828">
        <v>0</v>
      </c>
      <c r="AF195" s="828">
        <v>0</v>
      </c>
      <c r="AG195" s="828">
        <v>0</v>
      </c>
      <c r="AH195" s="828">
        <v>0</v>
      </c>
      <c r="AI195" s="828">
        <v>0</v>
      </c>
      <c r="AJ195" s="828">
        <v>0</v>
      </c>
      <c r="AK195" s="828">
        <v>0</v>
      </c>
      <c r="AL195" s="828">
        <v>0</v>
      </c>
      <c r="AM195" s="828">
        <v>0</v>
      </c>
      <c r="AN195" s="828">
        <v>0</v>
      </c>
      <c r="AO195" s="828">
        <v>0</v>
      </c>
      <c r="AP195" s="828">
        <v>0</v>
      </c>
    </row>
    <row r="196" hidden="1" ht="13.5">
      <c r="B196" s="831" t="s">
        <v>26</v>
      </c>
      <c r="C196" s="823">
        <v>0</v>
      </c>
      <c r="D196" s="823">
        <v>0</v>
      </c>
      <c r="E196" s="823">
        <v>0</v>
      </c>
      <c r="F196" s="823">
        <v>0</v>
      </c>
      <c r="G196" s="823">
        <v>0</v>
      </c>
      <c r="H196" s="823">
        <v>0</v>
      </c>
      <c r="I196" s="823">
        <v>0</v>
      </c>
      <c r="J196" s="823">
        <v>0</v>
      </c>
      <c r="K196" s="823">
        <v>0</v>
      </c>
      <c r="L196" s="823">
        <v>0</v>
      </c>
      <c r="M196" s="823">
        <v>0</v>
      </c>
      <c r="N196" s="823">
        <v>0</v>
      </c>
      <c r="O196" s="823">
        <v>0</v>
      </c>
      <c r="P196" s="823">
        <v>0</v>
      </c>
      <c r="Q196" s="823">
        <v>0</v>
      </c>
      <c r="R196" s="823">
        <v>0</v>
      </c>
      <c r="S196" s="823">
        <v>0</v>
      </c>
      <c r="T196" s="823">
        <v>0</v>
      </c>
      <c r="U196" s="823">
        <v>0</v>
      </c>
      <c r="V196" s="823">
        <v>0</v>
      </c>
      <c r="W196" s="823">
        <v>0</v>
      </c>
      <c r="X196" s="823">
        <v>0</v>
      </c>
      <c r="Y196" s="823">
        <v>0</v>
      </c>
      <c r="Z196" s="823">
        <v>0</v>
      </c>
      <c r="AA196" s="823">
        <v>0</v>
      </c>
      <c r="AB196" s="832">
        <v>0</v>
      </c>
      <c r="AC196" s="825">
        <v>0</v>
      </c>
      <c r="AD196" s="825">
        <v>0</v>
      </c>
      <c r="AE196" s="825">
        <v>0</v>
      </c>
      <c r="AF196" s="825">
        <v>0</v>
      </c>
      <c r="AG196" s="825">
        <v>0</v>
      </c>
      <c r="AH196" s="825">
        <v>0</v>
      </c>
      <c r="AI196" s="825">
        <v>0</v>
      </c>
      <c r="AJ196" s="825">
        <v>0</v>
      </c>
      <c r="AK196" s="825">
        <v>0</v>
      </c>
      <c r="AL196" s="825">
        <v>0</v>
      </c>
      <c r="AM196" s="825">
        <v>0</v>
      </c>
      <c r="AN196" s="825">
        <v>0</v>
      </c>
      <c r="AO196" s="825">
        <v>0</v>
      </c>
      <c r="AP196" s="825">
        <v>0</v>
      </c>
    </row>
    <row r="197" hidden="1" ht="13.5">
      <c r="B197" s="128" t="s">
        <v>7</v>
      </c>
      <c r="C197" s="129" t="str">
        <f>IF(SUM(C178:C196)&lt;&gt;0,SUM(C178:C196),"")</f>
      </c>
      <c r="D197" s="129" t="str">
        <f ref="D197:AA197" t="shared" si="0">IF(SUM(D178:D196)&lt;&gt;0,SUM(D178:D196),"")</f>
      </c>
      <c r="E197" s="129" t="str">
        <f t="shared" si="0"/>
      </c>
      <c r="F197" s="129" t="str">
        <f t="shared" si="0"/>
      </c>
      <c r="G197" s="129" t="str">
        <f t="shared" si="0"/>
      </c>
      <c r="H197" s="129" t="str">
        <f t="shared" si="0"/>
      </c>
      <c r="I197" s="129" t="str">
        <f t="shared" si="0"/>
      </c>
      <c r="J197" s="129" t="str">
        <f t="shared" si="0"/>
      </c>
      <c r="K197" s="129" t="str">
        <f t="shared" si="0"/>
      </c>
      <c r="L197" s="129" t="str">
        <f t="shared" si="0"/>
      </c>
      <c r="M197" s="129" t="str">
        <f t="shared" si="0"/>
      </c>
      <c r="N197" s="129" t="str">
        <f t="shared" si="0"/>
      </c>
      <c r="O197" s="129" t="str">
        <f t="shared" si="0"/>
      </c>
      <c r="P197" s="129" t="str">
        <f t="shared" si="0"/>
      </c>
      <c r="Q197" s="129" t="str">
        <f t="shared" si="0"/>
      </c>
      <c r="R197" s="129" t="str">
        <f t="shared" si="0"/>
      </c>
      <c r="S197" s="129" t="str">
        <f t="shared" si="0"/>
      </c>
      <c r="T197" s="129" t="str">
        <f t="shared" si="0"/>
      </c>
      <c r="U197" s="129" t="str">
        <f t="shared" si="0"/>
      </c>
      <c r="V197" s="129" t="str">
        <f t="shared" si="0"/>
      </c>
      <c r="W197" s="129" t="str">
        <f t="shared" si="0"/>
      </c>
      <c r="X197" s="129" t="str">
        <f t="shared" si="0"/>
      </c>
      <c r="Y197" s="129" t="str">
        <f t="shared" si="0"/>
      </c>
      <c r="Z197" s="129" t="str">
        <f t="shared" si="0"/>
      </c>
      <c r="AA197" s="129" t="str">
        <f t="shared" si="0"/>
      </c>
      <c r="AB197" s="130" t="str">
        <f>IF(SUM(AB178:AB196)&lt;&gt;0,SUM(AB178:AB196),"")</f>
      </c>
      <c r="AC197" s="91" t="str">
        <f ref="AC197:CN197" t="shared" si="1">IF(SUM(AC178:AC196)&lt;&gt;0,SUM(AC178:AC196),"")</f>
      </c>
      <c r="AD197" s="91" t="str">
        <f t="shared" si="1"/>
      </c>
      <c r="AE197" s="91" t="str">
        <f t="shared" si="1"/>
      </c>
      <c r="AF197" s="91" t="str">
        <f t="shared" si="1"/>
      </c>
      <c r="AG197" s="91" t="str">
        <f t="shared" si="1"/>
      </c>
      <c r="AH197" s="91" t="str">
        <f t="shared" si="1"/>
      </c>
      <c r="AI197" s="91" t="str">
        <f t="shared" si="1"/>
      </c>
      <c r="AJ197" s="91" t="str">
        <f t="shared" si="1"/>
      </c>
      <c r="AK197" s="91" t="str">
        <f t="shared" si="1"/>
      </c>
      <c r="AL197" s="91" t="str">
        <f t="shared" si="1"/>
      </c>
      <c r="AM197" s="91" t="str">
        <f t="shared" si="1"/>
      </c>
      <c r="AN197" s="91" t="str">
        <f t="shared" si="1"/>
      </c>
      <c r="AO197" s="91" t="str">
        <f t="shared" si="1"/>
      </c>
      <c r="AP197" s="91" t="str">
        <f t="shared" si="1"/>
      </c>
      <c r="AQ197" s="91" t="str">
        <f t="shared" si="1"/>
      </c>
      <c r="AR197" s="91" t="str">
        <f t="shared" si="1"/>
      </c>
      <c r="AS197" s="91" t="str">
        <f t="shared" si="1"/>
      </c>
      <c r="AT197" s="91" t="str">
        <f t="shared" si="1"/>
      </c>
      <c r="AU197" s="91" t="str">
        <f t="shared" si="1"/>
      </c>
      <c r="AV197" s="91" t="str">
        <f t="shared" si="1"/>
      </c>
      <c r="AW197" s="91" t="str">
        <f t="shared" si="1"/>
      </c>
      <c r="AX197" s="91" t="str">
        <f t="shared" si="1"/>
      </c>
      <c r="AY197" s="91" t="str">
        <f t="shared" si="1"/>
      </c>
      <c r="AZ197" s="91" t="str">
        <f t="shared" si="1"/>
      </c>
      <c r="BA197" s="91" t="str">
        <f t="shared" si="1"/>
      </c>
      <c r="BB197" s="91" t="str">
        <f t="shared" si="1"/>
      </c>
      <c r="BC197" s="91" t="str">
        <f t="shared" si="1"/>
      </c>
      <c r="BD197" s="91" t="str">
        <f t="shared" si="1"/>
      </c>
      <c r="BE197" s="91" t="str">
        <f t="shared" si="1"/>
      </c>
      <c r="BF197" s="91" t="str">
        <f t="shared" si="1"/>
      </c>
      <c r="BG197" s="91" t="str">
        <f t="shared" si="1"/>
      </c>
      <c r="BH197" s="91" t="str">
        <f t="shared" si="1"/>
      </c>
      <c r="BI197" s="91" t="str">
        <f t="shared" si="1"/>
      </c>
      <c r="BJ197" s="91" t="str">
        <f t="shared" si="1"/>
      </c>
      <c r="BK197" s="91" t="str">
        <f t="shared" si="1"/>
      </c>
      <c r="BL197" s="91" t="str">
        <f t="shared" si="1"/>
      </c>
      <c r="BM197" s="91" t="str">
        <f t="shared" si="1"/>
      </c>
      <c r="BN197" s="91" t="str">
        <f t="shared" si="1"/>
      </c>
      <c r="BO197" s="91" t="str">
        <f t="shared" si="1"/>
      </c>
      <c r="BP197" s="91" t="str">
        <f t="shared" si="1"/>
      </c>
      <c r="BQ197" s="91" t="str">
        <f t="shared" si="1"/>
      </c>
      <c r="BR197" s="91" t="str">
        <f t="shared" si="1"/>
      </c>
      <c r="BS197" s="91" t="str">
        <f t="shared" si="1"/>
      </c>
      <c r="BT197" s="91" t="str">
        <f t="shared" si="1"/>
      </c>
      <c r="BU197" s="91" t="str">
        <f t="shared" si="1"/>
      </c>
      <c r="BV197" s="91" t="str">
        <f t="shared" si="1"/>
      </c>
      <c r="BW197" s="91" t="str">
        <f t="shared" si="1"/>
      </c>
      <c r="BX197" s="91" t="str">
        <f t="shared" si="1"/>
      </c>
      <c r="BY197" s="91" t="str">
        <f t="shared" si="1"/>
      </c>
      <c r="BZ197" s="91" t="str">
        <f t="shared" si="1"/>
      </c>
      <c r="CA197" s="91" t="str">
        <f t="shared" si="1"/>
      </c>
      <c r="CB197" s="91" t="str">
        <f t="shared" si="1"/>
      </c>
      <c r="CC197" s="91" t="str">
        <f t="shared" si="1"/>
      </c>
      <c r="CD197" s="91" t="str">
        <f t="shared" si="1"/>
      </c>
      <c r="CE197" s="91" t="str">
        <f t="shared" si="1"/>
      </c>
      <c r="CF197" s="91" t="str">
        <f t="shared" si="1"/>
      </c>
      <c r="CG197" s="91" t="str">
        <f t="shared" si="1"/>
      </c>
      <c r="CH197" s="91" t="str">
        <f t="shared" si="1"/>
      </c>
      <c r="CI197" s="91" t="str">
        <f t="shared" si="1"/>
      </c>
      <c r="CJ197" s="91" t="str">
        <f t="shared" si="1"/>
      </c>
      <c r="CK197" s="91" t="str">
        <f t="shared" si="1"/>
      </c>
      <c r="CL197" s="91" t="str">
        <f t="shared" si="1"/>
      </c>
      <c r="CM197" s="91" t="str">
        <f t="shared" si="1"/>
      </c>
      <c r="CN197" s="91" t="str">
        <f t="shared" si="1"/>
      </c>
      <c r="CO197" s="91" t="str">
        <f ref="CO197:EZ197" t="shared" si="2">IF(SUM(CO178:CO196)&lt;&gt;0,SUM(CO178:CO196),"")</f>
      </c>
      <c r="CP197" s="91" t="str">
        <f t="shared" si="2"/>
      </c>
      <c r="CQ197" s="91" t="str">
        <f t="shared" si="2"/>
      </c>
      <c r="CR197" s="91" t="str">
        <f t="shared" si="2"/>
      </c>
      <c r="CS197" s="91" t="str">
        <f t="shared" si="2"/>
      </c>
      <c r="CT197" s="91" t="str">
        <f t="shared" si="2"/>
      </c>
      <c r="CU197" s="91" t="str">
        <f t="shared" si="2"/>
      </c>
      <c r="CV197" s="91" t="str">
        <f t="shared" si="2"/>
      </c>
      <c r="CW197" s="91" t="str">
        <f t="shared" si="2"/>
      </c>
      <c r="CX197" s="91" t="str">
        <f t="shared" si="2"/>
      </c>
      <c r="CY197" s="91" t="str">
        <f t="shared" si="2"/>
      </c>
      <c r="CZ197" s="91" t="str">
        <f t="shared" si="2"/>
      </c>
      <c r="DA197" s="91" t="str">
        <f t="shared" si="2"/>
      </c>
      <c r="DB197" s="91" t="str">
        <f t="shared" si="2"/>
      </c>
      <c r="DC197" s="91" t="str">
        <f t="shared" si="2"/>
      </c>
      <c r="DD197" s="91" t="str">
        <f t="shared" si="2"/>
      </c>
      <c r="DE197" s="91" t="str">
        <f t="shared" si="2"/>
      </c>
      <c r="DF197" s="91" t="str">
        <f t="shared" si="2"/>
      </c>
      <c r="DG197" s="91" t="str">
        <f t="shared" si="2"/>
      </c>
      <c r="DH197" s="91" t="str">
        <f t="shared" si="2"/>
      </c>
      <c r="DI197" s="91" t="str">
        <f t="shared" si="2"/>
      </c>
      <c r="DJ197" s="91" t="str">
        <f t="shared" si="2"/>
      </c>
      <c r="DK197" s="91" t="str">
        <f t="shared" si="2"/>
      </c>
      <c r="DL197" s="91" t="str">
        <f t="shared" si="2"/>
      </c>
      <c r="DM197" s="91" t="str">
        <f t="shared" si="2"/>
      </c>
      <c r="DN197" s="91" t="str">
        <f t="shared" si="2"/>
      </c>
      <c r="DO197" s="91" t="str">
        <f t="shared" si="2"/>
      </c>
      <c r="DP197" s="91" t="str">
        <f t="shared" si="2"/>
      </c>
      <c r="DQ197" s="91" t="str">
        <f t="shared" si="2"/>
      </c>
      <c r="DR197" s="91" t="str">
        <f t="shared" si="2"/>
      </c>
      <c r="DS197" s="91" t="str">
        <f t="shared" si="2"/>
      </c>
      <c r="DT197" s="91" t="str">
        <f t="shared" si="2"/>
      </c>
      <c r="DU197" s="91" t="str">
        <f t="shared" si="2"/>
      </c>
      <c r="DV197" s="91" t="str">
        <f t="shared" si="2"/>
      </c>
      <c r="DW197" s="91" t="str">
        <f t="shared" si="2"/>
      </c>
      <c r="DX197" s="91" t="str">
        <f t="shared" si="2"/>
      </c>
      <c r="DY197" s="91" t="str">
        <f t="shared" si="2"/>
      </c>
      <c r="DZ197" s="91" t="str">
        <f t="shared" si="2"/>
      </c>
      <c r="EA197" s="91" t="str">
        <f t="shared" si="2"/>
      </c>
      <c r="EB197" s="91" t="str">
        <f t="shared" si="2"/>
      </c>
      <c r="EC197" s="91" t="str">
        <f t="shared" si="2"/>
      </c>
      <c r="ED197" s="91" t="str">
        <f t="shared" si="2"/>
      </c>
      <c r="EE197" s="91" t="str">
        <f t="shared" si="2"/>
      </c>
      <c r="EF197" s="91" t="str">
        <f t="shared" si="2"/>
      </c>
      <c r="EG197" s="91" t="str">
        <f t="shared" si="2"/>
      </c>
      <c r="EH197" s="91" t="str">
        <f t="shared" si="2"/>
      </c>
      <c r="EI197" s="91" t="str">
        <f t="shared" si="2"/>
      </c>
      <c r="EJ197" s="91" t="str">
        <f t="shared" si="2"/>
      </c>
      <c r="EK197" s="91" t="str">
        <f t="shared" si="2"/>
      </c>
      <c r="EL197" s="91" t="str">
        <f t="shared" si="2"/>
      </c>
      <c r="EM197" s="91" t="str">
        <f t="shared" si="2"/>
      </c>
      <c r="EN197" s="91" t="str">
        <f t="shared" si="2"/>
      </c>
      <c r="EO197" s="91" t="str">
        <f t="shared" si="2"/>
      </c>
      <c r="EP197" s="91" t="str">
        <f t="shared" si="2"/>
      </c>
      <c r="EQ197" s="91" t="str">
        <f t="shared" si="2"/>
      </c>
      <c r="ER197" s="91" t="str">
        <f t="shared" si="2"/>
      </c>
      <c r="ES197" s="91" t="str">
        <f t="shared" si="2"/>
      </c>
      <c r="ET197" s="91" t="str">
        <f t="shared" si="2"/>
      </c>
      <c r="EU197" s="91" t="str">
        <f t="shared" si="2"/>
      </c>
      <c r="EV197" s="91" t="str">
        <f t="shared" si="2"/>
      </c>
      <c r="EW197" s="91" t="str">
        <f t="shared" si="2"/>
      </c>
      <c r="EX197" s="91" t="str">
        <f t="shared" si="2"/>
      </c>
      <c r="EY197" s="91" t="str">
        <f t="shared" si="2"/>
      </c>
      <c r="EZ197" s="91" t="str">
        <f t="shared" si="2"/>
      </c>
      <c r="FA197" s="91" t="str">
        <f ref="FA197:HL197" t="shared" si="3">IF(SUM(FA178:FA196)&lt;&gt;0,SUM(FA178:FA196),"")</f>
      </c>
      <c r="FB197" s="91" t="str">
        <f t="shared" si="3"/>
      </c>
      <c r="FC197" s="91" t="str">
        <f t="shared" si="3"/>
      </c>
      <c r="FD197" s="91" t="str">
        <f t="shared" si="3"/>
      </c>
      <c r="FE197" s="91" t="str">
        <f t="shared" si="3"/>
      </c>
      <c r="FF197" s="91" t="str">
        <f t="shared" si="3"/>
      </c>
      <c r="FG197" s="91" t="str">
        <f t="shared" si="3"/>
      </c>
      <c r="FH197" s="91" t="str">
        <f t="shared" si="3"/>
      </c>
      <c r="FI197" s="91" t="str">
        <f t="shared" si="3"/>
      </c>
      <c r="FJ197" s="91" t="str">
        <f t="shared" si="3"/>
      </c>
      <c r="FK197" s="91" t="str">
        <f t="shared" si="3"/>
      </c>
      <c r="FL197" s="91" t="str">
        <f t="shared" si="3"/>
      </c>
      <c r="FM197" s="91" t="str">
        <f t="shared" si="3"/>
      </c>
      <c r="FN197" s="91" t="str">
        <f t="shared" si="3"/>
      </c>
      <c r="FO197" s="91" t="str">
        <f t="shared" si="3"/>
      </c>
      <c r="FP197" s="91" t="str">
        <f t="shared" si="3"/>
      </c>
      <c r="FQ197" s="91" t="str">
        <f t="shared" si="3"/>
      </c>
      <c r="FR197" s="91" t="str">
        <f t="shared" si="3"/>
      </c>
      <c r="FS197" s="91" t="str">
        <f t="shared" si="3"/>
      </c>
      <c r="FT197" s="91" t="str">
        <f t="shared" si="3"/>
      </c>
      <c r="FU197" s="91" t="str">
        <f t="shared" si="3"/>
      </c>
      <c r="FV197" s="91" t="str">
        <f t="shared" si="3"/>
      </c>
      <c r="FW197" s="91" t="str">
        <f t="shared" si="3"/>
      </c>
      <c r="FX197" s="91" t="str">
        <f t="shared" si="3"/>
      </c>
      <c r="FY197" s="91" t="str">
        <f t="shared" si="3"/>
      </c>
      <c r="FZ197" s="91" t="str">
        <f t="shared" si="3"/>
      </c>
      <c r="GA197" s="91" t="str">
        <f t="shared" si="3"/>
      </c>
      <c r="GB197" s="91" t="str">
        <f t="shared" si="3"/>
      </c>
      <c r="GC197" s="91" t="str">
        <f t="shared" si="3"/>
      </c>
      <c r="GD197" s="91" t="str">
        <f t="shared" si="3"/>
      </c>
      <c r="GE197" s="91" t="str">
        <f t="shared" si="3"/>
      </c>
      <c r="GF197" s="91" t="str">
        <f t="shared" si="3"/>
      </c>
      <c r="GG197" s="91" t="str">
        <f t="shared" si="3"/>
      </c>
      <c r="GH197" s="91" t="str">
        <f t="shared" si="3"/>
      </c>
      <c r="GI197" s="91" t="str">
        <f t="shared" si="3"/>
      </c>
      <c r="GJ197" s="91" t="str">
        <f t="shared" si="3"/>
      </c>
      <c r="GK197" s="91" t="str">
        <f t="shared" si="3"/>
      </c>
      <c r="GL197" s="91" t="str">
        <f t="shared" si="3"/>
      </c>
      <c r="GM197" s="91" t="str">
        <f t="shared" si="3"/>
      </c>
      <c r="GN197" s="91" t="str">
        <f t="shared" si="3"/>
      </c>
      <c r="GO197" s="91" t="str">
        <f t="shared" si="3"/>
      </c>
      <c r="GP197" s="91" t="str">
        <f t="shared" si="3"/>
      </c>
      <c r="GQ197" s="91" t="str">
        <f t="shared" si="3"/>
      </c>
      <c r="GR197" s="91" t="str">
        <f t="shared" si="3"/>
      </c>
      <c r="GS197" s="91" t="str">
        <f t="shared" si="3"/>
      </c>
      <c r="GT197" s="91" t="str">
        <f t="shared" si="3"/>
      </c>
      <c r="GU197" s="91" t="str">
        <f t="shared" si="3"/>
      </c>
      <c r="GV197" s="91" t="str">
        <f t="shared" si="3"/>
      </c>
      <c r="GW197" s="91" t="str">
        <f t="shared" si="3"/>
      </c>
      <c r="GX197" s="91" t="str">
        <f t="shared" si="3"/>
      </c>
      <c r="GY197" s="91" t="str">
        <f t="shared" si="3"/>
      </c>
      <c r="GZ197" s="91" t="str">
        <f t="shared" si="3"/>
      </c>
      <c r="HA197" s="91" t="str">
        <f t="shared" si="3"/>
      </c>
      <c r="HB197" s="91" t="str">
        <f t="shared" si="3"/>
      </c>
      <c r="HC197" s="91" t="str">
        <f t="shared" si="3"/>
      </c>
      <c r="HD197" s="91" t="str">
        <f t="shared" si="3"/>
      </c>
      <c r="HE197" s="91" t="str">
        <f t="shared" si="3"/>
      </c>
      <c r="HF197" s="91" t="str">
        <f t="shared" si="3"/>
      </c>
      <c r="HG197" s="91" t="str">
        <f t="shared" si="3"/>
      </c>
      <c r="HH197" s="91" t="str">
        <f t="shared" si="3"/>
      </c>
      <c r="HI197" s="91" t="str">
        <f t="shared" si="3"/>
      </c>
      <c r="HJ197" s="91" t="str">
        <f t="shared" si="3"/>
      </c>
      <c r="HK197" s="91" t="str">
        <f t="shared" si="3"/>
      </c>
      <c r="HL197" s="91" t="str">
        <f t="shared" si="3"/>
      </c>
      <c r="HM197" s="91" t="str">
        <f ref="HM197:IV197" t="shared" si="4">IF(SUM(HM178:HM196)&lt;&gt;0,SUM(HM178:HM196),"")</f>
      </c>
      <c r="HN197" s="91" t="str">
        <f t="shared" si="4"/>
      </c>
      <c r="HO197" s="91" t="str">
        <f t="shared" si="4"/>
      </c>
      <c r="HP197" s="91" t="str">
        <f t="shared" si="4"/>
      </c>
      <c r="HQ197" s="91" t="str">
        <f t="shared" si="4"/>
      </c>
      <c r="HR197" s="91" t="str">
        <f t="shared" si="4"/>
      </c>
      <c r="HS197" s="91" t="str">
        <f t="shared" si="4"/>
      </c>
      <c r="HT197" s="91" t="str">
        <f t="shared" si="4"/>
      </c>
      <c r="HU197" s="91" t="str">
        <f t="shared" si="4"/>
      </c>
      <c r="HV197" s="91" t="str">
        <f t="shared" si="4"/>
      </c>
      <c r="HW197" s="91" t="str">
        <f t="shared" si="4"/>
      </c>
      <c r="HX197" s="91" t="str">
        <f t="shared" si="4"/>
      </c>
      <c r="HY197" s="91" t="str">
        <f t="shared" si="4"/>
      </c>
      <c r="HZ197" s="91" t="str">
        <f t="shared" si="4"/>
      </c>
      <c r="IA197" s="91" t="str">
        <f t="shared" si="4"/>
      </c>
      <c r="IB197" s="91" t="str">
        <f t="shared" si="4"/>
      </c>
      <c r="IC197" s="91" t="str">
        <f t="shared" si="4"/>
      </c>
      <c r="ID197" s="91" t="str">
        <f t="shared" si="4"/>
      </c>
      <c r="IE197" s="91" t="str">
        <f t="shared" si="4"/>
      </c>
      <c r="IF197" s="91" t="str">
        <f t="shared" si="4"/>
      </c>
      <c r="IG197" s="91" t="str">
        <f t="shared" si="4"/>
      </c>
      <c r="IH197" s="91" t="str">
        <f t="shared" si="4"/>
      </c>
      <c r="II197" s="91" t="str">
        <f t="shared" si="4"/>
      </c>
      <c r="IJ197" s="91" t="str">
        <f t="shared" si="4"/>
      </c>
      <c r="IK197" s="91" t="str">
        <f t="shared" si="4"/>
      </c>
      <c r="IL197" s="91" t="str">
        <f t="shared" si="4"/>
      </c>
      <c r="IM197" s="91" t="str">
        <f t="shared" si="4"/>
      </c>
      <c r="IN197" s="91" t="str">
        <f t="shared" si="4"/>
      </c>
      <c r="IO197" s="91" t="str">
        <f t="shared" si="4"/>
      </c>
      <c r="IP197" s="91" t="str">
        <f t="shared" si="4"/>
      </c>
      <c r="IQ197" s="91" t="str">
        <f t="shared" si="4"/>
      </c>
      <c r="IR197" s="91" t="str">
        <f t="shared" si="4"/>
      </c>
      <c r="IS197" s="91" t="str">
        <f t="shared" si="4"/>
      </c>
      <c r="IT197" s="91" t="str">
        <f t="shared" si="4"/>
      </c>
      <c r="IU197" s="91" t="str">
        <f t="shared" si="4"/>
      </c>
      <c r="IV197" s="91" t="str">
        <f t="shared" si="4"/>
      </c>
    </row>
    <row r="198" hidden="1" ht="13.5">
      <c r="C198" s="218"/>
      <c r="D198" s="218"/>
      <c r="E198" s="218"/>
      <c r="F198" s="218"/>
      <c r="G198" s="218"/>
      <c r="H198" s="218"/>
      <c r="I198" s="218"/>
      <c r="J198" s="218"/>
      <c r="K198" s="218"/>
      <c r="L198" s="217"/>
      <c r="N198" s="217"/>
      <c r="O198" s="217"/>
    </row>
    <row r="199" hidden="1" ht="13.5">
      <c r="A199" s="138"/>
      <c r="B199" s="244"/>
      <c r="C199" s="645" t="s">
        <v>217</v>
      </c>
      <c r="D199" s="646"/>
      <c r="E199" s="646"/>
      <c r="F199" s="646"/>
      <c r="G199" s="646"/>
      <c r="H199" s="646"/>
      <c r="I199" s="646"/>
      <c r="J199" s="646"/>
      <c r="K199" s="646"/>
      <c r="L199" s="646"/>
      <c r="M199" s="646"/>
      <c r="N199" s="646"/>
      <c r="O199" s="646"/>
      <c r="P199" s="646"/>
      <c r="Q199" s="646"/>
      <c r="R199" s="646"/>
      <c r="S199" s="646"/>
      <c r="T199" s="646"/>
      <c r="U199" s="646"/>
      <c r="V199" s="646"/>
      <c r="W199" s="646"/>
      <c r="X199" s="646"/>
      <c r="Y199" s="646"/>
      <c r="Z199" s="646"/>
      <c r="AA199" s="646"/>
      <c r="AB199" s="647"/>
    </row>
    <row r="200" hidden="1" ht="13.5">
      <c r="A200" s="138"/>
      <c r="C200" s="435" t="str">
        <f> IF(C220&lt;&gt;"",TEXT(AUX!G$1,"dd-MMM-aa"),"")</f>
      </c>
      <c r="D200" s="435" t="str">
        <f> IF(D220&lt;&gt;"",TEXT(AUX!H$1,"dd-MMM-aa"),"")</f>
      </c>
      <c r="E200" s="435" t="str">
        <f> IF(E220&lt;&gt;"",TEXT(AUX!I$1,"dd-MMM-aa"),"")</f>
      </c>
      <c r="F200" s="435" t="str">
        <f> IF(F220&lt;&gt;"",TEXT(AUX!J$1,"dd-MMM-aa"),"")</f>
      </c>
      <c r="G200" s="435" t="str">
        <f> IF(G220&lt;&gt;"",TEXT(AUX!K$1,"dd-MMM-aa"),"")</f>
      </c>
      <c r="H200" s="435" t="str">
        <f> IF(H220&lt;&gt;"",TEXT(AUX!L$1,"dd-MMM-aa"),"")</f>
      </c>
      <c r="I200" s="435" t="str">
        <f> IF(I220&lt;&gt;"",TEXT(AUX!M$1,"dd-MMM-aa"),"")</f>
      </c>
      <c r="J200" s="435" t="str">
        <f> IF(J220&lt;&gt;"",TEXT(AUX!N$1,"dd-MMM-aa"),"")</f>
      </c>
      <c r="K200" s="435" t="str">
        <f> IF(K220&lt;&gt;"",TEXT(AUX!O$1,"dd-MMM-aa"),"")</f>
      </c>
      <c r="L200" s="435" t="str">
        <f> IF(L220&lt;&gt;"",TEXT(AUX!P$1,"dd-MMM-aa"),"")</f>
      </c>
      <c r="M200" s="435" t="str">
        <f> IF(M220&lt;&gt;"",TEXT(AUX!Q$1,"dd-MMM-aa"),"")</f>
      </c>
      <c r="N200" s="435" t="str">
        <f> IF(N220&lt;&gt;"",TEXT(AUX!R$1,"dd-MMM-aa"),"")</f>
      </c>
      <c r="O200" s="435" t="str">
        <f> IF(O220&lt;&gt;"",TEXT(AUX!S$1,"dd-MMM-aa"),"")</f>
      </c>
      <c r="P200" s="435" t="str">
        <f> IF(P220&lt;&gt;"",TEXT(AUX!T$1,"dd-MMM-aa"),"")</f>
      </c>
      <c r="Q200" s="435" t="str">
        <f> IF(Q220&lt;&gt;"",TEXT(AUX!U$1,"dd-MMM-aa"),"")</f>
      </c>
      <c r="R200" s="435" t="str">
        <f> IF(R220&lt;&gt;"",TEXT(AUX!V$1,"dd-MMM-aa"),"")</f>
      </c>
      <c r="S200" s="435" t="str">
        <f> IF(S220&lt;&gt;"",TEXT(AUX!W$1,"dd-MMM-aa"),"")</f>
      </c>
      <c r="T200" s="435" t="str">
        <f> IF(T220&lt;&gt;"",TEXT(AUX!X$1,"dd-MMM-aa"),"")</f>
      </c>
      <c r="U200" s="435" t="str">
        <f> IF(U220&lt;&gt;"",TEXT(AUX!Y$1,"dd-MMM-aa"),"")</f>
      </c>
      <c r="V200" s="435" t="str">
        <f> IF(V220&lt;&gt;"",TEXT(AUX!Z$1,"dd-MMM-aa"),"")</f>
      </c>
      <c r="W200" s="435" t="str">
        <f> IF(W220&lt;&gt;"",TEXT(AUX!AA$1,"dd-MMM-aa"),"")</f>
      </c>
      <c r="X200" s="435" t="str">
        <f> IF(X220&lt;&gt;"",TEXT(AUX!AB$1,"dd-MMM-aa"),"")</f>
      </c>
      <c r="Y200" s="435" t="str">
        <f> IF(Y220&lt;&gt;"",TEXT(AUX!AC$1,"dd-MMM-aa"),"")</f>
      </c>
      <c r="Z200" s="435" t="str">
        <f> IF(Z220&lt;&gt;"",TEXT(AUX!AD$1,"dd-MMM-aa"),"")</f>
      </c>
      <c r="AA200" s="435" t="str">
        <f> IF(AA220&lt;&gt;"",TEXT(AUX!AE$1,"dd-MMM-aa"),"")</f>
      </c>
      <c r="AB200" s="497" t="str">
        <f> IF(AB220&lt;&gt;"",TEXT(AUX!AF$1,"dd-MMM-aa"),"")</f>
      </c>
      <c r="AC200" s="496" t="str">
        <f> IF(AC220&lt;&gt;"",TEXT(AUX!AG$1,"dd-MMM-aa"),"")</f>
      </c>
      <c r="AD200" s="496" t="str">
        <f> IF(AD220&lt;&gt;"",TEXT(AUX!AH$1,"dd-MMM-aa"),"")</f>
      </c>
      <c r="AE200" s="496" t="str">
        <f> IF(AE220&lt;&gt;"",TEXT(AUX!AI$1,"dd-MMM-aa"),"")</f>
      </c>
      <c r="AF200" s="496" t="str">
        <f> IF(AF220&lt;&gt;"",TEXT(AUX!AJ$1,"dd-MMM-aa"),"")</f>
      </c>
      <c r="AG200" s="496" t="str">
        <f> IF(AG220&lt;&gt;"",TEXT(AUX!AK$1,"dd-MMM-aa"),"")</f>
      </c>
      <c r="AH200" s="496" t="str">
        <f> IF(AH220&lt;&gt;"",TEXT(AUX!AL$1,"dd-MMM-aa"),"")</f>
      </c>
      <c r="AI200" s="496" t="str">
        <f> IF(AI220&lt;&gt;"",TEXT(AUX!AM$1,"dd-MMM-aa"),"")</f>
      </c>
      <c r="AJ200" s="496" t="str">
        <f> IF(AJ220&lt;&gt;"",TEXT(AUX!AN$1,"dd-MMM-aa"),"")</f>
      </c>
      <c r="AK200" s="496" t="str">
        <f> IF(AK220&lt;&gt;"",TEXT(AUX!AO$1,"dd-MMM-aa"),"")</f>
      </c>
      <c r="AL200" s="496" t="str">
        <f> IF(AL220&lt;&gt;"",TEXT(AUX!AP$1,"dd-MMM-aa"),"")</f>
      </c>
      <c r="AM200" s="496" t="str">
        <f> IF(AM220&lt;&gt;"",TEXT(AUX!AQ$1,"dd-MMM-aa"),"")</f>
      </c>
      <c r="AN200" s="496" t="str">
        <f> IF(AN220&lt;&gt;"",TEXT(AUX!AR$1,"dd-MMM-aa"),"")</f>
      </c>
      <c r="AO200" s="496" t="str">
        <f> IF(AO220&lt;&gt;"",TEXT(AUX!AS$1,"dd-MMM-aa"),"")</f>
      </c>
      <c r="AP200" s="496" t="str">
        <f> IF(AP220&lt;&gt;"",TEXT(AUX!AT$1,"dd-MMM-aa"),"")</f>
      </c>
      <c r="AQ200" s="496" t="str">
        <f> IF(AQ220&lt;&gt;"",TEXT(AUX!AU$1,"dd-MMM-aa"),"")</f>
      </c>
      <c r="AR200" s="496" t="str">
        <f> IF(AR220&lt;&gt;"",TEXT(AUX!AV$1,"dd-MMM-aa"),"")</f>
      </c>
      <c r="AS200" s="496" t="str">
        <f> IF(AS220&lt;&gt;"",TEXT(AUX!AW$1,"dd-MMM-aa"),"")</f>
      </c>
      <c r="AT200" s="496" t="str">
        <f> IF(AT220&lt;&gt;"",TEXT(AUX!AX$1,"dd-MMM-aa"),"")</f>
      </c>
      <c r="AU200" s="496" t="str">
        <f> IF(AU220&lt;&gt;"",TEXT(AUX!AY$1,"dd-MMM-aa"),"")</f>
      </c>
      <c r="AV200" s="496" t="str">
        <f> IF(AV220&lt;&gt;"",TEXT(AUX!AZ$1,"dd-MMM-aa"),"")</f>
      </c>
      <c r="AW200" s="496" t="str">
        <f> IF(AW220&lt;&gt;"",TEXT(AUX!BA$1,"dd-MMM-aa"),"")</f>
      </c>
      <c r="AX200" s="496" t="str">
        <f> IF(AX220&lt;&gt;"",TEXT(AUX!BB$1,"dd-MMM-aa"),"")</f>
      </c>
      <c r="AY200" s="496" t="str">
        <f> IF(AY220&lt;&gt;"",TEXT(AUX!BC$1,"dd-MMM-aa"),"")</f>
      </c>
      <c r="AZ200" s="496" t="str">
        <f> IF(AZ220&lt;&gt;"",TEXT(AUX!BD$1,"dd-MMM-aa"),"")</f>
      </c>
      <c r="BA200" s="496" t="str">
        <f> IF(BA220&lt;&gt;"",TEXT(AUX!BE$1,"dd-MMM-aa"),"")</f>
      </c>
      <c r="BB200" s="496" t="str">
        <f> IF(BB220&lt;&gt;"",TEXT(AUX!BF$1,"dd-MMM-aa"),"")</f>
      </c>
      <c r="BC200" s="496" t="str">
        <f> IF(BC220&lt;&gt;"",TEXT(AUX!BG$1,"dd-MMM-aa"),"")</f>
      </c>
      <c r="BD200" s="496" t="str">
        <f> IF(BD220&lt;&gt;"",TEXT(AUX!BH$1,"dd-MMM-aa"),"")</f>
      </c>
      <c r="BE200" s="496" t="str">
        <f> IF(BE220&lt;&gt;"",TEXT(AUX!BI$1,"dd-MMM-aa"),"")</f>
      </c>
      <c r="BF200" s="496" t="str">
        <f> IF(BF220&lt;&gt;"",TEXT(AUX!BJ$1,"dd-MMM-aa"),"")</f>
      </c>
      <c r="BG200" s="496" t="str">
        <f> IF(BG220&lt;&gt;"",TEXT(AUX!BK$1,"dd-MMM-aa"),"")</f>
      </c>
      <c r="BH200" s="496" t="str">
        <f> IF(BH220&lt;&gt;"",TEXT(AUX!BL$1,"dd-MMM-aa"),"")</f>
      </c>
      <c r="BI200" s="496" t="str">
        <f> IF(BI220&lt;&gt;"",TEXT(AUX!BM$1,"dd-MMM-aa"),"")</f>
      </c>
      <c r="BJ200" s="496" t="str">
        <f> IF(BJ220&lt;&gt;"",TEXT(AUX!BN$1,"dd-MMM-aa"),"")</f>
      </c>
      <c r="BK200" s="496" t="str">
        <f> IF(BK220&lt;&gt;"",TEXT(AUX!BO$1,"dd-MMM-aa"),"")</f>
      </c>
      <c r="BL200" s="496" t="str">
        <f> IF(BL220&lt;&gt;"",TEXT(AUX!BP$1,"dd-MMM-aa"),"")</f>
      </c>
      <c r="BM200" s="496" t="str">
        <f> IF(BM220&lt;&gt;"",TEXT(AUX!BQ$1,"dd-MMM-aa"),"")</f>
      </c>
      <c r="BN200" s="496" t="str">
        <f> IF(BN220&lt;&gt;"",TEXT(AUX!BR$1,"dd-MMM-aa"),"")</f>
      </c>
      <c r="BO200" s="496" t="str">
        <f> IF(BO220&lt;&gt;"",TEXT(AUX!BS$1,"dd-MMM-aa"),"")</f>
      </c>
      <c r="BP200" s="496" t="str">
        <f> IF(BP220&lt;&gt;"",TEXT(AUX!BT$1,"dd-MMM-aa"),"")</f>
      </c>
      <c r="BQ200" s="496" t="str">
        <f> IF(BQ220&lt;&gt;"",TEXT(AUX!BU$1,"dd-MMM-aa"),"")</f>
      </c>
      <c r="BR200" s="496" t="str">
        <f> IF(BR220&lt;&gt;"",TEXT(AUX!BV$1,"dd-MMM-aa"),"")</f>
      </c>
      <c r="BS200" s="496" t="str">
        <f> IF(BS220&lt;&gt;"",TEXT(AUX!BW$1,"dd-MMM-aa"),"")</f>
      </c>
      <c r="BT200" s="496" t="str">
        <f> IF(BT220&lt;&gt;"",TEXT(AUX!BX$1,"dd-MMM-aa"),"")</f>
      </c>
      <c r="BU200" s="496" t="str">
        <f> IF(BU220&lt;&gt;"",TEXT(AUX!BY$1,"dd-MMM-aa"),"")</f>
      </c>
      <c r="BV200" s="496" t="str">
        <f> IF(BV220&lt;&gt;"",TEXT(AUX!BZ$1,"dd-MMM-aa"),"")</f>
      </c>
      <c r="BW200" s="496" t="str">
        <f> IF(BW220&lt;&gt;"",TEXT(AUX!CA$1,"dd-MMM-aa"),"")</f>
      </c>
      <c r="BX200" s="496" t="str">
        <f> IF(BX220&lt;&gt;"",TEXT(AUX!CB$1,"dd-MMM-aa"),"")</f>
      </c>
      <c r="BY200" s="496" t="str">
        <f> IF(BY220&lt;&gt;"",TEXT(AUX!CC$1,"dd-MMM-aa"),"")</f>
      </c>
      <c r="BZ200" s="496" t="str">
        <f> IF(BZ220&lt;&gt;"",TEXT(AUX!CD$1,"dd-MMM-aa"),"")</f>
      </c>
      <c r="CA200" s="496" t="str">
        <f> IF(CA220&lt;&gt;"",TEXT(AUX!CE$1,"dd-MMM-aa"),"")</f>
      </c>
      <c r="CB200" s="496" t="str">
        <f> IF(CB220&lt;&gt;"",TEXT(AUX!CF$1,"dd-MMM-aa"),"")</f>
      </c>
      <c r="CC200" s="496" t="str">
        <f> IF(CC220&lt;&gt;"",TEXT(AUX!CG$1,"dd-MMM-aa"),"")</f>
      </c>
      <c r="CD200" s="496" t="str">
        <f> IF(CD220&lt;&gt;"",TEXT(AUX!CH$1,"dd-MMM-aa"),"")</f>
      </c>
      <c r="CE200" s="496" t="str">
        <f> IF(CE220&lt;&gt;"",TEXT(AUX!CI$1,"dd-MMM-aa"),"")</f>
      </c>
      <c r="CF200" s="496" t="str">
        <f> IF(CF220&lt;&gt;"",TEXT(AUX!CJ$1,"dd-MMM-aa"),"")</f>
      </c>
      <c r="CG200" s="496" t="str">
        <f> IF(CG220&lt;&gt;"",TEXT(AUX!CK$1,"dd-MMM-aa"),"")</f>
      </c>
      <c r="CH200" s="496" t="str">
        <f> IF(CH220&lt;&gt;"",TEXT(AUX!CL$1,"dd-MMM-aa"),"")</f>
      </c>
      <c r="CI200" s="496" t="str">
        <f> IF(CI220&lt;&gt;"",TEXT(AUX!CM$1,"dd-MMM-aa"),"")</f>
      </c>
      <c r="CJ200" s="496" t="str">
        <f> IF(CJ220&lt;&gt;"",TEXT(AUX!CN$1,"dd-MMM-aa"),"")</f>
      </c>
      <c r="CK200" s="496" t="str">
        <f> IF(CK220&lt;&gt;"",TEXT(AUX!CO$1,"dd-MMM-aa"),"")</f>
      </c>
      <c r="CL200" s="496" t="str">
        <f> IF(CL220&lt;&gt;"",TEXT(AUX!CP$1,"dd-MMM-aa"),"")</f>
      </c>
      <c r="CM200" s="496" t="str">
        <f> IF(CM220&lt;&gt;"",TEXT(AUX!CQ$1,"dd-MMM-aa"),"")</f>
      </c>
      <c r="CN200" s="496" t="str">
        <f> IF(CN220&lt;&gt;"",TEXT(AUX!CR$1,"dd-MMM-aa"),"")</f>
      </c>
      <c r="CO200" s="496" t="str">
        <f> IF(CO220&lt;&gt;"",TEXT(AUX!CS$1,"dd-MMM-aa"),"")</f>
      </c>
      <c r="CP200" s="496" t="str">
        <f> IF(CP220&lt;&gt;"",TEXT(AUX!CT$1,"dd-MMM-aa"),"")</f>
      </c>
      <c r="CQ200" s="496" t="str">
        <f> IF(CQ220&lt;&gt;"",TEXT(AUX!CU$1,"dd-MMM-aa"),"")</f>
      </c>
      <c r="CR200" s="496" t="str">
        <f> IF(CR220&lt;&gt;"",TEXT(AUX!CV$1,"dd-MMM-aa"),"")</f>
      </c>
      <c r="CS200" s="496" t="str">
        <f> IF(CS220&lt;&gt;"",TEXT(AUX!CW$1,"dd-MMM-aa"),"")</f>
      </c>
      <c r="CT200" s="496" t="str">
        <f> IF(CT220&lt;&gt;"",TEXT(AUX!CX$1,"dd-MMM-aa"),"")</f>
      </c>
      <c r="CU200" s="496" t="str">
        <f> IF(CU220&lt;&gt;"",TEXT(AUX!CY$1,"dd-MMM-aa"),"")</f>
      </c>
      <c r="CV200" s="496" t="str">
        <f> IF(CV220&lt;&gt;"",TEXT(AUX!CZ$1,"dd-MMM-aa"),"")</f>
      </c>
      <c r="CW200" s="496" t="str">
        <f> IF(CW220&lt;&gt;"",TEXT(AUX!DA$1,"dd-MMM-aa"),"")</f>
      </c>
      <c r="CX200" s="496" t="str">
        <f> IF(CX220&lt;&gt;"",TEXT(AUX!DB$1,"dd-MMM-aa"),"")</f>
      </c>
      <c r="CY200" s="496" t="str">
        <f> IF(CY220&lt;&gt;"",TEXT(AUX!DC$1,"dd-MMM-aa"),"")</f>
      </c>
      <c r="CZ200" s="496" t="str">
        <f> IF(CZ220&lt;&gt;"",TEXT(AUX!DD$1,"dd-MMM-aa"),"")</f>
      </c>
      <c r="DA200" s="496" t="str">
        <f> IF(DA220&lt;&gt;"",TEXT(AUX!DE$1,"dd-MMM-aa"),"")</f>
      </c>
      <c r="DB200" s="496" t="str">
        <f> IF(DB220&lt;&gt;"",TEXT(AUX!DF$1,"dd-MMM-aa"),"")</f>
      </c>
      <c r="DC200" s="496" t="str">
        <f> IF(DC220&lt;&gt;"",TEXT(AUX!DG$1,"dd-MMM-aa"),"")</f>
      </c>
      <c r="DD200" s="496" t="str">
        <f> IF(DD220&lt;&gt;"",TEXT(AUX!DH$1,"dd-MMM-aa"),"")</f>
      </c>
      <c r="DE200" s="496" t="str">
        <f> IF(DE220&lt;&gt;"",TEXT(AUX!DI$1,"dd-MMM-aa"),"")</f>
      </c>
      <c r="DF200" s="496" t="str">
        <f> IF(DF220&lt;&gt;"",TEXT(AUX!DJ$1,"dd-MMM-aa"),"")</f>
      </c>
      <c r="DG200" s="496" t="str">
        <f> IF(DG220&lt;&gt;"",TEXT(AUX!DK$1,"dd-MMM-aa"),"")</f>
      </c>
      <c r="DH200" s="496" t="str">
        <f> IF(DH220&lt;&gt;"",TEXT(AUX!DL$1,"dd-MMM-aa"),"")</f>
      </c>
      <c r="DI200" s="496" t="str">
        <f> IF(DI220&lt;&gt;"",TEXT(AUX!DM$1,"dd-MMM-aa"),"")</f>
      </c>
      <c r="DJ200" s="496" t="str">
        <f> IF(DJ220&lt;&gt;"",TEXT(AUX!DN$1,"dd-MMM-aa"),"")</f>
      </c>
      <c r="DK200" s="496" t="str">
        <f> IF(DK220&lt;&gt;"",TEXT(AUX!DO$1,"dd-MMM-aa"),"")</f>
      </c>
      <c r="DL200" s="496" t="str">
        <f> IF(DL220&lt;&gt;"",TEXT(AUX!DP$1,"dd-MMM-aa"),"")</f>
      </c>
      <c r="DM200" s="496" t="str">
        <f> IF(DM220&lt;&gt;"",TEXT(AUX!DQ$1,"dd-MMM-aa"),"")</f>
      </c>
      <c r="DN200" s="496" t="str">
        <f> IF(DN220&lt;&gt;"",TEXT(AUX!DR$1,"dd-MMM-aa"),"")</f>
      </c>
      <c r="DO200" s="496" t="str">
        <f> IF(DO220&lt;&gt;"",TEXT(AUX!DS$1,"dd-MMM-aa"),"")</f>
      </c>
      <c r="DP200" s="496" t="str">
        <f> IF(DP220&lt;&gt;"",TEXT(AUX!DT$1,"dd-MMM-aa"),"")</f>
      </c>
      <c r="DQ200" s="496" t="str">
        <f> IF(DQ220&lt;&gt;"",TEXT(AUX!DU$1,"dd-MMM-aa"),"")</f>
      </c>
      <c r="DR200" s="496" t="str">
        <f> IF(DR220&lt;&gt;"",TEXT(AUX!DV$1,"dd-MMM-aa"),"")</f>
      </c>
      <c r="DS200" s="496" t="str">
        <f> IF(DS220&lt;&gt;"",TEXT(AUX!DW$1,"dd-MMM-aa"),"")</f>
      </c>
      <c r="DT200" s="496" t="str">
        <f> IF(DT220&lt;&gt;"",TEXT(AUX!DX$1,"dd-MMM-aa"),"")</f>
      </c>
      <c r="DU200" s="496" t="str">
        <f> IF(DU220&lt;&gt;"",TEXT(AUX!DY$1,"dd-MMM-aa"),"")</f>
      </c>
      <c r="DV200" s="496" t="str">
        <f> IF(DV220&lt;&gt;"",TEXT(AUX!DZ$1,"dd-MMM-aa"),"")</f>
      </c>
      <c r="DW200" s="496" t="str">
        <f> IF(DW220&lt;&gt;"",TEXT(AUX!EA$1,"dd-MMM-aa"),"")</f>
      </c>
      <c r="DX200" s="496" t="str">
        <f> IF(DX220&lt;&gt;"",TEXT(AUX!EB$1,"dd-MMM-aa"),"")</f>
      </c>
      <c r="DY200" s="496" t="str">
        <f> IF(DY220&lt;&gt;"",TEXT(AUX!EC$1,"dd-MMM-aa"),"")</f>
      </c>
      <c r="DZ200" s="496" t="str">
        <f> IF(DZ220&lt;&gt;"",TEXT(AUX!ED$1,"dd-MMM-aa"),"")</f>
      </c>
      <c r="EA200" s="496" t="str">
        <f> IF(EA220&lt;&gt;"",TEXT(AUX!EE$1,"dd-MMM-aa"),"")</f>
      </c>
      <c r="EB200" s="496" t="str">
        <f> IF(EB220&lt;&gt;"",TEXT(AUX!EF$1,"dd-MMM-aa"),"")</f>
      </c>
      <c r="EC200" s="496" t="str">
        <f> IF(EC220&lt;&gt;"",TEXT(AUX!EG$1,"dd-MMM-aa"),"")</f>
      </c>
      <c r="ED200" s="496" t="str">
        <f> IF(ED220&lt;&gt;"",TEXT(AUX!EH$1,"dd-MMM-aa"),"")</f>
      </c>
      <c r="EE200" s="496" t="str">
        <f> IF(EE220&lt;&gt;"",TEXT(AUX!EI$1,"dd-MMM-aa"),"")</f>
      </c>
      <c r="EF200" s="496" t="str">
        <f> IF(EF220&lt;&gt;"",TEXT(AUX!EJ$1,"dd-MMM-aa"),"")</f>
      </c>
      <c r="EG200" s="496" t="str">
        <f> IF(EG220&lt;&gt;"",TEXT(AUX!EK$1,"dd-MMM-aa"),"")</f>
      </c>
      <c r="EH200" s="496" t="str">
        <f> IF(EH220&lt;&gt;"",TEXT(AUX!EL$1,"dd-MMM-aa"),"")</f>
      </c>
      <c r="EI200" s="496" t="str">
        <f> IF(EI220&lt;&gt;"",TEXT(AUX!EM$1,"dd-MMM-aa"),"")</f>
      </c>
      <c r="EJ200" s="496" t="str">
        <f> IF(EJ220&lt;&gt;"",TEXT(AUX!EN$1,"dd-MMM-aa"),"")</f>
      </c>
      <c r="EK200" s="496" t="str">
        <f> IF(EK220&lt;&gt;"",TEXT(AUX!EO$1,"dd-MMM-aa"),"")</f>
      </c>
      <c r="EL200" s="496" t="str">
        <f> IF(EL220&lt;&gt;"",TEXT(AUX!EP$1,"dd-MMM-aa"),"")</f>
      </c>
      <c r="EM200" s="496" t="str">
        <f> IF(EM220&lt;&gt;"",TEXT(AUX!EQ$1,"dd-MMM-aa"),"")</f>
      </c>
      <c r="EN200" s="496" t="str">
        <f> IF(EN220&lt;&gt;"",TEXT(AUX!ER$1,"dd-MMM-aa"),"")</f>
      </c>
      <c r="EO200" s="496" t="str">
        <f> IF(EO220&lt;&gt;"",TEXT(AUX!ES$1,"dd-MMM-aa"),"")</f>
      </c>
      <c r="EP200" s="496" t="str">
        <f> IF(EP220&lt;&gt;"",TEXT(AUX!ET$1,"dd-MMM-aa"),"")</f>
      </c>
      <c r="EQ200" s="496" t="str">
        <f> IF(EQ220&lt;&gt;"",TEXT(AUX!EU$1,"dd-MMM-aa"),"")</f>
      </c>
      <c r="ER200" s="496" t="str">
        <f> IF(ER220&lt;&gt;"",TEXT(AUX!EV$1,"dd-MMM-aa"),"")</f>
      </c>
      <c r="ES200" s="496" t="str">
        <f> IF(ES220&lt;&gt;"",TEXT(AUX!EW$1,"dd-MMM-aa"),"")</f>
      </c>
      <c r="ET200" s="496" t="str">
        <f> IF(ET220&lt;&gt;"",TEXT(AUX!EX$1,"dd-MMM-aa"),"")</f>
      </c>
      <c r="EU200" s="496" t="str">
        <f> IF(EU220&lt;&gt;"",TEXT(AUX!EY$1,"dd-MMM-aa"),"")</f>
      </c>
      <c r="EV200" s="496" t="str">
        <f> IF(EV220&lt;&gt;"",TEXT(AUX!EZ$1,"dd-MMM-aa"),"")</f>
      </c>
      <c r="EW200" s="496" t="str">
        <f> IF(EW220&lt;&gt;"",TEXT(AUX!FA$1,"dd-MMM-aa"),"")</f>
      </c>
      <c r="EX200" s="496" t="str">
        <f> IF(EX220&lt;&gt;"",TEXT(AUX!FB$1,"dd-MMM-aa"),"")</f>
      </c>
      <c r="EY200" s="496" t="str">
        <f> IF(EY220&lt;&gt;"",TEXT(AUX!FC$1,"dd-MMM-aa"),"")</f>
      </c>
      <c r="EZ200" s="496" t="str">
        <f> IF(EZ220&lt;&gt;"",TEXT(AUX!FD$1,"dd-MMM-aa"),"")</f>
      </c>
      <c r="FA200" s="496" t="str">
        <f> IF(FA220&lt;&gt;"",TEXT(AUX!FE$1,"dd-MMM-aa"),"")</f>
      </c>
      <c r="FB200" s="496" t="str">
        <f> IF(FB220&lt;&gt;"",TEXT(AUX!FF$1,"dd-MMM-aa"),"")</f>
      </c>
      <c r="FC200" s="496" t="str">
        <f> IF(FC220&lt;&gt;"",TEXT(AUX!FG$1,"dd-MMM-aa"),"")</f>
      </c>
      <c r="FD200" s="496" t="str">
        <f> IF(FD220&lt;&gt;"",TEXT(AUX!FH$1,"dd-MMM-aa"),"")</f>
      </c>
      <c r="FE200" s="496" t="str">
        <f> IF(FE220&lt;&gt;"",TEXT(AUX!FI$1,"dd-MMM-aa"),"")</f>
      </c>
      <c r="FF200" s="496" t="str">
        <f> IF(FF220&lt;&gt;"",TEXT(AUX!FJ$1,"dd-MMM-aa"),"")</f>
      </c>
      <c r="FG200" s="496" t="str">
        <f> IF(FG220&lt;&gt;"",TEXT(AUX!FK$1,"dd-MMM-aa"),"")</f>
      </c>
      <c r="FH200" s="496" t="str">
        <f> IF(FH220&lt;&gt;"",TEXT(AUX!FL$1,"dd-MMM-aa"),"")</f>
      </c>
      <c r="FI200" s="496" t="str">
        <f> IF(FI220&lt;&gt;"",TEXT(AUX!FM$1,"dd-MMM-aa"),"")</f>
      </c>
      <c r="FJ200" s="496" t="str">
        <f> IF(FJ220&lt;&gt;"",TEXT(AUX!FN$1,"dd-MMM-aa"),"")</f>
      </c>
      <c r="FK200" s="496" t="str">
        <f> IF(FK220&lt;&gt;"",TEXT(AUX!FO$1,"dd-MMM-aa"),"")</f>
      </c>
      <c r="FL200" s="496" t="str">
        <f> IF(FL220&lt;&gt;"",TEXT(AUX!FP$1,"dd-MMM-aa"),"")</f>
      </c>
      <c r="FM200" s="496" t="str">
        <f> IF(FM220&lt;&gt;"",TEXT(AUX!FQ$1,"dd-MMM-aa"),"")</f>
      </c>
      <c r="FN200" s="496" t="str">
        <f> IF(FN220&lt;&gt;"",TEXT(AUX!FR$1,"dd-MMM-aa"),"")</f>
      </c>
      <c r="FO200" s="496" t="str">
        <f> IF(FO220&lt;&gt;"",TEXT(AUX!FS$1,"dd-MMM-aa"),"")</f>
      </c>
      <c r="FP200" s="496" t="str">
        <f> IF(FP220&lt;&gt;"",TEXT(AUX!FT$1,"dd-MMM-aa"),"")</f>
      </c>
      <c r="FQ200" s="496" t="str">
        <f> IF(FQ220&lt;&gt;"",TEXT(AUX!FU$1,"dd-MMM-aa"),"")</f>
      </c>
      <c r="FR200" s="496" t="str">
        <f> IF(FR220&lt;&gt;"",TEXT(AUX!FV$1,"dd-MMM-aa"),"")</f>
      </c>
      <c r="FS200" s="496" t="str">
        <f> IF(FS220&lt;&gt;"",TEXT(AUX!FW$1,"dd-MMM-aa"),"")</f>
      </c>
      <c r="FT200" s="496" t="str">
        <f> IF(FT220&lt;&gt;"",TEXT(AUX!FX$1,"dd-MMM-aa"),"")</f>
      </c>
      <c r="FU200" s="496" t="str">
        <f> IF(FU220&lt;&gt;"",TEXT(AUX!FY$1,"dd-MMM-aa"),"")</f>
      </c>
      <c r="FV200" s="496" t="str">
        <f> IF(FV220&lt;&gt;"",TEXT(AUX!FZ$1,"dd-MMM-aa"),"")</f>
      </c>
      <c r="FW200" s="496" t="str">
        <f> IF(FW220&lt;&gt;"",TEXT(AUX!GA$1,"dd-MMM-aa"),"")</f>
      </c>
      <c r="FX200" s="496" t="str">
        <f> IF(FX220&lt;&gt;"",TEXT(AUX!GB$1,"dd-MMM-aa"),"")</f>
      </c>
      <c r="FY200" s="496" t="str">
        <f> IF(FY220&lt;&gt;"",TEXT(AUX!GC$1,"dd-MMM-aa"),"")</f>
      </c>
      <c r="FZ200" s="496" t="str">
        <f> IF(FZ220&lt;&gt;"",TEXT(AUX!GD$1,"dd-MMM-aa"),"")</f>
      </c>
      <c r="GA200" s="496" t="str">
        <f> IF(GA220&lt;&gt;"",TEXT(AUX!GE$1,"dd-MMM-aa"),"")</f>
      </c>
      <c r="GB200" s="496" t="str">
        <f> IF(GB220&lt;&gt;"",TEXT(AUX!GF$1,"dd-MMM-aa"),"")</f>
      </c>
      <c r="GC200" s="496" t="str">
        <f> IF(GC220&lt;&gt;"",TEXT(AUX!GG$1,"dd-MMM-aa"),"")</f>
      </c>
      <c r="GD200" s="496" t="str">
        <f> IF(GD220&lt;&gt;"",TEXT(AUX!GH$1,"dd-MMM-aa"),"")</f>
      </c>
      <c r="GE200" s="496" t="str">
        <f> IF(GE220&lt;&gt;"",TEXT(AUX!GI$1,"dd-MMM-aa"),"")</f>
      </c>
      <c r="GF200" s="496" t="str">
        <f> IF(GF220&lt;&gt;"",TEXT(AUX!GJ$1,"dd-MMM-aa"),"")</f>
      </c>
      <c r="GG200" s="496" t="str">
        <f> IF(GG220&lt;&gt;"",TEXT(AUX!GK$1,"dd-MMM-aa"),"")</f>
      </c>
      <c r="GH200" s="496" t="str">
        <f> IF(GH220&lt;&gt;"",TEXT(AUX!GL$1,"dd-MMM-aa"),"")</f>
      </c>
      <c r="GI200" s="496" t="str">
        <f> IF(GI220&lt;&gt;"",TEXT(AUX!GM$1,"dd-MMM-aa"),"")</f>
      </c>
      <c r="GJ200" s="496" t="str">
        <f> IF(GJ220&lt;&gt;"",TEXT(AUX!GN$1,"dd-MMM-aa"),"")</f>
      </c>
      <c r="GK200" s="496" t="str">
        <f> IF(GK220&lt;&gt;"",TEXT(AUX!GO$1,"dd-MMM-aa"),"")</f>
      </c>
      <c r="GL200" s="496" t="str">
        <f> IF(GL220&lt;&gt;"",TEXT(AUX!GP$1,"dd-MMM-aa"),"")</f>
      </c>
      <c r="GM200" s="496" t="str">
        <f> IF(GM220&lt;&gt;"",TEXT(AUX!GQ$1,"dd-MMM-aa"),"")</f>
      </c>
      <c r="GN200" s="496" t="str">
        <f> IF(GN220&lt;&gt;"",TEXT(AUX!GR$1,"dd-MMM-aa"),"")</f>
      </c>
      <c r="GO200" s="496" t="str">
        <f> IF(GO220&lt;&gt;"",TEXT(AUX!GS$1,"dd-MMM-aa"),"")</f>
      </c>
      <c r="GP200" s="496" t="str">
        <f> IF(GP220&lt;&gt;"",TEXT(AUX!GT$1,"dd-MMM-aa"),"")</f>
      </c>
      <c r="GQ200" s="496" t="str">
        <f> IF(GQ220&lt;&gt;"",TEXT(AUX!GU$1,"dd-MMM-aa"),"")</f>
      </c>
      <c r="GR200" s="496" t="str">
        <f> IF(GR220&lt;&gt;"",TEXT(AUX!GV$1,"dd-MMM-aa"),"")</f>
      </c>
      <c r="GS200" s="496" t="str">
        <f> IF(GS220&lt;&gt;"",TEXT(AUX!GW$1,"dd-MMM-aa"),"")</f>
      </c>
      <c r="GT200" s="496" t="str">
        <f> IF(GT220&lt;&gt;"",TEXT(AUX!GX$1,"dd-MMM-aa"),"")</f>
      </c>
      <c r="GU200" s="496" t="str">
        <f> IF(GU220&lt;&gt;"",TEXT(AUX!GY$1,"dd-MMM-aa"),"")</f>
      </c>
      <c r="GV200" s="496" t="str">
        <f> IF(GV220&lt;&gt;"",TEXT(AUX!GZ$1,"dd-MMM-aa"),"")</f>
      </c>
      <c r="GW200" s="496" t="str">
        <f> IF(GW220&lt;&gt;"",TEXT(AUX!HA$1,"dd-MMM-aa"),"")</f>
      </c>
      <c r="GX200" s="496" t="str">
        <f> IF(GX220&lt;&gt;"",TEXT(AUX!HB$1,"dd-MMM-aa"),"")</f>
      </c>
      <c r="GY200" s="496" t="str">
        <f> IF(GY220&lt;&gt;"",TEXT(AUX!HC$1,"dd-MMM-aa"),"")</f>
      </c>
      <c r="GZ200" s="496" t="str">
        <f> IF(GZ220&lt;&gt;"",TEXT(AUX!HD$1,"dd-MMM-aa"),"")</f>
      </c>
      <c r="HA200" s="496" t="str">
        <f> IF(HA220&lt;&gt;"",TEXT(AUX!HE$1,"dd-MMM-aa"),"")</f>
      </c>
      <c r="HB200" s="496" t="str">
        <f> IF(HB220&lt;&gt;"",TEXT(AUX!HF$1,"dd-MMM-aa"),"")</f>
      </c>
      <c r="HC200" s="496" t="str">
        <f> IF(HC220&lt;&gt;"",TEXT(AUX!HG$1,"dd-MMM-aa"),"")</f>
      </c>
      <c r="HD200" s="496" t="str">
        <f> IF(HD220&lt;&gt;"",TEXT(AUX!HH$1,"dd-MMM-aa"),"")</f>
      </c>
      <c r="HE200" s="496" t="str">
        <f> IF(HE220&lt;&gt;"",TEXT(AUX!HI$1,"dd-MMM-aa"),"")</f>
      </c>
      <c r="HF200" s="496" t="str">
        <f> IF(HF220&lt;&gt;"",TEXT(AUX!HJ$1,"dd-MMM-aa"),"")</f>
      </c>
      <c r="HG200" s="496" t="str">
        <f> IF(HG220&lt;&gt;"",TEXT(AUX!HK$1,"dd-MMM-aa"),"")</f>
      </c>
      <c r="HH200" s="496" t="str">
        <f> IF(HH220&lt;&gt;"",TEXT(AUX!HL$1,"dd-MMM-aa"),"")</f>
      </c>
      <c r="HI200" s="496" t="str">
        <f> IF(HI220&lt;&gt;"",TEXT(AUX!HM$1,"dd-MMM-aa"),"")</f>
      </c>
      <c r="HJ200" s="496" t="str">
        <f> IF(HJ220&lt;&gt;"",TEXT(AUX!HN$1,"dd-MMM-aa"),"")</f>
      </c>
      <c r="HK200" s="496" t="str">
        <f> IF(HK220&lt;&gt;"",TEXT(AUX!HO$1,"dd-MMM-aa"),"")</f>
      </c>
      <c r="HL200" s="496" t="str">
        <f> IF(HL220&lt;&gt;"",TEXT(AUX!HP$1,"dd-MMM-aa"),"")</f>
      </c>
      <c r="HM200" s="496" t="str">
        <f> IF(HM220&lt;&gt;"",TEXT(AUX!HQ$1,"dd-MMM-aa"),"")</f>
      </c>
      <c r="HN200" s="496" t="str">
        <f> IF(HN220&lt;&gt;"",TEXT(AUX!HR$1,"dd-MMM-aa"),"")</f>
      </c>
      <c r="HO200" s="496" t="str">
        <f> IF(HO220&lt;&gt;"",TEXT(AUX!HS$1,"dd-MMM-aa"),"")</f>
      </c>
      <c r="HP200" s="496" t="str">
        <f> IF(HP220&lt;&gt;"",TEXT(AUX!HT$1,"dd-MMM-aa"),"")</f>
      </c>
      <c r="HQ200" s="496" t="str">
        <f> IF(HQ220&lt;&gt;"",TEXT(AUX!HU$1,"dd-MMM-aa"),"")</f>
      </c>
      <c r="HR200" s="496" t="str">
        <f> IF(HR220&lt;&gt;"",TEXT(AUX!HV$1,"dd-MMM-aa"),"")</f>
      </c>
      <c r="HS200" s="496" t="str">
        <f> IF(HS220&lt;&gt;"",TEXT(AUX!HW$1,"dd-MMM-aa"),"")</f>
      </c>
      <c r="HT200" s="496" t="str">
        <f> IF(HT220&lt;&gt;"",TEXT(AUX!HX$1,"dd-MMM-aa"),"")</f>
      </c>
      <c r="HU200" s="496" t="str">
        <f> IF(HU220&lt;&gt;"",TEXT(AUX!HY$1,"dd-MMM-aa"),"")</f>
      </c>
      <c r="HV200" s="496" t="str">
        <f> IF(HV220&lt;&gt;"",TEXT(AUX!HZ$1,"dd-MMM-aa"),"")</f>
      </c>
      <c r="HW200" s="496" t="str">
        <f> IF(HW220&lt;&gt;"",TEXT(AUX!IA$1,"dd-MMM-aa"),"")</f>
      </c>
      <c r="HX200" s="496" t="str">
        <f> IF(HX220&lt;&gt;"",TEXT(AUX!IB$1,"dd-MMM-aa"),"")</f>
      </c>
      <c r="HY200" s="496" t="str">
        <f> IF(HY220&lt;&gt;"",TEXT(AUX!IC$1,"dd-MMM-aa"),"")</f>
      </c>
      <c r="HZ200" s="496" t="str">
        <f> IF(HZ220&lt;&gt;"",TEXT(AUX!ID$1,"dd-MMM-aa"),"")</f>
      </c>
      <c r="IA200" s="496" t="str">
        <f> IF(IA220&lt;&gt;"",TEXT(AUX!IE$1,"dd-MMM-aa"),"")</f>
      </c>
      <c r="IB200" s="496" t="str">
        <f> IF(IB220&lt;&gt;"",TEXT(AUX!IF$1,"dd-MMM-aa"),"")</f>
      </c>
      <c r="IC200" s="496" t="str">
        <f> IF(IC220&lt;&gt;"",TEXT(AUX!IG$1,"dd-MMM-aa"),"")</f>
      </c>
      <c r="ID200" s="496" t="str">
        <f> IF(ID220&lt;&gt;"",TEXT(AUX!IH$1,"dd-MMM-aa"),"")</f>
      </c>
      <c r="IE200" s="496" t="str">
        <f> IF(IE220&lt;&gt;"",TEXT(AUX!II$1,"dd-MMM-aa"),"")</f>
      </c>
      <c r="IF200" s="496" t="str">
        <f> IF(IF220&lt;&gt;"",TEXT(AUX!IJ$1,"dd-MMM-aa"),"")</f>
      </c>
      <c r="IG200" s="496" t="str">
        <f> IF(IG220&lt;&gt;"",TEXT(AUX!IK$1,"dd-MMM-aa"),"")</f>
      </c>
      <c r="IH200" s="496" t="str">
        <f> IF(IH220&lt;&gt;"",TEXT(AUX!IL$1,"dd-MMM-aa"),"")</f>
      </c>
      <c r="II200" s="496" t="str">
        <f> IF(II220&lt;&gt;"",TEXT(AUX!IM$1,"dd-MMM-aa"),"")</f>
      </c>
      <c r="IJ200" s="496" t="str">
        <f> IF(IJ220&lt;&gt;"",TEXT(AUX!IN$1,"dd-MMM-aa"),"")</f>
      </c>
      <c r="IK200" s="496" t="str">
        <f> IF(IK220&lt;&gt;"",TEXT(AUX!IO$1,"dd-MMM-aa"),"")</f>
      </c>
      <c r="IL200" s="496" t="str">
        <f> IF(IL220&lt;&gt;"",TEXT(AUX!IP$1,"dd-MMM-aa"),"")</f>
      </c>
      <c r="IM200" s="496" t="str">
        <f> IF(IM220&lt;&gt;"",TEXT(AUX!IQ$1,"dd-MMM-aa"),"")</f>
      </c>
      <c r="IN200" s="496" t="str">
        <f> IF(IN220&lt;&gt;"",TEXT(AUX!IR$1,"dd-MMM-aa"),"")</f>
      </c>
      <c r="IO200" s="496" t="str">
        <f> IF(IO220&lt;&gt;"",TEXT(AUX!IS$1,"dd-MMM-aa"),"")</f>
      </c>
      <c r="IP200" s="496" t="str">
        <f> IF(IP220&lt;&gt;"",TEXT(AUX!IT$1,"dd-MMM-aa"),"")</f>
      </c>
      <c r="IQ200" s="496" t="str">
        <f> IF(IQ220&lt;&gt;"",TEXT(AUX!IU$1,"dd-MMM-aa"),"")</f>
      </c>
      <c r="IR200" s="496" t="str">
        <f> IF(IR220&lt;&gt;"",TEXT(AUX!IV$1,"dd-MMM-aa"),"")</f>
      </c>
      <c r="IS200" s="496" t="str">
        <f> IF(IS220&lt;&gt;"",TEXT(AUX!#REF!,"dd-MMM-aa"),"")</f>
      </c>
      <c r="IT200" s="496" t="str">
        <f> IF(IT220&lt;&gt;"",TEXT(AUX!#REF!,"dd-MMM-aa"),"")</f>
      </c>
      <c r="IU200" s="496" t="str">
        <f> IF(IU220&lt;&gt;"",TEXT(AUX!#REF!,"dd-MMM-aa"),"")</f>
      </c>
      <c r="IV200" s="496" t="str">
        <f> IF(IV220&lt;&gt;"",TEXT(AUX!#REF!,"dd-MMM-aa"),"")</f>
      </c>
    </row>
    <row r="201" hidden="1">
      <c r="B201" s="833" t="s">
        <v>8</v>
      </c>
      <c r="C201" s="827">
        <v>241574</v>
      </c>
      <c r="D201" s="827">
        <v>247601</v>
      </c>
      <c r="E201" s="827">
        <v>247149</v>
      </c>
      <c r="F201" s="827">
        <v>247165</v>
      </c>
      <c r="G201" s="827">
        <v>231737</v>
      </c>
      <c r="H201" s="827">
        <v>215723</v>
      </c>
      <c r="I201" s="827">
        <v>204489</v>
      </c>
      <c r="J201" s="827">
        <v>194845</v>
      </c>
      <c r="K201" s="827">
        <v>199523</v>
      </c>
      <c r="L201" s="827">
        <v>200799</v>
      </c>
      <c r="M201" s="827">
        <v>180957</v>
      </c>
      <c r="N201" s="827">
        <v>181395</v>
      </c>
      <c r="O201" s="827">
        <v>172868</v>
      </c>
      <c r="P201" s="827">
        <v>166755</v>
      </c>
      <c r="Q201" s="827">
        <v>169230</v>
      </c>
      <c r="R201" s="827">
        <v>170945</v>
      </c>
      <c r="S201" s="827">
        <v>180426</v>
      </c>
      <c r="T201" s="827">
        <v>192020</v>
      </c>
      <c r="U201" s="827">
        <v>195789</v>
      </c>
      <c r="V201" s="827">
        <v>201770</v>
      </c>
      <c r="W201" s="827">
        <v>200264</v>
      </c>
      <c r="X201" s="827">
        <v>201075</v>
      </c>
      <c r="Y201" s="827">
        <v>201265</v>
      </c>
      <c r="Z201" s="827">
        <v>202964</v>
      </c>
      <c r="AA201" s="827">
        <v>205979</v>
      </c>
      <c r="AB201" s="834">
        <v>204189</v>
      </c>
      <c r="AC201" s="828">
        <v>204090</v>
      </c>
      <c r="AD201" s="828">
        <v>209036</v>
      </c>
      <c r="AE201" s="828">
        <v>208751</v>
      </c>
      <c r="AF201" s="828">
        <v>209676</v>
      </c>
      <c r="AG201" s="828">
        <v>214502</v>
      </c>
      <c r="AH201" s="828">
        <v>214246</v>
      </c>
      <c r="AI201" s="828">
        <v>210646</v>
      </c>
      <c r="AJ201" s="828">
        <v>205689</v>
      </c>
      <c r="AK201" s="828">
        <v>208322</v>
      </c>
      <c r="AL201" s="828">
        <v>205217</v>
      </c>
      <c r="AM201" s="828">
        <v>204910</v>
      </c>
      <c r="AN201" s="828">
        <v>207414</v>
      </c>
      <c r="AO201" s="828">
        <v>211100</v>
      </c>
      <c r="AP201" s="828">
        <v>213619</v>
      </c>
    </row>
    <row r="202" hidden="1">
      <c r="B202" s="829" t="s">
        <v>9</v>
      </c>
      <c r="C202" s="823">
        <v>443230</v>
      </c>
      <c r="D202" s="823">
        <v>443684</v>
      </c>
      <c r="E202" s="823">
        <v>442724</v>
      </c>
      <c r="F202" s="823">
        <v>464845</v>
      </c>
      <c r="G202" s="823">
        <v>477828</v>
      </c>
      <c r="H202" s="823">
        <v>477828</v>
      </c>
      <c r="I202" s="823">
        <v>485844</v>
      </c>
      <c r="J202" s="823">
        <v>427781</v>
      </c>
      <c r="K202" s="823">
        <v>434380</v>
      </c>
      <c r="L202" s="823">
        <v>433820</v>
      </c>
      <c r="M202" s="823">
        <v>436603</v>
      </c>
      <c r="N202" s="823">
        <v>429011</v>
      </c>
      <c r="O202" s="823">
        <v>429011</v>
      </c>
      <c r="P202" s="823">
        <v>430828</v>
      </c>
      <c r="Q202" s="823">
        <v>424841</v>
      </c>
      <c r="R202" s="823">
        <v>423275</v>
      </c>
      <c r="S202" s="823">
        <v>432787</v>
      </c>
      <c r="T202" s="823">
        <v>433598</v>
      </c>
      <c r="U202" s="823">
        <v>430893</v>
      </c>
      <c r="V202" s="823">
        <v>431938</v>
      </c>
      <c r="W202" s="823">
        <v>438140</v>
      </c>
      <c r="X202" s="823">
        <v>438154</v>
      </c>
      <c r="Y202" s="823">
        <v>439693</v>
      </c>
      <c r="Z202" s="823">
        <v>439054</v>
      </c>
      <c r="AA202" s="823">
        <v>473653</v>
      </c>
      <c r="AB202" s="823">
        <v>471851</v>
      </c>
      <c r="AC202" s="825">
        <v>483943</v>
      </c>
      <c r="AD202" s="825">
        <v>484296</v>
      </c>
      <c r="AE202" s="825">
        <v>501130</v>
      </c>
      <c r="AF202" s="825">
        <v>499840</v>
      </c>
      <c r="AG202" s="825">
        <v>527857</v>
      </c>
      <c r="AH202" s="825">
        <v>525769</v>
      </c>
      <c r="AI202" s="825">
        <v>547540</v>
      </c>
      <c r="AJ202" s="825">
        <v>546180</v>
      </c>
      <c r="AK202" s="825">
        <v>560704</v>
      </c>
      <c r="AL202" s="825">
        <v>561139</v>
      </c>
      <c r="AM202" s="825">
        <v>557803</v>
      </c>
      <c r="AN202" s="825">
        <v>555216</v>
      </c>
      <c r="AO202" s="825">
        <v>564483</v>
      </c>
      <c r="AP202" s="825">
        <v>567210</v>
      </c>
    </row>
    <row r="203" hidden="1">
      <c r="B203" s="826" t="s">
        <v>10</v>
      </c>
      <c r="C203" s="827">
        <v>1497</v>
      </c>
      <c r="D203" s="827">
        <v>1490</v>
      </c>
      <c r="E203" s="827">
        <v>1595</v>
      </c>
      <c r="F203" s="827">
        <v>1584</v>
      </c>
      <c r="G203" s="827">
        <v>1480</v>
      </c>
      <c r="H203" s="827">
        <v>1372</v>
      </c>
      <c r="I203" s="827">
        <v>1332</v>
      </c>
      <c r="J203" s="827">
        <v>1322</v>
      </c>
      <c r="K203" s="827">
        <v>1259</v>
      </c>
      <c r="L203" s="827">
        <v>1068</v>
      </c>
      <c r="M203" s="827">
        <v>1192</v>
      </c>
      <c r="N203" s="827">
        <v>1103</v>
      </c>
      <c r="O203" s="827">
        <v>1199</v>
      </c>
      <c r="P203" s="827">
        <v>1084</v>
      </c>
      <c r="Q203" s="827">
        <v>1119</v>
      </c>
      <c r="R203" s="827">
        <v>1082</v>
      </c>
      <c r="S203" s="827">
        <v>1110</v>
      </c>
      <c r="T203" s="827">
        <v>1124</v>
      </c>
      <c r="U203" s="827">
        <v>1033</v>
      </c>
      <c r="V203" s="827">
        <v>922</v>
      </c>
      <c r="W203" s="827">
        <v>925</v>
      </c>
      <c r="X203" s="827">
        <v>905</v>
      </c>
      <c r="Y203" s="827">
        <v>826</v>
      </c>
      <c r="Z203" s="827">
        <v>736</v>
      </c>
      <c r="AA203" s="827">
        <v>776</v>
      </c>
      <c r="AB203" s="827">
        <v>734</v>
      </c>
      <c r="AC203" s="828">
        <v>743</v>
      </c>
      <c r="AD203" s="828">
        <v>736</v>
      </c>
      <c r="AE203" s="828">
        <v>753</v>
      </c>
      <c r="AF203" s="828">
        <v>641</v>
      </c>
      <c r="AG203" s="828">
        <v>667</v>
      </c>
      <c r="AH203" s="828">
        <v>676</v>
      </c>
      <c r="AI203" s="828">
        <v>552</v>
      </c>
      <c r="AJ203" s="828">
        <v>549</v>
      </c>
      <c r="AK203" s="828">
        <v>547</v>
      </c>
      <c r="AL203" s="828">
        <v>535</v>
      </c>
      <c r="AM203" s="828">
        <v>506</v>
      </c>
      <c r="AN203" s="828">
        <v>524</v>
      </c>
      <c r="AO203" s="828">
        <v>478</v>
      </c>
      <c r="AP203" s="828">
        <v>511</v>
      </c>
    </row>
    <row r="204" hidden="1">
      <c r="B204" s="829" t="s">
        <v>11</v>
      </c>
      <c r="C204" s="823">
        <v>21219</v>
      </c>
      <c r="D204" s="823">
        <v>21697</v>
      </c>
      <c r="E204" s="823">
        <v>20074</v>
      </c>
      <c r="F204" s="823">
        <v>19954</v>
      </c>
      <c r="G204" s="823">
        <v>19413</v>
      </c>
      <c r="H204" s="823">
        <v>17967</v>
      </c>
      <c r="I204" s="823">
        <v>16706</v>
      </c>
      <c r="J204" s="823">
        <v>16086</v>
      </c>
      <c r="K204" s="823">
        <v>15738</v>
      </c>
      <c r="L204" s="823">
        <v>15620</v>
      </c>
      <c r="M204" s="823">
        <v>14174</v>
      </c>
      <c r="N204" s="823">
        <v>13764</v>
      </c>
      <c r="O204" s="823">
        <v>12992</v>
      </c>
      <c r="P204" s="823">
        <v>12318</v>
      </c>
      <c r="Q204" s="823">
        <v>12100</v>
      </c>
      <c r="R204" s="823">
        <v>12227</v>
      </c>
      <c r="S204" s="823">
        <v>12036</v>
      </c>
      <c r="T204" s="823">
        <v>11894</v>
      </c>
      <c r="U204" s="823">
        <v>12429</v>
      </c>
      <c r="V204" s="823">
        <v>12388</v>
      </c>
      <c r="W204" s="823">
        <v>12440</v>
      </c>
      <c r="X204" s="823">
        <v>12388</v>
      </c>
      <c r="Y204" s="823">
        <v>12198</v>
      </c>
      <c r="Z204" s="823">
        <v>11393</v>
      </c>
      <c r="AA204" s="823">
        <v>11476</v>
      </c>
      <c r="AB204" s="823">
        <v>11598</v>
      </c>
      <c r="AC204" s="825">
        <v>11644</v>
      </c>
      <c r="AD204" s="825">
        <v>11513</v>
      </c>
      <c r="AE204" s="825">
        <v>21680</v>
      </c>
      <c r="AF204" s="825">
        <v>21366</v>
      </c>
      <c r="AG204" s="825">
        <v>10910</v>
      </c>
      <c r="AH204" s="825">
        <v>10659</v>
      </c>
      <c r="AI204" s="825">
        <v>10627</v>
      </c>
      <c r="AJ204" s="825">
        <v>10909</v>
      </c>
      <c r="AK204" s="825">
        <v>8521</v>
      </c>
      <c r="AL204" s="825">
        <v>9122</v>
      </c>
      <c r="AM204" s="825">
        <v>10032</v>
      </c>
      <c r="AN204" s="825">
        <v>10325</v>
      </c>
      <c r="AO204" s="825">
        <v>10857</v>
      </c>
      <c r="AP204" s="825">
        <v>11153</v>
      </c>
    </row>
    <row r="205" hidden="1" ht="13.5" customHeight="1">
      <c r="B205" s="826" t="s">
        <v>12</v>
      </c>
      <c r="C205" s="827">
        <v>11093</v>
      </c>
      <c r="D205" s="827">
        <v>10461</v>
      </c>
      <c r="E205" s="827">
        <v>10961</v>
      </c>
      <c r="F205" s="827">
        <v>10900</v>
      </c>
      <c r="G205" s="827">
        <v>10344</v>
      </c>
      <c r="H205" s="827">
        <v>9813</v>
      </c>
      <c r="I205" s="827">
        <v>9636</v>
      </c>
      <c r="J205" s="827">
        <v>9743</v>
      </c>
      <c r="K205" s="827">
        <v>10277</v>
      </c>
      <c r="L205" s="827">
        <v>10324</v>
      </c>
      <c r="M205" s="827">
        <v>9306</v>
      </c>
      <c r="N205" s="827">
        <v>9263</v>
      </c>
      <c r="O205" s="827">
        <v>9279</v>
      </c>
      <c r="P205" s="827">
        <v>8711</v>
      </c>
      <c r="Q205" s="827">
        <v>7939</v>
      </c>
      <c r="R205" s="827">
        <v>7863</v>
      </c>
      <c r="S205" s="827">
        <v>7346</v>
      </c>
      <c r="T205" s="827">
        <v>7163</v>
      </c>
      <c r="U205" s="827">
        <v>7196</v>
      </c>
      <c r="V205" s="827">
        <v>7369</v>
      </c>
      <c r="W205" s="827">
        <v>6924</v>
      </c>
      <c r="X205" s="827">
        <v>6661</v>
      </c>
      <c r="Y205" s="827">
        <v>6674</v>
      </c>
      <c r="Z205" s="827">
        <v>6455</v>
      </c>
      <c r="AA205" s="827">
        <v>6495</v>
      </c>
      <c r="AB205" s="827">
        <v>6301</v>
      </c>
      <c r="AC205" s="828">
        <v>5578</v>
      </c>
      <c r="AD205" s="828">
        <v>5486</v>
      </c>
      <c r="AE205" s="828">
        <v>5313</v>
      </c>
      <c r="AF205" s="828">
        <v>5298</v>
      </c>
      <c r="AG205" s="828">
        <v>5390</v>
      </c>
      <c r="AH205" s="828">
        <v>5358</v>
      </c>
      <c r="AI205" s="828">
        <v>5108</v>
      </c>
      <c r="AJ205" s="828">
        <v>5042</v>
      </c>
      <c r="AK205" s="828">
        <v>4865</v>
      </c>
      <c r="AL205" s="828">
        <v>4904</v>
      </c>
      <c r="AM205" s="828">
        <v>4978</v>
      </c>
      <c r="AN205" s="828">
        <v>4744</v>
      </c>
      <c r="AO205" s="828">
        <v>4946</v>
      </c>
      <c r="AP205" s="828">
        <v>4789</v>
      </c>
    </row>
    <row r="206" hidden="1" ht="13.5" customHeight="1">
      <c r="B206" s="829" t="s">
        <v>13</v>
      </c>
      <c r="C206" s="823">
        <v>950</v>
      </c>
      <c r="D206" s="823">
        <v>1373</v>
      </c>
      <c r="E206" s="823">
        <v>2052</v>
      </c>
      <c r="F206" s="823">
        <v>2049</v>
      </c>
      <c r="G206" s="823">
        <v>1909</v>
      </c>
      <c r="H206" s="823">
        <v>1900</v>
      </c>
      <c r="I206" s="823">
        <v>1468</v>
      </c>
      <c r="J206" s="823">
        <v>1452</v>
      </c>
      <c r="K206" s="823">
        <v>390</v>
      </c>
      <c r="L206" s="823">
        <v>429</v>
      </c>
      <c r="M206" s="823">
        <v>481</v>
      </c>
      <c r="N206" s="823">
        <v>697</v>
      </c>
      <c r="O206" s="823">
        <v>316</v>
      </c>
      <c r="P206" s="823">
        <v>295</v>
      </c>
      <c r="Q206" s="823">
        <v>197</v>
      </c>
      <c r="R206" s="823">
        <v>252</v>
      </c>
      <c r="S206" s="823">
        <v>266</v>
      </c>
      <c r="T206" s="823">
        <v>182</v>
      </c>
      <c r="U206" s="823">
        <v>590</v>
      </c>
      <c r="V206" s="823">
        <v>592</v>
      </c>
      <c r="W206" s="823">
        <v>222</v>
      </c>
      <c r="X206" s="823">
        <v>212</v>
      </c>
      <c r="Y206" s="823">
        <v>198</v>
      </c>
      <c r="Z206" s="823">
        <v>196</v>
      </c>
      <c r="AA206" s="823">
        <v>210</v>
      </c>
      <c r="AB206" s="823">
        <v>209</v>
      </c>
      <c r="AC206" s="825">
        <v>226</v>
      </c>
      <c r="AD206" s="825">
        <v>223</v>
      </c>
      <c r="AE206" s="825">
        <v>192</v>
      </c>
      <c r="AF206" s="825">
        <v>193</v>
      </c>
      <c r="AG206" s="825">
        <v>198</v>
      </c>
      <c r="AH206" s="825">
        <v>196</v>
      </c>
      <c r="AI206" s="825">
        <v>190</v>
      </c>
      <c r="AJ206" s="825">
        <v>180</v>
      </c>
      <c r="AK206" s="825">
        <v>86</v>
      </c>
      <c r="AL206" s="825">
        <v>76</v>
      </c>
      <c r="AM206" s="825">
        <v>160</v>
      </c>
      <c r="AN206" s="825">
        <v>163</v>
      </c>
      <c r="AO206" s="825">
        <v>174</v>
      </c>
      <c r="AP206" s="825">
        <v>178</v>
      </c>
    </row>
    <row r="207" hidden="1">
      <c r="B207" s="826" t="s">
        <v>109</v>
      </c>
      <c r="C207" s="827">
        <v>182940</v>
      </c>
      <c r="D207" s="827">
        <v>182314</v>
      </c>
      <c r="E207" s="827">
        <v>185699</v>
      </c>
      <c r="F207" s="827">
        <v>183606</v>
      </c>
      <c r="G207" s="827">
        <v>189065</v>
      </c>
      <c r="H207" s="827">
        <v>186962</v>
      </c>
      <c r="I207" s="827">
        <v>175161</v>
      </c>
      <c r="J207" s="827">
        <v>173248</v>
      </c>
      <c r="K207" s="827">
        <v>166010</v>
      </c>
      <c r="L207" s="827">
        <v>166197</v>
      </c>
      <c r="M207" s="827">
        <v>164706</v>
      </c>
      <c r="N207" s="827">
        <v>164418</v>
      </c>
      <c r="O207" s="827">
        <v>145900</v>
      </c>
      <c r="P207" s="827">
        <v>143709</v>
      </c>
      <c r="Q207" s="827">
        <v>138888</v>
      </c>
      <c r="R207" s="827">
        <v>138056</v>
      </c>
      <c r="S207" s="827">
        <v>140901</v>
      </c>
      <c r="T207" s="827">
        <v>140087</v>
      </c>
      <c r="U207" s="827">
        <v>141862</v>
      </c>
      <c r="V207" s="827">
        <v>142261</v>
      </c>
      <c r="W207" s="827">
        <v>137115</v>
      </c>
      <c r="X207" s="827">
        <v>136189</v>
      </c>
      <c r="Y207" s="827">
        <v>145196</v>
      </c>
      <c r="Z207" s="827">
        <v>145552</v>
      </c>
      <c r="AA207" s="827">
        <v>144861</v>
      </c>
      <c r="AB207" s="827">
        <v>144450</v>
      </c>
      <c r="AC207" s="828">
        <v>147101</v>
      </c>
      <c r="AD207" s="828">
        <v>150478</v>
      </c>
      <c r="AE207" s="828">
        <v>145357</v>
      </c>
      <c r="AF207" s="828">
        <v>145247</v>
      </c>
      <c r="AG207" s="828">
        <v>145529</v>
      </c>
      <c r="AH207" s="828">
        <v>145518</v>
      </c>
      <c r="AI207" s="828">
        <v>139411</v>
      </c>
      <c r="AJ207" s="828">
        <v>138794</v>
      </c>
      <c r="AK207" s="828">
        <v>134458</v>
      </c>
      <c r="AL207" s="828">
        <v>133497</v>
      </c>
      <c r="AM207" s="828">
        <v>138043</v>
      </c>
      <c r="AN207" s="828">
        <v>136669</v>
      </c>
      <c r="AO207" s="828">
        <v>135157</v>
      </c>
      <c r="AP207" s="828">
        <v>134778</v>
      </c>
    </row>
    <row r="208" hidden="1">
      <c r="B208" s="829" t="s">
        <v>110</v>
      </c>
      <c r="C208" s="823">
        <v>405096</v>
      </c>
      <c r="D208" s="823">
        <v>403307</v>
      </c>
      <c r="E208" s="823">
        <v>427185</v>
      </c>
      <c r="F208" s="823">
        <v>417664</v>
      </c>
      <c r="G208" s="823">
        <v>400581</v>
      </c>
      <c r="H208" s="823">
        <v>377434</v>
      </c>
      <c r="I208" s="823">
        <v>368459</v>
      </c>
      <c r="J208" s="823">
        <v>359710</v>
      </c>
      <c r="K208" s="823">
        <v>360914</v>
      </c>
      <c r="L208" s="823">
        <v>298777</v>
      </c>
      <c r="M208" s="823">
        <v>357290</v>
      </c>
      <c r="N208" s="823">
        <v>347123</v>
      </c>
      <c r="O208" s="823">
        <v>326015</v>
      </c>
      <c r="P208" s="823">
        <v>308966</v>
      </c>
      <c r="Q208" s="823">
        <v>309175</v>
      </c>
      <c r="R208" s="823">
        <v>317555</v>
      </c>
      <c r="S208" s="823">
        <v>322964</v>
      </c>
      <c r="T208" s="823">
        <v>333729</v>
      </c>
      <c r="U208" s="823">
        <v>339955</v>
      </c>
      <c r="V208" s="823">
        <v>337748</v>
      </c>
      <c r="W208" s="823">
        <v>342804</v>
      </c>
      <c r="X208" s="823">
        <v>342369</v>
      </c>
      <c r="Y208" s="823">
        <v>347363</v>
      </c>
      <c r="Z208" s="823">
        <v>346059</v>
      </c>
      <c r="AA208" s="823">
        <v>347395</v>
      </c>
      <c r="AB208" s="823">
        <v>344379</v>
      </c>
      <c r="AC208" s="825">
        <v>347524</v>
      </c>
      <c r="AD208" s="825">
        <v>350229</v>
      </c>
      <c r="AE208" s="825">
        <v>356102</v>
      </c>
      <c r="AF208" s="825">
        <v>351454</v>
      </c>
      <c r="AG208" s="825">
        <v>366743</v>
      </c>
      <c r="AH208" s="825">
        <v>365687</v>
      </c>
      <c r="AI208" s="825">
        <v>358896</v>
      </c>
      <c r="AJ208" s="825">
        <v>350586</v>
      </c>
      <c r="AK208" s="825">
        <v>355435</v>
      </c>
      <c r="AL208" s="825">
        <v>358731</v>
      </c>
      <c r="AM208" s="825">
        <v>356076</v>
      </c>
      <c r="AN208" s="825">
        <v>364576</v>
      </c>
      <c r="AO208" s="825">
        <v>365953</v>
      </c>
      <c r="AP208" s="825">
        <v>358181</v>
      </c>
    </row>
    <row r="209" hidden="1">
      <c r="B209" s="826" t="s">
        <v>16</v>
      </c>
      <c r="C209" s="827">
        <v>474056</v>
      </c>
      <c r="D209" s="827">
        <v>474056</v>
      </c>
      <c r="E209" s="827">
        <v>506298</v>
      </c>
      <c r="F209" s="827">
        <v>506837</v>
      </c>
      <c r="G209" s="827">
        <v>508476</v>
      </c>
      <c r="H209" s="827">
        <v>502766</v>
      </c>
      <c r="I209" s="827">
        <v>482315</v>
      </c>
      <c r="J209" s="827">
        <v>468959</v>
      </c>
      <c r="K209" s="827">
        <v>462732</v>
      </c>
      <c r="L209" s="827">
        <v>466331</v>
      </c>
      <c r="M209" s="827">
        <v>481309</v>
      </c>
      <c r="N209" s="827">
        <v>479647</v>
      </c>
      <c r="O209" s="827">
        <v>492019</v>
      </c>
      <c r="P209" s="827">
        <v>447944</v>
      </c>
      <c r="Q209" s="827">
        <v>467938</v>
      </c>
      <c r="R209" s="827">
        <v>452475</v>
      </c>
      <c r="S209" s="827">
        <v>481523</v>
      </c>
      <c r="T209" s="827">
        <v>468915</v>
      </c>
      <c r="U209" s="827">
        <v>512971</v>
      </c>
      <c r="V209" s="827">
        <v>514962</v>
      </c>
      <c r="W209" s="827">
        <v>514962</v>
      </c>
      <c r="X209" s="827">
        <v>514962</v>
      </c>
      <c r="Y209" s="827">
        <v>514962</v>
      </c>
      <c r="Z209" s="827">
        <v>514962</v>
      </c>
      <c r="AA209" s="827">
        <v>528909</v>
      </c>
      <c r="AB209" s="827">
        <v>528959</v>
      </c>
      <c r="AC209" s="828">
        <v>533746</v>
      </c>
      <c r="AD209" s="828">
        <v>532590</v>
      </c>
      <c r="AE209" s="828">
        <v>535391</v>
      </c>
      <c r="AF209" s="828">
        <v>1219543</v>
      </c>
      <c r="AG209" s="828">
        <v>2086127</v>
      </c>
      <c r="AH209" s="828">
        <v>1283763</v>
      </c>
      <c r="AI209" s="828">
        <v>655548</v>
      </c>
      <c r="AJ209" s="828">
        <v>607517</v>
      </c>
      <c r="AK209" s="828">
        <v>544736</v>
      </c>
      <c r="AL209" s="828">
        <v>543927</v>
      </c>
      <c r="AM209" s="828">
        <v>546312</v>
      </c>
      <c r="AN209" s="828">
        <v>546455</v>
      </c>
      <c r="AO209" s="828">
        <v>546601</v>
      </c>
      <c r="AP209" s="828">
        <v>545608</v>
      </c>
    </row>
    <row r="210" hidden="1">
      <c r="B210" s="829" t="s">
        <v>17</v>
      </c>
      <c r="C210" s="823">
        <v>182960</v>
      </c>
      <c r="D210" s="823">
        <v>186361</v>
      </c>
      <c r="E210" s="823">
        <v>196212</v>
      </c>
      <c r="F210" s="823">
        <v>202893</v>
      </c>
      <c r="G210" s="823">
        <v>201323</v>
      </c>
      <c r="H210" s="823">
        <v>187378</v>
      </c>
      <c r="I210" s="823">
        <v>172043</v>
      </c>
      <c r="J210" s="823">
        <v>169990</v>
      </c>
      <c r="K210" s="823">
        <v>165085</v>
      </c>
      <c r="L210" s="823">
        <v>168498</v>
      </c>
      <c r="M210" s="823">
        <v>171011</v>
      </c>
      <c r="N210" s="823">
        <v>167486</v>
      </c>
      <c r="O210" s="823">
        <v>145266</v>
      </c>
      <c r="P210" s="823">
        <v>134704</v>
      </c>
      <c r="Q210" s="823">
        <v>121241</v>
      </c>
      <c r="R210" s="823">
        <v>121631</v>
      </c>
      <c r="S210" s="823">
        <v>129296</v>
      </c>
      <c r="T210" s="823">
        <v>130046</v>
      </c>
      <c r="U210" s="823">
        <v>150611</v>
      </c>
      <c r="V210" s="823">
        <v>151831</v>
      </c>
      <c r="W210" s="823">
        <v>154613</v>
      </c>
      <c r="X210" s="823">
        <v>153798</v>
      </c>
      <c r="Y210" s="823">
        <v>154242</v>
      </c>
      <c r="Z210" s="823">
        <v>152821</v>
      </c>
      <c r="AA210" s="823">
        <v>158569</v>
      </c>
      <c r="AB210" s="823">
        <v>156625</v>
      </c>
      <c r="AC210" s="825">
        <v>158840</v>
      </c>
      <c r="AD210" s="825">
        <v>157113</v>
      </c>
      <c r="AE210" s="825">
        <v>160679</v>
      </c>
      <c r="AF210" s="825">
        <v>159717</v>
      </c>
      <c r="AG210" s="825">
        <v>152616</v>
      </c>
      <c r="AH210" s="825">
        <v>152625</v>
      </c>
      <c r="AI210" s="825">
        <v>153672</v>
      </c>
      <c r="AJ210" s="825">
        <v>148759</v>
      </c>
      <c r="AK210" s="825">
        <v>141432</v>
      </c>
      <c r="AL210" s="825">
        <v>138100</v>
      </c>
      <c r="AM210" s="825">
        <v>134897</v>
      </c>
      <c r="AN210" s="825">
        <v>133974</v>
      </c>
      <c r="AO210" s="825">
        <v>138136</v>
      </c>
      <c r="AP210" s="825">
        <v>137642</v>
      </c>
    </row>
    <row r="211" hidden="1" ht="12.75" customHeight="1">
      <c r="B211" s="826" t="s">
        <v>18</v>
      </c>
      <c r="C211" s="827">
        <v>43842</v>
      </c>
      <c r="D211" s="827">
        <v>82968</v>
      </c>
      <c r="E211" s="827">
        <v>99006</v>
      </c>
      <c r="F211" s="827">
        <v>98936</v>
      </c>
      <c r="G211" s="827">
        <v>107268</v>
      </c>
      <c r="H211" s="827">
        <v>102145</v>
      </c>
      <c r="I211" s="827">
        <v>103197</v>
      </c>
      <c r="J211" s="827">
        <v>97750</v>
      </c>
      <c r="K211" s="827">
        <v>100589</v>
      </c>
      <c r="L211" s="827">
        <v>97566</v>
      </c>
      <c r="M211" s="827">
        <v>97347</v>
      </c>
      <c r="N211" s="827">
        <v>100343</v>
      </c>
      <c r="O211" s="827">
        <v>91062</v>
      </c>
      <c r="P211" s="827">
        <v>95233</v>
      </c>
      <c r="Q211" s="827">
        <v>100112</v>
      </c>
      <c r="R211" s="827">
        <v>99894</v>
      </c>
      <c r="S211" s="827">
        <v>91034</v>
      </c>
      <c r="T211" s="827">
        <v>92856</v>
      </c>
      <c r="U211" s="827">
        <v>101319</v>
      </c>
      <c r="V211" s="827">
        <v>99028</v>
      </c>
      <c r="W211" s="827">
        <v>104925</v>
      </c>
      <c r="X211" s="827">
        <v>94243</v>
      </c>
      <c r="Y211" s="827">
        <v>93886</v>
      </c>
      <c r="Z211" s="827">
        <v>94321</v>
      </c>
      <c r="AA211" s="827">
        <v>91637</v>
      </c>
      <c r="AB211" s="827">
        <v>98281</v>
      </c>
      <c r="AC211" s="828">
        <v>90671</v>
      </c>
      <c r="AD211" s="828">
        <v>92183</v>
      </c>
      <c r="AE211" s="828">
        <v>92992</v>
      </c>
      <c r="AF211" s="828">
        <v>91381</v>
      </c>
      <c r="AG211" s="828">
        <v>91940</v>
      </c>
      <c r="AH211" s="828">
        <v>91920</v>
      </c>
      <c r="AI211" s="828">
        <v>89735</v>
      </c>
      <c r="AJ211" s="828">
        <v>87521</v>
      </c>
      <c r="AK211" s="828">
        <v>84958</v>
      </c>
      <c r="AL211" s="828">
        <v>84543</v>
      </c>
      <c r="AM211" s="828">
        <v>83534</v>
      </c>
      <c r="AN211" s="828">
        <v>83181</v>
      </c>
      <c r="AO211" s="828">
        <v>82604</v>
      </c>
      <c r="AP211" s="828">
        <v>82158</v>
      </c>
    </row>
    <row r="212" hidden="1">
      <c r="B212" s="829" t="s">
        <v>19</v>
      </c>
      <c r="C212" s="823">
        <v>5224</v>
      </c>
      <c r="D212" s="823">
        <v>5233</v>
      </c>
      <c r="E212" s="823">
        <v>6443</v>
      </c>
      <c r="F212" s="823">
        <v>6435</v>
      </c>
      <c r="G212" s="823">
        <v>5845</v>
      </c>
      <c r="H212" s="823">
        <v>5206</v>
      </c>
      <c r="I212" s="823">
        <v>4724</v>
      </c>
      <c r="J212" s="823">
        <v>4607</v>
      </c>
      <c r="K212" s="823">
        <v>4599</v>
      </c>
      <c r="L212" s="823">
        <v>4598</v>
      </c>
      <c r="M212" s="823">
        <v>4229</v>
      </c>
      <c r="N212" s="823">
        <v>4240</v>
      </c>
      <c r="O212" s="823">
        <v>3807</v>
      </c>
      <c r="P212" s="823">
        <v>3351</v>
      </c>
      <c r="Q212" s="823">
        <v>2698</v>
      </c>
      <c r="R212" s="823">
        <v>2688</v>
      </c>
      <c r="S212" s="823">
        <v>2505</v>
      </c>
      <c r="T212" s="823">
        <v>2503</v>
      </c>
      <c r="U212" s="823">
        <v>2918</v>
      </c>
      <c r="V212" s="823">
        <v>2954</v>
      </c>
      <c r="W212" s="823">
        <v>3023</v>
      </c>
      <c r="X212" s="823">
        <v>3018</v>
      </c>
      <c r="Y212" s="823">
        <v>2817</v>
      </c>
      <c r="Z212" s="823">
        <v>2830</v>
      </c>
      <c r="AA212" s="823">
        <v>2895</v>
      </c>
      <c r="AB212" s="823">
        <v>2622</v>
      </c>
      <c r="AC212" s="825">
        <v>1513</v>
      </c>
      <c r="AD212" s="825">
        <v>1519</v>
      </c>
      <c r="AE212" s="825">
        <v>2042</v>
      </c>
      <c r="AF212" s="825">
        <v>1523</v>
      </c>
      <c r="AG212" s="825">
        <v>1816</v>
      </c>
      <c r="AH212" s="825">
        <v>1820</v>
      </c>
      <c r="AI212" s="825">
        <v>2388</v>
      </c>
      <c r="AJ212" s="825">
        <v>2456</v>
      </c>
      <c r="AK212" s="825">
        <v>2567</v>
      </c>
      <c r="AL212" s="825">
        <v>2569</v>
      </c>
      <c r="AM212" s="825">
        <v>4418</v>
      </c>
      <c r="AN212" s="825">
        <v>4417</v>
      </c>
      <c r="AO212" s="825">
        <v>3025</v>
      </c>
      <c r="AP212" s="825">
        <v>3025</v>
      </c>
    </row>
    <row r="213" hidden="1" ht="12.75" customHeight="1">
      <c r="B213" s="826" t="s">
        <v>20</v>
      </c>
      <c r="C213" s="827">
        <v>330510</v>
      </c>
      <c r="D213" s="827">
        <v>326358</v>
      </c>
      <c r="E213" s="827">
        <v>223185</v>
      </c>
      <c r="F213" s="827">
        <v>218849</v>
      </c>
      <c r="G213" s="827">
        <v>198628</v>
      </c>
      <c r="H213" s="827">
        <v>202866</v>
      </c>
      <c r="I213" s="827">
        <v>184612</v>
      </c>
      <c r="J213" s="827">
        <v>186655</v>
      </c>
      <c r="K213" s="827">
        <v>182190</v>
      </c>
      <c r="L213" s="827">
        <v>182386</v>
      </c>
      <c r="M213" s="827">
        <v>182875</v>
      </c>
      <c r="N213" s="827">
        <v>185970</v>
      </c>
      <c r="O213" s="827">
        <v>168391</v>
      </c>
      <c r="P213" s="827">
        <v>169811</v>
      </c>
      <c r="Q213" s="827">
        <v>164899</v>
      </c>
      <c r="R213" s="827">
        <v>163972</v>
      </c>
      <c r="S213" s="827">
        <v>166155</v>
      </c>
      <c r="T213" s="827">
        <v>174554</v>
      </c>
      <c r="U213" s="827">
        <v>157608</v>
      </c>
      <c r="V213" s="827">
        <v>165899</v>
      </c>
      <c r="W213" s="827">
        <v>171485</v>
      </c>
      <c r="X213" s="827">
        <v>169355</v>
      </c>
      <c r="Y213" s="827">
        <v>149999</v>
      </c>
      <c r="Z213" s="827">
        <v>155036</v>
      </c>
      <c r="AA213" s="827">
        <v>156375</v>
      </c>
      <c r="AB213" s="827">
        <v>156073</v>
      </c>
      <c r="AC213" s="828">
        <v>148590</v>
      </c>
      <c r="AD213" s="828">
        <v>151596</v>
      </c>
      <c r="AE213" s="828">
        <v>152416</v>
      </c>
      <c r="AF213" s="828">
        <v>157622</v>
      </c>
      <c r="AG213" s="828">
        <v>135622</v>
      </c>
      <c r="AH213" s="828">
        <v>151537</v>
      </c>
      <c r="AI213" s="828">
        <v>140900</v>
      </c>
      <c r="AJ213" s="828">
        <v>147572</v>
      </c>
      <c r="AK213" s="828">
        <v>141581</v>
      </c>
      <c r="AL213" s="828">
        <v>167073</v>
      </c>
      <c r="AM213" s="828">
        <v>162734</v>
      </c>
      <c r="AN213" s="828">
        <v>162899</v>
      </c>
      <c r="AO213" s="828">
        <v>157710</v>
      </c>
      <c r="AP213" s="828">
        <v>189003</v>
      </c>
    </row>
    <row r="214" hidden="1">
      <c r="B214" s="829" t="s">
        <v>21</v>
      </c>
      <c r="C214" s="823">
        <v>63960</v>
      </c>
      <c r="D214" s="823">
        <v>63533</v>
      </c>
      <c r="E214" s="823">
        <v>62108</v>
      </c>
      <c r="F214" s="823">
        <v>61607</v>
      </c>
      <c r="G214" s="823">
        <v>64324</v>
      </c>
      <c r="H214" s="823">
        <v>61538</v>
      </c>
      <c r="I214" s="823">
        <v>58479</v>
      </c>
      <c r="J214" s="823">
        <v>60039</v>
      </c>
      <c r="K214" s="823">
        <v>58450</v>
      </c>
      <c r="L214" s="823">
        <v>57755</v>
      </c>
      <c r="M214" s="823">
        <v>56959</v>
      </c>
      <c r="N214" s="823">
        <v>55910</v>
      </c>
      <c r="O214" s="823">
        <v>56305</v>
      </c>
      <c r="P214" s="823">
        <v>55577</v>
      </c>
      <c r="Q214" s="823">
        <v>55352</v>
      </c>
      <c r="R214" s="823">
        <v>56028</v>
      </c>
      <c r="S214" s="823">
        <v>57558</v>
      </c>
      <c r="T214" s="823">
        <v>57628</v>
      </c>
      <c r="U214" s="823">
        <v>58436</v>
      </c>
      <c r="V214" s="823">
        <v>58326</v>
      </c>
      <c r="W214" s="823">
        <v>56584</v>
      </c>
      <c r="X214" s="823">
        <v>55871</v>
      </c>
      <c r="Y214" s="823">
        <v>55037</v>
      </c>
      <c r="Z214" s="823">
        <v>54612</v>
      </c>
      <c r="AA214" s="823">
        <v>56994</v>
      </c>
      <c r="AB214" s="823">
        <v>56978</v>
      </c>
      <c r="AC214" s="825">
        <v>57292</v>
      </c>
      <c r="AD214" s="825">
        <v>58192</v>
      </c>
      <c r="AE214" s="825">
        <v>60149</v>
      </c>
      <c r="AF214" s="825">
        <v>60141</v>
      </c>
      <c r="AG214" s="825">
        <v>58751</v>
      </c>
      <c r="AH214" s="825">
        <v>58673</v>
      </c>
      <c r="AI214" s="825">
        <v>60768</v>
      </c>
      <c r="AJ214" s="825">
        <v>60354</v>
      </c>
      <c r="AK214" s="825">
        <v>61049</v>
      </c>
      <c r="AL214" s="825">
        <v>61054</v>
      </c>
      <c r="AM214" s="825">
        <v>61000</v>
      </c>
      <c r="AN214" s="825">
        <v>58018</v>
      </c>
      <c r="AO214" s="825">
        <v>56792</v>
      </c>
      <c r="AP214" s="825">
        <v>56378</v>
      </c>
    </row>
    <row r="215" hidden="1">
      <c r="B215" s="826" t="s">
        <v>22</v>
      </c>
      <c r="C215" s="827">
        <v>2622</v>
      </c>
      <c r="D215" s="827">
        <v>3435</v>
      </c>
      <c r="E215" s="827">
        <v>4203</v>
      </c>
      <c r="F215" s="827">
        <v>2993</v>
      </c>
      <c r="G215" s="827">
        <v>3873</v>
      </c>
      <c r="H215" s="827">
        <v>2679</v>
      </c>
      <c r="I215" s="827">
        <v>2764</v>
      </c>
      <c r="J215" s="827">
        <v>3069</v>
      </c>
      <c r="K215" s="827">
        <v>4837</v>
      </c>
      <c r="L215" s="827">
        <v>4469</v>
      </c>
      <c r="M215" s="827">
        <v>4788</v>
      </c>
      <c r="N215" s="827">
        <v>4487</v>
      </c>
      <c r="O215" s="827">
        <v>3117</v>
      </c>
      <c r="P215" s="827">
        <v>3111</v>
      </c>
      <c r="Q215" s="827">
        <v>1536</v>
      </c>
      <c r="R215" s="827">
        <v>955</v>
      </c>
      <c r="S215" s="827">
        <v>1414</v>
      </c>
      <c r="T215" s="827">
        <v>1412</v>
      </c>
      <c r="U215" s="827">
        <v>1532</v>
      </c>
      <c r="V215" s="827">
        <v>1538</v>
      </c>
      <c r="W215" s="827">
        <v>1617</v>
      </c>
      <c r="X215" s="827">
        <v>1617</v>
      </c>
      <c r="Y215" s="827">
        <v>1605</v>
      </c>
      <c r="Z215" s="827">
        <v>1612</v>
      </c>
      <c r="AA215" s="827">
        <v>1605</v>
      </c>
      <c r="AB215" s="827">
        <v>1613</v>
      </c>
      <c r="AC215" s="828">
        <v>1498</v>
      </c>
      <c r="AD215" s="828">
        <v>1500</v>
      </c>
      <c r="AE215" s="828">
        <v>1507</v>
      </c>
      <c r="AF215" s="828">
        <v>1508</v>
      </c>
      <c r="AG215" s="828">
        <v>1511</v>
      </c>
      <c r="AH215" s="828">
        <v>1500</v>
      </c>
      <c r="AI215" s="828">
        <v>1351</v>
      </c>
      <c r="AJ215" s="828">
        <v>1344</v>
      </c>
      <c r="AK215" s="828">
        <v>1280</v>
      </c>
      <c r="AL215" s="828">
        <v>1233</v>
      </c>
      <c r="AM215" s="828">
        <v>1224</v>
      </c>
      <c r="AN215" s="828">
        <v>1224</v>
      </c>
      <c r="AO215" s="828">
        <v>883</v>
      </c>
      <c r="AP215" s="828">
        <v>882</v>
      </c>
    </row>
    <row r="216" hidden="1">
      <c r="B216" s="829" t="s">
        <v>23</v>
      </c>
      <c r="C216" s="823">
        <v>6134</v>
      </c>
      <c r="D216" s="823">
        <v>6114</v>
      </c>
      <c r="E216" s="823">
        <v>6160</v>
      </c>
      <c r="F216" s="823">
        <v>5910</v>
      </c>
      <c r="G216" s="823">
        <v>5977</v>
      </c>
      <c r="H216" s="823">
        <v>5978</v>
      </c>
      <c r="I216" s="823">
        <v>5614</v>
      </c>
      <c r="J216" s="823">
        <v>5592</v>
      </c>
      <c r="K216" s="823">
        <v>5453</v>
      </c>
      <c r="L216" s="823">
        <v>5298</v>
      </c>
      <c r="M216" s="823">
        <v>5136</v>
      </c>
      <c r="N216" s="823">
        <v>5131</v>
      </c>
      <c r="O216" s="823">
        <v>4962</v>
      </c>
      <c r="P216" s="823">
        <v>4486</v>
      </c>
      <c r="Q216" s="823">
        <v>4333</v>
      </c>
      <c r="R216" s="823">
        <v>4020</v>
      </c>
      <c r="S216" s="823">
        <v>4590</v>
      </c>
      <c r="T216" s="823">
        <v>4590</v>
      </c>
      <c r="U216" s="823">
        <v>4916</v>
      </c>
      <c r="V216" s="823">
        <v>4913</v>
      </c>
      <c r="W216" s="823">
        <v>4931</v>
      </c>
      <c r="X216" s="823">
        <v>4931</v>
      </c>
      <c r="Y216" s="823">
        <v>4728</v>
      </c>
      <c r="Z216" s="823">
        <v>4728</v>
      </c>
      <c r="AA216" s="823">
        <v>4677</v>
      </c>
      <c r="AB216" s="823">
        <v>4677</v>
      </c>
      <c r="AC216" s="825">
        <v>4677</v>
      </c>
      <c r="AD216" s="825">
        <v>4675</v>
      </c>
      <c r="AE216" s="825">
        <v>4703</v>
      </c>
      <c r="AF216" s="825">
        <v>4703</v>
      </c>
      <c r="AG216" s="825">
        <v>4669</v>
      </c>
      <c r="AH216" s="825">
        <v>4667</v>
      </c>
      <c r="AI216" s="825">
        <v>4514</v>
      </c>
      <c r="AJ216" s="825">
        <v>4508</v>
      </c>
      <c r="AK216" s="825">
        <v>4046</v>
      </c>
      <c r="AL216" s="825">
        <v>4046</v>
      </c>
      <c r="AM216" s="825">
        <v>3087</v>
      </c>
      <c r="AN216" s="825">
        <v>3086</v>
      </c>
      <c r="AO216" s="825">
        <v>3723</v>
      </c>
      <c r="AP216" s="825">
        <v>3723</v>
      </c>
    </row>
    <row r="217" hidden="1">
      <c r="B217" s="835" t="s">
        <v>24</v>
      </c>
      <c r="C217" s="827">
        <v>104775</v>
      </c>
      <c r="D217" s="827">
        <v>99511</v>
      </c>
      <c r="E217" s="827">
        <v>100069</v>
      </c>
      <c r="F217" s="827">
        <v>98486</v>
      </c>
      <c r="G217" s="827">
        <v>93516</v>
      </c>
      <c r="H217" s="827">
        <v>92272</v>
      </c>
      <c r="I217" s="827">
        <v>83837</v>
      </c>
      <c r="J217" s="827">
        <v>82636</v>
      </c>
      <c r="K217" s="827">
        <v>77198</v>
      </c>
      <c r="L217" s="827">
        <v>77941</v>
      </c>
      <c r="M217" s="827">
        <v>78724</v>
      </c>
      <c r="N217" s="827">
        <v>77608</v>
      </c>
      <c r="O217" s="827">
        <v>74183</v>
      </c>
      <c r="P217" s="827">
        <v>72561</v>
      </c>
      <c r="Q217" s="827">
        <v>70846</v>
      </c>
      <c r="R217" s="827">
        <v>69009</v>
      </c>
      <c r="S217" s="827">
        <v>68186</v>
      </c>
      <c r="T217" s="827">
        <v>69537</v>
      </c>
      <c r="U217" s="827">
        <v>85338</v>
      </c>
      <c r="V217" s="827">
        <v>71494</v>
      </c>
      <c r="W217" s="827">
        <v>71390</v>
      </c>
      <c r="X217" s="827">
        <v>69682</v>
      </c>
      <c r="Y217" s="827">
        <v>69496</v>
      </c>
      <c r="Z217" s="827">
        <v>69862</v>
      </c>
      <c r="AA217" s="827">
        <v>72223</v>
      </c>
      <c r="AB217" s="827">
        <v>71874</v>
      </c>
      <c r="AC217" s="828">
        <v>73058</v>
      </c>
      <c r="AD217" s="828">
        <v>71084</v>
      </c>
      <c r="AE217" s="828">
        <v>73748</v>
      </c>
      <c r="AF217" s="828">
        <v>74184</v>
      </c>
      <c r="AG217" s="828">
        <v>72347</v>
      </c>
      <c r="AH217" s="828">
        <v>71858</v>
      </c>
      <c r="AI217" s="828">
        <v>68133</v>
      </c>
      <c r="AJ217" s="828">
        <v>68304</v>
      </c>
      <c r="AK217" s="828">
        <v>69302</v>
      </c>
      <c r="AL217" s="828">
        <v>68354</v>
      </c>
      <c r="AM217" s="828">
        <v>67305</v>
      </c>
      <c r="AN217" s="828">
        <v>67457</v>
      </c>
      <c r="AO217" s="828">
        <v>67324</v>
      </c>
      <c r="AP217" s="828">
        <v>65764</v>
      </c>
    </row>
    <row r="218" hidden="1">
      <c r="B218" s="829" t="s">
        <v>25</v>
      </c>
      <c r="C218" s="823">
        <v>0</v>
      </c>
      <c r="D218" s="823">
        <v>0</v>
      </c>
      <c r="E218" s="823">
        <v>0</v>
      </c>
      <c r="F218" s="823">
        <v>0</v>
      </c>
      <c r="G218" s="823">
        <v>0</v>
      </c>
      <c r="H218" s="823">
        <v>0</v>
      </c>
      <c r="I218" s="823">
        <v>0</v>
      </c>
      <c r="J218" s="823">
        <v>0</v>
      </c>
      <c r="K218" s="823">
        <v>0</v>
      </c>
      <c r="L218" s="823">
        <v>0</v>
      </c>
      <c r="M218" s="823">
        <v>0</v>
      </c>
      <c r="N218" s="823">
        <v>0</v>
      </c>
      <c r="O218" s="823">
        <v>0</v>
      </c>
      <c r="P218" s="823">
        <v>0</v>
      </c>
      <c r="Q218" s="823">
        <v>0</v>
      </c>
      <c r="R218" s="823">
        <v>0</v>
      </c>
      <c r="S218" s="823">
        <v>0</v>
      </c>
      <c r="T218" s="823">
        <v>0</v>
      </c>
      <c r="U218" s="823">
        <v>0</v>
      </c>
      <c r="V218" s="823">
        <v>0</v>
      </c>
      <c r="W218" s="823">
        <v>0</v>
      </c>
      <c r="X218" s="823">
        <v>0</v>
      </c>
      <c r="Y218" s="823">
        <v>0</v>
      </c>
      <c r="Z218" s="823">
        <v>0</v>
      </c>
      <c r="AA218" s="823">
        <v>0</v>
      </c>
      <c r="AB218" s="823">
        <v>0</v>
      </c>
      <c r="AC218" s="825">
        <v>0</v>
      </c>
      <c r="AD218" s="825">
        <v>0</v>
      </c>
      <c r="AE218" s="825">
        <v>0</v>
      </c>
      <c r="AF218" s="825">
        <v>0</v>
      </c>
      <c r="AG218" s="825">
        <v>0</v>
      </c>
      <c r="AH218" s="825">
        <v>0</v>
      </c>
      <c r="AI218" s="825">
        <v>0</v>
      </c>
      <c r="AJ218" s="825">
        <v>0</v>
      </c>
      <c r="AK218" s="825">
        <v>0</v>
      </c>
      <c r="AL218" s="825">
        <v>0</v>
      </c>
      <c r="AM218" s="825">
        <v>0</v>
      </c>
      <c r="AN218" s="825">
        <v>0</v>
      </c>
      <c r="AO218" s="825">
        <v>0</v>
      </c>
      <c r="AP218" s="825">
        <v>0</v>
      </c>
    </row>
    <row r="219" hidden="1" ht="13.5">
      <c r="B219" s="836" t="s">
        <v>26</v>
      </c>
      <c r="C219" s="827">
        <v>0</v>
      </c>
      <c r="D219" s="827">
        <v>0</v>
      </c>
      <c r="E219" s="827">
        <v>0</v>
      </c>
      <c r="F219" s="827">
        <v>0</v>
      </c>
      <c r="G219" s="827">
        <v>0</v>
      </c>
      <c r="H219" s="827">
        <v>0</v>
      </c>
      <c r="I219" s="827">
        <v>0</v>
      </c>
      <c r="J219" s="827">
        <v>0</v>
      </c>
      <c r="K219" s="827">
        <v>0</v>
      </c>
      <c r="L219" s="827">
        <v>0</v>
      </c>
      <c r="M219" s="827">
        <v>0</v>
      </c>
      <c r="N219" s="827">
        <v>0</v>
      </c>
      <c r="O219" s="827">
        <v>0</v>
      </c>
      <c r="P219" s="827">
        <v>0</v>
      </c>
      <c r="Q219" s="827">
        <v>0</v>
      </c>
      <c r="R219" s="827">
        <v>0</v>
      </c>
      <c r="S219" s="827">
        <v>0</v>
      </c>
      <c r="T219" s="827">
        <v>0</v>
      </c>
      <c r="U219" s="827">
        <v>0</v>
      </c>
      <c r="V219" s="827">
        <v>0</v>
      </c>
      <c r="W219" s="827">
        <v>0</v>
      </c>
      <c r="X219" s="827">
        <v>0</v>
      </c>
      <c r="Y219" s="827">
        <v>0</v>
      </c>
      <c r="Z219" s="827">
        <v>0</v>
      </c>
      <c r="AA219" s="827">
        <v>0</v>
      </c>
      <c r="AB219" s="837">
        <v>0</v>
      </c>
      <c r="AC219" s="828">
        <v>0</v>
      </c>
      <c r="AD219" s="828">
        <v>0</v>
      </c>
      <c r="AE219" s="828">
        <v>0</v>
      </c>
      <c r="AF219" s="828">
        <v>0</v>
      </c>
      <c r="AG219" s="828">
        <v>0</v>
      </c>
      <c r="AH219" s="828">
        <v>0</v>
      </c>
      <c r="AI219" s="828">
        <v>0</v>
      </c>
      <c r="AJ219" s="828">
        <v>0</v>
      </c>
      <c r="AK219" s="828">
        <v>0</v>
      </c>
      <c r="AL219" s="828">
        <v>0</v>
      </c>
      <c r="AM219" s="828">
        <v>0</v>
      </c>
      <c r="AN219" s="828">
        <v>0</v>
      </c>
      <c r="AO219" s="828">
        <v>0</v>
      </c>
      <c r="AP219" s="828">
        <v>0</v>
      </c>
    </row>
    <row r="220" hidden="1" ht="13.5">
      <c r="B220" s="128" t="s">
        <v>7</v>
      </c>
      <c r="C220" s="129" t="str">
        <f>IF(SUM(C201:C219)&lt;&gt;0,SUM(C201:C219),"")</f>
      </c>
      <c r="D220" s="129" t="str">
        <f ref="D220:AA220" t="shared" si="5">IF(SUM(D201:D219)&lt;&gt;0,SUM(D201:D219),"")</f>
      </c>
      <c r="E220" s="129" t="str">
        <f t="shared" si="5"/>
      </c>
      <c r="F220" s="129" t="str">
        <f t="shared" si="5"/>
      </c>
      <c r="G220" s="129" t="str">
        <f t="shared" si="5"/>
      </c>
      <c r="H220" s="129" t="str">
        <f t="shared" si="5"/>
      </c>
      <c r="I220" s="129" t="str">
        <f t="shared" si="5"/>
      </c>
      <c r="J220" s="129" t="str">
        <f t="shared" si="5"/>
      </c>
      <c r="K220" s="129" t="str">
        <f t="shared" si="5"/>
      </c>
      <c r="L220" s="129" t="str">
        <f t="shared" si="5"/>
      </c>
      <c r="M220" s="129" t="str">
        <f t="shared" si="5"/>
      </c>
      <c r="N220" s="129" t="str">
        <f t="shared" si="5"/>
      </c>
      <c r="O220" s="129" t="str">
        <f t="shared" si="5"/>
      </c>
      <c r="P220" s="129" t="str">
        <f t="shared" si="5"/>
      </c>
      <c r="Q220" s="129" t="str">
        <f t="shared" si="5"/>
      </c>
      <c r="R220" s="129" t="str">
        <f t="shared" si="5"/>
      </c>
      <c r="S220" s="129" t="str">
        <f t="shared" si="5"/>
      </c>
      <c r="T220" s="129" t="str">
        <f t="shared" si="5"/>
      </c>
      <c r="U220" s="129" t="str">
        <f t="shared" si="5"/>
      </c>
      <c r="V220" s="129" t="str">
        <f t="shared" si="5"/>
      </c>
      <c r="W220" s="129" t="str">
        <f t="shared" si="5"/>
      </c>
      <c r="X220" s="129" t="str">
        <f t="shared" si="5"/>
      </c>
      <c r="Y220" s="129" t="str">
        <f t="shared" si="5"/>
      </c>
      <c r="Z220" s="129" t="str">
        <f t="shared" si="5"/>
      </c>
      <c r="AA220" s="129" t="str">
        <f t="shared" si="5"/>
      </c>
      <c r="AB220" s="130" t="str">
        <f>IF(SUM(AB201:AB219)&lt;&gt;0,SUM(AB201:AB219),"")</f>
      </c>
      <c r="AC220" s="91" t="str">
        <f ref="AC220:CN220" t="shared" si="6">IF(SUM(AC201:AC219)&lt;&gt;0,SUM(AC201:AC219),"")</f>
      </c>
      <c r="AD220" s="91" t="str">
        <f t="shared" si="6"/>
      </c>
      <c r="AE220" s="91" t="str">
        <f t="shared" si="6"/>
      </c>
      <c r="AF220" s="91" t="str">
        <f t="shared" si="6"/>
      </c>
      <c r="AG220" s="91" t="str">
        <f t="shared" si="6"/>
      </c>
      <c r="AH220" s="91" t="str">
        <f t="shared" si="6"/>
      </c>
      <c r="AI220" s="91" t="str">
        <f t="shared" si="6"/>
      </c>
      <c r="AJ220" s="91" t="str">
        <f t="shared" si="6"/>
      </c>
      <c r="AK220" s="91" t="str">
        <f t="shared" si="6"/>
      </c>
      <c r="AL220" s="91" t="str">
        <f t="shared" si="6"/>
      </c>
      <c r="AM220" s="91" t="str">
        <f t="shared" si="6"/>
      </c>
      <c r="AN220" s="91" t="str">
        <f t="shared" si="6"/>
      </c>
      <c r="AO220" s="91" t="str">
        <f t="shared" si="6"/>
      </c>
      <c r="AP220" s="91" t="str">
        <f t="shared" si="6"/>
      </c>
      <c r="AQ220" s="91" t="str">
        <f t="shared" si="6"/>
      </c>
      <c r="AR220" s="91" t="str">
        <f t="shared" si="6"/>
      </c>
      <c r="AS220" s="91" t="str">
        <f t="shared" si="6"/>
      </c>
      <c r="AT220" s="91" t="str">
        <f t="shared" si="6"/>
      </c>
      <c r="AU220" s="91" t="str">
        <f t="shared" si="6"/>
      </c>
      <c r="AV220" s="91" t="str">
        <f t="shared" si="6"/>
      </c>
      <c r="AW220" s="91" t="str">
        <f t="shared" si="6"/>
      </c>
      <c r="AX220" s="91" t="str">
        <f t="shared" si="6"/>
      </c>
      <c r="AY220" s="91" t="str">
        <f t="shared" si="6"/>
      </c>
      <c r="AZ220" s="91" t="str">
        <f t="shared" si="6"/>
      </c>
      <c r="BA220" s="91" t="str">
        <f t="shared" si="6"/>
      </c>
      <c r="BB220" s="91" t="str">
        <f t="shared" si="6"/>
      </c>
      <c r="BC220" s="91" t="str">
        <f t="shared" si="6"/>
      </c>
      <c r="BD220" s="91" t="str">
        <f t="shared" si="6"/>
      </c>
      <c r="BE220" s="91" t="str">
        <f t="shared" si="6"/>
      </c>
      <c r="BF220" s="91" t="str">
        <f t="shared" si="6"/>
      </c>
      <c r="BG220" s="91" t="str">
        <f t="shared" si="6"/>
      </c>
      <c r="BH220" s="91" t="str">
        <f t="shared" si="6"/>
      </c>
      <c r="BI220" s="91" t="str">
        <f t="shared" si="6"/>
      </c>
      <c r="BJ220" s="91" t="str">
        <f t="shared" si="6"/>
      </c>
      <c r="BK220" s="91" t="str">
        <f t="shared" si="6"/>
      </c>
      <c r="BL220" s="91" t="str">
        <f t="shared" si="6"/>
      </c>
      <c r="BM220" s="91" t="str">
        <f t="shared" si="6"/>
      </c>
      <c r="BN220" s="91" t="str">
        <f t="shared" si="6"/>
      </c>
      <c r="BO220" s="91" t="str">
        <f t="shared" si="6"/>
      </c>
      <c r="BP220" s="91" t="str">
        <f t="shared" si="6"/>
      </c>
      <c r="BQ220" s="91" t="str">
        <f t="shared" si="6"/>
      </c>
      <c r="BR220" s="91" t="str">
        <f t="shared" si="6"/>
      </c>
      <c r="BS220" s="91" t="str">
        <f t="shared" si="6"/>
      </c>
      <c r="BT220" s="91" t="str">
        <f t="shared" si="6"/>
      </c>
      <c r="BU220" s="91" t="str">
        <f t="shared" si="6"/>
      </c>
      <c r="BV220" s="91" t="str">
        <f t="shared" si="6"/>
      </c>
      <c r="BW220" s="91" t="str">
        <f t="shared" si="6"/>
      </c>
      <c r="BX220" s="91" t="str">
        <f t="shared" si="6"/>
      </c>
      <c r="BY220" s="91" t="str">
        <f t="shared" si="6"/>
      </c>
      <c r="BZ220" s="91" t="str">
        <f t="shared" si="6"/>
      </c>
      <c r="CA220" s="91" t="str">
        <f t="shared" si="6"/>
      </c>
      <c r="CB220" s="91" t="str">
        <f t="shared" si="6"/>
      </c>
      <c r="CC220" s="91" t="str">
        <f t="shared" si="6"/>
      </c>
      <c r="CD220" s="91" t="str">
        <f t="shared" si="6"/>
      </c>
      <c r="CE220" s="91" t="str">
        <f t="shared" si="6"/>
      </c>
      <c r="CF220" s="91" t="str">
        <f t="shared" si="6"/>
      </c>
      <c r="CG220" s="91" t="str">
        <f t="shared" si="6"/>
      </c>
      <c r="CH220" s="91" t="str">
        <f t="shared" si="6"/>
      </c>
      <c r="CI220" s="91" t="str">
        <f t="shared" si="6"/>
      </c>
      <c r="CJ220" s="91" t="str">
        <f t="shared" si="6"/>
      </c>
      <c r="CK220" s="91" t="str">
        <f t="shared" si="6"/>
      </c>
      <c r="CL220" s="91" t="str">
        <f t="shared" si="6"/>
      </c>
      <c r="CM220" s="91" t="str">
        <f t="shared" si="6"/>
      </c>
      <c r="CN220" s="91" t="str">
        <f t="shared" si="6"/>
      </c>
      <c r="CO220" s="91" t="str">
        <f ref="CO220:EZ220" t="shared" si="7">IF(SUM(CO201:CO219)&lt;&gt;0,SUM(CO201:CO219),"")</f>
      </c>
      <c r="CP220" s="91" t="str">
        <f t="shared" si="7"/>
      </c>
      <c r="CQ220" s="91" t="str">
        <f t="shared" si="7"/>
      </c>
      <c r="CR220" s="91" t="str">
        <f t="shared" si="7"/>
      </c>
      <c r="CS220" s="91" t="str">
        <f t="shared" si="7"/>
      </c>
      <c r="CT220" s="91" t="str">
        <f t="shared" si="7"/>
      </c>
      <c r="CU220" s="91" t="str">
        <f t="shared" si="7"/>
      </c>
      <c r="CV220" s="91" t="str">
        <f t="shared" si="7"/>
      </c>
      <c r="CW220" s="91" t="str">
        <f t="shared" si="7"/>
      </c>
      <c r="CX220" s="91" t="str">
        <f t="shared" si="7"/>
      </c>
      <c r="CY220" s="91" t="str">
        <f t="shared" si="7"/>
      </c>
      <c r="CZ220" s="91" t="str">
        <f t="shared" si="7"/>
      </c>
      <c r="DA220" s="91" t="str">
        <f t="shared" si="7"/>
      </c>
      <c r="DB220" s="91" t="str">
        <f t="shared" si="7"/>
      </c>
      <c r="DC220" s="91" t="str">
        <f t="shared" si="7"/>
      </c>
      <c r="DD220" s="91" t="str">
        <f t="shared" si="7"/>
      </c>
      <c r="DE220" s="91" t="str">
        <f t="shared" si="7"/>
      </c>
      <c r="DF220" s="91" t="str">
        <f t="shared" si="7"/>
      </c>
      <c r="DG220" s="91" t="str">
        <f t="shared" si="7"/>
      </c>
      <c r="DH220" s="91" t="str">
        <f t="shared" si="7"/>
      </c>
      <c r="DI220" s="91" t="str">
        <f t="shared" si="7"/>
      </c>
      <c r="DJ220" s="91" t="str">
        <f t="shared" si="7"/>
      </c>
      <c r="DK220" s="91" t="str">
        <f t="shared" si="7"/>
      </c>
      <c r="DL220" s="91" t="str">
        <f t="shared" si="7"/>
      </c>
      <c r="DM220" s="91" t="str">
        <f t="shared" si="7"/>
      </c>
      <c r="DN220" s="91" t="str">
        <f t="shared" si="7"/>
      </c>
      <c r="DO220" s="91" t="str">
        <f t="shared" si="7"/>
      </c>
      <c r="DP220" s="91" t="str">
        <f t="shared" si="7"/>
      </c>
      <c r="DQ220" s="91" t="str">
        <f t="shared" si="7"/>
      </c>
      <c r="DR220" s="91" t="str">
        <f t="shared" si="7"/>
      </c>
      <c r="DS220" s="91" t="str">
        <f t="shared" si="7"/>
      </c>
      <c r="DT220" s="91" t="str">
        <f t="shared" si="7"/>
      </c>
      <c r="DU220" s="91" t="str">
        <f t="shared" si="7"/>
      </c>
      <c r="DV220" s="91" t="str">
        <f t="shared" si="7"/>
      </c>
      <c r="DW220" s="91" t="str">
        <f t="shared" si="7"/>
      </c>
      <c r="DX220" s="91" t="str">
        <f t="shared" si="7"/>
      </c>
      <c r="DY220" s="91" t="str">
        <f t="shared" si="7"/>
      </c>
      <c r="DZ220" s="91" t="str">
        <f t="shared" si="7"/>
      </c>
      <c r="EA220" s="91" t="str">
        <f t="shared" si="7"/>
      </c>
      <c r="EB220" s="91" t="str">
        <f t="shared" si="7"/>
      </c>
      <c r="EC220" s="91" t="str">
        <f t="shared" si="7"/>
      </c>
      <c r="ED220" s="91" t="str">
        <f t="shared" si="7"/>
      </c>
      <c r="EE220" s="91" t="str">
        <f t="shared" si="7"/>
      </c>
      <c r="EF220" s="91" t="str">
        <f t="shared" si="7"/>
      </c>
      <c r="EG220" s="91" t="str">
        <f t="shared" si="7"/>
      </c>
      <c r="EH220" s="91" t="str">
        <f t="shared" si="7"/>
      </c>
      <c r="EI220" s="91" t="str">
        <f t="shared" si="7"/>
      </c>
      <c r="EJ220" s="91" t="str">
        <f t="shared" si="7"/>
      </c>
      <c r="EK220" s="91" t="str">
        <f t="shared" si="7"/>
      </c>
      <c r="EL220" s="91" t="str">
        <f t="shared" si="7"/>
      </c>
      <c r="EM220" s="91" t="str">
        <f t="shared" si="7"/>
      </c>
      <c r="EN220" s="91" t="str">
        <f t="shared" si="7"/>
      </c>
      <c r="EO220" s="91" t="str">
        <f t="shared" si="7"/>
      </c>
      <c r="EP220" s="91" t="str">
        <f t="shared" si="7"/>
      </c>
      <c r="EQ220" s="91" t="str">
        <f t="shared" si="7"/>
      </c>
      <c r="ER220" s="91" t="str">
        <f t="shared" si="7"/>
      </c>
      <c r="ES220" s="91" t="str">
        <f t="shared" si="7"/>
      </c>
      <c r="ET220" s="91" t="str">
        <f t="shared" si="7"/>
      </c>
      <c r="EU220" s="91" t="str">
        <f t="shared" si="7"/>
      </c>
      <c r="EV220" s="91" t="str">
        <f t="shared" si="7"/>
      </c>
      <c r="EW220" s="91" t="str">
        <f t="shared" si="7"/>
      </c>
      <c r="EX220" s="91" t="str">
        <f t="shared" si="7"/>
      </c>
      <c r="EY220" s="91" t="str">
        <f t="shared" si="7"/>
      </c>
      <c r="EZ220" s="91" t="str">
        <f t="shared" si="7"/>
      </c>
      <c r="FA220" s="91" t="str">
        <f ref="FA220:HL220" t="shared" si="8">IF(SUM(FA201:FA219)&lt;&gt;0,SUM(FA201:FA219),"")</f>
      </c>
      <c r="FB220" s="91" t="str">
        <f t="shared" si="8"/>
      </c>
      <c r="FC220" s="91" t="str">
        <f t="shared" si="8"/>
      </c>
      <c r="FD220" s="91" t="str">
        <f t="shared" si="8"/>
      </c>
      <c r="FE220" s="91" t="str">
        <f t="shared" si="8"/>
      </c>
      <c r="FF220" s="91" t="str">
        <f t="shared" si="8"/>
      </c>
      <c r="FG220" s="91" t="str">
        <f t="shared" si="8"/>
      </c>
      <c r="FH220" s="91" t="str">
        <f t="shared" si="8"/>
      </c>
      <c r="FI220" s="91" t="str">
        <f t="shared" si="8"/>
      </c>
      <c r="FJ220" s="91" t="str">
        <f t="shared" si="8"/>
      </c>
      <c r="FK220" s="91" t="str">
        <f t="shared" si="8"/>
      </c>
      <c r="FL220" s="91" t="str">
        <f t="shared" si="8"/>
      </c>
      <c r="FM220" s="91" t="str">
        <f t="shared" si="8"/>
      </c>
      <c r="FN220" s="91" t="str">
        <f t="shared" si="8"/>
      </c>
      <c r="FO220" s="91" t="str">
        <f t="shared" si="8"/>
      </c>
      <c r="FP220" s="91" t="str">
        <f t="shared" si="8"/>
      </c>
      <c r="FQ220" s="91" t="str">
        <f t="shared" si="8"/>
      </c>
      <c r="FR220" s="91" t="str">
        <f t="shared" si="8"/>
      </c>
      <c r="FS220" s="91" t="str">
        <f t="shared" si="8"/>
      </c>
      <c r="FT220" s="91" t="str">
        <f t="shared" si="8"/>
      </c>
      <c r="FU220" s="91" t="str">
        <f t="shared" si="8"/>
      </c>
      <c r="FV220" s="91" t="str">
        <f t="shared" si="8"/>
      </c>
      <c r="FW220" s="91" t="str">
        <f t="shared" si="8"/>
      </c>
      <c r="FX220" s="91" t="str">
        <f t="shared" si="8"/>
      </c>
      <c r="FY220" s="91" t="str">
        <f t="shared" si="8"/>
      </c>
      <c r="FZ220" s="91" t="str">
        <f t="shared" si="8"/>
      </c>
      <c r="GA220" s="91" t="str">
        <f t="shared" si="8"/>
      </c>
      <c r="GB220" s="91" t="str">
        <f t="shared" si="8"/>
      </c>
      <c r="GC220" s="91" t="str">
        <f t="shared" si="8"/>
      </c>
      <c r="GD220" s="91" t="str">
        <f t="shared" si="8"/>
      </c>
      <c r="GE220" s="91" t="str">
        <f t="shared" si="8"/>
      </c>
      <c r="GF220" s="91" t="str">
        <f t="shared" si="8"/>
      </c>
      <c r="GG220" s="91" t="str">
        <f t="shared" si="8"/>
      </c>
      <c r="GH220" s="91" t="str">
        <f t="shared" si="8"/>
      </c>
      <c r="GI220" s="91" t="str">
        <f t="shared" si="8"/>
      </c>
      <c r="GJ220" s="91" t="str">
        <f t="shared" si="8"/>
      </c>
      <c r="GK220" s="91" t="str">
        <f t="shared" si="8"/>
      </c>
      <c r="GL220" s="91" t="str">
        <f t="shared" si="8"/>
      </c>
      <c r="GM220" s="91" t="str">
        <f t="shared" si="8"/>
      </c>
      <c r="GN220" s="91" t="str">
        <f t="shared" si="8"/>
      </c>
      <c r="GO220" s="91" t="str">
        <f t="shared" si="8"/>
      </c>
      <c r="GP220" s="91" t="str">
        <f t="shared" si="8"/>
      </c>
      <c r="GQ220" s="91" t="str">
        <f t="shared" si="8"/>
      </c>
      <c r="GR220" s="91" t="str">
        <f t="shared" si="8"/>
      </c>
      <c r="GS220" s="91" t="str">
        <f t="shared" si="8"/>
      </c>
      <c r="GT220" s="91" t="str">
        <f t="shared" si="8"/>
      </c>
      <c r="GU220" s="91" t="str">
        <f t="shared" si="8"/>
      </c>
      <c r="GV220" s="91" t="str">
        <f t="shared" si="8"/>
      </c>
      <c r="GW220" s="91" t="str">
        <f t="shared" si="8"/>
      </c>
      <c r="GX220" s="91" t="str">
        <f t="shared" si="8"/>
      </c>
      <c r="GY220" s="91" t="str">
        <f t="shared" si="8"/>
      </c>
      <c r="GZ220" s="91" t="str">
        <f t="shared" si="8"/>
      </c>
      <c r="HA220" s="91" t="str">
        <f t="shared" si="8"/>
      </c>
      <c r="HB220" s="91" t="str">
        <f t="shared" si="8"/>
      </c>
      <c r="HC220" s="91" t="str">
        <f t="shared" si="8"/>
      </c>
      <c r="HD220" s="91" t="str">
        <f t="shared" si="8"/>
      </c>
      <c r="HE220" s="91" t="str">
        <f t="shared" si="8"/>
      </c>
      <c r="HF220" s="91" t="str">
        <f t="shared" si="8"/>
      </c>
      <c r="HG220" s="91" t="str">
        <f t="shared" si="8"/>
      </c>
      <c r="HH220" s="91" t="str">
        <f t="shared" si="8"/>
      </c>
      <c r="HI220" s="91" t="str">
        <f t="shared" si="8"/>
      </c>
      <c r="HJ220" s="91" t="str">
        <f t="shared" si="8"/>
      </c>
      <c r="HK220" s="91" t="str">
        <f t="shared" si="8"/>
      </c>
      <c r="HL220" s="91" t="str">
        <f t="shared" si="8"/>
      </c>
      <c r="HM220" s="91" t="str">
        <f ref="HM220:IV220" t="shared" si="9">IF(SUM(HM201:HM219)&lt;&gt;0,SUM(HM201:HM219),"")</f>
      </c>
      <c r="HN220" s="91" t="str">
        <f t="shared" si="9"/>
      </c>
      <c r="HO220" s="91" t="str">
        <f t="shared" si="9"/>
      </c>
      <c r="HP220" s="91" t="str">
        <f t="shared" si="9"/>
      </c>
      <c r="HQ220" s="91" t="str">
        <f t="shared" si="9"/>
      </c>
      <c r="HR220" s="91" t="str">
        <f t="shared" si="9"/>
      </c>
      <c r="HS220" s="91" t="str">
        <f t="shared" si="9"/>
      </c>
      <c r="HT220" s="91" t="str">
        <f t="shared" si="9"/>
      </c>
      <c r="HU220" s="91" t="str">
        <f t="shared" si="9"/>
      </c>
      <c r="HV220" s="91" t="str">
        <f t="shared" si="9"/>
      </c>
      <c r="HW220" s="91" t="str">
        <f t="shared" si="9"/>
      </c>
      <c r="HX220" s="91" t="str">
        <f t="shared" si="9"/>
      </c>
      <c r="HY220" s="91" t="str">
        <f t="shared" si="9"/>
      </c>
      <c r="HZ220" s="91" t="str">
        <f t="shared" si="9"/>
      </c>
      <c r="IA220" s="91" t="str">
        <f t="shared" si="9"/>
      </c>
      <c r="IB220" s="91" t="str">
        <f t="shared" si="9"/>
      </c>
      <c r="IC220" s="91" t="str">
        <f t="shared" si="9"/>
      </c>
      <c r="ID220" s="91" t="str">
        <f t="shared" si="9"/>
      </c>
      <c r="IE220" s="91" t="str">
        <f t="shared" si="9"/>
      </c>
      <c r="IF220" s="91" t="str">
        <f t="shared" si="9"/>
      </c>
      <c r="IG220" s="91" t="str">
        <f t="shared" si="9"/>
      </c>
      <c r="IH220" s="91" t="str">
        <f t="shared" si="9"/>
      </c>
      <c r="II220" s="91" t="str">
        <f t="shared" si="9"/>
      </c>
      <c r="IJ220" s="91" t="str">
        <f t="shared" si="9"/>
      </c>
      <c r="IK220" s="91" t="str">
        <f t="shared" si="9"/>
      </c>
      <c r="IL220" s="91" t="str">
        <f t="shared" si="9"/>
      </c>
      <c r="IM220" s="91" t="str">
        <f t="shared" si="9"/>
      </c>
      <c r="IN220" s="91" t="str">
        <f t="shared" si="9"/>
      </c>
      <c r="IO220" s="91" t="str">
        <f t="shared" si="9"/>
      </c>
      <c r="IP220" s="91" t="str">
        <f t="shared" si="9"/>
      </c>
      <c r="IQ220" s="91" t="str">
        <f t="shared" si="9"/>
      </c>
      <c r="IR220" s="91" t="str">
        <f t="shared" si="9"/>
      </c>
      <c r="IS220" s="91" t="str">
        <f t="shared" si="9"/>
      </c>
      <c r="IT220" s="91" t="str">
        <f t="shared" si="9"/>
      </c>
      <c r="IU220" s="91" t="str">
        <f t="shared" si="9"/>
      </c>
      <c r="IV220" s="91" t="str">
        <f t="shared" si="9"/>
      </c>
    </row>
    <row r="221" hidden="1" ht="13.5">
      <c r="C221" s="218"/>
      <c r="D221" s="218"/>
      <c r="E221" s="218"/>
      <c r="F221" s="218"/>
      <c r="G221" s="218"/>
      <c r="H221" s="218"/>
      <c r="I221" s="218"/>
      <c r="J221" s="218"/>
      <c r="K221" s="218"/>
      <c r="L221" s="217"/>
      <c r="N221" s="217"/>
      <c r="O221" s="217"/>
    </row>
    <row r="222" hidden="1" ht="13.5">
      <c r="A222" s="138"/>
      <c r="B222" s="244"/>
      <c r="C222" s="645" t="s">
        <v>225</v>
      </c>
      <c r="D222" s="646"/>
      <c r="E222" s="646"/>
      <c r="F222" s="646"/>
      <c r="G222" s="646"/>
      <c r="H222" s="646"/>
      <c r="I222" s="646"/>
      <c r="J222" s="646"/>
      <c r="K222" s="646"/>
      <c r="L222" s="646"/>
      <c r="M222" s="646"/>
      <c r="N222" s="646"/>
      <c r="O222" s="646"/>
      <c r="P222" s="646"/>
      <c r="Q222" s="646"/>
      <c r="R222" s="646"/>
      <c r="S222" s="646"/>
      <c r="T222" s="646"/>
      <c r="U222" s="646"/>
      <c r="V222" s="646"/>
      <c r="W222" s="646"/>
      <c r="X222" s="646"/>
      <c r="Y222" s="646"/>
      <c r="Z222" s="646"/>
      <c r="AA222" s="646"/>
      <c r="AB222" s="647"/>
    </row>
    <row r="223" hidden="1" ht="13.5">
      <c r="A223" s="138"/>
      <c r="C223" s="435" t="str">
        <f> IF(C243&lt;&gt;"",TEXT(AUX!G$1,"dd-MMM-aa"),"")</f>
      </c>
      <c r="D223" s="435" t="str">
        <f> IF(D243&lt;&gt;"",TEXT(AUX!H$1,"dd-MMM-aa"),"")</f>
      </c>
      <c r="E223" s="435" t="str">
        <f> IF(E243&lt;&gt;"",TEXT(AUX!I$1,"dd-MMM-aa"),"")</f>
      </c>
      <c r="F223" s="435" t="str">
        <f> IF(F243&lt;&gt;"",TEXT(AUX!J$1,"dd-MMM-aa"),"")</f>
      </c>
      <c r="G223" s="435" t="str">
        <f> IF(G243&lt;&gt;"",TEXT(AUX!K$1,"dd-MMM-aa"),"")</f>
      </c>
      <c r="H223" s="435" t="str">
        <f> IF(H243&lt;&gt;"",TEXT(AUX!L$1,"dd-MMM-aa"),"")</f>
      </c>
      <c r="I223" s="435" t="str">
        <f> IF(I243&lt;&gt;"",TEXT(AUX!M$1,"dd-MMM-aa"),"")</f>
      </c>
      <c r="J223" s="435" t="str">
        <f> IF(J243&lt;&gt;"",TEXT(AUX!N$1,"dd-MMM-aa"),"")</f>
      </c>
      <c r="K223" s="435" t="str">
        <f> IF(K243&lt;&gt;"",TEXT(AUX!O$1,"dd-MMM-aa"),"")</f>
      </c>
      <c r="L223" s="435" t="str">
        <f> IF(L243&lt;&gt;"",TEXT(AUX!P$1,"dd-MMM-aa"),"")</f>
      </c>
      <c r="M223" s="435" t="str">
        <f> IF(M243&lt;&gt;"",TEXT(AUX!Q$1,"dd-MMM-aa"),"")</f>
      </c>
      <c r="N223" s="435" t="str">
        <f> IF(N243&lt;&gt;"",TEXT(AUX!R$1,"dd-MMM-aa"),"")</f>
      </c>
      <c r="O223" s="435" t="str">
        <f> IF(O243&lt;&gt;"",TEXT(AUX!S$1,"dd-MMM-aa"),"")</f>
      </c>
      <c r="P223" s="435" t="str">
        <f> IF(P243&lt;&gt;"",TEXT(AUX!T$1,"dd-MMM-aa"),"")</f>
      </c>
      <c r="Q223" s="435" t="str">
        <f> IF(Q243&lt;&gt;"",TEXT(AUX!U$1,"dd-MMM-aa"),"")</f>
      </c>
      <c r="R223" s="435" t="str">
        <f> IF(R243&lt;&gt;"",TEXT(AUX!V$1,"dd-MMM-aa"),"")</f>
      </c>
      <c r="S223" s="435" t="str">
        <f> IF(S243&lt;&gt;"",TEXT(AUX!W$1,"dd-MMM-aa"),"")</f>
      </c>
      <c r="T223" s="435" t="str">
        <f> IF(T243&lt;&gt;"",TEXT(AUX!X$1,"dd-MMM-aa"),"")</f>
      </c>
      <c r="U223" s="435" t="str">
        <f> IF(U243&lt;&gt;"",TEXT(AUX!Y$1,"dd-MMM-aa"),"")</f>
      </c>
      <c r="V223" s="435" t="str">
        <f> IF(V243&lt;&gt;"",TEXT(AUX!Z$1,"dd-MMM-aa"),"")</f>
      </c>
      <c r="W223" s="435" t="str">
        <f> IF(W243&lt;&gt;"",TEXT(AUX!AA$1,"dd-MMM-aa"),"")</f>
      </c>
      <c r="X223" s="435" t="str">
        <f> IF(X243&lt;&gt;"",TEXT(AUX!AB$1,"dd-MMM-aa"),"")</f>
      </c>
      <c r="Y223" s="435" t="str">
        <f> IF(Y243&lt;&gt;"",TEXT(AUX!AC$1,"dd-MMM-aa"),"")</f>
      </c>
      <c r="Z223" s="435" t="str">
        <f> IF(Z243&lt;&gt;"",TEXT(AUX!AD$1,"dd-MMM-aa"),"")</f>
      </c>
      <c r="AA223" s="435" t="str">
        <f> IF(AA243&lt;&gt;"",TEXT(AUX!AE$1,"dd-MMM-aa"),"")</f>
      </c>
      <c r="AB223" s="497" t="str">
        <f> IF(AB243&lt;&gt;"",TEXT(AUX!AF$1,"dd-MMM-aa"),"")</f>
      </c>
      <c r="AC223" s="496" t="str">
        <f> IF(AC243&lt;&gt;"",TEXT(AUX!AG$1,"dd-MMM-aa"),"")</f>
      </c>
      <c r="AD223" s="496" t="str">
        <f> IF(AD243&lt;&gt;"",TEXT(AUX!AH$1,"dd-MMM-aa"),"")</f>
      </c>
      <c r="AE223" s="496" t="str">
        <f> IF(AE243&lt;&gt;"",TEXT(AUX!AI$1,"dd-MMM-aa"),"")</f>
      </c>
      <c r="AF223" s="496" t="str">
        <f> IF(AF243&lt;&gt;"",TEXT(AUX!AJ$1,"dd-MMM-aa"),"")</f>
      </c>
      <c r="AG223" s="496" t="str">
        <f> IF(AG243&lt;&gt;"",TEXT(AUX!AK$1,"dd-MMM-aa"),"")</f>
      </c>
      <c r="AH223" s="496" t="str">
        <f> IF(AH243&lt;&gt;"",TEXT(AUX!AL$1,"dd-MMM-aa"),"")</f>
      </c>
      <c r="AI223" s="496" t="str">
        <f> IF(AI243&lt;&gt;"",TEXT(AUX!AM$1,"dd-MMM-aa"),"")</f>
      </c>
      <c r="AJ223" s="496" t="str">
        <f> IF(AJ243&lt;&gt;"",TEXT(AUX!AN$1,"dd-MMM-aa"),"")</f>
      </c>
      <c r="AK223" s="496" t="str">
        <f> IF(AK243&lt;&gt;"",TEXT(AUX!AO$1,"dd-MMM-aa"),"")</f>
      </c>
      <c r="AL223" s="496" t="str">
        <f> IF(AL243&lt;&gt;"",TEXT(AUX!AP$1,"dd-MMM-aa"),"")</f>
      </c>
      <c r="AM223" s="496" t="str">
        <f> IF(AM243&lt;&gt;"",TEXT(AUX!AQ$1,"dd-MMM-aa"),"")</f>
      </c>
      <c r="AN223" s="496" t="str">
        <f> IF(AN243&lt;&gt;"",TEXT(AUX!AR$1,"dd-MMM-aa"),"")</f>
      </c>
      <c r="AO223" s="496" t="str">
        <f> IF(AO243&lt;&gt;"",TEXT(AUX!AS$1,"dd-MMM-aa"),"")</f>
      </c>
      <c r="AP223" s="496" t="str">
        <f> IF(AP243&lt;&gt;"",TEXT(AUX!AT$1,"dd-MMM-aa"),"")</f>
      </c>
      <c r="AQ223" s="496" t="str">
        <f> IF(AQ243&lt;&gt;"",TEXT(AUX!AU$1,"dd-MMM-aa"),"")</f>
      </c>
      <c r="AR223" s="496" t="str">
        <f> IF(AR243&lt;&gt;"",TEXT(AUX!AV$1,"dd-MMM-aa"),"")</f>
      </c>
      <c r="AS223" s="496" t="str">
        <f> IF(AS243&lt;&gt;"",TEXT(AUX!AW$1,"dd-MMM-aa"),"")</f>
      </c>
      <c r="AT223" s="496" t="str">
        <f> IF(AT243&lt;&gt;"",TEXT(AUX!AX$1,"dd-MMM-aa"),"")</f>
      </c>
      <c r="AU223" s="496" t="str">
        <f> IF(AU243&lt;&gt;"",TEXT(AUX!AY$1,"dd-MMM-aa"),"")</f>
      </c>
      <c r="AV223" s="496" t="str">
        <f> IF(AV243&lt;&gt;"",TEXT(AUX!AZ$1,"dd-MMM-aa"),"")</f>
      </c>
      <c r="AW223" s="496" t="str">
        <f> IF(AW243&lt;&gt;"",TEXT(AUX!BA$1,"dd-MMM-aa"),"")</f>
      </c>
      <c r="AX223" s="496" t="str">
        <f> IF(AX243&lt;&gt;"",TEXT(AUX!BB$1,"dd-MMM-aa"),"")</f>
      </c>
      <c r="AY223" s="496" t="str">
        <f> IF(AY243&lt;&gt;"",TEXT(AUX!BC$1,"dd-MMM-aa"),"")</f>
      </c>
      <c r="AZ223" s="496" t="str">
        <f> IF(AZ243&lt;&gt;"",TEXT(AUX!BD$1,"dd-MMM-aa"),"")</f>
      </c>
      <c r="BA223" s="496" t="str">
        <f> IF(BA243&lt;&gt;"",TEXT(AUX!BE$1,"dd-MMM-aa"),"")</f>
      </c>
      <c r="BB223" s="496" t="str">
        <f> IF(BB243&lt;&gt;"",TEXT(AUX!BF$1,"dd-MMM-aa"),"")</f>
      </c>
      <c r="BC223" s="496" t="str">
        <f> IF(BC243&lt;&gt;"",TEXT(AUX!BG$1,"dd-MMM-aa"),"")</f>
      </c>
      <c r="BD223" s="496" t="str">
        <f> IF(BD243&lt;&gt;"",TEXT(AUX!BH$1,"dd-MMM-aa"),"")</f>
      </c>
      <c r="BE223" s="496" t="str">
        <f> IF(BE243&lt;&gt;"",TEXT(AUX!BI$1,"dd-MMM-aa"),"")</f>
      </c>
      <c r="BF223" s="496" t="str">
        <f> IF(BF243&lt;&gt;"",TEXT(AUX!BJ$1,"dd-MMM-aa"),"")</f>
      </c>
      <c r="BG223" s="496" t="str">
        <f> IF(BG243&lt;&gt;"",TEXT(AUX!BK$1,"dd-MMM-aa"),"")</f>
      </c>
      <c r="BH223" s="496" t="str">
        <f> IF(BH243&lt;&gt;"",TEXT(AUX!BL$1,"dd-MMM-aa"),"")</f>
      </c>
      <c r="BI223" s="496" t="str">
        <f> IF(BI243&lt;&gt;"",TEXT(AUX!BM$1,"dd-MMM-aa"),"")</f>
      </c>
      <c r="BJ223" s="496" t="str">
        <f> IF(BJ243&lt;&gt;"",TEXT(AUX!BN$1,"dd-MMM-aa"),"")</f>
      </c>
      <c r="BK223" s="496" t="str">
        <f> IF(BK243&lt;&gt;"",TEXT(AUX!BO$1,"dd-MMM-aa"),"")</f>
      </c>
      <c r="BL223" s="496" t="str">
        <f> IF(BL243&lt;&gt;"",TEXT(AUX!BP$1,"dd-MMM-aa"),"")</f>
      </c>
      <c r="BM223" s="496" t="str">
        <f> IF(BM243&lt;&gt;"",TEXT(AUX!BQ$1,"dd-MMM-aa"),"")</f>
      </c>
      <c r="BN223" s="496" t="str">
        <f> IF(BN243&lt;&gt;"",TEXT(AUX!BR$1,"dd-MMM-aa"),"")</f>
      </c>
      <c r="BO223" s="496" t="str">
        <f> IF(BO243&lt;&gt;"",TEXT(AUX!BS$1,"dd-MMM-aa"),"")</f>
      </c>
      <c r="BP223" s="496" t="str">
        <f> IF(BP243&lt;&gt;"",TEXT(AUX!BT$1,"dd-MMM-aa"),"")</f>
      </c>
      <c r="BQ223" s="496" t="str">
        <f> IF(BQ243&lt;&gt;"",TEXT(AUX!BU$1,"dd-MMM-aa"),"")</f>
      </c>
      <c r="BR223" s="496" t="str">
        <f> IF(BR243&lt;&gt;"",TEXT(AUX!BV$1,"dd-MMM-aa"),"")</f>
      </c>
      <c r="BS223" s="496" t="str">
        <f> IF(BS243&lt;&gt;"",TEXT(AUX!BW$1,"dd-MMM-aa"),"")</f>
      </c>
      <c r="BT223" s="496" t="str">
        <f> IF(BT243&lt;&gt;"",TEXT(AUX!BX$1,"dd-MMM-aa"),"")</f>
      </c>
      <c r="BU223" s="496" t="str">
        <f> IF(BU243&lt;&gt;"",TEXT(AUX!BY$1,"dd-MMM-aa"),"")</f>
      </c>
      <c r="BV223" s="496" t="str">
        <f> IF(BV243&lt;&gt;"",TEXT(AUX!BZ$1,"dd-MMM-aa"),"")</f>
      </c>
      <c r="BW223" s="496" t="str">
        <f> IF(BW243&lt;&gt;"",TEXT(AUX!CA$1,"dd-MMM-aa"),"")</f>
      </c>
      <c r="BX223" s="496" t="str">
        <f> IF(BX243&lt;&gt;"",TEXT(AUX!CB$1,"dd-MMM-aa"),"")</f>
      </c>
      <c r="BY223" s="496" t="str">
        <f> IF(BY243&lt;&gt;"",TEXT(AUX!CC$1,"dd-MMM-aa"),"")</f>
      </c>
      <c r="BZ223" s="496" t="str">
        <f> IF(BZ243&lt;&gt;"",TEXT(AUX!CD$1,"dd-MMM-aa"),"")</f>
      </c>
      <c r="CA223" s="496" t="str">
        <f> IF(CA243&lt;&gt;"",TEXT(AUX!CE$1,"dd-MMM-aa"),"")</f>
      </c>
      <c r="CB223" s="496" t="str">
        <f> IF(CB243&lt;&gt;"",TEXT(AUX!CF$1,"dd-MMM-aa"),"")</f>
      </c>
      <c r="CC223" s="496" t="str">
        <f> IF(CC243&lt;&gt;"",TEXT(AUX!CG$1,"dd-MMM-aa"),"")</f>
      </c>
      <c r="CD223" s="496" t="str">
        <f> IF(CD243&lt;&gt;"",TEXT(AUX!CH$1,"dd-MMM-aa"),"")</f>
      </c>
      <c r="CE223" s="496" t="str">
        <f> IF(CE243&lt;&gt;"",TEXT(AUX!CI$1,"dd-MMM-aa"),"")</f>
      </c>
      <c r="CF223" s="496" t="str">
        <f> IF(CF243&lt;&gt;"",TEXT(AUX!CJ$1,"dd-MMM-aa"),"")</f>
      </c>
      <c r="CG223" s="496" t="str">
        <f> IF(CG243&lt;&gt;"",TEXT(AUX!CK$1,"dd-MMM-aa"),"")</f>
      </c>
      <c r="CH223" s="496" t="str">
        <f> IF(CH243&lt;&gt;"",TEXT(AUX!CL$1,"dd-MMM-aa"),"")</f>
      </c>
      <c r="CI223" s="496" t="str">
        <f> IF(CI243&lt;&gt;"",TEXT(AUX!CM$1,"dd-MMM-aa"),"")</f>
      </c>
      <c r="CJ223" s="496" t="str">
        <f> IF(CJ243&lt;&gt;"",TEXT(AUX!CN$1,"dd-MMM-aa"),"")</f>
      </c>
      <c r="CK223" s="496" t="str">
        <f> IF(CK243&lt;&gt;"",TEXT(AUX!CO$1,"dd-MMM-aa"),"")</f>
      </c>
      <c r="CL223" s="496" t="str">
        <f> IF(CL243&lt;&gt;"",TEXT(AUX!CP$1,"dd-MMM-aa"),"")</f>
      </c>
      <c r="CM223" s="496" t="str">
        <f> IF(CM243&lt;&gt;"",TEXT(AUX!CQ$1,"dd-MMM-aa"),"")</f>
      </c>
      <c r="CN223" s="496" t="str">
        <f> IF(CN243&lt;&gt;"",TEXT(AUX!CR$1,"dd-MMM-aa"),"")</f>
      </c>
      <c r="CO223" s="496" t="str">
        <f> IF(CO243&lt;&gt;"",TEXT(AUX!CS$1,"dd-MMM-aa"),"")</f>
      </c>
      <c r="CP223" s="496" t="str">
        <f> IF(CP243&lt;&gt;"",TEXT(AUX!CT$1,"dd-MMM-aa"),"")</f>
      </c>
      <c r="CQ223" s="496" t="str">
        <f> IF(CQ243&lt;&gt;"",TEXT(AUX!CU$1,"dd-MMM-aa"),"")</f>
      </c>
      <c r="CR223" s="496" t="str">
        <f> IF(CR243&lt;&gt;"",TEXT(AUX!CV$1,"dd-MMM-aa"),"")</f>
      </c>
      <c r="CS223" s="496" t="str">
        <f> IF(CS243&lt;&gt;"",TEXT(AUX!CW$1,"dd-MMM-aa"),"")</f>
      </c>
      <c r="CT223" s="496" t="str">
        <f> IF(CT243&lt;&gt;"",TEXT(AUX!CX$1,"dd-MMM-aa"),"")</f>
      </c>
      <c r="CU223" s="496" t="str">
        <f> IF(CU243&lt;&gt;"",TEXT(AUX!CY$1,"dd-MMM-aa"),"")</f>
      </c>
      <c r="CV223" s="496" t="str">
        <f> IF(CV243&lt;&gt;"",TEXT(AUX!CZ$1,"dd-MMM-aa"),"")</f>
      </c>
      <c r="CW223" s="496" t="str">
        <f> IF(CW243&lt;&gt;"",TEXT(AUX!DA$1,"dd-MMM-aa"),"")</f>
      </c>
      <c r="CX223" s="496" t="str">
        <f> IF(CX243&lt;&gt;"",TEXT(AUX!DB$1,"dd-MMM-aa"),"")</f>
      </c>
      <c r="CY223" s="496" t="str">
        <f> IF(CY243&lt;&gt;"",TEXT(AUX!DC$1,"dd-MMM-aa"),"")</f>
      </c>
      <c r="CZ223" s="496" t="str">
        <f> IF(CZ243&lt;&gt;"",TEXT(AUX!DD$1,"dd-MMM-aa"),"")</f>
      </c>
      <c r="DA223" s="496" t="str">
        <f> IF(DA243&lt;&gt;"",TEXT(AUX!DE$1,"dd-MMM-aa"),"")</f>
      </c>
      <c r="DB223" s="496" t="str">
        <f> IF(DB243&lt;&gt;"",TEXT(AUX!DF$1,"dd-MMM-aa"),"")</f>
      </c>
      <c r="DC223" s="496" t="str">
        <f> IF(DC243&lt;&gt;"",TEXT(AUX!DG$1,"dd-MMM-aa"),"")</f>
      </c>
      <c r="DD223" s="496" t="str">
        <f> IF(DD243&lt;&gt;"",TEXT(AUX!DH$1,"dd-MMM-aa"),"")</f>
      </c>
      <c r="DE223" s="496" t="str">
        <f> IF(DE243&lt;&gt;"",TEXT(AUX!DI$1,"dd-MMM-aa"),"")</f>
      </c>
      <c r="DF223" s="496" t="str">
        <f> IF(DF243&lt;&gt;"",TEXT(AUX!DJ$1,"dd-MMM-aa"),"")</f>
      </c>
      <c r="DG223" s="496" t="str">
        <f> IF(DG243&lt;&gt;"",TEXT(AUX!DK$1,"dd-MMM-aa"),"")</f>
      </c>
      <c r="DH223" s="496" t="str">
        <f> IF(DH243&lt;&gt;"",TEXT(AUX!DL$1,"dd-MMM-aa"),"")</f>
      </c>
      <c r="DI223" s="496" t="str">
        <f> IF(DI243&lt;&gt;"",TEXT(AUX!DM$1,"dd-MMM-aa"),"")</f>
      </c>
      <c r="DJ223" s="496" t="str">
        <f> IF(DJ243&lt;&gt;"",TEXT(AUX!DN$1,"dd-MMM-aa"),"")</f>
      </c>
      <c r="DK223" s="496" t="str">
        <f> IF(DK243&lt;&gt;"",TEXT(AUX!DO$1,"dd-MMM-aa"),"")</f>
      </c>
      <c r="DL223" s="496" t="str">
        <f> IF(DL243&lt;&gt;"",TEXT(AUX!DP$1,"dd-MMM-aa"),"")</f>
      </c>
      <c r="DM223" s="496" t="str">
        <f> IF(DM243&lt;&gt;"",TEXT(AUX!DQ$1,"dd-MMM-aa"),"")</f>
      </c>
      <c r="DN223" s="496" t="str">
        <f> IF(DN243&lt;&gt;"",TEXT(AUX!DR$1,"dd-MMM-aa"),"")</f>
      </c>
      <c r="DO223" s="496" t="str">
        <f> IF(DO243&lt;&gt;"",TEXT(AUX!DS$1,"dd-MMM-aa"),"")</f>
      </c>
      <c r="DP223" s="496" t="str">
        <f> IF(DP243&lt;&gt;"",TEXT(AUX!DT$1,"dd-MMM-aa"),"")</f>
      </c>
      <c r="DQ223" s="496" t="str">
        <f> IF(DQ243&lt;&gt;"",TEXT(AUX!DU$1,"dd-MMM-aa"),"")</f>
      </c>
      <c r="DR223" s="496" t="str">
        <f> IF(DR243&lt;&gt;"",TEXT(AUX!DV$1,"dd-MMM-aa"),"")</f>
      </c>
      <c r="DS223" s="496" t="str">
        <f> IF(DS243&lt;&gt;"",TEXT(AUX!DW$1,"dd-MMM-aa"),"")</f>
      </c>
      <c r="DT223" s="496" t="str">
        <f> IF(DT243&lt;&gt;"",TEXT(AUX!DX$1,"dd-MMM-aa"),"")</f>
      </c>
      <c r="DU223" s="496" t="str">
        <f> IF(DU243&lt;&gt;"",TEXT(AUX!DY$1,"dd-MMM-aa"),"")</f>
      </c>
      <c r="DV223" s="496" t="str">
        <f> IF(DV243&lt;&gt;"",TEXT(AUX!DZ$1,"dd-MMM-aa"),"")</f>
      </c>
      <c r="DW223" s="496" t="str">
        <f> IF(DW243&lt;&gt;"",TEXT(AUX!EA$1,"dd-MMM-aa"),"")</f>
      </c>
      <c r="DX223" s="496" t="str">
        <f> IF(DX243&lt;&gt;"",TEXT(AUX!EB$1,"dd-MMM-aa"),"")</f>
      </c>
      <c r="DY223" s="496" t="str">
        <f> IF(DY243&lt;&gt;"",TEXT(AUX!EC$1,"dd-MMM-aa"),"")</f>
      </c>
      <c r="DZ223" s="496" t="str">
        <f> IF(DZ243&lt;&gt;"",TEXT(AUX!ED$1,"dd-MMM-aa"),"")</f>
      </c>
      <c r="EA223" s="496" t="str">
        <f> IF(EA243&lt;&gt;"",TEXT(AUX!EE$1,"dd-MMM-aa"),"")</f>
      </c>
      <c r="EB223" s="496" t="str">
        <f> IF(EB243&lt;&gt;"",TEXT(AUX!EF$1,"dd-MMM-aa"),"")</f>
      </c>
      <c r="EC223" s="496" t="str">
        <f> IF(EC243&lt;&gt;"",TEXT(AUX!EG$1,"dd-MMM-aa"),"")</f>
      </c>
      <c r="ED223" s="496" t="str">
        <f> IF(ED243&lt;&gt;"",TEXT(AUX!EH$1,"dd-MMM-aa"),"")</f>
      </c>
      <c r="EE223" s="496" t="str">
        <f> IF(EE243&lt;&gt;"",TEXT(AUX!EI$1,"dd-MMM-aa"),"")</f>
      </c>
      <c r="EF223" s="496" t="str">
        <f> IF(EF243&lt;&gt;"",TEXT(AUX!EJ$1,"dd-MMM-aa"),"")</f>
      </c>
      <c r="EG223" s="496" t="str">
        <f> IF(EG243&lt;&gt;"",TEXT(AUX!EK$1,"dd-MMM-aa"),"")</f>
      </c>
      <c r="EH223" s="496" t="str">
        <f> IF(EH243&lt;&gt;"",TEXT(AUX!EL$1,"dd-MMM-aa"),"")</f>
      </c>
      <c r="EI223" s="496" t="str">
        <f> IF(EI243&lt;&gt;"",TEXT(AUX!EM$1,"dd-MMM-aa"),"")</f>
      </c>
      <c r="EJ223" s="496" t="str">
        <f> IF(EJ243&lt;&gt;"",TEXT(AUX!EN$1,"dd-MMM-aa"),"")</f>
      </c>
      <c r="EK223" s="496" t="str">
        <f> IF(EK243&lt;&gt;"",TEXT(AUX!EO$1,"dd-MMM-aa"),"")</f>
      </c>
      <c r="EL223" s="496" t="str">
        <f> IF(EL243&lt;&gt;"",TEXT(AUX!EP$1,"dd-MMM-aa"),"")</f>
      </c>
      <c r="EM223" s="496" t="str">
        <f> IF(EM243&lt;&gt;"",TEXT(AUX!EQ$1,"dd-MMM-aa"),"")</f>
      </c>
      <c r="EN223" s="496" t="str">
        <f> IF(EN243&lt;&gt;"",TEXT(AUX!ER$1,"dd-MMM-aa"),"")</f>
      </c>
      <c r="EO223" s="496" t="str">
        <f> IF(EO243&lt;&gt;"",TEXT(AUX!ES$1,"dd-MMM-aa"),"")</f>
      </c>
      <c r="EP223" s="496" t="str">
        <f> IF(EP243&lt;&gt;"",TEXT(AUX!ET$1,"dd-MMM-aa"),"")</f>
      </c>
      <c r="EQ223" s="496" t="str">
        <f> IF(EQ243&lt;&gt;"",TEXT(AUX!EU$1,"dd-MMM-aa"),"")</f>
      </c>
      <c r="ER223" s="496" t="str">
        <f> IF(ER243&lt;&gt;"",TEXT(AUX!EV$1,"dd-MMM-aa"),"")</f>
      </c>
      <c r="ES223" s="496" t="str">
        <f> IF(ES243&lt;&gt;"",TEXT(AUX!EW$1,"dd-MMM-aa"),"")</f>
      </c>
      <c r="ET223" s="496" t="str">
        <f> IF(ET243&lt;&gt;"",TEXT(AUX!EX$1,"dd-MMM-aa"),"")</f>
      </c>
      <c r="EU223" s="496" t="str">
        <f> IF(EU243&lt;&gt;"",TEXT(AUX!EY$1,"dd-MMM-aa"),"")</f>
      </c>
      <c r="EV223" s="496" t="str">
        <f> IF(EV243&lt;&gt;"",TEXT(AUX!EZ$1,"dd-MMM-aa"),"")</f>
      </c>
      <c r="EW223" s="496" t="str">
        <f> IF(EW243&lt;&gt;"",TEXT(AUX!FA$1,"dd-MMM-aa"),"")</f>
      </c>
      <c r="EX223" s="496" t="str">
        <f> IF(EX243&lt;&gt;"",TEXT(AUX!FB$1,"dd-MMM-aa"),"")</f>
      </c>
      <c r="EY223" s="496" t="str">
        <f> IF(EY243&lt;&gt;"",TEXT(AUX!FC$1,"dd-MMM-aa"),"")</f>
      </c>
      <c r="EZ223" s="496" t="str">
        <f> IF(EZ243&lt;&gt;"",TEXT(AUX!FD$1,"dd-MMM-aa"),"")</f>
      </c>
      <c r="FA223" s="496" t="str">
        <f> IF(FA243&lt;&gt;"",TEXT(AUX!FE$1,"dd-MMM-aa"),"")</f>
      </c>
      <c r="FB223" s="496" t="str">
        <f> IF(FB243&lt;&gt;"",TEXT(AUX!FF$1,"dd-MMM-aa"),"")</f>
      </c>
      <c r="FC223" s="496" t="str">
        <f> IF(FC243&lt;&gt;"",TEXT(AUX!FG$1,"dd-MMM-aa"),"")</f>
      </c>
      <c r="FD223" s="496" t="str">
        <f> IF(FD243&lt;&gt;"",TEXT(AUX!FH$1,"dd-MMM-aa"),"")</f>
      </c>
      <c r="FE223" s="496" t="str">
        <f> IF(FE243&lt;&gt;"",TEXT(AUX!FI$1,"dd-MMM-aa"),"")</f>
      </c>
      <c r="FF223" s="496" t="str">
        <f> IF(FF243&lt;&gt;"",TEXT(AUX!FJ$1,"dd-MMM-aa"),"")</f>
      </c>
      <c r="FG223" s="496" t="str">
        <f> IF(FG243&lt;&gt;"",TEXT(AUX!FK$1,"dd-MMM-aa"),"")</f>
      </c>
      <c r="FH223" s="496" t="str">
        <f> IF(FH243&lt;&gt;"",TEXT(AUX!FL$1,"dd-MMM-aa"),"")</f>
      </c>
      <c r="FI223" s="496" t="str">
        <f> IF(FI243&lt;&gt;"",TEXT(AUX!FM$1,"dd-MMM-aa"),"")</f>
      </c>
      <c r="FJ223" s="496" t="str">
        <f> IF(FJ243&lt;&gt;"",TEXT(AUX!FN$1,"dd-MMM-aa"),"")</f>
      </c>
      <c r="FK223" s="496" t="str">
        <f> IF(FK243&lt;&gt;"",TEXT(AUX!FO$1,"dd-MMM-aa"),"")</f>
      </c>
      <c r="FL223" s="496" t="str">
        <f> IF(FL243&lt;&gt;"",TEXT(AUX!FP$1,"dd-MMM-aa"),"")</f>
      </c>
      <c r="FM223" s="496" t="str">
        <f> IF(FM243&lt;&gt;"",TEXT(AUX!FQ$1,"dd-MMM-aa"),"")</f>
      </c>
      <c r="FN223" s="496" t="str">
        <f> IF(FN243&lt;&gt;"",TEXT(AUX!FR$1,"dd-MMM-aa"),"")</f>
      </c>
      <c r="FO223" s="496" t="str">
        <f> IF(FO243&lt;&gt;"",TEXT(AUX!FS$1,"dd-MMM-aa"),"")</f>
      </c>
      <c r="FP223" s="496" t="str">
        <f> IF(FP243&lt;&gt;"",TEXT(AUX!FT$1,"dd-MMM-aa"),"")</f>
      </c>
      <c r="FQ223" s="496" t="str">
        <f> IF(FQ243&lt;&gt;"",TEXT(AUX!FU$1,"dd-MMM-aa"),"")</f>
      </c>
      <c r="FR223" s="496" t="str">
        <f> IF(FR243&lt;&gt;"",TEXT(AUX!FV$1,"dd-MMM-aa"),"")</f>
      </c>
      <c r="FS223" s="496" t="str">
        <f> IF(FS243&lt;&gt;"",TEXT(AUX!FW$1,"dd-MMM-aa"),"")</f>
      </c>
      <c r="FT223" s="496" t="str">
        <f> IF(FT243&lt;&gt;"",TEXT(AUX!FX$1,"dd-MMM-aa"),"")</f>
      </c>
      <c r="FU223" s="496" t="str">
        <f> IF(FU243&lt;&gt;"",TEXT(AUX!FY$1,"dd-MMM-aa"),"")</f>
      </c>
      <c r="FV223" s="496" t="str">
        <f> IF(FV243&lt;&gt;"",TEXT(AUX!FZ$1,"dd-MMM-aa"),"")</f>
      </c>
      <c r="FW223" s="496" t="str">
        <f> IF(FW243&lt;&gt;"",TEXT(AUX!GA$1,"dd-MMM-aa"),"")</f>
      </c>
      <c r="FX223" s="496" t="str">
        <f> IF(FX243&lt;&gt;"",TEXT(AUX!GB$1,"dd-MMM-aa"),"")</f>
      </c>
      <c r="FY223" s="496" t="str">
        <f> IF(FY243&lt;&gt;"",TEXT(AUX!GC$1,"dd-MMM-aa"),"")</f>
      </c>
      <c r="FZ223" s="496" t="str">
        <f> IF(FZ243&lt;&gt;"",TEXT(AUX!GD$1,"dd-MMM-aa"),"")</f>
      </c>
      <c r="GA223" s="496" t="str">
        <f> IF(GA243&lt;&gt;"",TEXT(AUX!GE$1,"dd-MMM-aa"),"")</f>
      </c>
      <c r="GB223" s="496" t="str">
        <f> IF(GB243&lt;&gt;"",TEXT(AUX!GF$1,"dd-MMM-aa"),"")</f>
      </c>
      <c r="GC223" s="496" t="str">
        <f> IF(GC243&lt;&gt;"",TEXT(AUX!GG$1,"dd-MMM-aa"),"")</f>
      </c>
      <c r="GD223" s="496" t="str">
        <f> IF(GD243&lt;&gt;"",TEXT(AUX!GH$1,"dd-MMM-aa"),"")</f>
      </c>
      <c r="GE223" s="496" t="str">
        <f> IF(GE243&lt;&gt;"",TEXT(AUX!GI$1,"dd-MMM-aa"),"")</f>
      </c>
      <c r="GF223" s="496" t="str">
        <f> IF(GF243&lt;&gt;"",TEXT(AUX!GJ$1,"dd-MMM-aa"),"")</f>
      </c>
      <c r="GG223" s="496" t="str">
        <f> IF(GG243&lt;&gt;"",TEXT(AUX!GK$1,"dd-MMM-aa"),"")</f>
      </c>
      <c r="GH223" s="496" t="str">
        <f> IF(GH243&lt;&gt;"",TEXT(AUX!GL$1,"dd-MMM-aa"),"")</f>
      </c>
      <c r="GI223" s="496" t="str">
        <f> IF(GI243&lt;&gt;"",TEXT(AUX!GM$1,"dd-MMM-aa"),"")</f>
      </c>
      <c r="GJ223" s="496" t="str">
        <f> IF(GJ243&lt;&gt;"",TEXT(AUX!GN$1,"dd-MMM-aa"),"")</f>
      </c>
      <c r="GK223" s="496" t="str">
        <f> IF(GK243&lt;&gt;"",TEXT(AUX!GO$1,"dd-MMM-aa"),"")</f>
      </c>
      <c r="GL223" s="496" t="str">
        <f> IF(GL243&lt;&gt;"",TEXT(AUX!GP$1,"dd-MMM-aa"),"")</f>
      </c>
      <c r="GM223" s="496" t="str">
        <f> IF(GM243&lt;&gt;"",TEXT(AUX!GQ$1,"dd-MMM-aa"),"")</f>
      </c>
      <c r="GN223" s="496" t="str">
        <f> IF(GN243&lt;&gt;"",TEXT(AUX!GR$1,"dd-MMM-aa"),"")</f>
      </c>
      <c r="GO223" s="496" t="str">
        <f> IF(GO243&lt;&gt;"",TEXT(AUX!GS$1,"dd-MMM-aa"),"")</f>
      </c>
      <c r="GP223" s="496" t="str">
        <f> IF(GP243&lt;&gt;"",TEXT(AUX!GT$1,"dd-MMM-aa"),"")</f>
      </c>
      <c r="GQ223" s="496" t="str">
        <f> IF(GQ243&lt;&gt;"",TEXT(AUX!GU$1,"dd-MMM-aa"),"")</f>
      </c>
      <c r="GR223" s="496" t="str">
        <f> IF(GR243&lt;&gt;"",TEXT(AUX!GV$1,"dd-MMM-aa"),"")</f>
      </c>
      <c r="GS223" s="496" t="str">
        <f> IF(GS243&lt;&gt;"",TEXT(AUX!GW$1,"dd-MMM-aa"),"")</f>
      </c>
      <c r="GT223" s="496" t="str">
        <f> IF(GT243&lt;&gt;"",TEXT(AUX!GX$1,"dd-MMM-aa"),"")</f>
      </c>
      <c r="GU223" s="496" t="str">
        <f> IF(GU243&lt;&gt;"",TEXT(AUX!GY$1,"dd-MMM-aa"),"")</f>
      </c>
      <c r="GV223" s="496" t="str">
        <f> IF(GV243&lt;&gt;"",TEXT(AUX!GZ$1,"dd-MMM-aa"),"")</f>
      </c>
      <c r="GW223" s="496" t="str">
        <f> IF(GW243&lt;&gt;"",TEXT(AUX!HA$1,"dd-MMM-aa"),"")</f>
      </c>
      <c r="GX223" s="496" t="str">
        <f> IF(GX243&lt;&gt;"",TEXT(AUX!HB$1,"dd-MMM-aa"),"")</f>
      </c>
      <c r="GY223" s="496" t="str">
        <f> IF(GY243&lt;&gt;"",TEXT(AUX!HC$1,"dd-MMM-aa"),"")</f>
      </c>
      <c r="GZ223" s="496" t="str">
        <f> IF(GZ243&lt;&gt;"",TEXT(AUX!HD$1,"dd-MMM-aa"),"")</f>
      </c>
      <c r="HA223" s="496" t="str">
        <f> IF(HA243&lt;&gt;"",TEXT(AUX!HE$1,"dd-MMM-aa"),"")</f>
      </c>
      <c r="HB223" s="496" t="str">
        <f> IF(HB243&lt;&gt;"",TEXT(AUX!HF$1,"dd-MMM-aa"),"")</f>
      </c>
      <c r="HC223" s="496" t="str">
        <f> IF(HC243&lt;&gt;"",TEXT(AUX!HG$1,"dd-MMM-aa"),"")</f>
      </c>
      <c r="HD223" s="496" t="str">
        <f> IF(HD243&lt;&gt;"",TEXT(AUX!HH$1,"dd-MMM-aa"),"")</f>
      </c>
      <c r="HE223" s="496" t="str">
        <f> IF(HE243&lt;&gt;"",TEXT(AUX!HI$1,"dd-MMM-aa"),"")</f>
      </c>
      <c r="HF223" s="496" t="str">
        <f> IF(HF243&lt;&gt;"",TEXT(AUX!HJ$1,"dd-MMM-aa"),"")</f>
      </c>
      <c r="HG223" s="496" t="str">
        <f> IF(HG243&lt;&gt;"",TEXT(AUX!HK$1,"dd-MMM-aa"),"")</f>
      </c>
      <c r="HH223" s="496" t="str">
        <f> IF(HH243&lt;&gt;"",TEXT(AUX!HL$1,"dd-MMM-aa"),"")</f>
      </c>
      <c r="HI223" s="496" t="str">
        <f> IF(HI243&lt;&gt;"",TEXT(AUX!HM$1,"dd-MMM-aa"),"")</f>
      </c>
      <c r="HJ223" s="496" t="str">
        <f> IF(HJ243&lt;&gt;"",TEXT(AUX!HN$1,"dd-MMM-aa"),"")</f>
      </c>
      <c r="HK223" s="496" t="str">
        <f> IF(HK243&lt;&gt;"",TEXT(AUX!HO$1,"dd-MMM-aa"),"")</f>
      </c>
      <c r="HL223" s="496" t="str">
        <f> IF(HL243&lt;&gt;"",TEXT(AUX!HP$1,"dd-MMM-aa"),"")</f>
      </c>
      <c r="HM223" s="496" t="str">
        <f> IF(HM243&lt;&gt;"",TEXT(AUX!HQ$1,"dd-MMM-aa"),"")</f>
      </c>
      <c r="HN223" s="496" t="str">
        <f> IF(HN243&lt;&gt;"",TEXT(AUX!HR$1,"dd-MMM-aa"),"")</f>
      </c>
      <c r="HO223" s="496" t="str">
        <f> IF(HO243&lt;&gt;"",TEXT(AUX!HS$1,"dd-MMM-aa"),"")</f>
      </c>
      <c r="HP223" s="496" t="str">
        <f> IF(HP243&lt;&gt;"",TEXT(AUX!HT$1,"dd-MMM-aa"),"")</f>
      </c>
      <c r="HQ223" s="496" t="str">
        <f> IF(HQ243&lt;&gt;"",TEXT(AUX!HU$1,"dd-MMM-aa"),"")</f>
      </c>
      <c r="HR223" s="496" t="str">
        <f> IF(HR243&lt;&gt;"",TEXT(AUX!HV$1,"dd-MMM-aa"),"")</f>
      </c>
      <c r="HS223" s="496" t="str">
        <f> IF(HS243&lt;&gt;"",TEXT(AUX!HW$1,"dd-MMM-aa"),"")</f>
      </c>
      <c r="HT223" s="496" t="str">
        <f> IF(HT243&lt;&gt;"",TEXT(AUX!HX$1,"dd-MMM-aa"),"")</f>
      </c>
      <c r="HU223" s="496" t="str">
        <f> IF(HU243&lt;&gt;"",TEXT(AUX!HY$1,"dd-MMM-aa"),"")</f>
      </c>
      <c r="HV223" s="496" t="str">
        <f> IF(HV243&lt;&gt;"",TEXT(AUX!HZ$1,"dd-MMM-aa"),"")</f>
      </c>
      <c r="HW223" s="496" t="str">
        <f> IF(HW243&lt;&gt;"",TEXT(AUX!IA$1,"dd-MMM-aa"),"")</f>
      </c>
      <c r="HX223" s="496" t="str">
        <f> IF(HX243&lt;&gt;"",TEXT(AUX!IB$1,"dd-MMM-aa"),"")</f>
      </c>
      <c r="HY223" s="496" t="str">
        <f> IF(HY243&lt;&gt;"",TEXT(AUX!IC$1,"dd-MMM-aa"),"")</f>
      </c>
      <c r="HZ223" s="496" t="str">
        <f> IF(HZ243&lt;&gt;"",TEXT(AUX!ID$1,"dd-MMM-aa"),"")</f>
      </c>
      <c r="IA223" s="496" t="str">
        <f> IF(IA243&lt;&gt;"",TEXT(AUX!IE$1,"dd-MMM-aa"),"")</f>
      </c>
      <c r="IB223" s="496" t="str">
        <f> IF(IB243&lt;&gt;"",TEXT(AUX!IF$1,"dd-MMM-aa"),"")</f>
      </c>
      <c r="IC223" s="496" t="str">
        <f> IF(IC243&lt;&gt;"",TEXT(AUX!IG$1,"dd-MMM-aa"),"")</f>
      </c>
      <c r="ID223" s="496" t="str">
        <f> IF(ID243&lt;&gt;"",TEXT(AUX!IH$1,"dd-MMM-aa"),"")</f>
      </c>
      <c r="IE223" s="496" t="str">
        <f> IF(IE243&lt;&gt;"",TEXT(AUX!II$1,"dd-MMM-aa"),"")</f>
      </c>
      <c r="IF223" s="496" t="str">
        <f> IF(IF243&lt;&gt;"",TEXT(AUX!IJ$1,"dd-MMM-aa"),"")</f>
      </c>
      <c r="IG223" s="496" t="str">
        <f> IF(IG243&lt;&gt;"",TEXT(AUX!IK$1,"dd-MMM-aa"),"")</f>
      </c>
      <c r="IH223" s="496" t="str">
        <f> IF(IH243&lt;&gt;"",TEXT(AUX!IL$1,"dd-MMM-aa"),"")</f>
      </c>
      <c r="II223" s="496" t="str">
        <f> IF(II243&lt;&gt;"",TEXT(AUX!IM$1,"dd-MMM-aa"),"")</f>
      </c>
      <c r="IJ223" s="496" t="str">
        <f> IF(IJ243&lt;&gt;"",TEXT(AUX!IN$1,"dd-MMM-aa"),"")</f>
      </c>
      <c r="IK223" s="496" t="str">
        <f> IF(IK243&lt;&gt;"",TEXT(AUX!IO$1,"dd-MMM-aa"),"")</f>
      </c>
      <c r="IL223" s="496" t="str">
        <f> IF(IL243&lt;&gt;"",TEXT(AUX!IP$1,"dd-MMM-aa"),"")</f>
      </c>
      <c r="IM223" s="496" t="str">
        <f> IF(IM243&lt;&gt;"",TEXT(AUX!IQ$1,"dd-MMM-aa"),"")</f>
      </c>
      <c r="IN223" s="496" t="str">
        <f> IF(IN243&lt;&gt;"",TEXT(AUX!IR$1,"dd-MMM-aa"),"")</f>
      </c>
      <c r="IO223" s="496" t="str">
        <f> IF(IO243&lt;&gt;"",TEXT(AUX!IS$1,"dd-MMM-aa"),"")</f>
      </c>
      <c r="IP223" s="496" t="str">
        <f> IF(IP243&lt;&gt;"",TEXT(AUX!IT$1,"dd-MMM-aa"),"")</f>
      </c>
      <c r="IQ223" s="496" t="str">
        <f> IF(IQ243&lt;&gt;"",TEXT(AUX!IU$1,"dd-MMM-aa"),"")</f>
      </c>
      <c r="IR223" s="496" t="str">
        <f> IF(IR243&lt;&gt;"",TEXT(AUX!IV$1,"dd-MMM-aa"),"")</f>
      </c>
      <c r="IS223" s="496" t="str">
        <f> IF(IS243&lt;&gt;"",TEXT(AUX!#REF!,"dd-MMM-aa"),"")</f>
      </c>
      <c r="IT223" s="496" t="str">
        <f> IF(IT243&lt;&gt;"",TEXT(AUX!#REF!,"dd-MMM-aa"),"")</f>
      </c>
      <c r="IU223" s="496" t="str">
        <f> IF(IU243&lt;&gt;"",TEXT(AUX!#REF!,"dd-MMM-aa"),"")</f>
      </c>
      <c r="IV223" s="496" t="str">
        <f> IF(IV243&lt;&gt;"",TEXT(AUX!#REF!,"dd-MMM-aa"),"")</f>
      </c>
    </row>
    <row r="224" hidden="1">
      <c r="B224" s="822" t="s">
        <v>8</v>
      </c>
      <c r="C224" s="823">
        <v>275751</v>
      </c>
      <c r="D224" s="823">
        <v>264695</v>
      </c>
      <c r="E224" s="823">
        <v>275363</v>
      </c>
      <c r="F224" s="823">
        <v>303105</v>
      </c>
      <c r="G224" s="823">
        <v>298639</v>
      </c>
      <c r="H224" s="823">
        <v>284852</v>
      </c>
      <c r="I224" s="823">
        <v>275889</v>
      </c>
      <c r="J224" s="823">
        <v>267029</v>
      </c>
      <c r="K224" s="823">
        <v>267979</v>
      </c>
      <c r="L224" s="823">
        <v>276478</v>
      </c>
      <c r="M224" s="823">
        <v>239887</v>
      </c>
      <c r="N224" s="823">
        <v>286435</v>
      </c>
      <c r="O224" s="823">
        <v>262906</v>
      </c>
      <c r="P224" s="823">
        <v>241302</v>
      </c>
      <c r="Q224" s="823">
        <v>271377</v>
      </c>
      <c r="R224" s="823">
        <v>285578</v>
      </c>
      <c r="S224" s="823">
        <v>283215</v>
      </c>
      <c r="T224" s="823">
        <v>331324</v>
      </c>
      <c r="U224" s="823">
        <v>343230</v>
      </c>
      <c r="V224" s="823">
        <v>398563</v>
      </c>
      <c r="W224" s="823">
        <v>457788</v>
      </c>
      <c r="X224" s="823">
        <v>458999</v>
      </c>
      <c r="Y224" s="823">
        <v>420133</v>
      </c>
      <c r="Z224" s="823">
        <v>392392</v>
      </c>
      <c r="AA224" s="823">
        <v>453182</v>
      </c>
      <c r="AB224" s="824">
        <v>446186</v>
      </c>
      <c r="AC224" s="825">
        <v>394080</v>
      </c>
      <c r="AD224" s="825">
        <v>454936</v>
      </c>
      <c r="AE224" s="825">
        <v>450950</v>
      </c>
      <c r="AF224" s="825">
        <v>464001</v>
      </c>
      <c r="AG224" s="825">
        <v>520589</v>
      </c>
      <c r="AH224" s="825">
        <v>576317</v>
      </c>
      <c r="AI224" s="825">
        <v>547400</v>
      </c>
      <c r="AJ224" s="825">
        <v>577293</v>
      </c>
      <c r="AK224" s="825">
        <v>613463</v>
      </c>
      <c r="AL224" s="825">
        <v>612759</v>
      </c>
      <c r="AM224" s="825">
        <v>586148</v>
      </c>
      <c r="AN224" s="825">
        <v>599539</v>
      </c>
      <c r="AO224" s="825">
        <v>627047</v>
      </c>
      <c r="AP224" s="825">
        <v>627405</v>
      </c>
    </row>
    <row r="225" hidden="1">
      <c r="B225" s="826" t="s">
        <v>9</v>
      </c>
      <c r="C225" s="827">
        <v>32326</v>
      </c>
      <c r="D225" s="827">
        <v>32326</v>
      </c>
      <c r="E225" s="827">
        <v>32326</v>
      </c>
      <c r="F225" s="827">
        <v>1884620</v>
      </c>
      <c r="G225" s="827">
        <v>3915516</v>
      </c>
      <c r="H225" s="827">
        <v>3915516</v>
      </c>
      <c r="I225" s="827">
        <v>3915516</v>
      </c>
      <c r="J225" s="827">
        <v>958750</v>
      </c>
      <c r="K225" s="827">
        <v>1361191</v>
      </c>
      <c r="L225" s="827">
        <v>1054542</v>
      </c>
      <c r="M225" s="827">
        <v>1047573</v>
      </c>
      <c r="N225" s="827">
        <v>1094701</v>
      </c>
      <c r="O225" s="827">
        <v>1094701</v>
      </c>
      <c r="P225" s="827">
        <v>1689028</v>
      </c>
      <c r="Q225" s="827">
        <v>908120</v>
      </c>
      <c r="R225" s="827">
        <v>868691</v>
      </c>
      <c r="S225" s="827">
        <v>797372</v>
      </c>
      <c r="T225" s="827">
        <v>792323</v>
      </c>
      <c r="U225" s="827">
        <v>707803</v>
      </c>
      <c r="V225" s="827">
        <v>690089</v>
      </c>
      <c r="W225" s="827">
        <v>707683</v>
      </c>
      <c r="X225" s="827">
        <v>382875</v>
      </c>
      <c r="Y225" s="827">
        <v>399601</v>
      </c>
      <c r="Z225" s="827">
        <v>394933</v>
      </c>
      <c r="AA225" s="827">
        <v>270505</v>
      </c>
      <c r="AB225" s="827">
        <v>304736</v>
      </c>
      <c r="AC225" s="828">
        <v>307964</v>
      </c>
      <c r="AD225" s="828">
        <v>294176</v>
      </c>
      <c r="AE225" s="828">
        <v>357338</v>
      </c>
      <c r="AF225" s="828">
        <v>333110</v>
      </c>
      <c r="AG225" s="828">
        <v>360952</v>
      </c>
      <c r="AH225" s="828">
        <v>353064</v>
      </c>
      <c r="AI225" s="828">
        <v>378501</v>
      </c>
      <c r="AJ225" s="828">
        <v>371275</v>
      </c>
      <c r="AK225" s="828">
        <v>485306</v>
      </c>
      <c r="AL225" s="828">
        <v>489078</v>
      </c>
      <c r="AM225" s="828">
        <v>532848</v>
      </c>
      <c r="AN225" s="828">
        <v>490525</v>
      </c>
      <c r="AO225" s="828">
        <v>498862</v>
      </c>
      <c r="AP225" s="828">
        <v>509147</v>
      </c>
    </row>
    <row r="226" hidden="1">
      <c r="B226" s="829" t="s">
        <v>10</v>
      </c>
      <c r="C226" s="823">
        <v>7859</v>
      </c>
      <c r="D226" s="823">
        <v>7802</v>
      </c>
      <c r="E226" s="823">
        <v>4556</v>
      </c>
      <c r="F226" s="823">
        <v>4876</v>
      </c>
      <c r="G226" s="823">
        <v>5484</v>
      </c>
      <c r="H226" s="823">
        <v>3563</v>
      </c>
      <c r="I226" s="823">
        <v>5054</v>
      </c>
      <c r="J226" s="823">
        <v>3252</v>
      </c>
      <c r="K226" s="823">
        <v>2999</v>
      </c>
      <c r="L226" s="823">
        <v>1222</v>
      </c>
      <c r="M226" s="823">
        <v>1975</v>
      </c>
      <c r="N226" s="823">
        <v>879</v>
      </c>
      <c r="O226" s="823">
        <v>2182</v>
      </c>
      <c r="P226" s="823">
        <v>659</v>
      </c>
      <c r="Q226" s="823">
        <v>2078</v>
      </c>
      <c r="R226" s="823">
        <v>1376</v>
      </c>
      <c r="S226" s="823">
        <v>2967</v>
      </c>
      <c r="T226" s="823">
        <v>2010</v>
      </c>
      <c r="U226" s="823">
        <v>2869</v>
      </c>
      <c r="V226" s="823">
        <v>2485</v>
      </c>
      <c r="W226" s="823">
        <v>2619</v>
      </c>
      <c r="X226" s="823">
        <v>2193</v>
      </c>
      <c r="Y226" s="823">
        <v>2677</v>
      </c>
      <c r="Z226" s="823">
        <v>2363</v>
      </c>
      <c r="AA226" s="823">
        <v>2378</v>
      </c>
      <c r="AB226" s="823">
        <v>1667</v>
      </c>
      <c r="AC226" s="825">
        <v>1914</v>
      </c>
      <c r="AD226" s="825">
        <v>1976</v>
      </c>
      <c r="AE226" s="825">
        <v>2575</v>
      </c>
      <c r="AF226" s="825">
        <v>1936</v>
      </c>
      <c r="AG226" s="825">
        <v>2055</v>
      </c>
      <c r="AH226" s="825">
        <v>1904</v>
      </c>
      <c r="AI226" s="825">
        <v>1386</v>
      </c>
      <c r="AJ226" s="825">
        <v>1990</v>
      </c>
      <c r="AK226" s="825">
        <v>1869</v>
      </c>
      <c r="AL226" s="825">
        <v>1775</v>
      </c>
      <c r="AM226" s="825">
        <v>1340</v>
      </c>
      <c r="AN226" s="825">
        <v>1437</v>
      </c>
      <c r="AO226" s="825">
        <v>1497</v>
      </c>
      <c r="AP226" s="825">
        <v>1600</v>
      </c>
    </row>
    <row r="227" hidden="1">
      <c r="B227" s="826" t="s">
        <v>11</v>
      </c>
      <c r="C227" s="827">
        <v>34863</v>
      </c>
      <c r="D227" s="827">
        <v>36349</v>
      </c>
      <c r="E227" s="827">
        <v>36003</v>
      </c>
      <c r="F227" s="827">
        <v>35762</v>
      </c>
      <c r="G227" s="827">
        <v>37489</v>
      </c>
      <c r="H227" s="827">
        <v>31182</v>
      </c>
      <c r="I227" s="827">
        <v>38531</v>
      </c>
      <c r="J227" s="827">
        <v>28009</v>
      </c>
      <c r="K227" s="827">
        <v>37795</v>
      </c>
      <c r="L227" s="827">
        <v>26815</v>
      </c>
      <c r="M227" s="827">
        <v>29666</v>
      </c>
      <c r="N227" s="827">
        <v>22867</v>
      </c>
      <c r="O227" s="827">
        <v>39588</v>
      </c>
      <c r="P227" s="827">
        <v>26721</v>
      </c>
      <c r="Q227" s="827">
        <v>36314</v>
      </c>
      <c r="R227" s="827">
        <v>26001</v>
      </c>
      <c r="S227" s="827">
        <v>42053</v>
      </c>
      <c r="T227" s="827">
        <v>21052</v>
      </c>
      <c r="U227" s="827">
        <v>38935</v>
      </c>
      <c r="V227" s="827">
        <v>21013</v>
      </c>
      <c r="W227" s="827">
        <v>42987</v>
      </c>
      <c r="X227" s="827">
        <v>33862</v>
      </c>
      <c r="Y227" s="827">
        <v>48170</v>
      </c>
      <c r="Z227" s="827">
        <v>24943</v>
      </c>
      <c r="AA227" s="827">
        <v>44294</v>
      </c>
      <c r="AB227" s="827">
        <v>29975</v>
      </c>
      <c r="AC227" s="828">
        <v>36276</v>
      </c>
      <c r="AD227" s="828">
        <v>24968</v>
      </c>
      <c r="AE227" s="828">
        <v>44077</v>
      </c>
      <c r="AF227" s="828">
        <v>29808</v>
      </c>
      <c r="AG227" s="828">
        <v>43531</v>
      </c>
      <c r="AH227" s="828">
        <v>27975</v>
      </c>
      <c r="AI227" s="828">
        <v>32536</v>
      </c>
      <c r="AJ227" s="828">
        <v>21814</v>
      </c>
      <c r="AK227" s="828">
        <v>21087</v>
      </c>
      <c r="AL227" s="828">
        <v>16698</v>
      </c>
      <c r="AM227" s="828">
        <v>25313</v>
      </c>
      <c r="AN227" s="828">
        <v>18105</v>
      </c>
      <c r="AO227" s="828">
        <v>25636</v>
      </c>
      <c r="AP227" s="828">
        <v>24346</v>
      </c>
    </row>
    <row r="228" hidden="1">
      <c r="B228" s="829" t="s">
        <v>12</v>
      </c>
      <c r="C228" s="823">
        <v>15716</v>
      </c>
      <c r="D228" s="823">
        <v>13062</v>
      </c>
      <c r="E228" s="823">
        <v>14544</v>
      </c>
      <c r="F228" s="823">
        <v>15478</v>
      </c>
      <c r="G228" s="823">
        <v>15825</v>
      </c>
      <c r="H228" s="823">
        <v>16291</v>
      </c>
      <c r="I228" s="823">
        <v>16893</v>
      </c>
      <c r="J228" s="823">
        <v>16113</v>
      </c>
      <c r="K228" s="823">
        <v>16722</v>
      </c>
      <c r="L228" s="823">
        <v>18757</v>
      </c>
      <c r="M228" s="823">
        <v>15692</v>
      </c>
      <c r="N228" s="823">
        <v>15480</v>
      </c>
      <c r="O228" s="823">
        <v>15670</v>
      </c>
      <c r="P228" s="823">
        <v>17660</v>
      </c>
      <c r="Q228" s="823">
        <v>14132</v>
      </c>
      <c r="R228" s="823">
        <v>14353</v>
      </c>
      <c r="S228" s="823">
        <v>12170</v>
      </c>
      <c r="T228" s="823">
        <v>13301</v>
      </c>
      <c r="U228" s="823">
        <v>10978</v>
      </c>
      <c r="V228" s="823">
        <v>12339</v>
      </c>
      <c r="W228" s="823">
        <v>13663</v>
      </c>
      <c r="X228" s="823">
        <v>13168</v>
      </c>
      <c r="Y228" s="823">
        <v>11619</v>
      </c>
      <c r="Z228" s="823">
        <v>11546</v>
      </c>
      <c r="AA228" s="823">
        <v>14473</v>
      </c>
      <c r="AB228" s="823">
        <v>13940</v>
      </c>
      <c r="AC228" s="825">
        <v>12800</v>
      </c>
      <c r="AD228" s="825">
        <v>12819</v>
      </c>
      <c r="AE228" s="825">
        <v>12044</v>
      </c>
      <c r="AF228" s="825">
        <v>12043</v>
      </c>
      <c r="AG228" s="825">
        <v>12589</v>
      </c>
      <c r="AH228" s="825">
        <v>12603</v>
      </c>
      <c r="AI228" s="825">
        <v>12478</v>
      </c>
      <c r="AJ228" s="825">
        <v>12426</v>
      </c>
      <c r="AK228" s="825">
        <v>12236</v>
      </c>
      <c r="AL228" s="825">
        <v>12152</v>
      </c>
      <c r="AM228" s="825">
        <v>11654</v>
      </c>
      <c r="AN228" s="825">
        <v>11998</v>
      </c>
      <c r="AO228" s="825">
        <v>12587</v>
      </c>
      <c r="AP228" s="825">
        <v>12543</v>
      </c>
    </row>
    <row r="229" hidden="1">
      <c r="B229" s="826" t="s">
        <v>13</v>
      </c>
      <c r="C229" s="827">
        <v>1904</v>
      </c>
      <c r="D229" s="827">
        <v>2909</v>
      </c>
      <c r="E229" s="827">
        <v>3612</v>
      </c>
      <c r="F229" s="827">
        <v>3659</v>
      </c>
      <c r="G229" s="827">
        <v>3917</v>
      </c>
      <c r="H229" s="827">
        <v>3904</v>
      </c>
      <c r="I229" s="827">
        <v>3111</v>
      </c>
      <c r="J229" s="827">
        <v>3000</v>
      </c>
      <c r="K229" s="827">
        <v>397</v>
      </c>
      <c r="L229" s="827">
        <v>527</v>
      </c>
      <c r="M229" s="827">
        <v>550</v>
      </c>
      <c r="N229" s="827">
        <v>498</v>
      </c>
      <c r="O229" s="827">
        <v>473</v>
      </c>
      <c r="P229" s="827">
        <v>480</v>
      </c>
      <c r="Q229" s="827">
        <v>358</v>
      </c>
      <c r="R229" s="827">
        <v>373</v>
      </c>
      <c r="S229" s="827">
        <v>371</v>
      </c>
      <c r="T229" s="827">
        <v>362</v>
      </c>
      <c r="U229" s="827">
        <v>556</v>
      </c>
      <c r="V229" s="827">
        <v>552</v>
      </c>
      <c r="W229" s="827">
        <v>568</v>
      </c>
      <c r="X229" s="827">
        <v>544</v>
      </c>
      <c r="Y229" s="827">
        <v>451</v>
      </c>
      <c r="Z229" s="827">
        <v>371</v>
      </c>
      <c r="AA229" s="827">
        <v>250</v>
      </c>
      <c r="AB229" s="827">
        <v>256</v>
      </c>
      <c r="AC229" s="828">
        <v>313</v>
      </c>
      <c r="AD229" s="828">
        <v>307</v>
      </c>
      <c r="AE229" s="828">
        <v>341</v>
      </c>
      <c r="AF229" s="828">
        <v>364</v>
      </c>
      <c r="AG229" s="828">
        <v>349</v>
      </c>
      <c r="AH229" s="828">
        <v>265</v>
      </c>
      <c r="AI229" s="828">
        <v>274</v>
      </c>
      <c r="AJ229" s="828">
        <v>212</v>
      </c>
      <c r="AK229" s="828">
        <v>123</v>
      </c>
      <c r="AL229" s="828">
        <v>121</v>
      </c>
      <c r="AM229" s="828">
        <v>108</v>
      </c>
      <c r="AN229" s="828">
        <v>108</v>
      </c>
      <c r="AO229" s="828">
        <v>184</v>
      </c>
      <c r="AP229" s="828">
        <v>204</v>
      </c>
    </row>
    <row r="230" hidden="1">
      <c r="B230" s="829" t="s">
        <v>109</v>
      </c>
      <c r="C230" s="823">
        <v>218257</v>
      </c>
      <c r="D230" s="823">
        <v>224394</v>
      </c>
      <c r="E230" s="823">
        <v>333399</v>
      </c>
      <c r="F230" s="823">
        <v>330651</v>
      </c>
      <c r="G230" s="823">
        <v>279258</v>
      </c>
      <c r="H230" s="823">
        <v>271753</v>
      </c>
      <c r="I230" s="823">
        <v>299358</v>
      </c>
      <c r="J230" s="823">
        <v>295826</v>
      </c>
      <c r="K230" s="823">
        <v>279910</v>
      </c>
      <c r="L230" s="823">
        <v>278510</v>
      </c>
      <c r="M230" s="823">
        <v>401414</v>
      </c>
      <c r="N230" s="823">
        <v>388791</v>
      </c>
      <c r="O230" s="823">
        <v>278838</v>
      </c>
      <c r="P230" s="823">
        <v>275527</v>
      </c>
      <c r="Q230" s="823">
        <v>191932</v>
      </c>
      <c r="R230" s="823">
        <v>192609</v>
      </c>
      <c r="S230" s="823">
        <v>223413</v>
      </c>
      <c r="T230" s="823">
        <v>222544</v>
      </c>
      <c r="U230" s="823">
        <v>281421</v>
      </c>
      <c r="V230" s="823">
        <v>281270</v>
      </c>
      <c r="W230" s="823">
        <v>298937</v>
      </c>
      <c r="X230" s="823">
        <v>294186</v>
      </c>
      <c r="Y230" s="823">
        <v>292276</v>
      </c>
      <c r="Z230" s="823">
        <v>297930</v>
      </c>
      <c r="AA230" s="823">
        <v>330455</v>
      </c>
      <c r="AB230" s="823">
        <v>351876</v>
      </c>
      <c r="AC230" s="825">
        <v>716909</v>
      </c>
      <c r="AD230" s="825">
        <v>724702</v>
      </c>
      <c r="AE230" s="825">
        <v>415425</v>
      </c>
      <c r="AF230" s="825">
        <v>415315</v>
      </c>
      <c r="AG230" s="825">
        <v>365294</v>
      </c>
      <c r="AH230" s="825">
        <v>359218</v>
      </c>
      <c r="AI230" s="825">
        <v>267573</v>
      </c>
      <c r="AJ230" s="825">
        <v>267840</v>
      </c>
      <c r="AK230" s="825">
        <v>264053</v>
      </c>
      <c r="AL230" s="825">
        <v>260755</v>
      </c>
      <c r="AM230" s="825">
        <v>277220</v>
      </c>
      <c r="AN230" s="825">
        <v>277217</v>
      </c>
      <c r="AO230" s="825">
        <v>273181</v>
      </c>
      <c r="AP230" s="825">
        <v>277851</v>
      </c>
    </row>
    <row r="231" hidden="1">
      <c r="B231" s="826" t="s">
        <v>110</v>
      </c>
      <c r="C231" s="827">
        <v>552024</v>
      </c>
      <c r="D231" s="827">
        <v>547156</v>
      </c>
      <c r="E231" s="827">
        <v>599850</v>
      </c>
      <c r="F231" s="827">
        <v>582649</v>
      </c>
      <c r="G231" s="827">
        <v>570592</v>
      </c>
      <c r="H231" s="827">
        <v>548840</v>
      </c>
      <c r="I231" s="827">
        <v>530709</v>
      </c>
      <c r="J231" s="827">
        <v>535963</v>
      </c>
      <c r="K231" s="827">
        <v>501946</v>
      </c>
      <c r="L231" s="827">
        <v>440269</v>
      </c>
      <c r="M231" s="827">
        <v>526465</v>
      </c>
      <c r="N231" s="827">
        <v>499289</v>
      </c>
      <c r="O231" s="827">
        <v>488786</v>
      </c>
      <c r="P231" s="827">
        <v>449819</v>
      </c>
      <c r="Q231" s="827">
        <v>459242</v>
      </c>
      <c r="R231" s="827">
        <v>459333</v>
      </c>
      <c r="S231" s="827">
        <v>467797</v>
      </c>
      <c r="T231" s="827">
        <v>493558</v>
      </c>
      <c r="U231" s="827">
        <v>496733</v>
      </c>
      <c r="V231" s="827">
        <v>497930</v>
      </c>
      <c r="W231" s="827">
        <v>520954</v>
      </c>
      <c r="X231" s="827">
        <v>511704</v>
      </c>
      <c r="Y231" s="827">
        <v>525656</v>
      </c>
      <c r="Z231" s="827">
        <v>489086</v>
      </c>
      <c r="AA231" s="827">
        <v>479441</v>
      </c>
      <c r="AB231" s="827">
        <v>437306</v>
      </c>
      <c r="AC231" s="828">
        <v>452668</v>
      </c>
      <c r="AD231" s="828">
        <v>461412</v>
      </c>
      <c r="AE231" s="828">
        <v>495013</v>
      </c>
      <c r="AF231" s="828">
        <v>469310</v>
      </c>
      <c r="AG231" s="828">
        <v>521850</v>
      </c>
      <c r="AH231" s="828">
        <v>550591</v>
      </c>
      <c r="AI231" s="828">
        <v>548200</v>
      </c>
      <c r="AJ231" s="828">
        <v>596962</v>
      </c>
      <c r="AK231" s="828">
        <v>564386</v>
      </c>
      <c r="AL231" s="828">
        <v>531081</v>
      </c>
      <c r="AM231" s="828">
        <v>551812</v>
      </c>
      <c r="AN231" s="828">
        <v>535377</v>
      </c>
      <c r="AO231" s="828">
        <v>534642</v>
      </c>
      <c r="AP231" s="828">
        <v>508314</v>
      </c>
    </row>
    <row r="232" hidden="1">
      <c r="B232" s="829" t="s">
        <v>16</v>
      </c>
      <c r="C232" s="823">
        <v>1059069</v>
      </c>
      <c r="D232" s="823">
        <v>3655</v>
      </c>
      <c r="E232" s="823">
        <v>15065</v>
      </c>
      <c r="F232" s="823">
        <v>16093</v>
      </c>
      <c r="G232" s="823">
        <v>18326</v>
      </c>
      <c r="H232" s="823">
        <v>18922</v>
      </c>
      <c r="I232" s="823">
        <v>24557</v>
      </c>
      <c r="J232" s="823">
        <v>27127</v>
      </c>
      <c r="K232" s="823">
        <v>33687</v>
      </c>
      <c r="L232" s="823">
        <v>43186</v>
      </c>
      <c r="M232" s="823">
        <v>87291</v>
      </c>
      <c r="N232" s="823">
        <v>92906</v>
      </c>
      <c r="O232" s="823">
        <v>101964</v>
      </c>
      <c r="P232" s="823">
        <v>87141</v>
      </c>
      <c r="Q232" s="823">
        <v>114113</v>
      </c>
      <c r="R232" s="823">
        <v>109428</v>
      </c>
      <c r="S232" s="823">
        <v>120324</v>
      </c>
      <c r="T232" s="823">
        <v>117909</v>
      </c>
      <c r="U232" s="823">
        <v>100409</v>
      </c>
      <c r="V232" s="823">
        <v>101210</v>
      </c>
      <c r="W232" s="823">
        <v>101210</v>
      </c>
      <c r="X232" s="823">
        <v>101210</v>
      </c>
      <c r="Y232" s="823">
        <v>101210</v>
      </c>
      <c r="Z232" s="823">
        <v>101210</v>
      </c>
      <c r="AA232" s="823">
        <v>128704</v>
      </c>
      <c r="AB232" s="823">
        <v>129553</v>
      </c>
      <c r="AC232" s="825">
        <v>117507</v>
      </c>
      <c r="AD232" s="825">
        <v>118777</v>
      </c>
      <c r="AE232" s="825">
        <v>137495</v>
      </c>
      <c r="AF232" s="825">
        <v>110647</v>
      </c>
      <c r="AG232" s="825">
        <v>6058</v>
      </c>
      <c r="AH232" s="825">
        <v>93933</v>
      </c>
      <c r="AI232" s="825">
        <v>105608</v>
      </c>
      <c r="AJ232" s="825">
        <v>108985</v>
      </c>
      <c r="AK232" s="825">
        <v>110223</v>
      </c>
      <c r="AL232" s="825">
        <v>112702</v>
      </c>
      <c r="AM232" s="825">
        <v>110109</v>
      </c>
      <c r="AN232" s="825">
        <v>114670</v>
      </c>
      <c r="AO232" s="825">
        <v>100689</v>
      </c>
      <c r="AP232" s="825">
        <v>96593</v>
      </c>
    </row>
    <row r="233" hidden="1">
      <c r="B233" s="826" t="s">
        <v>17</v>
      </c>
      <c r="C233" s="827">
        <v>426904</v>
      </c>
      <c r="D233" s="827">
        <v>451537</v>
      </c>
      <c r="E233" s="827">
        <v>578439</v>
      </c>
      <c r="F233" s="827">
        <v>657306</v>
      </c>
      <c r="G233" s="827">
        <v>639631</v>
      </c>
      <c r="H233" s="827">
        <v>519484</v>
      </c>
      <c r="I233" s="827">
        <v>461549</v>
      </c>
      <c r="J233" s="827">
        <v>399379</v>
      </c>
      <c r="K233" s="827">
        <v>447073</v>
      </c>
      <c r="L233" s="827">
        <v>439715</v>
      </c>
      <c r="M233" s="827">
        <v>440694</v>
      </c>
      <c r="N233" s="827">
        <v>410427</v>
      </c>
      <c r="O233" s="827">
        <v>409159</v>
      </c>
      <c r="P233" s="827">
        <v>325797</v>
      </c>
      <c r="Q233" s="827">
        <v>331700</v>
      </c>
      <c r="R233" s="827">
        <v>337265</v>
      </c>
      <c r="S233" s="827">
        <v>377863</v>
      </c>
      <c r="T233" s="827">
        <v>381960</v>
      </c>
      <c r="U233" s="827">
        <v>473619</v>
      </c>
      <c r="V233" s="827">
        <v>482339</v>
      </c>
      <c r="W233" s="827">
        <v>530326</v>
      </c>
      <c r="X233" s="827">
        <v>528945</v>
      </c>
      <c r="Y233" s="827">
        <v>577250</v>
      </c>
      <c r="Z233" s="827">
        <v>572905</v>
      </c>
      <c r="AA233" s="827">
        <v>577231</v>
      </c>
      <c r="AB233" s="827">
        <v>567586</v>
      </c>
      <c r="AC233" s="828">
        <v>609898</v>
      </c>
      <c r="AD233" s="828">
        <v>609930</v>
      </c>
      <c r="AE233" s="828">
        <v>642121</v>
      </c>
      <c r="AF233" s="828">
        <v>627464</v>
      </c>
      <c r="AG233" s="828">
        <v>539057</v>
      </c>
      <c r="AH233" s="828">
        <v>537681</v>
      </c>
      <c r="AI233" s="828">
        <v>567632</v>
      </c>
      <c r="AJ233" s="828">
        <v>553744</v>
      </c>
      <c r="AK233" s="828">
        <v>501528</v>
      </c>
      <c r="AL233" s="828">
        <v>504982</v>
      </c>
      <c r="AM233" s="828">
        <v>488641</v>
      </c>
      <c r="AN233" s="828">
        <v>469684</v>
      </c>
      <c r="AO233" s="828">
        <v>542477</v>
      </c>
      <c r="AP233" s="828">
        <v>543403</v>
      </c>
    </row>
    <row r="234" hidden="1">
      <c r="B234" s="829" t="s">
        <v>18</v>
      </c>
      <c r="C234" s="823">
        <v>35595</v>
      </c>
      <c r="D234" s="823">
        <v>65544</v>
      </c>
      <c r="E234" s="823">
        <v>88437</v>
      </c>
      <c r="F234" s="823">
        <v>89256</v>
      </c>
      <c r="G234" s="823">
        <v>154400</v>
      </c>
      <c r="H234" s="823">
        <v>113652</v>
      </c>
      <c r="I234" s="823">
        <v>161045</v>
      </c>
      <c r="J234" s="823">
        <v>116940</v>
      </c>
      <c r="K234" s="823">
        <v>120113</v>
      </c>
      <c r="L234" s="823">
        <v>107325</v>
      </c>
      <c r="M234" s="823">
        <v>131283</v>
      </c>
      <c r="N234" s="823">
        <v>96039</v>
      </c>
      <c r="O234" s="823">
        <v>123553</v>
      </c>
      <c r="P234" s="823">
        <v>111571</v>
      </c>
      <c r="Q234" s="823">
        <v>140862</v>
      </c>
      <c r="R234" s="823">
        <v>125420</v>
      </c>
      <c r="S234" s="823">
        <v>127501</v>
      </c>
      <c r="T234" s="823">
        <v>112171</v>
      </c>
      <c r="U234" s="823">
        <v>125392</v>
      </c>
      <c r="V234" s="823">
        <v>132525</v>
      </c>
      <c r="W234" s="823">
        <v>143753</v>
      </c>
      <c r="X234" s="823">
        <v>124813</v>
      </c>
      <c r="Y234" s="823">
        <v>140946</v>
      </c>
      <c r="Z234" s="823">
        <v>146640</v>
      </c>
      <c r="AA234" s="823">
        <v>167625</v>
      </c>
      <c r="AB234" s="823">
        <v>156784</v>
      </c>
      <c r="AC234" s="825">
        <v>156923</v>
      </c>
      <c r="AD234" s="825">
        <v>163258</v>
      </c>
      <c r="AE234" s="825">
        <v>179176</v>
      </c>
      <c r="AF234" s="825">
        <v>171862</v>
      </c>
      <c r="AG234" s="825">
        <v>215882</v>
      </c>
      <c r="AH234" s="825">
        <v>222094</v>
      </c>
      <c r="AI234" s="825">
        <v>194342</v>
      </c>
      <c r="AJ234" s="825">
        <v>184515</v>
      </c>
      <c r="AK234" s="825">
        <v>176919</v>
      </c>
      <c r="AL234" s="825">
        <v>173029</v>
      </c>
      <c r="AM234" s="825">
        <v>149330</v>
      </c>
      <c r="AN234" s="825">
        <v>154750</v>
      </c>
      <c r="AO234" s="825">
        <v>148788</v>
      </c>
      <c r="AP234" s="825">
        <v>133776</v>
      </c>
    </row>
    <row r="235" hidden="1">
      <c r="B235" s="826" t="s">
        <v>19</v>
      </c>
      <c r="C235" s="827">
        <v>11480</v>
      </c>
      <c r="D235" s="827">
        <v>10976</v>
      </c>
      <c r="E235" s="827">
        <v>12439</v>
      </c>
      <c r="F235" s="827">
        <v>12005</v>
      </c>
      <c r="G235" s="827">
        <v>12707</v>
      </c>
      <c r="H235" s="827">
        <v>12266</v>
      </c>
      <c r="I235" s="827">
        <v>9283</v>
      </c>
      <c r="J235" s="827">
        <v>10476</v>
      </c>
      <c r="K235" s="827">
        <v>9694</v>
      </c>
      <c r="L235" s="827">
        <v>8634</v>
      </c>
      <c r="M235" s="827">
        <v>5443</v>
      </c>
      <c r="N235" s="827">
        <v>6597</v>
      </c>
      <c r="O235" s="827">
        <v>6661</v>
      </c>
      <c r="P235" s="827">
        <v>6561</v>
      </c>
      <c r="Q235" s="827">
        <v>4467</v>
      </c>
      <c r="R235" s="827">
        <v>4494</v>
      </c>
      <c r="S235" s="827">
        <v>3556</v>
      </c>
      <c r="T235" s="827">
        <v>3431</v>
      </c>
      <c r="U235" s="827">
        <v>5282</v>
      </c>
      <c r="V235" s="827">
        <v>5422</v>
      </c>
      <c r="W235" s="827">
        <v>6241</v>
      </c>
      <c r="X235" s="827">
        <v>6296</v>
      </c>
      <c r="Y235" s="827">
        <v>3166</v>
      </c>
      <c r="Z235" s="827">
        <v>3211</v>
      </c>
      <c r="AA235" s="827">
        <v>4065</v>
      </c>
      <c r="AB235" s="827">
        <v>3671</v>
      </c>
      <c r="AC235" s="828">
        <v>2631</v>
      </c>
      <c r="AD235" s="828">
        <v>2681</v>
      </c>
      <c r="AE235" s="828">
        <v>3420</v>
      </c>
      <c r="AF235" s="828">
        <v>5774</v>
      </c>
      <c r="AG235" s="828">
        <v>2639</v>
      </c>
      <c r="AH235" s="828">
        <v>2636</v>
      </c>
      <c r="AI235" s="828">
        <v>4166</v>
      </c>
      <c r="AJ235" s="828">
        <v>5348</v>
      </c>
      <c r="AK235" s="828">
        <v>5041</v>
      </c>
      <c r="AL235" s="828">
        <v>5041</v>
      </c>
      <c r="AM235" s="828">
        <v>5259</v>
      </c>
      <c r="AN235" s="828">
        <v>5271</v>
      </c>
      <c r="AO235" s="828">
        <v>4740</v>
      </c>
      <c r="AP235" s="828">
        <v>4740</v>
      </c>
    </row>
    <row r="236" hidden="1">
      <c r="B236" s="829" t="s">
        <v>20</v>
      </c>
      <c r="C236" s="823">
        <v>1300</v>
      </c>
      <c r="D236" s="823">
        <v>300</v>
      </c>
      <c r="E236" s="823">
        <v>535508</v>
      </c>
      <c r="F236" s="823">
        <v>213539</v>
      </c>
      <c r="G236" s="823">
        <v>208670</v>
      </c>
      <c r="H236" s="823">
        <v>150419</v>
      </c>
      <c r="I236" s="823">
        <v>175060</v>
      </c>
      <c r="J236" s="823">
        <v>141589</v>
      </c>
      <c r="K236" s="823">
        <v>144556</v>
      </c>
      <c r="L236" s="823">
        <v>136488</v>
      </c>
      <c r="M236" s="823">
        <v>172786</v>
      </c>
      <c r="N236" s="823">
        <v>146464</v>
      </c>
      <c r="O236" s="823">
        <v>179386</v>
      </c>
      <c r="P236" s="823">
        <v>157147</v>
      </c>
      <c r="Q236" s="823">
        <v>220704</v>
      </c>
      <c r="R236" s="823">
        <v>190438</v>
      </c>
      <c r="S236" s="823">
        <v>240656</v>
      </c>
      <c r="T236" s="823">
        <v>189763</v>
      </c>
      <c r="U236" s="823">
        <v>287041</v>
      </c>
      <c r="V236" s="823">
        <v>208625</v>
      </c>
      <c r="W236" s="823">
        <v>295468</v>
      </c>
      <c r="X236" s="823">
        <v>243184</v>
      </c>
      <c r="Y236" s="823">
        <v>313747</v>
      </c>
      <c r="Z236" s="823">
        <v>257149</v>
      </c>
      <c r="AA236" s="823">
        <v>214909</v>
      </c>
      <c r="AB236" s="823">
        <v>235125</v>
      </c>
      <c r="AC236" s="825">
        <v>294148</v>
      </c>
      <c r="AD236" s="825">
        <v>262131</v>
      </c>
      <c r="AE236" s="825">
        <v>493325</v>
      </c>
      <c r="AF236" s="825">
        <v>313720</v>
      </c>
      <c r="AG236" s="825">
        <v>291161</v>
      </c>
      <c r="AH236" s="825">
        <v>283052</v>
      </c>
      <c r="AI236" s="825">
        <v>325667</v>
      </c>
      <c r="AJ236" s="825">
        <v>314123</v>
      </c>
      <c r="AK236" s="825">
        <v>240865</v>
      </c>
      <c r="AL236" s="825">
        <v>298871</v>
      </c>
      <c r="AM236" s="825">
        <v>275803</v>
      </c>
      <c r="AN236" s="825">
        <v>323085</v>
      </c>
      <c r="AO236" s="825">
        <v>354840</v>
      </c>
      <c r="AP236" s="825">
        <v>361447</v>
      </c>
    </row>
    <row r="237" hidden="1">
      <c r="B237" s="826" t="s">
        <v>21</v>
      </c>
      <c r="C237" s="827">
        <v>101164</v>
      </c>
      <c r="D237" s="827">
        <v>100386</v>
      </c>
      <c r="E237" s="827">
        <v>83394</v>
      </c>
      <c r="F237" s="827">
        <v>83159</v>
      </c>
      <c r="G237" s="827">
        <v>86773</v>
      </c>
      <c r="H237" s="827">
        <v>85553</v>
      </c>
      <c r="I237" s="827">
        <v>82839</v>
      </c>
      <c r="J237" s="827">
        <v>91507</v>
      </c>
      <c r="K237" s="827">
        <v>88020</v>
      </c>
      <c r="L237" s="827">
        <v>85505</v>
      </c>
      <c r="M237" s="827">
        <v>79496</v>
      </c>
      <c r="N237" s="827">
        <v>76951</v>
      </c>
      <c r="O237" s="827">
        <v>68692</v>
      </c>
      <c r="P237" s="827">
        <v>69447</v>
      </c>
      <c r="Q237" s="827">
        <v>70932</v>
      </c>
      <c r="R237" s="827">
        <v>71624</v>
      </c>
      <c r="S237" s="827">
        <v>77050</v>
      </c>
      <c r="T237" s="827">
        <v>76893</v>
      </c>
      <c r="U237" s="827">
        <v>69250</v>
      </c>
      <c r="V237" s="827">
        <v>69169</v>
      </c>
      <c r="W237" s="827">
        <v>79794</v>
      </c>
      <c r="X237" s="827">
        <v>78464</v>
      </c>
      <c r="Y237" s="827">
        <v>88081</v>
      </c>
      <c r="Z237" s="827">
        <v>88884</v>
      </c>
      <c r="AA237" s="827">
        <v>90948</v>
      </c>
      <c r="AB237" s="827">
        <v>90924</v>
      </c>
      <c r="AC237" s="828">
        <v>101874</v>
      </c>
      <c r="AD237" s="828">
        <v>100803</v>
      </c>
      <c r="AE237" s="828">
        <v>107200</v>
      </c>
      <c r="AF237" s="828">
        <v>107197</v>
      </c>
      <c r="AG237" s="828">
        <v>127828</v>
      </c>
      <c r="AH237" s="828">
        <v>127529</v>
      </c>
      <c r="AI237" s="828">
        <v>114421</v>
      </c>
      <c r="AJ237" s="828">
        <v>113832</v>
      </c>
      <c r="AK237" s="828">
        <v>111832</v>
      </c>
      <c r="AL237" s="828">
        <v>111819</v>
      </c>
      <c r="AM237" s="828">
        <v>89998</v>
      </c>
      <c r="AN237" s="828">
        <v>84390</v>
      </c>
      <c r="AO237" s="828">
        <v>72956</v>
      </c>
      <c r="AP237" s="828">
        <v>72188</v>
      </c>
    </row>
    <row r="238" hidden="1">
      <c r="B238" s="829" t="s">
        <v>22</v>
      </c>
      <c r="C238" s="823">
        <v>5205</v>
      </c>
      <c r="D238" s="823">
        <v>5149</v>
      </c>
      <c r="E238" s="823">
        <v>4252</v>
      </c>
      <c r="F238" s="823">
        <v>4287</v>
      </c>
      <c r="G238" s="823">
        <v>4276</v>
      </c>
      <c r="H238" s="823">
        <v>94157</v>
      </c>
      <c r="I238" s="823">
        <v>94062</v>
      </c>
      <c r="J238" s="823">
        <v>93960</v>
      </c>
      <c r="K238" s="823">
        <v>94369</v>
      </c>
      <c r="L238" s="823">
        <v>93693</v>
      </c>
      <c r="M238" s="823">
        <v>93693</v>
      </c>
      <c r="N238" s="823">
        <v>93693</v>
      </c>
      <c r="O238" s="823">
        <v>93693</v>
      </c>
      <c r="P238" s="823">
        <v>93693</v>
      </c>
      <c r="Q238" s="823">
        <v>93693</v>
      </c>
      <c r="R238" s="823">
        <v>23839</v>
      </c>
      <c r="S238" s="823">
        <v>3075</v>
      </c>
      <c r="T238" s="823">
        <v>3075</v>
      </c>
      <c r="U238" s="823">
        <v>2622</v>
      </c>
      <c r="V238" s="823">
        <v>2621</v>
      </c>
      <c r="W238" s="823">
        <v>2584</v>
      </c>
      <c r="X238" s="823">
        <v>2624</v>
      </c>
      <c r="Y238" s="823">
        <v>3194</v>
      </c>
      <c r="Z238" s="823">
        <v>3194</v>
      </c>
      <c r="AA238" s="823">
        <v>3001</v>
      </c>
      <c r="AB238" s="823">
        <v>3001</v>
      </c>
      <c r="AC238" s="825">
        <v>2525</v>
      </c>
      <c r="AD238" s="825">
        <v>2525</v>
      </c>
      <c r="AE238" s="825">
        <v>2455</v>
      </c>
      <c r="AF238" s="825">
        <v>2446</v>
      </c>
      <c r="AG238" s="825">
        <v>2253</v>
      </c>
      <c r="AH238" s="825">
        <v>2253</v>
      </c>
      <c r="AI238" s="825">
        <v>2777</v>
      </c>
      <c r="AJ238" s="825">
        <v>2777</v>
      </c>
      <c r="AK238" s="825">
        <v>2387</v>
      </c>
      <c r="AL238" s="825">
        <v>2349</v>
      </c>
      <c r="AM238" s="825">
        <v>2582</v>
      </c>
      <c r="AN238" s="825">
        <v>2582</v>
      </c>
      <c r="AO238" s="825">
        <v>1344</v>
      </c>
      <c r="AP238" s="825">
        <v>1544</v>
      </c>
    </row>
    <row r="239" hidden="1">
      <c r="B239" s="826" t="s">
        <v>23</v>
      </c>
      <c r="C239" s="827">
        <v>10316</v>
      </c>
      <c r="D239" s="827">
        <v>10316</v>
      </c>
      <c r="E239" s="827">
        <v>8828</v>
      </c>
      <c r="F239" s="827">
        <v>8628</v>
      </c>
      <c r="G239" s="827">
        <v>7839</v>
      </c>
      <c r="H239" s="827">
        <v>7868</v>
      </c>
      <c r="I239" s="827">
        <v>9139</v>
      </c>
      <c r="J239" s="827">
        <v>9104</v>
      </c>
      <c r="K239" s="827">
        <v>9518</v>
      </c>
      <c r="L239" s="827">
        <v>9208</v>
      </c>
      <c r="M239" s="827">
        <v>8779</v>
      </c>
      <c r="N239" s="827">
        <v>8779</v>
      </c>
      <c r="O239" s="827">
        <v>8786</v>
      </c>
      <c r="P239" s="827">
        <v>5791</v>
      </c>
      <c r="Q239" s="827">
        <v>7743</v>
      </c>
      <c r="R239" s="827">
        <v>3647</v>
      </c>
      <c r="S239" s="827">
        <v>6594</v>
      </c>
      <c r="T239" s="827">
        <v>6682</v>
      </c>
      <c r="U239" s="827">
        <v>8536</v>
      </c>
      <c r="V239" s="827">
        <v>8536</v>
      </c>
      <c r="W239" s="827">
        <v>10645</v>
      </c>
      <c r="X239" s="827">
        <v>10645</v>
      </c>
      <c r="Y239" s="827">
        <v>9950</v>
      </c>
      <c r="Z239" s="827">
        <v>9950</v>
      </c>
      <c r="AA239" s="827">
        <v>10026</v>
      </c>
      <c r="AB239" s="827">
        <v>10026</v>
      </c>
      <c r="AC239" s="828">
        <v>9098</v>
      </c>
      <c r="AD239" s="828">
        <v>9098</v>
      </c>
      <c r="AE239" s="828">
        <v>10193</v>
      </c>
      <c r="AF239" s="828">
        <v>10193</v>
      </c>
      <c r="AG239" s="828">
        <v>9972</v>
      </c>
      <c r="AH239" s="828">
        <v>9972</v>
      </c>
      <c r="AI239" s="828">
        <v>10406</v>
      </c>
      <c r="AJ239" s="828">
        <v>10406</v>
      </c>
      <c r="AK239" s="828">
        <v>10146</v>
      </c>
      <c r="AL239" s="828">
        <v>10146</v>
      </c>
      <c r="AM239" s="828">
        <v>10817</v>
      </c>
      <c r="AN239" s="828">
        <v>10817</v>
      </c>
      <c r="AO239" s="828">
        <v>12160</v>
      </c>
      <c r="AP239" s="828">
        <v>12160</v>
      </c>
    </row>
    <row r="240" hidden="1">
      <c r="B240" s="830" t="s">
        <v>24</v>
      </c>
      <c r="C240" s="823">
        <v>118877</v>
      </c>
      <c r="D240" s="823">
        <v>117522</v>
      </c>
      <c r="E240" s="823">
        <v>127964</v>
      </c>
      <c r="F240" s="823">
        <v>127841</v>
      </c>
      <c r="G240" s="823">
        <v>129164</v>
      </c>
      <c r="H240" s="823">
        <v>129947</v>
      </c>
      <c r="I240" s="823">
        <v>119107</v>
      </c>
      <c r="J240" s="823">
        <v>122160</v>
      </c>
      <c r="K240" s="823">
        <v>125442</v>
      </c>
      <c r="L240" s="823">
        <v>122682</v>
      </c>
      <c r="M240" s="823">
        <v>129709</v>
      </c>
      <c r="N240" s="823">
        <v>128290</v>
      </c>
      <c r="O240" s="823">
        <v>125928</v>
      </c>
      <c r="P240" s="823">
        <v>124416</v>
      </c>
      <c r="Q240" s="823">
        <v>113489</v>
      </c>
      <c r="R240" s="823">
        <v>112762</v>
      </c>
      <c r="S240" s="823">
        <v>130190</v>
      </c>
      <c r="T240" s="823">
        <v>125672</v>
      </c>
      <c r="U240" s="823">
        <v>126298</v>
      </c>
      <c r="V240" s="823">
        <v>126328</v>
      </c>
      <c r="W240" s="823">
        <v>135967</v>
      </c>
      <c r="X240" s="823">
        <v>131560</v>
      </c>
      <c r="Y240" s="823">
        <v>129637</v>
      </c>
      <c r="Z240" s="823">
        <v>128570</v>
      </c>
      <c r="AA240" s="823">
        <v>136131</v>
      </c>
      <c r="AB240" s="823">
        <v>135136</v>
      </c>
      <c r="AC240" s="825">
        <v>139241</v>
      </c>
      <c r="AD240" s="825">
        <v>140474</v>
      </c>
      <c r="AE240" s="825">
        <v>143231</v>
      </c>
      <c r="AF240" s="825">
        <v>142915</v>
      </c>
      <c r="AG240" s="825">
        <v>150229</v>
      </c>
      <c r="AH240" s="825">
        <v>149331</v>
      </c>
      <c r="AI240" s="825">
        <v>132286</v>
      </c>
      <c r="AJ240" s="825">
        <v>126602</v>
      </c>
      <c r="AK240" s="825">
        <v>130297</v>
      </c>
      <c r="AL240" s="825">
        <v>128616</v>
      </c>
      <c r="AM240" s="825">
        <v>124958</v>
      </c>
      <c r="AN240" s="825">
        <v>125123</v>
      </c>
      <c r="AO240" s="825">
        <v>132763</v>
      </c>
      <c r="AP240" s="825">
        <v>129445</v>
      </c>
    </row>
    <row r="241" hidden="1">
      <c r="B241" s="826" t="s">
        <v>25</v>
      </c>
      <c r="C241" s="827">
        <v>0</v>
      </c>
      <c r="D241" s="827">
        <v>0</v>
      </c>
      <c r="E241" s="827">
        <v>0</v>
      </c>
      <c r="F241" s="827">
        <v>0</v>
      </c>
      <c r="G241" s="827">
        <v>0</v>
      </c>
      <c r="H241" s="827">
        <v>0</v>
      </c>
      <c r="I241" s="827">
        <v>0</v>
      </c>
      <c r="J241" s="827">
        <v>0</v>
      </c>
      <c r="K241" s="827">
        <v>0</v>
      </c>
      <c r="L241" s="827">
        <v>0</v>
      </c>
      <c r="M241" s="827">
        <v>0</v>
      </c>
      <c r="N241" s="827">
        <v>0</v>
      </c>
      <c r="O241" s="827">
        <v>0</v>
      </c>
      <c r="P241" s="827">
        <v>0</v>
      </c>
      <c r="Q241" s="827">
        <v>0</v>
      </c>
      <c r="R241" s="827">
        <v>0</v>
      </c>
      <c r="S241" s="827">
        <v>0</v>
      </c>
      <c r="T241" s="827">
        <v>0</v>
      </c>
      <c r="U241" s="827">
        <v>0</v>
      </c>
      <c r="V241" s="827">
        <v>0</v>
      </c>
      <c r="W241" s="827">
        <v>0</v>
      </c>
      <c r="X241" s="827">
        <v>0</v>
      </c>
      <c r="Y241" s="827">
        <v>0</v>
      </c>
      <c r="Z241" s="827">
        <v>0</v>
      </c>
      <c r="AA241" s="827">
        <v>0</v>
      </c>
      <c r="AB241" s="827">
        <v>0</v>
      </c>
      <c r="AC241" s="828">
        <v>0</v>
      </c>
      <c r="AD241" s="828">
        <v>0</v>
      </c>
      <c r="AE241" s="828">
        <v>0</v>
      </c>
      <c r="AF241" s="828">
        <v>0</v>
      </c>
      <c r="AG241" s="828">
        <v>0</v>
      </c>
      <c r="AH241" s="828">
        <v>0</v>
      </c>
      <c r="AI241" s="828">
        <v>0</v>
      </c>
      <c r="AJ241" s="828">
        <v>0</v>
      </c>
      <c r="AK241" s="828">
        <v>0</v>
      </c>
      <c r="AL241" s="828">
        <v>0</v>
      </c>
      <c r="AM241" s="828">
        <v>0</v>
      </c>
      <c r="AN241" s="828">
        <v>0</v>
      </c>
      <c r="AO241" s="828">
        <v>0</v>
      </c>
      <c r="AP241" s="828">
        <v>0</v>
      </c>
    </row>
    <row r="242" hidden="1" ht="13.5">
      <c r="B242" s="831" t="s">
        <v>26</v>
      </c>
      <c r="C242" s="823">
        <v>0</v>
      </c>
      <c r="D242" s="823">
        <v>0</v>
      </c>
      <c r="E242" s="823">
        <v>0</v>
      </c>
      <c r="F242" s="823">
        <v>0</v>
      </c>
      <c r="G242" s="823">
        <v>0</v>
      </c>
      <c r="H242" s="823">
        <v>0</v>
      </c>
      <c r="I242" s="823">
        <v>0</v>
      </c>
      <c r="J242" s="823">
        <v>0</v>
      </c>
      <c r="K242" s="823">
        <v>0</v>
      </c>
      <c r="L242" s="823">
        <v>0</v>
      </c>
      <c r="M242" s="823">
        <v>0</v>
      </c>
      <c r="N242" s="823">
        <v>0</v>
      </c>
      <c r="O242" s="823">
        <v>0</v>
      </c>
      <c r="P242" s="823">
        <v>0</v>
      </c>
      <c r="Q242" s="823">
        <v>0</v>
      </c>
      <c r="R242" s="823">
        <v>0</v>
      </c>
      <c r="S242" s="823">
        <v>0</v>
      </c>
      <c r="T242" s="823">
        <v>0</v>
      </c>
      <c r="U242" s="823">
        <v>0</v>
      </c>
      <c r="V242" s="823">
        <v>0</v>
      </c>
      <c r="W242" s="823">
        <v>0</v>
      </c>
      <c r="X242" s="823">
        <v>0</v>
      </c>
      <c r="Y242" s="823">
        <v>0</v>
      </c>
      <c r="Z242" s="823">
        <v>0</v>
      </c>
      <c r="AA242" s="823">
        <v>0</v>
      </c>
      <c r="AB242" s="832">
        <v>0</v>
      </c>
      <c r="AC242" s="825">
        <v>0</v>
      </c>
      <c r="AD242" s="825">
        <v>0</v>
      </c>
      <c r="AE242" s="825">
        <v>0</v>
      </c>
      <c r="AF242" s="825">
        <v>0</v>
      </c>
      <c r="AG242" s="825">
        <v>0</v>
      </c>
      <c r="AH242" s="825">
        <v>0</v>
      </c>
      <c r="AI242" s="825">
        <v>0</v>
      </c>
      <c r="AJ242" s="825">
        <v>0</v>
      </c>
      <c r="AK242" s="825">
        <v>0</v>
      </c>
      <c r="AL242" s="825">
        <v>0</v>
      </c>
      <c r="AM242" s="825">
        <v>0</v>
      </c>
      <c r="AN242" s="825">
        <v>0</v>
      </c>
      <c r="AO242" s="825">
        <v>0</v>
      </c>
      <c r="AP242" s="825">
        <v>0</v>
      </c>
    </row>
    <row r="243" hidden="1" ht="13.5">
      <c r="B243" s="128" t="s">
        <v>7</v>
      </c>
      <c r="C243" s="129" t="str">
        <f>IF(SUM(C224:C242)&lt;&gt;0,SUM(C224:C242),"")</f>
      </c>
      <c r="D243" s="129" t="str">
        <f ref="D243:AA243" t="shared" si="10">IF(SUM(D224:D242)&lt;&gt;0,SUM(D224:D242),"")</f>
      </c>
      <c r="E243" s="129" t="str">
        <f t="shared" si="10"/>
      </c>
      <c r="F243" s="129" t="str">
        <f t="shared" si="10"/>
      </c>
      <c r="G243" s="129" t="str">
        <f t="shared" si="10"/>
      </c>
      <c r="H243" s="129" t="str">
        <f t="shared" si="10"/>
      </c>
      <c r="I243" s="129" t="str">
        <f t="shared" si="10"/>
      </c>
      <c r="J243" s="129" t="str">
        <f t="shared" si="10"/>
      </c>
      <c r="K243" s="129" t="str">
        <f t="shared" si="10"/>
      </c>
      <c r="L243" s="129" t="str">
        <f t="shared" si="10"/>
      </c>
      <c r="M243" s="129" t="str">
        <f t="shared" si="10"/>
      </c>
      <c r="N243" s="129" t="str">
        <f t="shared" si="10"/>
      </c>
      <c r="O243" s="129" t="str">
        <f t="shared" si="10"/>
      </c>
      <c r="P243" s="129" t="str">
        <f t="shared" si="10"/>
      </c>
      <c r="Q243" s="129" t="str">
        <f t="shared" si="10"/>
      </c>
      <c r="R243" s="129" t="str">
        <f t="shared" si="10"/>
      </c>
      <c r="S243" s="129" t="str">
        <f t="shared" si="10"/>
      </c>
      <c r="T243" s="129" t="str">
        <f t="shared" si="10"/>
      </c>
      <c r="U243" s="129" t="str">
        <f t="shared" si="10"/>
      </c>
      <c r="V243" s="129" t="str">
        <f t="shared" si="10"/>
      </c>
      <c r="W243" s="129" t="str">
        <f t="shared" si="10"/>
      </c>
      <c r="X243" s="129" t="str">
        <f t="shared" si="10"/>
      </c>
      <c r="Y243" s="129" t="str">
        <f t="shared" si="10"/>
      </c>
      <c r="Z243" s="129" t="str">
        <f t="shared" si="10"/>
      </c>
      <c r="AA243" s="129" t="str">
        <f t="shared" si="10"/>
      </c>
      <c r="AB243" s="130" t="str">
        <f>IF(SUM(AB224:AB242)&lt;&gt;0,SUM(AB224:AB242),"")</f>
      </c>
      <c r="AC243" s="91" t="str">
        <f ref="AC243:CN243" t="shared" si="11">IF(SUM(AC224:AC242)&lt;&gt;0,SUM(AC224:AC242),"")</f>
      </c>
      <c r="AD243" s="91" t="str">
        <f t="shared" si="11"/>
      </c>
      <c r="AE243" s="91" t="str">
        <f t="shared" si="11"/>
      </c>
      <c r="AF243" s="91" t="str">
        <f t="shared" si="11"/>
      </c>
      <c r="AG243" s="91" t="str">
        <f t="shared" si="11"/>
      </c>
      <c r="AH243" s="91" t="str">
        <f t="shared" si="11"/>
      </c>
      <c r="AI243" s="91" t="str">
        <f t="shared" si="11"/>
      </c>
      <c r="AJ243" s="91" t="str">
        <f t="shared" si="11"/>
      </c>
      <c r="AK243" s="91" t="str">
        <f t="shared" si="11"/>
      </c>
      <c r="AL243" s="91" t="str">
        <f t="shared" si="11"/>
      </c>
      <c r="AM243" s="91" t="str">
        <f t="shared" si="11"/>
      </c>
      <c r="AN243" s="91" t="str">
        <f t="shared" si="11"/>
      </c>
      <c r="AO243" s="91" t="str">
        <f t="shared" si="11"/>
      </c>
      <c r="AP243" s="91" t="str">
        <f t="shared" si="11"/>
      </c>
      <c r="AQ243" s="91" t="str">
        <f t="shared" si="11"/>
      </c>
      <c r="AR243" s="91" t="str">
        <f t="shared" si="11"/>
      </c>
      <c r="AS243" s="91" t="str">
        <f t="shared" si="11"/>
      </c>
      <c r="AT243" s="91" t="str">
        <f t="shared" si="11"/>
      </c>
      <c r="AU243" s="91" t="str">
        <f t="shared" si="11"/>
      </c>
      <c r="AV243" s="91" t="str">
        <f t="shared" si="11"/>
      </c>
      <c r="AW243" s="91" t="str">
        <f t="shared" si="11"/>
      </c>
      <c r="AX243" s="91" t="str">
        <f t="shared" si="11"/>
      </c>
      <c r="AY243" s="91" t="str">
        <f t="shared" si="11"/>
      </c>
      <c r="AZ243" s="91" t="str">
        <f t="shared" si="11"/>
      </c>
      <c r="BA243" s="91" t="str">
        <f t="shared" si="11"/>
      </c>
      <c r="BB243" s="91" t="str">
        <f t="shared" si="11"/>
      </c>
      <c r="BC243" s="91" t="str">
        <f t="shared" si="11"/>
      </c>
      <c r="BD243" s="91" t="str">
        <f t="shared" si="11"/>
      </c>
      <c r="BE243" s="91" t="str">
        <f t="shared" si="11"/>
      </c>
      <c r="BF243" s="91" t="str">
        <f t="shared" si="11"/>
      </c>
      <c r="BG243" s="91" t="str">
        <f t="shared" si="11"/>
      </c>
      <c r="BH243" s="91" t="str">
        <f t="shared" si="11"/>
      </c>
      <c r="BI243" s="91" t="str">
        <f t="shared" si="11"/>
      </c>
      <c r="BJ243" s="91" t="str">
        <f t="shared" si="11"/>
      </c>
      <c r="BK243" s="91" t="str">
        <f t="shared" si="11"/>
      </c>
      <c r="BL243" s="91" t="str">
        <f t="shared" si="11"/>
      </c>
      <c r="BM243" s="91" t="str">
        <f t="shared" si="11"/>
      </c>
      <c r="BN243" s="91" t="str">
        <f t="shared" si="11"/>
      </c>
      <c r="BO243" s="91" t="str">
        <f t="shared" si="11"/>
      </c>
      <c r="BP243" s="91" t="str">
        <f t="shared" si="11"/>
      </c>
      <c r="BQ243" s="91" t="str">
        <f t="shared" si="11"/>
      </c>
      <c r="BR243" s="91" t="str">
        <f t="shared" si="11"/>
      </c>
      <c r="BS243" s="91" t="str">
        <f t="shared" si="11"/>
      </c>
      <c r="BT243" s="91" t="str">
        <f t="shared" si="11"/>
      </c>
      <c r="BU243" s="91" t="str">
        <f t="shared" si="11"/>
      </c>
      <c r="BV243" s="91" t="str">
        <f t="shared" si="11"/>
      </c>
      <c r="BW243" s="91" t="str">
        <f t="shared" si="11"/>
      </c>
      <c r="BX243" s="91" t="str">
        <f t="shared" si="11"/>
      </c>
      <c r="BY243" s="91" t="str">
        <f t="shared" si="11"/>
      </c>
      <c r="BZ243" s="91" t="str">
        <f t="shared" si="11"/>
      </c>
      <c r="CA243" s="91" t="str">
        <f t="shared" si="11"/>
      </c>
      <c r="CB243" s="91" t="str">
        <f t="shared" si="11"/>
      </c>
      <c r="CC243" s="91" t="str">
        <f t="shared" si="11"/>
      </c>
      <c r="CD243" s="91" t="str">
        <f t="shared" si="11"/>
      </c>
      <c r="CE243" s="91" t="str">
        <f t="shared" si="11"/>
      </c>
      <c r="CF243" s="91" t="str">
        <f t="shared" si="11"/>
      </c>
      <c r="CG243" s="91" t="str">
        <f t="shared" si="11"/>
      </c>
      <c r="CH243" s="91" t="str">
        <f t="shared" si="11"/>
      </c>
      <c r="CI243" s="91" t="str">
        <f t="shared" si="11"/>
      </c>
      <c r="CJ243" s="91" t="str">
        <f t="shared" si="11"/>
      </c>
      <c r="CK243" s="91" t="str">
        <f t="shared" si="11"/>
      </c>
      <c r="CL243" s="91" t="str">
        <f t="shared" si="11"/>
      </c>
      <c r="CM243" s="91" t="str">
        <f t="shared" si="11"/>
      </c>
      <c r="CN243" s="91" t="str">
        <f t="shared" si="11"/>
      </c>
      <c r="CO243" s="91" t="str">
        <f ref="CO243:EZ243" t="shared" si="12">IF(SUM(CO224:CO242)&lt;&gt;0,SUM(CO224:CO242),"")</f>
      </c>
      <c r="CP243" s="91" t="str">
        <f t="shared" si="12"/>
      </c>
      <c r="CQ243" s="91" t="str">
        <f t="shared" si="12"/>
      </c>
      <c r="CR243" s="91" t="str">
        <f t="shared" si="12"/>
      </c>
      <c r="CS243" s="91" t="str">
        <f t="shared" si="12"/>
      </c>
      <c r="CT243" s="91" t="str">
        <f t="shared" si="12"/>
      </c>
      <c r="CU243" s="91" t="str">
        <f t="shared" si="12"/>
      </c>
      <c r="CV243" s="91" t="str">
        <f t="shared" si="12"/>
      </c>
      <c r="CW243" s="91" t="str">
        <f t="shared" si="12"/>
      </c>
      <c r="CX243" s="91" t="str">
        <f t="shared" si="12"/>
      </c>
      <c r="CY243" s="91" t="str">
        <f t="shared" si="12"/>
      </c>
      <c r="CZ243" s="91" t="str">
        <f t="shared" si="12"/>
      </c>
      <c r="DA243" s="91" t="str">
        <f t="shared" si="12"/>
      </c>
      <c r="DB243" s="91" t="str">
        <f t="shared" si="12"/>
      </c>
      <c r="DC243" s="91" t="str">
        <f t="shared" si="12"/>
      </c>
      <c r="DD243" s="91" t="str">
        <f t="shared" si="12"/>
      </c>
      <c r="DE243" s="91" t="str">
        <f t="shared" si="12"/>
      </c>
      <c r="DF243" s="91" t="str">
        <f t="shared" si="12"/>
      </c>
      <c r="DG243" s="91" t="str">
        <f t="shared" si="12"/>
      </c>
      <c r="DH243" s="91" t="str">
        <f t="shared" si="12"/>
      </c>
      <c r="DI243" s="91" t="str">
        <f t="shared" si="12"/>
      </c>
      <c r="DJ243" s="91" t="str">
        <f t="shared" si="12"/>
      </c>
      <c r="DK243" s="91" t="str">
        <f t="shared" si="12"/>
      </c>
      <c r="DL243" s="91" t="str">
        <f t="shared" si="12"/>
      </c>
      <c r="DM243" s="91" t="str">
        <f t="shared" si="12"/>
      </c>
      <c r="DN243" s="91" t="str">
        <f t="shared" si="12"/>
      </c>
      <c r="DO243" s="91" t="str">
        <f t="shared" si="12"/>
      </c>
      <c r="DP243" s="91" t="str">
        <f t="shared" si="12"/>
      </c>
      <c r="DQ243" s="91" t="str">
        <f t="shared" si="12"/>
      </c>
      <c r="DR243" s="91" t="str">
        <f t="shared" si="12"/>
      </c>
      <c r="DS243" s="91" t="str">
        <f t="shared" si="12"/>
      </c>
      <c r="DT243" s="91" t="str">
        <f t="shared" si="12"/>
      </c>
      <c r="DU243" s="91" t="str">
        <f t="shared" si="12"/>
      </c>
      <c r="DV243" s="91" t="str">
        <f t="shared" si="12"/>
      </c>
      <c r="DW243" s="91" t="str">
        <f t="shared" si="12"/>
      </c>
      <c r="DX243" s="91" t="str">
        <f t="shared" si="12"/>
      </c>
      <c r="DY243" s="91" t="str">
        <f t="shared" si="12"/>
      </c>
      <c r="DZ243" s="91" t="str">
        <f t="shared" si="12"/>
      </c>
      <c r="EA243" s="91" t="str">
        <f t="shared" si="12"/>
      </c>
      <c r="EB243" s="91" t="str">
        <f t="shared" si="12"/>
      </c>
      <c r="EC243" s="91" t="str">
        <f t="shared" si="12"/>
      </c>
      <c r="ED243" s="91" t="str">
        <f t="shared" si="12"/>
      </c>
      <c r="EE243" s="91" t="str">
        <f t="shared" si="12"/>
      </c>
      <c r="EF243" s="91" t="str">
        <f t="shared" si="12"/>
      </c>
      <c r="EG243" s="91" t="str">
        <f t="shared" si="12"/>
      </c>
      <c r="EH243" s="91" t="str">
        <f t="shared" si="12"/>
      </c>
      <c r="EI243" s="91" t="str">
        <f t="shared" si="12"/>
      </c>
      <c r="EJ243" s="91" t="str">
        <f t="shared" si="12"/>
      </c>
      <c r="EK243" s="91" t="str">
        <f t="shared" si="12"/>
      </c>
      <c r="EL243" s="91" t="str">
        <f t="shared" si="12"/>
      </c>
      <c r="EM243" s="91" t="str">
        <f t="shared" si="12"/>
      </c>
      <c r="EN243" s="91" t="str">
        <f t="shared" si="12"/>
      </c>
      <c r="EO243" s="91" t="str">
        <f t="shared" si="12"/>
      </c>
      <c r="EP243" s="91" t="str">
        <f t="shared" si="12"/>
      </c>
      <c r="EQ243" s="91" t="str">
        <f t="shared" si="12"/>
      </c>
      <c r="ER243" s="91" t="str">
        <f t="shared" si="12"/>
      </c>
      <c r="ES243" s="91" t="str">
        <f t="shared" si="12"/>
      </c>
      <c r="ET243" s="91" t="str">
        <f t="shared" si="12"/>
      </c>
      <c r="EU243" s="91" t="str">
        <f t="shared" si="12"/>
      </c>
      <c r="EV243" s="91" t="str">
        <f t="shared" si="12"/>
      </c>
      <c r="EW243" s="91" t="str">
        <f t="shared" si="12"/>
      </c>
      <c r="EX243" s="91" t="str">
        <f t="shared" si="12"/>
      </c>
      <c r="EY243" s="91" t="str">
        <f t="shared" si="12"/>
      </c>
      <c r="EZ243" s="91" t="str">
        <f t="shared" si="12"/>
      </c>
      <c r="FA243" s="91" t="str">
        <f ref="FA243:HL243" t="shared" si="13">IF(SUM(FA224:FA242)&lt;&gt;0,SUM(FA224:FA242),"")</f>
      </c>
      <c r="FB243" s="91" t="str">
        <f t="shared" si="13"/>
      </c>
      <c r="FC243" s="91" t="str">
        <f t="shared" si="13"/>
      </c>
      <c r="FD243" s="91" t="str">
        <f t="shared" si="13"/>
      </c>
      <c r="FE243" s="91" t="str">
        <f t="shared" si="13"/>
      </c>
      <c r="FF243" s="91" t="str">
        <f t="shared" si="13"/>
      </c>
      <c r="FG243" s="91" t="str">
        <f t="shared" si="13"/>
      </c>
      <c r="FH243" s="91" t="str">
        <f t="shared" si="13"/>
      </c>
      <c r="FI243" s="91" t="str">
        <f t="shared" si="13"/>
      </c>
      <c r="FJ243" s="91" t="str">
        <f t="shared" si="13"/>
      </c>
      <c r="FK243" s="91" t="str">
        <f t="shared" si="13"/>
      </c>
      <c r="FL243" s="91" t="str">
        <f t="shared" si="13"/>
      </c>
      <c r="FM243" s="91" t="str">
        <f t="shared" si="13"/>
      </c>
      <c r="FN243" s="91" t="str">
        <f t="shared" si="13"/>
      </c>
      <c r="FO243" s="91" t="str">
        <f t="shared" si="13"/>
      </c>
      <c r="FP243" s="91" t="str">
        <f t="shared" si="13"/>
      </c>
      <c r="FQ243" s="91" t="str">
        <f t="shared" si="13"/>
      </c>
      <c r="FR243" s="91" t="str">
        <f t="shared" si="13"/>
      </c>
      <c r="FS243" s="91" t="str">
        <f t="shared" si="13"/>
      </c>
      <c r="FT243" s="91" t="str">
        <f t="shared" si="13"/>
      </c>
      <c r="FU243" s="91" t="str">
        <f t="shared" si="13"/>
      </c>
      <c r="FV243" s="91" t="str">
        <f t="shared" si="13"/>
      </c>
      <c r="FW243" s="91" t="str">
        <f t="shared" si="13"/>
      </c>
      <c r="FX243" s="91" t="str">
        <f t="shared" si="13"/>
      </c>
      <c r="FY243" s="91" t="str">
        <f t="shared" si="13"/>
      </c>
      <c r="FZ243" s="91" t="str">
        <f t="shared" si="13"/>
      </c>
      <c r="GA243" s="91" t="str">
        <f t="shared" si="13"/>
      </c>
      <c r="GB243" s="91" t="str">
        <f t="shared" si="13"/>
      </c>
      <c r="GC243" s="91" t="str">
        <f t="shared" si="13"/>
      </c>
      <c r="GD243" s="91" t="str">
        <f t="shared" si="13"/>
      </c>
      <c r="GE243" s="91" t="str">
        <f t="shared" si="13"/>
      </c>
      <c r="GF243" s="91" t="str">
        <f t="shared" si="13"/>
      </c>
      <c r="GG243" s="91" t="str">
        <f t="shared" si="13"/>
      </c>
      <c r="GH243" s="91" t="str">
        <f t="shared" si="13"/>
      </c>
      <c r="GI243" s="91" t="str">
        <f t="shared" si="13"/>
      </c>
      <c r="GJ243" s="91" t="str">
        <f t="shared" si="13"/>
      </c>
      <c r="GK243" s="91" t="str">
        <f t="shared" si="13"/>
      </c>
      <c r="GL243" s="91" t="str">
        <f t="shared" si="13"/>
      </c>
      <c r="GM243" s="91" t="str">
        <f t="shared" si="13"/>
      </c>
      <c r="GN243" s="91" t="str">
        <f t="shared" si="13"/>
      </c>
      <c r="GO243" s="91" t="str">
        <f t="shared" si="13"/>
      </c>
      <c r="GP243" s="91" t="str">
        <f t="shared" si="13"/>
      </c>
      <c r="GQ243" s="91" t="str">
        <f t="shared" si="13"/>
      </c>
      <c r="GR243" s="91" t="str">
        <f t="shared" si="13"/>
      </c>
      <c r="GS243" s="91" t="str">
        <f t="shared" si="13"/>
      </c>
      <c r="GT243" s="91" t="str">
        <f t="shared" si="13"/>
      </c>
      <c r="GU243" s="91" t="str">
        <f t="shared" si="13"/>
      </c>
      <c r="GV243" s="91" t="str">
        <f t="shared" si="13"/>
      </c>
      <c r="GW243" s="91" t="str">
        <f t="shared" si="13"/>
      </c>
      <c r="GX243" s="91" t="str">
        <f t="shared" si="13"/>
      </c>
      <c r="GY243" s="91" t="str">
        <f t="shared" si="13"/>
      </c>
      <c r="GZ243" s="91" t="str">
        <f t="shared" si="13"/>
      </c>
      <c r="HA243" s="91" t="str">
        <f t="shared" si="13"/>
      </c>
      <c r="HB243" s="91" t="str">
        <f t="shared" si="13"/>
      </c>
      <c r="HC243" s="91" t="str">
        <f t="shared" si="13"/>
      </c>
      <c r="HD243" s="91" t="str">
        <f t="shared" si="13"/>
      </c>
      <c r="HE243" s="91" t="str">
        <f t="shared" si="13"/>
      </c>
      <c r="HF243" s="91" t="str">
        <f t="shared" si="13"/>
      </c>
      <c r="HG243" s="91" t="str">
        <f t="shared" si="13"/>
      </c>
      <c r="HH243" s="91" t="str">
        <f t="shared" si="13"/>
      </c>
      <c r="HI243" s="91" t="str">
        <f t="shared" si="13"/>
      </c>
      <c r="HJ243" s="91" t="str">
        <f t="shared" si="13"/>
      </c>
      <c r="HK243" s="91" t="str">
        <f t="shared" si="13"/>
      </c>
      <c r="HL243" s="91" t="str">
        <f t="shared" si="13"/>
      </c>
      <c r="HM243" s="91" t="str">
        <f ref="HM243:IV243" t="shared" si="14">IF(SUM(HM224:HM242)&lt;&gt;0,SUM(HM224:HM242),"")</f>
      </c>
      <c r="HN243" s="91" t="str">
        <f t="shared" si="14"/>
      </c>
      <c r="HO243" s="91" t="str">
        <f t="shared" si="14"/>
      </c>
      <c r="HP243" s="91" t="str">
        <f t="shared" si="14"/>
      </c>
      <c r="HQ243" s="91" t="str">
        <f t="shared" si="14"/>
      </c>
      <c r="HR243" s="91" t="str">
        <f t="shared" si="14"/>
      </c>
      <c r="HS243" s="91" t="str">
        <f t="shared" si="14"/>
      </c>
      <c r="HT243" s="91" t="str">
        <f t="shared" si="14"/>
      </c>
      <c r="HU243" s="91" t="str">
        <f t="shared" si="14"/>
      </c>
      <c r="HV243" s="91" t="str">
        <f t="shared" si="14"/>
      </c>
      <c r="HW243" s="91" t="str">
        <f t="shared" si="14"/>
      </c>
      <c r="HX243" s="91" t="str">
        <f t="shared" si="14"/>
      </c>
      <c r="HY243" s="91" t="str">
        <f t="shared" si="14"/>
      </c>
      <c r="HZ243" s="91" t="str">
        <f t="shared" si="14"/>
      </c>
      <c r="IA243" s="91" t="str">
        <f t="shared" si="14"/>
      </c>
      <c r="IB243" s="91" t="str">
        <f t="shared" si="14"/>
      </c>
      <c r="IC243" s="91" t="str">
        <f t="shared" si="14"/>
      </c>
      <c r="ID243" s="91" t="str">
        <f t="shared" si="14"/>
      </c>
      <c r="IE243" s="91" t="str">
        <f t="shared" si="14"/>
      </c>
      <c r="IF243" s="91" t="str">
        <f t="shared" si="14"/>
      </c>
      <c r="IG243" s="91" t="str">
        <f t="shared" si="14"/>
      </c>
      <c r="IH243" s="91" t="str">
        <f t="shared" si="14"/>
      </c>
      <c r="II243" s="91" t="str">
        <f t="shared" si="14"/>
      </c>
      <c r="IJ243" s="91" t="str">
        <f t="shared" si="14"/>
      </c>
      <c r="IK243" s="91" t="str">
        <f t="shared" si="14"/>
      </c>
      <c r="IL243" s="91" t="str">
        <f t="shared" si="14"/>
      </c>
      <c r="IM243" s="91" t="str">
        <f t="shared" si="14"/>
      </c>
      <c r="IN243" s="91" t="str">
        <f t="shared" si="14"/>
      </c>
      <c r="IO243" s="91" t="str">
        <f t="shared" si="14"/>
      </c>
      <c r="IP243" s="91" t="str">
        <f t="shared" si="14"/>
      </c>
      <c r="IQ243" s="91" t="str">
        <f t="shared" si="14"/>
      </c>
      <c r="IR243" s="91" t="str">
        <f t="shared" si="14"/>
      </c>
      <c r="IS243" s="91" t="str">
        <f t="shared" si="14"/>
      </c>
      <c r="IT243" s="91" t="str">
        <f t="shared" si="14"/>
      </c>
      <c r="IU243" s="91" t="str">
        <f t="shared" si="14"/>
      </c>
      <c r="IV243" s="91" t="str">
        <f t="shared" si="14"/>
      </c>
    </row>
    <row r="244" hidden="1" ht="13.5">
      <c r="C244" s="218"/>
      <c r="D244" s="218"/>
      <c r="E244" s="218"/>
      <c r="F244" s="218"/>
      <c r="G244" s="218"/>
      <c r="H244" s="218"/>
      <c r="I244" s="218"/>
      <c r="J244" s="218"/>
      <c r="K244" s="218"/>
      <c r="L244" s="217"/>
      <c r="N244" s="217"/>
      <c r="O244" s="217"/>
    </row>
    <row r="245" hidden="1" ht="12.75" customHeight="1">
      <c r="A245" s="138"/>
      <c r="B245" s="244"/>
      <c r="C245" s="645" t="s">
        <v>219</v>
      </c>
      <c r="D245" s="646"/>
      <c r="E245" s="646"/>
      <c r="F245" s="646"/>
      <c r="G245" s="646"/>
      <c r="H245" s="646"/>
      <c r="I245" s="646"/>
      <c r="J245" s="646"/>
      <c r="K245" s="646"/>
      <c r="L245" s="646"/>
      <c r="M245" s="646"/>
      <c r="N245" s="646"/>
      <c r="O245" s="646"/>
      <c r="P245" s="646"/>
      <c r="Q245" s="646"/>
      <c r="R245" s="646"/>
      <c r="S245" s="646"/>
      <c r="T245" s="646"/>
      <c r="U245" s="646"/>
      <c r="V245" s="646"/>
      <c r="W245" s="646"/>
      <c r="X245" s="646"/>
      <c r="Y245" s="646"/>
      <c r="Z245" s="646"/>
      <c r="AA245" s="646"/>
      <c r="AB245" s="647"/>
    </row>
    <row r="246" hidden="1" ht="13.5">
      <c r="A246" s="138"/>
      <c r="C246" s="435" t="str">
        <f> IF(C266&lt;&gt;"",TEXT(AUX!G$1,"dd-MMM-aa"),"")</f>
      </c>
      <c r="D246" s="435" t="str">
        <f> IF(D266&lt;&gt;"",TEXT(AUX!H$1,"dd-MMM-aa"),"")</f>
      </c>
      <c r="E246" s="435" t="str">
        <f> IF(E266&lt;&gt;"",TEXT(AUX!I$1,"dd-MMM-aa"),"")</f>
      </c>
      <c r="F246" s="435" t="str">
        <f> IF(F266&lt;&gt;"",TEXT(AUX!J$1,"dd-MMM-aa"),"")</f>
      </c>
      <c r="G246" s="435" t="str">
        <f> IF(G266&lt;&gt;"",TEXT(AUX!K$1,"dd-MMM-aa"),"")</f>
      </c>
      <c r="H246" s="435" t="str">
        <f> IF(H266&lt;&gt;"",TEXT(AUX!L$1,"dd-MMM-aa"),"")</f>
      </c>
      <c r="I246" s="435" t="str">
        <f> IF(I266&lt;&gt;"",TEXT(AUX!M$1,"dd-MMM-aa"),"")</f>
      </c>
      <c r="J246" s="435" t="str">
        <f> IF(J266&lt;&gt;"",TEXT(AUX!N$1,"dd-MMM-aa"),"")</f>
      </c>
      <c r="K246" s="435" t="str">
        <f> IF(K266&lt;&gt;"",TEXT(AUX!O$1,"dd-MMM-aa"),"")</f>
      </c>
      <c r="L246" s="435" t="str">
        <f> IF(L266&lt;&gt;"",TEXT(AUX!P$1,"dd-MMM-aa"),"")</f>
      </c>
      <c r="M246" s="435" t="str">
        <f> IF(M266&lt;&gt;"",TEXT(AUX!Q$1,"dd-MMM-aa"),"")</f>
      </c>
      <c r="N246" s="435" t="str">
        <f> IF(N266&lt;&gt;"",TEXT(AUX!R$1,"dd-MMM-aa"),"")</f>
      </c>
      <c r="O246" s="435" t="str">
        <f> IF(O266&lt;&gt;"",TEXT(AUX!S$1,"dd-MMM-aa"),"")</f>
      </c>
      <c r="P246" s="435" t="str">
        <f> IF(P266&lt;&gt;"",TEXT(AUX!T$1,"dd-MMM-aa"),"")</f>
      </c>
      <c r="Q246" s="435" t="str">
        <f> IF(Q266&lt;&gt;"",TEXT(AUX!U$1,"dd-MMM-aa"),"")</f>
      </c>
      <c r="R246" s="435" t="str">
        <f> IF(R266&lt;&gt;"",TEXT(AUX!V$1,"dd-MMM-aa"),"")</f>
      </c>
      <c r="S246" s="435" t="str">
        <f> IF(S266&lt;&gt;"",TEXT(AUX!W$1,"dd-MMM-aa"),"")</f>
      </c>
      <c r="T246" s="435" t="str">
        <f> IF(T266&lt;&gt;"",TEXT(AUX!X$1,"dd-MMM-aa"),"")</f>
      </c>
      <c r="U246" s="435" t="str">
        <f> IF(U266&lt;&gt;"",TEXT(AUX!Y$1,"dd-MMM-aa"),"")</f>
      </c>
      <c r="V246" s="435" t="str">
        <f> IF(V266&lt;&gt;"",TEXT(AUX!Z$1,"dd-MMM-aa"),"")</f>
      </c>
      <c r="W246" s="435" t="str">
        <f> IF(W266&lt;&gt;"",TEXT(AUX!AA$1,"dd-MMM-aa"),"")</f>
      </c>
      <c r="X246" s="435" t="str">
        <f> IF(X266&lt;&gt;"",TEXT(AUX!AB$1,"dd-MMM-aa"),"")</f>
      </c>
      <c r="Y246" s="435" t="str">
        <f> IF(Y266&lt;&gt;"",TEXT(AUX!AC$1,"dd-MMM-aa"),"")</f>
      </c>
      <c r="Z246" s="435" t="str">
        <f> IF(Z266&lt;&gt;"",TEXT(AUX!AD$1,"dd-MMM-aa"),"")</f>
      </c>
      <c r="AA246" s="435" t="str">
        <f> IF(AA266&lt;&gt;"",TEXT(AUX!AE$1,"dd-MMM-aa"),"")</f>
      </c>
      <c r="AB246" s="497" t="str">
        <f> IF(AB266&lt;&gt;"",TEXT(AUX!AF$1,"dd-MMM-aa"),"")</f>
      </c>
      <c r="AC246" s="496" t="str">
        <f> IF(AC266&lt;&gt;"",TEXT(AUX!AG$1,"dd-MMM-aa"),"")</f>
      </c>
      <c r="AD246" s="496" t="str">
        <f> IF(AD266&lt;&gt;"",TEXT(AUX!AH$1,"dd-MMM-aa"),"")</f>
      </c>
      <c r="AE246" s="496" t="str">
        <f> IF(AE266&lt;&gt;"",TEXT(AUX!AI$1,"dd-MMM-aa"),"")</f>
      </c>
      <c r="AF246" s="496" t="str">
        <f> IF(AF266&lt;&gt;"",TEXT(AUX!AJ$1,"dd-MMM-aa"),"")</f>
      </c>
      <c r="AG246" s="496" t="str">
        <f> IF(AG266&lt;&gt;"",TEXT(AUX!AK$1,"dd-MMM-aa"),"")</f>
      </c>
      <c r="AH246" s="496" t="str">
        <f> IF(AH266&lt;&gt;"",TEXT(AUX!AL$1,"dd-MMM-aa"),"")</f>
      </c>
      <c r="AI246" s="496" t="str">
        <f> IF(AI266&lt;&gt;"",TEXT(AUX!AM$1,"dd-MMM-aa"),"")</f>
      </c>
      <c r="AJ246" s="496" t="str">
        <f> IF(AJ266&lt;&gt;"",TEXT(AUX!AN$1,"dd-MMM-aa"),"")</f>
      </c>
      <c r="AK246" s="496" t="str">
        <f> IF(AK266&lt;&gt;"",TEXT(AUX!AO$1,"dd-MMM-aa"),"")</f>
      </c>
      <c r="AL246" s="496" t="str">
        <f> IF(AL266&lt;&gt;"",TEXT(AUX!AP$1,"dd-MMM-aa"),"")</f>
      </c>
      <c r="AM246" s="496" t="str">
        <f> IF(AM266&lt;&gt;"",TEXT(AUX!AQ$1,"dd-MMM-aa"),"")</f>
      </c>
      <c r="AN246" s="496" t="str">
        <f> IF(AN266&lt;&gt;"",TEXT(AUX!AR$1,"dd-MMM-aa"),"")</f>
      </c>
      <c r="AO246" s="496" t="str">
        <f> IF(AO266&lt;&gt;"",TEXT(AUX!AS$1,"dd-MMM-aa"),"")</f>
      </c>
      <c r="AP246" s="496" t="str">
        <f> IF(AP266&lt;&gt;"",TEXT(AUX!AT$1,"dd-MMM-aa"),"")</f>
      </c>
      <c r="AQ246" s="496" t="str">
        <f> IF(AQ266&lt;&gt;"",TEXT(AUX!AU$1,"dd-MMM-aa"),"")</f>
      </c>
      <c r="AR246" s="496" t="str">
        <f> IF(AR266&lt;&gt;"",TEXT(AUX!AV$1,"dd-MMM-aa"),"")</f>
      </c>
      <c r="AS246" s="496" t="str">
        <f> IF(AS266&lt;&gt;"",TEXT(AUX!AW$1,"dd-MMM-aa"),"")</f>
      </c>
      <c r="AT246" s="496" t="str">
        <f> IF(AT266&lt;&gt;"",TEXT(AUX!AX$1,"dd-MMM-aa"),"")</f>
      </c>
      <c r="AU246" s="496" t="str">
        <f> IF(AU266&lt;&gt;"",TEXT(AUX!AY$1,"dd-MMM-aa"),"")</f>
      </c>
      <c r="AV246" s="496" t="str">
        <f> IF(AV266&lt;&gt;"",TEXT(AUX!AZ$1,"dd-MMM-aa"),"")</f>
      </c>
      <c r="AW246" s="496" t="str">
        <f> IF(AW266&lt;&gt;"",TEXT(AUX!BA$1,"dd-MMM-aa"),"")</f>
      </c>
      <c r="AX246" s="496" t="str">
        <f> IF(AX266&lt;&gt;"",TEXT(AUX!BB$1,"dd-MMM-aa"),"")</f>
      </c>
      <c r="AY246" s="496" t="str">
        <f> IF(AY266&lt;&gt;"",TEXT(AUX!BC$1,"dd-MMM-aa"),"")</f>
      </c>
      <c r="AZ246" s="496" t="str">
        <f> IF(AZ266&lt;&gt;"",TEXT(AUX!BD$1,"dd-MMM-aa"),"")</f>
      </c>
      <c r="BA246" s="496" t="str">
        <f> IF(BA266&lt;&gt;"",TEXT(AUX!BE$1,"dd-MMM-aa"),"")</f>
      </c>
      <c r="BB246" s="496" t="str">
        <f> IF(BB266&lt;&gt;"",TEXT(AUX!BF$1,"dd-MMM-aa"),"")</f>
      </c>
      <c r="BC246" s="496" t="str">
        <f> IF(BC266&lt;&gt;"",TEXT(AUX!BG$1,"dd-MMM-aa"),"")</f>
      </c>
      <c r="BD246" s="496" t="str">
        <f> IF(BD266&lt;&gt;"",TEXT(AUX!BH$1,"dd-MMM-aa"),"")</f>
      </c>
      <c r="BE246" s="496" t="str">
        <f> IF(BE266&lt;&gt;"",TEXT(AUX!BI$1,"dd-MMM-aa"),"")</f>
      </c>
      <c r="BF246" s="496" t="str">
        <f> IF(BF266&lt;&gt;"",TEXT(AUX!BJ$1,"dd-MMM-aa"),"")</f>
      </c>
      <c r="BG246" s="496" t="str">
        <f> IF(BG266&lt;&gt;"",TEXT(AUX!BK$1,"dd-MMM-aa"),"")</f>
      </c>
      <c r="BH246" s="496" t="str">
        <f> IF(BH266&lt;&gt;"",TEXT(AUX!BL$1,"dd-MMM-aa"),"")</f>
      </c>
      <c r="BI246" s="496" t="str">
        <f> IF(BI266&lt;&gt;"",TEXT(AUX!BM$1,"dd-MMM-aa"),"")</f>
      </c>
      <c r="BJ246" s="496" t="str">
        <f> IF(BJ266&lt;&gt;"",TEXT(AUX!BN$1,"dd-MMM-aa"),"")</f>
      </c>
      <c r="BK246" s="496" t="str">
        <f> IF(BK266&lt;&gt;"",TEXT(AUX!BO$1,"dd-MMM-aa"),"")</f>
      </c>
      <c r="BL246" s="496" t="str">
        <f> IF(BL266&lt;&gt;"",TEXT(AUX!BP$1,"dd-MMM-aa"),"")</f>
      </c>
      <c r="BM246" s="496" t="str">
        <f> IF(BM266&lt;&gt;"",TEXT(AUX!BQ$1,"dd-MMM-aa"),"")</f>
      </c>
      <c r="BN246" s="496" t="str">
        <f> IF(BN266&lt;&gt;"",TEXT(AUX!BR$1,"dd-MMM-aa"),"")</f>
      </c>
      <c r="BO246" s="496" t="str">
        <f> IF(BO266&lt;&gt;"",TEXT(AUX!BS$1,"dd-MMM-aa"),"")</f>
      </c>
      <c r="BP246" s="496" t="str">
        <f> IF(BP266&lt;&gt;"",TEXT(AUX!BT$1,"dd-MMM-aa"),"")</f>
      </c>
      <c r="BQ246" s="496" t="str">
        <f> IF(BQ266&lt;&gt;"",TEXT(AUX!BU$1,"dd-MMM-aa"),"")</f>
      </c>
      <c r="BR246" s="496" t="str">
        <f> IF(BR266&lt;&gt;"",TEXT(AUX!BV$1,"dd-MMM-aa"),"")</f>
      </c>
      <c r="BS246" s="496" t="str">
        <f> IF(BS266&lt;&gt;"",TEXT(AUX!BW$1,"dd-MMM-aa"),"")</f>
      </c>
      <c r="BT246" s="496" t="str">
        <f> IF(BT266&lt;&gt;"",TEXT(AUX!BX$1,"dd-MMM-aa"),"")</f>
      </c>
      <c r="BU246" s="496" t="str">
        <f> IF(BU266&lt;&gt;"",TEXT(AUX!BY$1,"dd-MMM-aa"),"")</f>
      </c>
      <c r="BV246" s="496" t="str">
        <f> IF(BV266&lt;&gt;"",TEXT(AUX!BZ$1,"dd-MMM-aa"),"")</f>
      </c>
      <c r="BW246" s="496" t="str">
        <f> IF(BW266&lt;&gt;"",TEXT(AUX!CA$1,"dd-MMM-aa"),"")</f>
      </c>
      <c r="BX246" s="496" t="str">
        <f> IF(BX266&lt;&gt;"",TEXT(AUX!CB$1,"dd-MMM-aa"),"")</f>
      </c>
      <c r="BY246" s="496" t="str">
        <f> IF(BY266&lt;&gt;"",TEXT(AUX!CC$1,"dd-MMM-aa"),"")</f>
      </c>
      <c r="BZ246" s="496" t="str">
        <f> IF(BZ266&lt;&gt;"",TEXT(AUX!CD$1,"dd-MMM-aa"),"")</f>
      </c>
      <c r="CA246" s="496" t="str">
        <f> IF(CA266&lt;&gt;"",TEXT(AUX!CE$1,"dd-MMM-aa"),"")</f>
      </c>
      <c r="CB246" s="496" t="str">
        <f> IF(CB266&lt;&gt;"",TEXT(AUX!CF$1,"dd-MMM-aa"),"")</f>
      </c>
      <c r="CC246" s="496" t="str">
        <f> IF(CC266&lt;&gt;"",TEXT(AUX!CG$1,"dd-MMM-aa"),"")</f>
      </c>
      <c r="CD246" s="496" t="str">
        <f> IF(CD266&lt;&gt;"",TEXT(AUX!CH$1,"dd-MMM-aa"),"")</f>
      </c>
      <c r="CE246" s="496" t="str">
        <f> IF(CE266&lt;&gt;"",TEXT(AUX!CI$1,"dd-MMM-aa"),"")</f>
      </c>
      <c r="CF246" s="496" t="str">
        <f> IF(CF266&lt;&gt;"",TEXT(AUX!CJ$1,"dd-MMM-aa"),"")</f>
      </c>
      <c r="CG246" s="496" t="str">
        <f> IF(CG266&lt;&gt;"",TEXT(AUX!CK$1,"dd-MMM-aa"),"")</f>
      </c>
      <c r="CH246" s="496" t="str">
        <f> IF(CH266&lt;&gt;"",TEXT(AUX!CL$1,"dd-MMM-aa"),"")</f>
      </c>
      <c r="CI246" s="496" t="str">
        <f> IF(CI266&lt;&gt;"",TEXT(AUX!CM$1,"dd-MMM-aa"),"")</f>
      </c>
      <c r="CJ246" s="496" t="str">
        <f> IF(CJ266&lt;&gt;"",TEXT(AUX!CN$1,"dd-MMM-aa"),"")</f>
      </c>
      <c r="CK246" s="496" t="str">
        <f> IF(CK266&lt;&gt;"",TEXT(AUX!CO$1,"dd-MMM-aa"),"")</f>
      </c>
      <c r="CL246" s="496" t="str">
        <f> IF(CL266&lt;&gt;"",TEXT(AUX!CP$1,"dd-MMM-aa"),"")</f>
      </c>
      <c r="CM246" s="496" t="str">
        <f> IF(CM266&lt;&gt;"",TEXT(AUX!CQ$1,"dd-MMM-aa"),"")</f>
      </c>
      <c r="CN246" s="496" t="str">
        <f> IF(CN266&lt;&gt;"",TEXT(AUX!CR$1,"dd-MMM-aa"),"")</f>
      </c>
      <c r="CO246" s="496" t="str">
        <f> IF(CO266&lt;&gt;"",TEXT(AUX!CS$1,"dd-MMM-aa"),"")</f>
      </c>
      <c r="CP246" s="496" t="str">
        <f> IF(CP266&lt;&gt;"",TEXT(AUX!CT$1,"dd-MMM-aa"),"")</f>
      </c>
      <c r="CQ246" s="496" t="str">
        <f> IF(CQ266&lt;&gt;"",TEXT(AUX!CU$1,"dd-MMM-aa"),"")</f>
      </c>
      <c r="CR246" s="496" t="str">
        <f> IF(CR266&lt;&gt;"",TEXT(AUX!CV$1,"dd-MMM-aa"),"")</f>
      </c>
      <c r="CS246" s="496" t="str">
        <f> IF(CS266&lt;&gt;"",TEXT(AUX!CW$1,"dd-MMM-aa"),"")</f>
      </c>
      <c r="CT246" s="496" t="str">
        <f> IF(CT266&lt;&gt;"",TEXT(AUX!CX$1,"dd-MMM-aa"),"")</f>
      </c>
      <c r="CU246" s="496" t="str">
        <f> IF(CU266&lt;&gt;"",TEXT(AUX!CY$1,"dd-MMM-aa"),"")</f>
      </c>
      <c r="CV246" s="496" t="str">
        <f> IF(CV266&lt;&gt;"",TEXT(AUX!CZ$1,"dd-MMM-aa"),"")</f>
      </c>
      <c r="CW246" s="496" t="str">
        <f> IF(CW266&lt;&gt;"",TEXT(AUX!DA$1,"dd-MMM-aa"),"")</f>
      </c>
      <c r="CX246" s="496" t="str">
        <f> IF(CX266&lt;&gt;"",TEXT(AUX!DB$1,"dd-MMM-aa"),"")</f>
      </c>
      <c r="CY246" s="496" t="str">
        <f> IF(CY266&lt;&gt;"",TEXT(AUX!DC$1,"dd-MMM-aa"),"")</f>
      </c>
      <c r="CZ246" s="496" t="str">
        <f> IF(CZ266&lt;&gt;"",TEXT(AUX!DD$1,"dd-MMM-aa"),"")</f>
      </c>
      <c r="DA246" s="496" t="str">
        <f> IF(DA266&lt;&gt;"",TEXT(AUX!DE$1,"dd-MMM-aa"),"")</f>
      </c>
      <c r="DB246" s="496" t="str">
        <f> IF(DB266&lt;&gt;"",TEXT(AUX!DF$1,"dd-MMM-aa"),"")</f>
      </c>
      <c r="DC246" s="496" t="str">
        <f> IF(DC266&lt;&gt;"",TEXT(AUX!DG$1,"dd-MMM-aa"),"")</f>
      </c>
      <c r="DD246" s="496" t="str">
        <f> IF(DD266&lt;&gt;"",TEXT(AUX!DH$1,"dd-MMM-aa"),"")</f>
      </c>
      <c r="DE246" s="496" t="str">
        <f> IF(DE266&lt;&gt;"",TEXT(AUX!DI$1,"dd-MMM-aa"),"")</f>
      </c>
      <c r="DF246" s="496" t="str">
        <f> IF(DF266&lt;&gt;"",TEXT(AUX!DJ$1,"dd-MMM-aa"),"")</f>
      </c>
      <c r="DG246" s="496" t="str">
        <f> IF(DG266&lt;&gt;"",TEXT(AUX!DK$1,"dd-MMM-aa"),"")</f>
      </c>
      <c r="DH246" s="496" t="str">
        <f> IF(DH266&lt;&gt;"",TEXT(AUX!DL$1,"dd-MMM-aa"),"")</f>
      </c>
      <c r="DI246" s="496" t="str">
        <f> IF(DI266&lt;&gt;"",TEXT(AUX!DM$1,"dd-MMM-aa"),"")</f>
      </c>
      <c r="DJ246" s="496" t="str">
        <f> IF(DJ266&lt;&gt;"",TEXT(AUX!DN$1,"dd-MMM-aa"),"")</f>
      </c>
      <c r="DK246" s="496" t="str">
        <f> IF(DK266&lt;&gt;"",TEXT(AUX!DO$1,"dd-MMM-aa"),"")</f>
      </c>
      <c r="DL246" s="496" t="str">
        <f> IF(DL266&lt;&gt;"",TEXT(AUX!DP$1,"dd-MMM-aa"),"")</f>
      </c>
      <c r="DM246" s="496" t="str">
        <f> IF(DM266&lt;&gt;"",TEXT(AUX!DQ$1,"dd-MMM-aa"),"")</f>
      </c>
      <c r="DN246" s="496" t="str">
        <f> IF(DN266&lt;&gt;"",TEXT(AUX!DR$1,"dd-MMM-aa"),"")</f>
      </c>
      <c r="DO246" s="496" t="str">
        <f> IF(DO266&lt;&gt;"",TEXT(AUX!DS$1,"dd-MMM-aa"),"")</f>
      </c>
      <c r="DP246" s="496" t="str">
        <f> IF(DP266&lt;&gt;"",TEXT(AUX!DT$1,"dd-MMM-aa"),"")</f>
      </c>
      <c r="DQ246" s="496" t="str">
        <f> IF(DQ266&lt;&gt;"",TEXT(AUX!DU$1,"dd-MMM-aa"),"")</f>
      </c>
      <c r="DR246" s="496" t="str">
        <f> IF(DR266&lt;&gt;"",TEXT(AUX!DV$1,"dd-MMM-aa"),"")</f>
      </c>
      <c r="DS246" s="496" t="str">
        <f> IF(DS266&lt;&gt;"",TEXT(AUX!DW$1,"dd-MMM-aa"),"")</f>
      </c>
      <c r="DT246" s="496" t="str">
        <f> IF(DT266&lt;&gt;"",TEXT(AUX!DX$1,"dd-MMM-aa"),"")</f>
      </c>
      <c r="DU246" s="496" t="str">
        <f> IF(DU266&lt;&gt;"",TEXT(AUX!DY$1,"dd-MMM-aa"),"")</f>
      </c>
      <c r="DV246" s="496" t="str">
        <f> IF(DV266&lt;&gt;"",TEXT(AUX!DZ$1,"dd-MMM-aa"),"")</f>
      </c>
      <c r="DW246" s="496" t="str">
        <f> IF(DW266&lt;&gt;"",TEXT(AUX!EA$1,"dd-MMM-aa"),"")</f>
      </c>
      <c r="DX246" s="496" t="str">
        <f> IF(DX266&lt;&gt;"",TEXT(AUX!EB$1,"dd-MMM-aa"),"")</f>
      </c>
      <c r="DY246" s="496" t="str">
        <f> IF(DY266&lt;&gt;"",TEXT(AUX!EC$1,"dd-MMM-aa"),"")</f>
      </c>
      <c r="DZ246" s="496" t="str">
        <f> IF(DZ266&lt;&gt;"",TEXT(AUX!ED$1,"dd-MMM-aa"),"")</f>
      </c>
      <c r="EA246" s="496" t="str">
        <f> IF(EA266&lt;&gt;"",TEXT(AUX!EE$1,"dd-MMM-aa"),"")</f>
      </c>
      <c r="EB246" s="496" t="str">
        <f> IF(EB266&lt;&gt;"",TEXT(AUX!EF$1,"dd-MMM-aa"),"")</f>
      </c>
      <c r="EC246" s="496" t="str">
        <f> IF(EC266&lt;&gt;"",TEXT(AUX!EG$1,"dd-MMM-aa"),"")</f>
      </c>
      <c r="ED246" s="496" t="str">
        <f> IF(ED266&lt;&gt;"",TEXT(AUX!EH$1,"dd-MMM-aa"),"")</f>
      </c>
      <c r="EE246" s="496" t="str">
        <f> IF(EE266&lt;&gt;"",TEXT(AUX!EI$1,"dd-MMM-aa"),"")</f>
      </c>
      <c r="EF246" s="496" t="str">
        <f> IF(EF266&lt;&gt;"",TEXT(AUX!EJ$1,"dd-MMM-aa"),"")</f>
      </c>
      <c r="EG246" s="496" t="str">
        <f> IF(EG266&lt;&gt;"",TEXT(AUX!EK$1,"dd-MMM-aa"),"")</f>
      </c>
      <c r="EH246" s="496" t="str">
        <f> IF(EH266&lt;&gt;"",TEXT(AUX!EL$1,"dd-MMM-aa"),"")</f>
      </c>
      <c r="EI246" s="496" t="str">
        <f> IF(EI266&lt;&gt;"",TEXT(AUX!EM$1,"dd-MMM-aa"),"")</f>
      </c>
      <c r="EJ246" s="496" t="str">
        <f> IF(EJ266&lt;&gt;"",TEXT(AUX!EN$1,"dd-MMM-aa"),"")</f>
      </c>
      <c r="EK246" s="496" t="str">
        <f> IF(EK266&lt;&gt;"",TEXT(AUX!EO$1,"dd-MMM-aa"),"")</f>
      </c>
      <c r="EL246" s="496" t="str">
        <f> IF(EL266&lt;&gt;"",TEXT(AUX!EP$1,"dd-MMM-aa"),"")</f>
      </c>
      <c r="EM246" s="496" t="str">
        <f> IF(EM266&lt;&gt;"",TEXT(AUX!EQ$1,"dd-MMM-aa"),"")</f>
      </c>
      <c r="EN246" s="496" t="str">
        <f> IF(EN266&lt;&gt;"",TEXT(AUX!ER$1,"dd-MMM-aa"),"")</f>
      </c>
      <c r="EO246" s="496" t="str">
        <f> IF(EO266&lt;&gt;"",TEXT(AUX!ES$1,"dd-MMM-aa"),"")</f>
      </c>
      <c r="EP246" s="496" t="str">
        <f> IF(EP266&lt;&gt;"",TEXT(AUX!ET$1,"dd-MMM-aa"),"")</f>
      </c>
      <c r="EQ246" s="496" t="str">
        <f> IF(EQ266&lt;&gt;"",TEXT(AUX!EU$1,"dd-MMM-aa"),"")</f>
      </c>
      <c r="ER246" s="496" t="str">
        <f> IF(ER266&lt;&gt;"",TEXT(AUX!EV$1,"dd-MMM-aa"),"")</f>
      </c>
      <c r="ES246" s="496" t="str">
        <f> IF(ES266&lt;&gt;"",TEXT(AUX!EW$1,"dd-MMM-aa"),"")</f>
      </c>
      <c r="ET246" s="496" t="str">
        <f> IF(ET266&lt;&gt;"",TEXT(AUX!EX$1,"dd-MMM-aa"),"")</f>
      </c>
      <c r="EU246" s="496" t="str">
        <f> IF(EU266&lt;&gt;"",TEXT(AUX!EY$1,"dd-MMM-aa"),"")</f>
      </c>
      <c r="EV246" s="496" t="str">
        <f> IF(EV266&lt;&gt;"",TEXT(AUX!EZ$1,"dd-MMM-aa"),"")</f>
      </c>
      <c r="EW246" s="496" t="str">
        <f> IF(EW266&lt;&gt;"",TEXT(AUX!FA$1,"dd-MMM-aa"),"")</f>
      </c>
      <c r="EX246" s="496" t="str">
        <f> IF(EX266&lt;&gt;"",TEXT(AUX!FB$1,"dd-MMM-aa"),"")</f>
      </c>
      <c r="EY246" s="496" t="str">
        <f> IF(EY266&lt;&gt;"",TEXT(AUX!FC$1,"dd-MMM-aa"),"")</f>
      </c>
      <c r="EZ246" s="496" t="str">
        <f> IF(EZ266&lt;&gt;"",TEXT(AUX!FD$1,"dd-MMM-aa"),"")</f>
      </c>
      <c r="FA246" s="496" t="str">
        <f> IF(FA266&lt;&gt;"",TEXT(AUX!FE$1,"dd-MMM-aa"),"")</f>
      </c>
      <c r="FB246" s="496" t="str">
        <f> IF(FB266&lt;&gt;"",TEXT(AUX!FF$1,"dd-MMM-aa"),"")</f>
      </c>
      <c r="FC246" s="496" t="str">
        <f> IF(FC266&lt;&gt;"",TEXT(AUX!FG$1,"dd-MMM-aa"),"")</f>
      </c>
      <c r="FD246" s="496" t="str">
        <f> IF(FD266&lt;&gt;"",TEXT(AUX!FH$1,"dd-MMM-aa"),"")</f>
      </c>
      <c r="FE246" s="496" t="str">
        <f> IF(FE266&lt;&gt;"",TEXT(AUX!FI$1,"dd-MMM-aa"),"")</f>
      </c>
      <c r="FF246" s="496" t="str">
        <f> IF(FF266&lt;&gt;"",TEXT(AUX!FJ$1,"dd-MMM-aa"),"")</f>
      </c>
      <c r="FG246" s="496" t="str">
        <f> IF(FG266&lt;&gt;"",TEXT(AUX!FK$1,"dd-MMM-aa"),"")</f>
      </c>
      <c r="FH246" s="496" t="str">
        <f> IF(FH266&lt;&gt;"",TEXT(AUX!FL$1,"dd-MMM-aa"),"")</f>
      </c>
      <c r="FI246" s="496" t="str">
        <f> IF(FI266&lt;&gt;"",TEXT(AUX!FM$1,"dd-MMM-aa"),"")</f>
      </c>
      <c r="FJ246" s="496" t="str">
        <f> IF(FJ266&lt;&gt;"",TEXT(AUX!FN$1,"dd-MMM-aa"),"")</f>
      </c>
      <c r="FK246" s="496" t="str">
        <f> IF(FK266&lt;&gt;"",TEXT(AUX!FO$1,"dd-MMM-aa"),"")</f>
      </c>
      <c r="FL246" s="496" t="str">
        <f> IF(FL266&lt;&gt;"",TEXT(AUX!FP$1,"dd-MMM-aa"),"")</f>
      </c>
      <c r="FM246" s="496" t="str">
        <f> IF(FM266&lt;&gt;"",TEXT(AUX!FQ$1,"dd-MMM-aa"),"")</f>
      </c>
      <c r="FN246" s="496" t="str">
        <f> IF(FN266&lt;&gt;"",TEXT(AUX!FR$1,"dd-MMM-aa"),"")</f>
      </c>
      <c r="FO246" s="496" t="str">
        <f> IF(FO266&lt;&gt;"",TEXT(AUX!FS$1,"dd-MMM-aa"),"")</f>
      </c>
      <c r="FP246" s="496" t="str">
        <f> IF(FP266&lt;&gt;"",TEXT(AUX!FT$1,"dd-MMM-aa"),"")</f>
      </c>
      <c r="FQ246" s="496" t="str">
        <f> IF(FQ266&lt;&gt;"",TEXT(AUX!FU$1,"dd-MMM-aa"),"")</f>
      </c>
      <c r="FR246" s="496" t="str">
        <f> IF(FR266&lt;&gt;"",TEXT(AUX!FV$1,"dd-MMM-aa"),"")</f>
      </c>
      <c r="FS246" s="496" t="str">
        <f> IF(FS266&lt;&gt;"",TEXT(AUX!FW$1,"dd-MMM-aa"),"")</f>
      </c>
      <c r="FT246" s="496" t="str">
        <f> IF(FT266&lt;&gt;"",TEXT(AUX!FX$1,"dd-MMM-aa"),"")</f>
      </c>
      <c r="FU246" s="496" t="str">
        <f> IF(FU266&lt;&gt;"",TEXT(AUX!FY$1,"dd-MMM-aa"),"")</f>
      </c>
      <c r="FV246" s="496" t="str">
        <f> IF(FV266&lt;&gt;"",TEXT(AUX!FZ$1,"dd-MMM-aa"),"")</f>
      </c>
      <c r="FW246" s="496" t="str">
        <f> IF(FW266&lt;&gt;"",TEXT(AUX!GA$1,"dd-MMM-aa"),"")</f>
      </c>
      <c r="FX246" s="496" t="str">
        <f> IF(FX266&lt;&gt;"",TEXT(AUX!GB$1,"dd-MMM-aa"),"")</f>
      </c>
      <c r="FY246" s="496" t="str">
        <f> IF(FY266&lt;&gt;"",TEXT(AUX!GC$1,"dd-MMM-aa"),"")</f>
      </c>
      <c r="FZ246" s="496" t="str">
        <f> IF(FZ266&lt;&gt;"",TEXT(AUX!GD$1,"dd-MMM-aa"),"")</f>
      </c>
      <c r="GA246" s="496" t="str">
        <f> IF(GA266&lt;&gt;"",TEXT(AUX!GE$1,"dd-MMM-aa"),"")</f>
      </c>
      <c r="GB246" s="496" t="str">
        <f> IF(GB266&lt;&gt;"",TEXT(AUX!GF$1,"dd-MMM-aa"),"")</f>
      </c>
      <c r="GC246" s="496" t="str">
        <f> IF(GC266&lt;&gt;"",TEXT(AUX!GG$1,"dd-MMM-aa"),"")</f>
      </c>
      <c r="GD246" s="496" t="str">
        <f> IF(GD266&lt;&gt;"",TEXT(AUX!GH$1,"dd-MMM-aa"),"")</f>
      </c>
      <c r="GE246" s="496" t="str">
        <f> IF(GE266&lt;&gt;"",TEXT(AUX!GI$1,"dd-MMM-aa"),"")</f>
      </c>
      <c r="GF246" s="496" t="str">
        <f> IF(GF266&lt;&gt;"",TEXT(AUX!GJ$1,"dd-MMM-aa"),"")</f>
      </c>
      <c r="GG246" s="496" t="str">
        <f> IF(GG266&lt;&gt;"",TEXT(AUX!GK$1,"dd-MMM-aa"),"")</f>
      </c>
      <c r="GH246" s="496" t="str">
        <f> IF(GH266&lt;&gt;"",TEXT(AUX!GL$1,"dd-MMM-aa"),"")</f>
      </c>
      <c r="GI246" s="496" t="str">
        <f> IF(GI266&lt;&gt;"",TEXT(AUX!GM$1,"dd-MMM-aa"),"")</f>
      </c>
      <c r="GJ246" s="496" t="str">
        <f> IF(GJ266&lt;&gt;"",TEXT(AUX!GN$1,"dd-MMM-aa"),"")</f>
      </c>
      <c r="GK246" s="496" t="str">
        <f> IF(GK266&lt;&gt;"",TEXT(AUX!GO$1,"dd-MMM-aa"),"")</f>
      </c>
      <c r="GL246" s="496" t="str">
        <f> IF(GL266&lt;&gt;"",TEXT(AUX!GP$1,"dd-MMM-aa"),"")</f>
      </c>
      <c r="GM246" s="496" t="str">
        <f> IF(GM266&lt;&gt;"",TEXT(AUX!GQ$1,"dd-MMM-aa"),"")</f>
      </c>
      <c r="GN246" s="496" t="str">
        <f> IF(GN266&lt;&gt;"",TEXT(AUX!GR$1,"dd-MMM-aa"),"")</f>
      </c>
      <c r="GO246" s="496" t="str">
        <f> IF(GO266&lt;&gt;"",TEXT(AUX!GS$1,"dd-MMM-aa"),"")</f>
      </c>
      <c r="GP246" s="496" t="str">
        <f> IF(GP266&lt;&gt;"",TEXT(AUX!GT$1,"dd-MMM-aa"),"")</f>
      </c>
      <c r="GQ246" s="496" t="str">
        <f> IF(GQ266&lt;&gt;"",TEXT(AUX!GU$1,"dd-MMM-aa"),"")</f>
      </c>
      <c r="GR246" s="496" t="str">
        <f> IF(GR266&lt;&gt;"",TEXT(AUX!GV$1,"dd-MMM-aa"),"")</f>
      </c>
      <c r="GS246" s="496" t="str">
        <f> IF(GS266&lt;&gt;"",TEXT(AUX!GW$1,"dd-MMM-aa"),"")</f>
      </c>
      <c r="GT246" s="496" t="str">
        <f> IF(GT266&lt;&gt;"",TEXT(AUX!GX$1,"dd-MMM-aa"),"")</f>
      </c>
      <c r="GU246" s="496" t="str">
        <f> IF(GU266&lt;&gt;"",TEXT(AUX!GY$1,"dd-MMM-aa"),"")</f>
      </c>
      <c r="GV246" s="496" t="str">
        <f> IF(GV266&lt;&gt;"",TEXT(AUX!GZ$1,"dd-MMM-aa"),"")</f>
      </c>
      <c r="GW246" s="496" t="str">
        <f> IF(GW266&lt;&gt;"",TEXT(AUX!HA$1,"dd-MMM-aa"),"")</f>
      </c>
      <c r="GX246" s="496" t="str">
        <f> IF(GX266&lt;&gt;"",TEXT(AUX!HB$1,"dd-MMM-aa"),"")</f>
      </c>
      <c r="GY246" s="496" t="str">
        <f> IF(GY266&lt;&gt;"",TEXT(AUX!HC$1,"dd-MMM-aa"),"")</f>
      </c>
      <c r="GZ246" s="496" t="str">
        <f> IF(GZ266&lt;&gt;"",TEXT(AUX!HD$1,"dd-MMM-aa"),"")</f>
      </c>
      <c r="HA246" s="496" t="str">
        <f> IF(HA266&lt;&gt;"",TEXT(AUX!HE$1,"dd-MMM-aa"),"")</f>
      </c>
      <c r="HB246" s="496" t="str">
        <f> IF(HB266&lt;&gt;"",TEXT(AUX!HF$1,"dd-MMM-aa"),"")</f>
      </c>
      <c r="HC246" s="496" t="str">
        <f> IF(HC266&lt;&gt;"",TEXT(AUX!HG$1,"dd-MMM-aa"),"")</f>
      </c>
      <c r="HD246" s="496" t="str">
        <f> IF(HD266&lt;&gt;"",TEXT(AUX!HH$1,"dd-MMM-aa"),"")</f>
      </c>
      <c r="HE246" s="496" t="str">
        <f> IF(HE266&lt;&gt;"",TEXT(AUX!HI$1,"dd-MMM-aa"),"")</f>
      </c>
      <c r="HF246" s="496" t="str">
        <f> IF(HF266&lt;&gt;"",TEXT(AUX!HJ$1,"dd-MMM-aa"),"")</f>
      </c>
      <c r="HG246" s="496" t="str">
        <f> IF(HG266&lt;&gt;"",TEXT(AUX!HK$1,"dd-MMM-aa"),"")</f>
      </c>
      <c r="HH246" s="496" t="str">
        <f> IF(HH266&lt;&gt;"",TEXT(AUX!HL$1,"dd-MMM-aa"),"")</f>
      </c>
      <c r="HI246" s="496" t="str">
        <f> IF(HI266&lt;&gt;"",TEXT(AUX!HM$1,"dd-MMM-aa"),"")</f>
      </c>
      <c r="HJ246" s="496" t="str">
        <f> IF(HJ266&lt;&gt;"",TEXT(AUX!HN$1,"dd-MMM-aa"),"")</f>
      </c>
      <c r="HK246" s="496" t="str">
        <f> IF(HK266&lt;&gt;"",TEXT(AUX!HO$1,"dd-MMM-aa"),"")</f>
      </c>
      <c r="HL246" s="496" t="str">
        <f> IF(HL266&lt;&gt;"",TEXT(AUX!HP$1,"dd-MMM-aa"),"")</f>
      </c>
      <c r="HM246" s="496" t="str">
        <f> IF(HM266&lt;&gt;"",TEXT(AUX!HQ$1,"dd-MMM-aa"),"")</f>
      </c>
      <c r="HN246" s="496" t="str">
        <f> IF(HN266&lt;&gt;"",TEXT(AUX!HR$1,"dd-MMM-aa"),"")</f>
      </c>
      <c r="HO246" s="496" t="str">
        <f> IF(HO266&lt;&gt;"",TEXT(AUX!HS$1,"dd-MMM-aa"),"")</f>
      </c>
      <c r="HP246" s="496" t="str">
        <f> IF(HP266&lt;&gt;"",TEXT(AUX!HT$1,"dd-MMM-aa"),"")</f>
      </c>
      <c r="HQ246" s="496" t="str">
        <f> IF(HQ266&lt;&gt;"",TEXT(AUX!HU$1,"dd-MMM-aa"),"")</f>
      </c>
      <c r="HR246" s="496" t="str">
        <f> IF(HR266&lt;&gt;"",TEXT(AUX!HV$1,"dd-MMM-aa"),"")</f>
      </c>
      <c r="HS246" s="496" t="str">
        <f> IF(HS266&lt;&gt;"",TEXT(AUX!HW$1,"dd-MMM-aa"),"")</f>
      </c>
      <c r="HT246" s="496" t="str">
        <f> IF(HT266&lt;&gt;"",TEXT(AUX!HX$1,"dd-MMM-aa"),"")</f>
      </c>
      <c r="HU246" s="496" t="str">
        <f> IF(HU266&lt;&gt;"",TEXT(AUX!HY$1,"dd-MMM-aa"),"")</f>
      </c>
      <c r="HV246" s="496" t="str">
        <f> IF(HV266&lt;&gt;"",TEXT(AUX!HZ$1,"dd-MMM-aa"),"")</f>
      </c>
      <c r="HW246" s="496" t="str">
        <f> IF(HW266&lt;&gt;"",TEXT(AUX!IA$1,"dd-MMM-aa"),"")</f>
      </c>
      <c r="HX246" s="496" t="str">
        <f> IF(HX266&lt;&gt;"",TEXT(AUX!IB$1,"dd-MMM-aa"),"")</f>
      </c>
      <c r="HY246" s="496" t="str">
        <f> IF(HY266&lt;&gt;"",TEXT(AUX!IC$1,"dd-MMM-aa"),"")</f>
      </c>
      <c r="HZ246" s="496" t="str">
        <f> IF(HZ266&lt;&gt;"",TEXT(AUX!ID$1,"dd-MMM-aa"),"")</f>
      </c>
      <c r="IA246" s="496" t="str">
        <f> IF(IA266&lt;&gt;"",TEXT(AUX!IE$1,"dd-MMM-aa"),"")</f>
      </c>
      <c r="IB246" s="496" t="str">
        <f> IF(IB266&lt;&gt;"",TEXT(AUX!IF$1,"dd-MMM-aa"),"")</f>
      </c>
      <c r="IC246" s="496" t="str">
        <f> IF(IC266&lt;&gt;"",TEXT(AUX!IG$1,"dd-MMM-aa"),"")</f>
      </c>
      <c r="ID246" s="496" t="str">
        <f> IF(ID266&lt;&gt;"",TEXT(AUX!IH$1,"dd-MMM-aa"),"")</f>
      </c>
      <c r="IE246" s="496" t="str">
        <f> IF(IE266&lt;&gt;"",TEXT(AUX!II$1,"dd-MMM-aa"),"")</f>
      </c>
      <c r="IF246" s="496" t="str">
        <f> IF(IF266&lt;&gt;"",TEXT(AUX!IJ$1,"dd-MMM-aa"),"")</f>
      </c>
      <c r="IG246" s="496" t="str">
        <f> IF(IG266&lt;&gt;"",TEXT(AUX!IK$1,"dd-MMM-aa"),"")</f>
      </c>
      <c r="IH246" s="496" t="str">
        <f> IF(IH266&lt;&gt;"",TEXT(AUX!IL$1,"dd-MMM-aa"),"")</f>
      </c>
      <c r="II246" s="496" t="str">
        <f> IF(II266&lt;&gt;"",TEXT(AUX!IM$1,"dd-MMM-aa"),"")</f>
      </c>
      <c r="IJ246" s="496" t="str">
        <f> IF(IJ266&lt;&gt;"",TEXT(AUX!IN$1,"dd-MMM-aa"),"")</f>
      </c>
      <c r="IK246" s="496" t="str">
        <f> IF(IK266&lt;&gt;"",TEXT(AUX!IO$1,"dd-MMM-aa"),"")</f>
      </c>
      <c r="IL246" s="496" t="str">
        <f> IF(IL266&lt;&gt;"",TEXT(AUX!IP$1,"dd-MMM-aa"),"")</f>
      </c>
      <c r="IM246" s="496" t="str">
        <f> IF(IM266&lt;&gt;"",TEXT(AUX!IQ$1,"dd-MMM-aa"),"")</f>
      </c>
      <c r="IN246" s="496" t="str">
        <f> IF(IN266&lt;&gt;"",TEXT(AUX!IR$1,"dd-MMM-aa"),"")</f>
      </c>
      <c r="IO246" s="496" t="str">
        <f> IF(IO266&lt;&gt;"",TEXT(AUX!IS$1,"dd-MMM-aa"),"")</f>
      </c>
      <c r="IP246" s="496" t="str">
        <f> IF(IP266&lt;&gt;"",TEXT(AUX!IT$1,"dd-MMM-aa"),"")</f>
      </c>
      <c r="IQ246" s="496" t="str">
        <f> IF(IQ266&lt;&gt;"",TEXT(AUX!IU$1,"dd-MMM-aa"),"")</f>
      </c>
      <c r="IR246" s="496" t="str">
        <f> IF(IR266&lt;&gt;"",TEXT(AUX!IV$1,"dd-MMM-aa"),"")</f>
      </c>
      <c r="IS246" s="496" t="str">
        <f> IF(IS266&lt;&gt;"",TEXT(AUX!#REF!,"dd-MMM-aa"),"")</f>
      </c>
      <c r="IT246" s="496" t="str">
        <f> IF(IT266&lt;&gt;"",TEXT(AUX!#REF!,"dd-MMM-aa"),"")</f>
      </c>
      <c r="IU246" s="496" t="str">
        <f> IF(IU266&lt;&gt;"",TEXT(AUX!#REF!,"dd-MMM-aa"),"")</f>
      </c>
      <c r="IV246" s="496" t="str">
        <f> IF(IV266&lt;&gt;"",TEXT(AUX!#REF!,"dd-MMM-aa"),"")</f>
      </c>
    </row>
    <row r="247" hidden="1">
      <c r="B247" s="833" t="s">
        <v>8</v>
      </c>
      <c r="C247" s="827">
        <v>719778</v>
      </c>
      <c r="D247" s="827">
        <v>685164</v>
      </c>
      <c r="E247" s="827">
        <v>736717</v>
      </c>
      <c r="F247" s="827">
        <v>739024</v>
      </c>
      <c r="G247" s="827">
        <v>727733</v>
      </c>
      <c r="H247" s="827">
        <v>663458</v>
      </c>
      <c r="I247" s="827">
        <v>596165</v>
      </c>
      <c r="J247" s="827">
        <v>538869</v>
      </c>
      <c r="K247" s="827">
        <v>584973</v>
      </c>
      <c r="L247" s="827">
        <v>547026</v>
      </c>
      <c r="M247" s="827">
        <v>532298</v>
      </c>
      <c r="N247" s="827">
        <v>499522</v>
      </c>
      <c r="O247" s="827">
        <v>504255</v>
      </c>
      <c r="P247" s="827">
        <v>417602</v>
      </c>
      <c r="Q247" s="827">
        <v>425754</v>
      </c>
      <c r="R247" s="827">
        <v>409698</v>
      </c>
      <c r="S247" s="827">
        <v>471477</v>
      </c>
      <c r="T247" s="827">
        <v>458117</v>
      </c>
      <c r="U247" s="827">
        <v>502387</v>
      </c>
      <c r="V247" s="827">
        <v>477698</v>
      </c>
      <c r="W247" s="827">
        <v>498096</v>
      </c>
      <c r="X247" s="827">
        <v>488360</v>
      </c>
      <c r="Y247" s="827">
        <v>501493</v>
      </c>
      <c r="Z247" s="827">
        <v>500891</v>
      </c>
      <c r="AA247" s="827">
        <v>541015</v>
      </c>
      <c r="AB247" s="834">
        <v>494091</v>
      </c>
      <c r="AC247" s="828">
        <v>526677</v>
      </c>
      <c r="AD247" s="828">
        <v>512827</v>
      </c>
      <c r="AE247" s="828">
        <v>546019</v>
      </c>
      <c r="AF247" s="828">
        <v>474798</v>
      </c>
      <c r="AG247" s="828">
        <v>522303</v>
      </c>
      <c r="AH247" s="828">
        <v>427754</v>
      </c>
      <c r="AI247" s="828">
        <v>455788</v>
      </c>
      <c r="AJ247" s="828">
        <v>390878</v>
      </c>
      <c r="AK247" s="828">
        <v>393331</v>
      </c>
      <c r="AL247" s="828">
        <v>350863</v>
      </c>
      <c r="AM247" s="828">
        <v>370388</v>
      </c>
      <c r="AN247" s="828">
        <v>355956</v>
      </c>
      <c r="AO247" s="828">
        <v>395903</v>
      </c>
      <c r="AP247" s="828">
        <v>372635</v>
      </c>
    </row>
    <row r="248" hidden="1">
      <c r="B248" s="829" t="s">
        <v>9</v>
      </c>
      <c r="C248" s="823">
        <v>501923</v>
      </c>
      <c r="D248" s="823">
        <v>519163</v>
      </c>
      <c r="E248" s="823">
        <v>523411</v>
      </c>
      <c r="F248" s="823">
        <v>675379</v>
      </c>
      <c r="G248" s="823">
        <v>853633</v>
      </c>
      <c r="H248" s="823">
        <v>853633</v>
      </c>
      <c r="I248" s="823">
        <v>755923</v>
      </c>
      <c r="J248" s="823">
        <v>379592</v>
      </c>
      <c r="K248" s="823">
        <v>321368</v>
      </c>
      <c r="L248" s="823">
        <v>311984</v>
      </c>
      <c r="M248" s="823">
        <v>306731</v>
      </c>
      <c r="N248" s="823">
        <v>317477</v>
      </c>
      <c r="O248" s="823">
        <v>317477</v>
      </c>
      <c r="P248" s="823">
        <v>428446</v>
      </c>
      <c r="Q248" s="823">
        <v>315930</v>
      </c>
      <c r="R248" s="823">
        <v>298267</v>
      </c>
      <c r="S248" s="823">
        <v>294550</v>
      </c>
      <c r="T248" s="823">
        <v>290812</v>
      </c>
      <c r="U248" s="823">
        <v>268819</v>
      </c>
      <c r="V248" s="823">
        <v>282536</v>
      </c>
      <c r="W248" s="823">
        <v>267510</v>
      </c>
      <c r="X248" s="823">
        <v>249048</v>
      </c>
      <c r="Y248" s="823">
        <v>253957</v>
      </c>
      <c r="Z248" s="823">
        <v>233503</v>
      </c>
      <c r="AA248" s="823">
        <v>317486</v>
      </c>
      <c r="AB248" s="823">
        <v>293336</v>
      </c>
      <c r="AC248" s="825">
        <v>314384</v>
      </c>
      <c r="AD248" s="825">
        <v>289062</v>
      </c>
      <c r="AE248" s="825">
        <v>305557</v>
      </c>
      <c r="AF248" s="825">
        <v>294483</v>
      </c>
      <c r="AG248" s="825">
        <v>307566</v>
      </c>
      <c r="AH248" s="825">
        <v>296760</v>
      </c>
      <c r="AI248" s="825">
        <v>330294</v>
      </c>
      <c r="AJ248" s="825">
        <v>319061</v>
      </c>
      <c r="AK248" s="825">
        <v>242021</v>
      </c>
      <c r="AL248" s="825">
        <v>231988</v>
      </c>
      <c r="AM248" s="825">
        <v>242549</v>
      </c>
      <c r="AN248" s="825">
        <v>227966</v>
      </c>
      <c r="AO248" s="825">
        <v>245120</v>
      </c>
      <c r="AP248" s="825">
        <v>229312</v>
      </c>
    </row>
    <row r="249" hidden="1">
      <c r="B249" s="826" t="s">
        <v>10</v>
      </c>
      <c r="C249" s="827">
        <v>1199</v>
      </c>
      <c r="D249" s="827">
        <v>1199</v>
      </c>
      <c r="E249" s="827">
        <v>65</v>
      </c>
      <c r="F249" s="827">
        <v>46</v>
      </c>
      <c r="G249" s="827">
        <v>759</v>
      </c>
      <c r="H249" s="827">
        <v>606</v>
      </c>
      <c r="I249" s="827">
        <v>414</v>
      </c>
      <c r="J249" s="827">
        <v>193</v>
      </c>
      <c r="K249" s="827">
        <v>314</v>
      </c>
      <c r="L249" s="827">
        <v>82</v>
      </c>
      <c r="M249" s="827">
        <v>223</v>
      </c>
      <c r="N249" s="827">
        <v>39</v>
      </c>
      <c r="O249" s="827">
        <v>302</v>
      </c>
      <c r="P249" s="827">
        <v>23</v>
      </c>
      <c r="Q249" s="827">
        <v>185</v>
      </c>
      <c r="R249" s="827">
        <v>12</v>
      </c>
      <c r="S249" s="827">
        <v>262</v>
      </c>
      <c r="T249" s="827">
        <v>55</v>
      </c>
      <c r="U249" s="827">
        <v>122</v>
      </c>
      <c r="V249" s="827">
        <v>3</v>
      </c>
      <c r="W249" s="827">
        <v>139</v>
      </c>
      <c r="X249" s="827">
        <v>4</v>
      </c>
      <c r="Y249" s="827">
        <v>23</v>
      </c>
      <c r="Z249" s="827">
        <v>10</v>
      </c>
      <c r="AA249" s="827">
        <v>18</v>
      </c>
      <c r="AB249" s="827">
        <v>6</v>
      </c>
      <c r="AC249" s="828">
        <v>23</v>
      </c>
      <c r="AD249" s="828">
        <v>5</v>
      </c>
      <c r="AE249" s="828">
        <v>8</v>
      </c>
      <c r="AF249" s="828">
        <v>5</v>
      </c>
      <c r="AG249" s="828">
        <v>21</v>
      </c>
      <c r="AH249" s="828">
        <v>5</v>
      </c>
      <c r="AI249" s="828">
        <v>55</v>
      </c>
      <c r="AJ249" s="828">
        <v>59</v>
      </c>
      <c r="AK249" s="828">
        <v>42</v>
      </c>
      <c r="AL249" s="828">
        <v>4</v>
      </c>
      <c r="AM249" s="828">
        <v>69</v>
      </c>
      <c r="AN249" s="828">
        <v>30</v>
      </c>
      <c r="AO249" s="828">
        <v>99</v>
      </c>
      <c r="AP249" s="828">
        <v>29</v>
      </c>
    </row>
    <row r="250" hidden="1">
      <c r="B250" s="829" t="s">
        <v>11</v>
      </c>
      <c r="C250" s="823">
        <v>3621</v>
      </c>
      <c r="D250" s="823">
        <v>3691</v>
      </c>
      <c r="E250" s="823">
        <v>4252</v>
      </c>
      <c r="F250" s="823">
        <v>4349</v>
      </c>
      <c r="G250" s="823">
        <v>4219</v>
      </c>
      <c r="H250" s="823">
        <v>4202</v>
      </c>
      <c r="I250" s="823">
        <v>5035</v>
      </c>
      <c r="J250" s="823">
        <v>4502</v>
      </c>
      <c r="K250" s="823">
        <v>3386</v>
      </c>
      <c r="L250" s="823">
        <v>4376</v>
      </c>
      <c r="M250" s="823">
        <v>1881</v>
      </c>
      <c r="N250" s="823">
        <v>1437</v>
      </c>
      <c r="O250" s="823">
        <v>2309</v>
      </c>
      <c r="P250" s="823">
        <v>1889</v>
      </c>
      <c r="Q250" s="823">
        <v>1950</v>
      </c>
      <c r="R250" s="823">
        <v>248</v>
      </c>
      <c r="S250" s="823">
        <v>1420</v>
      </c>
      <c r="T250" s="823">
        <v>295</v>
      </c>
      <c r="U250" s="823">
        <v>4086</v>
      </c>
      <c r="V250" s="823">
        <v>284</v>
      </c>
      <c r="W250" s="823">
        <v>993</v>
      </c>
      <c r="X250" s="823">
        <v>580</v>
      </c>
      <c r="Y250" s="823">
        <v>582</v>
      </c>
      <c r="Z250" s="823">
        <v>171</v>
      </c>
      <c r="AA250" s="823">
        <v>724</v>
      </c>
      <c r="AB250" s="823">
        <v>246</v>
      </c>
      <c r="AC250" s="825">
        <v>592</v>
      </c>
      <c r="AD250" s="825">
        <v>76</v>
      </c>
      <c r="AE250" s="825">
        <v>590</v>
      </c>
      <c r="AF250" s="825">
        <v>197</v>
      </c>
      <c r="AG250" s="825">
        <v>529</v>
      </c>
      <c r="AH250" s="825">
        <v>182</v>
      </c>
      <c r="AI250" s="825">
        <v>3897</v>
      </c>
      <c r="AJ250" s="825">
        <v>164</v>
      </c>
      <c r="AK250" s="825">
        <v>2087</v>
      </c>
      <c r="AL250" s="825">
        <v>48</v>
      </c>
      <c r="AM250" s="825">
        <v>4616</v>
      </c>
      <c r="AN250" s="825">
        <v>4248</v>
      </c>
      <c r="AO250" s="825">
        <v>203</v>
      </c>
      <c r="AP250" s="825">
        <v>175</v>
      </c>
    </row>
    <row r="251" hidden="1">
      <c r="B251" s="826" t="s">
        <v>12</v>
      </c>
      <c r="C251" s="827">
        <v>6961</v>
      </c>
      <c r="D251" s="827">
        <v>10006</v>
      </c>
      <c r="E251" s="827">
        <v>11218</v>
      </c>
      <c r="F251" s="827">
        <v>8892</v>
      </c>
      <c r="G251" s="827">
        <v>9324</v>
      </c>
      <c r="H251" s="827">
        <v>9441</v>
      </c>
      <c r="I251" s="827">
        <v>9573</v>
      </c>
      <c r="J251" s="827">
        <v>10288</v>
      </c>
      <c r="K251" s="827">
        <v>10562</v>
      </c>
      <c r="L251" s="827">
        <v>10286</v>
      </c>
      <c r="M251" s="827">
        <v>9088</v>
      </c>
      <c r="N251" s="827">
        <v>9544</v>
      </c>
      <c r="O251" s="827">
        <v>9923</v>
      </c>
      <c r="P251" s="827">
        <v>9979</v>
      </c>
      <c r="Q251" s="827">
        <v>10708</v>
      </c>
      <c r="R251" s="827">
        <v>10235</v>
      </c>
      <c r="S251" s="827">
        <v>8556</v>
      </c>
      <c r="T251" s="827">
        <v>9674</v>
      </c>
      <c r="U251" s="827">
        <v>5830</v>
      </c>
      <c r="V251" s="827">
        <v>6447</v>
      </c>
      <c r="W251" s="827">
        <v>9069</v>
      </c>
      <c r="X251" s="827">
        <v>11970</v>
      </c>
      <c r="Y251" s="827">
        <v>11580</v>
      </c>
      <c r="Z251" s="827">
        <v>10185</v>
      </c>
      <c r="AA251" s="827">
        <v>9637</v>
      </c>
      <c r="AB251" s="827">
        <v>9667</v>
      </c>
      <c r="AC251" s="828">
        <v>8092</v>
      </c>
      <c r="AD251" s="828">
        <v>7960</v>
      </c>
      <c r="AE251" s="828">
        <v>8080</v>
      </c>
      <c r="AF251" s="828">
        <v>8089</v>
      </c>
      <c r="AG251" s="828">
        <v>7880</v>
      </c>
      <c r="AH251" s="828">
        <v>7834</v>
      </c>
      <c r="AI251" s="828">
        <v>8538</v>
      </c>
      <c r="AJ251" s="828">
        <v>8357</v>
      </c>
      <c r="AK251" s="828">
        <v>8095</v>
      </c>
      <c r="AL251" s="828">
        <v>8202</v>
      </c>
      <c r="AM251" s="828">
        <v>8150</v>
      </c>
      <c r="AN251" s="828">
        <v>6854</v>
      </c>
      <c r="AO251" s="828">
        <v>7211</v>
      </c>
      <c r="AP251" s="828">
        <v>6273</v>
      </c>
    </row>
    <row r="252" hidden="1">
      <c r="B252" s="829" t="s">
        <v>13</v>
      </c>
      <c r="C252" s="823">
        <v>1072</v>
      </c>
      <c r="D252" s="823">
        <v>1107</v>
      </c>
      <c r="E252" s="823">
        <v>1887</v>
      </c>
      <c r="F252" s="823">
        <v>1889</v>
      </c>
      <c r="G252" s="823">
        <v>1672</v>
      </c>
      <c r="H252" s="823">
        <v>1666</v>
      </c>
      <c r="I252" s="823">
        <v>1068</v>
      </c>
      <c r="J252" s="823">
        <v>791</v>
      </c>
      <c r="K252" s="823">
        <v>357</v>
      </c>
      <c r="L252" s="823">
        <v>424</v>
      </c>
      <c r="M252" s="823">
        <v>298</v>
      </c>
      <c r="N252" s="823">
        <v>816</v>
      </c>
      <c r="O252" s="823">
        <v>98</v>
      </c>
      <c r="P252" s="823">
        <v>74</v>
      </c>
      <c r="Q252" s="823">
        <v>46</v>
      </c>
      <c r="R252" s="823">
        <v>44</v>
      </c>
      <c r="S252" s="823">
        <v>73</v>
      </c>
      <c r="T252" s="823">
        <v>48</v>
      </c>
      <c r="U252" s="823">
        <v>799</v>
      </c>
      <c r="V252" s="823">
        <v>799</v>
      </c>
      <c r="W252" s="823">
        <v>264</v>
      </c>
      <c r="X252" s="823">
        <v>264</v>
      </c>
      <c r="Y252" s="823">
        <v>241</v>
      </c>
      <c r="Z252" s="823">
        <v>241</v>
      </c>
      <c r="AA252" s="823">
        <v>261</v>
      </c>
      <c r="AB252" s="823">
        <v>261</v>
      </c>
      <c r="AC252" s="825">
        <v>185</v>
      </c>
      <c r="AD252" s="825">
        <v>165</v>
      </c>
      <c r="AE252" s="825">
        <v>154</v>
      </c>
      <c r="AF252" s="825">
        <v>139</v>
      </c>
      <c r="AG252" s="825">
        <v>140</v>
      </c>
      <c r="AH252" s="825">
        <v>133</v>
      </c>
      <c r="AI252" s="825">
        <v>37</v>
      </c>
      <c r="AJ252" s="825">
        <v>25</v>
      </c>
      <c r="AK252" s="825">
        <v>18</v>
      </c>
      <c r="AL252" s="825">
        <v>16</v>
      </c>
      <c r="AM252" s="825">
        <v>30</v>
      </c>
      <c r="AN252" s="825">
        <v>30</v>
      </c>
      <c r="AO252" s="825">
        <v>7</v>
      </c>
      <c r="AP252" s="825">
        <v>7</v>
      </c>
    </row>
    <row r="253" hidden="1">
      <c r="B253" s="826" t="s">
        <v>109</v>
      </c>
      <c r="C253" s="827">
        <v>222789</v>
      </c>
      <c r="D253" s="827">
        <v>188906</v>
      </c>
      <c r="E253" s="827">
        <v>346132</v>
      </c>
      <c r="F253" s="827">
        <v>349293</v>
      </c>
      <c r="G253" s="827">
        <v>369214</v>
      </c>
      <c r="H253" s="827">
        <v>366714</v>
      </c>
      <c r="I253" s="827">
        <v>413741</v>
      </c>
      <c r="J253" s="827">
        <v>409978</v>
      </c>
      <c r="K253" s="827">
        <v>401907</v>
      </c>
      <c r="L253" s="827">
        <v>402546</v>
      </c>
      <c r="M253" s="827">
        <v>910866</v>
      </c>
      <c r="N253" s="827">
        <v>889745</v>
      </c>
      <c r="O253" s="827">
        <v>952525</v>
      </c>
      <c r="P253" s="827">
        <v>950213</v>
      </c>
      <c r="Q253" s="827">
        <v>895455</v>
      </c>
      <c r="R253" s="827">
        <v>887708</v>
      </c>
      <c r="S253" s="827">
        <v>719171</v>
      </c>
      <c r="T253" s="827">
        <v>718951</v>
      </c>
      <c r="U253" s="827">
        <v>814323</v>
      </c>
      <c r="V253" s="827">
        <v>814241</v>
      </c>
      <c r="W253" s="827">
        <v>784634</v>
      </c>
      <c r="X253" s="827">
        <v>786428</v>
      </c>
      <c r="Y253" s="827">
        <v>1200981</v>
      </c>
      <c r="Z253" s="827">
        <v>1218893</v>
      </c>
      <c r="AA253" s="827">
        <v>1149584</v>
      </c>
      <c r="AB253" s="827">
        <v>1144710</v>
      </c>
      <c r="AC253" s="828">
        <v>925505</v>
      </c>
      <c r="AD253" s="828">
        <v>938313</v>
      </c>
      <c r="AE253" s="828">
        <v>1119412</v>
      </c>
      <c r="AF253" s="828">
        <v>1119217</v>
      </c>
      <c r="AG253" s="828">
        <v>433610</v>
      </c>
      <c r="AH253" s="828">
        <v>430400</v>
      </c>
      <c r="AI253" s="828">
        <v>466037</v>
      </c>
      <c r="AJ253" s="828">
        <v>455851</v>
      </c>
      <c r="AK253" s="828">
        <v>393331</v>
      </c>
      <c r="AL253" s="828">
        <v>395233</v>
      </c>
      <c r="AM253" s="828">
        <v>375878</v>
      </c>
      <c r="AN253" s="828">
        <v>375878</v>
      </c>
      <c r="AO253" s="828">
        <v>418678</v>
      </c>
      <c r="AP253" s="828">
        <v>427698</v>
      </c>
    </row>
    <row r="254" hidden="1">
      <c r="B254" s="829" t="s">
        <v>110</v>
      </c>
      <c r="C254" s="823">
        <v>773778</v>
      </c>
      <c r="D254" s="823">
        <v>770957</v>
      </c>
      <c r="E254" s="823">
        <v>819074</v>
      </c>
      <c r="F254" s="823">
        <v>790603</v>
      </c>
      <c r="G254" s="823">
        <v>781828</v>
      </c>
      <c r="H254" s="823">
        <v>720764</v>
      </c>
      <c r="I254" s="823">
        <v>742728</v>
      </c>
      <c r="J254" s="823">
        <v>706796</v>
      </c>
      <c r="K254" s="823">
        <v>706746</v>
      </c>
      <c r="L254" s="823">
        <v>568696</v>
      </c>
      <c r="M254" s="823">
        <v>718454</v>
      </c>
      <c r="N254" s="823">
        <v>694214</v>
      </c>
      <c r="O254" s="823">
        <v>645911</v>
      </c>
      <c r="P254" s="823">
        <v>643016</v>
      </c>
      <c r="Q254" s="823">
        <v>598945</v>
      </c>
      <c r="R254" s="823">
        <v>636762</v>
      </c>
      <c r="S254" s="823">
        <v>646350</v>
      </c>
      <c r="T254" s="823">
        <v>676466</v>
      </c>
      <c r="U254" s="823">
        <v>706687</v>
      </c>
      <c r="V254" s="823">
        <v>697320</v>
      </c>
      <c r="W254" s="823">
        <v>665558</v>
      </c>
      <c r="X254" s="823">
        <v>693981</v>
      </c>
      <c r="Y254" s="823">
        <v>701959</v>
      </c>
      <c r="Z254" s="823">
        <v>708785</v>
      </c>
      <c r="AA254" s="823">
        <v>737784</v>
      </c>
      <c r="AB254" s="823">
        <v>761082</v>
      </c>
      <c r="AC254" s="825">
        <v>738384</v>
      </c>
      <c r="AD254" s="825">
        <v>771259</v>
      </c>
      <c r="AE254" s="825">
        <v>772068</v>
      </c>
      <c r="AF254" s="825">
        <v>759036</v>
      </c>
      <c r="AG254" s="825">
        <v>723201</v>
      </c>
      <c r="AH254" s="825">
        <v>750184</v>
      </c>
      <c r="AI254" s="825">
        <v>762944</v>
      </c>
      <c r="AJ254" s="825">
        <v>692673</v>
      </c>
      <c r="AK254" s="825">
        <v>713203</v>
      </c>
      <c r="AL254" s="825">
        <v>706978</v>
      </c>
      <c r="AM254" s="825">
        <v>714734</v>
      </c>
      <c r="AN254" s="825">
        <v>738376</v>
      </c>
      <c r="AO254" s="825">
        <v>696516</v>
      </c>
      <c r="AP254" s="825">
        <v>704307</v>
      </c>
    </row>
    <row r="255" hidden="1">
      <c r="B255" s="826" t="s">
        <v>16</v>
      </c>
      <c r="C255" s="827">
        <v>103340</v>
      </c>
      <c r="D255" s="827">
        <v>94492</v>
      </c>
      <c r="E255" s="827">
        <v>1103210</v>
      </c>
      <c r="F255" s="827">
        <v>1116093</v>
      </c>
      <c r="G255" s="827">
        <v>1119469</v>
      </c>
      <c r="H255" s="827">
        <v>1121821</v>
      </c>
      <c r="I255" s="827">
        <v>1106921</v>
      </c>
      <c r="J255" s="827">
        <v>1076731</v>
      </c>
      <c r="K255" s="827">
        <v>1043279</v>
      </c>
      <c r="L255" s="827">
        <v>1062732</v>
      </c>
      <c r="M255" s="827">
        <v>1132489</v>
      </c>
      <c r="N255" s="827">
        <v>1126142</v>
      </c>
      <c r="O255" s="827">
        <v>1177749</v>
      </c>
      <c r="P255" s="827">
        <v>1097892</v>
      </c>
      <c r="Q255" s="827">
        <v>1173986</v>
      </c>
      <c r="R255" s="827">
        <v>1137170</v>
      </c>
      <c r="S255" s="827">
        <v>1198448</v>
      </c>
      <c r="T255" s="827">
        <v>1209126</v>
      </c>
      <c r="U255" s="827">
        <v>1388359</v>
      </c>
      <c r="V255" s="827">
        <v>1403230</v>
      </c>
      <c r="W255" s="827">
        <v>1403230</v>
      </c>
      <c r="X255" s="827">
        <v>1403230</v>
      </c>
      <c r="Y255" s="827">
        <v>1403230</v>
      </c>
      <c r="Z255" s="827">
        <v>1403230</v>
      </c>
      <c r="AA255" s="827">
        <v>1730160</v>
      </c>
      <c r="AB255" s="827">
        <v>1732102</v>
      </c>
      <c r="AC255" s="828">
        <v>1607165</v>
      </c>
      <c r="AD255" s="828">
        <v>1630240</v>
      </c>
      <c r="AE255" s="828">
        <v>1647732</v>
      </c>
      <c r="AF255" s="828">
        <v>1218926</v>
      </c>
      <c r="AG255" s="828">
        <v>354747</v>
      </c>
      <c r="AH255" s="828">
        <v>1588633</v>
      </c>
      <c r="AI255" s="828">
        <v>1625801</v>
      </c>
      <c r="AJ255" s="828">
        <v>1599923</v>
      </c>
      <c r="AK255" s="828">
        <v>1550085</v>
      </c>
      <c r="AL255" s="828">
        <v>1546924</v>
      </c>
      <c r="AM255" s="828">
        <v>1600939</v>
      </c>
      <c r="AN255" s="828">
        <v>1604466</v>
      </c>
      <c r="AO255" s="828">
        <v>1656076</v>
      </c>
      <c r="AP255" s="828">
        <v>1665183</v>
      </c>
    </row>
    <row r="256" hidden="1">
      <c r="B256" s="829" t="s">
        <v>17</v>
      </c>
      <c r="C256" s="823">
        <v>290158</v>
      </c>
      <c r="D256" s="823">
        <v>281768</v>
      </c>
      <c r="E256" s="823">
        <v>172733</v>
      </c>
      <c r="F256" s="823">
        <v>147919</v>
      </c>
      <c r="G256" s="823">
        <v>148391</v>
      </c>
      <c r="H256" s="823">
        <v>150978</v>
      </c>
      <c r="I256" s="823">
        <v>96816</v>
      </c>
      <c r="J256" s="823">
        <v>94038</v>
      </c>
      <c r="K256" s="823">
        <v>84084</v>
      </c>
      <c r="L256" s="823">
        <v>77288</v>
      </c>
      <c r="M256" s="823">
        <v>88785</v>
      </c>
      <c r="N256" s="823">
        <v>76254</v>
      </c>
      <c r="O256" s="823">
        <v>69089</v>
      </c>
      <c r="P256" s="823">
        <v>52872</v>
      </c>
      <c r="Q256" s="823">
        <v>49528</v>
      </c>
      <c r="R256" s="823">
        <v>49774</v>
      </c>
      <c r="S256" s="823">
        <v>65956</v>
      </c>
      <c r="T256" s="823">
        <v>66192</v>
      </c>
      <c r="U256" s="823">
        <v>106606</v>
      </c>
      <c r="V256" s="823">
        <v>108277</v>
      </c>
      <c r="W256" s="823">
        <v>131429</v>
      </c>
      <c r="X256" s="823">
        <v>127946</v>
      </c>
      <c r="Y256" s="823">
        <v>133646</v>
      </c>
      <c r="Z256" s="823">
        <v>132500</v>
      </c>
      <c r="AA256" s="823">
        <v>152175</v>
      </c>
      <c r="AB256" s="823">
        <v>152402</v>
      </c>
      <c r="AC256" s="825">
        <v>176099</v>
      </c>
      <c r="AD256" s="825">
        <v>179931</v>
      </c>
      <c r="AE256" s="825">
        <v>162981</v>
      </c>
      <c r="AF256" s="825">
        <v>162190</v>
      </c>
      <c r="AG256" s="825">
        <v>160032</v>
      </c>
      <c r="AH256" s="825">
        <v>155028</v>
      </c>
      <c r="AI256" s="825">
        <v>167268</v>
      </c>
      <c r="AJ256" s="825">
        <v>161708</v>
      </c>
      <c r="AK256" s="825">
        <v>157667</v>
      </c>
      <c r="AL256" s="825">
        <v>155565</v>
      </c>
      <c r="AM256" s="825">
        <v>150612</v>
      </c>
      <c r="AN256" s="825">
        <v>146084</v>
      </c>
      <c r="AO256" s="825">
        <v>149949</v>
      </c>
      <c r="AP256" s="825">
        <v>147341</v>
      </c>
    </row>
    <row r="257" hidden="1">
      <c r="B257" s="826" t="s">
        <v>18</v>
      </c>
      <c r="C257" s="827">
        <v>11897</v>
      </c>
      <c r="D257" s="827">
        <v>29634</v>
      </c>
      <c r="E257" s="827">
        <v>46103</v>
      </c>
      <c r="F257" s="827">
        <v>60604</v>
      </c>
      <c r="G257" s="827">
        <v>95583</v>
      </c>
      <c r="H257" s="827">
        <v>69800</v>
      </c>
      <c r="I257" s="827">
        <v>106560</v>
      </c>
      <c r="J257" s="827">
        <v>100133</v>
      </c>
      <c r="K257" s="827">
        <v>124013</v>
      </c>
      <c r="L257" s="827">
        <v>107292</v>
      </c>
      <c r="M257" s="827">
        <v>125091</v>
      </c>
      <c r="N257" s="827">
        <v>109612</v>
      </c>
      <c r="O257" s="827">
        <v>148652</v>
      </c>
      <c r="P257" s="827">
        <v>109929</v>
      </c>
      <c r="Q257" s="827">
        <v>132811</v>
      </c>
      <c r="R257" s="827">
        <v>141022</v>
      </c>
      <c r="S257" s="827">
        <v>154365</v>
      </c>
      <c r="T257" s="827">
        <v>123438</v>
      </c>
      <c r="U257" s="827">
        <v>141675</v>
      </c>
      <c r="V257" s="827">
        <v>145281</v>
      </c>
      <c r="W257" s="827">
        <v>151969</v>
      </c>
      <c r="X257" s="827">
        <v>133300</v>
      </c>
      <c r="Y257" s="827">
        <v>149562</v>
      </c>
      <c r="Z257" s="827">
        <v>175589</v>
      </c>
      <c r="AA257" s="827">
        <v>177123</v>
      </c>
      <c r="AB257" s="827">
        <v>193443</v>
      </c>
      <c r="AC257" s="828">
        <v>202220</v>
      </c>
      <c r="AD257" s="828">
        <v>255631</v>
      </c>
      <c r="AE257" s="828">
        <v>223048</v>
      </c>
      <c r="AF257" s="828">
        <v>244622</v>
      </c>
      <c r="AG257" s="828">
        <v>231901</v>
      </c>
      <c r="AH257" s="828">
        <v>226553</v>
      </c>
      <c r="AI257" s="828">
        <v>239031</v>
      </c>
      <c r="AJ257" s="828">
        <v>237650</v>
      </c>
      <c r="AK257" s="828">
        <v>246615</v>
      </c>
      <c r="AL257" s="828">
        <v>242066</v>
      </c>
      <c r="AM257" s="828">
        <v>246351</v>
      </c>
      <c r="AN257" s="828">
        <v>230148</v>
      </c>
      <c r="AO257" s="828">
        <v>241117</v>
      </c>
      <c r="AP257" s="828">
        <v>243345</v>
      </c>
    </row>
    <row r="258" hidden="1">
      <c r="B258" s="829" t="s">
        <v>19</v>
      </c>
      <c r="C258" s="823">
        <v>3445</v>
      </c>
      <c r="D258" s="823">
        <v>3805</v>
      </c>
      <c r="E258" s="823">
        <v>8229</v>
      </c>
      <c r="F258" s="823">
        <v>8017</v>
      </c>
      <c r="G258" s="823">
        <v>8437</v>
      </c>
      <c r="H258" s="823">
        <v>7613</v>
      </c>
      <c r="I258" s="823">
        <v>7330</v>
      </c>
      <c r="J258" s="823">
        <v>6836</v>
      </c>
      <c r="K258" s="823">
        <v>4697</v>
      </c>
      <c r="L258" s="823">
        <v>2776</v>
      </c>
      <c r="M258" s="823">
        <v>2539</v>
      </c>
      <c r="N258" s="823">
        <v>1390</v>
      </c>
      <c r="O258" s="823">
        <v>948</v>
      </c>
      <c r="P258" s="823">
        <v>888</v>
      </c>
      <c r="Q258" s="823">
        <v>2163</v>
      </c>
      <c r="R258" s="823">
        <v>2163</v>
      </c>
      <c r="S258" s="823">
        <v>675</v>
      </c>
      <c r="T258" s="823">
        <v>720</v>
      </c>
      <c r="U258" s="823">
        <v>810</v>
      </c>
      <c r="V258" s="823">
        <v>810</v>
      </c>
      <c r="W258" s="823">
        <v>1695</v>
      </c>
      <c r="X258" s="823">
        <v>1695</v>
      </c>
      <c r="Y258" s="823">
        <v>3305</v>
      </c>
      <c r="Z258" s="823">
        <v>3305</v>
      </c>
      <c r="AA258" s="823">
        <v>2323</v>
      </c>
      <c r="AB258" s="823">
        <v>1503</v>
      </c>
      <c r="AC258" s="825">
        <v>1171</v>
      </c>
      <c r="AD258" s="825">
        <v>1171</v>
      </c>
      <c r="AE258" s="825">
        <v>1544</v>
      </c>
      <c r="AF258" s="825">
        <v>1086</v>
      </c>
      <c r="AG258" s="825">
        <v>1446</v>
      </c>
      <c r="AH258" s="825">
        <v>1461</v>
      </c>
      <c r="AI258" s="825">
        <v>1469</v>
      </c>
      <c r="AJ258" s="825">
        <v>1437</v>
      </c>
      <c r="AK258" s="825">
        <v>1572</v>
      </c>
      <c r="AL258" s="825">
        <v>1572</v>
      </c>
      <c r="AM258" s="825">
        <v>817</v>
      </c>
      <c r="AN258" s="825">
        <v>817</v>
      </c>
      <c r="AO258" s="825">
        <v>675</v>
      </c>
      <c r="AP258" s="825">
        <v>675</v>
      </c>
    </row>
    <row r="259" hidden="1">
      <c r="B259" s="826" t="s">
        <v>20</v>
      </c>
      <c r="C259" s="827">
        <v>14792</v>
      </c>
      <c r="D259" s="827">
        <v>27052</v>
      </c>
      <c r="E259" s="827">
        <v>208098</v>
      </c>
      <c r="F259" s="827">
        <v>42253</v>
      </c>
      <c r="G259" s="827">
        <v>40654</v>
      </c>
      <c r="H259" s="827">
        <v>11925</v>
      </c>
      <c r="I259" s="827">
        <v>44047</v>
      </c>
      <c r="J259" s="827">
        <v>3303</v>
      </c>
      <c r="K259" s="827">
        <v>77546</v>
      </c>
      <c r="L259" s="827">
        <v>3490</v>
      </c>
      <c r="M259" s="827">
        <v>130257</v>
      </c>
      <c r="N259" s="827">
        <v>38965</v>
      </c>
      <c r="O259" s="827">
        <v>277917</v>
      </c>
      <c r="P259" s="827">
        <v>101256</v>
      </c>
      <c r="Q259" s="827">
        <v>195527</v>
      </c>
      <c r="R259" s="827">
        <v>63073</v>
      </c>
      <c r="S259" s="827">
        <v>210294</v>
      </c>
      <c r="T259" s="827">
        <v>66933</v>
      </c>
      <c r="U259" s="827">
        <v>234302</v>
      </c>
      <c r="V259" s="827">
        <v>102904</v>
      </c>
      <c r="W259" s="827">
        <v>213128</v>
      </c>
      <c r="X259" s="827">
        <v>75047</v>
      </c>
      <c r="Y259" s="827">
        <v>199595</v>
      </c>
      <c r="Z259" s="827">
        <v>70289</v>
      </c>
      <c r="AA259" s="827">
        <v>221429</v>
      </c>
      <c r="AB259" s="827">
        <v>60399</v>
      </c>
      <c r="AC259" s="828">
        <v>173683</v>
      </c>
      <c r="AD259" s="828">
        <v>53947</v>
      </c>
      <c r="AE259" s="828">
        <v>98887</v>
      </c>
      <c r="AF259" s="828">
        <v>27906</v>
      </c>
      <c r="AG259" s="828">
        <v>126724</v>
      </c>
      <c r="AH259" s="828">
        <v>29342</v>
      </c>
      <c r="AI259" s="828">
        <v>94334</v>
      </c>
      <c r="AJ259" s="828">
        <v>23338</v>
      </c>
      <c r="AK259" s="828">
        <v>131627</v>
      </c>
      <c r="AL259" s="828">
        <v>31060</v>
      </c>
      <c r="AM259" s="828">
        <v>101482</v>
      </c>
      <c r="AN259" s="828">
        <v>15653</v>
      </c>
      <c r="AO259" s="828">
        <v>59117</v>
      </c>
      <c r="AP259" s="828">
        <v>19177</v>
      </c>
    </row>
    <row r="260" hidden="1">
      <c r="B260" s="829" t="s">
        <v>21</v>
      </c>
      <c r="C260" s="823">
        <v>184666</v>
      </c>
      <c r="D260" s="823">
        <v>181084</v>
      </c>
      <c r="E260" s="823">
        <v>173042</v>
      </c>
      <c r="F260" s="823">
        <v>172443</v>
      </c>
      <c r="G260" s="823">
        <v>180905</v>
      </c>
      <c r="H260" s="823">
        <v>181381</v>
      </c>
      <c r="I260" s="823">
        <v>189570</v>
      </c>
      <c r="J260" s="823">
        <v>189741</v>
      </c>
      <c r="K260" s="823">
        <v>195291</v>
      </c>
      <c r="L260" s="823">
        <v>190328</v>
      </c>
      <c r="M260" s="823">
        <v>181602</v>
      </c>
      <c r="N260" s="823">
        <v>182491</v>
      </c>
      <c r="O260" s="823">
        <v>164288</v>
      </c>
      <c r="P260" s="823">
        <v>163655</v>
      </c>
      <c r="Q260" s="823">
        <v>163375</v>
      </c>
      <c r="R260" s="823">
        <v>176135</v>
      </c>
      <c r="S260" s="823">
        <v>174847</v>
      </c>
      <c r="T260" s="823">
        <v>174727</v>
      </c>
      <c r="U260" s="823">
        <v>187882</v>
      </c>
      <c r="V260" s="823">
        <v>187140</v>
      </c>
      <c r="W260" s="823">
        <v>179254</v>
      </c>
      <c r="X260" s="823">
        <v>179654</v>
      </c>
      <c r="Y260" s="823">
        <v>185092</v>
      </c>
      <c r="Z260" s="823">
        <v>188732</v>
      </c>
      <c r="AA260" s="823">
        <v>200357</v>
      </c>
      <c r="AB260" s="823">
        <v>195309</v>
      </c>
      <c r="AC260" s="825">
        <v>167991</v>
      </c>
      <c r="AD260" s="825">
        <v>173431</v>
      </c>
      <c r="AE260" s="825">
        <v>180859</v>
      </c>
      <c r="AF260" s="825">
        <v>179609</v>
      </c>
      <c r="AG260" s="825">
        <v>166039</v>
      </c>
      <c r="AH260" s="825">
        <v>165739</v>
      </c>
      <c r="AI260" s="825">
        <v>169234</v>
      </c>
      <c r="AJ260" s="825">
        <v>168212</v>
      </c>
      <c r="AK260" s="825">
        <v>164110</v>
      </c>
      <c r="AL260" s="825">
        <v>166152</v>
      </c>
      <c r="AM260" s="825">
        <v>165812</v>
      </c>
      <c r="AN260" s="825">
        <v>163712</v>
      </c>
      <c r="AO260" s="825">
        <v>166318</v>
      </c>
      <c r="AP260" s="825">
        <v>164823</v>
      </c>
    </row>
    <row r="261" hidden="1">
      <c r="B261" s="826" t="s">
        <v>22</v>
      </c>
      <c r="C261" s="827">
        <v>93</v>
      </c>
      <c r="D261" s="827">
        <v>93</v>
      </c>
      <c r="E261" s="827">
        <v>1411</v>
      </c>
      <c r="F261" s="827">
        <v>1412</v>
      </c>
      <c r="G261" s="827">
        <v>1412</v>
      </c>
      <c r="H261" s="827">
        <v>1412</v>
      </c>
      <c r="I261" s="827">
        <v>1412</v>
      </c>
      <c r="J261" s="827">
        <v>1412</v>
      </c>
      <c r="K261" s="827">
        <v>1971</v>
      </c>
      <c r="L261" s="827">
        <v>1971</v>
      </c>
      <c r="M261" s="827">
        <v>1868</v>
      </c>
      <c r="N261" s="827">
        <v>1867</v>
      </c>
      <c r="O261" s="827">
        <v>32</v>
      </c>
      <c r="P261" s="827">
        <v>32</v>
      </c>
      <c r="Q261" s="827">
        <v>1394</v>
      </c>
      <c r="R261" s="827">
        <v>13</v>
      </c>
      <c r="S261" s="827">
        <v>486</v>
      </c>
      <c r="T261" s="827">
        <v>482</v>
      </c>
      <c r="U261" s="827">
        <v>1332</v>
      </c>
      <c r="V261" s="827">
        <v>1332</v>
      </c>
      <c r="W261" s="827">
        <v>1860</v>
      </c>
      <c r="X261" s="827">
        <v>1860</v>
      </c>
      <c r="Y261" s="827">
        <v>542</v>
      </c>
      <c r="Z261" s="827">
        <v>542</v>
      </c>
      <c r="AA261" s="827">
        <v>1319</v>
      </c>
      <c r="AB261" s="827">
        <v>1319</v>
      </c>
      <c r="AC261" s="828">
        <v>595</v>
      </c>
      <c r="AD261" s="828">
        <v>595</v>
      </c>
      <c r="AE261" s="828">
        <v>785</v>
      </c>
      <c r="AF261" s="828">
        <v>785</v>
      </c>
      <c r="AG261" s="828">
        <v>616</v>
      </c>
      <c r="AH261" s="828">
        <v>609</v>
      </c>
      <c r="AI261" s="828">
        <v>1907</v>
      </c>
      <c r="AJ261" s="828">
        <v>1907</v>
      </c>
      <c r="AK261" s="828">
        <v>1814</v>
      </c>
      <c r="AL261" s="828">
        <v>1814</v>
      </c>
      <c r="AM261" s="828">
        <v>1178</v>
      </c>
      <c r="AN261" s="828">
        <v>1178</v>
      </c>
      <c r="AO261" s="828">
        <v>1231</v>
      </c>
      <c r="AP261" s="828">
        <v>1231</v>
      </c>
    </row>
    <row r="262" hidden="1">
      <c r="B262" s="829" t="s">
        <v>23</v>
      </c>
      <c r="C262" s="823">
        <v>1040</v>
      </c>
      <c r="D262" s="823">
        <v>0</v>
      </c>
      <c r="E262" s="823">
        <v>0</v>
      </c>
      <c r="F262" s="823">
        <v>0</v>
      </c>
      <c r="G262" s="823">
        <v>0</v>
      </c>
      <c r="H262" s="823">
        <v>0</v>
      </c>
      <c r="I262" s="823">
        <v>0</v>
      </c>
      <c r="J262" s="823">
        <v>0</v>
      </c>
      <c r="K262" s="823">
        <v>0</v>
      </c>
      <c r="L262" s="823">
        <v>0</v>
      </c>
      <c r="M262" s="823">
        <v>633</v>
      </c>
      <c r="N262" s="823">
        <v>633</v>
      </c>
      <c r="O262" s="823">
        <v>1700</v>
      </c>
      <c r="P262" s="823">
        <v>0</v>
      </c>
      <c r="Q262" s="823">
        <v>8110</v>
      </c>
      <c r="R262" s="823">
        <v>3793</v>
      </c>
      <c r="S262" s="823">
        <v>7221</v>
      </c>
      <c r="T262" s="823">
        <v>6421</v>
      </c>
      <c r="U262" s="823">
        <v>9620</v>
      </c>
      <c r="V262" s="823">
        <v>9620</v>
      </c>
      <c r="W262" s="823">
        <v>13867</v>
      </c>
      <c r="X262" s="823">
        <v>13867</v>
      </c>
      <c r="Y262" s="823">
        <v>13468</v>
      </c>
      <c r="Z262" s="823">
        <v>13468</v>
      </c>
      <c r="AA262" s="823">
        <v>13461</v>
      </c>
      <c r="AB262" s="823">
        <v>13461</v>
      </c>
      <c r="AC262" s="825">
        <v>12399</v>
      </c>
      <c r="AD262" s="825">
        <v>12399</v>
      </c>
      <c r="AE262" s="825">
        <v>12437</v>
      </c>
      <c r="AF262" s="825">
        <v>12437</v>
      </c>
      <c r="AG262" s="825">
        <v>14603</v>
      </c>
      <c r="AH262" s="825">
        <v>14603</v>
      </c>
      <c r="AI262" s="825">
        <v>13882</v>
      </c>
      <c r="AJ262" s="825">
        <v>13882</v>
      </c>
      <c r="AK262" s="825">
        <v>12085</v>
      </c>
      <c r="AL262" s="825">
        <v>19594</v>
      </c>
      <c r="AM262" s="825">
        <v>18182</v>
      </c>
      <c r="AN262" s="825">
        <v>18182</v>
      </c>
      <c r="AO262" s="825">
        <v>21040</v>
      </c>
      <c r="AP262" s="825">
        <v>21040</v>
      </c>
    </row>
    <row r="263" hidden="1">
      <c r="B263" s="835" t="s">
        <v>24</v>
      </c>
      <c r="C263" s="827">
        <v>184261</v>
      </c>
      <c r="D263" s="827">
        <v>175606</v>
      </c>
      <c r="E263" s="827">
        <v>169987</v>
      </c>
      <c r="F263" s="827">
        <v>166831</v>
      </c>
      <c r="G263" s="827">
        <v>163670</v>
      </c>
      <c r="H263" s="827">
        <v>158747</v>
      </c>
      <c r="I263" s="827">
        <v>159091</v>
      </c>
      <c r="J263" s="827">
        <v>159731</v>
      </c>
      <c r="K263" s="827">
        <v>163214</v>
      </c>
      <c r="L263" s="827">
        <v>158960</v>
      </c>
      <c r="M263" s="827">
        <v>162825</v>
      </c>
      <c r="N263" s="827">
        <v>160883</v>
      </c>
      <c r="O263" s="827">
        <v>160244</v>
      </c>
      <c r="P263" s="827">
        <v>154557</v>
      </c>
      <c r="Q263" s="827">
        <v>164332</v>
      </c>
      <c r="R263" s="827">
        <v>162213</v>
      </c>
      <c r="S263" s="827">
        <v>173409</v>
      </c>
      <c r="T263" s="827">
        <v>175712</v>
      </c>
      <c r="U263" s="827">
        <v>184203</v>
      </c>
      <c r="V263" s="827">
        <v>182266</v>
      </c>
      <c r="W263" s="827">
        <v>190206</v>
      </c>
      <c r="X263" s="827">
        <v>189751</v>
      </c>
      <c r="Y263" s="827">
        <v>193568</v>
      </c>
      <c r="Z263" s="827">
        <v>191407</v>
      </c>
      <c r="AA263" s="827">
        <v>181080</v>
      </c>
      <c r="AB263" s="827">
        <v>185249</v>
      </c>
      <c r="AC263" s="828">
        <v>197556</v>
      </c>
      <c r="AD263" s="828">
        <v>196489</v>
      </c>
      <c r="AE263" s="828">
        <v>198040</v>
      </c>
      <c r="AF263" s="828">
        <v>200041</v>
      </c>
      <c r="AG263" s="828">
        <v>189072</v>
      </c>
      <c r="AH263" s="828">
        <v>185267</v>
      </c>
      <c r="AI263" s="828">
        <v>269203</v>
      </c>
      <c r="AJ263" s="828">
        <v>262948</v>
      </c>
      <c r="AK263" s="828">
        <v>190047</v>
      </c>
      <c r="AL263" s="828">
        <v>187811</v>
      </c>
      <c r="AM263" s="828">
        <v>152888</v>
      </c>
      <c r="AN263" s="828">
        <v>148728</v>
      </c>
      <c r="AO263" s="828">
        <v>154590</v>
      </c>
      <c r="AP263" s="828">
        <v>156550</v>
      </c>
    </row>
    <row r="264" hidden="1">
      <c r="B264" s="829" t="s">
        <v>25</v>
      </c>
      <c r="C264" s="823">
        <v>0</v>
      </c>
      <c r="D264" s="823">
        <v>0</v>
      </c>
      <c r="E264" s="823">
        <v>0</v>
      </c>
      <c r="F264" s="823">
        <v>0</v>
      </c>
      <c r="G264" s="823">
        <v>0</v>
      </c>
      <c r="H264" s="823">
        <v>0</v>
      </c>
      <c r="I264" s="823">
        <v>0</v>
      </c>
      <c r="J264" s="823">
        <v>0</v>
      </c>
      <c r="K264" s="823">
        <v>0</v>
      </c>
      <c r="L264" s="823">
        <v>0</v>
      </c>
      <c r="M264" s="823">
        <v>0</v>
      </c>
      <c r="N264" s="823">
        <v>0</v>
      </c>
      <c r="O264" s="823">
        <v>0</v>
      </c>
      <c r="P264" s="823">
        <v>0</v>
      </c>
      <c r="Q264" s="823">
        <v>0</v>
      </c>
      <c r="R264" s="823">
        <v>0</v>
      </c>
      <c r="S264" s="823">
        <v>0</v>
      </c>
      <c r="T264" s="823">
        <v>0</v>
      </c>
      <c r="U264" s="823">
        <v>0</v>
      </c>
      <c r="V264" s="823">
        <v>0</v>
      </c>
      <c r="W264" s="823">
        <v>0</v>
      </c>
      <c r="X264" s="823">
        <v>0</v>
      </c>
      <c r="Y264" s="823">
        <v>0</v>
      </c>
      <c r="Z264" s="823">
        <v>0</v>
      </c>
      <c r="AA264" s="823">
        <v>0</v>
      </c>
      <c r="AB264" s="823">
        <v>0</v>
      </c>
      <c r="AC264" s="825">
        <v>0</v>
      </c>
      <c r="AD264" s="825">
        <v>0</v>
      </c>
      <c r="AE264" s="825">
        <v>0</v>
      </c>
      <c r="AF264" s="825">
        <v>0</v>
      </c>
      <c r="AG264" s="825">
        <v>0</v>
      </c>
      <c r="AH264" s="825">
        <v>0</v>
      </c>
      <c r="AI264" s="825">
        <v>0</v>
      </c>
      <c r="AJ264" s="825">
        <v>0</v>
      </c>
      <c r="AK264" s="825">
        <v>0</v>
      </c>
      <c r="AL264" s="825">
        <v>0</v>
      </c>
      <c r="AM264" s="825">
        <v>0</v>
      </c>
      <c r="AN264" s="825">
        <v>0</v>
      </c>
      <c r="AO264" s="825">
        <v>0</v>
      </c>
      <c r="AP264" s="825">
        <v>0</v>
      </c>
    </row>
    <row r="265" hidden="1" ht="13.5">
      <c r="B265" s="836" t="s">
        <v>26</v>
      </c>
      <c r="C265" s="827">
        <v>0</v>
      </c>
      <c r="D265" s="827">
        <v>0</v>
      </c>
      <c r="E265" s="827">
        <v>0</v>
      </c>
      <c r="F265" s="827">
        <v>0</v>
      </c>
      <c r="G265" s="827">
        <v>0</v>
      </c>
      <c r="H265" s="827">
        <v>0</v>
      </c>
      <c r="I265" s="827">
        <v>0</v>
      </c>
      <c r="J265" s="827">
        <v>0</v>
      </c>
      <c r="K265" s="827">
        <v>0</v>
      </c>
      <c r="L265" s="827">
        <v>0</v>
      </c>
      <c r="M265" s="827">
        <v>0</v>
      </c>
      <c r="N265" s="827">
        <v>0</v>
      </c>
      <c r="O265" s="827">
        <v>0</v>
      </c>
      <c r="P265" s="827">
        <v>0</v>
      </c>
      <c r="Q265" s="827">
        <v>0</v>
      </c>
      <c r="R265" s="827">
        <v>0</v>
      </c>
      <c r="S265" s="827">
        <v>0</v>
      </c>
      <c r="T265" s="827">
        <v>0</v>
      </c>
      <c r="U265" s="827">
        <v>0</v>
      </c>
      <c r="V265" s="827">
        <v>0</v>
      </c>
      <c r="W265" s="827">
        <v>0</v>
      </c>
      <c r="X265" s="827">
        <v>0</v>
      </c>
      <c r="Y265" s="827">
        <v>0</v>
      </c>
      <c r="Z265" s="827">
        <v>0</v>
      </c>
      <c r="AA265" s="827">
        <v>0</v>
      </c>
      <c r="AB265" s="837">
        <v>0</v>
      </c>
      <c r="AC265" s="828">
        <v>0</v>
      </c>
      <c r="AD265" s="828">
        <v>0</v>
      </c>
      <c r="AE265" s="828">
        <v>0</v>
      </c>
      <c r="AF265" s="828">
        <v>0</v>
      </c>
      <c r="AG265" s="828">
        <v>0</v>
      </c>
      <c r="AH265" s="828">
        <v>0</v>
      </c>
      <c r="AI265" s="828">
        <v>0</v>
      </c>
      <c r="AJ265" s="828">
        <v>0</v>
      </c>
      <c r="AK265" s="828">
        <v>0</v>
      </c>
      <c r="AL265" s="828">
        <v>0</v>
      </c>
      <c r="AM265" s="828">
        <v>0</v>
      </c>
      <c r="AN265" s="828">
        <v>0</v>
      </c>
      <c r="AO265" s="828">
        <v>0</v>
      </c>
      <c r="AP265" s="828">
        <v>0</v>
      </c>
    </row>
    <row r="266" hidden="1" ht="13.5">
      <c r="B266" s="128" t="s">
        <v>7</v>
      </c>
      <c r="C266" s="129" t="str">
        <f>IF(SUM(C247:C265)&lt;&gt;0,SUM(C247:C265),"")</f>
      </c>
      <c r="D266" s="129" t="str">
        <f ref="D266:AA266" t="shared" si="15">IF(SUM(D247:D265)&lt;&gt;0,SUM(D247:D265),"")</f>
      </c>
      <c r="E266" s="129" t="str">
        <f t="shared" si="15"/>
      </c>
      <c r="F266" s="129" t="str">
        <f t="shared" si="15"/>
      </c>
      <c r="G266" s="129" t="str">
        <f t="shared" si="15"/>
      </c>
      <c r="H266" s="129" t="str">
        <f t="shared" si="15"/>
      </c>
      <c r="I266" s="129" t="str">
        <f t="shared" si="15"/>
      </c>
      <c r="J266" s="129" t="str">
        <f t="shared" si="15"/>
      </c>
      <c r="K266" s="129" t="str">
        <f t="shared" si="15"/>
      </c>
      <c r="L266" s="129" t="str">
        <f t="shared" si="15"/>
      </c>
      <c r="M266" s="129" t="str">
        <f t="shared" si="15"/>
      </c>
      <c r="N266" s="129" t="str">
        <f t="shared" si="15"/>
      </c>
      <c r="O266" s="129" t="str">
        <f t="shared" si="15"/>
      </c>
      <c r="P266" s="129" t="str">
        <f t="shared" si="15"/>
      </c>
      <c r="Q266" s="129" t="str">
        <f t="shared" si="15"/>
      </c>
      <c r="R266" s="129" t="str">
        <f t="shared" si="15"/>
      </c>
      <c r="S266" s="129" t="str">
        <f t="shared" si="15"/>
      </c>
      <c r="T266" s="129" t="str">
        <f t="shared" si="15"/>
      </c>
      <c r="U266" s="129" t="str">
        <f t="shared" si="15"/>
      </c>
      <c r="V266" s="129" t="str">
        <f t="shared" si="15"/>
      </c>
      <c r="W266" s="129" t="str">
        <f t="shared" si="15"/>
      </c>
      <c r="X266" s="129" t="str">
        <f t="shared" si="15"/>
      </c>
      <c r="Y266" s="129" t="str">
        <f t="shared" si="15"/>
      </c>
      <c r="Z266" s="129" t="str">
        <f t="shared" si="15"/>
      </c>
      <c r="AA266" s="129" t="str">
        <f t="shared" si="15"/>
      </c>
      <c r="AB266" s="130" t="str">
        <f>IF(SUM(AB247:AB265)&lt;&gt;0,SUM(AB247:AB265),"")</f>
      </c>
      <c r="AC266" s="91" t="str">
        <f ref="AC266:CN266" t="shared" si="16">IF(SUM(AC247:AC265)&lt;&gt;0,SUM(AC247:AC265),"")</f>
      </c>
      <c r="AD266" s="91" t="str">
        <f t="shared" si="16"/>
      </c>
      <c r="AE266" s="91" t="str">
        <f t="shared" si="16"/>
      </c>
      <c r="AF266" s="91" t="str">
        <f t="shared" si="16"/>
      </c>
      <c r="AG266" s="91" t="str">
        <f t="shared" si="16"/>
      </c>
      <c r="AH266" s="91" t="str">
        <f t="shared" si="16"/>
      </c>
      <c r="AI266" s="91" t="str">
        <f t="shared" si="16"/>
      </c>
      <c r="AJ266" s="91" t="str">
        <f t="shared" si="16"/>
      </c>
      <c r="AK266" s="91" t="str">
        <f t="shared" si="16"/>
      </c>
      <c r="AL266" s="91" t="str">
        <f t="shared" si="16"/>
      </c>
      <c r="AM266" s="91" t="str">
        <f t="shared" si="16"/>
      </c>
      <c r="AN266" s="91" t="str">
        <f t="shared" si="16"/>
      </c>
      <c r="AO266" s="91" t="str">
        <f t="shared" si="16"/>
      </c>
      <c r="AP266" s="91" t="str">
        <f t="shared" si="16"/>
      </c>
      <c r="AQ266" s="91" t="str">
        <f t="shared" si="16"/>
      </c>
      <c r="AR266" s="91" t="str">
        <f t="shared" si="16"/>
      </c>
      <c r="AS266" s="91" t="str">
        <f t="shared" si="16"/>
      </c>
      <c r="AT266" s="91" t="str">
        <f t="shared" si="16"/>
      </c>
      <c r="AU266" s="91" t="str">
        <f t="shared" si="16"/>
      </c>
      <c r="AV266" s="91" t="str">
        <f t="shared" si="16"/>
      </c>
      <c r="AW266" s="91" t="str">
        <f t="shared" si="16"/>
      </c>
      <c r="AX266" s="91" t="str">
        <f t="shared" si="16"/>
      </c>
      <c r="AY266" s="91" t="str">
        <f t="shared" si="16"/>
      </c>
      <c r="AZ266" s="91" t="str">
        <f t="shared" si="16"/>
      </c>
      <c r="BA266" s="91" t="str">
        <f t="shared" si="16"/>
      </c>
      <c r="BB266" s="91" t="str">
        <f t="shared" si="16"/>
      </c>
      <c r="BC266" s="91" t="str">
        <f t="shared" si="16"/>
      </c>
      <c r="BD266" s="91" t="str">
        <f t="shared" si="16"/>
      </c>
      <c r="BE266" s="91" t="str">
        <f t="shared" si="16"/>
      </c>
      <c r="BF266" s="91" t="str">
        <f t="shared" si="16"/>
      </c>
      <c r="BG266" s="91" t="str">
        <f t="shared" si="16"/>
      </c>
      <c r="BH266" s="91" t="str">
        <f t="shared" si="16"/>
      </c>
      <c r="BI266" s="91" t="str">
        <f t="shared" si="16"/>
      </c>
      <c r="BJ266" s="91" t="str">
        <f t="shared" si="16"/>
      </c>
      <c r="BK266" s="91" t="str">
        <f t="shared" si="16"/>
      </c>
      <c r="BL266" s="91" t="str">
        <f t="shared" si="16"/>
      </c>
      <c r="BM266" s="91" t="str">
        <f t="shared" si="16"/>
      </c>
      <c r="BN266" s="91" t="str">
        <f t="shared" si="16"/>
      </c>
      <c r="BO266" s="91" t="str">
        <f t="shared" si="16"/>
      </c>
      <c r="BP266" s="91" t="str">
        <f t="shared" si="16"/>
      </c>
      <c r="BQ266" s="91" t="str">
        <f t="shared" si="16"/>
      </c>
      <c r="BR266" s="91" t="str">
        <f t="shared" si="16"/>
      </c>
      <c r="BS266" s="91" t="str">
        <f t="shared" si="16"/>
      </c>
      <c r="BT266" s="91" t="str">
        <f t="shared" si="16"/>
      </c>
      <c r="BU266" s="91" t="str">
        <f t="shared" si="16"/>
      </c>
      <c r="BV266" s="91" t="str">
        <f t="shared" si="16"/>
      </c>
      <c r="BW266" s="91" t="str">
        <f t="shared" si="16"/>
      </c>
      <c r="BX266" s="91" t="str">
        <f t="shared" si="16"/>
      </c>
      <c r="BY266" s="91" t="str">
        <f t="shared" si="16"/>
      </c>
      <c r="BZ266" s="91" t="str">
        <f t="shared" si="16"/>
      </c>
      <c r="CA266" s="91" t="str">
        <f t="shared" si="16"/>
      </c>
      <c r="CB266" s="91" t="str">
        <f t="shared" si="16"/>
      </c>
      <c r="CC266" s="91" t="str">
        <f t="shared" si="16"/>
      </c>
      <c r="CD266" s="91" t="str">
        <f t="shared" si="16"/>
      </c>
      <c r="CE266" s="91" t="str">
        <f t="shared" si="16"/>
      </c>
      <c r="CF266" s="91" t="str">
        <f t="shared" si="16"/>
      </c>
      <c r="CG266" s="91" t="str">
        <f t="shared" si="16"/>
      </c>
      <c r="CH266" s="91" t="str">
        <f t="shared" si="16"/>
      </c>
      <c r="CI266" s="91" t="str">
        <f t="shared" si="16"/>
      </c>
      <c r="CJ266" s="91" t="str">
        <f t="shared" si="16"/>
      </c>
      <c r="CK266" s="91" t="str">
        <f t="shared" si="16"/>
      </c>
      <c r="CL266" s="91" t="str">
        <f t="shared" si="16"/>
      </c>
      <c r="CM266" s="91" t="str">
        <f t="shared" si="16"/>
      </c>
      <c r="CN266" s="91" t="str">
        <f t="shared" si="16"/>
      </c>
      <c r="CO266" s="91" t="str">
        <f ref="CO266:EZ266" t="shared" si="17">IF(SUM(CO247:CO265)&lt;&gt;0,SUM(CO247:CO265),"")</f>
      </c>
      <c r="CP266" s="91" t="str">
        <f t="shared" si="17"/>
      </c>
      <c r="CQ266" s="91" t="str">
        <f t="shared" si="17"/>
      </c>
      <c r="CR266" s="91" t="str">
        <f t="shared" si="17"/>
      </c>
      <c r="CS266" s="91" t="str">
        <f t="shared" si="17"/>
      </c>
      <c r="CT266" s="91" t="str">
        <f t="shared" si="17"/>
      </c>
      <c r="CU266" s="91" t="str">
        <f t="shared" si="17"/>
      </c>
      <c r="CV266" s="91" t="str">
        <f t="shared" si="17"/>
      </c>
      <c r="CW266" s="91" t="str">
        <f t="shared" si="17"/>
      </c>
      <c r="CX266" s="91" t="str">
        <f t="shared" si="17"/>
      </c>
      <c r="CY266" s="91" t="str">
        <f t="shared" si="17"/>
      </c>
      <c r="CZ266" s="91" t="str">
        <f t="shared" si="17"/>
      </c>
      <c r="DA266" s="91" t="str">
        <f t="shared" si="17"/>
      </c>
      <c r="DB266" s="91" t="str">
        <f t="shared" si="17"/>
      </c>
      <c r="DC266" s="91" t="str">
        <f t="shared" si="17"/>
      </c>
      <c r="DD266" s="91" t="str">
        <f t="shared" si="17"/>
      </c>
      <c r="DE266" s="91" t="str">
        <f t="shared" si="17"/>
      </c>
      <c r="DF266" s="91" t="str">
        <f t="shared" si="17"/>
      </c>
      <c r="DG266" s="91" t="str">
        <f t="shared" si="17"/>
      </c>
      <c r="DH266" s="91" t="str">
        <f t="shared" si="17"/>
      </c>
      <c r="DI266" s="91" t="str">
        <f t="shared" si="17"/>
      </c>
      <c r="DJ266" s="91" t="str">
        <f t="shared" si="17"/>
      </c>
      <c r="DK266" s="91" t="str">
        <f t="shared" si="17"/>
      </c>
      <c r="DL266" s="91" t="str">
        <f t="shared" si="17"/>
      </c>
      <c r="DM266" s="91" t="str">
        <f t="shared" si="17"/>
      </c>
      <c r="DN266" s="91" t="str">
        <f t="shared" si="17"/>
      </c>
      <c r="DO266" s="91" t="str">
        <f t="shared" si="17"/>
      </c>
      <c r="DP266" s="91" t="str">
        <f t="shared" si="17"/>
      </c>
      <c r="DQ266" s="91" t="str">
        <f t="shared" si="17"/>
      </c>
      <c r="DR266" s="91" t="str">
        <f t="shared" si="17"/>
      </c>
      <c r="DS266" s="91" t="str">
        <f t="shared" si="17"/>
      </c>
      <c r="DT266" s="91" t="str">
        <f t="shared" si="17"/>
      </c>
      <c r="DU266" s="91" t="str">
        <f t="shared" si="17"/>
      </c>
      <c r="DV266" s="91" t="str">
        <f t="shared" si="17"/>
      </c>
      <c r="DW266" s="91" t="str">
        <f t="shared" si="17"/>
      </c>
      <c r="DX266" s="91" t="str">
        <f t="shared" si="17"/>
      </c>
      <c r="DY266" s="91" t="str">
        <f t="shared" si="17"/>
      </c>
      <c r="DZ266" s="91" t="str">
        <f t="shared" si="17"/>
      </c>
      <c r="EA266" s="91" t="str">
        <f t="shared" si="17"/>
      </c>
      <c r="EB266" s="91" t="str">
        <f t="shared" si="17"/>
      </c>
      <c r="EC266" s="91" t="str">
        <f t="shared" si="17"/>
      </c>
      <c r="ED266" s="91" t="str">
        <f t="shared" si="17"/>
      </c>
      <c r="EE266" s="91" t="str">
        <f t="shared" si="17"/>
      </c>
      <c r="EF266" s="91" t="str">
        <f t="shared" si="17"/>
      </c>
      <c r="EG266" s="91" t="str">
        <f t="shared" si="17"/>
      </c>
      <c r="EH266" s="91" t="str">
        <f t="shared" si="17"/>
      </c>
      <c r="EI266" s="91" t="str">
        <f t="shared" si="17"/>
      </c>
      <c r="EJ266" s="91" t="str">
        <f t="shared" si="17"/>
      </c>
      <c r="EK266" s="91" t="str">
        <f t="shared" si="17"/>
      </c>
      <c r="EL266" s="91" t="str">
        <f t="shared" si="17"/>
      </c>
      <c r="EM266" s="91" t="str">
        <f t="shared" si="17"/>
      </c>
      <c r="EN266" s="91" t="str">
        <f t="shared" si="17"/>
      </c>
      <c r="EO266" s="91" t="str">
        <f t="shared" si="17"/>
      </c>
      <c r="EP266" s="91" t="str">
        <f t="shared" si="17"/>
      </c>
      <c r="EQ266" s="91" t="str">
        <f t="shared" si="17"/>
      </c>
      <c r="ER266" s="91" t="str">
        <f t="shared" si="17"/>
      </c>
      <c r="ES266" s="91" t="str">
        <f t="shared" si="17"/>
      </c>
      <c r="ET266" s="91" t="str">
        <f t="shared" si="17"/>
      </c>
      <c r="EU266" s="91" t="str">
        <f t="shared" si="17"/>
      </c>
      <c r="EV266" s="91" t="str">
        <f t="shared" si="17"/>
      </c>
      <c r="EW266" s="91" t="str">
        <f t="shared" si="17"/>
      </c>
      <c r="EX266" s="91" t="str">
        <f t="shared" si="17"/>
      </c>
      <c r="EY266" s="91" t="str">
        <f t="shared" si="17"/>
      </c>
      <c r="EZ266" s="91" t="str">
        <f t="shared" si="17"/>
      </c>
      <c r="FA266" s="91" t="str">
        <f ref="FA266:HL266" t="shared" si="18">IF(SUM(FA247:FA265)&lt;&gt;0,SUM(FA247:FA265),"")</f>
      </c>
      <c r="FB266" s="91" t="str">
        <f t="shared" si="18"/>
      </c>
      <c r="FC266" s="91" t="str">
        <f t="shared" si="18"/>
      </c>
      <c r="FD266" s="91" t="str">
        <f t="shared" si="18"/>
      </c>
      <c r="FE266" s="91" t="str">
        <f t="shared" si="18"/>
      </c>
      <c r="FF266" s="91" t="str">
        <f t="shared" si="18"/>
      </c>
      <c r="FG266" s="91" t="str">
        <f t="shared" si="18"/>
      </c>
      <c r="FH266" s="91" t="str">
        <f t="shared" si="18"/>
      </c>
      <c r="FI266" s="91" t="str">
        <f t="shared" si="18"/>
      </c>
      <c r="FJ266" s="91" t="str">
        <f t="shared" si="18"/>
      </c>
      <c r="FK266" s="91" t="str">
        <f t="shared" si="18"/>
      </c>
      <c r="FL266" s="91" t="str">
        <f t="shared" si="18"/>
      </c>
      <c r="FM266" s="91" t="str">
        <f t="shared" si="18"/>
      </c>
      <c r="FN266" s="91" t="str">
        <f t="shared" si="18"/>
      </c>
      <c r="FO266" s="91" t="str">
        <f t="shared" si="18"/>
      </c>
      <c r="FP266" s="91" t="str">
        <f t="shared" si="18"/>
      </c>
      <c r="FQ266" s="91" t="str">
        <f t="shared" si="18"/>
      </c>
      <c r="FR266" s="91" t="str">
        <f t="shared" si="18"/>
      </c>
      <c r="FS266" s="91" t="str">
        <f t="shared" si="18"/>
      </c>
      <c r="FT266" s="91" t="str">
        <f t="shared" si="18"/>
      </c>
      <c r="FU266" s="91" t="str">
        <f t="shared" si="18"/>
      </c>
      <c r="FV266" s="91" t="str">
        <f t="shared" si="18"/>
      </c>
      <c r="FW266" s="91" t="str">
        <f t="shared" si="18"/>
      </c>
      <c r="FX266" s="91" t="str">
        <f t="shared" si="18"/>
      </c>
      <c r="FY266" s="91" t="str">
        <f t="shared" si="18"/>
      </c>
      <c r="FZ266" s="91" t="str">
        <f t="shared" si="18"/>
      </c>
      <c r="GA266" s="91" t="str">
        <f t="shared" si="18"/>
      </c>
      <c r="GB266" s="91" t="str">
        <f t="shared" si="18"/>
      </c>
      <c r="GC266" s="91" t="str">
        <f t="shared" si="18"/>
      </c>
      <c r="GD266" s="91" t="str">
        <f t="shared" si="18"/>
      </c>
      <c r="GE266" s="91" t="str">
        <f t="shared" si="18"/>
      </c>
      <c r="GF266" s="91" t="str">
        <f t="shared" si="18"/>
      </c>
      <c r="GG266" s="91" t="str">
        <f t="shared" si="18"/>
      </c>
      <c r="GH266" s="91" t="str">
        <f t="shared" si="18"/>
      </c>
      <c r="GI266" s="91" t="str">
        <f t="shared" si="18"/>
      </c>
      <c r="GJ266" s="91" t="str">
        <f t="shared" si="18"/>
      </c>
      <c r="GK266" s="91" t="str">
        <f t="shared" si="18"/>
      </c>
      <c r="GL266" s="91" t="str">
        <f t="shared" si="18"/>
      </c>
      <c r="GM266" s="91" t="str">
        <f t="shared" si="18"/>
      </c>
      <c r="GN266" s="91" t="str">
        <f t="shared" si="18"/>
      </c>
      <c r="GO266" s="91" t="str">
        <f t="shared" si="18"/>
      </c>
      <c r="GP266" s="91" t="str">
        <f t="shared" si="18"/>
      </c>
      <c r="GQ266" s="91" t="str">
        <f t="shared" si="18"/>
      </c>
      <c r="GR266" s="91" t="str">
        <f t="shared" si="18"/>
      </c>
      <c r="GS266" s="91" t="str">
        <f t="shared" si="18"/>
      </c>
      <c r="GT266" s="91" t="str">
        <f t="shared" si="18"/>
      </c>
      <c r="GU266" s="91" t="str">
        <f t="shared" si="18"/>
      </c>
      <c r="GV266" s="91" t="str">
        <f t="shared" si="18"/>
      </c>
      <c r="GW266" s="91" t="str">
        <f t="shared" si="18"/>
      </c>
      <c r="GX266" s="91" t="str">
        <f t="shared" si="18"/>
      </c>
      <c r="GY266" s="91" t="str">
        <f t="shared" si="18"/>
      </c>
      <c r="GZ266" s="91" t="str">
        <f t="shared" si="18"/>
      </c>
      <c r="HA266" s="91" t="str">
        <f t="shared" si="18"/>
      </c>
      <c r="HB266" s="91" t="str">
        <f t="shared" si="18"/>
      </c>
      <c r="HC266" s="91" t="str">
        <f t="shared" si="18"/>
      </c>
      <c r="HD266" s="91" t="str">
        <f t="shared" si="18"/>
      </c>
      <c r="HE266" s="91" t="str">
        <f t="shared" si="18"/>
      </c>
      <c r="HF266" s="91" t="str">
        <f t="shared" si="18"/>
      </c>
      <c r="HG266" s="91" t="str">
        <f t="shared" si="18"/>
      </c>
      <c r="HH266" s="91" t="str">
        <f t="shared" si="18"/>
      </c>
      <c r="HI266" s="91" t="str">
        <f t="shared" si="18"/>
      </c>
      <c r="HJ266" s="91" t="str">
        <f t="shared" si="18"/>
      </c>
      <c r="HK266" s="91" t="str">
        <f t="shared" si="18"/>
      </c>
      <c r="HL266" s="91" t="str">
        <f t="shared" si="18"/>
      </c>
      <c r="HM266" s="91" t="str">
        <f ref="HM266:IV266" t="shared" si="19">IF(SUM(HM247:HM265)&lt;&gt;0,SUM(HM247:HM265),"")</f>
      </c>
      <c r="HN266" s="91" t="str">
        <f t="shared" si="19"/>
      </c>
      <c r="HO266" s="91" t="str">
        <f t="shared" si="19"/>
      </c>
      <c r="HP266" s="91" t="str">
        <f t="shared" si="19"/>
      </c>
      <c r="HQ266" s="91" t="str">
        <f t="shared" si="19"/>
      </c>
      <c r="HR266" s="91" t="str">
        <f t="shared" si="19"/>
      </c>
      <c r="HS266" s="91" t="str">
        <f t="shared" si="19"/>
      </c>
      <c r="HT266" s="91" t="str">
        <f t="shared" si="19"/>
      </c>
      <c r="HU266" s="91" t="str">
        <f t="shared" si="19"/>
      </c>
      <c r="HV266" s="91" t="str">
        <f t="shared" si="19"/>
      </c>
      <c r="HW266" s="91" t="str">
        <f t="shared" si="19"/>
      </c>
      <c r="HX266" s="91" t="str">
        <f t="shared" si="19"/>
      </c>
      <c r="HY266" s="91" t="str">
        <f t="shared" si="19"/>
      </c>
      <c r="HZ266" s="91" t="str">
        <f t="shared" si="19"/>
      </c>
      <c r="IA266" s="91" t="str">
        <f t="shared" si="19"/>
      </c>
      <c r="IB266" s="91" t="str">
        <f t="shared" si="19"/>
      </c>
      <c r="IC266" s="91" t="str">
        <f t="shared" si="19"/>
      </c>
      <c r="ID266" s="91" t="str">
        <f t="shared" si="19"/>
      </c>
      <c r="IE266" s="91" t="str">
        <f t="shared" si="19"/>
      </c>
      <c r="IF266" s="91" t="str">
        <f t="shared" si="19"/>
      </c>
      <c r="IG266" s="91" t="str">
        <f t="shared" si="19"/>
      </c>
      <c r="IH266" s="91" t="str">
        <f t="shared" si="19"/>
      </c>
      <c r="II266" s="91" t="str">
        <f t="shared" si="19"/>
      </c>
      <c r="IJ266" s="91" t="str">
        <f t="shared" si="19"/>
      </c>
      <c r="IK266" s="91" t="str">
        <f t="shared" si="19"/>
      </c>
      <c r="IL266" s="91" t="str">
        <f t="shared" si="19"/>
      </c>
      <c r="IM266" s="91" t="str">
        <f t="shared" si="19"/>
      </c>
      <c r="IN266" s="91" t="str">
        <f t="shared" si="19"/>
      </c>
      <c r="IO266" s="91" t="str">
        <f t="shared" si="19"/>
      </c>
      <c r="IP266" s="91" t="str">
        <f t="shared" si="19"/>
      </c>
      <c r="IQ266" s="91" t="str">
        <f t="shared" si="19"/>
      </c>
      <c r="IR266" s="91" t="str">
        <f t="shared" si="19"/>
      </c>
      <c r="IS266" s="91" t="str">
        <f t="shared" si="19"/>
      </c>
      <c r="IT266" s="91" t="str">
        <f t="shared" si="19"/>
      </c>
      <c r="IU266" s="91" t="str">
        <f t="shared" si="19"/>
      </c>
      <c r="IV266" s="91" t="str">
        <f t="shared" si="19"/>
      </c>
    </row>
    <row r="267" hidden="1" ht="13.5">
      <c r="C267" s="218"/>
      <c r="D267" s="218"/>
      <c r="E267" s="218"/>
      <c r="F267" s="218"/>
      <c r="G267" s="218"/>
      <c r="H267" s="218"/>
      <c r="I267" s="218"/>
      <c r="J267" s="218"/>
      <c r="K267" s="218"/>
      <c r="L267" s="217"/>
      <c r="N267" s="217"/>
      <c r="O267" s="217"/>
    </row>
    <row r="268" hidden="1" ht="13.5">
      <c r="A268" s="138"/>
      <c r="B268" s="244"/>
      <c r="C268" s="645" t="s">
        <v>220</v>
      </c>
      <c r="D268" s="646"/>
      <c r="E268" s="646"/>
      <c r="F268" s="646"/>
      <c r="G268" s="646"/>
      <c r="H268" s="646"/>
      <c r="I268" s="646"/>
      <c r="J268" s="646"/>
      <c r="K268" s="646"/>
      <c r="L268" s="646"/>
      <c r="M268" s="646"/>
      <c r="N268" s="646"/>
      <c r="O268" s="646"/>
      <c r="P268" s="646"/>
      <c r="Q268" s="646"/>
      <c r="R268" s="646"/>
      <c r="S268" s="646"/>
      <c r="T268" s="646"/>
      <c r="U268" s="646"/>
      <c r="V268" s="646"/>
      <c r="W268" s="646"/>
      <c r="X268" s="646"/>
      <c r="Y268" s="646"/>
      <c r="Z268" s="646"/>
      <c r="AA268" s="646"/>
      <c r="AB268" s="647"/>
    </row>
    <row r="269" hidden="1" ht="13.5" s="50" customFormat="1">
      <c r="A269" s="138"/>
      <c r="B269" s="51"/>
      <c r="C269" s="435" t="str">
        <f> IF(C289&lt;&gt;"",TEXT(AUX!G$1,"dd-MMM-aa"),"")</f>
      </c>
      <c r="D269" s="435" t="str">
        <f> IF(D289&lt;&gt;"",TEXT(AUX!H$1,"dd-MMM-aa"),"")</f>
      </c>
      <c r="E269" s="435" t="str">
        <f> IF(E289&lt;&gt;"",TEXT(AUX!I$1,"dd-MMM-aa"),"")</f>
      </c>
      <c r="F269" s="435" t="str">
        <f> IF(F289&lt;&gt;"",TEXT(AUX!J$1,"dd-MMM-aa"),"")</f>
      </c>
      <c r="G269" s="435" t="str">
        <f> IF(G289&lt;&gt;"",TEXT(AUX!K$1,"dd-MMM-aa"),"")</f>
      </c>
      <c r="H269" s="435" t="str">
        <f> IF(H289&lt;&gt;"",TEXT(AUX!L$1,"dd-MMM-aa"),"")</f>
      </c>
      <c r="I269" s="435" t="str">
        <f> IF(I289&lt;&gt;"",TEXT(AUX!M$1,"dd-MMM-aa"),"")</f>
      </c>
      <c r="J269" s="435" t="str">
        <f> IF(J289&lt;&gt;"",TEXT(AUX!N$1,"dd-MMM-aa"),"")</f>
      </c>
      <c r="K269" s="435" t="str">
        <f> IF(K289&lt;&gt;"",TEXT(AUX!O$1,"dd-MMM-aa"),"")</f>
      </c>
      <c r="L269" s="435" t="str">
        <f> IF(L289&lt;&gt;"",TEXT(AUX!P$1,"dd-MMM-aa"),"")</f>
      </c>
      <c r="M269" s="435" t="str">
        <f> IF(M289&lt;&gt;"",TEXT(AUX!Q$1,"dd-MMM-aa"),"")</f>
      </c>
      <c r="N269" s="435" t="str">
        <f> IF(N289&lt;&gt;"",TEXT(AUX!R$1,"dd-MMM-aa"),"")</f>
      </c>
      <c r="O269" s="435" t="str">
        <f> IF(O289&lt;&gt;"",TEXT(AUX!S$1,"dd-MMM-aa"),"")</f>
      </c>
      <c r="P269" s="435" t="str">
        <f> IF(P289&lt;&gt;"",TEXT(AUX!T$1,"dd-MMM-aa"),"")</f>
      </c>
      <c r="Q269" s="435" t="str">
        <f> IF(Q289&lt;&gt;"",TEXT(AUX!U$1,"dd-MMM-aa"),"")</f>
      </c>
      <c r="R269" s="435" t="str">
        <f> IF(R289&lt;&gt;"",TEXT(AUX!V$1,"dd-MMM-aa"),"")</f>
      </c>
      <c r="S269" s="435" t="str">
        <f> IF(S289&lt;&gt;"",TEXT(AUX!W$1,"dd-MMM-aa"),"")</f>
      </c>
      <c r="T269" s="435" t="str">
        <f> IF(T289&lt;&gt;"",TEXT(AUX!X$1,"dd-MMM-aa"),"")</f>
      </c>
      <c r="U269" s="435" t="str">
        <f> IF(U289&lt;&gt;"",TEXT(AUX!Y$1,"dd-MMM-aa"),"")</f>
      </c>
      <c r="V269" s="435" t="str">
        <f> IF(V289&lt;&gt;"",TEXT(AUX!Z$1,"dd-MMM-aa"),"")</f>
      </c>
      <c r="W269" s="435" t="str">
        <f> IF(W289&lt;&gt;"",TEXT(AUX!AA$1,"dd-MMM-aa"),"")</f>
      </c>
      <c r="X269" s="435" t="str">
        <f> IF(X289&lt;&gt;"",TEXT(AUX!AB$1,"dd-MMM-aa"),"")</f>
      </c>
      <c r="Y269" s="435" t="str">
        <f> IF(Y289&lt;&gt;"",TEXT(AUX!AC$1,"dd-MMM-aa"),"")</f>
      </c>
      <c r="Z269" s="435" t="str">
        <f> IF(Z289&lt;&gt;"",TEXT(AUX!AD$1,"dd-MMM-aa"),"")</f>
      </c>
      <c r="AA269" s="435" t="str">
        <f> IF(AA289&lt;&gt;"",TEXT(AUX!AE$1,"dd-MMM-aa"),"")</f>
      </c>
      <c r="AB269" s="497" t="str">
        <f> IF(AB289&lt;&gt;"",TEXT(AUX!AF$1,"dd-MMM-aa"),"")</f>
      </c>
      <c r="AC269" s="496" t="str">
        <f> IF(AC289&lt;&gt;"",TEXT(AUX!AG$1,"dd-MMM-aa"),"")</f>
      </c>
      <c r="AD269" s="496" t="str">
        <f> IF(AD289&lt;&gt;"",TEXT(AUX!AH$1,"dd-MMM-aa"),"")</f>
      </c>
      <c r="AE269" s="496" t="str">
        <f> IF(AE289&lt;&gt;"",TEXT(AUX!AI$1,"dd-MMM-aa"),"")</f>
      </c>
      <c r="AF269" s="496" t="str">
        <f> IF(AF289&lt;&gt;"",TEXT(AUX!AJ$1,"dd-MMM-aa"),"")</f>
      </c>
      <c r="AG269" s="496" t="str">
        <f> IF(AG289&lt;&gt;"",TEXT(AUX!AK$1,"dd-MMM-aa"),"")</f>
      </c>
      <c r="AH269" s="496" t="str">
        <f> IF(AH289&lt;&gt;"",TEXT(AUX!AL$1,"dd-MMM-aa"),"")</f>
      </c>
      <c r="AI269" s="496" t="str">
        <f> IF(AI289&lt;&gt;"",TEXT(AUX!AM$1,"dd-MMM-aa"),"")</f>
      </c>
      <c r="AJ269" s="496" t="str">
        <f> IF(AJ289&lt;&gt;"",TEXT(AUX!AN$1,"dd-MMM-aa"),"")</f>
      </c>
      <c r="AK269" s="496" t="str">
        <f> IF(AK289&lt;&gt;"",TEXT(AUX!AO$1,"dd-MMM-aa"),"")</f>
      </c>
      <c r="AL269" s="496" t="str">
        <f> IF(AL289&lt;&gt;"",TEXT(AUX!AP$1,"dd-MMM-aa"),"")</f>
      </c>
      <c r="AM269" s="496" t="str">
        <f> IF(AM289&lt;&gt;"",TEXT(AUX!AQ$1,"dd-MMM-aa"),"")</f>
      </c>
      <c r="AN269" s="496" t="str">
        <f> IF(AN289&lt;&gt;"",TEXT(AUX!AR$1,"dd-MMM-aa"),"")</f>
      </c>
      <c r="AO269" s="496" t="str">
        <f> IF(AO289&lt;&gt;"",TEXT(AUX!AS$1,"dd-MMM-aa"),"")</f>
      </c>
      <c r="AP269" s="496" t="str">
        <f> IF(AP289&lt;&gt;"",TEXT(AUX!AT$1,"dd-MMM-aa"),"")</f>
      </c>
      <c r="AQ269" s="496" t="str">
        <f> IF(AQ289&lt;&gt;"",TEXT(AUX!AU$1,"dd-MMM-aa"),"")</f>
      </c>
      <c r="AR269" s="496" t="str">
        <f> IF(AR289&lt;&gt;"",TEXT(AUX!AV$1,"dd-MMM-aa"),"")</f>
      </c>
      <c r="AS269" s="496" t="str">
        <f> IF(AS289&lt;&gt;"",TEXT(AUX!AW$1,"dd-MMM-aa"),"")</f>
      </c>
      <c r="AT269" s="496" t="str">
        <f> IF(AT289&lt;&gt;"",TEXT(AUX!AX$1,"dd-MMM-aa"),"")</f>
      </c>
      <c r="AU269" s="496" t="str">
        <f> IF(AU289&lt;&gt;"",TEXT(AUX!AY$1,"dd-MMM-aa"),"")</f>
      </c>
      <c r="AV269" s="496" t="str">
        <f> IF(AV289&lt;&gt;"",TEXT(AUX!AZ$1,"dd-MMM-aa"),"")</f>
      </c>
      <c r="AW269" s="496" t="str">
        <f> IF(AW289&lt;&gt;"",TEXT(AUX!BA$1,"dd-MMM-aa"),"")</f>
      </c>
      <c r="AX269" s="496" t="str">
        <f> IF(AX289&lt;&gt;"",TEXT(AUX!BB$1,"dd-MMM-aa"),"")</f>
      </c>
      <c r="AY269" s="496" t="str">
        <f> IF(AY289&lt;&gt;"",TEXT(AUX!BC$1,"dd-MMM-aa"),"")</f>
      </c>
      <c r="AZ269" s="496" t="str">
        <f> IF(AZ289&lt;&gt;"",TEXT(AUX!BD$1,"dd-MMM-aa"),"")</f>
      </c>
      <c r="BA269" s="496" t="str">
        <f> IF(BA289&lt;&gt;"",TEXT(AUX!BE$1,"dd-MMM-aa"),"")</f>
      </c>
      <c r="BB269" s="496" t="str">
        <f> IF(BB289&lt;&gt;"",TEXT(AUX!BF$1,"dd-MMM-aa"),"")</f>
      </c>
      <c r="BC269" s="496" t="str">
        <f> IF(BC289&lt;&gt;"",TEXT(AUX!BG$1,"dd-MMM-aa"),"")</f>
      </c>
      <c r="BD269" s="496" t="str">
        <f> IF(BD289&lt;&gt;"",TEXT(AUX!BH$1,"dd-MMM-aa"),"")</f>
      </c>
      <c r="BE269" s="496" t="str">
        <f> IF(BE289&lt;&gt;"",TEXT(AUX!BI$1,"dd-MMM-aa"),"")</f>
      </c>
      <c r="BF269" s="496" t="str">
        <f> IF(BF289&lt;&gt;"",TEXT(AUX!BJ$1,"dd-MMM-aa"),"")</f>
      </c>
      <c r="BG269" s="496" t="str">
        <f> IF(BG289&lt;&gt;"",TEXT(AUX!BK$1,"dd-MMM-aa"),"")</f>
      </c>
      <c r="BH269" s="496" t="str">
        <f> IF(BH289&lt;&gt;"",TEXT(AUX!BL$1,"dd-MMM-aa"),"")</f>
      </c>
      <c r="BI269" s="496" t="str">
        <f> IF(BI289&lt;&gt;"",TEXT(AUX!BM$1,"dd-MMM-aa"),"")</f>
      </c>
      <c r="BJ269" s="496" t="str">
        <f> IF(BJ289&lt;&gt;"",TEXT(AUX!BN$1,"dd-MMM-aa"),"")</f>
      </c>
      <c r="BK269" s="496" t="str">
        <f> IF(BK289&lt;&gt;"",TEXT(AUX!BO$1,"dd-MMM-aa"),"")</f>
      </c>
      <c r="BL269" s="496" t="str">
        <f> IF(BL289&lt;&gt;"",TEXT(AUX!BP$1,"dd-MMM-aa"),"")</f>
      </c>
      <c r="BM269" s="496" t="str">
        <f> IF(BM289&lt;&gt;"",TEXT(AUX!BQ$1,"dd-MMM-aa"),"")</f>
      </c>
      <c r="BN269" s="496" t="str">
        <f> IF(BN289&lt;&gt;"",TEXT(AUX!BR$1,"dd-MMM-aa"),"")</f>
      </c>
      <c r="BO269" s="496" t="str">
        <f> IF(BO289&lt;&gt;"",TEXT(AUX!BS$1,"dd-MMM-aa"),"")</f>
      </c>
      <c r="BP269" s="496" t="str">
        <f> IF(BP289&lt;&gt;"",TEXT(AUX!BT$1,"dd-MMM-aa"),"")</f>
      </c>
      <c r="BQ269" s="496" t="str">
        <f> IF(BQ289&lt;&gt;"",TEXT(AUX!BU$1,"dd-MMM-aa"),"")</f>
      </c>
      <c r="BR269" s="496" t="str">
        <f> IF(BR289&lt;&gt;"",TEXT(AUX!BV$1,"dd-MMM-aa"),"")</f>
      </c>
      <c r="BS269" s="496" t="str">
        <f> IF(BS289&lt;&gt;"",TEXT(AUX!BW$1,"dd-MMM-aa"),"")</f>
      </c>
      <c r="BT269" s="496" t="str">
        <f> IF(BT289&lt;&gt;"",TEXT(AUX!BX$1,"dd-MMM-aa"),"")</f>
      </c>
      <c r="BU269" s="496" t="str">
        <f> IF(BU289&lt;&gt;"",TEXT(AUX!BY$1,"dd-MMM-aa"),"")</f>
      </c>
      <c r="BV269" s="496" t="str">
        <f> IF(BV289&lt;&gt;"",TEXT(AUX!BZ$1,"dd-MMM-aa"),"")</f>
      </c>
      <c r="BW269" s="496" t="str">
        <f> IF(BW289&lt;&gt;"",TEXT(AUX!CA$1,"dd-MMM-aa"),"")</f>
      </c>
      <c r="BX269" s="496" t="str">
        <f> IF(BX289&lt;&gt;"",TEXT(AUX!CB$1,"dd-MMM-aa"),"")</f>
      </c>
      <c r="BY269" s="496" t="str">
        <f> IF(BY289&lt;&gt;"",TEXT(AUX!CC$1,"dd-MMM-aa"),"")</f>
      </c>
      <c r="BZ269" s="496" t="str">
        <f> IF(BZ289&lt;&gt;"",TEXT(AUX!CD$1,"dd-MMM-aa"),"")</f>
      </c>
      <c r="CA269" s="496" t="str">
        <f> IF(CA289&lt;&gt;"",TEXT(AUX!CE$1,"dd-MMM-aa"),"")</f>
      </c>
      <c r="CB269" s="496" t="str">
        <f> IF(CB289&lt;&gt;"",TEXT(AUX!CF$1,"dd-MMM-aa"),"")</f>
      </c>
      <c r="CC269" s="496" t="str">
        <f> IF(CC289&lt;&gt;"",TEXT(AUX!CG$1,"dd-MMM-aa"),"")</f>
      </c>
      <c r="CD269" s="496" t="str">
        <f> IF(CD289&lt;&gt;"",TEXT(AUX!CH$1,"dd-MMM-aa"),"")</f>
      </c>
      <c r="CE269" s="496" t="str">
        <f> IF(CE289&lt;&gt;"",TEXT(AUX!CI$1,"dd-MMM-aa"),"")</f>
      </c>
      <c r="CF269" s="496" t="str">
        <f> IF(CF289&lt;&gt;"",TEXT(AUX!CJ$1,"dd-MMM-aa"),"")</f>
      </c>
      <c r="CG269" s="496" t="str">
        <f> IF(CG289&lt;&gt;"",TEXT(AUX!CK$1,"dd-MMM-aa"),"")</f>
      </c>
      <c r="CH269" s="496" t="str">
        <f> IF(CH289&lt;&gt;"",TEXT(AUX!CL$1,"dd-MMM-aa"),"")</f>
      </c>
      <c r="CI269" s="496" t="str">
        <f> IF(CI289&lt;&gt;"",TEXT(AUX!CM$1,"dd-MMM-aa"),"")</f>
      </c>
      <c r="CJ269" s="496" t="str">
        <f> IF(CJ289&lt;&gt;"",TEXT(AUX!CN$1,"dd-MMM-aa"),"")</f>
      </c>
      <c r="CK269" s="496" t="str">
        <f> IF(CK289&lt;&gt;"",TEXT(AUX!CO$1,"dd-MMM-aa"),"")</f>
      </c>
      <c r="CL269" s="496" t="str">
        <f> IF(CL289&lt;&gt;"",TEXT(AUX!CP$1,"dd-MMM-aa"),"")</f>
      </c>
      <c r="CM269" s="496" t="str">
        <f> IF(CM289&lt;&gt;"",TEXT(AUX!CQ$1,"dd-MMM-aa"),"")</f>
      </c>
      <c r="CN269" s="496" t="str">
        <f> IF(CN289&lt;&gt;"",TEXT(AUX!CR$1,"dd-MMM-aa"),"")</f>
      </c>
      <c r="CO269" s="496" t="str">
        <f> IF(CO289&lt;&gt;"",TEXT(AUX!CS$1,"dd-MMM-aa"),"")</f>
      </c>
      <c r="CP269" s="496" t="str">
        <f> IF(CP289&lt;&gt;"",TEXT(AUX!CT$1,"dd-MMM-aa"),"")</f>
      </c>
      <c r="CQ269" s="496" t="str">
        <f> IF(CQ289&lt;&gt;"",TEXT(AUX!CU$1,"dd-MMM-aa"),"")</f>
      </c>
      <c r="CR269" s="496" t="str">
        <f> IF(CR289&lt;&gt;"",TEXT(AUX!CV$1,"dd-MMM-aa"),"")</f>
      </c>
      <c r="CS269" s="496" t="str">
        <f> IF(CS289&lt;&gt;"",TEXT(AUX!CW$1,"dd-MMM-aa"),"")</f>
      </c>
      <c r="CT269" s="496" t="str">
        <f> IF(CT289&lt;&gt;"",TEXT(AUX!CX$1,"dd-MMM-aa"),"")</f>
      </c>
      <c r="CU269" s="496" t="str">
        <f> IF(CU289&lt;&gt;"",TEXT(AUX!CY$1,"dd-MMM-aa"),"")</f>
      </c>
      <c r="CV269" s="496" t="str">
        <f> IF(CV289&lt;&gt;"",TEXT(AUX!CZ$1,"dd-MMM-aa"),"")</f>
      </c>
      <c r="CW269" s="496" t="str">
        <f> IF(CW289&lt;&gt;"",TEXT(AUX!DA$1,"dd-MMM-aa"),"")</f>
      </c>
      <c r="CX269" s="496" t="str">
        <f> IF(CX289&lt;&gt;"",TEXT(AUX!DB$1,"dd-MMM-aa"),"")</f>
      </c>
      <c r="CY269" s="496" t="str">
        <f> IF(CY289&lt;&gt;"",TEXT(AUX!DC$1,"dd-MMM-aa"),"")</f>
      </c>
      <c r="CZ269" s="496" t="str">
        <f> IF(CZ289&lt;&gt;"",TEXT(AUX!DD$1,"dd-MMM-aa"),"")</f>
      </c>
      <c r="DA269" s="496" t="str">
        <f> IF(DA289&lt;&gt;"",TEXT(AUX!DE$1,"dd-MMM-aa"),"")</f>
      </c>
      <c r="DB269" s="496" t="str">
        <f> IF(DB289&lt;&gt;"",TEXT(AUX!DF$1,"dd-MMM-aa"),"")</f>
      </c>
      <c r="DC269" s="496" t="str">
        <f> IF(DC289&lt;&gt;"",TEXT(AUX!DG$1,"dd-MMM-aa"),"")</f>
      </c>
      <c r="DD269" s="496" t="str">
        <f> IF(DD289&lt;&gt;"",TEXT(AUX!DH$1,"dd-MMM-aa"),"")</f>
      </c>
      <c r="DE269" s="496" t="str">
        <f> IF(DE289&lt;&gt;"",TEXT(AUX!DI$1,"dd-MMM-aa"),"")</f>
      </c>
      <c r="DF269" s="496" t="str">
        <f> IF(DF289&lt;&gt;"",TEXT(AUX!DJ$1,"dd-MMM-aa"),"")</f>
      </c>
      <c r="DG269" s="496" t="str">
        <f> IF(DG289&lt;&gt;"",TEXT(AUX!DK$1,"dd-MMM-aa"),"")</f>
      </c>
      <c r="DH269" s="496" t="str">
        <f> IF(DH289&lt;&gt;"",TEXT(AUX!DL$1,"dd-MMM-aa"),"")</f>
      </c>
      <c r="DI269" s="496" t="str">
        <f> IF(DI289&lt;&gt;"",TEXT(AUX!DM$1,"dd-MMM-aa"),"")</f>
      </c>
      <c r="DJ269" s="496" t="str">
        <f> IF(DJ289&lt;&gt;"",TEXT(AUX!DN$1,"dd-MMM-aa"),"")</f>
      </c>
      <c r="DK269" s="496" t="str">
        <f> IF(DK289&lt;&gt;"",TEXT(AUX!DO$1,"dd-MMM-aa"),"")</f>
      </c>
      <c r="DL269" s="496" t="str">
        <f> IF(DL289&lt;&gt;"",TEXT(AUX!DP$1,"dd-MMM-aa"),"")</f>
      </c>
      <c r="DM269" s="496" t="str">
        <f> IF(DM289&lt;&gt;"",TEXT(AUX!DQ$1,"dd-MMM-aa"),"")</f>
      </c>
      <c r="DN269" s="496" t="str">
        <f> IF(DN289&lt;&gt;"",TEXT(AUX!DR$1,"dd-MMM-aa"),"")</f>
      </c>
      <c r="DO269" s="496" t="str">
        <f> IF(DO289&lt;&gt;"",TEXT(AUX!DS$1,"dd-MMM-aa"),"")</f>
      </c>
      <c r="DP269" s="496" t="str">
        <f> IF(DP289&lt;&gt;"",TEXT(AUX!DT$1,"dd-MMM-aa"),"")</f>
      </c>
      <c r="DQ269" s="496" t="str">
        <f> IF(DQ289&lt;&gt;"",TEXT(AUX!DU$1,"dd-MMM-aa"),"")</f>
      </c>
      <c r="DR269" s="496" t="str">
        <f> IF(DR289&lt;&gt;"",TEXT(AUX!DV$1,"dd-MMM-aa"),"")</f>
      </c>
      <c r="DS269" s="496" t="str">
        <f> IF(DS289&lt;&gt;"",TEXT(AUX!DW$1,"dd-MMM-aa"),"")</f>
      </c>
      <c r="DT269" s="496" t="str">
        <f> IF(DT289&lt;&gt;"",TEXT(AUX!DX$1,"dd-MMM-aa"),"")</f>
      </c>
      <c r="DU269" s="496" t="str">
        <f> IF(DU289&lt;&gt;"",TEXT(AUX!DY$1,"dd-MMM-aa"),"")</f>
      </c>
      <c r="DV269" s="496" t="str">
        <f> IF(DV289&lt;&gt;"",TEXT(AUX!DZ$1,"dd-MMM-aa"),"")</f>
      </c>
      <c r="DW269" s="496" t="str">
        <f> IF(DW289&lt;&gt;"",TEXT(AUX!EA$1,"dd-MMM-aa"),"")</f>
      </c>
      <c r="DX269" s="496" t="str">
        <f> IF(DX289&lt;&gt;"",TEXT(AUX!EB$1,"dd-MMM-aa"),"")</f>
      </c>
      <c r="DY269" s="496" t="str">
        <f> IF(DY289&lt;&gt;"",TEXT(AUX!EC$1,"dd-MMM-aa"),"")</f>
      </c>
      <c r="DZ269" s="496" t="str">
        <f> IF(DZ289&lt;&gt;"",TEXT(AUX!ED$1,"dd-MMM-aa"),"")</f>
      </c>
      <c r="EA269" s="496" t="str">
        <f> IF(EA289&lt;&gt;"",TEXT(AUX!EE$1,"dd-MMM-aa"),"")</f>
      </c>
      <c r="EB269" s="496" t="str">
        <f> IF(EB289&lt;&gt;"",TEXT(AUX!EF$1,"dd-MMM-aa"),"")</f>
      </c>
      <c r="EC269" s="496" t="str">
        <f> IF(EC289&lt;&gt;"",TEXT(AUX!EG$1,"dd-MMM-aa"),"")</f>
      </c>
      <c r="ED269" s="496" t="str">
        <f> IF(ED289&lt;&gt;"",TEXT(AUX!EH$1,"dd-MMM-aa"),"")</f>
      </c>
      <c r="EE269" s="496" t="str">
        <f> IF(EE289&lt;&gt;"",TEXT(AUX!EI$1,"dd-MMM-aa"),"")</f>
      </c>
      <c r="EF269" s="496" t="str">
        <f> IF(EF289&lt;&gt;"",TEXT(AUX!EJ$1,"dd-MMM-aa"),"")</f>
      </c>
      <c r="EG269" s="496" t="str">
        <f> IF(EG289&lt;&gt;"",TEXT(AUX!EK$1,"dd-MMM-aa"),"")</f>
      </c>
      <c r="EH269" s="496" t="str">
        <f> IF(EH289&lt;&gt;"",TEXT(AUX!EL$1,"dd-MMM-aa"),"")</f>
      </c>
      <c r="EI269" s="496" t="str">
        <f> IF(EI289&lt;&gt;"",TEXT(AUX!EM$1,"dd-MMM-aa"),"")</f>
      </c>
      <c r="EJ269" s="496" t="str">
        <f> IF(EJ289&lt;&gt;"",TEXT(AUX!EN$1,"dd-MMM-aa"),"")</f>
      </c>
      <c r="EK269" s="496" t="str">
        <f> IF(EK289&lt;&gt;"",TEXT(AUX!EO$1,"dd-MMM-aa"),"")</f>
      </c>
      <c r="EL269" s="496" t="str">
        <f> IF(EL289&lt;&gt;"",TEXT(AUX!EP$1,"dd-MMM-aa"),"")</f>
      </c>
      <c r="EM269" s="496" t="str">
        <f> IF(EM289&lt;&gt;"",TEXT(AUX!EQ$1,"dd-MMM-aa"),"")</f>
      </c>
      <c r="EN269" s="496" t="str">
        <f> IF(EN289&lt;&gt;"",TEXT(AUX!ER$1,"dd-MMM-aa"),"")</f>
      </c>
      <c r="EO269" s="496" t="str">
        <f> IF(EO289&lt;&gt;"",TEXT(AUX!ES$1,"dd-MMM-aa"),"")</f>
      </c>
      <c r="EP269" s="496" t="str">
        <f> IF(EP289&lt;&gt;"",TEXT(AUX!ET$1,"dd-MMM-aa"),"")</f>
      </c>
      <c r="EQ269" s="496" t="str">
        <f> IF(EQ289&lt;&gt;"",TEXT(AUX!EU$1,"dd-MMM-aa"),"")</f>
      </c>
      <c r="ER269" s="496" t="str">
        <f> IF(ER289&lt;&gt;"",TEXT(AUX!EV$1,"dd-MMM-aa"),"")</f>
      </c>
      <c r="ES269" s="496" t="str">
        <f> IF(ES289&lt;&gt;"",TEXT(AUX!EW$1,"dd-MMM-aa"),"")</f>
      </c>
      <c r="ET269" s="496" t="str">
        <f> IF(ET289&lt;&gt;"",TEXT(AUX!EX$1,"dd-MMM-aa"),"")</f>
      </c>
      <c r="EU269" s="496" t="str">
        <f> IF(EU289&lt;&gt;"",TEXT(AUX!EY$1,"dd-MMM-aa"),"")</f>
      </c>
      <c r="EV269" s="496" t="str">
        <f> IF(EV289&lt;&gt;"",TEXT(AUX!EZ$1,"dd-MMM-aa"),"")</f>
      </c>
      <c r="EW269" s="496" t="str">
        <f> IF(EW289&lt;&gt;"",TEXT(AUX!FA$1,"dd-MMM-aa"),"")</f>
      </c>
      <c r="EX269" s="496" t="str">
        <f> IF(EX289&lt;&gt;"",TEXT(AUX!FB$1,"dd-MMM-aa"),"")</f>
      </c>
      <c r="EY269" s="496" t="str">
        <f> IF(EY289&lt;&gt;"",TEXT(AUX!FC$1,"dd-MMM-aa"),"")</f>
      </c>
      <c r="EZ269" s="496" t="str">
        <f> IF(EZ289&lt;&gt;"",TEXT(AUX!FD$1,"dd-MMM-aa"),"")</f>
      </c>
      <c r="FA269" s="496" t="str">
        <f> IF(FA289&lt;&gt;"",TEXT(AUX!FE$1,"dd-MMM-aa"),"")</f>
      </c>
      <c r="FB269" s="496" t="str">
        <f> IF(FB289&lt;&gt;"",TEXT(AUX!FF$1,"dd-MMM-aa"),"")</f>
      </c>
      <c r="FC269" s="496" t="str">
        <f> IF(FC289&lt;&gt;"",TEXT(AUX!FG$1,"dd-MMM-aa"),"")</f>
      </c>
      <c r="FD269" s="496" t="str">
        <f> IF(FD289&lt;&gt;"",TEXT(AUX!FH$1,"dd-MMM-aa"),"")</f>
      </c>
      <c r="FE269" s="496" t="str">
        <f> IF(FE289&lt;&gt;"",TEXT(AUX!FI$1,"dd-MMM-aa"),"")</f>
      </c>
      <c r="FF269" s="496" t="str">
        <f> IF(FF289&lt;&gt;"",TEXT(AUX!FJ$1,"dd-MMM-aa"),"")</f>
      </c>
      <c r="FG269" s="496" t="str">
        <f> IF(FG289&lt;&gt;"",TEXT(AUX!FK$1,"dd-MMM-aa"),"")</f>
      </c>
      <c r="FH269" s="496" t="str">
        <f> IF(FH289&lt;&gt;"",TEXT(AUX!FL$1,"dd-MMM-aa"),"")</f>
      </c>
      <c r="FI269" s="496" t="str">
        <f> IF(FI289&lt;&gt;"",TEXT(AUX!FM$1,"dd-MMM-aa"),"")</f>
      </c>
      <c r="FJ269" s="496" t="str">
        <f> IF(FJ289&lt;&gt;"",TEXT(AUX!FN$1,"dd-MMM-aa"),"")</f>
      </c>
      <c r="FK269" s="496" t="str">
        <f> IF(FK289&lt;&gt;"",TEXT(AUX!FO$1,"dd-MMM-aa"),"")</f>
      </c>
      <c r="FL269" s="496" t="str">
        <f> IF(FL289&lt;&gt;"",TEXT(AUX!FP$1,"dd-MMM-aa"),"")</f>
      </c>
      <c r="FM269" s="496" t="str">
        <f> IF(FM289&lt;&gt;"",TEXT(AUX!FQ$1,"dd-MMM-aa"),"")</f>
      </c>
      <c r="FN269" s="496" t="str">
        <f> IF(FN289&lt;&gt;"",TEXT(AUX!FR$1,"dd-MMM-aa"),"")</f>
      </c>
      <c r="FO269" s="496" t="str">
        <f> IF(FO289&lt;&gt;"",TEXT(AUX!FS$1,"dd-MMM-aa"),"")</f>
      </c>
      <c r="FP269" s="496" t="str">
        <f> IF(FP289&lt;&gt;"",TEXT(AUX!FT$1,"dd-MMM-aa"),"")</f>
      </c>
      <c r="FQ269" s="496" t="str">
        <f> IF(FQ289&lt;&gt;"",TEXT(AUX!FU$1,"dd-MMM-aa"),"")</f>
      </c>
      <c r="FR269" s="496" t="str">
        <f> IF(FR289&lt;&gt;"",TEXT(AUX!FV$1,"dd-MMM-aa"),"")</f>
      </c>
      <c r="FS269" s="496" t="str">
        <f> IF(FS289&lt;&gt;"",TEXT(AUX!FW$1,"dd-MMM-aa"),"")</f>
      </c>
      <c r="FT269" s="496" t="str">
        <f> IF(FT289&lt;&gt;"",TEXT(AUX!FX$1,"dd-MMM-aa"),"")</f>
      </c>
      <c r="FU269" s="496" t="str">
        <f> IF(FU289&lt;&gt;"",TEXT(AUX!FY$1,"dd-MMM-aa"),"")</f>
      </c>
      <c r="FV269" s="496" t="str">
        <f> IF(FV289&lt;&gt;"",TEXT(AUX!FZ$1,"dd-MMM-aa"),"")</f>
      </c>
      <c r="FW269" s="496" t="str">
        <f> IF(FW289&lt;&gt;"",TEXT(AUX!GA$1,"dd-MMM-aa"),"")</f>
      </c>
      <c r="FX269" s="496" t="str">
        <f> IF(FX289&lt;&gt;"",TEXT(AUX!GB$1,"dd-MMM-aa"),"")</f>
      </c>
      <c r="FY269" s="496" t="str">
        <f> IF(FY289&lt;&gt;"",TEXT(AUX!GC$1,"dd-MMM-aa"),"")</f>
      </c>
      <c r="FZ269" s="496" t="str">
        <f> IF(FZ289&lt;&gt;"",TEXT(AUX!GD$1,"dd-MMM-aa"),"")</f>
      </c>
      <c r="GA269" s="496" t="str">
        <f> IF(GA289&lt;&gt;"",TEXT(AUX!GE$1,"dd-MMM-aa"),"")</f>
      </c>
      <c r="GB269" s="496" t="str">
        <f> IF(GB289&lt;&gt;"",TEXT(AUX!GF$1,"dd-MMM-aa"),"")</f>
      </c>
      <c r="GC269" s="496" t="str">
        <f> IF(GC289&lt;&gt;"",TEXT(AUX!GG$1,"dd-MMM-aa"),"")</f>
      </c>
      <c r="GD269" s="496" t="str">
        <f> IF(GD289&lt;&gt;"",TEXT(AUX!GH$1,"dd-MMM-aa"),"")</f>
      </c>
      <c r="GE269" s="496" t="str">
        <f> IF(GE289&lt;&gt;"",TEXT(AUX!GI$1,"dd-MMM-aa"),"")</f>
      </c>
      <c r="GF269" s="496" t="str">
        <f> IF(GF289&lt;&gt;"",TEXT(AUX!GJ$1,"dd-MMM-aa"),"")</f>
      </c>
      <c r="GG269" s="496" t="str">
        <f> IF(GG289&lt;&gt;"",TEXT(AUX!GK$1,"dd-MMM-aa"),"")</f>
      </c>
      <c r="GH269" s="496" t="str">
        <f> IF(GH289&lt;&gt;"",TEXT(AUX!GL$1,"dd-MMM-aa"),"")</f>
      </c>
      <c r="GI269" s="496" t="str">
        <f> IF(GI289&lt;&gt;"",TEXT(AUX!GM$1,"dd-MMM-aa"),"")</f>
      </c>
      <c r="GJ269" s="496" t="str">
        <f> IF(GJ289&lt;&gt;"",TEXT(AUX!GN$1,"dd-MMM-aa"),"")</f>
      </c>
      <c r="GK269" s="496" t="str">
        <f> IF(GK289&lt;&gt;"",TEXT(AUX!GO$1,"dd-MMM-aa"),"")</f>
      </c>
      <c r="GL269" s="496" t="str">
        <f> IF(GL289&lt;&gt;"",TEXT(AUX!GP$1,"dd-MMM-aa"),"")</f>
      </c>
      <c r="GM269" s="496" t="str">
        <f> IF(GM289&lt;&gt;"",TEXT(AUX!GQ$1,"dd-MMM-aa"),"")</f>
      </c>
      <c r="GN269" s="496" t="str">
        <f> IF(GN289&lt;&gt;"",TEXT(AUX!GR$1,"dd-MMM-aa"),"")</f>
      </c>
      <c r="GO269" s="496" t="str">
        <f> IF(GO289&lt;&gt;"",TEXT(AUX!GS$1,"dd-MMM-aa"),"")</f>
      </c>
      <c r="GP269" s="496" t="str">
        <f> IF(GP289&lt;&gt;"",TEXT(AUX!GT$1,"dd-MMM-aa"),"")</f>
      </c>
      <c r="GQ269" s="496" t="str">
        <f> IF(GQ289&lt;&gt;"",TEXT(AUX!GU$1,"dd-MMM-aa"),"")</f>
      </c>
      <c r="GR269" s="496" t="str">
        <f> IF(GR289&lt;&gt;"",TEXT(AUX!GV$1,"dd-MMM-aa"),"")</f>
      </c>
      <c r="GS269" s="496" t="str">
        <f> IF(GS289&lt;&gt;"",TEXT(AUX!GW$1,"dd-MMM-aa"),"")</f>
      </c>
      <c r="GT269" s="496" t="str">
        <f> IF(GT289&lt;&gt;"",TEXT(AUX!GX$1,"dd-MMM-aa"),"")</f>
      </c>
      <c r="GU269" s="496" t="str">
        <f> IF(GU289&lt;&gt;"",TEXT(AUX!GY$1,"dd-MMM-aa"),"")</f>
      </c>
      <c r="GV269" s="496" t="str">
        <f> IF(GV289&lt;&gt;"",TEXT(AUX!GZ$1,"dd-MMM-aa"),"")</f>
      </c>
      <c r="GW269" s="496" t="str">
        <f> IF(GW289&lt;&gt;"",TEXT(AUX!HA$1,"dd-MMM-aa"),"")</f>
      </c>
      <c r="GX269" s="496" t="str">
        <f> IF(GX289&lt;&gt;"",TEXT(AUX!HB$1,"dd-MMM-aa"),"")</f>
      </c>
      <c r="GY269" s="496" t="str">
        <f> IF(GY289&lt;&gt;"",TEXT(AUX!HC$1,"dd-MMM-aa"),"")</f>
      </c>
      <c r="GZ269" s="496" t="str">
        <f> IF(GZ289&lt;&gt;"",TEXT(AUX!HD$1,"dd-MMM-aa"),"")</f>
      </c>
      <c r="HA269" s="496" t="str">
        <f> IF(HA289&lt;&gt;"",TEXT(AUX!HE$1,"dd-MMM-aa"),"")</f>
      </c>
      <c r="HB269" s="496" t="str">
        <f> IF(HB289&lt;&gt;"",TEXT(AUX!HF$1,"dd-MMM-aa"),"")</f>
      </c>
      <c r="HC269" s="496" t="str">
        <f> IF(HC289&lt;&gt;"",TEXT(AUX!HG$1,"dd-MMM-aa"),"")</f>
      </c>
      <c r="HD269" s="496" t="str">
        <f> IF(HD289&lt;&gt;"",TEXT(AUX!HH$1,"dd-MMM-aa"),"")</f>
      </c>
      <c r="HE269" s="496" t="str">
        <f> IF(HE289&lt;&gt;"",TEXT(AUX!HI$1,"dd-MMM-aa"),"")</f>
      </c>
      <c r="HF269" s="496" t="str">
        <f> IF(HF289&lt;&gt;"",TEXT(AUX!HJ$1,"dd-MMM-aa"),"")</f>
      </c>
      <c r="HG269" s="496" t="str">
        <f> IF(HG289&lt;&gt;"",TEXT(AUX!HK$1,"dd-MMM-aa"),"")</f>
      </c>
      <c r="HH269" s="496" t="str">
        <f> IF(HH289&lt;&gt;"",TEXT(AUX!HL$1,"dd-MMM-aa"),"")</f>
      </c>
      <c r="HI269" s="496" t="str">
        <f> IF(HI289&lt;&gt;"",TEXT(AUX!HM$1,"dd-MMM-aa"),"")</f>
      </c>
      <c r="HJ269" s="496" t="str">
        <f> IF(HJ289&lt;&gt;"",TEXT(AUX!HN$1,"dd-MMM-aa"),"")</f>
      </c>
      <c r="HK269" s="496" t="str">
        <f> IF(HK289&lt;&gt;"",TEXT(AUX!HO$1,"dd-MMM-aa"),"")</f>
      </c>
      <c r="HL269" s="496" t="str">
        <f> IF(HL289&lt;&gt;"",TEXT(AUX!HP$1,"dd-MMM-aa"),"")</f>
      </c>
      <c r="HM269" s="496" t="str">
        <f> IF(HM289&lt;&gt;"",TEXT(AUX!HQ$1,"dd-MMM-aa"),"")</f>
      </c>
      <c r="HN269" s="496" t="str">
        <f> IF(HN289&lt;&gt;"",TEXT(AUX!HR$1,"dd-MMM-aa"),"")</f>
      </c>
      <c r="HO269" s="496" t="str">
        <f> IF(HO289&lt;&gt;"",TEXT(AUX!HS$1,"dd-MMM-aa"),"")</f>
      </c>
      <c r="HP269" s="496" t="str">
        <f> IF(HP289&lt;&gt;"",TEXT(AUX!HT$1,"dd-MMM-aa"),"")</f>
      </c>
      <c r="HQ269" s="496" t="str">
        <f> IF(HQ289&lt;&gt;"",TEXT(AUX!HU$1,"dd-MMM-aa"),"")</f>
      </c>
      <c r="HR269" s="496" t="str">
        <f> IF(HR289&lt;&gt;"",TEXT(AUX!HV$1,"dd-MMM-aa"),"")</f>
      </c>
      <c r="HS269" s="496" t="str">
        <f> IF(HS289&lt;&gt;"",TEXT(AUX!HW$1,"dd-MMM-aa"),"")</f>
      </c>
      <c r="HT269" s="496" t="str">
        <f> IF(HT289&lt;&gt;"",TEXT(AUX!HX$1,"dd-MMM-aa"),"")</f>
      </c>
      <c r="HU269" s="496" t="str">
        <f> IF(HU289&lt;&gt;"",TEXT(AUX!HY$1,"dd-MMM-aa"),"")</f>
      </c>
      <c r="HV269" s="496" t="str">
        <f> IF(HV289&lt;&gt;"",TEXT(AUX!HZ$1,"dd-MMM-aa"),"")</f>
      </c>
      <c r="HW269" s="496" t="str">
        <f> IF(HW289&lt;&gt;"",TEXT(AUX!IA$1,"dd-MMM-aa"),"")</f>
      </c>
      <c r="HX269" s="496" t="str">
        <f> IF(HX289&lt;&gt;"",TEXT(AUX!IB$1,"dd-MMM-aa"),"")</f>
      </c>
      <c r="HY269" s="496" t="str">
        <f> IF(HY289&lt;&gt;"",TEXT(AUX!IC$1,"dd-MMM-aa"),"")</f>
      </c>
      <c r="HZ269" s="496" t="str">
        <f> IF(HZ289&lt;&gt;"",TEXT(AUX!ID$1,"dd-MMM-aa"),"")</f>
      </c>
      <c r="IA269" s="496" t="str">
        <f> IF(IA289&lt;&gt;"",TEXT(AUX!IE$1,"dd-MMM-aa"),"")</f>
      </c>
      <c r="IB269" s="496" t="str">
        <f> IF(IB289&lt;&gt;"",TEXT(AUX!IF$1,"dd-MMM-aa"),"")</f>
      </c>
      <c r="IC269" s="496" t="str">
        <f> IF(IC289&lt;&gt;"",TEXT(AUX!IG$1,"dd-MMM-aa"),"")</f>
      </c>
      <c r="ID269" s="496" t="str">
        <f> IF(ID289&lt;&gt;"",TEXT(AUX!IH$1,"dd-MMM-aa"),"")</f>
      </c>
      <c r="IE269" s="496" t="str">
        <f> IF(IE289&lt;&gt;"",TEXT(AUX!II$1,"dd-MMM-aa"),"")</f>
      </c>
      <c r="IF269" s="496" t="str">
        <f> IF(IF289&lt;&gt;"",TEXT(AUX!IJ$1,"dd-MMM-aa"),"")</f>
      </c>
      <c r="IG269" s="496" t="str">
        <f> IF(IG289&lt;&gt;"",TEXT(AUX!IK$1,"dd-MMM-aa"),"")</f>
      </c>
      <c r="IH269" s="496" t="str">
        <f> IF(IH289&lt;&gt;"",TEXT(AUX!IL$1,"dd-MMM-aa"),"")</f>
      </c>
      <c r="II269" s="496" t="str">
        <f> IF(II289&lt;&gt;"",TEXT(AUX!IM$1,"dd-MMM-aa"),"")</f>
      </c>
      <c r="IJ269" s="496" t="str">
        <f> IF(IJ289&lt;&gt;"",TEXT(AUX!IN$1,"dd-MMM-aa"),"")</f>
      </c>
      <c r="IK269" s="496" t="str">
        <f> IF(IK289&lt;&gt;"",TEXT(AUX!IO$1,"dd-MMM-aa"),"")</f>
      </c>
      <c r="IL269" s="496" t="str">
        <f> IF(IL289&lt;&gt;"",TEXT(AUX!IP$1,"dd-MMM-aa"),"")</f>
      </c>
      <c r="IM269" s="496" t="str">
        <f> IF(IM289&lt;&gt;"",TEXT(AUX!IQ$1,"dd-MMM-aa"),"")</f>
      </c>
      <c r="IN269" s="496" t="str">
        <f> IF(IN289&lt;&gt;"",TEXT(AUX!IR$1,"dd-MMM-aa"),"")</f>
      </c>
      <c r="IO269" s="496" t="str">
        <f> IF(IO289&lt;&gt;"",TEXT(AUX!IS$1,"dd-MMM-aa"),"")</f>
      </c>
      <c r="IP269" s="496" t="str">
        <f> IF(IP289&lt;&gt;"",TEXT(AUX!IT$1,"dd-MMM-aa"),"")</f>
      </c>
      <c r="IQ269" s="496" t="str">
        <f> IF(IQ289&lt;&gt;"",TEXT(AUX!IU$1,"dd-MMM-aa"),"")</f>
      </c>
      <c r="IR269" s="496" t="str">
        <f> IF(IR289&lt;&gt;"",TEXT(AUX!IV$1,"dd-MMM-aa"),"")</f>
      </c>
      <c r="IS269" s="496" t="str">
        <f> IF(IS289&lt;&gt;"",TEXT(AUX!#REF!,"dd-MMM-aa"),"")</f>
      </c>
      <c r="IT269" s="496" t="str">
        <f> IF(IT289&lt;&gt;"",TEXT(AUX!#REF!,"dd-MMM-aa"),"")</f>
      </c>
      <c r="IU269" s="496" t="str">
        <f> IF(IU289&lt;&gt;"",TEXT(AUX!#REF!,"dd-MMM-aa"),"")</f>
      </c>
      <c r="IV269" s="496" t="str">
        <f> IF(IV289&lt;&gt;"",TEXT(AUX!#REF!,"dd-MMM-aa"),"")</f>
      </c>
    </row>
    <row r="270" hidden="1">
      <c r="B270" s="822" t="s">
        <v>8</v>
      </c>
      <c r="C270" s="823">
        <v>22880</v>
      </c>
      <c r="D270" s="823">
        <v>26805</v>
      </c>
      <c r="E270" s="823">
        <v>22660</v>
      </c>
      <c r="F270" s="823">
        <v>33463</v>
      </c>
      <c r="G270" s="823">
        <v>23688</v>
      </c>
      <c r="H270" s="823">
        <v>23962</v>
      </c>
      <c r="I270" s="823">
        <v>40718</v>
      </c>
      <c r="J270" s="823">
        <v>24159</v>
      </c>
      <c r="K270" s="823">
        <v>23954</v>
      </c>
      <c r="L270" s="823">
        <v>26416</v>
      </c>
      <c r="M270" s="823">
        <v>19515</v>
      </c>
      <c r="N270" s="823">
        <v>21997</v>
      </c>
      <c r="O270" s="823">
        <v>20715</v>
      </c>
      <c r="P270" s="823">
        <v>23297</v>
      </c>
      <c r="Q270" s="823">
        <v>24226</v>
      </c>
      <c r="R270" s="823">
        <v>32213</v>
      </c>
      <c r="S270" s="823">
        <v>31361</v>
      </c>
      <c r="T270" s="823">
        <v>30579</v>
      </c>
      <c r="U270" s="823">
        <v>27851</v>
      </c>
      <c r="V270" s="823">
        <v>31487</v>
      </c>
      <c r="W270" s="823">
        <v>34701</v>
      </c>
      <c r="X270" s="823">
        <v>33388</v>
      </c>
      <c r="Y270" s="823">
        <v>33228</v>
      </c>
      <c r="Z270" s="823">
        <v>39539</v>
      </c>
      <c r="AA270" s="823">
        <v>41389</v>
      </c>
      <c r="AB270" s="824">
        <v>36735</v>
      </c>
      <c r="AC270" s="825">
        <v>36705</v>
      </c>
      <c r="AD270" s="825">
        <v>37716</v>
      </c>
      <c r="AE270" s="825">
        <v>39229</v>
      </c>
      <c r="AF270" s="825">
        <v>38904</v>
      </c>
      <c r="AG270" s="825">
        <v>41516</v>
      </c>
      <c r="AH270" s="825">
        <v>39610</v>
      </c>
      <c r="AI270" s="825">
        <v>37093</v>
      </c>
      <c r="AJ270" s="825">
        <v>33811</v>
      </c>
      <c r="AK270" s="825">
        <v>39180</v>
      </c>
      <c r="AL270" s="825">
        <v>46228</v>
      </c>
      <c r="AM270" s="825">
        <v>43659</v>
      </c>
      <c r="AN270" s="825">
        <v>45106</v>
      </c>
      <c r="AO270" s="825">
        <v>42343</v>
      </c>
      <c r="AP270" s="825">
        <v>45301</v>
      </c>
    </row>
    <row r="271" hidden="1">
      <c r="B271" s="826" t="s">
        <v>9</v>
      </c>
      <c r="C271" s="827">
        <v>582</v>
      </c>
      <c r="D271" s="827">
        <v>632</v>
      </c>
      <c r="E271" s="827">
        <v>740</v>
      </c>
      <c r="F271" s="827">
        <v>32380</v>
      </c>
      <c r="G271" s="827">
        <v>64124</v>
      </c>
      <c r="H271" s="827">
        <v>64124</v>
      </c>
      <c r="I271" s="827">
        <v>97210</v>
      </c>
      <c r="J271" s="827">
        <v>116347</v>
      </c>
      <c r="K271" s="827">
        <v>146545</v>
      </c>
      <c r="L271" s="827">
        <v>159237</v>
      </c>
      <c r="M271" s="827">
        <v>194758</v>
      </c>
      <c r="N271" s="827">
        <v>205355</v>
      </c>
      <c r="O271" s="827">
        <v>205355</v>
      </c>
      <c r="P271" s="827">
        <v>147778</v>
      </c>
      <c r="Q271" s="827">
        <v>94484</v>
      </c>
      <c r="R271" s="827">
        <v>90849</v>
      </c>
      <c r="S271" s="827">
        <v>81861</v>
      </c>
      <c r="T271" s="827">
        <v>80361</v>
      </c>
      <c r="U271" s="827">
        <v>63447</v>
      </c>
      <c r="V271" s="827">
        <v>62860</v>
      </c>
      <c r="W271" s="827">
        <v>62465</v>
      </c>
      <c r="X271" s="827">
        <v>62043</v>
      </c>
      <c r="Y271" s="827">
        <v>62595</v>
      </c>
      <c r="Z271" s="827">
        <v>62091</v>
      </c>
      <c r="AA271" s="827">
        <v>35723</v>
      </c>
      <c r="AB271" s="827">
        <v>34238</v>
      </c>
      <c r="AC271" s="828">
        <v>32301</v>
      </c>
      <c r="AD271" s="828">
        <v>31296</v>
      </c>
      <c r="AE271" s="828">
        <v>35986</v>
      </c>
      <c r="AF271" s="828">
        <v>35959</v>
      </c>
      <c r="AG271" s="828">
        <v>42630</v>
      </c>
      <c r="AH271" s="828">
        <v>42647</v>
      </c>
      <c r="AI271" s="828">
        <v>50979</v>
      </c>
      <c r="AJ271" s="828">
        <v>50979</v>
      </c>
      <c r="AK271" s="828">
        <v>40985</v>
      </c>
      <c r="AL271" s="828">
        <v>41592</v>
      </c>
      <c r="AM271" s="828">
        <v>48061</v>
      </c>
      <c r="AN271" s="828">
        <v>48674</v>
      </c>
      <c r="AO271" s="828">
        <v>67583</v>
      </c>
      <c r="AP271" s="828">
        <v>64459</v>
      </c>
    </row>
    <row r="272" hidden="1">
      <c r="B272" s="829" t="s">
        <v>10</v>
      </c>
      <c r="C272" s="823">
        <v>311</v>
      </c>
      <c r="D272" s="823">
        <v>311</v>
      </c>
      <c r="E272" s="823">
        <v>136</v>
      </c>
      <c r="F272" s="823">
        <v>94</v>
      </c>
      <c r="G272" s="823">
        <v>214</v>
      </c>
      <c r="H272" s="823">
        <v>156</v>
      </c>
      <c r="I272" s="823">
        <v>185</v>
      </c>
      <c r="J272" s="823">
        <v>111</v>
      </c>
      <c r="K272" s="823">
        <v>187</v>
      </c>
      <c r="L272" s="823">
        <v>54</v>
      </c>
      <c r="M272" s="823">
        <v>148</v>
      </c>
      <c r="N272" s="823">
        <v>50</v>
      </c>
      <c r="O272" s="823">
        <v>115</v>
      </c>
      <c r="P272" s="823">
        <v>84</v>
      </c>
      <c r="Q272" s="823">
        <v>90</v>
      </c>
      <c r="R272" s="823">
        <v>74</v>
      </c>
      <c r="S272" s="823">
        <v>180</v>
      </c>
      <c r="T272" s="823">
        <v>187</v>
      </c>
      <c r="U272" s="823">
        <v>141</v>
      </c>
      <c r="V272" s="823">
        <v>124</v>
      </c>
      <c r="W272" s="823">
        <v>141</v>
      </c>
      <c r="X272" s="823">
        <v>88</v>
      </c>
      <c r="Y272" s="823">
        <v>151</v>
      </c>
      <c r="Z272" s="823">
        <v>173</v>
      </c>
      <c r="AA272" s="823">
        <v>80</v>
      </c>
      <c r="AB272" s="823">
        <v>118</v>
      </c>
      <c r="AC272" s="825">
        <v>77</v>
      </c>
      <c r="AD272" s="825">
        <v>216</v>
      </c>
      <c r="AE272" s="825">
        <v>111</v>
      </c>
      <c r="AF272" s="825">
        <v>252</v>
      </c>
      <c r="AG272" s="825">
        <v>155</v>
      </c>
      <c r="AH272" s="825">
        <v>159</v>
      </c>
      <c r="AI272" s="825">
        <v>144</v>
      </c>
      <c r="AJ272" s="825">
        <v>195</v>
      </c>
      <c r="AK272" s="825">
        <v>176</v>
      </c>
      <c r="AL272" s="825">
        <v>135</v>
      </c>
      <c r="AM272" s="825">
        <v>145</v>
      </c>
      <c r="AN272" s="825">
        <v>152</v>
      </c>
      <c r="AO272" s="825">
        <v>158</v>
      </c>
      <c r="AP272" s="825">
        <v>150</v>
      </c>
    </row>
    <row r="273" hidden="1">
      <c r="B273" s="826" t="s">
        <v>11</v>
      </c>
      <c r="C273" s="827">
        <v>1037</v>
      </c>
      <c r="D273" s="827">
        <v>1011</v>
      </c>
      <c r="E273" s="827">
        <v>1307</v>
      </c>
      <c r="F273" s="827">
        <v>1332</v>
      </c>
      <c r="G273" s="827">
        <v>1343</v>
      </c>
      <c r="H273" s="827">
        <v>1243</v>
      </c>
      <c r="I273" s="827">
        <v>1074</v>
      </c>
      <c r="J273" s="827">
        <v>1159</v>
      </c>
      <c r="K273" s="827">
        <v>1343</v>
      </c>
      <c r="L273" s="827">
        <v>1200</v>
      </c>
      <c r="M273" s="827">
        <v>1128</v>
      </c>
      <c r="N273" s="827">
        <v>872</v>
      </c>
      <c r="O273" s="827">
        <v>1511</v>
      </c>
      <c r="P273" s="827">
        <v>1436</v>
      </c>
      <c r="Q273" s="827">
        <v>1949</v>
      </c>
      <c r="R273" s="827">
        <v>1678</v>
      </c>
      <c r="S273" s="827">
        <v>1961</v>
      </c>
      <c r="T273" s="827">
        <v>1642</v>
      </c>
      <c r="U273" s="827">
        <v>1940</v>
      </c>
      <c r="V273" s="827">
        <v>1638</v>
      </c>
      <c r="W273" s="827">
        <v>1644</v>
      </c>
      <c r="X273" s="827">
        <v>1515</v>
      </c>
      <c r="Y273" s="827">
        <v>1351</v>
      </c>
      <c r="Z273" s="827">
        <v>1327</v>
      </c>
      <c r="AA273" s="827">
        <v>1237</v>
      </c>
      <c r="AB273" s="827">
        <v>1305</v>
      </c>
      <c r="AC273" s="828">
        <v>1719</v>
      </c>
      <c r="AD273" s="828">
        <v>1333</v>
      </c>
      <c r="AE273" s="828">
        <v>1322</v>
      </c>
      <c r="AF273" s="828">
        <v>1093</v>
      </c>
      <c r="AG273" s="828">
        <v>1202</v>
      </c>
      <c r="AH273" s="828">
        <v>786</v>
      </c>
      <c r="AI273" s="828">
        <v>1166</v>
      </c>
      <c r="AJ273" s="828">
        <v>641</v>
      </c>
      <c r="AK273" s="828">
        <v>1184</v>
      </c>
      <c r="AL273" s="828">
        <v>1229</v>
      </c>
      <c r="AM273" s="828">
        <v>1413</v>
      </c>
      <c r="AN273" s="828">
        <v>1725</v>
      </c>
      <c r="AO273" s="828">
        <v>1426</v>
      </c>
      <c r="AP273" s="828">
        <v>1319</v>
      </c>
    </row>
    <row r="274" hidden="1">
      <c r="B274" s="829" t="s">
        <v>12</v>
      </c>
      <c r="C274" s="823">
        <v>1857</v>
      </c>
      <c r="D274" s="823">
        <v>401</v>
      </c>
      <c r="E274" s="823">
        <v>1653</v>
      </c>
      <c r="F274" s="823">
        <v>1003</v>
      </c>
      <c r="G274" s="823">
        <v>1306</v>
      </c>
      <c r="H274" s="823">
        <v>756</v>
      </c>
      <c r="I274" s="823">
        <v>1771</v>
      </c>
      <c r="J274" s="823">
        <v>884</v>
      </c>
      <c r="K274" s="823">
        <v>927</v>
      </c>
      <c r="L274" s="823">
        <v>1115</v>
      </c>
      <c r="M274" s="823">
        <v>559</v>
      </c>
      <c r="N274" s="823">
        <v>467</v>
      </c>
      <c r="O274" s="823">
        <v>1944</v>
      </c>
      <c r="P274" s="823">
        <v>2340</v>
      </c>
      <c r="Q274" s="823">
        <v>2682</v>
      </c>
      <c r="R274" s="823">
        <v>2230</v>
      </c>
      <c r="S274" s="823">
        <v>2545</v>
      </c>
      <c r="T274" s="823">
        <v>2570</v>
      </c>
      <c r="U274" s="823">
        <v>1254</v>
      </c>
      <c r="V274" s="823">
        <v>648</v>
      </c>
      <c r="W274" s="823">
        <v>948</v>
      </c>
      <c r="X274" s="823">
        <v>577</v>
      </c>
      <c r="Y274" s="823">
        <v>787</v>
      </c>
      <c r="Z274" s="823">
        <v>600</v>
      </c>
      <c r="AA274" s="823">
        <v>1026</v>
      </c>
      <c r="AB274" s="823">
        <v>1042</v>
      </c>
      <c r="AC274" s="825">
        <v>741</v>
      </c>
      <c r="AD274" s="825">
        <v>716</v>
      </c>
      <c r="AE274" s="825">
        <v>885</v>
      </c>
      <c r="AF274" s="825">
        <v>952</v>
      </c>
      <c r="AG274" s="825">
        <v>870</v>
      </c>
      <c r="AH274" s="825">
        <v>887</v>
      </c>
      <c r="AI274" s="825">
        <v>827</v>
      </c>
      <c r="AJ274" s="825">
        <v>797</v>
      </c>
      <c r="AK274" s="825">
        <v>741</v>
      </c>
      <c r="AL274" s="825">
        <v>734</v>
      </c>
      <c r="AM274" s="825">
        <v>885</v>
      </c>
      <c r="AN274" s="825">
        <v>662</v>
      </c>
      <c r="AO274" s="825">
        <v>592</v>
      </c>
      <c r="AP274" s="825">
        <v>698</v>
      </c>
    </row>
    <row r="275" hidden="1">
      <c r="B275" s="826" t="s">
        <v>13</v>
      </c>
      <c r="C275" s="827">
        <v>81</v>
      </c>
      <c r="D275" s="827">
        <v>117</v>
      </c>
      <c r="E275" s="827">
        <v>224</v>
      </c>
      <c r="F275" s="827">
        <v>248</v>
      </c>
      <c r="G275" s="827">
        <v>209</v>
      </c>
      <c r="H275" s="827">
        <v>209</v>
      </c>
      <c r="I275" s="827">
        <v>218</v>
      </c>
      <c r="J275" s="827">
        <v>308</v>
      </c>
      <c r="K275" s="827">
        <v>76</v>
      </c>
      <c r="L275" s="827">
        <v>92</v>
      </c>
      <c r="M275" s="827">
        <v>84</v>
      </c>
      <c r="N275" s="827">
        <v>150</v>
      </c>
      <c r="O275" s="827">
        <v>41</v>
      </c>
      <c r="P275" s="827">
        <v>41</v>
      </c>
      <c r="Q275" s="827">
        <v>43</v>
      </c>
      <c r="R275" s="827">
        <v>59</v>
      </c>
      <c r="S275" s="827">
        <v>56</v>
      </c>
      <c r="T275" s="827">
        <v>52</v>
      </c>
      <c r="U275" s="827">
        <v>220</v>
      </c>
      <c r="V275" s="827">
        <v>220</v>
      </c>
      <c r="W275" s="827">
        <v>116</v>
      </c>
      <c r="X275" s="827">
        <v>115</v>
      </c>
      <c r="Y275" s="827">
        <v>16</v>
      </c>
      <c r="Z275" s="827">
        <v>15</v>
      </c>
      <c r="AA275" s="827">
        <v>23</v>
      </c>
      <c r="AB275" s="827">
        <v>23</v>
      </c>
      <c r="AC275" s="828">
        <v>19</v>
      </c>
      <c r="AD275" s="828">
        <v>16</v>
      </c>
      <c r="AE275" s="828">
        <v>18</v>
      </c>
      <c r="AF275" s="828">
        <v>18</v>
      </c>
      <c r="AG275" s="828">
        <v>3</v>
      </c>
      <c r="AH275" s="828">
        <v>3</v>
      </c>
      <c r="AI275" s="828">
        <v>15</v>
      </c>
      <c r="AJ275" s="828">
        <v>16</v>
      </c>
      <c r="AK275" s="828">
        <v>5</v>
      </c>
      <c r="AL275" s="828">
        <v>5</v>
      </c>
      <c r="AM275" s="828">
        <v>3</v>
      </c>
      <c r="AN275" s="828">
        <v>3</v>
      </c>
      <c r="AO275" s="828">
        <v>3</v>
      </c>
      <c r="AP275" s="828">
        <v>3</v>
      </c>
    </row>
    <row r="276" hidden="1">
      <c r="B276" s="829" t="s">
        <v>109</v>
      </c>
      <c r="C276" s="823">
        <v>17644</v>
      </c>
      <c r="D276" s="823">
        <v>14682</v>
      </c>
      <c r="E276" s="823">
        <v>34143</v>
      </c>
      <c r="F276" s="823">
        <v>33964</v>
      </c>
      <c r="G276" s="823">
        <v>23381</v>
      </c>
      <c r="H276" s="823">
        <v>23201</v>
      </c>
      <c r="I276" s="823">
        <v>21166</v>
      </c>
      <c r="J276" s="823">
        <v>21066</v>
      </c>
      <c r="K276" s="823">
        <v>20715</v>
      </c>
      <c r="L276" s="823">
        <v>20665</v>
      </c>
      <c r="M276" s="823">
        <v>16129</v>
      </c>
      <c r="N276" s="823">
        <v>15565</v>
      </c>
      <c r="O276" s="823">
        <v>13830</v>
      </c>
      <c r="P276" s="823">
        <v>13533</v>
      </c>
      <c r="Q276" s="823">
        <v>14851</v>
      </c>
      <c r="R276" s="823">
        <v>14934</v>
      </c>
      <c r="S276" s="823">
        <v>15015</v>
      </c>
      <c r="T276" s="823">
        <v>15030</v>
      </c>
      <c r="U276" s="823">
        <v>16681</v>
      </c>
      <c r="V276" s="823">
        <v>16657</v>
      </c>
      <c r="W276" s="823">
        <v>17882</v>
      </c>
      <c r="X276" s="823">
        <v>18039</v>
      </c>
      <c r="Y276" s="823">
        <v>18379</v>
      </c>
      <c r="Z276" s="823">
        <v>18493</v>
      </c>
      <c r="AA276" s="823">
        <v>27409</v>
      </c>
      <c r="AB276" s="823">
        <v>27277</v>
      </c>
      <c r="AC276" s="825">
        <v>22585</v>
      </c>
      <c r="AD276" s="825">
        <v>21977</v>
      </c>
      <c r="AE276" s="825">
        <v>18603</v>
      </c>
      <c r="AF276" s="825">
        <v>17723</v>
      </c>
      <c r="AG276" s="825">
        <v>19046</v>
      </c>
      <c r="AH276" s="825">
        <v>18957</v>
      </c>
      <c r="AI276" s="825">
        <v>18708</v>
      </c>
      <c r="AJ276" s="825">
        <v>18597</v>
      </c>
      <c r="AK276" s="825">
        <v>19308</v>
      </c>
      <c r="AL276" s="825">
        <v>19153</v>
      </c>
      <c r="AM276" s="825">
        <v>16053</v>
      </c>
      <c r="AN276" s="825">
        <v>16053</v>
      </c>
      <c r="AO276" s="825">
        <v>12488</v>
      </c>
      <c r="AP276" s="825">
        <v>12408</v>
      </c>
    </row>
    <row r="277" hidden="1">
      <c r="B277" s="826" t="s">
        <v>110</v>
      </c>
      <c r="C277" s="827">
        <v>42437</v>
      </c>
      <c r="D277" s="827">
        <v>46965</v>
      </c>
      <c r="E277" s="827">
        <v>47581</v>
      </c>
      <c r="F277" s="827">
        <v>43671</v>
      </c>
      <c r="G277" s="827">
        <v>43963</v>
      </c>
      <c r="H277" s="827">
        <v>41123</v>
      </c>
      <c r="I277" s="827">
        <v>36923</v>
      </c>
      <c r="J277" s="827">
        <v>40602</v>
      </c>
      <c r="K277" s="827">
        <v>46421</v>
      </c>
      <c r="L277" s="827">
        <v>33542</v>
      </c>
      <c r="M277" s="827">
        <v>37659</v>
      </c>
      <c r="N277" s="827">
        <v>35891</v>
      </c>
      <c r="O277" s="827">
        <v>34640</v>
      </c>
      <c r="P277" s="827">
        <v>27988</v>
      </c>
      <c r="Q277" s="827">
        <v>33208</v>
      </c>
      <c r="R277" s="827">
        <v>36669</v>
      </c>
      <c r="S277" s="827">
        <v>34459</v>
      </c>
      <c r="T277" s="827">
        <v>34389</v>
      </c>
      <c r="U277" s="827">
        <v>30983</v>
      </c>
      <c r="V277" s="827">
        <v>32558</v>
      </c>
      <c r="W277" s="827">
        <v>30658</v>
      </c>
      <c r="X277" s="827">
        <v>30840</v>
      </c>
      <c r="Y277" s="827">
        <v>28466</v>
      </c>
      <c r="Z277" s="827">
        <v>29846</v>
      </c>
      <c r="AA277" s="827">
        <v>28992</v>
      </c>
      <c r="AB277" s="827">
        <v>29279</v>
      </c>
      <c r="AC277" s="828">
        <v>34340</v>
      </c>
      <c r="AD277" s="828">
        <v>31375</v>
      </c>
      <c r="AE277" s="828">
        <v>31093</v>
      </c>
      <c r="AF277" s="828">
        <v>36573</v>
      </c>
      <c r="AG277" s="828">
        <v>35543</v>
      </c>
      <c r="AH277" s="828">
        <v>37424</v>
      </c>
      <c r="AI277" s="828">
        <v>41394</v>
      </c>
      <c r="AJ277" s="828">
        <v>35704</v>
      </c>
      <c r="AK277" s="828">
        <v>41399</v>
      </c>
      <c r="AL277" s="828">
        <v>47457</v>
      </c>
      <c r="AM277" s="828">
        <v>43284</v>
      </c>
      <c r="AN277" s="828">
        <v>36923</v>
      </c>
      <c r="AO277" s="828">
        <v>38649</v>
      </c>
      <c r="AP277" s="828">
        <v>43071</v>
      </c>
    </row>
    <row r="278" hidden="1">
      <c r="B278" s="829" t="s">
        <v>16</v>
      </c>
      <c r="C278" s="823">
        <v>0</v>
      </c>
      <c r="D278" s="823">
        <v>13136</v>
      </c>
      <c r="E278" s="823">
        <v>110877</v>
      </c>
      <c r="F278" s="823">
        <v>109537</v>
      </c>
      <c r="G278" s="823">
        <v>111527</v>
      </c>
      <c r="H278" s="823">
        <v>116222</v>
      </c>
      <c r="I278" s="823">
        <v>112951</v>
      </c>
      <c r="J278" s="823">
        <v>112413</v>
      </c>
      <c r="K278" s="823">
        <v>106693</v>
      </c>
      <c r="L278" s="823">
        <v>106916</v>
      </c>
      <c r="M278" s="823">
        <v>113211</v>
      </c>
      <c r="N278" s="823">
        <v>114433</v>
      </c>
      <c r="O278" s="823">
        <v>116704</v>
      </c>
      <c r="P278" s="823">
        <v>110205</v>
      </c>
      <c r="Q278" s="823">
        <v>115628</v>
      </c>
      <c r="R278" s="823">
        <v>116079</v>
      </c>
      <c r="S278" s="823">
        <v>120541</v>
      </c>
      <c r="T278" s="823">
        <v>119254</v>
      </c>
      <c r="U278" s="823">
        <v>122411</v>
      </c>
      <c r="V278" s="823">
        <v>123325</v>
      </c>
      <c r="W278" s="823">
        <v>123325</v>
      </c>
      <c r="X278" s="823">
        <v>123325</v>
      </c>
      <c r="Y278" s="823">
        <v>123325</v>
      </c>
      <c r="Z278" s="823">
        <v>123325</v>
      </c>
      <c r="AA278" s="823">
        <v>127095</v>
      </c>
      <c r="AB278" s="823">
        <v>126414</v>
      </c>
      <c r="AC278" s="825">
        <v>137333</v>
      </c>
      <c r="AD278" s="825">
        <v>137819</v>
      </c>
      <c r="AE278" s="825">
        <v>133108</v>
      </c>
      <c r="AF278" s="825">
        <v>101335</v>
      </c>
      <c r="AG278" s="825">
        <v>15079</v>
      </c>
      <c r="AH278" s="825">
        <v>116154</v>
      </c>
      <c r="AI278" s="825">
        <v>113689</v>
      </c>
      <c r="AJ278" s="825">
        <v>116174</v>
      </c>
      <c r="AK278" s="825">
        <v>112946</v>
      </c>
      <c r="AL278" s="825">
        <v>113238</v>
      </c>
      <c r="AM278" s="825">
        <v>114423</v>
      </c>
      <c r="AN278" s="825">
        <v>115481</v>
      </c>
      <c r="AO278" s="825">
        <v>123574</v>
      </c>
      <c r="AP278" s="825">
        <v>123704</v>
      </c>
    </row>
    <row r="279" hidden="1">
      <c r="B279" s="826" t="s">
        <v>17</v>
      </c>
      <c r="C279" s="827">
        <v>12834</v>
      </c>
      <c r="D279" s="827">
        <v>13224</v>
      </c>
      <c r="E279" s="827">
        <v>14858</v>
      </c>
      <c r="F279" s="827">
        <v>15216</v>
      </c>
      <c r="G279" s="827">
        <v>13823</v>
      </c>
      <c r="H279" s="827">
        <v>15726</v>
      </c>
      <c r="I279" s="827">
        <v>10141</v>
      </c>
      <c r="J279" s="827">
        <v>9587</v>
      </c>
      <c r="K279" s="827">
        <v>8462</v>
      </c>
      <c r="L279" s="827">
        <v>12637</v>
      </c>
      <c r="M279" s="827">
        <v>11124</v>
      </c>
      <c r="N279" s="827">
        <v>10797</v>
      </c>
      <c r="O279" s="827">
        <v>10943</v>
      </c>
      <c r="P279" s="827">
        <v>10631</v>
      </c>
      <c r="Q279" s="827">
        <v>10882</v>
      </c>
      <c r="R279" s="827">
        <v>10641</v>
      </c>
      <c r="S279" s="827">
        <v>14179</v>
      </c>
      <c r="T279" s="827">
        <v>14675</v>
      </c>
      <c r="U279" s="827">
        <v>21262</v>
      </c>
      <c r="V279" s="827">
        <v>21425</v>
      </c>
      <c r="W279" s="827">
        <v>17039</v>
      </c>
      <c r="X279" s="827">
        <v>16046</v>
      </c>
      <c r="Y279" s="827">
        <v>15207</v>
      </c>
      <c r="Z279" s="827">
        <v>14641</v>
      </c>
      <c r="AA279" s="827">
        <v>18986</v>
      </c>
      <c r="AB279" s="827">
        <v>18150</v>
      </c>
      <c r="AC279" s="828">
        <v>23397</v>
      </c>
      <c r="AD279" s="828">
        <v>22077</v>
      </c>
      <c r="AE279" s="828">
        <v>21818</v>
      </c>
      <c r="AF279" s="828">
        <v>21122</v>
      </c>
      <c r="AG279" s="828">
        <v>21889</v>
      </c>
      <c r="AH279" s="828">
        <v>21690</v>
      </c>
      <c r="AI279" s="828">
        <v>20965</v>
      </c>
      <c r="AJ279" s="828">
        <v>20348</v>
      </c>
      <c r="AK279" s="828">
        <v>19038</v>
      </c>
      <c r="AL279" s="828">
        <v>18633</v>
      </c>
      <c r="AM279" s="828">
        <v>20635</v>
      </c>
      <c r="AN279" s="828">
        <v>19072</v>
      </c>
      <c r="AO279" s="828">
        <v>19868</v>
      </c>
      <c r="AP279" s="828">
        <v>19610</v>
      </c>
    </row>
    <row r="280" hidden="1">
      <c r="B280" s="829" t="s">
        <v>18</v>
      </c>
      <c r="C280" s="823">
        <v>3423</v>
      </c>
      <c r="D280" s="823">
        <v>6470</v>
      </c>
      <c r="E280" s="823">
        <v>6964</v>
      </c>
      <c r="F280" s="823">
        <v>8961</v>
      </c>
      <c r="G280" s="823">
        <v>8885</v>
      </c>
      <c r="H280" s="823">
        <v>6230</v>
      </c>
      <c r="I280" s="823">
        <v>6737</v>
      </c>
      <c r="J280" s="823">
        <v>4468</v>
      </c>
      <c r="K280" s="823">
        <v>5405</v>
      </c>
      <c r="L280" s="823">
        <v>9747</v>
      </c>
      <c r="M280" s="823">
        <v>13363</v>
      </c>
      <c r="N280" s="823">
        <v>6205</v>
      </c>
      <c r="O280" s="823">
        <v>6180</v>
      </c>
      <c r="P280" s="823">
        <v>5907</v>
      </c>
      <c r="Q280" s="823">
        <v>7019</v>
      </c>
      <c r="R280" s="823">
        <v>7220</v>
      </c>
      <c r="S280" s="823">
        <v>8115</v>
      </c>
      <c r="T280" s="823">
        <v>5651</v>
      </c>
      <c r="U280" s="823">
        <v>6210</v>
      </c>
      <c r="V280" s="823">
        <v>5361</v>
      </c>
      <c r="W280" s="823">
        <v>13378</v>
      </c>
      <c r="X280" s="823">
        <v>11328</v>
      </c>
      <c r="Y280" s="823">
        <v>10905</v>
      </c>
      <c r="Z280" s="823">
        <v>8678</v>
      </c>
      <c r="AA280" s="823">
        <v>7220</v>
      </c>
      <c r="AB280" s="823">
        <v>7765</v>
      </c>
      <c r="AC280" s="825">
        <v>9993</v>
      </c>
      <c r="AD280" s="825">
        <v>9621</v>
      </c>
      <c r="AE280" s="825">
        <v>13562</v>
      </c>
      <c r="AF280" s="825">
        <v>14485</v>
      </c>
      <c r="AG280" s="825">
        <v>16401</v>
      </c>
      <c r="AH280" s="825">
        <v>19415</v>
      </c>
      <c r="AI280" s="825">
        <v>19186</v>
      </c>
      <c r="AJ280" s="825">
        <v>17734</v>
      </c>
      <c r="AK280" s="825">
        <v>20825</v>
      </c>
      <c r="AL280" s="825">
        <v>24702</v>
      </c>
      <c r="AM280" s="825">
        <v>20814</v>
      </c>
      <c r="AN280" s="825">
        <v>24053</v>
      </c>
      <c r="AO280" s="825">
        <v>27973</v>
      </c>
      <c r="AP280" s="825">
        <v>29567</v>
      </c>
    </row>
    <row r="281" hidden="1">
      <c r="B281" s="826" t="s">
        <v>19</v>
      </c>
      <c r="C281" s="827">
        <v>610</v>
      </c>
      <c r="D281" s="827">
        <v>610</v>
      </c>
      <c r="E281" s="827">
        <v>482</v>
      </c>
      <c r="F281" s="827">
        <v>357</v>
      </c>
      <c r="G281" s="827">
        <v>447</v>
      </c>
      <c r="H281" s="827">
        <v>408</v>
      </c>
      <c r="I281" s="827">
        <v>395</v>
      </c>
      <c r="J281" s="827">
        <v>319</v>
      </c>
      <c r="K281" s="827">
        <v>274</v>
      </c>
      <c r="L281" s="827">
        <v>455</v>
      </c>
      <c r="M281" s="827">
        <v>375</v>
      </c>
      <c r="N281" s="827">
        <v>348</v>
      </c>
      <c r="O281" s="827">
        <v>175</v>
      </c>
      <c r="P281" s="827">
        <v>175</v>
      </c>
      <c r="Q281" s="827">
        <v>233</v>
      </c>
      <c r="R281" s="827">
        <v>222</v>
      </c>
      <c r="S281" s="827">
        <v>256</v>
      </c>
      <c r="T281" s="827">
        <v>255</v>
      </c>
      <c r="U281" s="827">
        <v>248</v>
      </c>
      <c r="V281" s="827">
        <v>319</v>
      </c>
      <c r="W281" s="827">
        <v>336</v>
      </c>
      <c r="X281" s="827">
        <v>342</v>
      </c>
      <c r="Y281" s="827">
        <v>183</v>
      </c>
      <c r="Z281" s="827">
        <v>191</v>
      </c>
      <c r="AA281" s="827">
        <v>230</v>
      </c>
      <c r="AB281" s="827">
        <v>219</v>
      </c>
      <c r="AC281" s="828">
        <v>192</v>
      </c>
      <c r="AD281" s="828">
        <v>192</v>
      </c>
      <c r="AE281" s="828">
        <v>171</v>
      </c>
      <c r="AF281" s="828">
        <v>198</v>
      </c>
      <c r="AG281" s="828">
        <v>153</v>
      </c>
      <c r="AH281" s="828">
        <v>153</v>
      </c>
      <c r="AI281" s="828">
        <v>373</v>
      </c>
      <c r="AJ281" s="828">
        <v>325</v>
      </c>
      <c r="AK281" s="828">
        <v>201</v>
      </c>
      <c r="AL281" s="828">
        <v>201</v>
      </c>
      <c r="AM281" s="828">
        <v>468</v>
      </c>
      <c r="AN281" s="828">
        <v>468</v>
      </c>
      <c r="AO281" s="828">
        <v>764</v>
      </c>
      <c r="AP281" s="828">
        <v>764</v>
      </c>
    </row>
    <row r="282" hidden="1">
      <c r="B282" s="829" t="s">
        <v>20</v>
      </c>
      <c r="C282" s="823">
        <v>7</v>
      </c>
      <c r="D282" s="823">
        <v>7</v>
      </c>
      <c r="E282" s="823">
        <v>24342</v>
      </c>
      <c r="F282" s="823">
        <v>3397</v>
      </c>
      <c r="G282" s="823">
        <v>8565</v>
      </c>
      <c r="H282" s="823">
        <v>6669</v>
      </c>
      <c r="I282" s="823">
        <v>7831</v>
      </c>
      <c r="J282" s="823">
        <v>4900</v>
      </c>
      <c r="K282" s="823">
        <v>6164</v>
      </c>
      <c r="L282" s="823">
        <v>498</v>
      </c>
      <c r="M282" s="823">
        <v>340</v>
      </c>
      <c r="N282" s="823">
        <v>20</v>
      </c>
      <c r="O282" s="823">
        <v>20</v>
      </c>
      <c r="P282" s="823">
        <v>216</v>
      </c>
      <c r="Q282" s="823">
        <v>223</v>
      </c>
      <c r="R282" s="823">
        <v>223</v>
      </c>
      <c r="S282" s="823">
        <v>0</v>
      </c>
      <c r="T282" s="823">
        <v>0</v>
      </c>
      <c r="U282" s="823">
        <v>0</v>
      </c>
      <c r="V282" s="823">
        <v>0</v>
      </c>
      <c r="W282" s="823">
        <v>0</v>
      </c>
      <c r="X282" s="823">
        <v>0</v>
      </c>
      <c r="Y282" s="823">
        <v>0</v>
      </c>
      <c r="Z282" s="823">
        <v>0</v>
      </c>
      <c r="AA282" s="823">
        <v>0</v>
      </c>
      <c r="AB282" s="823">
        <v>0</v>
      </c>
      <c r="AC282" s="825">
        <v>0</v>
      </c>
      <c r="AD282" s="825">
        <v>0</v>
      </c>
      <c r="AE282" s="825">
        <v>0</v>
      </c>
      <c r="AF282" s="825">
        <v>0</v>
      </c>
      <c r="AG282" s="825">
        <v>0</v>
      </c>
      <c r="AH282" s="825">
        <v>0</v>
      </c>
      <c r="AI282" s="825">
        <v>3067</v>
      </c>
      <c r="AJ282" s="825">
        <v>105</v>
      </c>
      <c r="AK282" s="825">
        <v>5758</v>
      </c>
      <c r="AL282" s="825">
        <v>1006</v>
      </c>
      <c r="AM282" s="825">
        <v>947</v>
      </c>
      <c r="AN282" s="825">
        <v>66</v>
      </c>
      <c r="AO282" s="825">
        <v>3361</v>
      </c>
      <c r="AP282" s="825">
        <v>660</v>
      </c>
    </row>
    <row r="283" hidden="1">
      <c r="B283" s="826" t="s">
        <v>21</v>
      </c>
      <c r="C283" s="827">
        <v>16590</v>
      </c>
      <c r="D283" s="827">
        <v>16453</v>
      </c>
      <c r="E283" s="827">
        <v>17000</v>
      </c>
      <c r="F283" s="827">
        <v>22187</v>
      </c>
      <c r="G283" s="827">
        <v>19123</v>
      </c>
      <c r="H283" s="827">
        <v>18176</v>
      </c>
      <c r="I283" s="827">
        <v>14334</v>
      </c>
      <c r="J283" s="827">
        <v>13384</v>
      </c>
      <c r="K283" s="827">
        <v>15957</v>
      </c>
      <c r="L283" s="827">
        <v>15860</v>
      </c>
      <c r="M283" s="827">
        <v>14670</v>
      </c>
      <c r="N283" s="827">
        <v>16366</v>
      </c>
      <c r="O283" s="827">
        <v>16826</v>
      </c>
      <c r="P283" s="827">
        <v>16906</v>
      </c>
      <c r="Q283" s="827">
        <v>13302</v>
      </c>
      <c r="R283" s="827">
        <v>13178</v>
      </c>
      <c r="S283" s="827">
        <v>14301</v>
      </c>
      <c r="T283" s="827">
        <v>14270</v>
      </c>
      <c r="U283" s="827">
        <v>17732</v>
      </c>
      <c r="V283" s="827">
        <v>17684</v>
      </c>
      <c r="W283" s="827">
        <v>16402</v>
      </c>
      <c r="X283" s="827">
        <v>16292</v>
      </c>
      <c r="Y283" s="827">
        <v>14075</v>
      </c>
      <c r="Z283" s="827">
        <v>14405</v>
      </c>
      <c r="AA283" s="827">
        <v>15079</v>
      </c>
      <c r="AB283" s="827">
        <v>15070</v>
      </c>
      <c r="AC283" s="828">
        <v>16582</v>
      </c>
      <c r="AD283" s="828">
        <v>16796</v>
      </c>
      <c r="AE283" s="828">
        <v>15184</v>
      </c>
      <c r="AF283" s="828">
        <v>15182</v>
      </c>
      <c r="AG283" s="828">
        <v>18274</v>
      </c>
      <c r="AH283" s="828">
        <v>18256</v>
      </c>
      <c r="AI283" s="828">
        <v>14345</v>
      </c>
      <c r="AJ283" s="828">
        <v>14331</v>
      </c>
      <c r="AK283" s="828">
        <v>15053</v>
      </c>
      <c r="AL283" s="828">
        <v>15053</v>
      </c>
      <c r="AM283" s="828">
        <v>12806</v>
      </c>
      <c r="AN283" s="828">
        <v>12291</v>
      </c>
      <c r="AO283" s="828">
        <v>14321</v>
      </c>
      <c r="AP283" s="828">
        <v>12583</v>
      </c>
    </row>
    <row r="284" hidden="1">
      <c r="B284" s="829" t="s">
        <v>22</v>
      </c>
      <c r="C284" s="823">
        <v>420</v>
      </c>
      <c r="D284" s="823">
        <v>425</v>
      </c>
      <c r="E284" s="823">
        <v>325</v>
      </c>
      <c r="F284" s="823">
        <v>325</v>
      </c>
      <c r="G284" s="823">
        <v>325</v>
      </c>
      <c r="H284" s="823">
        <v>396</v>
      </c>
      <c r="I284" s="823">
        <v>688</v>
      </c>
      <c r="J284" s="823">
        <v>416</v>
      </c>
      <c r="K284" s="823">
        <v>786</v>
      </c>
      <c r="L284" s="823">
        <v>773</v>
      </c>
      <c r="M284" s="823">
        <v>409</v>
      </c>
      <c r="N284" s="823">
        <v>381</v>
      </c>
      <c r="O284" s="823">
        <v>139</v>
      </c>
      <c r="P284" s="823">
        <v>139</v>
      </c>
      <c r="Q284" s="823">
        <v>142</v>
      </c>
      <c r="R284" s="823">
        <v>52</v>
      </c>
      <c r="S284" s="823">
        <v>170</v>
      </c>
      <c r="T284" s="823">
        <v>164</v>
      </c>
      <c r="U284" s="823">
        <v>169</v>
      </c>
      <c r="V284" s="823">
        <v>170</v>
      </c>
      <c r="W284" s="823">
        <v>245</v>
      </c>
      <c r="X284" s="823">
        <v>245</v>
      </c>
      <c r="Y284" s="823">
        <v>693</v>
      </c>
      <c r="Z284" s="823">
        <v>693</v>
      </c>
      <c r="AA284" s="823">
        <v>485</v>
      </c>
      <c r="AB284" s="823">
        <v>482</v>
      </c>
      <c r="AC284" s="825">
        <v>349</v>
      </c>
      <c r="AD284" s="825">
        <v>349</v>
      </c>
      <c r="AE284" s="825">
        <v>659</v>
      </c>
      <c r="AF284" s="825">
        <v>659</v>
      </c>
      <c r="AG284" s="825">
        <v>339</v>
      </c>
      <c r="AH284" s="825">
        <v>339</v>
      </c>
      <c r="AI284" s="825">
        <v>205</v>
      </c>
      <c r="AJ284" s="825">
        <v>205</v>
      </c>
      <c r="AK284" s="825">
        <v>216</v>
      </c>
      <c r="AL284" s="825">
        <v>216</v>
      </c>
      <c r="AM284" s="825">
        <v>153</v>
      </c>
      <c r="AN284" s="825">
        <v>153</v>
      </c>
      <c r="AO284" s="825">
        <v>117</v>
      </c>
      <c r="AP284" s="825">
        <v>117</v>
      </c>
    </row>
    <row r="285" hidden="1">
      <c r="B285" s="826" t="s">
        <v>23</v>
      </c>
      <c r="C285" s="827">
        <v>700</v>
      </c>
      <c r="D285" s="827">
        <v>700</v>
      </c>
      <c r="E285" s="827">
        <v>832</v>
      </c>
      <c r="F285" s="827">
        <v>802</v>
      </c>
      <c r="G285" s="827">
        <v>930</v>
      </c>
      <c r="H285" s="827">
        <v>931</v>
      </c>
      <c r="I285" s="827">
        <v>913</v>
      </c>
      <c r="J285" s="827">
        <v>913</v>
      </c>
      <c r="K285" s="827">
        <v>853</v>
      </c>
      <c r="L285" s="827">
        <v>831</v>
      </c>
      <c r="M285" s="827">
        <v>571</v>
      </c>
      <c r="N285" s="827">
        <v>571</v>
      </c>
      <c r="O285" s="827">
        <v>493</v>
      </c>
      <c r="P285" s="827">
        <v>500</v>
      </c>
      <c r="Q285" s="827">
        <v>1046</v>
      </c>
      <c r="R285" s="827">
        <v>577</v>
      </c>
      <c r="S285" s="827">
        <v>414</v>
      </c>
      <c r="T285" s="827">
        <v>414</v>
      </c>
      <c r="U285" s="827">
        <v>441</v>
      </c>
      <c r="V285" s="827">
        <v>441</v>
      </c>
      <c r="W285" s="827">
        <v>607</v>
      </c>
      <c r="X285" s="827">
        <v>607</v>
      </c>
      <c r="Y285" s="827">
        <v>601</v>
      </c>
      <c r="Z285" s="827">
        <v>601</v>
      </c>
      <c r="AA285" s="827">
        <v>437</v>
      </c>
      <c r="AB285" s="827">
        <v>437</v>
      </c>
      <c r="AC285" s="828">
        <v>425</v>
      </c>
      <c r="AD285" s="828">
        <v>425</v>
      </c>
      <c r="AE285" s="828">
        <v>510</v>
      </c>
      <c r="AF285" s="828">
        <v>510</v>
      </c>
      <c r="AG285" s="828">
        <v>521</v>
      </c>
      <c r="AH285" s="828">
        <v>521</v>
      </c>
      <c r="AI285" s="828">
        <v>504</v>
      </c>
      <c r="AJ285" s="828">
        <v>504</v>
      </c>
      <c r="AK285" s="828">
        <v>498</v>
      </c>
      <c r="AL285" s="828">
        <v>498</v>
      </c>
      <c r="AM285" s="828">
        <v>423</v>
      </c>
      <c r="AN285" s="828">
        <v>423</v>
      </c>
      <c r="AO285" s="828">
        <v>561</v>
      </c>
      <c r="AP285" s="828">
        <v>561</v>
      </c>
    </row>
    <row r="286" hidden="1">
      <c r="B286" s="830" t="s">
        <v>24</v>
      </c>
      <c r="C286" s="823">
        <v>6119</v>
      </c>
      <c r="D286" s="823">
        <v>6989</v>
      </c>
      <c r="E286" s="823">
        <v>6296</v>
      </c>
      <c r="F286" s="823">
        <v>6835</v>
      </c>
      <c r="G286" s="823">
        <v>7505</v>
      </c>
      <c r="H286" s="823">
        <v>7746</v>
      </c>
      <c r="I286" s="823">
        <v>6385</v>
      </c>
      <c r="J286" s="823">
        <v>7128</v>
      </c>
      <c r="K286" s="823">
        <v>8549</v>
      </c>
      <c r="L286" s="823">
        <v>9014</v>
      </c>
      <c r="M286" s="823">
        <v>7402</v>
      </c>
      <c r="N286" s="823">
        <v>8101</v>
      </c>
      <c r="O286" s="823">
        <v>8168</v>
      </c>
      <c r="P286" s="823">
        <v>8249</v>
      </c>
      <c r="Q286" s="823">
        <v>7883</v>
      </c>
      <c r="R286" s="823">
        <v>7452</v>
      </c>
      <c r="S286" s="823">
        <v>7564</v>
      </c>
      <c r="T286" s="823">
        <v>7318</v>
      </c>
      <c r="U286" s="823">
        <v>8247</v>
      </c>
      <c r="V286" s="823">
        <v>8479</v>
      </c>
      <c r="W286" s="823">
        <v>8207</v>
      </c>
      <c r="X286" s="823">
        <v>8320</v>
      </c>
      <c r="Y286" s="823">
        <v>7778</v>
      </c>
      <c r="Z286" s="823">
        <v>7104</v>
      </c>
      <c r="AA286" s="823">
        <v>7387</v>
      </c>
      <c r="AB286" s="823">
        <v>7245</v>
      </c>
      <c r="AC286" s="825">
        <v>7463</v>
      </c>
      <c r="AD286" s="825">
        <v>7569</v>
      </c>
      <c r="AE286" s="825">
        <v>7122</v>
      </c>
      <c r="AF286" s="825">
        <v>7205</v>
      </c>
      <c r="AG286" s="825">
        <v>8256</v>
      </c>
      <c r="AH286" s="825">
        <v>8404</v>
      </c>
      <c r="AI286" s="825">
        <v>8902</v>
      </c>
      <c r="AJ286" s="825">
        <v>9078</v>
      </c>
      <c r="AK286" s="825">
        <v>6753</v>
      </c>
      <c r="AL286" s="825">
        <v>6670</v>
      </c>
      <c r="AM286" s="825">
        <v>5420</v>
      </c>
      <c r="AN286" s="825">
        <v>6080</v>
      </c>
      <c r="AO286" s="825">
        <v>5980</v>
      </c>
      <c r="AP286" s="825">
        <v>5784</v>
      </c>
    </row>
    <row r="287" hidden="1">
      <c r="B287" s="826" t="s">
        <v>25</v>
      </c>
      <c r="C287" s="827">
        <v>0</v>
      </c>
      <c r="D287" s="827">
        <v>0</v>
      </c>
      <c r="E287" s="827">
        <v>0</v>
      </c>
      <c r="F287" s="827">
        <v>0</v>
      </c>
      <c r="G287" s="827">
        <v>0</v>
      </c>
      <c r="H287" s="827">
        <v>0</v>
      </c>
      <c r="I287" s="827">
        <v>0</v>
      </c>
      <c r="J287" s="827">
        <v>0</v>
      </c>
      <c r="K287" s="827">
        <v>0</v>
      </c>
      <c r="L287" s="827">
        <v>0</v>
      </c>
      <c r="M287" s="827">
        <v>0</v>
      </c>
      <c r="N287" s="827">
        <v>0</v>
      </c>
      <c r="O287" s="827">
        <v>0</v>
      </c>
      <c r="P287" s="827">
        <v>0</v>
      </c>
      <c r="Q287" s="827">
        <v>0</v>
      </c>
      <c r="R287" s="827">
        <v>0</v>
      </c>
      <c r="S287" s="827">
        <v>0</v>
      </c>
      <c r="T287" s="827">
        <v>0</v>
      </c>
      <c r="U287" s="827">
        <v>0</v>
      </c>
      <c r="V287" s="827">
        <v>0</v>
      </c>
      <c r="W287" s="827">
        <v>0</v>
      </c>
      <c r="X287" s="827">
        <v>0</v>
      </c>
      <c r="Y287" s="827">
        <v>0</v>
      </c>
      <c r="Z287" s="827">
        <v>0</v>
      </c>
      <c r="AA287" s="827">
        <v>0</v>
      </c>
      <c r="AB287" s="827">
        <v>0</v>
      </c>
      <c r="AC287" s="828">
        <v>0</v>
      </c>
      <c r="AD287" s="828">
        <v>0</v>
      </c>
      <c r="AE287" s="828">
        <v>0</v>
      </c>
      <c r="AF287" s="828">
        <v>0</v>
      </c>
      <c r="AG287" s="828">
        <v>0</v>
      </c>
      <c r="AH287" s="828">
        <v>0</v>
      </c>
      <c r="AI287" s="828">
        <v>0</v>
      </c>
      <c r="AJ287" s="828">
        <v>0</v>
      </c>
      <c r="AK287" s="828">
        <v>0</v>
      </c>
      <c r="AL287" s="828">
        <v>0</v>
      </c>
      <c r="AM287" s="828">
        <v>0</v>
      </c>
      <c r="AN287" s="828">
        <v>0</v>
      </c>
      <c r="AO287" s="828">
        <v>0</v>
      </c>
      <c r="AP287" s="828">
        <v>0</v>
      </c>
    </row>
    <row r="288" hidden="1" ht="13.5">
      <c r="B288" s="831" t="s">
        <v>26</v>
      </c>
      <c r="C288" s="823">
        <v>0</v>
      </c>
      <c r="D288" s="823">
        <v>0</v>
      </c>
      <c r="E288" s="823">
        <v>0</v>
      </c>
      <c r="F288" s="823">
        <v>0</v>
      </c>
      <c r="G288" s="823">
        <v>0</v>
      </c>
      <c r="H288" s="823">
        <v>0</v>
      </c>
      <c r="I288" s="823">
        <v>0</v>
      </c>
      <c r="J288" s="823">
        <v>0</v>
      </c>
      <c r="K288" s="823">
        <v>0</v>
      </c>
      <c r="L288" s="823">
        <v>0</v>
      </c>
      <c r="M288" s="823">
        <v>0</v>
      </c>
      <c r="N288" s="823">
        <v>0</v>
      </c>
      <c r="O288" s="823">
        <v>0</v>
      </c>
      <c r="P288" s="823">
        <v>0</v>
      </c>
      <c r="Q288" s="823">
        <v>0</v>
      </c>
      <c r="R288" s="823">
        <v>0</v>
      </c>
      <c r="S288" s="823">
        <v>0</v>
      </c>
      <c r="T288" s="823">
        <v>0</v>
      </c>
      <c r="U288" s="823">
        <v>0</v>
      </c>
      <c r="V288" s="823">
        <v>0</v>
      </c>
      <c r="W288" s="823">
        <v>0</v>
      </c>
      <c r="X288" s="823">
        <v>0</v>
      </c>
      <c r="Y288" s="823">
        <v>0</v>
      </c>
      <c r="Z288" s="823">
        <v>0</v>
      </c>
      <c r="AA288" s="823">
        <v>0</v>
      </c>
      <c r="AB288" s="832">
        <v>0</v>
      </c>
      <c r="AC288" s="825">
        <v>0</v>
      </c>
      <c r="AD288" s="825">
        <v>0</v>
      </c>
      <c r="AE288" s="825">
        <v>0</v>
      </c>
      <c r="AF288" s="825">
        <v>0</v>
      </c>
      <c r="AG288" s="825">
        <v>0</v>
      </c>
      <c r="AH288" s="825">
        <v>0</v>
      </c>
      <c r="AI288" s="825">
        <v>0</v>
      </c>
      <c r="AJ288" s="825">
        <v>0</v>
      </c>
      <c r="AK288" s="825">
        <v>0</v>
      </c>
      <c r="AL288" s="825">
        <v>0</v>
      </c>
      <c r="AM288" s="825">
        <v>0</v>
      </c>
      <c r="AN288" s="825">
        <v>0</v>
      </c>
      <c r="AO288" s="825">
        <v>0</v>
      </c>
      <c r="AP288" s="825">
        <v>0</v>
      </c>
    </row>
    <row r="289" hidden="1" ht="13.5">
      <c r="B289" s="128" t="s">
        <v>7</v>
      </c>
      <c r="C289" s="129" t="str">
        <f>IF(SUM(C270:C288)&lt;&gt;0,SUM(C270:C288),"")</f>
      </c>
      <c r="D289" s="129" t="str">
        <f ref="D289:AA289" t="shared" si="20">IF(SUM(D270:D288)&lt;&gt;0,SUM(D270:D288),"")</f>
      </c>
      <c r="E289" s="129" t="str">
        <f t="shared" si="20"/>
      </c>
      <c r="F289" s="129" t="str">
        <f t="shared" si="20"/>
      </c>
      <c r="G289" s="129" t="str">
        <f t="shared" si="20"/>
      </c>
      <c r="H289" s="129" t="str">
        <f t="shared" si="20"/>
      </c>
      <c r="I289" s="129" t="str">
        <f t="shared" si="20"/>
      </c>
      <c r="J289" s="129" t="str">
        <f t="shared" si="20"/>
      </c>
      <c r="K289" s="129" t="str">
        <f t="shared" si="20"/>
      </c>
      <c r="L289" s="129" t="str">
        <f t="shared" si="20"/>
      </c>
      <c r="M289" s="129" t="str">
        <f t="shared" si="20"/>
      </c>
      <c r="N289" s="129" t="str">
        <f t="shared" si="20"/>
      </c>
      <c r="O289" s="129" t="str">
        <f t="shared" si="20"/>
      </c>
      <c r="P289" s="129" t="str">
        <f t="shared" si="20"/>
      </c>
      <c r="Q289" s="129" t="str">
        <f t="shared" si="20"/>
      </c>
      <c r="R289" s="129" t="str">
        <f t="shared" si="20"/>
      </c>
      <c r="S289" s="129" t="str">
        <f t="shared" si="20"/>
      </c>
      <c r="T289" s="129" t="str">
        <f t="shared" si="20"/>
      </c>
      <c r="U289" s="129" t="str">
        <f t="shared" si="20"/>
      </c>
      <c r="V289" s="129" t="str">
        <f t="shared" si="20"/>
      </c>
      <c r="W289" s="129" t="str">
        <f t="shared" si="20"/>
      </c>
      <c r="X289" s="129" t="str">
        <f t="shared" si="20"/>
      </c>
      <c r="Y289" s="129" t="str">
        <f t="shared" si="20"/>
      </c>
      <c r="Z289" s="129" t="str">
        <f t="shared" si="20"/>
      </c>
      <c r="AA289" s="129" t="str">
        <f t="shared" si="20"/>
      </c>
      <c r="AB289" s="130" t="str">
        <f>IF(SUM(AB270:AB288)&lt;&gt;0,SUM(AB270:AB288),"")</f>
      </c>
      <c r="AC289" s="91" t="str">
        <f ref="AC289:CN289" t="shared" si="21">IF(SUM(AC270:AC288)&lt;&gt;0,SUM(AC270:AC288),"")</f>
      </c>
      <c r="AD289" s="91" t="str">
        <f t="shared" si="21"/>
      </c>
      <c r="AE289" s="91" t="str">
        <f t="shared" si="21"/>
      </c>
      <c r="AF289" s="91" t="str">
        <f t="shared" si="21"/>
      </c>
      <c r="AG289" s="91" t="str">
        <f t="shared" si="21"/>
      </c>
      <c r="AH289" s="91" t="str">
        <f t="shared" si="21"/>
      </c>
      <c r="AI289" s="91" t="str">
        <f t="shared" si="21"/>
      </c>
      <c r="AJ289" s="91" t="str">
        <f t="shared" si="21"/>
      </c>
      <c r="AK289" s="91" t="str">
        <f t="shared" si="21"/>
      </c>
      <c r="AL289" s="91" t="str">
        <f t="shared" si="21"/>
      </c>
      <c r="AM289" s="91" t="str">
        <f t="shared" si="21"/>
      </c>
      <c r="AN289" s="91" t="str">
        <f t="shared" si="21"/>
      </c>
      <c r="AO289" s="91" t="str">
        <f t="shared" si="21"/>
      </c>
      <c r="AP289" s="91" t="str">
        <f t="shared" si="21"/>
      </c>
      <c r="AQ289" s="91" t="str">
        <f t="shared" si="21"/>
      </c>
      <c r="AR289" s="91" t="str">
        <f t="shared" si="21"/>
      </c>
      <c r="AS289" s="91" t="str">
        <f t="shared" si="21"/>
      </c>
      <c r="AT289" s="91" t="str">
        <f t="shared" si="21"/>
      </c>
      <c r="AU289" s="91" t="str">
        <f t="shared" si="21"/>
      </c>
      <c r="AV289" s="91" t="str">
        <f t="shared" si="21"/>
      </c>
      <c r="AW289" s="91" t="str">
        <f t="shared" si="21"/>
      </c>
      <c r="AX289" s="91" t="str">
        <f t="shared" si="21"/>
      </c>
      <c r="AY289" s="91" t="str">
        <f t="shared" si="21"/>
      </c>
      <c r="AZ289" s="91" t="str">
        <f t="shared" si="21"/>
      </c>
      <c r="BA289" s="91" t="str">
        <f t="shared" si="21"/>
      </c>
      <c r="BB289" s="91" t="str">
        <f t="shared" si="21"/>
      </c>
      <c r="BC289" s="91" t="str">
        <f t="shared" si="21"/>
      </c>
      <c r="BD289" s="91" t="str">
        <f t="shared" si="21"/>
      </c>
      <c r="BE289" s="91" t="str">
        <f t="shared" si="21"/>
      </c>
      <c r="BF289" s="91" t="str">
        <f t="shared" si="21"/>
      </c>
      <c r="BG289" s="91" t="str">
        <f t="shared" si="21"/>
      </c>
      <c r="BH289" s="91" t="str">
        <f t="shared" si="21"/>
      </c>
      <c r="BI289" s="91" t="str">
        <f t="shared" si="21"/>
      </c>
      <c r="BJ289" s="91" t="str">
        <f t="shared" si="21"/>
      </c>
      <c r="BK289" s="91" t="str">
        <f t="shared" si="21"/>
      </c>
      <c r="BL289" s="91" t="str">
        <f t="shared" si="21"/>
      </c>
      <c r="BM289" s="91" t="str">
        <f t="shared" si="21"/>
      </c>
      <c r="BN289" s="91" t="str">
        <f t="shared" si="21"/>
      </c>
      <c r="BO289" s="91" t="str">
        <f t="shared" si="21"/>
      </c>
      <c r="BP289" s="91" t="str">
        <f t="shared" si="21"/>
      </c>
      <c r="BQ289" s="91" t="str">
        <f t="shared" si="21"/>
      </c>
      <c r="BR289" s="91" t="str">
        <f t="shared" si="21"/>
      </c>
      <c r="BS289" s="91" t="str">
        <f t="shared" si="21"/>
      </c>
      <c r="BT289" s="91" t="str">
        <f t="shared" si="21"/>
      </c>
      <c r="BU289" s="91" t="str">
        <f t="shared" si="21"/>
      </c>
      <c r="BV289" s="91" t="str">
        <f t="shared" si="21"/>
      </c>
      <c r="BW289" s="91" t="str">
        <f t="shared" si="21"/>
      </c>
      <c r="BX289" s="91" t="str">
        <f t="shared" si="21"/>
      </c>
      <c r="BY289" s="91" t="str">
        <f t="shared" si="21"/>
      </c>
      <c r="BZ289" s="91" t="str">
        <f t="shared" si="21"/>
      </c>
      <c r="CA289" s="91" t="str">
        <f t="shared" si="21"/>
      </c>
      <c r="CB289" s="91" t="str">
        <f t="shared" si="21"/>
      </c>
      <c r="CC289" s="91" t="str">
        <f t="shared" si="21"/>
      </c>
      <c r="CD289" s="91" t="str">
        <f t="shared" si="21"/>
      </c>
      <c r="CE289" s="91" t="str">
        <f t="shared" si="21"/>
      </c>
      <c r="CF289" s="91" t="str">
        <f t="shared" si="21"/>
      </c>
      <c r="CG289" s="91" t="str">
        <f t="shared" si="21"/>
      </c>
      <c r="CH289" s="91" t="str">
        <f t="shared" si="21"/>
      </c>
      <c r="CI289" s="91" t="str">
        <f t="shared" si="21"/>
      </c>
      <c r="CJ289" s="91" t="str">
        <f t="shared" si="21"/>
      </c>
      <c r="CK289" s="91" t="str">
        <f t="shared" si="21"/>
      </c>
      <c r="CL289" s="91" t="str">
        <f t="shared" si="21"/>
      </c>
      <c r="CM289" s="91" t="str">
        <f t="shared" si="21"/>
      </c>
      <c r="CN289" s="91" t="str">
        <f t="shared" si="21"/>
      </c>
      <c r="CO289" s="91" t="str">
        <f ref="CO289:EZ289" t="shared" si="22">IF(SUM(CO270:CO288)&lt;&gt;0,SUM(CO270:CO288),"")</f>
      </c>
      <c r="CP289" s="91" t="str">
        <f t="shared" si="22"/>
      </c>
      <c r="CQ289" s="91" t="str">
        <f t="shared" si="22"/>
      </c>
      <c r="CR289" s="91" t="str">
        <f t="shared" si="22"/>
      </c>
      <c r="CS289" s="91" t="str">
        <f t="shared" si="22"/>
      </c>
      <c r="CT289" s="91" t="str">
        <f t="shared" si="22"/>
      </c>
      <c r="CU289" s="91" t="str">
        <f t="shared" si="22"/>
      </c>
      <c r="CV289" s="91" t="str">
        <f t="shared" si="22"/>
      </c>
      <c r="CW289" s="91" t="str">
        <f t="shared" si="22"/>
      </c>
      <c r="CX289" s="91" t="str">
        <f t="shared" si="22"/>
      </c>
      <c r="CY289" s="91" t="str">
        <f t="shared" si="22"/>
      </c>
      <c r="CZ289" s="91" t="str">
        <f t="shared" si="22"/>
      </c>
      <c r="DA289" s="91" t="str">
        <f t="shared" si="22"/>
      </c>
      <c r="DB289" s="91" t="str">
        <f t="shared" si="22"/>
      </c>
      <c r="DC289" s="91" t="str">
        <f t="shared" si="22"/>
      </c>
      <c r="DD289" s="91" t="str">
        <f t="shared" si="22"/>
      </c>
      <c r="DE289" s="91" t="str">
        <f t="shared" si="22"/>
      </c>
      <c r="DF289" s="91" t="str">
        <f t="shared" si="22"/>
      </c>
      <c r="DG289" s="91" t="str">
        <f t="shared" si="22"/>
      </c>
      <c r="DH289" s="91" t="str">
        <f t="shared" si="22"/>
      </c>
      <c r="DI289" s="91" t="str">
        <f t="shared" si="22"/>
      </c>
      <c r="DJ289" s="91" t="str">
        <f t="shared" si="22"/>
      </c>
      <c r="DK289" s="91" t="str">
        <f t="shared" si="22"/>
      </c>
      <c r="DL289" s="91" t="str">
        <f t="shared" si="22"/>
      </c>
      <c r="DM289" s="91" t="str">
        <f t="shared" si="22"/>
      </c>
      <c r="DN289" s="91" t="str">
        <f t="shared" si="22"/>
      </c>
      <c r="DO289" s="91" t="str">
        <f t="shared" si="22"/>
      </c>
      <c r="DP289" s="91" t="str">
        <f t="shared" si="22"/>
      </c>
      <c r="DQ289" s="91" t="str">
        <f t="shared" si="22"/>
      </c>
      <c r="DR289" s="91" t="str">
        <f t="shared" si="22"/>
      </c>
      <c r="DS289" s="91" t="str">
        <f t="shared" si="22"/>
      </c>
      <c r="DT289" s="91" t="str">
        <f t="shared" si="22"/>
      </c>
      <c r="DU289" s="91" t="str">
        <f t="shared" si="22"/>
      </c>
      <c r="DV289" s="91" t="str">
        <f t="shared" si="22"/>
      </c>
      <c r="DW289" s="91" t="str">
        <f t="shared" si="22"/>
      </c>
      <c r="DX289" s="91" t="str">
        <f t="shared" si="22"/>
      </c>
      <c r="DY289" s="91" t="str">
        <f t="shared" si="22"/>
      </c>
      <c r="DZ289" s="91" t="str">
        <f t="shared" si="22"/>
      </c>
      <c r="EA289" s="91" t="str">
        <f t="shared" si="22"/>
      </c>
      <c r="EB289" s="91" t="str">
        <f t="shared" si="22"/>
      </c>
      <c r="EC289" s="91" t="str">
        <f t="shared" si="22"/>
      </c>
      <c r="ED289" s="91" t="str">
        <f t="shared" si="22"/>
      </c>
      <c r="EE289" s="91" t="str">
        <f t="shared" si="22"/>
      </c>
      <c r="EF289" s="91" t="str">
        <f t="shared" si="22"/>
      </c>
      <c r="EG289" s="91" t="str">
        <f t="shared" si="22"/>
      </c>
      <c r="EH289" s="91" t="str">
        <f t="shared" si="22"/>
      </c>
      <c r="EI289" s="91" t="str">
        <f t="shared" si="22"/>
      </c>
      <c r="EJ289" s="91" t="str">
        <f t="shared" si="22"/>
      </c>
      <c r="EK289" s="91" t="str">
        <f t="shared" si="22"/>
      </c>
      <c r="EL289" s="91" t="str">
        <f t="shared" si="22"/>
      </c>
      <c r="EM289" s="91" t="str">
        <f t="shared" si="22"/>
      </c>
      <c r="EN289" s="91" t="str">
        <f t="shared" si="22"/>
      </c>
      <c r="EO289" s="91" t="str">
        <f t="shared" si="22"/>
      </c>
      <c r="EP289" s="91" t="str">
        <f t="shared" si="22"/>
      </c>
      <c r="EQ289" s="91" t="str">
        <f t="shared" si="22"/>
      </c>
      <c r="ER289" s="91" t="str">
        <f t="shared" si="22"/>
      </c>
      <c r="ES289" s="91" t="str">
        <f t="shared" si="22"/>
      </c>
      <c r="ET289" s="91" t="str">
        <f t="shared" si="22"/>
      </c>
      <c r="EU289" s="91" t="str">
        <f t="shared" si="22"/>
      </c>
      <c r="EV289" s="91" t="str">
        <f t="shared" si="22"/>
      </c>
      <c r="EW289" s="91" t="str">
        <f t="shared" si="22"/>
      </c>
      <c r="EX289" s="91" t="str">
        <f t="shared" si="22"/>
      </c>
      <c r="EY289" s="91" t="str">
        <f t="shared" si="22"/>
      </c>
      <c r="EZ289" s="91" t="str">
        <f t="shared" si="22"/>
      </c>
      <c r="FA289" s="91" t="str">
        <f ref="FA289:HL289" t="shared" si="23">IF(SUM(FA270:FA288)&lt;&gt;0,SUM(FA270:FA288),"")</f>
      </c>
      <c r="FB289" s="91" t="str">
        <f t="shared" si="23"/>
      </c>
      <c r="FC289" s="91" t="str">
        <f t="shared" si="23"/>
      </c>
      <c r="FD289" s="91" t="str">
        <f t="shared" si="23"/>
      </c>
      <c r="FE289" s="91" t="str">
        <f t="shared" si="23"/>
      </c>
      <c r="FF289" s="91" t="str">
        <f t="shared" si="23"/>
      </c>
      <c r="FG289" s="91" t="str">
        <f t="shared" si="23"/>
      </c>
      <c r="FH289" s="91" t="str">
        <f t="shared" si="23"/>
      </c>
      <c r="FI289" s="91" t="str">
        <f t="shared" si="23"/>
      </c>
      <c r="FJ289" s="91" t="str">
        <f t="shared" si="23"/>
      </c>
      <c r="FK289" s="91" t="str">
        <f t="shared" si="23"/>
      </c>
      <c r="FL289" s="91" t="str">
        <f t="shared" si="23"/>
      </c>
      <c r="FM289" s="91" t="str">
        <f t="shared" si="23"/>
      </c>
      <c r="FN289" s="91" t="str">
        <f t="shared" si="23"/>
      </c>
      <c r="FO289" s="91" t="str">
        <f t="shared" si="23"/>
      </c>
      <c r="FP289" s="91" t="str">
        <f t="shared" si="23"/>
      </c>
      <c r="FQ289" s="91" t="str">
        <f t="shared" si="23"/>
      </c>
      <c r="FR289" s="91" t="str">
        <f t="shared" si="23"/>
      </c>
      <c r="FS289" s="91" t="str">
        <f t="shared" si="23"/>
      </c>
      <c r="FT289" s="91" t="str">
        <f t="shared" si="23"/>
      </c>
      <c r="FU289" s="91" t="str">
        <f t="shared" si="23"/>
      </c>
      <c r="FV289" s="91" t="str">
        <f t="shared" si="23"/>
      </c>
      <c r="FW289" s="91" t="str">
        <f t="shared" si="23"/>
      </c>
      <c r="FX289" s="91" t="str">
        <f t="shared" si="23"/>
      </c>
      <c r="FY289" s="91" t="str">
        <f t="shared" si="23"/>
      </c>
      <c r="FZ289" s="91" t="str">
        <f t="shared" si="23"/>
      </c>
      <c r="GA289" s="91" t="str">
        <f t="shared" si="23"/>
      </c>
      <c r="GB289" s="91" t="str">
        <f t="shared" si="23"/>
      </c>
      <c r="GC289" s="91" t="str">
        <f t="shared" si="23"/>
      </c>
      <c r="GD289" s="91" t="str">
        <f t="shared" si="23"/>
      </c>
      <c r="GE289" s="91" t="str">
        <f t="shared" si="23"/>
      </c>
      <c r="GF289" s="91" t="str">
        <f t="shared" si="23"/>
      </c>
      <c r="GG289" s="91" t="str">
        <f t="shared" si="23"/>
      </c>
      <c r="GH289" s="91" t="str">
        <f t="shared" si="23"/>
      </c>
      <c r="GI289" s="91" t="str">
        <f t="shared" si="23"/>
      </c>
      <c r="GJ289" s="91" t="str">
        <f t="shared" si="23"/>
      </c>
      <c r="GK289" s="91" t="str">
        <f t="shared" si="23"/>
      </c>
      <c r="GL289" s="91" t="str">
        <f t="shared" si="23"/>
      </c>
      <c r="GM289" s="91" t="str">
        <f t="shared" si="23"/>
      </c>
      <c r="GN289" s="91" t="str">
        <f t="shared" si="23"/>
      </c>
      <c r="GO289" s="91" t="str">
        <f t="shared" si="23"/>
      </c>
      <c r="GP289" s="91" t="str">
        <f t="shared" si="23"/>
      </c>
      <c r="GQ289" s="91" t="str">
        <f t="shared" si="23"/>
      </c>
      <c r="GR289" s="91" t="str">
        <f t="shared" si="23"/>
      </c>
      <c r="GS289" s="91" t="str">
        <f t="shared" si="23"/>
      </c>
      <c r="GT289" s="91" t="str">
        <f t="shared" si="23"/>
      </c>
      <c r="GU289" s="91" t="str">
        <f t="shared" si="23"/>
      </c>
      <c r="GV289" s="91" t="str">
        <f t="shared" si="23"/>
      </c>
      <c r="GW289" s="91" t="str">
        <f t="shared" si="23"/>
      </c>
      <c r="GX289" s="91" t="str">
        <f t="shared" si="23"/>
      </c>
      <c r="GY289" s="91" t="str">
        <f t="shared" si="23"/>
      </c>
      <c r="GZ289" s="91" t="str">
        <f t="shared" si="23"/>
      </c>
      <c r="HA289" s="91" t="str">
        <f t="shared" si="23"/>
      </c>
      <c r="HB289" s="91" t="str">
        <f t="shared" si="23"/>
      </c>
      <c r="HC289" s="91" t="str">
        <f t="shared" si="23"/>
      </c>
      <c r="HD289" s="91" t="str">
        <f t="shared" si="23"/>
      </c>
      <c r="HE289" s="91" t="str">
        <f t="shared" si="23"/>
      </c>
      <c r="HF289" s="91" t="str">
        <f t="shared" si="23"/>
      </c>
      <c r="HG289" s="91" t="str">
        <f t="shared" si="23"/>
      </c>
      <c r="HH289" s="91" t="str">
        <f t="shared" si="23"/>
      </c>
      <c r="HI289" s="91" t="str">
        <f t="shared" si="23"/>
      </c>
      <c r="HJ289" s="91" t="str">
        <f t="shared" si="23"/>
      </c>
      <c r="HK289" s="91" t="str">
        <f t="shared" si="23"/>
      </c>
      <c r="HL289" s="91" t="str">
        <f t="shared" si="23"/>
      </c>
      <c r="HM289" s="91" t="str">
        <f ref="HM289:IV289" t="shared" si="24">IF(SUM(HM270:HM288)&lt;&gt;0,SUM(HM270:HM288),"")</f>
      </c>
      <c r="HN289" s="91" t="str">
        <f t="shared" si="24"/>
      </c>
      <c r="HO289" s="91" t="str">
        <f t="shared" si="24"/>
      </c>
      <c r="HP289" s="91" t="str">
        <f t="shared" si="24"/>
      </c>
      <c r="HQ289" s="91" t="str">
        <f t="shared" si="24"/>
      </c>
      <c r="HR289" s="91" t="str">
        <f t="shared" si="24"/>
      </c>
      <c r="HS289" s="91" t="str">
        <f t="shared" si="24"/>
      </c>
      <c r="HT289" s="91" t="str">
        <f t="shared" si="24"/>
      </c>
      <c r="HU289" s="91" t="str">
        <f t="shared" si="24"/>
      </c>
      <c r="HV289" s="91" t="str">
        <f t="shared" si="24"/>
      </c>
      <c r="HW289" s="91" t="str">
        <f t="shared" si="24"/>
      </c>
      <c r="HX289" s="91" t="str">
        <f t="shared" si="24"/>
      </c>
      <c r="HY289" s="91" t="str">
        <f t="shared" si="24"/>
      </c>
      <c r="HZ289" s="91" t="str">
        <f t="shared" si="24"/>
      </c>
      <c r="IA289" s="91" t="str">
        <f t="shared" si="24"/>
      </c>
      <c r="IB289" s="91" t="str">
        <f t="shared" si="24"/>
      </c>
      <c r="IC289" s="91" t="str">
        <f t="shared" si="24"/>
      </c>
      <c r="ID289" s="91" t="str">
        <f t="shared" si="24"/>
      </c>
      <c r="IE289" s="91" t="str">
        <f t="shared" si="24"/>
      </c>
      <c r="IF289" s="91" t="str">
        <f t="shared" si="24"/>
      </c>
      <c r="IG289" s="91" t="str">
        <f t="shared" si="24"/>
      </c>
      <c r="IH289" s="91" t="str">
        <f t="shared" si="24"/>
      </c>
      <c r="II289" s="91" t="str">
        <f t="shared" si="24"/>
      </c>
      <c r="IJ289" s="91" t="str">
        <f t="shared" si="24"/>
      </c>
      <c r="IK289" s="91" t="str">
        <f t="shared" si="24"/>
      </c>
      <c r="IL289" s="91" t="str">
        <f t="shared" si="24"/>
      </c>
      <c r="IM289" s="91" t="str">
        <f t="shared" si="24"/>
      </c>
      <c r="IN289" s="91" t="str">
        <f t="shared" si="24"/>
      </c>
      <c r="IO289" s="91" t="str">
        <f t="shared" si="24"/>
      </c>
      <c r="IP289" s="91" t="str">
        <f t="shared" si="24"/>
      </c>
      <c r="IQ289" s="91" t="str">
        <f t="shared" si="24"/>
      </c>
      <c r="IR289" s="91" t="str">
        <f t="shared" si="24"/>
      </c>
      <c r="IS289" s="91" t="str">
        <f t="shared" si="24"/>
      </c>
      <c r="IT289" s="91" t="str">
        <f t="shared" si="24"/>
      </c>
      <c r="IU289" s="91" t="str">
        <f t="shared" si="24"/>
      </c>
      <c r="IV289" s="91" t="str">
        <f t="shared" si="24"/>
      </c>
    </row>
    <row r="290" hidden="1" ht="13.5">
      <c r="C290" s="218"/>
      <c r="D290" s="218"/>
      <c r="E290" s="218"/>
      <c r="F290" s="218"/>
      <c r="G290" s="218"/>
      <c r="H290" s="218"/>
      <c r="I290" s="218"/>
      <c r="J290" s="218"/>
      <c r="K290" s="218"/>
      <c r="L290" s="217"/>
      <c r="N290" s="217"/>
      <c r="O290" s="217"/>
    </row>
    <row r="291" hidden="1" ht="13.5">
      <c r="A291" s="138"/>
      <c r="B291" s="244"/>
      <c r="C291" s="645" t="s">
        <v>221</v>
      </c>
      <c r="D291" s="646"/>
      <c r="E291" s="646"/>
      <c r="F291" s="646"/>
      <c r="G291" s="646"/>
      <c r="H291" s="646"/>
      <c r="I291" s="646"/>
      <c r="J291" s="646"/>
      <c r="K291" s="646"/>
      <c r="L291" s="646"/>
      <c r="M291" s="646"/>
      <c r="N291" s="646"/>
      <c r="O291" s="646"/>
      <c r="P291" s="646"/>
      <c r="Q291" s="646"/>
      <c r="R291" s="646"/>
      <c r="S291" s="646"/>
      <c r="T291" s="646"/>
      <c r="U291" s="646"/>
      <c r="V291" s="646"/>
      <c r="W291" s="646"/>
      <c r="X291" s="646"/>
      <c r="Y291" s="646"/>
      <c r="Z291" s="646"/>
      <c r="AA291" s="646"/>
      <c r="AB291" s="647"/>
    </row>
    <row r="292" hidden="1" ht="13.5" s="50" customFormat="1">
      <c r="A292" s="138"/>
      <c r="B292" s="51"/>
      <c r="C292" s="435" t="str">
        <f> IF(C312&lt;&gt;"",TEXT(AUX!G$1,"dd-MMM-aa"),"")</f>
      </c>
      <c r="D292" s="435" t="str">
        <f> IF(D312&lt;&gt;"",TEXT(AUX!H$1,"dd-MMM-aa"),"")</f>
      </c>
      <c r="E292" s="435" t="str">
        <f> IF(E312&lt;&gt;"",TEXT(AUX!I$1,"dd-MMM-aa"),"")</f>
      </c>
      <c r="F292" s="435" t="str">
        <f> IF(F312&lt;&gt;"",TEXT(AUX!J$1,"dd-MMM-aa"),"")</f>
      </c>
      <c r="G292" s="435" t="str">
        <f> IF(G312&lt;&gt;"",TEXT(AUX!K$1,"dd-MMM-aa"),"")</f>
      </c>
      <c r="H292" s="435" t="str">
        <f> IF(H312&lt;&gt;"",TEXT(AUX!L$1,"dd-MMM-aa"),"")</f>
      </c>
      <c r="I292" s="435" t="str">
        <f> IF(I312&lt;&gt;"",TEXT(AUX!M$1,"dd-MMM-aa"),"")</f>
      </c>
      <c r="J292" s="435" t="str">
        <f> IF(J312&lt;&gt;"",TEXT(AUX!N$1,"dd-MMM-aa"),"")</f>
      </c>
      <c r="K292" s="435" t="str">
        <f> IF(K312&lt;&gt;"",TEXT(AUX!O$1,"dd-MMM-aa"),"")</f>
      </c>
      <c r="L292" s="435" t="str">
        <f> IF(L312&lt;&gt;"",TEXT(AUX!P$1,"dd-MMM-aa"),"")</f>
      </c>
      <c r="M292" s="435" t="str">
        <f> IF(M312&lt;&gt;"",TEXT(AUX!Q$1,"dd-MMM-aa"),"")</f>
      </c>
      <c r="N292" s="435" t="str">
        <f> IF(N312&lt;&gt;"",TEXT(AUX!R$1,"dd-MMM-aa"),"")</f>
      </c>
      <c r="O292" s="435" t="str">
        <f> IF(O312&lt;&gt;"",TEXT(AUX!S$1,"dd-MMM-aa"),"")</f>
      </c>
      <c r="P292" s="435" t="str">
        <f> IF(P312&lt;&gt;"",TEXT(AUX!T$1,"dd-MMM-aa"),"")</f>
      </c>
      <c r="Q292" s="435" t="str">
        <f> IF(Q312&lt;&gt;"",TEXT(AUX!U$1,"dd-MMM-aa"),"")</f>
      </c>
      <c r="R292" s="435" t="str">
        <f> IF(R312&lt;&gt;"",TEXT(AUX!V$1,"dd-MMM-aa"),"")</f>
      </c>
      <c r="S292" s="435" t="str">
        <f> IF(S312&lt;&gt;"",TEXT(AUX!W$1,"dd-MMM-aa"),"")</f>
      </c>
      <c r="T292" s="435" t="str">
        <f> IF(T312&lt;&gt;"",TEXT(AUX!X$1,"dd-MMM-aa"),"")</f>
      </c>
      <c r="U292" s="435" t="str">
        <f> IF(U312&lt;&gt;"",TEXT(AUX!Y$1,"dd-MMM-aa"),"")</f>
      </c>
      <c r="V292" s="435" t="str">
        <f> IF(V312&lt;&gt;"",TEXT(AUX!Z$1,"dd-MMM-aa"),"")</f>
      </c>
      <c r="W292" s="435" t="str">
        <f> IF(W312&lt;&gt;"",TEXT(AUX!AA$1,"dd-MMM-aa"),"")</f>
      </c>
      <c r="X292" s="435" t="str">
        <f> IF(X312&lt;&gt;"",TEXT(AUX!AB$1,"dd-MMM-aa"),"")</f>
      </c>
      <c r="Y292" s="435" t="str">
        <f> IF(Y312&lt;&gt;"",TEXT(AUX!AC$1,"dd-MMM-aa"),"")</f>
      </c>
      <c r="Z292" s="435" t="str">
        <f> IF(Z312&lt;&gt;"",TEXT(AUX!AD$1,"dd-MMM-aa"),"")</f>
      </c>
      <c r="AA292" s="435" t="str">
        <f> IF(AA312&lt;&gt;"",TEXT(AUX!AE$1,"dd-MMM-aa"),"")</f>
      </c>
      <c r="AB292" s="497" t="str">
        <f> IF(AB312&lt;&gt;"",TEXT(AUX!AF$1,"dd-MMM-aa"),"")</f>
      </c>
      <c r="AC292" s="496" t="str">
        <f> IF(AC312&lt;&gt;"",TEXT(AUX!AG$1,"dd-MMM-aa"),"")</f>
      </c>
      <c r="AD292" s="496" t="str">
        <f> IF(AD312&lt;&gt;"",TEXT(AUX!AH$1,"dd-MMM-aa"),"")</f>
      </c>
      <c r="AE292" s="496" t="str">
        <f> IF(AE312&lt;&gt;"",TEXT(AUX!AI$1,"dd-MMM-aa"),"")</f>
      </c>
      <c r="AF292" s="496" t="str">
        <f> IF(AF312&lt;&gt;"",TEXT(AUX!AJ$1,"dd-MMM-aa"),"")</f>
      </c>
      <c r="AG292" s="496" t="str">
        <f> IF(AG312&lt;&gt;"",TEXT(AUX!AK$1,"dd-MMM-aa"),"")</f>
      </c>
      <c r="AH292" s="496" t="str">
        <f> IF(AH312&lt;&gt;"",TEXT(AUX!AL$1,"dd-MMM-aa"),"")</f>
      </c>
      <c r="AI292" s="496" t="str">
        <f> IF(AI312&lt;&gt;"",TEXT(AUX!AM$1,"dd-MMM-aa"),"")</f>
      </c>
      <c r="AJ292" s="496" t="str">
        <f> IF(AJ312&lt;&gt;"",TEXT(AUX!AN$1,"dd-MMM-aa"),"")</f>
      </c>
      <c r="AK292" s="496" t="str">
        <f> IF(AK312&lt;&gt;"",TEXT(AUX!AO$1,"dd-MMM-aa"),"")</f>
      </c>
      <c r="AL292" s="496" t="str">
        <f> IF(AL312&lt;&gt;"",TEXT(AUX!AP$1,"dd-MMM-aa"),"")</f>
      </c>
      <c r="AM292" s="496" t="str">
        <f> IF(AM312&lt;&gt;"",TEXT(AUX!AQ$1,"dd-MMM-aa"),"")</f>
      </c>
      <c r="AN292" s="496" t="str">
        <f> IF(AN312&lt;&gt;"",TEXT(AUX!AR$1,"dd-MMM-aa"),"")</f>
      </c>
      <c r="AO292" s="496" t="str">
        <f> IF(AO312&lt;&gt;"",TEXT(AUX!AS$1,"dd-MMM-aa"),"")</f>
      </c>
      <c r="AP292" s="496" t="str">
        <f> IF(AP312&lt;&gt;"",TEXT(AUX!AT$1,"dd-MMM-aa"),"")</f>
      </c>
      <c r="AQ292" s="496" t="str">
        <f> IF(AQ312&lt;&gt;"",TEXT(AUX!AU$1,"dd-MMM-aa"),"")</f>
      </c>
      <c r="AR292" s="496" t="str">
        <f> IF(AR312&lt;&gt;"",TEXT(AUX!AV$1,"dd-MMM-aa"),"")</f>
      </c>
      <c r="AS292" s="496" t="str">
        <f> IF(AS312&lt;&gt;"",TEXT(AUX!AW$1,"dd-MMM-aa"),"")</f>
      </c>
      <c r="AT292" s="496" t="str">
        <f> IF(AT312&lt;&gt;"",TEXT(AUX!AX$1,"dd-MMM-aa"),"")</f>
      </c>
      <c r="AU292" s="496" t="str">
        <f> IF(AU312&lt;&gt;"",TEXT(AUX!AY$1,"dd-MMM-aa"),"")</f>
      </c>
      <c r="AV292" s="496" t="str">
        <f> IF(AV312&lt;&gt;"",TEXT(AUX!AZ$1,"dd-MMM-aa"),"")</f>
      </c>
      <c r="AW292" s="496" t="str">
        <f> IF(AW312&lt;&gt;"",TEXT(AUX!BA$1,"dd-MMM-aa"),"")</f>
      </c>
      <c r="AX292" s="496" t="str">
        <f> IF(AX312&lt;&gt;"",TEXT(AUX!BB$1,"dd-MMM-aa"),"")</f>
      </c>
      <c r="AY292" s="496" t="str">
        <f> IF(AY312&lt;&gt;"",TEXT(AUX!BC$1,"dd-MMM-aa"),"")</f>
      </c>
      <c r="AZ292" s="496" t="str">
        <f> IF(AZ312&lt;&gt;"",TEXT(AUX!BD$1,"dd-MMM-aa"),"")</f>
      </c>
      <c r="BA292" s="496" t="str">
        <f> IF(BA312&lt;&gt;"",TEXT(AUX!BE$1,"dd-MMM-aa"),"")</f>
      </c>
      <c r="BB292" s="496" t="str">
        <f> IF(BB312&lt;&gt;"",TEXT(AUX!BF$1,"dd-MMM-aa"),"")</f>
      </c>
      <c r="BC292" s="496" t="str">
        <f> IF(BC312&lt;&gt;"",TEXT(AUX!BG$1,"dd-MMM-aa"),"")</f>
      </c>
      <c r="BD292" s="496" t="str">
        <f> IF(BD312&lt;&gt;"",TEXT(AUX!BH$1,"dd-MMM-aa"),"")</f>
      </c>
      <c r="BE292" s="496" t="str">
        <f> IF(BE312&lt;&gt;"",TEXT(AUX!BI$1,"dd-MMM-aa"),"")</f>
      </c>
      <c r="BF292" s="496" t="str">
        <f> IF(BF312&lt;&gt;"",TEXT(AUX!BJ$1,"dd-MMM-aa"),"")</f>
      </c>
      <c r="BG292" s="496" t="str">
        <f> IF(BG312&lt;&gt;"",TEXT(AUX!BK$1,"dd-MMM-aa"),"")</f>
      </c>
      <c r="BH292" s="496" t="str">
        <f> IF(BH312&lt;&gt;"",TEXT(AUX!BL$1,"dd-MMM-aa"),"")</f>
      </c>
      <c r="BI292" s="496" t="str">
        <f> IF(BI312&lt;&gt;"",TEXT(AUX!BM$1,"dd-MMM-aa"),"")</f>
      </c>
      <c r="BJ292" s="496" t="str">
        <f> IF(BJ312&lt;&gt;"",TEXT(AUX!BN$1,"dd-MMM-aa"),"")</f>
      </c>
      <c r="BK292" s="496" t="str">
        <f> IF(BK312&lt;&gt;"",TEXT(AUX!BO$1,"dd-MMM-aa"),"")</f>
      </c>
      <c r="BL292" s="496" t="str">
        <f> IF(BL312&lt;&gt;"",TEXT(AUX!BP$1,"dd-MMM-aa"),"")</f>
      </c>
      <c r="BM292" s="496" t="str">
        <f> IF(BM312&lt;&gt;"",TEXT(AUX!BQ$1,"dd-MMM-aa"),"")</f>
      </c>
      <c r="BN292" s="496" t="str">
        <f> IF(BN312&lt;&gt;"",TEXT(AUX!BR$1,"dd-MMM-aa"),"")</f>
      </c>
      <c r="BO292" s="496" t="str">
        <f> IF(BO312&lt;&gt;"",TEXT(AUX!BS$1,"dd-MMM-aa"),"")</f>
      </c>
      <c r="BP292" s="496" t="str">
        <f> IF(BP312&lt;&gt;"",TEXT(AUX!BT$1,"dd-MMM-aa"),"")</f>
      </c>
      <c r="BQ292" s="496" t="str">
        <f> IF(BQ312&lt;&gt;"",TEXT(AUX!BU$1,"dd-MMM-aa"),"")</f>
      </c>
      <c r="BR292" s="496" t="str">
        <f> IF(BR312&lt;&gt;"",TEXT(AUX!BV$1,"dd-MMM-aa"),"")</f>
      </c>
      <c r="BS292" s="496" t="str">
        <f> IF(BS312&lt;&gt;"",TEXT(AUX!BW$1,"dd-MMM-aa"),"")</f>
      </c>
      <c r="BT292" s="496" t="str">
        <f> IF(BT312&lt;&gt;"",TEXT(AUX!BX$1,"dd-MMM-aa"),"")</f>
      </c>
      <c r="BU292" s="496" t="str">
        <f> IF(BU312&lt;&gt;"",TEXT(AUX!BY$1,"dd-MMM-aa"),"")</f>
      </c>
      <c r="BV292" s="496" t="str">
        <f> IF(BV312&lt;&gt;"",TEXT(AUX!BZ$1,"dd-MMM-aa"),"")</f>
      </c>
      <c r="BW292" s="496" t="str">
        <f> IF(BW312&lt;&gt;"",TEXT(AUX!CA$1,"dd-MMM-aa"),"")</f>
      </c>
      <c r="BX292" s="496" t="str">
        <f> IF(BX312&lt;&gt;"",TEXT(AUX!CB$1,"dd-MMM-aa"),"")</f>
      </c>
      <c r="BY292" s="496" t="str">
        <f> IF(BY312&lt;&gt;"",TEXT(AUX!CC$1,"dd-MMM-aa"),"")</f>
      </c>
      <c r="BZ292" s="496" t="str">
        <f> IF(BZ312&lt;&gt;"",TEXT(AUX!CD$1,"dd-MMM-aa"),"")</f>
      </c>
      <c r="CA292" s="496" t="str">
        <f> IF(CA312&lt;&gt;"",TEXT(AUX!CE$1,"dd-MMM-aa"),"")</f>
      </c>
      <c r="CB292" s="496" t="str">
        <f> IF(CB312&lt;&gt;"",TEXT(AUX!CF$1,"dd-MMM-aa"),"")</f>
      </c>
      <c r="CC292" s="496" t="str">
        <f> IF(CC312&lt;&gt;"",TEXT(AUX!CG$1,"dd-MMM-aa"),"")</f>
      </c>
      <c r="CD292" s="496" t="str">
        <f> IF(CD312&lt;&gt;"",TEXT(AUX!CH$1,"dd-MMM-aa"),"")</f>
      </c>
      <c r="CE292" s="496" t="str">
        <f> IF(CE312&lt;&gt;"",TEXT(AUX!CI$1,"dd-MMM-aa"),"")</f>
      </c>
      <c r="CF292" s="496" t="str">
        <f> IF(CF312&lt;&gt;"",TEXT(AUX!CJ$1,"dd-MMM-aa"),"")</f>
      </c>
      <c r="CG292" s="496" t="str">
        <f> IF(CG312&lt;&gt;"",TEXT(AUX!CK$1,"dd-MMM-aa"),"")</f>
      </c>
      <c r="CH292" s="496" t="str">
        <f> IF(CH312&lt;&gt;"",TEXT(AUX!CL$1,"dd-MMM-aa"),"")</f>
      </c>
      <c r="CI292" s="496" t="str">
        <f> IF(CI312&lt;&gt;"",TEXT(AUX!CM$1,"dd-MMM-aa"),"")</f>
      </c>
      <c r="CJ292" s="496" t="str">
        <f> IF(CJ312&lt;&gt;"",TEXT(AUX!CN$1,"dd-MMM-aa"),"")</f>
      </c>
      <c r="CK292" s="496" t="str">
        <f> IF(CK312&lt;&gt;"",TEXT(AUX!CO$1,"dd-MMM-aa"),"")</f>
      </c>
      <c r="CL292" s="496" t="str">
        <f> IF(CL312&lt;&gt;"",TEXT(AUX!CP$1,"dd-MMM-aa"),"")</f>
      </c>
      <c r="CM292" s="496" t="str">
        <f> IF(CM312&lt;&gt;"",TEXT(AUX!CQ$1,"dd-MMM-aa"),"")</f>
      </c>
      <c r="CN292" s="496" t="str">
        <f> IF(CN312&lt;&gt;"",TEXT(AUX!CR$1,"dd-MMM-aa"),"")</f>
      </c>
      <c r="CO292" s="496" t="str">
        <f> IF(CO312&lt;&gt;"",TEXT(AUX!CS$1,"dd-MMM-aa"),"")</f>
      </c>
      <c r="CP292" s="496" t="str">
        <f> IF(CP312&lt;&gt;"",TEXT(AUX!CT$1,"dd-MMM-aa"),"")</f>
      </c>
      <c r="CQ292" s="496" t="str">
        <f> IF(CQ312&lt;&gt;"",TEXT(AUX!CU$1,"dd-MMM-aa"),"")</f>
      </c>
      <c r="CR292" s="496" t="str">
        <f> IF(CR312&lt;&gt;"",TEXT(AUX!CV$1,"dd-MMM-aa"),"")</f>
      </c>
      <c r="CS292" s="496" t="str">
        <f> IF(CS312&lt;&gt;"",TEXT(AUX!CW$1,"dd-MMM-aa"),"")</f>
      </c>
      <c r="CT292" s="496" t="str">
        <f> IF(CT312&lt;&gt;"",TEXT(AUX!CX$1,"dd-MMM-aa"),"")</f>
      </c>
      <c r="CU292" s="496" t="str">
        <f> IF(CU312&lt;&gt;"",TEXT(AUX!CY$1,"dd-MMM-aa"),"")</f>
      </c>
      <c r="CV292" s="496" t="str">
        <f> IF(CV312&lt;&gt;"",TEXT(AUX!CZ$1,"dd-MMM-aa"),"")</f>
      </c>
      <c r="CW292" s="496" t="str">
        <f> IF(CW312&lt;&gt;"",TEXT(AUX!DA$1,"dd-MMM-aa"),"")</f>
      </c>
      <c r="CX292" s="496" t="str">
        <f> IF(CX312&lt;&gt;"",TEXT(AUX!DB$1,"dd-MMM-aa"),"")</f>
      </c>
      <c r="CY292" s="496" t="str">
        <f> IF(CY312&lt;&gt;"",TEXT(AUX!DC$1,"dd-MMM-aa"),"")</f>
      </c>
      <c r="CZ292" s="496" t="str">
        <f> IF(CZ312&lt;&gt;"",TEXT(AUX!DD$1,"dd-MMM-aa"),"")</f>
      </c>
      <c r="DA292" s="496" t="str">
        <f> IF(DA312&lt;&gt;"",TEXT(AUX!DE$1,"dd-MMM-aa"),"")</f>
      </c>
      <c r="DB292" s="496" t="str">
        <f> IF(DB312&lt;&gt;"",TEXT(AUX!DF$1,"dd-MMM-aa"),"")</f>
      </c>
      <c r="DC292" s="496" t="str">
        <f> IF(DC312&lt;&gt;"",TEXT(AUX!DG$1,"dd-MMM-aa"),"")</f>
      </c>
      <c r="DD292" s="496" t="str">
        <f> IF(DD312&lt;&gt;"",TEXT(AUX!DH$1,"dd-MMM-aa"),"")</f>
      </c>
      <c r="DE292" s="496" t="str">
        <f> IF(DE312&lt;&gt;"",TEXT(AUX!DI$1,"dd-MMM-aa"),"")</f>
      </c>
      <c r="DF292" s="496" t="str">
        <f> IF(DF312&lt;&gt;"",TEXT(AUX!DJ$1,"dd-MMM-aa"),"")</f>
      </c>
      <c r="DG292" s="496" t="str">
        <f> IF(DG312&lt;&gt;"",TEXT(AUX!DK$1,"dd-MMM-aa"),"")</f>
      </c>
      <c r="DH292" s="496" t="str">
        <f> IF(DH312&lt;&gt;"",TEXT(AUX!DL$1,"dd-MMM-aa"),"")</f>
      </c>
      <c r="DI292" s="496" t="str">
        <f> IF(DI312&lt;&gt;"",TEXT(AUX!DM$1,"dd-MMM-aa"),"")</f>
      </c>
      <c r="DJ292" s="496" t="str">
        <f> IF(DJ312&lt;&gt;"",TEXT(AUX!DN$1,"dd-MMM-aa"),"")</f>
      </c>
      <c r="DK292" s="496" t="str">
        <f> IF(DK312&lt;&gt;"",TEXT(AUX!DO$1,"dd-MMM-aa"),"")</f>
      </c>
      <c r="DL292" s="496" t="str">
        <f> IF(DL312&lt;&gt;"",TEXT(AUX!DP$1,"dd-MMM-aa"),"")</f>
      </c>
      <c r="DM292" s="496" t="str">
        <f> IF(DM312&lt;&gt;"",TEXT(AUX!DQ$1,"dd-MMM-aa"),"")</f>
      </c>
      <c r="DN292" s="496" t="str">
        <f> IF(DN312&lt;&gt;"",TEXT(AUX!DR$1,"dd-MMM-aa"),"")</f>
      </c>
      <c r="DO292" s="496" t="str">
        <f> IF(DO312&lt;&gt;"",TEXT(AUX!DS$1,"dd-MMM-aa"),"")</f>
      </c>
      <c r="DP292" s="496" t="str">
        <f> IF(DP312&lt;&gt;"",TEXT(AUX!DT$1,"dd-MMM-aa"),"")</f>
      </c>
      <c r="DQ292" s="496" t="str">
        <f> IF(DQ312&lt;&gt;"",TEXT(AUX!DU$1,"dd-MMM-aa"),"")</f>
      </c>
      <c r="DR292" s="496" t="str">
        <f> IF(DR312&lt;&gt;"",TEXT(AUX!DV$1,"dd-MMM-aa"),"")</f>
      </c>
      <c r="DS292" s="496" t="str">
        <f> IF(DS312&lt;&gt;"",TEXT(AUX!DW$1,"dd-MMM-aa"),"")</f>
      </c>
      <c r="DT292" s="496" t="str">
        <f> IF(DT312&lt;&gt;"",TEXT(AUX!DX$1,"dd-MMM-aa"),"")</f>
      </c>
      <c r="DU292" s="496" t="str">
        <f> IF(DU312&lt;&gt;"",TEXT(AUX!DY$1,"dd-MMM-aa"),"")</f>
      </c>
      <c r="DV292" s="496" t="str">
        <f> IF(DV312&lt;&gt;"",TEXT(AUX!DZ$1,"dd-MMM-aa"),"")</f>
      </c>
      <c r="DW292" s="496" t="str">
        <f> IF(DW312&lt;&gt;"",TEXT(AUX!EA$1,"dd-MMM-aa"),"")</f>
      </c>
      <c r="DX292" s="496" t="str">
        <f> IF(DX312&lt;&gt;"",TEXT(AUX!EB$1,"dd-MMM-aa"),"")</f>
      </c>
      <c r="DY292" s="496" t="str">
        <f> IF(DY312&lt;&gt;"",TEXT(AUX!EC$1,"dd-MMM-aa"),"")</f>
      </c>
      <c r="DZ292" s="496" t="str">
        <f> IF(DZ312&lt;&gt;"",TEXT(AUX!ED$1,"dd-MMM-aa"),"")</f>
      </c>
      <c r="EA292" s="496" t="str">
        <f> IF(EA312&lt;&gt;"",TEXT(AUX!EE$1,"dd-MMM-aa"),"")</f>
      </c>
      <c r="EB292" s="496" t="str">
        <f> IF(EB312&lt;&gt;"",TEXT(AUX!EF$1,"dd-MMM-aa"),"")</f>
      </c>
      <c r="EC292" s="496" t="str">
        <f> IF(EC312&lt;&gt;"",TEXT(AUX!EG$1,"dd-MMM-aa"),"")</f>
      </c>
      <c r="ED292" s="496" t="str">
        <f> IF(ED312&lt;&gt;"",TEXT(AUX!EH$1,"dd-MMM-aa"),"")</f>
      </c>
      <c r="EE292" s="496" t="str">
        <f> IF(EE312&lt;&gt;"",TEXT(AUX!EI$1,"dd-MMM-aa"),"")</f>
      </c>
      <c r="EF292" s="496" t="str">
        <f> IF(EF312&lt;&gt;"",TEXT(AUX!EJ$1,"dd-MMM-aa"),"")</f>
      </c>
      <c r="EG292" s="496" t="str">
        <f> IF(EG312&lt;&gt;"",TEXT(AUX!EK$1,"dd-MMM-aa"),"")</f>
      </c>
      <c r="EH292" s="496" t="str">
        <f> IF(EH312&lt;&gt;"",TEXT(AUX!EL$1,"dd-MMM-aa"),"")</f>
      </c>
      <c r="EI292" s="496" t="str">
        <f> IF(EI312&lt;&gt;"",TEXT(AUX!EM$1,"dd-MMM-aa"),"")</f>
      </c>
      <c r="EJ292" s="496" t="str">
        <f> IF(EJ312&lt;&gt;"",TEXT(AUX!EN$1,"dd-MMM-aa"),"")</f>
      </c>
      <c r="EK292" s="496" t="str">
        <f> IF(EK312&lt;&gt;"",TEXT(AUX!EO$1,"dd-MMM-aa"),"")</f>
      </c>
      <c r="EL292" s="496" t="str">
        <f> IF(EL312&lt;&gt;"",TEXT(AUX!EP$1,"dd-MMM-aa"),"")</f>
      </c>
      <c r="EM292" s="496" t="str">
        <f> IF(EM312&lt;&gt;"",TEXT(AUX!EQ$1,"dd-MMM-aa"),"")</f>
      </c>
      <c r="EN292" s="496" t="str">
        <f> IF(EN312&lt;&gt;"",TEXT(AUX!ER$1,"dd-MMM-aa"),"")</f>
      </c>
      <c r="EO292" s="496" t="str">
        <f> IF(EO312&lt;&gt;"",TEXT(AUX!ES$1,"dd-MMM-aa"),"")</f>
      </c>
      <c r="EP292" s="496" t="str">
        <f> IF(EP312&lt;&gt;"",TEXT(AUX!ET$1,"dd-MMM-aa"),"")</f>
      </c>
      <c r="EQ292" s="496" t="str">
        <f> IF(EQ312&lt;&gt;"",TEXT(AUX!EU$1,"dd-MMM-aa"),"")</f>
      </c>
      <c r="ER292" s="496" t="str">
        <f> IF(ER312&lt;&gt;"",TEXT(AUX!EV$1,"dd-MMM-aa"),"")</f>
      </c>
      <c r="ES292" s="496" t="str">
        <f> IF(ES312&lt;&gt;"",TEXT(AUX!EW$1,"dd-MMM-aa"),"")</f>
      </c>
      <c r="ET292" s="496" t="str">
        <f> IF(ET312&lt;&gt;"",TEXT(AUX!EX$1,"dd-MMM-aa"),"")</f>
      </c>
      <c r="EU292" s="496" t="str">
        <f> IF(EU312&lt;&gt;"",TEXT(AUX!EY$1,"dd-MMM-aa"),"")</f>
      </c>
      <c r="EV292" s="496" t="str">
        <f> IF(EV312&lt;&gt;"",TEXT(AUX!EZ$1,"dd-MMM-aa"),"")</f>
      </c>
      <c r="EW292" s="496" t="str">
        <f> IF(EW312&lt;&gt;"",TEXT(AUX!FA$1,"dd-MMM-aa"),"")</f>
      </c>
      <c r="EX292" s="496" t="str">
        <f> IF(EX312&lt;&gt;"",TEXT(AUX!FB$1,"dd-MMM-aa"),"")</f>
      </c>
      <c r="EY292" s="496" t="str">
        <f> IF(EY312&lt;&gt;"",TEXT(AUX!FC$1,"dd-MMM-aa"),"")</f>
      </c>
      <c r="EZ292" s="496" t="str">
        <f> IF(EZ312&lt;&gt;"",TEXT(AUX!FD$1,"dd-MMM-aa"),"")</f>
      </c>
      <c r="FA292" s="496" t="str">
        <f> IF(FA312&lt;&gt;"",TEXT(AUX!FE$1,"dd-MMM-aa"),"")</f>
      </c>
      <c r="FB292" s="496" t="str">
        <f> IF(FB312&lt;&gt;"",TEXT(AUX!FF$1,"dd-MMM-aa"),"")</f>
      </c>
      <c r="FC292" s="496" t="str">
        <f> IF(FC312&lt;&gt;"",TEXT(AUX!FG$1,"dd-MMM-aa"),"")</f>
      </c>
      <c r="FD292" s="496" t="str">
        <f> IF(FD312&lt;&gt;"",TEXT(AUX!FH$1,"dd-MMM-aa"),"")</f>
      </c>
      <c r="FE292" s="496" t="str">
        <f> IF(FE312&lt;&gt;"",TEXT(AUX!FI$1,"dd-MMM-aa"),"")</f>
      </c>
      <c r="FF292" s="496" t="str">
        <f> IF(FF312&lt;&gt;"",TEXT(AUX!FJ$1,"dd-MMM-aa"),"")</f>
      </c>
      <c r="FG292" s="496" t="str">
        <f> IF(FG312&lt;&gt;"",TEXT(AUX!FK$1,"dd-MMM-aa"),"")</f>
      </c>
      <c r="FH292" s="496" t="str">
        <f> IF(FH312&lt;&gt;"",TEXT(AUX!FL$1,"dd-MMM-aa"),"")</f>
      </c>
      <c r="FI292" s="496" t="str">
        <f> IF(FI312&lt;&gt;"",TEXT(AUX!FM$1,"dd-MMM-aa"),"")</f>
      </c>
      <c r="FJ292" s="496" t="str">
        <f> IF(FJ312&lt;&gt;"",TEXT(AUX!FN$1,"dd-MMM-aa"),"")</f>
      </c>
      <c r="FK292" s="496" t="str">
        <f> IF(FK312&lt;&gt;"",TEXT(AUX!FO$1,"dd-MMM-aa"),"")</f>
      </c>
      <c r="FL292" s="496" t="str">
        <f> IF(FL312&lt;&gt;"",TEXT(AUX!FP$1,"dd-MMM-aa"),"")</f>
      </c>
      <c r="FM292" s="496" t="str">
        <f> IF(FM312&lt;&gt;"",TEXT(AUX!FQ$1,"dd-MMM-aa"),"")</f>
      </c>
      <c r="FN292" s="496" t="str">
        <f> IF(FN312&lt;&gt;"",TEXT(AUX!FR$1,"dd-MMM-aa"),"")</f>
      </c>
      <c r="FO292" s="496" t="str">
        <f> IF(FO312&lt;&gt;"",TEXT(AUX!FS$1,"dd-MMM-aa"),"")</f>
      </c>
      <c r="FP292" s="496" t="str">
        <f> IF(FP312&lt;&gt;"",TEXT(AUX!FT$1,"dd-MMM-aa"),"")</f>
      </c>
      <c r="FQ292" s="496" t="str">
        <f> IF(FQ312&lt;&gt;"",TEXT(AUX!FU$1,"dd-MMM-aa"),"")</f>
      </c>
      <c r="FR292" s="496" t="str">
        <f> IF(FR312&lt;&gt;"",TEXT(AUX!FV$1,"dd-MMM-aa"),"")</f>
      </c>
      <c r="FS292" s="496" t="str">
        <f> IF(FS312&lt;&gt;"",TEXT(AUX!FW$1,"dd-MMM-aa"),"")</f>
      </c>
      <c r="FT292" s="496" t="str">
        <f> IF(FT312&lt;&gt;"",TEXT(AUX!FX$1,"dd-MMM-aa"),"")</f>
      </c>
      <c r="FU292" s="496" t="str">
        <f> IF(FU312&lt;&gt;"",TEXT(AUX!FY$1,"dd-MMM-aa"),"")</f>
      </c>
      <c r="FV292" s="496" t="str">
        <f> IF(FV312&lt;&gt;"",TEXT(AUX!FZ$1,"dd-MMM-aa"),"")</f>
      </c>
      <c r="FW292" s="496" t="str">
        <f> IF(FW312&lt;&gt;"",TEXT(AUX!GA$1,"dd-MMM-aa"),"")</f>
      </c>
      <c r="FX292" s="496" t="str">
        <f> IF(FX312&lt;&gt;"",TEXT(AUX!GB$1,"dd-MMM-aa"),"")</f>
      </c>
      <c r="FY292" s="496" t="str">
        <f> IF(FY312&lt;&gt;"",TEXT(AUX!GC$1,"dd-MMM-aa"),"")</f>
      </c>
      <c r="FZ292" s="496" t="str">
        <f> IF(FZ312&lt;&gt;"",TEXT(AUX!GD$1,"dd-MMM-aa"),"")</f>
      </c>
      <c r="GA292" s="496" t="str">
        <f> IF(GA312&lt;&gt;"",TEXT(AUX!GE$1,"dd-MMM-aa"),"")</f>
      </c>
      <c r="GB292" s="496" t="str">
        <f> IF(GB312&lt;&gt;"",TEXT(AUX!GF$1,"dd-MMM-aa"),"")</f>
      </c>
      <c r="GC292" s="496" t="str">
        <f> IF(GC312&lt;&gt;"",TEXT(AUX!GG$1,"dd-MMM-aa"),"")</f>
      </c>
      <c r="GD292" s="496" t="str">
        <f> IF(GD312&lt;&gt;"",TEXT(AUX!GH$1,"dd-MMM-aa"),"")</f>
      </c>
      <c r="GE292" s="496" t="str">
        <f> IF(GE312&lt;&gt;"",TEXT(AUX!GI$1,"dd-MMM-aa"),"")</f>
      </c>
      <c r="GF292" s="496" t="str">
        <f> IF(GF312&lt;&gt;"",TEXT(AUX!GJ$1,"dd-MMM-aa"),"")</f>
      </c>
      <c r="GG292" s="496" t="str">
        <f> IF(GG312&lt;&gt;"",TEXT(AUX!GK$1,"dd-MMM-aa"),"")</f>
      </c>
      <c r="GH292" s="496" t="str">
        <f> IF(GH312&lt;&gt;"",TEXT(AUX!GL$1,"dd-MMM-aa"),"")</f>
      </c>
      <c r="GI292" s="496" t="str">
        <f> IF(GI312&lt;&gt;"",TEXT(AUX!GM$1,"dd-MMM-aa"),"")</f>
      </c>
      <c r="GJ292" s="496" t="str">
        <f> IF(GJ312&lt;&gt;"",TEXT(AUX!GN$1,"dd-MMM-aa"),"")</f>
      </c>
      <c r="GK292" s="496" t="str">
        <f> IF(GK312&lt;&gt;"",TEXT(AUX!GO$1,"dd-MMM-aa"),"")</f>
      </c>
      <c r="GL292" s="496" t="str">
        <f> IF(GL312&lt;&gt;"",TEXT(AUX!GP$1,"dd-MMM-aa"),"")</f>
      </c>
      <c r="GM292" s="496" t="str">
        <f> IF(GM312&lt;&gt;"",TEXT(AUX!GQ$1,"dd-MMM-aa"),"")</f>
      </c>
      <c r="GN292" s="496" t="str">
        <f> IF(GN312&lt;&gt;"",TEXT(AUX!GR$1,"dd-MMM-aa"),"")</f>
      </c>
      <c r="GO292" s="496" t="str">
        <f> IF(GO312&lt;&gt;"",TEXT(AUX!GS$1,"dd-MMM-aa"),"")</f>
      </c>
      <c r="GP292" s="496" t="str">
        <f> IF(GP312&lt;&gt;"",TEXT(AUX!GT$1,"dd-MMM-aa"),"")</f>
      </c>
      <c r="GQ292" s="496" t="str">
        <f> IF(GQ312&lt;&gt;"",TEXT(AUX!GU$1,"dd-MMM-aa"),"")</f>
      </c>
      <c r="GR292" s="496" t="str">
        <f> IF(GR312&lt;&gt;"",TEXT(AUX!GV$1,"dd-MMM-aa"),"")</f>
      </c>
      <c r="GS292" s="496" t="str">
        <f> IF(GS312&lt;&gt;"",TEXT(AUX!GW$1,"dd-MMM-aa"),"")</f>
      </c>
      <c r="GT292" s="496" t="str">
        <f> IF(GT312&lt;&gt;"",TEXT(AUX!GX$1,"dd-MMM-aa"),"")</f>
      </c>
      <c r="GU292" s="496" t="str">
        <f> IF(GU312&lt;&gt;"",TEXT(AUX!GY$1,"dd-MMM-aa"),"")</f>
      </c>
      <c r="GV292" s="496" t="str">
        <f> IF(GV312&lt;&gt;"",TEXT(AUX!GZ$1,"dd-MMM-aa"),"")</f>
      </c>
      <c r="GW292" s="496" t="str">
        <f> IF(GW312&lt;&gt;"",TEXT(AUX!HA$1,"dd-MMM-aa"),"")</f>
      </c>
      <c r="GX292" s="496" t="str">
        <f> IF(GX312&lt;&gt;"",TEXT(AUX!HB$1,"dd-MMM-aa"),"")</f>
      </c>
      <c r="GY292" s="496" t="str">
        <f> IF(GY312&lt;&gt;"",TEXT(AUX!HC$1,"dd-MMM-aa"),"")</f>
      </c>
      <c r="GZ292" s="496" t="str">
        <f> IF(GZ312&lt;&gt;"",TEXT(AUX!HD$1,"dd-MMM-aa"),"")</f>
      </c>
      <c r="HA292" s="496" t="str">
        <f> IF(HA312&lt;&gt;"",TEXT(AUX!HE$1,"dd-MMM-aa"),"")</f>
      </c>
      <c r="HB292" s="496" t="str">
        <f> IF(HB312&lt;&gt;"",TEXT(AUX!HF$1,"dd-MMM-aa"),"")</f>
      </c>
      <c r="HC292" s="496" t="str">
        <f> IF(HC312&lt;&gt;"",TEXT(AUX!HG$1,"dd-MMM-aa"),"")</f>
      </c>
      <c r="HD292" s="496" t="str">
        <f> IF(HD312&lt;&gt;"",TEXT(AUX!HH$1,"dd-MMM-aa"),"")</f>
      </c>
      <c r="HE292" s="496" t="str">
        <f> IF(HE312&lt;&gt;"",TEXT(AUX!HI$1,"dd-MMM-aa"),"")</f>
      </c>
      <c r="HF292" s="496" t="str">
        <f> IF(HF312&lt;&gt;"",TEXT(AUX!HJ$1,"dd-MMM-aa"),"")</f>
      </c>
      <c r="HG292" s="496" t="str">
        <f> IF(HG312&lt;&gt;"",TEXT(AUX!HK$1,"dd-MMM-aa"),"")</f>
      </c>
      <c r="HH292" s="496" t="str">
        <f> IF(HH312&lt;&gt;"",TEXT(AUX!HL$1,"dd-MMM-aa"),"")</f>
      </c>
      <c r="HI292" s="496" t="str">
        <f> IF(HI312&lt;&gt;"",TEXT(AUX!HM$1,"dd-MMM-aa"),"")</f>
      </c>
      <c r="HJ292" s="496" t="str">
        <f> IF(HJ312&lt;&gt;"",TEXT(AUX!HN$1,"dd-MMM-aa"),"")</f>
      </c>
      <c r="HK292" s="496" t="str">
        <f> IF(HK312&lt;&gt;"",TEXT(AUX!HO$1,"dd-MMM-aa"),"")</f>
      </c>
      <c r="HL292" s="496" t="str">
        <f> IF(HL312&lt;&gt;"",TEXT(AUX!HP$1,"dd-MMM-aa"),"")</f>
      </c>
      <c r="HM292" s="496" t="str">
        <f> IF(HM312&lt;&gt;"",TEXT(AUX!HQ$1,"dd-MMM-aa"),"")</f>
      </c>
      <c r="HN292" s="496" t="str">
        <f> IF(HN312&lt;&gt;"",TEXT(AUX!HR$1,"dd-MMM-aa"),"")</f>
      </c>
      <c r="HO292" s="496" t="str">
        <f> IF(HO312&lt;&gt;"",TEXT(AUX!HS$1,"dd-MMM-aa"),"")</f>
      </c>
      <c r="HP292" s="496" t="str">
        <f> IF(HP312&lt;&gt;"",TEXT(AUX!HT$1,"dd-MMM-aa"),"")</f>
      </c>
      <c r="HQ292" s="496" t="str">
        <f> IF(HQ312&lt;&gt;"",TEXT(AUX!HU$1,"dd-MMM-aa"),"")</f>
      </c>
      <c r="HR292" s="496" t="str">
        <f> IF(HR312&lt;&gt;"",TEXT(AUX!HV$1,"dd-MMM-aa"),"")</f>
      </c>
      <c r="HS292" s="496" t="str">
        <f> IF(HS312&lt;&gt;"",TEXT(AUX!HW$1,"dd-MMM-aa"),"")</f>
      </c>
      <c r="HT292" s="496" t="str">
        <f> IF(HT312&lt;&gt;"",TEXT(AUX!HX$1,"dd-MMM-aa"),"")</f>
      </c>
      <c r="HU292" s="496" t="str">
        <f> IF(HU312&lt;&gt;"",TEXT(AUX!HY$1,"dd-MMM-aa"),"")</f>
      </c>
      <c r="HV292" s="496" t="str">
        <f> IF(HV312&lt;&gt;"",TEXT(AUX!HZ$1,"dd-MMM-aa"),"")</f>
      </c>
      <c r="HW292" s="496" t="str">
        <f> IF(HW312&lt;&gt;"",TEXT(AUX!IA$1,"dd-MMM-aa"),"")</f>
      </c>
      <c r="HX292" s="496" t="str">
        <f> IF(HX312&lt;&gt;"",TEXT(AUX!IB$1,"dd-MMM-aa"),"")</f>
      </c>
      <c r="HY292" s="496" t="str">
        <f> IF(HY312&lt;&gt;"",TEXT(AUX!IC$1,"dd-MMM-aa"),"")</f>
      </c>
      <c r="HZ292" s="496" t="str">
        <f> IF(HZ312&lt;&gt;"",TEXT(AUX!ID$1,"dd-MMM-aa"),"")</f>
      </c>
      <c r="IA292" s="496" t="str">
        <f> IF(IA312&lt;&gt;"",TEXT(AUX!IE$1,"dd-MMM-aa"),"")</f>
      </c>
      <c r="IB292" s="496" t="str">
        <f> IF(IB312&lt;&gt;"",TEXT(AUX!IF$1,"dd-MMM-aa"),"")</f>
      </c>
      <c r="IC292" s="496" t="str">
        <f> IF(IC312&lt;&gt;"",TEXT(AUX!IG$1,"dd-MMM-aa"),"")</f>
      </c>
      <c r="ID292" s="496" t="str">
        <f> IF(ID312&lt;&gt;"",TEXT(AUX!IH$1,"dd-MMM-aa"),"")</f>
      </c>
      <c r="IE292" s="496" t="str">
        <f> IF(IE312&lt;&gt;"",TEXT(AUX!II$1,"dd-MMM-aa"),"")</f>
      </c>
      <c r="IF292" s="496" t="str">
        <f> IF(IF312&lt;&gt;"",TEXT(AUX!IJ$1,"dd-MMM-aa"),"")</f>
      </c>
      <c r="IG292" s="496" t="str">
        <f> IF(IG312&lt;&gt;"",TEXT(AUX!IK$1,"dd-MMM-aa"),"")</f>
      </c>
      <c r="IH292" s="496" t="str">
        <f> IF(IH312&lt;&gt;"",TEXT(AUX!IL$1,"dd-MMM-aa"),"")</f>
      </c>
      <c r="II292" s="496" t="str">
        <f> IF(II312&lt;&gt;"",TEXT(AUX!IM$1,"dd-MMM-aa"),"")</f>
      </c>
      <c r="IJ292" s="496" t="str">
        <f> IF(IJ312&lt;&gt;"",TEXT(AUX!IN$1,"dd-MMM-aa"),"")</f>
      </c>
      <c r="IK292" s="496" t="str">
        <f> IF(IK312&lt;&gt;"",TEXT(AUX!IO$1,"dd-MMM-aa"),"")</f>
      </c>
      <c r="IL292" s="496" t="str">
        <f> IF(IL312&lt;&gt;"",TEXT(AUX!IP$1,"dd-MMM-aa"),"")</f>
      </c>
      <c r="IM292" s="496" t="str">
        <f> IF(IM312&lt;&gt;"",TEXT(AUX!IQ$1,"dd-MMM-aa"),"")</f>
      </c>
      <c r="IN292" s="496" t="str">
        <f> IF(IN312&lt;&gt;"",TEXT(AUX!IR$1,"dd-MMM-aa"),"")</f>
      </c>
      <c r="IO292" s="496" t="str">
        <f> IF(IO312&lt;&gt;"",TEXT(AUX!IS$1,"dd-MMM-aa"),"")</f>
      </c>
      <c r="IP292" s="496" t="str">
        <f> IF(IP312&lt;&gt;"",TEXT(AUX!IT$1,"dd-MMM-aa"),"")</f>
      </c>
      <c r="IQ292" s="496" t="str">
        <f> IF(IQ312&lt;&gt;"",TEXT(AUX!IU$1,"dd-MMM-aa"),"")</f>
      </c>
      <c r="IR292" s="496" t="str">
        <f> IF(IR312&lt;&gt;"",TEXT(AUX!IV$1,"dd-MMM-aa"),"")</f>
      </c>
      <c r="IS292" s="496" t="str">
        <f> IF(IS312&lt;&gt;"",TEXT(AUX!#REF!,"dd-MMM-aa"),"")</f>
      </c>
      <c r="IT292" s="496" t="str">
        <f> IF(IT312&lt;&gt;"",TEXT(AUX!#REF!,"dd-MMM-aa"),"")</f>
      </c>
      <c r="IU292" s="496" t="str">
        <f> IF(IU312&lt;&gt;"",TEXT(AUX!#REF!,"dd-MMM-aa"),"")</f>
      </c>
      <c r="IV292" s="496" t="str">
        <f> IF(IV312&lt;&gt;"",TEXT(AUX!#REF!,"dd-MMM-aa"),"")</f>
      </c>
    </row>
    <row r="293" hidden="1">
      <c r="B293" s="833" t="s">
        <v>8</v>
      </c>
      <c r="C293" s="827">
        <v>11792</v>
      </c>
      <c r="D293" s="827">
        <v>12112</v>
      </c>
      <c r="E293" s="827">
        <v>11965</v>
      </c>
      <c r="F293" s="827">
        <v>11936</v>
      </c>
      <c r="G293" s="827">
        <v>11113</v>
      </c>
      <c r="H293" s="827">
        <v>10447</v>
      </c>
      <c r="I293" s="827">
        <v>9706</v>
      </c>
      <c r="J293" s="827">
        <v>9426</v>
      </c>
      <c r="K293" s="827">
        <v>9329</v>
      </c>
      <c r="L293" s="827">
        <v>9288</v>
      </c>
      <c r="M293" s="827">
        <v>8793</v>
      </c>
      <c r="N293" s="827">
        <v>8289</v>
      </c>
      <c r="O293" s="827">
        <v>7605</v>
      </c>
      <c r="P293" s="827">
        <v>7096</v>
      </c>
      <c r="Q293" s="827">
        <v>7062</v>
      </c>
      <c r="R293" s="827">
        <v>6892</v>
      </c>
      <c r="S293" s="827">
        <v>7179</v>
      </c>
      <c r="T293" s="827">
        <v>7401</v>
      </c>
      <c r="U293" s="827">
        <v>7488</v>
      </c>
      <c r="V293" s="827">
        <v>7319</v>
      </c>
      <c r="W293" s="827">
        <v>7068</v>
      </c>
      <c r="X293" s="827">
        <v>6872</v>
      </c>
      <c r="Y293" s="827">
        <v>6728</v>
      </c>
      <c r="Z293" s="827">
        <v>6537</v>
      </c>
      <c r="AA293" s="827">
        <v>6390</v>
      </c>
      <c r="AB293" s="834">
        <v>6276</v>
      </c>
      <c r="AC293" s="828">
        <v>6392</v>
      </c>
      <c r="AD293" s="828">
        <v>6102</v>
      </c>
      <c r="AE293" s="828">
        <v>6017</v>
      </c>
      <c r="AF293" s="828">
        <v>5860</v>
      </c>
      <c r="AG293" s="828">
        <v>5802</v>
      </c>
      <c r="AH293" s="828">
        <v>5629</v>
      </c>
      <c r="AI293" s="828">
        <v>5493</v>
      </c>
      <c r="AJ293" s="828">
        <v>5302</v>
      </c>
      <c r="AK293" s="828">
        <v>5121</v>
      </c>
      <c r="AL293" s="828">
        <v>4936</v>
      </c>
      <c r="AM293" s="828">
        <v>4737</v>
      </c>
      <c r="AN293" s="828">
        <v>4739</v>
      </c>
      <c r="AO293" s="828">
        <v>4668</v>
      </c>
      <c r="AP293" s="828">
        <v>4594</v>
      </c>
    </row>
    <row r="294" hidden="1">
      <c r="B294" s="829" t="s">
        <v>9</v>
      </c>
      <c r="C294" s="823">
        <v>663</v>
      </c>
      <c r="D294" s="823">
        <v>762</v>
      </c>
      <c r="E294" s="823">
        <v>766</v>
      </c>
      <c r="F294" s="823">
        <v>1028</v>
      </c>
      <c r="G294" s="823">
        <v>1357</v>
      </c>
      <c r="H294" s="823">
        <v>1357</v>
      </c>
      <c r="I294" s="823">
        <v>2624</v>
      </c>
      <c r="J294" s="823">
        <v>2310</v>
      </c>
      <c r="K294" s="823">
        <v>2529</v>
      </c>
      <c r="L294" s="823">
        <v>2748</v>
      </c>
      <c r="M294" s="823">
        <v>2957</v>
      </c>
      <c r="N294" s="823">
        <v>2979</v>
      </c>
      <c r="O294" s="823">
        <v>2979</v>
      </c>
      <c r="P294" s="823">
        <v>2591</v>
      </c>
      <c r="Q294" s="823">
        <v>2219</v>
      </c>
      <c r="R294" s="823">
        <v>2188</v>
      </c>
      <c r="S294" s="823">
        <v>2575</v>
      </c>
      <c r="T294" s="823">
        <v>2564</v>
      </c>
      <c r="U294" s="823">
        <v>2544</v>
      </c>
      <c r="V294" s="823">
        <v>2523</v>
      </c>
      <c r="W294" s="823">
        <v>2531</v>
      </c>
      <c r="X294" s="823">
        <v>2501</v>
      </c>
      <c r="Y294" s="823">
        <v>2505</v>
      </c>
      <c r="Z294" s="823">
        <v>2495</v>
      </c>
      <c r="AA294" s="823">
        <v>2373</v>
      </c>
      <c r="AB294" s="823">
        <v>2373</v>
      </c>
      <c r="AC294" s="825">
        <v>2166</v>
      </c>
      <c r="AD294" s="825">
        <v>2091</v>
      </c>
      <c r="AE294" s="825">
        <v>22855</v>
      </c>
      <c r="AF294" s="825">
        <v>22842</v>
      </c>
      <c r="AG294" s="825">
        <v>2515</v>
      </c>
      <c r="AH294" s="825">
        <v>2512</v>
      </c>
      <c r="AI294" s="825">
        <v>2935</v>
      </c>
      <c r="AJ294" s="825">
        <v>2936</v>
      </c>
      <c r="AK294" s="825">
        <v>2503</v>
      </c>
      <c r="AL294" s="825">
        <v>2508</v>
      </c>
      <c r="AM294" s="825">
        <v>2622</v>
      </c>
      <c r="AN294" s="825">
        <v>2617</v>
      </c>
      <c r="AO294" s="825">
        <v>2561</v>
      </c>
      <c r="AP294" s="825">
        <v>2570</v>
      </c>
    </row>
    <row r="295" hidden="1">
      <c r="B295" s="826" t="s">
        <v>10</v>
      </c>
      <c r="C295" s="827">
        <v>210</v>
      </c>
      <c r="D295" s="827">
        <v>208</v>
      </c>
      <c r="E295" s="827">
        <v>180</v>
      </c>
      <c r="F295" s="827">
        <v>126</v>
      </c>
      <c r="G295" s="827">
        <v>162</v>
      </c>
      <c r="H295" s="827">
        <v>148</v>
      </c>
      <c r="I295" s="827">
        <v>152</v>
      </c>
      <c r="J295" s="827">
        <v>130</v>
      </c>
      <c r="K295" s="827">
        <v>235</v>
      </c>
      <c r="L295" s="827">
        <v>132</v>
      </c>
      <c r="M295" s="827">
        <v>126</v>
      </c>
      <c r="N295" s="827">
        <v>105</v>
      </c>
      <c r="O295" s="827">
        <v>129</v>
      </c>
      <c r="P295" s="827">
        <v>138</v>
      </c>
      <c r="Q295" s="827">
        <v>146</v>
      </c>
      <c r="R295" s="827">
        <v>54</v>
      </c>
      <c r="S295" s="827">
        <v>103</v>
      </c>
      <c r="T295" s="827">
        <v>113</v>
      </c>
      <c r="U295" s="827">
        <v>108</v>
      </c>
      <c r="V295" s="827">
        <v>112</v>
      </c>
      <c r="W295" s="827">
        <v>104</v>
      </c>
      <c r="X295" s="827">
        <v>104</v>
      </c>
      <c r="Y295" s="827">
        <v>108</v>
      </c>
      <c r="Z295" s="827">
        <v>92</v>
      </c>
      <c r="AA295" s="827">
        <v>97</v>
      </c>
      <c r="AB295" s="827">
        <v>110</v>
      </c>
      <c r="AC295" s="828">
        <v>107</v>
      </c>
      <c r="AD295" s="828">
        <v>94</v>
      </c>
      <c r="AE295" s="828">
        <v>106</v>
      </c>
      <c r="AF295" s="828">
        <v>99</v>
      </c>
      <c r="AG295" s="828">
        <v>107</v>
      </c>
      <c r="AH295" s="828">
        <v>99</v>
      </c>
      <c r="AI295" s="828">
        <v>108</v>
      </c>
      <c r="AJ295" s="828">
        <v>87</v>
      </c>
      <c r="AK295" s="828">
        <v>89</v>
      </c>
      <c r="AL295" s="828">
        <v>83</v>
      </c>
      <c r="AM295" s="828">
        <v>71</v>
      </c>
      <c r="AN295" s="828">
        <v>64</v>
      </c>
      <c r="AO295" s="828">
        <v>65</v>
      </c>
      <c r="AP295" s="828">
        <v>64</v>
      </c>
    </row>
    <row r="296" hidden="1">
      <c r="B296" s="829" t="s">
        <v>11</v>
      </c>
      <c r="C296" s="823">
        <v>2079</v>
      </c>
      <c r="D296" s="823">
        <v>2062</v>
      </c>
      <c r="E296" s="823">
        <v>1963</v>
      </c>
      <c r="F296" s="823">
        <v>1942</v>
      </c>
      <c r="G296" s="823">
        <v>1930</v>
      </c>
      <c r="H296" s="823">
        <v>1758</v>
      </c>
      <c r="I296" s="823">
        <v>1539</v>
      </c>
      <c r="J296" s="823">
        <v>1505</v>
      </c>
      <c r="K296" s="823">
        <v>1518</v>
      </c>
      <c r="L296" s="823">
        <v>1402</v>
      </c>
      <c r="M296" s="823">
        <v>1378</v>
      </c>
      <c r="N296" s="823">
        <v>1326</v>
      </c>
      <c r="O296" s="823">
        <v>1301</v>
      </c>
      <c r="P296" s="823">
        <v>1189</v>
      </c>
      <c r="Q296" s="823">
        <v>1176</v>
      </c>
      <c r="R296" s="823">
        <v>1167</v>
      </c>
      <c r="S296" s="823">
        <v>1160</v>
      </c>
      <c r="T296" s="823">
        <v>1113</v>
      </c>
      <c r="U296" s="823">
        <v>1195</v>
      </c>
      <c r="V296" s="823">
        <v>1181</v>
      </c>
      <c r="W296" s="823">
        <v>1162</v>
      </c>
      <c r="X296" s="823">
        <v>1133</v>
      </c>
      <c r="Y296" s="823">
        <v>1160</v>
      </c>
      <c r="Z296" s="823">
        <v>1040</v>
      </c>
      <c r="AA296" s="823">
        <v>1064</v>
      </c>
      <c r="AB296" s="823">
        <v>1048</v>
      </c>
      <c r="AC296" s="825">
        <v>1086</v>
      </c>
      <c r="AD296" s="825">
        <v>1013</v>
      </c>
      <c r="AE296" s="825">
        <v>1016</v>
      </c>
      <c r="AF296" s="825">
        <v>983</v>
      </c>
      <c r="AG296" s="825">
        <v>962</v>
      </c>
      <c r="AH296" s="825">
        <v>940</v>
      </c>
      <c r="AI296" s="825">
        <v>982</v>
      </c>
      <c r="AJ296" s="825">
        <v>890</v>
      </c>
      <c r="AK296" s="825">
        <v>916</v>
      </c>
      <c r="AL296" s="825">
        <v>893</v>
      </c>
      <c r="AM296" s="825">
        <v>892</v>
      </c>
      <c r="AN296" s="825">
        <v>867</v>
      </c>
      <c r="AO296" s="825">
        <v>879</v>
      </c>
      <c r="AP296" s="825">
        <v>877</v>
      </c>
    </row>
    <row r="297" hidden="1">
      <c r="B297" s="826" t="s">
        <v>12</v>
      </c>
      <c r="C297" s="827">
        <v>859</v>
      </c>
      <c r="D297" s="827">
        <v>762</v>
      </c>
      <c r="E297" s="827">
        <v>833</v>
      </c>
      <c r="F297" s="827">
        <v>816</v>
      </c>
      <c r="G297" s="827">
        <v>764</v>
      </c>
      <c r="H297" s="827">
        <v>763</v>
      </c>
      <c r="I297" s="827">
        <v>735</v>
      </c>
      <c r="J297" s="827">
        <v>766</v>
      </c>
      <c r="K297" s="827">
        <v>777</v>
      </c>
      <c r="L297" s="827">
        <v>741</v>
      </c>
      <c r="M297" s="827">
        <v>698</v>
      </c>
      <c r="N297" s="827">
        <v>669</v>
      </c>
      <c r="O297" s="827">
        <v>688</v>
      </c>
      <c r="P297" s="827">
        <v>668</v>
      </c>
      <c r="Q297" s="827">
        <v>628</v>
      </c>
      <c r="R297" s="827">
        <v>619</v>
      </c>
      <c r="S297" s="827">
        <v>610</v>
      </c>
      <c r="T297" s="827">
        <v>586</v>
      </c>
      <c r="U297" s="827">
        <v>584</v>
      </c>
      <c r="V297" s="827">
        <v>538</v>
      </c>
      <c r="W297" s="827">
        <v>501</v>
      </c>
      <c r="X297" s="827">
        <v>459</v>
      </c>
      <c r="Y297" s="827">
        <v>531</v>
      </c>
      <c r="Z297" s="827">
        <v>531</v>
      </c>
      <c r="AA297" s="827">
        <v>473</v>
      </c>
      <c r="AB297" s="827">
        <v>460</v>
      </c>
      <c r="AC297" s="828">
        <v>407</v>
      </c>
      <c r="AD297" s="828">
        <v>382</v>
      </c>
      <c r="AE297" s="828">
        <v>347</v>
      </c>
      <c r="AF297" s="828">
        <v>327</v>
      </c>
      <c r="AG297" s="828">
        <v>345</v>
      </c>
      <c r="AH297" s="828">
        <v>334</v>
      </c>
      <c r="AI297" s="828">
        <v>343</v>
      </c>
      <c r="AJ297" s="828">
        <v>324</v>
      </c>
      <c r="AK297" s="828">
        <v>288</v>
      </c>
      <c r="AL297" s="828">
        <v>287</v>
      </c>
      <c r="AM297" s="828">
        <v>300</v>
      </c>
      <c r="AN297" s="828">
        <v>290</v>
      </c>
      <c r="AO297" s="828">
        <v>300</v>
      </c>
      <c r="AP297" s="828">
        <v>323</v>
      </c>
    </row>
    <row r="298" hidden="1">
      <c r="B298" s="829" t="s">
        <v>13</v>
      </c>
      <c r="C298" s="823">
        <v>58</v>
      </c>
      <c r="D298" s="823">
        <v>82</v>
      </c>
      <c r="E298" s="823">
        <v>323</v>
      </c>
      <c r="F298" s="823">
        <v>322</v>
      </c>
      <c r="G298" s="823">
        <v>302</v>
      </c>
      <c r="H298" s="823">
        <v>298</v>
      </c>
      <c r="I298" s="823">
        <v>285</v>
      </c>
      <c r="J298" s="823">
        <v>531</v>
      </c>
      <c r="K298" s="823">
        <v>79</v>
      </c>
      <c r="L298" s="823">
        <v>93</v>
      </c>
      <c r="M298" s="823">
        <v>89</v>
      </c>
      <c r="N298" s="823">
        <v>261</v>
      </c>
      <c r="O298" s="823">
        <v>43</v>
      </c>
      <c r="P298" s="823">
        <v>35</v>
      </c>
      <c r="Q298" s="823">
        <v>31</v>
      </c>
      <c r="R298" s="823">
        <v>34</v>
      </c>
      <c r="S298" s="823">
        <v>34</v>
      </c>
      <c r="T298" s="823">
        <v>30</v>
      </c>
      <c r="U298" s="823">
        <v>236</v>
      </c>
      <c r="V298" s="823">
        <v>236</v>
      </c>
      <c r="W298" s="823">
        <v>33</v>
      </c>
      <c r="X298" s="823">
        <v>31</v>
      </c>
      <c r="Y298" s="823">
        <v>27</v>
      </c>
      <c r="Z298" s="823">
        <v>28</v>
      </c>
      <c r="AA298" s="823">
        <v>36</v>
      </c>
      <c r="AB298" s="823">
        <v>36</v>
      </c>
      <c r="AC298" s="825">
        <v>29</v>
      </c>
      <c r="AD298" s="825">
        <v>27</v>
      </c>
      <c r="AE298" s="825">
        <v>30</v>
      </c>
      <c r="AF298" s="825">
        <v>30</v>
      </c>
      <c r="AG298" s="825">
        <v>26</v>
      </c>
      <c r="AH298" s="825">
        <v>27</v>
      </c>
      <c r="AI298" s="825">
        <v>24</v>
      </c>
      <c r="AJ298" s="825">
        <v>23</v>
      </c>
      <c r="AK298" s="825">
        <v>22</v>
      </c>
      <c r="AL298" s="825">
        <v>21</v>
      </c>
      <c r="AM298" s="825">
        <v>24</v>
      </c>
      <c r="AN298" s="825">
        <v>25</v>
      </c>
      <c r="AO298" s="825">
        <v>22</v>
      </c>
      <c r="AP298" s="825">
        <v>24</v>
      </c>
    </row>
    <row r="299" hidden="1">
      <c r="B299" s="826" t="s">
        <v>109</v>
      </c>
      <c r="C299" s="827">
        <v>3544</v>
      </c>
      <c r="D299" s="827">
        <v>3443</v>
      </c>
      <c r="E299" s="827">
        <v>4147</v>
      </c>
      <c r="F299" s="827">
        <v>4154</v>
      </c>
      <c r="G299" s="827">
        <v>3948</v>
      </c>
      <c r="H299" s="827">
        <v>3885</v>
      </c>
      <c r="I299" s="827">
        <v>3517</v>
      </c>
      <c r="J299" s="827">
        <v>3465</v>
      </c>
      <c r="K299" s="827">
        <v>3007</v>
      </c>
      <c r="L299" s="827">
        <v>2979</v>
      </c>
      <c r="M299" s="827">
        <v>2752</v>
      </c>
      <c r="N299" s="827">
        <v>2702</v>
      </c>
      <c r="O299" s="827">
        <v>2384</v>
      </c>
      <c r="P299" s="827">
        <v>2352</v>
      </c>
      <c r="Q299" s="827">
        <v>2012</v>
      </c>
      <c r="R299" s="827">
        <v>1999</v>
      </c>
      <c r="S299" s="827">
        <v>1944</v>
      </c>
      <c r="T299" s="827">
        <v>1979</v>
      </c>
      <c r="U299" s="827">
        <v>1761</v>
      </c>
      <c r="V299" s="827">
        <v>1777</v>
      </c>
      <c r="W299" s="827">
        <v>2102</v>
      </c>
      <c r="X299" s="827">
        <v>1721</v>
      </c>
      <c r="Y299" s="827">
        <v>1770</v>
      </c>
      <c r="Z299" s="827">
        <v>1811</v>
      </c>
      <c r="AA299" s="827">
        <v>1641</v>
      </c>
      <c r="AB299" s="827">
        <v>1648</v>
      </c>
      <c r="AC299" s="828">
        <v>1638</v>
      </c>
      <c r="AD299" s="828">
        <v>1642</v>
      </c>
      <c r="AE299" s="828">
        <v>1542</v>
      </c>
      <c r="AF299" s="828">
        <v>1692</v>
      </c>
      <c r="AG299" s="828">
        <v>1554</v>
      </c>
      <c r="AH299" s="828">
        <v>1541</v>
      </c>
      <c r="AI299" s="828">
        <v>1482</v>
      </c>
      <c r="AJ299" s="828">
        <v>1429</v>
      </c>
      <c r="AK299" s="828">
        <v>1319</v>
      </c>
      <c r="AL299" s="828">
        <v>1292</v>
      </c>
      <c r="AM299" s="828">
        <v>1273</v>
      </c>
      <c r="AN299" s="828">
        <v>1272</v>
      </c>
      <c r="AO299" s="828">
        <v>1224</v>
      </c>
      <c r="AP299" s="828">
        <v>1219</v>
      </c>
    </row>
    <row r="300" hidden="1">
      <c r="B300" s="829" t="s">
        <v>110</v>
      </c>
      <c r="C300" s="823">
        <v>11362</v>
      </c>
      <c r="D300" s="823">
        <v>12033</v>
      </c>
      <c r="E300" s="823">
        <v>11522</v>
      </c>
      <c r="F300" s="823">
        <v>11044</v>
      </c>
      <c r="G300" s="823">
        <v>10431</v>
      </c>
      <c r="H300" s="823">
        <v>9648</v>
      </c>
      <c r="I300" s="823">
        <v>8960</v>
      </c>
      <c r="J300" s="823">
        <v>9959</v>
      </c>
      <c r="K300" s="823">
        <v>8421</v>
      </c>
      <c r="L300" s="823">
        <v>5270</v>
      </c>
      <c r="M300" s="823">
        <v>8263</v>
      </c>
      <c r="N300" s="823">
        <v>7915</v>
      </c>
      <c r="O300" s="823">
        <v>7180</v>
      </c>
      <c r="P300" s="823">
        <v>6867</v>
      </c>
      <c r="Q300" s="823">
        <v>6420</v>
      </c>
      <c r="R300" s="823">
        <v>6471</v>
      </c>
      <c r="S300" s="823">
        <v>6516</v>
      </c>
      <c r="T300" s="823">
        <v>6368</v>
      </c>
      <c r="U300" s="823">
        <v>5964</v>
      </c>
      <c r="V300" s="823">
        <v>6149</v>
      </c>
      <c r="W300" s="823">
        <v>5828</v>
      </c>
      <c r="X300" s="823">
        <v>5781</v>
      </c>
      <c r="Y300" s="823">
        <v>5563</v>
      </c>
      <c r="Z300" s="823">
        <v>5486</v>
      </c>
      <c r="AA300" s="823">
        <v>5362</v>
      </c>
      <c r="AB300" s="823">
        <v>5399</v>
      </c>
      <c r="AC300" s="825">
        <v>5425</v>
      </c>
      <c r="AD300" s="825">
        <v>5294</v>
      </c>
      <c r="AE300" s="825">
        <v>5182</v>
      </c>
      <c r="AF300" s="825">
        <v>5510</v>
      </c>
      <c r="AG300" s="825">
        <v>5232</v>
      </c>
      <c r="AH300" s="825">
        <v>5508</v>
      </c>
      <c r="AI300" s="825">
        <v>5218</v>
      </c>
      <c r="AJ300" s="825">
        <v>8126</v>
      </c>
      <c r="AK300" s="825">
        <v>4838</v>
      </c>
      <c r="AL300" s="825">
        <v>5159</v>
      </c>
      <c r="AM300" s="825">
        <v>4705</v>
      </c>
      <c r="AN300" s="825">
        <v>4655</v>
      </c>
      <c r="AO300" s="825">
        <v>4622</v>
      </c>
      <c r="AP300" s="825">
        <v>5689</v>
      </c>
    </row>
    <row r="301" hidden="1">
      <c r="B301" s="826" t="s">
        <v>16</v>
      </c>
      <c r="C301" s="827">
        <v>8963</v>
      </c>
      <c r="D301" s="827">
        <v>8963</v>
      </c>
      <c r="E301" s="827">
        <v>9148</v>
      </c>
      <c r="F301" s="827">
        <v>8991</v>
      </c>
      <c r="G301" s="827">
        <v>9213</v>
      </c>
      <c r="H301" s="827">
        <v>8975</v>
      </c>
      <c r="I301" s="827">
        <v>9660</v>
      </c>
      <c r="J301" s="827">
        <v>9449</v>
      </c>
      <c r="K301" s="827">
        <v>9614</v>
      </c>
      <c r="L301" s="827">
        <v>8665</v>
      </c>
      <c r="M301" s="827">
        <v>8242</v>
      </c>
      <c r="N301" s="827">
        <v>8188</v>
      </c>
      <c r="O301" s="827">
        <v>7828</v>
      </c>
      <c r="P301" s="827">
        <v>6579</v>
      </c>
      <c r="Q301" s="827">
        <v>6739</v>
      </c>
      <c r="R301" s="827">
        <v>6583</v>
      </c>
      <c r="S301" s="827">
        <v>6108</v>
      </c>
      <c r="T301" s="827">
        <v>6267</v>
      </c>
      <c r="U301" s="827">
        <v>7675</v>
      </c>
      <c r="V301" s="827">
        <v>7840</v>
      </c>
      <c r="W301" s="827">
        <v>7840</v>
      </c>
      <c r="X301" s="827">
        <v>7840</v>
      </c>
      <c r="Y301" s="827">
        <v>7840</v>
      </c>
      <c r="Z301" s="827">
        <v>7840</v>
      </c>
      <c r="AA301" s="827">
        <v>6353</v>
      </c>
      <c r="AB301" s="827">
        <v>6282</v>
      </c>
      <c r="AC301" s="828">
        <v>6374</v>
      </c>
      <c r="AD301" s="828">
        <v>6349</v>
      </c>
      <c r="AE301" s="828">
        <v>6415</v>
      </c>
      <c r="AF301" s="828">
        <v>71258</v>
      </c>
      <c r="AG301" s="828">
        <v>128339</v>
      </c>
      <c r="AH301" s="828">
        <v>71702</v>
      </c>
      <c r="AI301" s="828">
        <v>9876</v>
      </c>
      <c r="AJ301" s="828">
        <v>8309</v>
      </c>
      <c r="AK301" s="828">
        <v>7886</v>
      </c>
      <c r="AL301" s="828">
        <v>7319</v>
      </c>
      <c r="AM301" s="828">
        <v>12744</v>
      </c>
      <c r="AN301" s="828">
        <v>11512</v>
      </c>
      <c r="AO301" s="828">
        <v>10505</v>
      </c>
      <c r="AP301" s="828">
        <v>10443</v>
      </c>
    </row>
    <row r="302" hidden="1">
      <c r="B302" s="829" t="s">
        <v>17</v>
      </c>
      <c r="C302" s="823">
        <v>18694</v>
      </c>
      <c r="D302" s="823">
        <v>18749</v>
      </c>
      <c r="E302" s="823">
        <v>19185</v>
      </c>
      <c r="F302" s="823">
        <v>19336</v>
      </c>
      <c r="G302" s="823">
        <v>30374</v>
      </c>
      <c r="H302" s="823">
        <v>18323</v>
      </c>
      <c r="I302" s="823">
        <v>17052</v>
      </c>
      <c r="J302" s="823">
        <v>16619</v>
      </c>
      <c r="K302" s="823">
        <v>15903</v>
      </c>
      <c r="L302" s="823">
        <v>15614</v>
      </c>
      <c r="M302" s="823">
        <v>15300</v>
      </c>
      <c r="N302" s="823">
        <v>15052</v>
      </c>
      <c r="O302" s="823">
        <v>14049</v>
      </c>
      <c r="P302" s="823">
        <v>12544</v>
      </c>
      <c r="Q302" s="823">
        <v>10963</v>
      </c>
      <c r="R302" s="823">
        <v>11247</v>
      </c>
      <c r="S302" s="823">
        <v>11108</v>
      </c>
      <c r="T302" s="823">
        <v>11019</v>
      </c>
      <c r="U302" s="823">
        <v>11875</v>
      </c>
      <c r="V302" s="823">
        <v>11984</v>
      </c>
      <c r="W302" s="823">
        <v>11529</v>
      </c>
      <c r="X302" s="823">
        <v>11372</v>
      </c>
      <c r="Y302" s="823">
        <v>10856</v>
      </c>
      <c r="Z302" s="823">
        <v>10676</v>
      </c>
      <c r="AA302" s="823">
        <v>10527</v>
      </c>
      <c r="AB302" s="823">
        <v>9986</v>
      </c>
      <c r="AC302" s="825">
        <v>9485</v>
      </c>
      <c r="AD302" s="825">
        <v>9252</v>
      </c>
      <c r="AE302" s="825">
        <v>9028</v>
      </c>
      <c r="AF302" s="825">
        <v>8917</v>
      </c>
      <c r="AG302" s="825">
        <v>8974</v>
      </c>
      <c r="AH302" s="825">
        <v>8876</v>
      </c>
      <c r="AI302" s="825">
        <v>8205</v>
      </c>
      <c r="AJ302" s="825">
        <v>8075</v>
      </c>
      <c r="AK302" s="825">
        <v>7565</v>
      </c>
      <c r="AL302" s="825">
        <v>7452</v>
      </c>
      <c r="AM302" s="825">
        <v>7357</v>
      </c>
      <c r="AN302" s="825">
        <v>7296</v>
      </c>
      <c r="AO302" s="825">
        <v>7175</v>
      </c>
      <c r="AP302" s="825">
        <v>7130</v>
      </c>
    </row>
    <row r="303" hidden="1">
      <c r="B303" s="826" t="s">
        <v>18</v>
      </c>
      <c r="C303" s="827">
        <v>532</v>
      </c>
      <c r="D303" s="827">
        <v>1306</v>
      </c>
      <c r="E303" s="827">
        <v>1340</v>
      </c>
      <c r="F303" s="827">
        <v>1280</v>
      </c>
      <c r="G303" s="827">
        <v>7658</v>
      </c>
      <c r="H303" s="827">
        <v>1301</v>
      </c>
      <c r="I303" s="827">
        <v>1281</v>
      </c>
      <c r="J303" s="827">
        <v>1189</v>
      </c>
      <c r="K303" s="827">
        <v>1211</v>
      </c>
      <c r="L303" s="827">
        <v>1088</v>
      </c>
      <c r="M303" s="827">
        <v>1196</v>
      </c>
      <c r="N303" s="827">
        <v>967</v>
      </c>
      <c r="O303" s="827">
        <v>1086</v>
      </c>
      <c r="P303" s="827">
        <v>1023</v>
      </c>
      <c r="Q303" s="827">
        <v>1089</v>
      </c>
      <c r="R303" s="827">
        <v>998</v>
      </c>
      <c r="S303" s="827">
        <v>1080</v>
      </c>
      <c r="T303" s="827">
        <v>945</v>
      </c>
      <c r="U303" s="827">
        <v>1081</v>
      </c>
      <c r="V303" s="827">
        <v>959</v>
      </c>
      <c r="W303" s="827">
        <v>946</v>
      </c>
      <c r="X303" s="827">
        <v>783</v>
      </c>
      <c r="Y303" s="827">
        <v>1824</v>
      </c>
      <c r="Z303" s="827">
        <v>1392</v>
      </c>
      <c r="AA303" s="827">
        <v>1656</v>
      </c>
      <c r="AB303" s="827">
        <v>1207</v>
      </c>
      <c r="AC303" s="828">
        <v>4141</v>
      </c>
      <c r="AD303" s="828">
        <v>880</v>
      </c>
      <c r="AE303" s="828">
        <v>14179</v>
      </c>
      <c r="AF303" s="828">
        <v>3662</v>
      </c>
      <c r="AG303" s="828">
        <v>892</v>
      </c>
      <c r="AH303" s="828">
        <v>946</v>
      </c>
      <c r="AI303" s="828">
        <v>849</v>
      </c>
      <c r="AJ303" s="828">
        <v>844</v>
      </c>
      <c r="AK303" s="828">
        <v>1061</v>
      </c>
      <c r="AL303" s="828">
        <v>3580</v>
      </c>
      <c r="AM303" s="828">
        <v>1207</v>
      </c>
      <c r="AN303" s="828">
        <v>2253</v>
      </c>
      <c r="AO303" s="828">
        <v>894</v>
      </c>
      <c r="AP303" s="828">
        <v>749</v>
      </c>
    </row>
    <row r="304" hidden="1">
      <c r="B304" s="829" t="s">
        <v>19</v>
      </c>
      <c r="C304" s="823">
        <v>342</v>
      </c>
      <c r="D304" s="823">
        <v>333</v>
      </c>
      <c r="E304" s="823">
        <v>302</v>
      </c>
      <c r="F304" s="823">
        <v>333</v>
      </c>
      <c r="G304" s="823">
        <v>261</v>
      </c>
      <c r="H304" s="823">
        <v>237</v>
      </c>
      <c r="I304" s="823">
        <v>230</v>
      </c>
      <c r="J304" s="823">
        <v>227</v>
      </c>
      <c r="K304" s="823">
        <v>230</v>
      </c>
      <c r="L304" s="823">
        <v>218</v>
      </c>
      <c r="M304" s="823">
        <v>221</v>
      </c>
      <c r="N304" s="823">
        <v>201</v>
      </c>
      <c r="O304" s="823">
        <v>205</v>
      </c>
      <c r="P304" s="823">
        <v>232</v>
      </c>
      <c r="Q304" s="823">
        <v>185</v>
      </c>
      <c r="R304" s="823">
        <v>188</v>
      </c>
      <c r="S304" s="823">
        <v>170</v>
      </c>
      <c r="T304" s="823">
        <v>167</v>
      </c>
      <c r="U304" s="823">
        <v>162</v>
      </c>
      <c r="V304" s="823">
        <v>155</v>
      </c>
      <c r="W304" s="823">
        <v>181</v>
      </c>
      <c r="X304" s="823">
        <v>176</v>
      </c>
      <c r="Y304" s="823">
        <v>182</v>
      </c>
      <c r="Z304" s="823">
        <v>185</v>
      </c>
      <c r="AA304" s="823">
        <v>174</v>
      </c>
      <c r="AB304" s="823">
        <v>174</v>
      </c>
      <c r="AC304" s="825">
        <v>172</v>
      </c>
      <c r="AD304" s="825">
        <v>172</v>
      </c>
      <c r="AE304" s="825">
        <v>184</v>
      </c>
      <c r="AF304" s="825">
        <v>182</v>
      </c>
      <c r="AG304" s="825">
        <v>185</v>
      </c>
      <c r="AH304" s="825">
        <v>186</v>
      </c>
      <c r="AI304" s="825">
        <v>189</v>
      </c>
      <c r="AJ304" s="825">
        <v>133</v>
      </c>
      <c r="AK304" s="825">
        <v>128</v>
      </c>
      <c r="AL304" s="825">
        <v>133</v>
      </c>
      <c r="AM304" s="825">
        <v>103</v>
      </c>
      <c r="AN304" s="825">
        <v>119</v>
      </c>
      <c r="AO304" s="825">
        <v>109</v>
      </c>
      <c r="AP304" s="825">
        <v>115</v>
      </c>
    </row>
    <row r="305" hidden="1">
      <c r="B305" s="826" t="s">
        <v>20</v>
      </c>
      <c r="C305" s="827">
        <v>161</v>
      </c>
      <c r="D305" s="827">
        <v>236</v>
      </c>
      <c r="E305" s="827">
        <v>1492</v>
      </c>
      <c r="F305" s="827">
        <v>626</v>
      </c>
      <c r="G305" s="827">
        <v>1698</v>
      </c>
      <c r="H305" s="827">
        <v>342</v>
      </c>
      <c r="I305" s="827">
        <v>541</v>
      </c>
      <c r="J305" s="827">
        <v>323</v>
      </c>
      <c r="K305" s="827">
        <v>709</v>
      </c>
      <c r="L305" s="827">
        <v>349</v>
      </c>
      <c r="M305" s="827">
        <v>802</v>
      </c>
      <c r="N305" s="827">
        <v>308</v>
      </c>
      <c r="O305" s="827">
        <v>1248</v>
      </c>
      <c r="P305" s="827">
        <v>640</v>
      </c>
      <c r="Q305" s="827">
        <v>997</v>
      </c>
      <c r="R305" s="827">
        <v>464</v>
      </c>
      <c r="S305" s="827">
        <v>1164</v>
      </c>
      <c r="T305" s="827">
        <v>601</v>
      </c>
      <c r="U305" s="827">
        <v>918</v>
      </c>
      <c r="V305" s="827">
        <v>535</v>
      </c>
      <c r="W305" s="827">
        <v>952</v>
      </c>
      <c r="X305" s="827">
        <v>621</v>
      </c>
      <c r="Y305" s="827">
        <v>833</v>
      </c>
      <c r="Z305" s="827">
        <v>564</v>
      </c>
      <c r="AA305" s="827">
        <v>747</v>
      </c>
      <c r="AB305" s="827">
        <v>501</v>
      </c>
      <c r="AC305" s="828">
        <v>755</v>
      </c>
      <c r="AD305" s="828">
        <v>489</v>
      </c>
      <c r="AE305" s="828">
        <v>1352</v>
      </c>
      <c r="AF305" s="828">
        <v>516</v>
      </c>
      <c r="AG305" s="828">
        <v>644</v>
      </c>
      <c r="AH305" s="828">
        <v>430</v>
      </c>
      <c r="AI305" s="828">
        <v>638</v>
      </c>
      <c r="AJ305" s="828">
        <v>418</v>
      </c>
      <c r="AK305" s="828">
        <v>650</v>
      </c>
      <c r="AL305" s="828">
        <v>522</v>
      </c>
      <c r="AM305" s="828">
        <v>664</v>
      </c>
      <c r="AN305" s="828">
        <v>536</v>
      </c>
      <c r="AO305" s="828">
        <v>656</v>
      </c>
      <c r="AP305" s="828">
        <v>505</v>
      </c>
    </row>
    <row r="306" hidden="1">
      <c r="B306" s="829" t="s">
        <v>21</v>
      </c>
      <c r="C306" s="823">
        <v>921</v>
      </c>
      <c r="D306" s="823">
        <v>898</v>
      </c>
      <c r="E306" s="823">
        <v>906</v>
      </c>
      <c r="F306" s="823">
        <v>899</v>
      </c>
      <c r="G306" s="823">
        <v>744</v>
      </c>
      <c r="H306" s="823">
        <v>751</v>
      </c>
      <c r="I306" s="823">
        <v>694</v>
      </c>
      <c r="J306" s="823">
        <v>693</v>
      </c>
      <c r="K306" s="823">
        <v>670</v>
      </c>
      <c r="L306" s="823">
        <v>666</v>
      </c>
      <c r="M306" s="823">
        <v>643</v>
      </c>
      <c r="N306" s="823">
        <v>658</v>
      </c>
      <c r="O306" s="823">
        <v>617</v>
      </c>
      <c r="P306" s="823">
        <v>601</v>
      </c>
      <c r="Q306" s="823">
        <v>513</v>
      </c>
      <c r="R306" s="823">
        <v>510</v>
      </c>
      <c r="S306" s="823">
        <v>490</v>
      </c>
      <c r="T306" s="823">
        <v>506</v>
      </c>
      <c r="U306" s="823">
        <v>499</v>
      </c>
      <c r="V306" s="823">
        <v>497</v>
      </c>
      <c r="W306" s="823">
        <v>498</v>
      </c>
      <c r="X306" s="823">
        <v>489</v>
      </c>
      <c r="Y306" s="823">
        <v>454</v>
      </c>
      <c r="Z306" s="823">
        <v>439</v>
      </c>
      <c r="AA306" s="823">
        <v>441</v>
      </c>
      <c r="AB306" s="823">
        <v>441</v>
      </c>
      <c r="AC306" s="825">
        <v>415</v>
      </c>
      <c r="AD306" s="825">
        <v>424</v>
      </c>
      <c r="AE306" s="825">
        <v>338</v>
      </c>
      <c r="AF306" s="825">
        <v>337</v>
      </c>
      <c r="AG306" s="825">
        <v>338</v>
      </c>
      <c r="AH306" s="825">
        <v>334</v>
      </c>
      <c r="AI306" s="825">
        <v>324</v>
      </c>
      <c r="AJ306" s="825">
        <v>314</v>
      </c>
      <c r="AK306" s="825">
        <v>294</v>
      </c>
      <c r="AL306" s="825">
        <v>299</v>
      </c>
      <c r="AM306" s="825">
        <v>284</v>
      </c>
      <c r="AN306" s="825">
        <v>285</v>
      </c>
      <c r="AO306" s="825">
        <v>269</v>
      </c>
      <c r="AP306" s="825">
        <v>265</v>
      </c>
    </row>
    <row r="307" hidden="1">
      <c r="B307" s="826" t="s">
        <v>22</v>
      </c>
      <c r="C307" s="827">
        <v>102</v>
      </c>
      <c r="D307" s="827">
        <v>132</v>
      </c>
      <c r="E307" s="827">
        <v>105</v>
      </c>
      <c r="F307" s="827">
        <v>98</v>
      </c>
      <c r="G307" s="827">
        <v>111</v>
      </c>
      <c r="H307" s="827">
        <v>93</v>
      </c>
      <c r="I307" s="827">
        <v>95</v>
      </c>
      <c r="J307" s="827">
        <v>100</v>
      </c>
      <c r="K307" s="827">
        <v>146</v>
      </c>
      <c r="L307" s="827">
        <v>122</v>
      </c>
      <c r="M307" s="827">
        <v>135</v>
      </c>
      <c r="N307" s="827">
        <v>129</v>
      </c>
      <c r="O307" s="827">
        <v>158</v>
      </c>
      <c r="P307" s="827">
        <v>158</v>
      </c>
      <c r="Q307" s="827">
        <v>110</v>
      </c>
      <c r="R307" s="827">
        <v>100</v>
      </c>
      <c r="S307" s="827">
        <v>114</v>
      </c>
      <c r="T307" s="827">
        <v>115</v>
      </c>
      <c r="U307" s="827">
        <v>75</v>
      </c>
      <c r="V307" s="827">
        <v>74</v>
      </c>
      <c r="W307" s="827">
        <v>99</v>
      </c>
      <c r="X307" s="827">
        <v>99</v>
      </c>
      <c r="Y307" s="827">
        <v>88</v>
      </c>
      <c r="Z307" s="827">
        <v>90</v>
      </c>
      <c r="AA307" s="827">
        <v>102</v>
      </c>
      <c r="AB307" s="827">
        <v>103</v>
      </c>
      <c r="AC307" s="828">
        <v>84</v>
      </c>
      <c r="AD307" s="828">
        <v>85</v>
      </c>
      <c r="AE307" s="828">
        <v>73</v>
      </c>
      <c r="AF307" s="828">
        <v>74</v>
      </c>
      <c r="AG307" s="828">
        <v>77</v>
      </c>
      <c r="AH307" s="828">
        <v>75</v>
      </c>
      <c r="AI307" s="828">
        <v>52</v>
      </c>
      <c r="AJ307" s="828">
        <v>52</v>
      </c>
      <c r="AK307" s="828">
        <v>54</v>
      </c>
      <c r="AL307" s="828">
        <v>52</v>
      </c>
      <c r="AM307" s="828">
        <v>52</v>
      </c>
      <c r="AN307" s="828">
        <v>52</v>
      </c>
      <c r="AO307" s="828">
        <v>49</v>
      </c>
      <c r="AP307" s="828">
        <v>49</v>
      </c>
    </row>
    <row r="308" hidden="1">
      <c r="B308" s="829" t="s">
        <v>23</v>
      </c>
      <c r="C308" s="823">
        <v>144</v>
      </c>
      <c r="D308" s="823">
        <v>142</v>
      </c>
      <c r="E308" s="823">
        <v>138</v>
      </c>
      <c r="F308" s="823">
        <v>134</v>
      </c>
      <c r="G308" s="823">
        <v>124</v>
      </c>
      <c r="H308" s="823">
        <v>125</v>
      </c>
      <c r="I308" s="823">
        <v>113</v>
      </c>
      <c r="J308" s="823">
        <v>112</v>
      </c>
      <c r="K308" s="823">
        <v>109</v>
      </c>
      <c r="L308" s="823">
        <v>102</v>
      </c>
      <c r="M308" s="823">
        <v>92</v>
      </c>
      <c r="N308" s="823">
        <v>90</v>
      </c>
      <c r="O308" s="823">
        <v>86</v>
      </c>
      <c r="P308" s="823">
        <v>69</v>
      </c>
      <c r="Q308" s="823">
        <v>65</v>
      </c>
      <c r="R308" s="823">
        <v>51</v>
      </c>
      <c r="S308" s="823">
        <v>48</v>
      </c>
      <c r="T308" s="823">
        <v>62</v>
      </c>
      <c r="U308" s="823">
        <v>48</v>
      </c>
      <c r="V308" s="823">
        <v>48</v>
      </c>
      <c r="W308" s="823">
        <v>106</v>
      </c>
      <c r="X308" s="823">
        <v>106</v>
      </c>
      <c r="Y308" s="823">
        <v>105</v>
      </c>
      <c r="Z308" s="823">
        <v>105</v>
      </c>
      <c r="AA308" s="823">
        <v>99</v>
      </c>
      <c r="AB308" s="823">
        <v>99</v>
      </c>
      <c r="AC308" s="825">
        <v>97</v>
      </c>
      <c r="AD308" s="825">
        <v>97</v>
      </c>
      <c r="AE308" s="825">
        <v>94</v>
      </c>
      <c r="AF308" s="825">
        <v>40</v>
      </c>
      <c r="AG308" s="825">
        <v>41</v>
      </c>
      <c r="AH308" s="825">
        <v>41</v>
      </c>
      <c r="AI308" s="825">
        <v>37</v>
      </c>
      <c r="AJ308" s="825">
        <v>35</v>
      </c>
      <c r="AK308" s="825">
        <v>29</v>
      </c>
      <c r="AL308" s="825">
        <v>29</v>
      </c>
      <c r="AM308" s="825">
        <v>27</v>
      </c>
      <c r="AN308" s="825">
        <v>27</v>
      </c>
      <c r="AO308" s="825">
        <v>27</v>
      </c>
      <c r="AP308" s="825">
        <v>27</v>
      </c>
    </row>
    <row r="309" hidden="1">
      <c r="B309" s="835" t="s">
        <v>24</v>
      </c>
      <c r="C309" s="827">
        <v>1723</v>
      </c>
      <c r="D309" s="827">
        <v>1676</v>
      </c>
      <c r="E309" s="827">
        <v>1700</v>
      </c>
      <c r="F309" s="827">
        <v>1682</v>
      </c>
      <c r="G309" s="827">
        <v>1485</v>
      </c>
      <c r="H309" s="827">
        <v>1448</v>
      </c>
      <c r="I309" s="827">
        <v>1351</v>
      </c>
      <c r="J309" s="827">
        <v>1312</v>
      </c>
      <c r="K309" s="827">
        <v>1283</v>
      </c>
      <c r="L309" s="827">
        <v>1272</v>
      </c>
      <c r="M309" s="827">
        <v>1230</v>
      </c>
      <c r="N309" s="827">
        <v>1227</v>
      </c>
      <c r="O309" s="827">
        <v>1071</v>
      </c>
      <c r="P309" s="827">
        <v>1003</v>
      </c>
      <c r="Q309" s="827">
        <v>975</v>
      </c>
      <c r="R309" s="827">
        <v>948</v>
      </c>
      <c r="S309" s="827">
        <v>915</v>
      </c>
      <c r="T309" s="827">
        <v>949</v>
      </c>
      <c r="U309" s="827">
        <v>953</v>
      </c>
      <c r="V309" s="827">
        <v>950</v>
      </c>
      <c r="W309" s="827">
        <v>936</v>
      </c>
      <c r="X309" s="827">
        <v>922</v>
      </c>
      <c r="Y309" s="827">
        <v>840</v>
      </c>
      <c r="Z309" s="827">
        <v>837</v>
      </c>
      <c r="AA309" s="827">
        <v>868</v>
      </c>
      <c r="AB309" s="827">
        <v>853</v>
      </c>
      <c r="AC309" s="828">
        <v>797</v>
      </c>
      <c r="AD309" s="828">
        <v>797</v>
      </c>
      <c r="AE309" s="828">
        <v>584</v>
      </c>
      <c r="AF309" s="828">
        <v>577</v>
      </c>
      <c r="AG309" s="828">
        <v>900</v>
      </c>
      <c r="AH309" s="828">
        <v>880</v>
      </c>
      <c r="AI309" s="828">
        <v>850</v>
      </c>
      <c r="AJ309" s="828">
        <v>847</v>
      </c>
      <c r="AK309" s="828">
        <v>819</v>
      </c>
      <c r="AL309" s="828">
        <v>808</v>
      </c>
      <c r="AM309" s="828">
        <v>775</v>
      </c>
      <c r="AN309" s="828">
        <v>787</v>
      </c>
      <c r="AO309" s="828">
        <v>774</v>
      </c>
      <c r="AP309" s="828">
        <v>763</v>
      </c>
    </row>
    <row r="310" hidden="1">
      <c r="B310" s="829" t="s">
        <v>25</v>
      </c>
      <c r="C310" s="823">
        <v>0</v>
      </c>
      <c r="D310" s="823">
        <v>0</v>
      </c>
      <c r="E310" s="823">
        <v>0</v>
      </c>
      <c r="F310" s="823">
        <v>0</v>
      </c>
      <c r="G310" s="823">
        <v>0</v>
      </c>
      <c r="H310" s="823">
        <v>0</v>
      </c>
      <c r="I310" s="823">
        <v>0</v>
      </c>
      <c r="J310" s="823">
        <v>0</v>
      </c>
      <c r="K310" s="823">
        <v>0</v>
      </c>
      <c r="L310" s="823">
        <v>0</v>
      </c>
      <c r="M310" s="823">
        <v>0</v>
      </c>
      <c r="N310" s="823">
        <v>0</v>
      </c>
      <c r="O310" s="823">
        <v>0</v>
      </c>
      <c r="P310" s="823">
        <v>0</v>
      </c>
      <c r="Q310" s="823">
        <v>0</v>
      </c>
      <c r="R310" s="823">
        <v>0</v>
      </c>
      <c r="S310" s="823">
        <v>0</v>
      </c>
      <c r="T310" s="823">
        <v>0</v>
      </c>
      <c r="U310" s="823">
        <v>0</v>
      </c>
      <c r="V310" s="823">
        <v>0</v>
      </c>
      <c r="W310" s="823">
        <v>0</v>
      </c>
      <c r="X310" s="823">
        <v>0</v>
      </c>
      <c r="Y310" s="823">
        <v>0</v>
      </c>
      <c r="Z310" s="823">
        <v>0</v>
      </c>
      <c r="AA310" s="823">
        <v>0</v>
      </c>
      <c r="AB310" s="823">
        <v>0</v>
      </c>
      <c r="AC310" s="825">
        <v>0</v>
      </c>
      <c r="AD310" s="825">
        <v>0</v>
      </c>
      <c r="AE310" s="825">
        <v>0</v>
      </c>
      <c r="AF310" s="825">
        <v>0</v>
      </c>
      <c r="AG310" s="825">
        <v>0</v>
      </c>
      <c r="AH310" s="825">
        <v>0</v>
      </c>
      <c r="AI310" s="825">
        <v>0</v>
      </c>
      <c r="AJ310" s="825">
        <v>0</v>
      </c>
      <c r="AK310" s="825">
        <v>0</v>
      </c>
      <c r="AL310" s="825">
        <v>0</v>
      </c>
      <c r="AM310" s="825">
        <v>0</v>
      </c>
      <c r="AN310" s="825">
        <v>0</v>
      </c>
      <c r="AO310" s="825">
        <v>0</v>
      </c>
      <c r="AP310" s="825">
        <v>0</v>
      </c>
    </row>
    <row r="311" hidden="1" ht="13.5">
      <c r="B311" s="836" t="s">
        <v>26</v>
      </c>
      <c r="C311" s="827">
        <v>0</v>
      </c>
      <c r="D311" s="827">
        <v>0</v>
      </c>
      <c r="E311" s="827">
        <v>0</v>
      </c>
      <c r="F311" s="827">
        <v>0</v>
      </c>
      <c r="G311" s="827">
        <v>0</v>
      </c>
      <c r="H311" s="827">
        <v>0</v>
      </c>
      <c r="I311" s="827">
        <v>0</v>
      </c>
      <c r="J311" s="827">
        <v>0</v>
      </c>
      <c r="K311" s="827">
        <v>0</v>
      </c>
      <c r="L311" s="827">
        <v>0</v>
      </c>
      <c r="M311" s="827">
        <v>0</v>
      </c>
      <c r="N311" s="827">
        <v>0</v>
      </c>
      <c r="O311" s="827">
        <v>0</v>
      </c>
      <c r="P311" s="827">
        <v>0</v>
      </c>
      <c r="Q311" s="827">
        <v>0</v>
      </c>
      <c r="R311" s="827">
        <v>0</v>
      </c>
      <c r="S311" s="827">
        <v>0</v>
      </c>
      <c r="T311" s="827">
        <v>0</v>
      </c>
      <c r="U311" s="827">
        <v>0</v>
      </c>
      <c r="V311" s="827">
        <v>0</v>
      </c>
      <c r="W311" s="827">
        <v>0</v>
      </c>
      <c r="X311" s="827">
        <v>0</v>
      </c>
      <c r="Y311" s="827">
        <v>0</v>
      </c>
      <c r="Z311" s="827">
        <v>0</v>
      </c>
      <c r="AA311" s="827">
        <v>0</v>
      </c>
      <c r="AB311" s="837">
        <v>0</v>
      </c>
      <c r="AC311" s="828">
        <v>0</v>
      </c>
      <c r="AD311" s="828">
        <v>0</v>
      </c>
      <c r="AE311" s="828">
        <v>0</v>
      </c>
      <c r="AF311" s="828">
        <v>0</v>
      </c>
      <c r="AG311" s="828">
        <v>0</v>
      </c>
      <c r="AH311" s="828">
        <v>0</v>
      </c>
      <c r="AI311" s="828">
        <v>0</v>
      </c>
      <c r="AJ311" s="828">
        <v>0</v>
      </c>
      <c r="AK311" s="828">
        <v>0</v>
      </c>
      <c r="AL311" s="828">
        <v>0</v>
      </c>
      <c r="AM311" s="828">
        <v>0</v>
      </c>
      <c r="AN311" s="828">
        <v>0</v>
      </c>
      <c r="AO311" s="828">
        <v>0</v>
      </c>
      <c r="AP311" s="828">
        <v>0</v>
      </c>
    </row>
    <row r="312" hidden="1" ht="13.5">
      <c r="B312" s="128" t="s">
        <v>7</v>
      </c>
      <c r="C312" s="129" t="str">
        <f>IF(SUM(C293:C311)&lt;&gt;0,SUM(C293:C311),"")</f>
      </c>
      <c r="D312" s="129" t="str">
        <f ref="D312:AA312" t="shared" si="25">IF(SUM(D293:D311)&lt;&gt;0,SUM(D293:D311),"")</f>
      </c>
      <c r="E312" s="129" t="str">
        <f t="shared" si="25"/>
      </c>
      <c r="F312" s="129" t="str">
        <f t="shared" si="25"/>
      </c>
      <c r="G312" s="129" t="str">
        <f t="shared" si="25"/>
      </c>
      <c r="H312" s="129" t="str">
        <f t="shared" si="25"/>
      </c>
      <c r="I312" s="129" t="str">
        <f t="shared" si="25"/>
      </c>
      <c r="J312" s="129" t="str">
        <f t="shared" si="25"/>
      </c>
      <c r="K312" s="129" t="str">
        <f t="shared" si="25"/>
      </c>
      <c r="L312" s="129" t="str">
        <f t="shared" si="25"/>
      </c>
      <c r="M312" s="129" t="str">
        <f t="shared" si="25"/>
      </c>
      <c r="N312" s="129" t="str">
        <f t="shared" si="25"/>
      </c>
      <c r="O312" s="129" t="str">
        <f t="shared" si="25"/>
      </c>
      <c r="P312" s="129" t="str">
        <f t="shared" si="25"/>
      </c>
      <c r="Q312" s="129" t="str">
        <f t="shared" si="25"/>
      </c>
      <c r="R312" s="129" t="str">
        <f t="shared" si="25"/>
      </c>
      <c r="S312" s="129" t="str">
        <f t="shared" si="25"/>
      </c>
      <c r="T312" s="129" t="str">
        <f t="shared" si="25"/>
      </c>
      <c r="U312" s="129" t="str">
        <f t="shared" si="25"/>
      </c>
      <c r="V312" s="129" t="str">
        <f t="shared" si="25"/>
      </c>
      <c r="W312" s="129" t="str">
        <f t="shared" si="25"/>
      </c>
      <c r="X312" s="129" t="str">
        <f t="shared" si="25"/>
      </c>
      <c r="Y312" s="129" t="str">
        <f t="shared" si="25"/>
      </c>
      <c r="Z312" s="129" t="str">
        <f t="shared" si="25"/>
      </c>
      <c r="AA312" s="129" t="str">
        <f t="shared" si="25"/>
      </c>
      <c r="AB312" s="130" t="str">
        <f>IF(SUM(AB293:AB311)&lt;&gt;0,SUM(AB293:AB311),"")</f>
      </c>
      <c r="AC312" s="91" t="str">
        <f ref="AC312:CN312" t="shared" si="26">IF(SUM(AC293:AC311)&lt;&gt;0,SUM(AC293:AC311),"")</f>
      </c>
      <c r="AD312" s="91" t="str">
        <f t="shared" si="26"/>
      </c>
      <c r="AE312" s="91" t="str">
        <f t="shared" si="26"/>
      </c>
      <c r="AF312" s="91" t="str">
        <f t="shared" si="26"/>
      </c>
      <c r="AG312" s="91" t="str">
        <f t="shared" si="26"/>
      </c>
      <c r="AH312" s="91" t="str">
        <f t="shared" si="26"/>
      </c>
      <c r="AI312" s="91" t="str">
        <f t="shared" si="26"/>
      </c>
      <c r="AJ312" s="91" t="str">
        <f t="shared" si="26"/>
      </c>
      <c r="AK312" s="91" t="str">
        <f t="shared" si="26"/>
      </c>
      <c r="AL312" s="91" t="str">
        <f t="shared" si="26"/>
      </c>
      <c r="AM312" s="91" t="str">
        <f t="shared" si="26"/>
      </c>
      <c r="AN312" s="91" t="str">
        <f t="shared" si="26"/>
      </c>
      <c r="AO312" s="91" t="str">
        <f t="shared" si="26"/>
      </c>
      <c r="AP312" s="91" t="str">
        <f t="shared" si="26"/>
      </c>
      <c r="AQ312" s="91" t="str">
        <f t="shared" si="26"/>
      </c>
      <c r="AR312" s="91" t="str">
        <f t="shared" si="26"/>
      </c>
      <c r="AS312" s="91" t="str">
        <f t="shared" si="26"/>
      </c>
      <c r="AT312" s="91" t="str">
        <f t="shared" si="26"/>
      </c>
      <c r="AU312" s="91" t="str">
        <f t="shared" si="26"/>
      </c>
      <c r="AV312" s="91" t="str">
        <f t="shared" si="26"/>
      </c>
      <c r="AW312" s="91" t="str">
        <f t="shared" si="26"/>
      </c>
      <c r="AX312" s="91" t="str">
        <f t="shared" si="26"/>
      </c>
      <c r="AY312" s="91" t="str">
        <f t="shared" si="26"/>
      </c>
      <c r="AZ312" s="91" t="str">
        <f t="shared" si="26"/>
      </c>
      <c r="BA312" s="91" t="str">
        <f t="shared" si="26"/>
      </c>
      <c r="BB312" s="91" t="str">
        <f t="shared" si="26"/>
      </c>
      <c r="BC312" s="91" t="str">
        <f t="shared" si="26"/>
      </c>
      <c r="BD312" s="91" t="str">
        <f t="shared" si="26"/>
      </c>
      <c r="BE312" s="91" t="str">
        <f t="shared" si="26"/>
      </c>
      <c r="BF312" s="91" t="str">
        <f t="shared" si="26"/>
      </c>
      <c r="BG312" s="91" t="str">
        <f t="shared" si="26"/>
      </c>
      <c r="BH312" s="91" t="str">
        <f t="shared" si="26"/>
      </c>
      <c r="BI312" s="91" t="str">
        <f t="shared" si="26"/>
      </c>
      <c r="BJ312" s="91" t="str">
        <f t="shared" si="26"/>
      </c>
      <c r="BK312" s="91" t="str">
        <f t="shared" si="26"/>
      </c>
      <c r="BL312" s="91" t="str">
        <f t="shared" si="26"/>
      </c>
      <c r="BM312" s="91" t="str">
        <f t="shared" si="26"/>
      </c>
      <c r="BN312" s="91" t="str">
        <f t="shared" si="26"/>
      </c>
      <c r="BO312" s="91" t="str">
        <f t="shared" si="26"/>
      </c>
      <c r="BP312" s="91" t="str">
        <f t="shared" si="26"/>
      </c>
      <c r="BQ312" s="91" t="str">
        <f t="shared" si="26"/>
      </c>
      <c r="BR312" s="91" t="str">
        <f t="shared" si="26"/>
      </c>
      <c r="BS312" s="91" t="str">
        <f t="shared" si="26"/>
      </c>
      <c r="BT312" s="91" t="str">
        <f t="shared" si="26"/>
      </c>
      <c r="BU312" s="91" t="str">
        <f t="shared" si="26"/>
      </c>
      <c r="BV312" s="91" t="str">
        <f t="shared" si="26"/>
      </c>
      <c r="BW312" s="91" t="str">
        <f t="shared" si="26"/>
      </c>
      <c r="BX312" s="91" t="str">
        <f t="shared" si="26"/>
      </c>
      <c r="BY312" s="91" t="str">
        <f t="shared" si="26"/>
      </c>
      <c r="BZ312" s="91" t="str">
        <f t="shared" si="26"/>
      </c>
      <c r="CA312" s="91" t="str">
        <f t="shared" si="26"/>
      </c>
      <c r="CB312" s="91" t="str">
        <f t="shared" si="26"/>
      </c>
      <c r="CC312" s="91" t="str">
        <f t="shared" si="26"/>
      </c>
      <c r="CD312" s="91" t="str">
        <f t="shared" si="26"/>
      </c>
      <c r="CE312" s="91" t="str">
        <f t="shared" si="26"/>
      </c>
      <c r="CF312" s="91" t="str">
        <f t="shared" si="26"/>
      </c>
      <c r="CG312" s="91" t="str">
        <f t="shared" si="26"/>
      </c>
      <c r="CH312" s="91" t="str">
        <f t="shared" si="26"/>
      </c>
      <c r="CI312" s="91" t="str">
        <f t="shared" si="26"/>
      </c>
      <c r="CJ312" s="91" t="str">
        <f t="shared" si="26"/>
      </c>
      <c r="CK312" s="91" t="str">
        <f t="shared" si="26"/>
      </c>
      <c r="CL312" s="91" t="str">
        <f t="shared" si="26"/>
      </c>
      <c r="CM312" s="91" t="str">
        <f t="shared" si="26"/>
      </c>
      <c r="CN312" s="91" t="str">
        <f t="shared" si="26"/>
      </c>
      <c r="CO312" s="91" t="str">
        <f ref="CO312:EZ312" t="shared" si="27">IF(SUM(CO293:CO311)&lt;&gt;0,SUM(CO293:CO311),"")</f>
      </c>
      <c r="CP312" s="91" t="str">
        <f t="shared" si="27"/>
      </c>
      <c r="CQ312" s="91" t="str">
        <f t="shared" si="27"/>
      </c>
      <c r="CR312" s="91" t="str">
        <f t="shared" si="27"/>
      </c>
      <c r="CS312" s="91" t="str">
        <f t="shared" si="27"/>
      </c>
      <c r="CT312" s="91" t="str">
        <f t="shared" si="27"/>
      </c>
      <c r="CU312" s="91" t="str">
        <f t="shared" si="27"/>
      </c>
      <c r="CV312" s="91" t="str">
        <f t="shared" si="27"/>
      </c>
      <c r="CW312" s="91" t="str">
        <f t="shared" si="27"/>
      </c>
      <c r="CX312" s="91" t="str">
        <f t="shared" si="27"/>
      </c>
      <c r="CY312" s="91" t="str">
        <f t="shared" si="27"/>
      </c>
      <c r="CZ312" s="91" t="str">
        <f t="shared" si="27"/>
      </c>
      <c r="DA312" s="91" t="str">
        <f t="shared" si="27"/>
      </c>
      <c r="DB312" s="91" t="str">
        <f t="shared" si="27"/>
      </c>
      <c r="DC312" s="91" t="str">
        <f t="shared" si="27"/>
      </c>
      <c r="DD312" s="91" t="str">
        <f t="shared" si="27"/>
      </c>
      <c r="DE312" s="91" t="str">
        <f t="shared" si="27"/>
      </c>
      <c r="DF312" s="91" t="str">
        <f t="shared" si="27"/>
      </c>
      <c r="DG312" s="91" t="str">
        <f t="shared" si="27"/>
      </c>
      <c r="DH312" s="91" t="str">
        <f t="shared" si="27"/>
      </c>
      <c r="DI312" s="91" t="str">
        <f t="shared" si="27"/>
      </c>
      <c r="DJ312" s="91" t="str">
        <f t="shared" si="27"/>
      </c>
      <c r="DK312" s="91" t="str">
        <f t="shared" si="27"/>
      </c>
      <c r="DL312" s="91" t="str">
        <f t="shared" si="27"/>
      </c>
      <c r="DM312" s="91" t="str">
        <f t="shared" si="27"/>
      </c>
      <c r="DN312" s="91" t="str">
        <f t="shared" si="27"/>
      </c>
      <c r="DO312" s="91" t="str">
        <f t="shared" si="27"/>
      </c>
      <c r="DP312" s="91" t="str">
        <f t="shared" si="27"/>
      </c>
      <c r="DQ312" s="91" t="str">
        <f t="shared" si="27"/>
      </c>
      <c r="DR312" s="91" t="str">
        <f t="shared" si="27"/>
      </c>
      <c r="DS312" s="91" t="str">
        <f t="shared" si="27"/>
      </c>
      <c r="DT312" s="91" t="str">
        <f t="shared" si="27"/>
      </c>
      <c r="DU312" s="91" t="str">
        <f t="shared" si="27"/>
      </c>
      <c r="DV312" s="91" t="str">
        <f t="shared" si="27"/>
      </c>
      <c r="DW312" s="91" t="str">
        <f t="shared" si="27"/>
      </c>
      <c r="DX312" s="91" t="str">
        <f t="shared" si="27"/>
      </c>
      <c r="DY312" s="91" t="str">
        <f t="shared" si="27"/>
      </c>
      <c r="DZ312" s="91" t="str">
        <f t="shared" si="27"/>
      </c>
      <c r="EA312" s="91" t="str">
        <f t="shared" si="27"/>
      </c>
      <c r="EB312" s="91" t="str">
        <f t="shared" si="27"/>
      </c>
      <c r="EC312" s="91" t="str">
        <f t="shared" si="27"/>
      </c>
      <c r="ED312" s="91" t="str">
        <f t="shared" si="27"/>
      </c>
      <c r="EE312" s="91" t="str">
        <f t="shared" si="27"/>
      </c>
      <c r="EF312" s="91" t="str">
        <f t="shared" si="27"/>
      </c>
      <c r="EG312" s="91" t="str">
        <f t="shared" si="27"/>
      </c>
      <c r="EH312" s="91" t="str">
        <f t="shared" si="27"/>
      </c>
      <c r="EI312" s="91" t="str">
        <f t="shared" si="27"/>
      </c>
      <c r="EJ312" s="91" t="str">
        <f t="shared" si="27"/>
      </c>
      <c r="EK312" s="91" t="str">
        <f t="shared" si="27"/>
      </c>
      <c r="EL312" s="91" t="str">
        <f t="shared" si="27"/>
      </c>
      <c r="EM312" s="91" t="str">
        <f t="shared" si="27"/>
      </c>
      <c r="EN312" s="91" t="str">
        <f t="shared" si="27"/>
      </c>
      <c r="EO312" s="91" t="str">
        <f t="shared" si="27"/>
      </c>
      <c r="EP312" s="91" t="str">
        <f t="shared" si="27"/>
      </c>
      <c r="EQ312" s="91" t="str">
        <f t="shared" si="27"/>
      </c>
      <c r="ER312" s="91" t="str">
        <f t="shared" si="27"/>
      </c>
      <c r="ES312" s="91" t="str">
        <f t="shared" si="27"/>
      </c>
      <c r="ET312" s="91" t="str">
        <f t="shared" si="27"/>
      </c>
      <c r="EU312" s="91" t="str">
        <f t="shared" si="27"/>
      </c>
      <c r="EV312" s="91" t="str">
        <f t="shared" si="27"/>
      </c>
      <c r="EW312" s="91" t="str">
        <f t="shared" si="27"/>
      </c>
      <c r="EX312" s="91" t="str">
        <f t="shared" si="27"/>
      </c>
      <c r="EY312" s="91" t="str">
        <f t="shared" si="27"/>
      </c>
      <c r="EZ312" s="91" t="str">
        <f t="shared" si="27"/>
      </c>
      <c r="FA312" s="91" t="str">
        <f ref="FA312:HL312" t="shared" si="28">IF(SUM(FA293:FA311)&lt;&gt;0,SUM(FA293:FA311),"")</f>
      </c>
      <c r="FB312" s="91" t="str">
        <f t="shared" si="28"/>
      </c>
      <c r="FC312" s="91" t="str">
        <f t="shared" si="28"/>
      </c>
      <c r="FD312" s="91" t="str">
        <f t="shared" si="28"/>
      </c>
      <c r="FE312" s="91" t="str">
        <f t="shared" si="28"/>
      </c>
      <c r="FF312" s="91" t="str">
        <f t="shared" si="28"/>
      </c>
      <c r="FG312" s="91" t="str">
        <f t="shared" si="28"/>
      </c>
      <c r="FH312" s="91" t="str">
        <f t="shared" si="28"/>
      </c>
      <c r="FI312" s="91" t="str">
        <f t="shared" si="28"/>
      </c>
      <c r="FJ312" s="91" t="str">
        <f t="shared" si="28"/>
      </c>
      <c r="FK312" s="91" t="str">
        <f t="shared" si="28"/>
      </c>
      <c r="FL312" s="91" t="str">
        <f t="shared" si="28"/>
      </c>
      <c r="FM312" s="91" t="str">
        <f t="shared" si="28"/>
      </c>
      <c r="FN312" s="91" t="str">
        <f t="shared" si="28"/>
      </c>
      <c r="FO312" s="91" t="str">
        <f t="shared" si="28"/>
      </c>
      <c r="FP312" s="91" t="str">
        <f t="shared" si="28"/>
      </c>
      <c r="FQ312" s="91" t="str">
        <f t="shared" si="28"/>
      </c>
      <c r="FR312" s="91" t="str">
        <f t="shared" si="28"/>
      </c>
      <c r="FS312" s="91" t="str">
        <f t="shared" si="28"/>
      </c>
      <c r="FT312" s="91" t="str">
        <f t="shared" si="28"/>
      </c>
      <c r="FU312" s="91" t="str">
        <f t="shared" si="28"/>
      </c>
      <c r="FV312" s="91" t="str">
        <f t="shared" si="28"/>
      </c>
      <c r="FW312" s="91" t="str">
        <f t="shared" si="28"/>
      </c>
      <c r="FX312" s="91" t="str">
        <f t="shared" si="28"/>
      </c>
      <c r="FY312" s="91" t="str">
        <f t="shared" si="28"/>
      </c>
      <c r="FZ312" s="91" t="str">
        <f t="shared" si="28"/>
      </c>
      <c r="GA312" s="91" t="str">
        <f t="shared" si="28"/>
      </c>
      <c r="GB312" s="91" t="str">
        <f t="shared" si="28"/>
      </c>
      <c r="GC312" s="91" t="str">
        <f t="shared" si="28"/>
      </c>
      <c r="GD312" s="91" t="str">
        <f t="shared" si="28"/>
      </c>
      <c r="GE312" s="91" t="str">
        <f t="shared" si="28"/>
      </c>
      <c r="GF312" s="91" t="str">
        <f t="shared" si="28"/>
      </c>
      <c r="GG312" s="91" t="str">
        <f t="shared" si="28"/>
      </c>
      <c r="GH312" s="91" t="str">
        <f t="shared" si="28"/>
      </c>
      <c r="GI312" s="91" t="str">
        <f t="shared" si="28"/>
      </c>
      <c r="GJ312" s="91" t="str">
        <f t="shared" si="28"/>
      </c>
      <c r="GK312" s="91" t="str">
        <f t="shared" si="28"/>
      </c>
      <c r="GL312" s="91" t="str">
        <f t="shared" si="28"/>
      </c>
      <c r="GM312" s="91" t="str">
        <f t="shared" si="28"/>
      </c>
      <c r="GN312" s="91" t="str">
        <f t="shared" si="28"/>
      </c>
      <c r="GO312" s="91" t="str">
        <f t="shared" si="28"/>
      </c>
      <c r="GP312" s="91" t="str">
        <f t="shared" si="28"/>
      </c>
      <c r="GQ312" s="91" t="str">
        <f t="shared" si="28"/>
      </c>
      <c r="GR312" s="91" t="str">
        <f t="shared" si="28"/>
      </c>
      <c r="GS312" s="91" t="str">
        <f t="shared" si="28"/>
      </c>
      <c r="GT312" s="91" t="str">
        <f t="shared" si="28"/>
      </c>
      <c r="GU312" s="91" t="str">
        <f t="shared" si="28"/>
      </c>
      <c r="GV312" s="91" t="str">
        <f t="shared" si="28"/>
      </c>
      <c r="GW312" s="91" t="str">
        <f t="shared" si="28"/>
      </c>
      <c r="GX312" s="91" t="str">
        <f t="shared" si="28"/>
      </c>
      <c r="GY312" s="91" t="str">
        <f t="shared" si="28"/>
      </c>
      <c r="GZ312" s="91" t="str">
        <f t="shared" si="28"/>
      </c>
      <c r="HA312" s="91" t="str">
        <f t="shared" si="28"/>
      </c>
      <c r="HB312" s="91" t="str">
        <f t="shared" si="28"/>
      </c>
      <c r="HC312" s="91" t="str">
        <f t="shared" si="28"/>
      </c>
      <c r="HD312" s="91" t="str">
        <f t="shared" si="28"/>
      </c>
      <c r="HE312" s="91" t="str">
        <f t="shared" si="28"/>
      </c>
      <c r="HF312" s="91" t="str">
        <f t="shared" si="28"/>
      </c>
      <c r="HG312" s="91" t="str">
        <f t="shared" si="28"/>
      </c>
      <c r="HH312" s="91" t="str">
        <f t="shared" si="28"/>
      </c>
      <c r="HI312" s="91" t="str">
        <f t="shared" si="28"/>
      </c>
      <c r="HJ312" s="91" t="str">
        <f t="shared" si="28"/>
      </c>
      <c r="HK312" s="91" t="str">
        <f t="shared" si="28"/>
      </c>
      <c r="HL312" s="91" t="str">
        <f t="shared" si="28"/>
      </c>
      <c r="HM312" s="91" t="str">
        <f ref="HM312:IV312" t="shared" si="29">IF(SUM(HM293:HM311)&lt;&gt;0,SUM(HM293:HM311),"")</f>
      </c>
      <c r="HN312" s="91" t="str">
        <f t="shared" si="29"/>
      </c>
      <c r="HO312" s="91" t="str">
        <f t="shared" si="29"/>
      </c>
      <c r="HP312" s="91" t="str">
        <f t="shared" si="29"/>
      </c>
      <c r="HQ312" s="91" t="str">
        <f t="shared" si="29"/>
      </c>
      <c r="HR312" s="91" t="str">
        <f t="shared" si="29"/>
      </c>
      <c r="HS312" s="91" t="str">
        <f t="shared" si="29"/>
      </c>
      <c r="HT312" s="91" t="str">
        <f t="shared" si="29"/>
      </c>
      <c r="HU312" s="91" t="str">
        <f t="shared" si="29"/>
      </c>
      <c r="HV312" s="91" t="str">
        <f t="shared" si="29"/>
      </c>
      <c r="HW312" s="91" t="str">
        <f t="shared" si="29"/>
      </c>
      <c r="HX312" s="91" t="str">
        <f t="shared" si="29"/>
      </c>
      <c r="HY312" s="91" t="str">
        <f t="shared" si="29"/>
      </c>
      <c r="HZ312" s="91" t="str">
        <f t="shared" si="29"/>
      </c>
      <c r="IA312" s="91" t="str">
        <f t="shared" si="29"/>
      </c>
      <c r="IB312" s="91" t="str">
        <f t="shared" si="29"/>
      </c>
      <c r="IC312" s="91" t="str">
        <f t="shared" si="29"/>
      </c>
      <c r="ID312" s="91" t="str">
        <f t="shared" si="29"/>
      </c>
      <c r="IE312" s="91" t="str">
        <f t="shared" si="29"/>
      </c>
      <c r="IF312" s="91" t="str">
        <f t="shared" si="29"/>
      </c>
      <c r="IG312" s="91" t="str">
        <f t="shared" si="29"/>
      </c>
      <c r="IH312" s="91" t="str">
        <f t="shared" si="29"/>
      </c>
      <c r="II312" s="91" t="str">
        <f t="shared" si="29"/>
      </c>
      <c r="IJ312" s="91" t="str">
        <f t="shared" si="29"/>
      </c>
      <c r="IK312" s="91" t="str">
        <f t="shared" si="29"/>
      </c>
      <c r="IL312" s="91" t="str">
        <f t="shared" si="29"/>
      </c>
      <c r="IM312" s="91" t="str">
        <f t="shared" si="29"/>
      </c>
      <c r="IN312" s="91" t="str">
        <f t="shared" si="29"/>
      </c>
      <c r="IO312" s="91" t="str">
        <f t="shared" si="29"/>
      </c>
      <c r="IP312" s="91" t="str">
        <f t="shared" si="29"/>
      </c>
      <c r="IQ312" s="91" t="str">
        <f t="shared" si="29"/>
      </c>
      <c r="IR312" s="91" t="str">
        <f t="shared" si="29"/>
      </c>
      <c r="IS312" s="91" t="str">
        <f t="shared" si="29"/>
      </c>
      <c r="IT312" s="91" t="str">
        <f t="shared" si="29"/>
      </c>
      <c r="IU312" s="91" t="str">
        <f t="shared" si="29"/>
      </c>
      <c r="IV312" s="91" t="str">
        <f t="shared" si="29"/>
      </c>
    </row>
    <row r="313" hidden="1" ht="13.5">
      <c r="C313" s="218"/>
      <c r="D313" s="218"/>
      <c r="E313" s="218"/>
      <c r="F313" s="218"/>
      <c r="G313" s="218"/>
      <c r="H313" s="218"/>
      <c r="I313" s="218"/>
      <c r="J313" s="218"/>
      <c r="K313" s="218"/>
      <c r="L313" s="217"/>
      <c r="N313" s="217"/>
      <c r="O313" s="217"/>
    </row>
    <row r="314" hidden="1" ht="13.5">
      <c r="A314" s="138"/>
      <c r="B314" s="244"/>
      <c r="C314" s="645" t="s">
        <v>7</v>
      </c>
      <c r="D314" s="646"/>
      <c r="E314" s="646"/>
      <c r="F314" s="646"/>
      <c r="G314" s="646"/>
      <c r="H314" s="646"/>
      <c r="I314" s="646"/>
      <c r="J314" s="646"/>
      <c r="K314" s="646"/>
      <c r="L314" s="646"/>
      <c r="M314" s="646"/>
      <c r="N314" s="646"/>
      <c r="O314" s="646"/>
      <c r="P314" s="646"/>
      <c r="Q314" s="646"/>
      <c r="R314" s="646"/>
      <c r="S314" s="646"/>
      <c r="T314" s="646"/>
      <c r="U314" s="646"/>
      <c r="V314" s="646"/>
      <c r="W314" s="646"/>
      <c r="X314" s="646"/>
      <c r="Y314" s="646"/>
      <c r="Z314" s="646"/>
      <c r="AA314" s="646"/>
      <c r="AB314" s="647"/>
    </row>
    <row r="315" hidden="1" ht="13.5" s="50" customFormat="1">
      <c r="A315" s="138"/>
      <c r="B315" s="51"/>
      <c r="C315" s="435" t="str">
        <f> IF(C335&lt;&gt;"",TEXT(AUX!G$1,"dd-MMM-aa"),"")</f>
      </c>
      <c r="D315" s="435" t="str">
        <f> IF(D335&lt;&gt;"",TEXT(AUX!H$1,"dd-MMM-aa"),"")</f>
      </c>
      <c r="E315" s="435" t="str">
        <f> IF(E335&lt;&gt;"",TEXT(AUX!I$1,"dd-MMM-aa"),"")</f>
      </c>
      <c r="F315" s="435" t="str">
        <f> IF(F335&lt;&gt;"",TEXT(AUX!J$1,"dd-MMM-aa"),"")</f>
      </c>
      <c r="G315" s="435" t="str">
        <f> IF(G335&lt;&gt;"",TEXT(AUX!K$1,"dd-MMM-aa"),"")</f>
      </c>
      <c r="H315" s="435" t="str">
        <f> IF(H335&lt;&gt;"",TEXT(AUX!L$1,"dd-MMM-aa"),"")</f>
      </c>
      <c r="I315" s="435" t="str">
        <f> IF(I335&lt;&gt;"",TEXT(AUX!M$1,"dd-MMM-aa"),"")</f>
      </c>
      <c r="J315" s="435" t="str">
        <f> IF(J335&lt;&gt;"",TEXT(AUX!N$1,"dd-MMM-aa"),"")</f>
      </c>
      <c r="K315" s="435" t="str">
        <f> IF(K335&lt;&gt;"",TEXT(AUX!O$1,"dd-MMM-aa"),"")</f>
      </c>
      <c r="L315" s="435" t="str">
        <f> IF(L335&lt;&gt;"",TEXT(AUX!P$1,"dd-MMM-aa"),"")</f>
      </c>
      <c r="M315" s="435" t="str">
        <f> IF(M335&lt;&gt;"",TEXT(AUX!Q$1,"dd-MMM-aa"),"")</f>
      </c>
      <c r="N315" s="435" t="str">
        <f> IF(N335&lt;&gt;"",TEXT(AUX!R$1,"dd-MMM-aa"),"")</f>
      </c>
      <c r="O315" s="435" t="str">
        <f> IF(O335&lt;&gt;"",TEXT(AUX!S$1,"dd-MMM-aa"),"")</f>
      </c>
      <c r="P315" s="435" t="str">
        <f> IF(P335&lt;&gt;"",TEXT(AUX!T$1,"dd-MMM-aa"),"")</f>
      </c>
      <c r="Q315" s="435" t="str">
        <f> IF(Q335&lt;&gt;"",TEXT(AUX!U$1,"dd-MMM-aa"),"")</f>
      </c>
      <c r="R315" s="435" t="str">
        <f> IF(R335&lt;&gt;"",TEXT(AUX!V$1,"dd-MMM-aa"),"")</f>
      </c>
      <c r="S315" s="435" t="str">
        <f> IF(S335&lt;&gt;"",TEXT(AUX!W$1,"dd-MMM-aa"),"")</f>
      </c>
      <c r="T315" s="435" t="str">
        <f> IF(T335&lt;&gt;"",TEXT(AUX!X$1,"dd-MMM-aa"),"")</f>
      </c>
      <c r="U315" s="435" t="str">
        <f> IF(U335&lt;&gt;"",TEXT(AUX!Y$1,"dd-MMM-aa"),"")</f>
      </c>
      <c r="V315" s="435" t="str">
        <f> IF(V335&lt;&gt;"",TEXT(AUX!Z$1,"dd-MMM-aa"),"")</f>
      </c>
      <c r="W315" s="435" t="str">
        <f> IF(W335&lt;&gt;"",TEXT(AUX!AA$1,"dd-MMM-aa"),"")</f>
      </c>
      <c r="X315" s="435" t="str">
        <f> IF(X335&lt;&gt;"",TEXT(AUX!AB$1,"dd-MMM-aa"),"")</f>
      </c>
      <c r="Y315" s="435" t="str">
        <f> IF(Y335&lt;&gt;"",TEXT(AUX!AC$1,"dd-MMM-aa"),"")</f>
      </c>
      <c r="Z315" s="435" t="str">
        <f> IF(Z335&lt;&gt;"",TEXT(AUX!AD$1,"dd-MMM-aa"),"")</f>
      </c>
      <c r="AA315" s="435" t="str">
        <f> IF(AA335&lt;&gt;"",TEXT(AUX!AE$1,"dd-MMM-aa"),"")</f>
      </c>
      <c r="AB315" s="497" t="str">
        <f> IF(AB335&lt;&gt;"",TEXT(AUX!AF$1,"dd-MMM-aa"),"")</f>
      </c>
      <c r="AC315" s="496" t="str">
        <f> IF(AC335&lt;&gt;"",TEXT(AUX!AG$1,"dd-MMM-aa"),"")</f>
      </c>
      <c r="AD315" s="496" t="str">
        <f> IF(AD335&lt;&gt;"",TEXT(AUX!AH$1,"dd-MMM-aa"),"")</f>
      </c>
      <c r="AE315" s="496" t="str">
        <f> IF(AE335&lt;&gt;"",TEXT(AUX!AI$1,"dd-MMM-aa"),"")</f>
      </c>
      <c r="AF315" s="496" t="str">
        <f> IF(AF335&lt;&gt;"",TEXT(AUX!AJ$1,"dd-MMM-aa"),"")</f>
      </c>
      <c r="AG315" s="496" t="str">
        <f> IF(AG335&lt;&gt;"",TEXT(AUX!AK$1,"dd-MMM-aa"),"")</f>
      </c>
      <c r="AH315" s="496" t="str">
        <f> IF(AH335&lt;&gt;"",TEXT(AUX!AL$1,"dd-MMM-aa"),"")</f>
      </c>
      <c r="AI315" s="496" t="str">
        <f> IF(AI335&lt;&gt;"",TEXT(AUX!AM$1,"dd-MMM-aa"),"")</f>
      </c>
      <c r="AJ315" s="496" t="str">
        <f> IF(AJ335&lt;&gt;"",TEXT(AUX!AN$1,"dd-MMM-aa"),"")</f>
      </c>
      <c r="AK315" s="496" t="str">
        <f> IF(AK335&lt;&gt;"",TEXT(AUX!AO$1,"dd-MMM-aa"),"")</f>
      </c>
      <c r="AL315" s="496" t="str">
        <f> IF(AL335&lt;&gt;"",TEXT(AUX!AP$1,"dd-MMM-aa"),"")</f>
      </c>
      <c r="AM315" s="496" t="str">
        <f> IF(AM335&lt;&gt;"",TEXT(AUX!AQ$1,"dd-MMM-aa"),"")</f>
      </c>
      <c r="AN315" s="496" t="str">
        <f> IF(AN335&lt;&gt;"",TEXT(AUX!AR$1,"dd-MMM-aa"),"")</f>
      </c>
      <c r="AO315" s="496" t="str">
        <f> IF(AO335&lt;&gt;"",TEXT(AUX!AS$1,"dd-MMM-aa"),"")</f>
      </c>
      <c r="AP315" s="496" t="str">
        <f> IF(AP335&lt;&gt;"",TEXT(AUX!AT$1,"dd-MMM-aa"),"")</f>
      </c>
      <c r="AQ315" s="496" t="str">
        <f> IF(AQ335&lt;&gt;"",TEXT(AUX!AU$1,"dd-MMM-aa"),"")</f>
      </c>
      <c r="AR315" s="496" t="str">
        <f> IF(AR335&lt;&gt;"",TEXT(AUX!AV$1,"dd-MMM-aa"),"")</f>
      </c>
      <c r="AS315" s="496" t="str">
        <f> IF(AS335&lt;&gt;"",TEXT(AUX!AW$1,"dd-MMM-aa"),"")</f>
      </c>
      <c r="AT315" s="496" t="str">
        <f> IF(AT335&lt;&gt;"",TEXT(AUX!AX$1,"dd-MMM-aa"),"")</f>
      </c>
      <c r="AU315" s="496" t="str">
        <f> IF(AU335&lt;&gt;"",TEXT(AUX!AY$1,"dd-MMM-aa"),"")</f>
      </c>
      <c r="AV315" s="496" t="str">
        <f> IF(AV335&lt;&gt;"",TEXT(AUX!AZ$1,"dd-MMM-aa"),"")</f>
      </c>
      <c r="AW315" s="496" t="str">
        <f> IF(AW335&lt;&gt;"",TEXT(AUX!BA$1,"dd-MMM-aa"),"")</f>
      </c>
      <c r="AX315" s="496" t="str">
        <f> IF(AX335&lt;&gt;"",TEXT(AUX!BB$1,"dd-MMM-aa"),"")</f>
      </c>
      <c r="AY315" s="496" t="str">
        <f> IF(AY335&lt;&gt;"",TEXT(AUX!BC$1,"dd-MMM-aa"),"")</f>
      </c>
      <c r="AZ315" s="496" t="str">
        <f> IF(AZ335&lt;&gt;"",TEXT(AUX!BD$1,"dd-MMM-aa"),"")</f>
      </c>
      <c r="BA315" s="496" t="str">
        <f> IF(BA335&lt;&gt;"",TEXT(AUX!BE$1,"dd-MMM-aa"),"")</f>
      </c>
      <c r="BB315" s="496" t="str">
        <f> IF(BB335&lt;&gt;"",TEXT(AUX!BF$1,"dd-MMM-aa"),"")</f>
      </c>
      <c r="BC315" s="496" t="str">
        <f> IF(BC335&lt;&gt;"",TEXT(AUX!BG$1,"dd-MMM-aa"),"")</f>
      </c>
      <c r="BD315" s="496" t="str">
        <f> IF(BD335&lt;&gt;"",TEXT(AUX!BH$1,"dd-MMM-aa"),"")</f>
      </c>
      <c r="BE315" s="496" t="str">
        <f> IF(BE335&lt;&gt;"",TEXT(AUX!BI$1,"dd-MMM-aa"),"")</f>
      </c>
      <c r="BF315" s="496" t="str">
        <f> IF(BF335&lt;&gt;"",TEXT(AUX!BJ$1,"dd-MMM-aa"),"")</f>
      </c>
      <c r="BG315" s="496" t="str">
        <f> IF(BG335&lt;&gt;"",TEXT(AUX!BK$1,"dd-MMM-aa"),"")</f>
      </c>
      <c r="BH315" s="496" t="str">
        <f> IF(BH335&lt;&gt;"",TEXT(AUX!BL$1,"dd-MMM-aa"),"")</f>
      </c>
      <c r="BI315" s="496" t="str">
        <f> IF(BI335&lt;&gt;"",TEXT(AUX!BM$1,"dd-MMM-aa"),"")</f>
      </c>
      <c r="BJ315" s="496" t="str">
        <f> IF(BJ335&lt;&gt;"",TEXT(AUX!BN$1,"dd-MMM-aa"),"")</f>
      </c>
      <c r="BK315" s="496" t="str">
        <f> IF(BK335&lt;&gt;"",TEXT(AUX!BO$1,"dd-MMM-aa"),"")</f>
      </c>
      <c r="BL315" s="496" t="str">
        <f> IF(BL335&lt;&gt;"",TEXT(AUX!BP$1,"dd-MMM-aa"),"")</f>
      </c>
      <c r="BM315" s="496" t="str">
        <f> IF(BM335&lt;&gt;"",TEXT(AUX!BQ$1,"dd-MMM-aa"),"")</f>
      </c>
      <c r="BN315" s="496" t="str">
        <f> IF(BN335&lt;&gt;"",TEXT(AUX!BR$1,"dd-MMM-aa"),"")</f>
      </c>
      <c r="BO315" s="496" t="str">
        <f> IF(BO335&lt;&gt;"",TEXT(AUX!BS$1,"dd-MMM-aa"),"")</f>
      </c>
      <c r="BP315" s="496" t="str">
        <f> IF(BP335&lt;&gt;"",TEXT(AUX!BT$1,"dd-MMM-aa"),"")</f>
      </c>
      <c r="BQ315" s="496" t="str">
        <f> IF(BQ335&lt;&gt;"",TEXT(AUX!BU$1,"dd-MMM-aa"),"")</f>
      </c>
      <c r="BR315" s="496" t="str">
        <f> IF(BR335&lt;&gt;"",TEXT(AUX!BV$1,"dd-MMM-aa"),"")</f>
      </c>
      <c r="BS315" s="496" t="str">
        <f> IF(BS335&lt;&gt;"",TEXT(AUX!BW$1,"dd-MMM-aa"),"")</f>
      </c>
      <c r="BT315" s="496" t="str">
        <f> IF(BT335&lt;&gt;"",TEXT(AUX!BX$1,"dd-MMM-aa"),"")</f>
      </c>
      <c r="BU315" s="496" t="str">
        <f> IF(BU335&lt;&gt;"",TEXT(AUX!BY$1,"dd-MMM-aa"),"")</f>
      </c>
      <c r="BV315" s="496" t="str">
        <f> IF(BV335&lt;&gt;"",TEXT(AUX!BZ$1,"dd-MMM-aa"),"")</f>
      </c>
      <c r="BW315" s="496" t="str">
        <f> IF(BW335&lt;&gt;"",TEXT(AUX!CA$1,"dd-MMM-aa"),"")</f>
      </c>
      <c r="BX315" s="496" t="str">
        <f> IF(BX335&lt;&gt;"",TEXT(AUX!CB$1,"dd-MMM-aa"),"")</f>
      </c>
      <c r="BY315" s="496" t="str">
        <f> IF(BY335&lt;&gt;"",TEXT(AUX!CC$1,"dd-MMM-aa"),"")</f>
      </c>
      <c r="BZ315" s="496" t="str">
        <f> IF(BZ335&lt;&gt;"",TEXT(AUX!CD$1,"dd-MMM-aa"),"")</f>
      </c>
      <c r="CA315" s="496" t="str">
        <f> IF(CA335&lt;&gt;"",TEXT(AUX!CE$1,"dd-MMM-aa"),"")</f>
      </c>
      <c r="CB315" s="496" t="str">
        <f> IF(CB335&lt;&gt;"",TEXT(AUX!CF$1,"dd-MMM-aa"),"")</f>
      </c>
      <c r="CC315" s="496" t="str">
        <f> IF(CC335&lt;&gt;"",TEXT(AUX!CG$1,"dd-MMM-aa"),"")</f>
      </c>
      <c r="CD315" s="496" t="str">
        <f> IF(CD335&lt;&gt;"",TEXT(AUX!CH$1,"dd-MMM-aa"),"")</f>
      </c>
      <c r="CE315" s="496" t="str">
        <f> IF(CE335&lt;&gt;"",TEXT(AUX!CI$1,"dd-MMM-aa"),"")</f>
      </c>
      <c r="CF315" s="496" t="str">
        <f> IF(CF335&lt;&gt;"",TEXT(AUX!CJ$1,"dd-MMM-aa"),"")</f>
      </c>
      <c r="CG315" s="496" t="str">
        <f> IF(CG335&lt;&gt;"",TEXT(AUX!CK$1,"dd-MMM-aa"),"")</f>
      </c>
      <c r="CH315" s="496" t="str">
        <f> IF(CH335&lt;&gt;"",TEXT(AUX!CL$1,"dd-MMM-aa"),"")</f>
      </c>
      <c r="CI315" s="496" t="str">
        <f> IF(CI335&lt;&gt;"",TEXT(AUX!CM$1,"dd-MMM-aa"),"")</f>
      </c>
      <c r="CJ315" s="496" t="str">
        <f> IF(CJ335&lt;&gt;"",TEXT(AUX!CN$1,"dd-MMM-aa"),"")</f>
      </c>
      <c r="CK315" s="496" t="str">
        <f> IF(CK335&lt;&gt;"",TEXT(AUX!CO$1,"dd-MMM-aa"),"")</f>
      </c>
      <c r="CL315" s="496" t="str">
        <f> IF(CL335&lt;&gt;"",TEXT(AUX!CP$1,"dd-MMM-aa"),"")</f>
      </c>
      <c r="CM315" s="496" t="str">
        <f> IF(CM335&lt;&gt;"",TEXT(AUX!CQ$1,"dd-MMM-aa"),"")</f>
      </c>
      <c r="CN315" s="496" t="str">
        <f> IF(CN335&lt;&gt;"",TEXT(AUX!CR$1,"dd-MMM-aa"),"")</f>
      </c>
      <c r="CO315" s="496" t="str">
        <f> IF(CO335&lt;&gt;"",TEXT(AUX!CS$1,"dd-MMM-aa"),"")</f>
      </c>
      <c r="CP315" s="496" t="str">
        <f> IF(CP335&lt;&gt;"",TEXT(AUX!CT$1,"dd-MMM-aa"),"")</f>
      </c>
      <c r="CQ315" s="496" t="str">
        <f> IF(CQ335&lt;&gt;"",TEXT(AUX!CU$1,"dd-MMM-aa"),"")</f>
      </c>
      <c r="CR315" s="496" t="str">
        <f> IF(CR335&lt;&gt;"",TEXT(AUX!CV$1,"dd-MMM-aa"),"")</f>
      </c>
      <c r="CS315" s="496" t="str">
        <f> IF(CS335&lt;&gt;"",TEXT(AUX!CW$1,"dd-MMM-aa"),"")</f>
      </c>
      <c r="CT315" s="496" t="str">
        <f> IF(CT335&lt;&gt;"",TEXT(AUX!CX$1,"dd-MMM-aa"),"")</f>
      </c>
      <c r="CU315" s="496" t="str">
        <f> IF(CU335&lt;&gt;"",TEXT(AUX!CY$1,"dd-MMM-aa"),"")</f>
      </c>
      <c r="CV315" s="496" t="str">
        <f> IF(CV335&lt;&gt;"",TEXT(AUX!CZ$1,"dd-MMM-aa"),"")</f>
      </c>
      <c r="CW315" s="496" t="str">
        <f> IF(CW335&lt;&gt;"",TEXT(AUX!DA$1,"dd-MMM-aa"),"")</f>
      </c>
      <c r="CX315" s="496" t="str">
        <f> IF(CX335&lt;&gt;"",TEXT(AUX!DB$1,"dd-MMM-aa"),"")</f>
      </c>
      <c r="CY315" s="496" t="str">
        <f> IF(CY335&lt;&gt;"",TEXT(AUX!DC$1,"dd-MMM-aa"),"")</f>
      </c>
      <c r="CZ315" s="496" t="str">
        <f> IF(CZ335&lt;&gt;"",TEXT(AUX!DD$1,"dd-MMM-aa"),"")</f>
      </c>
      <c r="DA315" s="496" t="str">
        <f> IF(DA335&lt;&gt;"",TEXT(AUX!DE$1,"dd-MMM-aa"),"")</f>
      </c>
      <c r="DB315" s="496" t="str">
        <f> IF(DB335&lt;&gt;"",TEXT(AUX!DF$1,"dd-MMM-aa"),"")</f>
      </c>
      <c r="DC315" s="496" t="str">
        <f> IF(DC335&lt;&gt;"",TEXT(AUX!DG$1,"dd-MMM-aa"),"")</f>
      </c>
      <c r="DD315" s="496" t="str">
        <f> IF(DD335&lt;&gt;"",TEXT(AUX!DH$1,"dd-MMM-aa"),"")</f>
      </c>
      <c r="DE315" s="496" t="str">
        <f> IF(DE335&lt;&gt;"",TEXT(AUX!DI$1,"dd-MMM-aa"),"")</f>
      </c>
      <c r="DF315" s="496" t="str">
        <f> IF(DF335&lt;&gt;"",TEXT(AUX!DJ$1,"dd-MMM-aa"),"")</f>
      </c>
      <c r="DG315" s="496" t="str">
        <f> IF(DG335&lt;&gt;"",TEXT(AUX!DK$1,"dd-MMM-aa"),"")</f>
      </c>
      <c r="DH315" s="496" t="str">
        <f> IF(DH335&lt;&gt;"",TEXT(AUX!DL$1,"dd-MMM-aa"),"")</f>
      </c>
      <c r="DI315" s="496" t="str">
        <f> IF(DI335&lt;&gt;"",TEXT(AUX!DM$1,"dd-MMM-aa"),"")</f>
      </c>
      <c r="DJ315" s="496" t="str">
        <f> IF(DJ335&lt;&gt;"",TEXT(AUX!DN$1,"dd-MMM-aa"),"")</f>
      </c>
      <c r="DK315" s="496" t="str">
        <f> IF(DK335&lt;&gt;"",TEXT(AUX!DO$1,"dd-MMM-aa"),"")</f>
      </c>
      <c r="DL315" s="496" t="str">
        <f> IF(DL335&lt;&gt;"",TEXT(AUX!DP$1,"dd-MMM-aa"),"")</f>
      </c>
      <c r="DM315" s="496" t="str">
        <f> IF(DM335&lt;&gt;"",TEXT(AUX!DQ$1,"dd-MMM-aa"),"")</f>
      </c>
      <c r="DN315" s="496" t="str">
        <f> IF(DN335&lt;&gt;"",TEXT(AUX!DR$1,"dd-MMM-aa"),"")</f>
      </c>
      <c r="DO315" s="496" t="str">
        <f> IF(DO335&lt;&gt;"",TEXT(AUX!DS$1,"dd-MMM-aa"),"")</f>
      </c>
      <c r="DP315" s="496" t="str">
        <f> IF(DP335&lt;&gt;"",TEXT(AUX!DT$1,"dd-MMM-aa"),"")</f>
      </c>
      <c r="DQ315" s="496" t="str">
        <f> IF(DQ335&lt;&gt;"",TEXT(AUX!DU$1,"dd-MMM-aa"),"")</f>
      </c>
      <c r="DR315" s="496" t="str">
        <f> IF(DR335&lt;&gt;"",TEXT(AUX!DV$1,"dd-MMM-aa"),"")</f>
      </c>
      <c r="DS315" s="496" t="str">
        <f> IF(DS335&lt;&gt;"",TEXT(AUX!DW$1,"dd-MMM-aa"),"")</f>
      </c>
      <c r="DT315" s="496" t="str">
        <f> IF(DT335&lt;&gt;"",TEXT(AUX!DX$1,"dd-MMM-aa"),"")</f>
      </c>
      <c r="DU315" s="496" t="str">
        <f> IF(DU335&lt;&gt;"",TEXT(AUX!DY$1,"dd-MMM-aa"),"")</f>
      </c>
      <c r="DV315" s="496" t="str">
        <f> IF(DV335&lt;&gt;"",TEXT(AUX!DZ$1,"dd-MMM-aa"),"")</f>
      </c>
      <c r="DW315" s="496" t="str">
        <f> IF(DW335&lt;&gt;"",TEXT(AUX!EA$1,"dd-MMM-aa"),"")</f>
      </c>
      <c r="DX315" s="496" t="str">
        <f> IF(DX335&lt;&gt;"",TEXT(AUX!EB$1,"dd-MMM-aa"),"")</f>
      </c>
      <c r="DY315" s="496" t="str">
        <f> IF(DY335&lt;&gt;"",TEXT(AUX!EC$1,"dd-MMM-aa"),"")</f>
      </c>
      <c r="DZ315" s="496" t="str">
        <f> IF(DZ335&lt;&gt;"",TEXT(AUX!ED$1,"dd-MMM-aa"),"")</f>
      </c>
      <c r="EA315" s="496" t="str">
        <f> IF(EA335&lt;&gt;"",TEXT(AUX!EE$1,"dd-MMM-aa"),"")</f>
      </c>
      <c r="EB315" s="496" t="str">
        <f> IF(EB335&lt;&gt;"",TEXT(AUX!EF$1,"dd-MMM-aa"),"")</f>
      </c>
      <c r="EC315" s="496" t="str">
        <f> IF(EC335&lt;&gt;"",TEXT(AUX!EG$1,"dd-MMM-aa"),"")</f>
      </c>
      <c r="ED315" s="496" t="str">
        <f> IF(ED335&lt;&gt;"",TEXT(AUX!EH$1,"dd-MMM-aa"),"")</f>
      </c>
      <c r="EE315" s="496" t="str">
        <f> IF(EE335&lt;&gt;"",TEXT(AUX!EI$1,"dd-MMM-aa"),"")</f>
      </c>
      <c r="EF315" s="496" t="str">
        <f> IF(EF335&lt;&gt;"",TEXT(AUX!EJ$1,"dd-MMM-aa"),"")</f>
      </c>
      <c r="EG315" s="496" t="str">
        <f> IF(EG335&lt;&gt;"",TEXT(AUX!EK$1,"dd-MMM-aa"),"")</f>
      </c>
      <c r="EH315" s="496" t="str">
        <f> IF(EH335&lt;&gt;"",TEXT(AUX!EL$1,"dd-MMM-aa"),"")</f>
      </c>
      <c r="EI315" s="496" t="str">
        <f> IF(EI335&lt;&gt;"",TEXT(AUX!EM$1,"dd-MMM-aa"),"")</f>
      </c>
      <c r="EJ315" s="496" t="str">
        <f> IF(EJ335&lt;&gt;"",TEXT(AUX!EN$1,"dd-MMM-aa"),"")</f>
      </c>
      <c r="EK315" s="496" t="str">
        <f> IF(EK335&lt;&gt;"",TEXT(AUX!EO$1,"dd-MMM-aa"),"")</f>
      </c>
      <c r="EL315" s="496" t="str">
        <f> IF(EL335&lt;&gt;"",TEXT(AUX!EP$1,"dd-MMM-aa"),"")</f>
      </c>
      <c r="EM315" s="496" t="str">
        <f> IF(EM335&lt;&gt;"",TEXT(AUX!EQ$1,"dd-MMM-aa"),"")</f>
      </c>
      <c r="EN315" s="496" t="str">
        <f> IF(EN335&lt;&gt;"",TEXT(AUX!ER$1,"dd-MMM-aa"),"")</f>
      </c>
      <c r="EO315" s="496" t="str">
        <f> IF(EO335&lt;&gt;"",TEXT(AUX!ES$1,"dd-MMM-aa"),"")</f>
      </c>
      <c r="EP315" s="496" t="str">
        <f> IF(EP335&lt;&gt;"",TEXT(AUX!ET$1,"dd-MMM-aa"),"")</f>
      </c>
      <c r="EQ315" s="496" t="str">
        <f> IF(EQ335&lt;&gt;"",TEXT(AUX!EU$1,"dd-MMM-aa"),"")</f>
      </c>
      <c r="ER315" s="496" t="str">
        <f> IF(ER335&lt;&gt;"",TEXT(AUX!EV$1,"dd-MMM-aa"),"")</f>
      </c>
      <c r="ES315" s="496" t="str">
        <f> IF(ES335&lt;&gt;"",TEXT(AUX!EW$1,"dd-MMM-aa"),"")</f>
      </c>
      <c r="ET315" s="496" t="str">
        <f> IF(ET335&lt;&gt;"",TEXT(AUX!EX$1,"dd-MMM-aa"),"")</f>
      </c>
      <c r="EU315" s="496" t="str">
        <f> IF(EU335&lt;&gt;"",TEXT(AUX!EY$1,"dd-MMM-aa"),"")</f>
      </c>
      <c r="EV315" s="496" t="str">
        <f> IF(EV335&lt;&gt;"",TEXT(AUX!EZ$1,"dd-MMM-aa"),"")</f>
      </c>
      <c r="EW315" s="496" t="str">
        <f> IF(EW335&lt;&gt;"",TEXT(AUX!FA$1,"dd-MMM-aa"),"")</f>
      </c>
      <c r="EX315" s="496" t="str">
        <f> IF(EX335&lt;&gt;"",TEXT(AUX!FB$1,"dd-MMM-aa"),"")</f>
      </c>
      <c r="EY315" s="496" t="str">
        <f> IF(EY335&lt;&gt;"",TEXT(AUX!FC$1,"dd-MMM-aa"),"")</f>
      </c>
      <c r="EZ315" s="496" t="str">
        <f> IF(EZ335&lt;&gt;"",TEXT(AUX!FD$1,"dd-MMM-aa"),"")</f>
      </c>
      <c r="FA315" s="496" t="str">
        <f> IF(FA335&lt;&gt;"",TEXT(AUX!FE$1,"dd-MMM-aa"),"")</f>
      </c>
      <c r="FB315" s="496" t="str">
        <f> IF(FB335&lt;&gt;"",TEXT(AUX!FF$1,"dd-MMM-aa"),"")</f>
      </c>
      <c r="FC315" s="496" t="str">
        <f> IF(FC335&lt;&gt;"",TEXT(AUX!FG$1,"dd-MMM-aa"),"")</f>
      </c>
      <c r="FD315" s="496" t="str">
        <f> IF(FD335&lt;&gt;"",TEXT(AUX!FH$1,"dd-MMM-aa"),"")</f>
      </c>
      <c r="FE315" s="496" t="str">
        <f> IF(FE335&lt;&gt;"",TEXT(AUX!FI$1,"dd-MMM-aa"),"")</f>
      </c>
      <c r="FF315" s="496" t="str">
        <f> IF(FF335&lt;&gt;"",TEXT(AUX!FJ$1,"dd-MMM-aa"),"")</f>
      </c>
      <c r="FG315" s="496" t="str">
        <f> IF(FG335&lt;&gt;"",TEXT(AUX!FK$1,"dd-MMM-aa"),"")</f>
      </c>
      <c r="FH315" s="496" t="str">
        <f> IF(FH335&lt;&gt;"",TEXT(AUX!FL$1,"dd-MMM-aa"),"")</f>
      </c>
      <c r="FI315" s="496" t="str">
        <f> IF(FI335&lt;&gt;"",TEXT(AUX!FM$1,"dd-MMM-aa"),"")</f>
      </c>
      <c r="FJ315" s="496" t="str">
        <f> IF(FJ335&lt;&gt;"",TEXT(AUX!FN$1,"dd-MMM-aa"),"")</f>
      </c>
      <c r="FK315" s="496" t="str">
        <f> IF(FK335&lt;&gt;"",TEXT(AUX!FO$1,"dd-MMM-aa"),"")</f>
      </c>
      <c r="FL315" s="496" t="str">
        <f> IF(FL335&lt;&gt;"",TEXT(AUX!FP$1,"dd-MMM-aa"),"")</f>
      </c>
      <c r="FM315" s="496" t="str">
        <f> IF(FM335&lt;&gt;"",TEXT(AUX!FQ$1,"dd-MMM-aa"),"")</f>
      </c>
      <c r="FN315" s="496" t="str">
        <f> IF(FN335&lt;&gt;"",TEXT(AUX!FR$1,"dd-MMM-aa"),"")</f>
      </c>
      <c r="FO315" s="496" t="str">
        <f> IF(FO335&lt;&gt;"",TEXT(AUX!FS$1,"dd-MMM-aa"),"")</f>
      </c>
      <c r="FP315" s="496" t="str">
        <f> IF(FP335&lt;&gt;"",TEXT(AUX!FT$1,"dd-MMM-aa"),"")</f>
      </c>
      <c r="FQ315" s="496" t="str">
        <f> IF(FQ335&lt;&gt;"",TEXT(AUX!FU$1,"dd-MMM-aa"),"")</f>
      </c>
      <c r="FR315" s="496" t="str">
        <f> IF(FR335&lt;&gt;"",TEXT(AUX!FV$1,"dd-MMM-aa"),"")</f>
      </c>
      <c r="FS315" s="496" t="str">
        <f> IF(FS335&lt;&gt;"",TEXT(AUX!FW$1,"dd-MMM-aa"),"")</f>
      </c>
      <c r="FT315" s="496" t="str">
        <f> IF(FT335&lt;&gt;"",TEXT(AUX!FX$1,"dd-MMM-aa"),"")</f>
      </c>
      <c r="FU315" s="496" t="str">
        <f> IF(FU335&lt;&gt;"",TEXT(AUX!FY$1,"dd-MMM-aa"),"")</f>
      </c>
      <c r="FV315" s="496" t="str">
        <f> IF(FV335&lt;&gt;"",TEXT(AUX!FZ$1,"dd-MMM-aa"),"")</f>
      </c>
      <c r="FW315" s="496" t="str">
        <f> IF(FW335&lt;&gt;"",TEXT(AUX!GA$1,"dd-MMM-aa"),"")</f>
      </c>
      <c r="FX315" s="496" t="str">
        <f> IF(FX335&lt;&gt;"",TEXT(AUX!GB$1,"dd-MMM-aa"),"")</f>
      </c>
      <c r="FY315" s="496" t="str">
        <f> IF(FY335&lt;&gt;"",TEXT(AUX!GC$1,"dd-MMM-aa"),"")</f>
      </c>
      <c r="FZ315" s="496" t="str">
        <f> IF(FZ335&lt;&gt;"",TEXT(AUX!GD$1,"dd-MMM-aa"),"")</f>
      </c>
      <c r="GA315" s="496" t="str">
        <f> IF(GA335&lt;&gt;"",TEXT(AUX!GE$1,"dd-MMM-aa"),"")</f>
      </c>
      <c r="GB315" s="496" t="str">
        <f> IF(GB335&lt;&gt;"",TEXT(AUX!GF$1,"dd-MMM-aa"),"")</f>
      </c>
      <c r="GC315" s="496" t="str">
        <f> IF(GC335&lt;&gt;"",TEXT(AUX!GG$1,"dd-MMM-aa"),"")</f>
      </c>
      <c r="GD315" s="496" t="str">
        <f> IF(GD335&lt;&gt;"",TEXT(AUX!GH$1,"dd-MMM-aa"),"")</f>
      </c>
      <c r="GE315" s="496" t="str">
        <f> IF(GE335&lt;&gt;"",TEXT(AUX!GI$1,"dd-MMM-aa"),"")</f>
      </c>
      <c r="GF315" s="496" t="str">
        <f> IF(GF335&lt;&gt;"",TEXT(AUX!GJ$1,"dd-MMM-aa"),"")</f>
      </c>
      <c r="GG315" s="496" t="str">
        <f> IF(GG335&lt;&gt;"",TEXT(AUX!GK$1,"dd-MMM-aa"),"")</f>
      </c>
      <c r="GH315" s="496" t="str">
        <f> IF(GH335&lt;&gt;"",TEXT(AUX!GL$1,"dd-MMM-aa"),"")</f>
      </c>
      <c r="GI315" s="496" t="str">
        <f> IF(GI335&lt;&gt;"",TEXT(AUX!GM$1,"dd-MMM-aa"),"")</f>
      </c>
      <c r="GJ315" s="496" t="str">
        <f> IF(GJ335&lt;&gt;"",TEXT(AUX!GN$1,"dd-MMM-aa"),"")</f>
      </c>
      <c r="GK315" s="496" t="str">
        <f> IF(GK335&lt;&gt;"",TEXT(AUX!GO$1,"dd-MMM-aa"),"")</f>
      </c>
      <c r="GL315" s="496" t="str">
        <f> IF(GL335&lt;&gt;"",TEXT(AUX!GP$1,"dd-MMM-aa"),"")</f>
      </c>
      <c r="GM315" s="496" t="str">
        <f> IF(GM335&lt;&gt;"",TEXT(AUX!GQ$1,"dd-MMM-aa"),"")</f>
      </c>
      <c r="GN315" s="496" t="str">
        <f> IF(GN335&lt;&gt;"",TEXT(AUX!GR$1,"dd-MMM-aa"),"")</f>
      </c>
      <c r="GO315" s="496" t="str">
        <f> IF(GO335&lt;&gt;"",TEXT(AUX!GS$1,"dd-MMM-aa"),"")</f>
      </c>
      <c r="GP315" s="496" t="str">
        <f> IF(GP335&lt;&gt;"",TEXT(AUX!GT$1,"dd-MMM-aa"),"")</f>
      </c>
      <c r="GQ315" s="496" t="str">
        <f> IF(GQ335&lt;&gt;"",TEXT(AUX!GU$1,"dd-MMM-aa"),"")</f>
      </c>
      <c r="GR315" s="496" t="str">
        <f> IF(GR335&lt;&gt;"",TEXT(AUX!GV$1,"dd-MMM-aa"),"")</f>
      </c>
      <c r="GS315" s="496" t="str">
        <f> IF(GS335&lt;&gt;"",TEXT(AUX!GW$1,"dd-MMM-aa"),"")</f>
      </c>
      <c r="GT315" s="496" t="str">
        <f> IF(GT335&lt;&gt;"",TEXT(AUX!GX$1,"dd-MMM-aa"),"")</f>
      </c>
      <c r="GU315" s="496" t="str">
        <f> IF(GU335&lt;&gt;"",TEXT(AUX!GY$1,"dd-MMM-aa"),"")</f>
      </c>
      <c r="GV315" s="496" t="str">
        <f> IF(GV335&lt;&gt;"",TEXT(AUX!GZ$1,"dd-MMM-aa"),"")</f>
      </c>
      <c r="GW315" s="496" t="str">
        <f> IF(GW335&lt;&gt;"",TEXT(AUX!HA$1,"dd-MMM-aa"),"")</f>
      </c>
      <c r="GX315" s="496" t="str">
        <f> IF(GX335&lt;&gt;"",TEXT(AUX!HB$1,"dd-MMM-aa"),"")</f>
      </c>
      <c r="GY315" s="496" t="str">
        <f> IF(GY335&lt;&gt;"",TEXT(AUX!HC$1,"dd-MMM-aa"),"")</f>
      </c>
      <c r="GZ315" s="496" t="str">
        <f> IF(GZ335&lt;&gt;"",TEXT(AUX!HD$1,"dd-MMM-aa"),"")</f>
      </c>
      <c r="HA315" s="496" t="str">
        <f> IF(HA335&lt;&gt;"",TEXT(AUX!HE$1,"dd-MMM-aa"),"")</f>
      </c>
      <c r="HB315" s="496" t="str">
        <f> IF(HB335&lt;&gt;"",TEXT(AUX!HF$1,"dd-MMM-aa"),"")</f>
      </c>
      <c r="HC315" s="496" t="str">
        <f> IF(HC335&lt;&gt;"",TEXT(AUX!HG$1,"dd-MMM-aa"),"")</f>
      </c>
      <c r="HD315" s="496" t="str">
        <f> IF(HD335&lt;&gt;"",TEXT(AUX!HH$1,"dd-MMM-aa"),"")</f>
      </c>
      <c r="HE315" s="496" t="str">
        <f> IF(HE335&lt;&gt;"",TEXT(AUX!HI$1,"dd-MMM-aa"),"")</f>
      </c>
      <c r="HF315" s="496" t="str">
        <f> IF(HF335&lt;&gt;"",TEXT(AUX!HJ$1,"dd-MMM-aa"),"")</f>
      </c>
      <c r="HG315" s="496" t="str">
        <f> IF(HG335&lt;&gt;"",TEXT(AUX!HK$1,"dd-MMM-aa"),"")</f>
      </c>
      <c r="HH315" s="496" t="str">
        <f> IF(HH335&lt;&gt;"",TEXT(AUX!HL$1,"dd-MMM-aa"),"")</f>
      </c>
      <c r="HI315" s="496" t="str">
        <f> IF(HI335&lt;&gt;"",TEXT(AUX!HM$1,"dd-MMM-aa"),"")</f>
      </c>
      <c r="HJ315" s="496" t="str">
        <f> IF(HJ335&lt;&gt;"",TEXT(AUX!HN$1,"dd-MMM-aa"),"")</f>
      </c>
      <c r="HK315" s="496" t="str">
        <f> IF(HK335&lt;&gt;"",TEXT(AUX!HO$1,"dd-MMM-aa"),"")</f>
      </c>
      <c r="HL315" s="496" t="str">
        <f> IF(HL335&lt;&gt;"",TEXT(AUX!HP$1,"dd-MMM-aa"),"")</f>
      </c>
      <c r="HM315" s="496" t="str">
        <f> IF(HM335&lt;&gt;"",TEXT(AUX!HQ$1,"dd-MMM-aa"),"")</f>
      </c>
      <c r="HN315" s="496" t="str">
        <f> IF(HN335&lt;&gt;"",TEXT(AUX!HR$1,"dd-MMM-aa"),"")</f>
      </c>
      <c r="HO315" s="496" t="str">
        <f> IF(HO335&lt;&gt;"",TEXT(AUX!HS$1,"dd-MMM-aa"),"")</f>
      </c>
      <c r="HP315" s="496" t="str">
        <f> IF(HP335&lt;&gt;"",TEXT(AUX!HT$1,"dd-MMM-aa"),"")</f>
      </c>
      <c r="HQ315" s="496" t="str">
        <f> IF(HQ335&lt;&gt;"",TEXT(AUX!HU$1,"dd-MMM-aa"),"")</f>
      </c>
      <c r="HR315" s="496" t="str">
        <f> IF(HR335&lt;&gt;"",TEXT(AUX!HV$1,"dd-MMM-aa"),"")</f>
      </c>
      <c r="HS315" s="496" t="str">
        <f> IF(HS335&lt;&gt;"",TEXT(AUX!HW$1,"dd-MMM-aa"),"")</f>
      </c>
      <c r="HT315" s="496" t="str">
        <f> IF(HT335&lt;&gt;"",TEXT(AUX!HX$1,"dd-MMM-aa"),"")</f>
      </c>
      <c r="HU315" s="496" t="str">
        <f> IF(HU335&lt;&gt;"",TEXT(AUX!HY$1,"dd-MMM-aa"),"")</f>
      </c>
      <c r="HV315" s="496" t="str">
        <f> IF(HV335&lt;&gt;"",TEXT(AUX!HZ$1,"dd-MMM-aa"),"")</f>
      </c>
      <c r="HW315" s="496" t="str">
        <f> IF(HW335&lt;&gt;"",TEXT(AUX!IA$1,"dd-MMM-aa"),"")</f>
      </c>
      <c r="HX315" s="496" t="str">
        <f> IF(HX335&lt;&gt;"",TEXT(AUX!IB$1,"dd-MMM-aa"),"")</f>
      </c>
      <c r="HY315" s="496" t="str">
        <f> IF(HY335&lt;&gt;"",TEXT(AUX!IC$1,"dd-MMM-aa"),"")</f>
      </c>
      <c r="HZ315" s="496" t="str">
        <f> IF(HZ335&lt;&gt;"",TEXT(AUX!ID$1,"dd-MMM-aa"),"")</f>
      </c>
      <c r="IA315" s="496" t="str">
        <f> IF(IA335&lt;&gt;"",TEXT(AUX!IE$1,"dd-MMM-aa"),"")</f>
      </c>
      <c r="IB315" s="496" t="str">
        <f> IF(IB335&lt;&gt;"",TEXT(AUX!IF$1,"dd-MMM-aa"),"")</f>
      </c>
      <c r="IC315" s="496" t="str">
        <f> IF(IC335&lt;&gt;"",TEXT(AUX!IG$1,"dd-MMM-aa"),"")</f>
      </c>
      <c r="ID315" s="496" t="str">
        <f> IF(ID335&lt;&gt;"",TEXT(AUX!IH$1,"dd-MMM-aa"),"")</f>
      </c>
      <c r="IE315" s="496" t="str">
        <f> IF(IE335&lt;&gt;"",TEXT(AUX!II$1,"dd-MMM-aa"),"")</f>
      </c>
      <c r="IF315" s="496" t="str">
        <f> IF(IF335&lt;&gt;"",TEXT(AUX!IJ$1,"dd-MMM-aa"),"")</f>
      </c>
      <c r="IG315" s="496" t="str">
        <f> IF(IG335&lt;&gt;"",TEXT(AUX!IK$1,"dd-MMM-aa"),"")</f>
      </c>
      <c r="IH315" s="496" t="str">
        <f> IF(IH335&lt;&gt;"",TEXT(AUX!IL$1,"dd-MMM-aa"),"")</f>
      </c>
      <c r="II315" s="496" t="str">
        <f> IF(II335&lt;&gt;"",TEXT(AUX!IM$1,"dd-MMM-aa"),"")</f>
      </c>
      <c r="IJ315" s="496" t="str">
        <f> IF(IJ335&lt;&gt;"",TEXT(AUX!IN$1,"dd-MMM-aa"),"")</f>
      </c>
      <c r="IK315" s="496" t="str">
        <f> IF(IK335&lt;&gt;"",TEXT(AUX!IO$1,"dd-MMM-aa"),"")</f>
      </c>
      <c r="IL315" s="496" t="str">
        <f> IF(IL335&lt;&gt;"",TEXT(AUX!IP$1,"dd-MMM-aa"),"")</f>
      </c>
      <c r="IM315" s="496" t="str">
        <f> IF(IM335&lt;&gt;"",TEXT(AUX!IQ$1,"dd-MMM-aa"),"")</f>
      </c>
      <c r="IN315" s="496" t="str">
        <f> IF(IN335&lt;&gt;"",TEXT(AUX!IR$1,"dd-MMM-aa"),"")</f>
      </c>
      <c r="IO315" s="496" t="str">
        <f> IF(IO335&lt;&gt;"",TEXT(AUX!IS$1,"dd-MMM-aa"),"")</f>
      </c>
      <c r="IP315" s="496" t="str">
        <f> IF(IP335&lt;&gt;"",TEXT(AUX!IT$1,"dd-MMM-aa"),"")</f>
      </c>
      <c r="IQ315" s="496" t="str">
        <f> IF(IQ335&lt;&gt;"",TEXT(AUX!IU$1,"dd-MMM-aa"),"")</f>
      </c>
      <c r="IR315" s="496" t="str">
        <f> IF(IR335&lt;&gt;"",TEXT(AUX!IV$1,"dd-MMM-aa"),"")</f>
      </c>
      <c r="IS315" s="496" t="str">
        <f> IF(IS335&lt;&gt;"",TEXT(AUX!#REF!,"dd-MMM-aa"),"")</f>
      </c>
      <c r="IT315" s="496" t="str">
        <f> IF(IT335&lt;&gt;"",TEXT(AUX!#REF!,"dd-MMM-aa"),"")</f>
      </c>
      <c r="IU315" s="496" t="str">
        <f> IF(IU335&lt;&gt;"",TEXT(AUX!#REF!,"dd-MMM-aa"),"")</f>
      </c>
      <c r="IV315" s="496" t="str">
        <f> IF(IV335&lt;&gt;"",TEXT(AUX!#REF!,"dd-MMM-aa"),"")</f>
      </c>
    </row>
    <row r="316" hidden="1">
      <c r="B316" s="838" t="s">
        <v>8</v>
      </c>
      <c r="C316" s="839">
        <f>C178 + C201 + C224 + C247 + C270 + C293</f>
        <v>2476942</v>
      </c>
      <c r="D316" s="839">
        <f>D178 + D201 + D224 + D247 + D270 + D293</f>
        <v>2698850</v>
      </c>
      <c r="E316" s="839">
        <f>E178 + E201 + E224 + E247 + E270 + E293</f>
        <v>2503313</v>
      </c>
      <c r="F316" s="839">
        <f>F178 + F201 + F224 + F247 + F270 + F293</f>
        <v>2792448</v>
      </c>
      <c r="G316" s="839">
        <f>G178 + G201 + G224 + G247 + G270 + G293</f>
        <v>2473328</v>
      </c>
      <c r="H316" s="839">
        <f>H178 + H201 + H224 + H247 + H270 + H293</f>
        <v>2560790</v>
      </c>
      <c r="I316" s="839">
        <f>I178 + I201 + I224 + I247 + I270 + I293</f>
        <v>2153245</v>
      </c>
      <c r="J316" s="839">
        <f>J178 + J201 + J224 + J247 + J270 + J293</f>
        <v>2175445</v>
      </c>
      <c r="K316" s="839">
        <f>K178 + K201 + K224 + K247 + K270 + K293</f>
        <v>2032445</v>
      </c>
      <c r="L316" s="839">
        <f>L178 + L201 + L224 + L247 + L270 + L293</f>
        <v>2173321</v>
      </c>
      <c r="M316" s="839">
        <f>M178 + M201 + M224 + M247 + M270 + M293</f>
        <v>1731170</v>
      </c>
      <c r="N316" s="839">
        <f>N178 + N201 + N224 + N247 + N270 + N293</f>
        <v>2137579</v>
      </c>
      <c r="O316" s="839">
        <f>O178 + O201 + O224 + O247 + O270 + O293</f>
        <v>1849117</v>
      </c>
      <c r="P316" s="839">
        <f>P178 + P201 + P224 + P247 + P270 + P293</f>
        <v>1912688</v>
      </c>
      <c r="Q316" s="839">
        <f>Q178 + Q201 + Q224 + Q247 + Q270 + Q293</f>
        <v>1798177</v>
      </c>
      <c r="R316" s="839">
        <f>R178 + R201 + R224 + R247 + R270 + R293</f>
        <v>1970449</v>
      </c>
      <c r="S316" s="839">
        <f>S178 + S201 + S224 + S247 + S270 + S293</f>
        <v>1900215</v>
      </c>
      <c r="T316" s="839">
        <f>T178 + T201 + T224 + T247 + T270 + T293</f>
        <v>2222232</v>
      </c>
      <c r="U316" s="839">
        <f>U178 + U201 + U224 + U247 + U270 + U293</f>
        <v>2186279</v>
      </c>
      <c r="V316" s="839">
        <f>V178 + V201 + V224 + V247 + V270 + V293</f>
        <v>2395184</v>
      </c>
      <c r="W316" s="839">
        <f>W178 + W201 + W224 + W247 + W270 + W293</f>
        <v>2263027</v>
      </c>
      <c r="X316" s="839">
        <f>X178 + X201 + X224 + X247 + X270 + X293</f>
        <v>2415623</v>
      </c>
      <c r="Y316" s="839">
        <f>Y178 + Y201 + Y224 + Y247 + Y270 + Y293</f>
        <v>2278763</v>
      </c>
      <c r="Z316" s="839">
        <f>Z178 + Z201 + Z224 + Z247 + Z270 + Z293</f>
        <v>2491020</v>
      </c>
      <c r="AA316" s="839">
        <f>AA178 + AA201 + AA224 + AA247 + AA270 + AA293</f>
        <v>2449244</v>
      </c>
      <c r="AB316" s="840">
        <f>AB178 + AB201 + AB224 + AB247 + AB270 + AB293</f>
        <v>2611323</v>
      </c>
      <c r="AC316" s="841">
        <f>AC178 + AC201 + AC224 + AC247 + AC270 + AC293</f>
        <v>2381669</v>
      </c>
      <c r="AD316" s="841">
        <f>AD178 + AD201 + AD224 + AD247 + AD270 + AD293</f>
        <v>2686202</v>
      </c>
      <c r="AE316" s="841">
        <f>AE178 + AE201 + AE224 + AE247 + AE270 + AE293</f>
        <v>2442324</v>
      </c>
      <c r="AF316" s="841">
        <f>AF178 + AF201 + AF224 + AF247 + AF270 + AF293</f>
        <v>2621705</v>
      </c>
      <c r="AG316" s="841">
        <f>AG178 + AG201 + AG224 + AG247 + AG270 + AG293</f>
        <v>2539622</v>
      </c>
      <c r="AH316" s="841">
        <f>AH178 + AH201 + AH224 + AH247 + AH270 + AH293</f>
        <v>2746676</v>
      </c>
      <c r="AI316" s="841">
        <f>AI178 + AI201 + AI224 + AI247 + AI270 + AI293</f>
        <v>2520837</v>
      </c>
      <c r="AJ316" s="841">
        <f>AJ178 + AJ201 + AJ224 + AJ247 + AJ270 + AJ293</f>
        <v>2618377</v>
      </c>
      <c r="AK316" s="841">
        <f>AK178 + AK201 + AK224 + AK247 + AK270 + AK293</f>
        <v>2460619</v>
      </c>
      <c r="AL316" s="841">
        <f>AL178 + AL201 + AL224 + AL247 + AL270 + AL293</f>
        <v>2595487</v>
      </c>
      <c r="AM316" s="841">
        <f>AM178 + AM201 + AM224 + AM247 + AM270 + AM293</f>
        <v>2462149</v>
      </c>
      <c r="AN316" s="841">
        <f>AN178 + AN201 + AN224 + AN247 + AN270 + AN293</f>
        <v>2675964</v>
      </c>
      <c r="AO316" s="841">
        <f>AO178 + AO201 + AO224 + AO247 + AO270 + AO293</f>
        <v>2572909</v>
      </c>
      <c r="AP316" s="841">
        <f>AP178 + AP201 + AP224 + AP247 + AP270 + AP293</f>
        <v>2806071</v>
      </c>
    </row>
    <row r="317" hidden="1" s="247" customFormat="1">
      <c r="B317" s="842" t="s">
        <v>9</v>
      </c>
      <c r="C317" s="839">
        <f>C179 + C202 + C225 + C248 + C271 + C294</f>
        <v>3357576</v>
      </c>
      <c r="D317" s="839">
        <f>D179 + D202 + D225 + D248 + D271 + D294</f>
        <v>3459490</v>
      </c>
      <c r="E317" s="839">
        <f>E179 + E202 + E225 + E248 + E271 + E294</f>
        <v>3476472</v>
      </c>
      <c r="F317" s="839">
        <f>F179 + F202 + F225 + F248 + F271 + F294</f>
        <v>5832106</v>
      </c>
      <c r="G317" s="839">
        <f>G179 + G202 + G225 + G248 + G271 + G294</f>
        <v>8074866</v>
      </c>
      <c r="H317" s="839">
        <f>H179 + H202 + H225 + H248 + H271 + H294</f>
        <v>8074866</v>
      </c>
      <c r="I317" s="839">
        <f>I179 + I202 + I225 + I248 + I271 + I294</f>
        <v>8342399</v>
      </c>
      <c r="J317" s="839">
        <f>J179 + J202 + J225 + J248 + J271 + J294</f>
        <v>4836353</v>
      </c>
      <c r="K317" s="839">
        <f>K179 + K202 + K225 + K248 + K271 + K294</f>
        <v>5270712</v>
      </c>
      <c r="L317" s="839">
        <f>L179 + L202 + L225 + L248 + L271 + L294</f>
        <v>4991256</v>
      </c>
      <c r="M317" s="839">
        <f>M179 + M202 + M225 + M248 + M271 + M294</f>
        <v>5361840</v>
      </c>
      <c r="N317" s="839">
        <f>N179 + N202 + N225 + N248 + N271 + N294</f>
        <v>5852067</v>
      </c>
      <c r="O317" s="839">
        <f>O179 + O202 + O225 + O248 + O271 + O294</f>
        <v>5852067</v>
      </c>
      <c r="P317" s="839">
        <f>P179 + P202 + P225 + P248 + P271 + P294</f>
        <v>7039446</v>
      </c>
      <c r="Q317" s="839">
        <f>Q179 + Q202 + Q225 + Q248 + Q271 + Q294</f>
        <v>5011333</v>
      </c>
      <c r="R317" s="839">
        <f>R179 + R202 + R225 + R248 + R271 + R294</f>
        <v>4749570</v>
      </c>
      <c r="S317" s="839">
        <f>S179 + S202 + S225 + S248 + S271 + S294</f>
        <v>4765565</v>
      </c>
      <c r="T317" s="839">
        <f>T179 + T202 + T225 + T248 + T271 + T294</f>
        <v>4854884</v>
      </c>
      <c r="U317" s="839">
        <f>U179 + U202 + U225 + U248 + U271 + U294</f>
        <v>4873540</v>
      </c>
      <c r="V317" s="839">
        <f>V179 + V202 + V225 + V248 + V271 + V294</f>
        <v>4891252</v>
      </c>
      <c r="W317" s="839">
        <f>W179 + W202 + W225 + W248 + W271 + W294</f>
        <v>5005798</v>
      </c>
      <c r="X317" s="839">
        <f>X179 + X202 + X225 + X248 + X271 + X294</f>
        <v>4688718</v>
      </c>
      <c r="Y317" s="839">
        <f>Y179 + Y202 + Y225 + Y248 + Y271 + Y294</f>
        <v>4830030</v>
      </c>
      <c r="Z317" s="839">
        <f>Z179 + Z202 + Z225 + Z248 + Z271 + Z294</f>
        <v>4883182</v>
      </c>
      <c r="AA317" s="839">
        <f>AA179 + AA202 + AA225 + AA248 + AA271 + AA294</f>
        <v>5125964</v>
      </c>
      <c r="AB317" s="839">
        <f>AB179 + AB202 + AB225 + AB248 + AB271 + AB294</f>
        <v>4975509</v>
      </c>
      <c r="AC317" s="841">
        <f>AC179 + AC202 + AC225 + AC248 + AC271 + AC294</f>
        <v>5049599</v>
      </c>
      <c r="AD317" s="841">
        <f>AD179 + AD202 + AD225 + AD248 + AD271 + AD294</f>
        <v>4976123</v>
      </c>
      <c r="AE317" s="841">
        <f>AE179 + AE202 + AE225 + AE248 + AE271 + AE294</f>
        <v>4941311</v>
      </c>
      <c r="AF317" s="841">
        <f>AF179 + AF202 + AF225 + AF248 + AF271 + AF294</f>
        <v>4953283</v>
      </c>
      <c r="AG317" s="841">
        <f>AG179 + AG202 + AG225 + AG248 + AG271 + AG294</f>
        <v>5542730</v>
      </c>
      <c r="AH317" s="841">
        <f>AH179 + AH202 + AH225 + AH248 + AH271 + AH294</f>
        <v>5217609</v>
      </c>
      <c r="AI317" s="841">
        <f>AI179 + AI202 + AI225 + AI248 + AI271 + AI294</f>
        <v>5534635</v>
      </c>
      <c r="AJ317" s="841">
        <f>AJ179 + AJ202 + AJ225 + AJ248 + AJ271 + AJ294</f>
        <v>5431089</v>
      </c>
      <c r="AK317" s="841">
        <f>AK179 + AK202 + AK225 + AK248 + AK271 + AK294</f>
        <v>5704953</v>
      </c>
      <c r="AL317" s="841">
        <f>AL179 + AL202 + AL225 + AL248 + AL271 + AL294</f>
        <v>5659675</v>
      </c>
      <c r="AM317" s="841">
        <f>AM179 + AM202 + AM225 + AM248 + AM271 + AM294</f>
        <v>5893642</v>
      </c>
      <c r="AN317" s="841">
        <f>AN179 + AN202 + AN225 + AN248 + AN271 + AN294</f>
        <v>5682566</v>
      </c>
      <c r="AO317" s="841">
        <f>AO179 + AO202 + AO225 + AO248 + AO271 + AO294</f>
        <v>5837755</v>
      </c>
      <c r="AP317" s="841">
        <f>AP179 + AP202 + AP225 + AP248 + AP271 + AP294</f>
        <v>5642583</v>
      </c>
      <c r="AQ317" s="51"/>
      <c r="AR317" s="51"/>
      <c r="AS317" s="51"/>
      <c r="AT317" s="51"/>
      <c r="AU317" s="51"/>
      <c r="AV317" s="51"/>
      <c r="AW317" s="51"/>
      <c r="AX317" s="51"/>
      <c r="AY317" s="51"/>
      <c r="AZ317" s="51"/>
      <c r="BA317" s="51"/>
      <c r="BB317" s="51"/>
      <c r="BC317" s="51"/>
      <c r="BD317" s="51"/>
      <c r="BE317" s="51"/>
      <c r="BF317" s="51"/>
      <c r="BG317" s="51"/>
      <c r="BH317" s="51"/>
      <c r="BI317" s="51"/>
      <c r="BJ317" s="51"/>
      <c r="BK317" s="51"/>
      <c r="BL317" s="51"/>
      <c r="BM317" s="51"/>
      <c r="BN317" s="51"/>
      <c r="BO317" s="51"/>
      <c r="BP317" s="51"/>
      <c r="BQ317" s="51"/>
      <c r="BR317" s="51"/>
      <c r="BS317" s="51"/>
      <c r="BT317" s="51"/>
      <c r="BU317" s="51"/>
      <c r="BV317" s="51"/>
      <c r="BW317" s="51"/>
      <c r="BX317" s="51"/>
      <c r="BY317" s="51"/>
      <c r="BZ317" s="51"/>
      <c r="CA317" s="51"/>
      <c r="CB317" s="51"/>
      <c r="CC317" s="51"/>
      <c r="CD317" s="51"/>
      <c r="CE317" s="51"/>
      <c r="CF317" s="51"/>
      <c r="CG317" s="51"/>
      <c r="CH317" s="51"/>
      <c r="CI317" s="51"/>
      <c r="CJ317" s="51"/>
      <c r="CK317" s="51"/>
      <c r="CL317" s="51"/>
      <c r="CM317" s="51"/>
      <c r="CN317" s="51"/>
      <c r="CO317" s="51"/>
      <c r="CP317" s="51"/>
      <c r="CQ317" s="51"/>
      <c r="CR317" s="51"/>
      <c r="CS317" s="51"/>
      <c r="CT317" s="51"/>
      <c r="CU317" s="51"/>
      <c r="CV317" s="51"/>
      <c r="CW317" s="51"/>
      <c r="CX317" s="51"/>
      <c r="CY317" s="51"/>
      <c r="CZ317" s="51"/>
      <c r="DA317" s="51"/>
      <c r="DB317" s="51"/>
      <c r="DC317" s="51"/>
      <c r="DD317" s="51"/>
      <c r="DE317" s="51"/>
      <c r="DF317" s="51"/>
      <c r="DG317" s="51"/>
      <c r="DH317" s="51"/>
      <c r="DI317" s="51"/>
      <c r="DJ317" s="51"/>
      <c r="DK317" s="51"/>
      <c r="DL317" s="51"/>
      <c r="DM317" s="51"/>
      <c r="DN317" s="51"/>
      <c r="DO317" s="51"/>
      <c r="DP317" s="51"/>
      <c r="DQ317" s="51"/>
      <c r="DR317" s="51"/>
      <c r="DS317" s="51"/>
      <c r="DT317" s="51"/>
      <c r="DU317" s="51"/>
      <c r="DV317" s="51"/>
      <c r="DW317" s="51"/>
      <c r="DX317" s="51"/>
      <c r="DY317" s="51"/>
      <c r="DZ317" s="51"/>
      <c r="EA317" s="51"/>
      <c r="EB317" s="51"/>
      <c r="EC317" s="51"/>
      <c r="ED317" s="51"/>
      <c r="EE317" s="51"/>
      <c r="EF317" s="51"/>
      <c r="EG317" s="51"/>
      <c r="EH317" s="51"/>
      <c r="EI317" s="51"/>
      <c r="EJ317" s="51"/>
      <c r="EK317" s="51"/>
      <c r="EL317" s="51"/>
      <c r="EM317" s="51"/>
      <c r="EN317" s="51"/>
      <c r="EO317" s="51"/>
      <c r="EP317" s="51"/>
      <c r="EQ317" s="51"/>
      <c r="ER317" s="51"/>
      <c r="ES317" s="51"/>
      <c r="ET317" s="51"/>
      <c r="EU317" s="51"/>
      <c r="EV317" s="51"/>
      <c r="EW317" s="51"/>
      <c r="EX317" s="51"/>
      <c r="EY317" s="51"/>
      <c r="EZ317" s="51"/>
      <c r="FA317" s="51"/>
      <c r="FB317" s="51"/>
      <c r="FC317" s="51"/>
      <c r="FD317" s="51"/>
      <c r="FE317" s="51"/>
      <c r="FF317" s="51"/>
      <c r="FG317" s="51"/>
      <c r="FH317" s="51"/>
      <c r="FI317" s="51"/>
      <c r="FJ317" s="51"/>
      <c r="FK317" s="51"/>
      <c r="FL317" s="51"/>
      <c r="FM317" s="51"/>
      <c r="FN317" s="51"/>
      <c r="FO317" s="51"/>
      <c r="FP317" s="51"/>
      <c r="FQ317" s="51"/>
      <c r="FR317" s="51"/>
      <c r="FS317" s="51"/>
      <c r="FT317" s="51"/>
      <c r="FU317" s="51"/>
      <c r="FV317" s="51"/>
      <c r="FW317" s="51"/>
      <c r="FX317" s="51"/>
      <c r="FY317" s="51"/>
      <c r="FZ317" s="51"/>
      <c r="GA317" s="51"/>
      <c r="GB317" s="51"/>
      <c r="GC317" s="51"/>
      <c r="GD317" s="51"/>
      <c r="GE317" s="51"/>
      <c r="GF317" s="51"/>
      <c r="GG317" s="51"/>
      <c r="GH317" s="51"/>
      <c r="GI317" s="51"/>
      <c r="GJ317" s="51"/>
      <c r="GK317" s="51"/>
      <c r="GL317" s="51"/>
      <c r="GM317" s="51"/>
      <c r="GN317" s="51"/>
      <c r="GO317" s="51"/>
      <c r="GP317" s="51"/>
      <c r="GQ317" s="51"/>
      <c r="GR317" s="51"/>
      <c r="GS317" s="51"/>
      <c r="GT317" s="51"/>
      <c r="GU317" s="51"/>
      <c r="GV317" s="51"/>
      <c r="GW317" s="51"/>
      <c r="GX317" s="51"/>
      <c r="GY317" s="51"/>
      <c r="GZ317" s="51"/>
      <c r="HA317" s="51"/>
      <c r="HB317" s="51"/>
      <c r="HC317" s="51"/>
      <c r="HD317" s="51"/>
      <c r="HE317" s="51"/>
      <c r="HF317" s="51"/>
      <c r="HG317" s="51"/>
      <c r="HH317" s="51"/>
      <c r="HI317" s="51"/>
      <c r="HJ317" s="51"/>
      <c r="HK317" s="51"/>
      <c r="HL317" s="51"/>
      <c r="HM317" s="51"/>
      <c r="HN317" s="51"/>
      <c r="HO317" s="51"/>
      <c r="HP317" s="51"/>
      <c r="HQ317" s="51"/>
      <c r="HR317" s="51"/>
      <c r="HS317" s="51"/>
      <c r="HT317" s="51"/>
      <c r="HU317" s="51"/>
      <c r="HV317" s="51"/>
      <c r="HW317" s="51"/>
      <c r="HX317" s="51"/>
      <c r="HY317" s="51"/>
      <c r="HZ317" s="51"/>
      <c r="IA317" s="51"/>
      <c r="IB317" s="51"/>
      <c r="IC317" s="51"/>
      <c r="ID317" s="51"/>
      <c r="IE317" s="51"/>
      <c r="IF317" s="51"/>
      <c r="IG317" s="51"/>
      <c r="IH317" s="51"/>
      <c r="II317" s="51"/>
      <c r="IJ317" s="51"/>
      <c r="IK317" s="51"/>
      <c r="IL317" s="51"/>
      <c r="IM317" s="51"/>
      <c r="IN317" s="51"/>
      <c r="IO317" s="51"/>
      <c r="IP317" s="51"/>
      <c r="IQ317" s="51"/>
      <c r="IR317" s="51"/>
      <c r="IS317" s="51"/>
      <c r="IT317" s="51"/>
      <c r="IU317" s="51"/>
      <c r="IV317" s="51"/>
    </row>
    <row r="318" hidden="1">
      <c r="B318" s="842" t="s">
        <v>10</v>
      </c>
      <c r="C318" s="839">
        <f>C180 + C203 + C226 + C249 + C272 + C295</f>
        <v>16452</v>
      </c>
      <c r="D318" s="839">
        <f>D180 + D203 + D226 + D249 + D272 + D295</f>
        <v>16372</v>
      </c>
      <c r="E318" s="839">
        <f>E180 + E203 + E226 + E249 + E272 + E295</f>
        <v>10591</v>
      </c>
      <c r="F318" s="839">
        <f>F180 + F203 + F226 + F249 + F272 + F295</f>
        <v>10429</v>
      </c>
      <c r="G318" s="839">
        <f>G180 + G203 + G226 + G249 + G272 + G295</f>
        <v>12699</v>
      </c>
      <c r="H318" s="839">
        <f>H180 + H203 + H226 + H249 + H272 + H295</f>
        <v>9512</v>
      </c>
      <c r="I318" s="839">
        <f>I180 + I203 + I226 + I249 + I272 + I295</f>
        <v>11877</v>
      </c>
      <c r="J318" s="839">
        <f>J180 + J203 + J226 + J249 + J272 + J295</f>
        <v>8863</v>
      </c>
      <c r="K318" s="839">
        <f>K180 + K203 + K226 + K249 + K272 + K295</f>
        <v>9359</v>
      </c>
      <c r="L318" s="839">
        <f>L180 + L203 + L226 + L249 + L272 + L295</f>
        <v>5543</v>
      </c>
      <c r="M318" s="839">
        <f>M180 + M203 + M226 + M249 + M272 + M295</f>
        <v>8150</v>
      </c>
      <c r="N318" s="839">
        <f>N180 + N203 + N226 + N249 + N272 + N295</f>
        <v>5317</v>
      </c>
      <c r="O318" s="839">
        <f>O180 + O203 + O226 + O249 + O272 + O295</f>
        <v>8178</v>
      </c>
      <c r="P318" s="839">
        <f>P180 + P203 + P226 + P249 + P272 + P295</f>
        <v>6031</v>
      </c>
      <c r="Q318" s="839">
        <f>Q180 + Q203 + Q226 + Q249 + Q272 + Q295</f>
        <v>8381</v>
      </c>
      <c r="R318" s="839">
        <f>R180 + R203 + R226 + R249 + R272 + R295</f>
        <v>7667</v>
      </c>
      <c r="S318" s="839">
        <f>S180 + S203 + S226 + S249 + S272 + S295</f>
        <v>9303</v>
      </c>
      <c r="T318" s="839">
        <f>T180 + T203 + T226 + T249 + T272 + T295</f>
        <v>8913</v>
      </c>
      <c r="U318" s="839">
        <f>U180 + U203 + U226 + U249 + U272 + U295</f>
        <v>9753</v>
      </c>
      <c r="V318" s="839">
        <f>V180 + V203 + V226 + V249 + V272 + V295</f>
        <v>9034</v>
      </c>
      <c r="W318" s="839">
        <f>W180 + W203 + W226 + W249 + W272 + W295</f>
        <v>9056</v>
      </c>
      <c r="X318" s="839">
        <f>X180 + X203 + X226 + X249 + X272 + X295</f>
        <v>7287</v>
      </c>
      <c r="Y318" s="839">
        <f>Y180 + Y203 + Y226 + Y249 + Y272 + Y295</f>
        <v>7824</v>
      </c>
      <c r="Z318" s="839">
        <f>Z180 + Z203 + Z226 + Z249 + Z272 + Z295</f>
        <v>7050</v>
      </c>
      <c r="AA318" s="839">
        <f>AA180 + AA203 + AA226 + AA249 + AA272 + AA295</f>
        <v>7209</v>
      </c>
      <c r="AB318" s="839">
        <f>AB180 + AB203 + AB226 + AB249 + AB272 + AB295</f>
        <v>6565</v>
      </c>
      <c r="AC318" s="841">
        <f>AC180 + AC203 + AC226 + AC249 + AC272 + AC295</f>
        <v>7180</v>
      </c>
      <c r="AD318" s="841">
        <f>AD180 + AD203 + AD226 + AD249 + AD272 + AD295</f>
        <v>7284</v>
      </c>
      <c r="AE318" s="841">
        <f>AE180 + AE203 + AE226 + AE249 + AE272 + AE295</f>
        <v>7966</v>
      </c>
      <c r="AF318" s="841">
        <f>AF180 + AF203 + AF226 + AF249 + AF272 + AF295</f>
        <v>7726</v>
      </c>
      <c r="AG318" s="841">
        <f>AG180 + AG203 + AG226 + AG249 + AG272 + AG295</f>
        <v>7826</v>
      </c>
      <c r="AH318" s="841">
        <f>AH180 + AH203 + AH226 + AH249 + AH272 + AH295</f>
        <v>8181</v>
      </c>
      <c r="AI318" s="841">
        <f>AI180 + AI203 + AI226 + AI249 + AI272 + AI295</f>
        <v>7237</v>
      </c>
      <c r="AJ318" s="841">
        <f>AJ180 + AJ203 + AJ226 + AJ249 + AJ272 + AJ295</f>
        <v>7308</v>
      </c>
      <c r="AK318" s="841">
        <f>AK180 + AK203 + AK226 + AK249 + AK272 + AK295</f>
        <v>7142</v>
      </c>
      <c r="AL318" s="841">
        <f>AL180 + AL203 + AL226 + AL249 + AL272 + AL295</f>
        <v>7141</v>
      </c>
      <c r="AM318" s="841">
        <f>AM180 + AM203 + AM226 + AM249 + AM272 + AM295</f>
        <v>6393</v>
      </c>
      <c r="AN318" s="841">
        <f>AN180 + AN203 + AN226 + AN249 + AN272 + AN295</f>
        <v>7250</v>
      </c>
      <c r="AO318" s="841">
        <f>AO180 + AO203 + AO226 + AO249 + AO272 + AO295</f>
        <v>7122</v>
      </c>
      <c r="AP318" s="841">
        <f>AP180 + AP203 + AP226 + AP249 + AP272 + AP295</f>
        <v>7242</v>
      </c>
    </row>
    <row r="319" hidden="1">
      <c r="B319" s="842" t="s">
        <v>11</v>
      </c>
      <c r="C319" s="839">
        <f>C181 + C204 + C227 + C250 + C273 + C296</f>
        <v>98033</v>
      </c>
      <c r="D319" s="839">
        <f>D181 + D204 + D227 + D250 + D273 + D296</f>
        <v>99722</v>
      </c>
      <c r="E319" s="839">
        <f>E181 + E204 + E227 + E250 + E273 + E296</f>
        <v>96337</v>
      </c>
      <c r="F319" s="839">
        <f>F181 + F204 + F227 + F250 + F273 + F296</f>
        <v>95767</v>
      </c>
      <c r="G319" s="839">
        <f>G181 + G204 + G227 + G250 + G273 + G296</f>
        <v>92998</v>
      </c>
      <c r="H319" s="839">
        <f>H181 + H204 + H227 + H250 + H273 + H296</f>
        <v>82225</v>
      </c>
      <c r="I319" s="839">
        <f>I181 + I204 + I227 + I250 + I273 + I296</f>
        <v>85793</v>
      </c>
      <c r="J319" s="839">
        <f>J181 + J204 + J227 + J250 + J273 + J296</f>
        <v>72994</v>
      </c>
      <c r="K319" s="839">
        <f>K181 + K204 + K227 + K250 + K273 + K296</f>
        <v>78401</v>
      </c>
      <c r="L319" s="839">
        <f>L181 + L204 + L227 + L250 + L273 + L296</f>
        <v>71055</v>
      </c>
      <c r="M319" s="839">
        <f>M181 + M204 + M227 + M250 + M273 + M296</f>
        <v>66509</v>
      </c>
      <c r="N319" s="839">
        <f>N181 + N204 + N227 + N250 + N273 + N296</f>
        <v>59797</v>
      </c>
      <c r="O319" s="839">
        <f>O181 + O204 + O227 + O250 + O273 + O296</f>
        <v>76696</v>
      </c>
      <c r="P319" s="839">
        <f>P181 + P204 + P227 + P250 + P273 + P296</f>
        <v>60677</v>
      </c>
      <c r="Q319" s="839">
        <f>Q181 + Q204 + Q227 + Q250 + Q273 + Q296</f>
        <v>68966</v>
      </c>
      <c r="R319" s="839">
        <f>R181 + R204 + R227 + R250 + R273 + R296</f>
        <v>53973</v>
      </c>
      <c r="S319" s="839">
        <f>S181 + S204 + S227 + S250 + S273 + S296</f>
        <v>75996</v>
      </c>
      <c r="T319" s="839">
        <f>T181 + T204 + T227 + T250 + T273 + T296</f>
        <v>52600</v>
      </c>
      <c r="U319" s="839">
        <f>U181 + U204 + U227 + U250 + U273 + U296</f>
        <v>76160</v>
      </c>
      <c r="V319" s="839">
        <f>V181 + V204 + V227 + V250 + V273 + V296</f>
        <v>54870</v>
      </c>
      <c r="W319" s="839">
        <f>W181 + W204 + W227 + W250 + W273 + W296</f>
        <v>77412</v>
      </c>
      <c r="X319" s="839">
        <f>X181 + X204 + X227 + X250 + X273 + X296</f>
        <v>66681</v>
      </c>
      <c r="Y319" s="839">
        <f>Y181 + Y204 + Y227 + Y250 + Y273 + Y296</f>
        <v>79113</v>
      </c>
      <c r="Z319" s="839">
        <f>Z181 + Z204 + Z227 + Z250 + Z273 + Z296</f>
        <v>51910</v>
      </c>
      <c r="AA319" s="839">
        <f>AA181 + AA204 + AA227 + AA250 + AA273 + AA296</f>
        <v>73064</v>
      </c>
      <c r="AB319" s="839">
        <f>AB181 + AB204 + AB227 + AB250 + AB273 + AB296</f>
        <v>59686</v>
      </c>
      <c r="AC319" s="841">
        <f>AC181 + AC204 + AC227 + AC250 + AC273 + AC296</f>
        <v>67869</v>
      </c>
      <c r="AD319" s="841">
        <f>AD181 + AD204 + AD227 + AD250 + AD273 + AD296</f>
        <v>54392</v>
      </c>
      <c r="AE319" s="841">
        <f>AE181 + AE204 + AE227 + AE250 + AE273 + AE296</f>
        <v>84866</v>
      </c>
      <c r="AF319" s="841">
        <f>AF181 + AF204 + AF227 + AF250 + AF273 + AF296</f>
        <v>71078</v>
      </c>
      <c r="AG319" s="841">
        <f>AG181 + AG204 + AG227 + AG250 + AG273 + AG296</f>
        <v>73859</v>
      </c>
      <c r="AH319" s="841">
        <f>AH181 + AH204 + AH227 + AH250 + AH273 + AH296</f>
        <v>56081</v>
      </c>
      <c r="AI319" s="841">
        <f>AI181 + AI204 + AI227 + AI250 + AI273 + AI296</f>
        <v>64560</v>
      </c>
      <c r="AJ319" s="841">
        <f>AJ181 + AJ204 + AJ227 + AJ250 + AJ273 + AJ296</f>
        <v>49188</v>
      </c>
      <c r="AK319" s="841">
        <f>AK181 + AK204 + AK227 + AK250 + AK273 + AK296</f>
        <v>47158</v>
      </c>
      <c r="AL319" s="841">
        <f>AL181 + AL204 + AL227 + AL250 + AL273 + AL296</f>
        <v>41244</v>
      </c>
      <c r="AM319" s="841">
        <f>AM181 + AM204 + AM227 + AM250 + AM273 + AM296</f>
        <v>57315</v>
      </c>
      <c r="AN319" s="841">
        <f>AN181 + AN204 + AN227 + AN250 + AN273 + AN296</f>
        <v>50122</v>
      </c>
      <c r="AO319" s="841">
        <f>AO181 + AO204 + AO227 + AO250 + AO273 + AO296</f>
        <v>54107</v>
      </c>
      <c r="AP319" s="841">
        <f>AP181 + AP204 + AP227 + AP250 + AP273 + AP296</f>
        <v>51101</v>
      </c>
    </row>
    <row r="320" hidden="1">
      <c r="B320" s="842" t="s">
        <v>12</v>
      </c>
      <c r="C320" s="839">
        <f>C182 + C205 + C228 + C251 + C274 + C297</f>
        <v>70080</v>
      </c>
      <c r="D320" s="839">
        <f>D182 + D205 + D228 + D251 + D274 + D297</f>
        <v>64112</v>
      </c>
      <c r="E320" s="839">
        <f>E182 + E205 + E228 + E251 + E274 + E297</f>
        <v>70387</v>
      </c>
      <c r="F320" s="839">
        <f>F182 + F205 + F228 + F251 + F274 + F297</f>
        <v>68579</v>
      </c>
      <c r="G320" s="839">
        <f>G182 + G205 + G228 + G251 + G274 + G297</f>
        <v>68547</v>
      </c>
      <c r="H320" s="839">
        <f>H182 + H205 + H228 + H251 + H274 + H297</f>
        <v>66008</v>
      </c>
      <c r="I320" s="839">
        <f>I182 + I205 + I228 + I251 + I274 + I297</f>
        <v>67221</v>
      </c>
      <c r="J320" s="839">
        <f>J182 + J205 + J228 + J251 + J274 + J297</f>
        <v>66334</v>
      </c>
      <c r="K320" s="839">
        <f>K182 + K205 + K228 + K251 + K274 + K297</f>
        <v>68877</v>
      </c>
      <c r="L320" s="839">
        <f>L182 + L205 + L228 + L251 + L274 + L297</f>
        <v>70654</v>
      </c>
      <c r="M320" s="839">
        <f>M182 + M205 + M228 + M251 + M274 + M297</f>
        <v>63387</v>
      </c>
      <c r="N320" s="839">
        <f>N182 + N205 + N228 + N251 + N274 + N297</f>
        <v>63258</v>
      </c>
      <c r="O320" s="839">
        <f>O182 + O205 + O228 + O251 + O274 + O297</f>
        <v>61081</v>
      </c>
      <c r="P320" s="839">
        <f>P182 + P205 + P228 + P251 + P274 + P297</f>
        <v>61112</v>
      </c>
      <c r="Q320" s="839">
        <f>Q182 + Q205 + Q228 + Q251 + Q274 + Q297</f>
        <v>59215</v>
      </c>
      <c r="R320" s="839">
        <f>R182 + R205 + R228 + R251 + R274 + R297</f>
        <v>57322</v>
      </c>
      <c r="S320" s="839">
        <f>S182 + S205 + S228 + S251 + S274 + S297</f>
        <v>54736</v>
      </c>
      <c r="T320" s="839">
        <f>T182 + T205 + T228 + T251 + T274 + T297</f>
        <v>55874</v>
      </c>
      <c r="U320" s="839">
        <f>U182 + U205 + U228 + U251 + U274 + U297</f>
        <v>46669</v>
      </c>
      <c r="V320" s="839">
        <f>V182 + V205 + V228 + V251 + V274 + V297</f>
        <v>50332</v>
      </c>
      <c r="W320" s="839">
        <f>W182 + W205 + W228 + W251 + W274 + W297</f>
        <v>54749</v>
      </c>
      <c r="X320" s="839">
        <f>X182 + X205 + X228 + X251 + X274 + X297</f>
        <v>53525</v>
      </c>
      <c r="Y320" s="839">
        <f>Y182 + Y205 + Y228 + Y251 + Y274 + Y297</f>
        <v>50737</v>
      </c>
      <c r="Z320" s="839">
        <f>Z182 + Z205 + Z228 + Z251 + Z274 + Z297</f>
        <v>48768</v>
      </c>
      <c r="AA320" s="839">
        <f>AA182 + AA205 + AA228 + AA251 + AA274 + AA297</f>
        <v>53296</v>
      </c>
      <c r="AB320" s="839">
        <f>AB182 + AB205 + AB228 + AB251 + AB274 + AB297</f>
        <v>51908</v>
      </c>
      <c r="AC320" s="841">
        <f>AC182 + AC205 + AC228 + AC251 + AC274 + AC297</f>
        <v>45145</v>
      </c>
      <c r="AD320" s="841">
        <f>AD182 + AD205 + AD228 + AD251 + AD274 + AD297</f>
        <v>44692</v>
      </c>
      <c r="AE320" s="841">
        <f>AE182 + AE205 + AE228 + AE251 + AE274 + AE297</f>
        <v>42578</v>
      </c>
      <c r="AF320" s="841">
        <f>AF182 + AF205 + AF228 + AF251 + AF274 + AF297</f>
        <v>42684</v>
      </c>
      <c r="AG320" s="841">
        <f>AG182 + AG205 + AG228 + AG251 + AG274 + AG297</f>
        <v>44386</v>
      </c>
      <c r="AH320" s="841">
        <f>AH182 + AH205 + AH228 + AH251 + AH274 + AH297</f>
        <v>44170</v>
      </c>
      <c r="AI320" s="841">
        <f>AI182 + AI205 + AI228 + AI251 + AI274 + AI297</f>
        <v>44240</v>
      </c>
      <c r="AJ320" s="841">
        <f>AJ182 + AJ205 + AJ228 + AJ251 + AJ274 + AJ297</f>
        <v>43774</v>
      </c>
      <c r="AK320" s="841">
        <f>AK182 + AK205 + AK228 + AK251 + AK274 + AK297</f>
        <v>43381</v>
      </c>
      <c r="AL320" s="841">
        <f>AL182 + AL205 + AL228 + AL251 + AL274 + AL297</f>
        <v>43494</v>
      </c>
      <c r="AM320" s="841">
        <f>AM182 + AM205 + AM228 + AM251 + AM274 + AM297</f>
        <v>43299</v>
      </c>
      <c r="AN320" s="841">
        <f>AN182 + AN205 + AN228 + AN251 + AN274 + AN297</f>
        <v>40973</v>
      </c>
      <c r="AO320" s="841">
        <f>AO182 + AO205 + AO228 + AO251 + AO274 + AO297</f>
        <v>41480</v>
      </c>
      <c r="AP320" s="841">
        <f>AP182 + AP205 + AP228 + AP251 + AP274 + AP297</f>
        <v>39626</v>
      </c>
    </row>
    <row r="321" hidden="1">
      <c r="B321" s="842" t="s">
        <v>13</v>
      </c>
      <c r="C321" s="839">
        <f>C183 + C206 + C229 + C252 + C275 + C298</f>
        <v>7097</v>
      </c>
      <c r="D321" s="839">
        <f>D183 + D206 + D229 + D252 + D275 + D298</f>
        <v>10001</v>
      </c>
      <c r="E321" s="839">
        <f>E183 + E206 + E229 + E252 + E275 + E298</f>
        <v>14400</v>
      </c>
      <c r="F321" s="839">
        <f>F183 + F206 + F229 + F252 + F275 + F298</f>
        <v>14607</v>
      </c>
      <c r="G321" s="839">
        <f>G183 + G206 + G229 + G252 + G275 + G298</f>
        <v>13732</v>
      </c>
      <c r="H321" s="839">
        <f>H183 + H206 + H229 + H252 + H275 + H298</f>
        <v>13697</v>
      </c>
      <c r="I321" s="839">
        <f>I183 + I206 + I229 + I252 + I275 + I298</f>
        <v>9358</v>
      </c>
      <c r="J321" s="839">
        <f>J183 + J206 + J229 + J252 + J275 + J298</f>
        <v>8944</v>
      </c>
      <c r="K321" s="839">
        <f>K183 + K206 + K229 + K252 + K275 + K298</f>
        <v>2357</v>
      </c>
      <c r="L321" s="839">
        <f>L183 + L206 + L229 + L252 + L275 + L298</f>
        <v>2844</v>
      </c>
      <c r="M321" s="839">
        <f>M183 + M206 + M229 + M252 + M275 + M298</f>
        <v>3127</v>
      </c>
      <c r="N321" s="839">
        <f>N183 + N206 + N229 + N252 + N275 + N298</f>
        <v>3823</v>
      </c>
      <c r="O321" s="839">
        <f>O183 + O206 + O229 + O252 + O275 + O298</f>
        <v>2102</v>
      </c>
      <c r="P321" s="839">
        <f>P183 + P206 + P229 + P252 + P275 + P298</f>
        <v>1945</v>
      </c>
      <c r="Q321" s="839">
        <f>Q183 + Q206 + Q229 + Q252 + Q275 + Q298</f>
        <v>1828</v>
      </c>
      <c r="R321" s="839">
        <f>R183 + R206 + R229 + R252 + R275 + R298</f>
        <v>1938</v>
      </c>
      <c r="S321" s="839">
        <f>S183 + S206 + S229 + S252 + S275 + S298</f>
        <v>2062</v>
      </c>
      <c r="T321" s="839">
        <f>T183 + T206 + T229 + T252 + T275 + T298</f>
        <v>2001</v>
      </c>
      <c r="U321" s="839">
        <f>U183 + U206 + U229 + U252 + U275 + U298</f>
        <v>4057</v>
      </c>
      <c r="V321" s="839">
        <f>V183 + V206 + V229 + V252 + V275 + V298</f>
        <v>4068</v>
      </c>
      <c r="W321" s="839">
        <f>W183 + W206 + W229 + W252 + W275 + W298</f>
        <v>2762</v>
      </c>
      <c r="X321" s="839">
        <f>X183 + X206 + X229 + X252 + X275 + X298</f>
        <v>2726</v>
      </c>
      <c r="Y321" s="839">
        <f>Y183 + Y206 + Y229 + Y252 + Y275 + Y298</f>
        <v>2451</v>
      </c>
      <c r="Z321" s="839">
        <f>Z183 + Z206 + Z229 + Z252 + Z275 + Z298</f>
        <v>2374</v>
      </c>
      <c r="AA321" s="839">
        <f>AA183 + AA206 + AA229 + AA252 + AA275 + AA298</f>
        <v>2107</v>
      </c>
      <c r="AB321" s="839">
        <f>AB183 + AB206 + AB229 + AB252 + AB275 + AB298</f>
        <v>2107</v>
      </c>
      <c r="AC321" s="841">
        <f>AC183 + AC206 + AC229 + AC252 + AC275 + AC298</f>
        <v>2042</v>
      </c>
      <c r="AD321" s="841">
        <f>AD183 + AD206 + AD229 + AD252 + AD275 + AD298</f>
        <v>1991</v>
      </c>
      <c r="AE321" s="841">
        <f>AE183 + AE206 + AE229 + AE252 + AE275 + AE298</f>
        <v>2013</v>
      </c>
      <c r="AF321" s="841">
        <f>AF183 + AF206 + AF229 + AF252 + AF275 + AF298</f>
        <v>2023</v>
      </c>
      <c r="AG321" s="841">
        <f>AG183 + AG206 + AG229 + AG252 + AG275 + AG298</f>
        <v>2048</v>
      </c>
      <c r="AH321" s="841">
        <f>AH183 + AH206 + AH229 + AH252 + AH275 + AH298</f>
        <v>1915</v>
      </c>
      <c r="AI321" s="841">
        <f>AI183 + AI206 + AI229 + AI252 + AI275 + AI298</f>
        <v>1895</v>
      </c>
      <c r="AJ321" s="841">
        <f>AJ183 + AJ206 + AJ229 + AJ252 + AJ275 + AJ298</f>
        <v>1787</v>
      </c>
      <c r="AK321" s="841">
        <f>AK183 + AK206 + AK229 + AK252 + AK275 + AK298</f>
        <v>1477</v>
      </c>
      <c r="AL321" s="841">
        <f>AL183 + AL206 + AL229 + AL252 + AL275 + AL298</f>
        <v>1392</v>
      </c>
      <c r="AM321" s="841">
        <f>AM183 + AM206 + AM229 + AM252 + AM275 + AM298</f>
        <v>1373</v>
      </c>
      <c r="AN321" s="841">
        <f>AN183 + AN206 + AN229 + AN252 + AN275 + AN298</f>
        <v>1369</v>
      </c>
      <c r="AO321" s="841">
        <f>AO183 + AO206 + AO229 + AO252 + AO275 + AO298</f>
        <v>1408</v>
      </c>
      <c r="AP321" s="841">
        <f>AP183 + AP206 + AP229 + AP252 + AP275 + AP298</f>
        <v>1421</v>
      </c>
    </row>
    <row r="322" hidden="1">
      <c r="B322" s="842" t="s">
        <v>109</v>
      </c>
      <c r="C322" s="839">
        <f>C184 + C207 + C230 + C253 + C276 + C299</f>
        <v>1467472</v>
      </c>
      <c r="D322" s="839">
        <f>D184 + D207 + D230 + D253 + D276 + D299</f>
        <v>1413304</v>
      </c>
      <c r="E322" s="839">
        <f>E184 + E207 + E230 + E253 + E276 + E299</f>
        <v>1834759</v>
      </c>
      <c r="F322" s="839">
        <f>F184 + F207 + F230 + F253 + F276 + F299</f>
        <v>1827994</v>
      </c>
      <c r="G322" s="839">
        <f>G184 + G207 + G230 + G253 + G276 + G299</f>
        <v>1898444</v>
      </c>
      <c r="H322" s="839">
        <f>H184 + H207 + H230 + H253 + H276 + H299</f>
        <v>1882714</v>
      </c>
      <c r="I322" s="839">
        <f>I184 + I207 + I230 + I253 + I276 + I299</f>
        <v>1901349</v>
      </c>
      <c r="J322" s="839">
        <f>J184 + J207 + J230 + J253 + J276 + J299</f>
        <v>1885619</v>
      </c>
      <c r="K322" s="839">
        <f>K184 + K207 + K230 + K253 + K276 + K299</f>
        <v>1866614</v>
      </c>
      <c r="L322" s="839">
        <f>L184 + L207 + L230 + L253 + L276 + L299</f>
        <v>1850811</v>
      </c>
      <c r="M322" s="839">
        <f>M184 + M207 + M230 + M253 + M276 + M299</f>
        <v>3182527</v>
      </c>
      <c r="N322" s="839">
        <f>N184 + N207 + N230 + N253 + N276 + N299</f>
        <v>3141838</v>
      </c>
      <c r="O322" s="839">
        <f>O184 + O207 + O230 + O253 + O276 + O299</f>
        <v>3162347</v>
      </c>
      <c r="P322" s="839">
        <f>P184 + P207 + P230 + P253 + P276 + P299</f>
        <v>3124398</v>
      </c>
      <c r="Q322" s="839">
        <f>Q184 + Q207 + Q230 + Q253 + Q276 + Q299</f>
        <v>2872860</v>
      </c>
      <c r="R322" s="839">
        <f>R184 + R207 + R230 + R253 + R276 + R299</f>
        <v>2871031</v>
      </c>
      <c r="S322" s="839">
        <f>S184 + S207 + S230 + S253 + S276 + S299</f>
        <v>2779558</v>
      </c>
      <c r="T322" s="839">
        <f>T184 + T207 + T230 + T253 + T276 + T299</f>
        <v>2773434</v>
      </c>
      <c r="U322" s="839">
        <f>U184 + U207 + U230 + U253 + U276 + U299</f>
        <v>2862577</v>
      </c>
      <c r="V322" s="839">
        <f>V184 + V207 + V230 + V253 + V276 + V299</f>
        <v>2874381</v>
      </c>
      <c r="W322" s="839">
        <f>W184 + W207 + W230 + W253 + W276 + W299</f>
        <v>2936064</v>
      </c>
      <c r="X322" s="839">
        <f>X184 + X207 + X230 + X253 + X276 + X299</f>
        <v>2925736</v>
      </c>
      <c r="Y322" s="839">
        <f>Y184 + Y207 + Y230 + Y253 + Y276 + Y299</f>
        <v>3603801</v>
      </c>
      <c r="Z322" s="839">
        <f>Z184 + Z207 + Z230 + Z253 + Z276 + Z299</f>
        <v>3637549</v>
      </c>
      <c r="AA322" s="839">
        <f>AA184 + AA207 + AA230 + AA253 + AA276 + AA299</f>
        <v>3554094</v>
      </c>
      <c r="AB322" s="839">
        <f>AB184 + AB207 + AB230 + AB253 + AB276 + AB299</f>
        <v>3614941</v>
      </c>
      <c r="AC322" s="841">
        <f>AC184 + AC207 + AC230 + AC253 + AC276 + AC299</f>
        <v>3831304</v>
      </c>
      <c r="AD322" s="841">
        <f>AD184 + AD207 + AD230 + AD253 + AD276 + AD299</f>
        <v>3857118</v>
      </c>
      <c r="AE322" s="841">
        <f>AE184 + AE207 + AE230 + AE253 + AE276 + AE299</f>
        <v>3861185</v>
      </c>
      <c r="AF322" s="841">
        <f>AF184 + AF207 + AF230 + AF253 + AF276 + AF299</f>
        <v>3868834</v>
      </c>
      <c r="AG322" s="841">
        <f>AG184 + AG207 + AG230 + AG253 + AG276 + AG299</f>
        <v>2286728</v>
      </c>
      <c r="AH322" s="841">
        <f>AH184 + AH207 + AH230 + AH253 + AH276 + AH299</f>
        <v>2276880</v>
      </c>
      <c r="AI322" s="841">
        <f>AI184 + AI207 + AI230 + AI253 + AI276 + AI299</f>
        <v>2070486</v>
      </c>
      <c r="AJ322" s="841">
        <f>AJ184 + AJ207 + AJ230 + AJ253 + AJ276 + AJ299</f>
        <v>2059952</v>
      </c>
      <c r="AK322" s="841">
        <f>AK184 + AK207 + AK230 + AK253 + AK276 + AK299</f>
        <v>1956219</v>
      </c>
      <c r="AL322" s="841">
        <f>AL184 + AL207 + AL230 + AL253 + AL276 + AL299</f>
        <v>1953821</v>
      </c>
      <c r="AM322" s="841">
        <f>AM184 + AM207 + AM230 + AM253 + AM276 + AM299</f>
        <v>1933924</v>
      </c>
      <c r="AN322" s="841">
        <f>AN184 + AN207 + AN230 + AN253 + AN276 + AN299</f>
        <v>1925724</v>
      </c>
      <c r="AO322" s="841">
        <f>AO184 + AO207 + AO230 + AO253 + AO276 + AO299</f>
        <v>1956065</v>
      </c>
      <c r="AP322" s="841">
        <f>AP184 + AP207 + AP230 + AP253 + AP276 + AP299</f>
        <v>1971760</v>
      </c>
    </row>
    <row r="323" hidden="1">
      <c r="B323" s="842" t="s">
        <v>110</v>
      </c>
      <c r="C323" s="839">
        <f>C185 + C208 + C231 + C254 + C277 + C300</f>
        <v>3753977</v>
      </c>
      <c r="D323" s="839">
        <f>D185 + D208 + D231 + D254 + D277 + D300</f>
        <v>3915933</v>
      </c>
      <c r="E323" s="839">
        <f>E185 + E208 + E231 + E254 + E277 + E300</f>
        <v>4018904</v>
      </c>
      <c r="F323" s="839">
        <f>F185 + F208 + F231 + F254 + F277 + F300</f>
        <v>4067432</v>
      </c>
      <c r="G323" s="839">
        <f>G185 + G208 + G231 + G254 + G277 + G300</f>
        <v>3982835</v>
      </c>
      <c r="H323" s="839">
        <f>H185 + H208 + H231 + H254 + H277 + H300</f>
        <v>3919872</v>
      </c>
      <c r="I323" s="839">
        <f>I185 + I208 + I231 + I254 + I277 + I300</f>
        <v>3876885</v>
      </c>
      <c r="J323" s="839">
        <f>J185 + J208 + J231 + J254 + J277 + J300</f>
        <v>3807425</v>
      </c>
      <c r="K323" s="839">
        <f>K185 + K208 + K231 + K254 + K277 + K300</f>
        <v>3764018</v>
      </c>
      <c r="L323" s="839">
        <f>L185 + L208 + L231 + L254 + L277 + L300</f>
        <v>3131284</v>
      </c>
      <c r="M323" s="839">
        <f>M185 + M208 + M231 + M254 + M277 + M300</f>
        <v>3782197</v>
      </c>
      <c r="N323" s="839">
        <f>N185 + N208 + N231 + N254 + N277 + N300</f>
        <v>3719168</v>
      </c>
      <c r="O323" s="839">
        <f>O185 + O208 + O231 + O254 + O277 + O300</f>
        <v>3536960</v>
      </c>
      <c r="P323" s="839">
        <f>P185 + P208 + P231 + P254 + P277 + P300</f>
        <v>3464780</v>
      </c>
      <c r="Q323" s="839">
        <f>Q185 + Q208 + Q231 + Q254 + Q277 + Q300</f>
        <v>3403052</v>
      </c>
      <c r="R323" s="839">
        <f>R185 + R208 + R231 + R254 + R277 + R300</f>
        <v>3494582</v>
      </c>
      <c r="S323" s="839">
        <f>S185 + S208 + S231 + S254 + S277 + S300</f>
        <v>3563493</v>
      </c>
      <c r="T323" s="839">
        <f>T185 + T208 + T231 + T254 + T277 + T300</f>
        <v>3692831</v>
      </c>
      <c r="U323" s="839">
        <f>U185 + U208 + U231 + U254 + U277 + U300</f>
        <v>3732976</v>
      </c>
      <c r="V323" s="839">
        <f>V185 + V208 + V231 + V254 + V277 + V300</f>
        <v>3807941</v>
      </c>
      <c r="W323" s="839">
        <f>W185 + W208 + W231 + W254 + W277 + W300</f>
        <v>3832757</v>
      </c>
      <c r="X323" s="839">
        <f>X185 + X208 + X231 + X254 + X277 + X300</f>
        <v>3991008</v>
      </c>
      <c r="Y323" s="839">
        <f>Y185 + Y208 + Y231 + Y254 + Y277 + Y300</f>
        <v>3944245</v>
      </c>
      <c r="Z323" s="839">
        <f>Z185 + Z208 + Z231 + Z254 + Z277 + Z300</f>
        <v>4026281</v>
      </c>
      <c r="AA323" s="839">
        <f>AA185 + AA208 + AA231 + AA254 + AA277 + AA300</f>
        <v>4031870</v>
      </c>
      <c r="AB323" s="839">
        <f>AB185 + AB208 + AB231 + AB254 + AB277 + AB300</f>
        <v>4121914</v>
      </c>
      <c r="AC323" s="841">
        <f>AC185 + AC208 + AC231 + AC254 + AC277 + AC300</f>
        <v>4117074</v>
      </c>
      <c r="AD323" s="841">
        <f>AD185 + AD208 + AD231 + AD254 + AD277 + AD300</f>
        <v>4256010</v>
      </c>
      <c r="AE323" s="841">
        <f>AE185 + AE208 + AE231 + AE254 + AE277 + AE300</f>
        <v>4280226</v>
      </c>
      <c r="AF323" s="841">
        <f>AF185 + AF208 + AF231 + AF254 + AF277 + AF300</f>
        <v>4364694</v>
      </c>
      <c r="AG323" s="841">
        <f>AG185 + AG208 + AG231 + AG254 + AG277 + AG300</f>
        <v>4383158</v>
      </c>
      <c r="AH323" s="841">
        <f>AH185 + AH208 + AH231 + AH254 + AH277 + AH300</f>
        <v>4509371</v>
      </c>
      <c r="AI323" s="841">
        <f>AI185 + AI208 + AI231 + AI254 + AI277 + AI300</f>
        <v>4461940</v>
      </c>
      <c r="AJ323" s="841">
        <f>AJ185 + AJ208 + AJ231 + AJ254 + AJ277 + AJ300</f>
        <v>4511785</v>
      </c>
      <c r="AK323" s="841">
        <f>AK185 + AK208 + AK231 + AK254 + AK277 + AK300</f>
        <v>4412146</v>
      </c>
      <c r="AL323" s="841">
        <f>AL185 + AL208 + AL231 + AL254 + AL277 + AL300</f>
        <v>4477223</v>
      </c>
      <c r="AM323" s="841">
        <f>AM185 + AM208 + AM231 + AM254 + AM277 + AM300</f>
        <v>4310206</v>
      </c>
      <c r="AN323" s="841">
        <f>AN185 + AN208 + AN231 + AN254 + AN277 + AN300</f>
        <v>4480661</v>
      </c>
      <c r="AO323" s="841">
        <f>AO185 + AO208 + AO231 + AO254 + AO277 + AO300</f>
        <v>4356848</v>
      </c>
      <c r="AP323" s="841">
        <f>AP185 + AP208 + AP231 + AP254 + AP277 + AP300</f>
        <v>4446442</v>
      </c>
    </row>
    <row r="324" hidden="1">
      <c r="B324" s="842" t="s">
        <v>16</v>
      </c>
      <c r="C324" s="839">
        <f>C186 + C209 + C232 + C255 + C278 + C301</f>
        <v>5360086</v>
      </c>
      <c r="D324" s="839">
        <f>D186 + D209 + D232 + D255 + D278 + D301</f>
        <v>4308960</v>
      </c>
      <c r="E324" s="839">
        <f>E186 + E209 + E232 + E255 + E278 + E301</f>
        <v>5702388</v>
      </c>
      <c r="F324" s="839">
        <f>F186 + F209 + F232 + F255 + F278 + F301</f>
        <v>5743253</v>
      </c>
      <c r="G324" s="839">
        <f>G186 + G209 + G232 + G255 + G278 + G301</f>
        <v>5821742</v>
      </c>
      <c r="H324" s="839">
        <f>H186 + H209 + H232 + H255 + H278 + H301</f>
        <v>5805619</v>
      </c>
      <c r="I324" s="839">
        <f>I186 + I209 + I232 + I255 + I278 + I301</f>
        <v>5745039</v>
      </c>
      <c r="J324" s="839">
        <f>J186 + J209 + J232 + J255 + J278 + J301</f>
        <v>5690538</v>
      </c>
      <c r="K324" s="839">
        <f>K186 + K209 + K232 + K255 + K278 + K301</f>
        <v>5841020</v>
      </c>
      <c r="L324" s="839">
        <f>L186 + L209 + L232 + L255 + L278 + L301</f>
        <v>6640485</v>
      </c>
      <c r="M324" s="839">
        <f>M186 + M209 + M232 + M255 + M278 + M301</f>
        <v>6189710</v>
      </c>
      <c r="N324" s="839">
        <f>N186 + N209 + N232 + N255 + N278 + N301</f>
        <v>6186402</v>
      </c>
      <c r="O324" s="839">
        <f>O186 + O209 + O232 + O255 + O278 + O301</f>
        <v>6434662</v>
      </c>
      <c r="P324" s="839">
        <f>P186 + P209 + P232 + P255 + P278 + P301</f>
        <v>5848080</v>
      </c>
      <c r="Q324" s="839">
        <f>Q186 + Q209 + Q232 + Q255 + Q278 + Q301</f>
        <v>6305905</v>
      </c>
      <c r="R324" s="839">
        <f>R186 + R209 + R232 + R255 + R278 + R301</f>
        <v>6108760</v>
      </c>
      <c r="S324" s="839">
        <f>S186 + S209 + S232 + S255 + S278 + S301</f>
        <v>6332847</v>
      </c>
      <c r="T324" s="839">
        <f>T186 + T209 + T232 + T255 + T278 + T301</f>
        <v>6342628</v>
      </c>
      <c r="U324" s="839">
        <f>U186 + U209 + U232 + U255 + U278 + U301</f>
        <v>7251127</v>
      </c>
      <c r="V324" s="839">
        <f>V186 + V209 + V232 + V255 + V278 + V301</f>
        <v>7293557</v>
      </c>
      <c r="W324" s="839">
        <f>W186 + W209 + W232 + W255 + W278 + W301</f>
        <v>7293557</v>
      </c>
      <c r="X324" s="839">
        <f>X186 + X209 + X232 + X255 + X278 + X301</f>
        <v>7293557</v>
      </c>
      <c r="Y324" s="839">
        <f>Y186 + Y209 + Y232 + Y255 + Y278 + Y301</f>
        <v>7293557</v>
      </c>
      <c r="Z324" s="839">
        <f>Z186 + Z209 + Z232 + Z255 + Z278 + Z301</f>
        <v>7293557</v>
      </c>
      <c r="AA324" s="839">
        <f>AA186 + AA209 + AA232 + AA255 + AA278 + AA301</f>
        <v>8191999</v>
      </c>
      <c r="AB324" s="839">
        <f>AB186 + AB209 + AB232 + AB255 + AB278 + AB301</f>
        <v>8186369</v>
      </c>
      <c r="AC324" s="841">
        <f>AC186 + AC209 + AC232 + AC255 + AC278 + AC301</f>
        <v>8205213</v>
      </c>
      <c r="AD324" s="841">
        <f>AD186 + AD209 + AD232 + AD255 + AD278 + AD301</f>
        <v>8220566</v>
      </c>
      <c r="AE324" s="841">
        <f>AE186 + AE209 + AE232 + AE255 + AE278 + AE301</f>
        <v>8284448</v>
      </c>
      <c r="AF324" s="841">
        <f>AF186 + AF209 + AF232 + AF255 + AF278 + AF301</f>
        <v>8289242</v>
      </c>
      <c r="AG324" s="841">
        <f>AG186 + AG209 + AG232 + AG255 + AG278 + AG301</f>
        <v>8298886</v>
      </c>
      <c r="AH324" s="841">
        <f>AH186 + AH209 + AH232 + AH255 + AH278 + AH301</f>
        <v>8833395</v>
      </c>
      <c r="AI324" s="841">
        <f>AI186 + AI209 + AI232 + AI255 + AI278 + AI301</f>
        <v>8054025</v>
      </c>
      <c r="AJ324" s="841">
        <f>AJ186 + AJ209 + AJ232 + AJ255 + AJ278 + AJ301</f>
        <v>7964519</v>
      </c>
      <c r="AK324" s="841">
        <f>AK186 + AK209 + AK232 + AK255 + AK278 + AK301</f>
        <v>7721136</v>
      </c>
      <c r="AL324" s="841">
        <f>AL186 + AL209 + AL232 + AL255 + AL278 + AL301</f>
        <v>7697457</v>
      </c>
      <c r="AM324" s="841">
        <f>AM186 + AM209 + AM232 + AM255 + AM278 + AM301</f>
        <v>7833911</v>
      </c>
      <c r="AN324" s="841">
        <f>AN186 + AN209 + AN232 + AN255 + AN278 + AN301</f>
        <v>7816009</v>
      </c>
      <c r="AO324" s="841">
        <f>AO186 + AO209 + AO232 + AO255 + AO278 + AO301</f>
        <v>7910279</v>
      </c>
      <c r="AP324" s="841">
        <f>AP186 + AP209 + AP232 + AP255 + AP278 + AP301</f>
        <v>7897748</v>
      </c>
    </row>
    <row r="325" hidden="1">
      <c r="B325" s="842" t="s">
        <v>17</v>
      </c>
      <c r="C325" s="839">
        <f>C187 + C210 + C233 + C256 + C279 + C302</f>
        <v>1612871</v>
      </c>
      <c r="D325" s="839">
        <f>D187 + D210 + D233 + D256 + D279 + D302</f>
        <v>1680684</v>
      </c>
      <c r="E325" s="839">
        <f>E187 + E210 + E233 + E256 + E279 + E302</f>
        <v>1754671</v>
      </c>
      <c r="F325" s="839">
        <f>F187 + F210 + F233 + F256 + F279 + F302</f>
        <v>1809665</v>
      </c>
      <c r="G325" s="839">
        <f>G187 + G210 + G233 + G256 + G279 + G302</f>
        <v>1894498</v>
      </c>
      <c r="H325" s="839">
        <f>H187 + H210 + H233 + H256 + H279 + H302</f>
        <v>1683185</v>
      </c>
      <c r="I325" s="839">
        <f>I187 + I210 + I233 + I256 + I279 + I302</f>
        <v>1463413</v>
      </c>
      <c r="J325" s="839">
        <f>J187 + J210 + J233 + J256 + J279 + J302</f>
        <v>1298878</v>
      </c>
      <c r="K325" s="839">
        <f>K187 + K210 + K233 + K256 + K279 + K302</f>
        <v>1338091</v>
      </c>
      <c r="L325" s="839">
        <f>L187 + L210 + L233 + L256 + L279 + L302</f>
        <v>1292343</v>
      </c>
      <c r="M325" s="839">
        <f>M187 + M210 + M233 + M256 + M279 + M302</f>
        <v>1344237</v>
      </c>
      <c r="N325" s="839">
        <f>N187 + N210 + N233 + N256 + N279 + N302</f>
        <v>1252823</v>
      </c>
      <c r="O325" s="839">
        <f>O187 + O210 + O233 + O256 + O279 + O302</f>
        <v>1181333</v>
      </c>
      <c r="P325" s="839">
        <f>P187 + P210 + P233 + P256 + P279 + P302</f>
        <v>1042280</v>
      </c>
      <c r="Q325" s="839">
        <f>Q187 + Q210 + Q233 + Q256 + Q279 + Q302</f>
        <v>990472</v>
      </c>
      <c r="R325" s="839">
        <f>R187 + R210 + R233 + R256 + R279 + R302</f>
        <v>987344</v>
      </c>
      <c r="S325" s="839">
        <f>S187 + S210 + S233 + S256 + S279 + S302</f>
        <v>1083934</v>
      </c>
      <c r="T325" s="839">
        <f>T187 + T210 + T233 + T256 + T279 + T302</f>
        <v>1096383</v>
      </c>
      <c r="U325" s="839">
        <f>U187 + U210 + U233 + U256 + U279 + U302</f>
        <v>1335761</v>
      </c>
      <c r="V325" s="839">
        <f>V187 + V210 + V233 + V256 + V279 + V302</f>
        <v>1368921</v>
      </c>
      <c r="W325" s="839">
        <f>W187 + W210 + W233 + W256 + W279 + W302</f>
        <v>1527148</v>
      </c>
      <c r="X325" s="839">
        <f>X187 + X210 + X233 + X256 + X279 + X302</f>
        <v>1506613</v>
      </c>
      <c r="Y325" s="839">
        <f>Y187 + Y210 + Y233 + Y256 + Y279 + Y302</f>
        <v>1601328</v>
      </c>
      <c r="Z325" s="839">
        <f>Z187 + Z210 + Z233 + Z256 + Z279 + Z302</f>
        <v>1573648</v>
      </c>
      <c r="AA325" s="839">
        <f>AA187 + AA210 + AA233 + AA256 + AA279 + AA302</f>
        <v>1650484</v>
      </c>
      <c r="AB325" s="839">
        <f>AB187 + AB210 + AB233 + AB256 + AB279 + AB302</f>
        <v>1614671</v>
      </c>
      <c r="AC325" s="841">
        <f>AC187 + AC210 + AC233 + AC256 + AC279 + AC302</f>
        <v>1707129</v>
      </c>
      <c r="AD325" s="841">
        <f>AD187 + AD210 + AD233 + AD256 + AD279 + AD302</f>
        <v>1691243</v>
      </c>
      <c r="AE325" s="841">
        <f>AE187 + AE210 + AE233 + AE256 + AE279 + AE302</f>
        <v>1766421</v>
      </c>
      <c r="AF325" s="841">
        <f>AF187 + AF210 + AF233 + AF256 + AF279 + AF302</f>
        <v>1728343</v>
      </c>
      <c r="AG325" s="841">
        <f>AG187 + AG210 + AG233 + AG256 + AG279 + AG302</f>
        <v>1602350</v>
      </c>
      <c r="AH325" s="841">
        <f>AH187 + AH210 + AH233 + AH256 + AH279 + AH302</f>
        <v>1560699</v>
      </c>
      <c r="AI325" s="841">
        <f>AI187 + AI210 + AI233 + AI256 + AI279 + AI302</f>
        <v>1614884</v>
      </c>
      <c r="AJ325" s="841">
        <f>AJ187 + AJ210 + AJ233 + AJ256 + AJ279 + AJ302</f>
        <v>1570444</v>
      </c>
      <c r="AK325" s="841">
        <f>AK187 + AK210 + AK233 + AK256 + AK279 + AK302</f>
        <v>1510877</v>
      </c>
      <c r="AL325" s="841">
        <f>AL187 + AL210 + AL233 + AL256 + AL279 + AL302</f>
        <v>1468045</v>
      </c>
      <c r="AM325" s="841">
        <f>AM187 + AM210 + AM233 + AM256 + AM279 + AM302</f>
        <v>1429370</v>
      </c>
      <c r="AN325" s="841">
        <f>AN187 + AN210 + AN233 + AN256 + AN279 + AN302</f>
        <v>1384425</v>
      </c>
      <c r="AO325" s="841">
        <f>AO187 + AO210 + AO233 + AO256 + AO279 + AO302</f>
        <v>1475649</v>
      </c>
      <c r="AP325" s="841">
        <f>AP187 + AP210 + AP233 + AP256 + AP279 + AP302</f>
        <v>1457656</v>
      </c>
    </row>
    <row r="326" hidden="1">
      <c r="B326" s="842" t="s">
        <v>18</v>
      </c>
      <c r="C326" s="839">
        <f>C188 + C211 + C234 + C257 + C280 + C303</f>
        <v>280951</v>
      </c>
      <c r="D326" s="839">
        <f>D188 + D211 + D234 + D257 + D280 + D303</f>
        <v>512250</v>
      </c>
      <c r="E326" s="839">
        <f>E188 + E211 + E234 + E257 + E280 + E303</f>
        <v>622964</v>
      </c>
      <c r="F326" s="839">
        <f>F188 + F211 + F234 + F257 + F280 + F303</f>
        <v>696576</v>
      </c>
      <c r="G326" s="839">
        <f>G188 + G211 + G234 + G257 + G280 + G303</f>
        <v>960206</v>
      </c>
      <c r="H326" s="839">
        <f>H188 + H211 + H234 + H257 + H280 + H303</f>
        <v>2096790</v>
      </c>
      <c r="I326" s="839">
        <f>I188 + I211 + I234 + I257 + I280 + I303</f>
        <v>1037235</v>
      </c>
      <c r="J326" s="839">
        <f>J188 + J211 + J234 + J257 + J280 + J303</f>
        <v>1015725</v>
      </c>
      <c r="K326" s="839">
        <f>K188 + K211 + K234 + K257 + K280 + K303</f>
        <v>1062450</v>
      </c>
      <c r="L326" s="839">
        <f>L188 + L211 + L234 + L257 + L280 + L303</f>
        <v>1033663</v>
      </c>
      <c r="M326" s="839">
        <f>M188 + M211 + M234 + M257 + M280 + M303</f>
        <v>1111154</v>
      </c>
      <c r="N326" s="839">
        <f>N188 + N211 + N234 + N257 + N280 + N303</f>
        <v>1060019</v>
      </c>
      <c r="O326" s="839">
        <f>O188 + O211 + O234 + O257 + O280 + O303</f>
        <v>1109357</v>
      </c>
      <c r="P326" s="839">
        <f>P188 + P211 + P234 + P257 + P280 + P303</f>
        <v>1080974</v>
      </c>
      <c r="Q326" s="839">
        <f>Q188 + Q211 + Q234 + Q257 + Q280 + Q303</f>
        <v>1168457</v>
      </c>
      <c r="R326" s="839">
        <f>R188 + R211 + R234 + R257 + R280 + R303</f>
        <v>1165140</v>
      </c>
      <c r="S326" s="839">
        <f>S188 + S211 + S234 + S257 + S280 + S303</f>
        <v>1187393</v>
      </c>
      <c r="T326" s="839">
        <f>T188 + T211 + T234 + T257 + T280 + T303</f>
        <v>1178945</v>
      </c>
      <c r="U326" s="839">
        <f>U188 + U211 + U234 + U257 + U280 + U303</f>
        <v>1212454</v>
      </c>
      <c r="V326" s="839">
        <f>V188 + V211 + V234 + V257 + V280 + V303</f>
        <v>1211612</v>
      </c>
      <c r="W326" s="839">
        <f>W188 + W211 + W234 + W257 + W280 + W303</f>
        <v>1271494</v>
      </c>
      <c r="X326" s="839">
        <f>X188 + X211 + X234 + X257 + X280 + X303</f>
        <v>1210611</v>
      </c>
      <c r="Y326" s="839">
        <f>Y188 + Y211 + Y234 + Y257 + Y280 + Y303</f>
        <v>1238768</v>
      </c>
      <c r="Z326" s="839">
        <f>Z188 + Z211 + Z234 + Z257 + Z280 + Z303</f>
        <v>1281754</v>
      </c>
      <c r="AA326" s="839">
        <f>AA188 + AA211 + AA234 + AA257 + AA280 + AA303</f>
        <v>1318570</v>
      </c>
      <c r="AB326" s="839">
        <f>AB188 + AB211 + AB234 + AB257 + AB280 + AB303</f>
        <v>1338486</v>
      </c>
      <c r="AC326" s="841">
        <f>AC188 + AC211 + AC234 + AC257 + AC280 + AC303</f>
        <v>1373614</v>
      </c>
      <c r="AD326" s="841">
        <f>AD188 + AD211 + AD234 + AD257 + AD280 + AD303</f>
        <v>1446781</v>
      </c>
      <c r="AE326" s="841">
        <f>AE188 + AE211 + AE234 + AE257 + AE280 + AE303</f>
        <v>1474985</v>
      </c>
      <c r="AF326" s="841">
        <f>AF188 + AF211 + AF234 + AF257 + AF280 + AF303</f>
        <v>1544176</v>
      </c>
      <c r="AG326" s="841">
        <f>AG188 + AG211 + AG234 + AG257 + AG280 + AG303</f>
        <v>1542504</v>
      </c>
      <c r="AH326" s="841">
        <f>AH188 + AH211 + AH234 + AH257 + AH280 + AH303</f>
        <v>1568573</v>
      </c>
      <c r="AI326" s="841">
        <f>AI188 + AI211 + AI234 + AI257 + AI280 + AI303</f>
        <v>1541945</v>
      </c>
      <c r="AJ326" s="841">
        <f>AJ188 + AJ211 + AJ234 + AJ257 + AJ280 + AJ303</f>
        <v>1527688</v>
      </c>
      <c r="AK326" s="841">
        <f>AK188 + AK211 + AK234 + AK257 + AK280 + AK303</f>
        <v>1512558</v>
      </c>
      <c r="AL326" s="841">
        <f>AL188 + AL211 + AL234 + AL257 + AL280 + AL303</f>
        <v>1503013</v>
      </c>
      <c r="AM326" s="841">
        <f>AM188 + AM211 + AM234 + AM257 + AM280 + AM303</f>
        <v>1452810</v>
      </c>
      <c r="AN326" s="841">
        <f>AN188 + AN211 + AN234 + AN257 + AN280 + AN303</f>
        <v>1463729</v>
      </c>
      <c r="AO326" s="841">
        <f>AO188 + AO211 + AO234 + AO257 + AO280 + AO303</f>
        <v>1469989</v>
      </c>
      <c r="AP326" s="841">
        <f>AP188 + AP211 + AP234 + AP257 + AP280 + AP303</f>
        <v>1464752</v>
      </c>
    </row>
    <row r="327" hidden="1">
      <c r="B327" s="842" t="s">
        <v>19</v>
      </c>
      <c r="C327" s="839">
        <f>C189 + C212 + C235 + C258 + C281 + C304</f>
        <v>32891</v>
      </c>
      <c r="D327" s="839">
        <f>D189 + D212 + D235 + D258 + D281 + D304</f>
        <v>33627</v>
      </c>
      <c r="E327" s="839">
        <f>E189 + E212 + E235 + E258 + E281 + E304</f>
        <v>41475</v>
      </c>
      <c r="F327" s="839">
        <f>F189 + F212 + F235 + F258 + F281 + F304</f>
        <v>40525</v>
      </c>
      <c r="G327" s="839">
        <f>G189 + G212 + G235 + G258 + G281 + G304</f>
        <v>40966</v>
      </c>
      <c r="H327" s="839">
        <f>H189 + H212 + H235 + H258 + H281 + H304</f>
        <v>37811</v>
      </c>
      <c r="I327" s="839">
        <f>I189 + I212 + I235 + I258 + I281 + I304</f>
        <v>31728</v>
      </c>
      <c r="J327" s="839">
        <f>J189 + J212 + J235 + J258 + J281 + J304</f>
        <v>32069</v>
      </c>
      <c r="K327" s="839">
        <f>K189 + K212 + K235 + K258 + K281 + K304</f>
        <v>30054</v>
      </c>
      <c r="L327" s="839">
        <f>L189 + L212 + L235 + L258 + L281 + L304</f>
        <v>26003</v>
      </c>
      <c r="M327" s="839">
        <f>M189 + M212 + M235 + M258 + M281 + M304</f>
        <v>19689</v>
      </c>
      <c r="N327" s="839">
        <f>N189 + N212 + N235 + N258 + N281 + N304</f>
        <v>19358</v>
      </c>
      <c r="O327" s="839">
        <f>O189 + O212 + O235 + O258 + O281 + O304</f>
        <v>18522</v>
      </c>
      <c r="P327" s="839">
        <f>P189 + P212 + P235 + P258 + P281 + P304</f>
        <v>17847</v>
      </c>
      <c r="Q327" s="839">
        <f>Q189 + Q212 + Q235 + Q258 + Q281 + Q304</f>
        <v>16041</v>
      </c>
      <c r="R327" s="839">
        <f>R189 + R212 + R235 + R258 + R281 + R304</f>
        <v>15725</v>
      </c>
      <c r="S327" s="839">
        <f>S189 + S212 + S235 + S258 + S281 + S304</f>
        <v>11989</v>
      </c>
      <c r="T327" s="839">
        <f>T189 + T212 + T235 + T258 + T281 + T304</f>
        <v>11941</v>
      </c>
      <c r="U327" s="839">
        <f>U189 + U212 + U235 + U258 + U281 + U304</f>
        <v>17766</v>
      </c>
      <c r="V327" s="839">
        <f>V189 + V212 + V235 + V258 + V281 + V304</f>
        <v>18203</v>
      </c>
      <c r="W327" s="839">
        <f>W189 + W212 + W235 + W258 + W281 + W304</f>
        <v>22706</v>
      </c>
      <c r="X327" s="839">
        <f>X189 + X212 + X235 + X258 + X281 + X304</f>
        <v>22870</v>
      </c>
      <c r="Y327" s="839">
        <f>Y189 + Y212 + Y235 + Y258 + Y281 + Y304</f>
        <v>17922</v>
      </c>
      <c r="Z327" s="839">
        <f>Z189 + Z212 + Z235 + Z258 + Z281 + Z304</f>
        <v>18035</v>
      </c>
      <c r="AA327" s="839">
        <f>AA189 + AA212 + AA235 + AA258 + AA281 + AA304</f>
        <v>17278</v>
      </c>
      <c r="AB327" s="839">
        <f>AB189 + AB212 + AB235 + AB258 + AB281 + AB304</f>
        <v>16345</v>
      </c>
      <c r="AC327" s="841">
        <f>AC189 + AC212 + AC235 + AC258 + AC281 + AC304</f>
        <v>16883</v>
      </c>
      <c r="AD327" s="841">
        <f>AD189 + AD212 + AD235 + AD258 + AD281 + AD304</f>
        <v>16894</v>
      </c>
      <c r="AE327" s="841">
        <f>AE189 + AE212 + AE235 + AE258 + AE281 + AE304</f>
        <v>17614</v>
      </c>
      <c r="AF327" s="841">
        <f>AF189 + AF212 + AF235 + AF258 + AF281 + AF304</f>
        <v>16224</v>
      </c>
      <c r="AG327" s="841">
        <f>AG189 + AG212 + AG235 + AG258 + AG281 + AG304</f>
        <v>10177</v>
      </c>
      <c r="AH327" s="841">
        <f>AH189 + AH212 + AH235 + AH258 + AH281 + AH304</f>
        <v>10203</v>
      </c>
      <c r="AI327" s="841">
        <f>AI189 + AI212 + AI235 + AI258 + AI281 + AI304</f>
        <v>14763</v>
      </c>
      <c r="AJ327" s="841">
        <f>AJ189 + AJ212 + AJ235 + AJ258 + AJ281 + AJ304</f>
        <v>15611</v>
      </c>
      <c r="AK327" s="841">
        <f>AK189 + AK212 + AK235 + AK258 + AK281 + AK304</f>
        <v>12727</v>
      </c>
      <c r="AL327" s="841">
        <f>AL189 + AL212 + AL235 + AL258 + AL281 + AL304</f>
        <v>12719</v>
      </c>
      <c r="AM327" s="841">
        <f>AM189 + AM212 + AM235 + AM258 + AM281 + AM304</f>
        <v>15820</v>
      </c>
      <c r="AN327" s="841">
        <f>AN189 + AN212 + AN235 + AN258 + AN281 + AN304</f>
        <v>15850</v>
      </c>
      <c r="AO327" s="841">
        <f>AO189 + AO212 + AO235 + AO258 + AO281 + AO304</f>
        <v>13859</v>
      </c>
      <c r="AP327" s="841">
        <f>AP189 + AP212 + AP235 + AP258 + AP281 + AP304</f>
        <v>13870</v>
      </c>
    </row>
    <row r="328" hidden="1">
      <c r="B328" s="842" t="s">
        <v>20</v>
      </c>
      <c r="C328" s="839">
        <f>C190 + C213 + C236 + C259 + C282 + C305</f>
        <v>1041156</v>
      </c>
      <c r="D328" s="839">
        <f>D190 + D213 + D236 + D259 + D282 + D305</f>
        <v>1034819</v>
      </c>
      <c r="E328" s="839">
        <f>E190 + E213 + E236 + E259 + E282 + E305</f>
        <v>2156645</v>
      </c>
      <c r="F328" s="839">
        <f>F190 + F213 + F236 + F259 + F282 + F305</f>
        <v>1527383</v>
      </c>
      <c r="G328" s="839">
        <f>G190 + G213 + G236 + G259 + G282 + G305</f>
        <v>1474754</v>
      </c>
      <c r="H328" s="839">
        <f>H190 + H213 + H236 + H259 + H282 + H305</f>
        <v>1495199</v>
      </c>
      <c r="I328" s="839">
        <f>I190 + I213 + I236 + I259 + I282 + I305</f>
        <v>1475583</v>
      </c>
      <c r="J328" s="839">
        <f>J190 + J213 + J236 + J259 + J282 + J305</f>
        <v>1427641</v>
      </c>
      <c r="K328" s="839">
        <f>K190 + K213 + K236 + K259 + K282 + K305</f>
        <v>1628206</v>
      </c>
      <c r="L328" s="839">
        <f>L190 + L213 + L236 + L259 + L282 + L305</f>
        <v>1520162</v>
      </c>
      <c r="M328" s="839">
        <f>M190 + M213 + M236 + M259 + M282 + M305</f>
        <v>1739140</v>
      </c>
      <c r="N328" s="839">
        <f>N190 + N213 + N236 + N259 + N282 + N305</f>
        <v>1577511</v>
      </c>
      <c r="O328" s="839">
        <f>O190 + O213 + O236 + O259 + O282 + O305</f>
        <v>1996904</v>
      </c>
      <c r="P328" s="839">
        <f>P190 + P213 + P236 + P259 + P282 + P305</f>
        <v>1731888</v>
      </c>
      <c r="Q328" s="839">
        <f>Q190 + Q213 + Q236 + Q259 + Q282 + Q305</f>
        <v>2055079</v>
      </c>
      <c r="R328" s="839">
        <f>R190 + R213 + R236 + R259 + R282 + R305</f>
        <v>1838530</v>
      </c>
      <c r="S328" s="839">
        <f>S190 + S213 + S236 + S259 + S282 + S305</f>
        <v>2061489</v>
      </c>
      <c r="T328" s="839">
        <f>T190 + T213 + T236 + T259 + T282 + T305</f>
        <v>1874551</v>
      </c>
      <c r="U328" s="839">
        <f>U190 + U213 + U236 + U259 + U282 + U305</f>
        <v>2238355</v>
      </c>
      <c r="V328" s="839">
        <f>V190 + V213 + V236 + V259 + V282 + V305</f>
        <v>1957784</v>
      </c>
      <c r="W328" s="839">
        <f>W190 + W213 + W236 + W259 + W282 + W305</f>
        <v>2269722</v>
      </c>
      <c r="X328" s="839">
        <f>X190 + X213 + X236 + X259 + X282 + X305</f>
        <v>2061326</v>
      </c>
      <c r="Y328" s="839">
        <f>Y190 + Y213 + Y236 + Y259 + Y282 + Y305</f>
        <v>2320739</v>
      </c>
      <c r="Z328" s="839">
        <f>Z190 + Z213 + Z236 + Z259 + Z282 + Z305</f>
        <v>2126021</v>
      </c>
      <c r="AA328" s="839">
        <f>AA190 + AA213 + AA236 + AA259 + AA282 + AA305</f>
        <v>2311521</v>
      </c>
      <c r="AB328" s="839">
        <f>AB190 + AB213 + AB236 + AB259 + AB282 + AB305</f>
        <v>2145408</v>
      </c>
      <c r="AC328" s="841">
        <f>AC190 + AC213 + AC236 + AC259 + AC282 + AC305</f>
        <v>2428053</v>
      </c>
      <c r="AD328" s="841">
        <f>AD190 + AD213 + AD236 + AD259 + AD282 + AD305</f>
        <v>2203546</v>
      </c>
      <c r="AE328" s="841">
        <f>AE190 + AE213 + AE236 + AE259 + AE282 + AE305</f>
        <v>2585399</v>
      </c>
      <c r="AF328" s="841">
        <f>AF190 + AF213 + AF236 + AF259 + AF282 + AF305</f>
        <v>2292655</v>
      </c>
      <c r="AG328" s="841">
        <f>AG190 + AG213 + AG236 + AG259 + AG282 + AG305</f>
        <v>2455192</v>
      </c>
      <c r="AH328" s="841">
        <f>AH190 + AH213 + AH236 + AH259 + AH282 + AH305</f>
        <v>2229714</v>
      </c>
      <c r="AI328" s="841">
        <f>AI190 + AI213 + AI236 + AI259 + AI282 + AI305</f>
        <v>2389339</v>
      </c>
      <c r="AJ328" s="841">
        <f>AJ190 + AJ213 + AJ236 + AJ259 + AJ282 + AJ305</f>
        <v>2230406</v>
      </c>
      <c r="AK328" s="841">
        <f>AK190 + AK213 + AK236 + AK259 + AK282 + AK305</f>
        <v>2206391</v>
      </c>
      <c r="AL328" s="841">
        <f>AL190 + AL213 + AL236 + AL259 + AL282 + AL305</f>
        <v>2130630</v>
      </c>
      <c r="AM328" s="841">
        <f>AM190 + AM213 + AM236 + AM259 + AM282 + AM305</f>
        <v>2124620</v>
      </c>
      <c r="AN328" s="841">
        <f>AN190 + AN213 + AN236 + AN259 + AN282 + AN305</f>
        <v>2060387</v>
      </c>
      <c r="AO328" s="841">
        <f>AO190 + AO213 + AO236 + AO259 + AO282 + AO305</f>
        <v>2204645</v>
      </c>
      <c r="AP328" s="841">
        <f>AP190 + AP213 + AP236 + AP259 + AP282 + AP305</f>
        <v>2199362</v>
      </c>
    </row>
    <row r="329" hidden="1">
      <c r="B329" s="842" t="s">
        <v>21</v>
      </c>
      <c r="C329" s="839">
        <f>C191 + C214 + C237 + C260 + C283 + C306</f>
        <v>780415</v>
      </c>
      <c r="D329" s="839">
        <f>D191 + D214 + D237 + D260 + D283 + D306</f>
        <v>773853</v>
      </c>
      <c r="E329" s="839">
        <f>E191 + E214 + E237 + E260 + E283 + E306</f>
        <v>742304</v>
      </c>
      <c r="F329" s="839">
        <f>F191 + F214 + F237 + F260 + F283 + F306</f>
        <v>744405</v>
      </c>
      <c r="G329" s="839">
        <f>G191 + G214 + G237 + G260 + G283 + G306</f>
        <v>759688</v>
      </c>
      <c r="H329" s="839">
        <f>H191 + H214 + H237 + H260 + H283 + H306</f>
        <v>761343</v>
      </c>
      <c r="I329" s="839">
        <f>I191 + I214 + I237 + I260 + I283 + I306</f>
        <v>749218</v>
      </c>
      <c r="J329" s="839">
        <f>J191 + J214 + J237 + J260 + J283 + J306</f>
        <v>758408</v>
      </c>
      <c r="K329" s="839">
        <f>K191 + K214 + K237 + K260 + K283 + K306</f>
        <v>760431</v>
      </c>
      <c r="L329" s="839">
        <f>L191 + L214 + L237 + L260 + L283 + L306</f>
        <v>748266</v>
      </c>
      <c r="M329" s="839">
        <f>M191 + M214 + M237 + M260 + M283 + M306</f>
        <v>720206</v>
      </c>
      <c r="N329" s="839">
        <f>N191 + N214 + N237 + N260 + N283 + N306</f>
        <v>724123</v>
      </c>
      <c r="O329" s="839">
        <f>O191 + O214 + O237 + O260 + O283 + O306</f>
        <v>696694</v>
      </c>
      <c r="P329" s="839">
        <f>P191 + P214 + P237 + P260 + P283 + P306</f>
        <v>697357</v>
      </c>
      <c r="Q329" s="839">
        <f>Q191 + Q214 + Q237 + Q260 + Q283 + Q306</f>
        <v>701828</v>
      </c>
      <c r="R329" s="839">
        <f>R191 + R214 + R237 + R260 + R283 + R306</f>
        <v>709592</v>
      </c>
      <c r="S329" s="839">
        <f>S191 + S214 + S237 + S260 + S283 + S306</f>
        <v>711416</v>
      </c>
      <c r="T329" s="839">
        <f>T191 + T214 + T237 + T260 + T283 + T306</f>
        <v>714152</v>
      </c>
      <c r="U329" s="839">
        <f>U191 + U214 + U237 + U260 + U283 + U306</f>
        <v>727498</v>
      </c>
      <c r="V329" s="839">
        <f>V191 + V214 + V237 + V260 + V283 + V306</f>
        <v>726524</v>
      </c>
      <c r="W329" s="839">
        <f>W191 + W214 + W237 + W260 + W283 + W306</f>
        <v>729544</v>
      </c>
      <c r="X329" s="839">
        <f>X191 + X214 + X237 + X260 + X283 + X306</f>
        <v>728936</v>
      </c>
      <c r="Y329" s="839">
        <f>Y191 + Y214 + Y237 + Y260 + Y283 + Y306</f>
        <v>768382</v>
      </c>
      <c r="Z329" s="839">
        <f>Z191 + Z214 + Z237 + Z260 + Z283 + Z306</f>
        <v>773117</v>
      </c>
      <c r="AA329" s="839">
        <f>AA191 + AA214 + AA237 + AA260 + AA283 + AA306</f>
        <v>802497</v>
      </c>
      <c r="AB329" s="839">
        <f>AB191 + AB214 + AB237 + AB260 + AB283 + AB306</f>
        <v>804466</v>
      </c>
      <c r="AC329" s="841">
        <f>AC191 + AC214 + AC237 + AC260 + AC283 + AC306</f>
        <v>809128</v>
      </c>
      <c r="AD329" s="841">
        <f>AD191 + AD214 + AD237 + AD260 + AD283 + AD306</f>
        <v>820718</v>
      </c>
      <c r="AE329" s="841">
        <f>AE191 + AE214 + AE237 + AE260 + AE283 + AE306</f>
        <v>849659</v>
      </c>
      <c r="AF329" s="841">
        <f>AF191 + AF214 + AF237 + AF260 + AF283 + AF306</f>
        <v>856023</v>
      </c>
      <c r="AG329" s="841">
        <f>AG191 + AG214 + AG237 + AG260 + AG283 + AG306</f>
        <v>878085</v>
      </c>
      <c r="AH329" s="841">
        <f>AH191 + AH214 + AH237 + AH260 + AH283 + AH306</f>
        <v>881977</v>
      </c>
      <c r="AI329" s="841">
        <f>AI191 + AI214 + AI237 + AI260 + AI283 + AI306</f>
        <v>882822</v>
      </c>
      <c r="AJ329" s="841">
        <f>AJ191 + AJ214 + AJ237 + AJ260 + AJ283 + AJ306</f>
        <v>882369</v>
      </c>
      <c r="AK329" s="841">
        <f>AK191 + AK214 + AK237 + AK260 + AK283 + AK306</f>
        <v>873981</v>
      </c>
      <c r="AL329" s="841">
        <f>AL191 + AL214 + AL237 + AL260 + AL283 + AL306</f>
        <v>885102</v>
      </c>
      <c r="AM329" s="841">
        <f>AM191 + AM214 + AM237 + AM260 + AM283 + AM306</f>
        <v>867719</v>
      </c>
      <c r="AN329" s="841">
        <f>AN191 + AN214 + AN237 + AN260 + AN283 + AN306</f>
        <v>858152</v>
      </c>
      <c r="AO329" s="841">
        <f>AO191 + AO214 + AO237 + AO260 + AO283 + AO306</f>
        <v>855532</v>
      </c>
      <c r="AP329" s="841">
        <f>AP191 + AP214 + AP237 + AP260 + AP283 + AP306</f>
        <v>851809</v>
      </c>
    </row>
    <row r="330" hidden="1">
      <c r="B330" s="842" t="s">
        <v>22</v>
      </c>
      <c r="C330" s="839">
        <f>C192 + C215 + C238 + C261 + C284 + C307</f>
        <v>16761</v>
      </c>
      <c r="D330" s="839">
        <f>D192 + D215 + D238 + D261 + D284 + D307</f>
        <v>17528</v>
      </c>
      <c r="E330" s="839">
        <f>E192 + E215 + E238 + E261 + E284 + E307</f>
        <v>16966</v>
      </c>
      <c r="F330" s="839">
        <f>F192 + F215 + F238 + F261 + F284 + F307</f>
        <v>15742</v>
      </c>
      <c r="G330" s="839">
        <f>G192 + G215 + G238 + G261 + G284 + G307</f>
        <v>16816</v>
      </c>
      <c r="H330" s="839">
        <f>H192 + H215 + H238 + H261 + H284 + H307</f>
        <v>105541</v>
      </c>
      <c r="I330" s="839">
        <f>I192 + I215 + I238 + I261 + I284 + I307</f>
        <v>106311</v>
      </c>
      <c r="J330" s="839">
        <f>J192 + J215 + J238 + J261 + J284 + J307</f>
        <v>105905</v>
      </c>
      <c r="K330" s="839">
        <f>K192 + K215 + K238 + K261 + K284 + K307</f>
        <v>109848</v>
      </c>
      <c r="L330" s="839">
        <f>L192 + L215 + L238 + L261 + L284 + L307</f>
        <v>108230</v>
      </c>
      <c r="M330" s="839">
        <f>M192 + M215 + M238 + M261 + M284 + M307</f>
        <v>107572</v>
      </c>
      <c r="N330" s="839">
        <f>N192 + N215 + N238 + N261 + N284 + N307</f>
        <v>105496</v>
      </c>
      <c r="O330" s="839">
        <f>O192 + O215 + O238 + O261 + O284 + O307</f>
        <v>100477</v>
      </c>
      <c r="P330" s="839">
        <f>P192 + P215 + P238 + P261 + P284 + P307</f>
        <v>100900</v>
      </c>
      <c r="Q330" s="839">
        <f>Q192 + Q215 + Q238 + Q261 + Q284 + Q307</f>
        <v>110201</v>
      </c>
      <c r="R330" s="839">
        <f>R192 + R215 + R238 + R261 + R284 + R307</f>
        <v>31074</v>
      </c>
      <c r="S330" s="839">
        <f>S192 + S215 + S238 + S261 + S284 + S307</f>
        <v>20284</v>
      </c>
      <c r="T330" s="839">
        <f>T192 + T215 + T238 + T261 + T284 + T307</f>
        <v>20280</v>
      </c>
      <c r="U330" s="839">
        <f>U192 + U215 + U238 + U261 + U284 + U307</f>
        <v>21315</v>
      </c>
      <c r="V330" s="839">
        <f>V192 + V215 + V238 + V261 + V284 + V307</f>
        <v>21536</v>
      </c>
      <c r="W330" s="839">
        <f>W192 + W215 + W238 + W261 + W284 + W307</f>
        <v>25741</v>
      </c>
      <c r="X330" s="839">
        <f>X192 + X215 + X238 + X261 + X284 + X307</f>
        <v>25667</v>
      </c>
      <c r="Y330" s="839">
        <f>Y192 + Y215 + Y238 + Y261 + Y284 + Y307</f>
        <v>25160</v>
      </c>
      <c r="Z330" s="839">
        <f>Z192 + Z215 + Z238 + Z261 + Z284 + Z307</f>
        <v>25446</v>
      </c>
      <c r="AA330" s="839">
        <f>AA192 + AA215 + AA238 + AA261 + AA284 + AA307</f>
        <v>26818</v>
      </c>
      <c r="AB330" s="839">
        <f>AB192 + AB215 + AB238 + AB261 + AB284 + AB307</f>
        <v>26969</v>
      </c>
      <c r="AC330" s="841">
        <f>AC192 + AC215 + AC238 + AC261 + AC284 + AC307</f>
        <v>25455</v>
      </c>
      <c r="AD330" s="841">
        <f>AD192 + AD215 + AD238 + AD261 + AD284 + AD307</f>
        <v>25458</v>
      </c>
      <c r="AE330" s="841">
        <f>AE192 + AE215 + AE238 + AE261 + AE284 + AE307</f>
        <v>26489</v>
      </c>
      <c r="AF330" s="841">
        <f>AF192 + AF215 + AF238 + AF261 + AF284 + AF307</f>
        <v>26616</v>
      </c>
      <c r="AG330" s="841">
        <f>AG192 + AG215 + AG238 + AG261 + AG284 + AG307</f>
        <v>26553</v>
      </c>
      <c r="AH330" s="841">
        <f>AH192 + AH215 + AH238 + AH261 + AH284 + AH307</f>
        <v>26408</v>
      </c>
      <c r="AI330" s="841">
        <f>AI192 + AI215 + AI238 + AI261 + AI284 + AI307</f>
        <v>26667</v>
      </c>
      <c r="AJ330" s="841">
        <f>AJ192 + AJ215 + AJ238 + AJ261 + AJ284 + AJ307</f>
        <v>26976</v>
      </c>
      <c r="AK330" s="841">
        <f>AK192 + AK215 + AK238 + AK261 + AK284 + AK307</f>
        <v>26641</v>
      </c>
      <c r="AL330" s="841">
        <f>AL192 + AL215 + AL238 + AL261 + AL284 + AL307</f>
        <v>25782</v>
      </c>
      <c r="AM330" s="841">
        <f>AM192 + AM215 + AM238 + AM261 + AM284 + AM307</f>
        <v>26644</v>
      </c>
      <c r="AN330" s="841">
        <f>AN192 + AN215 + AN238 + AN261 + AN284 + AN307</f>
        <v>26649</v>
      </c>
      <c r="AO330" s="841">
        <f>AO192 + AO215 + AO238 + AO261 + AO284 + AO307</f>
        <v>23110</v>
      </c>
      <c r="AP330" s="841">
        <f>AP192 + AP215 + AP238 + AP261 + AP284 + AP307</f>
        <v>22828</v>
      </c>
    </row>
    <row r="331" hidden="1" ht="12" customHeight="1">
      <c r="B331" s="842" t="s">
        <v>23</v>
      </c>
      <c r="C331" s="839">
        <f>C193 + C216 + C239 + C262 + C285 + C308</f>
        <v>101389</v>
      </c>
      <c r="D331" s="839">
        <f>D193 + D216 + D239 + D262 + D285 + D308</f>
        <v>100333</v>
      </c>
      <c r="E331" s="839">
        <f>E193 + E216 + E239 + E262 + E285 + E308</f>
        <v>109848</v>
      </c>
      <c r="F331" s="839">
        <f>F193 + F216 + F239 + F262 + F285 + F308</f>
        <v>109366</v>
      </c>
      <c r="G331" s="839">
        <f>G193 + G216 + G239 + G262 + G285 + G308</f>
        <v>111750</v>
      </c>
      <c r="H331" s="839">
        <f>H193 + H216 + H239 + H262 + H285 + H308</f>
        <v>111739</v>
      </c>
      <c r="I331" s="839">
        <f>I193 + I216 + I239 + I262 + I285 + I308</f>
        <v>111268</v>
      </c>
      <c r="J331" s="839">
        <f>J193 + J216 + J239 + J262 + J285 + J308</f>
        <v>111212</v>
      </c>
      <c r="K331" s="839">
        <f>K193 + K216 + K239 + K262 + K285 + K308</f>
        <v>107254</v>
      </c>
      <c r="L331" s="839">
        <f>L193 + L216 + L239 + L262 + L285 + L308</f>
        <v>104220</v>
      </c>
      <c r="M331" s="839">
        <f>M193 + M216 + M239 + M262 + M285 + M308</f>
        <v>105118</v>
      </c>
      <c r="N331" s="839">
        <f>N193 + N216 + N239 + N262 + N285 + N308</f>
        <v>105107</v>
      </c>
      <c r="O331" s="839">
        <f>O193 + O216 + O239 + O262 + O285 + O308</f>
        <v>109336</v>
      </c>
      <c r="P331" s="839">
        <f>P193 + P216 + P239 + P262 + P285 + P308</f>
        <v>96218</v>
      </c>
      <c r="Q331" s="839">
        <f>Q193 + Q216 + Q239 + Q262 + Q285 + Q308</f>
        <v>109228</v>
      </c>
      <c r="R331" s="839">
        <f>R193 + R216 + R239 + R262 + R285 + R308</f>
        <v>93579</v>
      </c>
      <c r="S331" s="839">
        <f>S193 + S216 + S239 + S262 + S285 + S308</f>
        <v>104420</v>
      </c>
      <c r="T331" s="839">
        <f>T193 + T216 + T239 + T262 + T285 + T308</f>
        <v>104533</v>
      </c>
      <c r="U331" s="839">
        <f>U193 + U216 + U239 + U262 + U285 + U308</f>
        <v>116132</v>
      </c>
      <c r="V331" s="839">
        <f>V193 + V216 + V239 + V262 + V285 + V308</f>
        <v>116136</v>
      </c>
      <c r="W331" s="839">
        <f>W193 + W216 + W239 + W262 + W285 + W308</f>
        <v>133201</v>
      </c>
      <c r="X331" s="839">
        <f>X193 + X216 + X239 + X262 + X285 + X308</f>
        <v>134701</v>
      </c>
      <c r="Y331" s="839">
        <f>Y193 + Y216 + Y239 + Y262 + Y285 + Y308</f>
        <v>141330</v>
      </c>
      <c r="Z331" s="839">
        <f>Z193 + Z216 + Z239 + Z262 + Z285 + Z308</f>
        <v>141331</v>
      </c>
      <c r="AA331" s="839">
        <f>AA193 + AA216 + AA239 + AA262 + AA285 + AA308</f>
        <v>150370</v>
      </c>
      <c r="AB331" s="839">
        <f>AB193 + AB216 + AB239 + AB262 + AB285 + AB308</f>
        <v>150366</v>
      </c>
      <c r="AC331" s="841">
        <f>AC193 + AC216 + AC239 + AC262 + AC285 + AC308</f>
        <v>157101</v>
      </c>
      <c r="AD331" s="841">
        <f>AD193 + AD216 + AD239 + AD262 + AD285 + AD308</f>
        <v>157099</v>
      </c>
      <c r="AE331" s="841">
        <f>AE193 + AE216 + AE239 + AE262 + AE285 + AE308</f>
        <v>168497</v>
      </c>
      <c r="AF331" s="841">
        <f>AF193 + AF216 + AF239 + AF262 + AF285 + AF308</f>
        <v>168443</v>
      </c>
      <c r="AG331" s="841">
        <f>AG193 + AG216 + AG239 + AG262 + AG285 + AG308</f>
        <v>166586</v>
      </c>
      <c r="AH331" s="841">
        <f>AH193 + AH216 + AH239 + AH262 + AH285 + AH308</f>
        <v>166584</v>
      </c>
      <c r="AI331" s="841">
        <f>AI193 + AI216 + AI239 + AI262 + AI285 + AI308</f>
        <v>174443</v>
      </c>
      <c r="AJ331" s="841">
        <f>AJ193 + AJ216 + AJ239 + AJ262 + AJ285 + AJ308</f>
        <v>174435</v>
      </c>
      <c r="AK331" s="841">
        <f>AK193 + AK216 + AK239 + AK262 + AK285 + AK308</f>
        <v>165345</v>
      </c>
      <c r="AL331" s="841">
        <f>AL193 + AL216 + AL239 + AL262 + AL285 + AL308</f>
        <v>172854</v>
      </c>
      <c r="AM331" s="841">
        <f>AM193 + AM216 + AM239 + AM262 + AM285 + AM308</f>
        <v>180169</v>
      </c>
      <c r="AN331" s="841">
        <f>AN193 + AN216 + AN239 + AN262 + AN285 + AN308</f>
        <v>179800</v>
      </c>
      <c r="AO331" s="841">
        <f>AO193 + AO216 + AO239 + AO262 + AO285 + AO308</f>
        <v>186330</v>
      </c>
      <c r="AP331" s="841">
        <f>AP193 + AP216 + AP239 + AP262 + AP285 + AP308</f>
        <v>186040</v>
      </c>
    </row>
    <row r="332" hidden="1">
      <c r="B332" s="843" t="s">
        <v>24</v>
      </c>
      <c r="C332" s="839">
        <f>C194 + C217 + C240 + C263 + C286 + C309</f>
        <v>1321830</v>
      </c>
      <c r="D332" s="839">
        <f>D194 + D217 + D240 + D263 + D286 + D309</f>
        <v>1279586</v>
      </c>
      <c r="E332" s="839">
        <f>E194 + E217 + E240 + E263 + E286 + E309</f>
        <v>1280406</v>
      </c>
      <c r="F332" s="839">
        <f>F194 + F217 + F240 + F263 + F286 + F309</f>
        <v>1278527</v>
      </c>
      <c r="G332" s="839">
        <f>G194 + G217 + G240 + G263 + G286 + G309</f>
        <v>1310817</v>
      </c>
      <c r="H332" s="839">
        <f>H194 + H217 + H240 + H263 + H286 + H309</f>
        <v>1306405</v>
      </c>
      <c r="I332" s="839">
        <f>I194 + I217 + I240 + I263 + I286 + I309</f>
        <v>1277582</v>
      </c>
      <c r="J332" s="839">
        <f>J194 + J217 + J240 + J263 + J286 + J309</f>
        <v>1264245</v>
      </c>
      <c r="K332" s="839">
        <f>K194 + K217 + K240 + K263 + K286 + K309</f>
        <v>1239379</v>
      </c>
      <c r="L332" s="839">
        <f>L194 + L217 + L240 + L263 + L286 + L309</f>
        <v>1216158</v>
      </c>
      <c r="M332" s="839">
        <f>M194 + M217 + M240 + M263 + M286 + M309</f>
        <v>1234106</v>
      </c>
      <c r="N332" s="839">
        <f>N194 + N217 + N240 + N263 + N286 + N309</f>
        <v>1227178</v>
      </c>
      <c r="O332" s="839">
        <f>O194 + O217 + O240 + O263 + O286 + O309</f>
        <v>1198382</v>
      </c>
      <c r="P332" s="839">
        <f>P194 + P217 + P240 + P263 + P286 + P309</f>
        <v>1179549</v>
      </c>
      <c r="Q332" s="839">
        <f>Q194 + Q217 + Q240 + Q263 + Q286 + Q309</f>
        <v>1173277</v>
      </c>
      <c r="R332" s="839">
        <f>R194 + R217 + R240 + R263 + R286 + R309</f>
        <v>1163863</v>
      </c>
      <c r="S332" s="839">
        <f>S194 + S217 + S240 + S263 + S286 + S309</f>
        <v>1250661</v>
      </c>
      <c r="T332" s="839">
        <f>T194 + T217 + T240 + T263 + T286 + T309</f>
        <v>1276797</v>
      </c>
      <c r="U332" s="839">
        <f>U194 + U217 + U240 + U263 + U286 + U309</f>
        <v>1320248</v>
      </c>
      <c r="V332" s="839">
        <f>V194 + V217 + V240 + V263 + V286 + V309</f>
        <v>1306377</v>
      </c>
      <c r="W332" s="839">
        <f>W194 + W217 + W240 + W263 + W286 + W309</f>
        <v>1322009</v>
      </c>
      <c r="X332" s="839">
        <f>X194 + X217 + X240 + X263 + X286 + X309</f>
        <v>1318267</v>
      </c>
      <c r="Y332" s="839">
        <f>Y194 + Y217 + Y240 + Y263 + Y286 + Y309</f>
        <v>1323234</v>
      </c>
      <c r="Z332" s="839">
        <f>Z194 + Z217 + Z240 + Z263 + Z286 + Z309</f>
        <v>1321130</v>
      </c>
      <c r="AA332" s="839">
        <f>AA194 + AA217 + AA240 + AA263 + AA286 + AA309</f>
        <v>1338016</v>
      </c>
      <c r="AB332" s="839">
        <f>AB194 + AB217 + AB240 + AB263 + AB286 + AB309</f>
        <v>1340189</v>
      </c>
      <c r="AC332" s="841">
        <f>AC194 + AC217 + AC240 + AC263 + AC286 + AC309</f>
        <v>1369350</v>
      </c>
      <c r="AD332" s="841">
        <f>AD194 + AD217 + AD240 + AD263 + AD286 + AD309</f>
        <v>1362024</v>
      </c>
      <c r="AE332" s="841">
        <f>AE194 + AE217 + AE240 + AE263 + AE286 + AE309</f>
        <v>1382993</v>
      </c>
      <c r="AF332" s="841">
        <f>AF194 + AF217 + AF240 + AF263 + AF286 + AF309</f>
        <v>1384202</v>
      </c>
      <c r="AG332" s="841">
        <f>AG194 + AG217 + AG240 + AG263 + AG286 + AG309</f>
        <v>1413284</v>
      </c>
      <c r="AH332" s="841">
        <f>AH194 + AH217 + AH240 + AH263 + AH286 + AH309</f>
        <v>1404043</v>
      </c>
      <c r="AI332" s="841">
        <f>AI194 + AI217 + AI240 + AI263 + AI286 + AI309</f>
        <v>1470789</v>
      </c>
      <c r="AJ332" s="841">
        <f>AJ194 + AJ217 + AJ240 + AJ263 + AJ286 + AJ309</f>
        <v>1451893</v>
      </c>
      <c r="AK332" s="841">
        <f>AK194 + AK217 + AK240 + AK263 + AK286 + AK309</f>
        <v>1370497</v>
      </c>
      <c r="AL332" s="841">
        <f>AL194 + AL217 + AL240 + AL263 + AL286 + AL309</f>
        <v>1361186</v>
      </c>
      <c r="AM332" s="841">
        <f>AM194 + AM217 + AM240 + AM263 + AM286 + AM309</f>
        <v>1260442</v>
      </c>
      <c r="AN332" s="841">
        <f>AN194 + AN217 + AN240 + AN263 + AN286 + AN309</f>
        <v>1252921</v>
      </c>
      <c r="AO332" s="841">
        <f>AO194 + AO217 + AO240 + AO263 + AO286 + AO309</f>
        <v>1275078</v>
      </c>
      <c r="AP332" s="841">
        <f>AP194 + AP217 + AP240 + AP263 + AP286 + AP309</f>
        <v>1263162</v>
      </c>
    </row>
    <row r="333" hidden="1">
      <c r="B333" s="842" t="s">
        <v>25</v>
      </c>
      <c r="C333" s="839">
        <f>C195 + C218 + C241 + C264 + C287 + C310</f>
        <v>0</v>
      </c>
      <c r="D333" s="839">
        <f>D195 + D218 + D241 + D264 + D287 + D310</f>
        <v>0</v>
      </c>
      <c r="E333" s="839">
        <f>E195 + E218 + E241 + E264 + E287 + E310</f>
        <v>0</v>
      </c>
      <c r="F333" s="839">
        <f>F195 + F218 + F241 + F264 + F287 + F310</f>
        <v>0</v>
      </c>
      <c r="G333" s="839">
        <f>G195 + G218 + G241 + G264 + G287 + G310</f>
        <v>0</v>
      </c>
      <c r="H333" s="839">
        <f>H195 + H218 + H241 + H264 + H287 + H310</f>
        <v>0</v>
      </c>
      <c r="I333" s="839">
        <f>I195 + I218 + I241 + I264 + I287 + I310</f>
        <v>0</v>
      </c>
      <c r="J333" s="839">
        <f>J195 + J218 + J241 + J264 + J287 + J310</f>
        <v>0</v>
      </c>
      <c r="K333" s="839">
        <f>K195 + K218 + K241 + K264 + K287 + K310</f>
        <v>0</v>
      </c>
      <c r="L333" s="839">
        <f>L195 + L218 + L241 + L264 + L287 + L310</f>
        <v>0</v>
      </c>
      <c r="M333" s="839">
        <f>M195 + M218 + M241 + M264 + M287 + M310</f>
        <v>0</v>
      </c>
      <c r="N333" s="839">
        <f>N195 + N218 + N241 + N264 + N287 + N310</f>
        <v>0</v>
      </c>
      <c r="O333" s="839">
        <f>O195 + O218 + O241 + O264 + O287 + O310</f>
        <v>0</v>
      </c>
      <c r="P333" s="839">
        <f>P195 + P218 + P241 + P264 + P287 + P310</f>
        <v>0</v>
      </c>
      <c r="Q333" s="839">
        <f>Q195 + Q218 + Q241 + Q264 + Q287 + Q310</f>
        <v>0</v>
      </c>
      <c r="R333" s="839">
        <f>R195 + R218 + R241 + R264 + R287 + R310</f>
        <v>0</v>
      </c>
      <c r="S333" s="839">
        <f>S195 + S218 + S241 + S264 + S287 + S310</f>
        <v>0</v>
      </c>
      <c r="T333" s="839">
        <f>T195 + T218 + T241 + T264 + T287 + T310</f>
        <v>0</v>
      </c>
      <c r="U333" s="839">
        <f>U195 + U218 + U241 + U264 + U287 + U310</f>
        <v>0</v>
      </c>
      <c r="V333" s="839">
        <f>V195 + V218 + V241 + V264 + V287 + V310</f>
        <v>0</v>
      </c>
      <c r="W333" s="839">
        <f>W195 + W218 + W241 + W264 + W287 + W310</f>
        <v>0</v>
      </c>
      <c r="X333" s="839">
        <f>X195 + X218 + X241 + X264 + X287 + X310</f>
        <v>0</v>
      </c>
      <c r="Y333" s="839">
        <f>Y195 + Y218 + Y241 + Y264 + Y287 + Y310</f>
        <v>0</v>
      </c>
      <c r="Z333" s="839">
        <f>Z195 + Z218 + Z241 + Z264 + Z287 + Z310</f>
        <v>0</v>
      </c>
      <c r="AA333" s="839">
        <f>AA195 + AA218 + AA241 + AA264 + AA287 + AA310</f>
        <v>0</v>
      </c>
      <c r="AB333" s="839">
        <f>AB195 + AB218 + AB241 + AB264 + AB287 + AB310</f>
        <v>0</v>
      </c>
      <c r="AC333" s="841">
        <f>AC195 + AC218 + AC241 + AC264 + AC287 + AC310</f>
        <v>0</v>
      </c>
      <c r="AD333" s="841">
        <f>AD195 + AD218 + AD241 + AD264 + AD287 + AD310</f>
        <v>0</v>
      </c>
      <c r="AE333" s="841">
        <f>AE195 + AE218 + AE241 + AE264 + AE287 + AE310</f>
        <v>0</v>
      </c>
      <c r="AF333" s="841">
        <f>AF195 + AF218 + AF241 + AF264 + AF287 + AF310</f>
        <v>0</v>
      </c>
      <c r="AG333" s="841">
        <f>AG195 + AG218 + AG241 + AG264 + AG287 + AG310</f>
        <v>0</v>
      </c>
      <c r="AH333" s="841">
        <f>AH195 + AH218 + AH241 + AH264 + AH287 + AH310</f>
        <v>0</v>
      </c>
      <c r="AI333" s="841">
        <f>AI195 + AI218 + AI241 + AI264 + AI287 + AI310</f>
        <v>0</v>
      </c>
      <c r="AJ333" s="841">
        <f>AJ195 + AJ218 + AJ241 + AJ264 + AJ287 + AJ310</f>
        <v>0</v>
      </c>
      <c r="AK333" s="841">
        <f>AK195 + AK218 + AK241 + AK264 + AK287 + AK310</f>
        <v>0</v>
      </c>
      <c r="AL333" s="841">
        <f>AL195 + AL218 + AL241 + AL264 + AL287 + AL310</f>
        <v>0</v>
      </c>
      <c r="AM333" s="841">
        <f>AM195 + AM218 + AM241 + AM264 + AM287 + AM310</f>
        <v>0</v>
      </c>
      <c r="AN333" s="841">
        <f>AN195 + AN218 + AN241 + AN264 + AN287 + AN310</f>
        <v>0</v>
      </c>
      <c r="AO333" s="841">
        <f>AO195 + AO218 + AO241 + AO264 + AO287 + AO310</f>
        <v>0</v>
      </c>
      <c r="AP333" s="841">
        <f>AP195 + AP218 + AP241 + AP264 + AP287 + AP310</f>
        <v>0</v>
      </c>
    </row>
    <row r="334" hidden="1" ht="13.5">
      <c r="B334" s="844" t="s">
        <v>26</v>
      </c>
      <c r="C334" s="839">
        <f>C196 + C219 + C242 + C265 + C288 + C311</f>
        <v>0</v>
      </c>
      <c r="D334" s="839">
        <f>D196 + D219 + D242 + D265 + D288 + D311</f>
        <v>0</v>
      </c>
      <c r="E334" s="839">
        <f>E196 + E219 + E242 + E265 + E288 + E311</f>
        <v>0</v>
      </c>
      <c r="F334" s="839">
        <f>F196 + F219 + F242 + F265 + F288 + F311</f>
        <v>0</v>
      </c>
      <c r="G334" s="839">
        <f>G196 + G219 + G242 + G265 + G288 + G311</f>
        <v>0</v>
      </c>
      <c r="H334" s="839">
        <f>H196 + H219 + H242 + H265 + H288 + H311</f>
        <v>0</v>
      </c>
      <c r="I334" s="839">
        <f>I196 + I219 + I242 + I265 + I288 + I311</f>
        <v>0</v>
      </c>
      <c r="J334" s="839">
        <f>J196 + J219 + J242 + J265 + J288 + J311</f>
        <v>0</v>
      </c>
      <c r="K334" s="839">
        <f>K196 + K219 + K242 + K265 + K288 + K311</f>
        <v>0</v>
      </c>
      <c r="L334" s="839">
        <f>L196 + L219 + L242 + L265 + L288 + L311</f>
        <v>0</v>
      </c>
      <c r="M334" s="839">
        <f>M196 + M219 + M242 + M265 + M288 + M311</f>
        <v>0</v>
      </c>
      <c r="N334" s="839">
        <f>N196 + N219 + N242 + N265 + N288 + N311</f>
        <v>0</v>
      </c>
      <c r="O334" s="839">
        <f>O196 + O219 + O242 + O265 + O288 + O311</f>
        <v>0</v>
      </c>
      <c r="P334" s="839">
        <f>P196 + P219 + P242 + P265 + P288 + P311</f>
        <v>0</v>
      </c>
      <c r="Q334" s="839">
        <f>Q196 + Q219 + Q242 + Q265 + Q288 + Q311</f>
        <v>0</v>
      </c>
      <c r="R334" s="839">
        <f>R196 + R219 + R242 + R265 + R288 + R311</f>
        <v>0</v>
      </c>
      <c r="S334" s="839">
        <f>S196 + S219 + S242 + S265 + S288 + S311</f>
        <v>0</v>
      </c>
      <c r="T334" s="839">
        <f>T196 + T219 + T242 + T265 + T288 + T311</f>
        <v>0</v>
      </c>
      <c r="U334" s="839">
        <f>U196 + U219 + U242 + U265 + U288 + U311</f>
        <v>0</v>
      </c>
      <c r="V334" s="839">
        <f>V196 + V219 + V242 + V265 + V288 + V311</f>
        <v>0</v>
      </c>
      <c r="W334" s="839">
        <f>W196 + W219 + W242 + W265 + W288 + W311</f>
        <v>0</v>
      </c>
      <c r="X334" s="839">
        <f>X196 + X219 + X242 + X265 + X288 + X311</f>
        <v>0</v>
      </c>
      <c r="Y334" s="839">
        <f>Y196 + Y219 + Y242 + Y265 + Y288 + Y311</f>
        <v>0</v>
      </c>
      <c r="Z334" s="839">
        <f>Z196 + Z219 + Z242 + Z265 + Z288 + Z311</f>
        <v>0</v>
      </c>
      <c r="AA334" s="839">
        <f>AA196 + AA219 + AA242 + AA265 + AA288 + AA311</f>
        <v>0</v>
      </c>
      <c r="AB334" s="845">
        <f>AB196 + AB219 + AB242 + AB265 + AB288 + AB311</f>
        <v>0</v>
      </c>
      <c r="AC334" s="841">
        <f>AC196 + AC219 + AC242 + AC265 + AC288 + AC311</f>
        <v>0</v>
      </c>
      <c r="AD334" s="841">
        <f>AD196 + AD219 + AD242 + AD265 + AD288 + AD311</f>
        <v>0</v>
      </c>
      <c r="AE334" s="841">
        <f>AE196 + AE219 + AE242 + AE265 + AE288 + AE311</f>
        <v>0</v>
      </c>
      <c r="AF334" s="841">
        <f>AF196 + AF219 + AF242 + AF265 + AF288 + AF311</f>
        <v>0</v>
      </c>
      <c r="AG334" s="841">
        <f>AG196 + AG219 + AG242 + AG265 + AG288 + AG311</f>
        <v>0</v>
      </c>
      <c r="AH334" s="841">
        <f>AH196 + AH219 + AH242 + AH265 + AH288 + AH311</f>
        <v>0</v>
      </c>
      <c r="AI334" s="841">
        <f>AI196 + AI219 + AI242 + AI265 + AI288 + AI311</f>
        <v>0</v>
      </c>
      <c r="AJ334" s="841">
        <f>AJ196 + AJ219 + AJ242 + AJ265 + AJ288 + AJ311</f>
        <v>0</v>
      </c>
      <c r="AK334" s="841">
        <f>AK196 + AK219 + AK242 + AK265 + AK288 + AK311</f>
        <v>0</v>
      </c>
      <c r="AL334" s="841">
        <f>AL196 + AL219 + AL242 + AL265 + AL288 + AL311</f>
        <v>0</v>
      </c>
      <c r="AM334" s="841">
        <f>AM196 + AM219 + AM242 + AM265 + AM288 + AM311</f>
        <v>0</v>
      </c>
      <c r="AN334" s="841">
        <f>AN196 + AN219 + AN242 + AN265 + AN288 + AN311</f>
        <v>0</v>
      </c>
      <c r="AO334" s="841">
        <f>AO196 + AO219 + AO242 + AO265 + AO288 + AO311</f>
        <v>0</v>
      </c>
      <c r="AP334" s="841">
        <f>AP196 + AP219 + AP242 + AP265 + AP288 + AP311</f>
        <v>0</v>
      </c>
    </row>
    <row r="335" hidden="1" ht="13.5">
      <c r="B335" s="128" t="s">
        <v>7</v>
      </c>
      <c r="C335" s="129" t="str">
        <f>IF(SUM(C316:C334)&lt;&gt;0,SUM(C316:C334),"")</f>
      </c>
      <c r="D335" s="129" t="str">
        <f ref="D335:AA335" t="shared" si="30">IF(SUM(D316:D334)&lt;&gt;0,SUM(D316:D334),"")</f>
      </c>
      <c r="E335" s="129" t="str">
        <f t="shared" si="30"/>
      </c>
      <c r="F335" s="129" t="str">
        <f t="shared" si="30"/>
      </c>
      <c r="G335" s="129" t="str">
        <f t="shared" si="30"/>
      </c>
      <c r="H335" s="129" t="str">
        <f t="shared" si="30"/>
      </c>
      <c r="I335" s="129" t="str">
        <f t="shared" si="30"/>
      </c>
      <c r="J335" s="129" t="str">
        <f t="shared" si="30"/>
      </c>
      <c r="K335" s="129" t="str">
        <f t="shared" si="30"/>
      </c>
      <c r="L335" s="129" t="str">
        <f t="shared" si="30"/>
      </c>
      <c r="M335" s="129" t="str">
        <f t="shared" si="30"/>
      </c>
      <c r="N335" s="129" t="str">
        <f t="shared" si="30"/>
      </c>
      <c r="O335" s="129" t="str">
        <f t="shared" si="30"/>
      </c>
      <c r="P335" s="129" t="str">
        <f t="shared" si="30"/>
      </c>
      <c r="Q335" s="129" t="str">
        <f t="shared" si="30"/>
      </c>
      <c r="R335" s="129" t="str">
        <f t="shared" si="30"/>
      </c>
      <c r="S335" s="129" t="str">
        <f t="shared" si="30"/>
      </c>
      <c r="T335" s="129" t="str">
        <f t="shared" si="30"/>
      </c>
      <c r="U335" s="129" t="str">
        <f t="shared" si="30"/>
      </c>
      <c r="V335" s="129" t="str">
        <f t="shared" si="30"/>
      </c>
      <c r="W335" s="129" t="str">
        <f t="shared" si="30"/>
      </c>
      <c r="X335" s="129" t="str">
        <f t="shared" si="30"/>
      </c>
      <c r="Y335" s="129" t="str">
        <f t="shared" si="30"/>
      </c>
      <c r="Z335" s="129" t="str">
        <f t="shared" si="30"/>
      </c>
      <c r="AA335" s="129" t="str">
        <f t="shared" si="30"/>
      </c>
      <c r="AB335" s="130" t="str">
        <f>IF(SUM(AB316:AB334)&lt;&gt;0,SUM(AB316:AB334),"")</f>
      </c>
      <c r="AC335" s="91" t="str">
        <f ref="AC335:CN335" t="shared" si="31">IF(SUM(AC316:AC334)&lt;&gt;0,SUM(AC316:AC334),"")</f>
      </c>
      <c r="AD335" s="91" t="str">
        <f t="shared" si="31"/>
      </c>
      <c r="AE335" s="91" t="str">
        <f t="shared" si="31"/>
      </c>
      <c r="AF335" s="91" t="str">
        <f t="shared" si="31"/>
      </c>
      <c r="AG335" s="91" t="str">
        <f t="shared" si="31"/>
      </c>
      <c r="AH335" s="91" t="str">
        <f t="shared" si="31"/>
      </c>
      <c r="AI335" s="91" t="str">
        <f t="shared" si="31"/>
      </c>
      <c r="AJ335" s="91" t="str">
        <f t="shared" si="31"/>
      </c>
      <c r="AK335" s="91" t="str">
        <f t="shared" si="31"/>
      </c>
      <c r="AL335" s="91" t="str">
        <f t="shared" si="31"/>
      </c>
      <c r="AM335" s="91" t="str">
        <f t="shared" si="31"/>
      </c>
      <c r="AN335" s="91" t="str">
        <f t="shared" si="31"/>
      </c>
      <c r="AO335" s="91" t="str">
        <f t="shared" si="31"/>
      </c>
      <c r="AP335" s="91" t="str">
        <f t="shared" si="31"/>
      </c>
      <c r="AQ335" s="91" t="str">
        <f t="shared" si="31"/>
      </c>
      <c r="AR335" s="91" t="str">
        <f t="shared" si="31"/>
      </c>
      <c r="AS335" s="91" t="str">
        <f t="shared" si="31"/>
      </c>
      <c r="AT335" s="91" t="str">
        <f t="shared" si="31"/>
      </c>
      <c r="AU335" s="91" t="str">
        <f t="shared" si="31"/>
      </c>
      <c r="AV335" s="91" t="str">
        <f t="shared" si="31"/>
      </c>
      <c r="AW335" s="91" t="str">
        <f t="shared" si="31"/>
      </c>
      <c r="AX335" s="91" t="str">
        <f t="shared" si="31"/>
      </c>
      <c r="AY335" s="91" t="str">
        <f t="shared" si="31"/>
      </c>
      <c r="AZ335" s="91" t="str">
        <f t="shared" si="31"/>
      </c>
      <c r="BA335" s="91" t="str">
        <f t="shared" si="31"/>
      </c>
      <c r="BB335" s="91" t="str">
        <f t="shared" si="31"/>
      </c>
      <c r="BC335" s="91" t="str">
        <f t="shared" si="31"/>
      </c>
      <c r="BD335" s="91" t="str">
        <f t="shared" si="31"/>
      </c>
      <c r="BE335" s="91" t="str">
        <f t="shared" si="31"/>
      </c>
      <c r="BF335" s="91" t="str">
        <f t="shared" si="31"/>
      </c>
      <c r="BG335" s="91" t="str">
        <f t="shared" si="31"/>
      </c>
      <c r="BH335" s="91" t="str">
        <f t="shared" si="31"/>
      </c>
      <c r="BI335" s="91" t="str">
        <f t="shared" si="31"/>
      </c>
      <c r="BJ335" s="91" t="str">
        <f t="shared" si="31"/>
      </c>
      <c r="BK335" s="91" t="str">
        <f t="shared" si="31"/>
      </c>
      <c r="BL335" s="91" t="str">
        <f t="shared" si="31"/>
      </c>
      <c r="BM335" s="91" t="str">
        <f t="shared" si="31"/>
      </c>
      <c r="BN335" s="91" t="str">
        <f t="shared" si="31"/>
      </c>
      <c r="BO335" s="91" t="str">
        <f t="shared" si="31"/>
      </c>
      <c r="BP335" s="91" t="str">
        <f t="shared" si="31"/>
      </c>
      <c r="BQ335" s="91" t="str">
        <f t="shared" si="31"/>
      </c>
      <c r="BR335" s="91" t="str">
        <f t="shared" si="31"/>
      </c>
      <c r="BS335" s="91" t="str">
        <f t="shared" si="31"/>
      </c>
      <c r="BT335" s="91" t="str">
        <f t="shared" si="31"/>
      </c>
      <c r="BU335" s="91" t="str">
        <f t="shared" si="31"/>
      </c>
      <c r="BV335" s="91" t="str">
        <f t="shared" si="31"/>
      </c>
      <c r="BW335" s="91" t="str">
        <f t="shared" si="31"/>
      </c>
      <c r="BX335" s="91" t="str">
        <f t="shared" si="31"/>
      </c>
      <c r="BY335" s="91" t="str">
        <f t="shared" si="31"/>
      </c>
      <c r="BZ335" s="91" t="str">
        <f t="shared" si="31"/>
      </c>
      <c r="CA335" s="91" t="str">
        <f t="shared" si="31"/>
      </c>
      <c r="CB335" s="91" t="str">
        <f t="shared" si="31"/>
      </c>
      <c r="CC335" s="91" t="str">
        <f t="shared" si="31"/>
      </c>
      <c r="CD335" s="91" t="str">
        <f t="shared" si="31"/>
      </c>
      <c r="CE335" s="91" t="str">
        <f t="shared" si="31"/>
      </c>
      <c r="CF335" s="91" t="str">
        <f t="shared" si="31"/>
      </c>
      <c r="CG335" s="91" t="str">
        <f t="shared" si="31"/>
      </c>
      <c r="CH335" s="91" t="str">
        <f t="shared" si="31"/>
      </c>
      <c r="CI335" s="91" t="str">
        <f t="shared" si="31"/>
      </c>
      <c r="CJ335" s="91" t="str">
        <f t="shared" si="31"/>
      </c>
      <c r="CK335" s="91" t="str">
        <f t="shared" si="31"/>
      </c>
      <c r="CL335" s="91" t="str">
        <f t="shared" si="31"/>
      </c>
      <c r="CM335" s="91" t="str">
        <f t="shared" si="31"/>
      </c>
      <c r="CN335" s="91" t="str">
        <f t="shared" si="31"/>
      </c>
      <c r="CO335" s="91" t="str">
        <f ref="CO335:EZ335" t="shared" si="32">IF(SUM(CO316:CO334)&lt;&gt;0,SUM(CO316:CO334),"")</f>
      </c>
      <c r="CP335" s="91" t="str">
        <f t="shared" si="32"/>
      </c>
      <c r="CQ335" s="91" t="str">
        <f t="shared" si="32"/>
      </c>
      <c r="CR335" s="91" t="str">
        <f t="shared" si="32"/>
      </c>
      <c r="CS335" s="91" t="str">
        <f t="shared" si="32"/>
      </c>
      <c r="CT335" s="91" t="str">
        <f t="shared" si="32"/>
      </c>
      <c r="CU335" s="91" t="str">
        <f t="shared" si="32"/>
      </c>
      <c r="CV335" s="91" t="str">
        <f t="shared" si="32"/>
      </c>
      <c r="CW335" s="91" t="str">
        <f t="shared" si="32"/>
      </c>
      <c r="CX335" s="91" t="str">
        <f t="shared" si="32"/>
      </c>
      <c r="CY335" s="91" t="str">
        <f t="shared" si="32"/>
      </c>
      <c r="CZ335" s="91" t="str">
        <f t="shared" si="32"/>
      </c>
      <c r="DA335" s="91" t="str">
        <f t="shared" si="32"/>
      </c>
      <c r="DB335" s="91" t="str">
        <f t="shared" si="32"/>
      </c>
      <c r="DC335" s="91" t="str">
        <f t="shared" si="32"/>
      </c>
      <c r="DD335" s="91" t="str">
        <f t="shared" si="32"/>
      </c>
      <c r="DE335" s="91" t="str">
        <f t="shared" si="32"/>
      </c>
      <c r="DF335" s="91" t="str">
        <f t="shared" si="32"/>
      </c>
      <c r="DG335" s="91" t="str">
        <f t="shared" si="32"/>
      </c>
      <c r="DH335" s="91" t="str">
        <f t="shared" si="32"/>
      </c>
      <c r="DI335" s="91" t="str">
        <f t="shared" si="32"/>
      </c>
      <c r="DJ335" s="91" t="str">
        <f t="shared" si="32"/>
      </c>
      <c r="DK335" s="91" t="str">
        <f t="shared" si="32"/>
      </c>
      <c r="DL335" s="91" t="str">
        <f t="shared" si="32"/>
      </c>
      <c r="DM335" s="91" t="str">
        <f t="shared" si="32"/>
      </c>
      <c r="DN335" s="91" t="str">
        <f t="shared" si="32"/>
      </c>
      <c r="DO335" s="91" t="str">
        <f t="shared" si="32"/>
      </c>
      <c r="DP335" s="91" t="str">
        <f t="shared" si="32"/>
      </c>
      <c r="DQ335" s="91" t="str">
        <f t="shared" si="32"/>
      </c>
      <c r="DR335" s="91" t="str">
        <f t="shared" si="32"/>
      </c>
      <c r="DS335" s="91" t="str">
        <f t="shared" si="32"/>
      </c>
      <c r="DT335" s="91" t="str">
        <f t="shared" si="32"/>
      </c>
      <c r="DU335" s="91" t="str">
        <f t="shared" si="32"/>
      </c>
      <c r="DV335" s="91" t="str">
        <f t="shared" si="32"/>
      </c>
      <c r="DW335" s="91" t="str">
        <f t="shared" si="32"/>
      </c>
      <c r="DX335" s="91" t="str">
        <f t="shared" si="32"/>
      </c>
      <c r="DY335" s="91" t="str">
        <f t="shared" si="32"/>
      </c>
      <c r="DZ335" s="91" t="str">
        <f t="shared" si="32"/>
      </c>
      <c r="EA335" s="91" t="str">
        <f t="shared" si="32"/>
      </c>
      <c r="EB335" s="91" t="str">
        <f t="shared" si="32"/>
      </c>
      <c r="EC335" s="91" t="str">
        <f t="shared" si="32"/>
      </c>
      <c r="ED335" s="91" t="str">
        <f t="shared" si="32"/>
      </c>
      <c r="EE335" s="91" t="str">
        <f t="shared" si="32"/>
      </c>
      <c r="EF335" s="91" t="str">
        <f t="shared" si="32"/>
      </c>
      <c r="EG335" s="91" t="str">
        <f t="shared" si="32"/>
      </c>
      <c r="EH335" s="91" t="str">
        <f t="shared" si="32"/>
      </c>
      <c r="EI335" s="91" t="str">
        <f t="shared" si="32"/>
      </c>
      <c r="EJ335" s="91" t="str">
        <f t="shared" si="32"/>
      </c>
      <c r="EK335" s="91" t="str">
        <f t="shared" si="32"/>
      </c>
      <c r="EL335" s="91" t="str">
        <f t="shared" si="32"/>
      </c>
      <c r="EM335" s="91" t="str">
        <f t="shared" si="32"/>
      </c>
      <c r="EN335" s="91" t="str">
        <f t="shared" si="32"/>
      </c>
      <c r="EO335" s="91" t="str">
        <f t="shared" si="32"/>
      </c>
      <c r="EP335" s="91" t="str">
        <f t="shared" si="32"/>
      </c>
      <c r="EQ335" s="91" t="str">
        <f t="shared" si="32"/>
      </c>
      <c r="ER335" s="91" t="str">
        <f t="shared" si="32"/>
      </c>
      <c r="ES335" s="91" t="str">
        <f t="shared" si="32"/>
      </c>
      <c r="ET335" s="91" t="str">
        <f t="shared" si="32"/>
      </c>
      <c r="EU335" s="91" t="str">
        <f t="shared" si="32"/>
      </c>
      <c r="EV335" s="91" t="str">
        <f t="shared" si="32"/>
      </c>
      <c r="EW335" s="91" t="str">
        <f t="shared" si="32"/>
      </c>
      <c r="EX335" s="91" t="str">
        <f t="shared" si="32"/>
      </c>
      <c r="EY335" s="91" t="str">
        <f t="shared" si="32"/>
      </c>
      <c r="EZ335" s="91" t="str">
        <f t="shared" si="32"/>
      </c>
      <c r="FA335" s="91" t="str">
        <f ref="FA335:HL335" t="shared" si="33">IF(SUM(FA316:FA334)&lt;&gt;0,SUM(FA316:FA334),"")</f>
      </c>
      <c r="FB335" s="91" t="str">
        <f t="shared" si="33"/>
      </c>
      <c r="FC335" s="91" t="str">
        <f t="shared" si="33"/>
      </c>
      <c r="FD335" s="91" t="str">
        <f t="shared" si="33"/>
      </c>
      <c r="FE335" s="91" t="str">
        <f t="shared" si="33"/>
      </c>
      <c r="FF335" s="91" t="str">
        <f t="shared" si="33"/>
      </c>
      <c r="FG335" s="91" t="str">
        <f t="shared" si="33"/>
      </c>
      <c r="FH335" s="91" t="str">
        <f t="shared" si="33"/>
      </c>
      <c r="FI335" s="91" t="str">
        <f t="shared" si="33"/>
      </c>
      <c r="FJ335" s="91" t="str">
        <f t="shared" si="33"/>
      </c>
      <c r="FK335" s="91" t="str">
        <f t="shared" si="33"/>
      </c>
      <c r="FL335" s="91" t="str">
        <f t="shared" si="33"/>
      </c>
      <c r="FM335" s="91" t="str">
        <f t="shared" si="33"/>
      </c>
      <c r="FN335" s="91" t="str">
        <f t="shared" si="33"/>
      </c>
      <c r="FO335" s="91" t="str">
        <f t="shared" si="33"/>
      </c>
      <c r="FP335" s="91" t="str">
        <f t="shared" si="33"/>
      </c>
      <c r="FQ335" s="91" t="str">
        <f t="shared" si="33"/>
      </c>
      <c r="FR335" s="91" t="str">
        <f t="shared" si="33"/>
      </c>
      <c r="FS335" s="91" t="str">
        <f t="shared" si="33"/>
      </c>
      <c r="FT335" s="91" t="str">
        <f t="shared" si="33"/>
      </c>
      <c r="FU335" s="91" t="str">
        <f t="shared" si="33"/>
      </c>
      <c r="FV335" s="91" t="str">
        <f t="shared" si="33"/>
      </c>
      <c r="FW335" s="91" t="str">
        <f t="shared" si="33"/>
      </c>
      <c r="FX335" s="91" t="str">
        <f t="shared" si="33"/>
      </c>
      <c r="FY335" s="91" t="str">
        <f t="shared" si="33"/>
      </c>
      <c r="FZ335" s="91" t="str">
        <f t="shared" si="33"/>
      </c>
      <c r="GA335" s="91" t="str">
        <f t="shared" si="33"/>
      </c>
      <c r="GB335" s="91" t="str">
        <f t="shared" si="33"/>
      </c>
      <c r="GC335" s="91" t="str">
        <f t="shared" si="33"/>
      </c>
      <c r="GD335" s="91" t="str">
        <f t="shared" si="33"/>
      </c>
      <c r="GE335" s="91" t="str">
        <f t="shared" si="33"/>
      </c>
      <c r="GF335" s="91" t="str">
        <f t="shared" si="33"/>
      </c>
      <c r="GG335" s="91" t="str">
        <f t="shared" si="33"/>
      </c>
      <c r="GH335" s="91" t="str">
        <f t="shared" si="33"/>
      </c>
      <c r="GI335" s="91" t="str">
        <f t="shared" si="33"/>
      </c>
      <c r="GJ335" s="91" t="str">
        <f t="shared" si="33"/>
      </c>
      <c r="GK335" s="91" t="str">
        <f t="shared" si="33"/>
      </c>
      <c r="GL335" s="91" t="str">
        <f t="shared" si="33"/>
      </c>
      <c r="GM335" s="91" t="str">
        <f t="shared" si="33"/>
      </c>
      <c r="GN335" s="91" t="str">
        <f t="shared" si="33"/>
      </c>
      <c r="GO335" s="91" t="str">
        <f t="shared" si="33"/>
      </c>
      <c r="GP335" s="91" t="str">
        <f t="shared" si="33"/>
      </c>
      <c r="GQ335" s="91" t="str">
        <f t="shared" si="33"/>
      </c>
      <c r="GR335" s="91" t="str">
        <f t="shared" si="33"/>
      </c>
      <c r="GS335" s="91" t="str">
        <f t="shared" si="33"/>
      </c>
      <c r="GT335" s="91" t="str">
        <f t="shared" si="33"/>
      </c>
      <c r="GU335" s="91" t="str">
        <f t="shared" si="33"/>
      </c>
      <c r="GV335" s="91" t="str">
        <f t="shared" si="33"/>
      </c>
      <c r="GW335" s="91" t="str">
        <f t="shared" si="33"/>
      </c>
      <c r="GX335" s="91" t="str">
        <f t="shared" si="33"/>
      </c>
      <c r="GY335" s="91" t="str">
        <f t="shared" si="33"/>
      </c>
      <c r="GZ335" s="91" t="str">
        <f t="shared" si="33"/>
      </c>
      <c r="HA335" s="91" t="str">
        <f t="shared" si="33"/>
      </c>
      <c r="HB335" s="91" t="str">
        <f t="shared" si="33"/>
      </c>
      <c r="HC335" s="91" t="str">
        <f t="shared" si="33"/>
      </c>
      <c r="HD335" s="91" t="str">
        <f t="shared" si="33"/>
      </c>
      <c r="HE335" s="91" t="str">
        <f t="shared" si="33"/>
      </c>
      <c r="HF335" s="91" t="str">
        <f t="shared" si="33"/>
      </c>
      <c r="HG335" s="91" t="str">
        <f t="shared" si="33"/>
      </c>
      <c r="HH335" s="91" t="str">
        <f t="shared" si="33"/>
      </c>
      <c r="HI335" s="91" t="str">
        <f t="shared" si="33"/>
      </c>
      <c r="HJ335" s="91" t="str">
        <f t="shared" si="33"/>
      </c>
      <c r="HK335" s="91" t="str">
        <f t="shared" si="33"/>
      </c>
      <c r="HL335" s="91" t="str">
        <f t="shared" si="33"/>
      </c>
      <c r="HM335" s="91" t="str">
        <f ref="HM335:IV335" t="shared" si="34">IF(SUM(HM316:HM334)&lt;&gt;0,SUM(HM316:HM334),"")</f>
      </c>
      <c r="HN335" s="91" t="str">
        <f t="shared" si="34"/>
      </c>
      <c r="HO335" s="91" t="str">
        <f t="shared" si="34"/>
      </c>
      <c r="HP335" s="91" t="str">
        <f t="shared" si="34"/>
      </c>
      <c r="HQ335" s="91" t="str">
        <f t="shared" si="34"/>
      </c>
      <c r="HR335" s="91" t="str">
        <f t="shared" si="34"/>
      </c>
      <c r="HS335" s="91" t="str">
        <f t="shared" si="34"/>
      </c>
      <c r="HT335" s="91" t="str">
        <f t="shared" si="34"/>
      </c>
      <c r="HU335" s="91" t="str">
        <f t="shared" si="34"/>
      </c>
      <c r="HV335" s="91" t="str">
        <f t="shared" si="34"/>
      </c>
      <c r="HW335" s="91" t="str">
        <f t="shared" si="34"/>
      </c>
      <c r="HX335" s="91" t="str">
        <f t="shared" si="34"/>
      </c>
      <c r="HY335" s="91" t="str">
        <f t="shared" si="34"/>
      </c>
      <c r="HZ335" s="91" t="str">
        <f t="shared" si="34"/>
      </c>
      <c r="IA335" s="91" t="str">
        <f t="shared" si="34"/>
      </c>
      <c r="IB335" s="91" t="str">
        <f t="shared" si="34"/>
      </c>
      <c r="IC335" s="91" t="str">
        <f t="shared" si="34"/>
      </c>
      <c r="ID335" s="91" t="str">
        <f t="shared" si="34"/>
      </c>
      <c r="IE335" s="91" t="str">
        <f t="shared" si="34"/>
      </c>
      <c r="IF335" s="91" t="str">
        <f t="shared" si="34"/>
      </c>
      <c r="IG335" s="91" t="str">
        <f t="shared" si="34"/>
      </c>
      <c r="IH335" s="91" t="str">
        <f t="shared" si="34"/>
      </c>
      <c r="II335" s="91" t="str">
        <f t="shared" si="34"/>
      </c>
      <c r="IJ335" s="91" t="str">
        <f t="shared" si="34"/>
      </c>
      <c r="IK335" s="91" t="str">
        <f t="shared" si="34"/>
      </c>
      <c r="IL335" s="91" t="str">
        <f t="shared" si="34"/>
      </c>
      <c r="IM335" s="91" t="str">
        <f t="shared" si="34"/>
      </c>
      <c r="IN335" s="91" t="str">
        <f t="shared" si="34"/>
      </c>
      <c r="IO335" s="91" t="str">
        <f t="shared" si="34"/>
      </c>
      <c r="IP335" s="91" t="str">
        <f t="shared" si="34"/>
      </c>
      <c r="IQ335" s="91" t="str">
        <f t="shared" si="34"/>
      </c>
      <c r="IR335" s="91" t="str">
        <f t="shared" si="34"/>
      </c>
      <c r="IS335" s="91" t="str">
        <f t="shared" si="34"/>
      </c>
      <c r="IT335" s="91" t="str">
        <f t="shared" si="34"/>
      </c>
      <c r="IU335" s="91" t="str">
        <f t="shared" si="34"/>
      </c>
      <c r="IV335" s="91" t="str">
        <f t="shared" si="34"/>
      </c>
    </row>
    <row r="336" hidden="1">
      <c r="L336" s="50"/>
      <c r="M336" s="50"/>
      <c r="N336" s="217"/>
      <c r="O336" s="217"/>
    </row>
    <row r="337" hidden="1" ht="13.5">
      <c r="L337" s="50"/>
      <c r="M337" s="50"/>
      <c r="N337" s="217"/>
      <c r="O337" s="217"/>
    </row>
    <row r="338" hidden="1" ht="13.5">
      <c r="B338" s="338">
        <v>43466</v>
      </c>
      <c r="C338" s="248" t="s">
        <v>227</v>
      </c>
      <c r="D338" s="249" t="s">
        <v>228</v>
      </c>
      <c r="E338" s="249" t="s">
        <v>229</v>
      </c>
      <c r="F338" s="249" t="s">
        <v>230</v>
      </c>
      <c r="G338" s="249" t="s">
        <v>231</v>
      </c>
      <c r="H338" s="249" t="s">
        <v>232</v>
      </c>
      <c r="I338" s="250" t="s">
        <v>233</v>
      </c>
      <c r="L338" s="50"/>
      <c r="M338" s="50"/>
      <c r="N338" s="217"/>
      <c r="O338" s="217"/>
    </row>
    <row r="339" hidden="1">
      <c r="B339" s="125" t="s">
        <v>8</v>
      </c>
      <c r="C339" s="97" t="e">
        <f>INDIRECT(ADDRESS(178,MATCH(9000000000+307,178:178,1),1,,))</f>
        <v>#N/A</v>
      </c>
      <c r="D339" s="166" t="e">
        <f>INDIRECT(ADDRESS(201,MATCH(9000000000+307,201:201,1),1,,))</f>
        <v>#N/A</v>
      </c>
      <c r="E339" s="166" t="e">
        <f>INDIRECT(ADDRESS(224,MATCH(9000000000+307,224:224,1),1,,))</f>
        <v>#N/A</v>
      </c>
      <c r="F339" s="246" t="e">
        <f>INDIRECT(ADDRESS(247,MATCH(9000000000+307,247:247,1),1,,))</f>
        <v>#N/A</v>
      </c>
      <c r="G339" s="246" t="e">
        <f>INDIRECT(ADDRESS(270,MATCH(9000000000+307,270:270,1),1,,))</f>
        <v>#N/A</v>
      </c>
      <c r="H339" s="166" t="e">
        <f>INDIRECT(ADDRESS(293,MATCH(9000000000+307,293:293,1),1,,))</f>
        <v>#N/A</v>
      </c>
      <c r="I339" s="167" t="e">
        <f>INDIRECT(ADDRESS(316,MATCH(9000000000+307,316:316,1),1,,))</f>
        <v>#N/A</v>
      </c>
      <c r="L339" s="173"/>
      <c r="M339" s="172"/>
      <c r="O339" s="173"/>
      <c r="P339" s="98"/>
      <c r="Q339" s="98"/>
    </row>
    <row r="340" hidden="1">
      <c r="B340" s="126" t="s">
        <v>9</v>
      </c>
      <c r="C340" s="100" t="e">
        <f>INDIRECT(ADDRESS(179,MATCH(9000000000+307,179:179,1),1,,))</f>
        <v>#N/A</v>
      </c>
      <c r="D340" s="168" t="e">
        <f>INDIRECT(ADDRESS(202,MATCH(9000000000+307,202:202,1),1,,))</f>
        <v>#N/A</v>
      </c>
      <c r="E340" s="168" t="e">
        <f>INDIRECT(ADDRESS(225,MATCH(9000000000+307,225:225,1),1,,))</f>
        <v>#N/A</v>
      </c>
      <c r="F340" s="214" t="e">
        <f>INDIRECT(ADDRESS(248,MATCH(9000000000+307,248:248,1),1,,))</f>
        <v>#N/A</v>
      </c>
      <c r="G340" s="214" t="e">
        <f>INDIRECT(ADDRESS(271,MATCH(9000000000+307,271:271,1),1,,))</f>
        <v>#N/A</v>
      </c>
      <c r="H340" s="168" t="e">
        <f>INDIRECT(ADDRESS(294,MATCH(9000000000+307,294:294,1),1,,))</f>
        <v>#N/A</v>
      </c>
      <c r="I340" s="169" t="e">
        <f>INDIRECT(ADDRESS(317,MATCH(9000000000+307,317:317,1),1,,))</f>
        <v>#N/A</v>
      </c>
      <c r="L340" s="173"/>
      <c r="M340" s="50"/>
      <c r="N340" s="217"/>
      <c r="O340" s="217"/>
    </row>
    <row r="341" hidden="1">
      <c r="B341" s="126" t="s">
        <v>10</v>
      </c>
      <c r="C341" s="100" t="e">
        <f>INDIRECT(ADDRESS(180,MATCH(9000000000+307,180:180,1),1,,))</f>
        <v>#N/A</v>
      </c>
      <c r="D341" s="168" t="e">
        <f>INDIRECT(ADDRESS(203,MATCH(9000000000+307,203:203,1),1,,))</f>
        <v>#N/A</v>
      </c>
      <c r="E341" s="168" t="e">
        <f>INDIRECT(ADDRESS(226,MATCH(9000000000+307,226:226,1),1,,))</f>
        <v>#N/A</v>
      </c>
      <c r="F341" s="214" t="e">
        <f>INDIRECT(ADDRESS(249,MATCH(9000000000+307,249:249,1),1,,))</f>
        <v>#N/A</v>
      </c>
      <c r="G341" s="214" t="e">
        <f>INDIRECT(ADDRESS(272,MATCH(9000000000+307,272:272,1),1,,))</f>
        <v>#N/A</v>
      </c>
      <c r="H341" s="168" t="e">
        <f>INDIRECT(ADDRESS(295,MATCH(9000000000+307,295:295,1),1,,))</f>
        <v>#N/A</v>
      </c>
      <c r="I341" s="169" t="e">
        <f>INDIRECT(ADDRESS(318,MATCH(9000000000+307,318:318,1),1,,))</f>
        <v>#N/A</v>
      </c>
      <c r="L341" s="173"/>
      <c r="M341" s="50"/>
      <c r="N341" s="217"/>
      <c r="O341" s="217"/>
    </row>
    <row r="342" hidden="1">
      <c r="B342" s="126" t="s">
        <v>11</v>
      </c>
      <c r="C342" s="100" t="e">
        <f>INDIRECT(ADDRESS(181,MATCH(9000000000+307,181:181,1),1,,))</f>
        <v>#N/A</v>
      </c>
      <c r="D342" s="168" t="e">
        <f>INDIRECT(ADDRESS(204,MATCH(9000000000+307,204:204,1),1,,))</f>
        <v>#N/A</v>
      </c>
      <c r="E342" s="168" t="e">
        <f>INDIRECT(ADDRESS(227,MATCH(9000000000+307,227:227,1),1,,))</f>
        <v>#N/A</v>
      </c>
      <c r="F342" s="214" t="e">
        <f>INDIRECT(ADDRESS(250,MATCH(9000000000+307,250:250,1),1,,))</f>
        <v>#N/A</v>
      </c>
      <c r="G342" s="214" t="e">
        <f>INDIRECT(ADDRESS(273,MATCH(9000000000+307,273:273,1),1,,))</f>
        <v>#N/A</v>
      </c>
      <c r="H342" s="168" t="e">
        <f>INDIRECT(ADDRESS(296,MATCH(9000000000+307,296:296,1),1,,))</f>
        <v>#N/A</v>
      </c>
      <c r="I342" s="169" t="e">
        <f>INDIRECT(ADDRESS(319,MATCH(9000000000+307,319:319,1),1,,))</f>
        <v>#N/A</v>
      </c>
      <c r="L342" s="173"/>
      <c r="M342" s="50"/>
      <c r="N342" s="217"/>
      <c r="O342" s="217"/>
    </row>
    <row r="343" hidden="1">
      <c r="B343" s="126" t="s">
        <v>12</v>
      </c>
      <c r="C343" s="100" t="e">
        <f>INDIRECT(ADDRESS(182,MATCH(9000000000+307,182:182,1),1,,))</f>
        <v>#N/A</v>
      </c>
      <c r="D343" s="168" t="e">
        <f>INDIRECT(ADDRESS(205,MATCH(9000000000+307,205:205,1),1,,))</f>
        <v>#N/A</v>
      </c>
      <c r="E343" s="168" t="e">
        <f>INDIRECT(ADDRESS(228,MATCH(9000000000+307,228:228,1),1,,))</f>
        <v>#N/A</v>
      </c>
      <c r="F343" s="214" t="e">
        <f>INDIRECT(ADDRESS(251,MATCH(9000000000+307,251:251,1),1,,))</f>
        <v>#N/A</v>
      </c>
      <c r="G343" s="214" t="e">
        <f>INDIRECT(ADDRESS(274,MATCH(9000000000+307,274:274,1),1,,))</f>
        <v>#N/A</v>
      </c>
      <c r="H343" s="168" t="e">
        <f>INDIRECT(ADDRESS(297,MATCH(9000000000+307,297:297,1),1,,))</f>
        <v>#N/A</v>
      </c>
      <c r="I343" s="169" t="e">
        <f>INDIRECT(ADDRESS(320,MATCH(9000000000+307,320:320,1),1,,))</f>
        <v>#N/A</v>
      </c>
      <c r="L343" s="173"/>
      <c r="M343" s="50"/>
      <c r="N343" s="217"/>
      <c r="O343" s="217"/>
    </row>
    <row r="344" hidden="1">
      <c r="B344" s="126" t="s">
        <v>13</v>
      </c>
      <c r="C344" s="100" t="e">
        <f>INDIRECT(ADDRESS(183,MATCH(9000000000+307,183:183,1),1,,))</f>
        <v>#N/A</v>
      </c>
      <c r="D344" s="168" t="e">
        <f>INDIRECT(ADDRESS(206,MATCH(9000000000+307,206:206,1),1,,))</f>
        <v>#N/A</v>
      </c>
      <c r="E344" s="168" t="e">
        <f>INDIRECT(ADDRESS(229,MATCH(9000000000+307,229:229,1),1,,))</f>
        <v>#N/A</v>
      </c>
      <c r="F344" s="214" t="e">
        <f>INDIRECT(ADDRESS(252,MATCH(9000000000+307,252:252,1),1,,))</f>
        <v>#N/A</v>
      </c>
      <c r="G344" s="214" t="e">
        <f>INDIRECT(ADDRESS(275,MATCH(9000000000+307,275:275,1),1,,))</f>
        <v>#N/A</v>
      </c>
      <c r="H344" s="168" t="e">
        <f>INDIRECT(ADDRESS(298,MATCH(9000000000+307,298:298,1),1,,))</f>
        <v>#N/A</v>
      </c>
      <c r="I344" s="169" t="e">
        <f>INDIRECT(ADDRESS(321,MATCH(9000000000+307,321:321,1),1,,))</f>
        <v>#N/A</v>
      </c>
      <c r="L344" s="173"/>
      <c r="M344" s="50"/>
      <c r="N344" s="217"/>
      <c r="O344" s="217"/>
    </row>
    <row r="345" hidden="1">
      <c r="B345" s="126" t="s">
        <v>109</v>
      </c>
      <c r="C345" s="100" t="e">
        <f>INDIRECT(ADDRESS(184,MATCH(9000000000+307,184:184,1),1,,))</f>
        <v>#N/A</v>
      </c>
      <c r="D345" s="168" t="e">
        <f>INDIRECT(ADDRESS(207,MATCH(9000000000+307,207:207,1),1,,))</f>
        <v>#N/A</v>
      </c>
      <c r="E345" s="168" t="e">
        <f>INDIRECT(ADDRESS(230,MATCH(9000000000+307,230:230,1),1,,))</f>
        <v>#N/A</v>
      </c>
      <c r="F345" s="214" t="e">
        <f>INDIRECT(ADDRESS(253,MATCH(9000000000+307,253:253,1),1,,))</f>
        <v>#N/A</v>
      </c>
      <c r="G345" s="214" t="e">
        <f>INDIRECT(ADDRESS(276,MATCH(9000000000+307,276:276,1),1,,))</f>
        <v>#N/A</v>
      </c>
      <c r="H345" s="168" t="e">
        <f>INDIRECT(ADDRESS(299,MATCH(9000000000+307,299:299,1),1,,))</f>
        <v>#N/A</v>
      </c>
      <c r="I345" s="169" t="e">
        <f>INDIRECT(ADDRESS(322,MATCH(9000000000+307,322:322,1),1,,))</f>
        <v>#N/A</v>
      </c>
      <c r="L345" s="173"/>
      <c r="M345" s="50"/>
      <c r="N345" s="217"/>
      <c r="O345" s="217"/>
    </row>
    <row r="346" hidden="1">
      <c r="B346" s="126" t="s">
        <v>110</v>
      </c>
      <c r="C346" s="100" t="e">
        <f>INDIRECT(ADDRESS(185,MATCH(9000000000+307,185:185,1),1,,))</f>
        <v>#N/A</v>
      </c>
      <c r="D346" s="168" t="e">
        <f>INDIRECT(ADDRESS(208,MATCH(9000000000+307,208:208,1),1,,))</f>
        <v>#N/A</v>
      </c>
      <c r="E346" s="168" t="e">
        <f>INDIRECT(ADDRESS(231,MATCH(9000000000+307,231:231,1),1,,))</f>
        <v>#N/A</v>
      </c>
      <c r="F346" s="214" t="e">
        <f>INDIRECT(ADDRESS(254,MATCH(9000000000+307,254:254,1),1,,))</f>
        <v>#N/A</v>
      </c>
      <c r="G346" s="214" t="e">
        <f>INDIRECT(ADDRESS(277,MATCH(9000000000+307,277:277,1),1,,))</f>
        <v>#N/A</v>
      </c>
      <c r="H346" s="168" t="e">
        <f>INDIRECT(ADDRESS(300,MATCH(9000000000+307,300:300,1),1,,))</f>
        <v>#N/A</v>
      </c>
      <c r="I346" s="169" t="e">
        <f>INDIRECT(ADDRESS(323,MATCH(9000000000+307,323:323,1),1,,))</f>
        <v>#N/A</v>
      </c>
      <c r="L346" s="173"/>
      <c r="M346" s="50"/>
      <c r="N346" s="217"/>
      <c r="O346" s="217"/>
    </row>
    <row r="347" hidden="1">
      <c r="B347" s="126" t="s">
        <v>16</v>
      </c>
      <c r="C347" s="100" t="e">
        <f>INDIRECT(ADDRESS(186,MATCH(9000000000+307,186:186,1),1,,))</f>
        <v>#N/A</v>
      </c>
      <c r="D347" s="168" t="e">
        <f>INDIRECT(ADDRESS(209,MATCH(9000000000+307,209:209,1),1,,))</f>
        <v>#N/A</v>
      </c>
      <c r="E347" s="168" t="e">
        <f>INDIRECT(ADDRESS(232,MATCH(9000000000+307,232:232,1),1,,))</f>
        <v>#N/A</v>
      </c>
      <c r="F347" s="214" t="e">
        <f>INDIRECT(ADDRESS(255,MATCH(9000000000+307,255:255,1),1,,))</f>
        <v>#N/A</v>
      </c>
      <c r="G347" s="214" t="e">
        <f>INDIRECT(ADDRESS(278,MATCH(9000000000+307,278:278,1),1,,))</f>
        <v>#N/A</v>
      </c>
      <c r="H347" s="168" t="e">
        <f>INDIRECT(ADDRESS(301,MATCH(9000000000+307,301:301,1),1,,))</f>
        <v>#N/A</v>
      </c>
      <c r="I347" s="169" t="e">
        <f>INDIRECT(ADDRESS(324,MATCH(9000000000+307,324:324,1),1,,))</f>
        <v>#N/A</v>
      </c>
      <c r="L347" s="173"/>
      <c r="M347" s="50"/>
      <c r="N347" s="217"/>
      <c r="O347" s="217"/>
    </row>
    <row r="348" hidden="1">
      <c r="B348" s="126" t="s">
        <v>17</v>
      </c>
      <c r="C348" s="100" t="e">
        <f>INDIRECT(ADDRESS(187,MATCH(9000000000+307,187:187,1),1,,))</f>
        <v>#N/A</v>
      </c>
      <c r="D348" s="168" t="e">
        <f>INDIRECT(ADDRESS(210,MATCH(9000000000+307,210:210,1),1,,))</f>
        <v>#N/A</v>
      </c>
      <c r="E348" s="168" t="e">
        <f>INDIRECT(ADDRESS(233,MATCH(9000000000+307,233:233,1),1,,))</f>
        <v>#N/A</v>
      </c>
      <c r="F348" s="214" t="e">
        <f>INDIRECT(ADDRESS(256,MATCH(9000000000+307,256:256,1),1,,))</f>
        <v>#N/A</v>
      </c>
      <c r="G348" s="214" t="e">
        <f>INDIRECT(ADDRESS(279,MATCH(9000000000+307,279:279,1),1,,))</f>
        <v>#N/A</v>
      </c>
      <c r="H348" s="168" t="e">
        <f>INDIRECT(ADDRESS(302,MATCH(9000000000+307,302:302,1),1,,))</f>
        <v>#N/A</v>
      </c>
      <c r="I348" s="169" t="e">
        <f>INDIRECT(ADDRESS(325,MATCH(9000000000+307,325:325,1),1,,))</f>
        <v>#N/A</v>
      </c>
      <c r="L348" s="173"/>
      <c r="M348" s="50"/>
      <c r="N348" s="217"/>
      <c r="O348" s="217"/>
    </row>
    <row r="349" hidden="1">
      <c r="B349" s="126" t="s">
        <v>18</v>
      </c>
      <c r="C349" s="100" t="e">
        <f>INDIRECT(ADDRESS(188,MATCH(9000000000+307,188:188,1),1,,))</f>
        <v>#N/A</v>
      </c>
      <c r="D349" s="168" t="e">
        <f>INDIRECT(ADDRESS(211,MATCH(9000000000+307,211:211,1),1,,))</f>
        <v>#N/A</v>
      </c>
      <c r="E349" s="168" t="e">
        <f>INDIRECT(ADDRESS(234,MATCH(9000000000+307,234:234,1),1,,))</f>
        <v>#N/A</v>
      </c>
      <c r="F349" s="214" t="e">
        <f>INDIRECT(ADDRESS(257,MATCH(9000000000+307,257:257,1),1,,))</f>
        <v>#N/A</v>
      </c>
      <c r="G349" s="214" t="e">
        <f>INDIRECT(ADDRESS(280,MATCH(9000000000+307,280:280,1),1,,))</f>
        <v>#N/A</v>
      </c>
      <c r="H349" s="168" t="e">
        <f>INDIRECT(ADDRESS(303,MATCH(9000000000+307,303:303,1),1,,))</f>
        <v>#N/A</v>
      </c>
      <c r="I349" s="169" t="e">
        <f>INDIRECT(ADDRESS(326,MATCH(9000000000+307,326:326,1),1,,))</f>
        <v>#N/A</v>
      </c>
      <c r="L349" s="173"/>
      <c r="M349" s="50"/>
      <c r="N349" s="217"/>
      <c r="O349" s="217"/>
    </row>
    <row r="350" hidden="1">
      <c r="B350" s="126" t="s">
        <v>19</v>
      </c>
      <c r="C350" s="100" t="e">
        <f>INDIRECT(ADDRESS(189,MATCH(9000000000+307,189:189,1),1,,))</f>
        <v>#N/A</v>
      </c>
      <c r="D350" s="168" t="e">
        <f>INDIRECT(ADDRESS(212,MATCH(9000000000+307,212:212,1),1,,))</f>
        <v>#N/A</v>
      </c>
      <c r="E350" s="168" t="e">
        <f>INDIRECT(ADDRESS(235,MATCH(9000000000+307,235:235,1),1,,))</f>
        <v>#N/A</v>
      </c>
      <c r="F350" s="214" t="e">
        <f>INDIRECT(ADDRESS(258,MATCH(9000000000+307,258:258,1),1,,))</f>
        <v>#N/A</v>
      </c>
      <c r="G350" s="214" t="e">
        <f>INDIRECT(ADDRESS(281,MATCH(9000000000+307,281:281,1),1,,))</f>
        <v>#N/A</v>
      </c>
      <c r="H350" s="168" t="e">
        <f>INDIRECT(ADDRESS(304,MATCH(9000000000+307,304:304,1),1,,))</f>
        <v>#N/A</v>
      </c>
      <c r="I350" s="169" t="e">
        <f>INDIRECT(ADDRESS(327,MATCH(9000000000+307,327:327,1),1,,))</f>
        <v>#N/A</v>
      </c>
      <c r="L350" s="173"/>
      <c r="M350" s="50"/>
      <c r="N350" s="217"/>
      <c r="O350" s="217"/>
    </row>
    <row r="351" hidden="1">
      <c r="B351" s="126" t="s">
        <v>20</v>
      </c>
      <c r="C351" s="100" t="e">
        <f>INDIRECT(ADDRESS(190,MATCH(9000000000+307,190:190,1),1,,))</f>
        <v>#N/A</v>
      </c>
      <c r="D351" s="168" t="e">
        <f>INDIRECT(ADDRESS(213,MATCH(9000000000+307,213:213,1),1,,))</f>
        <v>#N/A</v>
      </c>
      <c r="E351" s="168" t="e">
        <f>INDIRECT(ADDRESS(236,MATCH(9000000000+307,236:236,1),1,,))</f>
        <v>#N/A</v>
      </c>
      <c r="F351" s="214" t="e">
        <f>INDIRECT(ADDRESS(259,MATCH(9000000000+307,259:259,1),1,,))</f>
        <v>#N/A</v>
      </c>
      <c r="G351" s="214" t="e">
        <f>INDIRECT(ADDRESS(282,MATCH(9000000000+307,282:282,1),1,,))</f>
        <v>#N/A</v>
      </c>
      <c r="H351" s="168" t="e">
        <f>INDIRECT(ADDRESS(305,MATCH(9000000000+307,305:305,1),1,,))</f>
        <v>#N/A</v>
      </c>
      <c r="I351" s="169" t="e">
        <f>INDIRECT(ADDRESS(328,MATCH(9000000000+307,328:328,1),1,,))</f>
        <v>#N/A</v>
      </c>
      <c r="L351" s="173"/>
      <c r="M351" s="50"/>
      <c r="N351" s="217"/>
      <c r="O351" s="217"/>
    </row>
    <row r="352" hidden="1">
      <c r="B352" s="126" t="s">
        <v>21</v>
      </c>
      <c r="C352" s="100" t="e">
        <f>INDIRECT(ADDRESS(191,MATCH(9000000000+307,191:191,1),1,,))</f>
        <v>#N/A</v>
      </c>
      <c r="D352" s="168" t="e">
        <f>INDIRECT(ADDRESS(214,MATCH(9000000000+307,214:214,1),1,,))</f>
        <v>#N/A</v>
      </c>
      <c r="E352" s="168" t="e">
        <f>INDIRECT(ADDRESS(237,MATCH(9000000000+307,237:237,1),1,,))</f>
        <v>#N/A</v>
      </c>
      <c r="F352" s="214" t="e">
        <f>INDIRECT(ADDRESS(260,MATCH(9000000000+307,260:260,1),1,,))</f>
        <v>#N/A</v>
      </c>
      <c r="G352" s="214" t="e">
        <f>INDIRECT(ADDRESS(283,MATCH(9000000000+307,283:283,1),1,,))</f>
        <v>#N/A</v>
      </c>
      <c r="H352" s="168" t="e">
        <f>INDIRECT(ADDRESS(306,MATCH(9000000000+307,306:306,1),1,,))</f>
        <v>#N/A</v>
      </c>
      <c r="I352" s="169" t="e">
        <f>INDIRECT(ADDRESS(329,MATCH(9000000000+307,329:329,1),1,,))</f>
        <v>#N/A</v>
      </c>
      <c r="L352" s="173"/>
      <c r="M352" s="50"/>
      <c r="N352" s="217"/>
      <c r="O352" s="217"/>
    </row>
    <row r="353" hidden="1">
      <c r="B353" s="126" t="s">
        <v>22</v>
      </c>
      <c r="C353" s="100" t="e">
        <f>INDIRECT(ADDRESS(192,MATCH(9000000000+307,192:192,1),1,,))</f>
        <v>#N/A</v>
      </c>
      <c r="D353" s="168" t="e">
        <f>INDIRECT(ADDRESS(215,MATCH(9000000000+307,215:215,1),1,,))</f>
        <v>#N/A</v>
      </c>
      <c r="E353" s="168" t="e">
        <f>INDIRECT(ADDRESS(238,MATCH(9000000000+307,238:238,1),1,,))</f>
        <v>#N/A</v>
      </c>
      <c r="F353" s="214" t="e">
        <f>INDIRECT(ADDRESS(261,MATCH(9000000000+307,261:261,1),1,,))</f>
        <v>#N/A</v>
      </c>
      <c r="G353" s="214" t="e">
        <f>INDIRECT(ADDRESS(284,MATCH(9000000000+307,284:284,1),1,,))</f>
        <v>#N/A</v>
      </c>
      <c r="H353" s="168" t="e">
        <f>INDIRECT(ADDRESS(307,MATCH(9000000000+307,307:307,1),1,,))</f>
        <v>#N/A</v>
      </c>
      <c r="I353" s="169" t="e">
        <f>INDIRECT(ADDRESS(330,MATCH(9000000000+307,330:330,1),1,,))</f>
        <v>#N/A</v>
      </c>
      <c r="L353" s="173"/>
      <c r="M353" s="50"/>
      <c r="N353" s="217"/>
      <c r="O353" s="217"/>
    </row>
    <row r="354" hidden="1">
      <c r="B354" s="126" t="s">
        <v>23</v>
      </c>
      <c r="C354" s="100" t="e">
        <f>INDIRECT(ADDRESS(193,MATCH(9000000000+307,193:193,1),1,,))</f>
        <v>#N/A</v>
      </c>
      <c r="D354" s="168" t="e">
        <f>INDIRECT(ADDRESS(216,MATCH(9000000000+307,216:216,1),1,,))</f>
        <v>#N/A</v>
      </c>
      <c r="E354" s="168" t="e">
        <f>INDIRECT(ADDRESS(239,MATCH(9000000000+307,239:239,1),1,,))</f>
        <v>#N/A</v>
      </c>
      <c r="F354" s="214" t="e">
        <f>INDIRECT(ADDRESS(262,MATCH(9000000000+307,262:262,1),1,,))</f>
        <v>#N/A</v>
      </c>
      <c r="G354" s="214" t="e">
        <f>INDIRECT(ADDRESS(285,MATCH(9000000000+307,285:285,1),1,,))</f>
        <v>#N/A</v>
      </c>
      <c r="H354" s="168" t="e">
        <f>INDIRECT(ADDRESS(308,MATCH(9000000000+307,308:308,1),1,,))</f>
        <v>#N/A</v>
      </c>
      <c r="I354" s="169" t="e">
        <f>INDIRECT(ADDRESS(331,MATCH(9000000000+307,331:331,1),1,,))</f>
        <v>#N/A</v>
      </c>
      <c r="L354" s="173"/>
      <c r="M354" s="50"/>
      <c r="N354" s="217"/>
      <c r="O354" s="217"/>
    </row>
    <row r="355" hidden="1">
      <c r="B355" s="126" t="s">
        <v>24</v>
      </c>
      <c r="C355" s="100" t="e">
        <f>INDIRECT(ADDRESS(194,MATCH(9000000000+307,194:194,1),1,,))</f>
        <v>#N/A</v>
      </c>
      <c r="D355" s="168" t="e">
        <f>INDIRECT(ADDRESS(217,MATCH(9000000000+307,217:217,1),1,,))</f>
        <v>#N/A</v>
      </c>
      <c r="E355" s="168" t="e">
        <f>INDIRECT(ADDRESS(240,MATCH(9000000000+307,240:240,1),1,,))</f>
        <v>#N/A</v>
      </c>
      <c r="F355" s="214" t="e">
        <f>INDIRECT(ADDRESS(263,MATCH(9000000000+307,263:263,1),1,,))</f>
        <v>#N/A</v>
      </c>
      <c r="G355" s="214" t="e">
        <f>INDIRECT(ADDRESS(286,MATCH(9000000000+307,286:286,1),1,,))</f>
        <v>#N/A</v>
      </c>
      <c r="H355" s="168" t="e">
        <f>INDIRECT(ADDRESS(309,MATCH(9000000000+307,309:309,1),1,,))</f>
        <v>#N/A</v>
      </c>
      <c r="I355" s="169" t="e">
        <f>INDIRECT(ADDRESS(332,MATCH(9000000000+307,332:332,1),1,,))</f>
        <v>#N/A</v>
      </c>
      <c r="L355" s="173"/>
      <c r="M355" s="50"/>
      <c r="N355" s="217"/>
      <c r="O355" s="217"/>
    </row>
    <row r="356" hidden="1">
      <c r="B356" s="126" t="s">
        <v>25</v>
      </c>
      <c r="C356" s="100" t="e">
        <f>INDIRECT(ADDRESS(195,MATCH(9000000000+307,195:195,1),1,,))</f>
        <v>#N/A</v>
      </c>
      <c r="D356" s="168" t="e">
        <f>INDIRECT(ADDRESS(218,MATCH(9000000000+307,218:218,1),1,,))</f>
        <v>#N/A</v>
      </c>
      <c r="E356" s="168" t="e">
        <f>INDIRECT(ADDRESS(241,MATCH(9000000000+307,241:241,1),1,,))</f>
        <v>#N/A</v>
      </c>
      <c r="F356" s="214" t="e">
        <f>INDIRECT(ADDRESS(264,MATCH(9000000000+307,264:264,1),1,,))</f>
        <v>#N/A</v>
      </c>
      <c r="G356" s="214" t="e">
        <f>INDIRECT(ADDRESS(287,MATCH(9000000000+307,287:287,1),1,,))</f>
        <v>#N/A</v>
      </c>
      <c r="H356" s="168" t="e">
        <f>INDIRECT(ADDRESS(310,MATCH(9000000000+307,310:310,1),1,,))</f>
        <v>#N/A</v>
      </c>
      <c r="I356" s="169" t="e">
        <f>INDIRECT(ADDRESS(333,MATCH(9000000000+307,333:333,1),1,,))</f>
        <v>#N/A</v>
      </c>
      <c r="L356" s="173"/>
      <c r="M356" s="50"/>
      <c r="N356" s="217"/>
      <c r="O356" s="217"/>
    </row>
    <row r="357" hidden="1" ht="13.5">
      <c r="B357" s="127" t="s">
        <v>26</v>
      </c>
      <c r="C357" s="251" t="e">
        <f>INDIRECT(ADDRESS(196,MATCH(9000000000+307,196:196,1),1,,))</f>
        <v>#N/A</v>
      </c>
      <c r="D357" s="252" t="e">
        <f>INDIRECT(ADDRESS(219,MATCH(9000000000+307,219:219,1),1,,))</f>
        <v>#N/A</v>
      </c>
      <c r="E357" s="252" t="e">
        <f>INDIRECT(ADDRESS(242,MATCH(9000000000+307,242:242,1),1,,))</f>
        <v>#N/A</v>
      </c>
      <c r="F357" s="253" t="e">
        <f>INDIRECT(ADDRESS(265,MATCH(9000000000+307,265:265,1),1,,))</f>
        <v>#N/A</v>
      </c>
      <c r="G357" s="253" t="e">
        <f>INDIRECT(ADDRESS(288,MATCH(9000000000+307,288:288,1),1,,))</f>
        <v>#N/A</v>
      </c>
      <c r="H357" s="252" t="e">
        <f>INDIRECT(ADDRESS(311,MATCH(9000000000+307,311:311,1),1,,))</f>
        <v>#N/A</v>
      </c>
      <c r="I357" s="254" t="e">
        <f>INDIRECT(ADDRESS(334,MATCH(9000000000+307,334:334,1),1,,))</f>
        <v>#N/A</v>
      </c>
      <c r="L357" s="173"/>
      <c r="M357" s="50"/>
      <c r="N357" s="217"/>
      <c r="O357" s="217"/>
    </row>
    <row r="358" hidden="1" ht="13.5">
      <c r="B358" s="191" t="s">
        <v>7</v>
      </c>
      <c r="C358" s="255" t="e">
        <f ref="C358:I358" t="shared" si="35" ca="1">SUM(C339:C357)</f>
        <v>#N/A</v>
      </c>
      <c r="D358" s="256" t="e">
        <f t="shared" si="35" ca="1"/>
        <v>#N/A</v>
      </c>
      <c r="E358" s="256" t="e">
        <f t="shared" si="35" ca="1"/>
        <v>#N/A</v>
      </c>
      <c r="F358" s="256" t="e">
        <f t="shared" si="35" ca="1"/>
        <v>#N/A</v>
      </c>
      <c r="G358" s="256" t="e">
        <f t="shared" si="35" ca="1"/>
        <v>#N/A</v>
      </c>
      <c r="H358" s="256" t="e">
        <f t="shared" si="35" ca="1"/>
        <v>#N/A</v>
      </c>
      <c r="I358" s="257" t="e">
        <f t="shared" si="35" ca="1"/>
        <v>#N/A</v>
      </c>
      <c r="L358" s="50"/>
      <c r="M358" s="50"/>
      <c r="N358" s="217"/>
      <c r="O358" s="217"/>
    </row>
    <row r="359" hidden="1">
      <c r="B359" s="215"/>
      <c r="C359" s="91"/>
      <c r="D359" s="91"/>
      <c r="E359" s="91"/>
      <c r="F359" s="91"/>
      <c r="G359" s="91"/>
      <c r="H359" s="91"/>
      <c r="I359" s="91"/>
      <c r="L359" s="50"/>
      <c r="M359" s="50"/>
      <c r="N359" s="217"/>
      <c r="O359" s="217"/>
    </row>
    <row r="360" hidden="1">
      <c r="B360" s="215"/>
      <c r="C360" s="91"/>
      <c r="D360" s="91"/>
      <c r="E360" s="91"/>
      <c r="F360" s="91"/>
      <c r="G360" s="91"/>
      <c r="H360" s="91"/>
      <c r="I360" s="91"/>
      <c r="L360" s="50"/>
      <c r="M360" s="50"/>
      <c r="N360" s="217"/>
      <c r="O360" s="217"/>
    </row>
    <row r="361" hidden="1" ht="13.5">
      <c r="L361" s="50"/>
      <c r="M361" s="50"/>
      <c r="N361" s="217"/>
      <c r="O361" s="217"/>
    </row>
    <row r="362" hidden="1" ht="13.5">
      <c r="B362" s="461">
        <v>43466</v>
      </c>
      <c r="C362" s="258" t="str">
        <f>INDEX($C$338:$I$358, 1, $D$130)</f>
        <v>TOTAL</v>
      </c>
      <c r="L362" s="50"/>
      <c r="M362" s="50"/>
      <c r="N362" s="217"/>
      <c r="O362" s="217"/>
    </row>
    <row r="363" hidden="1">
      <c r="B363" s="463" t="s">
        <v>8</v>
      </c>
      <c r="C363" s="464" t="e">
        <f>INDEX($C$338:$I$358, 2, $D$130)</f>
        <v>#N/A</v>
      </c>
      <c r="D363" s="98"/>
      <c r="L363" s="50"/>
      <c r="M363" s="50"/>
      <c r="N363" s="217"/>
      <c r="O363" s="217"/>
    </row>
    <row r="364" hidden="1">
      <c r="B364" s="465" t="s">
        <v>9</v>
      </c>
      <c r="C364" s="466" t="e">
        <f>INDEX($C$338:$I$358, 3, $D$130)</f>
        <v>#N/A</v>
      </c>
      <c r="D364" s="98"/>
      <c r="L364" s="50"/>
      <c r="M364" s="50"/>
      <c r="N364" s="217"/>
      <c r="O364" s="217"/>
    </row>
    <row r="365" hidden="1">
      <c r="B365" s="465" t="s">
        <v>10</v>
      </c>
      <c r="C365" s="466" t="e">
        <f>INDEX($C$338:$I$358, 4, $D$130)</f>
        <v>#N/A</v>
      </c>
      <c r="D365" s="98"/>
      <c r="L365" s="50"/>
      <c r="M365" s="50"/>
      <c r="N365" s="217"/>
      <c r="O365" s="217"/>
    </row>
    <row r="366" hidden="1">
      <c r="B366" s="465" t="s">
        <v>11</v>
      </c>
      <c r="C366" s="466" t="e">
        <f>INDEX($C$338:$I$358, 5, $D$130)</f>
        <v>#N/A</v>
      </c>
      <c r="D366" s="98"/>
      <c r="L366" s="50"/>
      <c r="M366" s="50"/>
      <c r="N366" s="217"/>
      <c r="O366" s="217"/>
    </row>
    <row r="367" hidden="1">
      <c r="B367" s="465" t="s">
        <v>12</v>
      </c>
      <c r="C367" s="466" t="e">
        <f>INDEX($C$338:$I$358, 6, $D$130)</f>
        <v>#N/A</v>
      </c>
      <c r="D367" s="98"/>
      <c r="L367" s="50"/>
      <c r="M367" s="50"/>
      <c r="N367" s="217"/>
      <c r="O367" s="217"/>
    </row>
    <row r="368" hidden="1">
      <c r="B368" s="465" t="s">
        <v>13</v>
      </c>
      <c r="C368" s="466" t="e">
        <f>INDEX($C$338:$I$358, 7, $D$130)</f>
        <v>#N/A</v>
      </c>
      <c r="D368" s="98"/>
      <c r="L368" s="50"/>
      <c r="M368" s="50"/>
      <c r="N368" s="217"/>
      <c r="O368" s="217"/>
    </row>
    <row r="369" hidden="1">
      <c r="B369" s="465" t="s">
        <v>109</v>
      </c>
      <c r="C369" s="466" t="e">
        <f>INDEX($C$338:$I$358, 8, $D$130)</f>
        <v>#N/A</v>
      </c>
      <c r="D369" s="98"/>
      <c r="L369" s="50"/>
      <c r="M369" s="50"/>
      <c r="N369" s="217"/>
      <c r="O369" s="217"/>
    </row>
    <row r="370" hidden="1">
      <c r="B370" s="465" t="s">
        <v>110</v>
      </c>
      <c r="C370" s="466" t="e">
        <f>INDEX($C$338:$I$358, 9, $D$130)</f>
        <v>#N/A</v>
      </c>
      <c r="D370" s="98"/>
      <c r="L370" s="50"/>
      <c r="M370" s="50"/>
      <c r="N370" s="217"/>
      <c r="O370" s="217"/>
    </row>
    <row r="371" hidden="1">
      <c r="B371" s="465" t="s">
        <v>16</v>
      </c>
      <c r="C371" s="466" t="e">
        <f>INDEX($C$338:$I$358, 10, $D$130)</f>
        <v>#N/A</v>
      </c>
      <c r="D371" s="98"/>
    </row>
    <row r="372" hidden="1">
      <c r="B372" s="465" t="s">
        <v>17</v>
      </c>
      <c r="C372" s="466" t="e">
        <f>INDEX($C$338:$I$358, 11, $D$130)</f>
        <v>#N/A</v>
      </c>
      <c r="D372" s="98"/>
    </row>
    <row r="373" hidden="1">
      <c r="B373" s="465" t="s">
        <v>18</v>
      </c>
      <c r="C373" s="466" t="e">
        <f>INDEX($C$338:$I$358, 12, $D$130)</f>
        <v>#N/A</v>
      </c>
      <c r="D373" s="98"/>
    </row>
    <row r="374" hidden="1">
      <c r="B374" s="465" t="s">
        <v>19</v>
      </c>
      <c r="C374" s="466" t="e">
        <f>INDEX($C$338:$I$358, 13, $D$130)</f>
        <v>#N/A</v>
      </c>
      <c r="D374" s="98"/>
    </row>
    <row r="375" hidden="1">
      <c r="B375" s="465" t="s">
        <v>20</v>
      </c>
      <c r="C375" s="466" t="e">
        <f>INDEX($C$338:$I$358, 14, $D$130)</f>
        <v>#N/A</v>
      </c>
      <c r="D375" s="98"/>
    </row>
    <row r="376" hidden="1">
      <c r="B376" s="465" t="s">
        <v>21</v>
      </c>
      <c r="C376" s="466" t="e">
        <f>INDEX($C$338:$I$358, 15, $D$130)</f>
        <v>#N/A</v>
      </c>
      <c r="D376" s="98"/>
    </row>
    <row r="377" hidden="1">
      <c r="B377" s="465" t="s">
        <v>22</v>
      </c>
      <c r="C377" s="466" t="e">
        <f>INDEX($C$338:$I$358, 16, $D$130)</f>
        <v>#N/A</v>
      </c>
      <c r="D377" s="98"/>
    </row>
    <row r="378" hidden="1">
      <c r="B378" s="465" t="s">
        <v>23</v>
      </c>
      <c r="C378" s="466" t="e">
        <f>INDEX($C$338:$I$358, 17, $D$130)</f>
        <v>#N/A</v>
      </c>
      <c r="D378" s="98"/>
    </row>
    <row r="379" hidden="1">
      <c r="B379" s="465" t="s">
        <v>24</v>
      </c>
      <c r="C379" s="466" t="e">
        <f>INDEX($C$338:$I$358, 18, $D$130)</f>
        <v>#N/A</v>
      </c>
      <c r="D379" s="98"/>
    </row>
    <row r="380" hidden="1">
      <c r="B380" s="465" t="s">
        <v>25</v>
      </c>
      <c r="C380" s="467" t="e">
        <f>INDEX($C$338:$I$358, 19, $D$130)</f>
        <v>#N/A</v>
      </c>
      <c r="D380" s="259"/>
    </row>
    <row r="381" hidden="1" ht="13.5">
      <c r="B381" s="468" t="s">
        <v>26</v>
      </c>
      <c r="C381" s="469" t="e">
        <f>INDEX($C$338:$I$358, 20, $D$130)</f>
        <v>#N/A</v>
      </c>
      <c r="D381" s="98"/>
    </row>
    <row r="382" hidden="1" ht="13.5">
      <c r="B382" s="462" t="s">
        <v>7</v>
      </c>
      <c r="C382" s="260" t="e">
        <f>INDEX($C$338:$I$358, 21, $D$130)</f>
        <v>#N/A</v>
      </c>
      <c r="D382" s="98"/>
    </row>
    <row r="383" hidden="1"/>
    <row r="384" hidden="1"/>
    <row r="385" hidden="1"/>
    <row r="386" hidden="1"/>
  </sheetData>
  <sheetProtection sheet="1" autoFilter="0" objects="1" scenarios="1" sort="0" password="ed66"/>
  <mergeCells>
    <mergeCell ref="C21:M21"/>
    <mergeCell ref="A9:D9"/>
    <mergeCell ref="C13:M13"/>
    <mergeCell ref="C14:M14"/>
    <mergeCell ref="C17:M17"/>
    <mergeCell ref="C19:M19"/>
    <mergeCell ref="C176:AB176"/>
    <mergeCell ref="C199:AB199"/>
    <mergeCell ref="C23:M23"/>
    <mergeCell ref="C25:M25"/>
    <mergeCell ref="C27:M27"/>
    <mergeCell ref="C29:M29"/>
    <mergeCell ref="C32:M33"/>
    <mergeCell ref="C31:M31"/>
    <mergeCell ref="C222:AB222"/>
    <mergeCell ref="C245:AB245"/>
    <mergeCell ref="C268:AB268"/>
    <mergeCell ref="C291:AB291"/>
    <mergeCell ref="C314:AB314"/>
  </mergeCells>
  <phoneticPr fontId="3" type="noConversion"/>
  <printOptions horizontalCentered="1"/>
  <pageMargins left="0.23622047244094491" right="0.23622047244094491" top="0.98425196850393704" bottom="0.98425196850393704" header="0" footer="0"/>
  <pageSetup paperSize="9" scale="50" fitToHeight="2" orientation="portrait"/>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4577" r:id="rId4" name="Drop Down 1">
              <controlPr defaultSize="0" autoLine="0" autoPict="0">
                <anchor moveWithCells="1">
                  <from>
                    <xdr:col>4</xdr:col>
                    <xdr:colOff>57150</xdr:colOff>
                    <xdr:row>7</xdr:row>
                    <xdr:rowOff>0</xdr:rowOff>
                  </from>
                  <to>
                    <xdr:col>6</xdr:col>
                    <xdr:colOff>257175</xdr:colOff>
                    <xdr:row>9</xdr:row>
                    <xdr:rowOff>0</xdr:rowOff>
                  </to>
                </anchor>
              </controlPr>
            </control>
          </mc:Choice>
        </mc:AlternateContent>
        <mc:AlternateContent xmlns:mc="http://schemas.openxmlformats.org/markup-compatibility/2006">
          <mc:Choice Requires="x14">
            <control shapeId="24581" r:id="rId5" name="Drop Down 5">
              <controlPr locked="0" defaultSize="0" autoLine="0" autoPict="0">
                <anchor moveWithCells="1">
                  <from>
                    <xdr:col>4</xdr:col>
                    <xdr:colOff>9525</xdr:colOff>
                    <xdr:row>102</xdr:row>
                    <xdr:rowOff>95250</xdr:rowOff>
                  </from>
                  <to>
                    <xdr:col>6</xdr:col>
                    <xdr:colOff>200025</xdr:colOff>
                    <xdr:row>104</xdr:row>
                    <xdr:rowOff>76200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ontainsText" priority="26" operator="containsText" id="{E043EF3C-1B1E-4088-BE0F-5F043FF49C7A}">
            <xm:f>NOT(ISERROR(SEARCH("",AD315)))</xm:f>
            <xm:f>""</xm:f>
            <x14:dxf>
              <numFmt numFmtId="3" formatCode="#,##0"/>
              <border>
                <left style="thin">
                  <color auto="1"/>
                </left>
                <right style="thin">
                  <color auto="1"/>
                </right>
                <top style="thin">
                  <color auto="1"/>
                </top>
                <bottom style="thin">
                  <color auto="1"/>
                </bottom>
                <vertical/>
                <horizontal/>
              </border>
            </x14:dxf>
          </x14:cfRule>
          <xm:sqref>AD315:AG315 AI315:AL315 AN315:AQ315 AS315:AV315 AX315:BA315 BC315:BF315 BH315:BK315 BM315:BP315 BR315:BU315 BW315:BZ315 CB315:CE315 CG315:CJ315 CL315:CO315 CQ315:CT315 CV315:CY315 DA315:DD315 DF315:DI315 DK315:DN315 DP315:DS315 DU315:DX315 DZ315:EC315 EE315:EH315 EJ315:EM315 EO315:ER315 ET315:EW315 EY315:FB315 FD315:FG315 FI315:FL315 FN315:FQ315 FS315:FV315 FX315:GA315 GC315:GF315 GH315:GK315 GM315:GP315 GR315:GU315 GW315:GZ315 HB315:HE315 HG315:HJ315 HL315:HO315 HQ315:HT315 HV315:HY315 IA315:ID315 IF315:II315 IK315:IN315 IP315:IS315 IU315:IV315</xm:sqref>
        </x14:conditionalFormatting>
        <x14:conditionalFormatting xmlns:xm="http://schemas.microsoft.com/office/excel/2006/main">
          <x14:cfRule type="containsText" priority="20" operator="containsText" id="{1DA55B18-106D-4142-9D61-0479DB902FCF}">
            <xm:f>NOT(ISERROR(SEARCH("",AC289)))</xm:f>
            <xm:f>""</xm:f>
            <x14:dxf>
              <numFmt numFmtId="3" formatCode="#,##0"/>
              <border>
                <left style="thin">
                  <color auto="1"/>
                </left>
                <right style="thin">
                  <color auto="1"/>
                </right>
                <top style="thin">
                  <color auto="1"/>
                </top>
                <bottom style="thin">
                  <color auto="1"/>
                </bottom>
                <vertical/>
                <horizontal/>
              </border>
            </x14:dxf>
          </x14:cfRule>
          <xm:sqref>AC289:IV289</xm:sqref>
        </x14:conditionalFormatting>
        <x14:conditionalFormatting xmlns:xm="http://schemas.microsoft.com/office/excel/2006/main">
          <x14:cfRule type="containsText" priority="19" operator="containsText" id="{3D7DEBB6-0A7D-4811-9035-8EF0C2C26738}">
            <xm:f>NOT(ISERROR(SEARCH("",C270)))</xm:f>
            <xm:f>""</xm:f>
            <x14:dxf>
              <numFmt numFmtId="3" formatCode="#,##0"/>
              <border>
                <right style="thin">
                  <color auto="1"/>
                </right>
                <top style="thin">
                  <color auto="1"/>
                </top>
                <bottom style="thin">
                  <color auto="1"/>
                </bottom>
                <vertical/>
                <horizontal/>
              </border>
            </x14:dxf>
          </x14:cfRule>
          <xm:sqref>C270:IV288</xm:sqref>
        </x14:conditionalFormatting>
        <x14:conditionalFormatting xmlns:xm="http://schemas.microsoft.com/office/excel/2006/main">
          <x14:cfRule type="containsText" priority="14" operator="containsText" id="{632FF8C6-84FE-400F-A531-DFB722AC78E8}">
            <xm:f>NOT(ISERROR(SEARCH("",AD246)))</xm:f>
            <xm:f>""</xm:f>
            <x14:dxf>
              <numFmt numFmtId="3" formatCode="#,##0"/>
              <border>
                <left style="thin">
                  <color auto="1"/>
                </left>
                <right style="thin">
                  <color auto="1"/>
                </right>
                <top style="thin">
                  <color auto="1"/>
                </top>
                <bottom style="thin">
                  <color auto="1"/>
                </bottom>
                <vertical/>
                <horizontal/>
              </border>
            </x14:dxf>
          </x14:cfRule>
          <xm:sqref>AD246:AG246 AI246:AL246 AN246:AQ246 AS246:AV246 AX246:BA246 BC246:BF246 BH246:BK246 BM246:BP246 BR246:BU246 BW246:BZ246 CB246:CE246 CG246:CJ246 CL246:CO246 CQ246:CT246 CV246:CY246 DA246:DD246 DF246:DI246 DK246:DN246 DP246:DS246 DU246:DX246 DZ246:EC246 EE246:EH246 EJ246:EM246 EO246:ER246 ET246:EW246 EY246:FB246 FD246:FG246 FI246:FL246 FN246:FQ246 FS246:FV246 FX246:GA246 GC246:GF246 GH246:GK246 GM246:GP246 GR246:GU246 GW246:GZ246 HB246:HE246 HG246:HJ246 HL246:HO246 HQ246:HT246 HV246:HY246 IA246:ID246 IF246:II246 IK246:IN246 IP246:IS246 IU246:IV246</xm:sqref>
        </x14:conditionalFormatting>
        <x14:conditionalFormatting xmlns:xm="http://schemas.microsoft.com/office/excel/2006/main">
          <x14:cfRule type="containsText" priority="8" operator="containsText" id="{ABF43C6E-8D50-49E2-9B4B-32308F8E5F6C}">
            <xm:f>NOT(ISERROR(SEARCH("",AC220)))</xm:f>
            <xm:f>""</xm:f>
            <x14:dxf>
              <numFmt numFmtId="3" formatCode="#,##0"/>
              <border>
                <left style="thin">
                  <color auto="1"/>
                </left>
                <right style="thin">
                  <color auto="1"/>
                </right>
                <top style="thin">
                  <color auto="1"/>
                </top>
                <bottom style="thin">
                  <color auto="1"/>
                </bottom>
                <vertical/>
                <horizontal/>
              </border>
            </x14:dxf>
          </x14:cfRule>
          <xm:sqref>AC220:IV220</xm:sqref>
        </x14:conditionalFormatting>
        <x14:conditionalFormatting xmlns:xm="http://schemas.microsoft.com/office/excel/2006/main">
          <x14:cfRule type="containsText" priority="7" operator="containsText" id="{8D6B5AB4-7CF3-424C-9A96-5DF0F5BF49B1}">
            <xm:f>NOT(ISERROR(SEARCH("",C201)))</xm:f>
            <xm:f>""</xm:f>
            <x14:dxf>
              <numFmt numFmtId="3" formatCode="#,##0"/>
              <border>
                <right style="thin">
                  <color auto="1"/>
                </right>
                <top style="thin">
                  <color auto="1"/>
                </top>
                <bottom style="thin">
                  <color auto="1"/>
                </bottom>
                <vertical/>
                <horizontal/>
              </border>
            </x14:dxf>
          </x14:cfRule>
          <xm:sqref>C201:IV219</xm:sqref>
        </x14:conditionalFormatting>
        <x14:conditionalFormatting xmlns:xm="http://schemas.microsoft.com/office/excel/2006/main">
          <x14:cfRule type="containsText" priority="2" operator="containsText" id="{821EB010-097C-4C0C-9FA9-A75FAD9582B4}">
            <xm:f>NOT(ISERROR(SEARCH("",AD177)))</xm:f>
            <xm:f>""</xm:f>
            <x14:dxf>
              <numFmt numFmtId="3" formatCode="#,##0"/>
              <border>
                <left style="thin">
                  <color auto="1"/>
                </left>
                <right style="thin">
                  <color auto="1"/>
                </right>
                <top style="thin">
                  <color auto="1"/>
                </top>
                <bottom style="thin">
                  <color auto="1"/>
                </bottom>
                <vertical/>
                <horizontal/>
              </border>
            </x14:dxf>
          </x14:cfRule>
          <xm:sqref>AD177:AG177 AI177:AL177 AN177:AQ177 AS177:AV177 AX177:BA177 BC177:BF177 BH177:BK177 BM177:BP177 BR177:BU177 BW177:BZ177 CB177:CE177 CG177:CJ177 CL177:CO177 CQ177:CT177 CV177:CY177 DA177:DD177 DF177:DI177 DK177:DN177 DP177:DS177 DU177:DX177 DZ177:EC177 EE177:EH177 EJ177:EM177 EO177:ER177 ET177:EW177 EY177:FB177 FD177:FG177 FI177:FL177 FN177:FQ177 FS177:FV177 FX177:GA177 GC177:GF177 GH177:GK177 GM177:GP177 GR177:GU177 GW177:GZ177 HB177:HE177 HG177:HJ177 HL177:HO177 HQ177:HT177 HV177:HY177 IA177:ID177 IF177:II177 IK177:IN177 IP177:IS177 IU177:IV177</xm:sqref>
        </x14:conditionalFormatting>
        <x14:conditionalFormatting xmlns:xm="http://schemas.microsoft.com/office/excel/2006/main">
          <x14:cfRule type="containsText" priority="28" operator="containsText" id="{363F3DAF-3AD2-4376-92E7-161554602529}">
            <xm:f>NOT(ISERROR(SEARCH("",AC335)))</xm:f>
            <xm:f>""</xm:f>
            <x14:dxf>
              <numFmt numFmtId="3" formatCode="#,##0"/>
              <border>
                <left style="thin">
                  <color auto="1"/>
                </left>
                <right style="thin">
                  <color auto="1"/>
                </right>
                <top style="thin">
                  <color auto="1"/>
                </top>
                <bottom style="thin">
                  <color auto="1"/>
                </bottom>
                <vertical/>
                <horizontal/>
              </border>
            </x14:dxf>
          </x14:cfRule>
          <xm:sqref>AC335:IV335</xm:sqref>
        </x14:conditionalFormatting>
        <x14:conditionalFormatting xmlns:xm="http://schemas.microsoft.com/office/excel/2006/main">
          <x14:cfRule type="containsText" priority="27" operator="containsText" id="{F826F41E-AF5F-4F17-B47D-B1967DA850BC}">
            <xm:f>NOT(ISERROR(SEARCH("",C316)))</xm:f>
            <xm:f>""</xm:f>
            <x14:dxf>
              <numFmt numFmtId="3" formatCode="#,##0"/>
              <border>
                <right style="thin">
                  <color auto="1"/>
                </right>
                <top style="thin">
                  <color auto="1"/>
                </top>
                <bottom style="thin">
                  <color auto="1"/>
                </bottom>
                <vertical/>
                <horizontal/>
              </border>
            </x14:dxf>
          </x14:cfRule>
          <xm:sqref>C316:IV334</xm:sqref>
        </x14:conditionalFormatting>
        <x14:conditionalFormatting xmlns:xm="http://schemas.microsoft.com/office/excel/2006/main">
          <x14:cfRule type="containsText" priority="25" operator="containsText" id="{681E0EF2-7F5E-4DF2-B580-03C1ABE51D2C}">
            <xm:f>NOT(ISERROR(SEARCH("",AC315)))</xm:f>
            <xm:f>""</xm:f>
            <x14:dxf>
              <numFmt numFmtId="3" formatCode="#,##0"/>
              <border>
                <left style="thin">
                  <color auto="1"/>
                </left>
                <right style="thin">
                  <color auto="1"/>
                </right>
                <top style="thin">
                  <color auto="1"/>
                </top>
                <bottom style="thin">
                  <color auto="1"/>
                </bottom>
                <vertical/>
                <horizontal/>
              </border>
            </x14:dxf>
          </x14:cfRule>
          <xm:sqref>AC315 AH315 AM315 AR315 AW315 BB315 BG315 BL315 BQ315 BV315 CA315 CF315 CK315 CP315 CU315 CZ315 DE315 DJ315 DO315 DT315 DY315 ED315 EI315 EN315 ES315 EX315 FC315 FH315 FM315 FR315 FW315 GB315 GG315 GL315 GQ315 GV315 HA315 HF315 HK315 HP315 HU315 HZ315 IE315 IJ315 IO315 IT315</xm:sqref>
        </x14:conditionalFormatting>
        <x14:conditionalFormatting xmlns:xm="http://schemas.microsoft.com/office/excel/2006/main">
          <x14:cfRule type="containsText" priority="24" operator="containsText" id="{876E7482-0FE9-4148-8E6B-EDDAB8CB737B}">
            <xm:f>NOT(ISERROR(SEARCH("",AC312)))</xm:f>
            <xm:f>""</xm:f>
            <x14:dxf>
              <numFmt numFmtId="3" formatCode="#,##0"/>
              <border>
                <left style="thin">
                  <color auto="1"/>
                </left>
                <right style="thin">
                  <color auto="1"/>
                </right>
                <top style="thin">
                  <color auto="1"/>
                </top>
                <bottom style="thin">
                  <color auto="1"/>
                </bottom>
                <vertical/>
                <horizontal/>
              </border>
            </x14:dxf>
          </x14:cfRule>
          <xm:sqref>AC312:IV312</xm:sqref>
        </x14:conditionalFormatting>
        <x14:conditionalFormatting xmlns:xm="http://schemas.microsoft.com/office/excel/2006/main">
          <x14:cfRule type="containsText" priority="23" operator="containsText" id="{B1449E60-210B-4B3E-BF94-AF9084343B71}">
            <xm:f>NOT(ISERROR(SEARCH("",C293)))</xm:f>
            <xm:f>""</xm:f>
            <x14:dxf>
              <numFmt numFmtId="3" formatCode="#,##0"/>
              <border>
                <right style="thin">
                  <color auto="1"/>
                </right>
                <top style="thin">
                  <color auto="1"/>
                </top>
                <bottom style="thin">
                  <color auto="1"/>
                </bottom>
                <vertical/>
                <horizontal/>
              </border>
            </x14:dxf>
          </x14:cfRule>
          <xm:sqref>C293:IV311</xm:sqref>
        </x14:conditionalFormatting>
        <x14:conditionalFormatting xmlns:xm="http://schemas.microsoft.com/office/excel/2006/main">
          <x14:cfRule type="containsText" priority="22" operator="containsText" id="{F47D1F38-F600-4F47-8611-1D8F8F472328}">
            <xm:f>NOT(ISERROR(SEARCH("",AD292)))</xm:f>
            <xm:f>""</xm:f>
            <x14:dxf>
              <numFmt numFmtId="3" formatCode="#,##0"/>
              <border>
                <left style="thin">
                  <color auto="1"/>
                </left>
                <right style="thin">
                  <color auto="1"/>
                </right>
                <top style="thin">
                  <color auto="1"/>
                </top>
                <bottom style="thin">
                  <color auto="1"/>
                </bottom>
                <vertical/>
                <horizontal/>
              </border>
            </x14:dxf>
          </x14:cfRule>
          <xm:sqref>AD292:AG292 AI292:AL292 AN292:AQ292 AS292:AV292 AX292:BA292 BC292:BF292 BH292:BK292 BM292:BP292 BR292:BU292 BW292:BZ292 CB292:CE292 CG292:CJ292 CL292:CO292 CQ292:CT292 CV292:CY292 DA292:DD292 DF292:DI292 DK292:DN292 DP292:DS292 DU292:DX292 DZ292:EC292 EE292:EH292 EJ292:EM292 EO292:ER292 ET292:EW292 EY292:FB292 FD292:FG292 FI292:FL292 FN292:FQ292 FS292:FV292 FX292:GA292 GC292:GF292 GH292:GK292 GM292:GP292 GR292:GU292 GW292:GZ292 HB292:HE292 HG292:HJ292 HL292:HO292 HQ292:HT292 HV292:HY292 IA292:ID292 IF292:II292 IK292:IN292 IP292:IS292 IU292:IV292</xm:sqref>
        </x14:conditionalFormatting>
        <x14:conditionalFormatting xmlns:xm="http://schemas.microsoft.com/office/excel/2006/main">
          <x14:cfRule type="containsText" priority="21" operator="containsText" id="{48B9156A-7898-4873-9C69-73B94FA163D0}">
            <xm:f>NOT(ISERROR(SEARCH("",AC292)))</xm:f>
            <xm:f>""</xm:f>
            <x14:dxf>
              <numFmt numFmtId="3" formatCode="#,##0"/>
              <border>
                <left style="thin">
                  <color auto="1"/>
                </left>
                <right style="thin">
                  <color auto="1"/>
                </right>
                <top style="thin">
                  <color auto="1"/>
                </top>
                <bottom style="thin">
                  <color auto="1"/>
                </bottom>
                <vertical/>
                <horizontal/>
              </border>
            </x14:dxf>
          </x14:cfRule>
          <xm:sqref>AC292 AH292 AM292 AR292 AW292 BB292 BG292 BL292 BQ292 BV292 CA292 CF292 CK292 CP292 CU292 CZ292 DE292 DJ292 DO292 DT292 DY292 ED292 EI292 EN292 ES292 EX292 FC292 FH292 FM292 FR292 FW292 GB292 GG292 GL292 GQ292 GV292 HA292 HF292 HK292 HP292 HU292 HZ292 IE292 IJ292 IO292 IT292</xm:sqref>
        </x14:conditionalFormatting>
        <x14:conditionalFormatting xmlns:xm="http://schemas.microsoft.com/office/excel/2006/main">
          <x14:cfRule type="containsText" priority="18" operator="containsText" id="{862AAE1A-F87B-467E-A033-2C909C1F994C}">
            <xm:f>NOT(ISERROR(SEARCH("",AD269)))</xm:f>
            <xm:f>""</xm:f>
            <x14:dxf>
              <numFmt numFmtId="3" formatCode="#,##0"/>
              <border>
                <left style="thin">
                  <color auto="1"/>
                </left>
                <right style="thin">
                  <color auto="1"/>
                </right>
                <top style="thin">
                  <color auto="1"/>
                </top>
                <bottom style="thin">
                  <color auto="1"/>
                </bottom>
                <vertical/>
                <horizontal/>
              </border>
            </x14:dxf>
          </x14:cfRule>
          <xm:sqref>AD269:AG269 AI269:AL269 AN269:AQ269 AS269:AV269 AX269:BA269 BC269:BF269 BH269:BK269 BM269:BP269 BR269:BU269 BW269:BZ269 CB269:CE269 CG269:CJ269 CL269:CO269 CQ269:CT269 CV269:CY269 DA269:DD269 DF269:DI269 DK269:DN269 DP269:DS269 DU269:DX269 DZ269:EC269 EE269:EH269 EJ269:EM269 EO269:ER269 ET269:EW269 EY269:FB269 FD269:FG269 FI269:FL269 FN269:FQ269 FS269:FV269 FX269:GA269 GC269:GF269 GH269:GK269 GM269:GP269 GR269:GU269 GW269:GZ269 HB269:HE269 HG269:HJ269 HL269:HO269 HQ269:HT269 HV269:HY269 IA269:ID269 IF269:II269 IK269:IN269 IP269:IS269 IU269:IV269</xm:sqref>
        </x14:conditionalFormatting>
        <x14:conditionalFormatting xmlns:xm="http://schemas.microsoft.com/office/excel/2006/main">
          <x14:cfRule type="containsText" priority="17" operator="containsText" id="{91F98961-7B35-4E6E-B0D2-1F935262CBAF}">
            <xm:f>NOT(ISERROR(SEARCH("",AC269)))</xm:f>
            <xm:f>""</xm:f>
            <x14:dxf>
              <numFmt numFmtId="3" formatCode="#,##0"/>
              <border>
                <left style="thin">
                  <color auto="1"/>
                </left>
                <right style="thin">
                  <color auto="1"/>
                </right>
                <top style="thin">
                  <color auto="1"/>
                </top>
                <bottom style="thin">
                  <color auto="1"/>
                </bottom>
                <vertical/>
                <horizontal/>
              </border>
            </x14:dxf>
          </x14:cfRule>
          <xm:sqref>AC269 AH269 AM269 AR269 AW269 BB269 BG269 BL269 BQ269 BV269 CA269 CF269 CK269 CP269 CU269 CZ269 DE269 DJ269 DO269 DT269 DY269 ED269 EI269 EN269 ES269 EX269 FC269 FH269 FM269 FR269 FW269 GB269 GG269 GL269 GQ269 GV269 HA269 HF269 HK269 HP269 HU269 HZ269 IE269 IJ269 IO269 IT269</xm:sqref>
        </x14:conditionalFormatting>
        <x14:conditionalFormatting xmlns:xm="http://schemas.microsoft.com/office/excel/2006/main">
          <x14:cfRule type="containsText" priority="16" operator="containsText" id="{D129CB72-56F5-466C-AFDF-448F8FECC41B}">
            <xm:f>NOT(ISERROR(SEARCH("",AC266)))</xm:f>
            <xm:f>""</xm:f>
            <x14:dxf>
              <numFmt numFmtId="3" formatCode="#,##0"/>
              <border>
                <left style="thin">
                  <color auto="1"/>
                </left>
                <right style="thin">
                  <color auto="1"/>
                </right>
                <top style="thin">
                  <color auto="1"/>
                </top>
                <bottom style="thin">
                  <color auto="1"/>
                </bottom>
                <vertical/>
                <horizontal/>
              </border>
            </x14:dxf>
          </x14:cfRule>
          <xm:sqref>AC266:IV266</xm:sqref>
        </x14:conditionalFormatting>
        <x14:conditionalFormatting xmlns:xm="http://schemas.microsoft.com/office/excel/2006/main">
          <x14:cfRule type="containsText" priority="15" operator="containsText" id="{1E44A84F-9431-42D0-9F01-2DFD7DFB3E40}">
            <xm:f>NOT(ISERROR(SEARCH("",C247)))</xm:f>
            <xm:f>""</xm:f>
            <x14:dxf>
              <numFmt numFmtId="3" formatCode="#,##0"/>
              <border>
                <right style="thin">
                  <color auto="1"/>
                </right>
                <top style="thin">
                  <color auto="1"/>
                </top>
                <bottom style="thin">
                  <color auto="1"/>
                </bottom>
                <vertical/>
                <horizontal/>
              </border>
            </x14:dxf>
          </x14:cfRule>
          <xm:sqref>C247:IV265</xm:sqref>
        </x14:conditionalFormatting>
        <x14:conditionalFormatting xmlns:xm="http://schemas.microsoft.com/office/excel/2006/main">
          <x14:cfRule type="containsText" priority="13" operator="containsText" id="{C25CF014-C052-4205-A0A7-7D9D7D560267}">
            <xm:f>NOT(ISERROR(SEARCH("",AC246)))</xm:f>
            <xm:f>""</xm:f>
            <x14:dxf>
              <numFmt numFmtId="3" formatCode="#,##0"/>
              <border>
                <left style="thin">
                  <color auto="1"/>
                </left>
                <right style="thin">
                  <color auto="1"/>
                </right>
                <top style="thin">
                  <color auto="1"/>
                </top>
                <bottom style="thin">
                  <color auto="1"/>
                </bottom>
                <vertical/>
                <horizontal/>
              </border>
            </x14:dxf>
          </x14:cfRule>
          <xm:sqref>AC246 AH246 AM246 AR246 AW246 BB246 BG246 BL246 BQ246 BV246 CA246 CF246 CK246 CP246 CU246 CZ246 DE246 DJ246 DO246 DT246 DY246 ED246 EI246 EN246 ES246 EX246 FC246 FH246 FM246 FR246 FW246 GB246 GG246 GL246 GQ246 GV246 HA246 HF246 HK246 HP246 HU246 HZ246 IE246 IJ246 IO246 IT246</xm:sqref>
        </x14:conditionalFormatting>
        <x14:conditionalFormatting xmlns:xm="http://schemas.microsoft.com/office/excel/2006/main">
          <x14:cfRule type="containsText" priority="12" operator="containsText" id="{5A8F68F0-E1B2-4641-AAA3-365928F0EB9E}">
            <xm:f>NOT(ISERROR(SEARCH("",AC243)))</xm:f>
            <xm:f>""</xm:f>
            <x14:dxf>
              <numFmt numFmtId="3" formatCode="#,##0"/>
              <border>
                <left style="thin">
                  <color auto="1"/>
                </left>
                <right style="thin">
                  <color auto="1"/>
                </right>
                <top style="thin">
                  <color auto="1"/>
                </top>
                <bottom style="thin">
                  <color auto="1"/>
                </bottom>
                <vertical/>
                <horizontal/>
              </border>
            </x14:dxf>
          </x14:cfRule>
          <xm:sqref>AC243:IV243</xm:sqref>
        </x14:conditionalFormatting>
        <x14:conditionalFormatting xmlns:xm="http://schemas.microsoft.com/office/excel/2006/main">
          <x14:cfRule type="containsText" priority="11" operator="containsText" id="{985AF989-1657-4DE0-A0A0-BE326367E5B4}">
            <xm:f>NOT(ISERROR(SEARCH("",C224)))</xm:f>
            <xm:f>""</xm:f>
            <x14:dxf>
              <numFmt numFmtId="3" formatCode="#,##0"/>
              <border>
                <right style="thin">
                  <color auto="1"/>
                </right>
                <top style="thin">
                  <color auto="1"/>
                </top>
                <bottom style="thin">
                  <color auto="1"/>
                </bottom>
                <vertical/>
                <horizontal/>
              </border>
            </x14:dxf>
          </x14:cfRule>
          <xm:sqref>C224:IV242</xm:sqref>
        </x14:conditionalFormatting>
        <x14:conditionalFormatting xmlns:xm="http://schemas.microsoft.com/office/excel/2006/main">
          <x14:cfRule type="containsText" priority="10" operator="containsText" id="{82B1681E-79CD-4D8A-8BB3-81BA28F2F8B6}">
            <xm:f>NOT(ISERROR(SEARCH("",AD223)))</xm:f>
            <xm:f>""</xm:f>
            <x14:dxf>
              <numFmt numFmtId="3" formatCode="#,##0"/>
              <border>
                <left style="thin">
                  <color auto="1"/>
                </left>
                <right style="thin">
                  <color auto="1"/>
                </right>
                <top style="thin">
                  <color auto="1"/>
                </top>
                <bottom style="thin">
                  <color auto="1"/>
                </bottom>
                <vertical/>
                <horizontal/>
              </border>
            </x14:dxf>
          </x14:cfRule>
          <xm:sqref>AD223:AG223 AI223:AL223 AN223:AQ223 AS223:AV223 AX223:BA223 BC223:BF223 BH223:BK223 BM223:BP223 BR223:BU223 BW223:BZ223 CB223:CE223 CG223:CJ223 CL223:CO223 CQ223:CT223 CV223:CY223 DA223:DD223 DF223:DI223 DK223:DN223 DP223:DS223 DU223:DX223 DZ223:EC223 EE223:EH223 EJ223:EM223 EO223:ER223 ET223:EW223 EY223:FB223 FD223:FG223 FI223:FL223 FN223:FQ223 FS223:FV223 FX223:GA223 GC223:GF223 GH223:GK223 GM223:GP223 GR223:GU223 GW223:GZ223 HB223:HE223 HG223:HJ223 HL223:HO223 HQ223:HT223 HV223:HY223 IA223:ID223 IF223:II223 IK223:IN223 IP223:IS223 IU223:IV223</xm:sqref>
        </x14:conditionalFormatting>
        <x14:conditionalFormatting xmlns:xm="http://schemas.microsoft.com/office/excel/2006/main">
          <x14:cfRule type="containsText" priority="9" operator="containsText" id="{B680644E-7F73-42B0-9701-CFFFC7D34E2F}">
            <xm:f>NOT(ISERROR(SEARCH("",AC223)))</xm:f>
            <xm:f>""</xm:f>
            <x14:dxf>
              <numFmt numFmtId="3" formatCode="#,##0"/>
              <border>
                <left style="thin">
                  <color auto="1"/>
                </left>
                <right style="thin">
                  <color auto="1"/>
                </right>
                <top style="thin">
                  <color auto="1"/>
                </top>
                <bottom style="thin">
                  <color auto="1"/>
                </bottom>
                <vertical/>
                <horizontal/>
              </border>
            </x14:dxf>
          </x14:cfRule>
          <xm:sqref>AC223 AH223 AM223 AR223 AW223 BB223 BG223 BL223 BQ223 BV223 CA223 CF223 CK223 CP223 CU223 CZ223 DE223 DJ223 DO223 DT223 DY223 ED223 EI223 EN223 ES223 EX223 FC223 FH223 FM223 FR223 FW223 GB223 GG223 GL223 GQ223 GV223 HA223 HF223 HK223 HP223 HU223 HZ223 IE223 IJ223 IO223 IT223</xm:sqref>
        </x14:conditionalFormatting>
        <x14:conditionalFormatting xmlns:xm="http://schemas.microsoft.com/office/excel/2006/main">
          <x14:cfRule type="containsText" priority="6" operator="containsText" id="{17C7D730-14AA-460F-A0AB-81A27821A69B}">
            <xm:f>NOT(ISERROR(SEARCH("",AD200)))</xm:f>
            <xm:f>""</xm:f>
            <x14:dxf>
              <numFmt numFmtId="3" formatCode="#,##0"/>
              <border>
                <left style="thin">
                  <color auto="1"/>
                </left>
                <right style="thin">
                  <color auto="1"/>
                </right>
                <top style="thin">
                  <color auto="1"/>
                </top>
                <bottom style="thin">
                  <color auto="1"/>
                </bottom>
                <vertical/>
                <horizontal/>
              </border>
            </x14:dxf>
          </x14:cfRule>
          <xm:sqref>AD200:AG200 AI200:AL200 AN200:AQ200 AS200:AV200 AX200:BA200 BC200:BF200 BH200:BK200 BM200:BP200 BR200:BU200 BW200:BZ200 CB200:CE200 CG200:CJ200 CL200:CO200 CQ200:CT200 CV200:CY200 DA200:DD200 DF200:DI200 DK200:DN200 DP200:DS200 DU200:DX200 DZ200:EC200 EE200:EH200 EJ200:EM200 EO200:ER200 ET200:EW200 EY200:FB200 FD200:FG200 FI200:FL200 FN200:FQ200 FS200:FV200 FX200:GA200 GC200:GF200 GH200:GK200 GM200:GP200 GR200:GU200 GW200:GZ200 HB200:HE200 HG200:HJ200 HL200:HO200 HQ200:HT200 HV200:HY200 IA200:ID200 IF200:II200 IK200:IN200 IP200:IS200 IU200:IV200</xm:sqref>
        </x14:conditionalFormatting>
        <x14:conditionalFormatting xmlns:xm="http://schemas.microsoft.com/office/excel/2006/main">
          <x14:cfRule type="containsText" priority="5" operator="containsText" id="{1B720B8B-8449-42E0-AEB2-138ADD1780DA}">
            <xm:f>NOT(ISERROR(SEARCH("",AC200)))</xm:f>
            <xm:f>""</xm:f>
            <x14:dxf>
              <numFmt numFmtId="3" formatCode="#,##0"/>
              <border>
                <left style="thin">
                  <color auto="1"/>
                </left>
                <right style="thin">
                  <color auto="1"/>
                </right>
                <top style="thin">
                  <color auto="1"/>
                </top>
                <bottom style="thin">
                  <color auto="1"/>
                </bottom>
                <vertical/>
                <horizontal/>
              </border>
            </x14:dxf>
          </x14:cfRule>
          <xm:sqref>AC200 AH200 AM200 AR200 AW200 BB200 BG200 BL200 BQ200 BV200 CA200 CF200 CK200 CP200 CU200 CZ200 DE200 DJ200 DO200 DT200 DY200 ED200 EI200 EN200 ES200 EX200 FC200 FH200 FM200 FR200 FW200 GB200 GG200 GL200 GQ200 GV200 HA200 HF200 HK200 HP200 HU200 HZ200 IE200 IJ200 IO200 IT200</xm:sqref>
        </x14:conditionalFormatting>
        <x14:conditionalFormatting xmlns:xm="http://schemas.microsoft.com/office/excel/2006/main">
          <x14:cfRule type="containsText" priority="4" operator="containsText" id="{35779A5C-0D81-4931-B15C-9D5D3B89A4AB}">
            <xm:f>NOT(ISERROR(SEARCH("",AC197)))</xm:f>
            <xm:f>""</xm:f>
            <x14:dxf>
              <numFmt numFmtId="3" formatCode="#,##0"/>
              <border>
                <left style="thin">
                  <color auto="1"/>
                </left>
                <right style="thin">
                  <color auto="1"/>
                </right>
                <top style="thin">
                  <color auto="1"/>
                </top>
                <bottom style="thin">
                  <color auto="1"/>
                </bottom>
                <vertical/>
                <horizontal/>
              </border>
            </x14:dxf>
          </x14:cfRule>
          <xm:sqref>AC197:IV197</xm:sqref>
        </x14:conditionalFormatting>
        <x14:conditionalFormatting xmlns:xm="http://schemas.microsoft.com/office/excel/2006/main">
          <x14:cfRule type="containsText" priority="3" operator="containsText" id="{0F02D090-4B9A-4AE9-83E1-7E25E76A91B5}">
            <xm:f>NOT(ISERROR(SEARCH("",C178)))</xm:f>
            <xm:f>""</xm:f>
            <x14:dxf>
              <numFmt numFmtId="3" formatCode="#,##0"/>
              <border>
                <right style="thin">
                  <color auto="1"/>
                </right>
                <top style="thin">
                  <color auto="1"/>
                </top>
                <bottom style="thin">
                  <color auto="1"/>
                </bottom>
                <vertical/>
                <horizontal/>
              </border>
            </x14:dxf>
          </x14:cfRule>
          <xm:sqref>C178:IV196</xm:sqref>
        </x14:conditionalFormatting>
        <x14:conditionalFormatting xmlns:xm="http://schemas.microsoft.com/office/excel/2006/main">
          <x14:cfRule type="containsText" priority="1" operator="containsText" id="{0E680F6A-085A-4626-8AB9-0E159F5E7688}">
            <xm:f>NOT(ISERROR(SEARCH("",AC177)))</xm:f>
            <xm:f>""</xm:f>
            <x14:dxf>
              <numFmt numFmtId="3" formatCode="#,##0"/>
              <border>
                <left style="thin">
                  <color auto="1"/>
                </left>
                <right style="thin">
                  <color auto="1"/>
                </right>
                <top style="thin">
                  <color auto="1"/>
                </top>
                <bottom style="thin">
                  <color auto="1"/>
                </bottom>
                <vertical/>
                <horizontal/>
              </border>
            </x14:dxf>
          </x14:cfRule>
          <xm:sqref>AC177 AH177 AM177 AR177 AW177 BB177 BG177 BL177 BQ177 BV177 CA177 CF177 CK177 CP177 CU177 CZ177 DE177 DJ177 DO177 DT177 DY177 ED177 EI177 EN177 ES177 EX177 FC177 FH177 FM177 FR177 FW177 GB177 GG177 GL177 GQ177 GV177 HA177 HF177 HK177 HP177 HU177 HZ177 IE177 IJ177 IO177 IT177</xm:sqref>
        </x14:conditionalFormatting>
      </x14:conditionalFormatting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mc:Ignorable="x14ac xr">
  <sheetPr codeName="Hoja11">
    <tabColor indexed="53"/>
  </sheetPr>
  <dimension ref="A1:IV501"/>
  <sheetViews>
    <sheetView showGridLines="0" view="pageBreakPreview" zoomScaleNormal="75" workbookViewId="0">
      <pane ySplit="9" topLeftCell="A10" activePane="bottomLeft" state="frozen"/>
      <selection pane="bottomLeft" activeCell="A7" sqref="A7"/>
    </sheetView>
  </sheetViews>
  <sheetFormatPr baseColWidth="10" defaultRowHeight="12.75"/>
  <cols>
    <col min="1" max="1" width="3.42578125" customWidth="1" style="51"/>
    <col min="2" max="2" width="15.140625" customWidth="1" style="51"/>
    <col min="3" max="3" width="11.85546875" customWidth="1" style="51"/>
    <col min="4" max="4" width="10.5703125" customWidth="1" style="51"/>
    <col min="5" max="6" width="10.85546875" customWidth="1" style="51"/>
    <col min="7" max="8" width="11" customWidth="1" style="51"/>
    <col min="9" max="9" width="11.28515625" customWidth="1" style="51"/>
    <col min="10" max="10" width="11.42578125" customWidth="1" style="51"/>
    <col min="11" max="11" width="10.7109375" customWidth="1" style="51"/>
    <col min="12" max="12" width="10.5703125" customWidth="1" style="51"/>
    <col min="13" max="13" width="12.140625" customWidth="1" style="51"/>
    <col min="14" max="14" width="10.5703125" customWidth="1" style="51"/>
    <col min="15" max="15" width="11.42578125" customWidth="1" style="58"/>
    <col min="16" max="16" width="15.85546875" customWidth="1" style="58"/>
    <col min="17" max="17" width="11.42578125" customWidth="1" style="58"/>
    <col min="18" max="16384" width="11.42578125" customWidth="1" style="51"/>
  </cols>
  <sheetData>
    <row r="1">
      <c r="A1" s="46"/>
      <c r="B1" s="47"/>
      <c r="C1" s="47"/>
      <c r="D1" s="47"/>
      <c r="E1" s="47"/>
      <c r="F1" s="47"/>
      <c r="G1" s="47"/>
      <c r="H1" s="47"/>
      <c r="I1" s="47"/>
      <c r="J1" s="47"/>
      <c r="K1" s="47"/>
      <c r="L1" s="47"/>
      <c r="M1" s="47"/>
      <c r="N1" s="47"/>
      <c r="O1" s="48"/>
    </row>
    <row r="2">
      <c r="A2" s="52"/>
      <c r="B2" s="49"/>
      <c r="C2" s="49"/>
      <c r="D2" s="49"/>
      <c r="E2" s="49"/>
      <c r="F2" s="49"/>
      <c r="G2" s="49"/>
      <c r="H2" s="49"/>
      <c r="I2" s="49"/>
      <c r="J2" s="49"/>
      <c r="K2" s="49"/>
      <c r="L2" s="49"/>
      <c r="M2" s="49"/>
      <c r="N2" s="49"/>
      <c r="O2" s="53"/>
    </row>
    <row r="3">
      <c r="A3" s="52"/>
      <c r="B3" s="49"/>
      <c r="C3" s="49"/>
      <c r="D3" s="49"/>
      <c r="E3" s="49"/>
      <c r="F3" s="49"/>
      <c r="G3" s="49"/>
      <c r="H3" s="49"/>
      <c r="I3" s="49"/>
      <c r="J3" s="49"/>
      <c r="K3" s="49"/>
      <c r="L3" s="49"/>
      <c r="M3" s="49"/>
      <c r="N3" s="49"/>
      <c r="O3" s="53"/>
    </row>
    <row r="4">
      <c r="A4" s="52"/>
      <c r="B4" s="49"/>
      <c r="C4" s="49"/>
      <c r="D4" s="49"/>
      <c r="E4" s="49"/>
      <c r="F4" s="49"/>
      <c r="G4" s="49"/>
      <c r="H4" s="49"/>
      <c r="I4" s="49"/>
      <c r="J4" s="49"/>
      <c r="K4" s="49"/>
      <c r="L4" s="49"/>
      <c r="M4" s="49"/>
      <c r="N4" s="49"/>
      <c r="O4" s="53"/>
    </row>
    <row r="5">
      <c r="A5" s="52"/>
      <c r="B5" s="49"/>
      <c r="C5" s="49"/>
      <c r="D5" s="49"/>
      <c r="E5" s="49"/>
      <c r="F5" s="49"/>
      <c r="G5" s="49"/>
      <c r="H5" s="49"/>
      <c r="I5" s="49"/>
      <c r="J5" s="49"/>
      <c r="K5" s="49"/>
      <c r="L5" s="49"/>
      <c r="M5" s="49"/>
      <c r="N5" s="49"/>
      <c r="O5" s="53"/>
    </row>
    <row r="6" ht="13.5">
      <c r="A6" s="54"/>
      <c r="B6" s="55"/>
      <c r="C6" s="55"/>
      <c r="D6" s="55"/>
      <c r="E6" s="55"/>
      <c r="F6" s="55"/>
      <c r="G6" s="55"/>
      <c r="H6" s="55"/>
      <c r="I6" s="55"/>
      <c r="J6" s="55"/>
      <c r="K6" s="55"/>
      <c r="L6" s="55"/>
      <c r="M6" s="55"/>
      <c r="N6" s="55"/>
      <c r="O6" s="56"/>
    </row>
    <row r="7" s="57" customFormat="1">
      <c r="O7" s="58"/>
      <c r="P7" s="58"/>
      <c r="Q7" s="58"/>
    </row>
    <row r="8">
      <c r="F8" s="131">
        <v>20</v>
      </c>
      <c r="I8" s="51" t="s">
        <v>100</v>
      </c>
      <c r="J8" s="51" t="e">
        <f>LOOKUP(AUX!$E$10,AUX!$B:$B,AUX!$A:$A)</f>
        <v>#N/A</v>
      </c>
    </row>
    <row r="9">
      <c r="B9" s="597" t="s">
        <v>101</v>
      </c>
      <c r="C9" s="597"/>
      <c r="D9" s="597"/>
      <c r="E9" s="597"/>
      <c r="I9" s="51" t="s">
        <v>1</v>
      </c>
      <c r="J9" s="51" t="str">
        <f>LOOKUP(AUX!$E$11,AUX!$E1:$E5,AUX!$D1:$D5)</f>
        <v>6 meses</v>
      </c>
    </row>
    <row r="10" ht="13.5">
      <c r="B10" s="261"/>
      <c r="C10" s="261"/>
      <c r="D10" s="261"/>
      <c r="E10" s="261"/>
    </row>
    <row r="11" ht="15.75">
      <c r="C11" s="665" t="s">
        <v>92</v>
      </c>
      <c r="D11" s="666"/>
      <c r="E11" s="666"/>
      <c r="F11" s="666"/>
      <c r="G11" s="666"/>
      <c r="H11" s="666"/>
      <c r="I11" s="666"/>
      <c r="J11" s="666"/>
      <c r="K11" s="666"/>
      <c r="L11" s="666"/>
      <c r="M11" s="667"/>
    </row>
    <row r="12" ht="16.5" customHeight="1">
      <c r="C12" s="668" t="s">
        <v>192</v>
      </c>
      <c r="D12" s="669"/>
      <c r="E12" s="669"/>
      <c r="F12" s="669"/>
      <c r="G12" s="669"/>
      <c r="H12" s="669"/>
      <c r="I12" s="669"/>
      <c r="J12" s="669"/>
      <c r="K12" s="669"/>
      <c r="L12" s="669"/>
      <c r="M12" s="670"/>
      <c r="O12" s="58" t="s">
        <v>193</v>
      </c>
    </row>
    <row r="13">
      <c r="B13" s="50"/>
      <c r="C13" s="141"/>
      <c r="D13" s="142"/>
      <c r="E13" s="142"/>
      <c r="F13" s="142"/>
      <c r="G13" s="142"/>
      <c r="H13" s="142"/>
      <c r="I13" s="142"/>
      <c r="J13" s="142"/>
      <c r="K13" s="262"/>
      <c r="L13" s="262"/>
      <c r="M13" s="143"/>
    </row>
    <row r="14" ht="15">
      <c r="B14" s="144"/>
      <c r="C14" s="145" t="e">
        <f>INDEX(AUX!$G$1:$IV$1,1,AUX!$E$10+(AUX!$E$11*AUX!G$2))</f>
        <v>#VALUE!</v>
      </c>
      <c r="D14" s="146">
        <f>INDEX(AUX!$G$1:$IV$1,1,AUX!$E$10+(AUX!$E$11*AUX!H$2))</f>
        <v>38899</v>
      </c>
      <c r="E14" s="146">
        <f>INDEX(AUX!$G$1:$IV$1,1,AUX!$E$10+(AUX!$E$11*AUX!I$2))</f>
        <v>39083</v>
      </c>
      <c r="F14" s="146">
        <f>INDEX(AUX!$G$1:$IV$1,1,AUX!$E$10+(AUX!$E$11*AUX!J$2))</f>
        <v>39264</v>
      </c>
      <c r="G14" s="146">
        <f>INDEX(AUX!$G$1:$IV$1,1,AUX!$E$10+(AUX!$E$11*AUX!K$2))</f>
        <v>39448</v>
      </c>
      <c r="H14" s="146">
        <f>INDEX(AUX!$G$1:$IV$1,1,AUX!$E$10+(AUX!$E$11*AUX!L$2))</f>
        <v>39630</v>
      </c>
      <c r="I14" s="146">
        <f>INDEX(AUX!$G$1:$IV$1,1,AUX!$E$10+(AUX!$E$11*AUX!M$2))</f>
        <v>39814</v>
      </c>
      <c r="J14" s="146">
        <f>INDEX(AUX!$G$1:$IV$1,1,AUX!$E$10+(AUX!$E$11*AUX!N$2))</f>
        <v>39995</v>
      </c>
      <c r="K14" s="146">
        <f>INDEX(AUX!$G$1:$IV$1,1,AUX!$E$10+(AUX!$E$11*AUX!O$2))</f>
        <v>40179</v>
      </c>
      <c r="L14" s="146">
        <f>INDEX(AUX!$G$1:$IV$1,1,AUX!$E$10+(AUX!$E$11*AUX!P$2))</f>
        <v>40360</v>
      </c>
      <c r="M14" s="147">
        <f>INDEX(AUX!$G$1:$IV$1,1,AUX!$E$10+(AUX!$E$11*AUX!Q$2))</f>
        <v>40544</v>
      </c>
      <c r="N14" s="245"/>
      <c r="O14" s="263"/>
    </row>
    <row r="15" ht="15.75" customHeight="1">
      <c r="B15" s="203"/>
      <c r="C15" s="671" t="s">
        <v>194</v>
      </c>
      <c r="D15" s="672"/>
      <c r="E15" s="672"/>
      <c r="F15" s="672"/>
      <c r="G15" s="672"/>
      <c r="H15" s="672"/>
      <c r="I15" s="672"/>
      <c r="J15" s="672"/>
      <c r="K15" s="672"/>
      <c r="L15" s="672"/>
      <c r="M15" s="673"/>
      <c r="N15" s="245"/>
      <c r="O15" s="263"/>
    </row>
    <row r="16" ht="17.25" customHeight="1">
      <c r="B16" s="233" t="str">
        <f>INDEX($B$164:$H$183, $F$8, 1)</f>
        <v>Total</v>
      </c>
      <c r="C16" s="264" t="str">
        <f>IF(INDEX($C$164:$II$183,$F$8,AUX!$E$10+(AUX!$E$11*AUX!G$2))="","--",INDEX($C$164:$II$183,$F$8,AUX!$E$10+(AUX!$E$11*AUX!G$2)))</f>
        <v>--</v>
      </c>
      <c r="D16" s="265" t="str">
        <f>IF(INDEX($C$164:$II$183,$F$8,AUX!$E$10+(AUX!$E$11*AUX!H$2))="","--",INDEX($C$164:$II$183,$F$8,AUX!$E$10+(AUX!$E$11*AUX!H$2)))</f>
        <v>--</v>
      </c>
      <c r="E16" s="265" t="str">
        <f>IF(INDEX($C$164:$II$183,$F$8,AUX!$E$10+(AUX!$E$11*AUX!I$2))="","--",INDEX($C$164:$II$183,$F$8,AUX!$E$10+(AUX!$E$11*AUX!I$2)))</f>
        <v>--</v>
      </c>
      <c r="F16" s="265" t="str">
        <f>IF(INDEX($C$164:$II$183,$F$8,AUX!$E$10+(AUX!$E$11*AUX!J$2))="","--",INDEX($C$164:$II$183,$F$8,AUX!$E$10+(AUX!$E$11*AUX!J$2)))</f>
        <v>--</v>
      </c>
      <c r="G16" s="265" t="str">
        <f>IF(INDEX($C$164:$II$183,$F$8,AUX!$E$10+(AUX!$E$11*AUX!K$2))="","--",INDEX($C$164:$II$183,$F$8,AUX!$E$10+(AUX!$E$11*AUX!K$2)))</f>
        <v>--</v>
      </c>
      <c r="H16" s="265" t="str">
        <f>IF(INDEX($C$164:$II$183,$F$8,AUX!$E$10+(AUX!$E$11*AUX!L$2))="","--",INDEX($C$164:$II$183,$F$8,AUX!$E$10+(AUX!$E$11*AUX!L$2)))</f>
        <v>--</v>
      </c>
      <c r="I16" s="265" t="str">
        <f>IF(INDEX($C$164:$II$183,$F$8,AUX!$E$10+(AUX!$E$11*AUX!M$2))="","--",INDEX($C$164:$II$183,$F$8,AUX!$E$10+(AUX!$E$11*AUX!M$2)))</f>
        <v>--</v>
      </c>
      <c r="J16" s="265" t="str">
        <f>IF(INDEX($C$164:$II$183,$F$8,AUX!$E$10+(AUX!$E$11*AUX!N$2))="","--",INDEX($C$164:$II$183,$F$8,AUX!$E$10+(AUX!$E$11*AUX!N$2)))</f>
        <v>--</v>
      </c>
      <c r="K16" s="265" t="str">
        <f>IF(INDEX($C$164:$II$183,$F$8,AUX!$E$10+(AUX!$E$11*AUX!O$2))="","--",INDEX($C$164:$II$183,$F$8,AUX!$E$10+(AUX!$E$11*AUX!O$2)))</f>
        <v>--</v>
      </c>
      <c r="L16" s="265" t="str">
        <f>IF(INDEX($C$164:$II$183,$F$8,AUX!$E$10+(AUX!$E$11*AUX!P$2))="","--",INDEX($C$164:$II$183,$F$8,AUX!$E$10+(AUX!$E$11*AUX!P$2)))</f>
        <v>--</v>
      </c>
      <c r="M16" s="266" t="str">
        <f>IF(INDEX($C$164:$II$183,$F$8,AUX!$E$10+(AUX!$E$11*AUX!Q$2))="","--",INDEX($C$164:$II$183,$F$8,AUX!$E$10+(AUX!$E$11*AUX!Q$2)))</f>
        <v>--</v>
      </c>
      <c r="N16" s="245"/>
      <c r="O16" s="263"/>
    </row>
    <row r="17" ht="15">
      <c r="A17" s="50"/>
      <c r="B17" s="205"/>
      <c r="C17" s="662" t="s">
        <v>120</v>
      </c>
      <c r="D17" s="663"/>
      <c r="E17" s="663"/>
      <c r="F17" s="663"/>
      <c r="G17" s="663"/>
      <c r="H17" s="663"/>
      <c r="I17" s="663"/>
      <c r="J17" s="663"/>
      <c r="K17" s="663"/>
      <c r="L17" s="663"/>
      <c r="M17" s="664"/>
      <c r="N17" s="245"/>
      <c r="O17" s="263"/>
    </row>
    <row r="18" ht="15">
      <c r="B18" s="206"/>
      <c r="C18" s="264" t="str">
        <f>IF(INDEX($C$187:$II$206,$F$8,AUX!$E$10+(AUX!$E$11*AUX!G$2))="","--",INDEX($C$187:$II$206,$F$8,AUX!$E$10+(AUX!$E$11*AUX!G$2)))</f>
        <v>--</v>
      </c>
      <c r="D18" s="265" t="str">
        <f>IF(INDEX($C$187:$II$206,$F$8,AUX!$E$10+(AUX!$E$11*AUX!H$2))="","--",INDEX($C$187:$II$206,$F$8,AUX!$E$10+(AUX!$E$11*AUX!H$2)))</f>
        <v>--</v>
      </c>
      <c r="E18" s="265" t="str">
        <f>IF(INDEX($C$187:$II$206,$F$8,AUX!$E$10+(AUX!$E$11*AUX!I$2))="","--",INDEX($C$187:$II$206,$F$8,AUX!$E$10+(AUX!$E$11*AUX!I$2)))</f>
        <v>--</v>
      </c>
      <c r="F18" s="265" t="str">
        <f>IF(INDEX($C$187:$II$206,$F$8,AUX!$E$10+(AUX!$E$11*AUX!J$2))="","--",INDEX($C$187:$II$206,$F$8,AUX!$E$10+(AUX!$E$11*AUX!J$2)))</f>
        <v>--</v>
      </c>
      <c r="G18" s="265" t="str">
        <f>IF(INDEX($C$187:$II$206,$F$8,AUX!$E$10+(AUX!$E$11*AUX!K$2))="","--",INDEX($C$187:$II$206,$F$8,AUX!$E$10+(AUX!$E$11*AUX!K$2)))</f>
        <v>--</v>
      </c>
      <c r="H18" s="265" t="str">
        <f>IF(INDEX($C$187:$II$206,$F$8,AUX!$E$10+(AUX!$E$11*AUX!L$2))="","--",INDEX($C$187:$II$206,$F$8,AUX!$E$10+(AUX!$E$11*AUX!L$2)))</f>
        <v>--</v>
      </c>
      <c r="I18" s="265" t="str">
        <f>IF(INDEX($C$187:$II$206,$F$8,AUX!$E$10+(AUX!$E$11*AUX!M$2))="","--",INDEX($C$187:$II$206,$F$8,AUX!$E$10+(AUX!$E$11*AUX!M$2)))</f>
        <v>--</v>
      </c>
      <c r="J18" s="265" t="str">
        <f>IF(INDEX($C$187:$II$206,$F$8,AUX!$E$10+(AUX!$E$11*AUX!N$2))="","--",INDEX($C$187:$II$206,$F$8,AUX!$E$10+(AUX!$E$11*AUX!N$2)))</f>
        <v>--</v>
      </c>
      <c r="K18" s="265" t="str">
        <f>IF(INDEX($C$187:$II$206,$F$8,AUX!$E$10+(AUX!$E$11*AUX!O$2))="","--",INDEX($C$187:$II$206,$F$8,AUX!$E$10+(AUX!$E$11*AUX!O$2)))</f>
        <v>--</v>
      </c>
      <c r="L18" s="265" t="str">
        <f>IF(INDEX($C$187:$II$206,$F$8,AUX!$E$10+(AUX!$E$11*AUX!P$2))="","--",INDEX($C$187:$II$206,$F$8,AUX!$E$10+(AUX!$E$11*AUX!P$2)))</f>
        <v>--</v>
      </c>
      <c r="M18" s="266" t="str">
        <f>IF(INDEX($C$187:$II$206,$F$8,AUX!$E$10+(AUX!$E$11*AUX!Q$2))="","--",INDEX($C$187:$II$206,$F$8,AUX!$E$10+(AUX!$E$11*AUX!Q$2)))</f>
        <v>--</v>
      </c>
      <c r="N18" s="245"/>
      <c r="O18" s="263"/>
    </row>
    <row r="19" ht="15" customHeight="1">
      <c r="B19" s="207"/>
      <c r="C19" s="662" t="s">
        <v>115</v>
      </c>
      <c r="D19" s="663"/>
      <c r="E19" s="663"/>
      <c r="F19" s="663"/>
      <c r="G19" s="663"/>
      <c r="H19" s="663"/>
      <c r="I19" s="663"/>
      <c r="J19" s="663"/>
      <c r="K19" s="663"/>
      <c r="L19" s="663"/>
      <c r="M19" s="664"/>
      <c r="N19" s="245"/>
    </row>
    <row r="20" ht="15">
      <c r="B20" s="206"/>
      <c r="C20" s="264" t="str">
        <f>IF(INDEX($C$210:$II$229,$F$8,AUX!$E$10+(AUX!$E$11*AUX!G$2))="","--",INDEX($C$210:$II$229,$F$8,AUX!$E$10+(AUX!$E$11*AUX!G$2)))</f>
        <v>--</v>
      </c>
      <c r="D20" s="265" t="str">
        <f>IF(INDEX($C$210:$II$229,$F$8,AUX!$E$10+(AUX!$E$11*AUX!H$2))="","--",INDEX($C$210:$II$229,$F$8,AUX!$E$10+(AUX!$E$11*AUX!H$2)))</f>
        <v>--</v>
      </c>
      <c r="E20" s="265" t="str">
        <f>IF(INDEX($C$210:$II$229,$F$8,AUX!$E$10+(AUX!$E$11*AUX!I$2))="","--",INDEX($C$210:$II$229,$F$8,AUX!$E$10+(AUX!$E$11*AUX!I$2)))</f>
        <v>--</v>
      </c>
      <c r="F20" s="265" t="str">
        <f>IF(INDEX($C$210:$II$229,$F$8,AUX!$E$10+(AUX!$E$11*AUX!J$2))="","--",INDEX($C$210:$II$229,$F$8,AUX!$E$10+(AUX!$E$11*AUX!J$2)))</f>
        <v>--</v>
      </c>
      <c r="G20" s="265" t="str">
        <f>IF(INDEX($C$210:$II$229,$F$8,AUX!$E$10+(AUX!$E$11*AUX!K$2))="","--",INDEX($C$210:$II$229,$F$8,AUX!$E$10+(AUX!$E$11*AUX!K$2)))</f>
        <v>--</v>
      </c>
      <c r="H20" s="265" t="str">
        <f>IF(INDEX($C$210:$II$229,$F$8,AUX!$E$10+(AUX!$E$11*AUX!L$2))="","--",INDEX($C$210:$II$229,$F$8,AUX!$E$10+(AUX!$E$11*AUX!L$2)))</f>
        <v>--</v>
      </c>
      <c r="I20" s="265" t="str">
        <f>IF(INDEX($C$210:$II$229,$F$8,AUX!$E$10+(AUX!$E$11*AUX!M$2))="","--",INDEX($C$210:$II$229,$F$8,AUX!$E$10+(AUX!$E$11*AUX!M$2)))</f>
        <v>--</v>
      </c>
      <c r="J20" s="265" t="str">
        <f>IF(INDEX($C$210:$II$229,$F$8,AUX!$E$10+(AUX!$E$11*AUX!N$2))="","--",INDEX($C$210:$II$229,$F$8,AUX!$E$10+(AUX!$E$11*AUX!N$2)))</f>
        <v>--</v>
      </c>
      <c r="K20" s="265" t="str">
        <f>IF(INDEX($C$210:$II$229,$F$8,AUX!$E$10+(AUX!$E$11*AUX!O$2))="","--",INDEX($C$210:$II$229,$F$8,AUX!$E$10+(AUX!$E$11*AUX!O$2)))</f>
        <v>--</v>
      </c>
      <c r="L20" s="265" t="str">
        <f>IF(INDEX($C$210:$II$229,$F$8,AUX!$E$10+(AUX!$E$11*AUX!P$2))="","--",INDEX($C$210:$II$229,$F$8,AUX!$E$10+(AUX!$E$11*AUX!P$2)))</f>
        <v>--</v>
      </c>
      <c r="M20" s="266" t="str">
        <f>IF(INDEX($C$210:$II$229,$F$8,AUX!$E$10+(AUX!$E$11*AUX!Q$2))="","--",INDEX($C$210:$II$229,$F$8,AUX!$E$10+(AUX!$E$11*AUX!Q$2)))</f>
        <v>--</v>
      </c>
      <c r="N20" s="245"/>
      <c r="O20" s="263"/>
    </row>
    <row r="21" ht="15" customHeight="1">
      <c r="B21" s="207"/>
      <c r="C21" s="662" t="s">
        <v>195</v>
      </c>
      <c r="D21" s="663"/>
      <c r="E21" s="663"/>
      <c r="F21" s="663"/>
      <c r="G21" s="663"/>
      <c r="H21" s="663"/>
      <c r="I21" s="663"/>
      <c r="J21" s="663"/>
      <c r="K21" s="663"/>
      <c r="L21" s="663"/>
      <c r="M21" s="664"/>
      <c r="N21" s="245"/>
      <c r="O21" s="263"/>
    </row>
    <row r="22" ht="15">
      <c r="B22" s="206"/>
      <c r="C22" s="264" t="str">
        <f>IF(INDEX($C$233:$II$252,$F$8,AUX!$E$10+(AUX!$E$11*AUX!G$2))="","--",INDEX($C$233:$II$252,$F$8,AUX!$E$10+(AUX!$E$11*AUX!G$2)))</f>
        <v>--</v>
      </c>
      <c r="D22" s="265" t="str">
        <f>IF(INDEX($C$233:$II$252,$F$8,AUX!$E$10+(AUX!$E$11*AUX!H$2))="","--",INDEX($C$233:$II$252,$F$8,AUX!$E$10+(AUX!$E$11*AUX!H$2)))</f>
        <v>--</v>
      </c>
      <c r="E22" s="265" t="str">
        <f>IF(INDEX($C$233:$II$252,$F$8,AUX!$E$10+(AUX!$E$11*AUX!I$2))="","--",INDEX($C$233:$II$252,$F$8,AUX!$E$10+(AUX!$E$11*AUX!I$2)))</f>
        <v>--</v>
      </c>
      <c r="F22" s="265" t="str">
        <f>IF(INDEX($C$233:$II$252,$F$8,AUX!$E$10+(AUX!$E$11*AUX!J$2))="","--",INDEX($C$233:$II$252,$F$8,AUX!$E$10+(AUX!$E$11*AUX!J$2)))</f>
        <v>--</v>
      </c>
      <c r="G22" s="265" t="str">
        <f>IF(INDEX($C$233:$II$252,$F$8,AUX!$E$10+(AUX!$E$11*AUX!K$2))="","--",INDEX($C$233:$II$252,$F$8,AUX!$E$10+(AUX!$E$11*AUX!K$2)))</f>
        <v>--</v>
      </c>
      <c r="H22" s="265" t="str">
        <f>IF(INDEX($C$233:$II$252,$F$8,AUX!$E$10+(AUX!$E$11*AUX!L$2))="","--",INDEX($C$233:$II$252,$F$8,AUX!$E$10+(AUX!$E$11*AUX!L$2)))</f>
        <v>--</v>
      </c>
      <c r="I22" s="265" t="str">
        <f>IF(INDEX($C$233:$II$252,$F$8,AUX!$E$10+(AUX!$E$11*AUX!M$2))="","--",INDEX($C$233:$II$252,$F$8,AUX!$E$10+(AUX!$E$11*AUX!M$2)))</f>
        <v>--</v>
      </c>
      <c r="J22" s="265" t="str">
        <f>IF(INDEX($C$233:$II$252,$F$8,AUX!$E$10+(AUX!$E$11*AUX!N$2))="","--",INDEX($C$233:$II$252,$F$8,AUX!$E$10+(AUX!$E$11*AUX!N$2)))</f>
        <v>--</v>
      </c>
      <c r="K22" s="265" t="str">
        <f>IF(INDEX($C$233:$II$252,$F$8,AUX!$E$10+(AUX!$E$11*AUX!O$2))="","--",INDEX($C$233:$II$252,$F$8,AUX!$E$10+(AUX!$E$11*AUX!O$2)))</f>
        <v>--</v>
      </c>
      <c r="L22" s="265" t="str">
        <f>IF(INDEX($C$233:$II$252,$F$8,AUX!$E$10+(AUX!$E$11*AUX!P$2))="","--",INDEX($C$233:$II$252,$F$8,AUX!$E$10+(AUX!$E$11*AUX!P$2)))</f>
        <v>--</v>
      </c>
      <c r="M22" s="266" t="str">
        <f>IF(INDEX($C$233:$II$252,$F$8,AUX!$E$10+(AUX!$E$11*AUX!Q$2))="","--",INDEX($C$233:$II$252,$F$8,AUX!$E$10+(AUX!$E$11*AUX!Q$2)))</f>
        <v>--</v>
      </c>
      <c r="N22" s="202"/>
      <c r="O22" s="263"/>
    </row>
    <row r="23" ht="15" customHeight="1">
      <c r="B23" s="205"/>
      <c r="C23" s="662" t="s">
        <v>196</v>
      </c>
      <c r="D23" s="663"/>
      <c r="E23" s="663"/>
      <c r="F23" s="663"/>
      <c r="G23" s="663"/>
      <c r="H23" s="663"/>
      <c r="I23" s="663"/>
      <c r="J23" s="663"/>
      <c r="K23" s="663"/>
      <c r="L23" s="663"/>
      <c r="M23" s="664"/>
      <c r="N23" s="202"/>
      <c r="O23" s="263"/>
    </row>
    <row r="24" ht="15">
      <c r="B24" s="206"/>
      <c r="C24" s="264" t="str">
        <f>IF(INDEX($C$256:$II$275,$F$8,AUX!$E$10+(AUX!$E$11*AUX!G$2))="","--",INDEX($C$256:$II$275,$F$8,AUX!$E$10+(AUX!$E$11*AUX!G$2)))</f>
        <v>--</v>
      </c>
      <c r="D24" s="265" t="str">
        <f>IF(INDEX($C$256:$II$275,$F$8,AUX!$E$10+(AUX!$E$11*AUX!H$2))="","--",INDEX($C$256:$II$275,$F$8,AUX!$E$10+(AUX!$E$11*AUX!H$2)))</f>
        <v>--</v>
      </c>
      <c r="E24" s="265" t="str">
        <f>IF(INDEX($C$256:$II$275,$F$8,AUX!$E$10+(AUX!$E$11*AUX!I$2))="","--",INDEX($C$256:$II$275,$F$8,AUX!$E$10+(AUX!$E$11*AUX!I$2)))</f>
        <v>--</v>
      </c>
      <c r="F24" s="265" t="str">
        <f>IF(INDEX($C$256:$II$275,$F$8,AUX!$E$10+(AUX!$E$11*AUX!J$2))="","--",INDEX($C$256:$II$275,$F$8,AUX!$E$10+(AUX!$E$11*AUX!J$2)))</f>
        <v>--</v>
      </c>
      <c r="G24" s="265" t="str">
        <f>IF(INDEX($C$256:$II$275,$F$8,AUX!$E$10+(AUX!$E$11*AUX!K$2))="","--",INDEX($C$256:$II$275,$F$8,AUX!$E$10+(AUX!$E$11*AUX!K$2)))</f>
        <v>--</v>
      </c>
      <c r="H24" s="265" t="str">
        <f>IF(INDEX($C$256:$II$275,$F$8,AUX!$E$10+(AUX!$E$11*AUX!L$2))="","--",INDEX($C$256:$II$275,$F$8,AUX!$E$10+(AUX!$E$11*AUX!L$2)))</f>
        <v>--</v>
      </c>
      <c r="I24" s="265" t="str">
        <f>IF(INDEX($C$256:$II$275,$F$8,AUX!$E$10+(AUX!$E$11*AUX!M$2))="","--",INDEX($C$256:$II$275,$F$8,AUX!$E$10+(AUX!$E$11*AUX!M$2)))</f>
        <v>--</v>
      </c>
      <c r="J24" s="265" t="str">
        <f>IF(INDEX($C$256:$II$275,$F$8,AUX!$E$10+(AUX!$E$11*AUX!N$2))="","--",INDEX($C$256:$II$275,$F$8,AUX!$E$10+(AUX!$E$11*AUX!N$2)))</f>
        <v>--</v>
      </c>
      <c r="K24" s="265" t="str">
        <f>IF(INDEX($C$256:$II$275,$F$8,AUX!$E$10+(AUX!$E$11*AUX!O$2))="","--",INDEX($C$256:$II$275,$F$8,AUX!$E$10+(AUX!$E$11*AUX!O$2)))</f>
        <v>--</v>
      </c>
      <c r="L24" s="265" t="str">
        <f>IF(INDEX($C$256:$II$275,$F$8,AUX!$E$10+(AUX!$E$11*AUX!P$2))="","--",INDEX($C$256:$II$275,$F$8,AUX!$E$10+(AUX!$E$11*AUX!P$2)))</f>
        <v>--</v>
      </c>
      <c r="M24" s="266" t="str">
        <f>IF(INDEX($C$256:$II$275,$F$8,AUX!$E$10+(AUX!$E$11*AUX!Q$2))="","--",INDEX($C$256:$II$275,$F$8,AUX!$E$10+(AUX!$E$11*AUX!Q$2)))</f>
        <v>--</v>
      </c>
      <c r="N24" s="202"/>
      <c r="O24" s="263"/>
    </row>
    <row r="25" ht="15" customHeight="1">
      <c r="B25" s="207"/>
      <c r="C25" s="662" t="s">
        <v>197</v>
      </c>
      <c r="D25" s="663"/>
      <c r="E25" s="663"/>
      <c r="F25" s="663"/>
      <c r="G25" s="663"/>
      <c r="H25" s="663"/>
      <c r="I25" s="663"/>
      <c r="J25" s="663"/>
      <c r="K25" s="663"/>
      <c r="L25" s="663"/>
      <c r="M25" s="664"/>
      <c r="N25" s="202"/>
      <c r="O25" s="263"/>
    </row>
    <row r="26" ht="15">
      <c r="B26" s="206"/>
      <c r="C26" s="264" t="str">
        <f>IF(INDEX($C$302:$II$321,$F$8,AUX!$E$10+(AUX!$E$11*AUX!G$2))="","--",INDEX($C$302:$II$321,$F$8,AUX!$E$10+(AUX!$E$11*AUX!G$2)))</f>
        <v>--</v>
      </c>
      <c r="D26" s="265" t="str">
        <f>IF(INDEX($C$302:$II$321,$F$8,AUX!$E$10+(AUX!$E$11*AUX!H$2))="","--",INDEX($C$302:$II$321,$F$8,AUX!$E$10+(AUX!$E$11*AUX!H$2)))</f>
        <v>--</v>
      </c>
      <c r="E26" s="265" t="str">
        <f>IF(INDEX($C$302:$II$321,$F$8,AUX!$E$10+(AUX!$E$11*AUX!I$2))="","--",INDEX($C$302:$II$321,$F$8,AUX!$E$10+(AUX!$E$11*AUX!I$2)))</f>
        <v>--</v>
      </c>
      <c r="F26" s="265" t="str">
        <f>IF(INDEX($C$302:$II$321,$F$8,AUX!$E$10+(AUX!$E$11*AUX!J$2))="","--",INDEX($C$302:$II$321,$F$8,AUX!$E$10+(AUX!$E$11*AUX!J$2)))</f>
        <v>--</v>
      </c>
      <c r="G26" s="265" t="str">
        <f>IF(INDEX($C$302:$II$321,$F$8,AUX!$E$10+(AUX!$E$11*AUX!K$2))="","--",INDEX($C$302:$II$321,$F$8,AUX!$E$10+(AUX!$E$11*AUX!K$2)))</f>
        <v>--</v>
      </c>
      <c r="H26" s="265" t="str">
        <f>IF(INDEX($C$302:$II$321,$F$8,AUX!$E$10+(AUX!$E$11*AUX!L$2))="","--",INDEX($C$302:$II$321,$F$8,AUX!$E$10+(AUX!$E$11*AUX!L$2)))</f>
        <v>--</v>
      </c>
      <c r="I26" s="265" t="str">
        <f>IF(INDEX($C$302:$II$321,$F$8,AUX!$E$10+(AUX!$E$11*AUX!M$2))="","--",INDEX($C$302:$II$321,$F$8,AUX!$E$10+(AUX!$E$11*AUX!M$2)))</f>
        <v>--</v>
      </c>
      <c r="J26" s="265" t="str">
        <f>IF(INDEX($C$302:$II$321,$F$8,AUX!$E$10+(AUX!$E$11*AUX!N$2))="","--",INDEX($C$302:$II$321,$F$8,AUX!$E$10+(AUX!$E$11*AUX!N$2)))</f>
        <v>--</v>
      </c>
      <c r="K26" s="265" t="str">
        <f>IF(INDEX($C$302:$II$321,$F$8,AUX!$E$10+(AUX!$E$11*AUX!O$2))="","--",INDEX($C$302:$II$321,$F$8,AUX!$E$10+(AUX!$E$11*AUX!O$2)))</f>
        <v>--</v>
      </c>
      <c r="L26" s="265" t="str">
        <f>IF(INDEX($C$302:$II$321,$F$8,AUX!$E$10+(AUX!$E$11*AUX!P$2))="","--",INDEX($C$302:$II$321,$F$8,AUX!$E$10+(AUX!$E$11*AUX!P$2)))</f>
        <v>--</v>
      </c>
      <c r="M26" s="266" t="str">
        <f>IF(INDEX($C$302:$II$321,$F$8,AUX!$E$10+(AUX!$E$11*AUX!Q$2))="","--",INDEX($C$302:$II$321,$F$8,AUX!$E$10+(AUX!$E$11*AUX!Q$2)))</f>
        <v>--</v>
      </c>
    </row>
    <row r="27" ht="15" customHeight="1">
      <c r="B27" s="207"/>
      <c r="C27" s="624" t="s">
        <v>198</v>
      </c>
      <c r="D27" s="625"/>
      <c r="E27" s="625"/>
      <c r="F27" s="625"/>
      <c r="G27" s="625"/>
      <c r="H27" s="625"/>
      <c r="I27" s="625"/>
      <c r="J27" s="625"/>
      <c r="K27" s="625"/>
      <c r="L27" s="625"/>
      <c r="M27" s="626"/>
      <c r="N27" s="202"/>
      <c r="O27" s="263"/>
    </row>
    <row r="28" ht="15">
      <c r="B28" s="206"/>
      <c r="C28" s="526" t="str">
        <f>IF(INDEX($C$458:$II$477,$F$8,AUX!$E$10+(AUX!$E$11*AUX!G$2))="","--",INDEX($C$458:$II$477,$F$8,AUX!$E$10+(AUX!$E$11*AUX!G$2)))</f>
        <v>--</v>
      </c>
      <c r="D28" s="516" t="str">
        <f>IF(INDEX($C$458:$II$477,$F$8,AUX!$E$10+(AUX!$E$11*AUX!H$2))="","--",INDEX($C$458:$II$477,$F$8,AUX!$E$10+(AUX!$E$11*AUX!H$2)))</f>
        <v>--</v>
      </c>
      <c r="E28" s="265" t="str">
        <f>IF(INDEX($C$458:$II$477,$F$8,AUX!$E$10+(AUX!$E$11*AUX!I$2))="","--",INDEX($C$458:$II$477,$F$8,AUX!$E$10+(AUX!$E$11*AUX!I$2)))</f>
        <v>--</v>
      </c>
      <c r="F28" s="265" t="str">
        <f>IF(INDEX($C$458:$II$477,$F$8,AUX!$E$10+(AUX!$E$11*AUX!J$2))="","--",INDEX($C$458:$II$477,$F$8,AUX!$E$10+(AUX!$E$11*AUX!J$2)))</f>
        <v>--</v>
      </c>
      <c r="G28" s="516" t="str">
        <f>IF(INDEX($C$458:$II$477,$F$8,AUX!$E$10+(AUX!$E$11*AUX!K$2))="","--",INDEX($C$458:$II$477,$F$8,AUX!$E$10+(AUX!$E$11*AUX!K$2)))</f>
        <v>--</v>
      </c>
      <c r="H28" s="265" t="str">
        <f>IF(INDEX($C$458:$II$477,$F$8,AUX!$E$10+(AUX!$E$11*AUX!L$2))="","--",INDEX($C$458:$II$477,$F$8,AUX!$E$10+(AUX!$E$11*AUX!L$2)))</f>
        <v>--</v>
      </c>
      <c r="I28" s="265" t="str">
        <f>IF(INDEX($C$458:$II$477,$F$8,AUX!$E$10+(AUX!$E$11*AUX!M$2))="","--",INDEX($C$458:$II$477,$F$8,AUX!$E$10+(AUX!$E$11*AUX!M$2)))</f>
        <v>--</v>
      </c>
      <c r="J28" s="520" t="str">
        <f>IF(INDEX($C$458:$II$477,$F$8,AUX!$E$10+(AUX!$E$11*AUX!N$2))="","--",INDEX($C$458:$II$477,$F$8,AUX!$E$10+(AUX!$E$11*AUX!N$2)))</f>
        <v>--</v>
      </c>
      <c r="K28" s="527" t="str">
        <f>IF(INDEX($C$458:$II$477,$F$8,AUX!$E$10+(AUX!$E$11*AUX!O$2))="","--",INDEX($C$458:$II$477,$F$8,AUX!$E$10+(AUX!$E$11*AUX!O$2)))</f>
        <v>--</v>
      </c>
      <c r="L28" s="265" t="str">
        <f>IF(INDEX($C$458:$II$477,$F$8,AUX!$E$10+(AUX!$E$11*AUX!P$2))="","--",INDEX($C$458:$II$477,$F$8,AUX!$E$10+(AUX!$E$11*AUX!P$2)))</f>
        <v>--</v>
      </c>
      <c r="M28" s="520" t="str">
        <f>IF(INDEX($C$458:$II$477,$F$8,AUX!$E$10+(AUX!$E$11*AUX!Q$2))="","--",INDEX($C$458:$II$477,$F$8,AUX!$E$10+(AUX!$E$11*AUX!Q$2)))</f>
        <v>--</v>
      </c>
      <c r="N28" s="519"/>
      <c r="O28" s="263"/>
    </row>
    <row r="29" ht="15" customHeight="1">
      <c r="B29" s="205"/>
      <c r="C29" s="662" t="s">
        <v>199</v>
      </c>
      <c r="D29" s="663"/>
      <c r="E29" s="663"/>
      <c r="F29" s="663"/>
      <c r="G29" s="663"/>
      <c r="H29" s="663"/>
      <c r="I29" s="663"/>
      <c r="J29" s="663"/>
      <c r="K29" s="663"/>
      <c r="L29" s="663"/>
      <c r="M29" s="664"/>
      <c r="N29" s="202"/>
      <c r="O29" s="263"/>
      <c r="Q29" s="51"/>
    </row>
    <row r="30" ht="15">
      <c r="B30" s="206"/>
      <c r="C30" s="264" t="str">
        <f>IF(INDEX($C$279:$II$298,$F$8,AUX!$E$10+(AUX!$E$11*AUX!G$2))="","--",INDEX($C$279:$II$298,$F$8,AUX!$E$10+(AUX!$E$11*AUX!G$2)))</f>
        <v>--</v>
      </c>
      <c r="D30" s="265" t="str">
        <f>IF(INDEX($C$279:$II$298,$F$8,AUX!$E$10+(AUX!$E$11*AUX!H$2))="","--",INDEX($C$279:$II$298,$F$8,AUX!$E$10+(AUX!$E$11*AUX!H$2)))</f>
        <v>--</v>
      </c>
      <c r="E30" s="265" t="str">
        <f>IF(INDEX($C$279:$II$298,$F$8,AUX!$E$10+(AUX!$E$11*AUX!I$2))="","--",INDEX($C$279:$II$298,$F$8,AUX!$E$10+(AUX!$E$11*AUX!I$2)))</f>
        <v>--</v>
      </c>
      <c r="F30" s="265" t="str">
        <f>IF(INDEX($C$279:$II$298,$F$8,AUX!$E$10+(AUX!$E$11*AUX!J$2))="","--",INDEX($C$279:$II$298,$F$8,AUX!$E$10+(AUX!$E$11*AUX!J$2)))</f>
        <v>--</v>
      </c>
      <c r="G30" s="265" t="str">
        <f>IF(INDEX($C$279:$II$298,$F$8,AUX!$E$10+(AUX!$E$11*AUX!K$2))="","--",INDEX($C$279:$II$298,$F$8,AUX!$E$10+(AUX!$E$11*AUX!K$2)))</f>
        <v>--</v>
      </c>
      <c r="H30" s="265" t="str">
        <f>IF(INDEX($C$279:$II$298,$F$8,AUX!$E$10+(AUX!$E$11*AUX!L$2))="","--",INDEX($C$279:$II$298,$F$8,AUX!$E$10+(AUX!$E$11*AUX!L$2)))</f>
        <v>--</v>
      </c>
      <c r="I30" s="265" t="str">
        <f>IF(INDEX($C$279:$II$298,$F$8,AUX!$E$10+(AUX!$E$11*AUX!M$2))="","--",INDEX($C$279:$II$298,$F$8,AUX!$E$10+(AUX!$E$11*AUX!M$2)))</f>
        <v>--</v>
      </c>
      <c r="J30" s="265" t="str">
        <f>IF(INDEX($C$279:$II$298,$F$8,AUX!$E$10+(AUX!$E$11*AUX!N$2))="","--",INDEX($C$279:$II$298,$F$8,AUX!$E$10+(AUX!$E$11*AUX!N$2)))</f>
        <v>--</v>
      </c>
      <c r="K30" s="265" t="str">
        <f>IF(INDEX($C$279:$II$298,$F$8,AUX!$E$10+(AUX!$E$11*AUX!O$2))="","--",INDEX($C$279:$II$298,$F$8,AUX!$E$10+(AUX!$E$11*AUX!O$2)))</f>
        <v>--</v>
      </c>
      <c r="L30" s="265" t="str">
        <f>IF(INDEX($C$279:$II$298,$F$8,AUX!$E$10+(AUX!$E$11*AUX!P$2))="","--",INDEX($C$279:$II$298,$F$8,AUX!$E$10+(AUX!$E$11*AUX!P$2)))</f>
        <v>--</v>
      </c>
      <c r="M30" s="266" t="str">
        <f>IF(INDEX($C$279:$II$298,$F$8,AUX!$E$10+(AUX!$E$11*AUX!Q$2))="","--",INDEX($C$279:$II$298,$F$8,AUX!$E$10+(AUX!$E$11*AUX!Q$2)))</f>
        <v>--</v>
      </c>
      <c r="N30" s="202"/>
      <c r="O30" s="263"/>
      <c r="Q30" s="51"/>
    </row>
    <row r="31" ht="15" customHeight="1">
      <c r="B31" s="209"/>
      <c r="C31" s="662" t="s">
        <v>200</v>
      </c>
      <c r="D31" s="663"/>
      <c r="E31" s="663"/>
      <c r="F31" s="663"/>
      <c r="G31" s="663"/>
      <c r="H31" s="663"/>
      <c r="I31" s="663"/>
      <c r="J31" s="663"/>
      <c r="K31" s="663"/>
      <c r="L31" s="663"/>
      <c r="M31" s="664"/>
      <c r="Q31" s="51"/>
    </row>
    <row r="32" ht="14.25">
      <c r="B32" s="209"/>
      <c r="C32" s="264" t="str">
        <f>IF(INDEX($C$325:$II$344,$F$8,AUX!$E$10+(AUX!$E$11*AUX!G$2))="","--",INDEX($C$325:$II$344,$F$8,AUX!$E$10+(AUX!$E$11*AUX!G$2)))</f>
        <v>--</v>
      </c>
      <c r="D32" s="265" t="str">
        <f>IF(INDEX($C$325:$II$344,$F$8,AUX!$E$10+(AUX!$E$11*AUX!H$2))="","--",INDEX($C$325:$II$344,$F$8,AUX!$E$10+(AUX!$E$11*AUX!H$2)))</f>
        <v>--</v>
      </c>
      <c r="E32" s="265" t="str">
        <f>IF(INDEX($C$325:$II$344,$F$8,AUX!$E$10+(AUX!$E$11*AUX!I$2))="","--",INDEX($C$325:$II$344,$F$8,AUX!$E$10+(AUX!$E$11*AUX!I$2)))</f>
        <v>--</v>
      </c>
      <c r="F32" s="265" t="str">
        <f>IF(INDEX($C$325:$II$344,$F$8,AUX!$E$10+(AUX!$E$11*AUX!J$2))="","--",INDEX($C$325:$II$344,$F$8,AUX!$E$10+(AUX!$E$11*AUX!J$2)))</f>
        <v>--</v>
      </c>
      <c r="G32" s="265" t="str">
        <f>IF(INDEX($C$325:$II$344,$F$8,AUX!$E$10+(AUX!$E$11*AUX!K$2))="","--",INDEX($C$325:$II$344,$F$8,AUX!$E$10+(AUX!$E$11*AUX!K$2)))</f>
        <v>--</v>
      </c>
      <c r="H32" s="265" t="str">
        <f>IF(INDEX($C$325:$II$344,$F$8,AUX!$E$10+(AUX!$E$11*AUX!L$2))="","--",INDEX($C$325:$II$344,$F$8,AUX!$E$10+(AUX!$E$11*AUX!L$2)))</f>
        <v>--</v>
      </c>
      <c r="I32" s="265" t="str">
        <f>IF(INDEX($C$325:$II$344,$F$8,AUX!$E$10+(AUX!$E$11*AUX!M$2))="","--",INDEX($C$325:$II$344,$F$8,AUX!$E$10+(AUX!$E$11*AUX!M$2)))</f>
        <v>--</v>
      </c>
      <c r="J32" s="265" t="str">
        <f>IF(INDEX($C$325:$II$344,$F$8,AUX!$E$10+(AUX!$E$11*AUX!N$2))="","--",INDEX($C$325:$II$344,$F$8,AUX!$E$10+(AUX!$E$11*AUX!N$2)))</f>
        <v>--</v>
      </c>
      <c r="K32" s="265" t="str">
        <f>IF(INDEX($C$325:$II$344,$F$8,AUX!$E$10+(AUX!$E$11*AUX!O$2))="","--",INDEX($C$325:$II$344,$F$8,AUX!$E$10+(AUX!$E$11*AUX!O$2)))</f>
        <v>--</v>
      </c>
      <c r="L32" s="265" t="str">
        <f>IF(INDEX($C$325:$II$344,$F$8,AUX!$E$10+(AUX!$E$11*AUX!P$2))="","--",INDEX($C$325:$II$344,$F$8,AUX!$E$10+(AUX!$E$11*AUX!P$2)))</f>
        <v>--</v>
      </c>
      <c r="M32" s="266" t="str">
        <f>IF(INDEX($C$325:$II$344,$F$8,AUX!$E$10+(AUX!$E$11*AUX!Q$2))="","--",INDEX($C$325:$II$344,$F$8,AUX!$E$10+(AUX!$E$11*AUX!Q$2)))</f>
        <v>--</v>
      </c>
      <c r="N32" s="202"/>
      <c r="O32" s="263"/>
      <c r="Q32" s="51"/>
    </row>
    <row r="33" ht="15" customHeight="1">
      <c r="B33" s="209"/>
      <c r="C33" s="662" t="s">
        <v>201</v>
      </c>
      <c r="D33" s="663"/>
      <c r="E33" s="663"/>
      <c r="F33" s="663"/>
      <c r="G33" s="663"/>
      <c r="H33" s="663"/>
      <c r="I33" s="663"/>
      <c r="J33" s="663"/>
      <c r="K33" s="663"/>
      <c r="L33" s="663"/>
      <c r="M33" s="664"/>
      <c r="N33" s="218"/>
      <c r="Q33" s="51"/>
    </row>
    <row r="34" ht="14.25">
      <c r="B34" s="209"/>
      <c r="C34" s="264" t="str">
        <f>IF(INDEX($C$348:$II$367,$F$8,AUX!$E$10+(AUX!$E$11*AUX!G$2))="","--",INDEX($C$348:$II$367,$F$8,AUX!$E$10+(AUX!$E$11*AUX!G$2)))</f>
        <v>--</v>
      </c>
      <c r="D34" s="265" t="str">
        <f>IF(INDEX($C$348:$II$367,$F$8,AUX!$E$10+(AUX!$E$11*AUX!H$2))="","--",INDEX($C$348:$II$367,$F$8,AUX!$E$10+(AUX!$E$11*AUX!H$2)))</f>
        <v>--</v>
      </c>
      <c r="E34" s="265" t="str">
        <f>IF(INDEX($C$348:$II$367,$F$8,AUX!$E$10+(AUX!$E$11*AUX!I$2))="","--",INDEX($C$348:$II$367,$F$8,AUX!$E$10+(AUX!$E$11*AUX!I$2)))</f>
        <v>--</v>
      </c>
      <c r="F34" s="265" t="str">
        <f>IF(INDEX($C$348:$II$367,$F$8,AUX!$E$10+(AUX!$E$11*AUX!J$2))="","--",INDEX($C$348:$II$367,$F$8,AUX!$E$10+(AUX!$E$11*AUX!J$2)))</f>
        <v>--</v>
      </c>
      <c r="G34" s="265" t="str">
        <f>IF(INDEX($C$348:$II$367,$F$8,AUX!$E$10+(AUX!$E$11*AUX!K$2))="","--",INDEX($C$348:$II$367,$F$8,AUX!$E$10+(AUX!$E$11*AUX!K$2)))</f>
        <v>--</v>
      </c>
      <c r="H34" s="265" t="str">
        <f>IF(INDEX($C$348:$II$367,$F$8,AUX!$E$10+(AUX!$E$11*AUX!L$2))="","--",INDEX($C$348:$II$367,$F$8,AUX!$E$10+(AUX!$E$11*AUX!L$2)))</f>
        <v>--</v>
      </c>
      <c r="I34" s="265" t="str">
        <f>IF(INDEX($C$348:$II$367,$F$8,AUX!$E$10+(AUX!$E$11*AUX!M$2))="","--",INDEX($C$348:$II$367,$F$8,AUX!$E$10+(AUX!$E$11*AUX!M$2)))</f>
        <v>--</v>
      </c>
      <c r="J34" s="265" t="str">
        <f>IF(INDEX($C$348:$II$367,$F$8,AUX!$E$10+(AUX!$E$11*AUX!N$2))="","--",INDEX($C$348:$II$367,$F$8,AUX!$E$10+(AUX!$E$11*AUX!N$2)))</f>
        <v>--</v>
      </c>
      <c r="K34" s="265" t="str">
        <f>IF(INDEX($C$348:$II$367,$F$8,AUX!$E$10+(AUX!$E$11*AUX!O$2))="","--",INDEX($C$348:$II$367,$F$8,AUX!$E$10+(AUX!$E$11*AUX!O$2)))</f>
        <v>--</v>
      </c>
      <c r="L34" s="265" t="str">
        <f>IF(INDEX($C$348:$II$367,$F$8,AUX!$E$10+(AUX!$E$11*AUX!P$2))="","--",INDEX($C$348:$II$367,$F$8,AUX!$E$10+(AUX!$E$11*AUX!P$2)))</f>
        <v>--</v>
      </c>
      <c r="M34" s="266" t="str">
        <f>IF(INDEX($C$348:$II$367,$F$8,AUX!$E$10+(AUX!$E$11*AUX!Q$2))="","--",INDEX($C$348:$II$367,$F$8,AUX!$E$10+(AUX!$E$11*AUX!Q$2)))</f>
        <v>--</v>
      </c>
      <c r="N34" s="218"/>
      <c r="Q34" s="51"/>
    </row>
    <row r="35" ht="14.25" customHeight="1">
      <c r="B35" s="209"/>
      <c r="C35" s="624" t="s">
        <v>202</v>
      </c>
      <c r="D35" s="625"/>
      <c r="E35" s="625"/>
      <c r="F35" s="625"/>
      <c r="G35" s="625"/>
      <c r="H35" s="625"/>
      <c r="I35" s="625"/>
      <c r="J35" s="625"/>
      <c r="K35" s="625"/>
      <c r="L35" s="625"/>
      <c r="M35" s="626"/>
      <c r="N35" s="518"/>
      <c r="Q35" s="51"/>
    </row>
    <row r="36" ht="14.25">
      <c r="B36" s="209"/>
      <c r="C36" s="264" t="str">
        <f>IF(INDEX($C$371:$II$390,$F$8,AUX!$E$10+(AUX!$E$11*AUX!G$2))="","--",INDEX($C$371:$II$390,$F$8,AUX!$E$10+(AUX!$E$11*AUX!G$2)))</f>
        <v>--</v>
      </c>
      <c r="D36" s="265" t="str">
        <f>IF(INDEX($C$371:$II$390,$F$8,AUX!$E$10+(AUX!$E$11*AUX!H$2))="","--",INDEX($C$371:$II$390,$F$8,AUX!$E$10+(AUX!$E$11*AUX!H$2)))</f>
        <v>--</v>
      </c>
      <c r="E36" s="265" t="str">
        <f>IF(INDEX($C$371:$II$390,$F$8,AUX!$E$10+(AUX!$E$11*AUX!I$2))="","--",INDEX($C$371:$II$390,$F$8,AUX!$E$10+(AUX!$E$11*AUX!I$2)))</f>
        <v>--</v>
      </c>
      <c r="F36" s="265" t="str">
        <f>IF(INDEX($C$371:$II$390,$F$8,AUX!$E$10+(AUX!$E$11*AUX!J$2))="","--",INDEX($C$371:$II$390,$F$8,AUX!$E$10+(AUX!$E$11*AUX!J$2)))</f>
        <v>--</v>
      </c>
      <c r="G36" s="265" t="str">
        <f>IF(INDEX($C$371:$II$390,$F$8,AUX!$E$10+(AUX!$E$11*AUX!K$2))="","--",INDEX($C$371:$II$390,$F$8,AUX!$E$10+(AUX!$E$11*AUX!K$2)))</f>
        <v>--</v>
      </c>
      <c r="H36" s="265" t="str">
        <f>IF(INDEX($C$371:$II$390,$F$8,AUX!$E$10+(AUX!$E$11*AUX!L$2))="","--",INDEX($C$371:$II$390,$F$8,AUX!$E$10+(AUX!$E$11*AUX!L$2)))</f>
        <v>--</v>
      </c>
      <c r="I36" s="265" t="str">
        <f>IF(INDEX($C$371:$II$390,$F$8,AUX!$E$10+(AUX!$E$11*AUX!M$2))="","--",INDEX($C$371:$II$390,$F$8,AUX!$E$10+(AUX!$E$11*AUX!M$2)))</f>
        <v>--</v>
      </c>
      <c r="J36" s="265" t="str">
        <f>IF(INDEX($C$371:$II$390,$F$8,AUX!$E$10+(AUX!$E$11*AUX!N$2))="","--",INDEX($C$371:$II$390,$F$8,AUX!$E$10+(AUX!$E$11*AUX!N$2)))</f>
        <v>--</v>
      </c>
      <c r="K36" s="265" t="str">
        <f>IF(INDEX($C$371:$II$390,$F$8,AUX!$E$10+(AUX!$E$11*AUX!O$2))="","--",INDEX($C$371:$II$390,$F$8,AUX!$E$10+(AUX!$E$11*AUX!O$2)))</f>
        <v>--</v>
      </c>
      <c r="L36" s="265" t="str">
        <f>IF(INDEX($C$371:$II$390,$F$8,AUX!$E$10+(AUX!$E$11*AUX!P$2))="","--",INDEX($C$371:$II$390,$F$8,AUX!$E$10+(AUX!$E$11*AUX!P$2)))</f>
        <v>--</v>
      </c>
      <c r="M36" s="266" t="str">
        <f>IF(INDEX($C$371:$II$390,$F$8,AUX!$E$10+(AUX!$E$11*AUX!Q$2))="","--",INDEX($C$371:$II$390,$F$8,AUX!$E$10+(AUX!$E$11*AUX!Q$2)))</f>
        <v>--</v>
      </c>
      <c r="N36" s="218"/>
      <c r="Q36" s="51"/>
    </row>
    <row r="37" ht="15" customHeight="1">
      <c r="B37" s="209"/>
      <c r="C37" s="674" t="s">
        <v>203</v>
      </c>
      <c r="D37" s="675"/>
      <c r="E37" s="675"/>
      <c r="F37" s="675"/>
      <c r="G37" s="675"/>
      <c r="H37" s="675"/>
      <c r="I37" s="675"/>
      <c r="J37" s="675"/>
      <c r="K37" s="675"/>
      <c r="L37" s="675"/>
      <c r="M37" s="676"/>
      <c r="Q37" s="51"/>
    </row>
    <row r="38" ht="14.25">
      <c r="B38" s="209"/>
      <c r="C38" s="264" t="str">
        <f>IF(INDEX($C$481:$II$500,$F$8,AUX!$E$10+(AUX!$E$11*AUX!G$2))="","--",INDEX($C$481:$II$500,$F$8,AUX!$E$10+(AUX!$E$11*AUX!G$2)))</f>
        <v>--</v>
      </c>
      <c r="D38" s="265" t="str">
        <f>IF(INDEX($C$481:$II$500,$F$8,AUX!$E$10+(AUX!$E$11*AUX!H$2))="","--",INDEX($C$481:$II$500,$F$8,AUX!$E$10+(AUX!$E$11*AUX!H$2)))</f>
        <v>--</v>
      </c>
      <c r="E38" s="527" t="str">
        <f>IF(INDEX($C$481:$II$500,$F$8,AUX!$E$10+(AUX!$E$11*AUX!I$2))="","--",INDEX($C$481:$II$500,$F$8,AUX!$E$10+(AUX!$E$11*AUX!I$2)))</f>
        <v>--</v>
      </c>
      <c r="F38" s="516" t="str">
        <f>IF(INDEX($C$481:$II$500,$F$8,AUX!$E$10+(AUX!$E$11*AUX!J$2))="","--",INDEX($C$481:$II$500,$F$8,AUX!$E$10+(AUX!$E$11*AUX!J$2)))</f>
        <v>--</v>
      </c>
      <c r="G38" s="265" t="str">
        <f>IF(INDEX($C$481:$II$500,$F$8,AUX!$E$10+(AUX!$E$11*AUX!K$2))="","--",INDEX($C$481:$II$500,$F$8,AUX!$E$10+(AUX!$E$11*AUX!K$2)))</f>
        <v>--</v>
      </c>
      <c r="H38" s="527" t="str">
        <f>IF(INDEX($C$481:$II$500,$F$8,AUX!$E$10+(AUX!$E$11*AUX!L$2))="","--",INDEX($C$481:$II$500,$F$8,AUX!$E$10+(AUX!$E$11*AUX!L$2)))</f>
        <v>--</v>
      </c>
      <c r="I38" s="265" t="str">
        <f>IF(INDEX($C$481:$II$500,$F$8,AUX!$E$10+(AUX!$E$11*AUX!M$2))="","--",INDEX($C$481:$II$500,$F$8,AUX!$E$10+(AUX!$E$11*AUX!M$2)))</f>
        <v>--</v>
      </c>
      <c r="J38" s="527" t="str">
        <f>IF(INDEX($C$481:$II$500,$F$8,AUX!$E$10+(AUX!$E$11*AUX!N$2))="","--",INDEX($C$481:$II$500,$F$8,AUX!$E$10+(AUX!$E$11*AUX!N$2)))</f>
        <v>--</v>
      </c>
      <c r="K38" s="516" t="str">
        <f>IF(INDEX($C$481:$II$500,$F$8,AUX!$E$10+(AUX!$E$11*AUX!O$2))="","--",INDEX($C$481:$II$500,$F$8,AUX!$E$10+(AUX!$E$11*AUX!O$2)))</f>
        <v>--</v>
      </c>
      <c r="L38" s="516" t="str">
        <f>IF(INDEX($C$481:$II$500,$F$8,AUX!$E$10+(AUX!$E$11*AUX!P$2))="","--",INDEX($C$481:$II$500,$F$8,AUX!$E$10+(AUX!$E$11*AUX!P$2)))</f>
        <v>--</v>
      </c>
      <c r="M38" s="266" t="str">
        <f>IF(INDEX($C$481:$II$500,$F$8,AUX!$E$10+(AUX!$E$11*AUX!Q$2))="","--",INDEX($C$481:$II$500,$F$8,AUX!$E$10+(AUX!$E$11*AUX!Q$2)))</f>
        <v>--</v>
      </c>
      <c r="N38" s="517"/>
      <c r="Q38" s="51"/>
    </row>
    <row r="39" ht="15">
      <c r="C39" s="662" t="s">
        <v>204</v>
      </c>
      <c r="D39" s="663"/>
      <c r="E39" s="663"/>
      <c r="F39" s="663"/>
      <c r="G39" s="663"/>
      <c r="H39" s="663"/>
      <c r="I39" s="663"/>
      <c r="J39" s="663"/>
      <c r="K39" s="663"/>
      <c r="L39" s="663"/>
      <c r="M39" s="664"/>
    </row>
    <row r="40" ht="14.25">
      <c r="C40" s="264" t="str">
        <f>IF(INDEX($C$394:$II$413,$F$8,AUX!$E$10+(AUX!$E$11*AUX!G$2))="","--",INDEX($C$394:$II$413,$F$8,AUX!$E$10+(AUX!$E$11*AUX!G$2)))</f>
        <v>--</v>
      </c>
      <c r="D40" s="265" t="str">
        <f>IF(INDEX($C$394:$II$413,$F$8,AUX!$E$10+(AUX!$E$11*AUX!H$2))="","--",INDEX($C$394:$II$413,$F$8,AUX!$E$10+(AUX!$E$11*AUX!H$2)))</f>
        <v>--</v>
      </c>
      <c r="E40" s="265" t="str">
        <f>IF(INDEX($C$394:$II$413,$F$8,AUX!$E$10+(AUX!$E$11*AUX!I$2))="","--",INDEX($C$394:$II$413,$F$8,AUX!$E$10+(AUX!$E$11*AUX!I$2)))</f>
        <v>--</v>
      </c>
      <c r="F40" s="265" t="str">
        <f>IF(INDEX($C$394:$II$413,$F$8,AUX!$E$10+(AUX!$E$11*AUX!J$2))="","--",INDEX($C$394:$II$413,$F$8,AUX!$E$10+(AUX!$E$11*AUX!J$2)))</f>
        <v>--</v>
      </c>
      <c r="G40" s="265" t="str">
        <f>IF(INDEX($C$394:$II$413,$F$8,AUX!$E$10+(AUX!$E$11*AUX!K$2))="","--",INDEX($C$394:$II$413,$F$8,AUX!$E$10+(AUX!$E$11*AUX!K$2)))</f>
        <v>--</v>
      </c>
      <c r="H40" s="265" t="str">
        <f>IF(INDEX($C$394:$II$413,$F$8,AUX!$E$10+(AUX!$E$11*AUX!L$2))="","--",INDEX($C$394:$II$413,$F$8,AUX!$E$10+(AUX!$E$11*AUX!L$2)))</f>
        <v>--</v>
      </c>
      <c r="I40" s="265" t="str">
        <f>IF(INDEX($C$394:$II$413,$F$8,AUX!$E$10+(AUX!$E$11*AUX!M$2))="","--",INDEX($C$394:$II$413,$F$8,AUX!$E$10+(AUX!$E$11*AUX!M$2)))</f>
        <v>--</v>
      </c>
      <c r="J40" s="265" t="str">
        <f>IF(INDEX($C$394:$II$413,$F$8,AUX!$E$10+(AUX!$E$11*AUX!N$2))="","--",INDEX($C$394:$II$413,$F$8,AUX!$E$10+(AUX!$E$11*AUX!N$2)))</f>
        <v>--</v>
      </c>
      <c r="K40" s="265" t="str">
        <f>IF(INDEX($C$394:$II$413,$F$8,AUX!$E$10+(AUX!$E$11*AUX!O$2))="","--",INDEX($C$394:$II$413,$F$8,AUX!$E$10+(AUX!$E$11*AUX!O$2)))</f>
        <v>--</v>
      </c>
      <c r="L40" s="265" t="str">
        <f>IF(INDEX($C$394:$II$413,$F$8,AUX!$E$10+(AUX!$E$11*AUX!P$2))="","--",INDEX($C$394:$II$413,$F$8,AUX!$E$10+(AUX!$E$11*AUX!P$2)))</f>
        <v>--</v>
      </c>
      <c r="M40" s="266" t="str">
        <f>IF(INDEX($C$394:$II$413,$F$8,AUX!$E$10+(AUX!$E$11*AUX!Q$2))="","--",INDEX($C$394:$II$413,$F$8,AUX!$E$10+(AUX!$E$11*AUX!Q$2)))</f>
        <v>--</v>
      </c>
    </row>
    <row r="41" ht="15">
      <c r="C41" s="662" t="s">
        <v>205</v>
      </c>
      <c r="D41" s="663"/>
      <c r="E41" s="663"/>
      <c r="F41" s="663"/>
      <c r="G41" s="663"/>
      <c r="H41" s="663"/>
      <c r="I41" s="663"/>
      <c r="J41" s="663"/>
      <c r="K41" s="663"/>
      <c r="L41" s="663"/>
      <c r="M41" s="664"/>
    </row>
    <row r="42" ht="15">
      <c r="C42" s="267" t="str">
        <f>IF(INDEX($C$417:$II$436,$F$8,AUX!$E$10+(AUX!$E$11*AUX!G$2))="","--",INDEX($C$417:$II$436,$F$8,AUX!$E$10+(AUX!$E$11*AUX!G$2)))</f>
        <v>--</v>
      </c>
      <c r="D42" s="268" t="str">
        <f>IF(INDEX($C$417:$II$436,$F$8,AUX!$E$10+(AUX!$E$11*AUX!H$2))="","--",INDEX($C$417:$II$436,$F$8,AUX!$E$10+(AUX!$E$11*AUX!H$2)))</f>
        <v>--</v>
      </c>
      <c r="E42" s="268" t="str">
        <f>IF(INDEX($C$417:$II$436,$F$8,AUX!$E$10+(AUX!$E$11*AUX!I$2))="","--",INDEX($C$417:$II$436,$F$8,AUX!$E$10+(AUX!$E$11*AUX!I$2)))</f>
        <v>--</v>
      </c>
      <c r="F42" s="268" t="str">
        <f>IF(INDEX($C$417:$II$436,$F$8,AUX!$E$10+(AUX!$E$11*AUX!J$2))="","--",INDEX($C$417:$II$436,$F$8,AUX!$E$10+(AUX!$E$11*AUX!J$2)))</f>
        <v>--</v>
      </c>
      <c r="G42" s="268" t="str">
        <f>IF(INDEX($C$417:$II$436,$F$8,AUX!$E$10+(AUX!$E$11*AUX!K$2))="","--",INDEX($C$417:$II$436,$F$8,AUX!$E$10+(AUX!$E$11*AUX!K$2)))</f>
        <v>--</v>
      </c>
      <c r="H42" s="268" t="str">
        <f>IF(INDEX($C$417:$II$436,$F$8,AUX!$E$10+(AUX!$E$11*AUX!L$2))="","--",INDEX($C$417:$II$436,$F$8,AUX!$E$10+(AUX!$E$11*AUX!L$2)))</f>
        <v>--</v>
      </c>
      <c r="I42" s="268" t="str">
        <f>IF(INDEX($C$417:$II$436,$F$8,AUX!$E$10+(AUX!$E$11*AUX!M$2))="","--",INDEX($C$417:$II$436,$F$8,AUX!$E$10+(AUX!$E$11*AUX!M$2)))</f>
        <v>--</v>
      </c>
      <c r="J42" s="268" t="str">
        <f>IF(INDEX($C$417:$II$436,$F$8,AUX!$E$10+(AUX!$E$11*AUX!N$2))="","--",INDEX($C$417:$II$436,$F$8,AUX!$E$10+(AUX!$E$11*AUX!N$2)))</f>
        <v>--</v>
      </c>
      <c r="K42" s="268" t="str">
        <f>IF(INDEX($C$417:$II$436,$F$8,AUX!$E$10+(AUX!$E$11*AUX!O$2))="","--",INDEX($C$417:$II$436,$F$8,AUX!$E$10+(AUX!$E$11*AUX!O$2)))</f>
        <v>--</v>
      </c>
      <c r="L42" s="268" t="str">
        <f>IF(INDEX($C$417:$II$436,$F$8,AUX!$E$10+(AUX!$E$11*AUX!P$2))="","--",INDEX($C$417:$II$436,$F$8,AUX!$E$10+(AUX!$E$11*AUX!P$2)))</f>
        <v>--</v>
      </c>
      <c r="M42" s="269" t="str">
        <f>IF(INDEX($C$417:$II$436,$F$8,AUX!$E$10+(AUX!$E$11*AUX!Q$2))="","--",INDEX($C$417:$II$436,$F$8,AUX!$E$10+(AUX!$E$11*AUX!Q$2)))</f>
        <v>--</v>
      </c>
    </row>
    <row r="43">
      <c r="C43" s="57"/>
      <c r="D43" s="57"/>
      <c r="E43" s="57"/>
    </row>
    <row r="44">
      <c r="C44" s="57"/>
      <c r="D44" s="57"/>
      <c r="E44" s="57"/>
    </row>
    <row r="45">
      <c r="C45" s="57"/>
      <c r="D45" s="57"/>
      <c r="E45" s="57"/>
    </row>
    <row r="46">
      <c r="C46" s="57"/>
      <c r="D46" s="57"/>
      <c r="E46" s="57"/>
    </row>
    <row r="47">
      <c r="C47" s="57"/>
      <c r="D47" s="57"/>
      <c r="E47" s="57"/>
    </row>
    <row r="48">
      <c r="C48" s="57"/>
      <c r="D48" s="57"/>
      <c r="E48" s="57"/>
    </row>
    <row r="49">
      <c r="C49" s="57"/>
      <c r="D49" s="57"/>
      <c r="E49" s="57"/>
    </row>
    <row r="50">
      <c r="C50" s="57"/>
      <c r="D50" s="57"/>
      <c r="E50" s="57"/>
    </row>
    <row r="51">
      <c r="C51" s="57"/>
      <c r="D51" s="57"/>
      <c r="E51" s="57"/>
    </row>
    <row r="52">
      <c r="C52" s="57"/>
      <c r="D52" s="57"/>
      <c r="E52" s="57"/>
    </row>
    <row r="53">
      <c r="C53" s="57"/>
      <c r="D53" s="57"/>
      <c r="E53" s="57"/>
    </row>
    <row r="54">
      <c r="C54" s="57"/>
      <c r="D54" s="57"/>
      <c r="E54" s="57"/>
    </row>
    <row r="55">
      <c r="C55" s="57"/>
      <c r="D55" s="57"/>
      <c r="E55" s="57"/>
    </row>
    <row r="56">
      <c r="C56" s="57"/>
      <c r="D56" s="57"/>
      <c r="E56" s="57"/>
    </row>
    <row r="57">
      <c r="C57" s="57"/>
      <c r="D57" s="57"/>
      <c r="E57" s="57"/>
    </row>
    <row r="58">
      <c r="C58" s="57"/>
      <c r="D58" s="57"/>
      <c r="E58" s="57"/>
    </row>
    <row r="59">
      <c r="C59" s="57"/>
      <c r="D59" s="57"/>
      <c r="E59" s="57"/>
    </row>
    <row r="60">
      <c r="C60" s="57"/>
      <c r="D60" s="57"/>
      <c r="E60" s="57"/>
    </row>
    <row r="61">
      <c r="C61" s="57"/>
      <c r="D61" s="57"/>
      <c r="E61" s="57"/>
    </row>
    <row r="62">
      <c r="C62" s="57"/>
      <c r="D62" s="57"/>
      <c r="E62" s="57"/>
    </row>
    <row r="63">
      <c r="C63" s="57"/>
      <c r="D63" s="57"/>
      <c r="E63" s="57"/>
    </row>
    <row r="64">
      <c r="C64" s="57"/>
      <c r="D64" s="57"/>
      <c r="E64" s="57"/>
    </row>
    <row r="65">
      <c r="C65" s="57"/>
      <c r="D65" s="57"/>
      <c r="E65" s="57"/>
    </row>
    <row r="66">
      <c r="C66" s="57"/>
      <c r="D66" s="57"/>
      <c r="E66" s="57"/>
    </row>
    <row r="67">
      <c r="C67" s="57"/>
      <c r="D67" s="57"/>
      <c r="E67" s="57"/>
    </row>
    <row r="68">
      <c r="C68" s="57"/>
      <c r="D68" s="57"/>
      <c r="E68" s="57"/>
    </row>
    <row r="69" ht="21" customHeight="1">
      <c r="C69" s="57"/>
      <c r="D69" s="57"/>
      <c r="E69" s="57"/>
    </row>
    <row r="70">
      <c r="C70" s="57"/>
      <c r="D70" s="57"/>
      <c r="E70" s="57"/>
    </row>
    <row r="71">
      <c r="C71" s="57"/>
      <c r="D71" s="57"/>
      <c r="E71" s="57"/>
    </row>
    <row r="72">
      <c r="C72" s="57"/>
      <c r="D72" s="57"/>
      <c r="E72" s="57"/>
    </row>
    <row r="78"/>
    <row r="96">
      <c r="B96" s="162"/>
      <c r="C96" s="270"/>
      <c r="L96" s="270"/>
      <c r="M96" s="270"/>
      <c r="N96" s="270"/>
      <c r="O96" s="270"/>
      <c r="P96" s="270"/>
      <c r="Q96" s="270"/>
      <c r="R96" s="270"/>
      <c r="S96" s="270"/>
      <c r="T96" s="270"/>
      <c r="U96" s="270"/>
      <c r="V96" s="270"/>
      <c r="W96" s="270"/>
    </row>
    <row r="97">
      <c r="B97" s="162"/>
      <c r="C97" s="271"/>
      <c r="L97" s="270"/>
      <c r="M97" s="271"/>
      <c r="N97" s="270"/>
      <c r="O97" s="270"/>
      <c r="P97" s="270"/>
      <c r="Q97" s="270"/>
      <c r="R97" s="270"/>
      <c r="S97" s="270"/>
      <c r="T97" s="270"/>
      <c r="U97" s="270"/>
      <c r="V97" s="270"/>
      <c r="W97" s="271"/>
    </row>
    <row r="98">
      <c r="B98" s="162"/>
      <c r="C98" s="270"/>
      <c r="L98" s="270"/>
      <c r="M98" s="271"/>
      <c r="N98" s="270"/>
      <c r="O98" s="270"/>
      <c r="P98" s="270"/>
      <c r="Q98" s="270"/>
      <c r="R98" s="270"/>
      <c r="S98" s="270"/>
      <c r="T98" s="270"/>
      <c r="U98" s="270"/>
      <c r="V98" s="270"/>
      <c r="W98" s="271"/>
    </row>
    <row r="99">
      <c r="B99" s="162"/>
      <c r="C99" s="271"/>
      <c r="L99" s="270"/>
      <c r="M99" s="271"/>
      <c r="N99" s="270"/>
      <c r="O99" s="271"/>
      <c r="P99" s="271"/>
      <c r="Q99" s="270"/>
      <c r="R99" s="270"/>
      <c r="S99" s="270"/>
      <c r="T99" s="270"/>
      <c r="U99" s="270"/>
      <c r="V99" s="270"/>
      <c r="W99" s="271"/>
    </row>
    <row r="100">
      <c r="B100" s="162"/>
      <c r="C100" s="270"/>
      <c r="L100" s="270"/>
      <c r="M100" s="270"/>
      <c r="N100" s="270"/>
      <c r="O100" s="270"/>
      <c r="P100" s="270"/>
      <c r="Q100" s="270"/>
      <c r="R100" s="270"/>
      <c r="S100" s="270"/>
      <c r="T100" s="270"/>
      <c r="U100" s="270"/>
      <c r="V100" s="270"/>
      <c r="W100" s="270"/>
    </row>
    <row r="101">
      <c r="B101" s="162"/>
      <c r="C101" s="270"/>
      <c r="L101" s="270"/>
      <c r="M101" s="270"/>
      <c r="N101" s="270"/>
      <c r="O101" s="270"/>
      <c r="P101" s="270"/>
      <c r="Q101" s="270"/>
      <c r="R101" s="270"/>
      <c r="S101" s="270"/>
      <c r="T101" s="270"/>
      <c r="U101" s="270"/>
      <c r="V101" s="270"/>
      <c r="W101" s="270"/>
    </row>
    <row r="102">
      <c r="B102" s="162"/>
      <c r="C102" s="270"/>
      <c r="L102" s="270"/>
      <c r="M102" s="270"/>
      <c r="N102" s="270"/>
      <c r="O102" s="270"/>
      <c r="P102" s="270"/>
      <c r="Q102" s="270"/>
      <c r="R102" s="270"/>
      <c r="S102" s="270"/>
      <c r="T102" s="270"/>
      <c r="U102" s="270"/>
      <c r="V102" s="270"/>
      <c r="W102" s="270"/>
    </row>
    <row r="103">
      <c r="B103" s="162"/>
      <c r="C103" s="270"/>
      <c r="L103" s="270"/>
      <c r="M103" s="270"/>
      <c r="N103" s="270"/>
      <c r="O103" s="270"/>
      <c r="P103" s="270"/>
      <c r="Q103" s="270"/>
      <c r="R103" s="270"/>
      <c r="S103" s="270"/>
      <c r="T103" s="270"/>
      <c r="U103" s="270"/>
      <c r="V103" s="270"/>
      <c r="W103" s="270"/>
    </row>
    <row r="104">
      <c r="B104" s="162"/>
      <c r="C104" s="270"/>
      <c r="L104" s="270"/>
      <c r="M104" s="270"/>
      <c r="N104" s="270"/>
      <c r="O104" s="270"/>
      <c r="P104" s="270"/>
      <c r="Q104" s="270"/>
      <c r="R104" s="270"/>
      <c r="S104" s="270"/>
      <c r="T104" s="270"/>
      <c r="U104" s="270"/>
      <c r="V104" s="270"/>
      <c r="W104" s="270"/>
    </row>
    <row r="105">
      <c r="B105" s="162"/>
      <c r="C105" s="270"/>
      <c r="L105" s="270"/>
      <c r="M105" s="270"/>
      <c r="N105" s="270"/>
      <c r="O105" s="270"/>
      <c r="P105" s="270"/>
      <c r="Q105" s="270"/>
      <c r="R105" s="270"/>
      <c r="S105" s="270"/>
      <c r="T105" s="270"/>
      <c r="U105" s="270"/>
      <c r="V105" s="270"/>
      <c r="W105" s="270"/>
    </row>
    <row r="106">
      <c r="B106" s="162"/>
      <c r="C106" s="270"/>
      <c r="G106" s="272"/>
      <c r="L106" s="270"/>
      <c r="M106" s="270"/>
      <c r="N106" s="270"/>
      <c r="O106" s="270"/>
      <c r="P106" s="270"/>
      <c r="Q106" s="270"/>
      <c r="R106" s="270"/>
      <c r="S106" s="270"/>
      <c r="T106" s="270"/>
      <c r="U106" s="270"/>
      <c r="V106" s="270"/>
      <c r="W106" s="270"/>
    </row>
    <row r="107">
      <c r="B107" s="162"/>
      <c r="C107" s="270"/>
      <c r="G107" s="273"/>
      <c r="H107" s="270"/>
      <c r="I107" s="270"/>
      <c r="J107" s="270"/>
      <c r="K107" s="270"/>
      <c r="L107" s="270"/>
      <c r="M107" s="270"/>
      <c r="N107" s="270"/>
      <c r="O107" s="270"/>
      <c r="P107" s="270"/>
      <c r="Q107" s="270"/>
      <c r="R107" s="270"/>
      <c r="S107" s="270"/>
      <c r="T107" s="270"/>
      <c r="U107" s="270"/>
      <c r="V107" s="270"/>
      <c r="W107" s="270"/>
    </row>
    <row r="108">
      <c r="B108" s="162"/>
      <c r="C108" s="270"/>
      <c r="G108" s="273"/>
      <c r="H108" s="270"/>
      <c r="I108" s="270"/>
      <c r="J108" s="270"/>
      <c r="K108" s="270"/>
      <c r="L108" s="270"/>
      <c r="M108" s="270"/>
      <c r="N108" s="270"/>
      <c r="O108" s="270"/>
      <c r="P108" s="270"/>
      <c r="Q108" s="270"/>
      <c r="R108" s="270"/>
      <c r="S108" s="270"/>
      <c r="T108" s="270"/>
      <c r="U108" s="270"/>
      <c r="V108" s="270"/>
      <c r="W108" s="270"/>
    </row>
    <row r="109">
      <c r="B109" s="162"/>
      <c r="C109" s="270"/>
      <c r="G109" s="273"/>
      <c r="H109" s="270"/>
      <c r="I109" s="270"/>
      <c r="J109" s="270"/>
      <c r="K109" s="270"/>
      <c r="L109" s="270"/>
      <c r="M109" s="270"/>
      <c r="N109" s="270"/>
      <c r="O109" s="270"/>
      <c r="P109" s="270"/>
      <c r="Q109" s="270"/>
      <c r="R109" s="270"/>
      <c r="S109" s="270"/>
      <c r="T109" s="270"/>
      <c r="U109" s="270"/>
      <c r="V109" s="270"/>
      <c r="W109" s="270"/>
    </row>
    <row r="110">
      <c r="B110" s="162"/>
      <c r="C110" s="270"/>
      <c r="G110" s="273"/>
      <c r="H110" s="270"/>
      <c r="I110" s="270"/>
      <c r="J110" s="270"/>
      <c r="K110" s="270"/>
      <c r="L110" s="270"/>
      <c r="M110" s="270"/>
      <c r="N110" s="270"/>
      <c r="O110" s="270"/>
      <c r="P110" s="270"/>
      <c r="Q110" s="270"/>
      <c r="R110" s="270"/>
      <c r="S110" s="270"/>
      <c r="T110" s="270"/>
      <c r="U110" s="270"/>
      <c r="V110" s="270"/>
      <c r="W110" s="270"/>
    </row>
    <row r="111">
      <c r="B111" s="162"/>
      <c r="C111" s="270"/>
      <c r="G111" s="273"/>
      <c r="H111" s="270"/>
      <c r="I111" s="270"/>
      <c r="J111" s="270"/>
      <c r="K111" s="270"/>
      <c r="L111" s="270"/>
      <c r="M111" s="270"/>
      <c r="N111" s="270"/>
      <c r="O111" s="270"/>
      <c r="P111" s="270"/>
      <c r="Q111" s="270"/>
      <c r="R111" s="270"/>
      <c r="S111" s="270"/>
      <c r="T111" s="270"/>
      <c r="U111" s="270"/>
      <c r="V111" s="270"/>
      <c r="W111" s="270"/>
    </row>
    <row r="112">
      <c r="B112" s="162"/>
      <c r="C112" s="270"/>
      <c r="G112" s="273"/>
      <c r="H112" s="270"/>
      <c r="I112" s="270"/>
      <c r="J112" s="270"/>
      <c r="K112" s="270"/>
      <c r="L112" s="270"/>
      <c r="M112" s="270"/>
      <c r="N112" s="270"/>
      <c r="O112" s="270"/>
      <c r="P112" s="270"/>
      <c r="Q112" s="270"/>
      <c r="R112" s="270"/>
      <c r="S112" s="270"/>
      <c r="T112" s="270"/>
      <c r="U112" s="270"/>
      <c r="V112" s="270"/>
      <c r="W112" s="270"/>
    </row>
    <row r="113">
      <c r="B113" s="162"/>
      <c r="C113" s="270"/>
      <c r="G113" s="273"/>
      <c r="H113" s="270"/>
      <c r="I113" s="270"/>
      <c r="J113" s="270"/>
      <c r="K113" s="270"/>
      <c r="L113" s="270"/>
      <c r="M113" s="270"/>
      <c r="N113" s="270"/>
      <c r="O113" s="270"/>
      <c r="P113" s="270"/>
      <c r="Q113" s="270"/>
      <c r="R113" s="270"/>
      <c r="S113" s="270"/>
      <c r="T113" s="270"/>
      <c r="U113" s="270"/>
      <c r="V113" s="270"/>
      <c r="W113" s="270"/>
    </row>
    <row r="114">
      <c r="B114" s="162"/>
      <c r="C114" s="270"/>
      <c r="G114" s="273"/>
      <c r="H114" s="270"/>
      <c r="I114" s="270"/>
      <c r="J114" s="270"/>
      <c r="K114" s="270"/>
      <c r="L114" s="270"/>
      <c r="M114" s="270"/>
      <c r="N114" s="270"/>
      <c r="O114" s="270"/>
      <c r="P114" s="270"/>
      <c r="Q114" s="270"/>
      <c r="R114" s="270"/>
      <c r="S114" s="270"/>
      <c r="T114" s="270"/>
      <c r="U114" s="270"/>
      <c r="V114" s="270"/>
      <c r="W114" s="270"/>
    </row>
    <row r="115">
      <c r="B115" s="162"/>
      <c r="C115" s="270"/>
      <c r="G115" s="273"/>
      <c r="H115" s="270"/>
      <c r="I115" s="270"/>
      <c r="J115" s="270"/>
      <c r="K115" s="270"/>
      <c r="L115" s="270"/>
      <c r="M115" s="270"/>
      <c r="N115" s="270"/>
      <c r="O115" s="270"/>
      <c r="P115" s="270"/>
      <c r="Q115" s="270"/>
      <c r="R115" s="270"/>
      <c r="S115" s="270"/>
      <c r="T115" s="270"/>
      <c r="U115" s="270"/>
      <c r="V115" s="270"/>
      <c r="W115" s="270"/>
    </row>
    <row r="116">
      <c r="B116" s="162"/>
      <c r="C116" s="270"/>
      <c r="G116" s="273"/>
      <c r="H116" s="270"/>
      <c r="I116" s="270"/>
      <c r="J116" s="270"/>
      <c r="K116" s="270"/>
      <c r="L116" s="270"/>
      <c r="M116" s="270"/>
      <c r="N116" s="270"/>
      <c r="O116" s="270"/>
      <c r="P116" s="270"/>
      <c r="Q116" s="270"/>
      <c r="R116" s="270"/>
      <c r="S116" s="270"/>
      <c r="T116" s="270"/>
      <c r="U116" s="270"/>
      <c r="V116" s="270"/>
      <c r="W116" s="270"/>
    </row>
    <row r="117">
      <c r="B117" s="162"/>
      <c r="C117" s="270"/>
      <c r="D117" s="218"/>
      <c r="E117" s="270"/>
      <c r="F117" s="270"/>
      <c r="G117" s="270"/>
      <c r="H117" s="270"/>
      <c r="I117" s="270"/>
      <c r="J117" s="270"/>
      <c r="K117" s="270"/>
      <c r="L117" s="270"/>
      <c r="M117" s="270"/>
      <c r="N117" s="270"/>
      <c r="O117" s="270"/>
      <c r="P117" s="270"/>
      <c r="Q117" s="270"/>
      <c r="R117" s="270"/>
      <c r="S117" s="270"/>
      <c r="T117" s="270"/>
      <c r="U117" s="270"/>
      <c r="V117" s="270"/>
      <c r="W117" s="270"/>
    </row>
    <row r="118">
      <c r="B118" s="162"/>
      <c r="C118" s="270"/>
      <c r="D118" s="218"/>
      <c r="E118" s="270"/>
      <c r="F118" s="270"/>
      <c r="G118" s="270"/>
      <c r="H118" s="270"/>
      <c r="I118" s="270"/>
      <c r="J118" s="270"/>
      <c r="K118" s="270"/>
      <c r="L118" s="270"/>
      <c r="M118" s="270"/>
      <c r="N118" s="270"/>
      <c r="O118" s="270"/>
      <c r="P118" s="270"/>
      <c r="Q118" s="270"/>
      <c r="R118" s="270"/>
      <c r="S118" s="270"/>
      <c r="T118" s="270"/>
      <c r="U118" s="270"/>
      <c r="V118" s="270"/>
      <c r="W118" s="270"/>
    </row>
    <row r="119">
      <c r="B119" s="162"/>
      <c r="C119" s="270"/>
      <c r="D119" s="218"/>
      <c r="E119" s="270"/>
      <c r="F119" s="270"/>
      <c r="G119" s="270"/>
      <c r="H119" s="270"/>
      <c r="I119" s="270"/>
      <c r="J119" s="270"/>
      <c r="K119" s="270"/>
      <c r="L119" s="270"/>
      <c r="M119" s="270"/>
      <c r="N119" s="270"/>
      <c r="O119" s="270"/>
      <c r="P119" s="270"/>
      <c r="Q119" s="270"/>
      <c r="R119" s="270"/>
      <c r="S119" s="270"/>
      <c r="T119" s="270"/>
      <c r="U119" s="270"/>
      <c r="V119" s="270"/>
      <c r="W119" s="270"/>
    </row>
    <row r="120">
      <c r="B120" s="162"/>
      <c r="C120" s="270"/>
      <c r="D120" s="218"/>
      <c r="E120" s="270"/>
      <c r="F120" s="270"/>
      <c r="G120" s="270"/>
      <c r="H120" s="270"/>
      <c r="I120" s="270"/>
      <c r="J120" s="270"/>
      <c r="K120" s="270"/>
      <c r="L120" s="270"/>
      <c r="M120" s="270"/>
      <c r="N120" s="270"/>
      <c r="O120" s="270"/>
      <c r="P120" s="270"/>
      <c r="Q120" s="270"/>
      <c r="R120" s="270"/>
      <c r="S120" s="270"/>
      <c r="T120" s="270"/>
      <c r="U120" s="270"/>
      <c r="V120" s="270"/>
      <c r="W120" s="270"/>
    </row>
    <row r="121">
      <c r="B121" s="162"/>
      <c r="C121" s="270"/>
      <c r="D121" s="218"/>
      <c r="E121" s="270"/>
      <c r="F121" s="270"/>
      <c r="G121" s="270"/>
      <c r="H121" s="270"/>
      <c r="I121" s="270"/>
      <c r="J121" s="270"/>
      <c r="K121" s="270"/>
      <c r="L121" s="270"/>
      <c r="M121" s="270"/>
      <c r="N121" s="270"/>
      <c r="O121" s="270"/>
      <c r="P121" s="270"/>
      <c r="Q121" s="270"/>
      <c r="R121" s="270"/>
      <c r="S121" s="270"/>
      <c r="T121" s="270"/>
      <c r="U121" s="270"/>
      <c r="V121" s="270"/>
      <c r="W121" s="270"/>
    </row>
    <row r="122">
      <c r="B122" s="162"/>
      <c r="C122" s="270"/>
      <c r="D122" s="218"/>
      <c r="E122" s="270"/>
      <c r="F122" s="270"/>
      <c r="G122" s="270"/>
      <c r="H122" s="270"/>
      <c r="I122" s="270"/>
      <c r="J122" s="270"/>
      <c r="K122" s="270"/>
      <c r="L122" s="270"/>
      <c r="M122" s="270"/>
      <c r="N122" s="270"/>
      <c r="O122" s="270"/>
      <c r="P122" s="270"/>
      <c r="Q122" s="270"/>
      <c r="R122" s="270"/>
      <c r="S122" s="270"/>
      <c r="T122" s="270"/>
      <c r="U122" s="270"/>
      <c r="V122" s="270"/>
      <c r="W122" s="270"/>
    </row>
    <row r="123">
      <c r="B123" s="162"/>
      <c r="C123" s="270"/>
      <c r="D123" s="218"/>
      <c r="E123" s="270"/>
      <c r="F123" s="270"/>
      <c r="G123" s="270"/>
      <c r="H123" s="270"/>
      <c r="I123" s="270"/>
      <c r="J123" s="270"/>
      <c r="K123" s="270"/>
      <c r="L123" s="270"/>
      <c r="M123" s="270"/>
      <c r="N123" s="270"/>
      <c r="O123" s="270"/>
      <c r="P123" s="270"/>
      <c r="Q123" s="270"/>
      <c r="R123" s="270"/>
      <c r="S123" s="270"/>
      <c r="T123" s="270"/>
      <c r="U123" s="270"/>
      <c r="V123" s="270"/>
      <c r="W123" s="270"/>
    </row>
    <row r="124">
      <c r="B124" s="162"/>
      <c r="C124" s="270"/>
      <c r="D124" s="218"/>
      <c r="E124" s="270"/>
      <c r="F124" s="270"/>
      <c r="G124" s="270"/>
      <c r="H124" s="270"/>
      <c r="I124" s="270"/>
      <c r="J124" s="270"/>
      <c r="K124" s="270"/>
      <c r="L124" s="270"/>
      <c r="M124" s="270"/>
      <c r="N124" s="270"/>
      <c r="O124" s="270"/>
      <c r="P124" s="270"/>
      <c r="Q124" s="270"/>
      <c r="R124" s="270"/>
      <c r="S124" s="270"/>
      <c r="T124" s="270"/>
      <c r="U124" s="270"/>
      <c r="V124" s="270"/>
      <c r="W124" s="270"/>
    </row>
    <row r="125">
      <c r="B125" s="162"/>
      <c r="C125" s="270"/>
      <c r="D125" s="218"/>
      <c r="E125" s="270"/>
      <c r="F125" s="270"/>
      <c r="G125" s="270"/>
      <c r="H125" s="270"/>
      <c r="I125" s="270"/>
      <c r="J125" s="270"/>
      <c r="K125" s="270"/>
      <c r="L125" s="270"/>
      <c r="M125" s="270"/>
      <c r="N125" s="270"/>
      <c r="O125" s="270"/>
      <c r="P125" s="270"/>
      <c r="Q125" s="270"/>
      <c r="R125" s="270"/>
      <c r="S125" s="270"/>
      <c r="T125" s="270"/>
      <c r="U125" s="270"/>
      <c r="V125" s="270"/>
      <c r="W125" s="270"/>
    </row>
    <row r="126">
      <c r="B126" s="162"/>
      <c r="C126" s="270"/>
      <c r="D126" s="218"/>
      <c r="E126" s="270"/>
      <c r="F126" s="270"/>
      <c r="G126" s="270"/>
      <c r="H126" s="270"/>
      <c r="I126" s="270"/>
      <c r="J126" s="270"/>
      <c r="K126" s="270"/>
      <c r="L126" s="270"/>
      <c r="M126" s="270"/>
      <c r="N126" s="270"/>
      <c r="O126" s="270"/>
      <c r="P126" s="270"/>
      <c r="Q126" s="270"/>
      <c r="R126" s="270"/>
      <c r="S126" s="270"/>
      <c r="T126" s="270"/>
      <c r="U126" s="270"/>
      <c r="V126" s="270"/>
      <c r="W126" s="270"/>
    </row>
    <row r="127">
      <c r="B127" s="162"/>
      <c r="C127" s="270"/>
      <c r="D127" s="218"/>
      <c r="E127" s="270"/>
      <c r="F127" s="270"/>
      <c r="G127" s="270"/>
      <c r="H127" s="270"/>
      <c r="I127" s="270"/>
      <c r="J127" s="270"/>
      <c r="K127" s="270"/>
      <c r="L127" s="270"/>
      <c r="M127" s="270"/>
      <c r="N127" s="270"/>
      <c r="O127" s="270"/>
      <c r="P127" s="270"/>
      <c r="Q127" s="270"/>
      <c r="R127" s="270"/>
      <c r="S127" s="270"/>
      <c r="T127" s="270"/>
      <c r="U127" s="270"/>
      <c r="V127" s="270"/>
      <c r="W127" s="270"/>
    </row>
    <row r="128">
      <c r="B128" s="162"/>
      <c r="C128" s="270"/>
      <c r="D128" s="218"/>
      <c r="E128" s="270"/>
      <c r="F128" s="270"/>
      <c r="G128" s="270"/>
      <c r="H128" s="270"/>
      <c r="I128" s="270"/>
      <c r="J128" s="270"/>
      <c r="K128" s="270"/>
      <c r="L128" s="270"/>
      <c r="M128" s="270"/>
      <c r="N128" s="270"/>
      <c r="O128" s="270"/>
      <c r="P128" s="270"/>
      <c r="Q128" s="270"/>
      <c r="R128" s="270"/>
      <c r="S128" s="270"/>
      <c r="T128" s="270"/>
      <c r="U128" s="270"/>
      <c r="V128" s="270"/>
      <c r="W128" s="270"/>
    </row>
    <row r="129">
      <c r="B129" s="162"/>
      <c r="C129" s="270"/>
      <c r="D129" s="218"/>
      <c r="E129" s="270"/>
      <c r="F129" s="270"/>
      <c r="G129" s="270"/>
      <c r="H129" s="270"/>
      <c r="I129" s="270"/>
      <c r="J129" s="270"/>
      <c r="K129" s="270"/>
      <c r="L129" s="270"/>
      <c r="M129" s="270"/>
      <c r="N129" s="270"/>
      <c r="O129" s="270"/>
      <c r="P129" s="270"/>
      <c r="Q129" s="270"/>
      <c r="R129" s="270"/>
      <c r="S129" s="270"/>
      <c r="T129" s="270"/>
      <c r="U129" s="270"/>
      <c r="V129" s="270"/>
      <c r="W129" s="270"/>
    </row>
    <row r="130">
      <c r="B130" s="162"/>
      <c r="C130" s="270"/>
      <c r="D130" s="218"/>
      <c r="E130" s="270"/>
      <c r="F130" s="270"/>
      <c r="G130" s="270"/>
      <c r="H130" s="270"/>
      <c r="I130" s="270"/>
      <c r="J130" s="270"/>
      <c r="K130" s="270"/>
      <c r="L130" s="270"/>
      <c r="M130" s="270"/>
      <c r="N130" s="270"/>
      <c r="O130" s="270"/>
      <c r="P130" s="270"/>
      <c r="Q130" s="270"/>
      <c r="R130" s="270"/>
      <c r="S130" s="270"/>
      <c r="T130" s="270"/>
      <c r="U130" s="270"/>
      <c r="V130" s="270"/>
      <c r="W130" s="270"/>
    </row>
    <row r="131">
      <c r="B131" s="162"/>
      <c r="C131" s="270"/>
      <c r="D131" s="218"/>
      <c r="E131" s="270"/>
      <c r="F131" s="270"/>
      <c r="G131" s="270"/>
      <c r="H131" s="270"/>
      <c r="I131" s="270"/>
      <c r="J131" s="270"/>
      <c r="K131" s="270"/>
      <c r="L131" s="270"/>
      <c r="M131" s="270"/>
      <c r="N131" s="270"/>
      <c r="O131" s="270"/>
      <c r="P131" s="270"/>
      <c r="Q131" s="270"/>
      <c r="R131" s="270"/>
      <c r="S131" s="270"/>
      <c r="T131" s="270"/>
      <c r="U131" s="270"/>
      <c r="V131" s="270"/>
      <c r="W131" s="270"/>
    </row>
    <row r="132">
      <c r="B132" s="162"/>
      <c r="C132" s="270"/>
      <c r="D132" s="218"/>
      <c r="E132" s="270"/>
      <c r="F132" s="270"/>
      <c r="G132" s="270"/>
      <c r="H132" s="270"/>
      <c r="I132" s="270"/>
      <c r="J132" s="270"/>
      <c r="K132" s="270"/>
      <c r="L132" s="270"/>
      <c r="M132" s="270"/>
      <c r="N132" s="270"/>
      <c r="O132" s="270"/>
      <c r="P132" s="270"/>
      <c r="Q132" s="270"/>
      <c r="R132" s="270"/>
      <c r="S132" s="270"/>
      <c r="T132" s="270"/>
      <c r="U132" s="270"/>
      <c r="V132" s="270"/>
      <c r="W132" s="270"/>
    </row>
    <row r="133">
      <c r="B133" s="162"/>
      <c r="C133" s="270"/>
      <c r="D133" s="218"/>
      <c r="E133" s="270"/>
      <c r="F133" s="270"/>
      <c r="G133" s="270"/>
      <c r="H133" s="270"/>
      <c r="I133" s="270"/>
      <c r="J133" s="270"/>
      <c r="K133" s="270"/>
      <c r="L133" s="270"/>
      <c r="M133" s="270"/>
      <c r="N133" s="270"/>
      <c r="O133" s="270"/>
      <c r="P133" s="270"/>
      <c r="Q133" s="270"/>
      <c r="R133" s="270"/>
      <c r="S133" s="270"/>
      <c r="T133" s="270"/>
      <c r="U133" s="270"/>
      <c r="V133" s="270"/>
      <c r="W133" s="270"/>
    </row>
    <row r="134">
      <c r="B134" s="162"/>
      <c r="C134" s="270"/>
      <c r="D134" s="218"/>
      <c r="E134" s="270"/>
      <c r="F134" s="270"/>
      <c r="G134" s="270"/>
      <c r="H134" s="270"/>
      <c r="I134" s="270"/>
      <c r="J134" s="270"/>
      <c r="K134" s="270"/>
      <c r="L134" s="270"/>
      <c r="M134" s="270"/>
      <c r="N134" s="270"/>
      <c r="O134" s="270"/>
      <c r="P134" s="270"/>
      <c r="Q134" s="270"/>
      <c r="R134" s="270"/>
      <c r="S134" s="270"/>
      <c r="T134" s="270"/>
      <c r="U134" s="270"/>
      <c r="V134" s="270"/>
      <c r="W134" s="270"/>
    </row>
    <row r="135">
      <c r="B135" s="162"/>
      <c r="C135" s="270"/>
      <c r="D135" s="218"/>
      <c r="E135" s="270"/>
      <c r="F135" s="270"/>
      <c r="G135" s="270"/>
      <c r="H135" s="270"/>
      <c r="I135" s="270"/>
      <c r="J135" s="270"/>
      <c r="K135" s="270"/>
      <c r="L135" s="270"/>
      <c r="M135" s="270"/>
      <c r="N135" s="270"/>
      <c r="O135" s="270"/>
      <c r="P135" s="270"/>
      <c r="Q135" s="270"/>
      <c r="R135" s="270"/>
      <c r="S135" s="270"/>
      <c r="T135" s="270"/>
      <c r="U135" s="270"/>
      <c r="V135" s="270"/>
      <c r="W135" s="270"/>
    </row>
    <row r="136">
      <c r="B136" s="162"/>
      <c r="C136" s="270"/>
      <c r="D136" s="218"/>
      <c r="E136" s="270"/>
      <c r="F136" s="270"/>
      <c r="G136" s="270"/>
      <c r="H136" s="270"/>
      <c r="I136" s="270"/>
      <c r="J136" s="270"/>
      <c r="K136" s="270"/>
      <c r="L136" s="270"/>
      <c r="M136" s="270"/>
      <c r="N136" s="270"/>
      <c r="O136" s="270"/>
      <c r="P136" s="270"/>
      <c r="Q136" s="270"/>
      <c r="R136" s="270"/>
      <c r="S136" s="270"/>
      <c r="T136" s="270"/>
      <c r="U136" s="270"/>
      <c r="V136" s="270"/>
      <c r="W136" s="270"/>
    </row>
    <row r="137">
      <c r="B137" s="162"/>
      <c r="C137" s="270"/>
      <c r="D137" s="218"/>
      <c r="E137" s="270"/>
      <c r="F137" s="270"/>
      <c r="G137" s="270"/>
      <c r="H137" s="270"/>
      <c r="I137" s="270"/>
      <c r="J137" s="270"/>
      <c r="K137" s="270"/>
      <c r="L137" s="270"/>
      <c r="M137" s="270"/>
      <c r="N137" s="270"/>
      <c r="O137" s="270"/>
      <c r="P137" s="270"/>
      <c r="Q137" s="270"/>
      <c r="R137" s="270"/>
      <c r="S137" s="270"/>
      <c r="T137" s="270"/>
      <c r="U137" s="270"/>
      <c r="V137" s="270"/>
      <c r="W137" s="270"/>
    </row>
    <row r="138">
      <c r="B138" s="162"/>
      <c r="C138" s="270"/>
      <c r="D138" s="218"/>
      <c r="E138" s="270"/>
      <c r="F138" s="270"/>
      <c r="G138" s="270"/>
      <c r="H138" s="270"/>
      <c r="I138" s="270"/>
      <c r="J138" s="270"/>
      <c r="K138" s="270"/>
      <c r="L138" s="270"/>
      <c r="M138" s="270"/>
      <c r="N138" s="270"/>
      <c r="O138" s="270"/>
      <c r="P138" s="270"/>
      <c r="Q138" s="270"/>
      <c r="R138" s="270"/>
      <c r="S138" s="270"/>
      <c r="T138" s="270"/>
      <c r="U138" s="270"/>
      <c r="V138" s="270"/>
      <c r="W138" s="270"/>
    </row>
    <row r="139">
      <c r="B139" s="162"/>
      <c r="C139" s="270"/>
      <c r="D139" s="218"/>
      <c r="E139" s="270"/>
      <c r="F139" s="270"/>
      <c r="G139" s="270"/>
      <c r="H139" s="270"/>
      <c r="I139" s="270"/>
      <c r="J139" s="270"/>
      <c r="K139" s="270"/>
      <c r="L139" s="270"/>
      <c r="M139" s="270"/>
      <c r="N139" s="270"/>
      <c r="O139" s="270"/>
      <c r="P139" s="270"/>
      <c r="Q139" s="270"/>
      <c r="R139" s="270"/>
      <c r="S139" s="270"/>
      <c r="T139" s="270"/>
      <c r="U139" s="270"/>
      <c r="V139" s="270"/>
      <c r="W139" s="270"/>
    </row>
    <row r="140">
      <c r="B140" s="162"/>
      <c r="C140" s="270"/>
      <c r="D140" s="218"/>
      <c r="E140" s="270"/>
      <c r="F140" s="270"/>
      <c r="G140" s="270"/>
      <c r="H140" s="270"/>
      <c r="I140" s="270"/>
      <c r="J140" s="270"/>
      <c r="K140" s="270"/>
      <c r="L140" s="270"/>
      <c r="M140" s="270"/>
      <c r="N140" s="270"/>
      <c r="O140" s="270"/>
      <c r="P140" s="270"/>
      <c r="Q140" s="270"/>
      <c r="R140" s="270"/>
      <c r="S140" s="270"/>
      <c r="T140" s="270"/>
      <c r="U140" s="270"/>
      <c r="V140" s="270"/>
      <c r="W140" s="270"/>
    </row>
    <row r="141">
      <c r="B141" s="162"/>
      <c r="C141" s="270"/>
      <c r="D141" s="218"/>
      <c r="E141" s="270"/>
      <c r="F141" s="270"/>
      <c r="G141" s="270"/>
      <c r="H141" s="270"/>
      <c r="I141" s="270"/>
      <c r="J141" s="270"/>
      <c r="K141" s="270"/>
      <c r="L141" s="270"/>
      <c r="M141" s="270"/>
      <c r="N141" s="270"/>
      <c r="O141" s="270"/>
      <c r="P141" s="270"/>
      <c r="Q141" s="270"/>
      <c r="R141" s="270"/>
      <c r="S141" s="270"/>
      <c r="T141" s="270"/>
      <c r="U141" s="270"/>
      <c r="V141" s="270"/>
      <c r="W141" s="270"/>
    </row>
    <row r="142">
      <c r="B142" s="162"/>
      <c r="C142" s="270"/>
      <c r="D142" s="218"/>
      <c r="E142" s="270"/>
      <c r="F142" s="270"/>
      <c r="G142" s="270"/>
      <c r="H142" s="270"/>
      <c r="I142" s="270"/>
      <c r="J142" s="270"/>
      <c r="K142" s="270"/>
      <c r="L142" s="270"/>
      <c r="M142" s="270"/>
      <c r="N142" s="270"/>
      <c r="O142" s="270"/>
      <c r="P142" s="270"/>
      <c r="Q142" s="270"/>
      <c r="R142" s="270"/>
      <c r="S142" s="270"/>
      <c r="T142" s="270"/>
      <c r="U142" s="270"/>
      <c r="V142" s="270"/>
      <c r="W142" s="270"/>
    </row>
    <row r="143">
      <c r="B143" s="162"/>
      <c r="C143" s="270"/>
      <c r="D143" s="218"/>
      <c r="E143" s="270"/>
      <c r="F143" s="270"/>
      <c r="G143" s="270"/>
      <c r="H143" s="270"/>
      <c r="I143" s="270"/>
      <c r="J143" s="270"/>
      <c r="K143" s="270"/>
      <c r="L143" s="270"/>
      <c r="M143" s="270"/>
      <c r="N143" s="270"/>
      <c r="O143" s="270"/>
      <c r="P143" s="270"/>
      <c r="Q143" s="270"/>
      <c r="R143" s="270"/>
      <c r="S143" s="270"/>
      <c r="T143" s="270"/>
      <c r="U143" s="270"/>
      <c r="V143" s="270"/>
      <c r="W143" s="270"/>
    </row>
    <row r="144">
      <c r="B144" s="162"/>
      <c r="C144" s="270"/>
      <c r="D144" s="218"/>
      <c r="E144" s="270"/>
      <c r="F144" s="270"/>
      <c r="G144" s="270"/>
      <c r="H144" s="270"/>
      <c r="I144" s="270"/>
      <c r="J144" s="270"/>
      <c r="K144" s="270"/>
      <c r="L144" s="270"/>
      <c r="M144" s="270"/>
      <c r="N144" s="270"/>
      <c r="O144" s="270"/>
      <c r="P144" s="270"/>
      <c r="Q144" s="270"/>
      <c r="R144" s="270"/>
      <c r="S144" s="270"/>
      <c r="T144" s="270"/>
      <c r="U144" s="270"/>
      <c r="V144" s="270"/>
      <c r="W144" s="270"/>
    </row>
    <row r="145">
      <c r="B145" s="162"/>
      <c r="C145" s="270"/>
      <c r="D145" s="218"/>
      <c r="E145" s="270"/>
      <c r="F145" s="270"/>
      <c r="G145" s="270"/>
      <c r="H145" s="270"/>
      <c r="I145" s="270"/>
      <c r="J145" s="270"/>
      <c r="K145" s="270"/>
      <c r="L145" s="270"/>
      <c r="M145" s="270"/>
      <c r="N145" s="270"/>
      <c r="O145" s="270"/>
      <c r="P145" s="270"/>
      <c r="Q145" s="270"/>
      <c r="R145" s="270"/>
      <c r="S145" s="270"/>
      <c r="T145" s="270"/>
      <c r="U145" s="270"/>
      <c r="V145" s="270"/>
      <c r="W145" s="270"/>
    </row>
    <row r="146">
      <c r="B146" s="162"/>
      <c r="C146" s="270"/>
      <c r="D146" s="218"/>
      <c r="E146" s="270"/>
      <c r="F146" s="270"/>
      <c r="G146" s="270"/>
      <c r="H146" s="270"/>
      <c r="I146" s="270"/>
      <c r="J146" s="270"/>
      <c r="K146" s="270"/>
      <c r="L146" s="270"/>
      <c r="M146" s="270"/>
      <c r="N146" s="270"/>
      <c r="O146" s="270"/>
      <c r="P146" s="270"/>
      <c r="Q146" s="270"/>
      <c r="R146" s="270"/>
      <c r="S146" s="270"/>
      <c r="T146" s="270"/>
      <c r="U146" s="270"/>
      <c r="V146" s="270"/>
      <c r="W146" s="270"/>
    </row>
    <row r="147">
      <c r="B147" s="162"/>
      <c r="C147" s="270"/>
      <c r="D147" s="218"/>
      <c r="E147" s="270"/>
      <c r="F147" s="270"/>
      <c r="G147" s="270"/>
      <c r="H147" s="270"/>
      <c r="I147" s="270"/>
      <c r="J147" s="270"/>
      <c r="K147" s="270"/>
      <c r="L147" s="270"/>
      <c r="M147" s="270"/>
      <c r="N147" s="270"/>
      <c r="O147" s="270"/>
      <c r="P147" s="270"/>
      <c r="Q147" s="270"/>
      <c r="R147" s="270"/>
      <c r="S147" s="270"/>
      <c r="T147" s="270"/>
      <c r="U147" s="270"/>
      <c r="V147" s="270"/>
      <c r="W147" s="270"/>
    </row>
    <row r="148">
      <c r="B148" s="162"/>
      <c r="C148" s="270"/>
      <c r="D148" s="218"/>
      <c r="E148" s="270"/>
      <c r="F148" s="270"/>
      <c r="G148" s="270"/>
      <c r="H148" s="270"/>
      <c r="I148" s="270"/>
      <c r="J148" s="270"/>
      <c r="K148" s="270"/>
      <c r="L148" s="270"/>
      <c r="M148" s="270"/>
      <c r="N148" s="270"/>
      <c r="O148" s="270"/>
      <c r="P148" s="270"/>
      <c r="Q148" s="270"/>
      <c r="R148" s="270"/>
      <c r="S148" s="270"/>
      <c r="T148" s="270"/>
      <c r="U148" s="270"/>
      <c r="V148" s="270"/>
      <c r="W148" s="270"/>
    </row>
    <row r="149">
      <c r="B149" s="162"/>
      <c r="C149" s="270"/>
      <c r="D149" s="218"/>
      <c r="E149" s="270"/>
      <c r="F149" s="270"/>
      <c r="G149" s="270"/>
      <c r="H149" s="270"/>
      <c r="I149" s="270"/>
      <c r="J149" s="270"/>
      <c r="K149" s="270"/>
      <c r="L149" s="270"/>
      <c r="M149" s="270"/>
      <c r="N149" s="270"/>
      <c r="O149" s="270"/>
      <c r="P149" s="270"/>
      <c r="Q149" s="270"/>
      <c r="R149" s="270"/>
      <c r="S149" s="270"/>
      <c r="T149" s="270"/>
      <c r="U149" s="270"/>
      <c r="V149" s="270"/>
      <c r="W149" s="270"/>
    </row>
    <row r="150">
      <c r="B150" s="162"/>
      <c r="C150" s="270"/>
      <c r="D150" s="218"/>
      <c r="E150" s="270"/>
      <c r="F150" s="270"/>
      <c r="G150" s="270"/>
      <c r="H150" s="270"/>
      <c r="I150" s="270"/>
      <c r="J150" s="270"/>
      <c r="K150" s="270"/>
      <c r="L150" s="270"/>
      <c r="M150" s="270"/>
      <c r="N150" s="270"/>
      <c r="O150" s="270"/>
      <c r="P150" s="270"/>
      <c r="Q150" s="270"/>
      <c r="R150" s="270"/>
      <c r="S150" s="270"/>
      <c r="T150" s="270"/>
      <c r="U150" s="270"/>
      <c r="V150" s="270"/>
      <c r="W150" s="270"/>
    </row>
    <row r="151">
      <c r="B151" s="162"/>
      <c r="C151" s="270"/>
      <c r="D151" s="218"/>
      <c r="E151" s="270"/>
      <c r="F151" s="270"/>
      <c r="G151" s="270"/>
      <c r="H151" s="270"/>
      <c r="I151" s="270"/>
      <c r="J151" s="270"/>
      <c r="K151" s="270"/>
      <c r="L151" s="270"/>
      <c r="M151" s="270"/>
      <c r="N151" s="270"/>
      <c r="O151" s="270"/>
      <c r="P151" s="270"/>
      <c r="Q151" s="270"/>
      <c r="R151" s="270"/>
      <c r="S151" s="270"/>
      <c r="T151" s="270"/>
      <c r="U151" s="270"/>
      <c r="V151" s="270"/>
      <c r="W151" s="270"/>
    </row>
    <row r="152">
      <c r="B152" s="162"/>
      <c r="C152" s="270"/>
      <c r="D152" s="218"/>
      <c r="E152" s="270"/>
      <c r="F152" s="270"/>
      <c r="G152" s="270"/>
      <c r="H152" s="270"/>
      <c r="I152" s="270"/>
      <c r="J152" s="270"/>
      <c r="K152" s="270"/>
      <c r="L152" s="270"/>
      <c r="M152" s="270"/>
      <c r="N152" s="270"/>
      <c r="O152" s="270"/>
      <c r="P152" s="270"/>
      <c r="Q152" s="270"/>
      <c r="R152" s="270"/>
      <c r="S152" s="270"/>
      <c r="T152" s="270"/>
      <c r="U152" s="270"/>
      <c r="V152" s="270"/>
      <c r="W152" s="270"/>
    </row>
    <row r="153">
      <c r="B153" s="162"/>
      <c r="C153" s="270"/>
      <c r="D153" s="218"/>
      <c r="E153" s="270"/>
      <c r="F153" s="270"/>
      <c r="G153" s="270"/>
      <c r="H153" s="270"/>
      <c r="I153" s="270"/>
      <c r="J153" s="270"/>
      <c r="K153" s="270"/>
      <c r="L153" s="270"/>
      <c r="M153" s="270"/>
      <c r="N153" s="270"/>
      <c r="O153" s="270"/>
      <c r="P153" s="270"/>
      <c r="Q153" s="270"/>
      <c r="R153" s="270"/>
      <c r="S153" s="270"/>
      <c r="T153" s="270"/>
      <c r="U153" s="270"/>
      <c r="V153" s="270"/>
      <c r="W153" s="270"/>
    </row>
    <row r="154">
      <c r="B154" s="162"/>
      <c r="C154" s="270"/>
      <c r="D154" s="218"/>
      <c r="E154" s="270"/>
      <c r="F154" s="270"/>
      <c r="G154" s="270"/>
      <c r="H154" s="270"/>
      <c r="I154" s="270"/>
      <c r="J154" s="270"/>
      <c r="K154" s="270"/>
      <c r="L154" s="270"/>
      <c r="M154" s="270"/>
      <c r="N154" s="270"/>
      <c r="O154" s="270"/>
      <c r="P154" s="270"/>
      <c r="Q154" s="270"/>
      <c r="R154" s="270"/>
      <c r="S154" s="270"/>
      <c r="T154" s="270"/>
      <c r="U154" s="270"/>
      <c r="V154" s="270"/>
      <c r="W154" s="270"/>
    </row>
    <row r="155">
      <c r="B155" s="162"/>
      <c r="C155" s="270"/>
      <c r="D155" s="218"/>
      <c r="E155" s="270"/>
      <c r="F155" s="270"/>
      <c r="G155" s="270"/>
      <c r="H155" s="270"/>
      <c r="I155" s="270"/>
      <c r="J155" s="270"/>
      <c r="K155" s="270"/>
      <c r="L155" s="270"/>
      <c r="M155" s="270"/>
      <c r="N155" s="270"/>
      <c r="O155" s="270"/>
      <c r="P155" s="270"/>
      <c r="Q155" s="270"/>
      <c r="R155" s="270"/>
      <c r="S155" s="270"/>
      <c r="T155" s="270"/>
      <c r="U155" s="270"/>
      <c r="V155" s="270"/>
      <c r="W155" s="270"/>
    </row>
    <row r="156">
      <c r="B156" s="162"/>
      <c r="C156" s="270"/>
      <c r="D156" s="218"/>
      <c r="E156" s="270"/>
      <c r="F156" s="270"/>
      <c r="G156" s="270"/>
      <c r="H156" s="270"/>
      <c r="I156" s="270"/>
      <c r="J156" s="270"/>
      <c r="K156" s="270"/>
      <c r="L156" s="270"/>
      <c r="M156" s="270"/>
      <c r="N156" s="270"/>
      <c r="O156" s="270"/>
      <c r="P156" s="270"/>
      <c r="Q156" s="270"/>
      <c r="R156" s="270"/>
      <c r="S156" s="270"/>
      <c r="T156" s="270"/>
      <c r="U156" s="270"/>
      <c r="V156" s="270"/>
      <c r="W156" s="270"/>
    </row>
    <row r="157">
      <c r="B157" s="162"/>
      <c r="C157" s="270"/>
      <c r="D157" s="218"/>
      <c r="E157" s="270"/>
      <c r="F157" s="270"/>
      <c r="G157" s="270"/>
      <c r="H157" s="270"/>
      <c r="I157" s="270"/>
      <c r="J157" s="270"/>
      <c r="K157" s="270"/>
      <c r="L157" s="270"/>
      <c r="M157" s="270"/>
      <c r="N157" s="270"/>
      <c r="O157" s="270"/>
      <c r="P157" s="270"/>
      <c r="Q157" s="270"/>
      <c r="R157" s="270"/>
      <c r="S157" s="270"/>
      <c r="T157" s="270"/>
      <c r="U157" s="270"/>
      <c r="V157" s="270"/>
      <c r="W157" s="270"/>
    </row>
    <row r="158">
      <c r="B158" s="162"/>
      <c r="C158" s="270"/>
      <c r="D158" s="218"/>
      <c r="E158" s="270"/>
      <c r="F158" s="270"/>
      <c r="G158" s="270"/>
      <c r="H158" s="270"/>
      <c r="I158" s="270"/>
      <c r="J158" s="270"/>
      <c r="K158" s="270"/>
      <c r="L158" s="270"/>
      <c r="M158" s="270"/>
      <c r="N158" s="270"/>
      <c r="O158" s="270"/>
      <c r="P158" s="270"/>
      <c r="Q158" s="270"/>
      <c r="R158" s="270"/>
      <c r="S158" s="270"/>
      <c r="T158" s="270"/>
      <c r="U158" s="270"/>
      <c r="V158" s="270"/>
      <c r="W158" s="270"/>
    </row>
    <row r="159">
      <c r="B159" s="162"/>
      <c r="C159" s="270"/>
      <c r="D159" s="218"/>
      <c r="E159" s="270"/>
      <c r="F159" s="270"/>
      <c r="G159" s="270"/>
      <c r="H159" s="270"/>
      <c r="I159" s="270"/>
      <c r="J159" s="270"/>
      <c r="K159" s="270"/>
      <c r="L159" s="270"/>
      <c r="M159" s="270"/>
      <c r="N159" s="270"/>
      <c r="O159" s="270"/>
      <c r="P159" s="270"/>
      <c r="Q159" s="270"/>
      <c r="R159" s="270"/>
      <c r="S159" s="270"/>
      <c r="T159" s="270"/>
      <c r="U159" s="270"/>
      <c r="V159" s="270"/>
      <c r="W159" s="270"/>
    </row>
    <row r="160" ht="15.95" customHeight="1">
      <c r="B160" s="162"/>
      <c r="C160" s="270"/>
      <c r="D160" s="218"/>
      <c r="E160" s="270"/>
      <c r="F160" s="270"/>
      <c r="G160" s="270"/>
      <c r="H160" s="270"/>
      <c r="I160" s="270"/>
      <c r="J160" s="270"/>
      <c r="K160" s="270"/>
      <c r="L160" s="270"/>
      <c r="M160" s="270"/>
      <c r="N160" s="270"/>
      <c r="O160" s="270"/>
      <c r="P160" s="270"/>
      <c r="Q160" s="270"/>
      <c r="R160" s="270"/>
      <c r="S160" s="270"/>
      <c r="T160" s="270"/>
      <c r="U160" s="270"/>
      <c r="V160" s="270"/>
      <c r="W160" s="270"/>
    </row>
    <row r="161" hidden="1" ht="15.95" customHeight="1">
      <c r="B161" s="162"/>
      <c r="C161" s="270"/>
      <c r="D161" s="218"/>
      <c r="E161" s="270"/>
      <c r="F161" s="270"/>
      <c r="G161" s="270"/>
      <c r="H161" s="270"/>
      <c r="I161" s="270"/>
      <c r="J161" s="270"/>
      <c r="K161" s="270"/>
      <c r="L161" s="270"/>
      <c r="N161" s="270"/>
      <c r="O161" s="270"/>
      <c r="P161" s="270"/>
      <c r="Q161" s="270"/>
      <c r="R161" s="270"/>
      <c r="S161" s="270"/>
      <c r="T161" s="270"/>
      <c r="U161" s="270"/>
      <c r="V161" s="270"/>
      <c r="W161" s="270"/>
    </row>
    <row r="162" hidden="1" ht="15.95" customHeight="1">
      <c r="B162" s="162"/>
      <c r="C162" s="659" t="s">
        <v>194</v>
      </c>
      <c r="D162" s="660"/>
      <c r="E162" s="660"/>
      <c r="F162" s="660"/>
      <c r="G162" s="660"/>
      <c r="H162" s="660"/>
      <c r="I162" s="660"/>
      <c r="J162" s="660"/>
      <c r="K162" s="660"/>
      <c r="L162" s="660"/>
      <c r="M162" s="660"/>
      <c r="N162" s="660"/>
      <c r="O162" s="660"/>
      <c r="P162" s="660"/>
      <c r="Q162" s="660"/>
      <c r="R162" s="660"/>
      <c r="S162" s="660"/>
      <c r="T162" s="660"/>
      <c r="U162" s="660"/>
      <c r="V162" s="660"/>
      <c r="W162" s="660"/>
      <c r="X162" s="660"/>
      <c r="Y162" s="660"/>
      <c r="Z162" s="660"/>
      <c r="AA162" s="660"/>
      <c r="AB162" s="661"/>
    </row>
    <row r="163" hidden="1" ht="15.95" customHeight="1">
      <c r="C163" s="435" t="str">
        <f> IF(C183&lt;&gt;"",TEXT(AUX!G$1,"dd-MMM-aa"),"")</f>
      </c>
      <c r="D163" s="435" t="str">
        <f> IF(D183&lt;&gt;"",TEXT(AUX!H$1,"dd-MMM-aa"),"")</f>
      </c>
      <c r="E163" s="435" t="str">
        <f> IF(E183&lt;&gt;"",TEXT(AUX!I$1,"dd-MMM-aa"),"")</f>
      </c>
      <c r="F163" s="435" t="str">
        <f> IF(F183&lt;&gt;"",TEXT(AUX!J$1,"dd-MMM-aa"),"")</f>
      </c>
      <c r="G163" s="435" t="str">
        <f> IF(G183&lt;&gt;"",TEXT(AUX!K$1,"dd-MMM-aa"),"")</f>
      </c>
      <c r="H163" s="435" t="str">
        <f> IF(H183&lt;&gt;"",TEXT(AUX!L$1,"dd-MMM-aa"),"")</f>
      </c>
      <c r="I163" s="435" t="str">
        <f> IF(I183&lt;&gt;"",TEXT(AUX!M$1,"dd-MMM-aa"),"")</f>
      </c>
      <c r="J163" s="435" t="str">
        <f> IF(J183&lt;&gt;"",TEXT(AUX!N$1,"dd-MMM-aa"),"")</f>
      </c>
      <c r="K163" s="435" t="str">
        <f> IF(K183&lt;&gt;"",TEXT(AUX!O$1,"dd-MMM-aa"),"")</f>
      </c>
      <c r="L163" s="435" t="str">
        <f> IF(L183&lt;&gt;"",TEXT(AUX!P$1,"dd-MMM-aa"),"")</f>
      </c>
      <c r="M163" s="435" t="str">
        <f> IF(M183&lt;&gt;"",TEXT(AUX!Q$1,"dd-MMM-aa"),"")</f>
      </c>
      <c r="N163" s="435" t="str">
        <f> IF(N183&lt;&gt;"",TEXT(AUX!R$1,"dd-MMM-aa"),"")</f>
      </c>
      <c r="O163" s="435" t="str">
        <f> IF(O183&lt;&gt;"",TEXT(AUX!S$1,"dd-MMM-aa"),"")</f>
      </c>
      <c r="P163" s="435" t="str">
        <f> IF(P183&lt;&gt;"",TEXT(AUX!T$1,"dd-MMM-aa"),"")</f>
      </c>
      <c r="Q163" s="435" t="str">
        <f> IF(Q183&lt;&gt;"",TEXT(AUX!U$1,"dd-MMM-aa"),"")</f>
      </c>
      <c r="R163" s="435" t="str">
        <f> IF(R183&lt;&gt;"",TEXT(AUX!V$1,"dd-MMM-aa"),"")</f>
      </c>
      <c r="S163" s="435" t="str">
        <f> IF(S183&lt;&gt;"",TEXT(AUX!W$1,"dd-MMM-aa"),"")</f>
      </c>
      <c r="T163" s="435" t="str">
        <f> IF(T183&lt;&gt;"",TEXT(AUX!X$1,"dd-MMM-aa"),"")</f>
      </c>
      <c r="U163" s="435" t="str">
        <f> IF(U183&lt;&gt;"",TEXT(AUX!Y$1,"dd-MMM-aa"),"")</f>
      </c>
      <c r="V163" s="435" t="str">
        <f> IF(V183&lt;&gt;"",TEXT(AUX!Z$1,"dd-MMM-aa"),"")</f>
      </c>
      <c r="W163" s="435" t="str">
        <f> IF(W183&lt;&gt;"",TEXT(AUX!AA$1,"dd-MMM-aa"),"")</f>
      </c>
      <c r="X163" s="435" t="str">
        <f> IF(X183&lt;&gt;"",TEXT(AUX!AB$1,"dd-MMM-aa"),"")</f>
      </c>
      <c r="Y163" s="435" t="str">
        <f> IF(Y183&lt;&gt;"",TEXT(AUX!AC$1,"dd-MMM-aa"),"")</f>
      </c>
      <c r="Z163" s="435" t="str">
        <f> IF(Z183&lt;&gt;"",TEXT(AUX!AD$1,"dd-MMM-aa"),"")</f>
      </c>
      <c r="AA163" s="435" t="str">
        <f> IF(AA183&lt;&gt;"",TEXT(AUX!AE$1,"dd-MMM-aa"),"")</f>
      </c>
      <c r="AB163" s="497" t="str">
        <f> IF(AB183&lt;&gt;"",TEXT(AUX!AF$1,"dd-MMM-aa"),"")</f>
      </c>
      <c r="AC163" s="496" t="str">
        <f> IF(AC183&lt;&gt;"",TEXT(AUX!AG$1,"dd-MMM-aa"),"")</f>
      </c>
      <c r="AD163" s="496" t="str">
        <f> IF(AD183&lt;&gt;"",TEXT(AUX!AH$1,"dd-MMM-aa"),"")</f>
      </c>
      <c r="AE163" s="496" t="str">
        <f> IF(AE183&lt;&gt;"",TEXT(AUX!AI$1,"dd-MMM-aa"),"")</f>
      </c>
      <c r="AF163" s="496" t="str">
        <f> IF(AF183&lt;&gt;"",TEXT(AUX!AJ$1,"dd-MMM-aa"),"")</f>
      </c>
      <c r="AG163" s="496" t="str">
        <f> IF(AG183&lt;&gt;"",TEXT(AUX!AK$1,"dd-MMM-aa"),"")</f>
      </c>
      <c r="AH163" s="496" t="str">
        <f> IF(AH183&lt;&gt;"",TEXT(AUX!AL$1,"dd-MMM-aa"),"")</f>
      </c>
      <c r="AI163" s="496" t="str">
        <f> IF(AI183&lt;&gt;"",TEXT(AUX!AM$1,"dd-MMM-aa"),"")</f>
      </c>
      <c r="AJ163" s="496" t="str">
        <f> IF(AJ183&lt;&gt;"",TEXT(AUX!AN$1,"dd-MMM-aa"),"")</f>
      </c>
      <c r="AK163" s="496" t="str">
        <f> IF(AK183&lt;&gt;"",TEXT(AUX!AO$1,"dd-MMM-aa"),"")</f>
      </c>
      <c r="AL163" s="496" t="str">
        <f> IF(AL183&lt;&gt;"",TEXT(AUX!AP$1,"dd-MMM-aa"),"")</f>
      </c>
      <c r="AM163" s="496" t="str">
        <f> IF(AM183&lt;&gt;"",TEXT(AUX!AQ$1,"dd-MMM-aa"),"")</f>
      </c>
      <c r="AN163" s="496" t="str">
        <f> IF(AN183&lt;&gt;"",TEXT(AUX!AR$1,"dd-MMM-aa"),"")</f>
      </c>
      <c r="AO163" s="496" t="str">
        <f> IF(AO183&lt;&gt;"",TEXT(AUX!AS$1,"dd-MMM-aa"),"")</f>
      </c>
      <c r="AP163" s="496" t="str">
        <f> IF(AP183&lt;&gt;"",TEXT(AUX!AT$1,"dd-MMM-aa"),"")</f>
      </c>
      <c r="AQ163" s="496" t="str">
        <f> IF(AQ183&lt;&gt;"",TEXT(AUX!AU$1,"dd-MMM-aa"),"")</f>
      </c>
      <c r="AR163" s="496" t="str">
        <f> IF(AR183&lt;&gt;"",TEXT(AUX!AV$1,"dd-MMM-aa"),"")</f>
      </c>
      <c r="AS163" s="496" t="str">
        <f> IF(AS183&lt;&gt;"",TEXT(AUX!AW$1,"dd-MMM-aa"),"")</f>
      </c>
      <c r="AT163" s="496" t="str">
        <f> IF(AT183&lt;&gt;"",TEXT(AUX!AX$1,"dd-MMM-aa"),"")</f>
      </c>
      <c r="AU163" s="496" t="str">
        <f> IF(AU183&lt;&gt;"",TEXT(AUX!AY$1,"dd-MMM-aa"),"")</f>
      </c>
      <c r="AV163" s="496" t="str">
        <f> IF(AV183&lt;&gt;"",TEXT(AUX!AZ$1,"dd-MMM-aa"),"")</f>
      </c>
      <c r="AW163" s="496" t="str">
        <f> IF(AW183&lt;&gt;"",TEXT(AUX!BA$1,"dd-MMM-aa"),"")</f>
      </c>
      <c r="AX163" s="496" t="str">
        <f> IF(AX183&lt;&gt;"",TEXT(AUX!BB$1,"dd-MMM-aa"),"")</f>
      </c>
      <c r="AY163" s="496" t="str">
        <f> IF(AY183&lt;&gt;"",TEXT(AUX!BC$1,"dd-MMM-aa"),"")</f>
      </c>
      <c r="AZ163" s="496" t="str">
        <f> IF(AZ183&lt;&gt;"",TEXT(AUX!BD$1,"dd-MMM-aa"),"")</f>
      </c>
      <c r="BA163" s="496" t="str">
        <f> IF(BA183&lt;&gt;"",TEXT(AUX!BE$1,"dd-MMM-aa"),"")</f>
      </c>
      <c r="BB163" s="496" t="str">
        <f> IF(BB183&lt;&gt;"",TEXT(AUX!BF$1,"dd-MMM-aa"),"")</f>
      </c>
      <c r="BC163" s="496" t="str">
        <f> IF(BC183&lt;&gt;"",TEXT(AUX!BG$1,"dd-MMM-aa"),"")</f>
      </c>
      <c r="BD163" s="496" t="str">
        <f> IF(BD183&lt;&gt;"",TEXT(AUX!BH$1,"dd-MMM-aa"),"")</f>
      </c>
      <c r="BE163" s="496" t="str">
        <f> IF(BE183&lt;&gt;"",TEXT(AUX!BI$1,"dd-MMM-aa"),"")</f>
      </c>
      <c r="BF163" s="496" t="str">
        <f> IF(BF183&lt;&gt;"",TEXT(AUX!BJ$1,"dd-MMM-aa"),"")</f>
      </c>
      <c r="BG163" s="496" t="str">
        <f> IF(BG183&lt;&gt;"",TEXT(AUX!BK$1,"dd-MMM-aa"),"")</f>
      </c>
      <c r="BH163" s="496" t="str">
        <f> IF(BH183&lt;&gt;"",TEXT(AUX!BL$1,"dd-MMM-aa"),"")</f>
      </c>
      <c r="BI163" s="496" t="str">
        <f> IF(BI183&lt;&gt;"",TEXT(AUX!BM$1,"dd-MMM-aa"),"")</f>
      </c>
      <c r="BJ163" s="496" t="str">
        <f> IF(BJ183&lt;&gt;"",TEXT(AUX!BN$1,"dd-MMM-aa"),"")</f>
      </c>
      <c r="BK163" s="496" t="str">
        <f> IF(BK183&lt;&gt;"",TEXT(AUX!BO$1,"dd-MMM-aa"),"")</f>
      </c>
      <c r="BL163" s="496" t="str">
        <f> IF(BL183&lt;&gt;"",TEXT(AUX!BP$1,"dd-MMM-aa"),"")</f>
      </c>
      <c r="BM163" s="496" t="str">
        <f> IF(BM183&lt;&gt;"",TEXT(AUX!BQ$1,"dd-MMM-aa"),"")</f>
      </c>
      <c r="BN163" s="496" t="str">
        <f> IF(BN183&lt;&gt;"",TEXT(AUX!BR$1,"dd-MMM-aa"),"")</f>
      </c>
      <c r="BO163" s="496" t="str">
        <f> IF(BO183&lt;&gt;"",TEXT(AUX!BS$1,"dd-MMM-aa"),"")</f>
      </c>
      <c r="BP163" s="496" t="str">
        <f> IF(BP183&lt;&gt;"",TEXT(AUX!BT$1,"dd-MMM-aa"),"")</f>
      </c>
      <c r="BQ163" s="496" t="str">
        <f> IF(BQ183&lt;&gt;"",TEXT(AUX!BU$1,"dd-MMM-aa"),"")</f>
      </c>
      <c r="BR163" s="496" t="str">
        <f> IF(BR183&lt;&gt;"",TEXT(AUX!BV$1,"dd-MMM-aa"),"")</f>
      </c>
      <c r="BS163" s="496" t="str">
        <f> IF(BS183&lt;&gt;"",TEXT(AUX!BW$1,"dd-MMM-aa"),"")</f>
      </c>
      <c r="BT163" s="496" t="str">
        <f> IF(BT183&lt;&gt;"",TEXT(AUX!BX$1,"dd-MMM-aa"),"")</f>
      </c>
      <c r="BU163" s="496" t="str">
        <f> IF(BU183&lt;&gt;"",TEXT(AUX!BY$1,"dd-MMM-aa"),"")</f>
      </c>
      <c r="BV163" s="496" t="str">
        <f> IF(BV183&lt;&gt;"",TEXT(AUX!BZ$1,"dd-MMM-aa"),"")</f>
      </c>
      <c r="BW163" s="496" t="str">
        <f> IF(BW183&lt;&gt;"",TEXT(AUX!CA$1,"dd-MMM-aa"),"")</f>
      </c>
      <c r="BX163" s="496" t="str">
        <f> IF(BX183&lt;&gt;"",TEXT(AUX!CB$1,"dd-MMM-aa"),"")</f>
      </c>
      <c r="BY163" s="496" t="str">
        <f> IF(BY183&lt;&gt;"",TEXT(AUX!CC$1,"dd-MMM-aa"),"")</f>
      </c>
      <c r="BZ163" s="496" t="str">
        <f> IF(BZ183&lt;&gt;"",TEXT(AUX!CD$1,"dd-MMM-aa"),"")</f>
      </c>
      <c r="CA163" s="496" t="str">
        <f> IF(CA183&lt;&gt;"",TEXT(AUX!CE$1,"dd-MMM-aa"),"")</f>
      </c>
      <c r="CB163" s="496" t="str">
        <f> IF(CB183&lt;&gt;"",TEXT(AUX!CF$1,"dd-MMM-aa"),"")</f>
      </c>
      <c r="CC163" s="496" t="str">
        <f> IF(CC183&lt;&gt;"",TEXT(AUX!CG$1,"dd-MMM-aa"),"")</f>
      </c>
      <c r="CD163" s="496" t="str">
        <f> IF(CD183&lt;&gt;"",TEXT(AUX!CH$1,"dd-MMM-aa"),"")</f>
      </c>
      <c r="CE163" s="496" t="str">
        <f> IF(CE183&lt;&gt;"",TEXT(AUX!CI$1,"dd-MMM-aa"),"")</f>
      </c>
      <c r="CF163" s="496" t="str">
        <f> IF(CF183&lt;&gt;"",TEXT(AUX!CJ$1,"dd-MMM-aa"),"")</f>
      </c>
      <c r="CG163" s="496" t="str">
        <f> IF(CG183&lt;&gt;"",TEXT(AUX!CK$1,"dd-MMM-aa"),"")</f>
      </c>
      <c r="CH163" s="496" t="str">
        <f> IF(CH183&lt;&gt;"",TEXT(AUX!CL$1,"dd-MMM-aa"),"")</f>
      </c>
      <c r="CI163" s="496" t="str">
        <f> IF(CI183&lt;&gt;"",TEXT(AUX!CM$1,"dd-MMM-aa"),"")</f>
      </c>
      <c r="CJ163" s="496" t="str">
        <f> IF(CJ183&lt;&gt;"",TEXT(AUX!CN$1,"dd-MMM-aa"),"")</f>
      </c>
      <c r="CK163" s="496" t="str">
        <f> IF(CK183&lt;&gt;"",TEXT(AUX!CO$1,"dd-MMM-aa"),"")</f>
      </c>
      <c r="CL163" s="496" t="str">
        <f> IF(CL183&lt;&gt;"",TEXT(AUX!CP$1,"dd-MMM-aa"),"")</f>
      </c>
      <c r="CM163" s="496" t="str">
        <f> IF(CM183&lt;&gt;"",TEXT(AUX!CQ$1,"dd-MMM-aa"),"")</f>
      </c>
      <c r="CN163" s="496" t="str">
        <f> IF(CN183&lt;&gt;"",TEXT(AUX!CR$1,"dd-MMM-aa"),"")</f>
      </c>
      <c r="CO163" s="496" t="str">
        <f> IF(CO183&lt;&gt;"",TEXT(AUX!CS$1,"dd-MMM-aa"),"")</f>
      </c>
      <c r="CP163" s="496" t="str">
        <f> IF(CP183&lt;&gt;"",TEXT(AUX!CT$1,"dd-MMM-aa"),"")</f>
      </c>
      <c r="CQ163" s="496" t="str">
        <f> IF(CQ183&lt;&gt;"",TEXT(AUX!CU$1,"dd-MMM-aa"),"")</f>
      </c>
      <c r="CR163" s="496" t="str">
        <f> IF(CR183&lt;&gt;"",TEXT(AUX!CV$1,"dd-MMM-aa"),"")</f>
      </c>
      <c r="CS163" s="496" t="str">
        <f> IF(CS183&lt;&gt;"",TEXT(AUX!CW$1,"dd-MMM-aa"),"")</f>
      </c>
      <c r="CT163" s="496" t="str">
        <f> IF(CT183&lt;&gt;"",TEXT(AUX!CX$1,"dd-MMM-aa"),"")</f>
      </c>
      <c r="CU163" s="496" t="str">
        <f> IF(CU183&lt;&gt;"",TEXT(AUX!CY$1,"dd-MMM-aa"),"")</f>
      </c>
      <c r="CV163" s="496" t="str">
        <f> IF(CV183&lt;&gt;"",TEXT(AUX!CZ$1,"dd-MMM-aa"),"")</f>
      </c>
      <c r="CW163" s="496" t="str">
        <f> IF(CW183&lt;&gt;"",TEXT(AUX!DA$1,"dd-MMM-aa"),"")</f>
      </c>
      <c r="CX163" s="496" t="str">
        <f> IF(CX183&lt;&gt;"",TEXT(AUX!DB$1,"dd-MMM-aa"),"")</f>
      </c>
      <c r="CY163" s="496" t="str">
        <f> IF(CY183&lt;&gt;"",TEXT(AUX!DC$1,"dd-MMM-aa"),"")</f>
      </c>
      <c r="CZ163" s="496" t="str">
        <f> IF(CZ183&lt;&gt;"",TEXT(AUX!DD$1,"dd-MMM-aa"),"")</f>
      </c>
      <c r="DA163" s="496" t="str">
        <f> IF(DA183&lt;&gt;"",TEXT(AUX!DE$1,"dd-MMM-aa"),"")</f>
      </c>
      <c r="DB163" s="496" t="str">
        <f> IF(DB183&lt;&gt;"",TEXT(AUX!DF$1,"dd-MMM-aa"),"")</f>
      </c>
      <c r="DC163" s="496" t="str">
        <f> IF(DC183&lt;&gt;"",TEXT(AUX!DG$1,"dd-MMM-aa"),"")</f>
      </c>
      <c r="DD163" s="496" t="str">
        <f> IF(DD183&lt;&gt;"",TEXT(AUX!DH$1,"dd-MMM-aa"),"")</f>
      </c>
      <c r="DE163" s="496" t="str">
        <f> IF(DE183&lt;&gt;"",TEXT(AUX!DI$1,"dd-MMM-aa"),"")</f>
      </c>
      <c r="DF163" s="496" t="str">
        <f> IF(DF183&lt;&gt;"",TEXT(AUX!DJ$1,"dd-MMM-aa"),"")</f>
      </c>
      <c r="DG163" s="496" t="str">
        <f> IF(DG183&lt;&gt;"",TEXT(AUX!DK$1,"dd-MMM-aa"),"")</f>
      </c>
      <c r="DH163" s="496" t="str">
        <f> IF(DH183&lt;&gt;"",TEXT(AUX!DL$1,"dd-MMM-aa"),"")</f>
      </c>
      <c r="DI163" s="496" t="str">
        <f> IF(DI183&lt;&gt;"",TEXT(AUX!DM$1,"dd-MMM-aa"),"")</f>
      </c>
      <c r="DJ163" s="496" t="str">
        <f> IF(DJ183&lt;&gt;"",TEXT(AUX!DN$1,"dd-MMM-aa"),"")</f>
      </c>
      <c r="DK163" s="496" t="str">
        <f> IF(DK183&lt;&gt;"",TEXT(AUX!DO$1,"dd-MMM-aa"),"")</f>
      </c>
      <c r="DL163" s="496" t="str">
        <f> IF(DL183&lt;&gt;"",TEXT(AUX!DP$1,"dd-MMM-aa"),"")</f>
      </c>
      <c r="DM163" s="496" t="str">
        <f> IF(DM183&lt;&gt;"",TEXT(AUX!DQ$1,"dd-MMM-aa"),"")</f>
      </c>
      <c r="DN163" s="496" t="str">
        <f> IF(DN183&lt;&gt;"",TEXT(AUX!DR$1,"dd-MMM-aa"),"")</f>
      </c>
      <c r="DO163" s="496" t="str">
        <f> IF(DO183&lt;&gt;"",TEXT(AUX!DS$1,"dd-MMM-aa"),"")</f>
      </c>
      <c r="DP163" s="496" t="str">
        <f> IF(DP183&lt;&gt;"",TEXT(AUX!DT$1,"dd-MMM-aa"),"")</f>
      </c>
      <c r="DQ163" s="496" t="str">
        <f> IF(DQ183&lt;&gt;"",TEXT(AUX!DU$1,"dd-MMM-aa"),"")</f>
      </c>
      <c r="DR163" s="496" t="str">
        <f> IF(DR183&lt;&gt;"",TEXT(AUX!DV$1,"dd-MMM-aa"),"")</f>
      </c>
      <c r="DS163" s="496" t="str">
        <f> IF(DS183&lt;&gt;"",TEXT(AUX!DW$1,"dd-MMM-aa"),"")</f>
      </c>
      <c r="DT163" s="496" t="str">
        <f> IF(DT183&lt;&gt;"",TEXT(AUX!DX$1,"dd-MMM-aa"),"")</f>
      </c>
      <c r="DU163" s="496" t="str">
        <f> IF(DU183&lt;&gt;"",TEXT(AUX!DY$1,"dd-MMM-aa"),"")</f>
      </c>
      <c r="DV163" s="496" t="str">
        <f> IF(DV183&lt;&gt;"",TEXT(AUX!DZ$1,"dd-MMM-aa"),"")</f>
      </c>
      <c r="DW163" s="496" t="str">
        <f> IF(DW183&lt;&gt;"",TEXT(AUX!EA$1,"dd-MMM-aa"),"")</f>
      </c>
      <c r="DX163" s="496" t="str">
        <f> IF(DX183&lt;&gt;"",TEXT(AUX!EB$1,"dd-MMM-aa"),"")</f>
      </c>
      <c r="DY163" s="496" t="str">
        <f> IF(DY183&lt;&gt;"",TEXT(AUX!EC$1,"dd-MMM-aa"),"")</f>
      </c>
      <c r="DZ163" s="496" t="str">
        <f> IF(DZ183&lt;&gt;"",TEXT(AUX!ED$1,"dd-MMM-aa"),"")</f>
      </c>
      <c r="EA163" s="496" t="str">
        <f> IF(EA183&lt;&gt;"",TEXT(AUX!EE$1,"dd-MMM-aa"),"")</f>
      </c>
      <c r="EB163" s="496" t="str">
        <f> IF(EB183&lt;&gt;"",TEXT(AUX!EF$1,"dd-MMM-aa"),"")</f>
      </c>
      <c r="EC163" s="496" t="str">
        <f> IF(EC183&lt;&gt;"",TEXT(AUX!EG$1,"dd-MMM-aa"),"")</f>
      </c>
      <c r="ED163" s="496" t="str">
        <f> IF(ED183&lt;&gt;"",TEXT(AUX!EH$1,"dd-MMM-aa"),"")</f>
      </c>
      <c r="EE163" s="496" t="str">
        <f> IF(EE183&lt;&gt;"",TEXT(AUX!EI$1,"dd-MMM-aa"),"")</f>
      </c>
      <c r="EF163" s="496" t="str">
        <f> IF(EF183&lt;&gt;"",TEXT(AUX!EJ$1,"dd-MMM-aa"),"")</f>
      </c>
      <c r="EG163" s="496" t="str">
        <f> IF(EG183&lt;&gt;"",TEXT(AUX!EK$1,"dd-MMM-aa"),"")</f>
      </c>
      <c r="EH163" s="496" t="str">
        <f> IF(EH183&lt;&gt;"",TEXT(AUX!EL$1,"dd-MMM-aa"),"")</f>
      </c>
      <c r="EI163" s="496" t="str">
        <f> IF(EI183&lt;&gt;"",TEXT(AUX!EM$1,"dd-MMM-aa"),"")</f>
      </c>
      <c r="EJ163" s="496" t="str">
        <f> IF(EJ183&lt;&gt;"",TEXT(AUX!EN$1,"dd-MMM-aa"),"")</f>
      </c>
      <c r="EK163" s="496" t="str">
        <f> IF(EK183&lt;&gt;"",TEXT(AUX!EO$1,"dd-MMM-aa"),"")</f>
      </c>
      <c r="EL163" s="496" t="str">
        <f> IF(EL183&lt;&gt;"",TEXT(AUX!EP$1,"dd-MMM-aa"),"")</f>
      </c>
      <c r="EM163" s="496" t="str">
        <f> IF(EM183&lt;&gt;"",TEXT(AUX!EQ$1,"dd-MMM-aa"),"")</f>
      </c>
      <c r="EN163" s="496" t="str">
        <f> IF(EN183&lt;&gt;"",TEXT(AUX!ER$1,"dd-MMM-aa"),"")</f>
      </c>
      <c r="EO163" s="496" t="str">
        <f> IF(EO183&lt;&gt;"",TEXT(AUX!ES$1,"dd-MMM-aa"),"")</f>
      </c>
      <c r="EP163" s="496" t="str">
        <f> IF(EP183&lt;&gt;"",TEXT(AUX!ET$1,"dd-MMM-aa"),"")</f>
      </c>
      <c r="EQ163" s="496" t="str">
        <f> IF(EQ183&lt;&gt;"",TEXT(AUX!EU$1,"dd-MMM-aa"),"")</f>
      </c>
      <c r="ER163" s="496" t="str">
        <f> IF(ER183&lt;&gt;"",TEXT(AUX!EV$1,"dd-MMM-aa"),"")</f>
      </c>
      <c r="ES163" s="496" t="str">
        <f> IF(ES183&lt;&gt;"",TEXT(AUX!EW$1,"dd-MMM-aa"),"")</f>
      </c>
      <c r="ET163" s="496" t="str">
        <f> IF(ET183&lt;&gt;"",TEXT(AUX!EX$1,"dd-MMM-aa"),"")</f>
      </c>
      <c r="EU163" s="496" t="str">
        <f> IF(EU183&lt;&gt;"",TEXT(AUX!EY$1,"dd-MMM-aa"),"")</f>
      </c>
      <c r="EV163" s="496" t="str">
        <f> IF(EV183&lt;&gt;"",TEXT(AUX!EZ$1,"dd-MMM-aa"),"")</f>
      </c>
      <c r="EW163" s="496" t="str">
        <f> IF(EW183&lt;&gt;"",TEXT(AUX!FA$1,"dd-MMM-aa"),"")</f>
      </c>
      <c r="EX163" s="496" t="str">
        <f> IF(EX183&lt;&gt;"",TEXT(AUX!FB$1,"dd-MMM-aa"),"")</f>
      </c>
      <c r="EY163" s="496" t="str">
        <f> IF(EY183&lt;&gt;"",TEXT(AUX!FC$1,"dd-MMM-aa"),"")</f>
      </c>
      <c r="EZ163" s="496" t="str">
        <f> IF(EZ183&lt;&gt;"",TEXT(AUX!FD$1,"dd-MMM-aa"),"")</f>
      </c>
      <c r="FA163" s="496" t="str">
        <f> IF(FA183&lt;&gt;"",TEXT(AUX!FE$1,"dd-MMM-aa"),"")</f>
      </c>
      <c r="FB163" s="496" t="str">
        <f> IF(FB183&lt;&gt;"",TEXT(AUX!FF$1,"dd-MMM-aa"),"")</f>
      </c>
      <c r="FC163" s="496" t="str">
        <f> IF(FC183&lt;&gt;"",TEXT(AUX!FG$1,"dd-MMM-aa"),"")</f>
      </c>
      <c r="FD163" s="496" t="str">
        <f> IF(FD183&lt;&gt;"",TEXT(AUX!FH$1,"dd-MMM-aa"),"")</f>
      </c>
      <c r="FE163" s="496" t="str">
        <f> IF(FE183&lt;&gt;"",TEXT(AUX!FI$1,"dd-MMM-aa"),"")</f>
      </c>
      <c r="FF163" s="496" t="str">
        <f> IF(FF183&lt;&gt;"",TEXT(AUX!FJ$1,"dd-MMM-aa"),"")</f>
      </c>
      <c r="FG163" s="496" t="str">
        <f> IF(FG183&lt;&gt;"",TEXT(AUX!FK$1,"dd-MMM-aa"),"")</f>
      </c>
      <c r="FH163" s="496" t="str">
        <f> IF(FH183&lt;&gt;"",TEXT(AUX!FL$1,"dd-MMM-aa"),"")</f>
      </c>
      <c r="FI163" s="496" t="str">
        <f> IF(FI183&lt;&gt;"",TEXT(AUX!FM$1,"dd-MMM-aa"),"")</f>
      </c>
      <c r="FJ163" s="496" t="str">
        <f> IF(FJ183&lt;&gt;"",TEXT(AUX!FN$1,"dd-MMM-aa"),"")</f>
      </c>
      <c r="FK163" s="496" t="str">
        <f> IF(FK183&lt;&gt;"",TEXT(AUX!FO$1,"dd-MMM-aa"),"")</f>
      </c>
      <c r="FL163" s="496" t="str">
        <f> IF(FL183&lt;&gt;"",TEXT(AUX!FP$1,"dd-MMM-aa"),"")</f>
      </c>
      <c r="FM163" s="496" t="str">
        <f> IF(FM183&lt;&gt;"",TEXT(AUX!FQ$1,"dd-MMM-aa"),"")</f>
      </c>
      <c r="FN163" s="496" t="str">
        <f> IF(FN183&lt;&gt;"",TEXT(AUX!FR$1,"dd-MMM-aa"),"")</f>
      </c>
      <c r="FO163" s="496" t="str">
        <f> IF(FO183&lt;&gt;"",TEXT(AUX!FS$1,"dd-MMM-aa"),"")</f>
      </c>
      <c r="FP163" s="496" t="str">
        <f> IF(FP183&lt;&gt;"",TEXT(AUX!FT$1,"dd-MMM-aa"),"")</f>
      </c>
      <c r="FQ163" s="496" t="str">
        <f> IF(FQ183&lt;&gt;"",TEXT(AUX!FU$1,"dd-MMM-aa"),"")</f>
      </c>
      <c r="FR163" s="496" t="str">
        <f> IF(FR183&lt;&gt;"",TEXT(AUX!FV$1,"dd-MMM-aa"),"")</f>
      </c>
      <c r="FS163" s="496" t="str">
        <f> IF(FS183&lt;&gt;"",TEXT(AUX!FW$1,"dd-MMM-aa"),"")</f>
      </c>
      <c r="FT163" s="496" t="str">
        <f> IF(FT183&lt;&gt;"",TEXT(AUX!FX$1,"dd-MMM-aa"),"")</f>
      </c>
      <c r="FU163" s="496" t="str">
        <f> IF(FU183&lt;&gt;"",TEXT(AUX!FY$1,"dd-MMM-aa"),"")</f>
      </c>
      <c r="FV163" s="496" t="str">
        <f> IF(FV183&lt;&gt;"",TEXT(AUX!FZ$1,"dd-MMM-aa"),"")</f>
      </c>
      <c r="FW163" s="496" t="str">
        <f> IF(FW183&lt;&gt;"",TEXT(AUX!GA$1,"dd-MMM-aa"),"")</f>
      </c>
      <c r="FX163" s="496" t="str">
        <f> IF(FX183&lt;&gt;"",TEXT(AUX!GB$1,"dd-MMM-aa"),"")</f>
      </c>
      <c r="FY163" s="496" t="str">
        <f> IF(FY183&lt;&gt;"",TEXT(AUX!GC$1,"dd-MMM-aa"),"")</f>
      </c>
      <c r="FZ163" s="496" t="str">
        <f> IF(FZ183&lt;&gt;"",TEXT(AUX!GD$1,"dd-MMM-aa"),"")</f>
      </c>
      <c r="GA163" s="496" t="str">
        <f> IF(GA183&lt;&gt;"",TEXT(AUX!GE$1,"dd-MMM-aa"),"")</f>
      </c>
      <c r="GB163" s="496" t="str">
        <f> IF(GB183&lt;&gt;"",TEXT(AUX!GF$1,"dd-MMM-aa"),"")</f>
      </c>
      <c r="GC163" s="496" t="str">
        <f> IF(GC183&lt;&gt;"",TEXT(AUX!GG$1,"dd-MMM-aa"),"")</f>
      </c>
      <c r="GD163" s="496" t="str">
        <f> IF(GD183&lt;&gt;"",TEXT(AUX!GH$1,"dd-MMM-aa"),"")</f>
      </c>
      <c r="GE163" s="496" t="str">
        <f> IF(GE183&lt;&gt;"",TEXT(AUX!GI$1,"dd-MMM-aa"),"")</f>
      </c>
      <c r="GF163" s="496" t="str">
        <f> IF(GF183&lt;&gt;"",TEXT(AUX!GJ$1,"dd-MMM-aa"),"")</f>
      </c>
      <c r="GG163" s="496" t="str">
        <f> IF(GG183&lt;&gt;"",TEXT(AUX!GK$1,"dd-MMM-aa"),"")</f>
      </c>
      <c r="GH163" s="496" t="str">
        <f> IF(GH183&lt;&gt;"",TEXT(AUX!GL$1,"dd-MMM-aa"),"")</f>
      </c>
      <c r="GI163" s="496" t="str">
        <f> IF(GI183&lt;&gt;"",TEXT(AUX!GM$1,"dd-MMM-aa"),"")</f>
      </c>
      <c r="GJ163" s="496" t="str">
        <f> IF(GJ183&lt;&gt;"",TEXT(AUX!GN$1,"dd-MMM-aa"),"")</f>
      </c>
      <c r="GK163" s="496" t="str">
        <f> IF(GK183&lt;&gt;"",TEXT(AUX!GO$1,"dd-MMM-aa"),"")</f>
      </c>
      <c r="GL163" s="496" t="str">
        <f> IF(GL183&lt;&gt;"",TEXT(AUX!GP$1,"dd-MMM-aa"),"")</f>
      </c>
      <c r="GM163" s="496" t="str">
        <f> IF(GM183&lt;&gt;"",TEXT(AUX!GQ$1,"dd-MMM-aa"),"")</f>
      </c>
      <c r="GN163" s="496" t="str">
        <f> IF(GN183&lt;&gt;"",TEXT(AUX!GR$1,"dd-MMM-aa"),"")</f>
      </c>
      <c r="GO163" s="496" t="str">
        <f> IF(GO183&lt;&gt;"",TEXT(AUX!GS$1,"dd-MMM-aa"),"")</f>
      </c>
      <c r="GP163" s="496" t="str">
        <f> IF(GP183&lt;&gt;"",TEXT(AUX!GT$1,"dd-MMM-aa"),"")</f>
      </c>
      <c r="GQ163" s="496" t="str">
        <f> IF(GQ183&lt;&gt;"",TEXT(AUX!GU$1,"dd-MMM-aa"),"")</f>
      </c>
      <c r="GR163" s="496" t="str">
        <f> IF(GR183&lt;&gt;"",TEXT(AUX!GV$1,"dd-MMM-aa"),"")</f>
      </c>
      <c r="GS163" s="496" t="str">
        <f> IF(GS183&lt;&gt;"",TEXT(AUX!GW$1,"dd-MMM-aa"),"")</f>
      </c>
      <c r="GT163" s="496" t="str">
        <f> IF(GT183&lt;&gt;"",TEXT(AUX!GX$1,"dd-MMM-aa"),"")</f>
      </c>
      <c r="GU163" s="496" t="str">
        <f> IF(GU183&lt;&gt;"",TEXT(AUX!GY$1,"dd-MMM-aa"),"")</f>
      </c>
      <c r="GV163" s="496" t="str">
        <f> IF(GV183&lt;&gt;"",TEXT(AUX!GZ$1,"dd-MMM-aa"),"")</f>
      </c>
      <c r="GW163" s="496" t="str">
        <f> IF(GW183&lt;&gt;"",TEXT(AUX!HA$1,"dd-MMM-aa"),"")</f>
      </c>
      <c r="GX163" s="496" t="str">
        <f> IF(GX183&lt;&gt;"",TEXT(AUX!HB$1,"dd-MMM-aa"),"")</f>
      </c>
      <c r="GY163" s="496" t="str">
        <f> IF(GY183&lt;&gt;"",TEXT(AUX!HC$1,"dd-MMM-aa"),"")</f>
      </c>
      <c r="GZ163" s="496" t="str">
        <f> IF(GZ183&lt;&gt;"",TEXT(AUX!HD$1,"dd-MMM-aa"),"")</f>
      </c>
      <c r="HA163" s="496" t="str">
        <f> IF(HA183&lt;&gt;"",TEXT(AUX!HE$1,"dd-MMM-aa"),"")</f>
      </c>
      <c r="HB163" s="496" t="str">
        <f> IF(HB183&lt;&gt;"",TEXT(AUX!HF$1,"dd-MMM-aa"),"")</f>
      </c>
      <c r="HC163" s="496" t="str">
        <f> IF(HC183&lt;&gt;"",TEXT(AUX!HG$1,"dd-MMM-aa"),"")</f>
      </c>
      <c r="HD163" s="496" t="str">
        <f> IF(HD183&lt;&gt;"",TEXT(AUX!HH$1,"dd-MMM-aa"),"")</f>
      </c>
      <c r="HE163" s="496" t="str">
        <f> IF(HE183&lt;&gt;"",TEXT(AUX!HI$1,"dd-MMM-aa"),"")</f>
      </c>
      <c r="HF163" s="496" t="str">
        <f> IF(HF183&lt;&gt;"",TEXT(AUX!HJ$1,"dd-MMM-aa"),"")</f>
      </c>
      <c r="HG163" s="496" t="str">
        <f> IF(HG183&lt;&gt;"",TEXT(AUX!HK$1,"dd-MMM-aa"),"")</f>
      </c>
      <c r="HH163" s="496" t="str">
        <f> IF(HH183&lt;&gt;"",TEXT(AUX!HL$1,"dd-MMM-aa"),"")</f>
      </c>
      <c r="HI163" s="496" t="str">
        <f> IF(HI183&lt;&gt;"",TEXT(AUX!HM$1,"dd-MMM-aa"),"")</f>
      </c>
      <c r="HJ163" s="496" t="str">
        <f> IF(HJ183&lt;&gt;"",TEXT(AUX!HN$1,"dd-MMM-aa"),"")</f>
      </c>
      <c r="HK163" s="496" t="str">
        <f> IF(HK183&lt;&gt;"",TEXT(AUX!HO$1,"dd-MMM-aa"),"")</f>
      </c>
      <c r="HL163" s="496" t="str">
        <f> IF(HL183&lt;&gt;"",TEXT(AUX!HP$1,"dd-MMM-aa"),"")</f>
      </c>
      <c r="HM163" s="496" t="str">
        <f> IF(HM183&lt;&gt;"",TEXT(AUX!HQ$1,"dd-MMM-aa"),"")</f>
      </c>
      <c r="HN163" s="496" t="str">
        <f> IF(HN183&lt;&gt;"",TEXT(AUX!HR$1,"dd-MMM-aa"),"")</f>
      </c>
      <c r="HO163" s="496" t="str">
        <f> IF(HO183&lt;&gt;"",TEXT(AUX!HS$1,"dd-MMM-aa"),"")</f>
      </c>
      <c r="HP163" s="496" t="str">
        <f> IF(HP183&lt;&gt;"",TEXT(AUX!HT$1,"dd-MMM-aa"),"")</f>
      </c>
      <c r="HQ163" s="496" t="str">
        <f> IF(HQ183&lt;&gt;"",TEXT(AUX!HU$1,"dd-MMM-aa"),"")</f>
      </c>
      <c r="HR163" s="496" t="str">
        <f> IF(HR183&lt;&gt;"",TEXT(AUX!HV$1,"dd-MMM-aa"),"")</f>
      </c>
      <c r="HS163" s="496" t="str">
        <f> IF(HS183&lt;&gt;"",TEXT(AUX!HW$1,"dd-MMM-aa"),"")</f>
      </c>
      <c r="HT163" s="496" t="str">
        <f> IF(HT183&lt;&gt;"",TEXT(AUX!HX$1,"dd-MMM-aa"),"")</f>
      </c>
      <c r="HU163" s="496" t="str">
        <f> IF(HU183&lt;&gt;"",TEXT(AUX!HY$1,"dd-MMM-aa"),"")</f>
      </c>
      <c r="HV163" s="496" t="str">
        <f> IF(HV183&lt;&gt;"",TEXT(AUX!HZ$1,"dd-MMM-aa"),"")</f>
      </c>
      <c r="HW163" s="496" t="str">
        <f> IF(HW183&lt;&gt;"",TEXT(AUX!IA$1,"dd-MMM-aa"),"")</f>
      </c>
      <c r="HX163" s="496" t="str">
        <f> IF(HX183&lt;&gt;"",TEXT(AUX!IB$1,"dd-MMM-aa"),"")</f>
      </c>
      <c r="HY163" s="496" t="str">
        <f> IF(HY183&lt;&gt;"",TEXT(AUX!IC$1,"dd-MMM-aa"),"")</f>
      </c>
      <c r="HZ163" s="496" t="str">
        <f> IF(HZ183&lt;&gt;"",TEXT(AUX!ID$1,"dd-MMM-aa"),"")</f>
      </c>
      <c r="IA163" s="496" t="str">
        <f> IF(IA183&lt;&gt;"",TEXT(AUX!IE$1,"dd-MMM-aa"),"")</f>
      </c>
      <c r="IB163" s="496" t="str">
        <f> IF(IB183&lt;&gt;"",TEXT(AUX!IF$1,"dd-MMM-aa"),"")</f>
      </c>
      <c r="IC163" s="496" t="str">
        <f> IF(IC183&lt;&gt;"",TEXT(AUX!IG$1,"dd-MMM-aa"),"")</f>
      </c>
      <c r="ID163" s="496" t="str">
        <f> IF(ID183&lt;&gt;"",TEXT(AUX!IH$1,"dd-MMM-aa"),"")</f>
      </c>
      <c r="IE163" s="496" t="str">
        <f> IF(IE183&lt;&gt;"",TEXT(AUX!II$1,"dd-MMM-aa"),"")</f>
      </c>
      <c r="IF163" s="496" t="str">
        <f> IF(IF183&lt;&gt;"",TEXT(AUX!IJ$1,"dd-MMM-aa"),"")</f>
      </c>
      <c r="IG163" s="496" t="str">
        <f> IF(IG183&lt;&gt;"",TEXT(AUX!IK$1,"dd-MMM-aa"),"")</f>
      </c>
      <c r="IH163" s="496" t="str">
        <f> IF(IH183&lt;&gt;"",TEXT(AUX!IL$1,"dd-MMM-aa"),"")</f>
      </c>
      <c r="II163" s="496" t="str">
        <f> IF(II183&lt;&gt;"",TEXT(AUX!IM$1,"dd-MMM-aa"),"")</f>
      </c>
      <c r="IJ163" s="496" t="str">
        <f> IF(IJ183&lt;&gt;"",TEXT(AUX!IN$1,"dd-MMM-aa"),"")</f>
      </c>
      <c r="IK163" s="496" t="str">
        <f> IF(IK183&lt;&gt;"",TEXT(AUX!IO$1,"dd-MMM-aa"),"")</f>
      </c>
      <c r="IL163" s="496" t="str">
        <f> IF(IL183&lt;&gt;"",TEXT(AUX!IP$1,"dd-MMM-aa"),"")</f>
      </c>
      <c r="IM163" s="496" t="str">
        <f> IF(IM183&lt;&gt;"",TEXT(AUX!IQ$1,"dd-MMM-aa"),"")</f>
      </c>
      <c r="IN163" s="496" t="str">
        <f> IF(IN183&lt;&gt;"",TEXT(AUX!IR$1,"dd-MMM-aa"),"")</f>
      </c>
      <c r="IO163" s="496" t="str">
        <f> IF(IO183&lt;&gt;"",TEXT(AUX!IS$1,"dd-MMM-aa"),"")</f>
      </c>
      <c r="IP163" s="496" t="str">
        <f> IF(IP183&lt;&gt;"",TEXT(AUX!IT$1,"dd-MMM-aa"),"")</f>
      </c>
      <c r="IQ163" s="496" t="str">
        <f> IF(IQ183&lt;&gt;"",TEXT(AUX!IU$1,"dd-MMM-aa"),"")</f>
      </c>
      <c r="IR163" s="496" t="str">
        <f> IF(IR183&lt;&gt;"",TEXT(AUX!IV$1,"dd-MMM-aa"),"")</f>
      </c>
      <c r="IS163" s="496" t="str">
        <f> IF(IS183&lt;&gt;"",TEXT(AUX!#REF!,"dd-MMM-aa"),"")</f>
      </c>
      <c r="IT163" s="496" t="str">
        <f> IF(IT183&lt;&gt;"",TEXT(AUX!#REF!,"dd-MMM-aa"),"")</f>
      </c>
      <c r="IU163" s="496" t="str">
        <f> IF(IU183&lt;&gt;"",TEXT(AUX!#REF!,"dd-MMM-aa"),"")</f>
      </c>
      <c r="IV163" s="496" t="str">
        <f> IF(IV183&lt;&gt;"",TEXT(AUX!#REF!,"dd-MMM-aa"),"")</f>
      </c>
    </row>
    <row r="164" hidden="1" ht="15.95" customHeight="1">
      <c r="B164" s="822" t="s">
        <v>8</v>
      </c>
      <c r="C164" s="823">
        <v>3100</v>
      </c>
      <c r="D164" s="823">
        <v>3280</v>
      </c>
      <c r="E164" s="823">
        <v>3317</v>
      </c>
      <c r="F164" s="823">
        <v>3400</v>
      </c>
      <c r="G164" s="823">
        <v>2771</v>
      </c>
      <c r="H164" s="823">
        <v>2848</v>
      </c>
      <c r="I164" s="823">
        <v>2881</v>
      </c>
      <c r="J164" s="823">
        <v>2985</v>
      </c>
      <c r="K164" s="823">
        <v>2987</v>
      </c>
      <c r="L164" s="823">
        <v>3014</v>
      </c>
      <c r="M164" s="823">
        <v>3072</v>
      </c>
      <c r="N164" s="823">
        <v>3151</v>
      </c>
      <c r="O164" s="823">
        <v>3216</v>
      </c>
      <c r="P164" s="823">
        <v>3299</v>
      </c>
      <c r="Q164" s="823">
        <v>3553</v>
      </c>
      <c r="R164" s="823">
        <v>3729</v>
      </c>
      <c r="S164" s="823">
        <v>3880</v>
      </c>
      <c r="T164" s="823">
        <v>6566</v>
      </c>
      <c r="U164" s="823">
        <v>6714</v>
      </c>
      <c r="V164" s="823">
        <v>6883</v>
      </c>
      <c r="W164" s="823">
        <v>6902</v>
      </c>
      <c r="X164" s="823">
        <v>5189</v>
      </c>
      <c r="Y164" s="823">
        <v>6907</v>
      </c>
      <c r="Z164" s="823">
        <v>6998</v>
      </c>
      <c r="AA164" s="823">
        <v>6969</v>
      </c>
      <c r="AB164" s="824">
        <v>7047</v>
      </c>
      <c r="AC164" s="825">
        <v>6862</v>
      </c>
      <c r="AD164" s="825">
        <v>6964</v>
      </c>
      <c r="AE164" s="825">
        <v>7030</v>
      </c>
      <c r="AF164" s="825">
        <v>7099</v>
      </c>
      <c r="AG164" s="825">
        <v>7157</v>
      </c>
      <c r="AH164" s="825">
        <v>7178</v>
      </c>
      <c r="AI164" s="825">
        <v>6988</v>
      </c>
      <c r="AJ164" s="825">
        <v>6992</v>
      </c>
      <c r="AK164" s="825">
        <v>6927</v>
      </c>
      <c r="AL164" s="825">
        <v>6924</v>
      </c>
      <c r="AM164" s="825">
        <v>6027</v>
      </c>
      <c r="AN164" s="825">
        <v>5921</v>
      </c>
      <c r="AO164" s="825">
        <v>5870</v>
      </c>
      <c r="AP164" s="825">
        <v>5902</v>
      </c>
    </row>
    <row r="165" hidden="1" ht="15.95" customHeight="1">
      <c r="B165" s="826" t="s">
        <v>9</v>
      </c>
      <c r="C165" s="827">
        <v>2433</v>
      </c>
      <c r="D165" s="827">
        <v>2479</v>
      </c>
      <c r="E165" s="827">
        <v>2518</v>
      </c>
      <c r="F165" s="827">
        <v>2586</v>
      </c>
      <c r="G165" s="827">
        <v>2628</v>
      </c>
      <c r="H165" s="827">
        <v>2692</v>
      </c>
      <c r="I165" s="827">
        <v>2730</v>
      </c>
      <c r="J165" s="827">
        <v>2767</v>
      </c>
      <c r="K165" s="827">
        <v>2775</v>
      </c>
      <c r="L165" s="827">
        <v>2794</v>
      </c>
      <c r="M165" s="827">
        <v>2771</v>
      </c>
      <c r="N165" s="827">
        <v>2789</v>
      </c>
      <c r="O165" s="827">
        <v>2719</v>
      </c>
      <c r="P165" s="827">
        <v>2782</v>
      </c>
      <c r="Q165" s="827">
        <v>2836</v>
      </c>
      <c r="R165" s="827">
        <v>2854</v>
      </c>
      <c r="S165" s="827">
        <v>2896</v>
      </c>
      <c r="T165" s="827">
        <v>2955</v>
      </c>
      <c r="U165" s="827">
        <v>3030</v>
      </c>
      <c r="V165" s="827">
        <v>3093</v>
      </c>
      <c r="W165" s="827">
        <v>3162</v>
      </c>
      <c r="X165" s="827">
        <v>3214</v>
      </c>
      <c r="Y165" s="827">
        <v>3333</v>
      </c>
      <c r="Z165" s="827">
        <v>3382</v>
      </c>
      <c r="AA165" s="827">
        <v>3435</v>
      </c>
      <c r="AB165" s="827">
        <v>3500</v>
      </c>
      <c r="AC165" s="828">
        <v>3542</v>
      </c>
      <c r="AD165" s="828">
        <v>3598</v>
      </c>
      <c r="AE165" s="828">
        <v>3629</v>
      </c>
      <c r="AF165" s="828">
        <v>3676</v>
      </c>
      <c r="AG165" s="828">
        <v>3713</v>
      </c>
      <c r="AH165" s="828">
        <v>3747</v>
      </c>
      <c r="AI165" s="828">
        <v>3787</v>
      </c>
      <c r="AJ165" s="828">
        <v>3620</v>
      </c>
      <c r="AK165" s="828">
        <v>3645</v>
      </c>
      <c r="AL165" s="828">
        <v>3665</v>
      </c>
      <c r="AM165" s="828">
        <v>3662</v>
      </c>
      <c r="AN165" s="828">
        <v>3665</v>
      </c>
      <c r="AO165" s="828">
        <v>3660</v>
      </c>
      <c r="AP165" s="828">
        <v>3671</v>
      </c>
    </row>
    <row r="166" hidden="1" ht="15.95" customHeight="1">
      <c r="B166" s="829" t="s">
        <v>10</v>
      </c>
      <c r="C166" s="823">
        <v>510</v>
      </c>
      <c r="D166" s="823">
        <v>608</v>
      </c>
      <c r="E166" s="823">
        <v>645</v>
      </c>
      <c r="F166" s="823">
        <v>747</v>
      </c>
      <c r="G166" s="823">
        <v>776</v>
      </c>
      <c r="H166" s="823">
        <v>901</v>
      </c>
      <c r="I166" s="823">
        <v>932</v>
      </c>
      <c r="J166" s="823">
        <v>945</v>
      </c>
      <c r="K166" s="823">
        <v>946</v>
      </c>
      <c r="L166" s="823">
        <v>966</v>
      </c>
      <c r="M166" s="823">
        <v>987</v>
      </c>
      <c r="N166" s="823">
        <v>970</v>
      </c>
      <c r="O166" s="823">
        <v>1022</v>
      </c>
      <c r="P166" s="823">
        <v>1061</v>
      </c>
      <c r="Q166" s="823">
        <v>1083</v>
      </c>
      <c r="R166" s="823">
        <v>1124</v>
      </c>
      <c r="S166" s="823">
        <v>1140</v>
      </c>
      <c r="T166" s="823">
        <v>1160</v>
      </c>
      <c r="U166" s="823">
        <v>1195</v>
      </c>
      <c r="V166" s="823">
        <v>1214</v>
      </c>
      <c r="W166" s="823">
        <v>1279</v>
      </c>
      <c r="X166" s="823">
        <v>1301</v>
      </c>
      <c r="Y166" s="823">
        <v>1321</v>
      </c>
      <c r="Z166" s="823">
        <v>1334</v>
      </c>
      <c r="AA166" s="823">
        <v>1364</v>
      </c>
      <c r="AB166" s="823">
        <v>1378</v>
      </c>
      <c r="AC166" s="825">
        <v>1572</v>
      </c>
      <c r="AD166" s="825">
        <v>1762</v>
      </c>
      <c r="AE166" s="825">
        <v>2214</v>
      </c>
      <c r="AF166" s="825">
        <v>2682</v>
      </c>
      <c r="AG166" s="825">
        <v>54</v>
      </c>
      <c r="AH166" s="825">
        <v>50</v>
      </c>
      <c r="AI166" s="825">
        <v>50</v>
      </c>
      <c r="AJ166" s="825">
        <v>40</v>
      </c>
      <c r="AK166" s="825">
        <v>44</v>
      </c>
      <c r="AL166" s="825">
        <v>39</v>
      </c>
      <c r="AM166" s="825">
        <v>43</v>
      </c>
      <c r="AN166" s="825">
        <v>45</v>
      </c>
      <c r="AO166" s="825">
        <v>46</v>
      </c>
      <c r="AP166" s="825">
        <v>31</v>
      </c>
    </row>
    <row r="167" hidden="1" ht="15.95" customHeight="1">
      <c r="B167" s="826" t="s">
        <v>11</v>
      </c>
      <c r="C167" s="827">
        <v>1237</v>
      </c>
      <c r="D167" s="827">
        <v>1030</v>
      </c>
      <c r="E167" s="827">
        <v>1026</v>
      </c>
      <c r="F167" s="827">
        <v>1038</v>
      </c>
      <c r="G167" s="827">
        <v>1007</v>
      </c>
      <c r="H167" s="827">
        <v>911</v>
      </c>
      <c r="I167" s="827">
        <v>941</v>
      </c>
      <c r="J167" s="827">
        <v>852</v>
      </c>
      <c r="K167" s="827">
        <v>914</v>
      </c>
      <c r="L167" s="827">
        <v>297</v>
      </c>
      <c r="M167" s="827">
        <v>130</v>
      </c>
      <c r="N167" s="827">
        <v>132</v>
      </c>
      <c r="O167" s="827">
        <v>108</v>
      </c>
      <c r="P167" s="827">
        <v>106</v>
      </c>
      <c r="Q167" s="827">
        <v>104</v>
      </c>
      <c r="R167" s="827">
        <v>109</v>
      </c>
      <c r="S167" s="827">
        <v>113</v>
      </c>
      <c r="T167" s="827">
        <v>115</v>
      </c>
      <c r="U167" s="827">
        <v>105</v>
      </c>
      <c r="V167" s="827">
        <v>103</v>
      </c>
      <c r="W167" s="827">
        <v>101</v>
      </c>
      <c r="X167" s="827">
        <v>100</v>
      </c>
      <c r="Y167" s="827">
        <v>90</v>
      </c>
      <c r="Z167" s="827">
        <v>89</v>
      </c>
      <c r="AA167" s="827">
        <v>81</v>
      </c>
      <c r="AB167" s="827">
        <v>121</v>
      </c>
      <c r="AC167" s="828">
        <v>159</v>
      </c>
      <c r="AD167" s="828">
        <v>160</v>
      </c>
      <c r="AE167" s="828">
        <v>116</v>
      </c>
      <c r="AF167" s="828">
        <v>114</v>
      </c>
      <c r="AG167" s="828">
        <v>89</v>
      </c>
      <c r="AH167" s="828">
        <v>92</v>
      </c>
      <c r="AI167" s="828">
        <v>96</v>
      </c>
      <c r="AJ167" s="828">
        <v>97</v>
      </c>
      <c r="AK167" s="828">
        <v>103</v>
      </c>
      <c r="AL167" s="828">
        <v>106</v>
      </c>
      <c r="AM167" s="828">
        <v>122</v>
      </c>
      <c r="AN167" s="828">
        <v>115</v>
      </c>
      <c r="AO167" s="828">
        <v>139</v>
      </c>
      <c r="AP167" s="828">
        <v>135</v>
      </c>
    </row>
    <row r="168" hidden="1" ht="15.95" customHeight="1">
      <c r="B168" s="829" t="s">
        <v>12</v>
      </c>
      <c r="C168" s="823">
        <v>280</v>
      </c>
      <c r="D168" s="823">
        <v>253</v>
      </c>
      <c r="E168" s="823">
        <v>339</v>
      </c>
      <c r="F168" s="823">
        <v>319</v>
      </c>
      <c r="G168" s="823">
        <v>305</v>
      </c>
      <c r="H168" s="823">
        <v>283</v>
      </c>
      <c r="I168" s="823">
        <v>267</v>
      </c>
      <c r="J168" s="823">
        <v>276</v>
      </c>
      <c r="K168" s="823">
        <v>271</v>
      </c>
      <c r="L168" s="823">
        <v>251</v>
      </c>
      <c r="M168" s="823">
        <v>214</v>
      </c>
      <c r="N168" s="823">
        <v>197</v>
      </c>
      <c r="O168" s="823">
        <v>177</v>
      </c>
      <c r="P168" s="823">
        <v>188</v>
      </c>
      <c r="Q168" s="823">
        <v>188</v>
      </c>
      <c r="R168" s="823">
        <v>181</v>
      </c>
      <c r="S168" s="823">
        <v>183</v>
      </c>
      <c r="T168" s="823">
        <v>184</v>
      </c>
      <c r="U168" s="823">
        <v>182</v>
      </c>
      <c r="V168" s="823">
        <v>178</v>
      </c>
      <c r="W168" s="823">
        <v>170</v>
      </c>
      <c r="X168" s="823">
        <v>164</v>
      </c>
      <c r="Y168" s="823">
        <v>151</v>
      </c>
      <c r="Z168" s="823">
        <v>141</v>
      </c>
      <c r="AA168" s="823">
        <v>133</v>
      </c>
      <c r="AB168" s="823">
        <v>137</v>
      </c>
      <c r="AC168" s="825">
        <v>129</v>
      </c>
      <c r="AD168" s="825">
        <v>128</v>
      </c>
      <c r="AE168" s="825">
        <v>126</v>
      </c>
      <c r="AF168" s="825">
        <v>120</v>
      </c>
      <c r="AG168" s="825">
        <v>114</v>
      </c>
      <c r="AH168" s="825">
        <v>102</v>
      </c>
      <c r="AI168" s="825">
        <v>101</v>
      </c>
      <c r="AJ168" s="825">
        <v>102</v>
      </c>
      <c r="AK168" s="825">
        <v>105</v>
      </c>
      <c r="AL168" s="825">
        <v>108</v>
      </c>
      <c r="AM168" s="825">
        <v>103</v>
      </c>
      <c r="AN168" s="825">
        <v>93</v>
      </c>
      <c r="AO168" s="825">
        <v>95</v>
      </c>
      <c r="AP168" s="825">
        <v>97</v>
      </c>
    </row>
    <row r="169" hidden="1" ht="15.95" customHeight="1">
      <c r="B169" s="826" t="s">
        <v>13</v>
      </c>
      <c r="C169" s="827">
        <v>235</v>
      </c>
      <c r="D169" s="827">
        <v>174</v>
      </c>
      <c r="E169" s="827">
        <v>246</v>
      </c>
      <c r="F169" s="827">
        <v>303</v>
      </c>
      <c r="G169" s="827">
        <v>406</v>
      </c>
      <c r="H169" s="827">
        <v>495</v>
      </c>
      <c r="I169" s="827">
        <v>567</v>
      </c>
      <c r="J169" s="827">
        <v>605</v>
      </c>
      <c r="K169" s="827">
        <v>649</v>
      </c>
      <c r="L169" s="827">
        <v>601</v>
      </c>
      <c r="M169" s="827">
        <v>724</v>
      </c>
      <c r="N169" s="827">
        <v>745</v>
      </c>
      <c r="O169" s="827">
        <v>526</v>
      </c>
      <c r="P169" s="827">
        <v>507</v>
      </c>
      <c r="Q169" s="827">
        <v>576</v>
      </c>
      <c r="R169" s="827">
        <v>614</v>
      </c>
      <c r="S169" s="827">
        <v>740</v>
      </c>
      <c r="T169" s="827">
        <v>767</v>
      </c>
      <c r="U169" s="827">
        <v>833</v>
      </c>
      <c r="V169" s="827">
        <v>874</v>
      </c>
      <c r="W169" s="827">
        <v>897</v>
      </c>
      <c r="X169" s="827">
        <v>920</v>
      </c>
      <c r="Y169" s="827">
        <v>883</v>
      </c>
      <c r="Z169" s="827">
        <v>894</v>
      </c>
      <c r="AA169" s="827">
        <v>913</v>
      </c>
      <c r="AB169" s="827">
        <v>919</v>
      </c>
      <c r="AC169" s="828">
        <v>921</v>
      </c>
      <c r="AD169" s="828">
        <v>939</v>
      </c>
      <c r="AE169" s="828">
        <v>947</v>
      </c>
      <c r="AF169" s="828">
        <v>963</v>
      </c>
      <c r="AG169" s="828">
        <v>986</v>
      </c>
      <c r="AH169" s="828">
        <v>996</v>
      </c>
      <c r="AI169" s="828">
        <v>1001</v>
      </c>
      <c r="AJ169" s="828">
        <v>1009</v>
      </c>
      <c r="AK169" s="828">
        <v>1032</v>
      </c>
      <c r="AL169" s="828">
        <v>1043</v>
      </c>
      <c r="AM169" s="828">
        <v>1053</v>
      </c>
      <c r="AN169" s="828">
        <v>1047</v>
      </c>
      <c r="AO169" s="828">
        <v>1036</v>
      </c>
      <c r="AP169" s="828">
        <v>1053</v>
      </c>
    </row>
    <row r="170" hidden="1" ht="15.95" customHeight="1">
      <c r="B170" s="829" t="s">
        <v>109</v>
      </c>
      <c r="C170" s="823">
        <v>643</v>
      </c>
      <c r="D170" s="823">
        <v>600</v>
      </c>
      <c r="E170" s="823">
        <v>581</v>
      </c>
      <c r="F170" s="823">
        <v>599</v>
      </c>
      <c r="G170" s="823">
        <v>612</v>
      </c>
      <c r="H170" s="823">
        <v>622</v>
      </c>
      <c r="I170" s="823">
        <v>637</v>
      </c>
      <c r="J170" s="823">
        <v>642</v>
      </c>
      <c r="K170" s="823">
        <v>649</v>
      </c>
      <c r="L170" s="823">
        <v>604</v>
      </c>
      <c r="M170" s="823">
        <v>568</v>
      </c>
      <c r="N170" s="823">
        <v>574</v>
      </c>
      <c r="O170" s="823">
        <v>567</v>
      </c>
      <c r="P170" s="823">
        <v>589</v>
      </c>
      <c r="Q170" s="823">
        <v>608</v>
      </c>
      <c r="R170" s="823">
        <v>598</v>
      </c>
      <c r="S170" s="823">
        <v>604</v>
      </c>
      <c r="T170" s="823">
        <v>616</v>
      </c>
      <c r="U170" s="823">
        <v>620</v>
      </c>
      <c r="V170" s="823">
        <v>627</v>
      </c>
      <c r="W170" s="823">
        <v>589</v>
      </c>
      <c r="X170" s="823">
        <v>603</v>
      </c>
      <c r="Y170" s="823">
        <v>610</v>
      </c>
      <c r="Z170" s="823">
        <v>629</v>
      </c>
      <c r="AA170" s="823">
        <v>632</v>
      </c>
      <c r="AB170" s="823">
        <v>663</v>
      </c>
      <c r="AC170" s="825">
        <v>671</v>
      </c>
      <c r="AD170" s="825">
        <v>676</v>
      </c>
      <c r="AE170" s="825">
        <v>679</v>
      </c>
      <c r="AF170" s="825">
        <v>691</v>
      </c>
      <c r="AG170" s="825">
        <v>690</v>
      </c>
      <c r="AH170" s="825">
        <v>703</v>
      </c>
      <c r="AI170" s="825">
        <v>727</v>
      </c>
      <c r="AJ170" s="825">
        <v>733</v>
      </c>
      <c r="AK170" s="825">
        <v>738</v>
      </c>
      <c r="AL170" s="825">
        <v>730</v>
      </c>
      <c r="AM170" s="825">
        <v>733</v>
      </c>
      <c r="AN170" s="825">
        <v>740</v>
      </c>
      <c r="AO170" s="825">
        <v>742</v>
      </c>
      <c r="AP170" s="825">
        <v>737</v>
      </c>
    </row>
    <row r="171" hidden="1" ht="15.95" customHeight="1">
      <c r="B171" s="826" t="s">
        <v>110</v>
      </c>
      <c r="C171" s="827">
        <v>6259</v>
      </c>
      <c r="D171" s="827">
        <v>6492</v>
      </c>
      <c r="E171" s="827">
        <v>6871</v>
      </c>
      <c r="F171" s="827">
        <v>7096</v>
      </c>
      <c r="G171" s="827">
        <v>7263</v>
      </c>
      <c r="H171" s="827">
        <v>7237</v>
      </c>
      <c r="I171" s="827">
        <v>6936</v>
      </c>
      <c r="J171" s="827">
        <v>7078</v>
      </c>
      <c r="K171" s="827">
        <v>7282</v>
      </c>
      <c r="L171" s="827">
        <v>7119</v>
      </c>
      <c r="M171" s="827">
        <v>6650</v>
      </c>
      <c r="N171" s="827">
        <v>5614</v>
      </c>
      <c r="O171" s="827">
        <v>3644</v>
      </c>
      <c r="P171" s="827">
        <v>3420</v>
      </c>
      <c r="Q171" s="827">
        <v>3445</v>
      </c>
      <c r="R171" s="827">
        <v>1971</v>
      </c>
      <c r="S171" s="827">
        <v>2007</v>
      </c>
      <c r="T171" s="827">
        <v>1980</v>
      </c>
      <c r="U171" s="827">
        <v>1953</v>
      </c>
      <c r="V171" s="827">
        <v>1944</v>
      </c>
      <c r="W171" s="827">
        <v>1582</v>
      </c>
      <c r="X171" s="827">
        <v>1624</v>
      </c>
      <c r="Y171" s="827">
        <v>1673</v>
      </c>
      <c r="Z171" s="827">
        <v>1687</v>
      </c>
      <c r="AA171" s="827">
        <v>1676</v>
      </c>
      <c r="AB171" s="827">
        <v>1705</v>
      </c>
      <c r="AC171" s="828">
        <v>1711</v>
      </c>
      <c r="AD171" s="828">
        <v>1739</v>
      </c>
      <c r="AE171" s="828">
        <v>1754</v>
      </c>
      <c r="AF171" s="828">
        <v>1757</v>
      </c>
      <c r="AG171" s="828">
        <v>1922</v>
      </c>
      <c r="AH171" s="828">
        <v>2054</v>
      </c>
      <c r="AI171" s="828">
        <v>2115</v>
      </c>
      <c r="AJ171" s="828">
        <v>2131</v>
      </c>
      <c r="AK171" s="828">
        <v>2192</v>
      </c>
      <c r="AL171" s="828">
        <v>2171</v>
      </c>
      <c r="AM171" s="828">
        <v>2116</v>
      </c>
      <c r="AN171" s="828">
        <v>2117</v>
      </c>
      <c r="AO171" s="828">
        <v>2088</v>
      </c>
      <c r="AP171" s="828">
        <v>2103</v>
      </c>
    </row>
    <row r="172" hidden="1" ht="15.95" customHeight="1">
      <c r="B172" s="829" t="s">
        <v>16</v>
      </c>
      <c r="C172" s="823">
        <v>4638</v>
      </c>
      <c r="D172" s="823">
        <v>4647</v>
      </c>
      <c r="E172" s="823">
        <v>4621</v>
      </c>
      <c r="F172" s="823">
        <v>4626</v>
      </c>
      <c r="G172" s="823">
        <v>4416</v>
      </c>
      <c r="H172" s="823">
        <v>4397</v>
      </c>
      <c r="I172" s="823">
        <v>4360</v>
      </c>
      <c r="J172" s="823">
        <v>4344</v>
      </c>
      <c r="K172" s="823">
        <v>4350</v>
      </c>
      <c r="L172" s="823">
        <v>4341</v>
      </c>
      <c r="M172" s="823">
        <v>4341</v>
      </c>
      <c r="N172" s="823">
        <v>4273</v>
      </c>
      <c r="O172" s="823">
        <v>4170</v>
      </c>
      <c r="P172" s="823">
        <v>4179</v>
      </c>
      <c r="Q172" s="823">
        <v>4219</v>
      </c>
      <c r="R172" s="823">
        <v>4306</v>
      </c>
      <c r="S172" s="823">
        <v>4316</v>
      </c>
      <c r="T172" s="823">
        <v>4322</v>
      </c>
      <c r="U172" s="823">
        <v>4345</v>
      </c>
      <c r="V172" s="823">
        <v>4371</v>
      </c>
      <c r="W172" s="823">
        <v>4368</v>
      </c>
      <c r="X172" s="823">
        <v>4388</v>
      </c>
      <c r="Y172" s="823">
        <v>4376</v>
      </c>
      <c r="Z172" s="823">
        <v>4398</v>
      </c>
      <c r="AA172" s="823">
        <v>4403</v>
      </c>
      <c r="AB172" s="823">
        <v>4394</v>
      </c>
      <c r="AC172" s="825">
        <v>4399</v>
      </c>
      <c r="AD172" s="825">
        <v>4396</v>
      </c>
      <c r="AE172" s="825">
        <v>4404</v>
      </c>
      <c r="AF172" s="825">
        <v>4434</v>
      </c>
      <c r="AG172" s="825">
        <v>4411</v>
      </c>
      <c r="AH172" s="825">
        <v>4394</v>
      </c>
      <c r="AI172" s="825">
        <v>4356</v>
      </c>
      <c r="AJ172" s="825">
        <v>4349</v>
      </c>
      <c r="AK172" s="825">
        <v>4337</v>
      </c>
      <c r="AL172" s="825">
        <v>4308</v>
      </c>
      <c r="AM172" s="825">
        <v>4265</v>
      </c>
      <c r="AN172" s="825">
        <v>4247</v>
      </c>
      <c r="AO172" s="825">
        <v>4219</v>
      </c>
      <c r="AP172" s="825">
        <v>4216</v>
      </c>
    </row>
    <row r="173" hidden="1" ht="15.95" customHeight="1">
      <c r="B173" s="826" t="s">
        <v>17</v>
      </c>
      <c r="C173" s="827">
        <v>3941</v>
      </c>
      <c r="D173" s="827">
        <v>3973</v>
      </c>
      <c r="E173" s="827">
        <v>4007</v>
      </c>
      <c r="F173" s="827">
        <v>4184</v>
      </c>
      <c r="G173" s="827">
        <v>4192</v>
      </c>
      <c r="H173" s="827">
        <v>4217</v>
      </c>
      <c r="I173" s="827">
        <v>4241</v>
      </c>
      <c r="J173" s="827">
        <v>4435</v>
      </c>
      <c r="K173" s="827">
        <v>4474</v>
      </c>
      <c r="L173" s="827">
        <v>4514</v>
      </c>
      <c r="M173" s="827">
        <v>4493</v>
      </c>
      <c r="N173" s="827">
        <v>4521</v>
      </c>
      <c r="O173" s="827">
        <v>4302</v>
      </c>
      <c r="P173" s="827">
        <v>4146</v>
      </c>
      <c r="Q173" s="827">
        <v>3820</v>
      </c>
      <c r="R173" s="827">
        <v>3908</v>
      </c>
      <c r="S173" s="827">
        <v>3922</v>
      </c>
      <c r="T173" s="827">
        <v>4005</v>
      </c>
      <c r="U173" s="827">
        <v>4045</v>
      </c>
      <c r="V173" s="827">
        <v>4175</v>
      </c>
      <c r="W173" s="827">
        <v>4172</v>
      </c>
      <c r="X173" s="827">
        <v>4254</v>
      </c>
      <c r="Y173" s="827">
        <v>4277</v>
      </c>
      <c r="Z173" s="827">
        <v>4405</v>
      </c>
      <c r="AA173" s="827">
        <v>4317</v>
      </c>
      <c r="AB173" s="827">
        <v>4437</v>
      </c>
      <c r="AC173" s="828">
        <v>4452</v>
      </c>
      <c r="AD173" s="828">
        <v>4597</v>
      </c>
      <c r="AE173" s="828">
        <v>4627</v>
      </c>
      <c r="AF173" s="828">
        <v>4653</v>
      </c>
      <c r="AG173" s="828">
        <v>4574</v>
      </c>
      <c r="AH173" s="828">
        <v>4518</v>
      </c>
      <c r="AI173" s="828">
        <v>4378</v>
      </c>
      <c r="AJ173" s="828">
        <v>4432</v>
      </c>
      <c r="AK173" s="828">
        <v>4423</v>
      </c>
      <c r="AL173" s="828">
        <v>4472</v>
      </c>
      <c r="AM173" s="828">
        <v>4475</v>
      </c>
      <c r="AN173" s="828">
        <v>4495</v>
      </c>
      <c r="AO173" s="828">
        <v>4445</v>
      </c>
      <c r="AP173" s="828">
        <v>4467</v>
      </c>
    </row>
    <row r="174" hidden="1" ht="15.95" customHeight="1">
      <c r="B174" s="829" t="s">
        <v>18</v>
      </c>
      <c r="C174" s="823">
        <v>15563</v>
      </c>
      <c r="D174" s="823">
        <v>16498</v>
      </c>
      <c r="E174" s="823">
        <v>18485</v>
      </c>
      <c r="F174" s="823">
        <v>19997</v>
      </c>
      <c r="G174" s="823">
        <v>20974</v>
      </c>
      <c r="H174" s="823">
        <v>21696</v>
      </c>
      <c r="I174" s="823">
        <v>21950</v>
      </c>
      <c r="J174" s="823">
        <v>23202</v>
      </c>
      <c r="K174" s="823">
        <v>24338</v>
      </c>
      <c r="L174" s="823">
        <v>24783</v>
      </c>
      <c r="M174" s="823">
        <v>25880</v>
      </c>
      <c r="N174" s="823">
        <v>26245</v>
      </c>
      <c r="O174" s="823">
        <v>26718</v>
      </c>
      <c r="P174" s="823">
        <v>25207</v>
      </c>
      <c r="Q174" s="823">
        <v>24460</v>
      </c>
      <c r="R174" s="823">
        <v>24331</v>
      </c>
      <c r="S174" s="823">
        <v>24654</v>
      </c>
      <c r="T174" s="823">
        <v>24991</v>
      </c>
      <c r="U174" s="823">
        <v>25234</v>
      </c>
      <c r="V174" s="823">
        <v>25476</v>
      </c>
      <c r="W174" s="823">
        <v>25782</v>
      </c>
      <c r="X174" s="823">
        <v>25977</v>
      </c>
      <c r="Y174" s="823">
        <v>26170</v>
      </c>
      <c r="Z174" s="823">
        <v>26392</v>
      </c>
      <c r="AA174" s="823">
        <v>26614</v>
      </c>
      <c r="AB174" s="823">
        <v>26768</v>
      </c>
      <c r="AC174" s="825">
        <v>26913</v>
      </c>
      <c r="AD174" s="825">
        <v>27174</v>
      </c>
      <c r="AE174" s="825">
        <v>28191</v>
      </c>
      <c r="AF174" s="825">
        <v>28507</v>
      </c>
      <c r="AG174" s="825">
        <v>28392</v>
      </c>
      <c r="AH174" s="825">
        <v>27931</v>
      </c>
      <c r="AI174" s="825">
        <v>25003</v>
      </c>
      <c r="AJ174" s="825">
        <v>19484</v>
      </c>
      <c r="AK174" s="825">
        <v>14714</v>
      </c>
      <c r="AL174" s="825">
        <v>13455</v>
      </c>
      <c r="AM174" s="825">
        <v>20827</v>
      </c>
      <c r="AN174" s="825">
        <v>28132</v>
      </c>
      <c r="AO174" s="825">
        <v>28220</v>
      </c>
      <c r="AP174" s="825">
        <v>28724</v>
      </c>
    </row>
    <row r="175" hidden="1" ht="15.95" customHeight="1">
      <c r="B175" s="826" t="s">
        <v>19</v>
      </c>
      <c r="C175" s="827">
        <v>29</v>
      </c>
      <c r="D175" s="827">
        <v>23</v>
      </c>
      <c r="E175" s="827">
        <v>24</v>
      </c>
      <c r="F175" s="827">
        <v>18</v>
      </c>
      <c r="G175" s="827">
        <v>18</v>
      </c>
      <c r="H175" s="827">
        <v>20</v>
      </c>
      <c r="I175" s="827">
        <v>13</v>
      </c>
      <c r="J175" s="827">
        <v>16</v>
      </c>
      <c r="K175" s="827">
        <v>17</v>
      </c>
      <c r="L175" s="827">
        <v>16</v>
      </c>
      <c r="M175" s="827">
        <v>15</v>
      </c>
      <c r="N175" s="827">
        <v>16</v>
      </c>
      <c r="O175" s="827">
        <v>16</v>
      </c>
      <c r="P175" s="827">
        <v>16</v>
      </c>
      <c r="Q175" s="827">
        <v>12</v>
      </c>
      <c r="R175" s="827">
        <v>11</v>
      </c>
      <c r="S175" s="827">
        <v>13</v>
      </c>
      <c r="T175" s="827">
        <v>13</v>
      </c>
      <c r="U175" s="827">
        <v>14</v>
      </c>
      <c r="V175" s="827">
        <v>13</v>
      </c>
      <c r="W175" s="827">
        <v>12</v>
      </c>
      <c r="X175" s="827">
        <v>13</v>
      </c>
      <c r="Y175" s="827">
        <v>12</v>
      </c>
      <c r="Z175" s="827">
        <v>12</v>
      </c>
      <c r="AA175" s="827">
        <v>9</v>
      </c>
      <c r="AB175" s="827">
        <v>10</v>
      </c>
      <c r="AC175" s="828">
        <v>10</v>
      </c>
      <c r="AD175" s="828">
        <v>10</v>
      </c>
      <c r="AE175" s="828">
        <v>10</v>
      </c>
      <c r="AF175" s="828">
        <v>11</v>
      </c>
      <c r="AG175" s="828">
        <v>12</v>
      </c>
      <c r="AH175" s="828">
        <v>12</v>
      </c>
      <c r="AI175" s="828">
        <v>10</v>
      </c>
      <c r="AJ175" s="828">
        <v>8</v>
      </c>
      <c r="AK175" s="828">
        <v>9</v>
      </c>
      <c r="AL175" s="828">
        <v>15</v>
      </c>
      <c r="AM175" s="828">
        <v>17</v>
      </c>
      <c r="AN175" s="828">
        <v>17</v>
      </c>
      <c r="AO175" s="828">
        <v>19</v>
      </c>
      <c r="AP175" s="828">
        <v>24</v>
      </c>
    </row>
    <row r="176" hidden="1" ht="15.95" customHeight="1">
      <c r="B176" s="829" t="s">
        <v>20</v>
      </c>
      <c r="C176" s="823">
        <v>898</v>
      </c>
      <c r="D176" s="823">
        <v>912</v>
      </c>
      <c r="E176" s="823">
        <v>931</v>
      </c>
      <c r="F176" s="823">
        <v>939</v>
      </c>
      <c r="G176" s="823">
        <v>950</v>
      </c>
      <c r="H176" s="823">
        <v>905</v>
      </c>
      <c r="I176" s="823">
        <v>911</v>
      </c>
      <c r="J176" s="823">
        <v>917</v>
      </c>
      <c r="K176" s="823">
        <v>928</v>
      </c>
      <c r="L176" s="823">
        <v>937</v>
      </c>
      <c r="M176" s="823">
        <v>947</v>
      </c>
      <c r="N176" s="823">
        <v>900</v>
      </c>
      <c r="O176" s="823">
        <v>910</v>
      </c>
      <c r="P176" s="823">
        <v>929</v>
      </c>
      <c r="Q176" s="823">
        <v>939</v>
      </c>
      <c r="R176" s="823">
        <v>956</v>
      </c>
      <c r="S176" s="823">
        <v>969</v>
      </c>
      <c r="T176" s="823">
        <v>980</v>
      </c>
      <c r="U176" s="823">
        <v>991</v>
      </c>
      <c r="V176" s="823">
        <v>1010</v>
      </c>
      <c r="W176" s="823">
        <v>1027</v>
      </c>
      <c r="X176" s="823">
        <v>1023</v>
      </c>
      <c r="Y176" s="823">
        <v>1049</v>
      </c>
      <c r="Z176" s="823">
        <v>1073</v>
      </c>
      <c r="AA176" s="823">
        <v>1085</v>
      </c>
      <c r="AB176" s="823">
        <v>1074</v>
      </c>
      <c r="AC176" s="825">
        <v>1085</v>
      </c>
      <c r="AD176" s="825">
        <v>1094</v>
      </c>
      <c r="AE176" s="825">
        <v>1103</v>
      </c>
      <c r="AF176" s="825">
        <v>1107</v>
      </c>
      <c r="AG176" s="825">
        <v>1077</v>
      </c>
      <c r="AH176" s="825">
        <v>1079</v>
      </c>
      <c r="AI176" s="825">
        <v>1072</v>
      </c>
      <c r="AJ176" s="825">
        <v>1072</v>
      </c>
      <c r="AK176" s="825">
        <v>1075</v>
      </c>
      <c r="AL176" s="825">
        <v>1035</v>
      </c>
      <c r="AM176" s="825">
        <v>1039</v>
      </c>
      <c r="AN176" s="825">
        <v>1044</v>
      </c>
      <c r="AO176" s="825">
        <v>1053</v>
      </c>
      <c r="AP176" s="825">
        <v>1055</v>
      </c>
    </row>
    <row r="177" hidden="1" ht="15.95" customHeight="1">
      <c r="B177" s="826" t="s">
        <v>21</v>
      </c>
      <c r="C177" s="827">
        <v>644</v>
      </c>
      <c r="D177" s="827">
        <v>668</v>
      </c>
      <c r="E177" s="827">
        <v>744</v>
      </c>
      <c r="F177" s="827">
        <v>769</v>
      </c>
      <c r="G177" s="827">
        <v>755</v>
      </c>
      <c r="H177" s="827">
        <v>794</v>
      </c>
      <c r="I177" s="827">
        <v>578</v>
      </c>
      <c r="J177" s="827">
        <v>633</v>
      </c>
      <c r="K177" s="827">
        <v>612</v>
      </c>
      <c r="L177" s="827">
        <v>656</v>
      </c>
      <c r="M177" s="827">
        <v>655</v>
      </c>
      <c r="N177" s="827">
        <v>684</v>
      </c>
      <c r="O177" s="827">
        <v>688</v>
      </c>
      <c r="P177" s="827">
        <v>657</v>
      </c>
      <c r="Q177" s="827">
        <v>640</v>
      </c>
      <c r="R177" s="827">
        <v>627</v>
      </c>
      <c r="S177" s="827">
        <v>621</v>
      </c>
      <c r="T177" s="827">
        <v>654</v>
      </c>
      <c r="U177" s="827">
        <v>630</v>
      </c>
      <c r="V177" s="827">
        <v>650</v>
      </c>
      <c r="W177" s="827">
        <v>641</v>
      </c>
      <c r="X177" s="827">
        <v>661</v>
      </c>
      <c r="Y177" s="827">
        <v>650</v>
      </c>
      <c r="Z177" s="827">
        <v>636</v>
      </c>
      <c r="AA177" s="827">
        <v>583</v>
      </c>
      <c r="AB177" s="827">
        <v>594</v>
      </c>
      <c r="AC177" s="828">
        <v>583</v>
      </c>
      <c r="AD177" s="828">
        <v>344</v>
      </c>
      <c r="AE177" s="828">
        <v>347</v>
      </c>
      <c r="AF177" s="828">
        <v>350</v>
      </c>
      <c r="AG177" s="828">
        <v>356</v>
      </c>
      <c r="AH177" s="828">
        <v>357</v>
      </c>
      <c r="AI177" s="828">
        <v>349</v>
      </c>
      <c r="AJ177" s="828">
        <v>285</v>
      </c>
      <c r="AK177" s="828">
        <v>275</v>
      </c>
      <c r="AL177" s="828">
        <v>279</v>
      </c>
      <c r="AM177" s="828">
        <v>311</v>
      </c>
      <c r="AN177" s="828">
        <v>320</v>
      </c>
      <c r="AO177" s="828">
        <v>325</v>
      </c>
      <c r="AP177" s="828">
        <v>334</v>
      </c>
    </row>
    <row r="178" hidden="1" ht="15.95" customHeight="1">
      <c r="B178" s="829" t="s">
        <v>22</v>
      </c>
      <c r="C178" s="823">
        <v>72</v>
      </c>
      <c r="D178" s="823">
        <v>88</v>
      </c>
      <c r="E178" s="823">
        <v>111</v>
      </c>
      <c r="F178" s="823">
        <v>143</v>
      </c>
      <c r="G178" s="823">
        <v>150</v>
      </c>
      <c r="H178" s="823">
        <v>159</v>
      </c>
      <c r="I178" s="823">
        <v>167</v>
      </c>
      <c r="J178" s="823">
        <v>189</v>
      </c>
      <c r="K178" s="823">
        <v>212</v>
      </c>
      <c r="L178" s="823">
        <v>238</v>
      </c>
      <c r="M178" s="823">
        <v>109</v>
      </c>
      <c r="N178" s="823">
        <v>156</v>
      </c>
      <c r="O178" s="823">
        <v>161</v>
      </c>
      <c r="P178" s="823">
        <v>192</v>
      </c>
      <c r="Q178" s="823">
        <v>116</v>
      </c>
      <c r="R178" s="823">
        <v>128</v>
      </c>
      <c r="S178" s="823">
        <v>122</v>
      </c>
      <c r="T178" s="823">
        <v>110</v>
      </c>
      <c r="U178" s="823">
        <v>110</v>
      </c>
      <c r="V178" s="823">
        <v>131</v>
      </c>
      <c r="W178" s="823">
        <v>134</v>
      </c>
      <c r="X178" s="823">
        <v>144</v>
      </c>
      <c r="Y178" s="823">
        <v>152</v>
      </c>
      <c r="Z178" s="823">
        <v>166</v>
      </c>
      <c r="AA178" s="823">
        <v>170</v>
      </c>
      <c r="AB178" s="823">
        <v>179</v>
      </c>
      <c r="AC178" s="825">
        <v>184</v>
      </c>
      <c r="AD178" s="825">
        <v>195</v>
      </c>
      <c r="AE178" s="825">
        <v>220</v>
      </c>
      <c r="AF178" s="825">
        <v>232</v>
      </c>
      <c r="AG178" s="825">
        <v>232</v>
      </c>
      <c r="AH178" s="825">
        <v>233</v>
      </c>
      <c r="AI178" s="825">
        <v>234</v>
      </c>
      <c r="AJ178" s="825">
        <v>241</v>
      </c>
      <c r="AK178" s="825">
        <v>255</v>
      </c>
      <c r="AL178" s="825">
        <v>259</v>
      </c>
      <c r="AM178" s="825">
        <v>265</v>
      </c>
      <c r="AN178" s="825">
        <v>268</v>
      </c>
      <c r="AO178" s="825">
        <v>262</v>
      </c>
      <c r="AP178" s="825">
        <v>271</v>
      </c>
    </row>
    <row r="179" hidden="1" ht="15.95" customHeight="1">
      <c r="B179" s="826" t="s">
        <v>23</v>
      </c>
      <c r="C179" s="827">
        <v>151</v>
      </c>
      <c r="D179" s="827">
        <v>157</v>
      </c>
      <c r="E179" s="827">
        <v>154</v>
      </c>
      <c r="F179" s="827">
        <v>158</v>
      </c>
      <c r="G179" s="827">
        <v>159</v>
      </c>
      <c r="H179" s="827">
        <v>164</v>
      </c>
      <c r="I179" s="827">
        <v>159</v>
      </c>
      <c r="J179" s="827">
        <v>161</v>
      </c>
      <c r="K179" s="827">
        <v>153</v>
      </c>
      <c r="L179" s="827">
        <v>141</v>
      </c>
      <c r="M179" s="827">
        <v>135</v>
      </c>
      <c r="N179" s="827">
        <v>134</v>
      </c>
      <c r="O179" s="827">
        <v>135</v>
      </c>
      <c r="P179" s="827">
        <v>144</v>
      </c>
      <c r="Q179" s="827">
        <v>143</v>
      </c>
      <c r="R179" s="827">
        <v>145</v>
      </c>
      <c r="S179" s="827">
        <v>149</v>
      </c>
      <c r="T179" s="827">
        <v>153</v>
      </c>
      <c r="U179" s="827">
        <v>153</v>
      </c>
      <c r="V179" s="827">
        <v>160</v>
      </c>
      <c r="W179" s="827">
        <v>158</v>
      </c>
      <c r="X179" s="827">
        <v>159</v>
      </c>
      <c r="Y179" s="827">
        <v>157</v>
      </c>
      <c r="Z179" s="827">
        <v>159</v>
      </c>
      <c r="AA179" s="827">
        <v>155</v>
      </c>
      <c r="AB179" s="827">
        <v>142</v>
      </c>
      <c r="AC179" s="828">
        <v>118</v>
      </c>
      <c r="AD179" s="828">
        <v>117</v>
      </c>
      <c r="AE179" s="828">
        <v>104</v>
      </c>
      <c r="AF179" s="828">
        <v>92</v>
      </c>
      <c r="AG179" s="828">
        <v>86</v>
      </c>
      <c r="AH179" s="828">
        <v>79</v>
      </c>
      <c r="AI179" s="828">
        <v>73</v>
      </c>
      <c r="AJ179" s="828">
        <v>74</v>
      </c>
      <c r="AK179" s="828">
        <v>73</v>
      </c>
      <c r="AL179" s="828">
        <v>75</v>
      </c>
      <c r="AM179" s="828">
        <v>72</v>
      </c>
      <c r="AN179" s="828">
        <v>72</v>
      </c>
      <c r="AO179" s="828">
        <v>72</v>
      </c>
      <c r="AP179" s="828">
        <v>58</v>
      </c>
    </row>
    <row r="180" hidden="1" ht="15.95" customHeight="1">
      <c r="B180" s="830" t="s">
        <v>24</v>
      </c>
      <c r="C180" s="823">
        <v>752</v>
      </c>
      <c r="D180" s="823">
        <v>746</v>
      </c>
      <c r="E180" s="823">
        <v>737</v>
      </c>
      <c r="F180" s="823">
        <v>733</v>
      </c>
      <c r="G180" s="823">
        <v>738</v>
      </c>
      <c r="H180" s="823">
        <v>741</v>
      </c>
      <c r="I180" s="823">
        <v>740</v>
      </c>
      <c r="J180" s="823">
        <v>732</v>
      </c>
      <c r="K180" s="823">
        <v>717</v>
      </c>
      <c r="L180" s="823">
        <v>713</v>
      </c>
      <c r="M180" s="823">
        <v>701</v>
      </c>
      <c r="N180" s="823">
        <v>705</v>
      </c>
      <c r="O180" s="823">
        <v>686</v>
      </c>
      <c r="P180" s="823">
        <v>691</v>
      </c>
      <c r="Q180" s="823">
        <v>673</v>
      </c>
      <c r="R180" s="823">
        <v>676</v>
      </c>
      <c r="S180" s="823">
        <v>682</v>
      </c>
      <c r="T180" s="823">
        <v>711</v>
      </c>
      <c r="U180" s="823">
        <v>711</v>
      </c>
      <c r="V180" s="823">
        <v>713</v>
      </c>
      <c r="W180" s="823">
        <v>714</v>
      </c>
      <c r="X180" s="823">
        <v>723</v>
      </c>
      <c r="Y180" s="823">
        <v>718</v>
      </c>
      <c r="Z180" s="823">
        <v>724</v>
      </c>
      <c r="AA180" s="823">
        <v>721</v>
      </c>
      <c r="AB180" s="823">
        <v>728</v>
      </c>
      <c r="AC180" s="825">
        <v>731</v>
      </c>
      <c r="AD180" s="825">
        <v>729</v>
      </c>
      <c r="AE180" s="825">
        <v>725</v>
      </c>
      <c r="AF180" s="825">
        <v>733</v>
      </c>
      <c r="AG180" s="825">
        <v>735</v>
      </c>
      <c r="AH180" s="825">
        <v>738</v>
      </c>
      <c r="AI180" s="825">
        <v>734</v>
      </c>
      <c r="AJ180" s="825">
        <v>731</v>
      </c>
      <c r="AK180" s="825">
        <v>725</v>
      </c>
      <c r="AL180" s="825">
        <v>733</v>
      </c>
      <c r="AM180" s="825">
        <v>727</v>
      </c>
      <c r="AN180" s="825">
        <v>726</v>
      </c>
      <c r="AO180" s="825">
        <v>723</v>
      </c>
      <c r="AP180" s="825">
        <v>720</v>
      </c>
    </row>
    <row r="181" hidden="1" ht="15.95" customHeight="1">
      <c r="B181" s="826" t="s">
        <v>25</v>
      </c>
      <c r="C181" s="827">
        <v>0</v>
      </c>
      <c r="D181" s="827">
        <v>0</v>
      </c>
      <c r="E181" s="827">
        <v>0</v>
      </c>
      <c r="F181" s="827">
        <v>0</v>
      </c>
      <c r="G181" s="827">
        <v>0</v>
      </c>
      <c r="H181" s="827">
        <v>0</v>
      </c>
      <c r="I181" s="827">
        <v>0</v>
      </c>
      <c r="J181" s="827">
        <v>0</v>
      </c>
      <c r="K181" s="827">
        <v>0</v>
      </c>
      <c r="L181" s="827">
        <v>0</v>
      </c>
      <c r="M181" s="827">
        <v>0</v>
      </c>
      <c r="N181" s="827">
        <v>0</v>
      </c>
      <c r="O181" s="827">
        <v>0</v>
      </c>
      <c r="P181" s="827">
        <v>0</v>
      </c>
      <c r="Q181" s="827">
        <v>0</v>
      </c>
      <c r="R181" s="827">
        <v>0</v>
      </c>
      <c r="S181" s="827">
        <v>0</v>
      </c>
      <c r="T181" s="827">
        <v>0</v>
      </c>
      <c r="U181" s="827">
        <v>0</v>
      </c>
      <c r="V181" s="827">
        <v>0</v>
      </c>
      <c r="W181" s="827">
        <v>0</v>
      </c>
      <c r="X181" s="827">
        <v>0</v>
      </c>
      <c r="Y181" s="827">
        <v>0</v>
      </c>
      <c r="Z181" s="827">
        <v>0</v>
      </c>
      <c r="AA181" s="827">
        <v>0</v>
      </c>
      <c r="AB181" s="827">
        <v>0</v>
      </c>
      <c r="AC181" s="828">
        <v>0</v>
      </c>
      <c r="AD181" s="828">
        <v>0</v>
      </c>
      <c r="AE181" s="828">
        <v>0</v>
      </c>
      <c r="AF181" s="828">
        <v>0</v>
      </c>
      <c r="AG181" s="828">
        <v>0</v>
      </c>
      <c r="AH181" s="828">
        <v>0</v>
      </c>
      <c r="AI181" s="828">
        <v>0</v>
      </c>
      <c r="AJ181" s="828">
        <v>0</v>
      </c>
      <c r="AK181" s="828">
        <v>0</v>
      </c>
      <c r="AL181" s="828">
        <v>0</v>
      </c>
      <c r="AM181" s="828">
        <v>0</v>
      </c>
      <c r="AN181" s="828">
        <v>0</v>
      </c>
      <c r="AO181" s="828">
        <v>0</v>
      </c>
      <c r="AP181" s="828">
        <v>0</v>
      </c>
    </row>
    <row r="182" hidden="1" ht="15.95" customHeight="1">
      <c r="B182" s="831" t="s">
        <v>26</v>
      </c>
      <c r="C182" s="823">
        <v>0</v>
      </c>
      <c r="D182" s="823">
        <v>0</v>
      </c>
      <c r="E182" s="823">
        <v>0</v>
      </c>
      <c r="F182" s="823">
        <v>0</v>
      </c>
      <c r="G182" s="823">
        <v>0</v>
      </c>
      <c r="H182" s="823">
        <v>0</v>
      </c>
      <c r="I182" s="823">
        <v>0</v>
      </c>
      <c r="J182" s="823">
        <v>0</v>
      </c>
      <c r="K182" s="823">
        <v>0</v>
      </c>
      <c r="L182" s="823">
        <v>0</v>
      </c>
      <c r="M182" s="823">
        <v>0</v>
      </c>
      <c r="N182" s="823">
        <v>0</v>
      </c>
      <c r="O182" s="823">
        <v>0</v>
      </c>
      <c r="P182" s="823">
        <v>0</v>
      </c>
      <c r="Q182" s="823">
        <v>0</v>
      </c>
      <c r="R182" s="823">
        <v>0</v>
      </c>
      <c r="S182" s="823">
        <v>0</v>
      </c>
      <c r="T182" s="823">
        <v>0</v>
      </c>
      <c r="U182" s="823">
        <v>0</v>
      </c>
      <c r="V182" s="823">
        <v>0</v>
      </c>
      <c r="W182" s="823">
        <v>0</v>
      </c>
      <c r="X182" s="823">
        <v>0</v>
      </c>
      <c r="Y182" s="823">
        <v>0</v>
      </c>
      <c r="Z182" s="823">
        <v>0</v>
      </c>
      <c r="AA182" s="823">
        <v>0</v>
      </c>
      <c r="AB182" s="832">
        <v>0</v>
      </c>
      <c r="AC182" s="825">
        <v>0</v>
      </c>
      <c r="AD182" s="825">
        <v>0</v>
      </c>
      <c r="AE182" s="825">
        <v>0</v>
      </c>
      <c r="AF182" s="825">
        <v>0</v>
      </c>
      <c r="AG182" s="825">
        <v>0</v>
      </c>
      <c r="AH182" s="825">
        <v>0</v>
      </c>
      <c r="AI182" s="825">
        <v>0</v>
      </c>
      <c r="AJ182" s="825">
        <v>0</v>
      </c>
      <c r="AK182" s="825">
        <v>0</v>
      </c>
      <c r="AL182" s="825">
        <v>0</v>
      </c>
      <c r="AM182" s="825">
        <v>0</v>
      </c>
      <c r="AN182" s="825">
        <v>0</v>
      </c>
      <c r="AO182" s="825">
        <v>0</v>
      </c>
      <c r="AP182" s="825">
        <v>0</v>
      </c>
    </row>
    <row r="183" hidden="1" ht="15.95" customHeight="1">
      <c r="B183" s="128" t="s">
        <v>7</v>
      </c>
      <c r="C183" s="129" t="str">
        <f>IF(SUM(C164:C182)&lt;&gt;0,SUM(C164:C182),"")</f>
      </c>
      <c r="D183" s="129" t="str">
        <f ref="D183:AA183" t="shared" si="0">IF(SUM(D164:D182)&lt;&gt;0,SUM(D164:D182),"")</f>
      </c>
      <c r="E183" s="129" t="str">
        <f t="shared" si="0"/>
      </c>
      <c r="F183" s="129" t="str">
        <f t="shared" si="0"/>
      </c>
      <c r="G183" s="129" t="str">
        <f t="shared" si="0"/>
      </c>
      <c r="H183" s="129" t="str">
        <f t="shared" si="0"/>
      </c>
      <c r="I183" s="129" t="str">
        <f t="shared" si="0"/>
      </c>
      <c r="J183" s="129" t="str">
        <f t="shared" si="0"/>
      </c>
      <c r="K183" s="129" t="str">
        <f t="shared" si="0"/>
      </c>
      <c r="L183" s="129" t="str">
        <f t="shared" si="0"/>
      </c>
      <c r="M183" s="129" t="str">
        <f t="shared" si="0"/>
      </c>
      <c r="N183" s="129" t="str">
        <f t="shared" si="0"/>
      </c>
      <c r="O183" s="129" t="str">
        <f t="shared" si="0"/>
      </c>
      <c r="P183" s="129" t="str">
        <f t="shared" si="0"/>
      </c>
      <c r="Q183" s="129" t="str">
        <f t="shared" si="0"/>
      </c>
      <c r="R183" s="129" t="str">
        <f t="shared" si="0"/>
      </c>
      <c r="S183" s="129" t="str">
        <f t="shared" si="0"/>
      </c>
      <c r="T183" s="129" t="str">
        <f t="shared" si="0"/>
      </c>
      <c r="U183" s="129" t="str">
        <f t="shared" si="0"/>
      </c>
      <c r="V183" s="129" t="str">
        <f t="shared" si="0"/>
      </c>
      <c r="W183" s="129" t="str">
        <f t="shared" si="0"/>
      </c>
      <c r="X183" s="129" t="str">
        <f t="shared" si="0"/>
      </c>
      <c r="Y183" s="129" t="str">
        <f t="shared" si="0"/>
      </c>
      <c r="Z183" s="129" t="str">
        <f t="shared" si="0"/>
      </c>
      <c r="AA183" s="129" t="str">
        <f t="shared" si="0"/>
      </c>
      <c r="AB183" s="130" t="str">
        <f>IF(SUM(AB164:AB182)&lt;&gt;0,SUM(AB164:AB182),"")</f>
      </c>
      <c r="AC183" s="91" t="str">
        <f ref="AC183:CN183" t="shared" si="1">IF(SUM(AC164:AC182)&lt;&gt;0,SUM(AC164:AC182),"")</f>
      </c>
      <c r="AD183" s="91" t="str">
        <f t="shared" si="1"/>
      </c>
      <c r="AE183" s="91" t="str">
        <f t="shared" si="1"/>
      </c>
      <c r="AF183" s="91" t="str">
        <f t="shared" si="1"/>
      </c>
      <c r="AG183" s="91" t="str">
        <f t="shared" si="1"/>
      </c>
      <c r="AH183" s="91" t="str">
        <f t="shared" si="1"/>
      </c>
      <c r="AI183" s="91" t="str">
        <f t="shared" si="1"/>
      </c>
      <c r="AJ183" s="91" t="str">
        <f t="shared" si="1"/>
      </c>
      <c r="AK183" s="91" t="str">
        <f t="shared" si="1"/>
      </c>
      <c r="AL183" s="91" t="str">
        <f t="shared" si="1"/>
      </c>
      <c r="AM183" s="91" t="str">
        <f t="shared" si="1"/>
      </c>
      <c r="AN183" s="91" t="str">
        <f t="shared" si="1"/>
      </c>
      <c r="AO183" s="91" t="str">
        <f t="shared" si="1"/>
      </c>
      <c r="AP183" s="91" t="str">
        <f t="shared" si="1"/>
      </c>
      <c r="AQ183" s="91" t="str">
        <f t="shared" si="1"/>
      </c>
      <c r="AR183" s="91" t="str">
        <f t="shared" si="1"/>
      </c>
      <c r="AS183" s="91" t="str">
        <f t="shared" si="1"/>
      </c>
      <c r="AT183" s="91" t="str">
        <f t="shared" si="1"/>
      </c>
      <c r="AU183" s="91" t="str">
        <f t="shared" si="1"/>
      </c>
      <c r="AV183" s="91" t="str">
        <f t="shared" si="1"/>
      </c>
      <c r="AW183" s="91" t="str">
        <f t="shared" si="1"/>
      </c>
      <c r="AX183" s="91" t="str">
        <f t="shared" si="1"/>
      </c>
      <c r="AY183" s="91" t="str">
        <f t="shared" si="1"/>
      </c>
      <c r="AZ183" s="91" t="str">
        <f t="shared" si="1"/>
      </c>
      <c r="BA183" s="91" t="str">
        <f t="shared" si="1"/>
      </c>
      <c r="BB183" s="91" t="str">
        <f t="shared" si="1"/>
      </c>
      <c r="BC183" s="91" t="str">
        <f t="shared" si="1"/>
      </c>
      <c r="BD183" s="91" t="str">
        <f t="shared" si="1"/>
      </c>
      <c r="BE183" s="91" t="str">
        <f t="shared" si="1"/>
      </c>
      <c r="BF183" s="91" t="str">
        <f t="shared" si="1"/>
      </c>
      <c r="BG183" s="91" t="str">
        <f t="shared" si="1"/>
      </c>
      <c r="BH183" s="91" t="str">
        <f t="shared" si="1"/>
      </c>
      <c r="BI183" s="91" t="str">
        <f t="shared" si="1"/>
      </c>
      <c r="BJ183" s="91" t="str">
        <f t="shared" si="1"/>
      </c>
      <c r="BK183" s="91" t="str">
        <f t="shared" si="1"/>
      </c>
      <c r="BL183" s="91" t="str">
        <f t="shared" si="1"/>
      </c>
      <c r="BM183" s="91" t="str">
        <f t="shared" si="1"/>
      </c>
      <c r="BN183" s="91" t="str">
        <f t="shared" si="1"/>
      </c>
      <c r="BO183" s="91" t="str">
        <f t="shared" si="1"/>
      </c>
      <c r="BP183" s="91" t="str">
        <f t="shared" si="1"/>
      </c>
      <c r="BQ183" s="91" t="str">
        <f t="shared" si="1"/>
      </c>
      <c r="BR183" s="91" t="str">
        <f t="shared" si="1"/>
      </c>
      <c r="BS183" s="91" t="str">
        <f t="shared" si="1"/>
      </c>
      <c r="BT183" s="91" t="str">
        <f t="shared" si="1"/>
      </c>
      <c r="BU183" s="91" t="str">
        <f t="shared" si="1"/>
      </c>
      <c r="BV183" s="91" t="str">
        <f t="shared" si="1"/>
      </c>
      <c r="BW183" s="91" t="str">
        <f t="shared" si="1"/>
      </c>
      <c r="BX183" s="91" t="str">
        <f t="shared" si="1"/>
      </c>
      <c r="BY183" s="91" t="str">
        <f t="shared" si="1"/>
      </c>
      <c r="BZ183" s="91" t="str">
        <f t="shared" si="1"/>
      </c>
      <c r="CA183" s="91" t="str">
        <f t="shared" si="1"/>
      </c>
      <c r="CB183" s="91" t="str">
        <f t="shared" si="1"/>
      </c>
      <c r="CC183" s="91" t="str">
        <f t="shared" si="1"/>
      </c>
      <c r="CD183" s="91" t="str">
        <f t="shared" si="1"/>
      </c>
      <c r="CE183" s="91" t="str">
        <f t="shared" si="1"/>
      </c>
      <c r="CF183" s="91" t="str">
        <f t="shared" si="1"/>
      </c>
      <c r="CG183" s="91" t="str">
        <f t="shared" si="1"/>
      </c>
      <c r="CH183" s="91" t="str">
        <f t="shared" si="1"/>
      </c>
      <c r="CI183" s="91" t="str">
        <f t="shared" si="1"/>
      </c>
      <c r="CJ183" s="91" t="str">
        <f t="shared" si="1"/>
      </c>
      <c r="CK183" s="91" t="str">
        <f t="shared" si="1"/>
      </c>
      <c r="CL183" s="91" t="str">
        <f t="shared" si="1"/>
      </c>
      <c r="CM183" s="91" t="str">
        <f t="shared" si="1"/>
      </c>
      <c r="CN183" s="91" t="str">
        <f t="shared" si="1"/>
      </c>
      <c r="CO183" s="91" t="str">
        <f ref="CO183:EZ183" t="shared" si="2">IF(SUM(CO164:CO182)&lt;&gt;0,SUM(CO164:CO182),"")</f>
      </c>
      <c r="CP183" s="91" t="str">
        <f t="shared" si="2"/>
      </c>
      <c r="CQ183" s="91" t="str">
        <f t="shared" si="2"/>
      </c>
      <c r="CR183" s="91" t="str">
        <f t="shared" si="2"/>
      </c>
      <c r="CS183" s="91" t="str">
        <f t="shared" si="2"/>
      </c>
      <c r="CT183" s="91" t="str">
        <f t="shared" si="2"/>
      </c>
      <c r="CU183" s="91" t="str">
        <f t="shared" si="2"/>
      </c>
      <c r="CV183" s="91" t="str">
        <f t="shared" si="2"/>
      </c>
      <c r="CW183" s="91" t="str">
        <f t="shared" si="2"/>
      </c>
      <c r="CX183" s="91" t="str">
        <f t="shared" si="2"/>
      </c>
      <c r="CY183" s="91" t="str">
        <f t="shared" si="2"/>
      </c>
      <c r="CZ183" s="91" t="str">
        <f t="shared" si="2"/>
      </c>
      <c r="DA183" s="91" t="str">
        <f t="shared" si="2"/>
      </c>
      <c r="DB183" s="91" t="str">
        <f t="shared" si="2"/>
      </c>
      <c r="DC183" s="91" t="str">
        <f t="shared" si="2"/>
      </c>
      <c r="DD183" s="91" t="str">
        <f t="shared" si="2"/>
      </c>
      <c r="DE183" s="91" t="str">
        <f t="shared" si="2"/>
      </c>
      <c r="DF183" s="91" t="str">
        <f t="shared" si="2"/>
      </c>
      <c r="DG183" s="91" t="str">
        <f t="shared" si="2"/>
      </c>
      <c r="DH183" s="91" t="str">
        <f t="shared" si="2"/>
      </c>
      <c r="DI183" s="91" t="str">
        <f t="shared" si="2"/>
      </c>
      <c r="DJ183" s="91" t="str">
        <f t="shared" si="2"/>
      </c>
      <c r="DK183" s="91" t="str">
        <f t="shared" si="2"/>
      </c>
      <c r="DL183" s="91" t="str">
        <f t="shared" si="2"/>
      </c>
      <c r="DM183" s="91" t="str">
        <f t="shared" si="2"/>
      </c>
      <c r="DN183" s="91" t="str">
        <f t="shared" si="2"/>
      </c>
      <c r="DO183" s="91" t="str">
        <f t="shared" si="2"/>
      </c>
      <c r="DP183" s="91" t="str">
        <f t="shared" si="2"/>
      </c>
      <c r="DQ183" s="91" t="str">
        <f t="shared" si="2"/>
      </c>
      <c r="DR183" s="91" t="str">
        <f t="shared" si="2"/>
      </c>
      <c r="DS183" s="91" t="str">
        <f t="shared" si="2"/>
      </c>
      <c r="DT183" s="91" t="str">
        <f t="shared" si="2"/>
      </c>
      <c r="DU183" s="91" t="str">
        <f t="shared" si="2"/>
      </c>
      <c r="DV183" s="91" t="str">
        <f t="shared" si="2"/>
      </c>
      <c r="DW183" s="91" t="str">
        <f t="shared" si="2"/>
      </c>
      <c r="DX183" s="91" t="str">
        <f t="shared" si="2"/>
      </c>
      <c r="DY183" s="91" t="str">
        <f t="shared" si="2"/>
      </c>
      <c r="DZ183" s="91" t="str">
        <f t="shared" si="2"/>
      </c>
      <c r="EA183" s="91" t="str">
        <f t="shared" si="2"/>
      </c>
      <c r="EB183" s="91" t="str">
        <f t="shared" si="2"/>
      </c>
      <c r="EC183" s="91" t="str">
        <f t="shared" si="2"/>
      </c>
      <c r="ED183" s="91" t="str">
        <f t="shared" si="2"/>
      </c>
      <c r="EE183" s="91" t="str">
        <f t="shared" si="2"/>
      </c>
      <c r="EF183" s="91" t="str">
        <f t="shared" si="2"/>
      </c>
      <c r="EG183" s="91" t="str">
        <f t="shared" si="2"/>
      </c>
      <c r="EH183" s="91" t="str">
        <f t="shared" si="2"/>
      </c>
      <c r="EI183" s="91" t="str">
        <f t="shared" si="2"/>
      </c>
      <c r="EJ183" s="91" t="str">
        <f t="shared" si="2"/>
      </c>
      <c r="EK183" s="91" t="str">
        <f t="shared" si="2"/>
      </c>
      <c r="EL183" s="91" t="str">
        <f t="shared" si="2"/>
      </c>
      <c r="EM183" s="91" t="str">
        <f t="shared" si="2"/>
      </c>
      <c r="EN183" s="91" t="str">
        <f t="shared" si="2"/>
      </c>
      <c r="EO183" s="91" t="str">
        <f t="shared" si="2"/>
      </c>
      <c r="EP183" s="91" t="str">
        <f t="shared" si="2"/>
      </c>
      <c r="EQ183" s="91" t="str">
        <f t="shared" si="2"/>
      </c>
      <c r="ER183" s="91" t="str">
        <f t="shared" si="2"/>
      </c>
      <c r="ES183" s="91" t="str">
        <f t="shared" si="2"/>
      </c>
      <c r="ET183" s="91" t="str">
        <f t="shared" si="2"/>
      </c>
      <c r="EU183" s="91" t="str">
        <f t="shared" si="2"/>
      </c>
      <c r="EV183" s="91" t="str">
        <f t="shared" si="2"/>
      </c>
      <c r="EW183" s="91" t="str">
        <f t="shared" si="2"/>
      </c>
      <c r="EX183" s="91" t="str">
        <f t="shared" si="2"/>
      </c>
      <c r="EY183" s="91" t="str">
        <f t="shared" si="2"/>
      </c>
      <c r="EZ183" s="91" t="str">
        <f t="shared" si="2"/>
      </c>
      <c r="FA183" s="91" t="str">
        <f ref="FA183:HL183" t="shared" si="3">IF(SUM(FA164:FA182)&lt;&gt;0,SUM(FA164:FA182),"")</f>
      </c>
      <c r="FB183" s="91" t="str">
        <f t="shared" si="3"/>
      </c>
      <c r="FC183" s="91" t="str">
        <f t="shared" si="3"/>
      </c>
      <c r="FD183" s="91" t="str">
        <f t="shared" si="3"/>
      </c>
      <c r="FE183" s="91" t="str">
        <f t="shared" si="3"/>
      </c>
      <c r="FF183" s="91" t="str">
        <f t="shared" si="3"/>
      </c>
      <c r="FG183" s="91" t="str">
        <f t="shared" si="3"/>
      </c>
      <c r="FH183" s="91" t="str">
        <f t="shared" si="3"/>
      </c>
      <c r="FI183" s="91" t="str">
        <f t="shared" si="3"/>
      </c>
      <c r="FJ183" s="91" t="str">
        <f t="shared" si="3"/>
      </c>
      <c r="FK183" s="91" t="str">
        <f t="shared" si="3"/>
      </c>
      <c r="FL183" s="91" t="str">
        <f t="shared" si="3"/>
      </c>
      <c r="FM183" s="91" t="str">
        <f t="shared" si="3"/>
      </c>
      <c r="FN183" s="91" t="str">
        <f t="shared" si="3"/>
      </c>
      <c r="FO183" s="91" t="str">
        <f t="shared" si="3"/>
      </c>
      <c r="FP183" s="91" t="str">
        <f t="shared" si="3"/>
      </c>
      <c r="FQ183" s="91" t="str">
        <f t="shared" si="3"/>
      </c>
      <c r="FR183" s="91" t="str">
        <f t="shared" si="3"/>
      </c>
      <c r="FS183" s="91" t="str">
        <f t="shared" si="3"/>
      </c>
      <c r="FT183" s="91" t="str">
        <f t="shared" si="3"/>
      </c>
      <c r="FU183" s="91" t="str">
        <f t="shared" si="3"/>
      </c>
      <c r="FV183" s="91" t="str">
        <f t="shared" si="3"/>
      </c>
      <c r="FW183" s="91" t="str">
        <f t="shared" si="3"/>
      </c>
      <c r="FX183" s="91" t="str">
        <f t="shared" si="3"/>
      </c>
      <c r="FY183" s="91" t="str">
        <f t="shared" si="3"/>
      </c>
      <c r="FZ183" s="91" t="str">
        <f t="shared" si="3"/>
      </c>
      <c r="GA183" s="91" t="str">
        <f t="shared" si="3"/>
      </c>
      <c r="GB183" s="91" t="str">
        <f t="shared" si="3"/>
      </c>
      <c r="GC183" s="91" t="str">
        <f t="shared" si="3"/>
      </c>
      <c r="GD183" s="91" t="str">
        <f t="shared" si="3"/>
      </c>
      <c r="GE183" s="91" t="str">
        <f t="shared" si="3"/>
      </c>
      <c r="GF183" s="91" t="str">
        <f t="shared" si="3"/>
      </c>
      <c r="GG183" s="91" t="str">
        <f t="shared" si="3"/>
      </c>
      <c r="GH183" s="91" t="str">
        <f t="shared" si="3"/>
      </c>
      <c r="GI183" s="91" t="str">
        <f t="shared" si="3"/>
      </c>
      <c r="GJ183" s="91" t="str">
        <f t="shared" si="3"/>
      </c>
      <c r="GK183" s="91" t="str">
        <f t="shared" si="3"/>
      </c>
      <c r="GL183" s="91" t="str">
        <f t="shared" si="3"/>
      </c>
      <c r="GM183" s="91" t="str">
        <f t="shared" si="3"/>
      </c>
      <c r="GN183" s="91" t="str">
        <f t="shared" si="3"/>
      </c>
      <c r="GO183" s="91" t="str">
        <f t="shared" si="3"/>
      </c>
      <c r="GP183" s="91" t="str">
        <f t="shared" si="3"/>
      </c>
      <c r="GQ183" s="91" t="str">
        <f t="shared" si="3"/>
      </c>
      <c r="GR183" s="91" t="str">
        <f t="shared" si="3"/>
      </c>
      <c r="GS183" s="91" t="str">
        <f t="shared" si="3"/>
      </c>
      <c r="GT183" s="91" t="str">
        <f t="shared" si="3"/>
      </c>
      <c r="GU183" s="91" t="str">
        <f t="shared" si="3"/>
      </c>
      <c r="GV183" s="91" t="str">
        <f t="shared" si="3"/>
      </c>
      <c r="GW183" s="91" t="str">
        <f t="shared" si="3"/>
      </c>
      <c r="GX183" s="91" t="str">
        <f t="shared" si="3"/>
      </c>
      <c r="GY183" s="91" t="str">
        <f t="shared" si="3"/>
      </c>
      <c r="GZ183" s="91" t="str">
        <f t="shared" si="3"/>
      </c>
      <c r="HA183" s="91" t="str">
        <f t="shared" si="3"/>
      </c>
      <c r="HB183" s="91" t="str">
        <f t="shared" si="3"/>
      </c>
      <c r="HC183" s="91" t="str">
        <f t="shared" si="3"/>
      </c>
      <c r="HD183" s="91" t="str">
        <f t="shared" si="3"/>
      </c>
      <c r="HE183" s="91" t="str">
        <f t="shared" si="3"/>
      </c>
      <c r="HF183" s="91" t="str">
        <f t="shared" si="3"/>
      </c>
      <c r="HG183" s="91" t="str">
        <f t="shared" si="3"/>
      </c>
      <c r="HH183" s="91" t="str">
        <f t="shared" si="3"/>
      </c>
      <c r="HI183" s="91" t="str">
        <f t="shared" si="3"/>
      </c>
      <c r="HJ183" s="91" t="str">
        <f t="shared" si="3"/>
      </c>
      <c r="HK183" s="91" t="str">
        <f t="shared" si="3"/>
      </c>
      <c r="HL183" s="91" t="str">
        <f t="shared" si="3"/>
      </c>
      <c r="HM183" s="91" t="str">
        <f ref="HM183:IV183" t="shared" si="4">IF(SUM(HM164:HM182)&lt;&gt;0,SUM(HM164:HM182),"")</f>
      </c>
      <c r="HN183" s="91" t="str">
        <f t="shared" si="4"/>
      </c>
      <c r="HO183" s="91" t="str">
        <f t="shared" si="4"/>
      </c>
      <c r="HP183" s="91" t="str">
        <f t="shared" si="4"/>
      </c>
      <c r="HQ183" s="91" t="str">
        <f t="shared" si="4"/>
      </c>
      <c r="HR183" s="91" t="str">
        <f t="shared" si="4"/>
      </c>
      <c r="HS183" s="91" t="str">
        <f t="shared" si="4"/>
      </c>
      <c r="HT183" s="91" t="str">
        <f t="shared" si="4"/>
      </c>
      <c r="HU183" s="91" t="str">
        <f t="shared" si="4"/>
      </c>
      <c r="HV183" s="91" t="str">
        <f t="shared" si="4"/>
      </c>
      <c r="HW183" s="91" t="str">
        <f t="shared" si="4"/>
      </c>
      <c r="HX183" s="91" t="str">
        <f t="shared" si="4"/>
      </c>
      <c r="HY183" s="91" t="str">
        <f t="shared" si="4"/>
      </c>
      <c r="HZ183" s="91" t="str">
        <f t="shared" si="4"/>
      </c>
      <c r="IA183" s="91" t="str">
        <f t="shared" si="4"/>
      </c>
      <c r="IB183" s="91" t="str">
        <f t="shared" si="4"/>
      </c>
      <c r="IC183" s="91" t="str">
        <f t="shared" si="4"/>
      </c>
      <c r="ID183" s="91" t="str">
        <f t="shared" si="4"/>
      </c>
      <c r="IE183" s="91" t="str">
        <f t="shared" si="4"/>
      </c>
      <c r="IF183" s="91" t="str">
        <f t="shared" si="4"/>
      </c>
      <c r="IG183" s="91" t="str">
        <f t="shared" si="4"/>
      </c>
      <c r="IH183" s="91" t="str">
        <f t="shared" si="4"/>
      </c>
      <c r="II183" s="91" t="str">
        <f t="shared" si="4"/>
      </c>
      <c r="IJ183" s="91" t="str">
        <f t="shared" si="4"/>
      </c>
      <c r="IK183" s="91" t="str">
        <f t="shared" si="4"/>
      </c>
      <c r="IL183" s="91" t="str">
        <f t="shared" si="4"/>
      </c>
      <c r="IM183" s="91" t="str">
        <f t="shared" si="4"/>
      </c>
      <c r="IN183" s="91" t="str">
        <f t="shared" si="4"/>
      </c>
      <c r="IO183" s="91" t="str">
        <f t="shared" si="4"/>
      </c>
      <c r="IP183" s="91" t="str">
        <f t="shared" si="4"/>
      </c>
      <c r="IQ183" s="91" t="str">
        <f t="shared" si="4"/>
      </c>
      <c r="IR183" s="91" t="str">
        <f t="shared" si="4"/>
      </c>
      <c r="IS183" s="91" t="str">
        <f t="shared" si="4"/>
      </c>
      <c r="IT183" s="91" t="str">
        <f t="shared" si="4"/>
      </c>
      <c r="IU183" s="91" t="str">
        <f t="shared" si="4"/>
      </c>
      <c r="IV183" s="91" t="str">
        <f t="shared" si="4"/>
      </c>
    </row>
    <row r="184" hidden="1" ht="15.95" customHeight="1">
      <c r="B184" s="274"/>
      <c r="C184" s="247"/>
      <c r="D184" s="247"/>
      <c r="E184" s="247"/>
      <c r="F184" s="247"/>
      <c r="G184" s="247"/>
      <c r="H184" s="247"/>
      <c r="I184" s="247"/>
      <c r="J184" s="247"/>
      <c r="K184" s="247"/>
      <c r="N184" s="50"/>
    </row>
    <row r="185" hidden="1" ht="15.95" customHeight="1">
      <c r="B185" s="274"/>
      <c r="C185" s="659" t="s">
        <v>120</v>
      </c>
      <c r="D185" s="660"/>
      <c r="E185" s="660"/>
      <c r="F185" s="660"/>
      <c r="G185" s="660"/>
      <c r="H185" s="660"/>
      <c r="I185" s="660"/>
      <c r="J185" s="660"/>
      <c r="K185" s="660"/>
      <c r="L185" s="660"/>
      <c r="M185" s="660"/>
      <c r="N185" s="660"/>
      <c r="O185" s="660"/>
      <c r="P185" s="660"/>
      <c r="Q185" s="660"/>
      <c r="R185" s="660"/>
      <c r="S185" s="660"/>
      <c r="T185" s="660"/>
      <c r="U185" s="660"/>
      <c r="V185" s="660"/>
      <c r="W185" s="660"/>
      <c r="X185" s="660"/>
      <c r="Y185" s="660"/>
      <c r="Z185" s="660"/>
      <c r="AA185" s="660"/>
      <c r="AB185" s="661"/>
    </row>
    <row r="186" hidden="1" ht="15.95" customHeight="1">
      <c r="C186" s="435" t="str">
        <f> IF(C206&lt;&gt;"",TEXT(AUX!G$1,"dd-MMM-aa"),"")</f>
      </c>
      <c r="D186" s="435" t="str">
        <f> IF(D206&lt;&gt;"",TEXT(AUX!H$1,"dd-MMM-aa"),"")</f>
      </c>
      <c r="E186" s="435" t="str">
        <f> IF(E206&lt;&gt;"",TEXT(AUX!I$1,"dd-MMM-aa"),"")</f>
      </c>
      <c r="F186" s="435" t="str">
        <f> IF(F206&lt;&gt;"",TEXT(AUX!J$1,"dd-MMM-aa"),"")</f>
      </c>
      <c r="G186" s="435" t="str">
        <f> IF(G206&lt;&gt;"",TEXT(AUX!K$1,"dd-MMM-aa"),"")</f>
      </c>
      <c r="H186" s="435" t="str">
        <f> IF(H206&lt;&gt;"",TEXT(AUX!L$1,"dd-MMM-aa"),"")</f>
      </c>
      <c r="I186" s="435" t="str">
        <f> IF(I206&lt;&gt;"",TEXT(AUX!M$1,"dd-MMM-aa"),"")</f>
      </c>
      <c r="J186" s="435" t="str">
        <f> IF(J206&lt;&gt;"",TEXT(AUX!N$1,"dd-MMM-aa"),"")</f>
      </c>
      <c r="K186" s="435" t="str">
        <f> IF(K206&lt;&gt;"",TEXT(AUX!O$1,"dd-MMM-aa"),"")</f>
      </c>
      <c r="L186" s="435" t="str">
        <f> IF(L206&lt;&gt;"",TEXT(AUX!P$1,"dd-MMM-aa"),"")</f>
      </c>
      <c r="M186" s="435" t="str">
        <f> IF(M206&lt;&gt;"",TEXT(AUX!Q$1,"dd-MMM-aa"),"")</f>
      </c>
      <c r="N186" s="435" t="str">
        <f> IF(N206&lt;&gt;"",TEXT(AUX!R$1,"dd-MMM-aa"),"")</f>
      </c>
      <c r="O186" s="435" t="str">
        <f> IF(O206&lt;&gt;"",TEXT(AUX!S$1,"dd-MMM-aa"),"")</f>
      </c>
      <c r="P186" s="435" t="str">
        <f> IF(P206&lt;&gt;"",TEXT(AUX!T$1,"dd-MMM-aa"),"")</f>
      </c>
      <c r="Q186" s="435" t="str">
        <f> IF(Q206&lt;&gt;"",TEXT(AUX!U$1,"dd-MMM-aa"),"")</f>
      </c>
      <c r="R186" s="435" t="str">
        <f> IF(R206&lt;&gt;"",TEXT(AUX!V$1,"dd-MMM-aa"),"")</f>
      </c>
      <c r="S186" s="435" t="str">
        <f> IF(S206&lt;&gt;"",TEXT(AUX!W$1,"dd-MMM-aa"),"")</f>
      </c>
      <c r="T186" s="435" t="str">
        <f> IF(T206&lt;&gt;"",TEXT(AUX!X$1,"dd-MMM-aa"),"")</f>
      </c>
      <c r="U186" s="435" t="str">
        <f> IF(U206&lt;&gt;"",TEXT(AUX!Y$1,"dd-MMM-aa"),"")</f>
      </c>
      <c r="V186" s="435" t="str">
        <f> IF(V206&lt;&gt;"",TEXT(AUX!Z$1,"dd-MMM-aa"),"")</f>
      </c>
      <c r="W186" s="435" t="str">
        <f> IF(W206&lt;&gt;"",TEXT(AUX!AA$1,"dd-MMM-aa"),"")</f>
      </c>
      <c r="X186" s="435" t="str">
        <f> IF(X206&lt;&gt;"",TEXT(AUX!AB$1,"dd-MMM-aa"),"")</f>
      </c>
      <c r="Y186" s="435" t="str">
        <f> IF(Y206&lt;&gt;"",TEXT(AUX!AC$1,"dd-MMM-aa"),"")</f>
      </c>
      <c r="Z186" s="435" t="str">
        <f> IF(Z206&lt;&gt;"",TEXT(AUX!AD$1,"dd-MMM-aa"),"")</f>
      </c>
      <c r="AA186" s="435" t="str">
        <f> IF(AA206&lt;&gt;"",TEXT(AUX!AE$1,"dd-MMM-aa"),"")</f>
      </c>
      <c r="AB186" s="497" t="str">
        <f> IF(AB206&lt;&gt;"",TEXT(AUX!AF$1,"dd-MMM-aa"),"")</f>
      </c>
      <c r="AC186" s="496" t="str">
        <f> IF(AC206&lt;&gt;"",TEXT(AUX!AG$1,"dd-MMM-aa"),"")</f>
      </c>
      <c r="AD186" s="496" t="str">
        <f> IF(AD206&lt;&gt;"",TEXT(AUX!AH$1,"dd-MMM-aa"),"")</f>
      </c>
      <c r="AE186" s="496" t="str">
        <f> IF(AE206&lt;&gt;"",TEXT(AUX!AI$1,"dd-MMM-aa"),"")</f>
      </c>
      <c r="AF186" s="496" t="str">
        <f> IF(AF206&lt;&gt;"",TEXT(AUX!AJ$1,"dd-MMM-aa"),"")</f>
      </c>
      <c r="AG186" s="496" t="str">
        <f> IF(AG206&lt;&gt;"",TEXT(AUX!AK$1,"dd-MMM-aa"),"")</f>
      </c>
      <c r="AH186" s="496" t="str">
        <f> IF(AH206&lt;&gt;"",TEXT(AUX!AL$1,"dd-MMM-aa"),"")</f>
      </c>
      <c r="AI186" s="496" t="str">
        <f> IF(AI206&lt;&gt;"",TEXT(AUX!AM$1,"dd-MMM-aa"),"")</f>
      </c>
      <c r="AJ186" s="496" t="str">
        <f> IF(AJ206&lt;&gt;"",TEXT(AUX!AN$1,"dd-MMM-aa"),"")</f>
      </c>
      <c r="AK186" s="496" t="str">
        <f> IF(AK206&lt;&gt;"",TEXT(AUX!AO$1,"dd-MMM-aa"),"")</f>
      </c>
      <c r="AL186" s="496" t="str">
        <f> IF(AL206&lt;&gt;"",TEXT(AUX!AP$1,"dd-MMM-aa"),"")</f>
      </c>
      <c r="AM186" s="496" t="str">
        <f> IF(AM206&lt;&gt;"",TEXT(AUX!AQ$1,"dd-MMM-aa"),"")</f>
      </c>
      <c r="AN186" s="496" t="str">
        <f> IF(AN206&lt;&gt;"",TEXT(AUX!AR$1,"dd-MMM-aa"),"")</f>
      </c>
      <c r="AO186" s="496" t="str">
        <f> IF(AO206&lt;&gt;"",TEXT(AUX!AS$1,"dd-MMM-aa"),"")</f>
      </c>
      <c r="AP186" s="496" t="str">
        <f> IF(AP206&lt;&gt;"",TEXT(AUX!AT$1,"dd-MMM-aa"),"")</f>
      </c>
      <c r="AQ186" s="496" t="str">
        <f> IF(AQ206&lt;&gt;"",TEXT(AUX!AU$1,"dd-MMM-aa"),"")</f>
      </c>
      <c r="AR186" s="496" t="str">
        <f> IF(AR206&lt;&gt;"",TEXT(AUX!AV$1,"dd-MMM-aa"),"")</f>
      </c>
      <c r="AS186" s="496" t="str">
        <f> IF(AS206&lt;&gt;"",TEXT(AUX!AW$1,"dd-MMM-aa"),"")</f>
      </c>
      <c r="AT186" s="496" t="str">
        <f> IF(AT206&lt;&gt;"",TEXT(AUX!AX$1,"dd-MMM-aa"),"")</f>
      </c>
      <c r="AU186" s="496" t="str">
        <f> IF(AU206&lt;&gt;"",TEXT(AUX!AY$1,"dd-MMM-aa"),"")</f>
      </c>
      <c r="AV186" s="496" t="str">
        <f> IF(AV206&lt;&gt;"",TEXT(AUX!AZ$1,"dd-MMM-aa"),"")</f>
      </c>
      <c r="AW186" s="496" t="str">
        <f> IF(AW206&lt;&gt;"",TEXT(AUX!BA$1,"dd-MMM-aa"),"")</f>
      </c>
      <c r="AX186" s="496" t="str">
        <f> IF(AX206&lt;&gt;"",TEXT(AUX!BB$1,"dd-MMM-aa"),"")</f>
      </c>
      <c r="AY186" s="496" t="str">
        <f> IF(AY206&lt;&gt;"",TEXT(AUX!BC$1,"dd-MMM-aa"),"")</f>
      </c>
      <c r="AZ186" s="496" t="str">
        <f> IF(AZ206&lt;&gt;"",TEXT(AUX!BD$1,"dd-MMM-aa"),"")</f>
      </c>
      <c r="BA186" s="496" t="str">
        <f> IF(BA206&lt;&gt;"",TEXT(AUX!BE$1,"dd-MMM-aa"),"")</f>
      </c>
      <c r="BB186" s="496" t="str">
        <f> IF(BB206&lt;&gt;"",TEXT(AUX!BF$1,"dd-MMM-aa"),"")</f>
      </c>
      <c r="BC186" s="496" t="str">
        <f> IF(BC206&lt;&gt;"",TEXT(AUX!BG$1,"dd-MMM-aa"),"")</f>
      </c>
      <c r="BD186" s="496" t="str">
        <f> IF(BD206&lt;&gt;"",TEXT(AUX!BH$1,"dd-MMM-aa"),"")</f>
      </c>
      <c r="BE186" s="496" t="str">
        <f> IF(BE206&lt;&gt;"",TEXT(AUX!BI$1,"dd-MMM-aa"),"")</f>
      </c>
      <c r="BF186" s="496" t="str">
        <f> IF(BF206&lt;&gt;"",TEXT(AUX!BJ$1,"dd-MMM-aa"),"")</f>
      </c>
      <c r="BG186" s="496" t="str">
        <f> IF(BG206&lt;&gt;"",TEXT(AUX!BK$1,"dd-MMM-aa"),"")</f>
      </c>
      <c r="BH186" s="496" t="str">
        <f> IF(BH206&lt;&gt;"",TEXT(AUX!BL$1,"dd-MMM-aa"),"")</f>
      </c>
      <c r="BI186" s="496" t="str">
        <f> IF(BI206&lt;&gt;"",TEXT(AUX!BM$1,"dd-MMM-aa"),"")</f>
      </c>
      <c r="BJ186" s="496" t="str">
        <f> IF(BJ206&lt;&gt;"",TEXT(AUX!BN$1,"dd-MMM-aa"),"")</f>
      </c>
      <c r="BK186" s="496" t="str">
        <f> IF(BK206&lt;&gt;"",TEXT(AUX!BO$1,"dd-MMM-aa"),"")</f>
      </c>
      <c r="BL186" s="496" t="str">
        <f> IF(BL206&lt;&gt;"",TEXT(AUX!BP$1,"dd-MMM-aa"),"")</f>
      </c>
      <c r="BM186" s="496" t="str">
        <f> IF(BM206&lt;&gt;"",TEXT(AUX!BQ$1,"dd-MMM-aa"),"")</f>
      </c>
      <c r="BN186" s="496" t="str">
        <f> IF(BN206&lt;&gt;"",TEXT(AUX!BR$1,"dd-MMM-aa"),"")</f>
      </c>
      <c r="BO186" s="496" t="str">
        <f> IF(BO206&lt;&gt;"",TEXT(AUX!BS$1,"dd-MMM-aa"),"")</f>
      </c>
      <c r="BP186" s="496" t="str">
        <f> IF(BP206&lt;&gt;"",TEXT(AUX!BT$1,"dd-MMM-aa"),"")</f>
      </c>
      <c r="BQ186" s="496" t="str">
        <f> IF(BQ206&lt;&gt;"",TEXT(AUX!BU$1,"dd-MMM-aa"),"")</f>
      </c>
      <c r="BR186" s="496" t="str">
        <f> IF(BR206&lt;&gt;"",TEXT(AUX!BV$1,"dd-MMM-aa"),"")</f>
      </c>
      <c r="BS186" s="496" t="str">
        <f> IF(BS206&lt;&gt;"",TEXT(AUX!BW$1,"dd-MMM-aa"),"")</f>
      </c>
      <c r="BT186" s="496" t="str">
        <f> IF(BT206&lt;&gt;"",TEXT(AUX!BX$1,"dd-MMM-aa"),"")</f>
      </c>
      <c r="BU186" s="496" t="str">
        <f> IF(BU206&lt;&gt;"",TEXT(AUX!BY$1,"dd-MMM-aa"),"")</f>
      </c>
      <c r="BV186" s="496" t="str">
        <f> IF(BV206&lt;&gt;"",TEXT(AUX!BZ$1,"dd-MMM-aa"),"")</f>
      </c>
      <c r="BW186" s="496" t="str">
        <f> IF(BW206&lt;&gt;"",TEXT(AUX!CA$1,"dd-MMM-aa"),"")</f>
      </c>
      <c r="BX186" s="496" t="str">
        <f> IF(BX206&lt;&gt;"",TEXT(AUX!CB$1,"dd-MMM-aa"),"")</f>
      </c>
      <c r="BY186" s="496" t="str">
        <f> IF(BY206&lt;&gt;"",TEXT(AUX!CC$1,"dd-MMM-aa"),"")</f>
      </c>
      <c r="BZ186" s="496" t="str">
        <f> IF(BZ206&lt;&gt;"",TEXT(AUX!CD$1,"dd-MMM-aa"),"")</f>
      </c>
      <c r="CA186" s="496" t="str">
        <f> IF(CA206&lt;&gt;"",TEXT(AUX!CE$1,"dd-MMM-aa"),"")</f>
      </c>
      <c r="CB186" s="496" t="str">
        <f> IF(CB206&lt;&gt;"",TEXT(AUX!CF$1,"dd-MMM-aa"),"")</f>
      </c>
      <c r="CC186" s="496" t="str">
        <f> IF(CC206&lt;&gt;"",TEXT(AUX!CG$1,"dd-MMM-aa"),"")</f>
      </c>
      <c r="CD186" s="496" t="str">
        <f> IF(CD206&lt;&gt;"",TEXT(AUX!CH$1,"dd-MMM-aa"),"")</f>
      </c>
      <c r="CE186" s="496" t="str">
        <f> IF(CE206&lt;&gt;"",TEXT(AUX!CI$1,"dd-MMM-aa"),"")</f>
      </c>
      <c r="CF186" s="496" t="str">
        <f> IF(CF206&lt;&gt;"",TEXT(AUX!CJ$1,"dd-MMM-aa"),"")</f>
      </c>
      <c r="CG186" s="496" t="str">
        <f> IF(CG206&lt;&gt;"",TEXT(AUX!CK$1,"dd-MMM-aa"),"")</f>
      </c>
      <c r="CH186" s="496" t="str">
        <f> IF(CH206&lt;&gt;"",TEXT(AUX!CL$1,"dd-MMM-aa"),"")</f>
      </c>
      <c r="CI186" s="496" t="str">
        <f> IF(CI206&lt;&gt;"",TEXT(AUX!CM$1,"dd-MMM-aa"),"")</f>
      </c>
      <c r="CJ186" s="496" t="str">
        <f> IF(CJ206&lt;&gt;"",TEXT(AUX!CN$1,"dd-MMM-aa"),"")</f>
      </c>
      <c r="CK186" s="496" t="str">
        <f> IF(CK206&lt;&gt;"",TEXT(AUX!CO$1,"dd-MMM-aa"),"")</f>
      </c>
      <c r="CL186" s="496" t="str">
        <f> IF(CL206&lt;&gt;"",TEXT(AUX!CP$1,"dd-MMM-aa"),"")</f>
      </c>
      <c r="CM186" s="496" t="str">
        <f> IF(CM206&lt;&gt;"",TEXT(AUX!CQ$1,"dd-MMM-aa"),"")</f>
      </c>
      <c r="CN186" s="496" t="str">
        <f> IF(CN206&lt;&gt;"",TEXT(AUX!CR$1,"dd-MMM-aa"),"")</f>
      </c>
      <c r="CO186" s="496" t="str">
        <f> IF(CO206&lt;&gt;"",TEXT(AUX!CS$1,"dd-MMM-aa"),"")</f>
      </c>
      <c r="CP186" s="496" t="str">
        <f> IF(CP206&lt;&gt;"",TEXT(AUX!CT$1,"dd-MMM-aa"),"")</f>
      </c>
      <c r="CQ186" s="496" t="str">
        <f> IF(CQ206&lt;&gt;"",TEXT(AUX!CU$1,"dd-MMM-aa"),"")</f>
      </c>
      <c r="CR186" s="496" t="str">
        <f> IF(CR206&lt;&gt;"",TEXT(AUX!CV$1,"dd-MMM-aa"),"")</f>
      </c>
      <c r="CS186" s="496" t="str">
        <f> IF(CS206&lt;&gt;"",TEXT(AUX!CW$1,"dd-MMM-aa"),"")</f>
      </c>
      <c r="CT186" s="496" t="str">
        <f> IF(CT206&lt;&gt;"",TEXT(AUX!CX$1,"dd-MMM-aa"),"")</f>
      </c>
      <c r="CU186" s="496" t="str">
        <f> IF(CU206&lt;&gt;"",TEXT(AUX!CY$1,"dd-MMM-aa"),"")</f>
      </c>
      <c r="CV186" s="496" t="str">
        <f> IF(CV206&lt;&gt;"",TEXT(AUX!CZ$1,"dd-MMM-aa"),"")</f>
      </c>
      <c r="CW186" s="496" t="str">
        <f> IF(CW206&lt;&gt;"",TEXT(AUX!DA$1,"dd-MMM-aa"),"")</f>
      </c>
      <c r="CX186" s="496" t="str">
        <f> IF(CX206&lt;&gt;"",TEXT(AUX!DB$1,"dd-MMM-aa"),"")</f>
      </c>
      <c r="CY186" s="496" t="str">
        <f> IF(CY206&lt;&gt;"",TEXT(AUX!DC$1,"dd-MMM-aa"),"")</f>
      </c>
      <c r="CZ186" s="496" t="str">
        <f> IF(CZ206&lt;&gt;"",TEXT(AUX!DD$1,"dd-MMM-aa"),"")</f>
      </c>
      <c r="DA186" s="496" t="str">
        <f> IF(DA206&lt;&gt;"",TEXT(AUX!DE$1,"dd-MMM-aa"),"")</f>
      </c>
      <c r="DB186" s="496" t="str">
        <f> IF(DB206&lt;&gt;"",TEXT(AUX!DF$1,"dd-MMM-aa"),"")</f>
      </c>
      <c r="DC186" s="496" t="str">
        <f> IF(DC206&lt;&gt;"",TEXT(AUX!DG$1,"dd-MMM-aa"),"")</f>
      </c>
      <c r="DD186" s="496" t="str">
        <f> IF(DD206&lt;&gt;"",TEXT(AUX!DH$1,"dd-MMM-aa"),"")</f>
      </c>
      <c r="DE186" s="496" t="str">
        <f> IF(DE206&lt;&gt;"",TEXT(AUX!DI$1,"dd-MMM-aa"),"")</f>
      </c>
      <c r="DF186" s="496" t="str">
        <f> IF(DF206&lt;&gt;"",TEXT(AUX!DJ$1,"dd-MMM-aa"),"")</f>
      </c>
      <c r="DG186" s="496" t="str">
        <f> IF(DG206&lt;&gt;"",TEXT(AUX!DK$1,"dd-MMM-aa"),"")</f>
      </c>
      <c r="DH186" s="496" t="str">
        <f> IF(DH206&lt;&gt;"",TEXT(AUX!DL$1,"dd-MMM-aa"),"")</f>
      </c>
      <c r="DI186" s="496" t="str">
        <f> IF(DI206&lt;&gt;"",TEXT(AUX!DM$1,"dd-MMM-aa"),"")</f>
      </c>
      <c r="DJ186" s="496" t="str">
        <f> IF(DJ206&lt;&gt;"",TEXT(AUX!DN$1,"dd-MMM-aa"),"")</f>
      </c>
      <c r="DK186" s="496" t="str">
        <f> IF(DK206&lt;&gt;"",TEXT(AUX!DO$1,"dd-MMM-aa"),"")</f>
      </c>
      <c r="DL186" s="496" t="str">
        <f> IF(DL206&lt;&gt;"",TEXT(AUX!DP$1,"dd-MMM-aa"),"")</f>
      </c>
      <c r="DM186" s="496" t="str">
        <f> IF(DM206&lt;&gt;"",TEXT(AUX!DQ$1,"dd-MMM-aa"),"")</f>
      </c>
      <c r="DN186" s="496" t="str">
        <f> IF(DN206&lt;&gt;"",TEXT(AUX!DR$1,"dd-MMM-aa"),"")</f>
      </c>
      <c r="DO186" s="496" t="str">
        <f> IF(DO206&lt;&gt;"",TEXT(AUX!DS$1,"dd-MMM-aa"),"")</f>
      </c>
      <c r="DP186" s="496" t="str">
        <f> IF(DP206&lt;&gt;"",TEXT(AUX!DT$1,"dd-MMM-aa"),"")</f>
      </c>
      <c r="DQ186" s="496" t="str">
        <f> IF(DQ206&lt;&gt;"",TEXT(AUX!DU$1,"dd-MMM-aa"),"")</f>
      </c>
      <c r="DR186" s="496" t="str">
        <f> IF(DR206&lt;&gt;"",TEXT(AUX!DV$1,"dd-MMM-aa"),"")</f>
      </c>
      <c r="DS186" s="496" t="str">
        <f> IF(DS206&lt;&gt;"",TEXT(AUX!DW$1,"dd-MMM-aa"),"")</f>
      </c>
      <c r="DT186" s="496" t="str">
        <f> IF(DT206&lt;&gt;"",TEXT(AUX!DX$1,"dd-MMM-aa"),"")</f>
      </c>
      <c r="DU186" s="496" t="str">
        <f> IF(DU206&lt;&gt;"",TEXT(AUX!DY$1,"dd-MMM-aa"),"")</f>
      </c>
      <c r="DV186" s="496" t="str">
        <f> IF(DV206&lt;&gt;"",TEXT(AUX!DZ$1,"dd-MMM-aa"),"")</f>
      </c>
      <c r="DW186" s="496" t="str">
        <f> IF(DW206&lt;&gt;"",TEXT(AUX!EA$1,"dd-MMM-aa"),"")</f>
      </c>
      <c r="DX186" s="496" t="str">
        <f> IF(DX206&lt;&gt;"",TEXT(AUX!EB$1,"dd-MMM-aa"),"")</f>
      </c>
      <c r="DY186" s="496" t="str">
        <f> IF(DY206&lt;&gt;"",TEXT(AUX!EC$1,"dd-MMM-aa"),"")</f>
      </c>
      <c r="DZ186" s="496" t="str">
        <f> IF(DZ206&lt;&gt;"",TEXT(AUX!ED$1,"dd-MMM-aa"),"")</f>
      </c>
      <c r="EA186" s="496" t="str">
        <f> IF(EA206&lt;&gt;"",TEXT(AUX!EE$1,"dd-MMM-aa"),"")</f>
      </c>
      <c r="EB186" s="496" t="str">
        <f> IF(EB206&lt;&gt;"",TEXT(AUX!EF$1,"dd-MMM-aa"),"")</f>
      </c>
      <c r="EC186" s="496" t="str">
        <f> IF(EC206&lt;&gt;"",TEXT(AUX!EG$1,"dd-MMM-aa"),"")</f>
      </c>
      <c r="ED186" s="496" t="str">
        <f> IF(ED206&lt;&gt;"",TEXT(AUX!EH$1,"dd-MMM-aa"),"")</f>
      </c>
      <c r="EE186" s="496" t="str">
        <f> IF(EE206&lt;&gt;"",TEXT(AUX!EI$1,"dd-MMM-aa"),"")</f>
      </c>
      <c r="EF186" s="496" t="str">
        <f> IF(EF206&lt;&gt;"",TEXT(AUX!EJ$1,"dd-MMM-aa"),"")</f>
      </c>
      <c r="EG186" s="496" t="str">
        <f> IF(EG206&lt;&gt;"",TEXT(AUX!EK$1,"dd-MMM-aa"),"")</f>
      </c>
      <c r="EH186" s="496" t="str">
        <f> IF(EH206&lt;&gt;"",TEXT(AUX!EL$1,"dd-MMM-aa"),"")</f>
      </c>
      <c r="EI186" s="496" t="str">
        <f> IF(EI206&lt;&gt;"",TEXT(AUX!EM$1,"dd-MMM-aa"),"")</f>
      </c>
      <c r="EJ186" s="496" t="str">
        <f> IF(EJ206&lt;&gt;"",TEXT(AUX!EN$1,"dd-MMM-aa"),"")</f>
      </c>
      <c r="EK186" s="496" t="str">
        <f> IF(EK206&lt;&gt;"",TEXT(AUX!EO$1,"dd-MMM-aa"),"")</f>
      </c>
      <c r="EL186" s="496" t="str">
        <f> IF(EL206&lt;&gt;"",TEXT(AUX!EP$1,"dd-MMM-aa"),"")</f>
      </c>
      <c r="EM186" s="496" t="str">
        <f> IF(EM206&lt;&gt;"",TEXT(AUX!EQ$1,"dd-MMM-aa"),"")</f>
      </c>
      <c r="EN186" s="496" t="str">
        <f> IF(EN206&lt;&gt;"",TEXT(AUX!ER$1,"dd-MMM-aa"),"")</f>
      </c>
      <c r="EO186" s="496" t="str">
        <f> IF(EO206&lt;&gt;"",TEXT(AUX!ES$1,"dd-MMM-aa"),"")</f>
      </c>
      <c r="EP186" s="496" t="str">
        <f> IF(EP206&lt;&gt;"",TEXT(AUX!ET$1,"dd-MMM-aa"),"")</f>
      </c>
      <c r="EQ186" s="496" t="str">
        <f> IF(EQ206&lt;&gt;"",TEXT(AUX!EU$1,"dd-MMM-aa"),"")</f>
      </c>
      <c r="ER186" s="496" t="str">
        <f> IF(ER206&lt;&gt;"",TEXT(AUX!EV$1,"dd-MMM-aa"),"")</f>
      </c>
      <c r="ES186" s="496" t="str">
        <f> IF(ES206&lt;&gt;"",TEXT(AUX!EW$1,"dd-MMM-aa"),"")</f>
      </c>
      <c r="ET186" s="496" t="str">
        <f> IF(ET206&lt;&gt;"",TEXT(AUX!EX$1,"dd-MMM-aa"),"")</f>
      </c>
      <c r="EU186" s="496" t="str">
        <f> IF(EU206&lt;&gt;"",TEXT(AUX!EY$1,"dd-MMM-aa"),"")</f>
      </c>
      <c r="EV186" s="496" t="str">
        <f> IF(EV206&lt;&gt;"",TEXT(AUX!EZ$1,"dd-MMM-aa"),"")</f>
      </c>
      <c r="EW186" s="496" t="str">
        <f> IF(EW206&lt;&gt;"",TEXT(AUX!FA$1,"dd-MMM-aa"),"")</f>
      </c>
      <c r="EX186" s="496" t="str">
        <f> IF(EX206&lt;&gt;"",TEXT(AUX!FB$1,"dd-MMM-aa"),"")</f>
      </c>
      <c r="EY186" s="496" t="str">
        <f> IF(EY206&lt;&gt;"",TEXT(AUX!FC$1,"dd-MMM-aa"),"")</f>
      </c>
      <c r="EZ186" s="496" t="str">
        <f> IF(EZ206&lt;&gt;"",TEXT(AUX!FD$1,"dd-MMM-aa"),"")</f>
      </c>
      <c r="FA186" s="496" t="str">
        <f> IF(FA206&lt;&gt;"",TEXT(AUX!FE$1,"dd-MMM-aa"),"")</f>
      </c>
      <c r="FB186" s="496" t="str">
        <f> IF(FB206&lt;&gt;"",TEXT(AUX!FF$1,"dd-MMM-aa"),"")</f>
      </c>
      <c r="FC186" s="496" t="str">
        <f> IF(FC206&lt;&gt;"",TEXT(AUX!FG$1,"dd-MMM-aa"),"")</f>
      </c>
      <c r="FD186" s="496" t="str">
        <f> IF(FD206&lt;&gt;"",TEXT(AUX!FH$1,"dd-MMM-aa"),"")</f>
      </c>
      <c r="FE186" s="496" t="str">
        <f> IF(FE206&lt;&gt;"",TEXT(AUX!FI$1,"dd-MMM-aa"),"")</f>
      </c>
      <c r="FF186" s="496" t="str">
        <f> IF(FF206&lt;&gt;"",TEXT(AUX!FJ$1,"dd-MMM-aa"),"")</f>
      </c>
      <c r="FG186" s="496" t="str">
        <f> IF(FG206&lt;&gt;"",TEXT(AUX!FK$1,"dd-MMM-aa"),"")</f>
      </c>
      <c r="FH186" s="496" t="str">
        <f> IF(FH206&lt;&gt;"",TEXT(AUX!FL$1,"dd-MMM-aa"),"")</f>
      </c>
      <c r="FI186" s="496" t="str">
        <f> IF(FI206&lt;&gt;"",TEXT(AUX!FM$1,"dd-MMM-aa"),"")</f>
      </c>
      <c r="FJ186" s="496" t="str">
        <f> IF(FJ206&lt;&gt;"",TEXT(AUX!FN$1,"dd-MMM-aa"),"")</f>
      </c>
      <c r="FK186" s="496" t="str">
        <f> IF(FK206&lt;&gt;"",TEXT(AUX!FO$1,"dd-MMM-aa"),"")</f>
      </c>
      <c r="FL186" s="496" t="str">
        <f> IF(FL206&lt;&gt;"",TEXT(AUX!FP$1,"dd-MMM-aa"),"")</f>
      </c>
      <c r="FM186" s="496" t="str">
        <f> IF(FM206&lt;&gt;"",TEXT(AUX!FQ$1,"dd-MMM-aa"),"")</f>
      </c>
      <c r="FN186" s="496" t="str">
        <f> IF(FN206&lt;&gt;"",TEXT(AUX!FR$1,"dd-MMM-aa"),"")</f>
      </c>
      <c r="FO186" s="496" t="str">
        <f> IF(FO206&lt;&gt;"",TEXT(AUX!FS$1,"dd-MMM-aa"),"")</f>
      </c>
      <c r="FP186" s="496" t="str">
        <f> IF(FP206&lt;&gt;"",TEXT(AUX!FT$1,"dd-MMM-aa"),"")</f>
      </c>
      <c r="FQ186" s="496" t="str">
        <f> IF(FQ206&lt;&gt;"",TEXT(AUX!FU$1,"dd-MMM-aa"),"")</f>
      </c>
      <c r="FR186" s="496" t="str">
        <f> IF(FR206&lt;&gt;"",TEXT(AUX!FV$1,"dd-MMM-aa"),"")</f>
      </c>
      <c r="FS186" s="496" t="str">
        <f> IF(FS206&lt;&gt;"",TEXT(AUX!FW$1,"dd-MMM-aa"),"")</f>
      </c>
      <c r="FT186" s="496" t="str">
        <f> IF(FT206&lt;&gt;"",TEXT(AUX!FX$1,"dd-MMM-aa"),"")</f>
      </c>
      <c r="FU186" s="496" t="str">
        <f> IF(FU206&lt;&gt;"",TEXT(AUX!FY$1,"dd-MMM-aa"),"")</f>
      </c>
      <c r="FV186" s="496" t="str">
        <f> IF(FV206&lt;&gt;"",TEXT(AUX!FZ$1,"dd-MMM-aa"),"")</f>
      </c>
      <c r="FW186" s="496" t="str">
        <f> IF(FW206&lt;&gt;"",TEXT(AUX!GA$1,"dd-MMM-aa"),"")</f>
      </c>
      <c r="FX186" s="496" t="str">
        <f> IF(FX206&lt;&gt;"",TEXT(AUX!GB$1,"dd-MMM-aa"),"")</f>
      </c>
      <c r="FY186" s="496" t="str">
        <f> IF(FY206&lt;&gt;"",TEXT(AUX!GC$1,"dd-MMM-aa"),"")</f>
      </c>
      <c r="FZ186" s="496" t="str">
        <f> IF(FZ206&lt;&gt;"",TEXT(AUX!GD$1,"dd-MMM-aa"),"")</f>
      </c>
      <c r="GA186" s="496" t="str">
        <f> IF(GA206&lt;&gt;"",TEXT(AUX!GE$1,"dd-MMM-aa"),"")</f>
      </c>
      <c r="GB186" s="496" t="str">
        <f> IF(GB206&lt;&gt;"",TEXT(AUX!GF$1,"dd-MMM-aa"),"")</f>
      </c>
      <c r="GC186" s="496" t="str">
        <f> IF(GC206&lt;&gt;"",TEXT(AUX!GG$1,"dd-MMM-aa"),"")</f>
      </c>
      <c r="GD186" s="496" t="str">
        <f> IF(GD206&lt;&gt;"",TEXT(AUX!GH$1,"dd-MMM-aa"),"")</f>
      </c>
      <c r="GE186" s="496" t="str">
        <f> IF(GE206&lt;&gt;"",TEXT(AUX!GI$1,"dd-MMM-aa"),"")</f>
      </c>
      <c r="GF186" s="496" t="str">
        <f> IF(GF206&lt;&gt;"",TEXT(AUX!GJ$1,"dd-MMM-aa"),"")</f>
      </c>
      <c r="GG186" s="496" t="str">
        <f> IF(GG206&lt;&gt;"",TEXT(AUX!GK$1,"dd-MMM-aa"),"")</f>
      </c>
      <c r="GH186" s="496" t="str">
        <f> IF(GH206&lt;&gt;"",TEXT(AUX!GL$1,"dd-MMM-aa"),"")</f>
      </c>
      <c r="GI186" s="496" t="str">
        <f> IF(GI206&lt;&gt;"",TEXT(AUX!GM$1,"dd-MMM-aa"),"")</f>
      </c>
      <c r="GJ186" s="496" t="str">
        <f> IF(GJ206&lt;&gt;"",TEXT(AUX!GN$1,"dd-MMM-aa"),"")</f>
      </c>
      <c r="GK186" s="496" t="str">
        <f> IF(GK206&lt;&gt;"",TEXT(AUX!GO$1,"dd-MMM-aa"),"")</f>
      </c>
      <c r="GL186" s="496" t="str">
        <f> IF(GL206&lt;&gt;"",TEXT(AUX!GP$1,"dd-MMM-aa"),"")</f>
      </c>
      <c r="GM186" s="496" t="str">
        <f> IF(GM206&lt;&gt;"",TEXT(AUX!GQ$1,"dd-MMM-aa"),"")</f>
      </c>
      <c r="GN186" s="496" t="str">
        <f> IF(GN206&lt;&gt;"",TEXT(AUX!GR$1,"dd-MMM-aa"),"")</f>
      </c>
      <c r="GO186" s="496" t="str">
        <f> IF(GO206&lt;&gt;"",TEXT(AUX!GS$1,"dd-MMM-aa"),"")</f>
      </c>
      <c r="GP186" s="496" t="str">
        <f> IF(GP206&lt;&gt;"",TEXT(AUX!GT$1,"dd-MMM-aa"),"")</f>
      </c>
      <c r="GQ186" s="496" t="str">
        <f> IF(GQ206&lt;&gt;"",TEXT(AUX!GU$1,"dd-MMM-aa"),"")</f>
      </c>
      <c r="GR186" s="496" t="str">
        <f> IF(GR206&lt;&gt;"",TEXT(AUX!GV$1,"dd-MMM-aa"),"")</f>
      </c>
      <c r="GS186" s="496" t="str">
        <f> IF(GS206&lt;&gt;"",TEXT(AUX!GW$1,"dd-MMM-aa"),"")</f>
      </c>
      <c r="GT186" s="496" t="str">
        <f> IF(GT206&lt;&gt;"",TEXT(AUX!GX$1,"dd-MMM-aa"),"")</f>
      </c>
      <c r="GU186" s="496" t="str">
        <f> IF(GU206&lt;&gt;"",TEXT(AUX!GY$1,"dd-MMM-aa"),"")</f>
      </c>
      <c r="GV186" s="496" t="str">
        <f> IF(GV206&lt;&gt;"",TEXT(AUX!GZ$1,"dd-MMM-aa"),"")</f>
      </c>
      <c r="GW186" s="496" t="str">
        <f> IF(GW206&lt;&gt;"",TEXT(AUX!HA$1,"dd-MMM-aa"),"")</f>
      </c>
      <c r="GX186" s="496" t="str">
        <f> IF(GX206&lt;&gt;"",TEXT(AUX!HB$1,"dd-MMM-aa"),"")</f>
      </c>
      <c r="GY186" s="496" t="str">
        <f> IF(GY206&lt;&gt;"",TEXT(AUX!HC$1,"dd-MMM-aa"),"")</f>
      </c>
      <c r="GZ186" s="496" t="str">
        <f> IF(GZ206&lt;&gt;"",TEXT(AUX!HD$1,"dd-MMM-aa"),"")</f>
      </c>
      <c r="HA186" s="496" t="str">
        <f> IF(HA206&lt;&gt;"",TEXT(AUX!HE$1,"dd-MMM-aa"),"")</f>
      </c>
      <c r="HB186" s="496" t="str">
        <f> IF(HB206&lt;&gt;"",TEXT(AUX!HF$1,"dd-MMM-aa"),"")</f>
      </c>
      <c r="HC186" s="496" t="str">
        <f> IF(HC206&lt;&gt;"",TEXT(AUX!HG$1,"dd-MMM-aa"),"")</f>
      </c>
      <c r="HD186" s="496" t="str">
        <f> IF(HD206&lt;&gt;"",TEXT(AUX!HH$1,"dd-MMM-aa"),"")</f>
      </c>
      <c r="HE186" s="496" t="str">
        <f> IF(HE206&lt;&gt;"",TEXT(AUX!HI$1,"dd-MMM-aa"),"")</f>
      </c>
      <c r="HF186" s="496" t="str">
        <f> IF(HF206&lt;&gt;"",TEXT(AUX!HJ$1,"dd-MMM-aa"),"")</f>
      </c>
      <c r="HG186" s="496" t="str">
        <f> IF(HG206&lt;&gt;"",TEXT(AUX!HK$1,"dd-MMM-aa"),"")</f>
      </c>
      <c r="HH186" s="496" t="str">
        <f> IF(HH206&lt;&gt;"",TEXT(AUX!HL$1,"dd-MMM-aa"),"")</f>
      </c>
      <c r="HI186" s="496" t="str">
        <f> IF(HI206&lt;&gt;"",TEXT(AUX!HM$1,"dd-MMM-aa"),"")</f>
      </c>
      <c r="HJ186" s="496" t="str">
        <f> IF(HJ206&lt;&gt;"",TEXT(AUX!HN$1,"dd-MMM-aa"),"")</f>
      </c>
      <c r="HK186" s="496" t="str">
        <f> IF(HK206&lt;&gt;"",TEXT(AUX!HO$1,"dd-MMM-aa"),"")</f>
      </c>
      <c r="HL186" s="496" t="str">
        <f> IF(HL206&lt;&gt;"",TEXT(AUX!HP$1,"dd-MMM-aa"),"")</f>
      </c>
      <c r="HM186" s="496" t="str">
        <f> IF(HM206&lt;&gt;"",TEXT(AUX!HQ$1,"dd-MMM-aa"),"")</f>
      </c>
      <c r="HN186" s="496" t="str">
        <f> IF(HN206&lt;&gt;"",TEXT(AUX!HR$1,"dd-MMM-aa"),"")</f>
      </c>
      <c r="HO186" s="496" t="str">
        <f> IF(HO206&lt;&gt;"",TEXT(AUX!HS$1,"dd-MMM-aa"),"")</f>
      </c>
      <c r="HP186" s="496" t="str">
        <f> IF(HP206&lt;&gt;"",TEXT(AUX!HT$1,"dd-MMM-aa"),"")</f>
      </c>
      <c r="HQ186" s="496" t="str">
        <f> IF(HQ206&lt;&gt;"",TEXT(AUX!HU$1,"dd-MMM-aa"),"")</f>
      </c>
      <c r="HR186" s="496" t="str">
        <f> IF(HR206&lt;&gt;"",TEXT(AUX!HV$1,"dd-MMM-aa"),"")</f>
      </c>
      <c r="HS186" s="496" t="str">
        <f> IF(HS206&lt;&gt;"",TEXT(AUX!HW$1,"dd-MMM-aa"),"")</f>
      </c>
      <c r="HT186" s="496" t="str">
        <f> IF(HT206&lt;&gt;"",TEXT(AUX!HX$1,"dd-MMM-aa"),"")</f>
      </c>
      <c r="HU186" s="496" t="str">
        <f> IF(HU206&lt;&gt;"",TEXT(AUX!HY$1,"dd-MMM-aa"),"")</f>
      </c>
      <c r="HV186" s="496" t="str">
        <f> IF(HV206&lt;&gt;"",TEXT(AUX!HZ$1,"dd-MMM-aa"),"")</f>
      </c>
      <c r="HW186" s="496" t="str">
        <f> IF(HW206&lt;&gt;"",TEXT(AUX!IA$1,"dd-MMM-aa"),"")</f>
      </c>
      <c r="HX186" s="496" t="str">
        <f> IF(HX206&lt;&gt;"",TEXT(AUX!IB$1,"dd-MMM-aa"),"")</f>
      </c>
      <c r="HY186" s="496" t="str">
        <f> IF(HY206&lt;&gt;"",TEXT(AUX!IC$1,"dd-MMM-aa"),"")</f>
      </c>
      <c r="HZ186" s="496" t="str">
        <f> IF(HZ206&lt;&gt;"",TEXT(AUX!ID$1,"dd-MMM-aa"),"")</f>
      </c>
      <c r="IA186" s="496" t="str">
        <f> IF(IA206&lt;&gt;"",TEXT(AUX!IE$1,"dd-MMM-aa"),"")</f>
      </c>
      <c r="IB186" s="496" t="str">
        <f> IF(IB206&lt;&gt;"",TEXT(AUX!IF$1,"dd-MMM-aa"),"")</f>
      </c>
      <c r="IC186" s="496" t="str">
        <f> IF(IC206&lt;&gt;"",TEXT(AUX!IG$1,"dd-MMM-aa"),"")</f>
      </c>
      <c r="ID186" s="496" t="str">
        <f> IF(ID206&lt;&gt;"",TEXT(AUX!IH$1,"dd-MMM-aa"),"")</f>
      </c>
      <c r="IE186" s="496" t="str">
        <f> IF(IE206&lt;&gt;"",TEXT(AUX!II$1,"dd-MMM-aa"),"")</f>
      </c>
      <c r="IF186" s="496" t="str">
        <f> IF(IF206&lt;&gt;"",TEXT(AUX!IJ$1,"dd-MMM-aa"),"")</f>
      </c>
      <c r="IG186" s="496" t="str">
        <f> IF(IG206&lt;&gt;"",TEXT(AUX!IK$1,"dd-MMM-aa"),"")</f>
      </c>
      <c r="IH186" s="496" t="str">
        <f> IF(IH206&lt;&gt;"",TEXT(AUX!IL$1,"dd-MMM-aa"),"")</f>
      </c>
      <c r="II186" s="496" t="str">
        <f> IF(II206&lt;&gt;"",TEXT(AUX!IM$1,"dd-MMM-aa"),"")</f>
      </c>
      <c r="IJ186" s="496" t="str">
        <f> IF(IJ206&lt;&gt;"",TEXT(AUX!IN$1,"dd-MMM-aa"),"")</f>
      </c>
      <c r="IK186" s="496" t="str">
        <f> IF(IK206&lt;&gt;"",TEXT(AUX!IO$1,"dd-MMM-aa"),"")</f>
      </c>
      <c r="IL186" s="496" t="str">
        <f> IF(IL206&lt;&gt;"",TEXT(AUX!IP$1,"dd-MMM-aa"),"")</f>
      </c>
      <c r="IM186" s="496" t="str">
        <f> IF(IM206&lt;&gt;"",TEXT(AUX!IQ$1,"dd-MMM-aa"),"")</f>
      </c>
      <c r="IN186" s="496" t="str">
        <f> IF(IN206&lt;&gt;"",TEXT(AUX!IR$1,"dd-MMM-aa"),"")</f>
      </c>
      <c r="IO186" s="496" t="str">
        <f> IF(IO206&lt;&gt;"",TEXT(AUX!IS$1,"dd-MMM-aa"),"")</f>
      </c>
      <c r="IP186" s="496" t="str">
        <f> IF(IP206&lt;&gt;"",TEXT(AUX!IT$1,"dd-MMM-aa"),"")</f>
      </c>
      <c r="IQ186" s="496" t="str">
        <f> IF(IQ206&lt;&gt;"",TEXT(AUX!IU$1,"dd-MMM-aa"),"")</f>
      </c>
      <c r="IR186" s="496" t="str">
        <f> IF(IR206&lt;&gt;"",TEXT(AUX!IV$1,"dd-MMM-aa"),"")</f>
      </c>
      <c r="IS186" s="496" t="str">
        <f> IF(IS206&lt;&gt;"",TEXT(AUX!#REF!,"dd-MMM-aa"),"")</f>
      </c>
      <c r="IT186" s="496" t="str">
        <f> IF(IT206&lt;&gt;"",TEXT(AUX!#REF!,"dd-MMM-aa"),"")</f>
      </c>
      <c r="IU186" s="496" t="str">
        <f> IF(IU206&lt;&gt;"",TEXT(AUX!#REF!,"dd-MMM-aa"),"")</f>
      </c>
      <c r="IV186" s="496" t="str">
        <f> IF(IV206&lt;&gt;"",TEXT(AUX!#REF!,"dd-MMM-aa"),"")</f>
      </c>
    </row>
    <row r="187" hidden="1" ht="15.95" customHeight="1">
      <c r="B187" s="833" t="s">
        <v>8</v>
      </c>
      <c r="C187" s="827">
        <v>27</v>
      </c>
      <c r="D187" s="827">
        <v>25</v>
      </c>
      <c r="E187" s="827">
        <v>28</v>
      </c>
      <c r="F187" s="827">
        <v>29</v>
      </c>
      <c r="G187" s="827">
        <v>33</v>
      </c>
      <c r="H187" s="827">
        <v>34</v>
      </c>
      <c r="I187" s="827">
        <v>33</v>
      </c>
      <c r="J187" s="827">
        <v>32</v>
      </c>
      <c r="K187" s="827">
        <v>37</v>
      </c>
      <c r="L187" s="827">
        <v>36</v>
      </c>
      <c r="M187" s="827">
        <v>38</v>
      </c>
      <c r="N187" s="827">
        <v>36</v>
      </c>
      <c r="O187" s="827">
        <v>37</v>
      </c>
      <c r="P187" s="827">
        <v>37</v>
      </c>
      <c r="Q187" s="827">
        <v>38</v>
      </c>
      <c r="R187" s="827">
        <v>38</v>
      </c>
      <c r="S187" s="827">
        <v>42</v>
      </c>
      <c r="T187" s="827">
        <v>39</v>
      </c>
      <c r="U187" s="827">
        <v>38</v>
      </c>
      <c r="V187" s="827">
        <v>41</v>
      </c>
      <c r="W187" s="827">
        <v>42</v>
      </c>
      <c r="X187" s="827">
        <v>30</v>
      </c>
      <c r="Y187" s="827">
        <v>44</v>
      </c>
      <c r="Z187" s="827">
        <v>46</v>
      </c>
      <c r="AA187" s="827">
        <v>46</v>
      </c>
      <c r="AB187" s="834">
        <v>48</v>
      </c>
      <c r="AC187" s="828">
        <v>51</v>
      </c>
      <c r="AD187" s="828">
        <v>50</v>
      </c>
      <c r="AE187" s="828">
        <v>49</v>
      </c>
      <c r="AF187" s="828">
        <v>49</v>
      </c>
      <c r="AG187" s="828">
        <v>49</v>
      </c>
      <c r="AH187" s="828">
        <v>47</v>
      </c>
      <c r="AI187" s="828">
        <v>49</v>
      </c>
      <c r="AJ187" s="828">
        <v>50</v>
      </c>
      <c r="AK187" s="828">
        <v>48</v>
      </c>
      <c r="AL187" s="828">
        <v>46</v>
      </c>
      <c r="AM187" s="828">
        <v>44</v>
      </c>
      <c r="AN187" s="828">
        <v>42</v>
      </c>
      <c r="AO187" s="828">
        <v>43</v>
      </c>
      <c r="AP187" s="828">
        <v>43</v>
      </c>
    </row>
    <row r="188" hidden="1" ht="15.95" customHeight="1">
      <c r="B188" s="829" t="s">
        <v>9</v>
      </c>
      <c r="C188" s="823">
        <v>5</v>
      </c>
      <c r="D188" s="823">
        <v>7</v>
      </c>
      <c r="E188" s="823">
        <v>7</v>
      </c>
      <c r="F188" s="823">
        <v>7</v>
      </c>
      <c r="G188" s="823">
        <v>7</v>
      </c>
      <c r="H188" s="823">
        <v>7</v>
      </c>
      <c r="I188" s="823">
        <v>7</v>
      </c>
      <c r="J188" s="823">
        <v>7</v>
      </c>
      <c r="K188" s="823">
        <v>7</v>
      </c>
      <c r="L188" s="823">
        <v>7</v>
      </c>
      <c r="M188" s="823">
        <v>6</v>
      </c>
      <c r="N188" s="823">
        <v>4</v>
      </c>
      <c r="O188" s="823">
        <v>4</v>
      </c>
      <c r="P188" s="823">
        <v>5</v>
      </c>
      <c r="Q188" s="823">
        <v>4</v>
      </c>
      <c r="R188" s="823">
        <v>4</v>
      </c>
      <c r="S188" s="823">
        <v>4</v>
      </c>
      <c r="T188" s="823">
        <v>4</v>
      </c>
      <c r="U188" s="823">
        <v>4</v>
      </c>
      <c r="V188" s="823">
        <v>3</v>
      </c>
      <c r="W188" s="823">
        <v>3</v>
      </c>
      <c r="X188" s="823">
        <v>3</v>
      </c>
      <c r="Y188" s="823">
        <v>3</v>
      </c>
      <c r="Z188" s="823">
        <v>3</v>
      </c>
      <c r="AA188" s="823">
        <v>3</v>
      </c>
      <c r="AB188" s="823">
        <v>3</v>
      </c>
      <c r="AC188" s="825">
        <v>3</v>
      </c>
      <c r="AD188" s="825">
        <v>3</v>
      </c>
      <c r="AE188" s="825">
        <v>3</v>
      </c>
      <c r="AF188" s="825">
        <v>3</v>
      </c>
      <c r="AG188" s="825">
        <v>3</v>
      </c>
      <c r="AH188" s="825">
        <v>3</v>
      </c>
      <c r="AI188" s="825">
        <v>3</v>
      </c>
      <c r="AJ188" s="825">
        <v>3</v>
      </c>
      <c r="AK188" s="825">
        <v>3</v>
      </c>
      <c r="AL188" s="825">
        <v>3</v>
      </c>
      <c r="AM188" s="825">
        <v>3</v>
      </c>
      <c r="AN188" s="825">
        <v>3</v>
      </c>
      <c r="AO188" s="825">
        <v>3</v>
      </c>
      <c r="AP188" s="825">
        <v>3</v>
      </c>
    </row>
    <row r="189" hidden="1" ht="15.95" customHeight="1">
      <c r="B189" s="826" t="s">
        <v>10</v>
      </c>
      <c r="C189" s="827">
        <v>1</v>
      </c>
      <c r="D189" s="827">
        <v>1</v>
      </c>
      <c r="E189" s="827">
        <v>1</v>
      </c>
      <c r="F189" s="827">
        <v>1</v>
      </c>
      <c r="G189" s="827">
        <v>1</v>
      </c>
      <c r="H189" s="827">
        <v>1</v>
      </c>
      <c r="I189" s="827">
        <v>1</v>
      </c>
      <c r="J189" s="827">
        <v>1</v>
      </c>
      <c r="K189" s="827">
        <v>1</v>
      </c>
      <c r="L189" s="827">
        <v>1</v>
      </c>
      <c r="M189" s="827">
        <v>1</v>
      </c>
      <c r="N189" s="827">
        <v>1</v>
      </c>
      <c r="O189" s="827">
        <v>1</v>
      </c>
      <c r="P189" s="827">
        <v>1</v>
      </c>
      <c r="Q189" s="827">
        <v>1</v>
      </c>
      <c r="R189" s="827">
        <v>1</v>
      </c>
      <c r="S189" s="827">
        <v>1</v>
      </c>
      <c r="T189" s="827">
        <v>1</v>
      </c>
      <c r="U189" s="827">
        <v>1</v>
      </c>
      <c r="V189" s="827">
        <v>1</v>
      </c>
      <c r="W189" s="827">
        <v>1</v>
      </c>
      <c r="X189" s="827">
        <v>1</v>
      </c>
      <c r="Y189" s="827">
        <v>1</v>
      </c>
      <c r="Z189" s="827">
        <v>1</v>
      </c>
      <c r="AA189" s="827">
        <v>1</v>
      </c>
      <c r="AB189" s="827">
        <v>1</v>
      </c>
      <c r="AC189" s="828">
        <v>1</v>
      </c>
      <c r="AD189" s="828">
        <v>1</v>
      </c>
      <c r="AE189" s="828">
        <v>1</v>
      </c>
      <c r="AF189" s="828">
        <v>1</v>
      </c>
      <c r="AG189" s="828">
        <v>1</v>
      </c>
      <c r="AH189" s="828">
        <v>1</v>
      </c>
      <c r="AI189" s="828">
        <v>1</v>
      </c>
      <c r="AJ189" s="828">
        <v>1</v>
      </c>
      <c r="AK189" s="828">
        <v>1</v>
      </c>
      <c r="AL189" s="828">
        <v>1</v>
      </c>
      <c r="AM189" s="828">
        <v>1</v>
      </c>
      <c r="AN189" s="828">
        <v>1</v>
      </c>
      <c r="AO189" s="828">
        <v>1</v>
      </c>
      <c r="AP189" s="828">
        <v>1</v>
      </c>
    </row>
    <row r="190" hidden="1" ht="15.95" customHeight="1">
      <c r="B190" s="829" t="s">
        <v>11</v>
      </c>
      <c r="C190" s="823">
        <v>0</v>
      </c>
      <c r="D190" s="823">
        <v>0</v>
      </c>
      <c r="E190" s="823">
        <v>0</v>
      </c>
      <c r="F190" s="823">
        <v>0</v>
      </c>
      <c r="G190" s="823">
        <v>0</v>
      </c>
      <c r="H190" s="823">
        <v>0</v>
      </c>
      <c r="I190" s="823">
        <v>0</v>
      </c>
      <c r="J190" s="823">
        <v>0</v>
      </c>
      <c r="K190" s="823">
        <v>0</v>
      </c>
      <c r="L190" s="823">
        <v>0</v>
      </c>
      <c r="M190" s="823">
        <v>0</v>
      </c>
      <c r="N190" s="823">
        <v>0</v>
      </c>
      <c r="O190" s="823">
        <v>0</v>
      </c>
      <c r="P190" s="823">
        <v>0</v>
      </c>
      <c r="Q190" s="823">
        <v>0</v>
      </c>
      <c r="R190" s="823">
        <v>0</v>
      </c>
      <c r="S190" s="823">
        <v>0</v>
      </c>
      <c r="T190" s="823">
        <v>0</v>
      </c>
      <c r="U190" s="823">
        <v>0</v>
      </c>
      <c r="V190" s="823">
        <v>0</v>
      </c>
      <c r="W190" s="823">
        <v>0</v>
      </c>
      <c r="X190" s="823">
        <v>0</v>
      </c>
      <c r="Y190" s="823">
        <v>0</v>
      </c>
      <c r="Z190" s="823">
        <v>0</v>
      </c>
      <c r="AA190" s="823">
        <v>0</v>
      </c>
      <c r="AB190" s="823">
        <v>0</v>
      </c>
      <c r="AC190" s="825">
        <v>0</v>
      </c>
      <c r="AD190" s="825">
        <v>0</v>
      </c>
      <c r="AE190" s="825">
        <v>0</v>
      </c>
      <c r="AF190" s="825">
        <v>0</v>
      </c>
      <c r="AG190" s="825">
        <v>0</v>
      </c>
      <c r="AH190" s="825">
        <v>0</v>
      </c>
      <c r="AI190" s="825">
        <v>0</v>
      </c>
      <c r="AJ190" s="825">
        <v>0</v>
      </c>
      <c r="AK190" s="825">
        <v>0</v>
      </c>
      <c r="AL190" s="825">
        <v>0</v>
      </c>
      <c r="AM190" s="825">
        <v>0</v>
      </c>
      <c r="AN190" s="825">
        <v>0</v>
      </c>
      <c r="AO190" s="825">
        <v>0</v>
      </c>
      <c r="AP190" s="825">
        <v>0</v>
      </c>
    </row>
    <row r="191" hidden="1" ht="15.95" customHeight="1">
      <c r="B191" s="826" t="s">
        <v>12</v>
      </c>
      <c r="C191" s="827">
        <v>2</v>
      </c>
      <c r="D191" s="827">
        <v>2</v>
      </c>
      <c r="E191" s="827">
        <v>2</v>
      </c>
      <c r="F191" s="827">
        <v>2</v>
      </c>
      <c r="G191" s="827">
        <v>2</v>
      </c>
      <c r="H191" s="827">
        <v>2</v>
      </c>
      <c r="I191" s="827">
        <v>2</v>
      </c>
      <c r="J191" s="827">
        <v>2</v>
      </c>
      <c r="K191" s="827">
        <v>2</v>
      </c>
      <c r="L191" s="827">
        <v>2</v>
      </c>
      <c r="M191" s="827">
        <v>1</v>
      </c>
      <c r="N191" s="827">
        <v>0</v>
      </c>
      <c r="O191" s="827">
        <v>1</v>
      </c>
      <c r="P191" s="827">
        <v>1</v>
      </c>
      <c r="Q191" s="827">
        <v>1</v>
      </c>
      <c r="R191" s="827">
        <v>1</v>
      </c>
      <c r="S191" s="827">
        <v>1</v>
      </c>
      <c r="T191" s="827">
        <v>1</v>
      </c>
      <c r="U191" s="827">
        <v>1</v>
      </c>
      <c r="V191" s="827">
        <v>1</v>
      </c>
      <c r="W191" s="827">
        <v>1</v>
      </c>
      <c r="X191" s="827">
        <v>1</v>
      </c>
      <c r="Y191" s="827">
        <v>1</v>
      </c>
      <c r="Z191" s="827">
        <v>2</v>
      </c>
      <c r="AA191" s="827">
        <v>2</v>
      </c>
      <c r="AB191" s="827">
        <v>2</v>
      </c>
      <c r="AC191" s="828">
        <v>1</v>
      </c>
      <c r="AD191" s="828">
        <v>1</v>
      </c>
      <c r="AE191" s="828">
        <v>1</v>
      </c>
      <c r="AF191" s="828">
        <v>1</v>
      </c>
      <c r="AG191" s="828">
        <v>1</v>
      </c>
      <c r="AH191" s="828">
        <v>1</v>
      </c>
      <c r="AI191" s="828">
        <v>1</v>
      </c>
      <c r="AJ191" s="828">
        <v>1</v>
      </c>
      <c r="AK191" s="828">
        <v>1</v>
      </c>
      <c r="AL191" s="828">
        <v>1</v>
      </c>
      <c r="AM191" s="828">
        <v>1</v>
      </c>
      <c r="AN191" s="828">
        <v>1</v>
      </c>
      <c r="AO191" s="828">
        <v>1</v>
      </c>
      <c r="AP191" s="828">
        <v>1</v>
      </c>
    </row>
    <row r="192" hidden="1" ht="15.95" customHeight="1">
      <c r="B192" s="829" t="s">
        <v>13</v>
      </c>
      <c r="C192" s="823">
        <v>1</v>
      </c>
      <c r="D192" s="823">
        <v>1</v>
      </c>
      <c r="E192" s="823">
        <v>3</v>
      </c>
      <c r="F192" s="823">
        <v>2</v>
      </c>
      <c r="G192" s="823">
        <v>2</v>
      </c>
      <c r="H192" s="823">
        <v>1</v>
      </c>
      <c r="I192" s="823">
        <v>1</v>
      </c>
      <c r="J192" s="823">
        <v>1</v>
      </c>
      <c r="K192" s="823">
        <v>1</v>
      </c>
      <c r="L192" s="823">
        <v>1</v>
      </c>
      <c r="M192" s="823">
        <v>1</v>
      </c>
      <c r="N192" s="823">
        <v>1</v>
      </c>
      <c r="O192" s="823">
        <v>1</v>
      </c>
      <c r="P192" s="823">
        <v>0</v>
      </c>
      <c r="Q192" s="823">
        <v>0</v>
      </c>
      <c r="R192" s="823">
        <v>0</v>
      </c>
      <c r="S192" s="823">
        <v>0</v>
      </c>
      <c r="T192" s="823">
        <v>0</v>
      </c>
      <c r="U192" s="823">
        <v>0</v>
      </c>
      <c r="V192" s="823">
        <v>0</v>
      </c>
      <c r="W192" s="823">
        <v>0</v>
      </c>
      <c r="X192" s="823">
        <v>0</v>
      </c>
      <c r="Y192" s="823">
        <v>0</v>
      </c>
      <c r="Z192" s="823">
        <v>0</v>
      </c>
      <c r="AA192" s="823">
        <v>0</v>
      </c>
      <c r="AB192" s="823">
        <v>0</v>
      </c>
      <c r="AC192" s="825">
        <v>0</v>
      </c>
      <c r="AD192" s="825">
        <v>0</v>
      </c>
      <c r="AE192" s="825">
        <v>0</v>
      </c>
      <c r="AF192" s="825">
        <v>0</v>
      </c>
      <c r="AG192" s="825">
        <v>0</v>
      </c>
      <c r="AH192" s="825">
        <v>0</v>
      </c>
      <c r="AI192" s="825">
        <v>0</v>
      </c>
      <c r="AJ192" s="825">
        <v>0</v>
      </c>
      <c r="AK192" s="825">
        <v>0</v>
      </c>
      <c r="AL192" s="825">
        <v>0</v>
      </c>
      <c r="AM192" s="825">
        <v>0</v>
      </c>
      <c r="AN192" s="825">
        <v>0</v>
      </c>
      <c r="AO192" s="825">
        <v>0</v>
      </c>
      <c r="AP192" s="825">
        <v>0</v>
      </c>
    </row>
    <row r="193" hidden="1" ht="15.95" customHeight="1">
      <c r="B193" s="826" t="s">
        <v>109</v>
      </c>
      <c r="C193" s="827">
        <v>10</v>
      </c>
      <c r="D193" s="827">
        <v>10</v>
      </c>
      <c r="E193" s="827">
        <v>10</v>
      </c>
      <c r="F193" s="827">
        <v>11</v>
      </c>
      <c r="G193" s="827">
        <v>11</v>
      </c>
      <c r="H193" s="827">
        <v>11</v>
      </c>
      <c r="I193" s="827">
        <v>10</v>
      </c>
      <c r="J193" s="827">
        <v>10</v>
      </c>
      <c r="K193" s="827">
        <v>10</v>
      </c>
      <c r="L193" s="827">
        <v>10</v>
      </c>
      <c r="M193" s="827">
        <v>10</v>
      </c>
      <c r="N193" s="827">
        <v>10</v>
      </c>
      <c r="O193" s="827">
        <v>10</v>
      </c>
      <c r="P193" s="827">
        <v>10</v>
      </c>
      <c r="Q193" s="827">
        <v>8</v>
      </c>
      <c r="R193" s="827">
        <v>8</v>
      </c>
      <c r="S193" s="827">
        <v>9</v>
      </c>
      <c r="T193" s="827">
        <v>9</v>
      </c>
      <c r="U193" s="827">
        <v>9</v>
      </c>
      <c r="V193" s="827">
        <v>9</v>
      </c>
      <c r="W193" s="827">
        <v>9</v>
      </c>
      <c r="X193" s="827">
        <v>9</v>
      </c>
      <c r="Y193" s="827">
        <v>9</v>
      </c>
      <c r="Z193" s="827">
        <v>9</v>
      </c>
      <c r="AA193" s="827">
        <v>10</v>
      </c>
      <c r="AB193" s="827">
        <v>10</v>
      </c>
      <c r="AC193" s="828">
        <v>9</v>
      </c>
      <c r="AD193" s="828">
        <v>9</v>
      </c>
      <c r="AE193" s="828">
        <v>9</v>
      </c>
      <c r="AF193" s="828">
        <v>9</v>
      </c>
      <c r="AG193" s="828">
        <v>9</v>
      </c>
      <c r="AH193" s="828">
        <v>9</v>
      </c>
      <c r="AI193" s="828">
        <v>9</v>
      </c>
      <c r="AJ193" s="828">
        <v>9</v>
      </c>
      <c r="AK193" s="828">
        <v>9</v>
      </c>
      <c r="AL193" s="828">
        <v>9</v>
      </c>
      <c r="AM193" s="828">
        <v>9</v>
      </c>
      <c r="AN193" s="828">
        <v>9</v>
      </c>
      <c r="AO193" s="828">
        <v>10</v>
      </c>
      <c r="AP193" s="828">
        <v>10</v>
      </c>
    </row>
    <row r="194" hidden="1" ht="15.95" customHeight="1">
      <c r="B194" s="829" t="s">
        <v>110</v>
      </c>
      <c r="C194" s="823">
        <v>20</v>
      </c>
      <c r="D194" s="823">
        <v>21</v>
      </c>
      <c r="E194" s="823">
        <v>21</v>
      </c>
      <c r="F194" s="823">
        <v>20</v>
      </c>
      <c r="G194" s="823">
        <v>20</v>
      </c>
      <c r="H194" s="823">
        <v>20</v>
      </c>
      <c r="I194" s="823">
        <v>20</v>
      </c>
      <c r="J194" s="823">
        <v>19</v>
      </c>
      <c r="K194" s="823">
        <v>17</v>
      </c>
      <c r="L194" s="823">
        <v>18</v>
      </c>
      <c r="M194" s="823">
        <v>15</v>
      </c>
      <c r="N194" s="823">
        <v>15</v>
      </c>
      <c r="O194" s="823">
        <v>15</v>
      </c>
      <c r="P194" s="823">
        <v>16</v>
      </c>
      <c r="Q194" s="823">
        <v>15</v>
      </c>
      <c r="R194" s="823">
        <v>14</v>
      </c>
      <c r="S194" s="823">
        <v>16</v>
      </c>
      <c r="T194" s="823">
        <v>16</v>
      </c>
      <c r="U194" s="823">
        <v>15</v>
      </c>
      <c r="V194" s="823">
        <v>15</v>
      </c>
      <c r="W194" s="823">
        <v>16</v>
      </c>
      <c r="X194" s="823">
        <v>16</v>
      </c>
      <c r="Y194" s="823">
        <v>15</v>
      </c>
      <c r="Z194" s="823">
        <v>16</v>
      </c>
      <c r="AA194" s="823">
        <v>16</v>
      </c>
      <c r="AB194" s="823">
        <v>15</v>
      </c>
      <c r="AC194" s="825">
        <v>15</v>
      </c>
      <c r="AD194" s="825">
        <v>15</v>
      </c>
      <c r="AE194" s="825">
        <v>15</v>
      </c>
      <c r="AF194" s="825">
        <v>15</v>
      </c>
      <c r="AG194" s="825">
        <v>16</v>
      </c>
      <c r="AH194" s="825">
        <v>17</v>
      </c>
      <c r="AI194" s="825">
        <v>17</v>
      </c>
      <c r="AJ194" s="825">
        <v>17</v>
      </c>
      <c r="AK194" s="825">
        <v>17</v>
      </c>
      <c r="AL194" s="825">
        <v>16</v>
      </c>
      <c r="AM194" s="825">
        <v>16</v>
      </c>
      <c r="AN194" s="825">
        <v>17</v>
      </c>
      <c r="AO194" s="825">
        <v>17</v>
      </c>
      <c r="AP194" s="825">
        <v>17</v>
      </c>
    </row>
    <row r="195" hidden="1" ht="15.95" customHeight="1">
      <c r="B195" s="826" t="s">
        <v>16</v>
      </c>
      <c r="C195" s="827">
        <v>22</v>
      </c>
      <c r="D195" s="827">
        <v>23</v>
      </c>
      <c r="E195" s="827">
        <v>25</v>
      </c>
      <c r="F195" s="827">
        <v>25</v>
      </c>
      <c r="G195" s="827">
        <v>26</v>
      </c>
      <c r="H195" s="827">
        <v>27</v>
      </c>
      <c r="I195" s="827">
        <v>26</v>
      </c>
      <c r="J195" s="827">
        <v>24</v>
      </c>
      <c r="K195" s="827">
        <v>24</v>
      </c>
      <c r="L195" s="827">
        <v>23</v>
      </c>
      <c r="M195" s="827">
        <v>23</v>
      </c>
      <c r="N195" s="827">
        <v>23</v>
      </c>
      <c r="O195" s="827">
        <v>21</v>
      </c>
      <c r="P195" s="827">
        <v>20</v>
      </c>
      <c r="Q195" s="827">
        <v>20</v>
      </c>
      <c r="R195" s="827">
        <v>22</v>
      </c>
      <c r="S195" s="827">
        <v>23</v>
      </c>
      <c r="T195" s="827">
        <v>24</v>
      </c>
      <c r="U195" s="827">
        <v>20</v>
      </c>
      <c r="V195" s="827">
        <v>17</v>
      </c>
      <c r="W195" s="827">
        <v>17</v>
      </c>
      <c r="X195" s="827">
        <v>17</v>
      </c>
      <c r="Y195" s="827">
        <v>17</v>
      </c>
      <c r="Z195" s="827">
        <v>16</v>
      </c>
      <c r="AA195" s="827">
        <v>15</v>
      </c>
      <c r="AB195" s="827">
        <v>17</v>
      </c>
      <c r="AC195" s="828">
        <v>18</v>
      </c>
      <c r="AD195" s="828">
        <v>18</v>
      </c>
      <c r="AE195" s="828">
        <v>20</v>
      </c>
      <c r="AF195" s="828">
        <v>20</v>
      </c>
      <c r="AG195" s="828">
        <v>20</v>
      </c>
      <c r="AH195" s="828">
        <v>20</v>
      </c>
      <c r="AI195" s="828">
        <v>20</v>
      </c>
      <c r="AJ195" s="828">
        <v>20</v>
      </c>
      <c r="AK195" s="828">
        <v>19</v>
      </c>
      <c r="AL195" s="828">
        <v>19</v>
      </c>
      <c r="AM195" s="828">
        <v>19</v>
      </c>
      <c r="AN195" s="828">
        <v>19</v>
      </c>
      <c r="AO195" s="828">
        <v>19</v>
      </c>
      <c r="AP195" s="828">
        <v>18</v>
      </c>
    </row>
    <row r="196" hidden="1" ht="15.95" customHeight="1">
      <c r="B196" s="829" t="s">
        <v>17</v>
      </c>
      <c r="C196" s="823">
        <v>25</v>
      </c>
      <c r="D196" s="823">
        <v>27</v>
      </c>
      <c r="E196" s="823">
        <v>27</v>
      </c>
      <c r="F196" s="823">
        <v>28</v>
      </c>
      <c r="G196" s="823">
        <v>27</v>
      </c>
      <c r="H196" s="823">
        <v>27</v>
      </c>
      <c r="I196" s="823">
        <v>29</v>
      </c>
      <c r="J196" s="823">
        <v>30</v>
      </c>
      <c r="K196" s="823">
        <v>30</v>
      </c>
      <c r="L196" s="823">
        <v>30</v>
      </c>
      <c r="M196" s="823">
        <v>32</v>
      </c>
      <c r="N196" s="823">
        <v>32</v>
      </c>
      <c r="O196" s="823">
        <v>33</v>
      </c>
      <c r="P196" s="823">
        <v>14</v>
      </c>
      <c r="Q196" s="823">
        <v>14</v>
      </c>
      <c r="R196" s="823">
        <v>13</v>
      </c>
      <c r="S196" s="823">
        <v>14</v>
      </c>
      <c r="T196" s="823">
        <v>17</v>
      </c>
      <c r="U196" s="823">
        <v>17</v>
      </c>
      <c r="V196" s="823">
        <v>18</v>
      </c>
      <c r="W196" s="823">
        <v>17</v>
      </c>
      <c r="X196" s="823">
        <v>18</v>
      </c>
      <c r="Y196" s="823">
        <v>18</v>
      </c>
      <c r="Z196" s="823">
        <v>30</v>
      </c>
      <c r="AA196" s="823">
        <v>30</v>
      </c>
      <c r="AB196" s="823">
        <v>37</v>
      </c>
      <c r="AC196" s="825">
        <v>42</v>
      </c>
      <c r="AD196" s="825">
        <v>42</v>
      </c>
      <c r="AE196" s="825">
        <v>45</v>
      </c>
      <c r="AF196" s="825">
        <v>46</v>
      </c>
      <c r="AG196" s="825">
        <v>45</v>
      </c>
      <c r="AH196" s="825">
        <v>59</v>
      </c>
      <c r="AI196" s="825">
        <v>74</v>
      </c>
      <c r="AJ196" s="825">
        <v>76</v>
      </c>
      <c r="AK196" s="825">
        <v>76</v>
      </c>
      <c r="AL196" s="825">
        <v>79</v>
      </c>
      <c r="AM196" s="825">
        <v>81</v>
      </c>
      <c r="AN196" s="825">
        <v>80</v>
      </c>
      <c r="AO196" s="825">
        <v>83</v>
      </c>
      <c r="AP196" s="825">
        <v>81</v>
      </c>
    </row>
    <row r="197" hidden="1" ht="15.95" customHeight="1">
      <c r="B197" s="826" t="s">
        <v>18</v>
      </c>
      <c r="C197" s="827">
        <v>8</v>
      </c>
      <c r="D197" s="827">
        <v>8</v>
      </c>
      <c r="E197" s="827">
        <v>7</v>
      </c>
      <c r="F197" s="827">
        <v>6</v>
      </c>
      <c r="G197" s="827">
        <v>5</v>
      </c>
      <c r="H197" s="827">
        <v>6</v>
      </c>
      <c r="I197" s="827">
        <v>6</v>
      </c>
      <c r="J197" s="827">
        <v>6</v>
      </c>
      <c r="K197" s="827">
        <v>6</v>
      </c>
      <c r="L197" s="827">
        <v>9</v>
      </c>
      <c r="M197" s="827">
        <v>7</v>
      </c>
      <c r="N197" s="827">
        <v>7</v>
      </c>
      <c r="O197" s="827">
        <v>6</v>
      </c>
      <c r="P197" s="827">
        <v>5</v>
      </c>
      <c r="Q197" s="827">
        <v>5</v>
      </c>
      <c r="R197" s="827">
        <v>5</v>
      </c>
      <c r="S197" s="827">
        <v>5</v>
      </c>
      <c r="T197" s="827">
        <v>5</v>
      </c>
      <c r="U197" s="827">
        <v>5</v>
      </c>
      <c r="V197" s="827">
        <v>4</v>
      </c>
      <c r="W197" s="827">
        <v>4</v>
      </c>
      <c r="X197" s="827">
        <v>4</v>
      </c>
      <c r="Y197" s="827">
        <v>4</v>
      </c>
      <c r="Z197" s="827">
        <v>4</v>
      </c>
      <c r="AA197" s="827">
        <v>4</v>
      </c>
      <c r="AB197" s="827">
        <v>4</v>
      </c>
      <c r="AC197" s="828">
        <v>4</v>
      </c>
      <c r="AD197" s="828">
        <v>5</v>
      </c>
      <c r="AE197" s="828">
        <v>5</v>
      </c>
      <c r="AF197" s="828">
        <v>5</v>
      </c>
      <c r="AG197" s="828">
        <v>5</v>
      </c>
      <c r="AH197" s="828">
        <v>5</v>
      </c>
      <c r="AI197" s="828">
        <v>5</v>
      </c>
      <c r="AJ197" s="828">
        <v>5</v>
      </c>
      <c r="AK197" s="828">
        <v>5</v>
      </c>
      <c r="AL197" s="828">
        <v>5</v>
      </c>
      <c r="AM197" s="828">
        <v>5</v>
      </c>
      <c r="AN197" s="828">
        <v>5</v>
      </c>
      <c r="AO197" s="828">
        <v>5</v>
      </c>
      <c r="AP197" s="828">
        <v>5</v>
      </c>
    </row>
    <row r="198" hidden="1" ht="15.95" customHeight="1">
      <c r="B198" s="829" t="s">
        <v>19</v>
      </c>
      <c r="C198" s="823">
        <v>4</v>
      </c>
      <c r="D198" s="823">
        <v>3</v>
      </c>
      <c r="E198" s="823">
        <v>3</v>
      </c>
      <c r="F198" s="823">
        <v>3</v>
      </c>
      <c r="G198" s="823">
        <v>3</v>
      </c>
      <c r="H198" s="823">
        <v>3</v>
      </c>
      <c r="I198" s="823">
        <v>3</v>
      </c>
      <c r="J198" s="823">
        <v>2</v>
      </c>
      <c r="K198" s="823">
        <v>2</v>
      </c>
      <c r="L198" s="823">
        <v>2</v>
      </c>
      <c r="M198" s="823">
        <v>2</v>
      </c>
      <c r="N198" s="823">
        <v>2</v>
      </c>
      <c r="O198" s="823">
        <v>2</v>
      </c>
      <c r="P198" s="823">
        <v>2</v>
      </c>
      <c r="Q198" s="823">
        <v>2</v>
      </c>
      <c r="R198" s="823">
        <v>2</v>
      </c>
      <c r="S198" s="823">
        <v>2</v>
      </c>
      <c r="T198" s="823">
        <v>1</v>
      </c>
      <c r="U198" s="823">
        <v>1</v>
      </c>
      <c r="V198" s="823">
        <v>1</v>
      </c>
      <c r="W198" s="823">
        <v>1</v>
      </c>
      <c r="X198" s="823">
        <v>1</v>
      </c>
      <c r="Y198" s="823">
        <v>1</v>
      </c>
      <c r="Z198" s="823">
        <v>1</v>
      </c>
      <c r="AA198" s="823">
        <v>1</v>
      </c>
      <c r="AB198" s="823">
        <v>1</v>
      </c>
      <c r="AC198" s="825">
        <v>1</v>
      </c>
      <c r="AD198" s="825">
        <v>1</v>
      </c>
      <c r="AE198" s="825">
        <v>1</v>
      </c>
      <c r="AF198" s="825">
        <v>1</v>
      </c>
      <c r="AG198" s="825">
        <v>1</v>
      </c>
      <c r="AH198" s="825">
        <v>1</v>
      </c>
      <c r="AI198" s="825">
        <v>1</v>
      </c>
      <c r="AJ198" s="825">
        <v>1</v>
      </c>
      <c r="AK198" s="825">
        <v>1</v>
      </c>
      <c r="AL198" s="825">
        <v>1</v>
      </c>
      <c r="AM198" s="825">
        <v>1</v>
      </c>
      <c r="AN198" s="825">
        <v>1</v>
      </c>
      <c r="AO198" s="825">
        <v>1</v>
      </c>
      <c r="AP198" s="825">
        <v>1</v>
      </c>
    </row>
    <row r="199" hidden="1" ht="15.95" customHeight="1">
      <c r="B199" s="826" t="s">
        <v>20</v>
      </c>
      <c r="C199" s="827">
        <v>0</v>
      </c>
      <c r="D199" s="827">
        <v>0</v>
      </c>
      <c r="E199" s="827">
        <v>0</v>
      </c>
      <c r="F199" s="827">
        <v>0</v>
      </c>
      <c r="G199" s="827">
        <v>0</v>
      </c>
      <c r="H199" s="827">
        <v>0</v>
      </c>
      <c r="I199" s="827">
        <v>0</v>
      </c>
      <c r="J199" s="827">
        <v>0</v>
      </c>
      <c r="K199" s="827">
        <v>0</v>
      </c>
      <c r="L199" s="827">
        <v>0</v>
      </c>
      <c r="M199" s="827">
        <v>0</v>
      </c>
      <c r="N199" s="827">
        <v>0</v>
      </c>
      <c r="O199" s="827">
        <v>0</v>
      </c>
      <c r="P199" s="827">
        <v>0</v>
      </c>
      <c r="Q199" s="827">
        <v>0</v>
      </c>
      <c r="R199" s="827">
        <v>0</v>
      </c>
      <c r="S199" s="827">
        <v>0</v>
      </c>
      <c r="T199" s="827">
        <v>0</v>
      </c>
      <c r="U199" s="827">
        <v>0</v>
      </c>
      <c r="V199" s="827">
        <v>0</v>
      </c>
      <c r="W199" s="827">
        <v>0</v>
      </c>
      <c r="X199" s="827">
        <v>0</v>
      </c>
      <c r="Y199" s="827">
        <v>1</v>
      </c>
      <c r="Z199" s="827">
        <v>1</v>
      </c>
      <c r="AA199" s="827">
        <v>1</v>
      </c>
      <c r="AB199" s="827">
        <v>1</v>
      </c>
      <c r="AC199" s="828">
        <v>1</v>
      </c>
      <c r="AD199" s="828">
        <v>1</v>
      </c>
      <c r="AE199" s="828">
        <v>1</v>
      </c>
      <c r="AF199" s="828">
        <v>1</v>
      </c>
      <c r="AG199" s="828">
        <v>1</v>
      </c>
      <c r="AH199" s="828">
        <v>1</v>
      </c>
      <c r="AI199" s="828">
        <v>1</v>
      </c>
      <c r="AJ199" s="828">
        <v>1</v>
      </c>
      <c r="AK199" s="828">
        <v>1</v>
      </c>
      <c r="AL199" s="828">
        <v>1</v>
      </c>
      <c r="AM199" s="828">
        <v>1</v>
      </c>
      <c r="AN199" s="828">
        <v>1</v>
      </c>
      <c r="AO199" s="828">
        <v>1</v>
      </c>
      <c r="AP199" s="828">
        <v>1</v>
      </c>
    </row>
    <row r="200" hidden="1" ht="15.95" customHeight="1">
      <c r="B200" s="829" t="s">
        <v>21</v>
      </c>
      <c r="C200" s="823">
        <v>0</v>
      </c>
      <c r="D200" s="823">
        <v>0</v>
      </c>
      <c r="E200" s="823">
        <v>0</v>
      </c>
      <c r="F200" s="823">
        <v>0</v>
      </c>
      <c r="G200" s="823">
        <v>0</v>
      </c>
      <c r="H200" s="823">
        <v>0</v>
      </c>
      <c r="I200" s="823">
        <v>0</v>
      </c>
      <c r="J200" s="823">
        <v>0</v>
      </c>
      <c r="K200" s="823">
        <v>0</v>
      </c>
      <c r="L200" s="823">
        <v>0</v>
      </c>
      <c r="M200" s="823">
        <v>0</v>
      </c>
      <c r="N200" s="823">
        <v>0</v>
      </c>
      <c r="O200" s="823">
        <v>0</v>
      </c>
      <c r="P200" s="823">
        <v>0</v>
      </c>
      <c r="Q200" s="823">
        <v>0</v>
      </c>
      <c r="R200" s="823">
        <v>0</v>
      </c>
      <c r="S200" s="823">
        <v>0</v>
      </c>
      <c r="T200" s="823">
        <v>0</v>
      </c>
      <c r="U200" s="823">
        <v>0</v>
      </c>
      <c r="V200" s="823">
        <v>0</v>
      </c>
      <c r="W200" s="823">
        <v>0</v>
      </c>
      <c r="X200" s="823">
        <v>0</v>
      </c>
      <c r="Y200" s="823">
        <v>0</v>
      </c>
      <c r="Z200" s="823">
        <v>0</v>
      </c>
      <c r="AA200" s="823">
        <v>0</v>
      </c>
      <c r="AB200" s="823">
        <v>0</v>
      </c>
      <c r="AC200" s="825">
        <v>0</v>
      </c>
      <c r="AD200" s="825">
        <v>0</v>
      </c>
      <c r="AE200" s="825">
        <v>0</v>
      </c>
      <c r="AF200" s="825">
        <v>0</v>
      </c>
      <c r="AG200" s="825">
        <v>0</v>
      </c>
      <c r="AH200" s="825">
        <v>0</v>
      </c>
      <c r="AI200" s="825">
        <v>0</v>
      </c>
      <c r="AJ200" s="825">
        <v>0</v>
      </c>
      <c r="AK200" s="825">
        <v>0</v>
      </c>
      <c r="AL200" s="825">
        <v>0</v>
      </c>
      <c r="AM200" s="825">
        <v>0</v>
      </c>
      <c r="AN200" s="825">
        <v>0</v>
      </c>
      <c r="AO200" s="825">
        <v>0</v>
      </c>
      <c r="AP200" s="825">
        <v>0</v>
      </c>
    </row>
    <row r="201" hidden="1" ht="15.95" customHeight="1">
      <c r="B201" s="826" t="s">
        <v>22</v>
      </c>
      <c r="C201" s="827">
        <v>0</v>
      </c>
      <c r="D201" s="827">
        <v>0</v>
      </c>
      <c r="E201" s="827">
        <v>0</v>
      </c>
      <c r="F201" s="827">
        <v>0</v>
      </c>
      <c r="G201" s="827">
        <v>0</v>
      </c>
      <c r="H201" s="827">
        <v>0</v>
      </c>
      <c r="I201" s="827">
        <v>0</v>
      </c>
      <c r="J201" s="827">
        <v>1</v>
      </c>
      <c r="K201" s="827">
        <v>1</v>
      </c>
      <c r="L201" s="827">
        <v>1</v>
      </c>
      <c r="M201" s="827">
        <v>0</v>
      </c>
      <c r="N201" s="827">
        <v>0</v>
      </c>
      <c r="O201" s="827">
        <v>0</v>
      </c>
      <c r="P201" s="827">
        <v>0</v>
      </c>
      <c r="Q201" s="827">
        <v>0</v>
      </c>
      <c r="R201" s="827">
        <v>0</v>
      </c>
      <c r="S201" s="827">
        <v>0</v>
      </c>
      <c r="T201" s="827">
        <v>0</v>
      </c>
      <c r="U201" s="827">
        <v>2</v>
      </c>
      <c r="V201" s="827">
        <v>2</v>
      </c>
      <c r="W201" s="827">
        <v>2</v>
      </c>
      <c r="X201" s="827">
        <v>2</v>
      </c>
      <c r="Y201" s="827">
        <v>2</v>
      </c>
      <c r="Z201" s="827">
        <v>2</v>
      </c>
      <c r="AA201" s="827">
        <v>2</v>
      </c>
      <c r="AB201" s="827">
        <v>2</v>
      </c>
      <c r="AC201" s="828">
        <v>2</v>
      </c>
      <c r="AD201" s="828">
        <v>2</v>
      </c>
      <c r="AE201" s="828">
        <v>2</v>
      </c>
      <c r="AF201" s="828">
        <v>2</v>
      </c>
      <c r="AG201" s="828">
        <v>2</v>
      </c>
      <c r="AH201" s="828">
        <v>2</v>
      </c>
      <c r="AI201" s="828">
        <v>2</v>
      </c>
      <c r="AJ201" s="828">
        <v>2</v>
      </c>
      <c r="AK201" s="828">
        <v>2</v>
      </c>
      <c r="AL201" s="828">
        <v>2</v>
      </c>
      <c r="AM201" s="828">
        <v>2</v>
      </c>
      <c r="AN201" s="828">
        <v>2</v>
      </c>
      <c r="AO201" s="828">
        <v>2</v>
      </c>
      <c r="AP201" s="828">
        <v>2</v>
      </c>
    </row>
    <row r="202" hidden="1" ht="15.95" customHeight="1">
      <c r="B202" s="829" t="s">
        <v>23</v>
      </c>
      <c r="C202" s="823">
        <v>0</v>
      </c>
      <c r="D202" s="823">
        <v>0</v>
      </c>
      <c r="E202" s="823">
        <v>0</v>
      </c>
      <c r="F202" s="823">
        <v>0</v>
      </c>
      <c r="G202" s="823">
        <v>0</v>
      </c>
      <c r="H202" s="823">
        <v>0</v>
      </c>
      <c r="I202" s="823">
        <v>0</v>
      </c>
      <c r="J202" s="823">
        <v>0</v>
      </c>
      <c r="K202" s="823">
        <v>0</v>
      </c>
      <c r="L202" s="823">
        <v>0</v>
      </c>
      <c r="M202" s="823">
        <v>0</v>
      </c>
      <c r="N202" s="823">
        <v>0</v>
      </c>
      <c r="O202" s="823">
        <v>0</v>
      </c>
      <c r="P202" s="823">
        <v>0</v>
      </c>
      <c r="Q202" s="823">
        <v>0</v>
      </c>
      <c r="R202" s="823">
        <v>0</v>
      </c>
      <c r="S202" s="823">
        <v>0</v>
      </c>
      <c r="T202" s="823">
        <v>0</v>
      </c>
      <c r="U202" s="823">
        <v>0</v>
      </c>
      <c r="V202" s="823">
        <v>0</v>
      </c>
      <c r="W202" s="823">
        <v>0</v>
      </c>
      <c r="X202" s="823">
        <v>0</v>
      </c>
      <c r="Y202" s="823">
        <v>0</v>
      </c>
      <c r="Z202" s="823">
        <v>0</v>
      </c>
      <c r="AA202" s="823">
        <v>0</v>
      </c>
      <c r="AB202" s="823">
        <v>0</v>
      </c>
      <c r="AC202" s="825">
        <v>0</v>
      </c>
      <c r="AD202" s="825">
        <v>0</v>
      </c>
      <c r="AE202" s="825">
        <v>0</v>
      </c>
      <c r="AF202" s="825">
        <v>0</v>
      </c>
      <c r="AG202" s="825">
        <v>0</v>
      </c>
      <c r="AH202" s="825">
        <v>0</v>
      </c>
      <c r="AI202" s="825">
        <v>0</v>
      </c>
      <c r="AJ202" s="825">
        <v>0</v>
      </c>
      <c r="AK202" s="825">
        <v>0</v>
      </c>
      <c r="AL202" s="825">
        <v>0</v>
      </c>
      <c r="AM202" s="825">
        <v>0</v>
      </c>
      <c r="AN202" s="825">
        <v>0</v>
      </c>
      <c r="AO202" s="825">
        <v>0</v>
      </c>
      <c r="AP202" s="825">
        <v>0</v>
      </c>
    </row>
    <row r="203" hidden="1" ht="15.95" customHeight="1">
      <c r="B203" s="835" t="s">
        <v>24</v>
      </c>
      <c r="C203" s="827">
        <v>1</v>
      </c>
      <c r="D203" s="827">
        <v>1</v>
      </c>
      <c r="E203" s="827">
        <v>1</v>
      </c>
      <c r="F203" s="827">
        <v>1</v>
      </c>
      <c r="G203" s="827">
        <v>1</v>
      </c>
      <c r="H203" s="827">
        <v>1</v>
      </c>
      <c r="I203" s="827">
        <v>1</v>
      </c>
      <c r="J203" s="827">
        <v>1</v>
      </c>
      <c r="K203" s="827">
        <v>1</v>
      </c>
      <c r="L203" s="827">
        <v>1</v>
      </c>
      <c r="M203" s="827">
        <v>1</v>
      </c>
      <c r="N203" s="827">
        <v>1</v>
      </c>
      <c r="O203" s="827">
        <v>1</v>
      </c>
      <c r="P203" s="827">
        <v>1</v>
      </c>
      <c r="Q203" s="827">
        <v>1</v>
      </c>
      <c r="R203" s="827">
        <v>1</v>
      </c>
      <c r="S203" s="827">
        <v>1</v>
      </c>
      <c r="T203" s="827">
        <v>1</v>
      </c>
      <c r="U203" s="827">
        <v>1</v>
      </c>
      <c r="V203" s="827">
        <v>1</v>
      </c>
      <c r="W203" s="827">
        <v>1</v>
      </c>
      <c r="X203" s="827">
        <v>0</v>
      </c>
      <c r="Y203" s="827">
        <v>0</v>
      </c>
      <c r="Z203" s="827">
        <v>0</v>
      </c>
      <c r="AA203" s="827">
        <v>0</v>
      </c>
      <c r="AB203" s="827">
        <v>0</v>
      </c>
      <c r="AC203" s="828">
        <v>0</v>
      </c>
      <c r="AD203" s="828">
        <v>0</v>
      </c>
      <c r="AE203" s="828">
        <v>0</v>
      </c>
      <c r="AF203" s="828">
        <v>0</v>
      </c>
      <c r="AG203" s="828">
        <v>0</v>
      </c>
      <c r="AH203" s="828">
        <v>0</v>
      </c>
      <c r="AI203" s="828">
        <v>0</v>
      </c>
      <c r="AJ203" s="828">
        <v>0</v>
      </c>
      <c r="AK203" s="828">
        <v>0</v>
      </c>
      <c r="AL203" s="828">
        <v>0</v>
      </c>
      <c r="AM203" s="828">
        <v>0</v>
      </c>
      <c r="AN203" s="828">
        <v>0</v>
      </c>
      <c r="AO203" s="828">
        <v>0</v>
      </c>
      <c r="AP203" s="828">
        <v>0</v>
      </c>
    </row>
    <row r="204" hidden="1" ht="15.95" customHeight="1">
      <c r="B204" s="829" t="s">
        <v>25</v>
      </c>
      <c r="C204" s="823">
        <v>0</v>
      </c>
      <c r="D204" s="823">
        <v>0</v>
      </c>
      <c r="E204" s="823">
        <v>0</v>
      </c>
      <c r="F204" s="823">
        <v>0</v>
      </c>
      <c r="G204" s="823">
        <v>0</v>
      </c>
      <c r="H204" s="823">
        <v>0</v>
      </c>
      <c r="I204" s="823">
        <v>0</v>
      </c>
      <c r="J204" s="823">
        <v>0</v>
      </c>
      <c r="K204" s="823">
        <v>0</v>
      </c>
      <c r="L204" s="823">
        <v>0</v>
      </c>
      <c r="M204" s="823">
        <v>0</v>
      </c>
      <c r="N204" s="823">
        <v>0</v>
      </c>
      <c r="O204" s="823">
        <v>0</v>
      </c>
      <c r="P204" s="823">
        <v>0</v>
      </c>
      <c r="Q204" s="823">
        <v>0</v>
      </c>
      <c r="R204" s="823">
        <v>0</v>
      </c>
      <c r="S204" s="823">
        <v>0</v>
      </c>
      <c r="T204" s="823">
        <v>0</v>
      </c>
      <c r="U204" s="823">
        <v>0</v>
      </c>
      <c r="V204" s="823">
        <v>0</v>
      </c>
      <c r="W204" s="823">
        <v>0</v>
      </c>
      <c r="X204" s="823">
        <v>0</v>
      </c>
      <c r="Y204" s="823">
        <v>0</v>
      </c>
      <c r="Z204" s="823">
        <v>0</v>
      </c>
      <c r="AA204" s="823">
        <v>0</v>
      </c>
      <c r="AB204" s="823">
        <v>0</v>
      </c>
      <c r="AC204" s="825">
        <v>0</v>
      </c>
      <c r="AD204" s="825">
        <v>0</v>
      </c>
      <c r="AE204" s="825">
        <v>0</v>
      </c>
      <c r="AF204" s="825">
        <v>0</v>
      </c>
      <c r="AG204" s="825">
        <v>0</v>
      </c>
      <c r="AH204" s="825">
        <v>0</v>
      </c>
      <c r="AI204" s="825">
        <v>0</v>
      </c>
      <c r="AJ204" s="825">
        <v>0</v>
      </c>
      <c r="AK204" s="825">
        <v>0</v>
      </c>
      <c r="AL204" s="825">
        <v>0</v>
      </c>
      <c r="AM204" s="825">
        <v>0</v>
      </c>
      <c r="AN204" s="825">
        <v>0</v>
      </c>
      <c r="AO204" s="825">
        <v>0</v>
      </c>
      <c r="AP204" s="825">
        <v>0</v>
      </c>
    </row>
    <row r="205" hidden="1" ht="15.95" customHeight="1">
      <c r="B205" s="836" t="s">
        <v>26</v>
      </c>
      <c r="C205" s="827">
        <v>0</v>
      </c>
      <c r="D205" s="827">
        <v>0</v>
      </c>
      <c r="E205" s="827">
        <v>0</v>
      </c>
      <c r="F205" s="827">
        <v>0</v>
      </c>
      <c r="G205" s="827">
        <v>0</v>
      </c>
      <c r="H205" s="827">
        <v>0</v>
      </c>
      <c r="I205" s="827">
        <v>0</v>
      </c>
      <c r="J205" s="827">
        <v>0</v>
      </c>
      <c r="K205" s="827">
        <v>0</v>
      </c>
      <c r="L205" s="827">
        <v>0</v>
      </c>
      <c r="M205" s="827">
        <v>0</v>
      </c>
      <c r="N205" s="827">
        <v>0</v>
      </c>
      <c r="O205" s="827">
        <v>0</v>
      </c>
      <c r="P205" s="827">
        <v>0</v>
      </c>
      <c r="Q205" s="827">
        <v>0</v>
      </c>
      <c r="R205" s="827">
        <v>0</v>
      </c>
      <c r="S205" s="827">
        <v>0</v>
      </c>
      <c r="T205" s="827">
        <v>0</v>
      </c>
      <c r="U205" s="827">
        <v>0</v>
      </c>
      <c r="V205" s="827">
        <v>0</v>
      </c>
      <c r="W205" s="827">
        <v>0</v>
      </c>
      <c r="X205" s="827">
        <v>0</v>
      </c>
      <c r="Y205" s="827">
        <v>0</v>
      </c>
      <c r="Z205" s="827">
        <v>0</v>
      </c>
      <c r="AA205" s="827">
        <v>0</v>
      </c>
      <c r="AB205" s="837">
        <v>0</v>
      </c>
      <c r="AC205" s="828">
        <v>0</v>
      </c>
      <c r="AD205" s="828">
        <v>0</v>
      </c>
      <c r="AE205" s="828">
        <v>0</v>
      </c>
      <c r="AF205" s="828">
        <v>0</v>
      </c>
      <c r="AG205" s="828">
        <v>0</v>
      </c>
      <c r="AH205" s="828">
        <v>0</v>
      </c>
      <c r="AI205" s="828">
        <v>0</v>
      </c>
      <c r="AJ205" s="828">
        <v>0</v>
      </c>
      <c r="AK205" s="828">
        <v>0</v>
      </c>
      <c r="AL205" s="828">
        <v>0</v>
      </c>
      <c r="AM205" s="828">
        <v>0</v>
      </c>
      <c r="AN205" s="828">
        <v>0</v>
      </c>
      <c r="AO205" s="828">
        <v>0</v>
      </c>
      <c r="AP205" s="828">
        <v>0</v>
      </c>
    </row>
    <row r="206" hidden="1" ht="15.95" customHeight="1">
      <c r="B206" s="128" t="s">
        <v>7</v>
      </c>
      <c r="C206" s="129" t="str">
        <f>IF(SUM(C187:C205)&lt;&gt;0,SUM(C187:C205),"")</f>
      </c>
      <c r="D206" s="129" t="str">
        <f ref="D206:AA206" t="shared" si="5">IF(SUM(D187:D205)&lt;&gt;0,SUM(D187:D205),"")</f>
      </c>
      <c r="E206" s="129" t="str">
        <f t="shared" si="5"/>
      </c>
      <c r="F206" s="129" t="str">
        <f t="shared" si="5"/>
      </c>
      <c r="G206" s="129" t="str">
        <f t="shared" si="5"/>
      </c>
      <c r="H206" s="129" t="str">
        <f t="shared" si="5"/>
      </c>
      <c r="I206" s="129" t="str">
        <f t="shared" si="5"/>
      </c>
      <c r="J206" s="129" t="str">
        <f t="shared" si="5"/>
      </c>
      <c r="K206" s="129" t="str">
        <f t="shared" si="5"/>
      </c>
      <c r="L206" s="129" t="str">
        <f t="shared" si="5"/>
      </c>
      <c r="M206" s="129" t="str">
        <f t="shared" si="5"/>
      </c>
      <c r="N206" s="129" t="str">
        <f t="shared" si="5"/>
      </c>
      <c r="O206" s="129" t="str">
        <f t="shared" si="5"/>
      </c>
      <c r="P206" s="129" t="str">
        <f t="shared" si="5"/>
      </c>
      <c r="Q206" s="129" t="str">
        <f t="shared" si="5"/>
      </c>
      <c r="R206" s="129" t="str">
        <f t="shared" si="5"/>
      </c>
      <c r="S206" s="129" t="str">
        <f t="shared" si="5"/>
      </c>
      <c r="T206" s="129" t="str">
        <f t="shared" si="5"/>
      </c>
      <c r="U206" s="129" t="str">
        <f t="shared" si="5"/>
      </c>
      <c r="V206" s="129" t="str">
        <f t="shared" si="5"/>
      </c>
      <c r="W206" s="129" t="str">
        <f t="shared" si="5"/>
      </c>
      <c r="X206" s="129" t="str">
        <f t="shared" si="5"/>
      </c>
      <c r="Y206" s="129" t="str">
        <f t="shared" si="5"/>
      </c>
      <c r="Z206" s="129" t="str">
        <f t="shared" si="5"/>
      </c>
      <c r="AA206" s="129" t="str">
        <f t="shared" si="5"/>
      </c>
      <c r="AB206" s="130" t="str">
        <f>IF(SUM(AB187:AB205)&lt;&gt;0,SUM(AB187:AB205),"")</f>
      </c>
      <c r="AC206" s="91" t="str">
        <f ref="AC206:CN206" t="shared" si="6">IF(SUM(AC187:AC205)&lt;&gt;0,SUM(AC187:AC205),"")</f>
      </c>
      <c r="AD206" s="91" t="str">
        <f t="shared" si="6"/>
      </c>
      <c r="AE206" s="91" t="str">
        <f t="shared" si="6"/>
      </c>
      <c r="AF206" s="91" t="str">
        <f t="shared" si="6"/>
      </c>
      <c r="AG206" s="91" t="str">
        <f t="shared" si="6"/>
      </c>
      <c r="AH206" s="91" t="str">
        <f t="shared" si="6"/>
      </c>
      <c r="AI206" s="91" t="str">
        <f t="shared" si="6"/>
      </c>
      <c r="AJ206" s="91" t="str">
        <f t="shared" si="6"/>
      </c>
      <c r="AK206" s="91" t="str">
        <f t="shared" si="6"/>
      </c>
      <c r="AL206" s="91" t="str">
        <f t="shared" si="6"/>
      </c>
      <c r="AM206" s="91" t="str">
        <f t="shared" si="6"/>
      </c>
      <c r="AN206" s="91" t="str">
        <f t="shared" si="6"/>
      </c>
      <c r="AO206" s="91" t="str">
        <f t="shared" si="6"/>
      </c>
      <c r="AP206" s="91" t="str">
        <f t="shared" si="6"/>
      </c>
      <c r="AQ206" s="91" t="str">
        <f t="shared" si="6"/>
      </c>
      <c r="AR206" s="91" t="str">
        <f t="shared" si="6"/>
      </c>
      <c r="AS206" s="91" t="str">
        <f t="shared" si="6"/>
      </c>
      <c r="AT206" s="91" t="str">
        <f t="shared" si="6"/>
      </c>
      <c r="AU206" s="91" t="str">
        <f t="shared" si="6"/>
      </c>
      <c r="AV206" s="91" t="str">
        <f t="shared" si="6"/>
      </c>
      <c r="AW206" s="91" t="str">
        <f t="shared" si="6"/>
      </c>
      <c r="AX206" s="91" t="str">
        <f t="shared" si="6"/>
      </c>
      <c r="AY206" s="91" t="str">
        <f t="shared" si="6"/>
      </c>
      <c r="AZ206" s="91" t="str">
        <f t="shared" si="6"/>
      </c>
      <c r="BA206" s="91" t="str">
        <f t="shared" si="6"/>
      </c>
      <c r="BB206" s="91" t="str">
        <f t="shared" si="6"/>
      </c>
      <c r="BC206" s="91" t="str">
        <f t="shared" si="6"/>
      </c>
      <c r="BD206" s="91" t="str">
        <f t="shared" si="6"/>
      </c>
      <c r="BE206" s="91" t="str">
        <f t="shared" si="6"/>
      </c>
      <c r="BF206" s="91" t="str">
        <f t="shared" si="6"/>
      </c>
      <c r="BG206" s="91" t="str">
        <f t="shared" si="6"/>
      </c>
      <c r="BH206" s="91" t="str">
        <f t="shared" si="6"/>
      </c>
      <c r="BI206" s="91" t="str">
        <f t="shared" si="6"/>
      </c>
      <c r="BJ206" s="91" t="str">
        <f t="shared" si="6"/>
      </c>
      <c r="BK206" s="91" t="str">
        <f t="shared" si="6"/>
      </c>
      <c r="BL206" s="91" t="str">
        <f t="shared" si="6"/>
      </c>
      <c r="BM206" s="91" t="str">
        <f t="shared" si="6"/>
      </c>
      <c r="BN206" s="91" t="str">
        <f t="shared" si="6"/>
      </c>
      <c r="BO206" s="91" t="str">
        <f t="shared" si="6"/>
      </c>
      <c r="BP206" s="91" t="str">
        <f t="shared" si="6"/>
      </c>
      <c r="BQ206" s="91" t="str">
        <f t="shared" si="6"/>
      </c>
      <c r="BR206" s="91" t="str">
        <f t="shared" si="6"/>
      </c>
      <c r="BS206" s="91" t="str">
        <f t="shared" si="6"/>
      </c>
      <c r="BT206" s="91" t="str">
        <f t="shared" si="6"/>
      </c>
      <c r="BU206" s="91" t="str">
        <f t="shared" si="6"/>
      </c>
      <c r="BV206" s="91" t="str">
        <f t="shared" si="6"/>
      </c>
      <c r="BW206" s="91" t="str">
        <f t="shared" si="6"/>
      </c>
      <c r="BX206" s="91" t="str">
        <f t="shared" si="6"/>
      </c>
      <c r="BY206" s="91" t="str">
        <f t="shared" si="6"/>
      </c>
      <c r="BZ206" s="91" t="str">
        <f t="shared" si="6"/>
      </c>
      <c r="CA206" s="91" t="str">
        <f t="shared" si="6"/>
      </c>
      <c r="CB206" s="91" t="str">
        <f t="shared" si="6"/>
      </c>
      <c r="CC206" s="91" t="str">
        <f t="shared" si="6"/>
      </c>
      <c r="CD206" s="91" t="str">
        <f t="shared" si="6"/>
      </c>
      <c r="CE206" s="91" t="str">
        <f t="shared" si="6"/>
      </c>
      <c r="CF206" s="91" t="str">
        <f t="shared" si="6"/>
      </c>
      <c r="CG206" s="91" t="str">
        <f t="shared" si="6"/>
      </c>
      <c r="CH206" s="91" t="str">
        <f t="shared" si="6"/>
      </c>
      <c r="CI206" s="91" t="str">
        <f t="shared" si="6"/>
      </c>
      <c r="CJ206" s="91" t="str">
        <f t="shared" si="6"/>
      </c>
      <c r="CK206" s="91" t="str">
        <f t="shared" si="6"/>
      </c>
      <c r="CL206" s="91" t="str">
        <f t="shared" si="6"/>
      </c>
      <c r="CM206" s="91" t="str">
        <f t="shared" si="6"/>
      </c>
      <c r="CN206" s="91" t="str">
        <f t="shared" si="6"/>
      </c>
      <c r="CO206" s="91" t="str">
        <f ref="CO206:EZ206" t="shared" si="7">IF(SUM(CO187:CO205)&lt;&gt;0,SUM(CO187:CO205),"")</f>
      </c>
      <c r="CP206" s="91" t="str">
        <f t="shared" si="7"/>
      </c>
      <c r="CQ206" s="91" t="str">
        <f t="shared" si="7"/>
      </c>
      <c r="CR206" s="91" t="str">
        <f t="shared" si="7"/>
      </c>
      <c r="CS206" s="91" t="str">
        <f t="shared" si="7"/>
      </c>
      <c r="CT206" s="91" t="str">
        <f t="shared" si="7"/>
      </c>
      <c r="CU206" s="91" t="str">
        <f t="shared" si="7"/>
      </c>
      <c r="CV206" s="91" t="str">
        <f t="shared" si="7"/>
      </c>
      <c r="CW206" s="91" t="str">
        <f t="shared" si="7"/>
      </c>
      <c r="CX206" s="91" t="str">
        <f t="shared" si="7"/>
      </c>
      <c r="CY206" s="91" t="str">
        <f t="shared" si="7"/>
      </c>
      <c r="CZ206" s="91" t="str">
        <f t="shared" si="7"/>
      </c>
      <c r="DA206" s="91" t="str">
        <f t="shared" si="7"/>
      </c>
      <c r="DB206" s="91" t="str">
        <f t="shared" si="7"/>
      </c>
      <c r="DC206" s="91" t="str">
        <f t="shared" si="7"/>
      </c>
      <c r="DD206" s="91" t="str">
        <f t="shared" si="7"/>
      </c>
      <c r="DE206" s="91" t="str">
        <f t="shared" si="7"/>
      </c>
      <c r="DF206" s="91" t="str">
        <f t="shared" si="7"/>
      </c>
      <c r="DG206" s="91" t="str">
        <f t="shared" si="7"/>
      </c>
      <c r="DH206" s="91" t="str">
        <f t="shared" si="7"/>
      </c>
      <c r="DI206" s="91" t="str">
        <f t="shared" si="7"/>
      </c>
      <c r="DJ206" s="91" t="str">
        <f t="shared" si="7"/>
      </c>
      <c r="DK206" s="91" t="str">
        <f t="shared" si="7"/>
      </c>
      <c r="DL206" s="91" t="str">
        <f t="shared" si="7"/>
      </c>
      <c r="DM206" s="91" t="str">
        <f t="shared" si="7"/>
      </c>
      <c r="DN206" s="91" t="str">
        <f t="shared" si="7"/>
      </c>
      <c r="DO206" s="91" t="str">
        <f t="shared" si="7"/>
      </c>
      <c r="DP206" s="91" t="str">
        <f t="shared" si="7"/>
      </c>
      <c r="DQ206" s="91" t="str">
        <f t="shared" si="7"/>
      </c>
      <c r="DR206" s="91" t="str">
        <f t="shared" si="7"/>
      </c>
      <c r="DS206" s="91" t="str">
        <f t="shared" si="7"/>
      </c>
      <c r="DT206" s="91" t="str">
        <f t="shared" si="7"/>
      </c>
      <c r="DU206" s="91" t="str">
        <f t="shared" si="7"/>
      </c>
      <c r="DV206" s="91" t="str">
        <f t="shared" si="7"/>
      </c>
      <c r="DW206" s="91" t="str">
        <f t="shared" si="7"/>
      </c>
      <c r="DX206" s="91" t="str">
        <f t="shared" si="7"/>
      </c>
      <c r="DY206" s="91" t="str">
        <f t="shared" si="7"/>
      </c>
      <c r="DZ206" s="91" t="str">
        <f t="shared" si="7"/>
      </c>
      <c r="EA206" s="91" t="str">
        <f t="shared" si="7"/>
      </c>
      <c r="EB206" s="91" t="str">
        <f t="shared" si="7"/>
      </c>
      <c r="EC206" s="91" t="str">
        <f t="shared" si="7"/>
      </c>
      <c r="ED206" s="91" t="str">
        <f t="shared" si="7"/>
      </c>
      <c r="EE206" s="91" t="str">
        <f t="shared" si="7"/>
      </c>
      <c r="EF206" s="91" t="str">
        <f t="shared" si="7"/>
      </c>
      <c r="EG206" s="91" t="str">
        <f t="shared" si="7"/>
      </c>
      <c r="EH206" s="91" t="str">
        <f t="shared" si="7"/>
      </c>
      <c r="EI206" s="91" t="str">
        <f t="shared" si="7"/>
      </c>
      <c r="EJ206" s="91" t="str">
        <f t="shared" si="7"/>
      </c>
      <c r="EK206" s="91" t="str">
        <f t="shared" si="7"/>
      </c>
      <c r="EL206" s="91" t="str">
        <f t="shared" si="7"/>
      </c>
      <c r="EM206" s="91" t="str">
        <f t="shared" si="7"/>
      </c>
      <c r="EN206" s="91" t="str">
        <f t="shared" si="7"/>
      </c>
      <c r="EO206" s="91" t="str">
        <f t="shared" si="7"/>
      </c>
      <c r="EP206" s="91" t="str">
        <f t="shared" si="7"/>
      </c>
      <c r="EQ206" s="91" t="str">
        <f t="shared" si="7"/>
      </c>
      <c r="ER206" s="91" t="str">
        <f t="shared" si="7"/>
      </c>
      <c r="ES206" s="91" t="str">
        <f t="shared" si="7"/>
      </c>
      <c r="ET206" s="91" t="str">
        <f t="shared" si="7"/>
      </c>
      <c r="EU206" s="91" t="str">
        <f t="shared" si="7"/>
      </c>
      <c r="EV206" s="91" t="str">
        <f t="shared" si="7"/>
      </c>
      <c r="EW206" s="91" t="str">
        <f t="shared" si="7"/>
      </c>
      <c r="EX206" s="91" t="str">
        <f t="shared" si="7"/>
      </c>
      <c r="EY206" s="91" t="str">
        <f t="shared" si="7"/>
      </c>
      <c r="EZ206" s="91" t="str">
        <f t="shared" si="7"/>
      </c>
      <c r="FA206" s="91" t="str">
        <f ref="FA206:HL206" t="shared" si="8">IF(SUM(FA187:FA205)&lt;&gt;0,SUM(FA187:FA205),"")</f>
      </c>
      <c r="FB206" s="91" t="str">
        <f t="shared" si="8"/>
      </c>
      <c r="FC206" s="91" t="str">
        <f t="shared" si="8"/>
      </c>
      <c r="FD206" s="91" t="str">
        <f t="shared" si="8"/>
      </c>
      <c r="FE206" s="91" t="str">
        <f t="shared" si="8"/>
      </c>
      <c r="FF206" s="91" t="str">
        <f t="shared" si="8"/>
      </c>
      <c r="FG206" s="91" t="str">
        <f t="shared" si="8"/>
      </c>
      <c r="FH206" s="91" t="str">
        <f t="shared" si="8"/>
      </c>
      <c r="FI206" s="91" t="str">
        <f t="shared" si="8"/>
      </c>
      <c r="FJ206" s="91" t="str">
        <f t="shared" si="8"/>
      </c>
      <c r="FK206" s="91" t="str">
        <f t="shared" si="8"/>
      </c>
      <c r="FL206" s="91" t="str">
        <f t="shared" si="8"/>
      </c>
      <c r="FM206" s="91" t="str">
        <f t="shared" si="8"/>
      </c>
      <c r="FN206" s="91" t="str">
        <f t="shared" si="8"/>
      </c>
      <c r="FO206" s="91" t="str">
        <f t="shared" si="8"/>
      </c>
      <c r="FP206" s="91" t="str">
        <f t="shared" si="8"/>
      </c>
      <c r="FQ206" s="91" t="str">
        <f t="shared" si="8"/>
      </c>
      <c r="FR206" s="91" t="str">
        <f t="shared" si="8"/>
      </c>
      <c r="FS206" s="91" t="str">
        <f t="shared" si="8"/>
      </c>
      <c r="FT206" s="91" t="str">
        <f t="shared" si="8"/>
      </c>
      <c r="FU206" s="91" t="str">
        <f t="shared" si="8"/>
      </c>
      <c r="FV206" s="91" t="str">
        <f t="shared" si="8"/>
      </c>
      <c r="FW206" s="91" t="str">
        <f t="shared" si="8"/>
      </c>
      <c r="FX206" s="91" t="str">
        <f t="shared" si="8"/>
      </c>
      <c r="FY206" s="91" t="str">
        <f t="shared" si="8"/>
      </c>
      <c r="FZ206" s="91" t="str">
        <f t="shared" si="8"/>
      </c>
      <c r="GA206" s="91" t="str">
        <f t="shared" si="8"/>
      </c>
      <c r="GB206" s="91" t="str">
        <f t="shared" si="8"/>
      </c>
      <c r="GC206" s="91" t="str">
        <f t="shared" si="8"/>
      </c>
      <c r="GD206" s="91" t="str">
        <f t="shared" si="8"/>
      </c>
      <c r="GE206" s="91" t="str">
        <f t="shared" si="8"/>
      </c>
      <c r="GF206" s="91" t="str">
        <f t="shared" si="8"/>
      </c>
      <c r="GG206" s="91" t="str">
        <f t="shared" si="8"/>
      </c>
      <c r="GH206" s="91" t="str">
        <f t="shared" si="8"/>
      </c>
      <c r="GI206" s="91" t="str">
        <f t="shared" si="8"/>
      </c>
      <c r="GJ206" s="91" t="str">
        <f t="shared" si="8"/>
      </c>
      <c r="GK206" s="91" t="str">
        <f t="shared" si="8"/>
      </c>
      <c r="GL206" s="91" t="str">
        <f t="shared" si="8"/>
      </c>
      <c r="GM206" s="91" t="str">
        <f t="shared" si="8"/>
      </c>
      <c r="GN206" s="91" t="str">
        <f t="shared" si="8"/>
      </c>
      <c r="GO206" s="91" t="str">
        <f t="shared" si="8"/>
      </c>
      <c r="GP206" s="91" t="str">
        <f t="shared" si="8"/>
      </c>
      <c r="GQ206" s="91" t="str">
        <f t="shared" si="8"/>
      </c>
      <c r="GR206" s="91" t="str">
        <f t="shared" si="8"/>
      </c>
      <c r="GS206" s="91" t="str">
        <f t="shared" si="8"/>
      </c>
      <c r="GT206" s="91" t="str">
        <f t="shared" si="8"/>
      </c>
      <c r="GU206" s="91" t="str">
        <f t="shared" si="8"/>
      </c>
      <c r="GV206" s="91" t="str">
        <f t="shared" si="8"/>
      </c>
      <c r="GW206" s="91" t="str">
        <f t="shared" si="8"/>
      </c>
      <c r="GX206" s="91" t="str">
        <f t="shared" si="8"/>
      </c>
      <c r="GY206" s="91" t="str">
        <f t="shared" si="8"/>
      </c>
      <c r="GZ206" s="91" t="str">
        <f t="shared" si="8"/>
      </c>
      <c r="HA206" s="91" t="str">
        <f t="shared" si="8"/>
      </c>
      <c r="HB206" s="91" t="str">
        <f t="shared" si="8"/>
      </c>
      <c r="HC206" s="91" t="str">
        <f t="shared" si="8"/>
      </c>
      <c r="HD206" s="91" t="str">
        <f t="shared" si="8"/>
      </c>
      <c r="HE206" s="91" t="str">
        <f t="shared" si="8"/>
      </c>
      <c r="HF206" s="91" t="str">
        <f t="shared" si="8"/>
      </c>
      <c r="HG206" s="91" t="str">
        <f t="shared" si="8"/>
      </c>
      <c r="HH206" s="91" t="str">
        <f t="shared" si="8"/>
      </c>
      <c r="HI206" s="91" t="str">
        <f t="shared" si="8"/>
      </c>
      <c r="HJ206" s="91" t="str">
        <f t="shared" si="8"/>
      </c>
      <c r="HK206" s="91" t="str">
        <f t="shared" si="8"/>
      </c>
      <c r="HL206" s="91" t="str">
        <f t="shared" si="8"/>
      </c>
      <c r="HM206" s="91" t="str">
        <f ref="HM206:IV206" t="shared" si="9">IF(SUM(HM187:HM205)&lt;&gt;0,SUM(HM187:HM205),"")</f>
      </c>
      <c r="HN206" s="91" t="str">
        <f t="shared" si="9"/>
      </c>
      <c r="HO206" s="91" t="str">
        <f t="shared" si="9"/>
      </c>
      <c r="HP206" s="91" t="str">
        <f t="shared" si="9"/>
      </c>
      <c r="HQ206" s="91" t="str">
        <f t="shared" si="9"/>
      </c>
      <c r="HR206" s="91" t="str">
        <f t="shared" si="9"/>
      </c>
      <c r="HS206" s="91" t="str">
        <f t="shared" si="9"/>
      </c>
      <c r="HT206" s="91" t="str">
        <f t="shared" si="9"/>
      </c>
      <c r="HU206" s="91" t="str">
        <f t="shared" si="9"/>
      </c>
      <c r="HV206" s="91" t="str">
        <f t="shared" si="9"/>
      </c>
      <c r="HW206" s="91" t="str">
        <f t="shared" si="9"/>
      </c>
      <c r="HX206" s="91" t="str">
        <f t="shared" si="9"/>
      </c>
      <c r="HY206" s="91" t="str">
        <f t="shared" si="9"/>
      </c>
      <c r="HZ206" s="91" t="str">
        <f t="shared" si="9"/>
      </c>
      <c r="IA206" s="91" t="str">
        <f t="shared" si="9"/>
      </c>
      <c r="IB206" s="91" t="str">
        <f t="shared" si="9"/>
      </c>
      <c r="IC206" s="91" t="str">
        <f t="shared" si="9"/>
      </c>
      <c r="ID206" s="91" t="str">
        <f t="shared" si="9"/>
      </c>
      <c r="IE206" s="91" t="str">
        <f t="shared" si="9"/>
      </c>
      <c r="IF206" s="91" t="str">
        <f t="shared" si="9"/>
      </c>
      <c r="IG206" s="91" t="str">
        <f t="shared" si="9"/>
      </c>
      <c r="IH206" s="91" t="str">
        <f t="shared" si="9"/>
      </c>
      <c r="II206" s="91" t="str">
        <f t="shared" si="9"/>
      </c>
      <c r="IJ206" s="91" t="str">
        <f t="shared" si="9"/>
      </c>
      <c r="IK206" s="91" t="str">
        <f t="shared" si="9"/>
      </c>
      <c r="IL206" s="91" t="str">
        <f t="shared" si="9"/>
      </c>
      <c r="IM206" s="91" t="str">
        <f t="shared" si="9"/>
      </c>
      <c r="IN206" s="91" t="str">
        <f t="shared" si="9"/>
      </c>
      <c r="IO206" s="91" t="str">
        <f t="shared" si="9"/>
      </c>
      <c r="IP206" s="91" t="str">
        <f t="shared" si="9"/>
      </c>
      <c r="IQ206" s="91" t="str">
        <f t="shared" si="9"/>
      </c>
      <c r="IR206" s="91" t="str">
        <f t="shared" si="9"/>
      </c>
      <c r="IS206" s="91" t="str">
        <f t="shared" si="9"/>
      </c>
      <c r="IT206" s="91" t="str">
        <f t="shared" si="9"/>
      </c>
      <c r="IU206" s="91" t="str">
        <f t="shared" si="9"/>
      </c>
      <c r="IV206" s="91" t="str">
        <f t="shared" si="9"/>
      </c>
    </row>
    <row r="207" hidden="1" ht="15.95" customHeight="1">
      <c r="B207" s="274"/>
      <c r="C207" s="247"/>
      <c r="D207" s="247"/>
      <c r="E207" s="247"/>
      <c r="F207" s="247"/>
      <c r="G207" s="247"/>
      <c r="H207" s="247"/>
      <c r="I207" s="247"/>
      <c r="J207" s="247"/>
      <c r="K207" s="247"/>
      <c r="N207" s="275"/>
    </row>
    <row r="208" hidden="1" ht="15.95" customHeight="1">
      <c r="B208" s="274"/>
      <c r="C208" s="659" t="s">
        <v>115</v>
      </c>
      <c r="D208" s="660"/>
      <c r="E208" s="660"/>
      <c r="F208" s="660"/>
      <c r="G208" s="660"/>
      <c r="H208" s="660"/>
      <c r="I208" s="660"/>
      <c r="J208" s="660"/>
      <c r="K208" s="660"/>
      <c r="L208" s="660"/>
      <c r="M208" s="660"/>
      <c r="N208" s="660"/>
      <c r="O208" s="660"/>
      <c r="P208" s="660"/>
      <c r="Q208" s="660"/>
      <c r="R208" s="660"/>
      <c r="S208" s="660"/>
      <c r="T208" s="660"/>
      <c r="U208" s="660"/>
      <c r="V208" s="660"/>
      <c r="W208" s="660"/>
      <c r="X208" s="660"/>
      <c r="Y208" s="660"/>
      <c r="Z208" s="660"/>
      <c r="AA208" s="660"/>
      <c r="AB208" s="661"/>
    </row>
    <row r="209" hidden="1" ht="15.95" customHeight="1">
      <c r="C209" s="435" t="str">
        <f> IF(C229&lt;&gt;"",TEXT(AUX!G$1,"dd-MMM-aa"),"")</f>
      </c>
      <c r="D209" s="435" t="str">
        <f> IF(D229&lt;&gt;"",TEXT(AUX!H$1,"dd-MMM-aa"),"")</f>
      </c>
      <c r="E209" s="435" t="str">
        <f> IF(E229&lt;&gt;"",TEXT(AUX!I$1,"dd-MMM-aa"),"")</f>
      </c>
      <c r="F209" s="435" t="str">
        <f> IF(F229&lt;&gt;"",TEXT(AUX!J$1,"dd-MMM-aa"),"")</f>
      </c>
      <c r="G209" s="435" t="str">
        <f> IF(G229&lt;&gt;"",TEXT(AUX!K$1,"dd-MMM-aa"),"")</f>
      </c>
      <c r="H209" s="435" t="str">
        <f> IF(H229&lt;&gt;"",TEXT(AUX!L$1,"dd-MMM-aa"),"")</f>
      </c>
      <c r="I209" s="435" t="str">
        <f> IF(I229&lt;&gt;"",TEXT(AUX!M$1,"dd-MMM-aa"),"")</f>
      </c>
      <c r="J209" s="435" t="str">
        <f> IF(J229&lt;&gt;"",TEXT(AUX!N$1,"dd-MMM-aa"),"")</f>
      </c>
      <c r="K209" s="435" t="str">
        <f> IF(K229&lt;&gt;"",TEXT(AUX!O$1,"dd-MMM-aa"),"")</f>
      </c>
      <c r="L209" s="435" t="str">
        <f> IF(L229&lt;&gt;"",TEXT(AUX!P$1,"dd-MMM-aa"),"")</f>
      </c>
      <c r="M209" s="435" t="str">
        <f> IF(M229&lt;&gt;"",TEXT(AUX!Q$1,"dd-MMM-aa"),"")</f>
      </c>
      <c r="N209" s="435" t="str">
        <f> IF(N229&lt;&gt;"",TEXT(AUX!R$1,"dd-MMM-aa"),"")</f>
      </c>
      <c r="O209" s="435" t="str">
        <f> IF(O229&lt;&gt;"",TEXT(AUX!S$1,"dd-MMM-aa"),"")</f>
      </c>
      <c r="P209" s="435" t="str">
        <f> IF(P229&lt;&gt;"",TEXT(AUX!T$1,"dd-MMM-aa"),"")</f>
      </c>
      <c r="Q209" s="435" t="str">
        <f> IF(Q229&lt;&gt;"",TEXT(AUX!U$1,"dd-MMM-aa"),"")</f>
      </c>
      <c r="R209" s="435" t="str">
        <f> IF(R229&lt;&gt;"",TEXT(AUX!V$1,"dd-MMM-aa"),"")</f>
      </c>
      <c r="S209" s="435" t="str">
        <f> IF(S229&lt;&gt;"",TEXT(AUX!W$1,"dd-MMM-aa"),"")</f>
      </c>
      <c r="T209" s="435" t="str">
        <f> IF(T229&lt;&gt;"",TEXT(AUX!X$1,"dd-MMM-aa"),"")</f>
      </c>
      <c r="U209" s="435" t="str">
        <f> IF(U229&lt;&gt;"",TEXT(AUX!Y$1,"dd-MMM-aa"),"")</f>
      </c>
      <c r="V209" s="435" t="str">
        <f> IF(V229&lt;&gt;"",TEXT(AUX!Z$1,"dd-MMM-aa"),"")</f>
      </c>
      <c r="W209" s="435" t="str">
        <f> IF(W229&lt;&gt;"",TEXT(AUX!AA$1,"dd-MMM-aa"),"")</f>
      </c>
      <c r="X209" s="435" t="str">
        <f> IF(X229&lt;&gt;"",TEXT(AUX!AB$1,"dd-MMM-aa"),"")</f>
      </c>
      <c r="Y209" s="435" t="str">
        <f> IF(Y229&lt;&gt;"",TEXT(AUX!AC$1,"dd-MMM-aa"),"")</f>
      </c>
      <c r="Z209" s="435" t="str">
        <f> IF(Z229&lt;&gt;"",TEXT(AUX!AD$1,"dd-MMM-aa"),"")</f>
      </c>
      <c r="AA209" s="435" t="str">
        <f> IF(AA229&lt;&gt;"",TEXT(AUX!AE$1,"dd-MMM-aa"),"")</f>
      </c>
      <c r="AB209" s="497" t="str">
        <f> IF(AB229&lt;&gt;"",TEXT(AUX!AF$1,"dd-MMM-aa"),"")</f>
      </c>
      <c r="AC209" s="496" t="str">
        <f> IF(AC229&lt;&gt;"",TEXT(AUX!AG$1,"dd-MMM-aa"),"")</f>
      </c>
      <c r="AD209" s="496" t="str">
        <f> IF(AD229&lt;&gt;"",TEXT(AUX!AH$1,"dd-MMM-aa"),"")</f>
      </c>
      <c r="AE209" s="496" t="str">
        <f> IF(AE229&lt;&gt;"",TEXT(AUX!AI$1,"dd-MMM-aa"),"")</f>
      </c>
      <c r="AF209" s="496" t="str">
        <f> IF(AF229&lt;&gt;"",TEXT(AUX!AJ$1,"dd-MMM-aa"),"")</f>
      </c>
      <c r="AG209" s="496" t="str">
        <f> IF(AG229&lt;&gt;"",TEXT(AUX!AK$1,"dd-MMM-aa"),"")</f>
      </c>
      <c r="AH209" s="496" t="str">
        <f> IF(AH229&lt;&gt;"",TEXT(AUX!AL$1,"dd-MMM-aa"),"")</f>
      </c>
      <c r="AI209" s="496" t="str">
        <f> IF(AI229&lt;&gt;"",TEXT(AUX!AM$1,"dd-MMM-aa"),"")</f>
      </c>
      <c r="AJ209" s="496" t="str">
        <f> IF(AJ229&lt;&gt;"",TEXT(AUX!AN$1,"dd-MMM-aa"),"")</f>
      </c>
      <c r="AK209" s="496" t="str">
        <f> IF(AK229&lt;&gt;"",TEXT(AUX!AO$1,"dd-MMM-aa"),"")</f>
      </c>
      <c r="AL209" s="496" t="str">
        <f> IF(AL229&lt;&gt;"",TEXT(AUX!AP$1,"dd-MMM-aa"),"")</f>
      </c>
      <c r="AM209" s="496" t="str">
        <f> IF(AM229&lt;&gt;"",TEXT(AUX!AQ$1,"dd-MMM-aa"),"")</f>
      </c>
      <c r="AN209" s="496" t="str">
        <f> IF(AN229&lt;&gt;"",TEXT(AUX!AR$1,"dd-MMM-aa"),"")</f>
      </c>
      <c r="AO209" s="496" t="str">
        <f> IF(AO229&lt;&gt;"",TEXT(AUX!AS$1,"dd-MMM-aa"),"")</f>
      </c>
      <c r="AP209" s="496" t="str">
        <f> IF(AP229&lt;&gt;"",TEXT(AUX!AT$1,"dd-MMM-aa"),"")</f>
      </c>
      <c r="AQ209" s="496" t="str">
        <f> IF(AQ229&lt;&gt;"",TEXT(AUX!AU$1,"dd-MMM-aa"),"")</f>
      </c>
      <c r="AR209" s="496" t="str">
        <f> IF(AR229&lt;&gt;"",TEXT(AUX!AV$1,"dd-MMM-aa"),"")</f>
      </c>
      <c r="AS209" s="496" t="str">
        <f> IF(AS229&lt;&gt;"",TEXT(AUX!AW$1,"dd-MMM-aa"),"")</f>
      </c>
      <c r="AT209" s="496" t="str">
        <f> IF(AT229&lt;&gt;"",TEXT(AUX!AX$1,"dd-MMM-aa"),"")</f>
      </c>
      <c r="AU209" s="496" t="str">
        <f> IF(AU229&lt;&gt;"",TEXT(AUX!AY$1,"dd-MMM-aa"),"")</f>
      </c>
      <c r="AV209" s="496" t="str">
        <f> IF(AV229&lt;&gt;"",TEXT(AUX!AZ$1,"dd-MMM-aa"),"")</f>
      </c>
      <c r="AW209" s="496" t="str">
        <f> IF(AW229&lt;&gt;"",TEXT(AUX!BA$1,"dd-MMM-aa"),"")</f>
      </c>
      <c r="AX209" s="496" t="str">
        <f> IF(AX229&lt;&gt;"",TEXT(AUX!BB$1,"dd-MMM-aa"),"")</f>
      </c>
      <c r="AY209" s="496" t="str">
        <f> IF(AY229&lt;&gt;"",TEXT(AUX!BC$1,"dd-MMM-aa"),"")</f>
      </c>
      <c r="AZ209" s="496" t="str">
        <f> IF(AZ229&lt;&gt;"",TEXT(AUX!BD$1,"dd-MMM-aa"),"")</f>
      </c>
      <c r="BA209" s="496" t="str">
        <f> IF(BA229&lt;&gt;"",TEXT(AUX!BE$1,"dd-MMM-aa"),"")</f>
      </c>
      <c r="BB209" s="496" t="str">
        <f> IF(BB229&lt;&gt;"",TEXT(AUX!BF$1,"dd-MMM-aa"),"")</f>
      </c>
      <c r="BC209" s="496" t="str">
        <f> IF(BC229&lt;&gt;"",TEXT(AUX!BG$1,"dd-MMM-aa"),"")</f>
      </c>
      <c r="BD209" s="496" t="str">
        <f> IF(BD229&lt;&gt;"",TEXT(AUX!BH$1,"dd-MMM-aa"),"")</f>
      </c>
      <c r="BE209" s="496" t="str">
        <f> IF(BE229&lt;&gt;"",TEXT(AUX!BI$1,"dd-MMM-aa"),"")</f>
      </c>
      <c r="BF209" s="496" t="str">
        <f> IF(BF229&lt;&gt;"",TEXT(AUX!BJ$1,"dd-MMM-aa"),"")</f>
      </c>
      <c r="BG209" s="496" t="str">
        <f> IF(BG229&lt;&gt;"",TEXT(AUX!BK$1,"dd-MMM-aa"),"")</f>
      </c>
      <c r="BH209" s="496" t="str">
        <f> IF(BH229&lt;&gt;"",TEXT(AUX!BL$1,"dd-MMM-aa"),"")</f>
      </c>
      <c r="BI209" s="496" t="str">
        <f> IF(BI229&lt;&gt;"",TEXT(AUX!BM$1,"dd-MMM-aa"),"")</f>
      </c>
      <c r="BJ209" s="496" t="str">
        <f> IF(BJ229&lt;&gt;"",TEXT(AUX!BN$1,"dd-MMM-aa"),"")</f>
      </c>
      <c r="BK209" s="496" t="str">
        <f> IF(BK229&lt;&gt;"",TEXT(AUX!BO$1,"dd-MMM-aa"),"")</f>
      </c>
      <c r="BL209" s="496" t="str">
        <f> IF(BL229&lt;&gt;"",TEXT(AUX!BP$1,"dd-MMM-aa"),"")</f>
      </c>
      <c r="BM209" s="496" t="str">
        <f> IF(BM229&lt;&gt;"",TEXT(AUX!BQ$1,"dd-MMM-aa"),"")</f>
      </c>
      <c r="BN209" s="496" t="str">
        <f> IF(BN229&lt;&gt;"",TEXT(AUX!BR$1,"dd-MMM-aa"),"")</f>
      </c>
      <c r="BO209" s="496" t="str">
        <f> IF(BO229&lt;&gt;"",TEXT(AUX!BS$1,"dd-MMM-aa"),"")</f>
      </c>
      <c r="BP209" s="496" t="str">
        <f> IF(BP229&lt;&gt;"",TEXT(AUX!BT$1,"dd-MMM-aa"),"")</f>
      </c>
      <c r="BQ209" s="496" t="str">
        <f> IF(BQ229&lt;&gt;"",TEXT(AUX!BU$1,"dd-MMM-aa"),"")</f>
      </c>
      <c r="BR209" s="496" t="str">
        <f> IF(BR229&lt;&gt;"",TEXT(AUX!BV$1,"dd-MMM-aa"),"")</f>
      </c>
      <c r="BS209" s="496" t="str">
        <f> IF(BS229&lt;&gt;"",TEXT(AUX!BW$1,"dd-MMM-aa"),"")</f>
      </c>
      <c r="BT209" s="496" t="str">
        <f> IF(BT229&lt;&gt;"",TEXT(AUX!BX$1,"dd-MMM-aa"),"")</f>
      </c>
      <c r="BU209" s="496" t="str">
        <f> IF(BU229&lt;&gt;"",TEXT(AUX!BY$1,"dd-MMM-aa"),"")</f>
      </c>
      <c r="BV209" s="496" t="str">
        <f> IF(BV229&lt;&gt;"",TEXT(AUX!BZ$1,"dd-MMM-aa"),"")</f>
      </c>
      <c r="BW209" s="496" t="str">
        <f> IF(BW229&lt;&gt;"",TEXT(AUX!CA$1,"dd-MMM-aa"),"")</f>
      </c>
      <c r="BX209" s="496" t="str">
        <f> IF(BX229&lt;&gt;"",TEXT(AUX!CB$1,"dd-MMM-aa"),"")</f>
      </c>
      <c r="BY209" s="496" t="str">
        <f> IF(BY229&lt;&gt;"",TEXT(AUX!CC$1,"dd-MMM-aa"),"")</f>
      </c>
      <c r="BZ209" s="496" t="str">
        <f> IF(BZ229&lt;&gt;"",TEXT(AUX!CD$1,"dd-MMM-aa"),"")</f>
      </c>
      <c r="CA209" s="496" t="str">
        <f> IF(CA229&lt;&gt;"",TEXT(AUX!CE$1,"dd-MMM-aa"),"")</f>
      </c>
      <c r="CB209" s="496" t="str">
        <f> IF(CB229&lt;&gt;"",TEXT(AUX!CF$1,"dd-MMM-aa"),"")</f>
      </c>
      <c r="CC209" s="496" t="str">
        <f> IF(CC229&lt;&gt;"",TEXT(AUX!CG$1,"dd-MMM-aa"),"")</f>
      </c>
      <c r="CD209" s="496" t="str">
        <f> IF(CD229&lt;&gt;"",TEXT(AUX!CH$1,"dd-MMM-aa"),"")</f>
      </c>
      <c r="CE209" s="496" t="str">
        <f> IF(CE229&lt;&gt;"",TEXT(AUX!CI$1,"dd-MMM-aa"),"")</f>
      </c>
      <c r="CF209" s="496" t="str">
        <f> IF(CF229&lt;&gt;"",TEXT(AUX!CJ$1,"dd-MMM-aa"),"")</f>
      </c>
      <c r="CG209" s="496" t="str">
        <f> IF(CG229&lt;&gt;"",TEXT(AUX!CK$1,"dd-MMM-aa"),"")</f>
      </c>
      <c r="CH209" s="496" t="str">
        <f> IF(CH229&lt;&gt;"",TEXT(AUX!CL$1,"dd-MMM-aa"),"")</f>
      </c>
      <c r="CI209" s="496" t="str">
        <f> IF(CI229&lt;&gt;"",TEXT(AUX!CM$1,"dd-MMM-aa"),"")</f>
      </c>
      <c r="CJ209" s="496" t="str">
        <f> IF(CJ229&lt;&gt;"",TEXT(AUX!CN$1,"dd-MMM-aa"),"")</f>
      </c>
      <c r="CK209" s="496" t="str">
        <f> IF(CK229&lt;&gt;"",TEXT(AUX!CO$1,"dd-MMM-aa"),"")</f>
      </c>
      <c r="CL209" s="496" t="str">
        <f> IF(CL229&lt;&gt;"",TEXT(AUX!CP$1,"dd-MMM-aa"),"")</f>
      </c>
      <c r="CM209" s="496" t="str">
        <f> IF(CM229&lt;&gt;"",TEXT(AUX!CQ$1,"dd-MMM-aa"),"")</f>
      </c>
      <c r="CN209" s="496" t="str">
        <f> IF(CN229&lt;&gt;"",TEXT(AUX!CR$1,"dd-MMM-aa"),"")</f>
      </c>
      <c r="CO209" s="496" t="str">
        <f> IF(CO229&lt;&gt;"",TEXT(AUX!CS$1,"dd-MMM-aa"),"")</f>
      </c>
      <c r="CP209" s="496" t="str">
        <f> IF(CP229&lt;&gt;"",TEXT(AUX!CT$1,"dd-MMM-aa"),"")</f>
      </c>
      <c r="CQ209" s="496" t="str">
        <f> IF(CQ229&lt;&gt;"",TEXT(AUX!CU$1,"dd-MMM-aa"),"")</f>
      </c>
      <c r="CR209" s="496" t="str">
        <f> IF(CR229&lt;&gt;"",TEXT(AUX!CV$1,"dd-MMM-aa"),"")</f>
      </c>
      <c r="CS209" s="496" t="str">
        <f> IF(CS229&lt;&gt;"",TEXT(AUX!CW$1,"dd-MMM-aa"),"")</f>
      </c>
      <c r="CT209" s="496" t="str">
        <f> IF(CT229&lt;&gt;"",TEXT(AUX!CX$1,"dd-MMM-aa"),"")</f>
      </c>
      <c r="CU209" s="496" t="str">
        <f> IF(CU229&lt;&gt;"",TEXT(AUX!CY$1,"dd-MMM-aa"),"")</f>
      </c>
      <c r="CV209" s="496" t="str">
        <f> IF(CV229&lt;&gt;"",TEXT(AUX!CZ$1,"dd-MMM-aa"),"")</f>
      </c>
      <c r="CW209" s="496" t="str">
        <f> IF(CW229&lt;&gt;"",TEXT(AUX!DA$1,"dd-MMM-aa"),"")</f>
      </c>
      <c r="CX209" s="496" t="str">
        <f> IF(CX229&lt;&gt;"",TEXT(AUX!DB$1,"dd-MMM-aa"),"")</f>
      </c>
      <c r="CY209" s="496" t="str">
        <f> IF(CY229&lt;&gt;"",TEXT(AUX!DC$1,"dd-MMM-aa"),"")</f>
      </c>
      <c r="CZ209" s="496" t="str">
        <f> IF(CZ229&lt;&gt;"",TEXT(AUX!DD$1,"dd-MMM-aa"),"")</f>
      </c>
      <c r="DA209" s="496" t="str">
        <f> IF(DA229&lt;&gt;"",TEXT(AUX!DE$1,"dd-MMM-aa"),"")</f>
      </c>
      <c r="DB209" s="496" t="str">
        <f> IF(DB229&lt;&gt;"",TEXT(AUX!DF$1,"dd-MMM-aa"),"")</f>
      </c>
      <c r="DC209" s="496" t="str">
        <f> IF(DC229&lt;&gt;"",TEXT(AUX!DG$1,"dd-MMM-aa"),"")</f>
      </c>
      <c r="DD209" s="496" t="str">
        <f> IF(DD229&lt;&gt;"",TEXT(AUX!DH$1,"dd-MMM-aa"),"")</f>
      </c>
      <c r="DE209" s="496" t="str">
        <f> IF(DE229&lt;&gt;"",TEXT(AUX!DI$1,"dd-MMM-aa"),"")</f>
      </c>
      <c r="DF209" s="496" t="str">
        <f> IF(DF229&lt;&gt;"",TEXT(AUX!DJ$1,"dd-MMM-aa"),"")</f>
      </c>
      <c r="DG209" s="496" t="str">
        <f> IF(DG229&lt;&gt;"",TEXT(AUX!DK$1,"dd-MMM-aa"),"")</f>
      </c>
      <c r="DH209" s="496" t="str">
        <f> IF(DH229&lt;&gt;"",TEXT(AUX!DL$1,"dd-MMM-aa"),"")</f>
      </c>
      <c r="DI209" s="496" t="str">
        <f> IF(DI229&lt;&gt;"",TEXT(AUX!DM$1,"dd-MMM-aa"),"")</f>
      </c>
      <c r="DJ209" s="496" t="str">
        <f> IF(DJ229&lt;&gt;"",TEXT(AUX!DN$1,"dd-MMM-aa"),"")</f>
      </c>
      <c r="DK209" s="496" t="str">
        <f> IF(DK229&lt;&gt;"",TEXT(AUX!DO$1,"dd-MMM-aa"),"")</f>
      </c>
      <c r="DL209" s="496" t="str">
        <f> IF(DL229&lt;&gt;"",TEXT(AUX!DP$1,"dd-MMM-aa"),"")</f>
      </c>
      <c r="DM209" s="496" t="str">
        <f> IF(DM229&lt;&gt;"",TEXT(AUX!DQ$1,"dd-MMM-aa"),"")</f>
      </c>
      <c r="DN209" s="496" t="str">
        <f> IF(DN229&lt;&gt;"",TEXT(AUX!DR$1,"dd-MMM-aa"),"")</f>
      </c>
      <c r="DO209" s="496" t="str">
        <f> IF(DO229&lt;&gt;"",TEXT(AUX!DS$1,"dd-MMM-aa"),"")</f>
      </c>
      <c r="DP209" s="496" t="str">
        <f> IF(DP229&lt;&gt;"",TEXT(AUX!DT$1,"dd-MMM-aa"),"")</f>
      </c>
      <c r="DQ209" s="496" t="str">
        <f> IF(DQ229&lt;&gt;"",TEXT(AUX!DU$1,"dd-MMM-aa"),"")</f>
      </c>
      <c r="DR209" s="496" t="str">
        <f> IF(DR229&lt;&gt;"",TEXT(AUX!DV$1,"dd-MMM-aa"),"")</f>
      </c>
      <c r="DS209" s="496" t="str">
        <f> IF(DS229&lt;&gt;"",TEXT(AUX!DW$1,"dd-MMM-aa"),"")</f>
      </c>
      <c r="DT209" s="496" t="str">
        <f> IF(DT229&lt;&gt;"",TEXT(AUX!DX$1,"dd-MMM-aa"),"")</f>
      </c>
      <c r="DU209" s="496" t="str">
        <f> IF(DU229&lt;&gt;"",TEXT(AUX!DY$1,"dd-MMM-aa"),"")</f>
      </c>
      <c r="DV209" s="496" t="str">
        <f> IF(DV229&lt;&gt;"",TEXT(AUX!DZ$1,"dd-MMM-aa"),"")</f>
      </c>
      <c r="DW209" s="496" t="str">
        <f> IF(DW229&lt;&gt;"",TEXT(AUX!EA$1,"dd-MMM-aa"),"")</f>
      </c>
      <c r="DX209" s="496" t="str">
        <f> IF(DX229&lt;&gt;"",TEXT(AUX!EB$1,"dd-MMM-aa"),"")</f>
      </c>
      <c r="DY209" s="496" t="str">
        <f> IF(DY229&lt;&gt;"",TEXT(AUX!EC$1,"dd-MMM-aa"),"")</f>
      </c>
      <c r="DZ209" s="496" t="str">
        <f> IF(DZ229&lt;&gt;"",TEXT(AUX!ED$1,"dd-MMM-aa"),"")</f>
      </c>
      <c r="EA209" s="496" t="str">
        <f> IF(EA229&lt;&gt;"",TEXT(AUX!EE$1,"dd-MMM-aa"),"")</f>
      </c>
      <c r="EB209" s="496" t="str">
        <f> IF(EB229&lt;&gt;"",TEXT(AUX!EF$1,"dd-MMM-aa"),"")</f>
      </c>
      <c r="EC209" s="496" t="str">
        <f> IF(EC229&lt;&gt;"",TEXT(AUX!EG$1,"dd-MMM-aa"),"")</f>
      </c>
      <c r="ED209" s="496" t="str">
        <f> IF(ED229&lt;&gt;"",TEXT(AUX!EH$1,"dd-MMM-aa"),"")</f>
      </c>
      <c r="EE209" s="496" t="str">
        <f> IF(EE229&lt;&gt;"",TEXT(AUX!EI$1,"dd-MMM-aa"),"")</f>
      </c>
      <c r="EF209" s="496" t="str">
        <f> IF(EF229&lt;&gt;"",TEXT(AUX!EJ$1,"dd-MMM-aa"),"")</f>
      </c>
      <c r="EG209" s="496" t="str">
        <f> IF(EG229&lt;&gt;"",TEXT(AUX!EK$1,"dd-MMM-aa"),"")</f>
      </c>
      <c r="EH209" s="496" t="str">
        <f> IF(EH229&lt;&gt;"",TEXT(AUX!EL$1,"dd-MMM-aa"),"")</f>
      </c>
      <c r="EI209" s="496" t="str">
        <f> IF(EI229&lt;&gt;"",TEXT(AUX!EM$1,"dd-MMM-aa"),"")</f>
      </c>
      <c r="EJ209" s="496" t="str">
        <f> IF(EJ229&lt;&gt;"",TEXT(AUX!EN$1,"dd-MMM-aa"),"")</f>
      </c>
      <c r="EK209" s="496" t="str">
        <f> IF(EK229&lt;&gt;"",TEXT(AUX!EO$1,"dd-MMM-aa"),"")</f>
      </c>
      <c r="EL209" s="496" t="str">
        <f> IF(EL229&lt;&gt;"",TEXT(AUX!EP$1,"dd-MMM-aa"),"")</f>
      </c>
      <c r="EM209" s="496" t="str">
        <f> IF(EM229&lt;&gt;"",TEXT(AUX!EQ$1,"dd-MMM-aa"),"")</f>
      </c>
      <c r="EN209" s="496" t="str">
        <f> IF(EN229&lt;&gt;"",TEXT(AUX!ER$1,"dd-MMM-aa"),"")</f>
      </c>
      <c r="EO209" s="496" t="str">
        <f> IF(EO229&lt;&gt;"",TEXT(AUX!ES$1,"dd-MMM-aa"),"")</f>
      </c>
      <c r="EP209" s="496" t="str">
        <f> IF(EP229&lt;&gt;"",TEXT(AUX!ET$1,"dd-MMM-aa"),"")</f>
      </c>
      <c r="EQ209" s="496" t="str">
        <f> IF(EQ229&lt;&gt;"",TEXT(AUX!EU$1,"dd-MMM-aa"),"")</f>
      </c>
      <c r="ER209" s="496" t="str">
        <f> IF(ER229&lt;&gt;"",TEXT(AUX!EV$1,"dd-MMM-aa"),"")</f>
      </c>
      <c r="ES209" s="496" t="str">
        <f> IF(ES229&lt;&gt;"",TEXT(AUX!EW$1,"dd-MMM-aa"),"")</f>
      </c>
      <c r="ET209" s="496" t="str">
        <f> IF(ET229&lt;&gt;"",TEXT(AUX!EX$1,"dd-MMM-aa"),"")</f>
      </c>
      <c r="EU209" s="496" t="str">
        <f> IF(EU229&lt;&gt;"",TEXT(AUX!EY$1,"dd-MMM-aa"),"")</f>
      </c>
      <c r="EV209" s="496" t="str">
        <f> IF(EV229&lt;&gt;"",TEXT(AUX!EZ$1,"dd-MMM-aa"),"")</f>
      </c>
      <c r="EW209" s="496" t="str">
        <f> IF(EW229&lt;&gt;"",TEXT(AUX!FA$1,"dd-MMM-aa"),"")</f>
      </c>
      <c r="EX209" s="496" t="str">
        <f> IF(EX229&lt;&gt;"",TEXT(AUX!FB$1,"dd-MMM-aa"),"")</f>
      </c>
      <c r="EY209" s="496" t="str">
        <f> IF(EY229&lt;&gt;"",TEXT(AUX!FC$1,"dd-MMM-aa"),"")</f>
      </c>
      <c r="EZ209" s="496" t="str">
        <f> IF(EZ229&lt;&gt;"",TEXT(AUX!FD$1,"dd-MMM-aa"),"")</f>
      </c>
      <c r="FA209" s="496" t="str">
        <f> IF(FA229&lt;&gt;"",TEXT(AUX!FE$1,"dd-MMM-aa"),"")</f>
      </c>
      <c r="FB209" s="496" t="str">
        <f> IF(FB229&lt;&gt;"",TEXT(AUX!FF$1,"dd-MMM-aa"),"")</f>
      </c>
      <c r="FC209" s="496" t="str">
        <f> IF(FC229&lt;&gt;"",TEXT(AUX!FG$1,"dd-MMM-aa"),"")</f>
      </c>
      <c r="FD209" s="496" t="str">
        <f> IF(FD229&lt;&gt;"",TEXT(AUX!FH$1,"dd-MMM-aa"),"")</f>
      </c>
      <c r="FE209" s="496" t="str">
        <f> IF(FE229&lt;&gt;"",TEXT(AUX!FI$1,"dd-MMM-aa"),"")</f>
      </c>
      <c r="FF209" s="496" t="str">
        <f> IF(FF229&lt;&gt;"",TEXT(AUX!FJ$1,"dd-MMM-aa"),"")</f>
      </c>
      <c r="FG209" s="496" t="str">
        <f> IF(FG229&lt;&gt;"",TEXT(AUX!FK$1,"dd-MMM-aa"),"")</f>
      </c>
      <c r="FH209" s="496" t="str">
        <f> IF(FH229&lt;&gt;"",TEXT(AUX!FL$1,"dd-MMM-aa"),"")</f>
      </c>
      <c r="FI209" s="496" t="str">
        <f> IF(FI229&lt;&gt;"",TEXT(AUX!FM$1,"dd-MMM-aa"),"")</f>
      </c>
      <c r="FJ209" s="496" t="str">
        <f> IF(FJ229&lt;&gt;"",TEXT(AUX!FN$1,"dd-MMM-aa"),"")</f>
      </c>
      <c r="FK209" s="496" t="str">
        <f> IF(FK229&lt;&gt;"",TEXT(AUX!FO$1,"dd-MMM-aa"),"")</f>
      </c>
      <c r="FL209" s="496" t="str">
        <f> IF(FL229&lt;&gt;"",TEXT(AUX!FP$1,"dd-MMM-aa"),"")</f>
      </c>
      <c r="FM209" s="496" t="str">
        <f> IF(FM229&lt;&gt;"",TEXT(AUX!FQ$1,"dd-MMM-aa"),"")</f>
      </c>
      <c r="FN209" s="496" t="str">
        <f> IF(FN229&lt;&gt;"",TEXT(AUX!FR$1,"dd-MMM-aa"),"")</f>
      </c>
      <c r="FO209" s="496" t="str">
        <f> IF(FO229&lt;&gt;"",TEXT(AUX!FS$1,"dd-MMM-aa"),"")</f>
      </c>
      <c r="FP209" s="496" t="str">
        <f> IF(FP229&lt;&gt;"",TEXT(AUX!FT$1,"dd-MMM-aa"),"")</f>
      </c>
      <c r="FQ209" s="496" t="str">
        <f> IF(FQ229&lt;&gt;"",TEXT(AUX!FU$1,"dd-MMM-aa"),"")</f>
      </c>
      <c r="FR209" s="496" t="str">
        <f> IF(FR229&lt;&gt;"",TEXT(AUX!FV$1,"dd-MMM-aa"),"")</f>
      </c>
      <c r="FS209" s="496" t="str">
        <f> IF(FS229&lt;&gt;"",TEXT(AUX!FW$1,"dd-MMM-aa"),"")</f>
      </c>
      <c r="FT209" s="496" t="str">
        <f> IF(FT229&lt;&gt;"",TEXT(AUX!FX$1,"dd-MMM-aa"),"")</f>
      </c>
      <c r="FU209" s="496" t="str">
        <f> IF(FU229&lt;&gt;"",TEXT(AUX!FY$1,"dd-MMM-aa"),"")</f>
      </c>
      <c r="FV209" s="496" t="str">
        <f> IF(FV229&lt;&gt;"",TEXT(AUX!FZ$1,"dd-MMM-aa"),"")</f>
      </c>
      <c r="FW209" s="496" t="str">
        <f> IF(FW229&lt;&gt;"",TEXT(AUX!GA$1,"dd-MMM-aa"),"")</f>
      </c>
      <c r="FX209" s="496" t="str">
        <f> IF(FX229&lt;&gt;"",TEXT(AUX!GB$1,"dd-MMM-aa"),"")</f>
      </c>
      <c r="FY209" s="496" t="str">
        <f> IF(FY229&lt;&gt;"",TEXT(AUX!GC$1,"dd-MMM-aa"),"")</f>
      </c>
      <c r="FZ209" s="496" t="str">
        <f> IF(FZ229&lt;&gt;"",TEXT(AUX!GD$1,"dd-MMM-aa"),"")</f>
      </c>
      <c r="GA209" s="496" t="str">
        <f> IF(GA229&lt;&gt;"",TEXT(AUX!GE$1,"dd-MMM-aa"),"")</f>
      </c>
      <c r="GB209" s="496" t="str">
        <f> IF(GB229&lt;&gt;"",TEXT(AUX!GF$1,"dd-MMM-aa"),"")</f>
      </c>
      <c r="GC209" s="496" t="str">
        <f> IF(GC229&lt;&gt;"",TEXT(AUX!GG$1,"dd-MMM-aa"),"")</f>
      </c>
      <c r="GD209" s="496" t="str">
        <f> IF(GD229&lt;&gt;"",TEXT(AUX!GH$1,"dd-MMM-aa"),"")</f>
      </c>
      <c r="GE209" s="496" t="str">
        <f> IF(GE229&lt;&gt;"",TEXT(AUX!GI$1,"dd-MMM-aa"),"")</f>
      </c>
      <c r="GF209" s="496" t="str">
        <f> IF(GF229&lt;&gt;"",TEXT(AUX!GJ$1,"dd-MMM-aa"),"")</f>
      </c>
      <c r="GG209" s="496" t="str">
        <f> IF(GG229&lt;&gt;"",TEXT(AUX!GK$1,"dd-MMM-aa"),"")</f>
      </c>
      <c r="GH209" s="496" t="str">
        <f> IF(GH229&lt;&gt;"",TEXT(AUX!GL$1,"dd-MMM-aa"),"")</f>
      </c>
      <c r="GI209" s="496" t="str">
        <f> IF(GI229&lt;&gt;"",TEXT(AUX!GM$1,"dd-MMM-aa"),"")</f>
      </c>
      <c r="GJ209" s="496" t="str">
        <f> IF(GJ229&lt;&gt;"",TEXT(AUX!GN$1,"dd-MMM-aa"),"")</f>
      </c>
      <c r="GK209" s="496" t="str">
        <f> IF(GK229&lt;&gt;"",TEXT(AUX!GO$1,"dd-MMM-aa"),"")</f>
      </c>
      <c r="GL209" s="496" t="str">
        <f> IF(GL229&lt;&gt;"",TEXT(AUX!GP$1,"dd-MMM-aa"),"")</f>
      </c>
      <c r="GM209" s="496" t="str">
        <f> IF(GM229&lt;&gt;"",TEXT(AUX!GQ$1,"dd-MMM-aa"),"")</f>
      </c>
      <c r="GN209" s="496" t="str">
        <f> IF(GN229&lt;&gt;"",TEXT(AUX!GR$1,"dd-MMM-aa"),"")</f>
      </c>
      <c r="GO209" s="496" t="str">
        <f> IF(GO229&lt;&gt;"",TEXT(AUX!GS$1,"dd-MMM-aa"),"")</f>
      </c>
      <c r="GP209" s="496" t="str">
        <f> IF(GP229&lt;&gt;"",TEXT(AUX!GT$1,"dd-MMM-aa"),"")</f>
      </c>
      <c r="GQ209" s="496" t="str">
        <f> IF(GQ229&lt;&gt;"",TEXT(AUX!GU$1,"dd-MMM-aa"),"")</f>
      </c>
      <c r="GR209" s="496" t="str">
        <f> IF(GR229&lt;&gt;"",TEXT(AUX!GV$1,"dd-MMM-aa"),"")</f>
      </c>
      <c r="GS209" s="496" t="str">
        <f> IF(GS229&lt;&gt;"",TEXT(AUX!GW$1,"dd-MMM-aa"),"")</f>
      </c>
      <c r="GT209" s="496" t="str">
        <f> IF(GT229&lt;&gt;"",TEXT(AUX!GX$1,"dd-MMM-aa"),"")</f>
      </c>
      <c r="GU209" s="496" t="str">
        <f> IF(GU229&lt;&gt;"",TEXT(AUX!GY$1,"dd-MMM-aa"),"")</f>
      </c>
      <c r="GV209" s="496" t="str">
        <f> IF(GV229&lt;&gt;"",TEXT(AUX!GZ$1,"dd-MMM-aa"),"")</f>
      </c>
      <c r="GW209" s="496" t="str">
        <f> IF(GW229&lt;&gt;"",TEXT(AUX!HA$1,"dd-MMM-aa"),"")</f>
      </c>
      <c r="GX209" s="496" t="str">
        <f> IF(GX229&lt;&gt;"",TEXT(AUX!HB$1,"dd-MMM-aa"),"")</f>
      </c>
      <c r="GY209" s="496" t="str">
        <f> IF(GY229&lt;&gt;"",TEXT(AUX!HC$1,"dd-MMM-aa"),"")</f>
      </c>
      <c r="GZ209" s="496" t="str">
        <f> IF(GZ229&lt;&gt;"",TEXT(AUX!HD$1,"dd-MMM-aa"),"")</f>
      </c>
      <c r="HA209" s="496" t="str">
        <f> IF(HA229&lt;&gt;"",TEXT(AUX!HE$1,"dd-MMM-aa"),"")</f>
      </c>
      <c r="HB209" s="496" t="str">
        <f> IF(HB229&lt;&gt;"",TEXT(AUX!HF$1,"dd-MMM-aa"),"")</f>
      </c>
      <c r="HC209" s="496" t="str">
        <f> IF(HC229&lt;&gt;"",TEXT(AUX!HG$1,"dd-MMM-aa"),"")</f>
      </c>
      <c r="HD209" s="496" t="str">
        <f> IF(HD229&lt;&gt;"",TEXT(AUX!HH$1,"dd-MMM-aa"),"")</f>
      </c>
      <c r="HE209" s="496" t="str">
        <f> IF(HE229&lt;&gt;"",TEXT(AUX!HI$1,"dd-MMM-aa"),"")</f>
      </c>
      <c r="HF209" s="496" t="str">
        <f> IF(HF229&lt;&gt;"",TEXT(AUX!HJ$1,"dd-MMM-aa"),"")</f>
      </c>
      <c r="HG209" s="496" t="str">
        <f> IF(HG229&lt;&gt;"",TEXT(AUX!HK$1,"dd-MMM-aa"),"")</f>
      </c>
      <c r="HH209" s="496" t="str">
        <f> IF(HH229&lt;&gt;"",TEXT(AUX!HL$1,"dd-MMM-aa"),"")</f>
      </c>
      <c r="HI209" s="496" t="str">
        <f> IF(HI229&lt;&gt;"",TEXT(AUX!HM$1,"dd-MMM-aa"),"")</f>
      </c>
      <c r="HJ209" s="496" t="str">
        <f> IF(HJ229&lt;&gt;"",TEXT(AUX!HN$1,"dd-MMM-aa"),"")</f>
      </c>
      <c r="HK209" s="496" t="str">
        <f> IF(HK229&lt;&gt;"",TEXT(AUX!HO$1,"dd-MMM-aa"),"")</f>
      </c>
      <c r="HL209" s="496" t="str">
        <f> IF(HL229&lt;&gt;"",TEXT(AUX!HP$1,"dd-MMM-aa"),"")</f>
      </c>
      <c r="HM209" s="496" t="str">
        <f> IF(HM229&lt;&gt;"",TEXT(AUX!HQ$1,"dd-MMM-aa"),"")</f>
      </c>
      <c r="HN209" s="496" t="str">
        <f> IF(HN229&lt;&gt;"",TEXT(AUX!HR$1,"dd-MMM-aa"),"")</f>
      </c>
      <c r="HO209" s="496" t="str">
        <f> IF(HO229&lt;&gt;"",TEXT(AUX!HS$1,"dd-MMM-aa"),"")</f>
      </c>
      <c r="HP209" s="496" t="str">
        <f> IF(HP229&lt;&gt;"",TEXT(AUX!HT$1,"dd-MMM-aa"),"")</f>
      </c>
      <c r="HQ209" s="496" t="str">
        <f> IF(HQ229&lt;&gt;"",TEXT(AUX!HU$1,"dd-MMM-aa"),"")</f>
      </c>
      <c r="HR209" s="496" t="str">
        <f> IF(HR229&lt;&gt;"",TEXT(AUX!HV$1,"dd-MMM-aa"),"")</f>
      </c>
      <c r="HS209" s="496" t="str">
        <f> IF(HS229&lt;&gt;"",TEXT(AUX!HW$1,"dd-MMM-aa"),"")</f>
      </c>
      <c r="HT209" s="496" t="str">
        <f> IF(HT229&lt;&gt;"",TEXT(AUX!HX$1,"dd-MMM-aa"),"")</f>
      </c>
      <c r="HU209" s="496" t="str">
        <f> IF(HU229&lt;&gt;"",TEXT(AUX!HY$1,"dd-MMM-aa"),"")</f>
      </c>
      <c r="HV209" s="496" t="str">
        <f> IF(HV229&lt;&gt;"",TEXT(AUX!HZ$1,"dd-MMM-aa"),"")</f>
      </c>
      <c r="HW209" s="496" t="str">
        <f> IF(HW229&lt;&gt;"",TEXT(AUX!IA$1,"dd-MMM-aa"),"")</f>
      </c>
      <c r="HX209" s="496" t="str">
        <f> IF(HX229&lt;&gt;"",TEXT(AUX!IB$1,"dd-MMM-aa"),"")</f>
      </c>
      <c r="HY209" s="496" t="str">
        <f> IF(HY229&lt;&gt;"",TEXT(AUX!IC$1,"dd-MMM-aa"),"")</f>
      </c>
      <c r="HZ209" s="496" t="str">
        <f> IF(HZ229&lt;&gt;"",TEXT(AUX!ID$1,"dd-MMM-aa"),"")</f>
      </c>
      <c r="IA209" s="496" t="str">
        <f> IF(IA229&lt;&gt;"",TEXT(AUX!IE$1,"dd-MMM-aa"),"")</f>
      </c>
      <c r="IB209" s="496" t="str">
        <f> IF(IB229&lt;&gt;"",TEXT(AUX!IF$1,"dd-MMM-aa"),"")</f>
      </c>
      <c r="IC209" s="496" t="str">
        <f> IF(IC229&lt;&gt;"",TEXT(AUX!IG$1,"dd-MMM-aa"),"")</f>
      </c>
      <c r="ID209" s="496" t="str">
        <f> IF(ID229&lt;&gt;"",TEXT(AUX!IH$1,"dd-MMM-aa"),"")</f>
      </c>
      <c r="IE209" s="496" t="str">
        <f> IF(IE229&lt;&gt;"",TEXT(AUX!II$1,"dd-MMM-aa"),"")</f>
      </c>
      <c r="IF209" s="496" t="str">
        <f> IF(IF229&lt;&gt;"",TEXT(AUX!IJ$1,"dd-MMM-aa"),"")</f>
      </c>
      <c r="IG209" s="496" t="str">
        <f> IF(IG229&lt;&gt;"",TEXT(AUX!IK$1,"dd-MMM-aa"),"")</f>
      </c>
      <c r="IH209" s="496" t="str">
        <f> IF(IH229&lt;&gt;"",TEXT(AUX!IL$1,"dd-MMM-aa"),"")</f>
      </c>
      <c r="II209" s="496" t="str">
        <f> IF(II229&lt;&gt;"",TEXT(AUX!IM$1,"dd-MMM-aa"),"")</f>
      </c>
      <c r="IJ209" s="496" t="str">
        <f> IF(IJ229&lt;&gt;"",TEXT(AUX!IN$1,"dd-MMM-aa"),"")</f>
      </c>
      <c r="IK209" s="496" t="str">
        <f> IF(IK229&lt;&gt;"",TEXT(AUX!IO$1,"dd-MMM-aa"),"")</f>
      </c>
      <c r="IL209" s="496" t="str">
        <f> IF(IL229&lt;&gt;"",TEXT(AUX!IP$1,"dd-MMM-aa"),"")</f>
      </c>
      <c r="IM209" s="496" t="str">
        <f> IF(IM229&lt;&gt;"",TEXT(AUX!IQ$1,"dd-MMM-aa"),"")</f>
      </c>
      <c r="IN209" s="496" t="str">
        <f> IF(IN229&lt;&gt;"",TEXT(AUX!IR$1,"dd-MMM-aa"),"")</f>
      </c>
      <c r="IO209" s="496" t="str">
        <f> IF(IO229&lt;&gt;"",TEXT(AUX!IS$1,"dd-MMM-aa"),"")</f>
      </c>
      <c r="IP209" s="496" t="str">
        <f> IF(IP229&lt;&gt;"",TEXT(AUX!IT$1,"dd-MMM-aa"),"")</f>
      </c>
      <c r="IQ209" s="496" t="str">
        <f> IF(IQ229&lt;&gt;"",TEXT(AUX!IU$1,"dd-MMM-aa"),"")</f>
      </c>
      <c r="IR209" s="496" t="str">
        <f> IF(IR229&lt;&gt;"",TEXT(AUX!IV$1,"dd-MMM-aa"),"")</f>
      </c>
      <c r="IS209" s="496" t="str">
        <f> IF(IS229&lt;&gt;"",TEXT(AUX!#REF!,"dd-MMM-aa"),"")</f>
      </c>
      <c r="IT209" s="496" t="str">
        <f> IF(IT229&lt;&gt;"",TEXT(AUX!#REF!,"dd-MMM-aa"),"")</f>
      </c>
      <c r="IU209" s="496" t="str">
        <f> IF(IU229&lt;&gt;"",TEXT(AUX!#REF!,"dd-MMM-aa"),"")</f>
      </c>
      <c r="IV209" s="496" t="str">
        <f> IF(IV229&lt;&gt;"",TEXT(AUX!#REF!,"dd-MMM-aa"),"")</f>
      </c>
    </row>
    <row r="210" hidden="1" ht="15.95" customHeight="1">
      <c r="B210" s="822" t="s">
        <v>8</v>
      </c>
      <c r="C210" s="823">
        <v>91</v>
      </c>
      <c r="D210" s="823">
        <v>101</v>
      </c>
      <c r="E210" s="823">
        <v>112</v>
      </c>
      <c r="F210" s="823">
        <v>123</v>
      </c>
      <c r="G210" s="823">
        <v>127</v>
      </c>
      <c r="H210" s="823">
        <v>127</v>
      </c>
      <c r="I210" s="823">
        <v>132</v>
      </c>
      <c r="J210" s="823">
        <v>142</v>
      </c>
      <c r="K210" s="823">
        <v>125</v>
      </c>
      <c r="L210" s="823">
        <v>129</v>
      </c>
      <c r="M210" s="823">
        <v>127</v>
      </c>
      <c r="N210" s="823">
        <v>128</v>
      </c>
      <c r="O210" s="823">
        <v>107</v>
      </c>
      <c r="P210" s="823">
        <v>105</v>
      </c>
      <c r="Q210" s="823">
        <v>102</v>
      </c>
      <c r="R210" s="823">
        <v>106</v>
      </c>
      <c r="S210" s="823">
        <v>109</v>
      </c>
      <c r="T210" s="823">
        <v>105</v>
      </c>
      <c r="U210" s="823">
        <v>101</v>
      </c>
      <c r="V210" s="823">
        <v>98</v>
      </c>
      <c r="W210" s="823">
        <v>98</v>
      </c>
      <c r="X210" s="823">
        <v>77</v>
      </c>
      <c r="Y210" s="823">
        <v>97</v>
      </c>
      <c r="Z210" s="823">
        <v>96</v>
      </c>
      <c r="AA210" s="823">
        <v>90</v>
      </c>
      <c r="AB210" s="824">
        <v>91</v>
      </c>
      <c r="AC210" s="825">
        <v>89</v>
      </c>
      <c r="AD210" s="825">
        <v>88</v>
      </c>
      <c r="AE210" s="825">
        <v>87</v>
      </c>
      <c r="AF210" s="825">
        <v>87</v>
      </c>
      <c r="AG210" s="825">
        <v>93</v>
      </c>
      <c r="AH210" s="825">
        <v>92</v>
      </c>
      <c r="AI210" s="825">
        <v>88</v>
      </c>
      <c r="AJ210" s="825">
        <v>85</v>
      </c>
      <c r="AK210" s="825">
        <v>83</v>
      </c>
      <c r="AL210" s="825">
        <v>83</v>
      </c>
      <c r="AM210" s="825">
        <v>78</v>
      </c>
      <c r="AN210" s="825">
        <v>79</v>
      </c>
      <c r="AO210" s="825">
        <v>78</v>
      </c>
      <c r="AP210" s="825">
        <v>77</v>
      </c>
    </row>
    <row r="211" hidden="1" ht="15.95" customHeight="1">
      <c r="B211" s="826" t="s">
        <v>9</v>
      </c>
      <c r="C211" s="827">
        <v>29</v>
      </c>
      <c r="D211" s="827">
        <v>37</v>
      </c>
      <c r="E211" s="827">
        <v>40</v>
      </c>
      <c r="F211" s="827">
        <v>43</v>
      </c>
      <c r="G211" s="827">
        <v>43</v>
      </c>
      <c r="H211" s="827">
        <v>46</v>
      </c>
      <c r="I211" s="827">
        <v>45</v>
      </c>
      <c r="J211" s="827">
        <v>47</v>
      </c>
      <c r="K211" s="827">
        <v>47</v>
      </c>
      <c r="L211" s="827">
        <v>47</v>
      </c>
      <c r="M211" s="827">
        <v>44</v>
      </c>
      <c r="N211" s="827">
        <v>40</v>
      </c>
      <c r="O211" s="827">
        <v>38</v>
      </c>
      <c r="P211" s="827">
        <v>40</v>
      </c>
      <c r="Q211" s="827">
        <v>41</v>
      </c>
      <c r="R211" s="827">
        <v>41</v>
      </c>
      <c r="S211" s="827">
        <v>39</v>
      </c>
      <c r="T211" s="827">
        <v>39</v>
      </c>
      <c r="U211" s="827">
        <v>39</v>
      </c>
      <c r="V211" s="827">
        <v>39</v>
      </c>
      <c r="W211" s="827">
        <v>41</v>
      </c>
      <c r="X211" s="827">
        <v>40</v>
      </c>
      <c r="Y211" s="827">
        <v>42</v>
      </c>
      <c r="Z211" s="827">
        <v>40</v>
      </c>
      <c r="AA211" s="827">
        <v>40</v>
      </c>
      <c r="AB211" s="827">
        <v>40</v>
      </c>
      <c r="AC211" s="828">
        <v>40</v>
      </c>
      <c r="AD211" s="828">
        <v>41</v>
      </c>
      <c r="AE211" s="828">
        <v>41</v>
      </c>
      <c r="AF211" s="828">
        <v>41</v>
      </c>
      <c r="AG211" s="828">
        <v>42</v>
      </c>
      <c r="AH211" s="828">
        <v>42</v>
      </c>
      <c r="AI211" s="828">
        <v>43</v>
      </c>
      <c r="AJ211" s="828">
        <v>43</v>
      </c>
      <c r="AK211" s="828">
        <v>44</v>
      </c>
      <c r="AL211" s="828">
        <v>44</v>
      </c>
      <c r="AM211" s="828">
        <v>44</v>
      </c>
      <c r="AN211" s="828">
        <v>44</v>
      </c>
      <c r="AO211" s="828">
        <v>44</v>
      </c>
      <c r="AP211" s="828">
        <v>49</v>
      </c>
    </row>
    <row r="212" hidden="1" ht="15.95" customHeight="1">
      <c r="B212" s="829" t="s">
        <v>10</v>
      </c>
      <c r="C212" s="823">
        <v>0</v>
      </c>
      <c r="D212" s="823">
        <v>0</v>
      </c>
      <c r="E212" s="823">
        <v>0</v>
      </c>
      <c r="F212" s="823">
        <v>0</v>
      </c>
      <c r="G212" s="823">
        <v>0</v>
      </c>
      <c r="H212" s="823">
        <v>0</v>
      </c>
      <c r="I212" s="823">
        <v>0</v>
      </c>
      <c r="J212" s="823">
        <v>0</v>
      </c>
      <c r="K212" s="823">
        <v>1</v>
      </c>
      <c r="L212" s="823">
        <v>1</v>
      </c>
      <c r="M212" s="823">
        <v>0</v>
      </c>
      <c r="N212" s="823">
        <v>0</v>
      </c>
      <c r="O212" s="823">
        <v>0</v>
      </c>
      <c r="P212" s="823">
        <v>0</v>
      </c>
      <c r="Q212" s="823">
        <v>0</v>
      </c>
      <c r="R212" s="823">
        <v>0</v>
      </c>
      <c r="S212" s="823">
        <v>0</v>
      </c>
      <c r="T212" s="823">
        <v>0</v>
      </c>
      <c r="U212" s="823">
        <v>0</v>
      </c>
      <c r="V212" s="823">
        <v>0</v>
      </c>
      <c r="W212" s="823">
        <v>0</v>
      </c>
      <c r="X212" s="823">
        <v>0</v>
      </c>
      <c r="Y212" s="823">
        <v>0</v>
      </c>
      <c r="Z212" s="823">
        <v>0</v>
      </c>
      <c r="AA212" s="823">
        <v>0</v>
      </c>
      <c r="AB212" s="823">
        <v>0</v>
      </c>
      <c r="AC212" s="825">
        <v>0</v>
      </c>
      <c r="AD212" s="825">
        <v>0</v>
      </c>
      <c r="AE212" s="825">
        <v>0</v>
      </c>
      <c r="AF212" s="825">
        <v>0</v>
      </c>
      <c r="AG212" s="825">
        <v>0</v>
      </c>
      <c r="AH212" s="825">
        <v>0</v>
      </c>
      <c r="AI212" s="825">
        <v>0</v>
      </c>
      <c r="AJ212" s="825">
        <v>0</v>
      </c>
      <c r="AK212" s="825">
        <v>0</v>
      </c>
      <c r="AL212" s="825">
        <v>0</v>
      </c>
      <c r="AM212" s="825">
        <v>0</v>
      </c>
      <c r="AN212" s="825">
        <v>0</v>
      </c>
      <c r="AO212" s="825">
        <v>0</v>
      </c>
      <c r="AP212" s="825">
        <v>0</v>
      </c>
    </row>
    <row r="213" hidden="1" ht="15.95" customHeight="1">
      <c r="B213" s="826" t="s">
        <v>11</v>
      </c>
      <c r="C213" s="827">
        <v>6</v>
      </c>
      <c r="D213" s="827">
        <v>6</v>
      </c>
      <c r="E213" s="827">
        <v>6</v>
      </c>
      <c r="F213" s="827">
        <v>6</v>
      </c>
      <c r="G213" s="827">
        <v>5</v>
      </c>
      <c r="H213" s="827">
        <v>6</v>
      </c>
      <c r="I213" s="827">
        <v>2</v>
      </c>
      <c r="J213" s="827">
        <v>3</v>
      </c>
      <c r="K213" s="827">
        <v>4</v>
      </c>
      <c r="L213" s="827">
        <v>3</v>
      </c>
      <c r="M213" s="827">
        <v>3</v>
      </c>
      <c r="N213" s="827">
        <v>3</v>
      </c>
      <c r="O213" s="827">
        <v>3</v>
      </c>
      <c r="P213" s="827">
        <v>4</v>
      </c>
      <c r="Q213" s="827">
        <v>4</v>
      </c>
      <c r="R213" s="827">
        <v>4</v>
      </c>
      <c r="S213" s="827">
        <v>4</v>
      </c>
      <c r="T213" s="827">
        <v>4</v>
      </c>
      <c r="U213" s="827">
        <v>6</v>
      </c>
      <c r="V213" s="827">
        <v>6</v>
      </c>
      <c r="W213" s="827">
        <v>6</v>
      </c>
      <c r="X213" s="827">
        <v>6</v>
      </c>
      <c r="Y213" s="827">
        <v>5</v>
      </c>
      <c r="Z213" s="827">
        <v>5</v>
      </c>
      <c r="AA213" s="827">
        <v>5</v>
      </c>
      <c r="AB213" s="827">
        <v>5</v>
      </c>
      <c r="AC213" s="828">
        <v>5</v>
      </c>
      <c r="AD213" s="828">
        <v>5</v>
      </c>
      <c r="AE213" s="828">
        <v>5</v>
      </c>
      <c r="AF213" s="828">
        <v>5</v>
      </c>
      <c r="AG213" s="828">
        <v>5</v>
      </c>
      <c r="AH213" s="828">
        <v>5</v>
      </c>
      <c r="AI213" s="828">
        <v>4</v>
      </c>
      <c r="AJ213" s="828">
        <v>3</v>
      </c>
      <c r="AK213" s="828">
        <v>3</v>
      </c>
      <c r="AL213" s="828">
        <v>3</v>
      </c>
      <c r="AM213" s="828">
        <v>3</v>
      </c>
      <c r="AN213" s="828">
        <v>3</v>
      </c>
      <c r="AO213" s="828">
        <v>3</v>
      </c>
      <c r="AP213" s="828">
        <v>3</v>
      </c>
    </row>
    <row r="214" hidden="1" ht="15.95" customHeight="1">
      <c r="B214" s="829" t="s">
        <v>12</v>
      </c>
      <c r="C214" s="823">
        <v>2</v>
      </c>
      <c r="D214" s="823">
        <v>2</v>
      </c>
      <c r="E214" s="823">
        <v>2</v>
      </c>
      <c r="F214" s="823">
        <v>2</v>
      </c>
      <c r="G214" s="823">
        <v>2</v>
      </c>
      <c r="H214" s="823">
        <v>3</v>
      </c>
      <c r="I214" s="823">
        <v>2</v>
      </c>
      <c r="J214" s="823">
        <v>2</v>
      </c>
      <c r="K214" s="823">
        <v>2</v>
      </c>
      <c r="L214" s="823">
        <v>2</v>
      </c>
      <c r="M214" s="823">
        <v>2</v>
      </c>
      <c r="N214" s="823">
        <v>2</v>
      </c>
      <c r="O214" s="823">
        <v>2</v>
      </c>
      <c r="P214" s="823">
        <v>2</v>
      </c>
      <c r="Q214" s="823">
        <v>2</v>
      </c>
      <c r="R214" s="823">
        <v>2</v>
      </c>
      <c r="S214" s="823">
        <v>2</v>
      </c>
      <c r="T214" s="823">
        <v>2</v>
      </c>
      <c r="U214" s="823">
        <v>2</v>
      </c>
      <c r="V214" s="823">
        <v>2</v>
      </c>
      <c r="W214" s="823">
        <v>2</v>
      </c>
      <c r="X214" s="823">
        <v>2</v>
      </c>
      <c r="Y214" s="823">
        <v>2</v>
      </c>
      <c r="Z214" s="823">
        <v>2</v>
      </c>
      <c r="AA214" s="823">
        <v>2</v>
      </c>
      <c r="AB214" s="823">
        <v>2</v>
      </c>
      <c r="AC214" s="825">
        <v>2</v>
      </c>
      <c r="AD214" s="825">
        <v>2</v>
      </c>
      <c r="AE214" s="825">
        <v>2</v>
      </c>
      <c r="AF214" s="825">
        <v>2</v>
      </c>
      <c r="AG214" s="825">
        <v>2</v>
      </c>
      <c r="AH214" s="825">
        <v>2</v>
      </c>
      <c r="AI214" s="825">
        <v>2</v>
      </c>
      <c r="AJ214" s="825">
        <v>2</v>
      </c>
      <c r="AK214" s="825">
        <v>2</v>
      </c>
      <c r="AL214" s="825">
        <v>2</v>
      </c>
      <c r="AM214" s="825">
        <v>2</v>
      </c>
      <c r="AN214" s="825">
        <v>2</v>
      </c>
      <c r="AO214" s="825">
        <v>2</v>
      </c>
      <c r="AP214" s="825">
        <v>2</v>
      </c>
    </row>
    <row r="215" hidden="1" ht="15.95" customHeight="1">
      <c r="B215" s="826" t="s">
        <v>13</v>
      </c>
      <c r="C215" s="827">
        <v>0</v>
      </c>
      <c r="D215" s="827">
        <v>0</v>
      </c>
      <c r="E215" s="827">
        <v>0</v>
      </c>
      <c r="F215" s="827">
        <v>1</v>
      </c>
      <c r="G215" s="827">
        <v>1</v>
      </c>
      <c r="H215" s="827">
        <v>1</v>
      </c>
      <c r="I215" s="827">
        <v>1</v>
      </c>
      <c r="J215" s="827">
        <v>2</v>
      </c>
      <c r="K215" s="827">
        <v>2</v>
      </c>
      <c r="L215" s="827">
        <v>2</v>
      </c>
      <c r="M215" s="827">
        <v>2</v>
      </c>
      <c r="N215" s="827">
        <v>1</v>
      </c>
      <c r="O215" s="827">
        <v>1</v>
      </c>
      <c r="P215" s="827">
        <v>1</v>
      </c>
      <c r="Q215" s="827">
        <v>2</v>
      </c>
      <c r="R215" s="827">
        <v>2</v>
      </c>
      <c r="S215" s="827">
        <v>2</v>
      </c>
      <c r="T215" s="827">
        <v>2</v>
      </c>
      <c r="U215" s="827">
        <v>1</v>
      </c>
      <c r="V215" s="827">
        <v>2</v>
      </c>
      <c r="W215" s="827">
        <v>2</v>
      </c>
      <c r="X215" s="827">
        <v>2</v>
      </c>
      <c r="Y215" s="827">
        <v>1</v>
      </c>
      <c r="Z215" s="827">
        <v>1</v>
      </c>
      <c r="AA215" s="827">
        <v>1</v>
      </c>
      <c r="AB215" s="827">
        <v>1</v>
      </c>
      <c r="AC215" s="828">
        <v>0</v>
      </c>
      <c r="AD215" s="828">
        <v>0</v>
      </c>
      <c r="AE215" s="828">
        <v>0</v>
      </c>
      <c r="AF215" s="828">
        <v>0</v>
      </c>
      <c r="AG215" s="828">
        <v>0</v>
      </c>
      <c r="AH215" s="828">
        <v>0</v>
      </c>
      <c r="AI215" s="828">
        <v>0</v>
      </c>
      <c r="AJ215" s="828">
        <v>0</v>
      </c>
      <c r="AK215" s="828">
        <v>0</v>
      </c>
      <c r="AL215" s="828">
        <v>0</v>
      </c>
      <c r="AM215" s="828">
        <v>0</v>
      </c>
      <c r="AN215" s="828">
        <v>0</v>
      </c>
      <c r="AO215" s="828">
        <v>0</v>
      </c>
      <c r="AP215" s="828">
        <v>0</v>
      </c>
    </row>
    <row r="216" hidden="1" ht="15.95" customHeight="1">
      <c r="B216" s="829" t="s">
        <v>109</v>
      </c>
      <c r="C216" s="823">
        <v>24</v>
      </c>
      <c r="D216" s="823">
        <v>26</v>
      </c>
      <c r="E216" s="823">
        <v>26</v>
      </c>
      <c r="F216" s="823">
        <v>25</v>
      </c>
      <c r="G216" s="823">
        <v>26</v>
      </c>
      <c r="H216" s="823">
        <v>27</v>
      </c>
      <c r="I216" s="823">
        <v>28</v>
      </c>
      <c r="J216" s="823">
        <v>28</v>
      </c>
      <c r="K216" s="823">
        <v>26</v>
      </c>
      <c r="L216" s="823">
        <v>23</v>
      </c>
      <c r="M216" s="823">
        <v>22</v>
      </c>
      <c r="N216" s="823">
        <v>24</v>
      </c>
      <c r="O216" s="823">
        <v>24</v>
      </c>
      <c r="P216" s="823">
        <v>24</v>
      </c>
      <c r="Q216" s="823">
        <v>19</v>
      </c>
      <c r="R216" s="823">
        <v>20</v>
      </c>
      <c r="S216" s="823">
        <v>19</v>
      </c>
      <c r="T216" s="823">
        <v>18</v>
      </c>
      <c r="U216" s="823">
        <v>17</v>
      </c>
      <c r="V216" s="823">
        <v>17</v>
      </c>
      <c r="W216" s="823">
        <v>19</v>
      </c>
      <c r="X216" s="823">
        <v>18</v>
      </c>
      <c r="Y216" s="823">
        <v>17</v>
      </c>
      <c r="Z216" s="823">
        <v>17</v>
      </c>
      <c r="AA216" s="823">
        <v>16</v>
      </c>
      <c r="AB216" s="823">
        <v>16</v>
      </c>
      <c r="AC216" s="825">
        <v>16</v>
      </c>
      <c r="AD216" s="825">
        <v>16</v>
      </c>
      <c r="AE216" s="825">
        <v>16</v>
      </c>
      <c r="AF216" s="825">
        <v>16</v>
      </c>
      <c r="AG216" s="825">
        <v>16</v>
      </c>
      <c r="AH216" s="825">
        <v>16</v>
      </c>
      <c r="AI216" s="825">
        <v>15</v>
      </c>
      <c r="AJ216" s="825">
        <v>16</v>
      </c>
      <c r="AK216" s="825">
        <v>16</v>
      </c>
      <c r="AL216" s="825">
        <v>16</v>
      </c>
      <c r="AM216" s="825">
        <v>17</v>
      </c>
      <c r="AN216" s="825">
        <v>17</v>
      </c>
      <c r="AO216" s="825">
        <v>16</v>
      </c>
      <c r="AP216" s="825">
        <v>16</v>
      </c>
    </row>
    <row r="217" hidden="1" ht="15.95" customHeight="1">
      <c r="B217" s="826" t="s">
        <v>110</v>
      </c>
      <c r="C217" s="827">
        <v>46</v>
      </c>
      <c r="D217" s="827">
        <v>47</v>
      </c>
      <c r="E217" s="827">
        <v>49</v>
      </c>
      <c r="F217" s="827">
        <v>50</v>
      </c>
      <c r="G217" s="827">
        <v>46</v>
      </c>
      <c r="H217" s="827">
        <v>47</v>
      </c>
      <c r="I217" s="827">
        <v>44</v>
      </c>
      <c r="J217" s="827">
        <v>44</v>
      </c>
      <c r="K217" s="827">
        <v>43</v>
      </c>
      <c r="L217" s="827">
        <v>40</v>
      </c>
      <c r="M217" s="827">
        <v>41</v>
      </c>
      <c r="N217" s="827">
        <v>40</v>
      </c>
      <c r="O217" s="827">
        <v>35</v>
      </c>
      <c r="P217" s="827">
        <v>36</v>
      </c>
      <c r="Q217" s="827">
        <v>36</v>
      </c>
      <c r="R217" s="827">
        <v>34</v>
      </c>
      <c r="S217" s="827">
        <v>35</v>
      </c>
      <c r="T217" s="827">
        <v>37</v>
      </c>
      <c r="U217" s="827">
        <v>38</v>
      </c>
      <c r="V217" s="827">
        <v>38</v>
      </c>
      <c r="W217" s="827">
        <v>38</v>
      </c>
      <c r="X217" s="827">
        <v>40</v>
      </c>
      <c r="Y217" s="827">
        <v>39</v>
      </c>
      <c r="Z217" s="827">
        <v>39</v>
      </c>
      <c r="AA217" s="827">
        <v>36</v>
      </c>
      <c r="AB217" s="827">
        <v>36</v>
      </c>
      <c r="AC217" s="828">
        <v>35</v>
      </c>
      <c r="AD217" s="828">
        <v>37</v>
      </c>
      <c r="AE217" s="828">
        <v>37</v>
      </c>
      <c r="AF217" s="828">
        <v>38</v>
      </c>
      <c r="AG217" s="828">
        <v>39</v>
      </c>
      <c r="AH217" s="828">
        <v>40</v>
      </c>
      <c r="AI217" s="828">
        <v>43</v>
      </c>
      <c r="AJ217" s="828">
        <v>43</v>
      </c>
      <c r="AK217" s="828">
        <v>43</v>
      </c>
      <c r="AL217" s="828">
        <v>41</v>
      </c>
      <c r="AM217" s="828">
        <v>39</v>
      </c>
      <c r="AN217" s="828">
        <v>40</v>
      </c>
      <c r="AO217" s="828">
        <v>41</v>
      </c>
      <c r="AP217" s="828">
        <v>42</v>
      </c>
    </row>
    <row r="218" hidden="1" ht="15.95" customHeight="1">
      <c r="B218" s="829" t="s">
        <v>16</v>
      </c>
      <c r="C218" s="823">
        <v>56</v>
      </c>
      <c r="D218" s="823">
        <v>54</v>
      </c>
      <c r="E218" s="823">
        <v>59</v>
      </c>
      <c r="F218" s="823">
        <v>58</v>
      </c>
      <c r="G218" s="823">
        <v>60</v>
      </c>
      <c r="H218" s="823">
        <v>62</v>
      </c>
      <c r="I218" s="823">
        <v>59</v>
      </c>
      <c r="J218" s="823">
        <v>61</v>
      </c>
      <c r="K218" s="823">
        <v>62</v>
      </c>
      <c r="L218" s="823">
        <v>61</v>
      </c>
      <c r="M218" s="823">
        <v>59</v>
      </c>
      <c r="N218" s="823">
        <v>60</v>
      </c>
      <c r="O218" s="823">
        <v>61</v>
      </c>
      <c r="P218" s="823">
        <v>61</v>
      </c>
      <c r="Q218" s="823">
        <v>59</v>
      </c>
      <c r="R218" s="823">
        <v>61</v>
      </c>
      <c r="S218" s="823">
        <v>63</v>
      </c>
      <c r="T218" s="823">
        <v>62</v>
      </c>
      <c r="U218" s="823">
        <v>66</v>
      </c>
      <c r="V218" s="823">
        <v>65</v>
      </c>
      <c r="W218" s="823">
        <v>66</v>
      </c>
      <c r="X218" s="823">
        <v>66</v>
      </c>
      <c r="Y218" s="823">
        <v>65</v>
      </c>
      <c r="Z218" s="823">
        <v>66</v>
      </c>
      <c r="AA218" s="823">
        <v>67</v>
      </c>
      <c r="AB218" s="823">
        <v>67</v>
      </c>
      <c r="AC218" s="825">
        <v>65</v>
      </c>
      <c r="AD218" s="825">
        <v>65</v>
      </c>
      <c r="AE218" s="825">
        <v>64</v>
      </c>
      <c r="AF218" s="825">
        <v>64</v>
      </c>
      <c r="AG218" s="825">
        <v>62</v>
      </c>
      <c r="AH218" s="825">
        <v>62</v>
      </c>
      <c r="AI218" s="825">
        <v>63</v>
      </c>
      <c r="AJ218" s="825">
        <v>62</v>
      </c>
      <c r="AK218" s="825">
        <v>62</v>
      </c>
      <c r="AL218" s="825">
        <v>60</v>
      </c>
      <c r="AM218" s="825">
        <v>60</v>
      </c>
      <c r="AN218" s="825">
        <v>58</v>
      </c>
      <c r="AO218" s="825">
        <v>59</v>
      </c>
      <c r="AP218" s="825">
        <v>56</v>
      </c>
    </row>
    <row r="219" hidden="1" ht="15.95" customHeight="1">
      <c r="B219" s="826" t="s">
        <v>17</v>
      </c>
      <c r="C219" s="827">
        <v>2</v>
      </c>
      <c r="D219" s="827">
        <v>2</v>
      </c>
      <c r="E219" s="827">
        <v>2</v>
      </c>
      <c r="F219" s="827">
        <v>2</v>
      </c>
      <c r="G219" s="827">
        <v>2</v>
      </c>
      <c r="H219" s="827">
        <v>2</v>
      </c>
      <c r="I219" s="827">
        <v>1</v>
      </c>
      <c r="J219" s="827">
        <v>1</v>
      </c>
      <c r="K219" s="827">
        <v>1</v>
      </c>
      <c r="L219" s="827">
        <v>1</v>
      </c>
      <c r="M219" s="827">
        <v>1</v>
      </c>
      <c r="N219" s="827">
        <v>1</v>
      </c>
      <c r="O219" s="827">
        <v>1</v>
      </c>
      <c r="P219" s="827">
        <v>5</v>
      </c>
      <c r="Q219" s="827">
        <v>6</v>
      </c>
      <c r="R219" s="827">
        <v>6</v>
      </c>
      <c r="S219" s="827">
        <v>6</v>
      </c>
      <c r="T219" s="827">
        <v>6</v>
      </c>
      <c r="U219" s="827">
        <v>6</v>
      </c>
      <c r="V219" s="827">
        <v>6</v>
      </c>
      <c r="W219" s="827">
        <v>5</v>
      </c>
      <c r="X219" s="827">
        <v>5</v>
      </c>
      <c r="Y219" s="827">
        <v>5</v>
      </c>
      <c r="Z219" s="827">
        <v>2</v>
      </c>
      <c r="AA219" s="827">
        <v>2</v>
      </c>
      <c r="AB219" s="827">
        <v>2</v>
      </c>
      <c r="AC219" s="828">
        <v>2</v>
      </c>
      <c r="AD219" s="828">
        <v>2</v>
      </c>
      <c r="AE219" s="828">
        <v>3</v>
      </c>
      <c r="AF219" s="828">
        <v>3</v>
      </c>
      <c r="AG219" s="828">
        <v>3</v>
      </c>
      <c r="AH219" s="828">
        <v>3</v>
      </c>
      <c r="AI219" s="828">
        <v>6</v>
      </c>
      <c r="AJ219" s="828">
        <v>8</v>
      </c>
      <c r="AK219" s="828">
        <v>10</v>
      </c>
      <c r="AL219" s="828">
        <v>11</v>
      </c>
      <c r="AM219" s="828">
        <v>14</v>
      </c>
      <c r="AN219" s="828">
        <v>15</v>
      </c>
      <c r="AO219" s="828">
        <v>15</v>
      </c>
      <c r="AP219" s="828">
        <v>16</v>
      </c>
    </row>
    <row r="220" hidden="1" ht="15.95" customHeight="1">
      <c r="B220" s="829" t="s">
        <v>18</v>
      </c>
      <c r="C220" s="823">
        <v>15</v>
      </c>
      <c r="D220" s="823">
        <v>14</v>
      </c>
      <c r="E220" s="823">
        <v>13</v>
      </c>
      <c r="F220" s="823">
        <v>11</v>
      </c>
      <c r="G220" s="823">
        <v>12</v>
      </c>
      <c r="H220" s="823">
        <v>12</v>
      </c>
      <c r="I220" s="823">
        <v>12</v>
      </c>
      <c r="J220" s="823">
        <v>8</v>
      </c>
      <c r="K220" s="823">
        <v>7</v>
      </c>
      <c r="L220" s="823">
        <v>7</v>
      </c>
      <c r="M220" s="823">
        <v>7</v>
      </c>
      <c r="N220" s="823">
        <v>6</v>
      </c>
      <c r="O220" s="823">
        <v>6</v>
      </c>
      <c r="P220" s="823">
        <v>6</v>
      </c>
      <c r="Q220" s="823">
        <v>6</v>
      </c>
      <c r="R220" s="823">
        <v>5</v>
      </c>
      <c r="S220" s="823">
        <v>5</v>
      </c>
      <c r="T220" s="823">
        <v>6</v>
      </c>
      <c r="U220" s="823">
        <v>6</v>
      </c>
      <c r="V220" s="823">
        <v>6</v>
      </c>
      <c r="W220" s="823">
        <v>7</v>
      </c>
      <c r="X220" s="823">
        <v>7</v>
      </c>
      <c r="Y220" s="823">
        <v>7</v>
      </c>
      <c r="Z220" s="823">
        <v>7</v>
      </c>
      <c r="AA220" s="823">
        <v>6</v>
      </c>
      <c r="AB220" s="823">
        <v>6</v>
      </c>
      <c r="AC220" s="825">
        <v>6</v>
      </c>
      <c r="AD220" s="825">
        <v>6</v>
      </c>
      <c r="AE220" s="825">
        <v>6</v>
      </c>
      <c r="AF220" s="825">
        <v>5</v>
      </c>
      <c r="AG220" s="825">
        <v>5</v>
      </c>
      <c r="AH220" s="825">
        <v>7</v>
      </c>
      <c r="AI220" s="825">
        <v>7</v>
      </c>
      <c r="AJ220" s="825">
        <v>7</v>
      </c>
      <c r="AK220" s="825">
        <v>7</v>
      </c>
      <c r="AL220" s="825">
        <v>7</v>
      </c>
      <c r="AM220" s="825">
        <v>7</v>
      </c>
      <c r="AN220" s="825">
        <v>8</v>
      </c>
      <c r="AO220" s="825">
        <v>8</v>
      </c>
      <c r="AP220" s="825">
        <v>8</v>
      </c>
    </row>
    <row r="221" hidden="1" ht="15.95" customHeight="1">
      <c r="B221" s="826" t="s">
        <v>19</v>
      </c>
      <c r="C221" s="827">
        <v>4</v>
      </c>
      <c r="D221" s="827">
        <v>4</v>
      </c>
      <c r="E221" s="827">
        <v>4</v>
      </c>
      <c r="F221" s="827">
        <v>2</v>
      </c>
      <c r="G221" s="827">
        <v>2</v>
      </c>
      <c r="H221" s="827">
        <v>2</v>
      </c>
      <c r="I221" s="827">
        <v>2</v>
      </c>
      <c r="J221" s="827">
        <v>2</v>
      </c>
      <c r="K221" s="827">
        <v>2</v>
      </c>
      <c r="L221" s="827">
        <v>2</v>
      </c>
      <c r="M221" s="827">
        <v>2</v>
      </c>
      <c r="N221" s="827">
        <v>2</v>
      </c>
      <c r="O221" s="827">
        <v>1</v>
      </c>
      <c r="P221" s="827">
        <v>1</v>
      </c>
      <c r="Q221" s="827">
        <v>1</v>
      </c>
      <c r="R221" s="827">
        <v>1</v>
      </c>
      <c r="S221" s="827">
        <v>1</v>
      </c>
      <c r="T221" s="827">
        <v>1</v>
      </c>
      <c r="U221" s="827">
        <v>1</v>
      </c>
      <c r="V221" s="827">
        <v>1</v>
      </c>
      <c r="W221" s="827">
        <v>1</v>
      </c>
      <c r="X221" s="827">
        <v>1</v>
      </c>
      <c r="Y221" s="827">
        <v>1</v>
      </c>
      <c r="Z221" s="827">
        <v>1</v>
      </c>
      <c r="AA221" s="827">
        <v>1</v>
      </c>
      <c r="AB221" s="827">
        <v>1</v>
      </c>
      <c r="AC221" s="828">
        <v>1</v>
      </c>
      <c r="AD221" s="828">
        <v>1</v>
      </c>
      <c r="AE221" s="828">
        <v>1</v>
      </c>
      <c r="AF221" s="828">
        <v>1</v>
      </c>
      <c r="AG221" s="828">
        <v>1</v>
      </c>
      <c r="AH221" s="828">
        <v>1</v>
      </c>
      <c r="AI221" s="828">
        <v>2</v>
      </c>
      <c r="AJ221" s="828">
        <v>2</v>
      </c>
      <c r="AK221" s="828">
        <v>2</v>
      </c>
      <c r="AL221" s="828">
        <v>2</v>
      </c>
      <c r="AM221" s="828">
        <v>2</v>
      </c>
      <c r="AN221" s="828">
        <v>2</v>
      </c>
      <c r="AO221" s="828">
        <v>2</v>
      </c>
      <c r="AP221" s="828">
        <v>2</v>
      </c>
    </row>
    <row r="222" hidden="1" ht="15.95" customHeight="1">
      <c r="B222" s="829" t="s">
        <v>20</v>
      </c>
      <c r="C222" s="823">
        <v>4</v>
      </c>
      <c r="D222" s="823">
        <v>4</v>
      </c>
      <c r="E222" s="823">
        <v>5</v>
      </c>
      <c r="F222" s="823">
        <v>5</v>
      </c>
      <c r="G222" s="823">
        <v>6</v>
      </c>
      <c r="H222" s="823">
        <v>6</v>
      </c>
      <c r="I222" s="823">
        <v>6</v>
      </c>
      <c r="J222" s="823">
        <v>6</v>
      </c>
      <c r="K222" s="823">
        <v>7</v>
      </c>
      <c r="L222" s="823">
        <v>8</v>
      </c>
      <c r="M222" s="823">
        <v>8</v>
      </c>
      <c r="N222" s="823">
        <v>9</v>
      </c>
      <c r="O222" s="823">
        <v>9</v>
      </c>
      <c r="P222" s="823">
        <v>8</v>
      </c>
      <c r="Q222" s="823">
        <v>8</v>
      </c>
      <c r="R222" s="823">
        <v>8</v>
      </c>
      <c r="S222" s="823">
        <v>8</v>
      </c>
      <c r="T222" s="823">
        <v>7</v>
      </c>
      <c r="U222" s="823">
        <v>8</v>
      </c>
      <c r="V222" s="823">
        <v>8</v>
      </c>
      <c r="W222" s="823">
        <v>8</v>
      </c>
      <c r="X222" s="823">
        <v>8</v>
      </c>
      <c r="Y222" s="823">
        <v>8</v>
      </c>
      <c r="Z222" s="823">
        <v>8</v>
      </c>
      <c r="AA222" s="823">
        <v>8</v>
      </c>
      <c r="AB222" s="823">
        <v>8</v>
      </c>
      <c r="AC222" s="825">
        <v>8</v>
      </c>
      <c r="AD222" s="825">
        <v>8</v>
      </c>
      <c r="AE222" s="825">
        <v>8</v>
      </c>
      <c r="AF222" s="825">
        <v>8</v>
      </c>
      <c r="AG222" s="825">
        <v>8</v>
      </c>
      <c r="AH222" s="825">
        <v>8</v>
      </c>
      <c r="AI222" s="825">
        <v>8</v>
      </c>
      <c r="AJ222" s="825">
        <v>9</v>
      </c>
      <c r="AK222" s="825">
        <v>9</v>
      </c>
      <c r="AL222" s="825">
        <v>9</v>
      </c>
      <c r="AM222" s="825">
        <v>9</v>
      </c>
      <c r="AN222" s="825">
        <v>10</v>
      </c>
      <c r="AO222" s="825">
        <v>8</v>
      </c>
      <c r="AP222" s="825">
        <v>8</v>
      </c>
    </row>
    <row r="223" hidden="1" ht="15.95" customHeight="1">
      <c r="B223" s="826" t="s">
        <v>21</v>
      </c>
      <c r="C223" s="827">
        <v>3</v>
      </c>
      <c r="D223" s="827">
        <v>3</v>
      </c>
      <c r="E223" s="827">
        <v>3</v>
      </c>
      <c r="F223" s="827">
        <v>2</v>
      </c>
      <c r="G223" s="827">
        <v>2</v>
      </c>
      <c r="H223" s="827">
        <v>2</v>
      </c>
      <c r="I223" s="827">
        <v>2</v>
      </c>
      <c r="J223" s="827">
        <v>2</v>
      </c>
      <c r="K223" s="827">
        <v>3</v>
      </c>
      <c r="L223" s="827">
        <v>3</v>
      </c>
      <c r="M223" s="827">
        <v>3</v>
      </c>
      <c r="N223" s="827">
        <v>4</v>
      </c>
      <c r="O223" s="827">
        <v>3</v>
      </c>
      <c r="P223" s="827">
        <v>3</v>
      </c>
      <c r="Q223" s="827">
        <v>3</v>
      </c>
      <c r="R223" s="827">
        <v>4</v>
      </c>
      <c r="S223" s="827">
        <v>4</v>
      </c>
      <c r="T223" s="827">
        <v>10</v>
      </c>
      <c r="U223" s="827">
        <v>11</v>
      </c>
      <c r="V223" s="827">
        <v>11</v>
      </c>
      <c r="W223" s="827">
        <v>11</v>
      </c>
      <c r="X223" s="827">
        <v>11</v>
      </c>
      <c r="Y223" s="827">
        <v>10</v>
      </c>
      <c r="Z223" s="827">
        <v>9</v>
      </c>
      <c r="AA223" s="827">
        <v>9</v>
      </c>
      <c r="AB223" s="827">
        <v>9</v>
      </c>
      <c r="AC223" s="828">
        <v>10</v>
      </c>
      <c r="AD223" s="828">
        <v>10</v>
      </c>
      <c r="AE223" s="828">
        <v>9</v>
      </c>
      <c r="AF223" s="828">
        <v>9</v>
      </c>
      <c r="AG223" s="828">
        <v>9</v>
      </c>
      <c r="AH223" s="828">
        <v>8</v>
      </c>
      <c r="AI223" s="828">
        <v>8</v>
      </c>
      <c r="AJ223" s="828">
        <v>8</v>
      </c>
      <c r="AK223" s="828">
        <v>8</v>
      </c>
      <c r="AL223" s="828">
        <v>8</v>
      </c>
      <c r="AM223" s="828">
        <v>7</v>
      </c>
      <c r="AN223" s="828">
        <v>7</v>
      </c>
      <c r="AO223" s="828">
        <v>6</v>
      </c>
      <c r="AP223" s="828">
        <v>6</v>
      </c>
    </row>
    <row r="224" hidden="1" ht="15.95" customHeight="1">
      <c r="B224" s="829" t="s">
        <v>22</v>
      </c>
      <c r="C224" s="823">
        <v>1</v>
      </c>
      <c r="D224" s="823">
        <v>1</v>
      </c>
      <c r="E224" s="823">
        <v>1</v>
      </c>
      <c r="F224" s="823">
        <v>2</v>
      </c>
      <c r="G224" s="823">
        <v>2</v>
      </c>
      <c r="H224" s="823">
        <v>2</v>
      </c>
      <c r="I224" s="823">
        <v>2</v>
      </c>
      <c r="J224" s="823">
        <v>2</v>
      </c>
      <c r="K224" s="823">
        <v>1</v>
      </c>
      <c r="L224" s="823">
        <v>1</v>
      </c>
      <c r="M224" s="823">
        <v>2</v>
      </c>
      <c r="N224" s="823">
        <v>2</v>
      </c>
      <c r="O224" s="823">
        <v>2</v>
      </c>
      <c r="P224" s="823">
        <v>2</v>
      </c>
      <c r="Q224" s="823">
        <v>2</v>
      </c>
      <c r="R224" s="823">
        <v>2</v>
      </c>
      <c r="S224" s="823">
        <v>2</v>
      </c>
      <c r="T224" s="823">
        <v>3</v>
      </c>
      <c r="U224" s="823">
        <v>0</v>
      </c>
      <c r="V224" s="823">
        <v>0</v>
      </c>
      <c r="W224" s="823">
        <v>0</v>
      </c>
      <c r="X224" s="823">
        <v>0</v>
      </c>
      <c r="Y224" s="823">
        <v>0</v>
      </c>
      <c r="Z224" s="823">
        <v>0</v>
      </c>
      <c r="AA224" s="823">
        <v>0</v>
      </c>
      <c r="AB224" s="823">
        <v>0</v>
      </c>
      <c r="AC224" s="825">
        <v>1</v>
      </c>
      <c r="AD224" s="825">
        <v>1</v>
      </c>
      <c r="AE224" s="825">
        <v>1</v>
      </c>
      <c r="AF224" s="825">
        <v>0</v>
      </c>
      <c r="AG224" s="825">
        <v>0</v>
      </c>
      <c r="AH224" s="825">
        <v>0</v>
      </c>
      <c r="AI224" s="825">
        <v>0</v>
      </c>
      <c r="AJ224" s="825">
        <v>0</v>
      </c>
      <c r="AK224" s="825">
        <v>0</v>
      </c>
      <c r="AL224" s="825">
        <v>0</v>
      </c>
      <c r="AM224" s="825">
        <v>0</v>
      </c>
      <c r="AN224" s="825">
        <v>0</v>
      </c>
      <c r="AO224" s="825">
        <v>0</v>
      </c>
      <c r="AP224" s="825">
        <v>0</v>
      </c>
    </row>
    <row r="225" hidden="1" ht="15.95" customHeight="1">
      <c r="B225" s="826" t="s">
        <v>23</v>
      </c>
      <c r="C225" s="827">
        <v>0</v>
      </c>
      <c r="D225" s="827">
        <v>0</v>
      </c>
      <c r="E225" s="827">
        <v>0</v>
      </c>
      <c r="F225" s="827">
        <v>0</v>
      </c>
      <c r="G225" s="827">
        <v>0</v>
      </c>
      <c r="H225" s="827">
        <v>0</v>
      </c>
      <c r="I225" s="827">
        <v>0</v>
      </c>
      <c r="J225" s="827">
        <v>0</v>
      </c>
      <c r="K225" s="827">
        <v>0</v>
      </c>
      <c r="L225" s="827">
        <v>0</v>
      </c>
      <c r="M225" s="827">
        <v>0</v>
      </c>
      <c r="N225" s="827">
        <v>0</v>
      </c>
      <c r="O225" s="827">
        <v>0</v>
      </c>
      <c r="P225" s="827">
        <v>0</v>
      </c>
      <c r="Q225" s="827">
        <v>0</v>
      </c>
      <c r="R225" s="827">
        <v>0</v>
      </c>
      <c r="S225" s="827">
        <v>0</v>
      </c>
      <c r="T225" s="827">
        <v>0</v>
      </c>
      <c r="U225" s="827">
        <v>0</v>
      </c>
      <c r="V225" s="827">
        <v>0</v>
      </c>
      <c r="W225" s="827">
        <v>0</v>
      </c>
      <c r="X225" s="827">
        <v>0</v>
      </c>
      <c r="Y225" s="827">
        <v>0</v>
      </c>
      <c r="Z225" s="827">
        <v>0</v>
      </c>
      <c r="AA225" s="827">
        <v>0</v>
      </c>
      <c r="AB225" s="827">
        <v>0</v>
      </c>
      <c r="AC225" s="828">
        <v>0</v>
      </c>
      <c r="AD225" s="828">
        <v>0</v>
      </c>
      <c r="AE225" s="828">
        <v>0</v>
      </c>
      <c r="AF225" s="828">
        <v>0</v>
      </c>
      <c r="AG225" s="828">
        <v>0</v>
      </c>
      <c r="AH225" s="828">
        <v>0</v>
      </c>
      <c r="AI225" s="828">
        <v>0</v>
      </c>
      <c r="AJ225" s="828">
        <v>0</v>
      </c>
      <c r="AK225" s="828">
        <v>0</v>
      </c>
      <c r="AL225" s="828">
        <v>0</v>
      </c>
      <c r="AM225" s="828">
        <v>0</v>
      </c>
      <c r="AN225" s="828">
        <v>0</v>
      </c>
      <c r="AO225" s="828">
        <v>0</v>
      </c>
      <c r="AP225" s="828">
        <v>0</v>
      </c>
    </row>
    <row r="226" hidden="1" ht="15.95" customHeight="1">
      <c r="B226" s="830" t="s">
        <v>24</v>
      </c>
      <c r="C226" s="823">
        <v>8</v>
      </c>
      <c r="D226" s="823">
        <v>8</v>
      </c>
      <c r="E226" s="823">
        <v>8</v>
      </c>
      <c r="F226" s="823">
        <v>10</v>
      </c>
      <c r="G226" s="823">
        <v>10</v>
      </c>
      <c r="H226" s="823">
        <v>10</v>
      </c>
      <c r="I226" s="823">
        <v>11</v>
      </c>
      <c r="J226" s="823">
        <v>11</v>
      </c>
      <c r="K226" s="823">
        <v>10</v>
      </c>
      <c r="L226" s="823">
        <v>10</v>
      </c>
      <c r="M226" s="823">
        <v>10</v>
      </c>
      <c r="N226" s="823">
        <v>10</v>
      </c>
      <c r="O226" s="823">
        <v>8</v>
      </c>
      <c r="P226" s="823">
        <v>8</v>
      </c>
      <c r="Q226" s="823">
        <v>7</v>
      </c>
      <c r="R226" s="823">
        <v>7</v>
      </c>
      <c r="S226" s="823">
        <v>6</v>
      </c>
      <c r="T226" s="823">
        <v>6</v>
      </c>
      <c r="U226" s="823">
        <v>6</v>
      </c>
      <c r="V226" s="823">
        <v>7</v>
      </c>
      <c r="W226" s="823">
        <v>7</v>
      </c>
      <c r="X226" s="823">
        <v>7</v>
      </c>
      <c r="Y226" s="823">
        <v>7</v>
      </c>
      <c r="Z226" s="823">
        <v>7</v>
      </c>
      <c r="AA226" s="823">
        <v>8</v>
      </c>
      <c r="AB226" s="823">
        <v>8</v>
      </c>
      <c r="AC226" s="825">
        <v>8</v>
      </c>
      <c r="AD226" s="825">
        <v>8</v>
      </c>
      <c r="AE226" s="825">
        <v>8</v>
      </c>
      <c r="AF226" s="825">
        <v>7</v>
      </c>
      <c r="AG226" s="825">
        <v>7</v>
      </c>
      <c r="AH226" s="825">
        <v>8</v>
      </c>
      <c r="AI226" s="825">
        <v>8</v>
      </c>
      <c r="AJ226" s="825">
        <v>8</v>
      </c>
      <c r="AK226" s="825">
        <v>9</v>
      </c>
      <c r="AL226" s="825">
        <v>9</v>
      </c>
      <c r="AM226" s="825">
        <v>9</v>
      </c>
      <c r="AN226" s="825">
        <v>9</v>
      </c>
      <c r="AO226" s="825">
        <v>10</v>
      </c>
      <c r="AP226" s="825">
        <v>10</v>
      </c>
    </row>
    <row r="227" hidden="1" ht="15.95" customHeight="1">
      <c r="B227" s="826" t="s">
        <v>25</v>
      </c>
      <c r="C227" s="827">
        <v>0</v>
      </c>
      <c r="D227" s="827">
        <v>0</v>
      </c>
      <c r="E227" s="827">
        <v>0</v>
      </c>
      <c r="F227" s="827">
        <v>0</v>
      </c>
      <c r="G227" s="827">
        <v>0</v>
      </c>
      <c r="H227" s="827">
        <v>0</v>
      </c>
      <c r="I227" s="827">
        <v>0</v>
      </c>
      <c r="J227" s="827">
        <v>0</v>
      </c>
      <c r="K227" s="827">
        <v>0</v>
      </c>
      <c r="L227" s="827">
        <v>0</v>
      </c>
      <c r="M227" s="827">
        <v>0</v>
      </c>
      <c r="N227" s="827">
        <v>0</v>
      </c>
      <c r="O227" s="827">
        <v>0</v>
      </c>
      <c r="P227" s="827">
        <v>0</v>
      </c>
      <c r="Q227" s="827">
        <v>0</v>
      </c>
      <c r="R227" s="827">
        <v>0</v>
      </c>
      <c r="S227" s="827">
        <v>0</v>
      </c>
      <c r="T227" s="827">
        <v>0</v>
      </c>
      <c r="U227" s="827">
        <v>0</v>
      </c>
      <c r="V227" s="827">
        <v>0</v>
      </c>
      <c r="W227" s="827">
        <v>0</v>
      </c>
      <c r="X227" s="827">
        <v>0</v>
      </c>
      <c r="Y227" s="827">
        <v>0</v>
      </c>
      <c r="Z227" s="827">
        <v>0</v>
      </c>
      <c r="AA227" s="827">
        <v>0</v>
      </c>
      <c r="AB227" s="827">
        <v>0</v>
      </c>
      <c r="AC227" s="828">
        <v>0</v>
      </c>
      <c r="AD227" s="828">
        <v>0</v>
      </c>
      <c r="AE227" s="828">
        <v>0</v>
      </c>
      <c r="AF227" s="828">
        <v>0</v>
      </c>
      <c r="AG227" s="828">
        <v>0</v>
      </c>
      <c r="AH227" s="828">
        <v>0</v>
      </c>
      <c r="AI227" s="828">
        <v>0</v>
      </c>
      <c r="AJ227" s="828">
        <v>0</v>
      </c>
      <c r="AK227" s="828">
        <v>0</v>
      </c>
      <c r="AL227" s="828">
        <v>0</v>
      </c>
      <c r="AM227" s="828">
        <v>0</v>
      </c>
      <c r="AN227" s="828">
        <v>0</v>
      </c>
      <c r="AO227" s="828">
        <v>0</v>
      </c>
      <c r="AP227" s="828">
        <v>0</v>
      </c>
    </row>
    <row r="228" hidden="1" ht="15.95" customHeight="1">
      <c r="B228" s="831" t="s">
        <v>26</v>
      </c>
      <c r="C228" s="823">
        <v>0</v>
      </c>
      <c r="D228" s="823">
        <v>0</v>
      </c>
      <c r="E228" s="823">
        <v>0</v>
      </c>
      <c r="F228" s="823">
        <v>0</v>
      </c>
      <c r="G228" s="823">
        <v>0</v>
      </c>
      <c r="H228" s="823">
        <v>0</v>
      </c>
      <c r="I228" s="823">
        <v>0</v>
      </c>
      <c r="J228" s="823">
        <v>0</v>
      </c>
      <c r="K228" s="823">
        <v>0</v>
      </c>
      <c r="L228" s="823">
        <v>0</v>
      </c>
      <c r="M228" s="823">
        <v>0</v>
      </c>
      <c r="N228" s="823">
        <v>0</v>
      </c>
      <c r="O228" s="823">
        <v>0</v>
      </c>
      <c r="P228" s="823">
        <v>0</v>
      </c>
      <c r="Q228" s="823">
        <v>0</v>
      </c>
      <c r="R228" s="823">
        <v>0</v>
      </c>
      <c r="S228" s="823">
        <v>0</v>
      </c>
      <c r="T228" s="823">
        <v>0</v>
      </c>
      <c r="U228" s="823">
        <v>0</v>
      </c>
      <c r="V228" s="823">
        <v>0</v>
      </c>
      <c r="W228" s="823">
        <v>0</v>
      </c>
      <c r="X228" s="823">
        <v>0</v>
      </c>
      <c r="Y228" s="823">
        <v>0</v>
      </c>
      <c r="Z228" s="823">
        <v>0</v>
      </c>
      <c r="AA228" s="823">
        <v>0</v>
      </c>
      <c r="AB228" s="832">
        <v>0</v>
      </c>
      <c r="AC228" s="825">
        <v>0</v>
      </c>
      <c r="AD228" s="825">
        <v>0</v>
      </c>
      <c r="AE228" s="825">
        <v>0</v>
      </c>
      <c r="AF228" s="825">
        <v>0</v>
      </c>
      <c r="AG228" s="825">
        <v>0</v>
      </c>
      <c r="AH228" s="825">
        <v>0</v>
      </c>
      <c r="AI228" s="825">
        <v>0</v>
      </c>
      <c r="AJ228" s="825">
        <v>0</v>
      </c>
      <c r="AK228" s="825">
        <v>0</v>
      </c>
      <c r="AL228" s="825">
        <v>0</v>
      </c>
      <c r="AM228" s="825">
        <v>0</v>
      </c>
      <c r="AN228" s="825">
        <v>0</v>
      </c>
      <c r="AO228" s="825">
        <v>0</v>
      </c>
      <c r="AP228" s="825">
        <v>0</v>
      </c>
    </row>
    <row r="229" hidden="1" ht="15.95" customHeight="1">
      <c r="B229" s="128" t="s">
        <v>7</v>
      </c>
      <c r="C229" s="129" t="str">
        <f>IF(SUM(C210:C228)&lt;&gt;0,SUM(C210:C228),"")</f>
      </c>
      <c r="D229" s="129" t="str">
        <f ref="D229:AA229" t="shared" si="10">IF(SUM(D210:D228)&lt;&gt;0,SUM(D210:D228),"")</f>
      </c>
      <c r="E229" s="129" t="str">
        <f t="shared" si="10"/>
      </c>
      <c r="F229" s="129" t="str">
        <f t="shared" si="10"/>
      </c>
      <c r="G229" s="129" t="str">
        <f t="shared" si="10"/>
      </c>
      <c r="H229" s="129" t="str">
        <f t="shared" si="10"/>
      </c>
      <c r="I229" s="129" t="str">
        <f t="shared" si="10"/>
      </c>
      <c r="J229" s="129" t="str">
        <f t="shared" si="10"/>
      </c>
      <c r="K229" s="129" t="str">
        <f t="shared" si="10"/>
      </c>
      <c r="L229" s="129" t="str">
        <f t="shared" si="10"/>
      </c>
      <c r="M229" s="129" t="str">
        <f t="shared" si="10"/>
      </c>
      <c r="N229" s="129" t="str">
        <f t="shared" si="10"/>
      </c>
      <c r="O229" s="129" t="str">
        <f t="shared" si="10"/>
      </c>
      <c r="P229" s="129" t="str">
        <f t="shared" si="10"/>
      </c>
      <c r="Q229" s="129" t="str">
        <f t="shared" si="10"/>
      </c>
      <c r="R229" s="129" t="str">
        <f t="shared" si="10"/>
      </c>
      <c r="S229" s="129" t="str">
        <f t="shared" si="10"/>
      </c>
      <c r="T229" s="129" t="str">
        <f t="shared" si="10"/>
      </c>
      <c r="U229" s="129" t="str">
        <f t="shared" si="10"/>
      </c>
      <c r="V229" s="129" t="str">
        <f t="shared" si="10"/>
      </c>
      <c r="W229" s="129" t="str">
        <f t="shared" si="10"/>
      </c>
      <c r="X229" s="129" t="str">
        <f t="shared" si="10"/>
      </c>
      <c r="Y229" s="129" t="str">
        <f t="shared" si="10"/>
      </c>
      <c r="Z229" s="129" t="str">
        <f t="shared" si="10"/>
      </c>
      <c r="AA229" s="129" t="str">
        <f t="shared" si="10"/>
      </c>
      <c r="AB229" s="130" t="str">
        <f>IF(SUM(AB210:AB228)&lt;&gt;0,SUM(AB210:AB228),"")</f>
      </c>
      <c r="AC229" s="91" t="str">
        <f ref="AC229:CN229" t="shared" si="11">IF(SUM(AC210:AC228)&lt;&gt;0,SUM(AC210:AC228),"")</f>
      </c>
      <c r="AD229" s="91" t="str">
        <f t="shared" si="11"/>
      </c>
      <c r="AE229" s="91" t="str">
        <f t="shared" si="11"/>
      </c>
      <c r="AF229" s="91" t="str">
        <f t="shared" si="11"/>
      </c>
      <c r="AG229" s="91" t="str">
        <f t="shared" si="11"/>
      </c>
      <c r="AH229" s="91" t="str">
        <f t="shared" si="11"/>
      </c>
      <c r="AI229" s="91" t="str">
        <f t="shared" si="11"/>
      </c>
      <c r="AJ229" s="91" t="str">
        <f t="shared" si="11"/>
      </c>
      <c r="AK229" s="91" t="str">
        <f t="shared" si="11"/>
      </c>
      <c r="AL229" s="91" t="str">
        <f t="shared" si="11"/>
      </c>
      <c r="AM229" s="91" t="str">
        <f t="shared" si="11"/>
      </c>
      <c r="AN229" s="91" t="str">
        <f t="shared" si="11"/>
      </c>
      <c r="AO229" s="91" t="str">
        <f t="shared" si="11"/>
      </c>
      <c r="AP229" s="91" t="str">
        <f t="shared" si="11"/>
      </c>
      <c r="AQ229" s="91" t="str">
        <f t="shared" si="11"/>
      </c>
      <c r="AR229" s="91" t="str">
        <f t="shared" si="11"/>
      </c>
      <c r="AS229" s="91" t="str">
        <f t="shared" si="11"/>
      </c>
      <c r="AT229" s="91" t="str">
        <f t="shared" si="11"/>
      </c>
      <c r="AU229" s="91" t="str">
        <f t="shared" si="11"/>
      </c>
      <c r="AV229" s="91" t="str">
        <f t="shared" si="11"/>
      </c>
      <c r="AW229" s="91" t="str">
        <f t="shared" si="11"/>
      </c>
      <c r="AX229" s="91" t="str">
        <f t="shared" si="11"/>
      </c>
      <c r="AY229" s="91" t="str">
        <f t="shared" si="11"/>
      </c>
      <c r="AZ229" s="91" t="str">
        <f t="shared" si="11"/>
      </c>
      <c r="BA229" s="91" t="str">
        <f t="shared" si="11"/>
      </c>
      <c r="BB229" s="91" t="str">
        <f t="shared" si="11"/>
      </c>
      <c r="BC229" s="91" t="str">
        <f t="shared" si="11"/>
      </c>
      <c r="BD229" s="91" t="str">
        <f t="shared" si="11"/>
      </c>
      <c r="BE229" s="91" t="str">
        <f t="shared" si="11"/>
      </c>
      <c r="BF229" s="91" t="str">
        <f t="shared" si="11"/>
      </c>
      <c r="BG229" s="91" t="str">
        <f t="shared" si="11"/>
      </c>
      <c r="BH229" s="91" t="str">
        <f t="shared" si="11"/>
      </c>
      <c r="BI229" s="91" t="str">
        <f t="shared" si="11"/>
      </c>
      <c r="BJ229" s="91" t="str">
        <f t="shared" si="11"/>
      </c>
      <c r="BK229" s="91" t="str">
        <f t="shared" si="11"/>
      </c>
      <c r="BL229" s="91" t="str">
        <f t="shared" si="11"/>
      </c>
      <c r="BM229" s="91" t="str">
        <f t="shared" si="11"/>
      </c>
      <c r="BN229" s="91" t="str">
        <f t="shared" si="11"/>
      </c>
      <c r="BO229" s="91" t="str">
        <f t="shared" si="11"/>
      </c>
      <c r="BP229" s="91" t="str">
        <f t="shared" si="11"/>
      </c>
      <c r="BQ229" s="91" t="str">
        <f t="shared" si="11"/>
      </c>
      <c r="BR229" s="91" t="str">
        <f t="shared" si="11"/>
      </c>
      <c r="BS229" s="91" t="str">
        <f t="shared" si="11"/>
      </c>
      <c r="BT229" s="91" t="str">
        <f t="shared" si="11"/>
      </c>
      <c r="BU229" s="91" t="str">
        <f t="shared" si="11"/>
      </c>
      <c r="BV229" s="91" t="str">
        <f t="shared" si="11"/>
      </c>
      <c r="BW229" s="91" t="str">
        <f t="shared" si="11"/>
      </c>
      <c r="BX229" s="91" t="str">
        <f t="shared" si="11"/>
      </c>
      <c r="BY229" s="91" t="str">
        <f t="shared" si="11"/>
      </c>
      <c r="BZ229" s="91" t="str">
        <f t="shared" si="11"/>
      </c>
      <c r="CA229" s="91" t="str">
        <f t="shared" si="11"/>
      </c>
      <c r="CB229" s="91" t="str">
        <f t="shared" si="11"/>
      </c>
      <c r="CC229" s="91" t="str">
        <f t="shared" si="11"/>
      </c>
      <c r="CD229" s="91" t="str">
        <f t="shared" si="11"/>
      </c>
      <c r="CE229" s="91" t="str">
        <f t="shared" si="11"/>
      </c>
      <c r="CF229" s="91" t="str">
        <f t="shared" si="11"/>
      </c>
      <c r="CG229" s="91" t="str">
        <f t="shared" si="11"/>
      </c>
      <c r="CH229" s="91" t="str">
        <f t="shared" si="11"/>
      </c>
      <c r="CI229" s="91" t="str">
        <f t="shared" si="11"/>
      </c>
      <c r="CJ229" s="91" t="str">
        <f t="shared" si="11"/>
      </c>
      <c r="CK229" s="91" t="str">
        <f t="shared" si="11"/>
      </c>
      <c r="CL229" s="91" t="str">
        <f t="shared" si="11"/>
      </c>
      <c r="CM229" s="91" t="str">
        <f t="shared" si="11"/>
      </c>
      <c r="CN229" s="91" t="str">
        <f t="shared" si="11"/>
      </c>
      <c r="CO229" s="91" t="str">
        <f ref="CO229:EZ229" t="shared" si="12">IF(SUM(CO210:CO228)&lt;&gt;0,SUM(CO210:CO228),"")</f>
      </c>
      <c r="CP229" s="91" t="str">
        <f t="shared" si="12"/>
      </c>
      <c r="CQ229" s="91" t="str">
        <f t="shared" si="12"/>
      </c>
      <c r="CR229" s="91" t="str">
        <f t="shared" si="12"/>
      </c>
      <c r="CS229" s="91" t="str">
        <f t="shared" si="12"/>
      </c>
      <c r="CT229" s="91" t="str">
        <f t="shared" si="12"/>
      </c>
      <c r="CU229" s="91" t="str">
        <f t="shared" si="12"/>
      </c>
      <c r="CV229" s="91" t="str">
        <f t="shared" si="12"/>
      </c>
      <c r="CW229" s="91" t="str">
        <f t="shared" si="12"/>
      </c>
      <c r="CX229" s="91" t="str">
        <f t="shared" si="12"/>
      </c>
      <c r="CY229" s="91" t="str">
        <f t="shared" si="12"/>
      </c>
      <c r="CZ229" s="91" t="str">
        <f t="shared" si="12"/>
      </c>
      <c r="DA229" s="91" t="str">
        <f t="shared" si="12"/>
      </c>
      <c r="DB229" s="91" t="str">
        <f t="shared" si="12"/>
      </c>
      <c r="DC229" s="91" t="str">
        <f t="shared" si="12"/>
      </c>
      <c r="DD229" s="91" t="str">
        <f t="shared" si="12"/>
      </c>
      <c r="DE229" s="91" t="str">
        <f t="shared" si="12"/>
      </c>
      <c r="DF229" s="91" t="str">
        <f t="shared" si="12"/>
      </c>
      <c r="DG229" s="91" t="str">
        <f t="shared" si="12"/>
      </c>
      <c r="DH229" s="91" t="str">
        <f t="shared" si="12"/>
      </c>
      <c r="DI229" s="91" t="str">
        <f t="shared" si="12"/>
      </c>
      <c r="DJ229" s="91" t="str">
        <f t="shared" si="12"/>
      </c>
      <c r="DK229" s="91" t="str">
        <f t="shared" si="12"/>
      </c>
      <c r="DL229" s="91" t="str">
        <f t="shared" si="12"/>
      </c>
      <c r="DM229" s="91" t="str">
        <f t="shared" si="12"/>
      </c>
      <c r="DN229" s="91" t="str">
        <f t="shared" si="12"/>
      </c>
      <c r="DO229" s="91" t="str">
        <f t="shared" si="12"/>
      </c>
      <c r="DP229" s="91" t="str">
        <f t="shared" si="12"/>
      </c>
      <c r="DQ229" s="91" t="str">
        <f t="shared" si="12"/>
      </c>
      <c r="DR229" s="91" t="str">
        <f t="shared" si="12"/>
      </c>
      <c r="DS229" s="91" t="str">
        <f t="shared" si="12"/>
      </c>
      <c r="DT229" s="91" t="str">
        <f t="shared" si="12"/>
      </c>
      <c r="DU229" s="91" t="str">
        <f t="shared" si="12"/>
      </c>
      <c r="DV229" s="91" t="str">
        <f t="shared" si="12"/>
      </c>
      <c r="DW229" s="91" t="str">
        <f t="shared" si="12"/>
      </c>
      <c r="DX229" s="91" t="str">
        <f t="shared" si="12"/>
      </c>
      <c r="DY229" s="91" t="str">
        <f t="shared" si="12"/>
      </c>
      <c r="DZ229" s="91" t="str">
        <f t="shared" si="12"/>
      </c>
      <c r="EA229" s="91" t="str">
        <f t="shared" si="12"/>
      </c>
      <c r="EB229" s="91" t="str">
        <f t="shared" si="12"/>
      </c>
      <c r="EC229" s="91" t="str">
        <f t="shared" si="12"/>
      </c>
      <c r="ED229" s="91" t="str">
        <f t="shared" si="12"/>
      </c>
      <c r="EE229" s="91" t="str">
        <f t="shared" si="12"/>
      </c>
      <c r="EF229" s="91" t="str">
        <f t="shared" si="12"/>
      </c>
      <c r="EG229" s="91" t="str">
        <f t="shared" si="12"/>
      </c>
      <c r="EH229" s="91" t="str">
        <f t="shared" si="12"/>
      </c>
      <c r="EI229" s="91" t="str">
        <f t="shared" si="12"/>
      </c>
      <c r="EJ229" s="91" t="str">
        <f t="shared" si="12"/>
      </c>
      <c r="EK229" s="91" t="str">
        <f t="shared" si="12"/>
      </c>
      <c r="EL229" s="91" t="str">
        <f t="shared" si="12"/>
      </c>
      <c r="EM229" s="91" t="str">
        <f t="shared" si="12"/>
      </c>
      <c r="EN229" s="91" t="str">
        <f t="shared" si="12"/>
      </c>
      <c r="EO229" s="91" t="str">
        <f t="shared" si="12"/>
      </c>
      <c r="EP229" s="91" t="str">
        <f t="shared" si="12"/>
      </c>
      <c r="EQ229" s="91" t="str">
        <f t="shared" si="12"/>
      </c>
      <c r="ER229" s="91" t="str">
        <f t="shared" si="12"/>
      </c>
      <c r="ES229" s="91" t="str">
        <f t="shared" si="12"/>
      </c>
      <c r="ET229" s="91" t="str">
        <f t="shared" si="12"/>
      </c>
      <c r="EU229" s="91" t="str">
        <f t="shared" si="12"/>
      </c>
      <c r="EV229" s="91" t="str">
        <f t="shared" si="12"/>
      </c>
      <c r="EW229" s="91" t="str">
        <f t="shared" si="12"/>
      </c>
      <c r="EX229" s="91" t="str">
        <f t="shared" si="12"/>
      </c>
      <c r="EY229" s="91" t="str">
        <f t="shared" si="12"/>
      </c>
      <c r="EZ229" s="91" t="str">
        <f t="shared" si="12"/>
      </c>
      <c r="FA229" s="91" t="str">
        <f ref="FA229:HL229" t="shared" si="13">IF(SUM(FA210:FA228)&lt;&gt;0,SUM(FA210:FA228),"")</f>
      </c>
      <c r="FB229" s="91" t="str">
        <f t="shared" si="13"/>
      </c>
      <c r="FC229" s="91" t="str">
        <f t="shared" si="13"/>
      </c>
      <c r="FD229" s="91" t="str">
        <f t="shared" si="13"/>
      </c>
      <c r="FE229" s="91" t="str">
        <f t="shared" si="13"/>
      </c>
      <c r="FF229" s="91" t="str">
        <f t="shared" si="13"/>
      </c>
      <c r="FG229" s="91" t="str">
        <f t="shared" si="13"/>
      </c>
      <c r="FH229" s="91" t="str">
        <f t="shared" si="13"/>
      </c>
      <c r="FI229" s="91" t="str">
        <f t="shared" si="13"/>
      </c>
      <c r="FJ229" s="91" t="str">
        <f t="shared" si="13"/>
      </c>
      <c r="FK229" s="91" t="str">
        <f t="shared" si="13"/>
      </c>
      <c r="FL229" s="91" t="str">
        <f t="shared" si="13"/>
      </c>
      <c r="FM229" s="91" t="str">
        <f t="shared" si="13"/>
      </c>
      <c r="FN229" s="91" t="str">
        <f t="shared" si="13"/>
      </c>
      <c r="FO229" s="91" t="str">
        <f t="shared" si="13"/>
      </c>
      <c r="FP229" s="91" t="str">
        <f t="shared" si="13"/>
      </c>
      <c r="FQ229" s="91" t="str">
        <f t="shared" si="13"/>
      </c>
      <c r="FR229" s="91" t="str">
        <f t="shared" si="13"/>
      </c>
      <c r="FS229" s="91" t="str">
        <f t="shared" si="13"/>
      </c>
      <c r="FT229" s="91" t="str">
        <f t="shared" si="13"/>
      </c>
      <c r="FU229" s="91" t="str">
        <f t="shared" si="13"/>
      </c>
      <c r="FV229" s="91" t="str">
        <f t="shared" si="13"/>
      </c>
      <c r="FW229" s="91" t="str">
        <f t="shared" si="13"/>
      </c>
      <c r="FX229" s="91" t="str">
        <f t="shared" si="13"/>
      </c>
      <c r="FY229" s="91" t="str">
        <f t="shared" si="13"/>
      </c>
      <c r="FZ229" s="91" t="str">
        <f t="shared" si="13"/>
      </c>
      <c r="GA229" s="91" t="str">
        <f t="shared" si="13"/>
      </c>
      <c r="GB229" s="91" t="str">
        <f t="shared" si="13"/>
      </c>
      <c r="GC229" s="91" t="str">
        <f t="shared" si="13"/>
      </c>
      <c r="GD229" s="91" t="str">
        <f t="shared" si="13"/>
      </c>
      <c r="GE229" s="91" t="str">
        <f t="shared" si="13"/>
      </c>
      <c r="GF229" s="91" t="str">
        <f t="shared" si="13"/>
      </c>
      <c r="GG229" s="91" t="str">
        <f t="shared" si="13"/>
      </c>
      <c r="GH229" s="91" t="str">
        <f t="shared" si="13"/>
      </c>
      <c r="GI229" s="91" t="str">
        <f t="shared" si="13"/>
      </c>
      <c r="GJ229" s="91" t="str">
        <f t="shared" si="13"/>
      </c>
      <c r="GK229" s="91" t="str">
        <f t="shared" si="13"/>
      </c>
      <c r="GL229" s="91" t="str">
        <f t="shared" si="13"/>
      </c>
      <c r="GM229" s="91" t="str">
        <f t="shared" si="13"/>
      </c>
      <c r="GN229" s="91" t="str">
        <f t="shared" si="13"/>
      </c>
      <c r="GO229" s="91" t="str">
        <f t="shared" si="13"/>
      </c>
      <c r="GP229" s="91" t="str">
        <f t="shared" si="13"/>
      </c>
      <c r="GQ229" s="91" t="str">
        <f t="shared" si="13"/>
      </c>
      <c r="GR229" s="91" t="str">
        <f t="shared" si="13"/>
      </c>
      <c r="GS229" s="91" t="str">
        <f t="shared" si="13"/>
      </c>
      <c r="GT229" s="91" t="str">
        <f t="shared" si="13"/>
      </c>
      <c r="GU229" s="91" t="str">
        <f t="shared" si="13"/>
      </c>
      <c r="GV229" s="91" t="str">
        <f t="shared" si="13"/>
      </c>
      <c r="GW229" s="91" t="str">
        <f t="shared" si="13"/>
      </c>
      <c r="GX229" s="91" t="str">
        <f t="shared" si="13"/>
      </c>
      <c r="GY229" s="91" t="str">
        <f t="shared" si="13"/>
      </c>
      <c r="GZ229" s="91" t="str">
        <f t="shared" si="13"/>
      </c>
      <c r="HA229" s="91" t="str">
        <f t="shared" si="13"/>
      </c>
      <c r="HB229" s="91" t="str">
        <f t="shared" si="13"/>
      </c>
      <c r="HC229" s="91" t="str">
        <f t="shared" si="13"/>
      </c>
      <c r="HD229" s="91" t="str">
        <f t="shared" si="13"/>
      </c>
      <c r="HE229" s="91" t="str">
        <f t="shared" si="13"/>
      </c>
      <c r="HF229" s="91" t="str">
        <f t="shared" si="13"/>
      </c>
      <c r="HG229" s="91" t="str">
        <f t="shared" si="13"/>
      </c>
      <c r="HH229" s="91" t="str">
        <f t="shared" si="13"/>
      </c>
      <c r="HI229" s="91" t="str">
        <f t="shared" si="13"/>
      </c>
      <c r="HJ229" s="91" t="str">
        <f t="shared" si="13"/>
      </c>
      <c r="HK229" s="91" t="str">
        <f t="shared" si="13"/>
      </c>
      <c r="HL229" s="91" t="str">
        <f t="shared" si="13"/>
      </c>
      <c r="HM229" s="91" t="str">
        <f ref="HM229:IV229" t="shared" si="14">IF(SUM(HM210:HM228)&lt;&gt;0,SUM(HM210:HM228),"")</f>
      </c>
      <c r="HN229" s="91" t="str">
        <f t="shared" si="14"/>
      </c>
      <c r="HO229" s="91" t="str">
        <f t="shared" si="14"/>
      </c>
      <c r="HP229" s="91" t="str">
        <f t="shared" si="14"/>
      </c>
      <c r="HQ229" s="91" t="str">
        <f t="shared" si="14"/>
      </c>
      <c r="HR229" s="91" t="str">
        <f t="shared" si="14"/>
      </c>
      <c r="HS229" s="91" t="str">
        <f t="shared" si="14"/>
      </c>
      <c r="HT229" s="91" t="str">
        <f t="shared" si="14"/>
      </c>
      <c r="HU229" s="91" t="str">
        <f t="shared" si="14"/>
      </c>
      <c r="HV229" s="91" t="str">
        <f t="shared" si="14"/>
      </c>
      <c r="HW229" s="91" t="str">
        <f t="shared" si="14"/>
      </c>
      <c r="HX229" s="91" t="str">
        <f t="shared" si="14"/>
      </c>
      <c r="HY229" s="91" t="str">
        <f t="shared" si="14"/>
      </c>
      <c r="HZ229" s="91" t="str">
        <f t="shared" si="14"/>
      </c>
      <c r="IA229" s="91" t="str">
        <f t="shared" si="14"/>
      </c>
      <c r="IB229" s="91" t="str">
        <f t="shared" si="14"/>
      </c>
      <c r="IC229" s="91" t="str">
        <f t="shared" si="14"/>
      </c>
      <c r="ID229" s="91" t="str">
        <f t="shared" si="14"/>
      </c>
      <c r="IE229" s="91" t="str">
        <f t="shared" si="14"/>
      </c>
      <c r="IF229" s="91" t="str">
        <f t="shared" si="14"/>
      </c>
      <c r="IG229" s="91" t="str">
        <f t="shared" si="14"/>
      </c>
      <c r="IH229" s="91" t="str">
        <f t="shared" si="14"/>
      </c>
      <c r="II229" s="91" t="str">
        <f t="shared" si="14"/>
      </c>
      <c r="IJ229" s="91" t="str">
        <f t="shared" si="14"/>
      </c>
      <c r="IK229" s="91" t="str">
        <f t="shared" si="14"/>
      </c>
      <c r="IL229" s="91" t="str">
        <f t="shared" si="14"/>
      </c>
      <c r="IM229" s="91" t="str">
        <f t="shared" si="14"/>
      </c>
      <c r="IN229" s="91" t="str">
        <f t="shared" si="14"/>
      </c>
      <c r="IO229" s="91" t="str">
        <f t="shared" si="14"/>
      </c>
      <c r="IP229" s="91" t="str">
        <f t="shared" si="14"/>
      </c>
      <c r="IQ229" s="91" t="str">
        <f t="shared" si="14"/>
      </c>
      <c r="IR229" s="91" t="str">
        <f t="shared" si="14"/>
      </c>
      <c r="IS229" s="91" t="str">
        <f t="shared" si="14"/>
      </c>
      <c r="IT229" s="91" t="str">
        <f t="shared" si="14"/>
      </c>
      <c r="IU229" s="91" t="str">
        <f t="shared" si="14"/>
      </c>
      <c r="IV229" s="91" t="str">
        <f t="shared" si="14"/>
      </c>
    </row>
    <row r="230" hidden="1" ht="15.95" customHeight="1">
      <c r="B230" s="274"/>
      <c r="C230" s="247"/>
      <c r="D230" s="247"/>
      <c r="E230" s="247"/>
      <c r="F230" s="247"/>
      <c r="G230" s="247"/>
      <c r="H230" s="247"/>
      <c r="I230" s="247"/>
      <c r="J230" s="247"/>
      <c r="K230" s="247"/>
      <c r="N230" s="275"/>
    </row>
    <row r="231" hidden="1" ht="15.95" customHeight="1">
      <c r="B231" s="274"/>
      <c r="C231" s="659" t="s">
        <v>206</v>
      </c>
      <c r="D231" s="660"/>
      <c r="E231" s="660"/>
      <c r="F231" s="660"/>
      <c r="G231" s="660"/>
      <c r="H231" s="660"/>
      <c r="I231" s="660"/>
      <c r="J231" s="660"/>
      <c r="K231" s="660"/>
      <c r="L231" s="660"/>
      <c r="M231" s="660"/>
      <c r="N231" s="660"/>
      <c r="O231" s="660"/>
      <c r="P231" s="660"/>
      <c r="Q231" s="660"/>
      <c r="R231" s="660"/>
      <c r="S231" s="660"/>
      <c r="T231" s="660"/>
      <c r="U231" s="660"/>
      <c r="V231" s="660"/>
      <c r="W231" s="660"/>
      <c r="X231" s="660"/>
      <c r="Y231" s="660"/>
      <c r="Z231" s="660"/>
      <c r="AA231" s="660"/>
      <c r="AB231" s="661"/>
    </row>
    <row r="232" hidden="1" ht="15.95" customHeight="1">
      <c r="C232" s="435" t="str">
        <f> IF(C252&lt;&gt;"",TEXT(AUX!G$1,"dd-MMM-aa"),"")</f>
      </c>
      <c r="D232" s="435" t="str">
        <f> IF(D252&lt;&gt;"",TEXT(AUX!H$1,"dd-MMM-aa"),"")</f>
      </c>
      <c r="E232" s="435" t="str">
        <f> IF(E252&lt;&gt;"",TEXT(AUX!I$1,"dd-MMM-aa"),"")</f>
      </c>
      <c r="F232" s="435" t="str">
        <f> IF(F252&lt;&gt;"",TEXT(AUX!J$1,"dd-MMM-aa"),"")</f>
      </c>
      <c r="G232" s="435" t="str">
        <f> IF(G252&lt;&gt;"",TEXT(AUX!K$1,"dd-MMM-aa"),"")</f>
      </c>
      <c r="H232" s="435" t="str">
        <f> IF(H252&lt;&gt;"",TEXT(AUX!L$1,"dd-MMM-aa"),"")</f>
      </c>
      <c r="I232" s="435" t="str">
        <f> IF(I252&lt;&gt;"",TEXT(AUX!M$1,"dd-MMM-aa"),"")</f>
      </c>
      <c r="J232" s="435" t="str">
        <f> IF(J252&lt;&gt;"",TEXT(AUX!N$1,"dd-MMM-aa"),"")</f>
      </c>
      <c r="K232" s="435" t="str">
        <f> IF(K252&lt;&gt;"",TEXT(AUX!O$1,"dd-MMM-aa"),"")</f>
      </c>
      <c r="L232" s="435" t="str">
        <f> IF(L252&lt;&gt;"",TEXT(AUX!P$1,"dd-MMM-aa"),"")</f>
      </c>
      <c r="M232" s="435" t="str">
        <f> IF(M252&lt;&gt;"",TEXT(AUX!Q$1,"dd-MMM-aa"),"")</f>
      </c>
      <c r="N232" s="435" t="str">
        <f> IF(N252&lt;&gt;"",TEXT(AUX!R$1,"dd-MMM-aa"),"")</f>
      </c>
      <c r="O232" s="435" t="str">
        <f> IF(O252&lt;&gt;"",TEXT(AUX!S$1,"dd-MMM-aa"),"")</f>
      </c>
      <c r="P232" s="435" t="str">
        <f> IF(P252&lt;&gt;"",TEXT(AUX!T$1,"dd-MMM-aa"),"")</f>
      </c>
      <c r="Q232" s="435" t="str">
        <f> IF(Q252&lt;&gt;"",TEXT(AUX!U$1,"dd-MMM-aa"),"")</f>
      </c>
      <c r="R232" s="435" t="str">
        <f> IF(R252&lt;&gt;"",TEXT(AUX!V$1,"dd-MMM-aa"),"")</f>
      </c>
      <c r="S232" s="435" t="str">
        <f> IF(S252&lt;&gt;"",TEXT(AUX!W$1,"dd-MMM-aa"),"")</f>
      </c>
      <c r="T232" s="435" t="str">
        <f> IF(T252&lt;&gt;"",TEXT(AUX!X$1,"dd-MMM-aa"),"")</f>
      </c>
      <c r="U232" s="435" t="str">
        <f> IF(U252&lt;&gt;"",TEXT(AUX!Y$1,"dd-MMM-aa"),"")</f>
      </c>
      <c r="V232" s="435" t="str">
        <f> IF(V252&lt;&gt;"",TEXT(AUX!Z$1,"dd-MMM-aa"),"")</f>
      </c>
      <c r="W232" s="435" t="str">
        <f> IF(W252&lt;&gt;"",TEXT(AUX!AA$1,"dd-MMM-aa"),"")</f>
      </c>
      <c r="X232" s="435" t="str">
        <f> IF(X252&lt;&gt;"",TEXT(AUX!AB$1,"dd-MMM-aa"),"")</f>
      </c>
      <c r="Y232" s="435" t="str">
        <f> IF(Y252&lt;&gt;"",TEXT(AUX!AC$1,"dd-MMM-aa"),"")</f>
      </c>
      <c r="Z232" s="435" t="str">
        <f> IF(Z252&lt;&gt;"",TEXT(AUX!AD$1,"dd-MMM-aa"),"")</f>
      </c>
      <c r="AA232" s="435" t="str">
        <f> IF(AA252&lt;&gt;"",TEXT(AUX!AE$1,"dd-MMM-aa"),"")</f>
      </c>
      <c r="AB232" s="497" t="str">
        <f> IF(AB252&lt;&gt;"",TEXT(AUX!AF$1,"dd-MMM-aa"),"")</f>
      </c>
      <c r="AC232" s="496" t="str">
        <f> IF(AC252&lt;&gt;"",TEXT(AUX!AG$1,"dd-MMM-aa"),"")</f>
      </c>
      <c r="AD232" s="496" t="str">
        <f> IF(AD252&lt;&gt;"",TEXT(AUX!AH$1,"dd-MMM-aa"),"")</f>
      </c>
      <c r="AE232" s="496" t="str">
        <f> IF(AE252&lt;&gt;"",TEXT(AUX!AI$1,"dd-MMM-aa"),"")</f>
      </c>
      <c r="AF232" s="496" t="str">
        <f> IF(AF252&lt;&gt;"",TEXT(AUX!AJ$1,"dd-MMM-aa"),"")</f>
      </c>
      <c r="AG232" s="496" t="str">
        <f> IF(AG252&lt;&gt;"",TEXT(AUX!AK$1,"dd-MMM-aa"),"")</f>
      </c>
      <c r="AH232" s="496" t="str">
        <f> IF(AH252&lt;&gt;"",TEXT(AUX!AL$1,"dd-MMM-aa"),"")</f>
      </c>
      <c r="AI232" s="496" t="str">
        <f> IF(AI252&lt;&gt;"",TEXT(AUX!AM$1,"dd-MMM-aa"),"")</f>
      </c>
      <c r="AJ232" s="496" t="str">
        <f> IF(AJ252&lt;&gt;"",TEXT(AUX!AN$1,"dd-MMM-aa"),"")</f>
      </c>
      <c r="AK232" s="496" t="str">
        <f> IF(AK252&lt;&gt;"",TEXT(AUX!AO$1,"dd-MMM-aa"),"")</f>
      </c>
      <c r="AL232" s="496" t="str">
        <f> IF(AL252&lt;&gt;"",TEXT(AUX!AP$1,"dd-MMM-aa"),"")</f>
      </c>
      <c r="AM232" s="496" t="str">
        <f> IF(AM252&lt;&gt;"",TEXT(AUX!AQ$1,"dd-MMM-aa"),"")</f>
      </c>
      <c r="AN232" s="496" t="str">
        <f> IF(AN252&lt;&gt;"",TEXT(AUX!AR$1,"dd-MMM-aa"),"")</f>
      </c>
      <c r="AO232" s="496" t="str">
        <f> IF(AO252&lt;&gt;"",TEXT(AUX!AS$1,"dd-MMM-aa"),"")</f>
      </c>
      <c r="AP232" s="496" t="str">
        <f> IF(AP252&lt;&gt;"",TEXT(AUX!AT$1,"dd-MMM-aa"),"")</f>
      </c>
      <c r="AQ232" s="496" t="str">
        <f> IF(AQ252&lt;&gt;"",TEXT(AUX!AU$1,"dd-MMM-aa"),"")</f>
      </c>
      <c r="AR232" s="496" t="str">
        <f> IF(AR252&lt;&gt;"",TEXT(AUX!AV$1,"dd-MMM-aa"),"")</f>
      </c>
      <c r="AS232" s="496" t="str">
        <f> IF(AS252&lt;&gt;"",TEXT(AUX!AW$1,"dd-MMM-aa"),"")</f>
      </c>
      <c r="AT232" s="496" t="str">
        <f> IF(AT252&lt;&gt;"",TEXT(AUX!AX$1,"dd-MMM-aa"),"")</f>
      </c>
      <c r="AU232" s="496" t="str">
        <f> IF(AU252&lt;&gt;"",TEXT(AUX!AY$1,"dd-MMM-aa"),"")</f>
      </c>
      <c r="AV232" s="496" t="str">
        <f> IF(AV252&lt;&gt;"",TEXT(AUX!AZ$1,"dd-MMM-aa"),"")</f>
      </c>
      <c r="AW232" s="496" t="str">
        <f> IF(AW252&lt;&gt;"",TEXT(AUX!BA$1,"dd-MMM-aa"),"")</f>
      </c>
      <c r="AX232" s="496" t="str">
        <f> IF(AX252&lt;&gt;"",TEXT(AUX!BB$1,"dd-MMM-aa"),"")</f>
      </c>
      <c r="AY232" s="496" t="str">
        <f> IF(AY252&lt;&gt;"",TEXT(AUX!BC$1,"dd-MMM-aa"),"")</f>
      </c>
      <c r="AZ232" s="496" t="str">
        <f> IF(AZ252&lt;&gt;"",TEXT(AUX!BD$1,"dd-MMM-aa"),"")</f>
      </c>
      <c r="BA232" s="496" t="str">
        <f> IF(BA252&lt;&gt;"",TEXT(AUX!BE$1,"dd-MMM-aa"),"")</f>
      </c>
      <c r="BB232" s="496" t="str">
        <f> IF(BB252&lt;&gt;"",TEXT(AUX!BF$1,"dd-MMM-aa"),"")</f>
      </c>
      <c r="BC232" s="496" t="str">
        <f> IF(BC252&lt;&gt;"",TEXT(AUX!BG$1,"dd-MMM-aa"),"")</f>
      </c>
      <c r="BD232" s="496" t="str">
        <f> IF(BD252&lt;&gt;"",TEXT(AUX!BH$1,"dd-MMM-aa"),"")</f>
      </c>
      <c r="BE232" s="496" t="str">
        <f> IF(BE252&lt;&gt;"",TEXT(AUX!BI$1,"dd-MMM-aa"),"")</f>
      </c>
      <c r="BF232" s="496" t="str">
        <f> IF(BF252&lt;&gt;"",TEXT(AUX!BJ$1,"dd-MMM-aa"),"")</f>
      </c>
      <c r="BG232" s="496" t="str">
        <f> IF(BG252&lt;&gt;"",TEXT(AUX!BK$1,"dd-MMM-aa"),"")</f>
      </c>
      <c r="BH232" s="496" t="str">
        <f> IF(BH252&lt;&gt;"",TEXT(AUX!BL$1,"dd-MMM-aa"),"")</f>
      </c>
      <c r="BI232" s="496" t="str">
        <f> IF(BI252&lt;&gt;"",TEXT(AUX!BM$1,"dd-MMM-aa"),"")</f>
      </c>
      <c r="BJ232" s="496" t="str">
        <f> IF(BJ252&lt;&gt;"",TEXT(AUX!BN$1,"dd-MMM-aa"),"")</f>
      </c>
      <c r="BK232" s="496" t="str">
        <f> IF(BK252&lt;&gt;"",TEXT(AUX!BO$1,"dd-MMM-aa"),"")</f>
      </c>
      <c r="BL232" s="496" t="str">
        <f> IF(BL252&lt;&gt;"",TEXT(AUX!BP$1,"dd-MMM-aa"),"")</f>
      </c>
      <c r="BM232" s="496" t="str">
        <f> IF(BM252&lt;&gt;"",TEXT(AUX!BQ$1,"dd-MMM-aa"),"")</f>
      </c>
      <c r="BN232" s="496" t="str">
        <f> IF(BN252&lt;&gt;"",TEXT(AUX!BR$1,"dd-MMM-aa"),"")</f>
      </c>
      <c r="BO232" s="496" t="str">
        <f> IF(BO252&lt;&gt;"",TEXT(AUX!BS$1,"dd-MMM-aa"),"")</f>
      </c>
      <c r="BP232" s="496" t="str">
        <f> IF(BP252&lt;&gt;"",TEXT(AUX!BT$1,"dd-MMM-aa"),"")</f>
      </c>
      <c r="BQ232" s="496" t="str">
        <f> IF(BQ252&lt;&gt;"",TEXT(AUX!BU$1,"dd-MMM-aa"),"")</f>
      </c>
      <c r="BR232" s="496" t="str">
        <f> IF(BR252&lt;&gt;"",TEXT(AUX!BV$1,"dd-MMM-aa"),"")</f>
      </c>
      <c r="BS232" s="496" t="str">
        <f> IF(BS252&lt;&gt;"",TEXT(AUX!BW$1,"dd-MMM-aa"),"")</f>
      </c>
      <c r="BT232" s="496" t="str">
        <f> IF(BT252&lt;&gt;"",TEXT(AUX!BX$1,"dd-MMM-aa"),"")</f>
      </c>
      <c r="BU232" s="496" t="str">
        <f> IF(BU252&lt;&gt;"",TEXT(AUX!BY$1,"dd-MMM-aa"),"")</f>
      </c>
      <c r="BV232" s="496" t="str">
        <f> IF(BV252&lt;&gt;"",TEXT(AUX!BZ$1,"dd-MMM-aa"),"")</f>
      </c>
      <c r="BW232" s="496" t="str">
        <f> IF(BW252&lt;&gt;"",TEXT(AUX!CA$1,"dd-MMM-aa"),"")</f>
      </c>
      <c r="BX232" s="496" t="str">
        <f> IF(BX252&lt;&gt;"",TEXT(AUX!CB$1,"dd-MMM-aa"),"")</f>
      </c>
      <c r="BY232" s="496" t="str">
        <f> IF(BY252&lt;&gt;"",TEXT(AUX!CC$1,"dd-MMM-aa"),"")</f>
      </c>
      <c r="BZ232" s="496" t="str">
        <f> IF(BZ252&lt;&gt;"",TEXT(AUX!CD$1,"dd-MMM-aa"),"")</f>
      </c>
      <c r="CA232" s="496" t="str">
        <f> IF(CA252&lt;&gt;"",TEXT(AUX!CE$1,"dd-MMM-aa"),"")</f>
      </c>
      <c r="CB232" s="496" t="str">
        <f> IF(CB252&lt;&gt;"",TEXT(AUX!CF$1,"dd-MMM-aa"),"")</f>
      </c>
      <c r="CC232" s="496" t="str">
        <f> IF(CC252&lt;&gt;"",TEXT(AUX!CG$1,"dd-MMM-aa"),"")</f>
      </c>
      <c r="CD232" s="496" t="str">
        <f> IF(CD252&lt;&gt;"",TEXT(AUX!CH$1,"dd-MMM-aa"),"")</f>
      </c>
      <c r="CE232" s="496" t="str">
        <f> IF(CE252&lt;&gt;"",TEXT(AUX!CI$1,"dd-MMM-aa"),"")</f>
      </c>
      <c r="CF232" s="496" t="str">
        <f> IF(CF252&lt;&gt;"",TEXT(AUX!CJ$1,"dd-MMM-aa"),"")</f>
      </c>
      <c r="CG232" s="496" t="str">
        <f> IF(CG252&lt;&gt;"",TEXT(AUX!CK$1,"dd-MMM-aa"),"")</f>
      </c>
      <c r="CH232" s="496" t="str">
        <f> IF(CH252&lt;&gt;"",TEXT(AUX!CL$1,"dd-MMM-aa"),"")</f>
      </c>
      <c r="CI232" s="496" t="str">
        <f> IF(CI252&lt;&gt;"",TEXT(AUX!CM$1,"dd-MMM-aa"),"")</f>
      </c>
      <c r="CJ232" s="496" t="str">
        <f> IF(CJ252&lt;&gt;"",TEXT(AUX!CN$1,"dd-MMM-aa"),"")</f>
      </c>
      <c r="CK232" s="496" t="str">
        <f> IF(CK252&lt;&gt;"",TEXT(AUX!CO$1,"dd-MMM-aa"),"")</f>
      </c>
      <c r="CL232" s="496" t="str">
        <f> IF(CL252&lt;&gt;"",TEXT(AUX!CP$1,"dd-MMM-aa"),"")</f>
      </c>
      <c r="CM232" s="496" t="str">
        <f> IF(CM252&lt;&gt;"",TEXT(AUX!CQ$1,"dd-MMM-aa"),"")</f>
      </c>
      <c r="CN232" s="496" t="str">
        <f> IF(CN252&lt;&gt;"",TEXT(AUX!CR$1,"dd-MMM-aa"),"")</f>
      </c>
      <c r="CO232" s="496" t="str">
        <f> IF(CO252&lt;&gt;"",TEXT(AUX!CS$1,"dd-MMM-aa"),"")</f>
      </c>
      <c r="CP232" s="496" t="str">
        <f> IF(CP252&lt;&gt;"",TEXT(AUX!CT$1,"dd-MMM-aa"),"")</f>
      </c>
      <c r="CQ232" s="496" t="str">
        <f> IF(CQ252&lt;&gt;"",TEXT(AUX!CU$1,"dd-MMM-aa"),"")</f>
      </c>
      <c r="CR232" s="496" t="str">
        <f> IF(CR252&lt;&gt;"",TEXT(AUX!CV$1,"dd-MMM-aa"),"")</f>
      </c>
      <c r="CS232" s="496" t="str">
        <f> IF(CS252&lt;&gt;"",TEXT(AUX!CW$1,"dd-MMM-aa"),"")</f>
      </c>
      <c r="CT232" s="496" t="str">
        <f> IF(CT252&lt;&gt;"",TEXT(AUX!CX$1,"dd-MMM-aa"),"")</f>
      </c>
      <c r="CU232" s="496" t="str">
        <f> IF(CU252&lt;&gt;"",TEXT(AUX!CY$1,"dd-MMM-aa"),"")</f>
      </c>
      <c r="CV232" s="496" t="str">
        <f> IF(CV252&lt;&gt;"",TEXT(AUX!CZ$1,"dd-MMM-aa"),"")</f>
      </c>
      <c r="CW232" s="496" t="str">
        <f> IF(CW252&lt;&gt;"",TEXT(AUX!DA$1,"dd-MMM-aa"),"")</f>
      </c>
      <c r="CX232" s="496" t="str">
        <f> IF(CX252&lt;&gt;"",TEXT(AUX!DB$1,"dd-MMM-aa"),"")</f>
      </c>
      <c r="CY232" s="496" t="str">
        <f> IF(CY252&lt;&gt;"",TEXT(AUX!DC$1,"dd-MMM-aa"),"")</f>
      </c>
      <c r="CZ232" s="496" t="str">
        <f> IF(CZ252&lt;&gt;"",TEXT(AUX!DD$1,"dd-MMM-aa"),"")</f>
      </c>
      <c r="DA232" s="496" t="str">
        <f> IF(DA252&lt;&gt;"",TEXT(AUX!DE$1,"dd-MMM-aa"),"")</f>
      </c>
      <c r="DB232" s="496" t="str">
        <f> IF(DB252&lt;&gt;"",TEXT(AUX!DF$1,"dd-MMM-aa"),"")</f>
      </c>
      <c r="DC232" s="496" t="str">
        <f> IF(DC252&lt;&gt;"",TEXT(AUX!DG$1,"dd-MMM-aa"),"")</f>
      </c>
      <c r="DD232" s="496" t="str">
        <f> IF(DD252&lt;&gt;"",TEXT(AUX!DH$1,"dd-MMM-aa"),"")</f>
      </c>
      <c r="DE232" s="496" t="str">
        <f> IF(DE252&lt;&gt;"",TEXT(AUX!DI$1,"dd-MMM-aa"),"")</f>
      </c>
      <c r="DF232" s="496" t="str">
        <f> IF(DF252&lt;&gt;"",TEXT(AUX!DJ$1,"dd-MMM-aa"),"")</f>
      </c>
      <c r="DG232" s="496" t="str">
        <f> IF(DG252&lt;&gt;"",TEXT(AUX!DK$1,"dd-MMM-aa"),"")</f>
      </c>
      <c r="DH232" s="496" t="str">
        <f> IF(DH252&lt;&gt;"",TEXT(AUX!DL$1,"dd-MMM-aa"),"")</f>
      </c>
      <c r="DI232" s="496" t="str">
        <f> IF(DI252&lt;&gt;"",TEXT(AUX!DM$1,"dd-MMM-aa"),"")</f>
      </c>
      <c r="DJ232" s="496" t="str">
        <f> IF(DJ252&lt;&gt;"",TEXT(AUX!DN$1,"dd-MMM-aa"),"")</f>
      </c>
      <c r="DK232" s="496" t="str">
        <f> IF(DK252&lt;&gt;"",TEXT(AUX!DO$1,"dd-MMM-aa"),"")</f>
      </c>
      <c r="DL232" s="496" t="str">
        <f> IF(DL252&lt;&gt;"",TEXT(AUX!DP$1,"dd-MMM-aa"),"")</f>
      </c>
      <c r="DM232" s="496" t="str">
        <f> IF(DM252&lt;&gt;"",TEXT(AUX!DQ$1,"dd-MMM-aa"),"")</f>
      </c>
      <c r="DN232" s="496" t="str">
        <f> IF(DN252&lt;&gt;"",TEXT(AUX!DR$1,"dd-MMM-aa"),"")</f>
      </c>
      <c r="DO232" s="496" t="str">
        <f> IF(DO252&lt;&gt;"",TEXT(AUX!DS$1,"dd-MMM-aa"),"")</f>
      </c>
      <c r="DP232" s="496" t="str">
        <f> IF(DP252&lt;&gt;"",TEXT(AUX!DT$1,"dd-MMM-aa"),"")</f>
      </c>
      <c r="DQ232" s="496" t="str">
        <f> IF(DQ252&lt;&gt;"",TEXT(AUX!DU$1,"dd-MMM-aa"),"")</f>
      </c>
      <c r="DR232" s="496" t="str">
        <f> IF(DR252&lt;&gt;"",TEXT(AUX!DV$1,"dd-MMM-aa"),"")</f>
      </c>
      <c r="DS232" s="496" t="str">
        <f> IF(DS252&lt;&gt;"",TEXT(AUX!DW$1,"dd-MMM-aa"),"")</f>
      </c>
      <c r="DT232" s="496" t="str">
        <f> IF(DT252&lt;&gt;"",TEXT(AUX!DX$1,"dd-MMM-aa"),"")</f>
      </c>
      <c r="DU232" s="496" t="str">
        <f> IF(DU252&lt;&gt;"",TEXT(AUX!DY$1,"dd-MMM-aa"),"")</f>
      </c>
      <c r="DV232" s="496" t="str">
        <f> IF(DV252&lt;&gt;"",TEXT(AUX!DZ$1,"dd-MMM-aa"),"")</f>
      </c>
      <c r="DW232" s="496" t="str">
        <f> IF(DW252&lt;&gt;"",TEXT(AUX!EA$1,"dd-MMM-aa"),"")</f>
      </c>
      <c r="DX232" s="496" t="str">
        <f> IF(DX252&lt;&gt;"",TEXT(AUX!EB$1,"dd-MMM-aa"),"")</f>
      </c>
      <c r="DY232" s="496" t="str">
        <f> IF(DY252&lt;&gt;"",TEXT(AUX!EC$1,"dd-MMM-aa"),"")</f>
      </c>
      <c r="DZ232" s="496" t="str">
        <f> IF(DZ252&lt;&gt;"",TEXT(AUX!ED$1,"dd-MMM-aa"),"")</f>
      </c>
      <c r="EA232" s="496" t="str">
        <f> IF(EA252&lt;&gt;"",TEXT(AUX!EE$1,"dd-MMM-aa"),"")</f>
      </c>
      <c r="EB232" s="496" t="str">
        <f> IF(EB252&lt;&gt;"",TEXT(AUX!EF$1,"dd-MMM-aa"),"")</f>
      </c>
      <c r="EC232" s="496" t="str">
        <f> IF(EC252&lt;&gt;"",TEXT(AUX!EG$1,"dd-MMM-aa"),"")</f>
      </c>
      <c r="ED232" s="496" t="str">
        <f> IF(ED252&lt;&gt;"",TEXT(AUX!EH$1,"dd-MMM-aa"),"")</f>
      </c>
      <c r="EE232" s="496" t="str">
        <f> IF(EE252&lt;&gt;"",TEXT(AUX!EI$1,"dd-MMM-aa"),"")</f>
      </c>
      <c r="EF232" s="496" t="str">
        <f> IF(EF252&lt;&gt;"",TEXT(AUX!EJ$1,"dd-MMM-aa"),"")</f>
      </c>
      <c r="EG232" s="496" t="str">
        <f> IF(EG252&lt;&gt;"",TEXT(AUX!EK$1,"dd-MMM-aa"),"")</f>
      </c>
      <c r="EH232" s="496" t="str">
        <f> IF(EH252&lt;&gt;"",TEXT(AUX!EL$1,"dd-MMM-aa"),"")</f>
      </c>
      <c r="EI232" s="496" t="str">
        <f> IF(EI252&lt;&gt;"",TEXT(AUX!EM$1,"dd-MMM-aa"),"")</f>
      </c>
      <c r="EJ232" s="496" t="str">
        <f> IF(EJ252&lt;&gt;"",TEXT(AUX!EN$1,"dd-MMM-aa"),"")</f>
      </c>
      <c r="EK232" s="496" t="str">
        <f> IF(EK252&lt;&gt;"",TEXT(AUX!EO$1,"dd-MMM-aa"),"")</f>
      </c>
      <c r="EL232" s="496" t="str">
        <f> IF(EL252&lt;&gt;"",TEXT(AUX!EP$1,"dd-MMM-aa"),"")</f>
      </c>
      <c r="EM232" s="496" t="str">
        <f> IF(EM252&lt;&gt;"",TEXT(AUX!EQ$1,"dd-MMM-aa"),"")</f>
      </c>
      <c r="EN232" s="496" t="str">
        <f> IF(EN252&lt;&gt;"",TEXT(AUX!ER$1,"dd-MMM-aa"),"")</f>
      </c>
      <c r="EO232" s="496" t="str">
        <f> IF(EO252&lt;&gt;"",TEXT(AUX!ES$1,"dd-MMM-aa"),"")</f>
      </c>
      <c r="EP232" s="496" t="str">
        <f> IF(EP252&lt;&gt;"",TEXT(AUX!ET$1,"dd-MMM-aa"),"")</f>
      </c>
      <c r="EQ232" s="496" t="str">
        <f> IF(EQ252&lt;&gt;"",TEXT(AUX!EU$1,"dd-MMM-aa"),"")</f>
      </c>
      <c r="ER232" s="496" t="str">
        <f> IF(ER252&lt;&gt;"",TEXT(AUX!EV$1,"dd-MMM-aa"),"")</f>
      </c>
      <c r="ES232" s="496" t="str">
        <f> IF(ES252&lt;&gt;"",TEXT(AUX!EW$1,"dd-MMM-aa"),"")</f>
      </c>
      <c r="ET232" s="496" t="str">
        <f> IF(ET252&lt;&gt;"",TEXT(AUX!EX$1,"dd-MMM-aa"),"")</f>
      </c>
      <c r="EU232" s="496" t="str">
        <f> IF(EU252&lt;&gt;"",TEXT(AUX!EY$1,"dd-MMM-aa"),"")</f>
      </c>
      <c r="EV232" s="496" t="str">
        <f> IF(EV252&lt;&gt;"",TEXT(AUX!EZ$1,"dd-MMM-aa"),"")</f>
      </c>
      <c r="EW232" s="496" t="str">
        <f> IF(EW252&lt;&gt;"",TEXT(AUX!FA$1,"dd-MMM-aa"),"")</f>
      </c>
      <c r="EX232" s="496" t="str">
        <f> IF(EX252&lt;&gt;"",TEXT(AUX!FB$1,"dd-MMM-aa"),"")</f>
      </c>
      <c r="EY232" s="496" t="str">
        <f> IF(EY252&lt;&gt;"",TEXT(AUX!FC$1,"dd-MMM-aa"),"")</f>
      </c>
      <c r="EZ232" s="496" t="str">
        <f> IF(EZ252&lt;&gt;"",TEXT(AUX!FD$1,"dd-MMM-aa"),"")</f>
      </c>
      <c r="FA232" s="496" t="str">
        <f> IF(FA252&lt;&gt;"",TEXT(AUX!FE$1,"dd-MMM-aa"),"")</f>
      </c>
      <c r="FB232" s="496" t="str">
        <f> IF(FB252&lt;&gt;"",TEXT(AUX!FF$1,"dd-MMM-aa"),"")</f>
      </c>
      <c r="FC232" s="496" t="str">
        <f> IF(FC252&lt;&gt;"",TEXT(AUX!FG$1,"dd-MMM-aa"),"")</f>
      </c>
      <c r="FD232" s="496" t="str">
        <f> IF(FD252&lt;&gt;"",TEXT(AUX!FH$1,"dd-MMM-aa"),"")</f>
      </c>
      <c r="FE232" s="496" t="str">
        <f> IF(FE252&lt;&gt;"",TEXT(AUX!FI$1,"dd-MMM-aa"),"")</f>
      </c>
      <c r="FF232" s="496" t="str">
        <f> IF(FF252&lt;&gt;"",TEXT(AUX!FJ$1,"dd-MMM-aa"),"")</f>
      </c>
      <c r="FG232" s="496" t="str">
        <f> IF(FG252&lt;&gt;"",TEXT(AUX!FK$1,"dd-MMM-aa"),"")</f>
      </c>
      <c r="FH232" s="496" t="str">
        <f> IF(FH252&lt;&gt;"",TEXT(AUX!FL$1,"dd-MMM-aa"),"")</f>
      </c>
      <c r="FI232" s="496" t="str">
        <f> IF(FI252&lt;&gt;"",TEXT(AUX!FM$1,"dd-MMM-aa"),"")</f>
      </c>
      <c r="FJ232" s="496" t="str">
        <f> IF(FJ252&lt;&gt;"",TEXT(AUX!FN$1,"dd-MMM-aa"),"")</f>
      </c>
      <c r="FK232" s="496" t="str">
        <f> IF(FK252&lt;&gt;"",TEXT(AUX!FO$1,"dd-MMM-aa"),"")</f>
      </c>
      <c r="FL232" s="496" t="str">
        <f> IF(FL252&lt;&gt;"",TEXT(AUX!FP$1,"dd-MMM-aa"),"")</f>
      </c>
      <c r="FM232" s="496" t="str">
        <f> IF(FM252&lt;&gt;"",TEXT(AUX!FQ$1,"dd-MMM-aa"),"")</f>
      </c>
      <c r="FN232" s="496" t="str">
        <f> IF(FN252&lt;&gt;"",TEXT(AUX!FR$1,"dd-MMM-aa"),"")</f>
      </c>
      <c r="FO232" s="496" t="str">
        <f> IF(FO252&lt;&gt;"",TEXT(AUX!FS$1,"dd-MMM-aa"),"")</f>
      </c>
      <c r="FP232" s="496" t="str">
        <f> IF(FP252&lt;&gt;"",TEXT(AUX!FT$1,"dd-MMM-aa"),"")</f>
      </c>
      <c r="FQ232" s="496" t="str">
        <f> IF(FQ252&lt;&gt;"",TEXT(AUX!FU$1,"dd-MMM-aa"),"")</f>
      </c>
      <c r="FR232" s="496" t="str">
        <f> IF(FR252&lt;&gt;"",TEXT(AUX!FV$1,"dd-MMM-aa"),"")</f>
      </c>
      <c r="FS232" s="496" t="str">
        <f> IF(FS252&lt;&gt;"",TEXT(AUX!FW$1,"dd-MMM-aa"),"")</f>
      </c>
      <c r="FT232" s="496" t="str">
        <f> IF(FT252&lt;&gt;"",TEXT(AUX!FX$1,"dd-MMM-aa"),"")</f>
      </c>
      <c r="FU232" s="496" t="str">
        <f> IF(FU252&lt;&gt;"",TEXT(AUX!FY$1,"dd-MMM-aa"),"")</f>
      </c>
      <c r="FV232" s="496" t="str">
        <f> IF(FV252&lt;&gt;"",TEXT(AUX!FZ$1,"dd-MMM-aa"),"")</f>
      </c>
      <c r="FW232" s="496" t="str">
        <f> IF(FW252&lt;&gt;"",TEXT(AUX!GA$1,"dd-MMM-aa"),"")</f>
      </c>
      <c r="FX232" s="496" t="str">
        <f> IF(FX252&lt;&gt;"",TEXT(AUX!GB$1,"dd-MMM-aa"),"")</f>
      </c>
      <c r="FY232" s="496" t="str">
        <f> IF(FY252&lt;&gt;"",TEXT(AUX!GC$1,"dd-MMM-aa"),"")</f>
      </c>
      <c r="FZ232" s="496" t="str">
        <f> IF(FZ252&lt;&gt;"",TEXT(AUX!GD$1,"dd-MMM-aa"),"")</f>
      </c>
      <c r="GA232" s="496" t="str">
        <f> IF(GA252&lt;&gt;"",TEXT(AUX!GE$1,"dd-MMM-aa"),"")</f>
      </c>
      <c r="GB232" s="496" t="str">
        <f> IF(GB252&lt;&gt;"",TEXT(AUX!GF$1,"dd-MMM-aa"),"")</f>
      </c>
      <c r="GC232" s="496" t="str">
        <f> IF(GC252&lt;&gt;"",TEXT(AUX!GG$1,"dd-MMM-aa"),"")</f>
      </c>
      <c r="GD232" s="496" t="str">
        <f> IF(GD252&lt;&gt;"",TEXT(AUX!GH$1,"dd-MMM-aa"),"")</f>
      </c>
      <c r="GE232" s="496" t="str">
        <f> IF(GE252&lt;&gt;"",TEXT(AUX!GI$1,"dd-MMM-aa"),"")</f>
      </c>
      <c r="GF232" s="496" t="str">
        <f> IF(GF252&lt;&gt;"",TEXT(AUX!GJ$1,"dd-MMM-aa"),"")</f>
      </c>
      <c r="GG232" s="496" t="str">
        <f> IF(GG252&lt;&gt;"",TEXT(AUX!GK$1,"dd-MMM-aa"),"")</f>
      </c>
      <c r="GH232" s="496" t="str">
        <f> IF(GH252&lt;&gt;"",TEXT(AUX!GL$1,"dd-MMM-aa"),"")</f>
      </c>
      <c r="GI232" s="496" t="str">
        <f> IF(GI252&lt;&gt;"",TEXT(AUX!GM$1,"dd-MMM-aa"),"")</f>
      </c>
      <c r="GJ232" s="496" t="str">
        <f> IF(GJ252&lt;&gt;"",TEXT(AUX!GN$1,"dd-MMM-aa"),"")</f>
      </c>
      <c r="GK232" s="496" t="str">
        <f> IF(GK252&lt;&gt;"",TEXT(AUX!GO$1,"dd-MMM-aa"),"")</f>
      </c>
      <c r="GL232" s="496" t="str">
        <f> IF(GL252&lt;&gt;"",TEXT(AUX!GP$1,"dd-MMM-aa"),"")</f>
      </c>
      <c r="GM232" s="496" t="str">
        <f> IF(GM252&lt;&gt;"",TEXT(AUX!GQ$1,"dd-MMM-aa"),"")</f>
      </c>
      <c r="GN232" s="496" t="str">
        <f> IF(GN252&lt;&gt;"",TEXT(AUX!GR$1,"dd-MMM-aa"),"")</f>
      </c>
      <c r="GO232" s="496" t="str">
        <f> IF(GO252&lt;&gt;"",TEXT(AUX!GS$1,"dd-MMM-aa"),"")</f>
      </c>
      <c r="GP232" s="496" t="str">
        <f> IF(GP252&lt;&gt;"",TEXT(AUX!GT$1,"dd-MMM-aa"),"")</f>
      </c>
      <c r="GQ232" s="496" t="str">
        <f> IF(GQ252&lt;&gt;"",TEXT(AUX!GU$1,"dd-MMM-aa"),"")</f>
      </c>
      <c r="GR232" s="496" t="str">
        <f> IF(GR252&lt;&gt;"",TEXT(AUX!GV$1,"dd-MMM-aa"),"")</f>
      </c>
      <c r="GS232" s="496" t="str">
        <f> IF(GS252&lt;&gt;"",TEXT(AUX!GW$1,"dd-MMM-aa"),"")</f>
      </c>
      <c r="GT232" s="496" t="str">
        <f> IF(GT252&lt;&gt;"",TEXT(AUX!GX$1,"dd-MMM-aa"),"")</f>
      </c>
      <c r="GU232" s="496" t="str">
        <f> IF(GU252&lt;&gt;"",TEXT(AUX!GY$1,"dd-MMM-aa"),"")</f>
      </c>
      <c r="GV232" s="496" t="str">
        <f> IF(GV252&lt;&gt;"",TEXT(AUX!GZ$1,"dd-MMM-aa"),"")</f>
      </c>
      <c r="GW232" s="496" t="str">
        <f> IF(GW252&lt;&gt;"",TEXT(AUX!HA$1,"dd-MMM-aa"),"")</f>
      </c>
      <c r="GX232" s="496" t="str">
        <f> IF(GX252&lt;&gt;"",TEXT(AUX!HB$1,"dd-MMM-aa"),"")</f>
      </c>
      <c r="GY232" s="496" t="str">
        <f> IF(GY252&lt;&gt;"",TEXT(AUX!HC$1,"dd-MMM-aa"),"")</f>
      </c>
      <c r="GZ232" s="496" t="str">
        <f> IF(GZ252&lt;&gt;"",TEXT(AUX!HD$1,"dd-MMM-aa"),"")</f>
      </c>
      <c r="HA232" s="496" t="str">
        <f> IF(HA252&lt;&gt;"",TEXT(AUX!HE$1,"dd-MMM-aa"),"")</f>
      </c>
      <c r="HB232" s="496" t="str">
        <f> IF(HB252&lt;&gt;"",TEXT(AUX!HF$1,"dd-MMM-aa"),"")</f>
      </c>
      <c r="HC232" s="496" t="str">
        <f> IF(HC252&lt;&gt;"",TEXT(AUX!HG$1,"dd-MMM-aa"),"")</f>
      </c>
      <c r="HD232" s="496" t="str">
        <f> IF(HD252&lt;&gt;"",TEXT(AUX!HH$1,"dd-MMM-aa"),"")</f>
      </c>
      <c r="HE232" s="496" t="str">
        <f> IF(HE252&lt;&gt;"",TEXT(AUX!HI$1,"dd-MMM-aa"),"")</f>
      </c>
      <c r="HF232" s="496" t="str">
        <f> IF(HF252&lt;&gt;"",TEXT(AUX!HJ$1,"dd-MMM-aa"),"")</f>
      </c>
      <c r="HG232" s="496" t="str">
        <f> IF(HG252&lt;&gt;"",TEXT(AUX!HK$1,"dd-MMM-aa"),"")</f>
      </c>
      <c r="HH232" s="496" t="str">
        <f> IF(HH252&lt;&gt;"",TEXT(AUX!HL$1,"dd-MMM-aa"),"")</f>
      </c>
      <c r="HI232" s="496" t="str">
        <f> IF(HI252&lt;&gt;"",TEXT(AUX!HM$1,"dd-MMM-aa"),"")</f>
      </c>
      <c r="HJ232" s="496" t="str">
        <f> IF(HJ252&lt;&gt;"",TEXT(AUX!HN$1,"dd-MMM-aa"),"")</f>
      </c>
      <c r="HK232" s="496" t="str">
        <f> IF(HK252&lt;&gt;"",TEXT(AUX!HO$1,"dd-MMM-aa"),"")</f>
      </c>
      <c r="HL232" s="496" t="str">
        <f> IF(HL252&lt;&gt;"",TEXT(AUX!HP$1,"dd-MMM-aa"),"")</f>
      </c>
      <c r="HM232" s="496" t="str">
        <f> IF(HM252&lt;&gt;"",TEXT(AUX!HQ$1,"dd-MMM-aa"),"")</f>
      </c>
      <c r="HN232" s="496" t="str">
        <f> IF(HN252&lt;&gt;"",TEXT(AUX!HR$1,"dd-MMM-aa"),"")</f>
      </c>
      <c r="HO232" s="496" t="str">
        <f> IF(HO252&lt;&gt;"",TEXT(AUX!HS$1,"dd-MMM-aa"),"")</f>
      </c>
      <c r="HP232" s="496" t="str">
        <f> IF(HP252&lt;&gt;"",TEXT(AUX!HT$1,"dd-MMM-aa"),"")</f>
      </c>
      <c r="HQ232" s="496" t="str">
        <f> IF(HQ252&lt;&gt;"",TEXT(AUX!HU$1,"dd-MMM-aa"),"")</f>
      </c>
      <c r="HR232" s="496" t="str">
        <f> IF(HR252&lt;&gt;"",TEXT(AUX!HV$1,"dd-MMM-aa"),"")</f>
      </c>
      <c r="HS232" s="496" t="str">
        <f> IF(HS252&lt;&gt;"",TEXT(AUX!HW$1,"dd-MMM-aa"),"")</f>
      </c>
      <c r="HT232" s="496" t="str">
        <f> IF(HT252&lt;&gt;"",TEXT(AUX!HX$1,"dd-MMM-aa"),"")</f>
      </c>
      <c r="HU232" s="496" t="str">
        <f> IF(HU252&lt;&gt;"",TEXT(AUX!HY$1,"dd-MMM-aa"),"")</f>
      </c>
      <c r="HV232" s="496" t="str">
        <f> IF(HV252&lt;&gt;"",TEXT(AUX!HZ$1,"dd-MMM-aa"),"")</f>
      </c>
      <c r="HW232" s="496" t="str">
        <f> IF(HW252&lt;&gt;"",TEXT(AUX!IA$1,"dd-MMM-aa"),"")</f>
      </c>
      <c r="HX232" s="496" t="str">
        <f> IF(HX252&lt;&gt;"",TEXT(AUX!IB$1,"dd-MMM-aa"),"")</f>
      </c>
      <c r="HY232" s="496" t="str">
        <f> IF(HY252&lt;&gt;"",TEXT(AUX!IC$1,"dd-MMM-aa"),"")</f>
      </c>
      <c r="HZ232" s="496" t="str">
        <f> IF(HZ252&lt;&gt;"",TEXT(AUX!ID$1,"dd-MMM-aa"),"")</f>
      </c>
      <c r="IA232" s="496" t="str">
        <f> IF(IA252&lt;&gt;"",TEXT(AUX!IE$1,"dd-MMM-aa"),"")</f>
      </c>
      <c r="IB232" s="496" t="str">
        <f> IF(IB252&lt;&gt;"",TEXT(AUX!IF$1,"dd-MMM-aa"),"")</f>
      </c>
      <c r="IC232" s="496" t="str">
        <f> IF(IC252&lt;&gt;"",TEXT(AUX!IG$1,"dd-MMM-aa"),"")</f>
      </c>
      <c r="ID232" s="496" t="str">
        <f> IF(ID252&lt;&gt;"",TEXT(AUX!IH$1,"dd-MMM-aa"),"")</f>
      </c>
      <c r="IE232" s="496" t="str">
        <f> IF(IE252&lt;&gt;"",TEXT(AUX!II$1,"dd-MMM-aa"),"")</f>
      </c>
      <c r="IF232" s="496" t="str">
        <f> IF(IF252&lt;&gt;"",TEXT(AUX!IJ$1,"dd-MMM-aa"),"")</f>
      </c>
      <c r="IG232" s="496" t="str">
        <f> IF(IG252&lt;&gt;"",TEXT(AUX!IK$1,"dd-MMM-aa"),"")</f>
      </c>
      <c r="IH232" s="496" t="str">
        <f> IF(IH252&lt;&gt;"",TEXT(AUX!IL$1,"dd-MMM-aa"),"")</f>
      </c>
      <c r="II232" s="496" t="str">
        <f> IF(II252&lt;&gt;"",TEXT(AUX!IM$1,"dd-MMM-aa"),"")</f>
      </c>
      <c r="IJ232" s="496" t="str">
        <f> IF(IJ252&lt;&gt;"",TEXT(AUX!IN$1,"dd-MMM-aa"),"")</f>
      </c>
      <c r="IK232" s="496" t="str">
        <f> IF(IK252&lt;&gt;"",TEXT(AUX!IO$1,"dd-MMM-aa"),"")</f>
      </c>
      <c r="IL232" s="496" t="str">
        <f> IF(IL252&lt;&gt;"",TEXT(AUX!IP$1,"dd-MMM-aa"),"")</f>
      </c>
      <c r="IM232" s="496" t="str">
        <f> IF(IM252&lt;&gt;"",TEXT(AUX!IQ$1,"dd-MMM-aa"),"")</f>
      </c>
      <c r="IN232" s="496" t="str">
        <f> IF(IN252&lt;&gt;"",TEXT(AUX!IR$1,"dd-MMM-aa"),"")</f>
      </c>
      <c r="IO232" s="496" t="str">
        <f> IF(IO252&lt;&gt;"",TEXT(AUX!IS$1,"dd-MMM-aa"),"")</f>
      </c>
      <c r="IP232" s="496" t="str">
        <f> IF(IP252&lt;&gt;"",TEXT(AUX!IT$1,"dd-MMM-aa"),"")</f>
      </c>
      <c r="IQ232" s="496" t="str">
        <f> IF(IQ252&lt;&gt;"",TEXT(AUX!IU$1,"dd-MMM-aa"),"")</f>
      </c>
      <c r="IR232" s="496" t="str">
        <f> IF(IR252&lt;&gt;"",TEXT(AUX!IV$1,"dd-MMM-aa"),"")</f>
      </c>
      <c r="IS232" s="496" t="str">
        <f> IF(IS252&lt;&gt;"",TEXT(AUX!#REF!,"dd-MMM-aa"),"")</f>
      </c>
      <c r="IT232" s="496" t="str">
        <f> IF(IT252&lt;&gt;"",TEXT(AUX!#REF!,"dd-MMM-aa"),"")</f>
      </c>
      <c r="IU232" s="496" t="str">
        <f> IF(IU252&lt;&gt;"",TEXT(AUX!#REF!,"dd-MMM-aa"),"")</f>
      </c>
      <c r="IV232" s="496" t="str">
        <f> IF(IV252&lt;&gt;"",TEXT(AUX!#REF!,"dd-MMM-aa"),"")</f>
      </c>
    </row>
    <row r="233" hidden="1" ht="15.95" customHeight="1">
      <c r="B233" s="833" t="s">
        <v>8</v>
      </c>
      <c r="C233" s="827">
        <v>4</v>
      </c>
      <c r="D233" s="827">
        <v>3</v>
      </c>
      <c r="E233" s="827">
        <v>7</v>
      </c>
      <c r="F233" s="827">
        <v>10</v>
      </c>
      <c r="G233" s="827">
        <v>10</v>
      </c>
      <c r="H233" s="827">
        <v>11</v>
      </c>
      <c r="I233" s="827">
        <v>10</v>
      </c>
      <c r="J233" s="827">
        <v>11</v>
      </c>
      <c r="K233" s="827">
        <v>10</v>
      </c>
      <c r="L233" s="827">
        <v>9</v>
      </c>
      <c r="M233" s="827">
        <v>9</v>
      </c>
      <c r="N233" s="827">
        <v>10</v>
      </c>
      <c r="O233" s="827">
        <v>10</v>
      </c>
      <c r="P233" s="827">
        <v>12</v>
      </c>
      <c r="Q233" s="827">
        <v>11</v>
      </c>
      <c r="R233" s="827">
        <v>10</v>
      </c>
      <c r="S233" s="827">
        <v>10</v>
      </c>
      <c r="T233" s="827">
        <v>9</v>
      </c>
      <c r="U233" s="827">
        <v>8</v>
      </c>
      <c r="V233" s="827">
        <v>9</v>
      </c>
      <c r="W233" s="827">
        <v>9</v>
      </c>
      <c r="X233" s="827">
        <v>8</v>
      </c>
      <c r="Y233" s="827">
        <v>8</v>
      </c>
      <c r="Z233" s="827">
        <v>9</v>
      </c>
      <c r="AA233" s="827">
        <v>8</v>
      </c>
      <c r="AB233" s="834">
        <v>11</v>
      </c>
      <c r="AC233" s="828">
        <v>11</v>
      </c>
      <c r="AD233" s="828">
        <v>12</v>
      </c>
      <c r="AE233" s="828">
        <v>14</v>
      </c>
      <c r="AF233" s="828">
        <v>15</v>
      </c>
      <c r="AG233" s="828">
        <v>16</v>
      </c>
      <c r="AH233" s="828">
        <v>18</v>
      </c>
      <c r="AI233" s="828">
        <v>19</v>
      </c>
      <c r="AJ233" s="828">
        <v>18</v>
      </c>
      <c r="AK233" s="828">
        <v>21</v>
      </c>
      <c r="AL233" s="828">
        <v>20</v>
      </c>
      <c r="AM233" s="828">
        <v>21</v>
      </c>
      <c r="AN233" s="828">
        <v>23</v>
      </c>
      <c r="AO233" s="828">
        <v>24</v>
      </c>
      <c r="AP233" s="828">
        <v>26</v>
      </c>
    </row>
    <row r="234" hidden="1" ht="15.95" customHeight="1">
      <c r="B234" s="829" t="s">
        <v>9</v>
      </c>
      <c r="C234" s="823">
        <v>64</v>
      </c>
      <c r="D234" s="823">
        <v>68</v>
      </c>
      <c r="E234" s="823">
        <v>73</v>
      </c>
      <c r="F234" s="823">
        <v>80</v>
      </c>
      <c r="G234" s="823">
        <v>81</v>
      </c>
      <c r="H234" s="823">
        <v>84</v>
      </c>
      <c r="I234" s="823">
        <v>82</v>
      </c>
      <c r="J234" s="823">
        <v>83</v>
      </c>
      <c r="K234" s="823">
        <v>85</v>
      </c>
      <c r="L234" s="823">
        <v>87</v>
      </c>
      <c r="M234" s="823">
        <v>92</v>
      </c>
      <c r="N234" s="823">
        <v>93</v>
      </c>
      <c r="O234" s="823">
        <v>91</v>
      </c>
      <c r="P234" s="823">
        <v>89</v>
      </c>
      <c r="Q234" s="823">
        <v>91</v>
      </c>
      <c r="R234" s="823">
        <v>92</v>
      </c>
      <c r="S234" s="823">
        <v>94</v>
      </c>
      <c r="T234" s="823">
        <v>95</v>
      </c>
      <c r="U234" s="823">
        <v>97</v>
      </c>
      <c r="V234" s="823">
        <v>102</v>
      </c>
      <c r="W234" s="823">
        <v>101</v>
      </c>
      <c r="X234" s="823">
        <v>103</v>
      </c>
      <c r="Y234" s="823">
        <v>104</v>
      </c>
      <c r="Z234" s="823">
        <v>105</v>
      </c>
      <c r="AA234" s="823">
        <v>103</v>
      </c>
      <c r="AB234" s="823">
        <v>103</v>
      </c>
      <c r="AC234" s="825">
        <v>108</v>
      </c>
      <c r="AD234" s="825">
        <v>114</v>
      </c>
      <c r="AE234" s="825">
        <v>118</v>
      </c>
      <c r="AF234" s="825">
        <v>122</v>
      </c>
      <c r="AG234" s="825">
        <v>126</v>
      </c>
      <c r="AH234" s="825">
        <v>127</v>
      </c>
      <c r="AI234" s="825">
        <v>131</v>
      </c>
      <c r="AJ234" s="825">
        <v>129</v>
      </c>
      <c r="AK234" s="825">
        <v>131</v>
      </c>
      <c r="AL234" s="825">
        <v>133</v>
      </c>
      <c r="AM234" s="825">
        <v>134</v>
      </c>
      <c r="AN234" s="825">
        <v>140</v>
      </c>
      <c r="AO234" s="825">
        <v>141</v>
      </c>
      <c r="AP234" s="825">
        <v>141</v>
      </c>
    </row>
    <row r="235" hidden="1" ht="15.95" customHeight="1">
      <c r="B235" s="826" t="s">
        <v>10</v>
      </c>
      <c r="C235" s="827">
        <v>0</v>
      </c>
      <c r="D235" s="827">
        <v>0</v>
      </c>
      <c r="E235" s="827">
        <v>0</v>
      </c>
      <c r="F235" s="827">
        <v>0</v>
      </c>
      <c r="G235" s="827">
        <v>0</v>
      </c>
      <c r="H235" s="827">
        <v>0</v>
      </c>
      <c r="I235" s="827">
        <v>0</v>
      </c>
      <c r="J235" s="827">
        <v>0</v>
      </c>
      <c r="K235" s="827">
        <v>1</v>
      </c>
      <c r="L235" s="827">
        <v>1</v>
      </c>
      <c r="M235" s="827">
        <v>1</v>
      </c>
      <c r="N235" s="827">
        <v>1</v>
      </c>
      <c r="O235" s="827">
        <v>1</v>
      </c>
      <c r="P235" s="827">
        <v>1</v>
      </c>
      <c r="Q235" s="827">
        <v>0</v>
      </c>
      <c r="R235" s="827">
        <v>0</v>
      </c>
      <c r="S235" s="827">
        <v>0</v>
      </c>
      <c r="T235" s="827">
        <v>0</v>
      </c>
      <c r="U235" s="827">
        <v>0</v>
      </c>
      <c r="V235" s="827">
        <v>0</v>
      </c>
      <c r="W235" s="827">
        <v>0</v>
      </c>
      <c r="X235" s="827">
        <v>0</v>
      </c>
      <c r="Y235" s="827">
        <v>0</v>
      </c>
      <c r="Z235" s="827">
        <v>0</v>
      </c>
      <c r="AA235" s="827">
        <v>0</v>
      </c>
      <c r="AB235" s="827">
        <v>0</v>
      </c>
      <c r="AC235" s="828">
        <v>0</v>
      </c>
      <c r="AD235" s="828">
        <v>0</v>
      </c>
      <c r="AE235" s="828">
        <v>0</v>
      </c>
      <c r="AF235" s="828">
        <v>0</v>
      </c>
      <c r="AG235" s="828">
        <v>0</v>
      </c>
      <c r="AH235" s="828">
        <v>0</v>
      </c>
      <c r="AI235" s="828">
        <v>0</v>
      </c>
      <c r="AJ235" s="828">
        <v>0</v>
      </c>
      <c r="AK235" s="828">
        <v>0</v>
      </c>
      <c r="AL235" s="828">
        <v>0</v>
      </c>
      <c r="AM235" s="828">
        <v>0</v>
      </c>
      <c r="AN235" s="828">
        <v>0</v>
      </c>
      <c r="AO235" s="828">
        <v>0</v>
      </c>
      <c r="AP235" s="828">
        <v>0</v>
      </c>
    </row>
    <row r="236" hidden="1" ht="15.95" customHeight="1">
      <c r="B236" s="829" t="s">
        <v>11</v>
      </c>
      <c r="C236" s="823">
        <v>0</v>
      </c>
      <c r="D236" s="823">
        <v>0</v>
      </c>
      <c r="E236" s="823">
        <v>0</v>
      </c>
      <c r="F236" s="823">
        <v>0</v>
      </c>
      <c r="G236" s="823">
        <v>0</v>
      </c>
      <c r="H236" s="823">
        <v>0</v>
      </c>
      <c r="I236" s="823">
        <v>0</v>
      </c>
      <c r="J236" s="823">
        <v>0</v>
      </c>
      <c r="K236" s="823">
        <v>0</v>
      </c>
      <c r="L236" s="823">
        <v>0</v>
      </c>
      <c r="M236" s="823">
        <v>0</v>
      </c>
      <c r="N236" s="823">
        <v>0</v>
      </c>
      <c r="O236" s="823">
        <v>0</v>
      </c>
      <c r="P236" s="823">
        <v>0</v>
      </c>
      <c r="Q236" s="823">
        <v>0</v>
      </c>
      <c r="R236" s="823">
        <v>0</v>
      </c>
      <c r="S236" s="823">
        <v>0</v>
      </c>
      <c r="T236" s="823">
        <v>0</v>
      </c>
      <c r="U236" s="823">
        <v>0</v>
      </c>
      <c r="V236" s="823">
        <v>0</v>
      </c>
      <c r="W236" s="823">
        <v>0</v>
      </c>
      <c r="X236" s="823">
        <v>0</v>
      </c>
      <c r="Y236" s="823">
        <v>0</v>
      </c>
      <c r="Z236" s="823">
        <v>0</v>
      </c>
      <c r="AA236" s="823">
        <v>0</v>
      </c>
      <c r="AB236" s="823">
        <v>0</v>
      </c>
      <c r="AC236" s="825">
        <v>0</v>
      </c>
      <c r="AD236" s="825">
        <v>0</v>
      </c>
      <c r="AE236" s="825">
        <v>0</v>
      </c>
      <c r="AF236" s="825">
        <v>0</v>
      </c>
      <c r="AG236" s="825">
        <v>0</v>
      </c>
      <c r="AH236" s="825">
        <v>0</v>
      </c>
      <c r="AI236" s="825">
        <v>0</v>
      </c>
      <c r="AJ236" s="825">
        <v>0</v>
      </c>
      <c r="AK236" s="825">
        <v>0</v>
      </c>
      <c r="AL236" s="825">
        <v>0</v>
      </c>
      <c r="AM236" s="825">
        <v>0</v>
      </c>
      <c r="AN236" s="825">
        <v>0</v>
      </c>
      <c r="AO236" s="825">
        <v>0</v>
      </c>
      <c r="AP236" s="825">
        <v>0</v>
      </c>
    </row>
    <row r="237" hidden="1" ht="15.95" customHeight="1">
      <c r="B237" s="826" t="s">
        <v>12</v>
      </c>
      <c r="C237" s="827">
        <v>1</v>
      </c>
      <c r="D237" s="827">
        <v>3</v>
      </c>
      <c r="E237" s="827">
        <v>6</v>
      </c>
      <c r="F237" s="827">
        <v>3</v>
      </c>
      <c r="G237" s="827">
        <v>1</v>
      </c>
      <c r="H237" s="827">
        <v>2</v>
      </c>
      <c r="I237" s="827">
        <v>1</v>
      </c>
      <c r="J237" s="827">
        <v>1</v>
      </c>
      <c r="K237" s="827">
        <v>2</v>
      </c>
      <c r="L237" s="827">
        <v>2</v>
      </c>
      <c r="M237" s="827">
        <v>2</v>
      </c>
      <c r="N237" s="827">
        <v>3</v>
      </c>
      <c r="O237" s="827">
        <v>2</v>
      </c>
      <c r="P237" s="827">
        <v>2</v>
      </c>
      <c r="Q237" s="827">
        <v>2</v>
      </c>
      <c r="R237" s="827">
        <v>2</v>
      </c>
      <c r="S237" s="827">
        <v>3</v>
      </c>
      <c r="T237" s="827">
        <v>3</v>
      </c>
      <c r="U237" s="827">
        <v>3</v>
      </c>
      <c r="V237" s="827">
        <v>3</v>
      </c>
      <c r="W237" s="827">
        <v>3</v>
      </c>
      <c r="X237" s="827">
        <v>3</v>
      </c>
      <c r="Y237" s="827">
        <v>2</v>
      </c>
      <c r="Z237" s="827">
        <v>2</v>
      </c>
      <c r="AA237" s="827">
        <v>1</v>
      </c>
      <c r="AB237" s="827">
        <v>1</v>
      </c>
      <c r="AC237" s="828">
        <v>2</v>
      </c>
      <c r="AD237" s="828">
        <v>2</v>
      </c>
      <c r="AE237" s="828">
        <v>2</v>
      </c>
      <c r="AF237" s="828">
        <v>2</v>
      </c>
      <c r="AG237" s="828">
        <v>2</v>
      </c>
      <c r="AH237" s="828">
        <v>2</v>
      </c>
      <c r="AI237" s="828">
        <v>1</v>
      </c>
      <c r="AJ237" s="828">
        <v>2</v>
      </c>
      <c r="AK237" s="828">
        <v>1</v>
      </c>
      <c r="AL237" s="828">
        <v>1</v>
      </c>
      <c r="AM237" s="828">
        <v>1</v>
      </c>
      <c r="AN237" s="828">
        <v>1</v>
      </c>
      <c r="AO237" s="828">
        <v>1</v>
      </c>
      <c r="AP237" s="828">
        <v>1</v>
      </c>
    </row>
    <row r="238" hidden="1" ht="15.95" customHeight="1">
      <c r="B238" s="829" t="s">
        <v>13</v>
      </c>
      <c r="C238" s="823">
        <v>1</v>
      </c>
      <c r="D238" s="823">
        <v>1</v>
      </c>
      <c r="E238" s="823">
        <v>1</v>
      </c>
      <c r="F238" s="823">
        <v>1</v>
      </c>
      <c r="G238" s="823">
        <v>1</v>
      </c>
      <c r="H238" s="823">
        <v>1</v>
      </c>
      <c r="I238" s="823">
        <v>1</v>
      </c>
      <c r="J238" s="823">
        <v>1</v>
      </c>
      <c r="K238" s="823">
        <v>1</v>
      </c>
      <c r="L238" s="823">
        <v>1</v>
      </c>
      <c r="M238" s="823">
        <v>1</v>
      </c>
      <c r="N238" s="823">
        <v>1</v>
      </c>
      <c r="O238" s="823">
        <v>0</v>
      </c>
      <c r="P238" s="823">
        <v>0</v>
      </c>
      <c r="Q238" s="823">
        <v>0</v>
      </c>
      <c r="R238" s="823">
        <v>0</v>
      </c>
      <c r="S238" s="823">
        <v>0</v>
      </c>
      <c r="T238" s="823">
        <v>0</v>
      </c>
      <c r="U238" s="823">
        <v>0</v>
      </c>
      <c r="V238" s="823">
        <v>0</v>
      </c>
      <c r="W238" s="823">
        <v>0</v>
      </c>
      <c r="X238" s="823">
        <v>0</v>
      </c>
      <c r="Y238" s="823">
        <v>0</v>
      </c>
      <c r="Z238" s="823">
        <v>0</v>
      </c>
      <c r="AA238" s="823">
        <v>0</v>
      </c>
      <c r="AB238" s="823">
        <v>0</v>
      </c>
      <c r="AC238" s="825">
        <v>0</v>
      </c>
      <c r="AD238" s="825">
        <v>0</v>
      </c>
      <c r="AE238" s="825">
        <v>0</v>
      </c>
      <c r="AF238" s="825">
        <v>0</v>
      </c>
      <c r="AG238" s="825">
        <v>0</v>
      </c>
      <c r="AH238" s="825">
        <v>0</v>
      </c>
      <c r="AI238" s="825">
        <v>0</v>
      </c>
      <c r="AJ238" s="825">
        <v>0</v>
      </c>
      <c r="AK238" s="825">
        <v>0</v>
      </c>
      <c r="AL238" s="825">
        <v>0</v>
      </c>
      <c r="AM238" s="825">
        <v>0</v>
      </c>
      <c r="AN238" s="825">
        <v>0</v>
      </c>
      <c r="AO238" s="825">
        <v>0</v>
      </c>
      <c r="AP238" s="825">
        <v>0</v>
      </c>
    </row>
    <row r="239" hidden="1" ht="15.95" customHeight="1">
      <c r="B239" s="826" t="s">
        <v>109</v>
      </c>
      <c r="C239" s="827">
        <v>9</v>
      </c>
      <c r="D239" s="827">
        <v>12</v>
      </c>
      <c r="E239" s="827">
        <v>15</v>
      </c>
      <c r="F239" s="827">
        <v>17</v>
      </c>
      <c r="G239" s="827">
        <v>14</v>
      </c>
      <c r="H239" s="827">
        <v>13</v>
      </c>
      <c r="I239" s="827">
        <v>16</v>
      </c>
      <c r="J239" s="827">
        <v>14</v>
      </c>
      <c r="K239" s="827">
        <v>15</v>
      </c>
      <c r="L239" s="827">
        <v>13</v>
      </c>
      <c r="M239" s="827">
        <v>14</v>
      </c>
      <c r="N239" s="827">
        <v>12</v>
      </c>
      <c r="O239" s="827">
        <v>11</v>
      </c>
      <c r="P239" s="827">
        <v>11</v>
      </c>
      <c r="Q239" s="827">
        <v>13</v>
      </c>
      <c r="R239" s="827">
        <v>14</v>
      </c>
      <c r="S239" s="827">
        <v>16</v>
      </c>
      <c r="T239" s="827">
        <v>13</v>
      </c>
      <c r="U239" s="827">
        <v>13</v>
      </c>
      <c r="V239" s="827">
        <v>13</v>
      </c>
      <c r="W239" s="827">
        <v>12</v>
      </c>
      <c r="X239" s="827">
        <v>13</v>
      </c>
      <c r="Y239" s="827">
        <v>14</v>
      </c>
      <c r="Z239" s="827">
        <v>14</v>
      </c>
      <c r="AA239" s="827">
        <v>15</v>
      </c>
      <c r="AB239" s="827">
        <v>15</v>
      </c>
      <c r="AC239" s="828">
        <v>16</v>
      </c>
      <c r="AD239" s="828">
        <v>19</v>
      </c>
      <c r="AE239" s="828">
        <v>17</v>
      </c>
      <c r="AF239" s="828">
        <v>17</v>
      </c>
      <c r="AG239" s="828">
        <v>17</v>
      </c>
      <c r="AH239" s="828">
        <v>19</v>
      </c>
      <c r="AI239" s="828">
        <v>20</v>
      </c>
      <c r="AJ239" s="828">
        <v>20</v>
      </c>
      <c r="AK239" s="828">
        <v>21</v>
      </c>
      <c r="AL239" s="828">
        <v>22</v>
      </c>
      <c r="AM239" s="828">
        <v>24</v>
      </c>
      <c r="AN239" s="828">
        <v>24</v>
      </c>
      <c r="AO239" s="828">
        <v>24</v>
      </c>
      <c r="AP239" s="828">
        <v>26</v>
      </c>
    </row>
    <row r="240" hidden="1" ht="15.95" customHeight="1">
      <c r="B240" s="829" t="s">
        <v>110</v>
      </c>
      <c r="C240" s="823">
        <v>20</v>
      </c>
      <c r="D240" s="823">
        <v>26</v>
      </c>
      <c r="E240" s="823">
        <v>27</v>
      </c>
      <c r="F240" s="823">
        <v>27</v>
      </c>
      <c r="G240" s="823">
        <v>26</v>
      </c>
      <c r="H240" s="823">
        <v>24</v>
      </c>
      <c r="I240" s="823">
        <v>26</v>
      </c>
      <c r="J240" s="823">
        <v>27</v>
      </c>
      <c r="K240" s="823">
        <v>27</v>
      </c>
      <c r="L240" s="823">
        <v>28</v>
      </c>
      <c r="M240" s="823">
        <v>29</v>
      </c>
      <c r="N240" s="823">
        <v>30</v>
      </c>
      <c r="O240" s="823">
        <v>30</v>
      </c>
      <c r="P240" s="823">
        <v>27</v>
      </c>
      <c r="Q240" s="823">
        <v>28</v>
      </c>
      <c r="R240" s="823">
        <v>30</v>
      </c>
      <c r="S240" s="823">
        <v>31</v>
      </c>
      <c r="T240" s="823">
        <v>29</v>
      </c>
      <c r="U240" s="823">
        <v>31</v>
      </c>
      <c r="V240" s="823">
        <v>34</v>
      </c>
      <c r="W240" s="823">
        <v>31</v>
      </c>
      <c r="X240" s="823">
        <v>30</v>
      </c>
      <c r="Y240" s="823">
        <v>31</v>
      </c>
      <c r="Z240" s="823">
        <v>32</v>
      </c>
      <c r="AA240" s="823">
        <v>33</v>
      </c>
      <c r="AB240" s="823">
        <v>34</v>
      </c>
      <c r="AC240" s="825">
        <v>35</v>
      </c>
      <c r="AD240" s="825">
        <v>36</v>
      </c>
      <c r="AE240" s="825">
        <v>40</v>
      </c>
      <c r="AF240" s="825">
        <v>41</v>
      </c>
      <c r="AG240" s="825">
        <v>44</v>
      </c>
      <c r="AH240" s="825">
        <v>43</v>
      </c>
      <c r="AI240" s="825">
        <v>43</v>
      </c>
      <c r="AJ240" s="825">
        <v>47</v>
      </c>
      <c r="AK240" s="825">
        <v>50</v>
      </c>
      <c r="AL240" s="825">
        <v>48</v>
      </c>
      <c r="AM240" s="825">
        <v>50</v>
      </c>
      <c r="AN240" s="825">
        <v>49</v>
      </c>
      <c r="AO240" s="825">
        <v>51</v>
      </c>
      <c r="AP240" s="825">
        <v>51</v>
      </c>
    </row>
    <row r="241" hidden="1" ht="15.95" customHeight="1">
      <c r="B241" s="826" t="s">
        <v>16</v>
      </c>
      <c r="C241" s="827">
        <v>64</v>
      </c>
      <c r="D241" s="827">
        <v>71</v>
      </c>
      <c r="E241" s="827">
        <v>81</v>
      </c>
      <c r="F241" s="827">
        <v>90</v>
      </c>
      <c r="G241" s="827">
        <v>92</v>
      </c>
      <c r="H241" s="827">
        <v>99</v>
      </c>
      <c r="I241" s="827">
        <v>101</v>
      </c>
      <c r="J241" s="827">
        <v>115</v>
      </c>
      <c r="K241" s="827">
        <v>121</v>
      </c>
      <c r="L241" s="827">
        <v>122</v>
      </c>
      <c r="M241" s="827">
        <v>118</v>
      </c>
      <c r="N241" s="827">
        <v>115</v>
      </c>
      <c r="O241" s="827">
        <v>118</v>
      </c>
      <c r="P241" s="827">
        <v>119</v>
      </c>
      <c r="Q241" s="827">
        <v>120</v>
      </c>
      <c r="R241" s="827">
        <v>123</v>
      </c>
      <c r="S241" s="827">
        <v>129</v>
      </c>
      <c r="T241" s="827">
        <v>133</v>
      </c>
      <c r="U241" s="827">
        <v>137</v>
      </c>
      <c r="V241" s="827">
        <v>135</v>
      </c>
      <c r="W241" s="827">
        <v>132</v>
      </c>
      <c r="X241" s="827">
        <v>130</v>
      </c>
      <c r="Y241" s="827">
        <v>123</v>
      </c>
      <c r="Z241" s="827">
        <v>120</v>
      </c>
      <c r="AA241" s="827">
        <v>122</v>
      </c>
      <c r="AB241" s="827">
        <v>123</v>
      </c>
      <c r="AC241" s="828">
        <v>124</v>
      </c>
      <c r="AD241" s="828">
        <v>127</v>
      </c>
      <c r="AE241" s="828">
        <v>128</v>
      </c>
      <c r="AF241" s="828">
        <v>124</v>
      </c>
      <c r="AG241" s="828">
        <v>124</v>
      </c>
      <c r="AH241" s="828">
        <v>127</v>
      </c>
      <c r="AI241" s="828">
        <v>125</v>
      </c>
      <c r="AJ241" s="828">
        <v>124</v>
      </c>
      <c r="AK241" s="828">
        <v>126</v>
      </c>
      <c r="AL241" s="828">
        <v>129</v>
      </c>
      <c r="AM241" s="828">
        <v>139</v>
      </c>
      <c r="AN241" s="828">
        <v>139</v>
      </c>
      <c r="AO241" s="828">
        <v>144</v>
      </c>
      <c r="AP241" s="828">
        <v>144</v>
      </c>
    </row>
    <row r="242" hidden="1" ht="15.95" customHeight="1">
      <c r="B242" s="829" t="s">
        <v>17</v>
      </c>
      <c r="C242" s="823">
        <v>2</v>
      </c>
      <c r="D242" s="823">
        <v>6</v>
      </c>
      <c r="E242" s="823">
        <v>5</v>
      </c>
      <c r="F242" s="823">
        <v>6</v>
      </c>
      <c r="G242" s="823">
        <v>6</v>
      </c>
      <c r="H242" s="823">
        <v>6</v>
      </c>
      <c r="I242" s="823">
        <v>6</v>
      </c>
      <c r="J242" s="823">
        <v>7</v>
      </c>
      <c r="K242" s="823">
        <v>7</v>
      </c>
      <c r="L242" s="823">
        <v>7</v>
      </c>
      <c r="M242" s="823">
        <v>7</v>
      </c>
      <c r="N242" s="823">
        <v>7</v>
      </c>
      <c r="O242" s="823">
        <v>7</v>
      </c>
      <c r="P242" s="823">
        <v>2</v>
      </c>
      <c r="Q242" s="823">
        <v>2</v>
      </c>
      <c r="R242" s="823">
        <v>3</v>
      </c>
      <c r="S242" s="823">
        <v>5</v>
      </c>
      <c r="T242" s="823">
        <v>5</v>
      </c>
      <c r="U242" s="823">
        <v>5</v>
      </c>
      <c r="V242" s="823">
        <v>5</v>
      </c>
      <c r="W242" s="823">
        <v>6</v>
      </c>
      <c r="X242" s="823">
        <v>7</v>
      </c>
      <c r="Y242" s="823">
        <v>7</v>
      </c>
      <c r="Z242" s="823">
        <v>12</v>
      </c>
      <c r="AA242" s="823">
        <v>12</v>
      </c>
      <c r="AB242" s="823">
        <v>12</v>
      </c>
      <c r="AC242" s="825">
        <v>14</v>
      </c>
      <c r="AD242" s="825">
        <v>12</v>
      </c>
      <c r="AE242" s="825">
        <v>13</v>
      </c>
      <c r="AF242" s="825">
        <v>13</v>
      </c>
      <c r="AG242" s="825">
        <v>13</v>
      </c>
      <c r="AH242" s="825">
        <v>14</v>
      </c>
      <c r="AI242" s="825">
        <v>13</v>
      </c>
      <c r="AJ242" s="825">
        <v>13</v>
      </c>
      <c r="AK242" s="825">
        <v>13</v>
      </c>
      <c r="AL242" s="825">
        <v>13</v>
      </c>
      <c r="AM242" s="825">
        <v>14</v>
      </c>
      <c r="AN242" s="825">
        <v>15</v>
      </c>
      <c r="AO242" s="825">
        <v>14</v>
      </c>
      <c r="AP242" s="825">
        <v>15</v>
      </c>
    </row>
    <row r="243" hidden="1" ht="15.95" customHeight="1">
      <c r="B243" s="826" t="s">
        <v>18</v>
      </c>
      <c r="C243" s="827">
        <v>27</v>
      </c>
      <c r="D243" s="827">
        <v>28</v>
      </c>
      <c r="E243" s="827">
        <v>23</v>
      </c>
      <c r="F243" s="827">
        <v>18</v>
      </c>
      <c r="G243" s="827">
        <v>17</v>
      </c>
      <c r="H243" s="827">
        <v>17</v>
      </c>
      <c r="I243" s="827">
        <v>16</v>
      </c>
      <c r="J243" s="827">
        <v>16</v>
      </c>
      <c r="K243" s="827">
        <v>18</v>
      </c>
      <c r="L243" s="827">
        <v>19</v>
      </c>
      <c r="M243" s="827">
        <v>19</v>
      </c>
      <c r="N243" s="827">
        <v>19</v>
      </c>
      <c r="O243" s="827">
        <v>17</v>
      </c>
      <c r="P243" s="827">
        <v>18</v>
      </c>
      <c r="Q243" s="827">
        <v>18</v>
      </c>
      <c r="R243" s="827">
        <v>21</v>
      </c>
      <c r="S243" s="827">
        <v>23</v>
      </c>
      <c r="T243" s="827">
        <v>22</v>
      </c>
      <c r="U243" s="827">
        <v>23</v>
      </c>
      <c r="V243" s="827">
        <v>23</v>
      </c>
      <c r="W243" s="827">
        <v>26</v>
      </c>
      <c r="X243" s="827">
        <v>25</v>
      </c>
      <c r="Y243" s="827">
        <v>23</v>
      </c>
      <c r="Z243" s="827">
        <v>23</v>
      </c>
      <c r="AA243" s="827">
        <v>23</v>
      </c>
      <c r="AB243" s="827">
        <v>22</v>
      </c>
      <c r="AC243" s="828">
        <v>22</v>
      </c>
      <c r="AD243" s="828">
        <v>22</v>
      </c>
      <c r="AE243" s="828">
        <v>23</v>
      </c>
      <c r="AF243" s="828">
        <v>23</v>
      </c>
      <c r="AG243" s="828">
        <v>23</v>
      </c>
      <c r="AH243" s="828">
        <v>26</v>
      </c>
      <c r="AI243" s="828">
        <v>27</v>
      </c>
      <c r="AJ243" s="828">
        <v>27</v>
      </c>
      <c r="AK243" s="828">
        <v>27</v>
      </c>
      <c r="AL243" s="828">
        <v>29</v>
      </c>
      <c r="AM243" s="828">
        <v>29</v>
      </c>
      <c r="AN243" s="828">
        <v>29</v>
      </c>
      <c r="AO243" s="828">
        <v>28</v>
      </c>
      <c r="AP243" s="828">
        <v>30</v>
      </c>
    </row>
    <row r="244" hidden="1" ht="15.95" customHeight="1">
      <c r="B244" s="829" t="s">
        <v>19</v>
      </c>
      <c r="C244" s="823">
        <v>1</v>
      </c>
      <c r="D244" s="823">
        <v>1</v>
      </c>
      <c r="E244" s="823">
        <v>1</v>
      </c>
      <c r="F244" s="823">
        <v>1</v>
      </c>
      <c r="G244" s="823">
        <v>1</v>
      </c>
      <c r="H244" s="823">
        <v>1</v>
      </c>
      <c r="I244" s="823">
        <v>1</v>
      </c>
      <c r="J244" s="823">
        <v>1</v>
      </c>
      <c r="K244" s="823">
        <v>1</v>
      </c>
      <c r="L244" s="823">
        <v>1</v>
      </c>
      <c r="M244" s="823">
        <v>1</v>
      </c>
      <c r="N244" s="823">
        <v>1</v>
      </c>
      <c r="O244" s="823">
        <v>1</v>
      </c>
      <c r="P244" s="823">
        <v>1</v>
      </c>
      <c r="Q244" s="823">
        <v>1</v>
      </c>
      <c r="R244" s="823">
        <v>1</v>
      </c>
      <c r="S244" s="823">
        <v>1</v>
      </c>
      <c r="T244" s="823">
        <v>1</v>
      </c>
      <c r="U244" s="823">
        <v>1</v>
      </c>
      <c r="V244" s="823">
        <v>1</v>
      </c>
      <c r="W244" s="823">
        <v>1</v>
      </c>
      <c r="X244" s="823">
        <v>1</v>
      </c>
      <c r="Y244" s="823">
        <v>1</v>
      </c>
      <c r="Z244" s="823">
        <v>1</v>
      </c>
      <c r="AA244" s="823">
        <v>0</v>
      </c>
      <c r="AB244" s="823">
        <v>0</v>
      </c>
      <c r="AC244" s="825">
        <v>0</v>
      </c>
      <c r="AD244" s="825">
        <v>0</v>
      </c>
      <c r="AE244" s="825">
        <v>0</v>
      </c>
      <c r="AF244" s="825">
        <v>0</v>
      </c>
      <c r="AG244" s="825">
        <v>0</v>
      </c>
      <c r="AH244" s="825">
        <v>0</v>
      </c>
      <c r="AI244" s="825">
        <v>0</v>
      </c>
      <c r="AJ244" s="825">
        <v>0</v>
      </c>
      <c r="AK244" s="825">
        <v>0</v>
      </c>
      <c r="AL244" s="825">
        <v>0</v>
      </c>
      <c r="AM244" s="825">
        <v>0</v>
      </c>
      <c r="AN244" s="825">
        <v>0</v>
      </c>
      <c r="AO244" s="825">
        <v>0</v>
      </c>
      <c r="AP244" s="825">
        <v>0</v>
      </c>
    </row>
    <row r="245" hidden="1" ht="15.95" customHeight="1">
      <c r="B245" s="826" t="s">
        <v>20</v>
      </c>
      <c r="C245" s="827">
        <v>10</v>
      </c>
      <c r="D245" s="827">
        <v>11</v>
      </c>
      <c r="E245" s="827">
        <v>16</v>
      </c>
      <c r="F245" s="827">
        <v>16</v>
      </c>
      <c r="G245" s="827">
        <v>14</v>
      </c>
      <c r="H245" s="827">
        <v>14</v>
      </c>
      <c r="I245" s="827">
        <v>12</v>
      </c>
      <c r="J245" s="827">
        <v>13</v>
      </c>
      <c r="K245" s="827">
        <v>13</v>
      </c>
      <c r="L245" s="827">
        <v>13</v>
      </c>
      <c r="M245" s="827">
        <v>13</v>
      </c>
      <c r="N245" s="827">
        <v>12</v>
      </c>
      <c r="O245" s="827">
        <v>12</v>
      </c>
      <c r="P245" s="827">
        <v>11</v>
      </c>
      <c r="Q245" s="827">
        <v>10</v>
      </c>
      <c r="R245" s="827">
        <v>9</v>
      </c>
      <c r="S245" s="827">
        <v>9</v>
      </c>
      <c r="T245" s="827">
        <v>7</v>
      </c>
      <c r="U245" s="827">
        <v>7</v>
      </c>
      <c r="V245" s="827">
        <v>5</v>
      </c>
      <c r="W245" s="827">
        <v>5</v>
      </c>
      <c r="X245" s="827">
        <v>5</v>
      </c>
      <c r="Y245" s="827">
        <v>5</v>
      </c>
      <c r="Z245" s="827">
        <v>5</v>
      </c>
      <c r="AA245" s="827">
        <v>5</v>
      </c>
      <c r="AB245" s="827">
        <v>6</v>
      </c>
      <c r="AC245" s="828">
        <v>6</v>
      </c>
      <c r="AD245" s="828">
        <v>6</v>
      </c>
      <c r="AE245" s="828">
        <v>7</v>
      </c>
      <c r="AF245" s="828">
        <v>7</v>
      </c>
      <c r="AG245" s="828">
        <v>7</v>
      </c>
      <c r="AH245" s="828">
        <v>7</v>
      </c>
      <c r="AI245" s="828">
        <v>8</v>
      </c>
      <c r="AJ245" s="828">
        <v>8</v>
      </c>
      <c r="AK245" s="828">
        <v>8</v>
      </c>
      <c r="AL245" s="828">
        <v>8</v>
      </c>
      <c r="AM245" s="828">
        <v>8</v>
      </c>
      <c r="AN245" s="828">
        <v>7</v>
      </c>
      <c r="AO245" s="828">
        <v>7</v>
      </c>
      <c r="AP245" s="828">
        <v>7</v>
      </c>
    </row>
    <row r="246" hidden="1" ht="15.95" customHeight="1">
      <c r="B246" s="829" t="s">
        <v>21</v>
      </c>
      <c r="C246" s="823">
        <v>7</v>
      </c>
      <c r="D246" s="823">
        <v>10</v>
      </c>
      <c r="E246" s="823">
        <v>9</v>
      </c>
      <c r="F246" s="823">
        <v>10</v>
      </c>
      <c r="G246" s="823">
        <v>8</v>
      </c>
      <c r="H246" s="823">
        <v>8</v>
      </c>
      <c r="I246" s="823">
        <v>6</v>
      </c>
      <c r="J246" s="823">
        <v>8</v>
      </c>
      <c r="K246" s="823">
        <v>8</v>
      </c>
      <c r="L246" s="823">
        <v>7</v>
      </c>
      <c r="M246" s="823">
        <v>7</v>
      </c>
      <c r="N246" s="823">
        <v>7</v>
      </c>
      <c r="O246" s="823">
        <v>8</v>
      </c>
      <c r="P246" s="823">
        <v>9</v>
      </c>
      <c r="Q246" s="823">
        <v>9</v>
      </c>
      <c r="R246" s="823">
        <v>13</v>
      </c>
      <c r="S246" s="823">
        <v>12</v>
      </c>
      <c r="T246" s="823">
        <v>13</v>
      </c>
      <c r="U246" s="823">
        <v>12</v>
      </c>
      <c r="V246" s="823">
        <v>12</v>
      </c>
      <c r="W246" s="823">
        <v>10</v>
      </c>
      <c r="X246" s="823">
        <v>10</v>
      </c>
      <c r="Y246" s="823">
        <v>9</v>
      </c>
      <c r="Z246" s="823">
        <v>10</v>
      </c>
      <c r="AA246" s="823">
        <v>10</v>
      </c>
      <c r="AB246" s="823">
        <v>8</v>
      </c>
      <c r="AC246" s="825">
        <v>7</v>
      </c>
      <c r="AD246" s="825">
        <v>8</v>
      </c>
      <c r="AE246" s="825">
        <v>9</v>
      </c>
      <c r="AF246" s="825">
        <v>10</v>
      </c>
      <c r="AG246" s="825">
        <v>12</v>
      </c>
      <c r="AH246" s="825">
        <v>12</v>
      </c>
      <c r="AI246" s="825">
        <v>12</v>
      </c>
      <c r="AJ246" s="825">
        <v>13</v>
      </c>
      <c r="AK246" s="825">
        <v>13</v>
      </c>
      <c r="AL246" s="825">
        <v>12</v>
      </c>
      <c r="AM246" s="825">
        <v>12</v>
      </c>
      <c r="AN246" s="825">
        <v>13</v>
      </c>
      <c r="AO246" s="825">
        <v>13</v>
      </c>
      <c r="AP246" s="825">
        <v>12</v>
      </c>
    </row>
    <row r="247" hidden="1" ht="15.95" customHeight="1">
      <c r="B247" s="826" t="s">
        <v>22</v>
      </c>
      <c r="C247" s="827">
        <v>1</v>
      </c>
      <c r="D247" s="827">
        <v>1</v>
      </c>
      <c r="E247" s="827">
        <v>1</v>
      </c>
      <c r="F247" s="827">
        <v>1</v>
      </c>
      <c r="G247" s="827">
        <v>2</v>
      </c>
      <c r="H247" s="827">
        <v>3</v>
      </c>
      <c r="I247" s="827">
        <v>3</v>
      </c>
      <c r="J247" s="827">
        <v>3</v>
      </c>
      <c r="K247" s="827">
        <v>3</v>
      </c>
      <c r="L247" s="827">
        <v>3</v>
      </c>
      <c r="M247" s="827">
        <v>2</v>
      </c>
      <c r="N247" s="827">
        <v>1</v>
      </c>
      <c r="O247" s="827">
        <v>1</v>
      </c>
      <c r="P247" s="827">
        <v>2</v>
      </c>
      <c r="Q247" s="827">
        <v>0</v>
      </c>
      <c r="R247" s="827">
        <v>0</v>
      </c>
      <c r="S247" s="827">
        <v>0</v>
      </c>
      <c r="T247" s="827">
        <v>0</v>
      </c>
      <c r="U247" s="827">
        <v>0</v>
      </c>
      <c r="V247" s="827">
        <v>0</v>
      </c>
      <c r="W247" s="827">
        <v>0</v>
      </c>
      <c r="X247" s="827">
        <v>0</v>
      </c>
      <c r="Y247" s="827">
        <v>0</v>
      </c>
      <c r="Z247" s="827">
        <v>0</v>
      </c>
      <c r="AA247" s="827">
        <v>0</v>
      </c>
      <c r="AB247" s="827">
        <v>0</v>
      </c>
      <c r="AC247" s="828">
        <v>0</v>
      </c>
      <c r="AD247" s="828">
        <v>0</v>
      </c>
      <c r="AE247" s="828">
        <v>0</v>
      </c>
      <c r="AF247" s="828">
        <v>0</v>
      </c>
      <c r="AG247" s="828">
        <v>0</v>
      </c>
      <c r="AH247" s="828">
        <v>0</v>
      </c>
      <c r="AI247" s="828">
        <v>0</v>
      </c>
      <c r="AJ247" s="828">
        <v>0</v>
      </c>
      <c r="AK247" s="828">
        <v>0</v>
      </c>
      <c r="AL247" s="828">
        <v>0</v>
      </c>
      <c r="AM247" s="828">
        <v>0</v>
      </c>
      <c r="AN247" s="828">
        <v>0</v>
      </c>
      <c r="AO247" s="828">
        <v>0</v>
      </c>
      <c r="AP247" s="828">
        <v>0</v>
      </c>
    </row>
    <row r="248" hidden="1" ht="15.95" customHeight="1">
      <c r="B248" s="829" t="s">
        <v>23</v>
      </c>
      <c r="C248" s="823">
        <v>1</v>
      </c>
      <c r="D248" s="823">
        <v>0</v>
      </c>
      <c r="E248" s="823">
        <v>0</v>
      </c>
      <c r="F248" s="823">
        <v>0</v>
      </c>
      <c r="G248" s="823">
        <v>0</v>
      </c>
      <c r="H248" s="823">
        <v>0</v>
      </c>
      <c r="I248" s="823">
        <v>0</v>
      </c>
      <c r="J248" s="823">
        <v>0</v>
      </c>
      <c r="K248" s="823">
        <v>0</v>
      </c>
      <c r="L248" s="823">
        <v>0</v>
      </c>
      <c r="M248" s="823">
        <v>0</v>
      </c>
      <c r="N248" s="823">
        <v>0</v>
      </c>
      <c r="O248" s="823">
        <v>0</v>
      </c>
      <c r="P248" s="823">
        <v>0</v>
      </c>
      <c r="Q248" s="823">
        <v>0</v>
      </c>
      <c r="R248" s="823">
        <v>0</v>
      </c>
      <c r="S248" s="823">
        <v>0</v>
      </c>
      <c r="T248" s="823">
        <v>0</v>
      </c>
      <c r="U248" s="823">
        <v>0</v>
      </c>
      <c r="V248" s="823">
        <v>0</v>
      </c>
      <c r="W248" s="823">
        <v>0</v>
      </c>
      <c r="X248" s="823">
        <v>0</v>
      </c>
      <c r="Y248" s="823">
        <v>0</v>
      </c>
      <c r="Z248" s="823">
        <v>0</v>
      </c>
      <c r="AA248" s="823">
        <v>0</v>
      </c>
      <c r="AB248" s="823">
        <v>0</v>
      </c>
      <c r="AC248" s="825">
        <v>0</v>
      </c>
      <c r="AD248" s="825">
        <v>0</v>
      </c>
      <c r="AE248" s="825">
        <v>0</v>
      </c>
      <c r="AF248" s="825">
        <v>0</v>
      </c>
      <c r="AG248" s="825">
        <v>0</v>
      </c>
      <c r="AH248" s="825">
        <v>0</v>
      </c>
      <c r="AI248" s="825">
        <v>0</v>
      </c>
      <c r="AJ248" s="825">
        <v>0</v>
      </c>
      <c r="AK248" s="825">
        <v>0</v>
      </c>
      <c r="AL248" s="825">
        <v>0</v>
      </c>
      <c r="AM248" s="825">
        <v>0</v>
      </c>
      <c r="AN248" s="825">
        <v>1</v>
      </c>
      <c r="AO248" s="825">
        <v>1</v>
      </c>
      <c r="AP248" s="825">
        <v>1</v>
      </c>
    </row>
    <row r="249" hidden="1" ht="15.95" customHeight="1">
      <c r="B249" s="835" t="s">
        <v>24</v>
      </c>
      <c r="C249" s="827">
        <v>5</v>
      </c>
      <c r="D249" s="827">
        <v>5</v>
      </c>
      <c r="E249" s="827">
        <v>6</v>
      </c>
      <c r="F249" s="827">
        <v>6</v>
      </c>
      <c r="G249" s="827">
        <v>5</v>
      </c>
      <c r="H249" s="827">
        <v>5</v>
      </c>
      <c r="I249" s="827">
        <v>6</v>
      </c>
      <c r="J249" s="827">
        <v>6</v>
      </c>
      <c r="K249" s="827">
        <v>5</v>
      </c>
      <c r="L249" s="827">
        <v>5</v>
      </c>
      <c r="M249" s="827">
        <v>6</v>
      </c>
      <c r="N249" s="827">
        <v>6</v>
      </c>
      <c r="O249" s="827">
        <v>7</v>
      </c>
      <c r="P249" s="827">
        <v>6</v>
      </c>
      <c r="Q249" s="827">
        <v>6</v>
      </c>
      <c r="R249" s="827">
        <v>7</v>
      </c>
      <c r="S249" s="827">
        <v>7</v>
      </c>
      <c r="T249" s="827">
        <v>6</v>
      </c>
      <c r="U249" s="827">
        <v>6</v>
      </c>
      <c r="V249" s="827">
        <v>6</v>
      </c>
      <c r="W249" s="827">
        <v>6</v>
      </c>
      <c r="X249" s="827">
        <v>6</v>
      </c>
      <c r="Y249" s="827">
        <v>7</v>
      </c>
      <c r="Z249" s="827">
        <v>7</v>
      </c>
      <c r="AA249" s="827">
        <v>7</v>
      </c>
      <c r="AB249" s="827">
        <v>7</v>
      </c>
      <c r="AC249" s="828">
        <v>7</v>
      </c>
      <c r="AD249" s="828">
        <v>8</v>
      </c>
      <c r="AE249" s="828">
        <v>8</v>
      </c>
      <c r="AF249" s="828">
        <v>8</v>
      </c>
      <c r="AG249" s="828">
        <v>8</v>
      </c>
      <c r="AH249" s="828">
        <v>9</v>
      </c>
      <c r="AI249" s="828">
        <v>8</v>
      </c>
      <c r="AJ249" s="828">
        <v>7</v>
      </c>
      <c r="AK249" s="828">
        <v>8</v>
      </c>
      <c r="AL249" s="828">
        <v>8</v>
      </c>
      <c r="AM249" s="828">
        <v>12</v>
      </c>
      <c r="AN249" s="828">
        <v>13</v>
      </c>
      <c r="AO249" s="828">
        <v>13</v>
      </c>
      <c r="AP249" s="828">
        <v>14</v>
      </c>
    </row>
    <row r="250" hidden="1" ht="15.95" customHeight="1">
      <c r="B250" s="829" t="s">
        <v>25</v>
      </c>
      <c r="C250" s="823">
        <v>0</v>
      </c>
      <c r="D250" s="823">
        <v>0</v>
      </c>
      <c r="E250" s="823">
        <v>0</v>
      </c>
      <c r="F250" s="823">
        <v>0</v>
      </c>
      <c r="G250" s="823">
        <v>0</v>
      </c>
      <c r="H250" s="823">
        <v>0</v>
      </c>
      <c r="I250" s="823">
        <v>0</v>
      </c>
      <c r="J250" s="823">
        <v>0</v>
      </c>
      <c r="K250" s="823">
        <v>0</v>
      </c>
      <c r="L250" s="823">
        <v>0</v>
      </c>
      <c r="M250" s="823">
        <v>0</v>
      </c>
      <c r="N250" s="823">
        <v>0</v>
      </c>
      <c r="O250" s="823">
        <v>0</v>
      </c>
      <c r="P250" s="823">
        <v>0</v>
      </c>
      <c r="Q250" s="823">
        <v>0</v>
      </c>
      <c r="R250" s="823">
        <v>0</v>
      </c>
      <c r="S250" s="823">
        <v>0</v>
      </c>
      <c r="T250" s="823">
        <v>0</v>
      </c>
      <c r="U250" s="823">
        <v>0</v>
      </c>
      <c r="V250" s="823">
        <v>0</v>
      </c>
      <c r="W250" s="823">
        <v>0</v>
      </c>
      <c r="X250" s="823">
        <v>0</v>
      </c>
      <c r="Y250" s="823">
        <v>0</v>
      </c>
      <c r="Z250" s="823">
        <v>0</v>
      </c>
      <c r="AA250" s="823">
        <v>0</v>
      </c>
      <c r="AB250" s="823">
        <v>0</v>
      </c>
      <c r="AC250" s="825">
        <v>0</v>
      </c>
      <c r="AD250" s="825">
        <v>0</v>
      </c>
      <c r="AE250" s="825">
        <v>0</v>
      </c>
      <c r="AF250" s="825">
        <v>0</v>
      </c>
      <c r="AG250" s="825">
        <v>0</v>
      </c>
      <c r="AH250" s="825">
        <v>0</v>
      </c>
      <c r="AI250" s="825">
        <v>0</v>
      </c>
      <c r="AJ250" s="825">
        <v>0</v>
      </c>
      <c r="AK250" s="825">
        <v>0</v>
      </c>
      <c r="AL250" s="825">
        <v>0</v>
      </c>
      <c r="AM250" s="825">
        <v>0</v>
      </c>
      <c r="AN250" s="825">
        <v>0</v>
      </c>
      <c r="AO250" s="825">
        <v>0</v>
      </c>
      <c r="AP250" s="825">
        <v>0</v>
      </c>
    </row>
    <row r="251" hidden="1" ht="15.95" customHeight="1">
      <c r="B251" s="836" t="s">
        <v>26</v>
      </c>
      <c r="C251" s="827">
        <v>0</v>
      </c>
      <c r="D251" s="827">
        <v>0</v>
      </c>
      <c r="E251" s="827">
        <v>0</v>
      </c>
      <c r="F251" s="827">
        <v>0</v>
      </c>
      <c r="G251" s="827">
        <v>0</v>
      </c>
      <c r="H251" s="827">
        <v>0</v>
      </c>
      <c r="I251" s="827">
        <v>0</v>
      </c>
      <c r="J251" s="827">
        <v>0</v>
      </c>
      <c r="K251" s="827">
        <v>0</v>
      </c>
      <c r="L251" s="827">
        <v>0</v>
      </c>
      <c r="M251" s="827">
        <v>0</v>
      </c>
      <c r="N251" s="827">
        <v>0</v>
      </c>
      <c r="O251" s="827">
        <v>0</v>
      </c>
      <c r="P251" s="827">
        <v>0</v>
      </c>
      <c r="Q251" s="827">
        <v>0</v>
      </c>
      <c r="R251" s="827">
        <v>0</v>
      </c>
      <c r="S251" s="827">
        <v>0</v>
      </c>
      <c r="T251" s="827">
        <v>0</v>
      </c>
      <c r="U251" s="827">
        <v>0</v>
      </c>
      <c r="V251" s="827">
        <v>0</v>
      </c>
      <c r="W251" s="827">
        <v>0</v>
      </c>
      <c r="X251" s="827">
        <v>0</v>
      </c>
      <c r="Y251" s="827">
        <v>0</v>
      </c>
      <c r="Z251" s="827">
        <v>0</v>
      </c>
      <c r="AA251" s="827">
        <v>0</v>
      </c>
      <c r="AB251" s="837">
        <v>0</v>
      </c>
      <c r="AC251" s="828">
        <v>0</v>
      </c>
      <c r="AD251" s="828">
        <v>0</v>
      </c>
      <c r="AE251" s="828">
        <v>0</v>
      </c>
      <c r="AF251" s="828">
        <v>0</v>
      </c>
      <c r="AG251" s="828">
        <v>0</v>
      </c>
      <c r="AH251" s="828">
        <v>0</v>
      </c>
      <c r="AI251" s="828">
        <v>0</v>
      </c>
      <c r="AJ251" s="828">
        <v>0</v>
      </c>
      <c r="AK251" s="828">
        <v>0</v>
      </c>
      <c r="AL251" s="828">
        <v>0</v>
      </c>
      <c r="AM251" s="828">
        <v>0</v>
      </c>
      <c r="AN251" s="828">
        <v>0</v>
      </c>
      <c r="AO251" s="828">
        <v>0</v>
      </c>
      <c r="AP251" s="828">
        <v>0</v>
      </c>
    </row>
    <row r="252" hidden="1" ht="15.95" customHeight="1">
      <c r="B252" s="128" t="s">
        <v>7</v>
      </c>
      <c r="C252" s="129" t="str">
        <f>IF(SUM(C233:C251)&lt;&gt;0,SUM(C233:C251),"")</f>
      </c>
      <c r="D252" s="129" t="str">
        <f ref="D252:AA252" t="shared" si="15">IF(SUM(D233:D251)&lt;&gt;0,SUM(D233:D251),"")</f>
      </c>
      <c r="E252" s="129" t="str">
        <f t="shared" si="15"/>
      </c>
      <c r="F252" s="129" t="str">
        <f t="shared" si="15"/>
      </c>
      <c r="G252" s="129" t="str">
        <f t="shared" si="15"/>
      </c>
      <c r="H252" s="129" t="str">
        <f t="shared" si="15"/>
      </c>
      <c r="I252" s="129" t="str">
        <f t="shared" si="15"/>
      </c>
      <c r="J252" s="129" t="str">
        <f t="shared" si="15"/>
      </c>
      <c r="K252" s="129" t="str">
        <f t="shared" si="15"/>
      </c>
      <c r="L252" s="129" t="str">
        <f t="shared" si="15"/>
      </c>
      <c r="M252" s="129" t="str">
        <f t="shared" si="15"/>
      </c>
      <c r="N252" s="129" t="str">
        <f t="shared" si="15"/>
      </c>
      <c r="O252" s="129" t="str">
        <f t="shared" si="15"/>
      </c>
      <c r="P252" s="129" t="str">
        <f t="shared" si="15"/>
      </c>
      <c r="Q252" s="129" t="str">
        <f t="shared" si="15"/>
      </c>
      <c r="R252" s="129" t="str">
        <f t="shared" si="15"/>
      </c>
      <c r="S252" s="129" t="str">
        <f t="shared" si="15"/>
      </c>
      <c r="T252" s="129" t="str">
        <f t="shared" si="15"/>
      </c>
      <c r="U252" s="129" t="str">
        <f t="shared" si="15"/>
      </c>
      <c r="V252" s="129" t="str">
        <f t="shared" si="15"/>
      </c>
      <c r="W252" s="129" t="str">
        <f t="shared" si="15"/>
      </c>
      <c r="X252" s="129" t="str">
        <f t="shared" si="15"/>
      </c>
      <c r="Y252" s="129" t="str">
        <f t="shared" si="15"/>
      </c>
      <c r="Z252" s="129" t="str">
        <f t="shared" si="15"/>
      </c>
      <c r="AA252" s="129" t="str">
        <f t="shared" si="15"/>
      </c>
      <c r="AB252" s="130" t="str">
        <f>IF(SUM(AB233:AB251)&lt;&gt;0,SUM(AB233:AB251),"")</f>
      </c>
      <c r="AC252" s="91" t="str">
        <f ref="AC252:CN252" t="shared" si="16">IF(SUM(AC233:AC251)&lt;&gt;0,SUM(AC233:AC251),"")</f>
      </c>
      <c r="AD252" s="91" t="str">
        <f t="shared" si="16"/>
      </c>
      <c r="AE252" s="91" t="str">
        <f t="shared" si="16"/>
      </c>
      <c r="AF252" s="91" t="str">
        <f t="shared" si="16"/>
      </c>
      <c r="AG252" s="91" t="str">
        <f t="shared" si="16"/>
      </c>
      <c r="AH252" s="91" t="str">
        <f t="shared" si="16"/>
      </c>
      <c r="AI252" s="91" t="str">
        <f t="shared" si="16"/>
      </c>
      <c r="AJ252" s="91" t="str">
        <f t="shared" si="16"/>
      </c>
      <c r="AK252" s="91" t="str">
        <f t="shared" si="16"/>
      </c>
      <c r="AL252" s="91" t="str">
        <f t="shared" si="16"/>
      </c>
      <c r="AM252" s="91" t="str">
        <f t="shared" si="16"/>
      </c>
      <c r="AN252" s="91" t="str">
        <f t="shared" si="16"/>
      </c>
      <c r="AO252" s="91" t="str">
        <f t="shared" si="16"/>
      </c>
      <c r="AP252" s="91" t="str">
        <f t="shared" si="16"/>
      </c>
      <c r="AQ252" s="91" t="str">
        <f t="shared" si="16"/>
      </c>
      <c r="AR252" s="91" t="str">
        <f t="shared" si="16"/>
      </c>
      <c r="AS252" s="91" t="str">
        <f t="shared" si="16"/>
      </c>
      <c r="AT252" s="91" t="str">
        <f t="shared" si="16"/>
      </c>
      <c r="AU252" s="91" t="str">
        <f t="shared" si="16"/>
      </c>
      <c r="AV252" s="91" t="str">
        <f t="shared" si="16"/>
      </c>
      <c r="AW252" s="91" t="str">
        <f t="shared" si="16"/>
      </c>
      <c r="AX252" s="91" t="str">
        <f t="shared" si="16"/>
      </c>
      <c r="AY252" s="91" t="str">
        <f t="shared" si="16"/>
      </c>
      <c r="AZ252" s="91" t="str">
        <f t="shared" si="16"/>
      </c>
      <c r="BA252" s="91" t="str">
        <f t="shared" si="16"/>
      </c>
      <c r="BB252" s="91" t="str">
        <f t="shared" si="16"/>
      </c>
      <c r="BC252" s="91" t="str">
        <f t="shared" si="16"/>
      </c>
      <c r="BD252" s="91" t="str">
        <f t="shared" si="16"/>
      </c>
      <c r="BE252" s="91" t="str">
        <f t="shared" si="16"/>
      </c>
      <c r="BF252" s="91" t="str">
        <f t="shared" si="16"/>
      </c>
      <c r="BG252" s="91" t="str">
        <f t="shared" si="16"/>
      </c>
      <c r="BH252" s="91" t="str">
        <f t="shared" si="16"/>
      </c>
      <c r="BI252" s="91" t="str">
        <f t="shared" si="16"/>
      </c>
      <c r="BJ252" s="91" t="str">
        <f t="shared" si="16"/>
      </c>
      <c r="BK252" s="91" t="str">
        <f t="shared" si="16"/>
      </c>
      <c r="BL252" s="91" t="str">
        <f t="shared" si="16"/>
      </c>
      <c r="BM252" s="91" t="str">
        <f t="shared" si="16"/>
      </c>
      <c r="BN252" s="91" t="str">
        <f t="shared" si="16"/>
      </c>
      <c r="BO252" s="91" t="str">
        <f t="shared" si="16"/>
      </c>
      <c r="BP252" s="91" t="str">
        <f t="shared" si="16"/>
      </c>
      <c r="BQ252" s="91" t="str">
        <f t="shared" si="16"/>
      </c>
      <c r="BR252" s="91" t="str">
        <f t="shared" si="16"/>
      </c>
      <c r="BS252" s="91" t="str">
        <f t="shared" si="16"/>
      </c>
      <c r="BT252" s="91" t="str">
        <f t="shared" si="16"/>
      </c>
      <c r="BU252" s="91" t="str">
        <f t="shared" si="16"/>
      </c>
      <c r="BV252" s="91" t="str">
        <f t="shared" si="16"/>
      </c>
      <c r="BW252" s="91" t="str">
        <f t="shared" si="16"/>
      </c>
      <c r="BX252" s="91" t="str">
        <f t="shared" si="16"/>
      </c>
      <c r="BY252" s="91" t="str">
        <f t="shared" si="16"/>
      </c>
      <c r="BZ252" s="91" t="str">
        <f t="shared" si="16"/>
      </c>
      <c r="CA252" s="91" t="str">
        <f t="shared" si="16"/>
      </c>
      <c r="CB252" s="91" t="str">
        <f t="shared" si="16"/>
      </c>
      <c r="CC252" s="91" t="str">
        <f t="shared" si="16"/>
      </c>
      <c r="CD252" s="91" t="str">
        <f t="shared" si="16"/>
      </c>
      <c r="CE252" s="91" t="str">
        <f t="shared" si="16"/>
      </c>
      <c r="CF252" s="91" t="str">
        <f t="shared" si="16"/>
      </c>
      <c r="CG252" s="91" t="str">
        <f t="shared" si="16"/>
      </c>
      <c r="CH252" s="91" t="str">
        <f t="shared" si="16"/>
      </c>
      <c r="CI252" s="91" t="str">
        <f t="shared" si="16"/>
      </c>
      <c r="CJ252" s="91" t="str">
        <f t="shared" si="16"/>
      </c>
      <c r="CK252" s="91" t="str">
        <f t="shared" si="16"/>
      </c>
      <c r="CL252" s="91" t="str">
        <f t="shared" si="16"/>
      </c>
      <c r="CM252" s="91" t="str">
        <f t="shared" si="16"/>
      </c>
      <c r="CN252" s="91" t="str">
        <f t="shared" si="16"/>
      </c>
      <c r="CO252" s="91" t="str">
        <f ref="CO252:EZ252" t="shared" si="17">IF(SUM(CO233:CO251)&lt;&gt;0,SUM(CO233:CO251),"")</f>
      </c>
      <c r="CP252" s="91" t="str">
        <f t="shared" si="17"/>
      </c>
      <c r="CQ252" s="91" t="str">
        <f t="shared" si="17"/>
      </c>
      <c r="CR252" s="91" t="str">
        <f t="shared" si="17"/>
      </c>
      <c r="CS252" s="91" t="str">
        <f t="shared" si="17"/>
      </c>
      <c r="CT252" s="91" t="str">
        <f t="shared" si="17"/>
      </c>
      <c r="CU252" s="91" t="str">
        <f t="shared" si="17"/>
      </c>
      <c r="CV252" s="91" t="str">
        <f t="shared" si="17"/>
      </c>
      <c r="CW252" s="91" t="str">
        <f t="shared" si="17"/>
      </c>
      <c r="CX252" s="91" t="str">
        <f t="shared" si="17"/>
      </c>
      <c r="CY252" s="91" t="str">
        <f t="shared" si="17"/>
      </c>
      <c r="CZ252" s="91" t="str">
        <f t="shared" si="17"/>
      </c>
      <c r="DA252" s="91" t="str">
        <f t="shared" si="17"/>
      </c>
      <c r="DB252" s="91" t="str">
        <f t="shared" si="17"/>
      </c>
      <c r="DC252" s="91" t="str">
        <f t="shared" si="17"/>
      </c>
      <c r="DD252" s="91" t="str">
        <f t="shared" si="17"/>
      </c>
      <c r="DE252" s="91" t="str">
        <f t="shared" si="17"/>
      </c>
      <c r="DF252" s="91" t="str">
        <f t="shared" si="17"/>
      </c>
      <c r="DG252" s="91" t="str">
        <f t="shared" si="17"/>
      </c>
      <c r="DH252" s="91" t="str">
        <f t="shared" si="17"/>
      </c>
      <c r="DI252" s="91" t="str">
        <f t="shared" si="17"/>
      </c>
      <c r="DJ252" s="91" t="str">
        <f t="shared" si="17"/>
      </c>
      <c r="DK252" s="91" t="str">
        <f t="shared" si="17"/>
      </c>
      <c r="DL252" s="91" t="str">
        <f t="shared" si="17"/>
      </c>
      <c r="DM252" s="91" t="str">
        <f t="shared" si="17"/>
      </c>
      <c r="DN252" s="91" t="str">
        <f t="shared" si="17"/>
      </c>
      <c r="DO252" s="91" t="str">
        <f t="shared" si="17"/>
      </c>
      <c r="DP252" s="91" t="str">
        <f t="shared" si="17"/>
      </c>
      <c r="DQ252" s="91" t="str">
        <f t="shared" si="17"/>
      </c>
      <c r="DR252" s="91" t="str">
        <f t="shared" si="17"/>
      </c>
      <c r="DS252" s="91" t="str">
        <f t="shared" si="17"/>
      </c>
      <c r="DT252" s="91" t="str">
        <f t="shared" si="17"/>
      </c>
      <c r="DU252" s="91" t="str">
        <f t="shared" si="17"/>
      </c>
      <c r="DV252" s="91" t="str">
        <f t="shared" si="17"/>
      </c>
      <c r="DW252" s="91" t="str">
        <f t="shared" si="17"/>
      </c>
      <c r="DX252" s="91" t="str">
        <f t="shared" si="17"/>
      </c>
      <c r="DY252" s="91" t="str">
        <f t="shared" si="17"/>
      </c>
      <c r="DZ252" s="91" t="str">
        <f t="shared" si="17"/>
      </c>
      <c r="EA252" s="91" t="str">
        <f t="shared" si="17"/>
      </c>
      <c r="EB252" s="91" t="str">
        <f t="shared" si="17"/>
      </c>
      <c r="EC252" s="91" t="str">
        <f t="shared" si="17"/>
      </c>
      <c r="ED252" s="91" t="str">
        <f t="shared" si="17"/>
      </c>
      <c r="EE252" s="91" t="str">
        <f t="shared" si="17"/>
      </c>
      <c r="EF252" s="91" t="str">
        <f t="shared" si="17"/>
      </c>
      <c r="EG252" s="91" t="str">
        <f t="shared" si="17"/>
      </c>
      <c r="EH252" s="91" t="str">
        <f t="shared" si="17"/>
      </c>
      <c r="EI252" s="91" t="str">
        <f t="shared" si="17"/>
      </c>
      <c r="EJ252" s="91" t="str">
        <f t="shared" si="17"/>
      </c>
      <c r="EK252" s="91" t="str">
        <f t="shared" si="17"/>
      </c>
      <c r="EL252" s="91" t="str">
        <f t="shared" si="17"/>
      </c>
      <c r="EM252" s="91" t="str">
        <f t="shared" si="17"/>
      </c>
      <c r="EN252" s="91" t="str">
        <f t="shared" si="17"/>
      </c>
      <c r="EO252" s="91" t="str">
        <f t="shared" si="17"/>
      </c>
      <c r="EP252" s="91" t="str">
        <f t="shared" si="17"/>
      </c>
      <c r="EQ252" s="91" t="str">
        <f t="shared" si="17"/>
      </c>
      <c r="ER252" s="91" t="str">
        <f t="shared" si="17"/>
      </c>
      <c r="ES252" s="91" t="str">
        <f t="shared" si="17"/>
      </c>
      <c r="ET252" s="91" t="str">
        <f t="shared" si="17"/>
      </c>
      <c r="EU252" s="91" t="str">
        <f t="shared" si="17"/>
      </c>
      <c r="EV252" s="91" t="str">
        <f t="shared" si="17"/>
      </c>
      <c r="EW252" s="91" t="str">
        <f t="shared" si="17"/>
      </c>
      <c r="EX252" s="91" t="str">
        <f t="shared" si="17"/>
      </c>
      <c r="EY252" s="91" t="str">
        <f t="shared" si="17"/>
      </c>
      <c r="EZ252" s="91" t="str">
        <f t="shared" si="17"/>
      </c>
      <c r="FA252" s="91" t="str">
        <f ref="FA252:HL252" t="shared" si="18">IF(SUM(FA233:FA251)&lt;&gt;0,SUM(FA233:FA251),"")</f>
      </c>
      <c r="FB252" s="91" t="str">
        <f t="shared" si="18"/>
      </c>
      <c r="FC252" s="91" t="str">
        <f t="shared" si="18"/>
      </c>
      <c r="FD252" s="91" t="str">
        <f t="shared" si="18"/>
      </c>
      <c r="FE252" s="91" t="str">
        <f t="shared" si="18"/>
      </c>
      <c r="FF252" s="91" t="str">
        <f t="shared" si="18"/>
      </c>
      <c r="FG252" s="91" t="str">
        <f t="shared" si="18"/>
      </c>
      <c r="FH252" s="91" t="str">
        <f t="shared" si="18"/>
      </c>
      <c r="FI252" s="91" t="str">
        <f t="shared" si="18"/>
      </c>
      <c r="FJ252" s="91" t="str">
        <f t="shared" si="18"/>
      </c>
      <c r="FK252" s="91" t="str">
        <f t="shared" si="18"/>
      </c>
      <c r="FL252" s="91" t="str">
        <f t="shared" si="18"/>
      </c>
      <c r="FM252" s="91" t="str">
        <f t="shared" si="18"/>
      </c>
      <c r="FN252" s="91" t="str">
        <f t="shared" si="18"/>
      </c>
      <c r="FO252" s="91" t="str">
        <f t="shared" si="18"/>
      </c>
      <c r="FP252" s="91" t="str">
        <f t="shared" si="18"/>
      </c>
      <c r="FQ252" s="91" t="str">
        <f t="shared" si="18"/>
      </c>
      <c r="FR252" s="91" t="str">
        <f t="shared" si="18"/>
      </c>
      <c r="FS252" s="91" t="str">
        <f t="shared" si="18"/>
      </c>
      <c r="FT252" s="91" t="str">
        <f t="shared" si="18"/>
      </c>
      <c r="FU252" s="91" t="str">
        <f t="shared" si="18"/>
      </c>
      <c r="FV252" s="91" t="str">
        <f t="shared" si="18"/>
      </c>
      <c r="FW252" s="91" t="str">
        <f t="shared" si="18"/>
      </c>
      <c r="FX252" s="91" t="str">
        <f t="shared" si="18"/>
      </c>
      <c r="FY252" s="91" t="str">
        <f t="shared" si="18"/>
      </c>
      <c r="FZ252" s="91" t="str">
        <f t="shared" si="18"/>
      </c>
      <c r="GA252" s="91" t="str">
        <f t="shared" si="18"/>
      </c>
      <c r="GB252" s="91" t="str">
        <f t="shared" si="18"/>
      </c>
      <c r="GC252" s="91" t="str">
        <f t="shared" si="18"/>
      </c>
      <c r="GD252" s="91" t="str">
        <f t="shared" si="18"/>
      </c>
      <c r="GE252" s="91" t="str">
        <f t="shared" si="18"/>
      </c>
      <c r="GF252" s="91" t="str">
        <f t="shared" si="18"/>
      </c>
      <c r="GG252" s="91" t="str">
        <f t="shared" si="18"/>
      </c>
      <c r="GH252" s="91" t="str">
        <f t="shared" si="18"/>
      </c>
      <c r="GI252" s="91" t="str">
        <f t="shared" si="18"/>
      </c>
      <c r="GJ252" s="91" t="str">
        <f t="shared" si="18"/>
      </c>
      <c r="GK252" s="91" t="str">
        <f t="shared" si="18"/>
      </c>
      <c r="GL252" s="91" t="str">
        <f t="shared" si="18"/>
      </c>
      <c r="GM252" s="91" t="str">
        <f t="shared" si="18"/>
      </c>
      <c r="GN252" s="91" t="str">
        <f t="shared" si="18"/>
      </c>
      <c r="GO252" s="91" t="str">
        <f t="shared" si="18"/>
      </c>
      <c r="GP252" s="91" t="str">
        <f t="shared" si="18"/>
      </c>
      <c r="GQ252" s="91" t="str">
        <f t="shared" si="18"/>
      </c>
      <c r="GR252" s="91" t="str">
        <f t="shared" si="18"/>
      </c>
      <c r="GS252" s="91" t="str">
        <f t="shared" si="18"/>
      </c>
      <c r="GT252" s="91" t="str">
        <f t="shared" si="18"/>
      </c>
      <c r="GU252" s="91" t="str">
        <f t="shared" si="18"/>
      </c>
      <c r="GV252" s="91" t="str">
        <f t="shared" si="18"/>
      </c>
      <c r="GW252" s="91" t="str">
        <f t="shared" si="18"/>
      </c>
      <c r="GX252" s="91" t="str">
        <f t="shared" si="18"/>
      </c>
      <c r="GY252" s="91" t="str">
        <f t="shared" si="18"/>
      </c>
      <c r="GZ252" s="91" t="str">
        <f t="shared" si="18"/>
      </c>
      <c r="HA252" s="91" t="str">
        <f t="shared" si="18"/>
      </c>
      <c r="HB252" s="91" t="str">
        <f t="shared" si="18"/>
      </c>
      <c r="HC252" s="91" t="str">
        <f t="shared" si="18"/>
      </c>
      <c r="HD252" s="91" t="str">
        <f t="shared" si="18"/>
      </c>
      <c r="HE252" s="91" t="str">
        <f t="shared" si="18"/>
      </c>
      <c r="HF252" s="91" t="str">
        <f t="shared" si="18"/>
      </c>
      <c r="HG252" s="91" t="str">
        <f t="shared" si="18"/>
      </c>
      <c r="HH252" s="91" t="str">
        <f t="shared" si="18"/>
      </c>
      <c r="HI252" s="91" t="str">
        <f t="shared" si="18"/>
      </c>
      <c r="HJ252" s="91" t="str">
        <f t="shared" si="18"/>
      </c>
      <c r="HK252" s="91" t="str">
        <f t="shared" si="18"/>
      </c>
      <c r="HL252" s="91" t="str">
        <f t="shared" si="18"/>
      </c>
      <c r="HM252" s="91" t="str">
        <f ref="HM252:IV252" t="shared" si="19">IF(SUM(HM233:HM251)&lt;&gt;0,SUM(HM233:HM251),"")</f>
      </c>
      <c r="HN252" s="91" t="str">
        <f t="shared" si="19"/>
      </c>
      <c r="HO252" s="91" t="str">
        <f t="shared" si="19"/>
      </c>
      <c r="HP252" s="91" t="str">
        <f t="shared" si="19"/>
      </c>
      <c r="HQ252" s="91" t="str">
        <f t="shared" si="19"/>
      </c>
      <c r="HR252" s="91" t="str">
        <f t="shared" si="19"/>
      </c>
      <c r="HS252" s="91" t="str">
        <f t="shared" si="19"/>
      </c>
      <c r="HT252" s="91" t="str">
        <f t="shared" si="19"/>
      </c>
      <c r="HU252" s="91" t="str">
        <f t="shared" si="19"/>
      </c>
      <c r="HV252" s="91" t="str">
        <f t="shared" si="19"/>
      </c>
      <c r="HW252" s="91" t="str">
        <f t="shared" si="19"/>
      </c>
      <c r="HX252" s="91" t="str">
        <f t="shared" si="19"/>
      </c>
      <c r="HY252" s="91" t="str">
        <f t="shared" si="19"/>
      </c>
      <c r="HZ252" s="91" t="str">
        <f t="shared" si="19"/>
      </c>
      <c r="IA252" s="91" t="str">
        <f t="shared" si="19"/>
      </c>
      <c r="IB252" s="91" t="str">
        <f t="shared" si="19"/>
      </c>
      <c r="IC252" s="91" t="str">
        <f t="shared" si="19"/>
      </c>
      <c r="ID252" s="91" t="str">
        <f t="shared" si="19"/>
      </c>
      <c r="IE252" s="91" t="str">
        <f t="shared" si="19"/>
      </c>
      <c r="IF252" s="91" t="str">
        <f t="shared" si="19"/>
      </c>
      <c r="IG252" s="91" t="str">
        <f t="shared" si="19"/>
      </c>
      <c r="IH252" s="91" t="str">
        <f t="shared" si="19"/>
      </c>
      <c r="II252" s="91" t="str">
        <f t="shared" si="19"/>
      </c>
      <c r="IJ252" s="91" t="str">
        <f t="shared" si="19"/>
      </c>
      <c r="IK252" s="91" t="str">
        <f t="shared" si="19"/>
      </c>
      <c r="IL252" s="91" t="str">
        <f t="shared" si="19"/>
      </c>
      <c r="IM252" s="91" t="str">
        <f t="shared" si="19"/>
      </c>
      <c r="IN252" s="91" t="str">
        <f t="shared" si="19"/>
      </c>
      <c r="IO252" s="91" t="str">
        <f t="shared" si="19"/>
      </c>
      <c r="IP252" s="91" t="str">
        <f t="shared" si="19"/>
      </c>
      <c r="IQ252" s="91" t="str">
        <f t="shared" si="19"/>
      </c>
      <c r="IR252" s="91" t="str">
        <f t="shared" si="19"/>
      </c>
      <c r="IS252" s="91" t="str">
        <f t="shared" si="19"/>
      </c>
      <c r="IT252" s="91" t="str">
        <f t="shared" si="19"/>
      </c>
      <c r="IU252" s="91" t="str">
        <f t="shared" si="19"/>
      </c>
      <c r="IV252" s="91" t="str">
        <f t="shared" si="19"/>
      </c>
    </row>
    <row r="253" hidden="1" ht="15.95" customHeight="1">
      <c r="B253" s="274"/>
      <c r="C253" s="247"/>
      <c r="D253" s="247"/>
      <c r="E253" s="247"/>
      <c r="F253" s="247"/>
      <c r="G253" s="247"/>
      <c r="H253" s="247"/>
      <c r="I253" s="247"/>
      <c r="J253" s="247"/>
      <c r="K253" s="247"/>
      <c r="N253" s="275"/>
    </row>
    <row r="254" hidden="1" ht="15.95" customHeight="1">
      <c r="B254" s="274"/>
      <c r="C254" s="659" t="s">
        <v>207</v>
      </c>
      <c r="D254" s="660"/>
      <c r="E254" s="660"/>
      <c r="F254" s="660"/>
      <c r="G254" s="660"/>
      <c r="H254" s="660"/>
      <c r="I254" s="660"/>
      <c r="J254" s="660"/>
      <c r="K254" s="660"/>
      <c r="L254" s="660"/>
      <c r="M254" s="660"/>
      <c r="N254" s="660"/>
      <c r="O254" s="660"/>
      <c r="P254" s="660"/>
      <c r="Q254" s="660"/>
      <c r="R254" s="660"/>
      <c r="S254" s="660"/>
      <c r="T254" s="660"/>
      <c r="U254" s="660"/>
      <c r="V254" s="660"/>
      <c r="W254" s="660"/>
      <c r="X254" s="660"/>
      <c r="Y254" s="660"/>
      <c r="Z254" s="660"/>
      <c r="AA254" s="660"/>
      <c r="AB254" s="661"/>
    </row>
    <row r="255" hidden="1" ht="15.95" customHeight="1">
      <c r="C255" s="435" t="str">
        <f> IF(C275&lt;&gt;"",TEXT(AUX!G$1,"dd-MMM-aa"),"")</f>
      </c>
      <c r="D255" s="435" t="str">
        <f> IF(D275&lt;&gt;"",TEXT(AUX!H$1,"dd-MMM-aa"),"")</f>
      </c>
      <c r="E255" s="435" t="str">
        <f> IF(E275&lt;&gt;"",TEXT(AUX!I$1,"dd-MMM-aa"),"")</f>
      </c>
      <c r="F255" s="435" t="str">
        <f> IF(F275&lt;&gt;"",TEXT(AUX!J$1,"dd-MMM-aa"),"")</f>
      </c>
      <c r="G255" s="435" t="str">
        <f> IF(G275&lt;&gt;"",TEXT(AUX!K$1,"dd-MMM-aa"),"")</f>
      </c>
      <c r="H255" s="435" t="str">
        <f> IF(H275&lt;&gt;"",TEXT(AUX!L$1,"dd-MMM-aa"),"")</f>
      </c>
      <c r="I255" s="435" t="str">
        <f> IF(I275&lt;&gt;"",TEXT(AUX!M$1,"dd-MMM-aa"),"")</f>
      </c>
      <c r="J255" s="435" t="str">
        <f> IF(J275&lt;&gt;"",TEXT(AUX!N$1,"dd-MMM-aa"),"")</f>
      </c>
      <c r="K255" s="435" t="str">
        <f> IF(K275&lt;&gt;"",TEXT(AUX!O$1,"dd-MMM-aa"),"")</f>
      </c>
      <c r="L255" s="435" t="str">
        <f> IF(L275&lt;&gt;"",TEXT(AUX!P$1,"dd-MMM-aa"),"")</f>
      </c>
      <c r="M255" s="435" t="str">
        <f> IF(M275&lt;&gt;"",TEXT(AUX!Q$1,"dd-MMM-aa"),"")</f>
      </c>
      <c r="N255" s="435" t="str">
        <f> IF(N275&lt;&gt;"",TEXT(AUX!R$1,"dd-MMM-aa"),"")</f>
      </c>
      <c r="O255" s="435" t="str">
        <f> IF(O275&lt;&gt;"",TEXT(AUX!S$1,"dd-MMM-aa"),"")</f>
      </c>
      <c r="P255" s="435" t="str">
        <f> IF(P275&lt;&gt;"",TEXT(AUX!T$1,"dd-MMM-aa"),"")</f>
      </c>
      <c r="Q255" s="435" t="str">
        <f> IF(Q275&lt;&gt;"",TEXT(AUX!U$1,"dd-MMM-aa"),"")</f>
      </c>
      <c r="R255" s="435" t="str">
        <f> IF(R275&lt;&gt;"",TEXT(AUX!V$1,"dd-MMM-aa"),"")</f>
      </c>
      <c r="S255" s="435" t="str">
        <f> IF(S275&lt;&gt;"",TEXT(AUX!W$1,"dd-MMM-aa"),"")</f>
      </c>
      <c r="T255" s="435" t="str">
        <f> IF(T275&lt;&gt;"",TEXT(AUX!X$1,"dd-MMM-aa"),"")</f>
      </c>
      <c r="U255" s="435" t="str">
        <f> IF(U275&lt;&gt;"",TEXT(AUX!Y$1,"dd-MMM-aa"),"")</f>
      </c>
      <c r="V255" s="435" t="str">
        <f> IF(V275&lt;&gt;"",TEXT(AUX!Z$1,"dd-MMM-aa"),"")</f>
      </c>
      <c r="W255" s="435" t="str">
        <f> IF(W275&lt;&gt;"",TEXT(AUX!AA$1,"dd-MMM-aa"),"")</f>
      </c>
      <c r="X255" s="435" t="str">
        <f> IF(X275&lt;&gt;"",TEXT(AUX!AB$1,"dd-MMM-aa"),"")</f>
      </c>
      <c r="Y255" s="435" t="str">
        <f> IF(Y275&lt;&gt;"",TEXT(AUX!AC$1,"dd-MMM-aa"),"")</f>
      </c>
      <c r="Z255" s="435" t="str">
        <f> IF(Z275&lt;&gt;"",TEXT(AUX!AD$1,"dd-MMM-aa"),"")</f>
      </c>
      <c r="AA255" s="435" t="str">
        <f> IF(AA275&lt;&gt;"",TEXT(AUX!AE$1,"dd-MMM-aa"),"")</f>
      </c>
      <c r="AB255" s="497" t="str">
        <f> IF(AB275&lt;&gt;"",TEXT(AUX!AF$1,"dd-MMM-aa"),"")</f>
      </c>
      <c r="AC255" s="496" t="str">
        <f> IF(AC275&lt;&gt;"",TEXT(AUX!AG$1,"dd-MMM-aa"),"")</f>
      </c>
      <c r="AD255" s="496" t="str">
        <f> IF(AD275&lt;&gt;"",TEXT(AUX!AH$1,"dd-MMM-aa"),"")</f>
      </c>
      <c r="AE255" s="496" t="str">
        <f> IF(AE275&lt;&gt;"",TEXT(AUX!AI$1,"dd-MMM-aa"),"")</f>
      </c>
      <c r="AF255" s="496" t="str">
        <f> IF(AF275&lt;&gt;"",TEXT(AUX!AJ$1,"dd-MMM-aa"),"")</f>
      </c>
      <c r="AG255" s="496" t="str">
        <f> IF(AG275&lt;&gt;"",TEXT(AUX!AK$1,"dd-MMM-aa"),"")</f>
      </c>
      <c r="AH255" s="496" t="str">
        <f> IF(AH275&lt;&gt;"",TEXT(AUX!AL$1,"dd-MMM-aa"),"")</f>
      </c>
      <c r="AI255" s="496" t="str">
        <f> IF(AI275&lt;&gt;"",TEXT(AUX!AM$1,"dd-MMM-aa"),"")</f>
      </c>
      <c r="AJ255" s="496" t="str">
        <f> IF(AJ275&lt;&gt;"",TEXT(AUX!AN$1,"dd-MMM-aa"),"")</f>
      </c>
      <c r="AK255" s="496" t="str">
        <f> IF(AK275&lt;&gt;"",TEXT(AUX!AO$1,"dd-MMM-aa"),"")</f>
      </c>
      <c r="AL255" s="496" t="str">
        <f> IF(AL275&lt;&gt;"",TEXT(AUX!AP$1,"dd-MMM-aa"),"")</f>
      </c>
      <c r="AM255" s="496" t="str">
        <f> IF(AM275&lt;&gt;"",TEXT(AUX!AQ$1,"dd-MMM-aa"),"")</f>
      </c>
      <c r="AN255" s="496" t="str">
        <f> IF(AN275&lt;&gt;"",TEXT(AUX!AR$1,"dd-MMM-aa"),"")</f>
      </c>
      <c r="AO255" s="496" t="str">
        <f> IF(AO275&lt;&gt;"",TEXT(AUX!AS$1,"dd-MMM-aa"),"")</f>
      </c>
      <c r="AP255" s="496" t="str">
        <f> IF(AP275&lt;&gt;"",TEXT(AUX!AT$1,"dd-MMM-aa"),"")</f>
      </c>
      <c r="AQ255" s="496" t="str">
        <f> IF(AQ275&lt;&gt;"",TEXT(AUX!AU$1,"dd-MMM-aa"),"")</f>
      </c>
      <c r="AR255" s="496" t="str">
        <f> IF(AR275&lt;&gt;"",TEXT(AUX!AV$1,"dd-MMM-aa"),"")</f>
      </c>
      <c r="AS255" s="496" t="str">
        <f> IF(AS275&lt;&gt;"",TEXT(AUX!AW$1,"dd-MMM-aa"),"")</f>
      </c>
      <c r="AT255" s="496" t="str">
        <f> IF(AT275&lt;&gt;"",TEXT(AUX!AX$1,"dd-MMM-aa"),"")</f>
      </c>
      <c r="AU255" s="496" t="str">
        <f> IF(AU275&lt;&gt;"",TEXT(AUX!AY$1,"dd-MMM-aa"),"")</f>
      </c>
      <c r="AV255" s="496" t="str">
        <f> IF(AV275&lt;&gt;"",TEXT(AUX!AZ$1,"dd-MMM-aa"),"")</f>
      </c>
      <c r="AW255" s="496" t="str">
        <f> IF(AW275&lt;&gt;"",TEXT(AUX!BA$1,"dd-MMM-aa"),"")</f>
      </c>
      <c r="AX255" s="496" t="str">
        <f> IF(AX275&lt;&gt;"",TEXT(AUX!BB$1,"dd-MMM-aa"),"")</f>
      </c>
      <c r="AY255" s="496" t="str">
        <f> IF(AY275&lt;&gt;"",TEXT(AUX!BC$1,"dd-MMM-aa"),"")</f>
      </c>
      <c r="AZ255" s="496" t="str">
        <f> IF(AZ275&lt;&gt;"",TEXT(AUX!BD$1,"dd-MMM-aa"),"")</f>
      </c>
      <c r="BA255" s="496" t="str">
        <f> IF(BA275&lt;&gt;"",TEXT(AUX!BE$1,"dd-MMM-aa"),"")</f>
      </c>
      <c r="BB255" s="496" t="str">
        <f> IF(BB275&lt;&gt;"",TEXT(AUX!BF$1,"dd-MMM-aa"),"")</f>
      </c>
      <c r="BC255" s="496" t="str">
        <f> IF(BC275&lt;&gt;"",TEXT(AUX!BG$1,"dd-MMM-aa"),"")</f>
      </c>
      <c r="BD255" s="496" t="str">
        <f> IF(BD275&lt;&gt;"",TEXT(AUX!BH$1,"dd-MMM-aa"),"")</f>
      </c>
      <c r="BE255" s="496" t="str">
        <f> IF(BE275&lt;&gt;"",TEXT(AUX!BI$1,"dd-MMM-aa"),"")</f>
      </c>
      <c r="BF255" s="496" t="str">
        <f> IF(BF275&lt;&gt;"",TEXT(AUX!BJ$1,"dd-MMM-aa"),"")</f>
      </c>
      <c r="BG255" s="496" t="str">
        <f> IF(BG275&lt;&gt;"",TEXT(AUX!BK$1,"dd-MMM-aa"),"")</f>
      </c>
      <c r="BH255" s="496" t="str">
        <f> IF(BH275&lt;&gt;"",TEXT(AUX!BL$1,"dd-MMM-aa"),"")</f>
      </c>
      <c r="BI255" s="496" t="str">
        <f> IF(BI275&lt;&gt;"",TEXT(AUX!BM$1,"dd-MMM-aa"),"")</f>
      </c>
      <c r="BJ255" s="496" t="str">
        <f> IF(BJ275&lt;&gt;"",TEXT(AUX!BN$1,"dd-MMM-aa"),"")</f>
      </c>
      <c r="BK255" s="496" t="str">
        <f> IF(BK275&lt;&gt;"",TEXT(AUX!BO$1,"dd-MMM-aa"),"")</f>
      </c>
      <c r="BL255" s="496" t="str">
        <f> IF(BL275&lt;&gt;"",TEXT(AUX!BP$1,"dd-MMM-aa"),"")</f>
      </c>
      <c r="BM255" s="496" t="str">
        <f> IF(BM275&lt;&gt;"",TEXT(AUX!BQ$1,"dd-MMM-aa"),"")</f>
      </c>
      <c r="BN255" s="496" t="str">
        <f> IF(BN275&lt;&gt;"",TEXT(AUX!BR$1,"dd-MMM-aa"),"")</f>
      </c>
      <c r="BO255" s="496" t="str">
        <f> IF(BO275&lt;&gt;"",TEXT(AUX!BS$1,"dd-MMM-aa"),"")</f>
      </c>
      <c r="BP255" s="496" t="str">
        <f> IF(BP275&lt;&gt;"",TEXT(AUX!BT$1,"dd-MMM-aa"),"")</f>
      </c>
      <c r="BQ255" s="496" t="str">
        <f> IF(BQ275&lt;&gt;"",TEXT(AUX!BU$1,"dd-MMM-aa"),"")</f>
      </c>
      <c r="BR255" s="496" t="str">
        <f> IF(BR275&lt;&gt;"",TEXT(AUX!BV$1,"dd-MMM-aa"),"")</f>
      </c>
      <c r="BS255" s="496" t="str">
        <f> IF(BS275&lt;&gt;"",TEXT(AUX!BW$1,"dd-MMM-aa"),"")</f>
      </c>
      <c r="BT255" s="496" t="str">
        <f> IF(BT275&lt;&gt;"",TEXT(AUX!BX$1,"dd-MMM-aa"),"")</f>
      </c>
      <c r="BU255" s="496" t="str">
        <f> IF(BU275&lt;&gt;"",TEXT(AUX!BY$1,"dd-MMM-aa"),"")</f>
      </c>
      <c r="BV255" s="496" t="str">
        <f> IF(BV275&lt;&gt;"",TEXT(AUX!BZ$1,"dd-MMM-aa"),"")</f>
      </c>
      <c r="BW255" s="496" t="str">
        <f> IF(BW275&lt;&gt;"",TEXT(AUX!CA$1,"dd-MMM-aa"),"")</f>
      </c>
      <c r="BX255" s="496" t="str">
        <f> IF(BX275&lt;&gt;"",TEXT(AUX!CB$1,"dd-MMM-aa"),"")</f>
      </c>
      <c r="BY255" s="496" t="str">
        <f> IF(BY275&lt;&gt;"",TEXT(AUX!CC$1,"dd-MMM-aa"),"")</f>
      </c>
      <c r="BZ255" s="496" t="str">
        <f> IF(BZ275&lt;&gt;"",TEXT(AUX!CD$1,"dd-MMM-aa"),"")</f>
      </c>
      <c r="CA255" s="496" t="str">
        <f> IF(CA275&lt;&gt;"",TEXT(AUX!CE$1,"dd-MMM-aa"),"")</f>
      </c>
      <c r="CB255" s="496" t="str">
        <f> IF(CB275&lt;&gt;"",TEXT(AUX!CF$1,"dd-MMM-aa"),"")</f>
      </c>
      <c r="CC255" s="496" t="str">
        <f> IF(CC275&lt;&gt;"",TEXT(AUX!CG$1,"dd-MMM-aa"),"")</f>
      </c>
      <c r="CD255" s="496" t="str">
        <f> IF(CD275&lt;&gt;"",TEXT(AUX!CH$1,"dd-MMM-aa"),"")</f>
      </c>
      <c r="CE255" s="496" t="str">
        <f> IF(CE275&lt;&gt;"",TEXT(AUX!CI$1,"dd-MMM-aa"),"")</f>
      </c>
      <c r="CF255" s="496" t="str">
        <f> IF(CF275&lt;&gt;"",TEXT(AUX!CJ$1,"dd-MMM-aa"),"")</f>
      </c>
      <c r="CG255" s="496" t="str">
        <f> IF(CG275&lt;&gt;"",TEXT(AUX!CK$1,"dd-MMM-aa"),"")</f>
      </c>
      <c r="CH255" s="496" t="str">
        <f> IF(CH275&lt;&gt;"",TEXT(AUX!CL$1,"dd-MMM-aa"),"")</f>
      </c>
      <c r="CI255" s="496" t="str">
        <f> IF(CI275&lt;&gt;"",TEXT(AUX!CM$1,"dd-MMM-aa"),"")</f>
      </c>
      <c r="CJ255" s="496" t="str">
        <f> IF(CJ275&lt;&gt;"",TEXT(AUX!CN$1,"dd-MMM-aa"),"")</f>
      </c>
      <c r="CK255" s="496" t="str">
        <f> IF(CK275&lt;&gt;"",TEXT(AUX!CO$1,"dd-MMM-aa"),"")</f>
      </c>
      <c r="CL255" s="496" t="str">
        <f> IF(CL275&lt;&gt;"",TEXT(AUX!CP$1,"dd-MMM-aa"),"")</f>
      </c>
      <c r="CM255" s="496" t="str">
        <f> IF(CM275&lt;&gt;"",TEXT(AUX!CQ$1,"dd-MMM-aa"),"")</f>
      </c>
      <c r="CN255" s="496" t="str">
        <f> IF(CN275&lt;&gt;"",TEXT(AUX!CR$1,"dd-MMM-aa"),"")</f>
      </c>
      <c r="CO255" s="496" t="str">
        <f> IF(CO275&lt;&gt;"",TEXT(AUX!CS$1,"dd-MMM-aa"),"")</f>
      </c>
      <c r="CP255" s="496" t="str">
        <f> IF(CP275&lt;&gt;"",TEXT(AUX!CT$1,"dd-MMM-aa"),"")</f>
      </c>
      <c r="CQ255" s="496" t="str">
        <f> IF(CQ275&lt;&gt;"",TEXT(AUX!CU$1,"dd-MMM-aa"),"")</f>
      </c>
      <c r="CR255" s="496" t="str">
        <f> IF(CR275&lt;&gt;"",TEXT(AUX!CV$1,"dd-MMM-aa"),"")</f>
      </c>
      <c r="CS255" s="496" t="str">
        <f> IF(CS275&lt;&gt;"",TEXT(AUX!CW$1,"dd-MMM-aa"),"")</f>
      </c>
      <c r="CT255" s="496" t="str">
        <f> IF(CT275&lt;&gt;"",TEXT(AUX!CX$1,"dd-MMM-aa"),"")</f>
      </c>
      <c r="CU255" s="496" t="str">
        <f> IF(CU275&lt;&gt;"",TEXT(AUX!CY$1,"dd-MMM-aa"),"")</f>
      </c>
      <c r="CV255" s="496" t="str">
        <f> IF(CV275&lt;&gt;"",TEXT(AUX!CZ$1,"dd-MMM-aa"),"")</f>
      </c>
      <c r="CW255" s="496" t="str">
        <f> IF(CW275&lt;&gt;"",TEXT(AUX!DA$1,"dd-MMM-aa"),"")</f>
      </c>
      <c r="CX255" s="496" t="str">
        <f> IF(CX275&lt;&gt;"",TEXT(AUX!DB$1,"dd-MMM-aa"),"")</f>
      </c>
      <c r="CY255" s="496" t="str">
        <f> IF(CY275&lt;&gt;"",TEXT(AUX!DC$1,"dd-MMM-aa"),"")</f>
      </c>
      <c r="CZ255" s="496" t="str">
        <f> IF(CZ275&lt;&gt;"",TEXT(AUX!DD$1,"dd-MMM-aa"),"")</f>
      </c>
      <c r="DA255" s="496" t="str">
        <f> IF(DA275&lt;&gt;"",TEXT(AUX!DE$1,"dd-MMM-aa"),"")</f>
      </c>
      <c r="DB255" s="496" t="str">
        <f> IF(DB275&lt;&gt;"",TEXT(AUX!DF$1,"dd-MMM-aa"),"")</f>
      </c>
      <c r="DC255" s="496" t="str">
        <f> IF(DC275&lt;&gt;"",TEXT(AUX!DG$1,"dd-MMM-aa"),"")</f>
      </c>
      <c r="DD255" s="496" t="str">
        <f> IF(DD275&lt;&gt;"",TEXT(AUX!DH$1,"dd-MMM-aa"),"")</f>
      </c>
      <c r="DE255" s="496" t="str">
        <f> IF(DE275&lt;&gt;"",TEXT(AUX!DI$1,"dd-MMM-aa"),"")</f>
      </c>
      <c r="DF255" s="496" t="str">
        <f> IF(DF275&lt;&gt;"",TEXT(AUX!DJ$1,"dd-MMM-aa"),"")</f>
      </c>
      <c r="DG255" s="496" t="str">
        <f> IF(DG275&lt;&gt;"",TEXT(AUX!DK$1,"dd-MMM-aa"),"")</f>
      </c>
      <c r="DH255" s="496" t="str">
        <f> IF(DH275&lt;&gt;"",TEXT(AUX!DL$1,"dd-MMM-aa"),"")</f>
      </c>
      <c r="DI255" s="496" t="str">
        <f> IF(DI275&lt;&gt;"",TEXT(AUX!DM$1,"dd-MMM-aa"),"")</f>
      </c>
      <c r="DJ255" s="496" t="str">
        <f> IF(DJ275&lt;&gt;"",TEXT(AUX!DN$1,"dd-MMM-aa"),"")</f>
      </c>
      <c r="DK255" s="496" t="str">
        <f> IF(DK275&lt;&gt;"",TEXT(AUX!DO$1,"dd-MMM-aa"),"")</f>
      </c>
      <c r="DL255" s="496" t="str">
        <f> IF(DL275&lt;&gt;"",TEXT(AUX!DP$1,"dd-MMM-aa"),"")</f>
      </c>
      <c r="DM255" s="496" t="str">
        <f> IF(DM275&lt;&gt;"",TEXT(AUX!DQ$1,"dd-MMM-aa"),"")</f>
      </c>
      <c r="DN255" s="496" t="str">
        <f> IF(DN275&lt;&gt;"",TEXT(AUX!DR$1,"dd-MMM-aa"),"")</f>
      </c>
      <c r="DO255" s="496" t="str">
        <f> IF(DO275&lt;&gt;"",TEXT(AUX!DS$1,"dd-MMM-aa"),"")</f>
      </c>
      <c r="DP255" s="496" t="str">
        <f> IF(DP275&lt;&gt;"",TEXT(AUX!DT$1,"dd-MMM-aa"),"")</f>
      </c>
      <c r="DQ255" s="496" t="str">
        <f> IF(DQ275&lt;&gt;"",TEXT(AUX!DU$1,"dd-MMM-aa"),"")</f>
      </c>
      <c r="DR255" s="496" t="str">
        <f> IF(DR275&lt;&gt;"",TEXT(AUX!DV$1,"dd-MMM-aa"),"")</f>
      </c>
      <c r="DS255" s="496" t="str">
        <f> IF(DS275&lt;&gt;"",TEXT(AUX!DW$1,"dd-MMM-aa"),"")</f>
      </c>
      <c r="DT255" s="496" t="str">
        <f> IF(DT275&lt;&gt;"",TEXT(AUX!DX$1,"dd-MMM-aa"),"")</f>
      </c>
      <c r="DU255" s="496" t="str">
        <f> IF(DU275&lt;&gt;"",TEXT(AUX!DY$1,"dd-MMM-aa"),"")</f>
      </c>
      <c r="DV255" s="496" t="str">
        <f> IF(DV275&lt;&gt;"",TEXT(AUX!DZ$1,"dd-MMM-aa"),"")</f>
      </c>
      <c r="DW255" s="496" t="str">
        <f> IF(DW275&lt;&gt;"",TEXT(AUX!EA$1,"dd-MMM-aa"),"")</f>
      </c>
      <c r="DX255" s="496" t="str">
        <f> IF(DX275&lt;&gt;"",TEXT(AUX!EB$1,"dd-MMM-aa"),"")</f>
      </c>
      <c r="DY255" s="496" t="str">
        <f> IF(DY275&lt;&gt;"",TEXT(AUX!EC$1,"dd-MMM-aa"),"")</f>
      </c>
      <c r="DZ255" s="496" t="str">
        <f> IF(DZ275&lt;&gt;"",TEXT(AUX!ED$1,"dd-MMM-aa"),"")</f>
      </c>
      <c r="EA255" s="496" t="str">
        <f> IF(EA275&lt;&gt;"",TEXT(AUX!EE$1,"dd-MMM-aa"),"")</f>
      </c>
      <c r="EB255" s="496" t="str">
        <f> IF(EB275&lt;&gt;"",TEXT(AUX!EF$1,"dd-MMM-aa"),"")</f>
      </c>
      <c r="EC255" s="496" t="str">
        <f> IF(EC275&lt;&gt;"",TEXT(AUX!EG$1,"dd-MMM-aa"),"")</f>
      </c>
      <c r="ED255" s="496" t="str">
        <f> IF(ED275&lt;&gt;"",TEXT(AUX!EH$1,"dd-MMM-aa"),"")</f>
      </c>
      <c r="EE255" s="496" t="str">
        <f> IF(EE275&lt;&gt;"",TEXT(AUX!EI$1,"dd-MMM-aa"),"")</f>
      </c>
      <c r="EF255" s="496" t="str">
        <f> IF(EF275&lt;&gt;"",TEXT(AUX!EJ$1,"dd-MMM-aa"),"")</f>
      </c>
      <c r="EG255" s="496" t="str">
        <f> IF(EG275&lt;&gt;"",TEXT(AUX!EK$1,"dd-MMM-aa"),"")</f>
      </c>
      <c r="EH255" s="496" t="str">
        <f> IF(EH275&lt;&gt;"",TEXT(AUX!EL$1,"dd-MMM-aa"),"")</f>
      </c>
      <c r="EI255" s="496" t="str">
        <f> IF(EI275&lt;&gt;"",TEXT(AUX!EM$1,"dd-MMM-aa"),"")</f>
      </c>
      <c r="EJ255" s="496" t="str">
        <f> IF(EJ275&lt;&gt;"",TEXT(AUX!EN$1,"dd-MMM-aa"),"")</f>
      </c>
      <c r="EK255" s="496" t="str">
        <f> IF(EK275&lt;&gt;"",TEXT(AUX!EO$1,"dd-MMM-aa"),"")</f>
      </c>
      <c r="EL255" s="496" t="str">
        <f> IF(EL275&lt;&gt;"",TEXT(AUX!EP$1,"dd-MMM-aa"),"")</f>
      </c>
      <c r="EM255" s="496" t="str">
        <f> IF(EM275&lt;&gt;"",TEXT(AUX!EQ$1,"dd-MMM-aa"),"")</f>
      </c>
      <c r="EN255" s="496" t="str">
        <f> IF(EN275&lt;&gt;"",TEXT(AUX!ER$1,"dd-MMM-aa"),"")</f>
      </c>
      <c r="EO255" s="496" t="str">
        <f> IF(EO275&lt;&gt;"",TEXT(AUX!ES$1,"dd-MMM-aa"),"")</f>
      </c>
      <c r="EP255" s="496" t="str">
        <f> IF(EP275&lt;&gt;"",TEXT(AUX!ET$1,"dd-MMM-aa"),"")</f>
      </c>
      <c r="EQ255" s="496" t="str">
        <f> IF(EQ275&lt;&gt;"",TEXT(AUX!EU$1,"dd-MMM-aa"),"")</f>
      </c>
      <c r="ER255" s="496" t="str">
        <f> IF(ER275&lt;&gt;"",TEXT(AUX!EV$1,"dd-MMM-aa"),"")</f>
      </c>
      <c r="ES255" s="496" t="str">
        <f> IF(ES275&lt;&gt;"",TEXT(AUX!EW$1,"dd-MMM-aa"),"")</f>
      </c>
      <c r="ET255" s="496" t="str">
        <f> IF(ET275&lt;&gt;"",TEXT(AUX!EX$1,"dd-MMM-aa"),"")</f>
      </c>
      <c r="EU255" s="496" t="str">
        <f> IF(EU275&lt;&gt;"",TEXT(AUX!EY$1,"dd-MMM-aa"),"")</f>
      </c>
      <c r="EV255" s="496" t="str">
        <f> IF(EV275&lt;&gt;"",TEXT(AUX!EZ$1,"dd-MMM-aa"),"")</f>
      </c>
      <c r="EW255" s="496" t="str">
        <f> IF(EW275&lt;&gt;"",TEXT(AUX!FA$1,"dd-MMM-aa"),"")</f>
      </c>
      <c r="EX255" s="496" t="str">
        <f> IF(EX275&lt;&gt;"",TEXT(AUX!FB$1,"dd-MMM-aa"),"")</f>
      </c>
      <c r="EY255" s="496" t="str">
        <f> IF(EY275&lt;&gt;"",TEXT(AUX!FC$1,"dd-MMM-aa"),"")</f>
      </c>
      <c r="EZ255" s="496" t="str">
        <f> IF(EZ275&lt;&gt;"",TEXT(AUX!FD$1,"dd-MMM-aa"),"")</f>
      </c>
      <c r="FA255" s="496" t="str">
        <f> IF(FA275&lt;&gt;"",TEXT(AUX!FE$1,"dd-MMM-aa"),"")</f>
      </c>
      <c r="FB255" s="496" t="str">
        <f> IF(FB275&lt;&gt;"",TEXT(AUX!FF$1,"dd-MMM-aa"),"")</f>
      </c>
      <c r="FC255" s="496" t="str">
        <f> IF(FC275&lt;&gt;"",TEXT(AUX!FG$1,"dd-MMM-aa"),"")</f>
      </c>
      <c r="FD255" s="496" t="str">
        <f> IF(FD275&lt;&gt;"",TEXT(AUX!FH$1,"dd-MMM-aa"),"")</f>
      </c>
      <c r="FE255" s="496" t="str">
        <f> IF(FE275&lt;&gt;"",TEXT(AUX!FI$1,"dd-MMM-aa"),"")</f>
      </c>
      <c r="FF255" s="496" t="str">
        <f> IF(FF275&lt;&gt;"",TEXT(AUX!FJ$1,"dd-MMM-aa"),"")</f>
      </c>
      <c r="FG255" s="496" t="str">
        <f> IF(FG275&lt;&gt;"",TEXT(AUX!FK$1,"dd-MMM-aa"),"")</f>
      </c>
      <c r="FH255" s="496" t="str">
        <f> IF(FH275&lt;&gt;"",TEXT(AUX!FL$1,"dd-MMM-aa"),"")</f>
      </c>
      <c r="FI255" s="496" t="str">
        <f> IF(FI275&lt;&gt;"",TEXT(AUX!FM$1,"dd-MMM-aa"),"")</f>
      </c>
      <c r="FJ255" s="496" t="str">
        <f> IF(FJ275&lt;&gt;"",TEXT(AUX!FN$1,"dd-MMM-aa"),"")</f>
      </c>
      <c r="FK255" s="496" t="str">
        <f> IF(FK275&lt;&gt;"",TEXT(AUX!FO$1,"dd-MMM-aa"),"")</f>
      </c>
      <c r="FL255" s="496" t="str">
        <f> IF(FL275&lt;&gt;"",TEXT(AUX!FP$1,"dd-MMM-aa"),"")</f>
      </c>
      <c r="FM255" s="496" t="str">
        <f> IF(FM275&lt;&gt;"",TEXT(AUX!FQ$1,"dd-MMM-aa"),"")</f>
      </c>
      <c r="FN255" s="496" t="str">
        <f> IF(FN275&lt;&gt;"",TEXT(AUX!FR$1,"dd-MMM-aa"),"")</f>
      </c>
      <c r="FO255" s="496" t="str">
        <f> IF(FO275&lt;&gt;"",TEXT(AUX!FS$1,"dd-MMM-aa"),"")</f>
      </c>
      <c r="FP255" s="496" t="str">
        <f> IF(FP275&lt;&gt;"",TEXT(AUX!FT$1,"dd-MMM-aa"),"")</f>
      </c>
      <c r="FQ255" s="496" t="str">
        <f> IF(FQ275&lt;&gt;"",TEXT(AUX!FU$1,"dd-MMM-aa"),"")</f>
      </c>
      <c r="FR255" s="496" t="str">
        <f> IF(FR275&lt;&gt;"",TEXT(AUX!FV$1,"dd-MMM-aa"),"")</f>
      </c>
      <c r="FS255" s="496" t="str">
        <f> IF(FS275&lt;&gt;"",TEXT(AUX!FW$1,"dd-MMM-aa"),"")</f>
      </c>
      <c r="FT255" s="496" t="str">
        <f> IF(FT275&lt;&gt;"",TEXT(AUX!FX$1,"dd-MMM-aa"),"")</f>
      </c>
      <c r="FU255" s="496" t="str">
        <f> IF(FU275&lt;&gt;"",TEXT(AUX!FY$1,"dd-MMM-aa"),"")</f>
      </c>
      <c r="FV255" s="496" t="str">
        <f> IF(FV275&lt;&gt;"",TEXT(AUX!FZ$1,"dd-MMM-aa"),"")</f>
      </c>
      <c r="FW255" s="496" t="str">
        <f> IF(FW275&lt;&gt;"",TEXT(AUX!GA$1,"dd-MMM-aa"),"")</f>
      </c>
      <c r="FX255" s="496" t="str">
        <f> IF(FX275&lt;&gt;"",TEXT(AUX!GB$1,"dd-MMM-aa"),"")</f>
      </c>
      <c r="FY255" s="496" t="str">
        <f> IF(FY275&lt;&gt;"",TEXT(AUX!GC$1,"dd-MMM-aa"),"")</f>
      </c>
      <c r="FZ255" s="496" t="str">
        <f> IF(FZ275&lt;&gt;"",TEXT(AUX!GD$1,"dd-MMM-aa"),"")</f>
      </c>
      <c r="GA255" s="496" t="str">
        <f> IF(GA275&lt;&gt;"",TEXT(AUX!GE$1,"dd-MMM-aa"),"")</f>
      </c>
      <c r="GB255" s="496" t="str">
        <f> IF(GB275&lt;&gt;"",TEXT(AUX!GF$1,"dd-MMM-aa"),"")</f>
      </c>
      <c r="GC255" s="496" t="str">
        <f> IF(GC275&lt;&gt;"",TEXT(AUX!GG$1,"dd-MMM-aa"),"")</f>
      </c>
      <c r="GD255" s="496" t="str">
        <f> IF(GD275&lt;&gt;"",TEXT(AUX!GH$1,"dd-MMM-aa"),"")</f>
      </c>
      <c r="GE255" s="496" t="str">
        <f> IF(GE275&lt;&gt;"",TEXT(AUX!GI$1,"dd-MMM-aa"),"")</f>
      </c>
      <c r="GF255" s="496" t="str">
        <f> IF(GF275&lt;&gt;"",TEXT(AUX!GJ$1,"dd-MMM-aa"),"")</f>
      </c>
      <c r="GG255" s="496" t="str">
        <f> IF(GG275&lt;&gt;"",TEXT(AUX!GK$1,"dd-MMM-aa"),"")</f>
      </c>
      <c r="GH255" s="496" t="str">
        <f> IF(GH275&lt;&gt;"",TEXT(AUX!GL$1,"dd-MMM-aa"),"")</f>
      </c>
      <c r="GI255" s="496" t="str">
        <f> IF(GI275&lt;&gt;"",TEXT(AUX!GM$1,"dd-MMM-aa"),"")</f>
      </c>
      <c r="GJ255" s="496" t="str">
        <f> IF(GJ275&lt;&gt;"",TEXT(AUX!GN$1,"dd-MMM-aa"),"")</f>
      </c>
      <c r="GK255" s="496" t="str">
        <f> IF(GK275&lt;&gt;"",TEXT(AUX!GO$1,"dd-MMM-aa"),"")</f>
      </c>
      <c r="GL255" s="496" t="str">
        <f> IF(GL275&lt;&gt;"",TEXT(AUX!GP$1,"dd-MMM-aa"),"")</f>
      </c>
      <c r="GM255" s="496" t="str">
        <f> IF(GM275&lt;&gt;"",TEXT(AUX!GQ$1,"dd-MMM-aa"),"")</f>
      </c>
      <c r="GN255" s="496" t="str">
        <f> IF(GN275&lt;&gt;"",TEXT(AUX!GR$1,"dd-MMM-aa"),"")</f>
      </c>
      <c r="GO255" s="496" t="str">
        <f> IF(GO275&lt;&gt;"",TEXT(AUX!GS$1,"dd-MMM-aa"),"")</f>
      </c>
      <c r="GP255" s="496" t="str">
        <f> IF(GP275&lt;&gt;"",TEXT(AUX!GT$1,"dd-MMM-aa"),"")</f>
      </c>
      <c r="GQ255" s="496" t="str">
        <f> IF(GQ275&lt;&gt;"",TEXT(AUX!GU$1,"dd-MMM-aa"),"")</f>
      </c>
      <c r="GR255" s="496" t="str">
        <f> IF(GR275&lt;&gt;"",TEXT(AUX!GV$1,"dd-MMM-aa"),"")</f>
      </c>
      <c r="GS255" s="496" t="str">
        <f> IF(GS275&lt;&gt;"",TEXT(AUX!GW$1,"dd-MMM-aa"),"")</f>
      </c>
      <c r="GT255" s="496" t="str">
        <f> IF(GT275&lt;&gt;"",TEXT(AUX!GX$1,"dd-MMM-aa"),"")</f>
      </c>
      <c r="GU255" s="496" t="str">
        <f> IF(GU275&lt;&gt;"",TEXT(AUX!GY$1,"dd-MMM-aa"),"")</f>
      </c>
      <c r="GV255" s="496" t="str">
        <f> IF(GV275&lt;&gt;"",TEXT(AUX!GZ$1,"dd-MMM-aa"),"")</f>
      </c>
      <c r="GW255" s="496" t="str">
        <f> IF(GW275&lt;&gt;"",TEXT(AUX!HA$1,"dd-MMM-aa"),"")</f>
      </c>
      <c r="GX255" s="496" t="str">
        <f> IF(GX275&lt;&gt;"",TEXT(AUX!HB$1,"dd-MMM-aa"),"")</f>
      </c>
      <c r="GY255" s="496" t="str">
        <f> IF(GY275&lt;&gt;"",TEXT(AUX!HC$1,"dd-MMM-aa"),"")</f>
      </c>
      <c r="GZ255" s="496" t="str">
        <f> IF(GZ275&lt;&gt;"",TEXT(AUX!HD$1,"dd-MMM-aa"),"")</f>
      </c>
      <c r="HA255" s="496" t="str">
        <f> IF(HA275&lt;&gt;"",TEXT(AUX!HE$1,"dd-MMM-aa"),"")</f>
      </c>
      <c r="HB255" s="496" t="str">
        <f> IF(HB275&lt;&gt;"",TEXT(AUX!HF$1,"dd-MMM-aa"),"")</f>
      </c>
      <c r="HC255" s="496" t="str">
        <f> IF(HC275&lt;&gt;"",TEXT(AUX!HG$1,"dd-MMM-aa"),"")</f>
      </c>
      <c r="HD255" s="496" t="str">
        <f> IF(HD275&lt;&gt;"",TEXT(AUX!HH$1,"dd-MMM-aa"),"")</f>
      </c>
      <c r="HE255" s="496" t="str">
        <f> IF(HE275&lt;&gt;"",TEXT(AUX!HI$1,"dd-MMM-aa"),"")</f>
      </c>
      <c r="HF255" s="496" t="str">
        <f> IF(HF275&lt;&gt;"",TEXT(AUX!HJ$1,"dd-MMM-aa"),"")</f>
      </c>
      <c r="HG255" s="496" t="str">
        <f> IF(HG275&lt;&gt;"",TEXT(AUX!HK$1,"dd-MMM-aa"),"")</f>
      </c>
      <c r="HH255" s="496" t="str">
        <f> IF(HH275&lt;&gt;"",TEXT(AUX!HL$1,"dd-MMM-aa"),"")</f>
      </c>
      <c r="HI255" s="496" t="str">
        <f> IF(HI275&lt;&gt;"",TEXT(AUX!HM$1,"dd-MMM-aa"),"")</f>
      </c>
      <c r="HJ255" s="496" t="str">
        <f> IF(HJ275&lt;&gt;"",TEXT(AUX!HN$1,"dd-MMM-aa"),"")</f>
      </c>
      <c r="HK255" s="496" t="str">
        <f> IF(HK275&lt;&gt;"",TEXT(AUX!HO$1,"dd-MMM-aa"),"")</f>
      </c>
      <c r="HL255" s="496" t="str">
        <f> IF(HL275&lt;&gt;"",TEXT(AUX!HP$1,"dd-MMM-aa"),"")</f>
      </c>
      <c r="HM255" s="496" t="str">
        <f> IF(HM275&lt;&gt;"",TEXT(AUX!HQ$1,"dd-MMM-aa"),"")</f>
      </c>
      <c r="HN255" s="496" t="str">
        <f> IF(HN275&lt;&gt;"",TEXT(AUX!HR$1,"dd-MMM-aa"),"")</f>
      </c>
      <c r="HO255" s="496" t="str">
        <f> IF(HO275&lt;&gt;"",TEXT(AUX!HS$1,"dd-MMM-aa"),"")</f>
      </c>
      <c r="HP255" s="496" t="str">
        <f> IF(HP275&lt;&gt;"",TEXT(AUX!HT$1,"dd-MMM-aa"),"")</f>
      </c>
      <c r="HQ255" s="496" t="str">
        <f> IF(HQ275&lt;&gt;"",TEXT(AUX!HU$1,"dd-MMM-aa"),"")</f>
      </c>
      <c r="HR255" s="496" t="str">
        <f> IF(HR275&lt;&gt;"",TEXT(AUX!HV$1,"dd-MMM-aa"),"")</f>
      </c>
      <c r="HS255" s="496" t="str">
        <f> IF(HS275&lt;&gt;"",TEXT(AUX!HW$1,"dd-MMM-aa"),"")</f>
      </c>
      <c r="HT255" s="496" t="str">
        <f> IF(HT275&lt;&gt;"",TEXT(AUX!HX$1,"dd-MMM-aa"),"")</f>
      </c>
      <c r="HU255" s="496" t="str">
        <f> IF(HU275&lt;&gt;"",TEXT(AUX!HY$1,"dd-MMM-aa"),"")</f>
      </c>
      <c r="HV255" s="496" t="str">
        <f> IF(HV275&lt;&gt;"",TEXT(AUX!HZ$1,"dd-MMM-aa"),"")</f>
      </c>
      <c r="HW255" s="496" t="str">
        <f> IF(HW275&lt;&gt;"",TEXT(AUX!IA$1,"dd-MMM-aa"),"")</f>
      </c>
      <c r="HX255" s="496" t="str">
        <f> IF(HX275&lt;&gt;"",TEXT(AUX!IB$1,"dd-MMM-aa"),"")</f>
      </c>
      <c r="HY255" s="496" t="str">
        <f> IF(HY275&lt;&gt;"",TEXT(AUX!IC$1,"dd-MMM-aa"),"")</f>
      </c>
      <c r="HZ255" s="496" t="str">
        <f> IF(HZ275&lt;&gt;"",TEXT(AUX!ID$1,"dd-MMM-aa"),"")</f>
      </c>
      <c r="IA255" s="496" t="str">
        <f> IF(IA275&lt;&gt;"",TEXT(AUX!IE$1,"dd-MMM-aa"),"")</f>
      </c>
      <c r="IB255" s="496" t="str">
        <f> IF(IB275&lt;&gt;"",TEXT(AUX!IF$1,"dd-MMM-aa"),"")</f>
      </c>
      <c r="IC255" s="496" t="str">
        <f> IF(IC275&lt;&gt;"",TEXT(AUX!IG$1,"dd-MMM-aa"),"")</f>
      </c>
      <c r="ID255" s="496" t="str">
        <f> IF(ID275&lt;&gt;"",TEXT(AUX!IH$1,"dd-MMM-aa"),"")</f>
      </c>
      <c r="IE255" s="496" t="str">
        <f> IF(IE275&lt;&gt;"",TEXT(AUX!II$1,"dd-MMM-aa"),"")</f>
      </c>
      <c r="IF255" s="496" t="str">
        <f> IF(IF275&lt;&gt;"",TEXT(AUX!IJ$1,"dd-MMM-aa"),"")</f>
      </c>
      <c r="IG255" s="496" t="str">
        <f> IF(IG275&lt;&gt;"",TEXT(AUX!IK$1,"dd-MMM-aa"),"")</f>
      </c>
      <c r="IH255" s="496" t="str">
        <f> IF(IH275&lt;&gt;"",TEXT(AUX!IL$1,"dd-MMM-aa"),"")</f>
      </c>
      <c r="II255" s="496" t="str">
        <f> IF(II275&lt;&gt;"",TEXT(AUX!IM$1,"dd-MMM-aa"),"")</f>
      </c>
      <c r="IJ255" s="496" t="str">
        <f> IF(IJ275&lt;&gt;"",TEXT(AUX!IN$1,"dd-MMM-aa"),"")</f>
      </c>
      <c r="IK255" s="496" t="str">
        <f> IF(IK275&lt;&gt;"",TEXT(AUX!IO$1,"dd-MMM-aa"),"")</f>
      </c>
      <c r="IL255" s="496" t="str">
        <f> IF(IL275&lt;&gt;"",TEXT(AUX!IP$1,"dd-MMM-aa"),"")</f>
      </c>
      <c r="IM255" s="496" t="str">
        <f> IF(IM275&lt;&gt;"",TEXT(AUX!IQ$1,"dd-MMM-aa"),"")</f>
      </c>
      <c r="IN255" s="496" t="str">
        <f> IF(IN275&lt;&gt;"",TEXT(AUX!IR$1,"dd-MMM-aa"),"")</f>
      </c>
      <c r="IO255" s="496" t="str">
        <f> IF(IO275&lt;&gt;"",TEXT(AUX!IS$1,"dd-MMM-aa"),"")</f>
      </c>
      <c r="IP255" s="496" t="str">
        <f> IF(IP275&lt;&gt;"",TEXT(AUX!IT$1,"dd-MMM-aa"),"")</f>
      </c>
      <c r="IQ255" s="496" t="str">
        <f> IF(IQ275&lt;&gt;"",TEXT(AUX!IU$1,"dd-MMM-aa"),"")</f>
      </c>
      <c r="IR255" s="496" t="str">
        <f> IF(IR275&lt;&gt;"",TEXT(AUX!IV$1,"dd-MMM-aa"),"")</f>
      </c>
      <c r="IS255" s="496" t="str">
        <f> IF(IS275&lt;&gt;"",TEXT(AUX!#REF!,"dd-MMM-aa"),"")</f>
      </c>
      <c r="IT255" s="496" t="str">
        <f> IF(IT275&lt;&gt;"",TEXT(AUX!#REF!,"dd-MMM-aa"),"")</f>
      </c>
      <c r="IU255" s="496" t="str">
        <f> IF(IU275&lt;&gt;"",TEXT(AUX!#REF!,"dd-MMM-aa"),"")</f>
      </c>
      <c r="IV255" s="496" t="str">
        <f> IF(IV275&lt;&gt;"",TEXT(AUX!#REF!,"dd-MMM-aa"),"")</f>
      </c>
    </row>
    <row r="256" hidden="1" ht="15.95" customHeight="1">
      <c r="B256" s="822" t="s">
        <v>8</v>
      </c>
      <c r="C256" s="823">
        <v>0</v>
      </c>
      <c r="D256" s="823">
        <v>0</v>
      </c>
      <c r="E256" s="823">
        <v>0</v>
      </c>
      <c r="F256" s="823">
        <v>0</v>
      </c>
      <c r="G256" s="823">
        <v>0</v>
      </c>
      <c r="H256" s="823">
        <v>0</v>
      </c>
      <c r="I256" s="823">
        <v>0</v>
      </c>
      <c r="J256" s="823">
        <v>0</v>
      </c>
      <c r="K256" s="823">
        <v>1</v>
      </c>
      <c r="L256" s="823">
        <v>2</v>
      </c>
      <c r="M256" s="823">
        <v>2</v>
      </c>
      <c r="N256" s="823">
        <v>2</v>
      </c>
      <c r="O256" s="823">
        <v>4</v>
      </c>
      <c r="P256" s="823">
        <v>3</v>
      </c>
      <c r="Q256" s="823">
        <v>2</v>
      </c>
      <c r="R256" s="823">
        <v>2</v>
      </c>
      <c r="S256" s="823">
        <v>2</v>
      </c>
      <c r="T256" s="823">
        <v>3</v>
      </c>
      <c r="U256" s="823">
        <v>4</v>
      </c>
      <c r="V256" s="823">
        <v>3</v>
      </c>
      <c r="W256" s="823">
        <v>3</v>
      </c>
      <c r="X256" s="823">
        <v>4</v>
      </c>
      <c r="Y256" s="823">
        <v>5</v>
      </c>
      <c r="Z256" s="823">
        <v>5</v>
      </c>
      <c r="AA256" s="823">
        <v>5</v>
      </c>
      <c r="AB256" s="824">
        <v>3</v>
      </c>
      <c r="AC256" s="825">
        <v>3</v>
      </c>
      <c r="AD256" s="825">
        <v>3</v>
      </c>
      <c r="AE256" s="825">
        <v>3</v>
      </c>
      <c r="AF256" s="825">
        <v>2</v>
      </c>
      <c r="AG256" s="825">
        <v>1</v>
      </c>
      <c r="AH256" s="825">
        <v>1</v>
      </c>
      <c r="AI256" s="825">
        <v>1</v>
      </c>
      <c r="AJ256" s="825">
        <v>1</v>
      </c>
      <c r="AK256" s="825">
        <v>1</v>
      </c>
      <c r="AL256" s="825">
        <v>1</v>
      </c>
      <c r="AM256" s="825">
        <v>1</v>
      </c>
      <c r="AN256" s="825">
        <v>1</v>
      </c>
      <c r="AO256" s="825">
        <v>1</v>
      </c>
      <c r="AP256" s="825">
        <v>1</v>
      </c>
    </row>
    <row r="257" hidden="1" ht="15.95" customHeight="1">
      <c r="B257" s="826" t="s">
        <v>9</v>
      </c>
      <c r="C257" s="827">
        <v>0</v>
      </c>
      <c r="D257" s="827">
        <v>0</v>
      </c>
      <c r="E257" s="827">
        <v>0</v>
      </c>
      <c r="F257" s="827">
        <v>0</v>
      </c>
      <c r="G257" s="827">
        <v>0</v>
      </c>
      <c r="H257" s="827">
        <v>0</v>
      </c>
      <c r="I257" s="827">
        <v>0</v>
      </c>
      <c r="J257" s="827">
        <v>0</v>
      </c>
      <c r="K257" s="827">
        <v>0</v>
      </c>
      <c r="L257" s="827">
        <v>0</v>
      </c>
      <c r="M257" s="827">
        <v>0</v>
      </c>
      <c r="N257" s="827">
        <v>0</v>
      </c>
      <c r="O257" s="827">
        <v>0</v>
      </c>
      <c r="P257" s="827">
        <v>0</v>
      </c>
      <c r="Q257" s="827">
        <v>0</v>
      </c>
      <c r="R257" s="827">
        <v>0</v>
      </c>
      <c r="S257" s="827">
        <v>0</v>
      </c>
      <c r="T257" s="827">
        <v>1</v>
      </c>
      <c r="U257" s="827">
        <v>1</v>
      </c>
      <c r="V257" s="827">
        <v>1</v>
      </c>
      <c r="W257" s="827">
        <v>1</v>
      </c>
      <c r="X257" s="827">
        <v>1</v>
      </c>
      <c r="Y257" s="827">
        <v>1</v>
      </c>
      <c r="Z257" s="827">
        <v>1</v>
      </c>
      <c r="AA257" s="827">
        <v>1</v>
      </c>
      <c r="AB257" s="827">
        <v>1</v>
      </c>
      <c r="AC257" s="828">
        <v>1</v>
      </c>
      <c r="AD257" s="828">
        <v>1</v>
      </c>
      <c r="AE257" s="828">
        <v>1</v>
      </c>
      <c r="AF257" s="828">
        <v>1</v>
      </c>
      <c r="AG257" s="828">
        <v>1</v>
      </c>
      <c r="AH257" s="828">
        <v>1</v>
      </c>
      <c r="AI257" s="828">
        <v>1</v>
      </c>
      <c r="AJ257" s="828">
        <v>2</v>
      </c>
      <c r="AK257" s="828">
        <v>2</v>
      </c>
      <c r="AL257" s="828">
        <v>1</v>
      </c>
      <c r="AM257" s="828">
        <v>2</v>
      </c>
      <c r="AN257" s="828">
        <v>2</v>
      </c>
      <c r="AO257" s="828">
        <v>3</v>
      </c>
      <c r="AP257" s="828">
        <v>2</v>
      </c>
    </row>
    <row r="258" hidden="1" ht="15.95" customHeight="1">
      <c r="B258" s="829" t="s">
        <v>10</v>
      </c>
      <c r="C258" s="823">
        <v>0</v>
      </c>
      <c r="D258" s="823">
        <v>0</v>
      </c>
      <c r="E258" s="823">
        <v>0</v>
      </c>
      <c r="F258" s="823">
        <v>0</v>
      </c>
      <c r="G258" s="823">
        <v>0</v>
      </c>
      <c r="H258" s="823">
        <v>0</v>
      </c>
      <c r="I258" s="823">
        <v>0</v>
      </c>
      <c r="J258" s="823">
        <v>0</v>
      </c>
      <c r="K258" s="823">
        <v>0</v>
      </c>
      <c r="L258" s="823">
        <v>0</v>
      </c>
      <c r="M258" s="823">
        <v>0</v>
      </c>
      <c r="N258" s="823">
        <v>0</v>
      </c>
      <c r="O258" s="823">
        <v>0</v>
      </c>
      <c r="P258" s="823">
        <v>0</v>
      </c>
      <c r="Q258" s="823">
        <v>0</v>
      </c>
      <c r="R258" s="823">
        <v>0</v>
      </c>
      <c r="S258" s="823">
        <v>0</v>
      </c>
      <c r="T258" s="823">
        <v>0</v>
      </c>
      <c r="U258" s="823">
        <v>0</v>
      </c>
      <c r="V258" s="823">
        <v>0</v>
      </c>
      <c r="W258" s="823">
        <v>0</v>
      </c>
      <c r="X258" s="823">
        <v>0</v>
      </c>
      <c r="Y258" s="823">
        <v>0</v>
      </c>
      <c r="Z258" s="823">
        <v>0</v>
      </c>
      <c r="AA258" s="823">
        <v>0</v>
      </c>
      <c r="AB258" s="823">
        <v>0</v>
      </c>
      <c r="AC258" s="825">
        <v>0</v>
      </c>
      <c r="AD258" s="825">
        <v>0</v>
      </c>
      <c r="AE258" s="825">
        <v>0</v>
      </c>
      <c r="AF258" s="825">
        <v>0</v>
      </c>
      <c r="AG258" s="825">
        <v>0</v>
      </c>
      <c r="AH258" s="825">
        <v>0</v>
      </c>
      <c r="AI258" s="825">
        <v>0</v>
      </c>
      <c r="AJ258" s="825">
        <v>0</v>
      </c>
      <c r="AK258" s="825">
        <v>0</v>
      </c>
      <c r="AL258" s="825">
        <v>0</v>
      </c>
      <c r="AM258" s="825">
        <v>0</v>
      </c>
      <c r="AN258" s="825">
        <v>0</v>
      </c>
      <c r="AO258" s="825">
        <v>0</v>
      </c>
      <c r="AP258" s="825">
        <v>0</v>
      </c>
    </row>
    <row r="259" hidden="1" ht="15.95" customHeight="1">
      <c r="B259" s="826" t="s">
        <v>11</v>
      </c>
      <c r="C259" s="827">
        <v>0</v>
      </c>
      <c r="D259" s="827">
        <v>0</v>
      </c>
      <c r="E259" s="827">
        <v>0</v>
      </c>
      <c r="F259" s="827">
        <v>0</v>
      </c>
      <c r="G259" s="827">
        <v>0</v>
      </c>
      <c r="H259" s="827">
        <v>0</v>
      </c>
      <c r="I259" s="827">
        <v>0</v>
      </c>
      <c r="J259" s="827">
        <v>0</v>
      </c>
      <c r="K259" s="827">
        <v>0</v>
      </c>
      <c r="L259" s="827">
        <v>0</v>
      </c>
      <c r="M259" s="827">
        <v>0</v>
      </c>
      <c r="N259" s="827">
        <v>0</v>
      </c>
      <c r="O259" s="827">
        <v>0</v>
      </c>
      <c r="P259" s="827">
        <v>0</v>
      </c>
      <c r="Q259" s="827">
        <v>0</v>
      </c>
      <c r="R259" s="827">
        <v>0</v>
      </c>
      <c r="S259" s="827">
        <v>0</v>
      </c>
      <c r="T259" s="827">
        <v>0</v>
      </c>
      <c r="U259" s="827">
        <v>0</v>
      </c>
      <c r="V259" s="827">
        <v>0</v>
      </c>
      <c r="W259" s="827">
        <v>0</v>
      </c>
      <c r="X259" s="827">
        <v>0</v>
      </c>
      <c r="Y259" s="827">
        <v>0</v>
      </c>
      <c r="Z259" s="827">
        <v>0</v>
      </c>
      <c r="AA259" s="827">
        <v>0</v>
      </c>
      <c r="AB259" s="827">
        <v>0</v>
      </c>
      <c r="AC259" s="828">
        <v>0</v>
      </c>
      <c r="AD259" s="828">
        <v>0</v>
      </c>
      <c r="AE259" s="828">
        <v>0</v>
      </c>
      <c r="AF259" s="828">
        <v>0</v>
      </c>
      <c r="AG259" s="828">
        <v>0</v>
      </c>
      <c r="AH259" s="828">
        <v>0</v>
      </c>
      <c r="AI259" s="828">
        <v>0</v>
      </c>
      <c r="AJ259" s="828">
        <v>0</v>
      </c>
      <c r="AK259" s="828">
        <v>0</v>
      </c>
      <c r="AL259" s="828">
        <v>0</v>
      </c>
      <c r="AM259" s="828">
        <v>0</v>
      </c>
      <c r="AN259" s="828">
        <v>0</v>
      </c>
      <c r="AO259" s="828">
        <v>0</v>
      </c>
      <c r="AP259" s="828">
        <v>0</v>
      </c>
    </row>
    <row r="260" hidden="1" ht="15.95" customHeight="1">
      <c r="B260" s="829" t="s">
        <v>12</v>
      </c>
      <c r="C260" s="823">
        <v>0</v>
      </c>
      <c r="D260" s="823">
        <v>0</v>
      </c>
      <c r="E260" s="823">
        <v>0</v>
      </c>
      <c r="F260" s="823">
        <v>0</v>
      </c>
      <c r="G260" s="823">
        <v>0</v>
      </c>
      <c r="H260" s="823">
        <v>0</v>
      </c>
      <c r="I260" s="823">
        <v>0</v>
      </c>
      <c r="J260" s="823">
        <v>0</v>
      </c>
      <c r="K260" s="823">
        <v>0</v>
      </c>
      <c r="L260" s="823">
        <v>0</v>
      </c>
      <c r="M260" s="823">
        <v>0</v>
      </c>
      <c r="N260" s="823">
        <v>0</v>
      </c>
      <c r="O260" s="823">
        <v>0</v>
      </c>
      <c r="P260" s="823">
        <v>0</v>
      </c>
      <c r="Q260" s="823">
        <v>0</v>
      </c>
      <c r="R260" s="823">
        <v>0</v>
      </c>
      <c r="S260" s="823">
        <v>0</v>
      </c>
      <c r="T260" s="823">
        <v>0</v>
      </c>
      <c r="U260" s="823">
        <v>0</v>
      </c>
      <c r="V260" s="823">
        <v>0</v>
      </c>
      <c r="W260" s="823">
        <v>0</v>
      </c>
      <c r="X260" s="823">
        <v>0</v>
      </c>
      <c r="Y260" s="823">
        <v>0</v>
      </c>
      <c r="Z260" s="823">
        <v>0</v>
      </c>
      <c r="AA260" s="823">
        <v>0</v>
      </c>
      <c r="AB260" s="823">
        <v>0</v>
      </c>
      <c r="AC260" s="825">
        <v>0</v>
      </c>
      <c r="AD260" s="825">
        <v>0</v>
      </c>
      <c r="AE260" s="825">
        <v>0</v>
      </c>
      <c r="AF260" s="825">
        <v>0</v>
      </c>
      <c r="AG260" s="825">
        <v>0</v>
      </c>
      <c r="AH260" s="825">
        <v>0</v>
      </c>
      <c r="AI260" s="825">
        <v>0</v>
      </c>
      <c r="AJ260" s="825">
        <v>0</v>
      </c>
      <c r="AK260" s="825">
        <v>0</v>
      </c>
      <c r="AL260" s="825">
        <v>0</v>
      </c>
      <c r="AM260" s="825">
        <v>0</v>
      </c>
      <c r="AN260" s="825">
        <v>0</v>
      </c>
      <c r="AO260" s="825">
        <v>0</v>
      </c>
      <c r="AP260" s="825">
        <v>0</v>
      </c>
    </row>
    <row r="261" hidden="1" ht="15.95" customHeight="1">
      <c r="B261" s="826" t="s">
        <v>13</v>
      </c>
      <c r="C261" s="827">
        <v>0</v>
      </c>
      <c r="D261" s="827">
        <v>0</v>
      </c>
      <c r="E261" s="827">
        <v>0</v>
      </c>
      <c r="F261" s="827">
        <v>0</v>
      </c>
      <c r="G261" s="827">
        <v>0</v>
      </c>
      <c r="H261" s="827">
        <v>0</v>
      </c>
      <c r="I261" s="827">
        <v>0</v>
      </c>
      <c r="J261" s="827">
        <v>0</v>
      </c>
      <c r="K261" s="827">
        <v>0</v>
      </c>
      <c r="L261" s="827">
        <v>0</v>
      </c>
      <c r="M261" s="827">
        <v>0</v>
      </c>
      <c r="N261" s="827">
        <v>0</v>
      </c>
      <c r="O261" s="827">
        <v>0</v>
      </c>
      <c r="P261" s="827">
        <v>0</v>
      </c>
      <c r="Q261" s="827">
        <v>0</v>
      </c>
      <c r="R261" s="827">
        <v>0</v>
      </c>
      <c r="S261" s="827">
        <v>0</v>
      </c>
      <c r="T261" s="827">
        <v>0</v>
      </c>
      <c r="U261" s="827">
        <v>0</v>
      </c>
      <c r="V261" s="827">
        <v>0</v>
      </c>
      <c r="W261" s="827">
        <v>0</v>
      </c>
      <c r="X261" s="827">
        <v>0</v>
      </c>
      <c r="Y261" s="827">
        <v>0</v>
      </c>
      <c r="Z261" s="827">
        <v>0</v>
      </c>
      <c r="AA261" s="827">
        <v>0</v>
      </c>
      <c r="AB261" s="827">
        <v>0</v>
      </c>
      <c r="AC261" s="828">
        <v>0</v>
      </c>
      <c r="AD261" s="828">
        <v>0</v>
      </c>
      <c r="AE261" s="828">
        <v>0</v>
      </c>
      <c r="AF261" s="828">
        <v>0</v>
      </c>
      <c r="AG261" s="828">
        <v>0</v>
      </c>
      <c r="AH261" s="828">
        <v>0</v>
      </c>
      <c r="AI261" s="828">
        <v>0</v>
      </c>
      <c r="AJ261" s="828">
        <v>0</v>
      </c>
      <c r="AK261" s="828">
        <v>0</v>
      </c>
      <c r="AL261" s="828">
        <v>0</v>
      </c>
      <c r="AM261" s="828">
        <v>0</v>
      </c>
      <c r="AN261" s="828">
        <v>0</v>
      </c>
      <c r="AO261" s="828">
        <v>0</v>
      </c>
      <c r="AP261" s="828">
        <v>0</v>
      </c>
    </row>
    <row r="262" hidden="1" ht="15.95" customHeight="1">
      <c r="B262" s="829" t="s">
        <v>109</v>
      </c>
      <c r="C262" s="823">
        <v>0</v>
      </c>
      <c r="D262" s="823">
        <v>0</v>
      </c>
      <c r="E262" s="823">
        <v>0</v>
      </c>
      <c r="F262" s="823">
        <v>0</v>
      </c>
      <c r="G262" s="823">
        <v>0</v>
      </c>
      <c r="H262" s="823">
        <v>0</v>
      </c>
      <c r="I262" s="823">
        <v>0</v>
      </c>
      <c r="J262" s="823">
        <v>0</v>
      </c>
      <c r="K262" s="823">
        <v>0</v>
      </c>
      <c r="L262" s="823">
        <v>0</v>
      </c>
      <c r="M262" s="823">
        <v>0</v>
      </c>
      <c r="N262" s="823">
        <v>0</v>
      </c>
      <c r="O262" s="823">
        <v>0</v>
      </c>
      <c r="P262" s="823">
        <v>0</v>
      </c>
      <c r="Q262" s="823">
        <v>0</v>
      </c>
      <c r="R262" s="823">
        <v>0</v>
      </c>
      <c r="S262" s="823">
        <v>0</v>
      </c>
      <c r="T262" s="823">
        <v>0</v>
      </c>
      <c r="U262" s="823">
        <v>0</v>
      </c>
      <c r="V262" s="823">
        <v>0</v>
      </c>
      <c r="W262" s="823">
        <v>0</v>
      </c>
      <c r="X262" s="823">
        <v>0</v>
      </c>
      <c r="Y262" s="823">
        <v>0</v>
      </c>
      <c r="Z262" s="823">
        <v>0</v>
      </c>
      <c r="AA262" s="823">
        <v>0</v>
      </c>
      <c r="AB262" s="823">
        <v>0</v>
      </c>
      <c r="AC262" s="825">
        <v>0</v>
      </c>
      <c r="AD262" s="825">
        <v>0</v>
      </c>
      <c r="AE262" s="825">
        <v>0</v>
      </c>
      <c r="AF262" s="825">
        <v>0</v>
      </c>
      <c r="AG262" s="825">
        <v>0</v>
      </c>
      <c r="AH262" s="825">
        <v>0</v>
      </c>
      <c r="AI262" s="825">
        <v>0</v>
      </c>
      <c r="AJ262" s="825">
        <v>0</v>
      </c>
      <c r="AK262" s="825">
        <v>0</v>
      </c>
      <c r="AL262" s="825">
        <v>0</v>
      </c>
      <c r="AM262" s="825">
        <v>0</v>
      </c>
      <c r="AN262" s="825">
        <v>0</v>
      </c>
      <c r="AO262" s="825">
        <v>0</v>
      </c>
      <c r="AP262" s="825">
        <v>0</v>
      </c>
    </row>
    <row r="263" hidden="1" ht="15.95" customHeight="1">
      <c r="B263" s="826" t="s">
        <v>110</v>
      </c>
      <c r="C263" s="827">
        <v>0</v>
      </c>
      <c r="D263" s="827">
        <v>0</v>
      </c>
      <c r="E263" s="827">
        <v>0</v>
      </c>
      <c r="F263" s="827">
        <v>0</v>
      </c>
      <c r="G263" s="827">
        <v>0</v>
      </c>
      <c r="H263" s="827">
        <v>0</v>
      </c>
      <c r="I263" s="827">
        <v>0</v>
      </c>
      <c r="J263" s="827">
        <v>0</v>
      </c>
      <c r="K263" s="827">
        <v>0</v>
      </c>
      <c r="L263" s="827">
        <v>0</v>
      </c>
      <c r="M263" s="827">
        <v>0</v>
      </c>
      <c r="N263" s="827">
        <v>0</v>
      </c>
      <c r="O263" s="827">
        <v>0</v>
      </c>
      <c r="P263" s="827">
        <v>0</v>
      </c>
      <c r="Q263" s="827">
        <v>0</v>
      </c>
      <c r="R263" s="827">
        <v>0</v>
      </c>
      <c r="S263" s="827">
        <v>0</v>
      </c>
      <c r="T263" s="827">
        <v>0</v>
      </c>
      <c r="U263" s="827">
        <v>0</v>
      </c>
      <c r="V263" s="827">
        <v>0</v>
      </c>
      <c r="W263" s="827">
        <v>0</v>
      </c>
      <c r="X263" s="827">
        <v>0</v>
      </c>
      <c r="Y263" s="827">
        <v>0</v>
      </c>
      <c r="Z263" s="827">
        <v>0</v>
      </c>
      <c r="AA263" s="827">
        <v>0</v>
      </c>
      <c r="AB263" s="827">
        <v>0</v>
      </c>
      <c r="AC263" s="828">
        <v>0</v>
      </c>
      <c r="AD263" s="828">
        <v>0</v>
      </c>
      <c r="AE263" s="828">
        <v>0</v>
      </c>
      <c r="AF263" s="828">
        <v>0</v>
      </c>
      <c r="AG263" s="828">
        <v>0</v>
      </c>
      <c r="AH263" s="828">
        <v>0</v>
      </c>
      <c r="AI263" s="828">
        <v>1</v>
      </c>
      <c r="AJ263" s="828">
        <v>1</v>
      </c>
      <c r="AK263" s="828">
        <v>0</v>
      </c>
      <c r="AL263" s="828">
        <v>1</v>
      </c>
      <c r="AM263" s="828">
        <v>1</v>
      </c>
      <c r="AN263" s="828">
        <v>1</v>
      </c>
      <c r="AO263" s="828">
        <v>2</v>
      </c>
      <c r="AP263" s="828">
        <v>3</v>
      </c>
    </row>
    <row r="264" hidden="1" ht="15.95" customHeight="1">
      <c r="B264" s="829" t="s">
        <v>16</v>
      </c>
      <c r="C264" s="823">
        <v>4</v>
      </c>
      <c r="D264" s="823">
        <v>6</v>
      </c>
      <c r="E264" s="823">
        <v>6</v>
      </c>
      <c r="F264" s="823">
        <v>5</v>
      </c>
      <c r="G264" s="823">
        <v>3</v>
      </c>
      <c r="H264" s="823">
        <v>3</v>
      </c>
      <c r="I264" s="823">
        <v>4</v>
      </c>
      <c r="J264" s="823">
        <v>3</v>
      </c>
      <c r="K264" s="823">
        <v>2</v>
      </c>
      <c r="L264" s="823">
        <v>2</v>
      </c>
      <c r="M264" s="823">
        <v>1</v>
      </c>
      <c r="N264" s="823">
        <v>1</v>
      </c>
      <c r="O264" s="823">
        <v>1</v>
      </c>
      <c r="P264" s="823">
        <v>1</v>
      </c>
      <c r="Q264" s="823">
        <v>0</v>
      </c>
      <c r="R264" s="823">
        <v>0</v>
      </c>
      <c r="S264" s="823">
        <v>0</v>
      </c>
      <c r="T264" s="823">
        <v>0</v>
      </c>
      <c r="U264" s="823">
        <v>1</v>
      </c>
      <c r="V264" s="823">
        <v>1</v>
      </c>
      <c r="W264" s="823">
        <v>1</v>
      </c>
      <c r="X264" s="823">
        <v>2</v>
      </c>
      <c r="Y264" s="823">
        <v>2</v>
      </c>
      <c r="Z264" s="823">
        <v>2</v>
      </c>
      <c r="AA264" s="823">
        <v>2</v>
      </c>
      <c r="AB264" s="823">
        <v>2</v>
      </c>
      <c r="AC264" s="825">
        <v>2</v>
      </c>
      <c r="AD264" s="825">
        <v>2</v>
      </c>
      <c r="AE264" s="825">
        <v>2</v>
      </c>
      <c r="AF264" s="825">
        <v>2</v>
      </c>
      <c r="AG264" s="825">
        <v>2</v>
      </c>
      <c r="AH264" s="825">
        <v>2</v>
      </c>
      <c r="AI264" s="825">
        <v>2</v>
      </c>
      <c r="AJ264" s="825">
        <v>2</v>
      </c>
      <c r="AK264" s="825">
        <v>2</v>
      </c>
      <c r="AL264" s="825">
        <v>2</v>
      </c>
      <c r="AM264" s="825">
        <v>2</v>
      </c>
      <c r="AN264" s="825">
        <v>1</v>
      </c>
      <c r="AO264" s="825">
        <v>1</v>
      </c>
      <c r="AP264" s="825">
        <v>1</v>
      </c>
    </row>
    <row r="265" hidden="1" ht="15.95" customHeight="1">
      <c r="B265" s="826" t="s">
        <v>17</v>
      </c>
      <c r="C265" s="827">
        <v>1</v>
      </c>
      <c r="D265" s="827">
        <v>0</v>
      </c>
      <c r="E265" s="827">
        <v>0</v>
      </c>
      <c r="F265" s="827">
        <v>0</v>
      </c>
      <c r="G265" s="827">
        <v>0</v>
      </c>
      <c r="H265" s="827">
        <v>0</v>
      </c>
      <c r="I265" s="827">
        <v>0</v>
      </c>
      <c r="J265" s="827">
        <v>0</v>
      </c>
      <c r="K265" s="827">
        <v>0</v>
      </c>
      <c r="L265" s="827">
        <v>0</v>
      </c>
      <c r="M265" s="827">
        <v>0</v>
      </c>
      <c r="N265" s="827">
        <v>0</v>
      </c>
      <c r="O265" s="827">
        <v>0</v>
      </c>
      <c r="P265" s="827">
        <v>1</v>
      </c>
      <c r="Q265" s="827">
        <v>1</v>
      </c>
      <c r="R265" s="827">
        <v>1</v>
      </c>
      <c r="S265" s="827">
        <v>1</v>
      </c>
      <c r="T265" s="827">
        <v>1</v>
      </c>
      <c r="U265" s="827">
        <v>1</v>
      </c>
      <c r="V265" s="827">
        <v>1</v>
      </c>
      <c r="W265" s="827">
        <v>1</v>
      </c>
      <c r="X265" s="827">
        <v>1</v>
      </c>
      <c r="Y265" s="827">
        <v>1</v>
      </c>
      <c r="Z265" s="827">
        <v>0</v>
      </c>
      <c r="AA265" s="827">
        <v>0</v>
      </c>
      <c r="AB265" s="827">
        <v>0</v>
      </c>
      <c r="AC265" s="828">
        <v>0</v>
      </c>
      <c r="AD265" s="828">
        <v>0</v>
      </c>
      <c r="AE265" s="828">
        <v>0</v>
      </c>
      <c r="AF265" s="828">
        <v>0</v>
      </c>
      <c r="AG265" s="828">
        <v>0</v>
      </c>
      <c r="AH265" s="828">
        <v>0</v>
      </c>
      <c r="AI265" s="828">
        <v>0</v>
      </c>
      <c r="AJ265" s="828">
        <v>0</v>
      </c>
      <c r="AK265" s="828">
        <v>0</v>
      </c>
      <c r="AL265" s="828">
        <v>0</v>
      </c>
      <c r="AM265" s="828">
        <v>0</v>
      </c>
      <c r="AN265" s="828">
        <v>0</v>
      </c>
      <c r="AO265" s="828">
        <v>0</v>
      </c>
      <c r="AP265" s="828">
        <v>0</v>
      </c>
    </row>
    <row r="266" hidden="1" ht="15.95" customHeight="1">
      <c r="B266" s="829" t="s">
        <v>18</v>
      </c>
      <c r="C266" s="823">
        <v>0</v>
      </c>
      <c r="D266" s="823">
        <v>0</v>
      </c>
      <c r="E266" s="823">
        <v>0</v>
      </c>
      <c r="F266" s="823">
        <v>0</v>
      </c>
      <c r="G266" s="823">
        <v>0</v>
      </c>
      <c r="H266" s="823">
        <v>0</v>
      </c>
      <c r="I266" s="823">
        <v>0</v>
      </c>
      <c r="J266" s="823">
        <v>0</v>
      </c>
      <c r="K266" s="823">
        <v>0</v>
      </c>
      <c r="L266" s="823">
        <v>0</v>
      </c>
      <c r="M266" s="823">
        <v>0</v>
      </c>
      <c r="N266" s="823">
        <v>0</v>
      </c>
      <c r="O266" s="823">
        <v>0</v>
      </c>
      <c r="P266" s="823">
        <v>0</v>
      </c>
      <c r="Q266" s="823">
        <v>0</v>
      </c>
      <c r="R266" s="823">
        <v>0</v>
      </c>
      <c r="S266" s="823">
        <v>0</v>
      </c>
      <c r="T266" s="823">
        <v>0</v>
      </c>
      <c r="U266" s="823">
        <v>0</v>
      </c>
      <c r="V266" s="823">
        <v>0</v>
      </c>
      <c r="W266" s="823">
        <v>0</v>
      </c>
      <c r="X266" s="823">
        <v>0</v>
      </c>
      <c r="Y266" s="823">
        <v>0</v>
      </c>
      <c r="Z266" s="823">
        <v>0</v>
      </c>
      <c r="AA266" s="823">
        <v>0</v>
      </c>
      <c r="AB266" s="823">
        <v>0</v>
      </c>
      <c r="AC266" s="825">
        <v>0</v>
      </c>
      <c r="AD266" s="825">
        <v>0</v>
      </c>
      <c r="AE266" s="825">
        <v>0</v>
      </c>
      <c r="AF266" s="825">
        <v>0</v>
      </c>
      <c r="AG266" s="825">
        <v>0</v>
      </c>
      <c r="AH266" s="825">
        <v>1</v>
      </c>
      <c r="AI266" s="825">
        <v>0</v>
      </c>
      <c r="AJ266" s="825">
        <v>0</v>
      </c>
      <c r="AK266" s="825">
        <v>1</v>
      </c>
      <c r="AL266" s="825">
        <v>0</v>
      </c>
      <c r="AM266" s="825">
        <v>0</v>
      </c>
      <c r="AN266" s="825">
        <v>0</v>
      </c>
      <c r="AO266" s="825">
        <v>1</v>
      </c>
      <c r="AP266" s="825">
        <v>1</v>
      </c>
    </row>
    <row r="267" hidden="1" ht="15.95" customHeight="1">
      <c r="B267" s="826" t="s">
        <v>19</v>
      </c>
      <c r="C267" s="827">
        <v>0</v>
      </c>
      <c r="D267" s="827">
        <v>0</v>
      </c>
      <c r="E267" s="827">
        <v>0</v>
      </c>
      <c r="F267" s="827">
        <v>0</v>
      </c>
      <c r="G267" s="827">
        <v>0</v>
      </c>
      <c r="H267" s="827">
        <v>0</v>
      </c>
      <c r="I267" s="827">
        <v>0</v>
      </c>
      <c r="J267" s="827">
        <v>0</v>
      </c>
      <c r="K267" s="827">
        <v>0</v>
      </c>
      <c r="L267" s="827">
        <v>0</v>
      </c>
      <c r="M267" s="827">
        <v>0</v>
      </c>
      <c r="N267" s="827">
        <v>0</v>
      </c>
      <c r="O267" s="827">
        <v>0</v>
      </c>
      <c r="P267" s="827">
        <v>0</v>
      </c>
      <c r="Q267" s="827">
        <v>0</v>
      </c>
      <c r="R267" s="827">
        <v>0</v>
      </c>
      <c r="S267" s="827">
        <v>0</v>
      </c>
      <c r="T267" s="827">
        <v>0</v>
      </c>
      <c r="U267" s="827">
        <v>0</v>
      </c>
      <c r="V267" s="827">
        <v>0</v>
      </c>
      <c r="W267" s="827">
        <v>0</v>
      </c>
      <c r="X267" s="827">
        <v>0</v>
      </c>
      <c r="Y267" s="827">
        <v>0</v>
      </c>
      <c r="Z267" s="827">
        <v>0</v>
      </c>
      <c r="AA267" s="827">
        <v>0</v>
      </c>
      <c r="AB267" s="827">
        <v>0</v>
      </c>
      <c r="AC267" s="828">
        <v>0</v>
      </c>
      <c r="AD267" s="828">
        <v>0</v>
      </c>
      <c r="AE267" s="828">
        <v>0</v>
      </c>
      <c r="AF267" s="828">
        <v>0</v>
      </c>
      <c r="AG267" s="828">
        <v>0</v>
      </c>
      <c r="AH267" s="828">
        <v>0</v>
      </c>
      <c r="AI267" s="828">
        <v>0</v>
      </c>
      <c r="AJ267" s="828">
        <v>0</v>
      </c>
      <c r="AK267" s="828">
        <v>0</v>
      </c>
      <c r="AL267" s="828">
        <v>0</v>
      </c>
      <c r="AM267" s="828">
        <v>0</v>
      </c>
      <c r="AN267" s="828">
        <v>0</v>
      </c>
      <c r="AO267" s="828">
        <v>0</v>
      </c>
      <c r="AP267" s="828">
        <v>0</v>
      </c>
    </row>
    <row r="268" hidden="1" ht="15.95" customHeight="1">
      <c r="B268" s="829" t="s">
        <v>20</v>
      </c>
      <c r="C268" s="823">
        <v>0</v>
      </c>
      <c r="D268" s="823">
        <v>0</v>
      </c>
      <c r="E268" s="823">
        <v>0</v>
      </c>
      <c r="F268" s="823">
        <v>0</v>
      </c>
      <c r="G268" s="823">
        <v>0</v>
      </c>
      <c r="H268" s="823">
        <v>0</v>
      </c>
      <c r="I268" s="823">
        <v>0</v>
      </c>
      <c r="J268" s="823">
        <v>0</v>
      </c>
      <c r="K268" s="823">
        <v>0</v>
      </c>
      <c r="L268" s="823">
        <v>0</v>
      </c>
      <c r="M268" s="823">
        <v>0</v>
      </c>
      <c r="N268" s="823">
        <v>0</v>
      </c>
      <c r="O268" s="823">
        <v>0</v>
      </c>
      <c r="P268" s="823">
        <v>0</v>
      </c>
      <c r="Q268" s="823">
        <v>0</v>
      </c>
      <c r="R268" s="823">
        <v>0</v>
      </c>
      <c r="S268" s="823">
        <v>0</v>
      </c>
      <c r="T268" s="823">
        <v>0</v>
      </c>
      <c r="U268" s="823">
        <v>0</v>
      </c>
      <c r="V268" s="823">
        <v>0</v>
      </c>
      <c r="W268" s="823">
        <v>0</v>
      </c>
      <c r="X268" s="823">
        <v>0</v>
      </c>
      <c r="Y268" s="823">
        <v>0</v>
      </c>
      <c r="Z268" s="823">
        <v>0</v>
      </c>
      <c r="AA268" s="823">
        <v>0</v>
      </c>
      <c r="AB268" s="823">
        <v>0</v>
      </c>
      <c r="AC268" s="825">
        <v>0</v>
      </c>
      <c r="AD268" s="825">
        <v>0</v>
      </c>
      <c r="AE268" s="825">
        <v>0</v>
      </c>
      <c r="AF268" s="825">
        <v>0</v>
      </c>
      <c r="AG268" s="825">
        <v>0</v>
      </c>
      <c r="AH268" s="825">
        <v>0</v>
      </c>
      <c r="AI268" s="825">
        <v>0</v>
      </c>
      <c r="AJ268" s="825">
        <v>0</v>
      </c>
      <c r="AK268" s="825">
        <v>0</v>
      </c>
      <c r="AL268" s="825">
        <v>0</v>
      </c>
      <c r="AM268" s="825">
        <v>0</v>
      </c>
      <c r="AN268" s="825">
        <v>0</v>
      </c>
      <c r="AO268" s="825">
        <v>0</v>
      </c>
      <c r="AP268" s="825">
        <v>0</v>
      </c>
    </row>
    <row r="269" hidden="1" ht="15.95" customHeight="1">
      <c r="B269" s="826" t="s">
        <v>21</v>
      </c>
      <c r="C269" s="827">
        <v>0</v>
      </c>
      <c r="D269" s="827">
        <v>0</v>
      </c>
      <c r="E269" s="827">
        <v>0</v>
      </c>
      <c r="F269" s="827">
        <v>0</v>
      </c>
      <c r="G269" s="827">
        <v>0</v>
      </c>
      <c r="H269" s="827">
        <v>0</v>
      </c>
      <c r="I269" s="827">
        <v>0</v>
      </c>
      <c r="J269" s="827">
        <v>0</v>
      </c>
      <c r="K269" s="827">
        <v>0</v>
      </c>
      <c r="L269" s="827">
        <v>0</v>
      </c>
      <c r="M269" s="827">
        <v>0</v>
      </c>
      <c r="N269" s="827">
        <v>0</v>
      </c>
      <c r="O269" s="827">
        <v>0</v>
      </c>
      <c r="P269" s="827">
        <v>1</v>
      </c>
      <c r="Q269" s="827">
        <v>1</v>
      </c>
      <c r="R269" s="827">
        <v>1</v>
      </c>
      <c r="S269" s="827">
        <v>1</v>
      </c>
      <c r="T269" s="827">
        <v>3</v>
      </c>
      <c r="U269" s="827">
        <v>3</v>
      </c>
      <c r="V269" s="827">
        <v>3</v>
      </c>
      <c r="W269" s="827">
        <v>3</v>
      </c>
      <c r="X269" s="827">
        <v>3</v>
      </c>
      <c r="Y269" s="827">
        <v>3</v>
      </c>
      <c r="Z269" s="827">
        <v>3</v>
      </c>
      <c r="AA269" s="827">
        <v>1</v>
      </c>
      <c r="AB269" s="827">
        <v>1</v>
      </c>
      <c r="AC269" s="828">
        <v>1</v>
      </c>
      <c r="AD269" s="828">
        <v>1</v>
      </c>
      <c r="AE269" s="828">
        <v>1</v>
      </c>
      <c r="AF269" s="828">
        <v>1</v>
      </c>
      <c r="AG269" s="828">
        <v>1</v>
      </c>
      <c r="AH269" s="828">
        <v>1</v>
      </c>
      <c r="AI269" s="828">
        <v>1</v>
      </c>
      <c r="AJ269" s="828">
        <v>1</v>
      </c>
      <c r="AK269" s="828">
        <v>1</v>
      </c>
      <c r="AL269" s="828">
        <v>1</v>
      </c>
      <c r="AM269" s="828">
        <v>1</v>
      </c>
      <c r="AN269" s="828">
        <v>1</v>
      </c>
      <c r="AO269" s="828">
        <v>1</v>
      </c>
      <c r="AP269" s="828">
        <v>1</v>
      </c>
    </row>
    <row r="270" hidden="1" ht="15.95" customHeight="1">
      <c r="B270" s="829" t="s">
        <v>22</v>
      </c>
      <c r="C270" s="823">
        <v>0</v>
      </c>
      <c r="D270" s="823">
        <v>0</v>
      </c>
      <c r="E270" s="823">
        <v>0</v>
      </c>
      <c r="F270" s="823">
        <v>0</v>
      </c>
      <c r="G270" s="823">
        <v>0</v>
      </c>
      <c r="H270" s="823">
        <v>0</v>
      </c>
      <c r="I270" s="823">
        <v>0</v>
      </c>
      <c r="J270" s="823">
        <v>0</v>
      </c>
      <c r="K270" s="823">
        <v>0</v>
      </c>
      <c r="L270" s="823">
        <v>3</v>
      </c>
      <c r="M270" s="823">
        <v>3</v>
      </c>
      <c r="N270" s="823">
        <v>3</v>
      </c>
      <c r="O270" s="823">
        <v>0</v>
      </c>
      <c r="P270" s="823">
        <v>0</v>
      </c>
      <c r="Q270" s="823">
        <v>0</v>
      </c>
      <c r="R270" s="823">
        <v>0</v>
      </c>
      <c r="S270" s="823">
        <v>0</v>
      </c>
      <c r="T270" s="823">
        <v>0</v>
      </c>
      <c r="U270" s="823">
        <v>0</v>
      </c>
      <c r="V270" s="823">
        <v>0</v>
      </c>
      <c r="W270" s="823">
        <v>0</v>
      </c>
      <c r="X270" s="823">
        <v>0</v>
      </c>
      <c r="Y270" s="823">
        <v>0</v>
      </c>
      <c r="Z270" s="823">
        <v>0</v>
      </c>
      <c r="AA270" s="823">
        <v>0</v>
      </c>
      <c r="AB270" s="823">
        <v>0</v>
      </c>
      <c r="AC270" s="825">
        <v>0</v>
      </c>
      <c r="AD270" s="825">
        <v>0</v>
      </c>
      <c r="AE270" s="825">
        <v>0</v>
      </c>
      <c r="AF270" s="825">
        <v>0</v>
      </c>
      <c r="AG270" s="825">
        <v>0</v>
      </c>
      <c r="AH270" s="825">
        <v>0</v>
      </c>
      <c r="AI270" s="825">
        <v>0</v>
      </c>
      <c r="AJ270" s="825">
        <v>0</v>
      </c>
      <c r="AK270" s="825">
        <v>0</v>
      </c>
      <c r="AL270" s="825">
        <v>0</v>
      </c>
      <c r="AM270" s="825">
        <v>0</v>
      </c>
      <c r="AN270" s="825">
        <v>0</v>
      </c>
      <c r="AO270" s="825">
        <v>0</v>
      </c>
      <c r="AP270" s="825">
        <v>0</v>
      </c>
    </row>
    <row r="271" hidden="1" ht="15.95" customHeight="1">
      <c r="B271" s="826" t="s">
        <v>23</v>
      </c>
      <c r="C271" s="827">
        <v>0</v>
      </c>
      <c r="D271" s="827">
        <v>0</v>
      </c>
      <c r="E271" s="827">
        <v>0</v>
      </c>
      <c r="F271" s="827">
        <v>0</v>
      </c>
      <c r="G271" s="827">
        <v>0</v>
      </c>
      <c r="H271" s="827">
        <v>0</v>
      </c>
      <c r="I271" s="827">
        <v>0</v>
      </c>
      <c r="J271" s="827">
        <v>0</v>
      </c>
      <c r="K271" s="827">
        <v>0</v>
      </c>
      <c r="L271" s="827">
        <v>0</v>
      </c>
      <c r="M271" s="827">
        <v>0</v>
      </c>
      <c r="N271" s="827">
        <v>0</v>
      </c>
      <c r="O271" s="827">
        <v>1</v>
      </c>
      <c r="P271" s="827">
        <v>0</v>
      </c>
      <c r="Q271" s="827">
        <v>0</v>
      </c>
      <c r="R271" s="827">
        <v>0</v>
      </c>
      <c r="S271" s="827">
        <v>0</v>
      </c>
      <c r="T271" s="827">
        <v>0</v>
      </c>
      <c r="U271" s="827">
        <v>0</v>
      </c>
      <c r="V271" s="827">
        <v>0</v>
      </c>
      <c r="W271" s="827">
        <v>0</v>
      </c>
      <c r="X271" s="827">
        <v>0</v>
      </c>
      <c r="Y271" s="827">
        <v>0</v>
      </c>
      <c r="Z271" s="827">
        <v>0</v>
      </c>
      <c r="AA271" s="827">
        <v>0</v>
      </c>
      <c r="AB271" s="827">
        <v>0</v>
      </c>
      <c r="AC271" s="828">
        <v>0</v>
      </c>
      <c r="AD271" s="828">
        <v>0</v>
      </c>
      <c r="AE271" s="828">
        <v>0</v>
      </c>
      <c r="AF271" s="828">
        <v>0</v>
      </c>
      <c r="AG271" s="828">
        <v>0</v>
      </c>
      <c r="AH271" s="828">
        <v>0</v>
      </c>
      <c r="AI271" s="828">
        <v>0</v>
      </c>
      <c r="AJ271" s="828">
        <v>0</v>
      </c>
      <c r="AK271" s="828">
        <v>0</v>
      </c>
      <c r="AL271" s="828">
        <v>0</v>
      </c>
      <c r="AM271" s="828">
        <v>0</v>
      </c>
      <c r="AN271" s="828">
        <v>0</v>
      </c>
      <c r="AO271" s="828">
        <v>0</v>
      </c>
      <c r="AP271" s="828">
        <v>1</v>
      </c>
    </row>
    <row r="272" hidden="1" ht="15.95" customHeight="1">
      <c r="B272" s="830" t="s">
        <v>24</v>
      </c>
      <c r="C272" s="823">
        <v>0</v>
      </c>
      <c r="D272" s="823">
        <v>0</v>
      </c>
      <c r="E272" s="823">
        <v>0</v>
      </c>
      <c r="F272" s="823">
        <v>0</v>
      </c>
      <c r="G272" s="823">
        <v>0</v>
      </c>
      <c r="H272" s="823">
        <v>0</v>
      </c>
      <c r="I272" s="823">
        <v>0</v>
      </c>
      <c r="J272" s="823">
        <v>0</v>
      </c>
      <c r="K272" s="823">
        <v>0</v>
      </c>
      <c r="L272" s="823">
        <v>0</v>
      </c>
      <c r="M272" s="823">
        <v>0</v>
      </c>
      <c r="N272" s="823">
        <v>0</v>
      </c>
      <c r="O272" s="823">
        <v>0</v>
      </c>
      <c r="P272" s="823">
        <v>0</v>
      </c>
      <c r="Q272" s="823">
        <v>0</v>
      </c>
      <c r="R272" s="823">
        <v>0</v>
      </c>
      <c r="S272" s="823">
        <v>0</v>
      </c>
      <c r="T272" s="823">
        <v>0</v>
      </c>
      <c r="U272" s="823">
        <v>0</v>
      </c>
      <c r="V272" s="823">
        <v>0</v>
      </c>
      <c r="W272" s="823">
        <v>0</v>
      </c>
      <c r="X272" s="823">
        <v>0</v>
      </c>
      <c r="Y272" s="823">
        <v>0</v>
      </c>
      <c r="Z272" s="823">
        <v>0</v>
      </c>
      <c r="AA272" s="823">
        <v>0</v>
      </c>
      <c r="AB272" s="823">
        <v>0</v>
      </c>
      <c r="AC272" s="825">
        <v>0</v>
      </c>
      <c r="AD272" s="825">
        <v>0</v>
      </c>
      <c r="AE272" s="825">
        <v>0</v>
      </c>
      <c r="AF272" s="825">
        <v>0</v>
      </c>
      <c r="AG272" s="825">
        <v>0</v>
      </c>
      <c r="AH272" s="825">
        <v>0</v>
      </c>
      <c r="AI272" s="825">
        <v>0</v>
      </c>
      <c r="AJ272" s="825">
        <v>0</v>
      </c>
      <c r="AK272" s="825">
        <v>0</v>
      </c>
      <c r="AL272" s="825">
        <v>0</v>
      </c>
      <c r="AM272" s="825">
        <v>0</v>
      </c>
      <c r="AN272" s="825">
        <v>0</v>
      </c>
      <c r="AO272" s="825">
        <v>0</v>
      </c>
      <c r="AP272" s="825">
        <v>0</v>
      </c>
    </row>
    <row r="273" hidden="1" ht="15.95" customHeight="1">
      <c r="B273" s="826" t="s">
        <v>25</v>
      </c>
      <c r="C273" s="827">
        <v>0</v>
      </c>
      <c r="D273" s="827">
        <v>0</v>
      </c>
      <c r="E273" s="827">
        <v>0</v>
      </c>
      <c r="F273" s="827">
        <v>0</v>
      </c>
      <c r="G273" s="827">
        <v>0</v>
      </c>
      <c r="H273" s="827">
        <v>0</v>
      </c>
      <c r="I273" s="827">
        <v>0</v>
      </c>
      <c r="J273" s="827">
        <v>0</v>
      </c>
      <c r="K273" s="827">
        <v>0</v>
      </c>
      <c r="L273" s="827">
        <v>0</v>
      </c>
      <c r="M273" s="827">
        <v>0</v>
      </c>
      <c r="N273" s="827">
        <v>0</v>
      </c>
      <c r="O273" s="827">
        <v>0</v>
      </c>
      <c r="P273" s="827">
        <v>0</v>
      </c>
      <c r="Q273" s="827">
        <v>0</v>
      </c>
      <c r="R273" s="827">
        <v>0</v>
      </c>
      <c r="S273" s="827">
        <v>0</v>
      </c>
      <c r="T273" s="827">
        <v>0</v>
      </c>
      <c r="U273" s="827">
        <v>0</v>
      </c>
      <c r="V273" s="827">
        <v>0</v>
      </c>
      <c r="W273" s="827">
        <v>0</v>
      </c>
      <c r="X273" s="827">
        <v>0</v>
      </c>
      <c r="Y273" s="827">
        <v>0</v>
      </c>
      <c r="Z273" s="827">
        <v>0</v>
      </c>
      <c r="AA273" s="827">
        <v>0</v>
      </c>
      <c r="AB273" s="827">
        <v>0</v>
      </c>
      <c r="AC273" s="828">
        <v>0</v>
      </c>
      <c r="AD273" s="828">
        <v>0</v>
      </c>
      <c r="AE273" s="828">
        <v>0</v>
      </c>
      <c r="AF273" s="828">
        <v>0</v>
      </c>
      <c r="AG273" s="828">
        <v>0</v>
      </c>
      <c r="AH273" s="828">
        <v>0</v>
      </c>
      <c r="AI273" s="828">
        <v>0</v>
      </c>
      <c r="AJ273" s="828">
        <v>0</v>
      </c>
      <c r="AK273" s="828">
        <v>0</v>
      </c>
      <c r="AL273" s="828">
        <v>0</v>
      </c>
      <c r="AM273" s="828">
        <v>0</v>
      </c>
      <c r="AN273" s="828">
        <v>0</v>
      </c>
      <c r="AO273" s="828">
        <v>0</v>
      </c>
      <c r="AP273" s="828">
        <v>0</v>
      </c>
    </row>
    <row r="274" hidden="1" ht="15.95" customHeight="1">
      <c r="B274" s="831" t="s">
        <v>26</v>
      </c>
      <c r="C274" s="823">
        <v>0</v>
      </c>
      <c r="D274" s="823">
        <v>0</v>
      </c>
      <c r="E274" s="823">
        <v>0</v>
      </c>
      <c r="F274" s="823">
        <v>0</v>
      </c>
      <c r="G274" s="823">
        <v>0</v>
      </c>
      <c r="H274" s="823">
        <v>0</v>
      </c>
      <c r="I274" s="823">
        <v>0</v>
      </c>
      <c r="J274" s="823">
        <v>0</v>
      </c>
      <c r="K274" s="823">
        <v>0</v>
      </c>
      <c r="L274" s="823">
        <v>0</v>
      </c>
      <c r="M274" s="823">
        <v>0</v>
      </c>
      <c r="N274" s="823">
        <v>0</v>
      </c>
      <c r="O274" s="823">
        <v>0</v>
      </c>
      <c r="P274" s="823">
        <v>0</v>
      </c>
      <c r="Q274" s="823">
        <v>0</v>
      </c>
      <c r="R274" s="823">
        <v>0</v>
      </c>
      <c r="S274" s="823">
        <v>0</v>
      </c>
      <c r="T274" s="823">
        <v>0</v>
      </c>
      <c r="U274" s="823">
        <v>0</v>
      </c>
      <c r="V274" s="823">
        <v>0</v>
      </c>
      <c r="W274" s="823">
        <v>0</v>
      </c>
      <c r="X274" s="823">
        <v>0</v>
      </c>
      <c r="Y274" s="823">
        <v>0</v>
      </c>
      <c r="Z274" s="823">
        <v>0</v>
      </c>
      <c r="AA274" s="823">
        <v>0</v>
      </c>
      <c r="AB274" s="832">
        <v>0</v>
      </c>
      <c r="AC274" s="825">
        <v>0</v>
      </c>
      <c r="AD274" s="825">
        <v>0</v>
      </c>
      <c r="AE274" s="825">
        <v>0</v>
      </c>
      <c r="AF274" s="825">
        <v>0</v>
      </c>
      <c r="AG274" s="825">
        <v>0</v>
      </c>
      <c r="AH274" s="825">
        <v>0</v>
      </c>
      <c r="AI274" s="825">
        <v>0</v>
      </c>
      <c r="AJ274" s="825">
        <v>0</v>
      </c>
      <c r="AK274" s="825">
        <v>0</v>
      </c>
      <c r="AL274" s="825">
        <v>0</v>
      </c>
      <c r="AM274" s="825">
        <v>0</v>
      </c>
      <c r="AN274" s="825">
        <v>0</v>
      </c>
      <c r="AO274" s="825">
        <v>0</v>
      </c>
      <c r="AP274" s="825">
        <v>0</v>
      </c>
    </row>
    <row r="275" hidden="1" ht="15.95" customHeight="1">
      <c r="B275" s="128" t="s">
        <v>7</v>
      </c>
      <c r="C275" s="129" t="str">
        <f>IF(SUM(C256:C274)&lt;&gt;0,SUM(C256:C274),"")</f>
      </c>
      <c r="D275" s="129" t="str">
        <f ref="D275:AA275" t="shared" si="20">IF(SUM(D256:D274)&lt;&gt;0,SUM(D256:D274),"")</f>
      </c>
      <c r="E275" s="129" t="str">
        <f t="shared" si="20"/>
      </c>
      <c r="F275" s="129" t="str">
        <f t="shared" si="20"/>
      </c>
      <c r="G275" s="129" t="str">
        <f t="shared" si="20"/>
      </c>
      <c r="H275" s="129" t="str">
        <f t="shared" si="20"/>
      </c>
      <c r="I275" s="129" t="str">
        <f t="shared" si="20"/>
      </c>
      <c r="J275" s="129" t="str">
        <f t="shared" si="20"/>
      </c>
      <c r="K275" s="129" t="str">
        <f t="shared" si="20"/>
      </c>
      <c r="L275" s="129" t="str">
        <f t="shared" si="20"/>
      </c>
      <c r="M275" s="129" t="str">
        <f t="shared" si="20"/>
      </c>
      <c r="N275" s="129" t="str">
        <f t="shared" si="20"/>
      </c>
      <c r="O275" s="129" t="str">
        <f t="shared" si="20"/>
      </c>
      <c r="P275" s="129" t="str">
        <f t="shared" si="20"/>
      </c>
      <c r="Q275" s="129" t="str">
        <f t="shared" si="20"/>
      </c>
      <c r="R275" s="129" t="str">
        <f t="shared" si="20"/>
      </c>
      <c r="S275" s="129" t="str">
        <f t="shared" si="20"/>
      </c>
      <c r="T275" s="129" t="str">
        <f t="shared" si="20"/>
      </c>
      <c r="U275" s="129" t="str">
        <f t="shared" si="20"/>
      </c>
      <c r="V275" s="129" t="str">
        <f t="shared" si="20"/>
      </c>
      <c r="W275" s="129" t="str">
        <f t="shared" si="20"/>
      </c>
      <c r="X275" s="129" t="str">
        <f t="shared" si="20"/>
      </c>
      <c r="Y275" s="129" t="str">
        <f t="shared" si="20"/>
      </c>
      <c r="Z275" s="129" t="str">
        <f t="shared" si="20"/>
      </c>
      <c r="AA275" s="129" t="str">
        <f t="shared" si="20"/>
      </c>
      <c r="AB275" s="130" t="str">
        <f>IF(SUM(AB256:AB274)&lt;&gt;0,SUM(AB256:AB274),"")</f>
      </c>
      <c r="AC275" s="91" t="str">
        <f ref="AC275:CN275" t="shared" si="21">IF(SUM(AC256:AC274)&lt;&gt;0,SUM(AC256:AC274),"")</f>
      </c>
      <c r="AD275" s="91" t="str">
        <f t="shared" si="21"/>
      </c>
      <c r="AE275" s="91" t="str">
        <f t="shared" si="21"/>
      </c>
      <c r="AF275" s="91" t="str">
        <f t="shared" si="21"/>
      </c>
      <c r="AG275" s="91" t="str">
        <f t="shared" si="21"/>
      </c>
      <c r="AH275" s="91" t="str">
        <f t="shared" si="21"/>
      </c>
      <c r="AI275" s="91" t="str">
        <f t="shared" si="21"/>
      </c>
      <c r="AJ275" s="91" t="str">
        <f t="shared" si="21"/>
      </c>
      <c r="AK275" s="91" t="str">
        <f t="shared" si="21"/>
      </c>
      <c r="AL275" s="91" t="str">
        <f t="shared" si="21"/>
      </c>
      <c r="AM275" s="91" t="str">
        <f t="shared" si="21"/>
      </c>
      <c r="AN275" s="91" t="str">
        <f t="shared" si="21"/>
      </c>
      <c r="AO275" s="91" t="str">
        <f t="shared" si="21"/>
      </c>
      <c r="AP275" s="91" t="str">
        <f t="shared" si="21"/>
      </c>
      <c r="AQ275" s="91" t="str">
        <f t="shared" si="21"/>
      </c>
      <c r="AR275" s="91" t="str">
        <f t="shared" si="21"/>
      </c>
      <c r="AS275" s="91" t="str">
        <f t="shared" si="21"/>
      </c>
      <c r="AT275" s="91" t="str">
        <f t="shared" si="21"/>
      </c>
      <c r="AU275" s="91" t="str">
        <f t="shared" si="21"/>
      </c>
      <c r="AV275" s="91" t="str">
        <f t="shared" si="21"/>
      </c>
      <c r="AW275" s="91" t="str">
        <f t="shared" si="21"/>
      </c>
      <c r="AX275" s="91" t="str">
        <f t="shared" si="21"/>
      </c>
      <c r="AY275" s="91" t="str">
        <f t="shared" si="21"/>
      </c>
      <c r="AZ275" s="91" t="str">
        <f t="shared" si="21"/>
      </c>
      <c r="BA275" s="91" t="str">
        <f t="shared" si="21"/>
      </c>
      <c r="BB275" s="91" t="str">
        <f t="shared" si="21"/>
      </c>
      <c r="BC275" s="91" t="str">
        <f t="shared" si="21"/>
      </c>
      <c r="BD275" s="91" t="str">
        <f t="shared" si="21"/>
      </c>
      <c r="BE275" s="91" t="str">
        <f t="shared" si="21"/>
      </c>
      <c r="BF275" s="91" t="str">
        <f t="shared" si="21"/>
      </c>
      <c r="BG275" s="91" t="str">
        <f t="shared" si="21"/>
      </c>
      <c r="BH275" s="91" t="str">
        <f t="shared" si="21"/>
      </c>
      <c r="BI275" s="91" t="str">
        <f t="shared" si="21"/>
      </c>
      <c r="BJ275" s="91" t="str">
        <f t="shared" si="21"/>
      </c>
      <c r="BK275" s="91" t="str">
        <f t="shared" si="21"/>
      </c>
      <c r="BL275" s="91" t="str">
        <f t="shared" si="21"/>
      </c>
      <c r="BM275" s="91" t="str">
        <f t="shared" si="21"/>
      </c>
      <c r="BN275" s="91" t="str">
        <f t="shared" si="21"/>
      </c>
      <c r="BO275" s="91" t="str">
        <f t="shared" si="21"/>
      </c>
      <c r="BP275" s="91" t="str">
        <f t="shared" si="21"/>
      </c>
      <c r="BQ275" s="91" t="str">
        <f t="shared" si="21"/>
      </c>
      <c r="BR275" s="91" t="str">
        <f t="shared" si="21"/>
      </c>
      <c r="BS275" s="91" t="str">
        <f t="shared" si="21"/>
      </c>
      <c r="BT275" s="91" t="str">
        <f t="shared" si="21"/>
      </c>
      <c r="BU275" s="91" t="str">
        <f t="shared" si="21"/>
      </c>
      <c r="BV275" s="91" t="str">
        <f t="shared" si="21"/>
      </c>
      <c r="BW275" s="91" t="str">
        <f t="shared" si="21"/>
      </c>
      <c r="BX275" s="91" t="str">
        <f t="shared" si="21"/>
      </c>
      <c r="BY275" s="91" t="str">
        <f t="shared" si="21"/>
      </c>
      <c r="BZ275" s="91" t="str">
        <f t="shared" si="21"/>
      </c>
      <c r="CA275" s="91" t="str">
        <f t="shared" si="21"/>
      </c>
      <c r="CB275" s="91" t="str">
        <f t="shared" si="21"/>
      </c>
      <c r="CC275" s="91" t="str">
        <f t="shared" si="21"/>
      </c>
      <c r="CD275" s="91" t="str">
        <f t="shared" si="21"/>
      </c>
      <c r="CE275" s="91" t="str">
        <f t="shared" si="21"/>
      </c>
      <c r="CF275" s="91" t="str">
        <f t="shared" si="21"/>
      </c>
      <c r="CG275" s="91" t="str">
        <f t="shared" si="21"/>
      </c>
      <c r="CH275" s="91" t="str">
        <f t="shared" si="21"/>
      </c>
      <c r="CI275" s="91" t="str">
        <f t="shared" si="21"/>
      </c>
      <c r="CJ275" s="91" t="str">
        <f t="shared" si="21"/>
      </c>
      <c r="CK275" s="91" t="str">
        <f t="shared" si="21"/>
      </c>
      <c r="CL275" s="91" t="str">
        <f t="shared" si="21"/>
      </c>
      <c r="CM275" s="91" t="str">
        <f t="shared" si="21"/>
      </c>
      <c r="CN275" s="91" t="str">
        <f t="shared" si="21"/>
      </c>
      <c r="CO275" s="91" t="str">
        <f ref="CO275:EZ275" t="shared" si="22">IF(SUM(CO256:CO274)&lt;&gt;0,SUM(CO256:CO274),"")</f>
      </c>
      <c r="CP275" s="91" t="str">
        <f t="shared" si="22"/>
      </c>
      <c r="CQ275" s="91" t="str">
        <f t="shared" si="22"/>
      </c>
      <c r="CR275" s="91" t="str">
        <f t="shared" si="22"/>
      </c>
      <c r="CS275" s="91" t="str">
        <f t="shared" si="22"/>
      </c>
      <c r="CT275" s="91" t="str">
        <f t="shared" si="22"/>
      </c>
      <c r="CU275" s="91" t="str">
        <f t="shared" si="22"/>
      </c>
      <c r="CV275" s="91" t="str">
        <f t="shared" si="22"/>
      </c>
      <c r="CW275" s="91" t="str">
        <f t="shared" si="22"/>
      </c>
      <c r="CX275" s="91" t="str">
        <f t="shared" si="22"/>
      </c>
      <c r="CY275" s="91" t="str">
        <f t="shared" si="22"/>
      </c>
      <c r="CZ275" s="91" t="str">
        <f t="shared" si="22"/>
      </c>
      <c r="DA275" s="91" t="str">
        <f t="shared" si="22"/>
      </c>
      <c r="DB275" s="91" t="str">
        <f t="shared" si="22"/>
      </c>
      <c r="DC275" s="91" t="str">
        <f t="shared" si="22"/>
      </c>
      <c r="DD275" s="91" t="str">
        <f t="shared" si="22"/>
      </c>
      <c r="DE275" s="91" t="str">
        <f t="shared" si="22"/>
      </c>
      <c r="DF275" s="91" t="str">
        <f t="shared" si="22"/>
      </c>
      <c r="DG275" s="91" t="str">
        <f t="shared" si="22"/>
      </c>
      <c r="DH275" s="91" t="str">
        <f t="shared" si="22"/>
      </c>
      <c r="DI275" s="91" t="str">
        <f t="shared" si="22"/>
      </c>
      <c r="DJ275" s="91" t="str">
        <f t="shared" si="22"/>
      </c>
      <c r="DK275" s="91" t="str">
        <f t="shared" si="22"/>
      </c>
      <c r="DL275" s="91" t="str">
        <f t="shared" si="22"/>
      </c>
      <c r="DM275" s="91" t="str">
        <f t="shared" si="22"/>
      </c>
      <c r="DN275" s="91" t="str">
        <f t="shared" si="22"/>
      </c>
      <c r="DO275" s="91" t="str">
        <f t="shared" si="22"/>
      </c>
      <c r="DP275" s="91" t="str">
        <f t="shared" si="22"/>
      </c>
      <c r="DQ275" s="91" t="str">
        <f t="shared" si="22"/>
      </c>
      <c r="DR275" s="91" t="str">
        <f t="shared" si="22"/>
      </c>
      <c r="DS275" s="91" t="str">
        <f t="shared" si="22"/>
      </c>
      <c r="DT275" s="91" t="str">
        <f t="shared" si="22"/>
      </c>
      <c r="DU275" s="91" t="str">
        <f t="shared" si="22"/>
      </c>
      <c r="DV275" s="91" t="str">
        <f t="shared" si="22"/>
      </c>
      <c r="DW275" s="91" t="str">
        <f t="shared" si="22"/>
      </c>
      <c r="DX275" s="91" t="str">
        <f t="shared" si="22"/>
      </c>
      <c r="DY275" s="91" t="str">
        <f t="shared" si="22"/>
      </c>
      <c r="DZ275" s="91" t="str">
        <f t="shared" si="22"/>
      </c>
      <c r="EA275" s="91" t="str">
        <f t="shared" si="22"/>
      </c>
      <c r="EB275" s="91" t="str">
        <f t="shared" si="22"/>
      </c>
      <c r="EC275" s="91" t="str">
        <f t="shared" si="22"/>
      </c>
      <c r="ED275" s="91" t="str">
        <f t="shared" si="22"/>
      </c>
      <c r="EE275" s="91" t="str">
        <f t="shared" si="22"/>
      </c>
      <c r="EF275" s="91" t="str">
        <f t="shared" si="22"/>
      </c>
      <c r="EG275" s="91" t="str">
        <f t="shared" si="22"/>
      </c>
      <c r="EH275" s="91" t="str">
        <f t="shared" si="22"/>
      </c>
      <c r="EI275" s="91" t="str">
        <f t="shared" si="22"/>
      </c>
      <c r="EJ275" s="91" t="str">
        <f t="shared" si="22"/>
      </c>
      <c r="EK275" s="91" t="str">
        <f t="shared" si="22"/>
      </c>
      <c r="EL275" s="91" t="str">
        <f t="shared" si="22"/>
      </c>
      <c r="EM275" s="91" t="str">
        <f t="shared" si="22"/>
      </c>
      <c r="EN275" s="91" t="str">
        <f t="shared" si="22"/>
      </c>
      <c r="EO275" s="91" t="str">
        <f t="shared" si="22"/>
      </c>
      <c r="EP275" s="91" t="str">
        <f t="shared" si="22"/>
      </c>
      <c r="EQ275" s="91" t="str">
        <f t="shared" si="22"/>
      </c>
      <c r="ER275" s="91" t="str">
        <f t="shared" si="22"/>
      </c>
      <c r="ES275" s="91" t="str">
        <f t="shared" si="22"/>
      </c>
      <c r="ET275" s="91" t="str">
        <f t="shared" si="22"/>
      </c>
      <c r="EU275" s="91" t="str">
        <f t="shared" si="22"/>
      </c>
      <c r="EV275" s="91" t="str">
        <f t="shared" si="22"/>
      </c>
      <c r="EW275" s="91" t="str">
        <f t="shared" si="22"/>
      </c>
      <c r="EX275" s="91" t="str">
        <f t="shared" si="22"/>
      </c>
      <c r="EY275" s="91" t="str">
        <f t="shared" si="22"/>
      </c>
      <c r="EZ275" s="91" t="str">
        <f t="shared" si="22"/>
      </c>
      <c r="FA275" s="91" t="str">
        <f ref="FA275:HL275" t="shared" si="23">IF(SUM(FA256:FA274)&lt;&gt;0,SUM(FA256:FA274),"")</f>
      </c>
      <c r="FB275" s="91" t="str">
        <f t="shared" si="23"/>
      </c>
      <c r="FC275" s="91" t="str">
        <f t="shared" si="23"/>
      </c>
      <c r="FD275" s="91" t="str">
        <f t="shared" si="23"/>
      </c>
      <c r="FE275" s="91" t="str">
        <f t="shared" si="23"/>
      </c>
      <c r="FF275" s="91" t="str">
        <f t="shared" si="23"/>
      </c>
      <c r="FG275" s="91" t="str">
        <f t="shared" si="23"/>
      </c>
      <c r="FH275" s="91" t="str">
        <f t="shared" si="23"/>
      </c>
      <c r="FI275" s="91" t="str">
        <f t="shared" si="23"/>
      </c>
      <c r="FJ275" s="91" t="str">
        <f t="shared" si="23"/>
      </c>
      <c r="FK275" s="91" t="str">
        <f t="shared" si="23"/>
      </c>
      <c r="FL275" s="91" t="str">
        <f t="shared" si="23"/>
      </c>
      <c r="FM275" s="91" t="str">
        <f t="shared" si="23"/>
      </c>
      <c r="FN275" s="91" t="str">
        <f t="shared" si="23"/>
      </c>
      <c r="FO275" s="91" t="str">
        <f t="shared" si="23"/>
      </c>
      <c r="FP275" s="91" t="str">
        <f t="shared" si="23"/>
      </c>
      <c r="FQ275" s="91" t="str">
        <f t="shared" si="23"/>
      </c>
      <c r="FR275" s="91" t="str">
        <f t="shared" si="23"/>
      </c>
      <c r="FS275" s="91" t="str">
        <f t="shared" si="23"/>
      </c>
      <c r="FT275" s="91" t="str">
        <f t="shared" si="23"/>
      </c>
      <c r="FU275" s="91" t="str">
        <f t="shared" si="23"/>
      </c>
      <c r="FV275" s="91" t="str">
        <f t="shared" si="23"/>
      </c>
      <c r="FW275" s="91" t="str">
        <f t="shared" si="23"/>
      </c>
      <c r="FX275" s="91" t="str">
        <f t="shared" si="23"/>
      </c>
      <c r="FY275" s="91" t="str">
        <f t="shared" si="23"/>
      </c>
      <c r="FZ275" s="91" t="str">
        <f t="shared" si="23"/>
      </c>
      <c r="GA275" s="91" t="str">
        <f t="shared" si="23"/>
      </c>
      <c r="GB275" s="91" t="str">
        <f t="shared" si="23"/>
      </c>
      <c r="GC275" s="91" t="str">
        <f t="shared" si="23"/>
      </c>
      <c r="GD275" s="91" t="str">
        <f t="shared" si="23"/>
      </c>
      <c r="GE275" s="91" t="str">
        <f t="shared" si="23"/>
      </c>
      <c r="GF275" s="91" t="str">
        <f t="shared" si="23"/>
      </c>
      <c r="GG275" s="91" t="str">
        <f t="shared" si="23"/>
      </c>
      <c r="GH275" s="91" t="str">
        <f t="shared" si="23"/>
      </c>
      <c r="GI275" s="91" t="str">
        <f t="shared" si="23"/>
      </c>
      <c r="GJ275" s="91" t="str">
        <f t="shared" si="23"/>
      </c>
      <c r="GK275" s="91" t="str">
        <f t="shared" si="23"/>
      </c>
      <c r="GL275" s="91" t="str">
        <f t="shared" si="23"/>
      </c>
      <c r="GM275" s="91" t="str">
        <f t="shared" si="23"/>
      </c>
      <c r="GN275" s="91" t="str">
        <f t="shared" si="23"/>
      </c>
      <c r="GO275" s="91" t="str">
        <f t="shared" si="23"/>
      </c>
      <c r="GP275" s="91" t="str">
        <f t="shared" si="23"/>
      </c>
      <c r="GQ275" s="91" t="str">
        <f t="shared" si="23"/>
      </c>
      <c r="GR275" s="91" t="str">
        <f t="shared" si="23"/>
      </c>
      <c r="GS275" s="91" t="str">
        <f t="shared" si="23"/>
      </c>
      <c r="GT275" s="91" t="str">
        <f t="shared" si="23"/>
      </c>
      <c r="GU275" s="91" t="str">
        <f t="shared" si="23"/>
      </c>
      <c r="GV275" s="91" t="str">
        <f t="shared" si="23"/>
      </c>
      <c r="GW275" s="91" t="str">
        <f t="shared" si="23"/>
      </c>
      <c r="GX275" s="91" t="str">
        <f t="shared" si="23"/>
      </c>
      <c r="GY275" s="91" t="str">
        <f t="shared" si="23"/>
      </c>
      <c r="GZ275" s="91" t="str">
        <f t="shared" si="23"/>
      </c>
      <c r="HA275" s="91" t="str">
        <f t="shared" si="23"/>
      </c>
      <c r="HB275" s="91" t="str">
        <f t="shared" si="23"/>
      </c>
      <c r="HC275" s="91" t="str">
        <f t="shared" si="23"/>
      </c>
      <c r="HD275" s="91" t="str">
        <f t="shared" si="23"/>
      </c>
      <c r="HE275" s="91" t="str">
        <f t="shared" si="23"/>
      </c>
      <c r="HF275" s="91" t="str">
        <f t="shared" si="23"/>
      </c>
      <c r="HG275" s="91" t="str">
        <f t="shared" si="23"/>
      </c>
      <c r="HH275" s="91" t="str">
        <f t="shared" si="23"/>
      </c>
      <c r="HI275" s="91" t="str">
        <f t="shared" si="23"/>
      </c>
      <c r="HJ275" s="91" t="str">
        <f t="shared" si="23"/>
      </c>
      <c r="HK275" s="91" t="str">
        <f t="shared" si="23"/>
      </c>
      <c r="HL275" s="91" t="str">
        <f t="shared" si="23"/>
      </c>
      <c r="HM275" s="91" t="str">
        <f ref="HM275:IV275" t="shared" si="24">IF(SUM(HM256:HM274)&lt;&gt;0,SUM(HM256:HM274),"")</f>
      </c>
      <c r="HN275" s="91" t="str">
        <f t="shared" si="24"/>
      </c>
      <c r="HO275" s="91" t="str">
        <f t="shared" si="24"/>
      </c>
      <c r="HP275" s="91" t="str">
        <f t="shared" si="24"/>
      </c>
      <c r="HQ275" s="91" t="str">
        <f t="shared" si="24"/>
      </c>
      <c r="HR275" s="91" t="str">
        <f t="shared" si="24"/>
      </c>
      <c r="HS275" s="91" t="str">
        <f t="shared" si="24"/>
      </c>
      <c r="HT275" s="91" t="str">
        <f t="shared" si="24"/>
      </c>
      <c r="HU275" s="91" t="str">
        <f t="shared" si="24"/>
      </c>
      <c r="HV275" s="91" t="str">
        <f t="shared" si="24"/>
      </c>
      <c r="HW275" s="91" t="str">
        <f t="shared" si="24"/>
      </c>
      <c r="HX275" s="91" t="str">
        <f t="shared" si="24"/>
      </c>
      <c r="HY275" s="91" t="str">
        <f t="shared" si="24"/>
      </c>
      <c r="HZ275" s="91" t="str">
        <f t="shared" si="24"/>
      </c>
      <c r="IA275" s="91" t="str">
        <f t="shared" si="24"/>
      </c>
      <c r="IB275" s="91" t="str">
        <f t="shared" si="24"/>
      </c>
      <c r="IC275" s="91" t="str">
        <f t="shared" si="24"/>
      </c>
      <c r="ID275" s="91" t="str">
        <f t="shared" si="24"/>
      </c>
      <c r="IE275" s="91" t="str">
        <f t="shared" si="24"/>
      </c>
      <c r="IF275" s="91" t="str">
        <f t="shared" si="24"/>
      </c>
      <c r="IG275" s="91" t="str">
        <f t="shared" si="24"/>
      </c>
      <c r="IH275" s="91" t="str">
        <f t="shared" si="24"/>
      </c>
      <c r="II275" s="91" t="str">
        <f t="shared" si="24"/>
      </c>
      <c r="IJ275" s="91" t="str">
        <f t="shared" si="24"/>
      </c>
      <c r="IK275" s="91" t="str">
        <f t="shared" si="24"/>
      </c>
      <c r="IL275" s="91" t="str">
        <f t="shared" si="24"/>
      </c>
      <c r="IM275" s="91" t="str">
        <f t="shared" si="24"/>
      </c>
      <c r="IN275" s="91" t="str">
        <f t="shared" si="24"/>
      </c>
      <c r="IO275" s="91" t="str">
        <f t="shared" si="24"/>
      </c>
      <c r="IP275" s="91" t="str">
        <f t="shared" si="24"/>
      </c>
      <c r="IQ275" s="91" t="str">
        <f t="shared" si="24"/>
      </c>
      <c r="IR275" s="91" t="str">
        <f t="shared" si="24"/>
      </c>
      <c r="IS275" s="91" t="str">
        <f t="shared" si="24"/>
      </c>
      <c r="IT275" s="91" t="str">
        <f t="shared" si="24"/>
      </c>
      <c r="IU275" s="91" t="str">
        <f t="shared" si="24"/>
      </c>
      <c r="IV275" s="91" t="str">
        <f t="shared" si="24"/>
      </c>
    </row>
    <row r="276" hidden="1" ht="15.95" customHeight="1">
      <c r="B276" s="274"/>
      <c r="C276" s="247"/>
      <c r="D276" s="247"/>
      <c r="E276" s="247"/>
      <c r="F276" s="247"/>
      <c r="G276" s="247"/>
      <c r="H276" s="247"/>
      <c r="I276" s="247"/>
      <c r="J276" s="247"/>
      <c r="K276" s="247"/>
      <c r="N276" s="275"/>
    </row>
    <row r="277" hidden="1" ht="15.95" customHeight="1">
      <c r="B277" s="274"/>
      <c r="C277" s="659" t="s">
        <v>199</v>
      </c>
      <c r="D277" s="660"/>
      <c r="E277" s="660"/>
      <c r="F277" s="660"/>
      <c r="G277" s="660"/>
      <c r="H277" s="660"/>
      <c r="I277" s="660"/>
      <c r="J277" s="660"/>
      <c r="K277" s="660"/>
      <c r="L277" s="660"/>
      <c r="M277" s="660"/>
      <c r="N277" s="660"/>
      <c r="O277" s="660"/>
      <c r="P277" s="660"/>
      <c r="Q277" s="660"/>
      <c r="R277" s="660"/>
      <c r="S277" s="660"/>
      <c r="T277" s="660"/>
      <c r="U277" s="660"/>
      <c r="V277" s="660"/>
      <c r="W277" s="660"/>
      <c r="X277" s="660"/>
      <c r="Y277" s="660"/>
      <c r="Z277" s="660"/>
      <c r="AA277" s="660"/>
      <c r="AB277" s="661"/>
    </row>
    <row r="278" hidden="1" ht="15.95" customHeight="1">
      <c r="C278" s="435" t="str">
        <f> IF(C298&lt;&gt;"",TEXT(AUX!G$1,"dd-MMM-aa"),"")</f>
      </c>
      <c r="D278" s="435" t="str">
        <f> IF(D298&lt;&gt;"",TEXT(AUX!H$1,"dd-MMM-aa"),"")</f>
      </c>
      <c r="E278" s="435" t="str">
        <f> IF(E298&lt;&gt;"",TEXT(AUX!I$1,"dd-MMM-aa"),"")</f>
      </c>
      <c r="F278" s="435" t="str">
        <f> IF(F298&lt;&gt;"",TEXT(AUX!J$1,"dd-MMM-aa"),"")</f>
      </c>
      <c r="G278" s="435" t="str">
        <f> IF(G298&lt;&gt;"",TEXT(AUX!K$1,"dd-MMM-aa"),"")</f>
      </c>
      <c r="H278" s="435" t="str">
        <f> IF(H298&lt;&gt;"",TEXT(AUX!L$1,"dd-MMM-aa"),"")</f>
      </c>
      <c r="I278" s="435" t="str">
        <f> IF(I298&lt;&gt;"",TEXT(AUX!M$1,"dd-MMM-aa"),"")</f>
      </c>
      <c r="J278" s="435" t="str">
        <f> IF(J298&lt;&gt;"",TEXT(AUX!N$1,"dd-MMM-aa"),"")</f>
      </c>
      <c r="K278" s="435" t="str">
        <f> IF(K298&lt;&gt;"",TEXT(AUX!O$1,"dd-MMM-aa"),"")</f>
      </c>
      <c r="L278" s="435" t="str">
        <f> IF(L298&lt;&gt;"",TEXT(AUX!P$1,"dd-MMM-aa"),"")</f>
      </c>
      <c r="M278" s="435" t="str">
        <f> IF(M298&lt;&gt;"",TEXT(AUX!Q$1,"dd-MMM-aa"),"")</f>
      </c>
      <c r="N278" s="435" t="str">
        <f> IF(N298&lt;&gt;"",TEXT(AUX!R$1,"dd-MMM-aa"),"")</f>
      </c>
      <c r="O278" s="435" t="str">
        <f> IF(O298&lt;&gt;"",TEXT(AUX!S$1,"dd-MMM-aa"),"")</f>
      </c>
      <c r="P278" s="435" t="str">
        <f> IF(P298&lt;&gt;"",TEXT(AUX!T$1,"dd-MMM-aa"),"")</f>
      </c>
      <c r="Q278" s="435" t="str">
        <f> IF(Q298&lt;&gt;"",TEXT(AUX!U$1,"dd-MMM-aa"),"")</f>
      </c>
      <c r="R278" s="435" t="str">
        <f> IF(R298&lt;&gt;"",TEXT(AUX!V$1,"dd-MMM-aa"),"")</f>
      </c>
      <c r="S278" s="435" t="str">
        <f> IF(S298&lt;&gt;"",TEXT(AUX!W$1,"dd-MMM-aa"),"")</f>
      </c>
      <c r="T278" s="435" t="str">
        <f> IF(T298&lt;&gt;"",TEXT(AUX!X$1,"dd-MMM-aa"),"")</f>
      </c>
      <c r="U278" s="435" t="str">
        <f> IF(U298&lt;&gt;"",TEXT(AUX!Y$1,"dd-MMM-aa"),"")</f>
      </c>
      <c r="V278" s="435" t="str">
        <f> IF(V298&lt;&gt;"",TEXT(AUX!Z$1,"dd-MMM-aa"),"")</f>
      </c>
      <c r="W278" s="435" t="str">
        <f> IF(W298&lt;&gt;"",TEXT(AUX!AA$1,"dd-MMM-aa"),"")</f>
      </c>
      <c r="X278" s="435" t="str">
        <f> IF(X298&lt;&gt;"",TEXT(AUX!AB$1,"dd-MMM-aa"),"")</f>
      </c>
      <c r="Y278" s="435" t="str">
        <f> IF(Y298&lt;&gt;"",TEXT(AUX!AC$1,"dd-MMM-aa"),"")</f>
      </c>
      <c r="Z278" s="435" t="str">
        <f> IF(Z298&lt;&gt;"",TEXT(AUX!AD$1,"dd-MMM-aa"),"")</f>
      </c>
      <c r="AA278" s="435" t="str">
        <f> IF(AA298&lt;&gt;"",TEXT(AUX!AE$1,"dd-MMM-aa"),"")</f>
      </c>
      <c r="AB278" s="497" t="str">
        <f> IF(AB298&lt;&gt;"",TEXT(AUX!AF$1,"dd-MMM-aa"),"")</f>
      </c>
      <c r="AC278" s="496" t="str">
        <f> IF(AC298&lt;&gt;"",TEXT(AUX!AG$1,"dd-MMM-aa"),"")</f>
      </c>
      <c r="AD278" s="496" t="str">
        <f> IF(AD298&lt;&gt;"",TEXT(AUX!AH$1,"dd-MMM-aa"),"")</f>
      </c>
      <c r="AE278" s="496" t="str">
        <f> IF(AE298&lt;&gt;"",TEXT(AUX!AI$1,"dd-MMM-aa"),"")</f>
      </c>
      <c r="AF278" s="496" t="str">
        <f> IF(AF298&lt;&gt;"",TEXT(AUX!AJ$1,"dd-MMM-aa"),"")</f>
      </c>
      <c r="AG278" s="496" t="str">
        <f> IF(AG298&lt;&gt;"",TEXT(AUX!AK$1,"dd-MMM-aa"),"")</f>
      </c>
      <c r="AH278" s="496" t="str">
        <f> IF(AH298&lt;&gt;"",TEXT(AUX!AL$1,"dd-MMM-aa"),"")</f>
      </c>
      <c r="AI278" s="496" t="str">
        <f> IF(AI298&lt;&gt;"",TEXT(AUX!AM$1,"dd-MMM-aa"),"")</f>
      </c>
      <c r="AJ278" s="496" t="str">
        <f> IF(AJ298&lt;&gt;"",TEXT(AUX!AN$1,"dd-MMM-aa"),"")</f>
      </c>
      <c r="AK278" s="496" t="str">
        <f> IF(AK298&lt;&gt;"",TEXT(AUX!AO$1,"dd-MMM-aa"),"")</f>
      </c>
      <c r="AL278" s="496" t="str">
        <f> IF(AL298&lt;&gt;"",TEXT(AUX!AP$1,"dd-MMM-aa"),"")</f>
      </c>
      <c r="AM278" s="496" t="str">
        <f> IF(AM298&lt;&gt;"",TEXT(AUX!AQ$1,"dd-MMM-aa"),"")</f>
      </c>
      <c r="AN278" s="496" t="str">
        <f> IF(AN298&lt;&gt;"",TEXT(AUX!AR$1,"dd-MMM-aa"),"")</f>
      </c>
      <c r="AO278" s="496" t="str">
        <f> IF(AO298&lt;&gt;"",TEXT(AUX!AS$1,"dd-MMM-aa"),"")</f>
      </c>
      <c r="AP278" s="496" t="str">
        <f> IF(AP298&lt;&gt;"",TEXT(AUX!AT$1,"dd-MMM-aa"),"")</f>
      </c>
      <c r="AQ278" s="496" t="str">
        <f> IF(AQ298&lt;&gt;"",TEXT(AUX!AU$1,"dd-MMM-aa"),"")</f>
      </c>
      <c r="AR278" s="496" t="str">
        <f> IF(AR298&lt;&gt;"",TEXT(AUX!AV$1,"dd-MMM-aa"),"")</f>
      </c>
      <c r="AS278" s="496" t="str">
        <f> IF(AS298&lt;&gt;"",TEXT(AUX!AW$1,"dd-MMM-aa"),"")</f>
      </c>
      <c r="AT278" s="496" t="str">
        <f> IF(AT298&lt;&gt;"",TEXT(AUX!AX$1,"dd-MMM-aa"),"")</f>
      </c>
      <c r="AU278" s="496" t="str">
        <f> IF(AU298&lt;&gt;"",TEXT(AUX!AY$1,"dd-MMM-aa"),"")</f>
      </c>
      <c r="AV278" s="496" t="str">
        <f> IF(AV298&lt;&gt;"",TEXT(AUX!AZ$1,"dd-MMM-aa"),"")</f>
      </c>
      <c r="AW278" s="496" t="str">
        <f> IF(AW298&lt;&gt;"",TEXT(AUX!BA$1,"dd-MMM-aa"),"")</f>
      </c>
      <c r="AX278" s="496" t="str">
        <f> IF(AX298&lt;&gt;"",TEXT(AUX!BB$1,"dd-MMM-aa"),"")</f>
      </c>
      <c r="AY278" s="496" t="str">
        <f> IF(AY298&lt;&gt;"",TEXT(AUX!BC$1,"dd-MMM-aa"),"")</f>
      </c>
      <c r="AZ278" s="496" t="str">
        <f> IF(AZ298&lt;&gt;"",TEXT(AUX!BD$1,"dd-MMM-aa"),"")</f>
      </c>
      <c r="BA278" s="496" t="str">
        <f> IF(BA298&lt;&gt;"",TEXT(AUX!BE$1,"dd-MMM-aa"),"")</f>
      </c>
      <c r="BB278" s="496" t="str">
        <f> IF(BB298&lt;&gt;"",TEXT(AUX!BF$1,"dd-MMM-aa"),"")</f>
      </c>
      <c r="BC278" s="496" t="str">
        <f> IF(BC298&lt;&gt;"",TEXT(AUX!BG$1,"dd-MMM-aa"),"")</f>
      </c>
      <c r="BD278" s="496" t="str">
        <f> IF(BD298&lt;&gt;"",TEXT(AUX!BH$1,"dd-MMM-aa"),"")</f>
      </c>
      <c r="BE278" s="496" t="str">
        <f> IF(BE298&lt;&gt;"",TEXT(AUX!BI$1,"dd-MMM-aa"),"")</f>
      </c>
      <c r="BF278" s="496" t="str">
        <f> IF(BF298&lt;&gt;"",TEXT(AUX!BJ$1,"dd-MMM-aa"),"")</f>
      </c>
      <c r="BG278" s="496" t="str">
        <f> IF(BG298&lt;&gt;"",TEXT(AUX!BK$1,"dd-MMM-aa"),"")</f>
      </c>
      <c r="BH278" s="496" t="str">
        <f> IF(BH298&lt;&gt;"",TEXT(AUX!BL$1,"dd-MMM-aa"),"")</f>
      </c>
      <c r="BI278" s="496" t="str">
        <f> IF(BI298&lt;&gt;"",TEXT(AUX!BM$1,"dd-MMM-aa"),"")</f>
      </c>
      <c r="BJ278" s="496" t="str">
        <f> IF(BJ298&lt;&gt;"",TEXT(AUX!BN$1,"dd-MMM-aa"),"")</f>
      </c>
      <c r="BK278" s="496" t="str">
        <f> IF(BK298&lt;&gt;"",TEXT(AUX!BO$1,"dd-MMM-aa"),"")</f>
      </c>
      <c r="BL278" s="496" t="str">
        <f> IF(BL298&lt;&gt;"",TEXT(AUX!BP$1,"dd-MMM-aa"),"")</f>
      </c>
      <c r="BM278" s="496" t="str">
        <f> IF(BM298&lt;&gt;"",TEXT(AUX!BQ$1,"dd-MMM-aa"),"")</f>
      </c>
      <c r="BN278" s="496" t="str">
        <f> IF(BN298&lt;&gt;"",TEXT(AUX!BR$1,"dd-MMM-aa"),"")</f>
      </c>
      <c r="BO278" s="496" t="str">
        <f> IF(BO298&lt;&gt;"",TEXT(AUX!BS$1,"dd-MMM-aa"),"")</f>
      </c>
      <c r="BP278" s="496" t="str">
        <f> IF(BP298&lt;&gt;"",TEXT(AUX!BT$1,"dd-MMM-aa"),"")</f>
      </c>
      <c r="BQ278" s="496" t="str">
        <f> IF(BQ298&lt;&gt;"",TEXT(AUX!BU$1,"dd-MMM-aa"),"")</f>
      </c>
      <c r="BR278" s="496" t="str">
        <f> IF(BR298&lt;&gt;"",TEXT(AUX!BV$1,"dd-MMM-aa"),"")</f>
      </c>
      <c r="BS278" s="496" t="str">
        <f> IF(BS298&lt;&gt;"",TEXT(AUX!BW$1,"dd-MMM-aa"),"")</f>
      </c>
      <c r="BT278" s="496" t="str">
        <f> IF(BT298&lt;&gt;"",TEXT(AUX!BX$1,"dd-MMM-aa"),"")</f>
      </c>
      <c r="BU278" s="496" t="str">
        <f> IF(BU298&lt;&gt;"",TEXT(AUX!BY$1,"dd-MMM-aa"),"")</f>
      </c>
      <c r="BV278" s="496" t="str">
        <f> IF(BV298&lt;&gt;"",TEXT(AUX!BZ$1,"dd-MMM-aa"),"")</f>
      </c>
      <c r="BW278" s="496" t="str">
        <f> IF(BW298&lt;&gt;"",TEXT(AUX!CA$1,"dd-MMM-aa"),"")</f>
      </c>
      <c r="BX278" s="496" t="str">
        <f> IF(BX298&lt;&gt;"",TEXT(AUX!CB$1,"dd-MMM-aa"),"")</f>
      </c>
      <c r="BY278" s="496" t="str">
        <f> IF(BY298&lt;&gt;"",TEXT(AUX!CC$1,"dd-MMM-aa"),"")</f>
      </c>
      <c r="BZ278" s="496" t="str">
        <f> IF(BZ298&lt;&gt;"",TEXT(AUX!CD$1,"dd-MMM-aa"),"")</f>
      </c>
      <c r="CA278" s="496" t="str">
        <f> IF(CA298&lt;&gt;"",TEXT(AUX!CE$1,"dd-MMM-aa"),"")</f>
      </c>
      <c r="CB278" s="496" t="str">
        <f> IF(CB298&lt;&gt;"",TEXT(AUX!CF$1,"dd-MMM-aa"),"")</f>
      </c>
      <c r="CC278" s="496" t="str">
        <f> IF(CC298&lt;&gt;"",TEXT(AUX!CG$1,"dd-MMM-aa"),"")</f>
      </c>
      <c r="CD278" s="496" t="str">
        <f> IF(CD298&lt;&gt;"",TEXT(AUX!CH$1,"dd-MMM-aa"),"")</f>
      </c>
      <c r="CE278" s="496" t="str">
        <f> IF(CE298&lt;&gt;"",TEXT(AUX!CI$1,"dd-MMM-aa"),"")</f>
      </c>
      <c r="CF278" s="496" t="str">
        <f> IF(CF298&lt;&gt;"",TEXT(AUX!CJ$1,"dd-MMM-aa"),"")</f>
      </c>
      <c r="CG278" s="496" t="str">
        <f> IF(CG298&lt;&gt;"",TEXT(AUX!CK$1,"dd-MMM-aa"),"")</f>
      </c>
      <c r="CH278" s="496" t="str">
        <f> IF(CH298&lt;&gt;"",TEXT(AUX!CL$1,"dd-MMM-aa"),"")</f>
      </c>
      <c r="CI278" s="496" t="str">
        <f> IF(CI298&lt;&gt;"",TEXT(AUX!CM$1,"dd-MMM-aa"),"")</f>
      </c>
      <c r="CJ278" s="496" t="str">
        <f> IF(CJ298&lt;&gt;"",TEXT(AUX!CN$1,"dd-MMM-aa"),"")</f>
      </c>
      <c r="CK278" s="496" t="str">
        <f> IF(CK298&lt;&gt;"",TEXT(AUX!CO$1,"dd-MMM-aa"),"")</f>
      </c>
      <c r="CL278" s="496" t="str">
        <f> IF(CL298&lt;&gt;"",TEXT(AUX!CP$1,"dd-MMM-aa"),"")</f>
      </c>
      <c r="CM278" s="496" t="str">
        <f> IF(CM298&lt;&gt;"",TEXT(AUX!CQ$1,"dd-MMM-aa"),"")</f>
      </c>
      <c r="CN278" s="496" t="str">
        <f> IF(CN298&lt;&gt;"",TEXT(AUX!CR$1,"dd-MMM-aa"),"")</f>
      </c>
      <c r="CO278" s="496" t="str">
        <f> IF(CO298&lt;&gt;"",TEXT(AUX!CS$1,"dd-MMM-aa"),"")</f>
      </c>
      <c r="CP278" s="496" t="str">
        <f> IF(CP298&lt;&gt;"",TEXT(AUX!CT$1,"dd-MMM-aa"),"")</f>
      </c>
      <c r="CQ278" s="496" t="str">
        <f> IF(CQ298&lt;&gt;"",TEXT(AUX!CU$1,"dd-MMM-aa"),"")</f>
      </c>
      <c r="CR278" s="496" t="str">
        <f> IF(CR298&lt;&gt;"",TEXT(AUX!CV$1,"dd-MMM-aa"),"")</f>
      </c>
      <c r="CS278" s="496" t="str">
        <f> IF(CS298&lt;&gt;"",TEXT(AUX!CW$1,"dd-MMM-aa"),"")</f>
      </c>
      <c r="CT278" s="496" t="str">
        <f> IF(CT298&lt;&gt;"",TEXT(AUX!CX$1,"dd-MMM-aa"),"")</f>
      </c>
      <c r="CU278" s="496" t="str">
        <f> IF(CU298&lt;&gt;"",TEXT(AUX!CY$1,"dd-MMM-aa"),"")</f>
      </c>
      <c r="CV278" s="496" t="str">
        <f> IF(CV298&lt;&gt;"",TEXT(AUX!CZ$1,"dd-MMM-aa"),"")</f>
      </c>
      <c r="CW278" s="496" t="str">
        <f> IF(CW298&lt;&gt;"",TEXT(AUX!DA$1,"dd-MMM-aa"),"")</f>
      </c>
      <c r="CX278" s="496" t="str">
        <f> IF(CX298&lt;&gt;"",TEXT(AUX!DB$1,"dd-MMM-aa"),"")</f>
      </c>
      <c r="CY278" s="496" t="str">
        <f> IF(CY298&lt;&gt;"",TEXT(AUX!DC$1,"dd-MMM-aa"),"")</f>
      </c>
      <c r="CZ278" s="496" t="str">
        <f> IF(CZ298&lt;&gt;"",TEXT(AUX!DD$1,"dd-MMM-aa"),"")</f>
      </c>
      <c r="DA278" s="496" t="str">
        <f> IF(DA298&lt;&gt;"",TEXT(AUX!DE$1,"dd-MMM-aa"),"")</f>
      </c>
      <c r="DB278" s="496" t="str">
        <f> IF(DB298&lt;&gt;"",TEXT(AUX!DF$1,"dd-MMM-aa"),"")</f>
      </c>
      <c r="DC278" s="496" t="str">
        <f> IF(DC298&lt;&gt;"",TEXT(AUX!DG$1,"dd-MMM-aa"),"")</f>
      </c>
      <c r="DD278" s="496" t="str">
        <f> IF(DD298&lt;&gt;"",TEXT(AUX!DH$1,"dd-MMM-aa"),"")</f>
      </c>
      <c r="DE278" s="496" t="str">
        <f> IF(DE298&lt;&gt;"",TEXT(AUX!DI$1,"dd-MMM-aa"),"")</f>
      </c>
      <c r="DF278" s="496" t="str">
        <f> IF(DF298&lt;&gt;"",TEXT(AUX!DJ$1,"dd-MMM-aa"),"")</f>
      </c>
      <c r="DG278" s="496" t="str">
        <f> IF(DG298&lt;&gt;"",TEXT(AUX!DK$1,"dd-MMM-aa"),"")</f>
      </c>
      <c r="DH278" s="496" t="str">
        <f> IF(DH298&lt;&gt;"",TEXT(AUX!DL$1,"dd-MMM-aa"),"")</f>
      </c>
      <c r="DI278" s="496" t="str">
        <f> IF(DI298&lt;&gt;"",TEXT(AUX!DM$1,"dd-MMM-aa"),"")</f>
      </c>
      <c r="DJ278" s="496" t="str">
        <f> IF(DJ298&lt;&gt;"",TEXT(AUX!DN$1,"dd-MMM-aa"),"")</f>
      </c>
      <c r="DK278" s="496" t="str">
        <f> IF(DK298&lt;&gt;"",TEXT(AUX!DO$1,"dd-MMM-aa"),"")</f>
      </c>
      <c r="DL278" s="496" t="str">
        <f> IF(DL298&lt;&gt;"",TEXT(AUX!DP$1,"dd-MMM-aa"),"")</f>
      </c>
      <c r="DM278" s="496" t="str">
        <f> IF(DM298&lt;&gt;"",TEXT(AUX!DQ$1,"dd-MMM-aa"),"")</f>
      </c>
      <c r="DN278" s="496" t="str">
        <f> IF(DN298&lt;&gt;"",TEXT(AUX!DR$1,"dd-MMM-aa"),"")</f>
      </c>
      <c r="DO278" s="496" t="str">
        <f> IF(DO298&lt;&gt;"",TEXT(AUX!DS$1,"dd-MMM-aa"),"")</f>
      </c>
      <c r="DP278" s="496" t="str">
        <f> IF(DP298&lt;&gt;"",TEXT(AUX!DT$1,"dd-MMM-aa"),"")</f>
      </c>
      <c r="DQ278" s="496" t="str">
        <f> IF(DQ298&lt;&gt;"",TEXT(AUX!DU$1,"dd-MMM-aa"),"")</f>
      </c>
      <c r="DR278" s="496" t="str">
        <f> IF(DR298&lt;&gt;"",TEXT(AUX!DV$1,"dd-MMM-aa"),"")</f>
      </c>
      <c r="DS278" s="496" t="str">
        <f> IF(DS298&lt;&gt;"",TEXT(AUX!DW$1,"dd-MMM-aa"),"")</f>
      </c>
      <c r="DT278" s="496" t="str">
        <f> IF(DT298&lt;&gt;"",TEXT(AUX!DX$1,"dd-MMM-aa"),"")</f>
      </c>
      <c r="DU278" s="496" t="str">
        <f> IF(DU298&lt;&gt;"",TEXT(AUX!DY$1,"dd-MMM-aa"),"")</f>
      </c>
      <c r="DV278" s="496" t="str">
        <f> IF(DV298&lt;&gt;"",TEXT(AUX!DZ$1,"dd-MMM-aa"),"")</f>
      </c>
      <c r="DW278" s="496" t="str">
        <f> IF(DW298&lt;&gt;"",TEXT(AUX!EA$1,"dd-MMM-aa"),"")</f>
      </c>
      <c r="DX278" s="496" t="str">
        <f> IF(DX298&lt;&gt;"",TEXT(AUX!EB$1,"dd-MMM-aa"),"")</f>
      </c>
      <c r="DY278" s="496" t="str">
        <f> IF(DY298&lt;&gt;"",TEXT(AUX!EC$1,"dd-MMM-aa"),"")</f>
      </c>
      <c r="DZ278" s="496" t="str">
        <f> IF(DZ298&lt;&gt;"",TEXT(AUX!ED$1,"dd-MMM-aa"),"")</f>
      </c>
      <c r="EA278" s="496" t="str">
        <f> IF(EA298&lt;&gt;"",TEXT(AUX!EE$1,"dd-MMM-aa"),"")</f>
      </c>
      <c r="EB278" s="496" t="str">
        <f> IF(EB298&lt;&gt;"",TEXT(AUX!EF$1,"dd-MMM-aa"),"")</f>
      </c>
      <c r="EC278" s="496" t="str">
        <f> IF(EC298&lt;&gt;"",TEXT(AUX!EG$1,"dd-MMM-aa"),"")</f>
      </c>
      <c r="ED278" s="496" t="str">
        <f> IF(ED298&lt;&gt;"",TEXT(AUX!EH$1,"dd-MMM-aa"),"")</f>
      </c>
      <c r="EE278" s="496" t="str">
        <f> IF(EE298&lt;&gt;"",TEXT(AUX!EI$1,"dd-MMM-aa"),"")</f>
      </c>
      <c r="EF278" s="496" t="str">
        <f> IF(EF298&lt;&gt;"",TEXT(AUX!EJ$1,"dd-MMM-aa"),"")</f>
      </c>
      <c r="EG278" s="496" t="str">
        <f> IF(EG298&lt;&gt;"",TEXT(AUX!EK$1,"dd-MMM-aa"),"")</f>
      </c>
      <c r="EH278" s="496" t="str">
        <f> IF(EH298&lt;&gt;"",TEXT(AUX!EL$1,"dd-MMM-aa"),"")</f>
      </c>
      <c r="EI278" s="496" t="str">
        <f> IF(EI298&lt;&gt;"",TEXT(AUX!EM$1,"dd-MMM-aa"),"")</f>
      </c>
      <c r="EJ278" s="496" t="str">
        <f> IF(EJ298&lt;&gt;"",TEXT(AUX!EN$1,"dd-MMM-aa"),"")</f>
      </c>
      <c r="EK278" s="496" t="str">
        <f> IF(EK298&lt;&gt;"",TEXT(AUX!EO$1,"dd-MMM-aa"),"")</f>
      </c>
      <c r="EL278" s="496" t="str">
        <f> IF(EL298&lt;&gt;"",TEXT(AUX!EP$1,"dd-MMM-aa"),"")</f>
      </c>
      <c r="EM278" s="496" t="str">
        <f> IF(EM298&lt;&gt;"",TEXT(AUX!EQ$1,"dd-MMM-aa"),"")</f>
      </c>
      <c r="EN278" s="496" t="str">
        <f> IF(EN298&lt;&gt;"",TEXT(AUX!ER$1,"dd-MMM-aa"),"")</f>
      </c>
      <c r="EO278" s="496" t="str">
        <f> IF(EO298&lt;&gt;"",TEXT(AUX!ES$1,"dd-MMM-aa"),"")</f>
      </c>
      <c r="EP278" s="496" t="str">
        <f> IF(EP298&lt;&gt;"",TEXT(AUX!ET$1,"dd-MMM-aa"),"")</f>
      </c>
      <c r="EQ278" s="496" t="str">
        <f> IF(EQ298&lt;&gt;"",TEXT(AUX!EU$1,"dd-MMM-aa"),"")</f>
      </c>
      <c r="ER278" s="496" t="str">
        <f> IF(ER298&lt;&gt;"",TEXT(AUX!EV$1,"dd-MMM-aa"),"")</f>
      </c>
      <c r="ES278" s="496" t="str">
        <f> IF(ES298&lt;&gt;"",TEXT(AUX!EW$1,"dd-MMM-aa"),"")</f>
      </c>
      <c r="ET278" s="496" t="str">
        <f> IF(ET298&lt;&gt;"",TEXT(AUX!EX$1,"dd-MMM-aa"),"")</f>
      </c>
      <c r="EU278" s="496" t="str">
        <f> IF(EU298&lt;&gt;"",TEXT(AUX!EY$1,"dd-MMM-aa"),"")</f>
      </c>
      <c r="EV278" s="496" t="str">
        <f> IF(EV298&lt;&gt;"",TEXT(AUX!EZ$1,"dd-MMM-aa"),"")</f>
      </c>
      <c r="EW278" s="496" t="str">
        <f> IF(EW298&lt;&gt;"",TEXT(AUX!FA$1,"dd-MMM-aa"),"")</f>
      </c>
      <c r="EX278" s="496" t="str">
        <f> IF(EX298&lt;&gt;"",TEXT(AUX!FB$1,"dd-MMM-aa"),"")</f>
      </c>
      <c r="EY278" s="496" t="str">
        <f> IF(EY298&lt;&gt;"",TEXT(AUX!FC$1,"dd-MMM-aa"),"")</f>
      </c>
      <c r="EZ278" s="496" t="str">
        <f> IF(EZ298&lt;&gt;"",TEXT(AUX!FD$1,"dd-MMM-aa"),"")</f>
      </c>
      <c r="FA278" s="496" t="str">
        <f> IF(FA298&lt;&gt;"",TEXT(AUX!FE$1,"dd-MMM-aa"),"")</f>
      </c>
      <c r="FB278" s="496" t="str">
        <f> IF(FB298&lt;&gt;"",TEXT(AUX!FF$1,"dd-MMM-aa"),"")</f>
      </c>
      <c r="FC278" s="496" t="str">
        <f> IF(FC298&lt;&gt;"",TEXT(AUX!FG$1,"dd-MMM-aa"),"")</f>
      </c>
      <c r="FD278" s="496" t="str">
        <f> IF(FD298&lt;&gt;"",TEXT(AUX!FH$1,"dd-MMM-aa"),"")</f>
      </c>
      <c r="FE278" s="496" t="str">
        <f> IF(FE298&lt;&gt;"",TEXT(AUX!FI$1,"dd-MMM-aa"),"")</f>
      </c>
      <c r="FF278" s="496" t="str">
        <f> IF(FF298&lt;&gt;"",TEXT(AUX!FJ$1,"dd-MMM-aa"),"")</f>
      </c>
      <c r="FG278" s="496" t="str">
        <f> IF(FG298&lt;&gt;"",TEXT(AUX!FK$1,"dd-MMM-aa"),"")</f>
      </c>
      <c r="FH278" s="496" t="str">
        <f> IF(FH298&lt;&gt;"",TEXT(AUX!FL$1,"dd-MMM-aa"),"")</f>
      </c>
      <c r="FI278" s="496" t="str">
        <f> IF(FI298&lt;&gt;"",TEXT(AUX!FM$1,"dd-MMM-aa"),"")</f>
      </c>
      <c r="FJ278" s="496" t="str">
        <f> IF(FJ298&lt;&gt;"",TEXT(AUX!FN$1,"dd-MMM-aa"),"")</f>
      </c>
      <c r="FK278" s="496" t="str">
        <f> IF(FK298&lt;&gt;"",TEXT(AUX!FO$1,"dd-MMM-aa"),"")</f>
      </c>
      <c r="FL278" s="496" t="str">
        <f> IF(FL298&lt;&gt;"",TEXT(AUX!FP$1,"dd-MMM-aa"),"")</f>
      </c>
      <c r="FM278" s="496" t="str">
        <f> IF(FM298&lt;&gt;"",TEXT(AUX!FQ$1,"dd-MMM-aa"),"")</f>
      </c>
      <c r="FN278" s="496" t="str">
        <f> IF(FN298&lt;&gt;"",TEXT(AUX!FR$1,"dd-MMM-aa"),"")</f>
      </c>
      <c r="FO278" s="496" t="str">
        <f> IF(FO298&lt;&gt;"",TEXT(AUX!FS$1,"dd-MMM-aa"),"")</f>
      </c>
      <c r="FP278" s="496" t="str">
        <f> IF(FP298&lt;&gt;"",TEXT(AUX!FT$1,"dd-MMM-aa"),"")</f>
      </c>
      <c r="FQ278" s="496" t="str">
        <f> IF(FQ298&lt;&gt;"",TEXT(AUX!FU$1,"dd-MMM-aa"),"")</f>
      </c>
      <c r="FR278" s="496" t="str">
        <f> IF(FR298&lt;&gt;"",TEXT(AUX!FV$1,"dd-MMM-aa"),"")</f>
      </c>
      <c r="FS278" s="496" t="str">
        <f> IF(FS298&lt;&gt;"",TEXT(AUX!FW$1,"dd-MMM-aa"),"")</f>
      </c>
      <c r="FT278" s="496" t="str">
        <f> IF(FT298&lt;&gt;"",TEXT(AUX!FX$1,"dd-MMM-aa"),"")</f>
      </c>
      <c r="FU278" s="496" t="str">
        <f> IF(FU298&lt;&gt;"",TEXT(AUX!FY$1,"dd-MMM-aa"),"")</f>
      </c>
      <c r="FV278" s="496" t="str">
        <f> IF(FV298&lt;&gt;"",TEXT(AUX!FZ$1,"dd-MMM-aa"),"")</f>
      </c>
      <c r="FW278" s="496" t="str">
        <f> IF(FW298&lt;&gt;"",TEXT(AUX!GA$1,"dd-MMM-aa"),"")</f>
      </c>
      <c r="FX278" s="496" t="str">
        <f> IF(FX298&lt;&gt;"",TEXT(AUX!GB$1,"dd-MMM-aa"),"")</f>
      </c>
      <c r="FY278" s="496" t="str">
        <f> IF(FY298&lt;&gt;"",TEXT(AUX!GC$1,"dd-MMM-aa"),"")</f>
      </c>
      <c r="FZ278" s="496" t="str">
        <f> IF(FZ298&lt;&gt;"",TEXT(AUX!GD$1,"dd-MMM-aa"),"")</f>
      </c>
      <c r="GA278" s="496" t="str">
        <f> IF(GA298&lt;&gt;"",TEXT(AUX!GE$1,"dd-MMM-aa"),"")</f>
      </c>
      <c r="GB278" s="496" t="str">
        <f> IF(GB298&lt;&gt;"",TEXT(AUX!GF$1,"dd-MMM-aa"),"")</f>
      </c>
      <c r="GC278" s="496" t="str">
        <f> IF(GC298&lt;&gt;"",TEXT(AUX!GG$1,"dd-MMM-aa"),"")</f>
      </c>
      <c r="GD278" s="496" t="str">
        <f> IF(GD298&lt;&gt;"",TEXT(AUX!GH$1,"dd-MMM-aa"),"")</f>
      </c>
      <c r="GE278" s="496" t="str">
        <f> IF(GE298&lt;&gt;"",TEXT(AUX!GI$1,"dd-MMM-aa"),"")</f>
      </c>
      <c r="GF278" s="496" t="str">
        <f> IF(GF298&lt;&gt;"",TEXT(AUX!GJ$1,"dd-MMM-aa"),"")</f>
      </c>
      <c r="GG278" s="496" t="str">
        <f> IF(GG298&lt;&gt;"",TEXT(AUX!GK$1,"dd-MMM-aa"),"")</f>
      </c>
      <c r="GH278" s="496" t="str">
        <f> IF(GH298&lt;&gt;"",TEXT(AUX!GL$1,"dd-MMM-aa"),"")</f>
      </c>
      <c r="GI278" s="496" t="str">
        <f> IF(GI298&lt;&gt;"",TEXT(AUX!GM$1,"dd-MMM-aa"),"")</f>
      </c>
      <c r="GJ278" s="496" t="str">
        <f> IF(GJ298&lt;&gt;"",TEXT(AUX!GN$1,"dd-MMM-aa"),"")</f>
      </c>
      <c r="GK278" s="496" t="str">
        <f> IF(GK298&lt;&gt;"",TEXT(AUX!GO$1,"dd-MMM-aa"),"")</f>
      </c>
      <c r="GL278" s="496" t="str">
        <f> IF(GL298&lt;&gt;"",TEXT(AUX!GP$1,"dd-MMM-aa"),"")</f>
      </c>
      <c r="GM278" s="496" t="str">
        <f> IF(GM298&lt;&gt;"",TEXT(AUX!GQ$1,"dd-MMM-aa"),"")</f>
      </c>
      <c r="GN278" s="496" t="str">
        <f> IF(GN298&lt;&gt;"",TEXT(AUX!GR$1,"dd-MMM-aa"),"")</f>
      </c>
      <c r="GO278" s="496" t="str">
        <f> IF(GO298&lt;&gt;"",TEXT(AUX!GS$1,"dd-MMM-aa"),"")</f>
      </c>
      <c r="GP278" s="496" t="str">
        <f> IF(GP298&lt;&gt;"",TEXT(AUX!GT$1,"dd-MMM-aa"),"")</f>
      </c>
      <c r="GQ278" s="496" t="str">
        <f> IF(GQ298&lt;&gt;"",TEXT(AUX!GU$1,"dd-MMM-aa"),"")</f>
      </c>
      <c r="GR278" s="496" t="str">
        <f> IF(GR298&lt;&gt;"",TEXT(AUX!GV$1,"dd-MMM-aa"),"")</f>
      </c>
      <c r="GS278" s="496" t="str">
        <f> IF(GS298&lt;&gt;"",TEXT(AUX!GW$1,"dd-MMM-aa"),"")</f>
      </c>
      <c r="GT278" s="496" t="str">
        <f> IF(GT298&lt;&gt;"",TEXT(AUX!GX$1,"dd-MMM-aa"),"")</f>
      </c>
      <c r="GU278" s="496" t="str">
        <f> IF(GU298&lt;&gt;"",TEXT(AUX!GY$1,"dd-MMM-aa"),"")</f>
      </c>
      <c r="GV278" s="496" t="str">
        <f> IF(GV298&lt;&gt;"",TEXT(AUX!GZ$1,"dd-MMM-aa"),"")</f>
      </c>
      <c r="GW278" s="496" t="str">
        <f> IF(GW298&lt;&gt;"",TEXT(AUX!HA$1,"dd-MMM-aa"),"")</f>
      </c>
      <c r="GX278" s="496" t="str">
        <f> IF(GX298&lt;&gt;"",TEXT(AUX!HB$1,"dd-MMM-aa"),"")</f>
      </c>
      <c r="GY278" s="496" t="str">
        <f> IF(GY298&lt;&gt;"",TEXT(AUX!HC$1,"dd-MMM-aa"),"")</f>
      </c>
      <c r="GZ278" s="496" t="str">
        <f> IF(GZ298&lt;&gt;"",TEXT(AUX!HD$1,"dd-MMM-aa"),"")</f>
      </c>
      <c r="HA278" s="496" t="str">
        <f> IF(HA298&lt;&gt;"",TEXT(AUX!HE$1,"dd-MMM-aa"),"")</f>
      </c>
      <c r="HB278" s="496" t="str">
        <f> IF(HB298&lt;&gt;"",TEXT(AUX!HF$1,"dd-MMM-aa"),"")</f>
      </c>
      <c r="HC278" s="496" t="str">
        <f> IF(HC298&lt;&gt;"",TEXT(AUX!HG$1,"dd-MMM-aa"),"")</f>
      </c>
      <c r="HD278" s="496" t="str">
        <f> IF(HD298&lt;&gt;"",TEXT(AUX!HH$1,"dd-MMM-aa"),"")</f>
      </c>
      <c r="HE278" s="496" t="str">
        <f> IF(HE298&lt;&gt;"",TEXT(AUX!HI$1,"dd-MMM-aa"),"")</f>
      </c>
      <c r="HF278" s="496" t="str">
        <f> IF(HF298&lt;&gt;"",TEXT(AUX!HJ$1,"dd-MMM-aa"),"")</f>
      </c>
      <c r="HG278" s="496" t="str">
        <f> IF(HG298&lt;&gt;"",TEXT(AUX!HK$1,"dd-MMM-aa"),"")</f>
      </c>
      <c r="HH278" s="496" t="str">
        <f> IF(HH298&lt;&gt;"",TEXT(AUX!HL$1,"dd-MMM-aa"),"")</f>
      </c>
      <c r="HI278" s="496" t="str">
        <f> IF(HI298&lt;&gt;"",TEXT(AUX!HM$1,"dd-MMM-aa"),"")</f>
      </c>
      <c r="HJ278" s="496" t="str">
        <f> IF(HJ298&lt;&gt;"",TEXT(AUX!HN$1,"dd-MMM-aa"),"")</f>
      </c>
      <c r="HK278" s="496" t="str">
        <f> IF(HK298&lt;&gt;"",TEXT(AUX!HO$1,"dd-MMM-aa"),"")</f>
      </c>
      <c r="HL278" s="496" t="str">
        <f> IF(HL298&lt;&gt;"",TEXT(AUX!HP$1,"dd-MMM-aa"),"")</f>
      </c>
      <c r="HM278" s="496" t="str">
        <f> IF(HM298&lt;&gt;"",TEXT(AUX!HQ$1,"dd-MMM-aa"),"")</f>
      </c>
      <c r="HN278" s="496" t="str">
        <f> IF(HN298&lt;&gt;"",TEXT(AUX!HR$1,"dd-MMM-aa"),"")</f>
      </c>
      <c r="HO278" s="496" t="str">
        <f> IF(HO298&lt;&gt;"",TEXT(AUX!HS$1,"dd-MMM-aa"),"")</f>
      </c>
      <c r="HP278" s="496" t="str">
        <f> IF(HP298&lt;&gt;"",TEXT(AUX!HT$1,"dd-MMM-aa"),"")</f>
      </c>
      <c r="HQ278" s="496" t="str">
        <f> IF(HQ298&lt;&gt;"",TEXT(AUX!HU$1,"dd-MMM-aa"),"")</f>
      </c>
      <c r="HR278" s="496" t="str">
        <f> IF(HR298&lt;&gt;"",TEXT(AUX!HV$1,"dd-MMM-aa"),"")</f>
      </c>
      <c r="HS278" s="496" t="str">
        <f> IF(HS298&lt;&gt;"",TEXT(AUX!HW$1,"dd-MMM-aa"),"")</f>
      </c>
      <c r="HT278" s="496" t="str">
        <f> IF(HT298&lt;&gt;"",TEXT(AUX!HX$1,"dd-MMM-aa"),"")</f>
      </c>
      <c r="HU278" s="496" t="str">
        <f> IF(HU298&lt;&gt;"",TEXT(AUX!HY$1,"dd-MMM-aa"),"")</f>
      </c>
      <c r="HV278" s="496" t="str">
        <f> IF(HV298&lt;&gt;"",TEXT(AUX!HZ$1,"dd-MMM-aa"),"")</f>
      </c>
      <c r="HW278" s="496" t="str">
        <f> IF(HW298&lt;&gt;"",TEXT(AUX!IA$1,"dd-MMM-aa"),"")</f>
      </c>
      <c r="HX278" s="496" t="str">
        <f> IF(HX298&lt;&gt;"",TEXT(AUX!IB$1,"dd-MMM-aa"),"")</f>
      </c>
      <c r="HY278" s="496" t="str">
        <f> IF(HY298&lt;&gt;"",TEXT(AUX!IC$1,"dd-MMM-aa"),"")</f>
      </c>
      <c r="HZ278" s="496" t="str">
        <f> IF(HZ298&lt;&gt;"",TEXT(AUX!ID$1,"dd-MMM-aa"),"")</f>
      </c>
      <c r="IA278" s="496" t="str">
        <f> IF(IA298&lt;&gt;"",TEXT(AUX!IE$1,"dd-MMM-aa"),"")</f>
      </c>
      <c r="IB278" s="496" t="str">
        <f> IF(IB298&lt;&gt;"",TEXT(AUX!IF$1,"dd-MMM-aa"),"")</f>
      </c>
      <c r="IC278" s="496" t="str">
        <f> IF(IC298&lt;&gt;"",TEXT(AUX!IG$1,"dd-MMM-aa"),"")</f>
      </c>
      <c r="ID278" s="496" t="str">
        <f> IF(ID298&lt;&gt;"",TEXT(AUX!IH$1,"dd-MMM-aa"),"")</f>
      </c>
      <c r="IE278" s="496" t="str">
        <f> IF(IE298&lt;&gt;"",TEXT(AUX!II$1,"dd-MMM-aa"),"")</f>
      </c>
      <c r="IF278" s="496" t="str">
        <f> IF(IF298&lt;&gt;"",TEXT(AUX!IJ$1,"dd-MMM-aa"),"")</f>
      </c>
      <c r="IG278" s="496" t="str">
        <f> IF(IG298&lt;&gt;"",TEXT(AUX!IK$1,"dd-MMM-aa"),"")</f>
      </c>
      <c r="IH278" s="496" t="str">
        <f> IF(IH298&lt;&gt;"",TEXT(AUX!IL$1,"dd-MMM-aa"),"")</f>
      </c>
      <c r="II278" s="496" t="str">
        <f> IF(II298&lt;&gt;"",TEXT(AUX!IM$1,"dd-MMM-aa"),"")</f>
      </c>
      <c r="IJ278" s="496" t="str">
        <f> IF(IJ298&lt;&gt;"",TEXT(AUX!IN$1,"dd-MMM-aa"),"")</f>
      </c>
      <c r="IK278" s="496" t="str">
        <f> IF(IK298&lt;&gt;"",TEXT(AUX!IO$1,"dd-MMM-aa"),"")</f>
      </c>
      <c r="IL278" s="496" t="str">
        <f> IF(IL298&lt;&gt;"",TEXT(AUX!IP$1,"dd-MMM-aa"),"")</f>
      </c>
      <c r="IM278" s="496" t="str">
        <f> IF(IM298&lt;&gt;"",TEXT(AUX!IQ$1,"dd-MMM-aa"),"")</f>
      </c>
      <c r="IN278" s="496" t="str">
        <f> IF(IN298&lt;&gt;"",TEXT(AUX!IR$1,"dd-MMM-aa"),"")</f>
      </c>
      <c r="IO278" s="496" t="str">
        <f> IF(IO298&lt;&gt;"",TEXT(AUX!IS$1,"dd-MMM-aa"),"")</f>
      </c>
      <c r="IP278" s="496" t="str">
        <f> IF(IP298&lt;&gt;"",TEXT(AUX!IT$1,"dd-MMM-aa"),"")</f>
      </c>
      <c r="IQ278" s="496" t="str">
        <f> IF(IQ298&lt;&gt;"",TEXT(AUX!IU$1,"dd-MMM-aa"),"")</f>
      </c>
      <c r="IR278" s="496" t="str">
        <f> IF(IR298&lt;&gt;"",TEXT(AUX!IV$1,"dd-MMM-aa"),"")</f>
      </c>
      <c r="IS278" s="496" t="str">
        <f> IF(IS298&lt;&gt;"",TEXT(AUX!#REF!,"dd-MMM-aa"),"")</f>
      </c>
      <c r="IT278" s="496" t="str">
        <f> IF(IT298&lt;&gt;"",TEXT(AUX!#REF!,"dd-MMM-aa"),"")</f>
      </c>
      <c r="IU278" s="496" t="str">
        <f> IF(IU298&lt;&gt;"",TEXT(AUX!#REF!,"dd-MMM-aa"),"")</f>
      </c>
      <c r="IV278" s="496" t="str">
        <f> IF(IV298&lt;&gt;"",TEXT(AUX!#REF!,"dd-MMM-aa"),"")</f>
      </c>
    </row>
    <row r="279" hidden="1" ht="15.95" customHeight="1">
      <c r="B279" s="833" t="s">
        <v>8</v>
      </c>
      <c r="C279" s="827">
        <v>8389</v>
      </c>
      <c r="D279" s="827">
        <v>8209</v>
      </c>
      <c r="E279" s="827">
        <v>8011</v>
      </c>
      <c r="F279" s="827">
        <v>7945</v>
      </c>
      <c r="G279" s="827">
        <v>6611</v>
      </c>
      <c r="H279" s="827">
        <v>6549</v>
      </c>
      <c r="I279" s="827">
        <v>6447</v>
      </c>
      <c r="J279" s="827">
        <v>6073</v>
      </c>
      <c r="K279" s="827">
        <v>5961</v>
      </c>
      <c r="L279" s="827">
        <v>5756</v>
      </c>
      <c r="M279" s="827">
        <v>5557</v>
      </c>
      <c r="N279" s="827">
        <v>5494</v>
      </c>
      <c r="O279" s="827">
        <v>5363</v>
      </c>
      <c r="P279" s="827">
        <v>5232</v>
      </c>
      <c r="Q279" s="827">
        <v>5152</v>
      </c>
      <c r="R279" s="827">
        <v>5123</v>
      </c>
      <c r="S279" s="827">
        <v>5025</v>
      </c>
      <c r="T279" s="827">
        <v>4521</v>
      </c>
      <c r="U279" s="827">
        <v>4438</v>
      </c>
      <c r="V279" s="827">
        <v>4311</v>
      </c>
      <c r="W279" s="827">
        <v>4209</v>
      </c>
      <c r="X279" s="827">
        <v>2830</v>
      </c>
      <c r="Y279" s="827">
        <v>3972</v>
      </c>
      <c r="Z279" s="827">
        <v>3924</v>
      </c>
      <c r="AA279" s="827">
        <v>3515</v>
      </c>
      <c r="AB279" s="834">
        <v>3407</v>
      </c>
      <c r="AC279" s="828">
        <v>3361</v>
      </c>
      <c r="AD279" s="828">
        <v>3330</v>
      </c>
      <c r="AE279" s="828">
        <v>3279</v>
      </c>
      <c r="AF279" s="828">
        <v>3184</v>
      </c>
      <c r="AG279" s="828">
        <v>3160</v>
      </c>
      <c r="AH279" s="828">
        <v>3123</v>
      </c>
      <c r="AI279" s="828">
        <v>2986</v>
      </c>
      <c r="AJ279" s="828">
        <v>2943</v>
      </c>
      <c r="AK279" s="828">
        <v>2893</v>
      </c>
      <c r="AL279" s="828">
        <v>2859</v>
      </c>
      <c r="AM279" s="828">
        <v>2474</v>
      </c>
      <c r="AN279" s="828">
        <v>2445</v>
      </c>
      <c r="AO279" s="828">
        <v>2395</v>
      </c>
      <c r="AP279" s="828">
        <v>2388</v>
      </c>
    </row>
    <row r="280" hidden="1" ht="15.95" customHeight="1">
      <c r="B280" s="829" t="s">
        <v>9</v>
      </c>
      <c r="C280" s="823">
        <v>336</v>
      </c>
      <c r="D280" s="823">
        <v>317</v>
      </c>
      <c r="E280" s="823">
        <v>297</v>
      </c>
      <c r="F280" s="823">
        <v>281</v>
      </c>
      <c r="G280" s="823">
        <v>268</v>
      </c>
      <c r="H280" s="823">
        <v>246</v>
      </c>
      <c r="I280" s="823">
        <v>221</v>
      </c>
      <c r="J280" s="823">
        <v>220</v>
      </c>
      <c r="K280" s="823">
        <v>208</v>
      </c>
      <c r="L280" s="823">
        <v>194</v>
      </c>
      <c r="M280" s="823">
        <v>179</v>
      </c>
      <c r="N280" s="823">
        <v>171</v>
      </c>
      <c r="O280" s="823">
        <v>142</v>
      </c>
      <c r="P280" s="823">
        <v>123</v>
      </c>
      <c r="Q280" s="823">
        <v>114</v>
      </c>
      <c r="R280" s="823">
        <v>99</v>
      </c>
      <c r="S280" s="823">
        <v>92</v>
      </c>
      <c r="T280" s="823">
        <v>90</v>
      </c>
      <c r="U280" s="823">
        <v>81</v>
      </c>
      <c r="V280" s="823">
        <v>82</v>
      </c>
      <c r="W280" s="823">
        <v>77</v>
      </c>
      <c r="X280" s="823">
        <v>72</v>
      </c>
      <c r="Y280" s="823">
        <v>66</v>
      </c>
      <c r="Z280" s="823">
        <v>64</v>
      </c>
      <c r="AA280" s="823">
        <v>62</v>
      </c>
      <c r="AB280" s="823">
        <v>58</v>
      </c>
      <c r="AC280" s="825">
        <v>53</v>
      </c>
      <c r="AD280" s="825">
        <v>53</v>
      </c>
      <c r="AE280" s="825">
        <v>52</v>
      </c>
      <c r="AF280" s="825">
        <v>49</v>
      </c>
      <c r="AG280" s="825">
        <v>48</v>
      </c>
      <c r="AH280" s="825">
        <v>46</v>
      </c>
      <c r="AI280" s="825">
        <v>43</v>
      </c>
      <c r="AJ280" s="825">
        <v>38</v>
      </c>
      <c r="AK280" s="825">
        <v>35</v>
      </c>
      <c r="AL280" s="825">
        <v>34</v>
      </c>
      <c r="AM280" s="825">
        <v>34</v>
      </c>
      <c r="AN280" s="825">
        <v>33</v>
      </c>
      <c r="AO280" s="825">
        <v>32</v>
      </c>
      <c r="AP280" s="825">
        <v>29</v>
      </c>
    </row>
    <row r="281" hidden="1" ht="15.95" customHeight="1">
      <c r="B281" s="826" t="s">
        <v>10</v>
      </c>
      <c r="C281" s="827">
        <v>42</v>
      </c>
      <c r="D281" s="827">
        <v>41</v>
      </c>
      <c r="E281" s="827">
        <v>40</v>
      </c>
      <c r="F281" s="827">
        <v>41</v>
      </c>
      <c r="G281" s="827">
        <v>37</v>
      </c>
      <c r="H281" s="827">
        <v>38</v>
      </c>
      <c r="I281" s="827">
        <v>37</v>
      </c>
      <c r="J281" s="827">
        <v>38</v>
      </c>
      <c r="K281" s="827">
        <v>36</v>
      </c>
      <c r="L281" s="827">
        <v>32</v>
      </c>
      <c r="M281" s="827">
        <v>24</v>
      </c>
      <c r="N281" s="827">
        <v>20</v>
      </c>
      <c r="O281" s="827">
        <v>19</v>
      </c>
      <c r="P281" s="827">
        <v>17</v>
      </c>
      <c r="Q281" s="827">
        <v>17</v>
      </c>
      <c r="R281" s="827">
        <v>17</v>
      </c>
      <c r="S281" s="827">
        <v>17</v>
      </c>
      <c r="T281" s="827">
        <v>17</v>
      </c>
      <c r="U281" s="827">
        <v>17</v>
      </c>
      <c r="V281" s="827">
        <v>12</v>
      </c>
      <c r="W281" s="827">
        <v>13</v>
      </c>
      <c r="X281" s="827">
        <v>14</v>
      </c>
      <c r="Y281" s="827">
        <v>15</v>
      </c>
      <c r="Z281" s="827">
        <v>12</v>
      </c>
      <c r="AA281" s="827">
        <v>12</v>
      </c>
      <c r="AB281" s="827">
        <v>12</v>
      </c>
      <c r="AC281" s="828">
        <v>11</v>
      </c>
      <c r="AD281" s="828">
        <v>12</v>
      </c>
      <c r="AE281" s="828">
        <v>13</v>
      </c>
      <c r="AF281" s="828">
        <v>13</v>
      </c>
      <c r="AG281" s="828">
        <v>16</v>
      </c>
      <c r="AH281" s="828">
        <v>16</v>
      </c>
      <c r="AI281" s="828">
        <v>16</v>
      </c>
      <c r="AJ281" s="828">
        <v>13</v>
      </c>
      <c r="AK281" s="828">
        <v>14</v>
      </c>
      <c r="AL281" s="828">
        <v>12</v>
      </c>
      <c r="AM281" s="828">
        <v>12</v>
      </c>
      <c r="AN281" s="828">
        <v>12</v>
      </c>
      <c r="AO281" s="828">
        <v>14</v>
      </c>
      <c r="AP281" s="828">
        <v>12</v>
      </c>
    </row>
    <row r="282" hidden="1" ht="15.95" customHeight="1">
      <c r="B282" s="829" t="s">
        <v>11</v>
      </c>
      <c r="C282" s="823">
        <v>330</v>
      </c>
      <c r="D282" s="823">
        <v>334</v>
      </c>
      <c r="E282" s="823">
        <v>340</v>
      </c>
      <c r="F282" s="823">
        <v>330</v>
      </c>
      <c r="G282" s="823">
        <v>320</v>
      </c>
      <c r="H282" s="823">
        <v>323</v>
      </c>
      <c r="I282" s="823">
        <v>321</v>
      </c>
      <c r="J282" s="823">
        <v>297</v>
      </c>
      <c r="K282" s="823">
        <v>276</v>
      </c>
      <c r="L282" s="823">
        <v>266</v>
      </c>
      <c r="M282" s="823">
        <v>242</v>
      </c>
      <c r="N282" s="823">
        <v>244</v>
      </c>
      <c r="O282" s="823">
        <v>235</v>
      </c>
      <c r="P282" s="823">
        <v>223</v>
      </c>
      <c r="Q282" s="823">
        <v>215</v>
      </c>
      <c r="R282" s="823">
        <v>219</v>
      </c>
      <c r="S282" s="823">
        <v>214</v>
      </c>
      <c r="T282" s="823">
        <v>211</v>
      </c>
      <c r="U282" s="823">
        <v>197</v>
      </c>
      <c r="V282" s="823">
        <v>201</v>
      </c>
      <c r="W282" s="823">
        <v>195</v>
      </c>
      <c r="X282" s="823">
        <v>192</v>
      </c>
      <c r="Y282" s="823">
        <v>184</v>
      </c>
      <c r="Z282" s="823">
        <v>178</v>
      </c>
      <c r="AA282" s="823">
        <v>173</v>
      </c>
      <c r="AB282" s="823">
        <v>181</v>
      </c>
      <c r="AC282" s="825">
        <v>174</v>
      </c>
      <c r="AD282" s="825">
        <v>170</v>
      </c>
      <c r="AE282" s="825">
        <v>165</v>
      </c>
      <c r="AF282" s="825">
        <v>165</v>
      </c>
      <c r="AG282" s="825">
        <v>159</v>
      </c>
      <c r="AH282" s="825">
        <v>163</v>
      </c>
      <c r="AI282" s="825">
        <v>163</v>
      </c>
      <c r="AJ282" s="825">
        <v>171</v>
      </c>
      <c r="AK282" s="825">
        <v>163</v>
      </c>
      <c r="AL282" s="825">
        <v>166</v>
      </c>
      <c r="AM282" s="825">
        <v>160</v>
      </c>
      <c r="AN282" s="825">
        <v>159</v>
      </c>
      <c r="AO282" s="825">
        <v>156</v>
      </c>
      <c r="AP282" s="825">
        <v>150</v>
      </c>
    </row>
    <row r="283" hidden="1" ht="15.95" customHeight="1">
      <c r="B283" s="826" t="s">
        <v>12</v>
      </c>
      <c r="C283" s="827">
        <v>416</v>
      </c>
      <c r="D283" s="827">
        <v>362</v>
      </c>
      <c r="E283" s="827">
        <v>442</v>
      </c>
      <c r="F283" s="827">
        <v>443</v>
      </c>
      <c r="G283" s="827">
        <v>437</v>
      </c>
      <c r="H283" s="827">
        <v>443</v>
      </c>
      <c r="I283" s="827">
        <v>454</v>
      </c>
      <c r="J283" s="827">
        <v>460</v>
      </c>
      <c r="K283" s="827">
        <v>453</v>
      </c>
      <c r="L283" s="827">
        <v>439</v>
      </c>
      <c r="M283" s="827">
        <v>390</v>
      </c>
      <c r="N283" s="827">
        <v>389</v>
      </c>
      <c r="O283" s="827">
        <v>372</v>
      </c>
      <c r="P283" s="827">
        <v>369</v>
      </c>
      <c r="Q283" s="827">
        <v>358</v>
      </c>
      <c r="R283" s="827">
        <v>351</v>
      </c>
      <c r="S283" s="827">
        <v>347</v>
      </c>
      <c r="T283" s="827">
        <v>342</v>
      </c>
      <c r="U283" s="827">
        <v>326</v>
      </c>
      <c r="V283" s="827">
        <v>311</v>
      </c>
      <c r="W283" s="827">
        <v>293</v>
      </c>
      <c r="X283" s="827">
        <v>290</v>
      </c>
      <c r="Y283" s="827">
        <v>269</v>
      </c>
      <c r="Z283" s="827">
        <v>259</v>
      </c>
      <c r="AA283" s="827">
        <v>256</v>
      </c>
      <c r="AB283" s="827">
        <v>256</v>
      </c>
      <c r="AC283" s="828">
        <v>257</v>
      </c>
      <c r="AD283" s="828">
        <v>252</v>
      </c>
      <c r="AE283" s="828">
        <v>245</v>
      </c>
      <c r="AF283" s="828">
        <v>239</v>
      </c>
      <c r="AG283" s="828">
        <v>233</v>
      </c>
      <c r="AH283" s="828">
        <v>212</v>
      </c>
      <c r="AI283" s="828">
        <v>208</v>
      </c>
      <c r="AJ283" s="828">
        <v>201</v>
      </c>
      <c r="AK283" s="828">
        <v>196</v>
      </c>
      <c r="AL283" s="828">
        <v>193</v>
      </c>
      <c r="AM283" s="828">
        <v>187</v>
      </c>
      <c r="AN283" s="828">
        <v>178</v>
      </c>
      <c r="AO283" s="828">
        <v>169</v>
      </c>
      <c r="AP283" s="828">
        <v>169</v>
      </c>
    </row>
    <row r="284" hidden="1" ht="15.95" customHeight="1">
      <c r="B284" s="829" t="s">
        <v>13</v>
      </c>
      <c r="C284" s="823">
        <v>24</v>
      </c>
      <c r="D284" s="823">
        <v>28</v>
      </c>
      <c r="E284" s="823">
        <v>31</v>
      </c>
      <c r="F284" s="823">
        <v>32</v>
      </c>
      <c r="G284" s="823">
        <v>36</v>
      </c>
      <c r="H284" s="823">
        <v>29</v>
      </c>
      <c r="I284" s="823">
        <v>27</v>
      </c>
      <c r="J284" s="823">
        <v>27</v>
      </c>
      <c r="K284" s="823">
        <v>28</v>
      </c>
      <c r="L284" s="823">
        <v>24</v>
      </c>
      <c r="M284" s="823">
        <v>24</v>
      </c>
      <c r="N284" s="823">
        <v>21</v>
      </c>
      <c r="O284" s="823">
        <v>18</v>
      </c>
      <c r="P284" s="823">
        <v>16</v>
      </c>
      <c r="Q284" s="823">
        <v>15</v>
      </c>
      <c r="R284" s="823">
        <v>17</v>
      </c>
      <c r="S284" s="823">
        <v>14</v>
      </c>
      <c r="T284" s="823">
        <v>13</v>
      </c>
      <c r="U284" s="823">
        <v>13</v>
      </c>
      <c r="V284" s="823">
        <v>12</v>
      </c>
      <c r="W284" s="823">
        <v>13</v>
      </c>
      <c r="X284" s="823">
        <v>11</v>
      </c>
      <c r="Y284" s="823">
        <v>10</v>
      </c>
      <c r="Z284" s="823">
        <v>9</v>
      </c>
      <c r="AA284" s="823">
        <v>11</v>
      </c>
      <c r="AB284" s="823">
        <v>12</v>
      </c>
      <c r="AC284" s="825">
        <v>12</v>
      </c>
      <c r="AD284" s="825">
        <v>11</v>
      </c>
      <c r="AE284" s="825">
        <v>11</v>
      </c>
      <c r="AF284" s="825">
        <v>14</v>
      </c>
      <c r="AG284" s="825">
        <v>15</v>
      </c>
      <c r="AH284" s="825">
        <v>15</v>
      </c>
      <c r="AI284" s="825">
        <v>15</v>
      </c>
      <c r="AJ284" s="825">
        <v>14</v>
      </c>
      <c r="AK284" s="825">
        <v>11</v>
      </c>
      <c r="AL284" s="825">
        <v>11</v>
      </c>
      <c r="AM284" s="825">
        <v>11</v>
      </c>
      <c r="AN284" s="825">
        <v>12</v>
      </c>
      <c r="AO284" s="825">
        <v>12</v>
      </c>
      <c r="AP284" s="825">
        <v>11</v>
      </c>
    </row>
    <row r="285" hidden="1" ht="15.95" customHeight="1">
      <c r="B285" s="826" t="s">
        <v>109</v>
      </c>
      <c r="C285" s="827">
        <v>812</v>
      </c>
      <c r="D285" s="827">
        <v>741</v>
      </c>
      <c r="E285" s="827">
        <v>699</v>
      </c>
      <c r="F285" s="827">
        <v>661</v>
      </c>
      <c r="G285" s="827">
        <v>620</v>
      </c>
      <c r="H285" s="827">
        <v>598</v>
      </c>
      <c r="I285" s="827">
        <v>589</v>
      </c>
      <c r="J285" s="827">
        <v>561</v>
      </c>
      <c r="K285" s="827">
        <v>545</v>
      </c>
      <c r="L285" s="827">
        <v>516</v>
      </c>
      <c r="M285" s="827">
        <v>481</v>
      </c>
      <c r="N285" s="827">
        <v>469</v>
      </c>
      <c r="O285" s="827">
        <v>433</v>
      </c>
      <c r="P285" s="827">
        <v>406</v>
      </c>
      <c r="Q285" s="827">
        <v>395</v>
      </c>
      <c r="R285" s="827">
        <v>381</v>
      </c>
      <c r="S285" s="827">
        <v>380</v>
      </c>
      <c r="T285" s="827">
        <v>375</v>
      </c>
      <c r="U285" s="827">
        <v>365</v>
      </c>
      <c r="V285" s="827">
        <v>354</v>
      </c>
      <c r="W285" s="827">
        <v>313</v>
      </c>
      <c r="X285" s="827">
        <v>304</v>
      </c>
      <c r="Y285" s="827">
        <v>299</v>
      </c>
      <c r="Z285" s="827">
        <v>290</v>
      </c>
      <c r="AA285" s="827">
        <v>250</v>
      </c>
      <c r="AB285" s="827">
        <v>252</v>
      </c>
      <c r="AC285" s="828">
        <v>234</v>
      </c>
      <c r="AD285" s="828">
        <v>231</v>
      </c>
      <c r="AE285" s="828">
        <v>219</v>
      </c>
      <c r="AF285" s="828">
        <v>214</v>
      </c>
      <c r="AG285" s="828">
        <v>213</v>
      </c>
      <c r="AH285" s="828">
        <v>207</v>
      </c>
      <c r="AI285" s="828">
        <v>195</v>
      </c>
      <c r="AJ285" s="828">
        <v>186</v>
      </c>
      <c r="AK285" s="828">
        <v>179</v>
      </c>
      <c r="AL285" s="828">
        <v>161</v>
      </c>
      <c r="AM285" s="828">
        <v>147</v>
      </c>
      <c r="AN285" s="828">
        <v>147</v>
      </c>
      <c r="AO285" s="828">
        <v>129</v>
      </c>
      <c r="AP285" s="828">
        <v>123</v>
      </c>
    </row>
    <row r="286" hidden="1" ht="15.95" customHeight="1">
      <c r="B286" s="829" t="s">
        <v>110</v>
      </c>
      <c r="C286" s="823">
        <v>2956</v>
      </c>
      <c r="D286" s="823">
        <v>2863</v>
      </c>
      <c r="E286" s="823">
        <v>2692</v>
      </c>
      <c r="F286" s="823">
        <v>2583</v>
      </c>
      <c r="G286" s="823">
        <v>2432</v>
      </c>
      <c r="H286" s="823">
        <v>2173</v>
      </c>
      <c r="I286" s="823">
        <v>1792</v>
      </c>
      <c r="J286" s="823">
        <v>1746</v>
      </c>
      <c r="K286" s="823">
        <v>1689</v>
      </c>
      <c r="L286" s="823">
        <v>1577</v>
      </c>
      <c r="M286" s="823">
        <v>1503</v>
      </c>
      <c r="N286" s="823">
        <v>1332</v>
      </c>
      <c r="O286" s="823">
        <v>1186</v>
      </c>
      <c r="P286" s="823">
        <v>1044</v>
      </c>
      <c r="Q286" s="823">
        <v>954</v>
      </c>
      <c r="R286" s="823">
        <v>891</v>
      </c>
      <c r="S286" s="823">
        <v>860</v>
      </c>
      <c r="T286" s="823">
        <v>822</v>
      </c>
      <c r="U286" s="823">
        <v>778</v>
      </c>
      <c r="V286" s="823">
        <v>747</v>
      </c>
      <c r="W286" s="823">
        <v>673</v>
      </c>
      <c r="X286" s="823">
        <v>645</v>
      </c>
      <c r="Y286" s="823">
        <v>591</v>
      </c>
      <c r="Z286" s="823">
        <v>569</v>
      </c>
      <c r="AA286" s="823">
        <v>543</v>
      </c>
      <c r="AB286" s="823">
        <v>533</v>
      </c>
      <c r="AC286" s="825">
        <v>492</v>
      </c>
      <c r="AD286" s="825">
        <v>471</v>
      </c>
      <c r="AE286" s="825">
        <v>453</v>
      </c>
      <c r="AF286" s="825">
        <v>411</v>
      </c>
      <c r="AG286" s="825">
        <v>390</v>
      </c>
      <c r="AH286" s="825">
        <v>375</v>
      </c>
      <c r="AI286" s="825">
        <v>352</v>
      </c>
      <c r="AJ286" s="825">
        <v>339</v>
      </c>
      <c r="AK286" s="825">
        <v>331</v>
      </c>
      <c r="AL286" s="825">
        <v>308</v>
      </c>
      <c r="AM286" s="825">
        <v>279</v>
      </c>
      <c r="AN286" s="825">
        <v>265</v>
      </c>
      <c r="AO286" s="825">
        <v>250</v>
      </c>
      <c r="AP286" s="825">
        <v>240</v>
      </c>
    </row>
    <row r="287" hidden="1" ht="15.95" customHeight="1">
      <c r="B287" s="826" t="s">
        <v>16</v>
      </c>
      <c r="C287" s="827">
        <v>880</v>
      </c>
      <c r="D287" s="827">
        <v>854</v>
      </c>
      <c r="E287" s="827">
        <v>823</v>
      </c>
      <c r="F287" s="827">
        <v>785</v>
      </c>
      <c r="G287" s="827">
        <v>691</v>
      </c>
      <c r="H287" s="827">
        <v>666</v>
      </c>
      <c r="I287" s="827">
        <v>641</v>
      </c>
      <c r="J287" s="827">
        <v>613</v>
      </c>
      <c r="K287" s="827">
        <v>586</v>
      </c>
      <c r="L287" s="827">
        <v>575</v>
      </c>
      <c r="M287" s="827">
        <v>530</v>
      </c>
      <c r="N287" s="827">
        <v>497</v>
      </c>
      <c r="O287" s="827">
        <v>442</v>
      </c>
      <c r="P287" s="827">
        <v>426</v>
      </c>
      <c r="Q287" s="827">
        <v>383</v>
      </c>
      <c r="R287" s="827">
        <v>328</v>
      </c>
      <c r="S287" s="827">
        <v>304</v>
      </c>
      <c r="T287" s="827">
        <v>291</v>
      </c>
      <c r="U287" s="827">
        <v>269</v>
      </c>
      <c r="V287" s="827">
        <v>264</v>
      </c>
      <c r="W287" s="827">
        <v>256</v>
      </c>
      <c r="X287" s="827">
        <v>249</v>
      </c>
      <c r="Y287" s="827">
        <v>193</v>
      </c>
      <c r="Z287" s="827">
        <v>186</v>
      </c>
      <c r="AA287" s="827">
        <v>180</v>
      </c>
      <c r="AB287" s="827">
        <v>174</v>
      </c>
      <c r="AC287" s="828">
        <v>154</v>
      </c>
      <c r="AD287" s="828">
        <v>153</v>
      </c>
      <c r="AE287" s="828">
        <v>142</v>
      </c>
      <c r="AF287" s="828">
        <v>134</v>
      </c>
      <c r="AG287" s="828">
        <v>132</v>
      </c>
      <c r="AH287" s="828">
        <v>128</v>
      </c>
      <c r="AI287" s="828">
        <v>117</v>
      </c>
      <c r="AJ287" s="828">
        <v>118</v>
      </c>
      <c r="AK287" s="828">
        <v>112</v>
      </c>
      <c r="AL287" s="828">
        <v>108</v>
      </c>
      <c r="AM287" s="828">
        <v>103</v>
      </c>
      <c r="AN287" s="828">
        <v>93</v>
      </c>
      <c r="AO287" s="828">
        <v>89</v>
      </c>
      <c r="AP287" s="828">
        <v>86</v>
      </c>
    </row>
    <row r="288" hidden="1" ht="15.95" customHeight="1">
      <c r="B288" s="829" t="s">
        <v>17</v>
      </c>
      <c r="C288" s="823">
        <v>11</v>
      </c>
      <c r="D288" s="823">
        <v>14</v>
      </c>
      <c r="E288" s="823">
        <v>20</v>
      </c>
      <c r="F288" s="823">
        <v>32</v>
      </c>
      <c r="G288" s="823">
        <v>33</v>
      </c>
      <c r="H288" s="823">
        <v>33</v>
      </c>
      <c r="I288" s="823">
        <v>31</v>
      </c>
      <c r="J288" s="823">
        <v>34</v>
      </c>
      <c r="K288" s="823">
        <v>38</v>
      </c>
      <c r="L288" s="823">
        <v>39</v>
      </c>
      <c r="M288" s="823">
        <v>39</v>
      </c>
      <c r="N288" s="823">
        <v>37</v>
      </c>
      <c r="O288" s="823">
        <v>37</v>
      </c>
      <c r="P288" s="823">
        <v>30</v>
      </c>
      <c r="Q288" s="823">
        <v>27</v>
      </c>
      <c r="R288" s="823">
        <v>25</v>
      </c>
      <c r="S288" s="823">
        <v>24</v>
      </c>
      <c r="T288" s="823">
        <v>23</v>
      </c>
      <c r="U288" s="823">
        <v>22</v>
      </c>
      <c r="V288" s="823">
        <v>21</v>
      </c>
      <c r="W288" s="823">
        <v>21</v>
      </c>
      <c r="X288" s="823">
        <v>21</v>
      </c>
      <c r="Y288" s="823">
        <v>21</v>
      </c>
      <c r="Z288" s="823">
        <v>11</v>
      </c>
      <c r="AA288" s="823">
        <v>10</v>
      </c>
      <c r="AB288" s="823">
        <v>10</v>
      </c>
      <c r="AC288" s="825">
        <v>11</v>
      </c>
      <c r="AD288" s="825">
        <v>12</v>
      </c>
      <c r="AE288" s="825">
        <v>12</v>
      </c>
      <c r="AF288" s="825">
        <v>12</v>
      </c>
      <c r="AG288" s="825">
        <v>13</v>
      </c>
      <c r="AH288" s="825">
        <v>13</v>
      </c>
      <c r="AI288" s="825">
        <v>13</v>
      </c>
      <c r="AJ288" s="825">
        <v>13</v>
      </c>
      <c r="AK288" s="825">
        <v>15</v>
      </c>
      <c r="AL288" s="825">
        <v>15</v>
      </c>
      <c r="AM288" s="825">
        <v>14</v>
      </c>
      <c r="AN288" s="825">
        <v>14</v>
      </c>
      <c r="AO288" s="825">
        <v>14</v>
      </c>
      <c r="AP288" s="825">
        <v>15</v>
      </c>
    </row>
    <row r="289" hidden="1" ht="15.95" customHeight="1">
      <c r="B289" s="826" t="s">
        <v>18</v>
      </c>
      <c r="C289" s="827">
        <v>138</v>
      </c>
      <c r="D289" s="827">
        <v>134</v>
      </c>
      <c r="E289" s="827">
        <v>129</v>
      </c>
      <c r="F289" s="827">
        <v>125</v>
      </c>
      <c r="G289" s="827">
        <v>118</v>
      </c>
      <c r="H289" s="827">
        <v>111</v>
      </c>
      <c r="I289" s="827">
        <v>95</v>
      </c>
      <c r="J289" s="827">
        <v>80</v>
      </c>
      <c r="K289" s="827">
        <v>72</v>
      </c>
      <c r="L289" s="827">
        <v>65</v>
      </c>
      <c r="M289" s="827">
        <v>56</v>
      </c>
      <c r="N289" s="827">
        <v>53</v>
      </c>
      <c r="O289" s="827">
        <v>33</v>
      </c>
      <c r="P289" s="827">
        <v>30</v>
      </c>
      <c r="Q289" s="827">
        <v>29</v>
      </c>
      <c r="R289" s="827">
        <v>28</v>
      </c>
      <c r="S289" s="827">
        <v>26</v>
      </c>
      <c r="T289" s="827">
        <v>23</v>
      </c>
      <c r="U289" s="827">
        <v>20</v>
      </c>
      <c r="V289" s="827">
        <v>18</v>
      </c>
      <c r="W289" s="827">
        <v>15</v>
      </c>
      <c r="X289" s="827">
        <v>13</v>
      </c>
      <c r="Y289" s="827">
        <v>12</v>
      </c>
      <c r="Z289" s="827">
        <v>11</v>
      </c>
      <c r="AA289" s="827">
        <v>11</v>
      </c>
      <c r="AB289" s="827">
        <v>11</v>
      </c>
      <c r="AC289" s="828">
        <v>8</v>
      </c>
      <c r="AD289" s="828">
        <v>8</v>
      </c>
      <c r="AE289" s="828">
        <v>10</v>
      </c>
      <c r="AF289" s="828">
        <v>10</v>
      </c>
      <c r="AG289" s="828">
        <v>13</v>
      </c>
      <c r="AH289" s="828">
        <v>17</v>
      </c>
      <c r="AI289" s="828">
        <v>15</v>
      </c>
      <c r="AJ289" s="828">
        <v>15</v>
      </c>
      <c r="AK289" s="828">
        <v>16</v>
      </c>
      <c r="AL289" s="828">
        <v>18</v>
      </c>
      <c r="AM289" s="828">
        <v>20</v>
      </c>
      <c r="AN289" s="828">
        <v>23</v>
      </c>
      <c r="AO289" s="828">
        <v>24</v>
      </c>
      <c r="AP289" s="828">
        <v>21</v>
      </c>
    </row>
    <row r="290" hidden="1" ht="15.95" customHeight="1">
      <c r="B290" s="829" t="s">
        <v>19</v>
      </c>
      <c r="C290" s="823">
        <v>58</v>
      </c>
      <c r="D290" s="823">
        <v>55</v>
      </c>
      <c r="E290" s="823">
        <v>54</v>
      </c>
      <c r="F290" s="823">
        <v>60</v>
      </c>
      <c r="G290" s="823">
        <v>62</v>
      </c>
      <c r="H290" s="823">
        <v>66</v>
      </c>
      <c r="I290" s="823">
        <v>48</v>
      </c>
      <c r="J290" s="823">
        <v>49</v>
      </c>
      <c r="K290" s="823">
        <v>51</v>
      </c>
      <c r="L290" s="823">
        <v>51</v>
      </c>
      <c r="M290" s="823">
        <v>52</v>
      </c>
      <c r="N290" s="823">
        <v>55</v>
      </c>
      <c r="O290" s="823">
        <v>59</v>
      </c>
      <c r="P290" s="823">
        <v>57</v>
      </c>
      <c r="Q290" s="823">
        <v>55</v>
      </c>
      <c r="R290" s="823">
        <v>57</v>
      </c>
      <c r="S290" s="823">
        <v>59</v>
      </c>
      <c r="T290" s="823">
        <v>58</v>
      </c>
      <c r="U290" s="823">
        <v>59</v>
      </c>
      <c r="V290" s="823">
        <v>58</v>
      </c>
      <c r="W290" s="823">
        <v>57</v>
      </c>
      <c r="X290" s="823">
        <v>59</v>
      </c>
      <c r="Y290" s="823">
        <v>58</v>
      </c>
      <c r="Z290" s="823">
        <v>60</v>
      </c>
      <c r="AA290" s="823">
        <v>37</v>
      </c>
      <c r="AB290" s="823">
        <v>38</v>
      </c>
      <c r="AC290" s="825">
        <v>39</v>
      </c>
      <c r="AD290" s="825">
        <v>40</v>
      </c>
      <c r="AE290" s="825">
        <v>38</v>
      </c>
      <c r="AF290" s="825">
        <v>35</v>
      </c>
      <c r="AG290" s="825">
        <v>34</v>
      </c>
      <c r="AH290" s="825">
        <v>33</v>
      </c>
      <c r="AI290" s="825">
        <v>28</v>
      </c>
      <c r="AJ290" s="825">
        <v>20</v>
      </c>
      <c r="AK290" s="825">
        <v>20</v>
      </c>
      <c r="AL290" s="825">
        <v>19</v>
      </c>
      <c r="AM290" s="825">
        <v>20</v>
      </c>
      <c r="AN290" s="825">
        <v>24</v>
      </c>
      <c r="AO290" s="825">
        <v>22</v>
      </c>
      <c r="AP290" s="825">
        <v>21</v>
      </c>
    </row>
    <row r="291" hidden="1" ht="15.95" customHeight="1">
      <c r="B291" s="826" t="s">
        <v>20</v>
      </c>
      <c r="C291" s="827">
        <v>715</v>
      </c>
      <c r="D291" s="827">
        <v>697</v>
      </c>
      <c r="E291" s="827">
        <v>670</v>
      </c>
      <c r="F291" s="827">
        <v>448</v>
      </c>
      <c r="G291" s="827">
        <v>431</v>
      </c>
      <c r="H291" s="827">
        <v>389</v>
      </c>
      <c r="I291" s="827">
        <v>383</v>
      </c>
      <c r="J291" s="827">
        <v>371</v>
      </c>
      <c r="K291" s="827">
        <v>357</v>
      </c>
      <c r="L291" s="827">
        <v>353</v>
      </c>
      <c r="M291" s="827">
        <v>343</v>
      </c>
      <c r="N291" s="827">
        <v>240</v>
      </c>
      <c r="O291" s="827">
        <v>237</v>
      </c>
      <c r="P291" s="827">
        <v>233</v>
      </c>
      <c r="Q291" s="827">
        <v>174</v>
      </c>
      <c r="R291" s="827">
        <v>164</v>
      </c>
      <c r="S291" s="827">
        <v>157</v>
      </c>
      <c r="T291" s="827">
        <v>153</v>
      </c>
      <c r="U291" s="827">
        <v>152</v>
      </c>
      <c r="V291" s="827">
        <v>150</v>
      </c>
      <c r="W291" s="827">
        <v>140</v>
      </c>
      <c r="X291" s="827">
        <v>119</v>
      </c>
      <c r="Y291" s="827">
        <v>117</v>
      </c>
      <c r="Z291" s="827">
        <v>114</v>
      </c>
      <c r="AA291" s="827">
        <v>116</v>
      </c>
      <c r="AB291" s="827">
        <v>96</v>
      </c>
      <c r="AC291" s="828">
        <v>91</v>
      </c>
      <c r="AD291" s="828">
        <v>91</v>
      </c>
      <c r="AE291" s="828">
        <v>88</v>
      </c>
      <c r="AF291" s="828">
        <v>87</v>
      </c>
      <c r="AG291" s="828">
        <v>61</v>
      </c>
      <c r="AH291" s="828">
        <v>60</v>
      </c>
      <c r="AI291" s="828">
        <v>60</v>
      </c>
      <c r="AJ291" s="828">
        <v>57</v>
      </c>
      <c r="AK291" s="828">
        <v>59</v>
      </c>
      <c r="AL291" s="828">
        <v>61</v>
      </c>
      <c r="AM291" s="828">
        <v>57</v>
      </c>
      <c r="AN291" s="828">
        <v>50</v>
      </c>
      <c r="AO291" s="828">
        <v>49</v>
      </c>
      <c r="AP291" s="828">
        <v>49</v>
      </c>
    </row>
    <row r="292" hidden="1" ht="15.95" customHeight="1">
      <c r="B292" s="829" t="s">
        <v>21</v>
      </c>
      <c r="C292" s="823">
        <v>28</v>
      </c>
      <c r="D292" s="823">
        <v>27</v>
      </c>
      <c r="E292" s="823">
        <v>25</v>
      </c>
      <c r="F292" s="823">
        <v>24</v>
      </c>
      <c r="G292" s="823">
        <v>25</v>
      </c>
      <c r="H292" s="823">
        <v>24</v>
      </c>
      <c r="I292" s="823">
        <v>24</v>
      </c>
      <c r="J292" s="823">
        <v>23</v>
      </c>
      <c r="K292" s="823">
        <v>21</v>
      </c>
      <c r="L292" s="823">
        <v>21</v>
      </c>
      <c r="M292" s="823">
        <v>17</v>
      </c>
      <c r="N292" s="823">
        <v>16</v>
      </c>
      <c r="O292" s="823">
        <v>16</v>
      </c>
      <c r="P292" s="823">
        <v>16</v>
      </c>
      <c r="Q292" s="823">
        <v>14</v>
      </c>
      <c r="R292" s="823">
        <v>14</v>
      </c>
      <c r="S292" s="823">
        <v>13</v>
      </c>
      <c r="T292" s="823">
        <v>13</v>
      </c>
      <c r="U292" s="823">
        <v>13</v>
      </c>
      <c r="V292" s="823">
        <v>11</v>
      </c>
      <c r="W292" s="823">
        <v>11</v>
      </c>
      <c r="X292" s="823">
        <v>12</v>
      </c>
      <c r="Y292" s="823">
        <v>11</v>
      </c>
      <c r="Z292" s="823">
        <v>12</v>
      </c>
      <c r="AA292" s="823">
        <v>12</v>
      </c>
      <c r="AB292" s="823">
        <v>12</v>
      </c>
      <c r="AC292" s="825">
        <v>10</v>
      </c>
      <c r="AD292" s="825">
        <v>10</v>
      </c>
      <c r="AE292" s="825">
        <v>10</v>
      </c>
      <c r="AF292" s="825">
        <v>10</v>
      </c>
      <c r="AG292" s="825">
        <v>10</v>
      </c>
      <c r="AH292" s="825">
        <v>10</v>
      </c>
      <c r="AI292" s="825">
        <v>10</v>
      </c>
      <c r="AJ292" s="825">
        <v>10</v>
      </c>
      <c r="AK292" s="825">
        <v>9</v>
      </c>
      <c r="AL292" s="825">
        <v>9</v>
      </c>
      <c r="AM292" s="825">
        <v>9</v>
      </c>
      <c r="AN292" s="825">
        <v>9</v>
      </c>
      <c r="AO292" s="825">
        <v>10</v>
      </c>
      <c r="AP292" s="825">
        <v>9</v>
      </c>
    </row>
    <row r="293" hidden="1" ht="15.95" customHeight="1">
      <c r="B293" s="826" t="s">
        <v>22</v>
      </c>
      <c r="C293" s="827">
        <v>53</v>
      </c>
      <c r="D293" s="827">
        <v>53</v>
      </c>
      <c r="E293" s="827">
        <v>53</v>
      </c>
      <c r="F293" s="827">
        <v>54</v>
      </c>
      <c r="G293" s="827">
        <v>56</v>
      </c>
      <c r="H293" s="827">
        <v>54</v>
      </c>
      <c r="I293" s="827">
        <v>53</v>
      </c>
      <c r="J293" s="827">
        <v>52</v>
      </c>
      <c r="K293" s="827">
        <v>52</v>
      </c>
      <c r="L293" s="827">
        <v>53</v>
      </c>
      <c r="M293" s="827">
        <v>17</v>
      </c>
      <c r="N293" s="827">
        <v>26</v>
      </c>
      <c r="O293" s="827">
        <v>25</v>
      </c>
      <c r="P293" s="827">
        <v>26</v>
      </c>
      <c r="Q293" s="827">
        <v>9</v>
      </c>
      <c r="R293" s="827">
        <v>11</v>
      </c>
      <c r="S293" s="827">
        <v>10</v>
      </c>
      <c r="T293" s="827">
        <v>10</v>
      </c>
      <c r="U293" s="827">
        <v>5</v>
      </c>
      <c r="V293" s="827">
        <v>7</v>
      </c>
      <c r="W293" s="827">
        <v>10</v>
      </c>
      <c r="X293" s="827">
        <v>13</v>
      </c>
      <c r="Y293" s="827">
        <v>18</v>
      </c>
      <c r="Z293" s="827">
        <v>19</v>
      </c>
      <c r="AA293" s="827">
        <v>21</v>
      </c>
      <c r="AB293" s="827">
        <v>22</v>
      </c>
      <c r="AC293" s="828">
        <v>21</v>
      </c>
      <c r="AD293" s="828">
        <v>22</v>
      </c>
      <c r="AE293" s="828">
        <v>22</v>
      </c>
      <c r="AF293" s="828">
        <v>24</v>
      </c>
      <c r="AG293" s="828">
        <v>24</v>
      </c>
      <c r="AH293" s="828">
        <v>23</v>
      </c>
      <c r="AI293" s="828">
        <v>17</v>
      </c>
      <c r="AJ293" s="828">
        <v>17</v>
      </c>
      <c r="AK293" s="828">
        <v>19</v>
      </c>
      <c r="AL293" s="828">
        <v>18</v>
      </c>
      <c r="AM293" s="828">
        <v>19</v>
      </c>
      <c r="AN293" s="828">
        <v>20</v>
      </c>
      <c r="AO293" s="828">
        <v>21</v>
      </c>
      <c r="AP293" s="828">
        <v>22</v>
      </c>
    </row>
    <row r="294" hidden="1" ht="15.95" customHeight="1">
      <c r="B294" s="829" t="s">
        <v>23</v>
      </c>
      <c r="C294" s="823">
        <v>24</v>
      </c>
      <c r="D294" s="823">
        <v>24</v>
      </c>
      <c r="E294" s="823">
        <v>20</v>
      </c>
      <c r="F294" s="823">
        <v>21</v>
      </c>
      <c r="G294" s="823">
        <v>22</v>
      </c>
      <c r="H294" s="823">
        <v>23</v>
      </c>
      <c r="I294" s="823">
        <v>23</v>
      </c>
      <c r="J294" s="823">
        <v>23</v>
      </c>
      <c r="K294" s="823">
        <v>24</v>
      </c>
      <c r="L294" s="823">
        <v>21</v>
      </c>
      <c r="M294" s="823">
        <v>23</v>
      </c>
      <c r="N294" s="823">
        <v>23</v>
      </c>
      <c r="O294" s="823">
        <v>17</v>
      </c>
      <c r="P294" s="823">
        <v>15</v>
      </c>
      <c r="Q294" s="823">
        <v>15</v>
      </c>
      <c r="R294" s="823">
        <v>15</v>
      </c>
      <c r="S294" s="823">
        <v>13</v>
      </c>
      <c r="T294" s="823">
        <v>13</v>
      </c>
      <c r="U294" s="823">
        <v>14</v>
      </c>
      <c r="V294" s="823">
        <v>12</v>
      </c>
      <c r="W294" s="823">
        <v>11</v>
      </c>
      <c r="X294" s="823">
        <v>11</v>
      </c>
      <c r="Y294" s="823">
        <v>10</v>
      </c>
      <c r="Z294" s="823">
        <v>9</v>
      </c>
      <c r="AA294" s="823">
        <v>9</v>
      </c>
      <c r="AB294" s="823">
        <v>8</v>
      </c>
      <c r="AC294" s="825">
        <v>8</v>
      </c>
      <c r="AD294" s="825">
        <v>8</v>
      </c>
      <c r="AE294" s="825">
        <v>8</v>
      </c>
      <c r="AF294" s="825">
        <v>8</v>
      </c>
      <c r="AG294" s="825">
        <v>8</v>
      </c>
      <c r="AH294" s="825">
        <v>8</v>
      </c>
      <c r="AI294" s="825">
        <v>7</v>
      </c>
      <c r="AJ294" s="825">
        <v>6</v>
      </c>
      <c r="AK294" s="825">
        <v>5</v>
      </c>
      <c r="AL294" s="825">
        <v>4</v>
      </c>
      <c r="AM294" s="825">
        <v>3</v>
      </c>
      <c r="AN294" s="825">
        <v>2</v>
      </c>
      <c r="AO294" s="825">
        <v>2</v>
      </c>
      <c r="AP294" s="825">
        <v>2</v>
      </c>
    </row>
    <row r="295" hidden="1" ht="15.95" customHeight="1">
      <c r="B295" s="835" t="s">
        <v>24</v>
      </c>
      <c r="C295" s="827">
        <v>197</v>
      </c>
      <c r="D295" s="827">
        <v>190</v>
      </c>
      <c r="E295" s="827">
        <v>176</v>
      </c>
      <c r="F295" s="827">
        <v>168</v>
      </c>
      <c r="G295" s="827">
        <v>152</v>
      </c>
      <c r="H295" s="827">
        <v>144</v>
      </c>
      <c r="I295" s="827">
        <v>125</v>
      </c>
      <c r="J295" s="827">
        <v>116</v>
      </c>
      <c r="K295" s="827">
        <v>113</v>
      </c>
      <c r="L295" s="827">
        <v>104</v>
      </c>
      <c r="M295" s="827">
        <v>93</v>
      </c>
      <c r="N295" s="827">
        <v>82</v>
      </c>
      <c r="O295" s="827">
        <v>78</v>
      </c>
      <c r="P295" s="827">
        <v>67</v>
      </c>
      <c r="Q295" s="827">
        <v>65</v>
      </c>
      <c r="R295" s="827">
        <v>61</v>
      </c>
      <c r="S295" s="827">
        <v>61</v>
      </c>
      <c r="T295" s="827">
        <v>59</v>
      </c>
      <c r="U295" s="827">
        <v>59</v>
      </c>
      <c r="V295" s="827">
        <v>58</v>
      </c>
      <c r="W295" s="827">
        <v>59</v>
      </c>
      <c r="X295" s="827">
        <v>56</v>
      </c>
      <c r="Y295" s="827">
        <v>52</v>
      </c>
      <c r="Z295" s="827">
        <v>52</v>
      </c>
      <c r="AA295" s="827">
        <v>49</v>
      </c>
      <c r="AB295" s="827">
        <v>49</v>
      </c>
      <c r="AC295" s="828">
        <v>43</v>
      </c>
      <c r="AD295" s="828">
        <v>43</v>
      </c>
      <c r="AE295" s="828">
        <v>41</v>
      </c>
      <c r="AF295" s="828">
        <v>40</v>
      </c>
      <c r="AG295" s="828">
        <v>40</v>
      </c>
      <c r="AH295" s="828">
        <v>38</v>
      </c>
      <c r="AI295" s="828">
        <v>39</v>
      </c>
      <c r="AJ295" s="828">
        <v>38</v>
      </c>
      <c r="AK295" s="828">
        <v>37</v>
      </c>
      <c r="AL295" s="828">
        <v>32</v>
      </c>
      <c r="AM295" s="828">
        <v>32</v>
      </c>
      <c r="AN295" s="828">
        <v>30</v>
      </c>
      <c r="AO295" s="828">
        <v>27</v>
      </c>
      <c r="AP295" s="828">
        <v>28</v>
      </c>
    </row>
    <row r="296" hidden="1" ht="15.95" customHeight="1">
      <c r="B296" s="829" t="s">
        <v>25</v>
      </c>
      <c r="C296" s="823">
        <v>0</v>
      </c>
      <c r="D296" s="823">
        <v>0</v>
      </c>
      <c r="E296" s="823">
        <v>0</v>
      </c>
      <c r="F296" s="823">
        <v>0</v>
      </c>
      <c r="G296" s="823">
        <v>0</v>
      </c>
      <c r="H296" s="823">
        <v>0</v>
      </c>
      <c r="I296" s="823">
        <v>0</v>
      </c>
      <c r="J296" s="823">
        <v>0</v>
      </c>
      <c r="K296" s="823">
        <v>0</v>
      </c>
      <c r="L296" s="823">
        <v>0</v>
      </c>
      <c r="M296" s="823">
        <v>0</v>
      </c>
      <c r="N296" s="823">
        <v>0</v>
      </c>
      <c r="O296" s="823">
        <v>0</v>
      </c>
      <c r="P296" s="823">
        <v>0</v>
      </c>
      <c r="Q296" s="823">
        <v>0</v>
      </c>
      <c r="R296" s="823">
        <v>0</v>
      </c>
      <c r="S296" s="823">
        <v>0</v>
      </c>
      <c r="T296" s="823">
        <v>0</v>
      </c>
      <c r="U296" s="823">
        <v>0</v>
      </c>
      <c r="V296" s="823">
        <v>0</v>
      </c>
      <c r="W296" s="823">
        <v>0</v>
      </c>
      <c r="X296" s="823">
        <v>0</v>
      </c>
      <c r="Y296" s="823">
        <v>0</v>
      </c>
      <c r="Z296" s="823">
        <v>0</v>
      </c>
      <c r="AA296" s="823">
        <v>0</v>
      </c>
      <c r="AB296" s="823">
        <v>0</v>
      </c>
      <c r="AC296" s="825">
        <v>0</v>
      </c>
      <c r="AD296" s="825">
        <v>0</v>
      </c>
      <c r="AE296" s="825">
        <v>0</v>
      </c>
      <c r="AF296" s="825">
        <v>0</v>
      </c>
      <c r="AG296" s="825">
        <v>0</v>
      </c>
      <c r="AH296" s="825">
        <v>0</v>
      </c>
      <c r="AI296" s="825">
        <v>0</v>
      </c>
      <c r="AJ296" s="825">
        <v>0</v>
      </c>
      <c r="AK296" s="825">
        <v>0</v>
      </c>
      <c r="AL296" s="825">
        <v>0</v>
      </c>
      <c r="AM296" s="825">
        <v>0</v>
      </c>
      <c r="AN296" s="825">
        <v>0</v>
      </c>
      <c r="AO296" s="825">
        <v>0</v>
      </c>
      <c r="AP296" s="825">
        <v>0</v>
      </c>
    </row>
    <row r="297" hidden="1" ht="15.95" customHeight="1">
      <c r="B297" s="836" t="s">
        <v>26</v>
      </c>
      <c r="C297" s="827">
        <v>0</v>
      </c>
      <c r="D297" s="827">
        <v>0</v>
      </c>
      <c r="E297" s="827">
        <v>0</v>
      </c>
      <c r="F297" s="827">
        <v>0</v>
      </c>
      <c r="G297" s="827">
        <v>0</v>
      </c>
      <c r="H297" s="827">
        <v>0</v>
      </c>
      <c r="I297" s="827">
        <v>0</v>
      </c>
      <c r="J297" s="827">
        <v>0</v>
      </c>
      <c r="K297" s="827">
        <v>0</v>
      </c>
      <c r="L297" s="827">
        <v>0</v>
      </c>
      <c r="M297" s="827">
        <v>0</v>
      </c>
      <c r="N297" s="827">
        <v>0</v>
      </c>
      <c r="O297" s="827">
        <v>0</v>
      </c>
      <c r="P297" s="827">
        <v>0</v>
      </c>
      <c r="Q297" s="827">
        <v>0</v>
      </c>
      <c r="R297" s="827">
        <v>0</v>
      </c>
      <c r="S297" s="827">
        <v>0</v>
      </c>
      <c r="T297" s="827">
        <v>0</v>
      </c>
      <c r="U297" s="827">
        <v>0</v>
      </c>
      <c r="V297" s="827">
        <v>0</v>
      </c>
      <c r="W297" s="827">
        <v>0</v>
      </c>
      <c r="X297" s="827">
        <v>0</v>
      </c>
      <c r="Y297" s="827">
        <v>0</v>
      </c>
      <c r="Z297" s="827">
        <v>0</v>
      </c>
      <c r="AA297" s="827">
        <v>0</v>
      </c>
      <c r="AB297" s="837">
        <v>0</v>
      </c>
      <c r="AC297" s="828">
        <v>0</v>
      </c>
      <c r="AD297" s="828">
        <v>0</v>
      </c>
      <c r="AE297" s="828">
        <v>0</v>
      </c>
      <c r="AF297" s="828">
        <v>0</v>
      </c>
      <c r="AG297" s="828">
        <v>0</v>
      </c>
      <c r="AH297" s="828">
        <v>0</v>
      </c>
      <c r="AI297" s="828">
        <v>0</v>
      </c>
      <c r="AJ297" s="828">
        <v>0</v>
      </c>
      <c r="AK297" s="828">
        <v>0</v>
      </c>
      <c r="AL297" s="828">
        <v>0</v>
      </c>
      <c r="AM297" s="828">
        <v>0</v>
      </c>
      <c r="AN297" s="828">
        <v>0</v>
      </c>
      <c r="AO297" s="828">
        <v>0</v>
      </c>
      <c r="AP297" s="828">
        <v>0</v>
      </c>
    </row>
    <row r="298" hidden="1" ht="15.95" customHeight="1">
      <c r="B298" s="128" t="s">
        <v>7</v>
      </c>
      <c r="C298" s="129" t="str">
        <f>IF(SUM(C279:C297)&lt;&gt;0,SUM(C279:C297),"")</f>
      </c>
      <c r="D298" s="129" t="str">
        <f ref="D298:AA298" t="shared" si="25">IF(SUM(D279:D297)&lt;&gt;0,SUM(D279:D297),"")</f>
      </c>
      <c r="E298" s="129" t="str">
        <f t="shared" si="25"/>
      </c>
      <c r="F298" s="129" t="str">
        <f t="shared" si="25"/>
      </c>
      <c r="G298" s="129" t="str">
        <f t="shared" si="25"/>
      </c>
      <c r="H298" s="129" t="str">
        <f t="shared" si="25"/>
      </c>
      <c r="I298" s="129" t="str">
        <f t="shared" si="25"/>
      </c>
      <c r="J298" s="129" t="str">
        <f t="shared" si="25"/>
      </c>
      <c r="K298" s="129" t="str">
        <f t="shared" si="25"/>
      </c>
      <c r="L298" s="129" t="str">
        <f t="shared" si="25"/>
      </c>
      <c r="M298" s="129" t="str">
        <f t="shared" si="25"/>
      </c>
      <c r="N298" s="129" t="str">
        <f t="shared" si="25"/>
      </c>
      <c r="O298" s="129" t="str">
        <f t="shared" si="25"/>
      </c>
      <c r="P298" s="129" t="str">
        <f t="shared" si="25"/>
      </c>
      <c r="Q298" s="129" t="str">
        <f t="shared" si="25"/>
      </c>
      <c r="R298" s="129" t="str">
        <f t="shared" si="25"/>
      </c>
      <c r="S298" s="129" t="str">
        <f t="shared" si="25"/>
      </c>
      <c r="T298" s="129" t="str">
        <f t="shared" si="25"/>
      </c>
      <c r="U298" s="129" t="str">
        <f t="shared" si="25"/>
      </c>
      <c r="V298" s="129" t="str">
        <f t="shared" si="25"/>
      </c>
      <c r="W298" s="129" t="str">
        <f t="shared" si="25"/>
      </c>
      <c r="X298" s="129" t="str">
        <f t="shared" si="25"/>
      </c>
      <c r="Y298" s="129" t="str">
        <f t="shared" si="25"/>
      </c>
      <c r="Z298" s="129" t="str">
        <f t="shared" si="25"/>
      </c>
      <c r="AA298" s="129" t="str">
        <f t="shared" si="25"/>
      </c>
      <c r="AB298" s="130" t="str">
        <f>IF(SUM(AB279:AB297)&lt;&gt;0,SUM(AB279:AB297),"")</f>
      </c>
      <c r="AC298" s="91" t="str">
        <f ref="AC298:CN298" t="shared" si="26">IF(SUM(AC279:AC297)&lt;&gt;0,SUM(AC279:AC297),"")</f>
      </c>
      <c r="AD298" s="91" t="str">
        <f t="shared" si="26"/>
      </c>
      <c r="AE298" s="91" t="str">
        <f t="shared" si="26"/>
      </c>
      <c r="AF298" s="91" t="str">
        <f t="shared" si="26"/>
      </c>
      <c r="AG298" s="91" t="str">
        <f t="shared" si="26"/>
      </c>
      <c r="AH298" s="91" t="str">
        <f t="shared" si="26"/>
      </c>
      <c r="AI298" s="91" t="str">
        <f t="shared" si="26"/>
      </c>
      <c r="AJ298" s="91" t="str">
        <f t="shared" si="26"/>
      </c>
      <c r="AK298" s="91" t="str">
        <f t="shared" si="26"/>
      </c>
      <c r="AL298" s="91" t="str">
        <f t="shared" si="26"/>
      </c>
      <c r="AM298" s="91" t="str">
        <f t="shared" si="26"/>
      </c>
      <c r="AN298" s="91" t="str">
        <f t="shared" si="26"/>
      </c>
      <c r="AO298" s="91" t="str">
        <f t="shared" si="26"/>
      </c>
      <c r="AP298" s="91" t="str">
        <f t="shared" si="26"/>
      </c>
      <c r="AQ298" s="91" t="str">
        <f t="shared" si="26"/>
      </c>
      <c r="AR298" s="91" t="str">
        <f t="shared" si="26"/>
      </c>
      <c r="AS298" s="91" t="str">
        <f t="shared" si="26"/>
      </c>
      <c r="AT298" s="91" t="str">
        <f t="shared" si="26"/>
      </c>
      <c r="AU298" s="91" t="str">
        <f t="shared" si="26"/>
      </c>
      <c r="AV298" s="91" t="str">
        <f t="shared" si="26"/>
      </c>
      <c r="AW298" s="91" t="str">
        <f t="shared" si="26"/>
      </c>
      <c r="AX298" s="91" t="str">
        <f t="shared" si="26"/>
      </c>
      <c r="AY298" s="91" t="str">
        <f t="shared" si="26"/>
      </c>
      <c r="AZ298" s="91" t="str">
        <f t="shared" si="26"/>
      </c>
      <c r="BA298" s="91" t="str">
        <f t="shared" si="26"/>
      </c>
      <c r="BB298" s="91" t="str">
        <f t="shared" si="26"/>
      </c>
      <c r="BC298" s="91" t="str">
        <f t="shared" si="26"/>
      </c>
      <c r="BD298" s="91" t="str">
        <f t="shared" si="26"/>
      </c>
      <c r="BE298" s="91" t="str">
        <f t="shared" si="26"/>
      </c>
      <c r="BF298" s="91" t="str">
        <f t="shared" si="26"/>
      </c>
      <c r="BG298" s="91" t="str">
        <f t="shared" si="26"/>
      </c>
      <c r="BH298" s="91" t="str">
        <f t="shared" si="26"/>
      </c>
      <c r="BI298" s="91" t="str">
        <f t="shared" si="26"/>
      </c>
      <c r="BJ298" s="91" t="str">
        <f t="shared" si="26"/>
      </c>
      <c r="BK298" s="91" t="str">
        <f t="shared" si="26"/>
      </c>
      <c r="BL298" s="91" t="str">
        <f t="shared" si="26"/>
      </c>
      <c r="BM298" s="91" t="str">
        <f t="shared" si="26"/>
      </c>
      <c r="BN298" s="91" t="str">
        <f t="shared" si="26"/>
      </c>
      <c r="BO298" s="91" t="str">
        <f t="shared" si="26"/>
      </c>
      <c r="BP298" s="91" t="str">
        <f t="shared" si="26"/>
      </c>
      <c r="BQ298" s="91" t="str">
        <f t="shared" si="26"/>
      </c>
      <c r="BR298" s="91" t="str">
        <f t="shared" si="26"/>
      </c>
      <c r="BS298" s="91" t="str">
        <f t="shared" si="26"/>
      </c>
      <c r="BT298" s="91" t="str">
        <f t="shared" si="26"/>
      </c>
      <c r="BU298" s="91" t="str">
        <f t="shared" si="26"/>
      </c>
      <c r="BV298" s="91" t="str">
        <f t="shared" si="26"/>
      </c>
      <c r="BW298" s="91" t="str">
        <f t="shared" si="26"/>
      </c>
      <c r="BX298" s="91" t="str">
        <f t="shared" si="26"/>
      </c>
      <c r="BY298" s="91" t="str">
        <f t="shared" si="26"/>
      </c>
      <c r="BZ298" s="91" t="str">
        <f t="shared" si="26"/>
      </c>
      <c r="CA298" s="91" t="str">
        <f t="shared" si="26"/>
      </c>
      <c r="CB298" s="91" t="str">
        <f t="shared" si="26"/>
      </c>
      <c r="CC298" s="91" t="str">
        <f t="shared" si="26"/>
      </c>
      <c r="CD298" s="91" t="str">
        <f t="shared" si="26"/>
      </c>
      <c r="CE298" s="91" t="str">
        <f t="shared" si="26"/>
      </c>
      <c r="CF298" s="91" t="str">
        <f t="shared" si="26"/>
      </c>
      <c r="CG298" s="91" t="str">
        <f t="shared" si="26"/>
      </c>
      <c r="CH298" s="91" t="str">
        <f t="shared" si="26"/>
      </c>
      <c r="CI298" s="91" t="str">
        <f t="shared" si="26"/>
      </c>
      <c r="CJ298" s="91" t="str">
        <f t="shared" si="26"/>
      </c>
      <c r="CK298" s="91" t="str">
        <f t="shared" si="26"/>
      </c>
      <c r="CL298" s="91" t="str">
        <f t="shared" si="26"/>
      </c>
      <c r="CM298" s="91" t="str">
        <f t="shared" si="26"/>
      </c>
      <c r="CN298" s="91" t="str">
        <f t="shared" si="26"/>
      </c>
      <c r="CO298" s="91" t="str">
        <f ref="CO298:EZ298" t="shared" si="27">IF(SUM(CO279:CO297)&lt;&gt;0,SUM(CO279:CO297),"")</f>
      </c>
      <c r="CP298" s="91" t="str">
        <f t="shared" si="27"/>
      </c>
      <c r="CQ298" s="91" t="str">
        <f t="shared" si="27"/>
      </c>
      <c r="CR298" s="91" t="str">
        <f t="shared" si="27"/>
      </c>
      <c r="CS298" s="91" t="str">
        <f t="shared" si="27"/>
      </c>
      <c r="CT298" s="91" t="str">
        <f t="shared" si="27"/>
      </c>
      <c r="CU298" s="91" t="str">
        <f t="shared" si="27"/>
      </c>
      <c r="CV298" s="91" t="str">
        <f t="shared" si="27"/>
      </c>
      <c r="CW298" s="91" t="str">
        <f t="shared" si="27"/>
      </c>
      <c r="CX298" s="91" t="str">
        <f t="shared" si="27"/>
      </c>
      <c r="CY298" s="91" t="str">
        <f t="shared" si="27"/>
      </c>
      <c r="CZ298" s="91" t="str">
        <f t="shared" si="27"/>
      </c>
      <c r="DA298" s="91" t="str">
        <f t="shared" si="27"/>
      </c>
      <c r="DB298" s="91" t="str">
        <f t="shared" si="27"/>
      </c>
      <c r="DC298" s="91" t="str">
        <f t="shared" si="27"/>
      </c>
      <c r="DD298" s="91" t="str">
        <f t="shared" si="27"/>
      </c>
      <c r="DE298" s="91" t="str">
        <f t="shared" si="27"/>
      </c>
      <c r="DF298" s="91" t="str">
        <f t="shared" si="27"/>
      </c>
      <c r="DG298" s="91" t="str">
        <f t="shared" si="27"/>
      </c>
      <c r="DH298" s="91" t="str">
        <f t="shared" si="27"/>
      </c>
      <c r="DI298" s="91" t="str">
        <f t="shared" si="27"/>
      </c>
      <c r="DJ298" s="91" t="str">
        <f t="shared" si="27"/>
      </c>
      <c r="DK298" s="91" t="str">
        <f t="shared" si="27"/>
      </c>
      <c r="DL298" s="91" t="str">
        <f t="shared" si="27"/>
      </c>
      <c r="DM298" s="91" t="str">
        <f t="shared" si="27"/>
      </c>
      <c r="DN298" s="91" t="str">
        <f t="shared" si="27"/>
      </c>
      <c r="DO298" s="91" t="str">
        <f t="shared" si="27"/>
      </c>
      <c r="DP298" s="91" t="str">
        <f t="shared" si="27"/>
      </c>
      <c r="DQ298" s="91" t="str">
        <f t="shared" si="27"/>
      </c>
      <c r="DR298" s="91" t="str">
        <f t="shared" si="27"/>
      </c>
      <c r="DS298" s="91" t="str">
        <f t="shared" si="27"/>
      </c>
      <c r="DT298" s="91" t="str">
        <f t="shared" si="27"/>
      </c>
      <c r="DU298" s="91" t="str">
        <f t="shared" si="27"/>
      </c>
      <c r="DV298" s="91" t="str">
        <f t="shared" si="27"/>
      </c>
      <c r="DW298" s="91" t="str">
        <f t="shared" si="27"/>
      </c>
      <c r="DX298" s="91" t="str">
        <f t="shared" si="27"/>
      </c>
      <c r="DY298" s="91" t="str">
        <f t="shared" si="27"/>
      </c>
      <c r="DZ298" s="91" t="str">
        <f t="shared" si="27"/>
      </c>
      <c r="EA298" s="91" t="str">
        <f t="shared" si="27"/>
      </c>
      <c r="EB298" s="91" t="str">
        <f t="shared" si="27"/>
      </c>
      <c r="EC298" s="91" t="str">
        <f t="shared" si="27"/>
      </c>
      <c r="ED298" s="91" t="str">
        <f t="shared" si="27"/>
      </c>
      <c r="EE298" s="91" t="str">
        <f t="shared" si="27"/>
      </c>
      <c r="EF298" s="91" t="str">
        <f t="shared" si="27"/>
      </c>
      <c r="EG298" s="91" t="str">
        <f t="shared" si="27"/>
      </c>
      <c r="EH298" s="91" t="str">
        <f t="shared" si="27"/>
      </c>
      <c r="EI298" s="91" t="str">
        <f t="shared" si="27"/>
      </c>
      <c r="EJ298" s="91" t="str">
        <f t="shared" si="27"/>
      </c>
      <c r="EK298" s="91" t="str">
        <f t="shared" si="27"/>
      </c>
      <c r="EL298" s="91" t="str">
        <f t="shared" si="27"/>
      </c>
      <c r="EM298" s="91" t="str">
        <f t="shared" si="27"/>
      </c>
      <c r="EN298" s="91" t="str">
        <f t="shared" si="27"/>
      </c>
      <c r="EO298" s="91" t="str">
        <f t="shared" si="27"/>
      </c>
      <c r="EP298" s="91" t="str">
        <f t="shared" si="27"/>
      </c>
      <c r="EQ298" s="91" t="str">
        <f t="shared" si="27"/>
      </c>
      <c r="ER298" s="91" t="str">
        <f t="shared" si="27"/>
      </c>
      <c r="ES298" s="91" t="str">
        <f t="shared" si="27"/>
      </c>
      <c r="ET298" s="91" t="str">
        <f t="shared" si="27"/>
      </c>
      <c r="EU298" s="91" t="str">
        <f t="shared" si="27"/>
      </c>
      <c r="EV298" s="91" t="str">
        <f t="shared" si="27"/>
      </c>
      <c r="EW298" s="91" t="str">
        <f t="shared" si="27"/>
      </c>
      <c r="EX298" s="91" t="str">
        <f t="shared" si="27"/>
      </c>
      <c r="EY298" s="91" t="str">
        <f t="shared" si="27"/>
      </c>
      <c r="EZ298" s="91" t="str">
        <f t="shared" si="27"/>
      </c>
      <c r="FA298" s="91" t="str">
        <f ref="FA298:HL298" t="shared" si="28">IF(SUM(FA279:FA297)&lt;&gt;0,SUM(FA279:FA297),"")</f>
      </c>
      <c r="FB298" s="91" t="str">
        <f t="shared" si="28"/>
      </c>
      <c r="FC298" s="91" t="str">
        <f t="shared" si="28"/>
      </c>
      <c r="FD298" s="91" t="str">
        <f t="shared" si="28"/>
      </c>
      <c r="FE298" s="91" t="str">
        <f t="shared" si="28"/>
      </c>
      <c r="FF298" s="91" t="str">
        <f t="shared" si="28"/>
      </c>
      <c r="FG298" s="91" t="str">
        <f t="shared" si="28"/>
      </c>
      <c r="FH298" s="91" t="str">
        <f t="shared" si="28"/>
      </c>
      <c r="FI298" s="91" t="str">
        <f t="shared" si="28"/>
      </c>
      <c r="FJ298" s="91" t="str">
        <f t="shared" si="28"/>
      </c>
      <c r="FK298" s="91" t="str">
        <f t="shared" si="28"/>
      </c>
      <c r="FL298" s="91" t="str">
        <f t="shared" si="28"/>
      </c>
      <c r="FM298" s="91" t="str">
        <f t="shared" si="28"/>
      </c>
      <c r="FN298" s="91" t="str">
        <f t="shared" si="28"/>
      </c>
      <c r="FO298" s="91" t="str">
        <f t="shared" si="28"/>
      </c>
      <c r="FP298" s="91" t="str">
        <f t="shared" si="28"/>
      </c>
      <c r="FQ298" s="91" t="str">
        <f t="shared" si="28"/>
      </c>
      <c r="FR298" s="91" t="str">
        <f t="shared" si="28"/>
      </c>
      <c r="FS298" s="91" t="str">
        <f t="shared" si="28"/>
      </c>
      <c r="FT298" s="91" t="str">
        <f t="shared" si="28"/>
      </c>
      <c r="FU298" s="91" t="str">
        <f t="shared" si="28"/>
      </c>
      <c r="FV298" s="91" t="str">
        <f t="shared" si="28"/>
      </c>
      <c r="FW298" s="91" t="str">
        <f t="shared" si="28"/>
      </c>
      <c r="FX298" s="91" t="str">
        <f t="shared" si="28"/>
      </c>
      <c r="FY298" s="91" t="str">
        <f t="shared" si="28"/>
      </c>
      <c r="FZ298" s="91" t="str">
        <f t="shared" si="28"/>
      </c>
      <c r="GA298" s="91" t="str">
        <f t="shared" si="28"/>
      </c>
      <c r="GB298" s="91" t="str">
        <f t="shared" si="28"/>
      </c>
      <c r="GC298" s="91" t="str">
        <f t="shared" si="28"/>
      </c>
      <c r="GD298" s="91" t="str">
        <f t="shared" si="28"/>
      </c>
      <c r="GE298" s="91" t="str">
        <f t="shared" si="28"/>
      </c>
      <c r="GF298" s="91" t="str">
        <f t="shared" si="28"/>
      </c>
      <c r="GG298" s="91" t="str">
        <f t="shared" si="28"/>
      </c>
      <c r="GH298" s="91" t="str">
        <f t="shared" si="28"/>
      </c>
      <c r="GI298" s="91" t="str">
        <f t="shared" si="28"/>
      </c>
      <c r="GJ298" s="91" t="str">
        <f t="shared" si="28"/>
      </c>
      <c r="GK298" s="91" t="str">
        <f t="shared" si="28"/>
      </c>
      <c r="GL298" s="91" t="str">
        <f t="shared" si="28"/>
      </c>
      <c r="GM298" s="91" t="str">
        <f t="shared" si="28"/>
      </c>
      <c r="GN298" s="91" t="str">
        <f t="shared" si="28"/>
      </c>
      <c r="GO298" s="91" t="str">
        <f t="shared" si="28"/>
      </c>
      <c r="GP298" s="91" t="str">
        <f t="shared" si="28"/>
      </c>
      <c r="GQ298" s="91" t="str">
        <f t="shared" si="28"/>
      </c>
      <c r="GR298" s="91" t="str">
        <f t="shared" si="28"/>
      </c>
      <c r="GS298" s="91" t="str">
        <f t="shared" si="28"/>
      </c>
      <c r="GT298" s="91" t="str">
        <f t="shared" si="28"/>
      </c>
      <c r="GU298" s="91" t="str">
        <f t="shared" si="28"/>
      </c>
      <c r="GV298" s="91" t="str">
        <f t="shared" si="28"/>
      </c>
      <c r="GW298" s="91" t="str">
        <f t="shared" si="28"/>
      </c>
      <c r="GX298" s="91" t="str">
        <f t="shared" si="28"/>
      </c>
      <c r="GY298" s="91" t="str">
        <f t="shared" si="28"/>
      </c>
      <c r="GZ298" s="91" t="str">
        <f t="shared" si="28"/>
      </c>
      <c r="HA298" s="91" t="str">
        <f t="shared" si="28"/>
      </c>
      <c r="HB298" s="91" t="str">
        <f t="shared" si="28"/>
      </c>
      <c r="HC298" s="91" t="str">
        <f t="shared" si="28"/>
      </c>
      <c r="HD298" s="91" t="str">
        <f t="shared" si="28"/>
      </c>
      <c r="HE298" s="91" t="str">
        <f t="shared" si="28"/>
      </c>
      <c r="HF298" s="91" t="str">
        <f t="shared" si="28"/>
      </c>
      <c r="HG298" s="91" t="str">
        <f t="shared" si="28"/>
      </c>
      <c r="HH298" s="91" t="str">
        <f t="shared" si="28"/>
      </c>
      <c r="HI298" s="91" t="str">
        <f t="shared" si="28"/>
      </c>
      <c r="HJ298" s="91" t="str">
        <f t="shared" si="28"/>
      </c>
      <c r="HK298" s="91" t="str">
        <f t="shared" si="28"/>
      </c>
      <c r="HL298" s="91" t="str">
        <f t="shared" si="28"/>
      </c>
      <c r="HM298" s="91" t="str">
        <f ref="HM298:IV298" t="shared" si="29">IF(SUM(HM279:HM297)&lt;&gt;0,SUM(HM279:HM297),"")</f>
      </c>
      <c r="HN298" s="91" t="str">
        <f t="shared" si="29"/>
      </c>
      <c r="HO298" s="91" t="str">
        <f t="shared" si="29"/>
      </c>
      <c r="HP298" s="91" t="str">
        <f t="shared" si="29"/>
      </c>
      <c r="HQ298" s="91" t="str">
        <f t="shared" si="29"/>
      </c>
      <c r="HR298" s="91" t="str">
        <f t="shared" si="29"/>
      </c>
      <c r="HS298" s="91" t="str">
        <f t="shared" si="29"/>
      </c>
      <c r="HT298" s="91" t="str">
        <f t="shared" si="29"/>
      </c>
      <c r="HU298" s="91" t="str">
        <f t="shared" si="29"/>
      </c>
      <c r="HV298" s="91" t="str">
        <f t="shared" si="29"/>
      </c>
      <c r="HW298" s="91" t="str">
        <f t="shared" si="29"/>
      </c>
      <c r="HX298" s="91" t="str">
        <f t="shared" si="29"/>
      </c>
      <c r="HY298" s="91" t="str">
        <f t="shared" si="29"/>
      </c>
      <c r="HZ298" s="91" t="str">
        <f t="shared" si="29"/>
      </c>
      <c r="IA298" s="91" t="str">
        <f t="shared" si="29"/>
      </c>
      <c r="IB298" s="91" t="str">
        <f t="shared" si="29"/>
      </c>
      <c r="IC298" s="91" t="str">
        <f t="shared" si="29"/>
      </c>
      <c r="ID298" s="91" t="str">
        <f t="shared" si="29"/>
      </c>
      <c r="IE298" s="91" t="str">
        <f t="shared" si="29"/>
      </c>
      <c r="IF298" s="91" t="str">
        <f t="shared" si="29"/>
      </c>
      <c r="IG298" s="91" t="str">
        <f t="shared" si="29"/>
      </c>
      <c r="IH298" s="91" t="str">
        <f t="shared" si="29"/>
      </c>
      <c r="II298" s="91" t="str">
        <f t="shared" si="29"/>
      </c>
      <c r="IJ298" s="91" t="str">
        <f t="shared" si="29"/>
      </c>
      <c r="IK298" s="91" t="str">
        <f t="shared" si="29"/>
      </c>
      <c r="IL298" s="91" t="str">
        <f t="shared" si="29"/>
      </c>
      <c r="IM298" s="91" t="str">
        <f t="shared" si="29"/>
      </c>
      <c r="IN298" s="91" t="str">
        <f t="shared" si="29"/>
      </c>
      <c r="IO298" s="91" t="str">
        <f t="shared" si="29"/>
      </c>
      <c r="IP298" s="91" t="str">
        <f t="shared" si="29"/>
      </c>
      <c r="IQ298" s="91" t="str">
        <f t="shared" si="29"/>
      </c>
      <c r="IR298" s="91" t="str">
        <f t="shared" si="29"/>
      </c>
      <c r="IS298" s="91" t="str">
        <f t="shared" si="29"/>
      </c>
      <c r="IT298" s="91" t="str">
        <f t="shared" si="29"/>
      </c>
      <c r="IU298" s="91" t="str">
        <f t="shared" si="29"/>
      </c>
      <c r="IV298" s="91" t="str">
        <f t="shared" si="29"/>
      </c>
    </row>
    <row r="299" hidden="1" ht="15.95" customHeight="1">
      <c r="B299" s="274"/>
      <c r="C299" s="247"/>
      <c r="D299" s="247"/>
      <c r="E299" s="247"/>
      <c r="F299" s="247"/>
      <c r="G299" s="247"/>
      <c r="H299" s="247"/>
      <c r="I299" s="247"/>
      <c r="J299" s="247"/>
      <c r="K299" s="247"/>
      <c r="N299" s="275"/>
    </row>
    <row r="300" hidden="1" ht="15.95" customHeight="1">
      <c r="B300" s="274"/>
      <c r="C300" s="659" t="s">
        <v>197</v>
      </c>
      <c r="D300" s="660"/>
      <c r="E300" s="660"/>
      <c r="F300" s="660"/>
      <c r="G300" s="660"/>
      <c r="H300" s="660"/>
      <c r="I300" s="660"/>
      <c r="J300" s="660"/>
      <c r="K300" s="660"/>
      <c r="L300" s="660"/>
      <c r="M300" s="660"/>
      <c r="N300" s="660"/>
      <c r="O300" s="660"/>
      <c r="P300" s="660"/>
      <c r="Q300" s="660"/>
      <c r="R300" s="660"/>
      <c r="S300" s="660"/>
      <c r="T300" s="660"/>
      <c r="U300" s="660"/>
      <c r="V300" s="660"/>
      <c r="W300" s="660"/>
      <c r="X300" s="660"/>
      <c r="Y300" s="660"/>
      <c r="Z300" s="660"/>
      <c r="AA300" s="660"/>
      <c r="AB300" s="661"/>
    </row>
    <row r="301" hidden="1" ht="15.95" customHeight="1">
      <c r="C301" s="435" t="str">
        <f> IF(C321&lt;&gt;"",TEXT(AUX!G$1,"dd-MMM-aa"),"")</f>
      </c>
      <c r="D301" s="435" t="str">
        <f> IF(D321&lt;&gt;"",TEXT(AUX!H$1,"dd-MMM-aa"),"")</f>
      </c>
      <c r="E301" s="435" t="str">
        <f> IF(E321&lt;&gt;"",TEXT(AUX!I$1,"dd-MMM-aa"),"")</f>
      </c>
      <c r="F301" s="435" t="str">
        <f> IF(F321&lt;&gt;"",TEXT(AUX!J$1,"dd-MMM-aa"),"")</f>
      </c>
      <c r="G301" s="435" t="str">
        <f> IF(G321&lt;&gt;"",TEXT(AUX!K$1,"dd-MMM-aa"),"")</f>
      </c>
      <c r="H301" s="435" t="str">
        <f> IF(H321&lt;&gt;"",TEXT(AUX!L$1,"dd-MMM-aa"),"")</f>
      </c>
      <c r="I301" s="435" t="str">
        <f> IF(I321&lt;&gt;"",TEXT(AUX!M$1,"dd-MMM-aa"),"")</f>
      </c>
      <c r="J301" s="435" t="str">
        <f> IF(J321&lt;&gt;"",TEXT(AUX!N$1,"dd-MMM-aa"),"")</f>
      </c>
      <c r="K301" s="435" t="str">
        <f> IF(K321&lt;&gt;"",TEXT(AUX!O$1,"dd-MMM-aa"),"")</f>
      </c>
      <c r="L301" s="435" t="str">
        <f> IF(L321&lt;&gt;"",TEXT(AUX!P$1,"dd-MMM-aa"),"")</f>
      </c>
      <c r="M301" s="435" t="str">
        <f> IF(M321&lt;&gt;"",TEXT(AUX!Q$1,"dd-MMM-aa"),"")</f>
      </c>
      <c r="N301" s="435" t="str">
        <f> IF(N321&lt;&gt;"",TEXT(AUX!R$1,"dd-MMM-aa"),"")</f>
      </c>
      <c r="O301" s="435" t="str">
        <f> IF(O321&lt;&gt;"",TEXT(AUX!S$1,"dd-MMM-aa"),"")</f>
      </c>
      <c r="P301" s="435" t="str">
        <f> IF(P321&lt;&gt;"",TEXT(AUX!T$1,"dd-MMM-aa"),"")</f>
      </c>
      <c r="Q301" s="435" t="str">
        <f> IF(Q321&lt;&gt;"",TEXT(AUX!U$1,"dd-MMM-aa"),"")</f>
      </c>
      <c r="R301" s="435" t="str">
        <f> IF(R321&lt;&gt;"",TEXT(AUX!V$1,"dd-MMM-aa"),"")</f>
      </c>
      <c r="S301" s="435" t="str">
        <f> IF(S321&lt;&gt;"",TEXT(AUX!W$1,"dd-MMM-aa"),"")</f>
      </c>
      <c r="T301" s="435" t="str">
        <f> IF(T321&lt;&gt;"",TEXT(AUX!X$1,"dd-MMM-aa"),"")</f>
      </c>
      <c r="U301" s="435" t="str">
        <f> IF(U321&lt;&gt;"",TEXT(AUX!Y$1,"dd-MMM-aa"),"")</f>
      </c>
      <c r="V301" s="435" t="str">
        <f> IF(V321&lt;&gt;"",TEXT(AUX!Z$1,"dd-MMM-aa"),"")</f>
      </c>
      <c r="W301" s="435" t="str">
        <f> IF(W321&lt;&gt;"",TEXT(AUX!AA$1,"dd-MMM-aa"),"")</f>
      </c>
      <c r="X301" s="435" t="str">
        <f> IF(X321&lt;&gt;"",TEXT(AUX!AB$1,"dd-MMM-aa"),"")</f>
      </c>
      <c r="Y301" s="435" t="str">
        <f> IF(Y321&lt;&gt;"",TEXT(AUX!AC$1,"dd-MMM-aa"),"")</f>
      </c>
      <c r="Z301" s="435" t="str">
        <f> IF(Z321&lt;&gt;"",TEXT(AUX!AD$1,"dd-MMM-aa"),"")</f>
      </c>
      <c r="AA301" s="435" t="str">
        <f> IF(AA321&lt;&gt;"",TEXT(AUX!AE$1,"dd-MMM-aa"),"")</f>
      </c>
      <c r="AB301" s="497" t="str">
        <f> IF(AB321&lt;&gt;"",TEXT(AUX!AF$1,"dd-MMM-aa"),"")</f>
      </c>
      <c r="AC301" s="496" t="str">
        <f> IF(AC321&lt;&gt;"",TEXT(AUX!AG$1,"dd-MMM-aa"),"")</f>
      </c>
      <c r="AD301" s="496" t="str">
        <f> IF(AD321&lt;&gt;"",TEXT(AUX!AH$1,"dd-MMM-aa"),"")</f>
      </c>
      <c r="AE301" s="496" t="str">
        <f> IF(AE321&lt;&gt;"",TEXT(AUX!AI$1,"dd-MMM-aa"),"")</f>
      </c>
      <c r="AF301" s="496" t="str">
        <f> IF(AF321&lt;&gt;"",TEXT(AUX!AJ$1,"dd-MMM-aa"),"")</f>
      </c>
      <c r="AG301" s="496" t="str">
        <f> IF(AG321&lt;&gt;"",TEXT(AUX!AK$1,"dd-MMM-aa"),"")</f>
      </c>
      <c r="AH301" s="496" t="str">
        <f> IF(AH321&lt;&gt;"",TEXT(AUX!AL$1,"dd-MMM-aa"),"")</f>
      </c>
      <c r="AI301" s="496" t="str">
        <f> IF(AI321&lt;&gt;"",TEXT(AUX!AM$1,"dd-MMM-aa"),"")</f>
      </c>
      <c r="AJ301" s="496" t="str">
        <f> IF(AJ321&lt;&gt;"",TEXT(AUX!AN$1,"dd-MMM-aa"),"")</f>
      </c>
      <c r="AK301" s="496" t="str">
        <f> IF(AK321&lt;&gt;"",TEXT(AUX!AO$1,"dd-MMM-aa"),"")</f>
      </c>
      <c r="AL301" s="496" t="str">
        <f> IF(AL321&lt;&gt;"",TEXT(AUX!AP$1,"dd-MMM-aa"),"")</f>
      </c>
      <c r="AM301" s="496" t="str">
        <f> IF(AM321&lt;&gt;"",TEXT(AUX!AQ$1,"dd-MMM-aa"),"")</f>
      </c>
      <c r="AN301" s="496" t="str">
        <f> IF(AN321&lt;&gt;"",TEXT(AUX!AR$1,"dd-MMM-aa"),"")</f>
      </c>
      <c r="AO301" s="496" t="str">
        <f> IF(AO321&lt;&gt;"",TEXT(AUX!AS$1,"dd-MMM-aa"),"")</f>
      </c>
      <c r="AP301" s="496" t="str">
        <f> IF(AP321&lt;&gt;"",TEXT(AUX!AT$1,"dd-MMM-aa"),"")</f>
      </c>
      <c r="AQ301" s="496" t="str">
        <f> IF(AQ321&lt;&gt;"",TEXT(AUX!AU$1,"dd-MMM-aa"),"")</f>
      </c>
      <c r="AR301" s="496" t="str">
        <f> IF(AR321&lt;&gt;"",TEXT(AUX!AV$1,"dd-MMM-aa"),"")</f>
      </c>
      <c r="AS301" s="496" t="str">
        <f> IF(AS321&lt;&gt;"",TEXT(AUX!AW$1,"dd-MMM-aa"),"")</f>
      </c>
      <c r="AT301" s="496" t="str">
        <f> IF(AT321&lt;&gt;"",TEXT(AUX!AX$1,"dd-MMM-aa"),"")</f>
      </c>
      <c r="AU301" s="496" t="str">
        <f> IF(AU321&lt;&gt;"",TEXT(AUX!AY$1,"dd-MMM-aa"),"")</f>
      </c>
      <c r="AV301" s="496" t="str">
        <f> IF(AV321&lt;&gt;"",TEXT(AUX!AZ$1,"dd-MMM-aa"),"")</f>
      </c>
      <c r="AW301" s="496" t="str">
        <f> IF(AW321&lt;&gt;"",TEXT(AUX!BA$1,"dd-MMM-aa"),"")</f>
      </c>
      <c r="AX301" s="496" t="str">
        <f> IF(AX321&lt;&gt;"",TEXT(AUX!BB$1,"dd-MMM-aa"),"")</f>
      </c>
      <c r="AY301" s="496" t="str">
        <f> IF(AY321&lt;&gt;"",TEXT(AUX!BC$1,"dd-MMM-aa"),"")</f>
      </c>
      <c r="AZ301" s="496" t="str">
        <f> IF(AZ321&lt;&gt;"",TEXT(AUX!BD$1,"dd-MMM-aa"),"")</f>
      </c>
      <c r="BA301" s="496" t="str">
        <f> IF(BA321&lt;&gt;"",TEXT(AUX!BE$1,"dd-MMM-aa"),"")</f>
      </c>
      <c r="BB301" s="496" t="str">
        <f> IF(BB321&lt;&gt;"",TEXT(AUX!BF$1,"dd-MMM-aa"),"")</f>
      </c>
      <c r="BC301" s="496" t="str">
        <f> IF(BC321&lt;&gt;"",TEXT(AUX!BG$1,"dd-MMM-aa"),"")</f>
      </c>
      <c r="BD301" s="496" t="str">
        <f> IF(BD321&lt;&gt;"",TEXT(AUX!BH$1,"dd-MMM-aa"),"")</f>
      </c>
      <c r="BE301" s="496" t="str">
        <f> IF(BE321&lt;&gt;"",TEXT(AUX!BI$1,"dd-MMM-aa"),"")</f>
      </c>
      <c r="BF301" s="496" t="str">
        <f> IF(BF321&lt;&gt;"",TEXT(AUX!BJ$1,"dd-MMM-aa"),"")</f>
      </c>
      <c r="BG301" s="496" t="str">
        <f> IF(BG321&lt;&gt;"",TEXT(AUX!BK$1,"dd-MMM-aa"),"")</f>
      </c>
      <c r="BH301" s="496" t="str">
        <f> IF(BH321&lt;&gt;"",TEXT(AUX!BL$1,"dd-MMM-aa"),"")</f>
      </c>
      <c r="BI301" s="496" t="str">
        <f> IF(BI321&lt;&gt;"",TEXT(AUX!BM$1,"dd-MMM-aa"),"")</f>
      </c>
      <c r="BJ301" s="496" t="str">
        <f> IF(BJ321&lt;&gt;"",TEXT(AUX!BN$1,"dd-MMM-aa"),"")</f>
      </c>
      <c r="BK301" s="496" t="str">
        <f> IF(BK321&lt;&gt;"",TEXT(AUX!BO$1,"dd-MMM-aa"),"")</f>
      </c>
      <c r="BL301" s="496" t="str">
        <f> IF(BL321&lt;&gt;"",TEXT(AUX!BP$1,"dd-MMM-aa"),"")</f>
      </c>
      <c r="BM301" s="496" t="str">
        <f> IF(BM321&lt;&gt;"",TEXT(AUX!BQ$1,"dd-MMM-aa"),"")</f>
      </c>
      <c r="BN301" s="496" t="str">
        <f> IF(BN321&lt;&gt;"",TEXT(AUX!BR$1,"dd-MMM-aa"),"")</f>
      </c>
      <c r="BO301" s="496" t="str">
        <f> IF(BO321&lt;&gt;"",TEXT(AUX!BS$1,"dd-MMM-aa"),"")</f>
      </c>
      <c r="BP301" s="496" t="str">
        <f> IF(BP321&lt;&gt;"",TEXT(AUX!BT$1,"dd-MMM-aa"),"")</f>
      </c>
      <c r="BQ301" s="496" t="str">
        <f> IF(BQ321&lt;&gt;"",TEXT(AUX!BU$1,"dd-MMM-aa"),"")</f>
      </c>
      <c r="BR301" s="496" t="str">
        <f> IF(BR321&lt;&gt;"",TEXT(AUX!BV$1,"dd-MMM-aa"),"")</f>
      </c>
      <c r="BS301" s="496" t="str">
        <f> IF(BS321&lt;&gt;"",TEXT(AUX!BW$1,"dd-MMM-aa"),"")</f>
      </c>
      <c r="BT301" s="496" t="str">
        <f> IF(BT321&lt;&gt;"",TEXT(AUX!BX$1,"dd-MMM-aa"),"")</f>
      </c>
      <c r="BU301" s="496" t="str">
        <f> IF(BU321&lt;&gt;"",TEXT(AUX!BY$1,"dd-MMM-aa"),"")</f>
      </c>
      <c r="BV301" s="496" t="str">
        <f> IF(BV321&lt;&gt;"",TEXT(AUX!BZ$1,"dd-MMM-aa"),"")</f>
      </c>
      <c r="BW301" s="496" t="str">
        <f> IF(BW321&lt;&gt;"",TEXT(AUX!CA$1,"dd-MMM-aa"),"")</f>
      </c>
      <c r="BX301" s="496" t="str">
        <f> IF(BX321&lt;&gt;"",TEXT(AUX!CB$1,"dd-MMM-aa"),"")</f>
      </c>
      <c r="BY301" s="496" t="str">
        <f> IF(BY321&lt;&gt;"",TEXT(AUX!CC$1,"dd-MMM-aa"),"")</f>
      </c>
      <c r="BZ301" s="496" t="str">
        <f> IF(BZ321&lt;&gt;"",TEXT(AUX!CD$1,"dd-MMM-aa"),"")</f>
      </c>
      <c r="CA301" s="496" t="str">
        <f> IF(CA321&lt;&gt;"",TEXT(AUX!CE$1,"dd-MMM-aa"),"")</f>
      </c>
      <c r="CB301" s="496" t="str">
        <f> IF(CB321&lt;&gt;"",TEXT(AUX!CF$1,"dd-MMM-aa"),"")</f>
      </c>
      <c r="CC301" s="496" t="str">
        <f> IF(CC321&lt;&gt;"",TEXT(AUX!CG$1,"dd-MMM-aa"),"")</f>
      </c>
      <c r="CD301" s="496" t="str">
        <f> IF(CD321&lt;&gt;"",TEXT(AUX!CH$1,"dd-MMM-aa"),"")</f>
      </c>
      <c r="CE301" s="496" t="str">
        <f> IF(CE321&lt;&gt;"",TEXT(AUX!CI$1,"dd-MMM-aa"),"")</f>
      </c>
      <c r="CF301" s="496" t="str">
        <f> IF(CF321&lt;&gt;"",TEXT(AUX!CJ$1,"dd-MMM-aa"),"")</f>
      </c>
      <c r="CG301" s="496" t="str">
        <f> IF(CG321&lt;&gt;"",TEXT(AUX!CK$1,"dd-MMM-aa"),"")</f>
      </c>
      <c r="CH301" s="496" t="str">
        <f> IF(CH321&lt;&gt;"",TEXT(AUX!CL$1,"dd-MMM-aa"),"")</f>
      </c>
      <c r="CI301" s="496" t="str">
        <f> IF(CI321&lt;&gt;"",TEXT(AUX!CM$1,"dd-MMM-aa"),"")</f>
      </c>
      <c r="CJ301" s="496" t="str">
        <f> IF(CJ321&lt;&gt;"",TEXT(AUX!CN$1,"dd-MMM-aa"),"")</f>
      </c>
      <c r="CK301" s="496" t="str">
        <f> IF(CK321&lt;&gt;"",TEXT(AUX!CO$1,"dd-MMM-aa"),"")</f>
      </c>
      <c r="CL301" s="496" t="str">
        <f> IF(CL321&lt;&gt;"",TEXT(AUX!CP$1,"dd-MMM-aa"),"")</f>
      </c>
      <c r="CM301" s="496" t="str">
        <f> IF(CM321&lt;&gt;"",TEXT(AUX!CQ$1,"dd-MMM-aa"),"")</f>
      </c>
      <c r="CN301" s="496" t="str">
        <f> IF(CN321&lt;&gt;"",TEXT(AUX!CR$1,"dd-MMM-aa"),"")</f>
      </c>
      <c r="CO301" s="496" t="str">
        <f> IF(CO321&lt;&gt;"",TEXT(AUX!CS$1,"dd-MMM-aa"),"")</f>
      </c>
      <c r="CP301" s="496" t="str">
        <f> IF(CP321&lt;&gt;"",TEXT(AUX!CT$1,"dd-MMM-aa"),"")</f>
      </c>
      <c r="CQ301" s="496" t="str">
        <f> IF(CQ321&lt;&gt;"",TEXT(AUX!CU$1,"dd-MMM-aa"),"")</f>
      </c>
      <c r="CR301" s="496" t="str">
        <f> IF(CR321&lt;&gt;"",TEXT(AUX!CV$1,"dd-MMM-aa"),"")</f>
      </c>
      <c r="CS301" s="496" t="str">
        <f> IF(CS321&lt;&gt;"",TEXT(AUX!CW$1,"dd-MMM-aa"),"")</f>
      </c>
      <c r="CT301" s="496" t="str">
        <f> IF(CT321&lt;&gt;"",TEXT(AUX!CX$1,"dd-MMM-aa"),"")</f>
      </c>
      <c r="CU301" s="496" t="str">
        <f> IF(CU321&lt;&gt;"",TEXT(AUX!CY$1,"dd-MMM-aa"),"")</f>
      </c>
      <c r="CV301" s="496" t="str">
        <f> IF(CV321&lt;&gt;"",TEXT(AUX!CZ$1,"dd-MMM-aa"),"")</f>
      </c>
      <c r="CW301" s="496" t="str">
        <f> IF(CW321&lt;&gt;"",TEXT(AUX!DA$1,"dd-MMM-aa"),"")</f>
      </c>
      <c r="CX301" s="496" t="str">
        <f> IF(CX321&lt;&gt;"",TEXT(AUX!DB$1,"dd-MMM-aa"),"")</f>
      </c>
      <c r="CY301" s="496" t="str">
        <f> IF(CY321&lt;&gt;"",TEXT(AUX!DC$1,"dd-MMM-aa"),"")</f>
      </c>
      <c r="CZ301" s="496" t="str">
        <f> IF(CZ321&lt;&gt;"",TEXT(AUX!DD$1,"dd-MMM-aa"),"")</f>
      </c>
      <c r="DA301" s="496" t="str">
        <f> IF(DA321&lt;&gt;"",TEXT(AUX!DE$1,"dd-MMM-aa"),"")</f>
      </c>
      <c r="DB301" s="496" t="str">
        <f> IF(DB321&lt;&gt;"",TEXT(AUX!DF$1,"dd-MMM-aa"),"")</f>
      </c>
      <c r="DC301" s="496" t="str">
        <f> IF(DC321&lt;&gt;"",TEXT(AUX!DG$1,"dd-MMM-aa"),"")</f>
      </c>
      <c r="DD301" s="496" t="str">
        <f> IF(DD321&lt;&gt;"",TEXT(AUX!DH$1,"dd-MMM-aa"),"")</f>
      </c>
      <c r="DE301" s="496" t="str">
        <f> IF(DE321&lt;&gt;"",TEXT(AUX!DI$1,"dd-MMM-aa"),"")</f>
      </c>
      <c r="DF301" s="496" t="str">
        <f> IF(DF321&lt;&gt;"",TEXT(AUX!DJ$1,"dd-MMM-aa"),"")</f>
      </c>
      <c r="DG301" s="496" t="str">
        <f> IF(DG321&lt;&gt;"",TEXT(AUX!DK$1,"dd-MMM-aa"),"")</f>
      </c>
      <c r="DH301" s="496" t="str">
        <f> IF(DH321&lt;&gt;"",TEXT(AUX!DL$1,"dd-MMM-aa"),"")</f>
      </c>
      <c r="DI301" s="496" t="str">
        <f> IF(DI321&lt;&gt;"",TEXT(AUX!DM$1,"dd-MMM-aa"),"")</f>
      </c>
      <c r="DJ301" s="496" t="str">
        <f> IF(DJ321&lt;&gt;"",TEXT(AUX!DN$1,"dd-MMM-aa"),"")</f>
      </c>
      <c r="DK301" s="496" t="str">
        <f> IF(DK321&lt;&gt;"",TEXT(AUX!DO$1,"dd-MMM-aa"),"")</f>
      </c>
      <c r="DL301" s="496" t="str">
        <f> IF(DL321&lt;&gt;"",TEXT(AUX!DP$1,"dd-MMM-aa"),"")</f>
      </c>
      <c r="DM301" s="496" t="str">
        <f> IF(DM321&lt;&gt;"",TEXT(AUX!DQ$1,"dd-MMM-aa"),"")</f>
      </c>
      <c r="DN301" s="496" t="str">
        <f> IF(DN321&lt;&gt;"",TEXT(AUX!DR$1,"dd-MMM-aa"),"")</f>
      </c>
      <c r="DO301" s="496" t="str">
        <f> IF(DO321&lt;&gt;"",TEXT(AUX!DS$1,"dd-MMM-aa"),"")</f>
      </c>
      <c r="DP301" s="496" t="str">
        <f> IF(DP321&lt;&gt;"",TEXT(AUX!DT$1,"dd-MMM-aa"),"")</f>
      </c>
      <c r="DQ301" s="496" t="str">
        <f> IF(DQ321&lt;&gt;"",TEXT(AUX!DU$1,"dd-MMM-aa"),"")</f>
      </c>
      <c r="DR301" s="496" t="str">
        <f> IF(DR321&lt;&gt;"",TEXT(AUX!DV$1,"dd-MMM-aa"),"")</f>
      </c>
      <c r="DS301" s="496" t="str">
        <f> IF(DS321&lt;&gt;"",TEXT(AUX!DW$1,"dd-MMM-aa"),"")</f>
      </c>
      <c r="DT301" s="496" t="str">
        <f> IF(DT321&lt;&gt;"",TEXT(AUX!DX$1,"dd-MMM-aa"),"")</f>
      </c>
      <c r="DU301" s="496" t="str">
        <f> IF(DU321&lt;&gt;"",TEXT(AUX!DY$1,"dd-MMM-aa"),"")</f>
      </c>
      <c r="DV301" s="496" t="str">
        <f> IF(DV321&lt;&gt;"",TEXT(AUX!DZ$1,"dd-MMM-aa"),"")</f>
      </c>
      <c r="DW301" s="496" t="str">
        <f> IF(DW321&lt;&gt;"",TEXT(AUX!EA$1,"dd-MMM-aa"),"")</f>
      </c>
      <c r="DX301" s="496" t="str">
        <f> IF(DX321&lt;&gt;"",TEXT(AUX!EB$1,"dd-MMM-aa"),"")</f>
      </c>
      <c r="DY301" s="496" t="str">
        <f> IF(DY321&lt;&gt;"",TEXT(AUX!EC$1,"dd-MMM-aa"),"")</f>
      </c>
      <c r="DZ301" s="496" t="str">
        <f> IF(DZ321&lt;&gt;"",TEXT(AUX!ED$1,"dd-MMM-aa"),"")</f>
      </c>
      <c r="EA301" s="496" t="str">
        <f> IF(EA321&lt;&gt;"",TEXT(AUX!EE$1,"dd-MMM-aa"),"")</f>
      </c>
      <c r="EB301" s="496" t="str">
        <f> IF(EB321&lt;&gt;"",TEXT(AUX!EF$1,"dd-MMM-aa"),"")</f>
      </c>
      <c r="EC301" s="496" t="str">
        <f> IF(EC321&lt;&gt;"",TEXT(AUX!EG$1,"dd-MMM-aa"),"")</f>
      </c>
      <c r="ED301" s="496" t="str">
        <f> IF(ED321&lt;&gt;"",TEXT(AUX!EH$1,"dd-MMM-aa"),"")</f>
      </c>
      <c r="EE301" s="496" t="str">
        <f> IF(EE321&lt;&gt;"",TEXT(AUX!EI$1,"dd-MMM-aa"),"")</f>
      </c>
      <c r="EF301" s="496" t="str">
        <f> IF(EF321&lt;&gt;"",TEXT(AUX!EJ$1,"dd-MMM-aa"),"")</f>
      </c>
      <c r="EG301" s="496" t="str">
        <f> IF(EG321&lt;&gt;"",TEXT(AUX!EK$1,"dd-MMM-aa"),"")</f>
      </c>
      <c r="EH301" s="496" t="str">
        <f> IF(EH321&lt;&gt;"",TEXT(AUX!EL$1,"dd-MMM-aa"),"")</f>
      </c>
      <c r="EI301" s="496" t="str">
        <f> IF(EI321&lt;&gt;"",TEXT(AUX!EM$1,"dd-MMM-aa"),"")</f>
      </c>
      <c r="EJ301" s="496" t="str">
        <f> IF(EJ321&lt;&gt;"",TEXT(AUX!EN$1,"dd-MMM-aa"),"")</f>
      </c>
      <c r="EK301" s="496" t="str">
        <f> IF(EK321&lt;&gt;"",TEXT(AUX!EO$1,"dd-MMM-aa"),"")</f>
      </c>
      <c r="EL301" s="496" t="str">
        <f> IF(EL321&lt;&gt;"",TEXT(AUX!EP$1,"dd-MMM-aa"),"")</f>
      </c>
      <c r="EM301" s="496" t="str">
        <f> IF(EM321&lt;&gt;"",TEXT(AUX!EQ$1,"dd-MMM-aa"),"")</f>
      </c>
      <c r="EN301" s="496" t="str">
        <f> IF(EN321&lt;&gt;"",TEXT(AUX!ER$1,"dd-MMM-aa"),"")</f>
      </c>
      <c r="EO301" s="496" t="str">
        <f> IF(EO321&lt;&gt;"",TEXT(AUX!ES$1,"dd-MMM-aa"),"")</f>
      </c>
      <c r="EP301" s="496" t="str">
        <f> IF(EP321&lt;&gt;"",TEXT(AUX!ET$1,"dd-MMM-aa"),"")</f>
      </c>
      <c r="EQ301" s="496" t="str">
        <f> IF(EQ321&lt;&gt;"",TEXT(AUX!EU$1,"dd-MMM-aa"),"")</f>
      </c>
      <c r="ER301" s="496" t="str">
        <f> IF(ER321&lt;&gt;"",TEXT(AUX!EV$1,"dd-MMM-aa"),"")</f>
      </c>
      <c r="ES301" s="496" t="str">
        <f> IF(ES321&lt;&gt;"",TEXT(AUX!EW$1,"dd-MMM-aa"),"")</f>
      </c>
      <c r="ET301" s="496" t="str">
        <f> IF(ET321&lt;&gt;"",TEXT(AUX!EX$1,"dd-MMM-aa"),"")</f>
      </c>
      <c r="EU301" s="496" t="str">
        <f> IF(EU321&lt;&gt;"",TEXT(AUX!EY$1,"dd-MMM-aa"),"")</f>
      </c>
      <c r="EV301" s="496" t="str">
        <f> IF(EV321&lt;&gt;"",TEXT(AUX!EZ$1,"dd-MMM-aa"),"")</f>
      </c>
      <c r="EW301" s="496" t="str">
        <f> IF(EW321&lt;&gt;"",TEXT(AUX!FA$1,"dd-MMM-aa"),"")</f>
      </c>
      <c r="EX301" s="496" t="str">
        <f> IF(EX321&lt;&gt;"",TEXT(AUX!FB$1,"dd-MMM-aa"),"")</f>
      </c>
      <c r="EY301" s="496" t="str">
        <f> IF(EY321&lt;&gt;"",TEXT(AUX!FC$1,"dd-MMM-aa"),"")</f>
      </c>
      <c r="EZ301" s="496" t="str">
        <f> IF(EZ321&lt;&gt;"",TEXT(AUX!FD$1,"dd-MMM-aa"),"")</f>
      </c>
      <c r="FA301" s="496" t="str">
        <f> IF(FA321&lt;&gt;"",TEXT(AUX!FE$1,"dd-MMM-aa"),"")</f>
      </c>
      <c r="FB301" s="496" t="str">
        <f> IF(FB321&lt;&gt;"",TEXT(AUX!FF$1,"dd-MMM-aa"),"")</f>
      </c>
      <c r="FC301" s="496" t="str">
        <f> IF(FC321&lt;&gt;"",TEXT(AUX!FG$1,"dd-MMM-aa"),"")</f>
      </c>
      <c r="FD301" s="496" t="str">
        <f> IF(FD321&lt;&gt;"",TEXT(AUX!FH$1,"dd-MMM-aa"),"")</f>
      </c>
      <c r="FE301" s="496" t="str">
        <f> IF(FE321&lt;&gt;"",TEXT(AUX!FI$1,"dd-MMM-aa"),"")</f>
      </c>
      <c r="FF301" s="496" t="str">
        <f> IF(FF321&lt;&gt;"",TEXT(AUX!FJ$1,"dd-MMM-aa"),"")</f>
      </c>
      <c r="FG301" s="496" t="str">
        <f> IF(FG321&lt;&gt;"",TEXT(AUX!FK$1,"dd-MMM-aa"),"")</f>
      </c>
      <c r="FH301" s="496" t="str">
        <f> IF(FH321&lt;&gt;"",TEXT(AUX!FL$1,"dd-MMM-aa"),"")</f>
      </c>
      <c r="FI301" s="496" t="str">
        <f> IF(FI321&lt;&gt;"",TEXT(AUX!FM$1,"dd-MMM-aa"),"")</f>
      </c>
      <c r="FJ301" s="496" t="str">
        <f> IF(FJ321&lt;&gt;"",TEXT(AUX!FN$1,"dd-MMM-aa"),"")</f>
      </c>
      <c r="FK301" s="496" t="str">
        <f> IF(FK321&lt;&gt;"",TEXT(AUX!FO$1,"dd-MMM-aa"),"")</f>
      </c>
      <c r="FL301" s="496" t="str">
        <f> IF(FL321&lt;&gt;"",TEXT(AUX!FP$1,"dd-MMM-aa"),"")</f>
      </c>
      <c r="FM301" s="496" t="str">
        <f> IF(FM321&lt;&gt;"",TEXT(AUX!FQ$1,"dd-MMM-aa"),"")</f>
      </c>
      <c r="FN301" s="496" t="str">
        <f> IF(FN321&lt;&gt;"",TEXT(AUX!FR$1,"dd-MMM-aa"),"")</f>
      </c>
      <c r="FO301" s="496" t="str">
        <f> IF(FO321&lt;&gt;"",TEXT(AUX!FS$1,"dd-MMM-aa"),"")</f>
      </c>
      <c r="FP301" s="496" t="str">
        <f> IF(FP321&lt;&gt;"",TEXT(AUX!FT$1,"dd-MMM-aa"),"")</f>
      </c>
      <c r="FQ301" s="496" t="str">
        <f> IF(FQ321&lt;&gt;"",TEXT(AUX!FU$1,"dd-MMM-aa"),"")</f>
      </c>
      <c r="FR301" s="496" t="str">
        <f> IF(FR321&lt;&gt;"",TEXT(AUX!FV$1,"dd-MMM-aa"),"")</f>
      </c>
      <c r="FS301" s="496" t="str">
        <f> IF(FS321&lt;&gt;"",TEXT(AUX!FW$1,"dd-MMM-aa"),"")</f>
      </c>
      <c r="FT301" s="496" t="str">
        <f> IF(FT321&lt;&gt;"",TEXT(AUX!FX$1,"dd-MMM-aa"),"")</f>
      </c>
      <c r="FU301" s="496" t="str">
        <f> IF(FU321&lt;&gt;"",TEXT(AUX!FY$1,"dd-MMM-aa"),"")</f>
      </c>
      <c r="FV301" s="496" t="str">
        <f> IF(FV321&lt;&gt;"",TEXT(AUX!FZ$1,"dd-MMM-aa"),"")</f>
      </c>
      <c r="FW301" s="496" t="str">
        <f> IF(FW321&lt;&gt;"",TEXT(AUX!GA$1,"dd-MMM-aa"),"")</f>
      </c>
      <c r="FX301" s="496" t="str">
        <f> IF(FX321&lt;&gt;"",TEXT(AUX!GB$1,"dd-MMM-aa"),"")</f>
      </c>
      <c r="FY301" s="496" t="str">
        <f> IF(FY321&lt;&gt;"",TEXT(AUX!GC$1,"dd-MMM-aa"),"")</f>
      </c>
      <c r="FZ301" s="496" t="str">
        <f> IF(FZ321&lt;&gt;"",TEXT(AUX!GD$1,"dd-MMM-aa"),"")</f>
      </c>
      <c r="GA301" s="496" t="str">
        <f> IF(GA321&lt;&gt;"",TEXT(AUX!GE$1,"dd-MMM-aa"),"")</f>
      </c>
      <c r="GB301" s="496" t="str">
        <f> IF(GB321&lt;&gt;"",TEXT(AUX!GF$1,"dd-MMM-aa"),"")</f>
      </c>
      <c r="GC301" s="496" t="str">
        <f> IF(GC321&lt;&gt;"",TEXT(AUX!GG$1,"dd-MMM-aa"),"")</f>
      </c>
      <c r="GD301" s="496" t="str">
        <f> IF(GD321&lt;&gt;"",TEXT(AUX!GH$1,"dd-MMM-aa"),"")</f>
      </c>
      <c r="GE301" s="496" t="str">
        <f> IF(GE321&lt;&gt;"",TEXT(AUX!GI$1,"dd-MMM-aa"),"")</f>
      </c>
      <c r="GF301" s="496" t="str">
        <f> IF(GF321&lt;&gt;"",TEXT(AUX!GJ$1,"dd-MMM-aa"),"")</f>
      </c>
      <c r="GG301" s="496" t="str">
        <f> IF(GG321&lt;&gt;"",TEXT(AUX!GK$1,"dd-MMM-aa"),"")</f>
      </c>
      <c r="GH301" s="496" t="str">
        <f> IF(GH321&lt;&gt;"",TEXT(AUX!GL$1,"dd-MMM-aa"),"")</f>
      </c>
      <c r="GI301" s="496" t="str">
        <f> IF(GI321&lt;&gt;"",TEXT(AUX!GM$1,"dd-MMM-aa"),"")</f>
      </c>
      <c r="GJ301" s="496" t="str">
        <f> IF(GJ321&lt;&gt;"",TEXT(AUX!GN$1,"dd-MMM-aa"),"")</f>
      </c>
      <c r="GK301" s="496" t="str">
        <f> IF(GK321&lt;&gt;"",TEXT(AUX!GO$1,"dd-MMM-aa"),"")</f>
      </c>
      <c r="GL301" s="496" t="str">
        <f> IF(GL321&lt;&gt;"",TEXT(AUX!GP$1,"dd-MMM-aa"),"")</f>
      </c>
      <c r="GM301" s="496" t="str">
        <f> IF(GM321&lt;&gt;"",TEXT(AUX!GQ$1,"dd-MMM-aa"),"")</f>
      </c>
      <c r="GN301" s="496" t="str">
        <f> IF(GN321&lt;&gt;"",TEXT(AUX!GR$1,"dd-MMM-aa"),"")</f>
      </c>
      <c r="GO301" s="496" t="str">
        <f> IF(GO321&lt;&gt;"",TEXT(AUX!GS$1,"dd-MMM-aa"),"")</f>
      </c>
      <c r="GP301" s="496" t="str">
        <f> IF(GP321&lt;&gt;"",TEXT(AUX!GT$1,"dd-MMM-aa"),"")</f>
      </c>
      <c r="GQ301" s="496" t="str">
        <f> IF(GQ321&lt;&gt;"",TEXT(AUX!GU$1,"dd-MMM-aa"),"")</f>
      </c>
      <c r="GR301" s="496" t="str">
        <f> IF(GR321&lt;&gt;"",TEXT(AUX!GV$1,"dd-MMM-aa"),"")</f>
      </c>
      <c r="GS301" s="496" t="str">
        <f> IF(GS321&lt;&gt;"",TEXT(AUX!GW$1,"dd-MMM-aa"),"")</f>
      </c>
      <c r="GT301" s="496" t="str">
        <f> IF(GT321&lt;&gt;"",TEXT(AUX!GX$1,"dd-MMM-aa"),"")</f>
      </c>
      <c r="GU301" s="496" t="str">
        <f> IF(GU321&lt;&gt;"",TEXT(AUX!GY$1,"dd-MMM-aa"),"")</f>
      </c>
      <c r="GV301" s="496" t="str">
        <f> IF(GV321&lt;&gt;"",TEXT(AUX!GZ$1,"dd-MMM-aa"),"")</f>
      </c>
      <c r="GW301" s="496" t="str">
        <f> IF(GW321&lt;&gt;"",TEXT(AUX!HA$1,"dd-MMM-aa"),"")</f>
      </c>
      <c r="GX301" s="496" t="str">
        <f> IF(GX321&lt;&gt;"",TEXT(AUX!HB$1,"dd-MMM-aa"),"")</f>
      </c>
      <c r="GY301" s="496" t="str">
        <f> IF(GY321&lt;&gt;"",TEXT(AUX!HC$1,"dd-MMM-aa"),"")</f>
      </c>
      <c r="GZ301" s="496" t="str">
        <f> IF(GZ321&lt;&gt;"",TEXT(AUX!HD$1,"dd-MMM-aa"),"")</f>
      </c>
      <c r="HA301" s="496" t="str">
        <f> IF(HA321&lt;&gt;"",TEXT(AUX!HE$1,"dd-MMM-aa"),"")</f>
      </c>
      <c r="HB301" s="496" t="str">
        <f> IF(HB321&lt;&gt;"",TEXT(AUX!HF$1,"dd-MMM-aa"),"")</f>
      </c>
      <c r="HC301" s="496" t="str">
        <f> IF(HC321&lt;&gt;"",TEXT(AUX!HG$1,"dd-MMM-aa"),"")</f>
      </c>
      <c r="HD301" s="496" t="str">
        <f> IF(HD321&lt;&gt;"",TEXT(AUX!HH$1,"dd-MMM-aa"),"")</f>
      </c>
      <c r="HE301" s="496" t="str">
        <f> IF(HE321&lt;&gt;"",TEXT(AUX!HI$1,"dd-MMM-aa"),"")</f>
      </c>
      <c r="HF301" s="496" t="str">
        <f> IF(HF321&lt;&gt;"",TEXT(AUX!HJ$1,"dd-MMM-aa"),"")</f>
      </c>
      <c r="HG301" s="496" t="str">
        <f> IF(HG321&lt;&gt;"",TEXT(AUX!HK$1,"dd-MMM-aa"),"")</f>
      </c>
      <c r="HH301" s="496" t="str">
        <f> IF(HH321&lt;&gt;"",TEXT(AUX!HL$1,"dd-MMM-aa"),"")</f>
      </c>
      <c r="HI301" s="496" t="str">
        <f> IF(HI321&lt;&gt;"",TEXT(AUX!HM$1,"dd-MMM-aa"),"")</f>
      </c>
      <c r="HJ301" s="496" t="str">
        <f> IF(HJ321&lt;&gt;"",TEXT(AUX!HN$1,"dd-MMM-aa"),"")</f>
      </c>
      <c r="HK301" s="496" t="str">
        <f> IF(HK321&lt;&gt;"",TEXT(AUX!HO$1,"dd-MMM-aa"),"")</f>
      </c>
      <c r="HL301" s="496" t="str">
        <f> IF(HL321&lt;&gt;"",TEXT(AUX!HP$1,"dd-MMM-aa"),"")</f>
      </c>
      <c r="HM301" s="496" t="str">
        <f> IF(HM321&lt;&gt;"",TEXT(AUX!HQ$1,"dd-MMM-aa"),"")</f>
      </c>
      <c r="HN301" s="496" t="str">
        <f> IF(HN321&lt;&gt;"",TEXT(AUX!HR$1,"dd-MMM-aa"),"")</f>
      </c>
      <c r="HO301" s="496" t="str">
        <f> IF(HO321&lt;&gt;"",TEXT(AUX!HS$1,"dd-MMM-aa"),"")</f>
      </c>
      <c r="HP301" s="496" t="str">
        <f> IF(HP321&lt;&gt;"",TEXT(AUX!HT$1,"dd-MMM-aa"),"")</f>
      </c>
      <c r="HQ301" s="496" t="str">
        <f> IF(HQ321&lt;&gt;"",TEXT(AUX!HU$1,"dd-MMM-aa"),"")</f>
      </c>
      <c r="HR301" s="496" t="str">
        <f> IF(HR321&lt;&gt;"",TEXT(AUX!HV$1,"dd-MMM-aa"),"")</f>
      </c>
      <c r="HS301" s="496" t="str">
        <f> IF(HS321&lt;&gt;"",TEXT(AUX!HW$1,"dd-MMM-aa"),"")</f>
      </c>
      <c r="HT301" s="496" t="str">
        <f> IF(HT321&lt;&gt;"",TEXT(AUX!HX$1,"dd-MMM-aa"),"")</f>
      </c>
      <c r="HU301" s="496" t="str">
        <f> IF(HU321&lt;&gt;"",TEXT(AUX!HY$1,"dd-MMM-aa"),"")</f>
      </c>
      <c r="HV301" s="496" t="str">
        <f> IF(HV321&lt;&gt;"",TEXT(AUX!HZ$1,"dd-MMM-aa"),"")</f>
      </c>
      <c r="HW301" s="496" t="str">
        <f> IF(HW321&lt;&gt;"",TEXT(AUX!IA$1,"dd-MMM-aa"),"")</f>
      </c>
      <c r="HX301" s="496" t="str">
        <f> IF(HX321&lt;&gt;"",TEXT(AUX!IB$1,"dd-MMM-aa"),"")</f>
      </c>
      <c r="HY301" s="496" t="str">
        <f> IF(HY321&lt;&gt;"",TEXT(AUX!IC$1,"dd-MMM-aa"),"")</f>
      </c>
      <c r="HZ301" s="496" t="str">
        <f> IF(HZ321&lt;&gt;"",TEXT(AUX!ID$1,"dd-MMM-aa"),"")</f>
      </c>
      <c r="IA301" s="496" t="str">
        <f> IF(IA321&lt;&gt;"",TEXT(AUX!IE$1,"dd-MMM-aa"),"")</f>
      </c>
      <c r="IB301" s="496" t="str">
        <f> IF(IB321&lt;&gt;"",TEXT(AUX!IF$1,"dd-MMM-aa"),"")</f>
      </c>
      <c r="IC301" s="496" t="str">
        <f> IF(IC321&lt;&gt;"",TEXT(AUX!IG$1,"dd-MMM-aa"),"")</f>
      </c>
      <c r="ID301" s="496" t="str">
        <f> IF(ID321&lt;&gt;"",TEXT(AUX!IH$1,"dd-MMM-aa"),"")</f>
      </c>
      <c r="IE301" s="496" t="str">
        <f> IF(IE321&lt;&gt;"",TEXT(AUX!II$1,"dd-MMM-aa"),"")</f>
      </c>
      <c r="IF301" s="496" t="str">
        <f> IF(IF321&lt;&gt;"",TEXT(AUX!IJ$1,"dd-MMM-aa"),"")</f>
      </c>
      <c r="IG301" s="496" t="str">
        <f> IF(IG321&lt;&gt;"",TEXT(AUX!IK$1,"dd-MMM-aa"),"")</f>
      </c>
      <c r="IH301" s="496" t="str">
        <f> IF(IH321&lt;&gt;"",TEXT(AUX!IL$1,"dd-MMM-aa"),"")</f>
      </c>
      <c r="II301" s="496" t="str">
        <f> IF(II321&lt;&gt;"",TEXT(AUX!IM$1,"dd-MMM-aa"),"")</f>
      </c>
      <c r="IJ301" s="496" t="str">
        <f> IF(IJ321&lt;&gt;"",TEXT(AUX!IN$1,"dd-MMM-aa"),"")</f>
      </c>
      <c r="IK301" s="496" t="str">
        <f> IF(IK321&lt;&gt;"",TEXT(AUX!IO$1,"dd-MMM-aa"),"")</f>
      </c>
      <c r="IL301" s="496" t="str">
        <f> IF(IL321&lt;&gt;"",TEXT(AUX!IP$1,"dd-MMM-aa"),"")</f>
      </c>
      <c r="IM301" s="496" t="str">
        <f> IF(IM321&lt;&gt;"",TEXT(AUX!IQ$1,"dd-MMM-aa"),"")</f>
      </c>
      <c r="IN301" s="496" t="str">
        <f> IF(IN321&lt;&gt;"",TEXT(AUX!IR$1,"dd-MMM-aa"),"")</f>
      </c>
      <c r="IO301" s="496" t="str">
        <f> IF(IO321&lt;&gt;"",TEXT(AUX!IS$1,"dd-MMM-aa"),"")</f>
      </c>
      <c r="IP301" s="496" t="str">
        <f> IF(IP321&lt;&gt;"",TEXT(AUX!IT$1,"dd-MMM-aa"),"")</f>
      </c>
      <c r="IQ301" s="496" t="str">
        <f> IF(IQ321&lt;&gt;"",TEXT(AUX!IU$1,"dd-MMM-aa"),"")</f>
      </c>
      <c r="IR301" s="496" t="str">
        <f> IF(IR321&lt;&gt;"",TEXT(AUX!IV$1,"dd-MMM-aa"),"")</f>
      </c>
      <c r="IS301" s="496" t="str">
        <f> IF(IS321&lt;&gt;"",TEXT(AUX!#REF!,"dd-MMM-aa"),"")</f>
      </c>
      <c r="IT301" s="496" t="str">
        <f> IF(IT321&lt;&gt;"",TEXT(AUX!#REF!,"dd-MMM-aa"),"")</f>
      </c>
      <c r="IU301" s="496" t="str">
        <f> IF(IU321&lt;&gt;"",TEXT(AUX!#REF!,"dd-MMM-aa"),"")</f>
      </c>
      <c r="IV301" s="496" t="str">
        <f> IF(IV321&lt;&gt;"",TEXT(AUX!#REF!,"dd-MMM-aa"),"")</f>
      </c>
    </row>
    <row r="302" hidden="1" ht="15.95" customHeight="1">
      <c r="B302" s="822" t="s">
        <v>8</v>
      </c>
      <c r="C302" s="823">
        <v>231</v>
      </c>
      <c r="D302" s="823">
        <v>237</v>
      </c>
      <c r="E302" s="823">
        <v>234</v>
      </c>
      <c r="F302" s="823">
        <v>225</v>
      </c>
      <c r="G302" s="823">
        <v>220</v>
      </c>
      <c r="H302" s="823">
        <v>222</v>
      </c>
      <c r="I302" s="823">
        <v>219</v>
      </c>
      <c r="J302" s="823">
        <v>210</v>
      </c>
      <c r="K302" s="823">
        <v>210</v>
      </c>
      <c r="L302" s="823">
        <v>208</v>
      </c>
      <c r="M302" s="823">
        <v>204</v>
      </c>
      <c r="N302" s="823">
        <v>203</v>
      </c>
      <c r="O302" s="823">
        <v>185</v>
      </c>
      <c r="P302" s="823">
        <v>180</v>
      </c>
      <c r="Q302" s="823">
        <v>172</v>
      </c>
      <c r="R302" s="823">
        <v>172</v>
      </c>
      <c r="S302" s="823">
        <v>181</v>
      </c>
      <c r="T302" s="823">
        <v>143</v>
      </c>
      <c r="U302" s="823">
        <v>143</v>
      </c>
      <c r="V302" s="823">
        <v>145</v>
      </c>
      <c r="W302" s="823">
        <v>143</v>
      </c>
      <c r="X302" s="823">
        <v>120</v>
      </c>
      <c r="Y302" s="823">
        <v>142</v>
      </c>
      <c r="Z302" s="823">
        <v>145</v>
      </c>
      <c r="AA302" s="823">
        <v>141</v>
      </c>
      <c r="AB302" s="824">
        <v>138</v>
      </c>
      <c r="AC302" s="825">
        <v>142</v>
      </c>
      <c r="AD302" s="825">
        <v>143</v>
      </c>
      <c r="AE302" s="825">
        <v>143</v>
      </c>
      <c r="AF302" s="825">
        <v>144</v>
      </c>
      <c r="AG302" s="825">
        <v>144</v>
      </c>
      <c r="AH302" s="825">
        <v>148</v>
      </c>
      <c r="AI302" s="825">
        <v>151</v>
      </c>
      <c r="AJ302" s="825">
        <v>149</v>
      </c>
      <c r="AK302" s="825">
        <v>148</v>
      </c>
      <c r="AL302" s="825">
        <v>142</v>
      </c>
      <c r="AM302" s="825">
        <v>144</v>
      </c>
      <c r="AN302" s="825">
        <v>142</v>
      </c>
      <c r="AO302" s="825">
        <v>142</v>
      </c>
      <c r="AP302" s="825">
        <v>143</v>
      </c>
    </row>
    <row r="303" hidden="1" ht="15.95" customHeight="1">
      <c r="B303" s="826" t="s">
        <v>9</v>
      </c>
      <c r="C303" s="827">
        <v>658</v>
      </c>
      <c r="D303" s="827">
        <v>640</v>
      </c>
      <c r="E303" s="827">
        <v>615</v>
      </c>
      <c r="F303" s="827">
        <v>618</v>
      </c>
      <c r="G303" s="827">
        <v>615</v>
      </c>
      <c r="H303" s="827">
        <v>589</v>
      </c>
      <c r="I303" s="827">
        <v>550</v>
      </c>
      <c r="J303" s="827">
        <v>547</v>
      </c>
      <c r="K303" s="827">
        <v>529</v>
      </c>
      <c r="L303" s="827">
        <v>527</v>
      </c>
      <c r="M303" s="827">
        <v>497</v>
      </c>
      <c r="N303" s="827">
        <v>486</v>
      </c>
      <c r="O303" s="827">
        <v>448</v>
      </c>
      <c r="P303" s="827">
        <v>436</v>
      </c>
      <c r="Q303" s="827">
        <v>418</v>
      </c>
      <c r="R303" s="827">
        <v>411</v>
      </c>
      <c r="S303" s="827">
        <v>413</v>
      </c>
      <c r="T303" s="827">
        <v>413</v>
      </c>
      <c r="U303" s="827">
        <v>407</v>
      </c>
      <c r="V303" s="827">
        <v>403</v>
      </c>
      <c r="W303" s="827">
        <v>408</v>
      </c>
      <c r="X303" s="827">
        <v>406</v>
      </c>
      <c r="Y303" s="827">
        <v>407</v>
      </c>
      <c r="Z303" s="827">
        <v>401</v>
      </c>
      <c r="AA303" s="827">
        <v>395</v>
      </c>
      <c r="AB303" s="827">
        <v>394</v>
      </c>
      <c r="AC303" s="828">
        <v>398</v>
      </c>
      <c r="AD303" s="828">
        <v>395</v>
      </c>
      <c r="AE303" s="828">
        <v>394</v>
      </c>
      <c r="AF303" s="828">
        <v>395</v>
      </c>
      <c r="AG303" s="828">
        <v>396</v>
      </c>
      <c r="AH303" s="828">
        <v>400</v>
      </c>
      <c r="AI303" s="828">
        <v>399</v>
      </c>
      <c r="AJ303" s="828">
        <v>398</v>
      </c>
      <c r="AK303" s="828">
        <v>394</v>
      </c>
      <c r="AL303" s="828">
        <v>393</v>
      </c>
      <c r="AM303" s="828">
        <v>384</v>
      </c>
      <c r="AN303" s="828">
        <v>384</v>
      </c>
      <c r="AO303" s="828">
        <v>387</v>
      </c>
      <c r="AP303" s="828">
        <v>384</v>
      </c>
    </row>
    <row r="304" hidden="1" ht="15.95" customHeight="1">
      <c r="B304" s="829" t="s">
        <v>10</v>
      </c>
      <c r="C304" s="823">
        <v>68</v>
      </c>
      <c r="D304" s="823">
        <v>69</v>
      </c>
      <c r="E304" s="823">
        <v>69</v>
      </c>
      <c r="F304" s="823">
        <v>69</v>
      </c>
      <c r="G304" s="823">
        <v>64</v>
      </c>
      <c r="H304" s="823">
        <v>63</v>
      </c>
      <c r="I304" s="823">
        <v>64</v>
      </c>
      <c r="J304" s="823">
        <v>64</v>
      </c>
      <c r="K304" s="823">
        <v>54</v>
      </c>
      <c r="L304" s="823">
        <v>52</v>
      </c>
      <c r="M304" s="823">
        <v>45</v>
      </c>
      <c r="N304" s="823">
        <v>40</v>
      </c>
      <c r="O304" s="823">
        <v>41</v>
      </c>
      <c r="P304" s="823">
        <v>38</v>
      </c>
      <c r="Q304" s="823">
        <v>35</v>
      </c>
      <c r="R304" s="823">
        <v>35</v>
      </c>
      <c r="S304" s="823">
        <v>34</v>
      </c>
      <c r="T304" s="823">
        <v>35</v>
      </c>
      <c r="U304" s="823">
        <v>35</v>
      </c>
      <c r="V304" s="823">
        <v>31</v>
      </c>
      <c r="W304" s="823">
        <v>29</v>
      </c>
      <c r="X304" s="823">
        <v>29</v>
      </c>
      <c r="Y304" s="823">
        <v>29</v>
      </c>
      <c r="Z304" s="823">
        <v>24</v>
      </c>
      <c r="AA304" s="823">
        <v>22</v>
      </c>
      <c r="AB304" s="823">
        <v>19</v>
      </c>
      <c r="AC304" s="825">
        <v>18</v>
      </c>
      <c r="AD304" s="825">
        <v>19</v>
      </c>
      <c r="AE304" s="825">
        <v>19</v>
      </c>
      <c r="AF304" s="825">
        <v>20</v>
      </c>
      <c r="AG304" s="825">
        <v>19</v>
      </c>
      <c r="AH304" s="825">
        <v>18</v>
      </c>
      <c r="AI304" s="825">
        <v>16</v>
      </c>
      <c r="AJ304" s="825">
        <v>13</v>
      </c>
      <c r="AK304" s="825">
        <v>13</v>
      </c>
      <c r="AL304" s="825">
        <v>11</v>
      </c>
      <c r="AM304" s="825">
        <v>11</v>
      </c>
      <c r="AN304" s="825">
        <v>11</v>
      </c>
      <c r="AO304" s="825">
        <v>11</v>
      </c>
      <c r="AP304" s="825">
        <v>10</v>
      </c>
    </row>
    <row r="305" hidden="1" ht="15.95" customHeight="1">
      <c r="B305" s="826" t="s">
        <v>11</v>
      </c>
      <c r="C305" s="827">
        <v>1514</v>
      </c>
      <c r="D305" s="827">
        <v>1306</v>
      </c>
      <c r="E305" s="827">
        <v>1301</v>
      </c>
      <c r="F305" s="827">
        <v>1292</v>
      </c>
      <c r="G305" s="827">
        <v>1219</v>
      </c>
      <c r="H305" s="827">
        <v>1186</v>
      </c>
      <c r="I305" s="827">
        <v>1187</v>
      </c>
      <c r="J305" s="827">
        <v>1159</v>
      </c>
      <c r="K305" s="827">
        <v>1113</v>
      </c>
      <c r="L305" s="827">
        <v>1033</v>
      </c>
      <c r="M305" s="827">
        <v>1039</v>
      </c>
      <c r="N305" s="827">
        <v>1025</v>
      </c>
      <c r="O305" s="827">
        <v>1028</v>
      </c>
      <c r="P305" s="827">
        <v>1016</v>
      </c>
      <c r="Q305" s="827">
        <v>1002</v>
      </c>
      <c r="R305" s="827">
        <v>1006</v>
      </c>
      <c r="S305" s="827">
        <v>996</v>
      </c>
      <c r="T305" s="827">
        <v>999</v>
      </c>
      <c r="U305" s="827">
        <v>997</v>
      </c>
      <c r="V305" s="827">
        <v>999</v>
      </c>
      <c r="W305" s="827">
        <v>979</v>
      </c>
      <c r="X305" s="827">
        <v>984</v>
      </c>
      <c r="Y305" s="827">
        <v>925</v>
      </c>
      <c r="Z305" s="827">
        <v>925</v>
      </c>
      <c r="AA305" s="827">
        <v>894</v>
      </c>
      <c r="AB305" s="827">
        <v>895</v>
      </c>
      <c r="AC305" s="828">
        <v>861</v>
      </c>
      <c r="AD305" s="828">
        <v>860</v>
      </c>
      <c r="AE305" s="828">
        <v>847</v>
      </c>
      <c r="AF305" s="828">
        <v>842</v>
      </c>
      <c r="AG305" s="828">
        <v>770</v>
      </c>
      <c r="AH305" s="828">
        <v>783</v>
      </c>
      <c r="AI305" s="828">
        <v>787</v>
      </c>
      <c r="AJ305" s="828">
        <v>795</v>
      </c>
      <c r="AK305" s="828">
        <v>798</v>
      </c>
      <c r="AL305" s="828">
        <v>798</v>
      </c>
      <c r="AM305" s="828">
        <v>746</v>
      </c>
      <c r="AN305" s="828">
        <v>727</v>
      </c>
      <c r="AO305" s="828">
        <v>685</v>
      </c>
      <c r="AP305" s="828">
        <v>666</v>
      </c>
    </row>
    <row r="306" hidden="1" ht="15.95" customHeight="1">
      <c r="B306" s="829" t="s">
        <v>12</v>
      </c>
      <c r="C306" s="823">
        <v>27</v>
      </c>
      <c r="D306" s="823">
        <v>27</v>
      </c>
      <c r="E306" s="823">
        <v>25</v>
      </c>
      <c r="F306" s="823">
        <v>21</v>
      </c>
      <c r="G306" s="823">
        <v>17</v>
      </c>
      <c r="H306" s="823">
        <v>18</v>
      </c>
      <c r="I306" s="823">
        <v>20</v>
      </c>
      <c r="J306" s="823">
        <v>21</v>
      </c>
      <c r="K306" s="823">
        <v>20</v>
      </c>
      <c r="L306" s="823">
        <v>19</v>
      </c>
      <c r="M306" s="823">
        <v>17</v>
      </c>
      <c r="N306" s="823">
        <v>16</v>
      </c>
      <c r="O306" s="823">
        <v>17</v>
      </c>
      <c r="P306" s="823">
        <v>17</v>
      </c>
      <c r="Q306" s="823">
        <v>17</v>
      </c>
      <c r="R306" s="823">
        <v>16</v>
      </c>
      <c r="S306" s="823">
        <v>15</v>
      </c>
      <c r="T306" s="823">
        <v>14</v>
      </c>
      <c r="U306" s="823">
        <v>17</v>
      </c>
      <c r="V306" s="823">
        <v>21</v>
      </c>
      <c r="W306" s="823">
        <v>24</v>
      </c>
      <c r="X306" s="823">
        <v>25</v>
      </c>
      <c r="Y306" s="823">
        <v>30</v>
      </c>
      <c r="Z306" s="823">
        <v>31</v>
      </c>
      <c r="AA306" s="823">
        <v>30</v>
      </c>
      <c r="AB306" s="823">
        <v>28</v>
      </c>
      <c r="AC306" s="825">
        <v>25</v>
      </c>
      <c r="AD306" s="825">
        <v>27</v>
      </c>
      <c r="AE306" s="825">
        <v>27</v>
      </c>
      <c r="AF306" s="825">
        <v>28</v>
      </c>
      <c r="AG306" s="825">
        <v>27</v>
      </c>
      <c r="AH306" s="825">
        <v>25</v>
      </c>
      <c r="AI306" s="825">
        <v>23</v>
      </c>
      <c r="AJ306" s="825">
        <v>24</v>
      </c>
      <c r="AK306" s="825">
        <v>24</v>
      </c>
      <c r="AL306" s="825">
        <v>23</v>
      </c>
      <c r="AM306" s="825">
        <v>21</v>
      </c>
      <c r="AN306" s="825">
        <v>19</v>
      </c>
      <c r="AO306" s="825">
        <v>19</v>
      </c>
      <c r="AP306" s="825">
        <v>17</v>
      </c>
    </row>
    <row r="307" hidden="1" ht="15.95" customHeight="1">
      <c r="B307" s="826" t="s">
        <v>13</v>
      </c>
      <c r="C307" s="827">
        <v>10</v>
      </c>
      <c r="D307" s="827">
        <v>9</v>
      </c>
      <c r="E307" s="827">
        <v>8</v>
      </c>
      <c r="F307" s="827">
        <v>8</v>
      </c>
      <c r="G307" s="827">
        <v>10</v>
      </c>
      <c r="H307" s="827">
        <v>10</v>
      </c>
      <c r="I307" s="827">
        <v>10</v>
      </c>
      <c r="J307" s="827">
        <v>9</v>
      </c>
      <c r="K307" s="827">
        <v>10</v>
      </c>
      <c r="L307" s="827">
        <v>8</v>
      </c>
      <c r="M307" s="827">
        <v>9</v>
      </c>
      <c r="N307" s="827">
        <v>8</v>
      </c>
      <c r="O307" s="827">
        <v>9</v>
      </c>
      <c r="P307" s="827">
        <v>8</v>
      </c>
      <c r="Q307" s="827">
        <v>8</v>
      </c>
      <c r="R307" s="827">
        <v>10</v>
      </c>
      <c r="S307" s="827">
        <v>12</v>
      </c>
      <c r="T307" s="827">
        <v>13</v>
      </c>
      <c r="U307" s="827">
        <v>12</v>
      </c>
      <c r="V307" s="827">
        <v>12</v>
      </c>
      <c r="W307" s="827">
        <v>12</v>
      </c>
      <c r="X307" s="827">
        <v>9</v>
      </c>
      <c r="Y307" s="827">
        <v>10</v>
      </c>
      <c r="Z307" s="827">
        <v>9</v>
      </c>
      <c r="AA307" s="827">
        <v>9</v>
      </c>
      <c r="AB307" s="827">
        <v>9</v>
      </c>
      <c r="AC307" s="828">
        <v>11</v>
      </c>
      <c r="AD307" s="828">
        <v>11</v>
      </c>
      <c r="AE307" s="828">
        <v>11</v>
      </c>
      <c r="AF307" s="828">
        <v>9</v>
      </c>
      <c r="AG307" s="828">
        <v>10</v>
      </c>
      <c r="AH307" s="828">
        <v>9</v>
      </c>
      <c r="AI307" s="828">
        <v>9</v>
      </c>
      <c r="AJ307" s="828">
        <v>8</v>
      </c>
      <c r="AK307" s="828">
        <v>6</v>
      </c>
      <c r="AL307" s="828">
        <v>6</v>
      </c>
      <c r="AM307" s="828">
        <v>4</v>
      </c>
      <c r="AN307" s="828">
        <v>4</v>
      </c>
      <c r="AO307" s="828">
        <v>4</v>
      </c>
      <c r="AP307" s="828">
        <v>5</v>
      </c>
    </row>
    <row r="308" hidden="1" ht="15.95" customHeight="1">
      <c r="B308" s="829" t="s">
        <v>109</v>
      </c>
      <c r="C308" s="823">
        <v>194</v>
      </c>
      <c r="D308" s="823">
        <v>181</v>
      </c>
      <c r="E308" s="823">
        <v>177</v>
      </c>
      <c r="F308" s="823">
        <v>165</v>
      </c>
      <c r="G308" s="823">
        <v>154</v>
      </c>
      <c r="H308" s="823">
        <v>147</v>
      </c>
      <c r="I308" s="823">
        <v>139</v>
      </c>
      <c r="J308" s="823">
        <v>132</v>
      </c>
      <c r="K308" s="823">
        <v>131</v>
      </c>
      <c r="L308" s="823">
        <v>115</v>
      </c>
      <c r="M308" s="823">
        <v>117</v>
      </c>
      <c r="N308" s="823">
        <v>110</v>
      </c>
      <c r="O308" s="823">
        <v>104</v>
      </c>
      <c r="P308" s="823">
        <v>97</v>
      </c>
      <c r="Q308" s="823">
        <v>87</v>
      </c>
      <c r="R308" s="823">
        <v>89</v>
      </c>
      <c r="S308" s="823">
        <v>90</v>
      </c>
      <c r="T308" s="823">
        <v>89</v>
      </c>
      <c r="U308" s="823">
        <v>88</v>
      </c>
      <c r="V308" s="823">
        <v>88</v>
      </c>
      <c r="W308" s="823">
        <v>80</v>
      </c>
      <c r="X308" s="823">
        <v>79</v>
      </c>
      <c r="Y308" s="823">
        <v>82</v>
      </c>
      <c r="Z308" s="823">
        <v>82</v>
      </c>
      <c r="AA308" s="823">
        <v>80</v>
      </c>
      <c r="AB308" s="823">
        <v>81</v>
      </c>
      <c r="AC308" s="825">
        <v>75</v>
      </c>
      <c r="AD308" s="825">
        <v>74</v>
      </c>
      <c r="AE308" s="825">
        <v>74</v>
      </c>
      <c r="AF308" s="825">
        <v>75</v>
      </c>
      <c r="AG308" s="825">
        <v>76</v>
      </c>
      <c r="AH308" s="825">
        <v>75</v>
      </c>
      <c r="AI308" s="825">
        <v>76</v>
      </c>
      <c r="AJ308" s="825">
        <v>74</v>
      </c>
      <c r="AK308" s="825">
        <v>74</v>
      </c>
      <c r="AL308" s="825">
        <v>71</v>
      </c>
      <c r="AM308" s="825">
        <v>70</v>
      </c>
      <c r="AN308" s="825">
        <v>71</v>
      </c>
      <c r="AO308" s="825">
        <v>68</v>
      </c>
      <c r="AP308" s="825">
        <v>69</v>
      </c>
    </row>
    <row r="309" hidden="1" ht="15.95" customHeight="1">
      <c r="B309" s="826" t="s">
        <v>110</v>
      </c>
      <c r="C309" s="827">
        <v>3250</v>
      </c>
      <c r="D309" s="827">
        <v>3218</v>
      </c>
      <c r="E309" s="827">
        <v>3058</v>
      </c>
      <c r="F309" s="827">
        <v>2965</v>
      </c>
      <c r="G309" s="827">
        <v>2763</v>
      </c>
      <c r="H309" s="827">
        <v>2293</v>
      </c>
      <c r="I309" s="827">
        <v>1783</v>
      </c>
      <c r="J309" s="827">
        <v>1742</v>
      </c>
      <c r="K309" s="827">
        <v>1217</v>
      </c>
      <c r="L309" s="827">
        <v>1138</v>
      </c>
      <c r="M309" s="827">
        <v>1095</v>
      </c>
      <c r="N309" s="827">
        <v>932</v>
      </c>
      <c r="O309" s="827">
        <v>841</v>
      </c>
      <c r="P309" s="827">
        <v>785</v>
      </c>
      <c r="Q309" s="827">
        <v>748</v>
      </c>
      <c r="R309" s="827">
        <v>718</v>
      </c>
      <c r="S309" s="827">
        <v>700</v>
      </c>
      <c r="T309" s="827">
        <v>678</v>
      </c>
      <c r="U309" s="827">
        <v>660</v>
      </c>
      <c r="V309" s="827">
        <v>655</v>
      </c>
      <c r="W309" s="827">
        <v>624</v>
      </c>
      <c r="X309" s="827">
        <v>611</v>
      </c>
      <c r="Y309" s="827">
        <v>582</v>
      </c>
      <c r="Z309" s="827">
        <v>577</v>
      </c>
      <c r="AA309" s="827">
        <v>552</v>
      </c>
      <c r="AB309" s="827">
        <v>546</v>
      </c>
      <c r="AC309" s="828">
        <v>529</v>
      </c>
      <c r="AD309" s="828">
        <v>517</v>
      </c>
      <c r="AE309" s="828">
        <v>513</v>
      </c>
      <c r="AF309" s="828">
        <v>488</v>
      </c>
      <c r="AG309" s="828">
        <v>470</v>
      </c>
      <c r="AH309" s="828">
        <v>461</v>
      </c>
      <c r="AI309" s="828">
        <v>438</v>
      </c>
      <c r="AJ309" s="828">
        <v>421</v>
      </c>
      <c r="AK309" s="828">
        <v>412</v>
      </c>
      <c r="AL309" s="828">
        <v>403</v>
      </c>
      <c r="AM309" s="828">
        <v>392</v>
      </c>
      <c r="AN309" s="828">
        <v>392</v>
      </c>
      <c r="AO309" s="828">
        <v>379</v>
      </c>
      <c r="AP309" s="828">
        <v>379</v>
      </c>
    </row>
    <row r="310" hidden="1" ht="15.95" customHeight="1">
      <c r="B310" s="829" t="s">
        <v>16</v>
      </c>
      <c r="C310" s="823">
        <v>1014</v>
      </c>
      <c r="D310" s="823">
        <v>955</v>
      </c>
      <c r="E310" s="823">
        <v>888</v>
      </c>
      <c r="F310" s="823">
        <v>867</v>
      </c>
      <c r="G310" s="823">
        <v>759</v>
      </c>
      <c r="H310" s="823">
        <v>728</v>
      </c>
      <c r="I310" s="823">
        <v>713</v>
      </c>
      <c r="J310" s="823">
        <v>675</v>
      </c>
      <c r="K310" s="823">
        <v>658</v>
      </c>
      <c r="L310" s="823">
        <v>641</v>
      </c>
      <c r="M310" s="823">
        <v>617</v>
      </c>
      <c r="N310" s="823">
        <v>579</v>
      </c>
      <c r="O310" s="823">
        <v>540</v>
      </c>
      <c r="P310" s="823">
        <v>526</v>
      </c>
      <c r="Q310" s="823">
        <v>510</v>
      </c>
      <c r="R310" s="823">
        <v>483</v>
      </c>
      <c r="S310" s="823">
        <v>481</v>
      </c>
      <c r="T310" s="823">
        <v>492</v>
      </c>
      <c r="U310" s="823">
        <v>484</v>
      </c>
      <c r="V310" s="823">
        <v>488</v>
      </c>
      <c r="W310" s="823">
        <v>486</v>
      </c>
      <c r="X310" s="823">
        <v>481</v>
      </c>
      <c r="Y310" s="823">
        <v>478</v>
      </c>
      <c r="Z310" s="823">
        <v>475</v>
      </c>
      <c r="AA310" s="823">
        <v>470</v>
      </c>
      <c r="AB310" s="823">
        <v>465</v>
      </c>
      <c r="AC310" s="825">
        <v>465</v>
      </c>
      <c r="AD310" s="825">
        <v>457</v>
      </c>
      <c r="AE310" s="825">
        <v>458</v>
      </c>
      <c r="AF310" s="825">
        <v>453</v>
      </c>
      <c r="AG310" s="825">
        <v>455</v>
      </c>
      <c r="AH310" s="825">
        <v>450</v>
      </c>
      <c r="AI310" s="825">
        <v>447</v>
      </c>
      <c r="AJ310" s="825">
        <v>435</v>
      </c>
      <c r="AK310" s="825">
        <v>427</v>
      </c>
      <c r="AL310" s="825">
        <v>425</v>
      </c>
      <c r="AM310" s="825">
        <v>412</v>
      </c>
      <c r="AN310" s="825">
        <v>406</v>
      </c>
      <c r="AO310" s="825">
        <v>405</v>
      </c>
      <c r="AP310" s="825">
        <v>405</v>
      </c>
    </row>
    <row r="311" hidden="1" ht="15.95" customHeight="1">
      <c r="B311" s="826" t="s">
        <v>17</v>
      </c>
      <c r="C311" s="827">
        <v>212</v>
      </c>
      <c r="D311" s="827">
        <v>234</v>
      </c>
      <c r="E311" s="827">
        <v>257</v>
      </c>
      <c r="F311" s="827">
        <v>269</v>
      </c>
      <c r="G311" s="827">
        <v>276</v>
      </c>
      <c r="H311" s="827">
        <v>281</v>
      </c>
      <c r="I311" s="827">
        <v>285</v>
      </c>
      <c r="J311" s="827">
        <v>287</v>
      </c>
      <c r="K311" s="827">
        <v>281</v>
      </c>
      <c r="L311" s="827">
        <v>274</v>
      </c>
      <c r="M311" s="827">
        <v>277</v>
      </c>
      <c r="N311" s="827">
        <v>272</v>
      </c>
      <c r="O311" s="827">
        <v>285</v>
      </c>
      <c r="P311" s="827">
        <v>179</v>
      </c>
      <c r="Q311" s="827">
        <v>177</v>
      </c>
      <c r="R311" s="827">
        <v>182</v>
      </c>
      <c r="S311" s="827">
        <v>187</v>
      </c>
      <c r="T311" s="827">
        <v>189</v>
      </c>
      <c r="U311" s="827">
        <v>190</v>
      </c>
      <c r="V311" s="827">
        <v>195</v>
      </c>
      <c r="W311" s="827">
        <v>191</v>
      </c>
      <c r="X311" s="827">
        <v>193</v>
      </c>
      <c r="Y311" s="827">
        <v>191</v>
      </c>
      <c r="Z311" s="827">
        <v>279</v>
      </c>
      <c r="AA311" s="827">
        <v>272</v>
      </c>
      <c r="AB311" s="827">
        <v>271</v>
      </c>
      <c r="AC311" s="828">
        <v>270</v>
      </c>
      <c r="AD311" s="828">
        <v>271</v>
      </c>
      <c r="AE311" s="828">
        <v>271</v>
      </c>
      <c r="AF311" s="828">
        <v>269</v>
      </c>
      <c r="AG311" s="828">
        <v>269</v>
      </c>
      <c r="AH311" s="828">
        <v>268</v>
      </c>
      <c r="AI311" s="828">
        <v>268</v>
      </c>
      <c r="AJ311" s="828">
        <v>266</v>
      </c>
      <c r="AK311" s="828">
        <v>262</v>
      </c>
      <c r="AL311" s="828">
        <v>259</v>
      </c>
      <c r="AM311" s="828">
        <v>252</v>
      </c>
      <c r="AN311" s="828">
        <v>253</v>
      </c>
      <c r="AO311" s="828">
        <v>256</v>
      </c>
      <c r="AP311" s="828">
        <v>254</v>
      </c>
    </row>
    <row r="312" hidden="1" ht="15.95" customHeight="1">
      <c r="B312" s="829" t="s">
        <v>18</v>
      </c>
      <c r="C312" s="823">
        <v>170</v>
      </c>
      <c r="D312" s="823">
        <v>175</v>
      </c>
      <c r="E312" s="823">
        <v>168</v>
      </c>
      <c r="F312" s="823">
        <v>159</v>
      </c>
      <c r="G312" s="823">
        <v>155</v>
      </c>
      <c r="H312" s="823">
        <v>158</v>
      </c>
      <c r="I312" s="823">
        <v>154</v>
      </c>
      <c r="J312" s="823">
        <v>134</v>
      </c>
      <c r="K312" s="823">
        <v>122</v>
      </c>
      <c r="L312" s="823">
        <v>124</v>
      </c>
      <c r="M312" s="823">
        <v>109</v>
      </c>
      <c r="N312" s="823">
        <v>106</v>
      </c>
      <c r="O312" s="823">
        <v>98</v>
      </c>
      <c r="P312" s="823">
        <v>100</v>
      </c>
      <c r="Q312" s="823">
        <v>89</v>
      </c>
      <c r="R312" s="823">
        <v>88</v>
      </c>
      <c r="S312" s="823">
        <v>88</v>
      </c>
      <c r="T312" s="823">
        <v>88</v>
      </c>
      <c r="U312" s="823">
        <v>88</v>
      </c>
      <c r="V312" s="823">
        <v>86</v>
      </c>
      <c r="W312" s="823">
        <v>78</v>
      </c>
      <c r="X312" s="823">
        <v>74</v>
      </c>
      <c r="Y312" s="823">
        <v>74</v>
      </c>
      <c r="Z312" s="823">
        <v>72</v>
      </c>
      <c r="AA312" s="823">
        <v>75</v>
      </c>
      <c r="AB312" s="823">
        <v>73</v>
      </c>
      <c r="AC312" s="825">
        <v>71</v>
      </c>
      <c r="AD312" s="825">
        <v>71</v>
      </c>
      <c r="AE312" s="825">
        <v>72</v>
      </c>
      <c r="AF312" s="825">
        <v>72</v>
      </c>
      <c r="AG312" s="825">
        <v>73</v>
      </c>
      <c r="AH312" s="825">
        <v>74</v>
      </c>
      <c r="AI312" s="825">
        <v>74</v>
      </c>
      <c r="AJ312" s="825">
        <v>75</v>
      </c>
      <c r="AK312" s="825">
        <v>71</v>
      </c>
      <c r="AL312" s="825">
        <v>72</v>
      </c>
      <c r="AM312" s="825">
        <v>74</v>
      </c>
      <c r="AN312" s="825">
        <v>75</v>
      </c>
      <c r="AO312" s="825">
        <v>75</v>
      </c>
      <c r="AP312" s="825">
        <v>75</v>
      </c>
    </row>
    <row r="313" hidden="1" ht="15.95" customHeight="1">
      <c r="B313" s="826" t="s">
        <v>19</v>
      </c>
      <c r="C313" s="827">
        <v>10</v>
      </c>
      <c r="D313" s="827">
        <v>10</v>
      </c>
      <c r="E313" s="827">
        <v>9</v>
      </c>
      <c r="F313" s="827">
        <v>7</v>
      </c>
      <c r="G313" s="827">
        <v>7</v>
      </c>
      <c r="H313" s="827">
        <v>8</v>
      </c>
      <c r="I313" s="827">
        <v>5</v>
      </c>
      <c r="J313" s="827">
        <v>5</v>
      </c>
      <c r="K313" s="827">
        <v>5</v>
      </c>
      <c r="L313" s="827">
        <v>5</v>
      </c>
      <c r="M313" s="827">
        <v>4</v>
      </c>
      <c r="N313" s="827">
        <v>7</v>
      </c>
      <c r="O313" s="827">
        <v>7</v>
      </c>
      <c r="P313" s="827">
        <v>7</v>
      </c>
      <c r="Q313" s="827">
        <v>7</v>
      </c>
      <c r="R313" s="827">
        <v>7</v>
      </c>
      <c r="S313" s="827">
        <v>7</v>
      </c>
      <c r="T313" s="827">
        <v>6</v>
      </c>
      <c r="U313" s="827">
        <v>6</v>
      </c>
      <c r="V313" s="827">
        <v>6</v>
      </c>
      <c r="W313" s="827">
        <v>6</v>
      </c>
      <c r="X313" s="827">
        <v>6</v>
      </c>
      <c r="Y313" s="827">
        <v>6</v>
      </c>
      <c r="Z313" s="827">
        <v>6</v>
      </c>
      <c r="AA313" s="827">
        <v>4</v>
      </c>
      <c r="AB313" s="827">
        <v>4</v>
      </c>
      <c r="AC313" s="828">
        <v>4</v>
      </c>
      <c r="AD313" s="828">
        <v>4</v>
      </c>
      <c r="AE313" s="828">
        <v>4</v>
      </c>
      <c r="AF313" s="828">
        <v>4</v>
      </c>
      <c r="AG313" s="828">
        <v>4</v>
      </c>
      <c r="AH313" s="828">
        <v>4</v>
      </c>
      <c r="AI313" s="828">
        <v>4</v>
      </c>
      <c r="AJ313" s="828">
        <v>3</v>
      </c>
      <c r="AK313" s="828">
        <v>3</v>
      </c>
      <c r="AL313" s="828">
        <v>3</v>
      </c>
      <c r="AM313" s="828">
        <v>3</v>
      </c>
      <c r="AN313" s="828">
        <v>3</v>
      </c>
      <c r="AO313" s="828">
        <v>5</v>
      </c>
      <c r="AP313" s="828">
        <v>4</v>
      </c>
    </row>
    <row r="314" hidden="1" ht="15.95" customHeight="1">
      <c r="B314" s="829" t="s">
        <v>20</v>
      </c>
      <c r="C314" s="823">
        <v>341</v>
      </c>
      <c r="D314" s="823">
        <v>339</v>
      </c>
      <c r="E314" s="823">
        <v>337</v>
      </c>
      <c r="F314" s="823">
        <v>231</v>
      </c>
      <c r="G314" s="823">
        <v>228</v>
      </c>
      <c r="H314" s="823">
        <v>208</v>
      </c>
      <c r="I314" s="823">
        <v>211</v>
      </c>
      <c r="J314" s="823">
        <v>208</v>
      </c>
      <c r="K314" s="823">
        <v>206</v>
      </c>
      <c r="L314" s="823">
        <v>205</v>
      </c>
      <c r="M314" s="823">
        <v>205</v>
      </c>
      <c r="N314" s="823">
        <v>155</v>
      </c>
      <c r="O314" s="823">
        <v>154</v>
      </c>
      <c r="P314" s="823">
        <v>155</v>
      </c>
      <c r="Q314" s="823">
        <v>137</v>
      </c>
      <c r="R314" s="823">
        <v>136</v>
      </c>
      <c r="S314" s="823">
        <v>136</v>
      </c>
      <c r="T314" s="823">
        <v>136</v>
      </c>
      <c r="U314" s="823">
        <v>135</v>
      </c>
      <c r="V314" s="823">
        <v>131</v>
      </c>
      <c r="W314" s="823">
        <v>125</v>
      </c>
      <c r="X314" s="823">
        <v>113</v>
      </c>
      <c r="Y314" s="823">
        <v>111</v>
      </c>
      <c r="Z314" s="823">
        <v>110</v>
      </c>
      <c r="AA314" s="823">
        <v>107</v>
      </c>
      <c r="AB314" s="823">
        <v>98</v>
      </c>
      <c r="AC314" s="825">
        <v>99</v>
      </c>
      <c r="AD314" s="825">
        <v>100</v>
      </c>
      <c r="AE314" s="825">
        <v>102</v>
      </c>
      <c r="AF314" s="825">
        <v>103</v>
      </c>
      <c r="AG314" s="825">
        <v>99</v>
      </c>
      <c r="AH314" s="825">
        <v>98</v>
      </c>
      <c r="AI314" s="825">
        <v>101</v>
      </c>
      <c r="AJ314" s="825">
        <v>98</v>
      </c>
      <c r="AK314" s="825">
        <v>96</v>
      </c>
      <c r="AL314" s="825">
        <v>95</v>
      </c>
      <c r="AM314" s="825">
        <v>90</v>
      </c>
      <c r="AN314" s="825">
        <v>86</v>
      </c>
      <c r="AO314" s="825">
        <v>85</v>
      </c>
      <c r="AP314" s="825">
        <v>84</v>
      </c>
    </row>
    <row r="315" hidden="1" ht="15.95" customHeight="1">
      <c r="B315" s="826" t="s">
        <v>21</v>
      </c>
      <c r="C315" s="827">
        <v>679</v>
      </c>
      <c r="D315" s="827">
        <v>654</v>
      </c>
      <c r="E315" s="827">
        <v>547</v>
      </c>
      <c r="F315" s="827">
        <v>568</v>
      </c>
      <c r="G315" s="827">
        <v>515</v>
      </c>
      <c r="H315" s="827">
        <v>511</v>
      </c>
      <c r="I315" s="827">
        <v>490</v>
      </c>
      <c r="J315" s="827">
        <v>493</v>
      </c>
      <c r="K315" s="827">
        <v>453</v>
      </c>
      <c r="L315" s="827">
        <v>454</v>
      </c>
      <c r="M315" s="827">
        <v>468</v>
      </c>
      <c r="N315" s="827">
        <v>464</v>
      </c>
      <c r="O315" s="827">
        <v>436</v>
      </c>
      <c r="P315" s="827">
        <v>428</v>
      </c>
      <c r="Q315" s="827">
        <v>419</v>
      </c>
      <c r="R315" s="827">
        <v>419</v>
      </c>
      <c r="S315" s="827">
        <v>409</v>
      </c>
      <c r="T315" s="827">
        <v>419</v>
      </c>
      <c r="U315" s="827">
        <v>402</v>
      </c>
      <c r="V315" s="827">
        <v>401</v>
      </c>
      <c r="W315" s="827">
        <v>382</v>
      </c>
      <c r="X315" s="827">
        <v>379</v>
      </c>
      <c r="Y315" s="827">
        <v>363</v>
      </c>
      <c r="Z315" s="827">
        <v>350</v>
      </c>
      <c r="AA315" s="827">
        <v>333</v>
      </c>
      <c r="AB315" s="827">
        <v>332</v>
      </c>
      <c r="AC315" s="828">
        <v>309</v>
      </c>
      <c r="AD315" s="828">
        <v>262</v>
      </c>
      <c r="AE315" s="828">
        <v>243</v>
      </c>
      <c r="AF315" s="828">
        <v>242</v>
      </c>
      <c r="AG315" s="828">
        <v>252</v>
      </c>
      <c r="AH315" s="828">
        <v>249</v>
      </c>
      <c r="AI315" s="828">
        <v>246</v>
      </c>
      <c r="AJ315" s="828">
        <v>234</v>
      </c>
      <c r="AK315" s="828">
        <v>224</v>
      </c>
      <c r="AL315" s="828">
        <v>219</v>
      </c>
      <c r="AM315" s="828">
        <v>201</v>
      </c>
      <c r="AN315" s="828">
        <v>205</v>
      </c>
      <c r="AO315" s="828">
        <v>213</v>
      </c>
      <c r="AP315" s="828">
        <v>204</v>
      </c>
    </row>
    <row r="316" hidden="1" ht="15.95" customHeight="1">
      <c r="B316" s="829" t="s">
        <v>22</v>
      </c>
      <c r="C316" s="823">
        <v>199</v>
      </c>
      <c r="D316" s="823">
        <v>203</v>
      </c>
      <c r="E316" s="823">
        <v>209</v>
      </c>
      <c r="F316" s="823">
        <v>210</v>
      </c>
      <c r="G316" s="823">
        <v>211</v>
      </c>
      <c r="H316" s="823">
        <v>209</v>
      </c>
      <c r="I316" s="823">
        <v>179</v>
      </c>
      <c r="J316" s="823">
        <v>179</v>
      </c>
      <c r="K316" s="823">
        <v>154</v>
      </c>
      <c r="L316" s="823">
        <v>146</v>
      </c>
      <c r="M316" s="823">
        <v>111</v>
      </c>
      <c r="N316" s="823">
        <v>111</v>
      </c>
      <c r="O316" s="823">
        <v>63</v>
      </c>
      <c r="P316" s="823">
        <v>64</v>
      </c>
      <c r="Q316" s="823">
        <v>60</v>
      </c>
      <c r="R316" s="823">
        <v>69</v>
      </c>
      <c r="S316" s="823">
        <v>66</v>
      </c>
      <c r="T316" s="823">
        <v>64</v>
      </c>
      <c r="U316" s="823">
        <v>66</v>
      </c>
      <c r="V316" s="823">
        <v>69</v>
      </c>
      <c r="W316" s="823">
        <v>70</v>
      </c>
      <c r="X316" s="823">
        <v>75</v>
      </c>
      <c r="Y316" s="823">
        <v>73</v>
      </c>
      <c r="Z316" s="823">
        <v>74</v>
      </c>
      <c r="AA316" s="823">
        <v>75</v>
      </c>
      <c r="AB316" s="823">
        <v>75</v>
      </c>
      <c r="AC316" s="825">
        <v>72</v>
      </c>
      <c r="AD316" s="825">
        <v>72</v>
      </c>
      <c r="AE316" s="825">
        <v>73</v>
      </c>
      <c r="AF316" s="825">
        <v>78</v>
      </c>
      <c r="AG316" s="825">
        <v>77</v>
      </c>
      <c r="AH316" s="825">
        <v>74</v>
      </c>
      <c r="AI316" s="825">
        <v>41</v>
      </c>
      <c r="AJ316" s="825">
        <v>41</v>
      </c>
      <c r="AK316" s="825">
        <v>37</v>
      </c>
      <c r="AL316" s="825">
        <v>33</v>
      </c>
      <c r="AM316" s="825">
        <v>34</v>
      </c>
      <c r="AN316" s="825">
        <v>34</v>
      </c>
      <c r="AO316" s="825">
        <v>35</v>
      </c>
      <c r="AP316" s="825">
        <v>35</v>
      </c>
    </row>
    <row r="317" hidden="1" ht="15.95" customHeight="1">
      <c r="B317" s="826" t="s">
        <v>23</v>
      </c>
      <c r="C317" s="827">
        <v>46</v>
      </c>
      <c r="D317" s="827">
        <v>43</v>
      </c>
      <c r="E317" s="827">
        <v>41</v>
      </c>
      <c r="F317" s="827">
        <v>40</v>
      </c>
      <c r="G317" s="827">
        <v>36</v>
      </c>
      <c r="H317" s="827">
        <v>35</v>
      </c>
      <c r="I317" s="827">
        <v>29</v>
      </c>
      <c r="J317" s="827">
        <v>28</v>
      </c>
      <c r="K317" s="827">
        <v>26</v>
      </c>
      <c r="L317" s="827">
        <v>22</v>
      </c>
      <c r="M317" s="827">
        <v>21</v>
      </c>
      <c r="N317" s="827">
        <v>20</v>
      </c>
      <c r="O317" s="827">
        <v>17</v>
      </c>
      <c r="P317" s="827">
        <v>16</v>
      </c>
      <c r="Q317" s="827">
        <v>14</v>
      </c>
      <c r="R317" s="827">
        <v>13</v>
      </c>
      <c r="S317" s="827">
        <v>13</v>
      </c>
      <c r="T317" s="827">
        <v>12</v>
      </c>
      <c r="U317" s="827">
        <v>12</v>
      </c>
      <c r="V317" s="827">
        <v>12</v>
      </c>
      <c r="W317" s="827">
        <v>11</v>
      </c>
      <c r="X317" s="827">
        <v>11</v>
      </c>
      <c r="Y317" s="827">
        <v>12</v>
      </c>
      <c r="Z317" s="827">
        <v>12</v>
      </c>
      <c r="AA317" s="827">
        <v>11</v>
      </c>
      <c r="AB317" s="827">
        <v>10</v>
      </c>
      <c r="AC317" s="828">
        <v>10</v>
      </c>
      <c r="AD317" s="828">
        <v>9</v>
      </c>
      <c r="AE317" s="828">
        <v>8</v>
      </c>
      <c r="AF317" s="828">
        <v>8</v>
      </c>
      <c r="AG317" s="828">
        <v>8</v>
      </c>
      <c r="AH317" s="828">
        <v>8</v>
      </c>
      <c r="AI317" s="828">
        <v>7</v>
      </c>
      <c r="AJ317" s="828">
        <v>7</v>
      </c>
      <c r="AK317" s="828">
        <v>6</v>
      </c>
      <c r="AL317" s="828">
        <v>5</v>
      </c>
      <c r="AM317" s="828">
        <v>4</v>
      </c>
      <c r="AN317" s="828">
        <v>5</v>
      </c>
      <c r="AO317" s="828">
        <v>5</v>
      </c>
      <c r="AP317" s="828">
        <v>5</v>
      </c>
    </row>
    <row r="318" hidden="1" ht="15.95" customHeight="1">
      <c r="B318" s="830" t="s">
        <v>24</v>
      </c>
      <c r="C318" s="823">
        <v>137</v>
      </c>
      <c r="D318" s="823">
        <v>130</v>
      </c>
      <c r="E318" s="823">
        <v>115</v>
      </c>
      <c r="F318" s="823">
        <v>109</v>
      </c>
      <c r="G318" s="823">
        <v>109</v>
      </c>
      <c r="H318" s="823">
        <v>98</v>
      </c>
      <c r="I318" s="823">
        <v>88</v>
      </c>
      <c r="J318" s="823">
        <v>84</v>
      </c>
      <c r="K318" s="823">
        <v>77</v>
      </c>
      <c r="L318" s="823">
        <v>76</v>
      </c>
      <c r="M318" s="823">
        <v>76</v>
      </c>
      <c r="N318" s="823">
        <v>70</v>
      </c>
      <c r="O318" s="823">
        <v>67</v>
      </c>
      <c r="P318" s="823">
        <v>64</v>
      </c>
      <c r="Q318" s="823">
        <v>69</v>
      </c>
      <c r="R318" s="823">
        <v>70</v>
      </c>
      <c r="S318" s="823">
        <v>72</v>
      </c>
      <c r="T318" s="823">
        <v>69</v>
      </c>
      <c r="U318" s="823">
        <v>69</v>
      </c>
      <c r="V318" s="823">
        <v>68</v>
      </c>
      <c r="W318" s="823">
        <v>65</v>
      </c>
      <c r="X318" s="823">
        <v>62</v>
      </c>
      <c r="Y318" s="823">
        <v>61</v>
      </c>
      <c r="Z318" s="823">
        <v>61</v>
      </c>
      <c r="AA318" s="823">
        <v>62</v>
      </c>
      <c r="AB318" s="823">
        <v>60</v>
      </c>
      <c r="AC318" s="825">
        <v>61</v>
      </c>
      <c r="AD318" s="825">
        <v>60</v>
      </c>
      <c r="AE318" s="825">
        <v>61</v>
      </c>
      <c r="AF318" s="825">
        <v>60</v>
      </c>
      <c r="AG318" s="825">
        <v>60</v>
      </c>
      <c r="AH318" s="825">
        <v>58</v>
      </c>
      <c r="AI318" s="825">
        <v>57</v>
      </c>
      <c r="AJ318" s="825">
        <v>57</v>
      </c>
      <c r="AK318" s="825">
        <v>56</v>
      </c>
      <c r="AL318" s="825">
        <v>54</v>
      </c>
      <c r="AM318" s="825">
        <v>50</v>
      </c>
      <c r="AN318" s="825">
        <v>50</v>
      </c>
      <c r="AO318" s="825">
        <v>51</v>
      </c>
      <c r="AP318" s="825">
        <v>50</v>
      </c>
    </row>
    <row r="319" hidden="1" ht="15.95" customHeight="1">
      <c r="B319" s="826" t="s">
        <v>25</v>
      </c>
      <c r="C319" s="827">
        <v>0</v>
      </c>
      <c r="D319" s="827">
        <v>0</v>
      </c>
      <c r="E319" s="827">
        <v>0</v>
      </c>
      <c r="F319" s="827">
        <v>0</v>
      </c>
      <c r="G319" s="827">
        <v>0</v>
      </c>
      <c r="H319" s="827">
        <v>0</v>
      </c>
      <c r="I319" s="827">
        <v>0</v>
      </c>
      <c r="J319" s="827">
        <v>0</v>
      </c>
      <c r="K319" s="827">
        <v>0</v>
      </c>
      <c r="L319" s="827">
        <v>0</v>
      </c>
      <c r="M319" s="827">
        <v>0</v>
      </c>
      <c r="N319" s="827">
        <v>0</v>
      </c>
      <c r="O319" s="827">
        <v>0</v>
      </c>
      <c r="P319" s="827">
        <v>0</v>
      </c>
      <c r="Q319" s="827">
        <v>0</v>
      </c>
      <c r="R319" s="827">
        <v>0</v>
      </c>
      <c r="S319" s="827">
        <v>0</v>
      </c>
      <c r="T319" s="827">
        <v>0</v>
      </c>
      <c r="U319" s="827">
        <v>0</v>
      </c>
      <c r="V319" s="827">
        <v>0</v>
      </c>
      <c r="W319" s="827">
        <v>0</v>
      </c>
      <c r="X319" s="827">
        <v>0</v>
      </c>
      <c r="Y319" s="827">
        <v>0</v>
      </c>
      <c r="Z319" s="827">
        <v>0</v>
      </c>
      <c r="AA319" s="827">
        <v>0</v>
      </c>
      <c r="AB319" s="827">
        <v>0</v>
      </c>
      <c r="AC319" s="828">
        <v>0</v>
      </c>
      <c r="AD319" s="828">
        <v>0</v>
      </c>
      <c r="AE319" s="828">
        <v>0</v>
      </c>
      <c r="AF319" s="828">
        <v>0</v>
      </c>
      <c r="AG319" s="828">
        <v>0</v>
      </c>
      <c r="AH319" s="828">
        <v>0</v>
      </c>
      <c r="AI319" s="828">
        <v>0</v>
      </c>
      <c r="AJ319" s="828">
        <v>0</v>
      </c>
      <c r="AK319" s="828">
        <v>0</v>
      </c>
      <c r="AL319" s="828">
        <v>0</v>
      </c>
      <c r="AM319" s="828">
        <v>0</v>
      </c>
      <c r="AN319" s="828">
        <v>0</v>
      </c>
      <c r="AO319" s="828">
        <v>0</v>
      </c>
      <c r="AP319" s="828">
        <v>0</v>
      </c>
    </row>
    <row r="320" hidden="1" ht="15.95" customHeight="1">
      <c r="B320" s="831" t="s">
        <v>26</v>
      </c>
      <c r="C320" s="823">
        <v>0</v>
      </c>
      <c r="D320" s="823">
        <v>0</v>
      </c>
      <c r="E320" s="823">
        <v>0</v>
      </c>
      <c r="F320" s="823">
        <v>0</v>
      </c>
      <c r="G320" s="823">
        <v>0</v>
      </c>
      <c r="H320" s="823">
        <v>0</v>
      </c>
      <c r="I320" s="823">
        <v>0</v>
      </c>
      <c r="J320" s="823">
        <v>0</v>
      </c>
      <c r="K320" s="823">
        <v>0</v>
      </c>
      <c r="L320" s="823">
        <v>0</v>
      </c>
      <c r="M320" s="823">
        <v>0</v>
      </c>
      <c r="N320" s="823">
        <v>0</v>
      </c>
      <c r="O320" s="823">
        <v>0</v>
      </c>
      <c r="P320" s="823">
        <v>0</v>
      </c>
      <c r="Q320" s="823">
        <v>0</v>
      </c>
      <c r="R320" s="823">
        <v>0</v>
      </c>
      <c r="S320" s="823">
        <v>0</v>
      </c>
      <c r="T320" s="823">
        <v>0</v>
      </c>
      <c r="U320" s="823">
        <v>0</v>
      </c>
      <c r="V320" s="823">
        <v>0</v>
      </c>
      <c r="W320" s="823">
        <v>0</v>
      </c>
      <c r="X320" s="823">
        <v>0</v>
      </c>
      <c r="Y320" s="823">
        <v>0</v>
      </c>
      <c r="Z320" s="823">
        <v>0</v>
      </c>
      <c r="AA320" s="823">
        <v>0</v>
      </c>
      <c r="AB320" s="832">
        <v>0</v>
      </c>
      <c r="AC320" s="825">
        <v>0</v>
      </c>
      <c r="AD320" s="825">
        <v>0</v>
      </c>
      <c r="AE320" s="825">
        <v>0</v>
      </c>
      <c r="AF320" s="825">
        <v>0</v>
      </c>
      <c r="AG320" s="825">
        <v>0</v>
      </c>
      <c r="AH320" s="825">
        <v>0</v>
      </c>
      <c r="AI320" s="825">
        <v>0</v>
      </c>
      <c r="AJ320" s="825">
        <v>0</v>
      </c>
      <c r="AK320" s="825">
        <v>0</v>
      </c>
      <c r="AL320" s="825">
        <v>0</v>
      </c>
      <c r="AM320" s="825">
        <v>0</v>
      </c>
      <c r="AN320" s="825">
        <v>0</v>
      </c>
      <c r="AO320" s="825">
        <v>0</v>
      </c>
      <c r="AP320" s="825">
        <v>0</v>
      </c>
    </row>
    <row r="321" hidden="1" ht="15.95" customHeight="1">
      <c r="B321" s="128" t="s">
        <v>7</v>
      </c>
      <c r="C321" s="129" t="str">
        <f>IF(SUM(C302:C320)&lt;&gt;0,SUM(C302:C320),"")</f>
      </c>
      <c r="D321" s="129" t="str">
        <f ref="D321:AA321" t="shared" si="30">IF(SUM(D302:D320)&lt;&gt;0,SUM(D302:D320),"")</f>
      </c>
      <c r="E321" s="129" t="str">
        <f t="shared" si="30"/>
      </c>
      <c r="F321" s="129" t="str">
        <f t="shared" si="30"/>
      </c>
      <c r="G321" s="129" t="str">
        <f t="shared" si="30"/>
      </c>
      <c r="H321" s="129" t="str">
        <f t="shared" si="30"/>
      </c>
      <c r="I321" s="129" t="str">
        <f t="shared" si="30"/>
      </c>
      <c r="J321" s="129" t="str">
        <f t="shared" si="30"/>
      </c>
      <c r="K321" s="129" t="str">
        <f t="shared" si="30"/>
      </c>
      <c r="L321" s="129" t="str">
        <f t="shared" si="30"/>
      </c>
      <c r="M321" s="129" t="str">
        <f t="shared" si="30"/>
      </c>
      <c r="N321" s="129" t="str">
        <f t="shared" si="30"/>
      </c>
      <c r="O321" s="129" t="str">
        <f t="shared" si="30"/>
      </c>
      <c r="P321" s="129" t="str">
        <f t="shared" si="30"/>
      </c>
      <c r="Q321" s="129" t="str">
        <f t="shared" si="30"/>
      </c>
      <c r="R321" s="129" t="str">
        <f t="shared" si="30"/>
      </c>
      <c r="S321" s="129" t="str">
        <f t="shared" si="30"/>
      </c>
      <c r="T321" s="129" t="str">
        <f t="shared" si="30"/>
      </c>
      <c r="U321" s="129" t="str">
        <f t="shared" si="30"/>
      </c>
      <c r="V321" s="129" t="str">
        <f t="shared" si="30"/>
      </c>
      <c r="W321" s="129" t="str">
        <f t="shared" si="30"/>
      </c>
      <c r="X321" s="129" t="str">
        <f t="shared" si="30"/>
      </c>
      <c r="Y321" s="129" t="str">
        <f t="shared" si="30"/>
      </c>
      <c r="Z321" s="129" t="str">
        <f t="shared" si="30"/>
      </c>
      <c r="AA321" s="129" t="str">
        <f t="shared" si="30"/>
      </c>
      <c r="AB321" s="130" t="str">
        <f>IF(SUM(AB302:AB320)&lt;&gt;0,SUM(AB302:AB320),"")</f>
      </c>
      <c r="AC321" s="91" t="str">
        <f ref="AC321:CN321" t="shared" si="31">IF(SUM(AC302:AC320)&lt;&gt;0,SUM(AC302:AC320),"")</f>
      </c>
      <c r="AD321" s="91" t="str">
        <f t="shared" si="31"/>
      </c>
      <c r="AE321" s="91" t="str">
        <f t="shared" si="31"/>
      </c>
      <c r="AF321" s="91" t="str">
        <f t="shared" si="31"/>
      </c>
      <c r="AG321" s="91" t="str">
        <f t="shared" si="31"/>
      </c>
      <c r="AH321" s="91" t="str">
        <f t="shared" si="31"/>
      </c>
      <c r="AI321" s="91" t="str">
        <f t="shared" si="31"/>
      </c>
      <c r="AJ321" s="91" t="str">
        <f t="shared" si="31"/>
      </c>
      <c r="AK321" s="91" t="str">
        <f t="shared" si="31"/>
      </c>
      <c r="AL321" s="91" t="str">
        <f t="shared" si="31"/>
      </c>
      <c r="AM321" s="91" t="str">
        <f t="shared" si="31"/>
      </c>
      <c r="AN321" s="91" t="str">
        <f t="shared" si="31"/>
      </c>
      <c r="AO321" s="91" t="str">
        <f t="shared" si="31"/>
      </c>
      <c r="AP321" s="91" t="str">
        <f t="shared" si="31"/>
      </c>
      <c r="AQ321" s="91" t="str">
        <f t="shared" si="31"/>
      </c>
      <c r="AR321" s="91" t="str">
        <f t="shared" si="31"/>
      </c>
      <c r="AS321" s="91" t="str">
        <f t="shared" si="31"/>
      </c>
      <c r="AT321" s="91" t="str">
        <f t="shared" si="31"/>
      </c>
      <c r="AU321" s="91" t="str">
        <f t="shared" si="31"/>
      </c>
      <c r="AV321" s="91" t="str">
        <f t="shared" si="31"/>
      </c>
      <c r="AW321" s="91" t="str">
        <f t="shared" si="31"/>
      </c>
      <c r="AX321" s="91" t="str">
        <f t="shared" si="31"/>
      </c>
      <c r="AY321" s="91" t="str">
        <f t="shared" si="31"/>
      </c>
      <c r="AZ321" s="91" t="str">
        <f t="shared" si="31"/>
      </c>
      <c r="BA321" s="91" t="str">
        <f t="shared" si="31"/>
      </c>
      <c r="BB321" s="91" t="str">
        <f t="shared" si="31"/>
      </c>
      <c r="BC321" s="91" t="str">
        <f t="shared" si="31"/>
      </c>
      <c r="BD321" s="91" t="str">
        <f t="shared" si="31"/>
      </c>
      <c r="BE321" s="91" t="str">
        <f t="shared" si="31"/>
      </c>
      <c r="BF321" s="91" t="str">
        <f t="shared" si="31"/>
      </c>
      <c r="BG321" s="91" t="str">
        <f t="shared" si="31"/>
      </c>
      <c r="BH321" s="91" t="str">
        <f t="shared" si="31"/>
      </c>
      <c r="BI321" s="91" t="str">
        <f t="shared" si="31"/>
      </c>
      <c r="BJ321" s="91" t="str">
        <f t="shared" si="31"/>
      </c>
      <c r="BK321" s="91" t="str">
        <f t="shared" si="31"/>
      </c>
      <c r="BL321" s="91" t="str">
        <f t="shared" si="31"/>
      </c>
      <c r="BM321" s="91" t="str">
        <f t="shared" si="31"/>
      </c>
      <c r="BN321" s="91" t="str">
        <f t="shared" si="31"/>
      </c>
      <c r="BO321" s="91" t="str">
        <f t="shared" si="31"/>
      </c>
      <c r="BP321" s="91" t="str">
        <f t="shared" si="31"/>
      </c>
      <c r="BQ321" s="91" t="str">
        <f t="shared" si="31"/>
      </c>
      <c r="BR321" s="91" t="str">
        <f t="shared" si="31"/>
      </c>
      <c r="BS321" s="91" t="str">
        <f t="shared" si="31"/>
      </c>
      <c r="BT321" s="91" t="str">
        <f t="shared" si="31"/>
      </c>
      <c r="BU321" s="91" t="str">
        <f t="shared" si="31"/>
      </c>
      <c r="BV321" s="91" t="str">
        <f t="shared" si="31"/>
      </c>
      <c r="BW321" s="91" t="str">
        <f t="shared" si="31"/>
      </c>
      <c r="BX321" s="91" t="str">
        <f t="shared" si="31"/>
      </c>
      <c r="BY321" s="91" t="str">
        <f t="shared" si="31"/>
      </c>
      <c r="BZ321" s="91" t="str">
        <f t="shared" si="31"/>
      </c>
      <c r="CA321" s="91" t="str">
        <f t="shared" si="31"/>
      </c>
      <c r="CB321" s="91" t="str">
        <f t="shared" si="31"/>
      </c>
      <c r="CC321" s="91" t="str">
        <f t="shared" si="31"/>
      </c>
      <c r="CD321" s="91" t="str">
        <f t="shared" si="31"/>
      </c>
      <c r="CE321" s="91" t="str">
        <f t="shared" si="31"/>
      </c>
      <c r="CF321" s="91" t="str">
        <f t="shared" si="31"/>
      </c>
      <c r="CG321" s="91" t="str">
        <f t="shared" si="31"/>
      </c>
      <c r="CH321" s="91" t="str">
        <f t="shared" si="31"/>
      </c>
      <c r="CI321" s="91" t="str">
        <f t="shared" si="31"/>
      </c>
      <c r="CJ321" s="91" t="str">
        <f t="shared" si="31"/>
      </c>
      <c r="CK321" s="91" t="str">
        <f t="shared" si="31"/>
      </c>
      <c r="CL321" s="91" t="str">
        <f t="shared" si="31"/>
      </c>
      <c r="CM321" s="91" t="str">
        <f t="shared" si="31"/>
      </c>
      <c r="CN321" s="91" t="str">
        <f t="shared" si="31"/>
      </c>
      <c r="CO321" s="91" t="str">
        <f ref="CO321:EZ321" t="shared" si="32">IF(SUM(CO302:CO320)&lt;&gt;0,SUM(CO302:CO320),"")</f>
      </c>
      <c r="CP321" s="91" t="str">
        <f t="shared" si="32"/>
      </c>
      <c r="CQ321" s="91" t="str">
        <f t="shared" si="32"/>
      </c>
      <c r="CR321" s="91" t="str">
        <f t="shared" si="32"/>
      </c>
      <c r="CS321" s="91" t="str">
        <f t="shared" si="32"/>
      </c>
      <c r="CT321" s="91" t="str">
        <f t="shared" si="32"/>
      </c>
      <c r="CU321" s="91" t="str">
        <f t="shared" si="32"/>
      </c>
      <c r="CV321" s="91" t="str">
        <f t="shared" si="32"/>
      </c>
      <c r="CW321" s="91" t="str">
        <f t="shared" si="32"/>
      </c>
      <c r="CX321" s="91" t="str">
        <f t="shared" si="32"/>
      </c>
      <c r="CY321" s="91" t="str">
        <f t="shared" si="32"/>
      </c>
      <c r="CZ321" s="91" t="str">
        <f t="shared" si="32"/>
      </c>
      <c r="DA321" s="91" t="str">
        <f t="shared" si="32"/>
      </c>
      <c r="DB321" s="91" t="str">
        <f t="shared" si="32"/>
      </c>
      <c r="DC321" s="91" t="str">
        <f t="shared" si="32"/>
      </c>
      <c r="DD321" s="91" t="str">
        <f t="shared" si="32"/>
      </c>
      <c r="DE321" s="91" t="str">
        <f t="shared" si="32"/>
      </c>
      <c r="DF321" s="91" t="str">
        <f t="shared" si="32"/>
      </c>
      <c r="DG321" s="91" t="str">
        <f t="shared" si="32"/>
      </c>
      <c r="DH321" s="91" t="str">
        <f t="shared" si="32"/>
      </c>
      <c r="DI321" s="91" t="str">
        <f t="shared" si="32"/>
      </c>
      <c r="DJ321" s="91" t="str">
        <f t="shared" si="32"/>
      </c>
      <c r="DK321" s="91" t="str">
        <f t="shared" si="32"/>
      </c>
      <c r="DL321" s="91" t="str">
        <f t="shared" si="32"/>
      </c>
      <c r="DM321" s="91" t="str">
        <f t="shared" si="32"/>
      </c>
      <c r="DN321" s="91" t="str">
        <f t="shared" si="32"/>
      </c>
      <c r="DO321" s="91" t="str">
        <f t="shared" si="32"/>
      </c>
      <c r="DP321" s="91" t="str">
        <f t="shared" si="32"/>
      </c>
      <c r="DQ321" s="91" t="str">
        <f t="shared" si="32"/>
      </c>
      <c r="DR321" s="91" t="str">
        <f t="shared" si="32"/>
      </c>
      <c r="DS321" s="91" t="str">
        <f t="shared" si="32"/>
      </c>
      <c r="DT321" s="91" t="str">
        <f t="shared" si="32"/>
      </c>
      <c r="DU321" s="91" t="str">
        <f t="shared" si="32"/>
      </c>
      <c r="DV321" s="91" t="str">
        <f t="shared" si="32"/>
      </c>
      <c r="DW321" s="91" t="str">
        <f t="shared" si="32"/>
      </c>
      <c r="DX321" s="91" t="str">
        <f t="shared" si="32"/>
      </c>
      <c r="DY321" s="91" t="str">
        <f t="shared" si="32"/>
      </c>
      <c r="DZ321" s="91" t="str">
        <f t="shared" si="32"/>
      </c>
      <c r="EA321" s="91" t="str">
        <f t="shared" si="32"/>
      </c>
      <c r="EB321" s="91" t="str">
        <f t="shared" si="32"/>
      </c>
      <c r="EC321" s="91" t="str">
        <f t="shared" si="32"/>
      </c>
      <c r="ED321" s="91" t="str">
        <f t="shared" si="32"/>
      </c>
      <c r="EE321" s="91" t="str">
        <f t="shared" si="32"/>
      </c>
      <c r="EF321" s="91" t="str">
        <f t="shared" si="32"/>
      </c>
      <c r="EG321" s="91" t="str">
        <f t="shared" si="32"/>
      </c>
      <c r="EH321" s="91" t="str">
        <f t="shared" si="32"/>
      </c>
      <c r="EI321" s="91" t="str">
        <f t="shared" si="32"/>
      </c>
      <c r="EJ321" s="91" t="str">
        <f t="shared" si="32"/>
      </c>
      <c r="EK321" s="91" t="str">
        <f t="shared" si="32"/>
      </c>
      <c r="EL321" s="91" t="str">
        <f t="shared" si="32"/>
      </c>
      <c r="EM321" s="91" t="str">
        <f t="shared" si="32"/>
      </c>
      <c r="EN321" s="91" t="str">
        <f t="shared" si="32"/>
      </c>
      <c r="EO321" s="91" t="str">
        <f t="shared" si="32"/>
      </c>
      <c r="EP321" s="91" t="str">
        <f t="shared" si="32"/>
      </c>
      <c r="EQ321" s="91" t="str">
        <f t="shared" si="32"/>
      </c>
      <c r="ER321" s="91" t="str">
        <f t="shared" si="32"/>
      </c>
      <c r="ES321" s="91" t="str">
        <f t="shared" si="32"/>
      </c>
      <c r="ET321" s="91" t="str">
        <f t="shared" si="32"/>
      </c>
      <c r="EU321" s="91" t="str">
        <f t="shared" si="32"/>
      </c>
      <c r="EV321" s="91" t="str">
        <f t="shared" si="32"/>
      </c>
      <c r="EW321" s="91" t="str">
        <f t="shared" si="32"/>
      </c>
      <c r="EX321" s="91" t="str">
        <f t="shared" si="32"/>
      </c>
      <c r="EY321" s="91" t="str">
        <f t="shared" si="32"/>
      </c>
      <c r="EZ321" s="91" t="str">
        <f t="shared" si="32"/>
      </c>
      <c r="FA321" s="91" t="str">
        <f ref="FA321:HL321" t="shared" si="33">IF(SUM(FA302:FA320)&lt;&gt;0,SUM(FA302:FA320),"")</f>
      </c>
      <c r="FB321" s="91" t="str">
        <f t="shared" si="33"/>
      </c>
      <c r="FC321" s="91" t="str">
        <f t="shared" si="33"/>
      </c>
      <c r="FD321" s="91" t="str">
        <f t="shared" si="33"/>
      </c>
      <c r="FE321" s="91" t="str">
        <f t="shared" si="33"/>
      </c>
      <c r="FF321" s="91" t="str">
        <f t="shared" si="33"/>
      </c>
      <c r="FG321" s="91" t="str">
        <f t="shared" si="33"/>
      </c>
      <c r="FH321" s="91" t="str">
        <f t="shared" si="33"/>
      </c>
      <c r="FI321" s="91" t="str">
        <f t="shared" si="33"/>
      </c>
      <c r="FJ321" s="91" t="str">
        <f t="shared" si="33"/>
      </c>
      <c r="FK321" s="91" t="str">
        <f t="shared" si="33"/>
      </c>
      <c r="FL321" s="91" t="str">
        <f t="shared" si="33"/>
      </c>
      <c r="FM321" s="91" t="str">
        <f t="shared" si="33"/>
      </c>
      <c r="FN321" s="91" t="str">
        <f t="shared" si="33"/>
      </c>
      <c r="FO321" s="91" t="str">
        <f t="shared" si="33"/>
      </c>
      <c r="FP321" s="91" t="str">
        <f t="shared" si="33"/>
      </c>
      <c r="FQ321" s="91" t="str">
        <f t="shared" si="33"/>
      </c>
      <c r="FR321" s="91" t="str">
        <f t="shared" si="33"/>
      </c>
      <c r="FS321" s="91" t="str">
        <f t="shared" si="33"/>
      </c>
      <c r="FT321" s="91" t="str">
        <f t="shared" si="33"/>
      </c>
      <c r="FU321" s="91" t="str">
        <f t="shared" si="33"/>
      </c>
      <c r="FV321" s="91" t="str">
        <f t="shared" si="33"/>
      </c>
      <c r="FW321" s="91" t="str">
        <f t="shared" si="33"/>
      </c>
      <c r="FX321" s="91" t="str">
        <f t="shared" si="33"/>
      </c>
      <c r="FY321" s="91" t="str">
        <f t="shared" si="33"/>
      </c>
      <c r="FZ321" s="91" t="str">
        <f t="shared" si="33"/>
      </c>
      <c r="GA321" s="91" t="str">
        <f t="shared" si="33"/>
      </c>
      <c r="GB321" s="91" t="str">
        <f t="shared" si="33"/>
      </c>
      <c r="GC321" s="91" t="str">
        <f t="shared" si="33"/>
      </c>
      <c r="GD321" s="91" t="str">
        <f t="shared" si="33"/>
      </c>
      <c r="GE321" s="91" t="str">
        <f t="shared" si="33"/>
      </c>
      <c r="GF321" s="91" t="str">
        <f t="shared" si="33"/>
      </c>
      <c r="GG321" s="91" t="str">
        <f t="shared" si="33"/>
      </c>
      <c r="GH321" s="91" t="str">
        <f t="shared" si="33"/>
      </c>
      <c r="GI321" s="91" t="str">
        <f t="shared" si="33"/>
      </c>
      <c r="GJ321" s="91" t="str">
        <f t="shared" si="33"/>
      </c>
      <c r="GK321" s="91" t="str">
        <f t="shared" si="33"/>
      </c>
      <c r="GL321" s="91" t="str">
        <f t="shared" si="33"/>
      </c>
      <c r="GM321" s="91" t="str">
        <f t="shared" si="33"/>
      </c>
      <c r="GN321" s="91" t="str">
        <f t="shared" si="33"/>
      </c>
      <c r="GO321" s="91" t="str">
        <f t="shared" si="33"/>
      </c>
      <c r="GP321" s="91" t="str">
        <f t="shared" si="33"/>
      </c>
      <c r="GQ321" s="91" t="str">
        <f t="shared" si="33"/>
      </c>
      <c r="GR321" s="91" t="str">
        <f t="shared" si="33"/>
      </c>
      <c r="GS321" s="91" t="str">
        <f t="shared" si="33"/>
      </c>
      <c r="GT321" s="91" t="str">
        <f t="shared" si="33"/>
      </c>
      <c r="GU321" s="91" t="str">
        <f t="shared" si="33"/>
      </c>
      <c r="GV321" s="91" t="str">
        <f t="shared" si="33"/>
      </c>
      <c r="GW321" s="91" t="str">
        <f t="shared" si="33"/>
      </c>
      <c r="GX321" s="91" t="str">
        <f t="shared" si="33"/>
      </c>
      <c r="GY321" s="91" t="str">
        <f t="shared" si="33"/>
      </c>
      <c r="GZ321" s="91" t="str">
        <f t="shared" si="33"/>
      </c>
      <c r="HA321" s="91" t="str">
        <f t="shared" si="33"/>
      </c>
      <c r="HB321" s="91" t="str">
        <f t="shared" si="33"/>
      </c>
      <c r="HC321" s="91" t="str">
        <f t="shared" si="33"/>
      </c>
      <c r="HD321" s="91" t="str">
        <f t="shared" si="33"/>
      </c>
      <c r="HE321" s="91" t="str">
        <f t="shared" si="33"/>
      </c>
      <c r="HF321" s="91" t="str">
        <f t="shared" si="33"/>
      </c>
      <c r="HG321" s="91" t="str">
        <f t="shared" si="33"/>
      </c>
      <c r="HH321" s="91" t="str">
        <f t="shared" si="33"/>
      </c>
      <c r="HI321" s="91" t="str">
        <f t="shared" si="33"/>
      </c>
      <c r="HJ321" s="91" t="str">
        <f t="shared" si="33"/>
      </c>
      <c r="HK321" s="91" t="str">
        <f t="shared" si="33"/>
      </c>
      <c r="HL321" s="91" t="str">
        <f t="shared" si="33"/>
      </c>
      <c r="HM321" s="91" t="str">
        <f ref="HM321:IV321" t="shared" si="34">IF(SUM(HM302:HM320)&lt;&gt;0,SUM(HM302:HM320),"")</f>
      </c>
      <c r="HN321" s="91" t="str">
        <f t="shared" si="34"/>
      </c>
      <c r="HO321" s="91" t="str">
        <f t="shared" si="34"/>
      </c>
      <c r="HP321" s="91" t="str">
        <f t="shared" si="34"/>
      </c>
      <c r="HQ321" s="91" t="str">
        <f t="shared" si="34"/>
      </c>
      <c r="HR321" s="91" t="str">
        <f t="shared" si="34"/>
      </c>
      <c r="HS321" s="91" t="str">
        <f t="shared" si="34"/>
      </c>
      <c r="HT321" s="91" t="str">
        <f t="shared" si="34"/>
      </c>
      <c r="HU321" s="91" t="str">
        <f t="shared" si="34"/>
      </c>
      <c r="HV321" s="91" t="str">
        <f t="shared" si="34"/>
      </c>
      <c r="HW321" s="91" t="str">
        <f t="shared" si="34"/>
      </c>
      <c r="HX321" s="91" t="str">
        <f t="shared" si="34"/>
      </c>
      <c r="HY321" s="91" t="str">
        <f t="shared" si="34"/>
      </c>
      <c r="HZ321" s="91" t="str">
        <f t="shared" si="34"/>
      </c>
      <c r="IA321" s="91" t="str">
        <f t="shared" si="34"/>
      </c>
      <c r="IB321" s="91" t="str">
        <f t="shared" si="34"/>
      </c>
      <c r="IC321" s="91" t="str">
        <f t="shared" si="34"/>
      </c>
      <c r="ID321" s="91" t="str">
        <f t="shared" si="34"/>
      </c>
      <c r="IE321" s="91" t="str">
        <f t="shared" si="34"/>
      </c>
      <c r="IF321" s="91" t="str">
        <f t="shared" si="34"/>
      </c>
      <c r="IG321" s="91" t="str">
        <f t="shared" si="34"/>
      </c>
      <c r="IH321" s="91" t="str">
        <f t="shared" si="34"/>
      </c>
      <c r="II321" s="91" t="str">
        <f t="shared" si="34"/>
      </c>
      <c r="IJ321" s="91" t="str">
        <f t="shared" si="34"/>
      </c>
      <c r="IK321" s="91" t="str">
        <f t="shared" si="34"/>
      </c>
      <c r="IL321" s="91" t="str">
        <f t="shared" si="34"/>
      </c>
      <c r="IM321" s="91" t="str">
        <f t="shared" si="34"/>
      </c>
      <c r="IN321" s="91" t="str">
        <f t="shared" si="34"/>
      </c>
      <c r="IO321" s="91" t="str">
        <f t="shared" si="34"/>
      </c>
      <c r="IP321" s="91" t="str">
        <f t="shared" si="34"/>
      </c>
      <c r="IQ321" s="91" t="str">
        <f t="shared" si="34"/>
      </c>
      <c r="IR321" s="91" t="str">
        <f t="shared" si="34"/>
      </c>
      <c r="IS321" s="91" t="str">
        <f t="shared" si="34"/>
      </c>
      <c r="IT321" s="91" t="str">
        <f t="shared" si="34"/>
      </c>
      <c r="IU321" s="91" t="str">
        <f t="shared" si="34"/>
      </c>
      <c r="IV321" s="91" t="str">
        <f t="shared" si="34"/>
      </c>
    </row>
    <row r="322" hidden="1" ht="15.95" customHeight="1">
      <c r="B322" s="274"/>
      <c r="C322" s="247"/>
      <c r="D322" s="247"/>
      <c r="E322" s="247"/>
      <c r="F322" s="247"/>
      <c r="G322" s="247"/>
      <c r="H322" s="247"/>
      <c r="I322" s="247"/>
      <c r="J322" s="247"/>
      <c r="K322" s="247"/>
      <c r="N322" s="275"/>
    </row>
    <row r="323" hidden="1" ht="15.95" customHeight="1">
      <c r="B323" s="274"/>
      <c r="C323" s="659" t="s">
        <v>200</v>
      </c>
      <c r="D323" s="660"/>
      <c r="E323" s="660"/>
      <c r="F323" s="660"/>
      <c r="G323" s="660"/>
      <c r="H323" s="660"/>
      <c r="I323" s="660"/>
      <c r="J323" s="660"/>
      <c r="K323" s="660"/>
      <c r="L323" s="660"/>
      <c r="M323" s="660"/>
      <c r="N323" s="660"/>
      <c r="O323" s="660"/>
      <c r="P323" s="660"/>
      <c r="Q323" s="660"/>
      <c r="R323" s="660"/>
      <c r="S323" s="660"/>
      <c r="T323" s="660"/>
      <c r="U323" s="660"/>
      <c r="V323" s="660"/>
      <c r="W323" s="660"/>
      <c r="X323" s="660"/>
      <c r="Y323" s="660"/>
      <c r="Z323" s="660"/>
      <c r="AA323" s="660"/>
      <c r="AB323" s="661"/>
    </row>
    <row r="324" hidden="1" ht="15.95" customHeight="1">
      <c r="C324" s="435" t="str">
        <f> IF(C344&lt;&gt;"",TEXT(AUX!G$1,"dd-MMM-aa"),"")</f>
      </c>
      <c r="D324" s="435" t="str">
        <f> IF(D344&lt;&gt;"",TEXT(AUX!H$1,"dd-MMM-aa"),"")</f>
      </c>
      <c r="E324" s="435" t="str">
        <f> IF(E344&lt;&gt;"",TEXT(AUX!I$1,"dd-MMM-aa"),"")</f>
      </c>
      <c r="F324" s="435" t="str">
        <f> IF(F344&lt;&gt;"",TEXT(AUX!J$1,"dd-MMM-aa"),"")</f>
      </c>
      <c r="G324" s="435" t="str">
        <f> IF(G344&lt;&gt;"",TEXT(AUX!K$1,"dd-MMM-aa"),"")</f>
      </c>
      <c r="H324" s="435" t="str">
        <f> IF(H344&lt;&gt;"",TEXT(AUX!L$1,"dd-MMM-aa"),"")</f>
      </c>
      <c r="I324" s="435" t="str">
        <f> IF(I344&lt;&gt;"",TEXT(AUX!M$1,"dd-MMM-aa"),"")</f>
      </c>
      <c r="J324" s="435" t="str">
        <f> IF(J344&lt;&gt;"",TEXT(AUX!N$1,"dd-MMM-aa"),"")</f>
      </c>
      <c r="K324" s="435" t="str">
        <f> IF(K344&lt;&gt;"",TEXT(AUX!O$1,"dd-MMM-aa"),"")</f>
      </c>
      <c r="L324" s="435" t="str">
        <f> IF(L344&lt;&gt;"",TEXT(AUX!P$1,"dd-MMM-aa"),"")</f>
      </c>
      <c r="M324" s="435" t="str">
        <f> IF(M344&lt;&gt;"",TEXT(AUX!Q$1,"dd-MMM-aa"),"")</f>
      </c>
      <c r="N324" s="435" t="str">
        <f> IF(N344&lt;&gt;"",TEXT(AUX!R$1,"dd-MMM-aa"),"")</f>
      </c>
      <c r="O324" s="435" t="str">
        <f> IF(O344&lt;&gt;"",TEXT(AUX!S$1,"dd-MMM-aa"),"")</f>
      </c>
      <c r="P324" s="435" t="str">
        <f> IF(P344&lt;&gt;"",TEXT(AUX!T$1,"dd-MMM-aa"),"")</f>
      </c>
      <c r="Q324" s="435" t="str">
        <f> IF(Q344&lt;&gt;"",TEXT(AUX!U$1,"dd-MMM-aa"),"")</f>
      </c>
      <c r="R324" s="435" t="str">
        <f> IF(R344&lt;&gt;"",TEXT(AUX!V$1,"dd-MMM-aa"),"")</f>
      </c>
      <c r="S324" s="435" t="str">
        <f> IF(S344&lt;&gt;"",TEXT(AUX!W$1,"dd-MMM-aa"),"")</f>
      </c>
      <c r="T324" s="435" t="str">
        <f> IF(T344&lt;&gt;"",TEXT(AUX!X$1,"dd-MMM-aa"),"")</f>
      </c>
      <c r="U324" s="435" t="str">
        <f> IF(U344&lt;&gt;"",TEXT(AUX!Y$1,"dd-MMM-aa"),"")</f>
      </c>
      <c r="V324" s="435" t="str">
        <f> IF(V344&lt;&gt;"",TEXT(AUX!Z$1,"dd-MMM-aa"),"")</f>
      </c>
      <c r="W324" s="435" t="str">
        <f> IF(W344&lt;&gt;"",TEXT(AUX!AA$1,"dd-MMM-aa"),"")</f>
      </c>
      <c r="X324" s="435" t="str">
        <f> IF(X344&lt;&gt;"",TEXT(AUX!AB$1,"dd-MMM-aa"),"")</f>
      </c>
      <c r="Y324" s="435" t="str">
        <f> IF(Y344&lt;&gt;"",TEXT(AUX!AC$1,"dd-MMM-aa"),"")</f>
      </c>
      <c r="Z324" s="435" t="str">
        <f> IF(Z344&lt;&gt;"",TEXT(AUX!AD$1,"dd-MMM-aa"),"")</f>
      </c>
      <c r="AA324" s="435" t="str">
        <f> IF(AA344&lt;&gt;"",TEXT(AUX!AE$1,"dd-MMM-aa"),"")</f>
      </c>
      <c r="AB324" s="497" t="str">
        <f> IF(AB344&lt;&gt;"",TEXT(AUX!AF$1,"dd-MMM-aa"),"")</f>
      </c>
      <c r="AC324" s="496" t="str">
        <f> IF(AC344&lt;&gt;"",TEXT(AUX!AG$1,"dd-MMM-aa"),"")</f>
      </c>
      <c r="AD324" s="496" t="str">
        <f> IF(AD344&lt;&gt;"",TEXT(AUX!AH$1,"dd-MMM-aa"),"")</f>
      </c>
      <c r="AE324" s="496" t="str">
        <f> IF(AE344&lt;&gt;"",TEXT(AUX!AI$1,"dd-MMM-aa"),"")</f>
      </c>
      <c r="AF324" s="496" t="str">
        <f> IF(AF344&lt;&gt;"",TEXT(AUX!AJ$1,"dd-MMM-aa"),"")</f>
      </c>
      <c r="AG324" s="496" t="str">
        <f> IF(AG344&lt;&gt;"",TEXT(AUX!AK$1,"dd-MMM-aa"),"")</f>
      </c>
      <c r="AH324" s="496" t="str">
        <f> IF(AH344&lt;&gt;"",TEXT(AUX!AL$1,"dd-MMM-aa"),"")</f>
      </c>
      <c r="AI324" s="496" t="str">
        <f> IF(AI344&lt;&gt;"",TEXT(AUX!AM$1,"dd-MMM-aa"),"")</f>
      </c>
      <c r="AJ324" s="496" t="str">
        <f> IF(AJ344&lt;&gt;"",TEXT(AUX!AN$1,"dd-MMM-aa"),"")</f>
      </c>
      <c r="AK324" s="496" t="str">
        <f> IF(AK344&lt;&gt;"",TEXT(AUX!AO$1,"dd-MMM-aa"),"")</f>
      </c>
      <c r="AL324" s="496" t="str">
        <f> IF(AL344&lt;&gt;"",TEXT(AUX!AP$1,"dd-MMM-aa"),"")</f>
      </c>
      <c r="AM324" s="496" t="str">
        <f> IF(AM344&lt;&gt;"",TEXT(AUX!AQ$1,"dd-MMM-aa"),"")</f>
      </c>
      <c r="AN324" s="496" t="str">
        <f> IF(AN344&lt;&gt;"",TEXT(AUX!AR$1,"dd-MMM-aa"),"")</f>
      </c>
      <c r="AO324" s="496" t="str">
        <f> IF(AO344&lt;&gt;"",TEXT(AUX!AS$1,"dd-MMM-aa"),"")</f>
      </c>
      <c r="AP324" s="496" t="str">
        <f> IF(AP344&lt;&gt;"",TEXT(AUX!AT$1,"dd-MMM-aa"),"")</f>
      </c>
      <c r="AQ324" s="496" t="str">
        <f> IF(AQ344&lt;&gt;"",TEXT(AUX!AU$1,"dd-MMM-aa"),"")</f>
      </c>
      <c r="AR324" s="496" t="str">
        <f> IF(AR344&lt;&gt;"",TEXT(AUX!AV$1,"dd-MMM-aa"),"")</f>
      </c>
      <c r="AS324" s="496" t="str">
        <f> IF(AS344&lt;&gt;"",TEXT(AUX!AW$1,"dd-MMM-aa"),"")</f>
      </c>
      <c r="AT324" s="496" t="str">
        <f> IF(AT344&lt;&gt;"",TEXT(AUX!AX$1,"dd-MMM-aa"),"")</f>
      </c>
      <c r="AU324" s="496" t="str">
        <f> IF(AU344&lt;&gt;"",TEXT(AUX!AY$1,"dd-MMM-aa"),"")</f>
      </c>
      <c r="AV324" s="496" t="str">
        <f> IF(AV344&lt;&gt;"",TEXT(AUX!AZ$1,"dd-MMM-aa"),"")</f>
      </c>
      <c r="AW324" s="496" t="str">
        <f> IF(AW344&lt;&gt;"",TEXT(AUX!BA$1,"dd-MMM-aa"),"")</f>
      </c>
      <c r="AX324" s="496" t="str">
        <f> IF(AX344&lt;&gt;"",TEXT(AUX!BB$1,"dd-MMM-aa"),"")</f>
      </c>
      <c r="AY324" s="496" t="str">
        <f> IF(AY344&lt;&gt;"",TEXT(AUX!BC$1,"dd-MMM-aa"),"")</f>
      </c>
      <c r="AZ324" s="496" t="str">
        <f> IF(AZ344&lt;&gt;"",TEXT(AUX!BD$1,"dd-MMM-aa"),"")</f>
      </c>
      <c r="BA324" s="496" t="str">
        <f> IF(BA344&lt;&gt;"",TEXT(AUX!BE$1,"dd-MMM-aa"),"")</f>
      </c>
      <c r="BB324" s="496" t="str">
        <f> IF(BB344&lt;&gt;"",TEXT(AUX!BF$1,"dd-MMM-aa"),"")</f>
      </c>
      <c r="BC324" s="496" t="str">
        <f> IF(BC344&lt;&gt;"",TEXT(AUX!BG$1,"dd-MMM-aa"),"")</f>
      </c>
      <c r="BD324" s="496" t="str">
        <f> IF(BD344&lt;&gt;"",TEXT(AUX!BH$1,"dd-MMM-aa"),"")</f>
      </c>
      <c r="BE324" s="496" t="str">
        <f> IF(BE344&lt;&gt;"",TEXT(AUX!BI$1,"dd-MMM-aa"),"")</f>
      </c>
      <c r="BF324" s="496" t="str">
        <f> IF(BF344&lt;&gt;"",TEXT(AUX!BJ$1,"dd-MMM-aa"),"")</f>
      </c>
      <c r="BG324" s="496" t="str">
        <f> IF(BG344&lt;&gt;"",TEXT(AUX!BK$1,"dd-MMM-aa"),"")</f>
      </c>
      <c r="BH324" s="496" t="str">
        <f> IF(BH344&lt;&gt;"",TEXT(AUX!BL$1,"dd-MMM-aa"),"")</f>
      </c>
      <c r="BI324" s="496" t="str">
        <f> IF(BI344&lt;&gt;"",TEXT(AUX!BM$1,"dd-MMM-aa"),"")</f>
      </c>
      <c r="BJ324" s="496" t="str">
        <f> IF(BJ344&lt;&gt;"",TEXT(AUX!BN$1,"dd-MMM-aa"),"")</f>
      </c>
      <c r="BK324" s="496" t="str">
        <f> IF(BK344&lt;&gt;"",TEXT(AUX!BO$1,"dd-MMM-aa"),"")</f>
      </c>
      <c r="BL324" s="496" t="str">
        <f> IF(BL344&lt;&gt;"",TEXT(AUX!BP$1,"dd-MMM-aa"),"")</f>
      </c>
      <c r="BM324" s="496" t="str">
        <f> IF(BM344&lt;&gt;"",TEXT(AUX!BQ$1,"dd-MMM-aa"),"")</f>
      </c>
      <c r="BN324" s="496" t="str">
        <f> IF(BN344&lt;&gt;"",TEXT(AUX!BR$1,"dd-MMM-aa"),"")</f>
      </c>
      <c r="BO324" s="496" t="str">
        <f> IF(BO344&lt;&gt;"",TEXT(AUX!BS$1,"dd-MMM-aa"),"")</f>
      </c>
      <c r="BP324" s="496" t="str">
        <f> IF(BP344&lt;&gt;"",TEXT(AUX!BT$1,"dd-MMM-aa"),"")</f>
      </c>
      <c r="BQ324" s="496" t="str">
        <f> IF(BQ344&lt;&gt;"",TEXT(AUX!BU$1,"dd-MMM-aa"),"")</f>
      </c>
      <c r="BR324" s="496" t="str">
        <f> IF(BR344&lt;&gt;"",TEXT(AUX!BV$1,"dd-MMM-aa"),"")</f>
      </c>
      <c r="BS324" s="496" t="str">
        <f> IF(BS344&lt;&gt;"",TEXT(AUX!BW$1,"dd-MMM-aa"),"")</f>
      </c>
      <c r="BT324" s="496" t="str">
        <f> IF(BT344&lt;&gt;"",TEXT(AUX!BX$1,"dd-MMM-aa"),"")</f>
      </c>
      <c r="BU324" s="496" t="str">
        <f> IF(BU344&lt;&gt;"",TEXT(AUX!BY$1,"dd-MMM-aa"),"")</f>
      </c>
      <c r="BV324" s="496" t="str">
        <f> IF(BV344&lt;&gt;"",TEXT(AUX!BZ$1,"dd-MMM-aa"),"")</f>
      </c>
      <c r="BW324" s="496" t="str">
        <f> IF(BW344&lt;&gt;"",TEXT(AUX!CA$1,"dd-MMM-aa"),"")</f>
      </c>
      <c r="BX324" s="496" t="str">
        <f> IF(BX344&lt;&gt;"",TEXT(AUX!CB$1,"dd-MMM-aa"),"")</f>
      </c>
      <c r="BY324" s="496" t="str">
        <f> IF(BY344&lt;&gt;"",TEXT(AUX!CC$1,"dd-MMM-aa"),"")</f>
      </c>
      <c r="BZ324" s="496" t="str">
        <f> IF(BZ344&lt;&gt;"",TEXT(AUX!CD$1,"dd-MMM-aa"),"")</f>
      </c>
      <c r="CA324" s="496" t="str">
        <f> IF(CA344&lt;&gt;"",TEXT(AUX!CE$1,"dd-MMM-aa"),"")</f>
      </c>
      <c r="CB324" s="496" t="str">
        <f> IF(CB344&lt;&gt;"",TEXT(AUX!CF$1,"dd-MMM-aa"),"")</f>
      </c>
      <c r="CC324" s="496" t="str">
        <f> IF(CC344&lt;&gt;"",TEXT(AUX!CG$1,"dd-MMM-aa"),"")</f>
      </c>
      <c r="CD324" s="496" t="str">
        <f> IF(CD344&lt;&gt;"",TEXT(AUX!CH$1,"dd-MMM-aa"),"")</f>
      </c>
      <c r="CE324" s="496" t="str">
        <f> IF(CE344&lt;&gt;"",TEXT(AUX!CI$1,"dd-MMM-aa"),"")</f>
      </c>
      <c r="CF324" s="496" t="str">
        <f> IF(CF344&lt;&gt;"",TEXT(AUX!CJ$1,"dd-MMM-aa"),"")</f>
      </c>
      <c r="CG324" s="496" t="str">
        <f> IF(CG344&lt;&gt;"",TEXT(AUX!CK$1,"dd-MMM-aa"),"")</f>
      </c>
      <c r="CH324" s="496" t="str">
        <f> IF(CH344&lt;&gt;"",TEXT(AUX!CL$1,"dd-MMM-aa"),"")</f>
      </c>
      <c r="CI324" s="496" t="str">
        <f> IF(CI344&lt;&gt;"",TEXT(AUX!CM$1,"dd-MMM-aa"),"")</f>
      </c>
      <c r="CJ324" s="496" t="str">
        <f> IF(CJ344&lt;&gt;"",TEXT(AUX!CN$1,"dd-MMM-aa"),"")</f>
      </c>
      <c r="CK324" s="496" t="str">
        <f> IF(CK344&lt;&gt;"",TEXT(AUX!CO$1,"dd-MMM-aa"),"")</f>
      </c>
      <c r="CL324" s="496" t="str">
        <f> IF(CL344&lt;&gt;"",TEXT(AUX!CP$1,"dd-MMM-aa"),"")</f>
      </c>
      <c r="CM324" s="496" t="str">
        <f> IF(CM344&lt;&gt;"",TEXT(AUX!CQ$1,"dd-MMM-aa"),"")</f>
      </c>
      <c r="CN324" s="496" t="str">
        <f> IF(CN344&lt;&gt;"",TEXT(AUX!CR$1,"dd-MMM-aa"),"")</f>
      </c>
      <c r="CO324" s="496" t="str">
        <f> IF(CO344&lt;&gt;"",TEXT(AUX!CS$1,"dd-MMM-aa"),"")</f>
      </c>
      <c r="CP324" s="496" t="str">
        <f> IF(CP344&lt;&gt;"",TEXT(AUX!CT$1,"dd-MMM-aa"),"")</f>
      </c>
      <c r="CQ324" s="496" t="str">
        <f> IF(CQ344&lt;&gt;"",TEXT(AUX!CU$1,"dd-MMM-aa"),"")</f>
      </c>
      <c r="CR324" s="496" t="str">
        <f> IF(CR344&lt;&gt;"",TEXT(AUX!CV$1,"dd-MMM-aa"),"")</f>
      </c>
      <c r="CS324" s="496" t="str">
        <f> IF(CS344&lt;&gt;"",TEXT(AUX!CW$1,"dd-MMM-aa"),"")</f>
      </c>
      <c r="CT324" s="496" t="str">
        <f> IF(CT344&lt;&gt;"",TEXT(AUX!CX$1,"dd-MMM-aa"),"")</f>
      </c>
      <c r="CU324" s="496" t="str">
        <f> IF(CU344&lt;&gt;"",TEXT(AUX!CY$1,"dd-MMM-aa"),"")</f>
      </c>
      <c r="CV324" s="496" t="str">
        <f> IF(CV344&lt;&gt;"",TEXT(AUX!CZ$1,"dd-MMM-aa"),"")</f>
      </c>
      <c r="CW324" s="496" t="str">
        <f> IF(CW344&lt;&gt;"",TEXT(AUX!DA$1,"dd-MMM-aa"),"")</f>
      </c>
      <c r="CX324" s="496" t="str">
        <f> IF(CX344&lt;&gt;"",TEXT(AUX!DB$1,"dd-MMM-aa"),"")</f>
      </c>
      <c r="CY324" s="496" t="str">
        <f> IF(CY344&lt;&gt;"",TEXT(AUX!DC$1,"dd-MMM-aa"),"")</f>
      </c>
      <c r="CZ324" s="496" t="str">
        <f> IF(CZ344&lt;&gt;"",TEXT(AUX!DD$1,"dd-MMM-aa"),"")</f>
      </c>
      <c r="DA324" s="496" t="str">
        <f> IF(DA344&lt;&gt;"",TEXT(AUX!DE$1,"dd-MMM-aa"),"")</f>
      </c>
      <c r="DB324" s="496" t="str">
        <f> IF(DB344&lt;&gt;"",TEXT(AUX!DF$1,"dd-MMM-aa"),"")</f>
      </c>
      <c r="DC324" s="496" t="str">
        <f> IF(DC344&lt;&gt;"",TEXT(AUX!DG$1,"dd-MMM-aa"),"")</f>
      </c>
      <c r="DD324" s="496" t="str">
        <f> IF(DD344&lt;&gt;"",TEXT(AUX!DH$1,"dd-MMM-aa"),"")</f>
      </c>
      <c r="DE324" s="496" t="str">
        <f> IF(DE344&lt;&gt;"",TEXT(AUX!DI$1,"dd-MMM-aa"),"")</f>
      </c>
      <c r="DF324" s="496" t="str">
        <f> IF(DF344&lt;&gt;"",TEXT(AUX!DJ$1,"dd-MMM-aa"),"")</f>
      </c>
      <c r="DG324" s="496" t="str">
        <f> IF(DG344&lt;&gt;"",TEXT(AUX!DK$1,"dd-MMM-aa"),"")</f>
      </c>
      <c r="DH324" s="496" t="str">
        <f> IF(DH344&lt;&gt;"",TEXT(AUX!DL$1,"dd-MMM-aa"),"")</f>
      </c>
      <c r="DI324" s="496" t="str">
        <f> IF(DI344&lt;&gt;"",TEXT(AUX!DM$1,"dd-MMM-aa"),"")</f>
      </c>
      <c r="DJ324" s="496" t="str">
        <f> IF(DJ344&lt;&gt;"",TEXT(AUX!DN$1,"dd-MMM-aa"),"")</f>
      </c>
      <c r="DK324" s="496" t="str">
        <f> IF(DK344&lt;&gt;"",TEXT(AUX!DO$1,"dd-MMM-aa"),"")</f>
      </c>
      <c r="DL324" s="496" t="str">
        <f> IF(DL344&lt;&gt;"",TEXT(AUX!DP$1,"dd-MMM-aa"),"")</f>
      </c>
      <c r="DM324" s="496" t="str">
        <f> IF(DM344&lt;&gt;"",TEXT(AUX!DQ$1,"dd-MMM-aa"),"")</f>
      </c>
      <c r="DN324" s="496" t="str">
        <f> IF(DN344&lt;&gt;"",TEXT(AUX!DR$1,"dd-MMM-aa"),"")</f>
      </c>
      <c r="DO324" s="496" t="str">
        <f> IF(DO344&lt;&gt;"",TEXT(AUX!DS$1,"dd-MMM-aa"),"")</f>
      </c>
      <c r="DP324" s="496" t="str">
        <f> IF(DP344&lt;&gt;"",TEXT(AUX!DT$1,"dd-MMM-aa"),"")</f>
      </c>
      <c r="DQ324" s="496" t="str">
        <f> IF(DQ344&lt;&gt;"",TEXT(AUX!DU$1,"dd-MMM-aa"),"")</f>
      </c>
      <c r="DR324" s="496" t="str">
        <f> IF(DR344&lt;&gt;"",TEXT(AUX!DV$1,"dd-MMM-aa"),"")</f>
      </c>
      <c r="DS324" s="496" t="str">
        <f> IF(DS344&lt;&gt;"",TEXT(AUX!DW$1,"dd-MMM-aa"),"")</f>
      </c>
      <c r="DT324" s="496" t="str">
        <f> IF(DT344&lt;&gt;"",TEXT(AUX!DX$1,"dd-MMM-aa"),"")</f>
      </c>
      <c r="DU324" s="496" t="str">
        <f> IF(DU344&lt;&gt;"",TEXT(AUX!DY$1,"dd-MMM-aa"),"")</f>
      </c>
      <c r="DV324" s="496" t="str">
        <f> IF(DV344&lt;&gt;"",TEXT(AUX!DZ$1,"dd-MMM-aa"),"")</f>
      </c>
      <c r="DW324" s="496" t="str">
        <f> IF(DW344&lt;&gt;"",TEXT(AUX!EA$1,"dd-MMM-aa"),"")</f>
      </c>
      <c r="DX324" s="496" t="str">
        <f> IF(DX344&lt;&gt;"",TEXT(AUX!EB$1,"dd-MMM-aa"),"")</f>
      </c>
      <c r="DY324" s="496" t="str">
        <f> IF(DY344&lt;&gt;"",TEXT(AUX!EC$1,"dd-MMM-aa"),"")</f>
      </c>
      <c r="DZ324" s="496" t="str">
        <f> IF(DZ344&lt;&gt;"",TEXT(AUX!ED$1,"dd-MMM-aa"),"")</f>
      </c>
      <c r="EA324" s="496" t="str">
        <f> IF(EA344&lt;&gt;"",TEXT(AUX!EE$1,"dd-MMM-aa"),"")</f>
      </c>
      <c r="EB324" s="496" t="str">
        <f> IF(EB344&lt;&gt;"",TEXT(AUX!EF$1,"dd-MMM-aa"),"")</f>
      </c>
      <c r="EC324" s="496" t="str">
        <f> IF(EC344&lt;&gt;"",TEXT(AUX!EG$1,"dd-MMM-aa"),"")</f>
      </c>
      <c r="ED324" s="496" t="str">
        <f> IF(ED344&lt;&gt;"",TEXT(AUX!EH$1,"dd-MMM-aa"),"")</f>
      </c>
      <c r="EE324" s="496" t="str">
        <f> IF(EE344&lt;&gt;"",TEXT(AUX!EI$1,"dd-MMM-aa"),"")</f>
      </c>
      <c r="EF324" s="496" t="str">
        <f> IF(EF344&lt;&gt;"",TEXT(AUX!EJ$1,"dd-MMM-aa"),"")</f>
      </c>
      <c r="EG324" s="496" t="str">
        <f> IF(EG344&lt;&gt;"",TEXT(AUX!EK$1,"dd-MMM-aa"),"")</f>
      </c>
      <c r="EH324" s="496" t="str">
        <f> IF(EH344&lt;&gt;"",TEXT(AUX!EL$1,"dd-MMM-aa"),"")</f>
      </c>
      <c r="EI324" s="496" t="str">
        <f> IF(EI344&lt;&gt;"",TEXT(AUX!EM$1,"dd-MMM-aa"),"")</f>
      </c>
      <c r="EJ324" s="496" t="str">
        <f> IF(EJ344&lt;&gt;"",TEXT(AUX!EN$1,"dd-MMM-aa"),"")</f>
      </c>
      <c r="EK324" s="496" t="str">
        <f> IF(EK344&lt;&gt;"",TEXT(AUX!EO$1,"dd-MMM-aa"),"")</f>
      </c>
      <c r="EL324" s="496" t="str">
        <f> IF(EL344&lt;&gt;"",TEXT(AUX!EP$1,"dd-MMM-aa"),"")</f>
      </c>
      <c r="EM324" s="496" t="str">
        <f> IF(EM344&lt;&gt;"",TEXT(AUX!EQ$1,"dd-MMM-aa"),"")</f>
      </c>
      <c r="EN324" s="496" t="str">
        <f> IF(EN344&lt;&gt;"",TEXT(AUX!ER$1,"dd-MMM-aa"),"")</f>
      </c>
      <c r="EO324" s="496" t="str">
        <f> IF(EO344&lt;&gt;"",TEXT(AUX!ES$1,"dd-MMM-aa"),"")</f>
      </c>
      <c r="EP324" s="496" t="str">
        <f> IF(EP344&lt;&gt;"",TEXT(AUX!ET$1,"dd-MMM-aa"),"")</f>
      </c>
      <c r="EQ324" s="496" t="str">
        <f> IF(EQ344&lt;&gt;"",TEXT(AUX!EU$1,"dd-MMM-aa"),"")</f>
      </c>
      <c r="ER324" s="496" t="str">
        <f> IF(ER344&lt;&gt;"",TEXT(AUX!EV$1,"dd-MMM-aa"),"")</f>
      </c>
      <c r="ES324" s="496" t="str">
        <f> IF(ES344&lt;&gt;"",TEXT(AUX!EW$1,"dd-MMM-aa"),"")</f>
      </c>
      <c r="ET324" s="496" t="str">
        <f> IF(ET344&lt;&gt;"",TEXT(AUX!EX$1,"dd-MMM-aa"),"")</f>
      </c>
      <c r="EU324" s="496" t="str">
        <f> IF(EU344&lt;&gt;"",TEXT(AUX!EY$1,"dd-MMM-aa"),"")</f>
      </c>
      <c r="EV324" s="496" t="str">
        <f> IF(EV344&lt;&gt;"",TEXT(AUX!EZ$1,"dd-MMM-aa"),"")</f>
      </c>
      <c r="EW324" s="496" t="str">
        <f> IF(EW344&lt;&gt;"",TEXT(AUX!FA$1,"dd-MMM-aa"),"")</f>
      </c>
      <c r="EX324" s="496" t="str">
        <f> IF(EX344&lt;&gt;"",TEXT(AUX!FB$1,"dd-MMM-aa"),"")</f>
      </c>
      <c r="EY324" s="496" t="str">
        <f> IF(EY344&lt;&gt;"",TEXT(AUX!FC$1,"dd-MMM-aa"),"")</f>
      </c>
      <c r="EZ324" s="496" t="str">
        <f> IF(EZ344&lt;&gt;"",TEXT(AUX!FD$1,"dd-MMM-aa"),"")</f>
      </c>
      <c r="FA324" s="496" t="str">
        <f> IF(FA344&lt;&gt;"",TEXT(AUX!FE$1,"dd-MMM-aa"),"")</f>
      </c>
      <c r="FB324" s="496" t="str">
        <f> IF(FB344&lt;&gt;"",TEXT(AUX!FF$1,"dd-MMM-aa"),"")</f>
      </c>
      <c r="FC324" s="496" t="str">
        <f> IF(FC344&lt;&gt;"",TEXT(AUX!FG$1,"dd-MMM-aa"),"")</f>
      </c>
      <c r="FD324" s="496" t="str">
        <f> IF(FD344&lt;&gt;"",TEXT(AUX!FH$1,"dd-MMM-aa"),"")</f>
      </c>
      <c r="FE324" s="496" t="str">
        <f> IF(FE344&lt;&gt;"",TEXT(AUX!FI$1,"dd-MMM-aa"),"")</f>
      </c>
      <c r="FF324" s="496" t="str">
        <f> IF(FF344&lt;&gt;"",TEXT(AUX!FJ$1,"dd-MMM-aa"),"")</f>
      </c>
      <c r="FG324" s="496" t="str">
        <f> IF(FG344&lt;&gt;"",TEXT(AUX!FK$1,"dd-MMM-aa"),"")</f>
      </c>
      <c r="FH324" s="496" t="str">
        <f> IF(FH344&lt;&gt;"",TEXT(AUX!FL$1,"dd-MMM-aa"),"")</f>
      </c>
      <c r="FI324" s="496" t="str">
        <f> IF(FI344&lt;&gt;"",TEXT(AUX!FM$1,"dd-MMM-aa"),"")</f>
      </c>
      <c r="FJ324" s="496" t="str">
        <f> IF(FJ344&lt;&gt;"",TEXT(AUX!FN$1,"dd-MMM-aa"),"")</f>
      </c>
      <c r="FK324" s="496" t="str">
        <f> IF(FK344&lt;&gt;"",TEXT(AUX!FO$1,"dd-MMM-aa"),"")</f>
      </c>
      <c r="FL324" s="496" t="str">
        <f> IF(FL344&lt;&gt;"",TEXT(AUX!FP$1,"dd-MMM-aa"),"")</f>
      </c>
      <c r="FM324" s="496" t="str">
        <f> IF(FM344&lt;&gt;"",TEXT(AUX!FQ$1,"dd-MMM-aa"),"")</f>
      </c>
      <c r="FN324" s="496" t="str">
        <f> IF(FN344&lt;&gt;"",TEXT(AUX!FR$1,"dd-MMM-aa"),"")</f>
      </c>
      <c r="FO324" s="496" t="str">
        <f> IF(FO344&lt;&gt;"",TEXT(AUX!FS$1,"dd-MMM-aa"),"")</f>
      </c>
      <c r="FP324" s="496" t="str">
        <f> IF(FP344&lt;&gt;"",TEXT(AUX!FT$1,"dd-MMM-aa"),"")</f>
      </c>
      <c r="FQ324" s="496" t="str">
        <f> IF(FQ344&lt;&gt;"",TEXT(AUX!FU$1,"dd-MMM-aa"),"")</f>
      </c>
      <c r="FR324" s="496" t="str">
        <f> IF(FR344&lt;&gt;"",TEXT(AUX!FV$1,"dd-MMM-aa"),"")</f>
      </c>
      <c r="FS324" s="496" t="str">
        <f> IF(FS344&lt;&gt;"",TEXT(AUX!FW$1,"dd-MMM-aa"),"")</f>
      </c>
      <c r="FT324" s="496" t="str">
        <f> IF(FT344&lt;&gt;"",TEXT(AUX!FX$1,"dd-MMM-aa"),"")</f>
      </c>
      <c r="FU324" s="496" t="str">
        <f> IF(FU344&lt;&gt;"",TEXT(AUX!FY$1,"dd-MMM-aa"),"")</f>
      </c>
      <c r="FV324" s="496" t="str">
        <f> IF(FV344&lt;&gt;"",TEXT(AUX!FZ$1,"dd-MMM-aa"),"")</f>
      </c>
      <c r="FW324" s="496" t="str">
        <f> IF(FW344&lt;&gt;"",TEXT(AUX!GA$1,"dd-MMM-aa"),"")</f>
      </c>
      <c r="FX324" s="496" t="str">
        <f> IF(FX344&lt;&gt;"",TEXT(AUX!GB$1,"dd-MMM-aa"),"")</f>
      </c>
      <c r="FY324" s="496" t="str">
        <f> IF(FY344&lt;&gt;"",TEXT(AUX!GC$1,"dd-MMM-aa"),"")</f>
      </c>
      <c r="FZ324" s="496" t="str">
        <f> IF(FZ344&lt;&gt;"",TEXT(AUX!GD$1,"dd-MMM-aa"),"")</f>
      </c>
      <c r="GA324" s="496" t="str">
        <f> IF(GA344&lt;&gt;"",TEXT(AUX!GE$1,"dd-MMM-aa"),"")</f>
      </c>
      <c r="GB324" s="496" t="str">
        <f> IF(GB344&lt;&gt;"",TEXT(AUX!GF$1,"dd-MMM-aa"),"")</f>
      </c>
      <c r="GC324" s="496" t="str">
        <f> IF(GC344&lt;&gt;"",TEXT(AUX!GG$1,"dd-MMM-aa"),"")</f>
      </c>
      <c r="GD324" s="496" t="str">
        <f> IF(GD344&lt;&gt;"",TEXT(AUX!GH$1,"dd-MMM-aa"),"")</f>
      </c>
      <c r="GE324" s="496" t="str">
        <f> IF(GE344&lt;&gt;"",TEXT(AUX!GI$1,"dd-MMM-aa"),"")</f>
      </c>
      <c r="GF324" s="496" t="str">
        <f> IF(GF344&lt;&gt;"",TEXT(AUX!GJ$1,"dd-MMM-aa"),"")</f>
      </c>
      <c r="GG324" s="496" t="str">
        <f> IF(GG344&lt;&gt;"",TEXT(AUX!GK$1,"dd-MMM-aa"),"")</f>
      </c>
      <c r="GH324" s="496" t="str">
        <f> IF(GH344&lt;&gt;"",TEXT(AUX!GL$1,"dd-MMM-aa"),"")</f>
      </c>
      <c r="GI324" s="496" t="str">
        <f> IF(GI344&lt;&gt;"",TEXT(AUX!GM$1,"dd-MMM-aa"),"")</f>
      </c>
      <c r="GJ324" s="496" t="str">
        <f> IF(GJ344&lt;&gt;"",TEXT(AUX!GN$1,"dd-MMM-aa"),"")</f>
      </c>
      <c r="GK324" s="496" t="str">
        <f> IF(GK344&lt;&gt;"",TEXT(AUX!GO$1,"dd-MMM-aa"),"")</f>
      </c>
      <c r="GL324" s="496" t="str">
        <f> IF(GL344&lt;&gt;"",TEXT(AUX!GP$1,"dd-MMM-aa"),"")</f>
      </c>
      <c r="GM324" s="496" t="str">
        <f> IF(GM344&lt;&gt;"",TEXT(AUX!GQ$1,"dd-MMM-aa"),"")</f>
      </c>
      <c r="GN324" s="496" t="str">
        <f> IF(GN344&lt;&gt;"",TEXT(AUX!GR$1,"dd-MMM-aa"),"")</f>
      </c>
      <c r="GO324" s="496" t="str">
        <f> IF(GO344&lt;&gt;"",TEXT(AUX!GS$1,"dd-MMM-aa"),"")</f>
      </c>
      <c r="GP324" s="496" t="str">
        <f> IF(GP344&lt;&gt;"",TEXT(AUX!GT$1,"dd-MMM-aa"),"")</f>
      </c>
      <c r="GQ324" s="496" t="str">
        <f> IF(GQ344&lt;&gt;"",TEXT(AUX!GU$1,"dd-MMM-aa"),"")</f>
      </c>
      <c r="GR324" s="496" t="str">
        <f> IF(GR344&lt;&gt;"",TEXT(AUX!GV$1,"dd-MMM-aa"),"")</f>
      </c>
      <c r="GS324" s="496" t="str">
        <f> IF(GS344&lt;&gt;"",TEXT(AUX!GW$1,"dd-MMM-aa"),"")</f>
      </c>
      <c r="GT324" s="496" t="str">
        <f> IF(GT344&lt;&gt;"",TEXT(AUX!GX$1,"dd-MMM-aa"),"")</f>
      </c>
      <c r="GU324" s="496" t="str">
        <f> IF(GU344&lt;&gt;"",TEXT(AUX!GY$1,"dd-MMM-aa"),"")</f>
      </c>
      <c r="GV324" s="496" t="str">
        <f> IF(GV344&lt;&gt;"",TEXT(AUX!GZ$1,"dd-MMM-aa"),"")</f>
      </c>
      <c r="GW324" s="496" t="str">
        <f> IF(GW344&lt;&gt;"",TEXT(AUX!HA$1,"dd-MMM-aa"),"")</f>
      </c>
      <c r="GX324" s="496" t="str">
        <f> IF(GX344&lt;&gt;"",TEXT(AUX!HB$1,"dd-MMM-aa"),"")</f>
      </c>
      <c r="GY324" s="496" t="str">
        <f> IF(GY344&lt;&gt;"",TEXT(AUX!HC$1,"dd-MMM-aa"),"")</f>
      </c>
      <c r="GZ324" s="496" t="str">
        <f> IF(GZ344&lt;&gt;"",TEXT(AUX!HD$1,"dd-MMM-aa"),"")</f>
      </c>
      <c r="HA324" s="496" t="str">
        <f> IF(HA344&lt;&gt;"",TEXT(AUX!HE$1,"dd-MMM-aa"),"")</f>
      </c>
      <c r="HB324" s="496" t="str">
        <f> IF(HB344&lt;&gt;"",TEXT(AUX!HF$1,"dd-MMM-aa"),"")</f>
      </c>
      <c r="HC324" s="496" t="str">
        <f> IF(HC344&lt;&gt;"",TEXT(AUX!HG$1,"dd-MMM-aa"),"")</f>
      </c>
      <c r="HD324" s="496" t="str">
        <f> IF(HD344&lt;&gt;"",TEXT(AUX!HH$1,"dd-MMM-aa"),"")</f>
      </c>
      <c r="HE324" s="496" t="str">
        <f> IF(HE344&lt;&gt;"",TEXT(AUX!HI$1,"dd-MMM-aa"),"")</f>
      </c>
      <c r="HF324" s="496" t="str">
        <f> IF(HF344&lt;&gt;"",TEXT(AUX!HJ$1,"dd-MMM-aa"),"")</f>
      </c>
      <c r="HG324" s="496" t="str">
        <f> IF(HG344&lt;&gt;"",TEXT(AUX!HK$1,"dd-MMM-aa"),"")</f>
      </c>
      <c r="HH324" s="496" t="str">
        <f> IF(HH344&lt;&gt;"",TEXT(AUX!HL$1,"dd-MMM-aa"),"")</f>
      </c>
      <c r="HI324" s="496" t="str">
        <f> IF(HI344&lt;&gt;"",TEXT(AUX!HM$1,"dd-MMM-aa"),"")</f>
      </c>
      <c r="HJ324" s="496" t="str">
        <f> IF(HJ344&lt;&gt;"",TEXT(AUX!HN$1,"dd-MMM-aa"),"")</f>
      </c>
      <c r="HK324" s="496" t="str">
        <f> IF(HK344&lt;&gt;"",TEXT(AUX!HO$1,"dd-MMM-aa"),"")</f>
      </c>
      <c r="HL324" s="496" t="str">
        <f> IF(HL344&lt;&gt;"",TEXT(AUX!HP$1,"dd-MMM-aa"),"")</f>
      </c>
      <c r="HM324" s="496" t="str">
        <f> IF(HM344&lt;&gt;"",TEXT(AUX!HQ$1,"dd-MMM-aa"),"")</f>
      </c>
      <c r="HN324" s="496" t="str">
        <f> IF(HN344&lt;&gt;"",TEXT(AUX!HR$1,"dd-MMM-aa"),"")</f>
      </c>
      <c r="HO324" s="496" t="str">
        <f> IF(HO344&lt;&gt;"",TEXT(AUX!HS$1,"dd-MMM-aa"),"")</f>
      </c>
      <c r="HP324" s="496" t="str">
        <f> IF(HP344&lt;&gt;"",TEXT(AUX!HT$1,"dd-MMM-aa"),"")</f>
      </c>
      <c r="HQ324" s="496" t="str">
        <f> IF(HQ344&lt;&gt;"",TEXT(AUX!HU$1,"dd-MMM-aa"),"")</f>
      </c>
      <c r="HR324" s="496" t="str">
        <f> IF(HR344&lt;&gt;"",TEXT(AUX!HV$1,"dd-MMM-aa"),"")</f>
      </c>
      <c r="HS324" s="496" t="str">
        <f> IF(HS344&lt;&gt;"",TEXT(AUX!HW$1,"dd-MMM-aa"),"")</f>
      </c>
      <c r="HT324" s="496" t="str">
        <f> IF(HT344&lt;&gt;"",TEXT(AUX!HX$1,"dd-MMM-aa"),"")</f>
      </c>
      <c r="HU324" s="496" t="str">
        <f> IF(HU344&lt;&gt;"",TEXT(AUX!HY$1,"dd-MMM-aa"),"")</f>
      </c>
      <c r="HV324" s="496" t="str">
        <f> IF(HV344&lt;&gt;"",TEXT(AUX!HZ$1,"dd-MMM-aa"),"")</f>
      </c>
      <c r="HW324" s="496" t="str">
        <f> IF(HW344&lt;&gt;"",TEXT(AUX!IA$1,"dd-MMM-aa"),"")</f>
      </c>
      <c r="HX324" s="496" t="str">
        <f> IF(HX344&lt;&gt;"",TEXT(AUX!IB$1,"dd-MMM-aa"),"")</f>
      </c>
      <c r="HY324" s="496" t="str">
        <f> IF(HY344&lt;&gt;"",TEXT(AUX!IC$1,"dd-MMM-aa"),"")</f>
      </c>
      <c r="HZ324" s="496" t="str">
        <f> IF(HZ344&lt;&gt;"",TEXT(AUX!ID$1,"dd-MMM-aa"),"")</f>
      </c>
      <c r="IA324" s="496" t="str">
        <f> IF(IA344&lt;&gt;"",TEXT(AUX!IE$1,"dd-MMM-aa"),"")</f>
      </c>
      <c r="IB324" s="496" t="str">
        <f> IF(IB344&lt;&gt;"",TEXT(AUX!IF$1,"dd-MMM-aa"),"")</f>
      </c>
      <c r="IC324" s="496" t="str">
        <f> IF(IC344&lt;&gt;"",TEXT(AUX!IG$1,"dd-MMM-aa"),"")</f>
      </c>
      <c r="ID324" s="496" t="str">
        <f> IF(ID344&lt;&gt;"",TEXT(AUX!IH$1,"dd-MMM-aa"),"")</f>
      </c>
      <c r="IE324" s="496" t="str">
        <f> IF(IE344&lt;&gt;"",TEXT(AUX!II$1,"dd-MMM-aa"),"")</f>
      </c>
      <c r="IF324" s="496" t="str">
        <f> IF(IF344&lt;&gt;"",TEXT(AUX!IJ$1,"dd-MMM-aa"),"")</f>
      </c>
      <c r="IG324" s="496" t="str">
        <f> IF(IG344&lt;&gt;"",TEXT(AUX!IK$1,"dd-MMM-aa"),"")</f>
      </c>
      <c r="IH324" s="496" t="str">
        <f> IF(IH344&lt;&gt;"",TEXT(AUX!IL$1,"dd-MMM-aa"),"")</f>
      </c>
      <c r="II324" s="496" t="str">
        <f> IF(II344&lt;&gt;"",TEXT(AUX!IM$1,"dd-MMM-aa"),"")</f>
      </c>
      <c r="IJ324" s="496" t="str">
        <f> IF(IJ344&lt;&gt;"",TEXT(AUX!IN$1,"dd-MMM-aa"),"")</f>
      </c>
      <c r="IK324" s="496" t="str">
        <f> IF(IK344&lt;&gt;"",TEXT(AUX!IO$1,"dd-MMM-aa"),"")</f>
      </c>
      <c r="IL324" s="496" t="str">
        <f> IF(IL344&lt;&gt;"",TEXT(AUX!IP$1,"dd-MMM-aa"),"")</f>
      </c>
      <c r="IM324" s="496" t="str">
        <f> IF(IM344&lt;&gt;"",TEXT(AUX!IQ$1,"dd-MMM-aa"),"")</f>
      </c>
      <c r="IN324" s="496" t="str">
        <f> IF(IN344&lt;&gt;"",TEXT(AUX!IR$1,"dd-MMM-aa"),"")</f>
      </c>
      <c r="IO324" s="496" t="str">
        <f> IF(IO344&lt;&gt;"",TEXT(AUX!IS$1,"dd-MMM-aa"),"")</f>
      </c>
      <c r="IP324" s="496" t="str">
        <f> IF(IP344&lt;&gt;"",TEXT(AUX!IT$1,"dd-MMM-aa"),"")</f>
      </c>
      <c r="IQ324" s="496" t="str">
        <f> IF(IQ344&lt;&gt;"",TEXT(AUX!IU$1,"dd-MMM-aa"),"")</f>
      </c>
      <c r="IR324" s="496" t="str">
        <f> IF(IR344&lt;&gt;"",TEXT(AUX!IV$1,"dd-MMM-aa"),"")</f>
      </c>
      <c r="IS324" s="496" t="str">
        <f> IF(IS344&lt;&gt;"",TEXT(AUX!#REF!,"dd-MMM-aa"),"")</f>
      </c>
      <c r="IT324" s="496" t="str">
        <f> IF(IT344&lt;&gt;"",TEXT(AUX!#REF!,"dd-MMM-aa"),"")</f>
      </c>
      <c r="IU324" s="496" t="str">
        <f> IF(IU344&lt;&gt;"",TEXT(AUX!#REF!,"dd-MMM-aa"),"")</f>
      </c>
      <c r="IV324" s="496" t="str">
        <f> IF(IV344&lt;&gt;"",TEXT(AUX!#REF!,"dd-MMM-aa"),"")</f>
      </c>
    </row>
    <row r="325" hidden="1" ht="15.95" customHeight="1">
      <c r="B325" s="833" t="s">
        <v>8</v>
      </c>
      <c r="C325" s="827">
        <v>2469</v>
      </c>
      <c r="D325" s="827">
        <v>2549</v>
      </c>
      <c r="E325" s="827">
        <v>2669</v>
      </c>
      <c r="F325" s="827">
        <v>2760</v>
      </c>
      <c r="G325" s="827">
        <v>2758</v>
      </c>
      <c r="H325" s="827">
        <v>2806</v>
      </c>
      <c r="I325" s="827">
        <v>2829</v>
      </c>
      <c r="J325" s="827">
        <v>2876</v>
      </c>
      <c r="K325" s="827">
        <v>2862</v>
      </c>
      <c r="L325" s="827">
        <v>2908</v>
      </c>
      <c r="M325" s="827">
        <v>2916</v>
      </c>
      <c r="N325" s="827">
        <v>2963</v>
      </c>
      <c r="O325" s="827">
        <v>2954</v>
      </c>
      <c r="P325" s="827">
        <v>2970</v>
      </c>
      <c r="Q325" s="827">
        <v>2962</v>
      </c>
      <c r="R325" s="827">
        <v>2966</v>
      </c>
      <c r="S325" s="827">
        <v>2983</v>
      </c>
      <c r="T325" s="827">
        <v>348</v>
      </c>
      <c r="U325" s="827">
        <v>343</v>
      </c>
      <c r="V325" s="827">
        <v>341</v>
      </c>
      <c r="W325" s="827">
        <v>331</v>
      </c>
      <c r="X325" s="827">
        <v>255</v>
      </c>
      <c r="Y325" s="827">
        <v>306</v>
      </c>
      <c r="Z325" s="827">
        <v>305</v>
      </c>
      <c r="AA325" s="827">
        <v>299</v>
      </c>
      <c r="AB325" s="834">
        <v>300</v>
      </c>
      <c r="AC325" s="828">
        <v>293</v>
      </c>
      <c r="AD325" s="828">
        <v>291</v>
      </c>
      <c r="AE325" s="828">
        <v>289</v>
      </c>
      <c r="AF325" s="828">
        <v>286</v>
      </c>
      <c r="AG325" s="828">
        <v>281</v>
      </c>
      <c r="AH325" s="828">
        <v>276</v>
      </c>
      <c r="AI325" s="828">
        <v>261</v>
      </c>
      <c r="AJ325" s="828">
        <v>255</v>
      </c>
      <c r="AK325" s="828">
        <v>245</v>
      </c>
      <c r="AL325" s="828">
        <v>238</v>
      </c>
      <c r="AM325" s="828">
        <v>225</v>
      </c>
      <c r="AN325" s="828">
        <v>219</v>
      </c>
      <c r="AO325" s="828">
        <v>211</v>
      </c>
      <c r="AP325" s="828">
        <v>208</v>
      </c>
    </row>
    <row r="326" hidden="1" ht="15.95" customHeight="1">
      <c r="B326" s="829" t="s">
        <v>9</v>
      </c>
      <c r="C326" s="823">
        <v>245</v>
      </c>
      <c r="D326" s="823">
        <v>229</v>
      </c>
      <c r="E326" s="823">
        <v>225</v>
      </c>
      <c r="F326" s="823">
        <v>221</v>
      </c>
      <c r="G326" s="823">
        <v>223</v>
      </c>
      <c r="H326" s="823">
        <v>215</v>
      </c>
      <c r="I326" s="823">
        <v>200</v>
      </c>
      <c r="J326" s="823">
        <v>187</v>
      </c>
      <c r="K326" s="823">
        <v>185</v>
      </c>
      <c r="L326" s="823">
        <v>186</v>
      </c>
      <c r="M326" s="823">
        <v>181</v>
      </c>
      <c r="N326" s="823">
        <v>178</v>
      </c>
      <c r="O326" s="823">
        <v>163</v>
      </c>
      <c r="P326" s="823">
        <v>162</v>
      </c>
      <c r="Q326" s="823">
        <v>154</v>
      </c>
      <c r="R326" s="823">
        <v>147</v>
      </c>
      <c r="S326" s="823">
        <v>140</v>
      </c>
      <c r="T326" s="823">
        <v>139</v>
      </c>
      <c r="U326" s="823">
        <v>132</v>
      </c>
      <c r="V326" s="823">
        <v>122</v>
      </c>
      <c r="W326" s="823">
        <v>121</v>
      </c>
      <c r="X326" s="823">
        <v>118</v>
      </c>
      <c r="Y326" s="823">
        <v>113</v>
      </c>
      <c r="Z326" s="823">
        <v>113</v>
      </c>
      <c r="AA326" s="823">
        <v>112</v>
      </c>
      <c r="AB326" s="823">
        <v>108</v>
      </c>
      <c r="AC326" s="825">
        <v>106</v>
      </c>
      <c r="AD326" s="825">
        <v>102</v>
      </c>
      <c r="AE326" s="825">
        <v>103</v>
      </c>
      <c r="AF326" s="825">
        <v>100</v>
      </c>
      <c r="AG326" s="825">
        <v>96</v>
      </c>
      <c r="AH326" s="825">
        <v>93</v>
      </c>
      <c r="AI326" s="825">
        <v>91</v>
      </c>
      <c r="AJ326" s="825">
        <v>91</v>
      </c>
      <c r="AK326" s="825">
        <v>88</v>
      </c>
      <c r="AL326" s="825">
        <v>84</v>
      </c>
      <c r="AM326" s="825">
        <v>81</v>
      </c>
      <c r="AN326" s="825">
        <v>75</v>
      </c>
      <c r="AO326" s="825">
        <v>72</v>
      </c>
      <c r="AP326" s="825">
        <v>71</v>
      </c>
    </row>
    <row r="327" hidden="1" ht="15.95" customHeight="1">
      <c r="B327" s="826" t="s">
        <v>10</v>
      </c>
      <c r="C327" s="827">
        <v>405</v>
      </c>
      <c r="D327" s="827">
        <v>413</v>
      </c>
      <c r="E327" s="827">
        <v>414</v>
      </c>
      <c r="F327" s="827">
        <v>418</v>
      </c>
      <c r="G327" s="827">
        <v>404</v>
      </c>
      <c r="H327" s="827">
        <v>416</v>
      </c>
      <c r="I327" s="827">
        <v>420</v>
      </c>
      <c r="J327" s="827">
        <v>430</v>
      </c>
      <c r="K327" s="827">
        <v>402</v>
      </c>
      <c r="L327" s="827">
        <v>419</v>
      </c>
      <c r="M327" s="827">
        <v>376</v>
      </c>
      <c r="N327" s="827">
        <v>369</v>
      </c>
      <c r="O327" s="827">
        <v>389</v>
      </c>
      <c r="P327" s="827">
        <v>397</v>
      </c>
      <c r="Q327" s="827">
        <v>368</v>
      </c>
      <c r="R327" s="827">
        <v>354</v>
      </c>
      <c r="S327" s="827">
        <v>358</v>
      </c>
      <c r="T327" s="827">
        <v>354</v>
      </c>
      <c r="U327" s="827">
        <v>310</v>
      </c>
      <c r="V327" s="827">
        <v>271</v>
      </c>
      <c r="W327" s="827">
        <v>244</v>
      </c>
      <c r="X327" s="827">
        <v>238</v>
      </c>
      <c r="Y327" s="827">
        <v>234</v>
      </c>
      <c r="Z327" s="827">
        <v>202</v>
      </c>
      <c r="AA327" s="827">
        <v>202</v>
      </c>
      <c r="AB327" s="827">
        <v>183</v>
      </c>
      <c r="AC327" s="828">
        <v>184</v>
      </c>
      <c r="AD327" s="828">
        <v>188</v>
      </c>
      <c r="AE327" s="828">
        <v>194</v>
      </c>
      <c r="AF327" s="828">
        <v>195</v>
      </c>
      <c r="AG327" s="828">
        <v>191</v>
      </c>
      <c r="AH327" s="828">
        <v>193</v>
      </c>
      <c r="AI327" s="828">
        <v>190</v>
      </c>
      <c r="AJ327" s="828">
        <v>143</v>
      </c>
      <c r="AK327" s="828">
        <v>144</v>
      </c>
      <c r="AL327" s="828">
        <v>120</v>
      </c>
      <c r="AM327" s="828">
        <v>123</v>
      </c>
      <c r="AN327" s="828">
        <v>125</v>
      </c>
      <c r="AO327" s="828">
        <v>127</v>
      </c>
      <c r="AP327" s="828">
        <v>100</v>
      </c>
    </row>
    <row r="328" hidden="1" ht="15.95" customHeight="1">
      <c r="B328" s="829" t="s">
        <v>11</v>
      </c>
      <c r="C328" s="823">
        <v>38</v>
      </c>
      <c r="D328" s="823">
        <v>38</v>
      </c>
      <c r="E328" s="823">
        <v>30</v>
      </c>
      <c r="F328" s="823">
        <v>29</v>
      </c>
      <c r="G328" s="823">
        <v>26</v>
      </c>
      <c r="H328" s="823">
        <v>24</v>
      </c>
      <c r="I328" s="823">
        <v>20</v>
      </c>
      <c r="J328" s="823">
        <v>24</v>
      </c>
      <c r="K328" s="823">
        <v>27</v>
      </c>
      <c r="L328" s="823">
        <v>27</v>
      </c>
      <c r="M328" s="823">
        <v>26</v>
      </c>
      <c r="N328" s="823">
        <v>23</v>
      </c>
      <c r="O328" s="823">
        <v>23</v>
      </c>
      <c r="P328" s="823">
        <v>22</v>
      </c>
      <c r="Q328" s="823">
        <v>22</v>
      </c>
      <c r="R328" s="823">
        <v>24</v>
      </c>
      <c r="S328" s="823">
        <v>24</v>
      </c>
      <c r="T328" s="823">
        <v>25</v>
      </c>
      <c r="U328" s="823">
        <v>28</v>
      </c>
      <c r="V328" s="823">
        <v>28</v>
      </c>
      <c r="W328" s="823">
        <v>27</v>
      </c>
      <c r="X328" s="823">
        <v>31</v>
      </c>
      <c r="Y328" s="823">
        <v>31</v>
      </c>
      <c r="Z328" s="823">
        <v>35</v>
      </c>
      <c r="AA328" s="823">
        <v>35</v>
      </c>
      <c r="AB328" s="823">
        <v>34</v>
      </c>
      <c r="AC328" s="825">
        <v>30</v>
      </c>
      <c r="AD328" s="825">
        <v>30</v>
      </c>
      <c r="AE328" s="825">
        <v>30</v>
      </c>
      <c r="AF328" s="825">
        <v>30</v>
      </c>
      <c r="AG328" s="825">
        <v>30</v>
      </c>
      <c r="AH328" s="825">
        <v>30</v>
      </c>
      <c r="AI328" s="825">
        <v>32</v>
      </c>
      <c r="AJ328" s="825">
        <v>32</v>
      </c>
      <c r="AK328" s="825">
        <v>34</v>
      </c>
      <c r="AL328" s="825">
        <v>36</v>
      </c>
      <c r="AM328" s="825">
        <v>37</v>
      </c>
      <c r="AN328" s="825">
        <v>40</v>
      </c>
      <c r="AO328" s="825">
        <v>44</v>
      </c>
      <c r="AP328" s="825">
        <v>48</v>
      </c>
    </row>
    <row r="329" hidden="1" ht="15.95" customHeight="1">
      <c r="B329" s="826" t="s">
        <v>12</v>
      </c>
      <c r="C329" s="827">
        <v>137</v>
      </c>
      <c r="D329" s="827">
        <v>113</v>
      </c>
      <c r="E329" s="827">
        <v>120</v>
      </c>
      <c r="F329" s="827">
        <v>114</v>
      </c>
      <c r="G329" s="827">
        <v>97</v>
      </c>
      <c r="H329" s="827">
        <v>96</v>
      </c>
      <c r="I329" s="827">
        <v>97</v>
      </c>
      <c r="J329" s="827">
        <v>108</v>
      </c>
      <c r="K329" s="827">
        <v>107</v>
      </c>
      <c r="L329" s="827">
        <v>108</v>
      </c>
      <c r="M329" s="827">
        <v>91</v>
      </c>
      <c r="N329" s="827">
        <v>89</v>
      </c>
      <c r="O329" s="827">
        <v>84</v>
      </c>
      <c r="P329" s="827">
        <v>81</v>
      </c>
      <c r="Q329" s="827">
        <v>78</v>
      </c>
      <c r="R329" s="827">
        <v>74</v>
      </c>
      <c r="S329" s="827">
        <v>74</v>
      </c>
      <c r="T329" s="827">
        <v>73</v>
      </c>
      <c r="U329" s="827">
        <v>67</v>
      </c>
      <c r="V329" s="827">
        <v>64</v>
      </c>
      <c r="W329" s="827">
        <v>60</v>
      </c>
      <c r="X329" s="827">
        <v>55</v>
      </c>
      <c r="Y329" s="827">
        <v>51</v>
      </c>
      <c r="Z329" s="827">
        <v>47</v>
      </c>
      <c r="AA329" s="827">
        <v>44</v>
      </c>
      <c r="AB329" s="827">
        <v>48</v>
      </c>
      <c r="AC329" s="828">
        <v>46</v>
      </c>
      <c r="AD329" s="828">
        <v>44</v>
      </c>
      <c r="AE329" s="828">
        <v>43</v>
      </c>
      <c r="AF329" s="828">
        <v>44</v>
      </c>
      <c r="AG329" s="828">
        <v>41</v>
      </c>
      <c r="AH329" s="828">
        <v>40</v>
      </c>
      <c r="AI329" s="828">
        <v>41</v>
      </c>
      <c r="AJ329" s="828">
        <v>37</v>
      </c>
      <c r="AK329" s="828">
        <v>37</v>
      </c>
      <c r="AL329" s="828">
        <v>39</v>
      </c>
      <c r="AM329" s="828">
        <v>36</v>
      </c>
      <c r="AN329" s="828">
        <v>35</v>
      </c>
      <c r="AO329" s="828">
        <v>32</v>
      </c>
      <c r="AP329" s="828">
        <v>30</v>
      </c>
    </row>
    <row r="330" hidden="1" ht="15.95" customHeight="1">
      <c r="B330" s="829" t="s">
        <v>13</v>
      </c>
      <c r="C330" s="823">
        <v>18</v>
      </c>
      <c r="D330" s="823">
        <v>12</v>
      </c>
      <c r="E330" s="823">
        <v>13</v>
      </c>
      <c r="F330" s="823">
        <v>13</v>
      </c>
      <c r="G330" s="823">
        <v>23</v>
      </c>
      <c r="H330" s="823">
        <v>15</v>
      </c>
      <c r="I330" s="823">
        <v>15</v>
      </c>
      <c r="J330" s="823">
        <v>15</v>
      </c>
      <c r="K330" s="823">
        <v>18</v>
      </c>
      <c r="L330" s="823">
        <v>22</v>
      </c>
      <c r="M330" s="823">
        <v>27</v>
      </c>
      <c r="N330" s="823">
        <v>19</v>
      </c>
      <c r="O330" s="823">
        <v>15</v>
      </c>
      <c r="P330" s="823">
        <v>13</v>
      </c>
      <c r="Q330" s="823">
        <v>15</v>
      </c>
      <c r="R330" s="823">
        <v>16</v>
      </c>
      <c r="S330" s="823">
        <v>15</v>
      </c>
      <c r="T330" s="823">
        <v>16</v>
      </c>
      <c r="U330" s="823">
        <v>12</v>
      </c>
      <c r="V330" s="823">
        <v>12</v>
      </c>
      <c r="W330" s="823">
        <v>12</v>
      </c>
      <c r="X330" s="823">
        <v>13</v>
      </c>
      <c r="Y330" s="823">
        <v>18</v>
      </c>
      <c r="Z330" s="823">
        <v>16</v>
      </c>
      <c r="AA330" s="823">
        <v>15</v>
      </c>
      <c r="AB330" s="823">
        <v>13</v>
      </c>
      <c r="AC330" s="825">
        <v>13</v>
      </c>
      <c r="AD330" s="825">
        <v>11</v>
      </c>
      <c r="AE330" s="825">
        <v>12</v>
      </c>
      <c r="AF330" s="825">
        <v>12</v>
      </c>
      <c r="AG330" s="825">
        <v>12</v>
      </c>
      <c r="AH330" s="825">
        <v>11</v>
      </c>
      <c r="AI330" s="825">
        <v>11</v>
      </c>
      <c r="AJ330" s="825">
        <v>11</v>
      </c>
      <c r="AK330" s="825">
        <v>10</v>
      </c>
      <c r="AL330" s="825">
        <v>10</v>
      </c>
      <c r="AM330" s="825">
        <v>9</v>
      </c>
      <c r="AN330" s="825">
        <v>10</v>
      </c>
      <c r="AO330" s="825">
        <v>10</v>
      </c>
      <c r="AP330" s="825">
        <v>9</v>
      </c>
    </row>
    <row r="331" hidden="1" ht="15.95" customHeight="1">
      <c r="B331" s="826" t="s">
        <v>109</v>
      </c>
      <c r="C331" s="827">
        <v>344</v>
      </c>
      <c r="D331" s="827">
        <v>333</v>
      </c>
      <c r="E331" s="827">
        <v>329</v>
      </c>
      <c r="F331" s="827">
        <v>323</v>
      </c>
      <c r="G331" s="827">
        <v>315</v>
      </c>
      <c r="H331" s="827">
        <v>318</v>
      </c>
      <c r="I331" s="827">
        <v>311</v>
      </c>
      <c r="J331" s="827">
        <v>301</v>
      </c>
      <c r="K331" s="827">
        <v>294</v>
      </c>
      <c r="L331" s="827">
        <v>280</v>
      </c>
      <c r="M331" s="827">
        <v>279</v>
      </c>
      <c r="N331" s="827">
        <v>284</v>
      </c>
      <c r="O331" s="827">
        <v>270</v>
      </c>
      <c r="P331" s="827">
        <v>271</v>
      </c>
      <c r="Q331" s="827">
        <v>252</v>
      </c>
      <c r="R331" s="827">
        <v>251</v>
      </c>
      <c r="S331" s="827">
        <v>258</v>
      </c>
      <c r="T331" s="827">
        <v>264</v>
      </c>
      <c r="U331" s="827">
        <v>268</v>
      </c>
      <c r="V331" s="827">
        <v>262</v>
      </c>
      <c r="W331" s="827">
        <v>249</v>
      </c>
      <c r="X331" s="827">
        <v>242</v>
      </c>
      <c r="Y331" s="827">
        <v>241</v>
      </c>
      <c r="Z331" s="827">
        <v>240</v>
      </c>
      <c r="AA331" s="827">
        <v>233</v>
      </c>
      <c r="AB331" s="827">
        <v>228</v>
      </c>
      <c r="AC331" s="828">
        <v>226</v>
      </c>
      <c r="AD331" s="828">
        <v>223</v>
      </c>
      <c r="AE331" s="828">
        <v>216</v>
      </c>
      <c r="AF331" s="828">
        <v>216</v>
      </c>
      <c r="AG331" s="828">
        <v>203</v>
      </c>
      <c r="AH331" s="828">
        <v>198</v>
      </c>
      <c r="AI331" s="828">
        <v>193</v>
      </c>
      <c r="AJ331" s="828">
        <v>184</v>
      </c>
      <c r="AK331" s="828">
        <v>179</v>
      </c>
      <c r="AL331" s="828">
        <v>173</v>
      </c>
      <c r="AM331" s="828">
        <v>162</v>
      </c>
      <c r="AN331" s="828">
        <v>159</v>
      </c>
      <c r="AO331" s="828">
        <v>153</v>
      </c>
      <c r="AP331" s="828">
        <v>150</v>
      </c>
    </row>
    <row r="332" hidden="1" ht="15.95" customHeight="1">
      <c r="B332" s="829" t="s">
        <v>110</v>
      </c>
      <c r="C332" s="823">
        <v>4053</v>
      </c>
      <c r="D332" s="823">
        <v>4112</v>
      </c>
      <c r="E332" s="823">
        <v>4037</v>
      </c>
      <c r="F332" s="823">
        <v>4010</v>
      </c>
      <c r="G332" s="823">
        <v>3984</v>
      </c>
      <c r="H332" s="823">
        <v>3565</v>
      </c>
      <c r="I332" s="823">
        <v>2994</v>
      </c>
      <c r="J332" s="823">
        <v>2986</v>
      </c>
      <c r="K332" s="823">
        <v>3275</v>
      </c>
      <c r="L332" s="823">
        <v>3202</v>
      </c>
      <c r="M332" s="823">
        <v>3032</v>
      </c>
      <c r="N332" s="823">
        <v>2269</v>
      </c>
      <c r="O332" s="823">
        <v>2032</v>
      </c>
      <c r="P332" s="823">
        <v>1922</v>
      </c>
      <c r="Q332" s="823">
        <v>1856</v>
      </c>
      <c r="R332" s="823">
        <v>1786</v>
      </c>
      <c r="S332" s="823">
        <v>1757</v>
      </c>
      <c r="T332" s="823">
        <v>1694</v>
      </c>
      <c r="U332" s="823">
        <v>1642</v>
      </c>
      <c r="V332" s="823">
        <v>1608</v>
      </c>
      <c r="W332" s="823">
        <v>1493</v>
      </c>
      <c r="X332" s="823">
        <v>1474</v>
      </c>
      <c r="Y332" s="823">
        <v>1401</v>
      </c>
      <c r="Z332" s="823">
        <v>1368</v>
      </c>
      <c r="AA332" s="823">
        <v>1303</v>
      </c>
      <c r="AB332" s="823">
        <v>1275</v>
      </c>
      <c r="AC332" s="825">
        <v>1183</v>
      </c>
      <c r="AD332" s="825">
        <v>1152</v>
      </c>
      <c r="AE332" s="825">
        <v>1098</v>
      </c>
      <c r="AF332" s="825">
        <v>1057</v>
      </c>
      <c r="AG332" s="825">
        <v>1014</v>
      </c>
      <c r="AH332" s="825">
        <v>999</v>
      </c>
      <c r="AI332" s="825">
        <v>936</v>
      </c>
      <c r="AJ332" s="825">
        <v>906</v>
      </c>
      <c r="AK332" s="825">
        <v>883</v>
      </c>
      <c r="AL332" s="825">
        <v>843</v>
      </c>
      <c r="AM332" s="825">
        <v>776</v>
      </c>
      <c r="AN332" s="825">
        <v>755</v>
      </c>
      <c r="AO332" s="825">
        <v>725</v>
      </c>
      <c r="AP332" s="825">
        <v>715</v>
      </c>
    </row>
    <row r="333" hidden="1" ht="15.95" customHeight="1">
      <c r="B333" s="826" t="s">
        <v>16</v>
      </c>
      <c r="C333" s="827">
        <v>736</v>
      </c>
      <c r="D333" s="827">
        <v>722</v>
      </c>
      <c r="E333" s="827">
        <v>672</v>
      </c>
      <c r="F333" s="827">
        <v>653</v>
      </c>
      <c r="G333" s="827">
        <v>567</v>
      </c>
      <c r="H333" s="827">
        <v>550</v>
      </c>
      <c r="I333" s="827">
        <v>529</v>
      </c>
      <c r="J333" s="827">
        <v>516</v>
      </c>
      <c r="K333" s="827">
        <v>509</v>
      </c>
      <c r="L333" s="827">
        <v>514</v>
      </c>
      <c r="M333" s="827">
        <v>509</v>
      </c>
      <c r="N333" s="827">
        <v>500</v>
      </c>
      <c r="O333" s="827">
        <v>470</v>
      </c>
      <c r="P333" s="827">
        <v>461</v>
      </c>
      <c r="Q333" s="827">
        <v>434</v>
      </c>
      <c r="R333" s="827">
        <v>389</v>
      </c>
      <c r="S333" s="827">
        <v>376</v>
      </c>
      <c r="T333" s="827">
        <v>370</v>
      </c>
      <c r="U333" s="827">
        <v>361</v>
      </c>
      <c r="V333" s="827">
        <v>360</v>
      </c>
      <c r="W333" s="827">
        <v>352</v>
      </c>
      <c r="X333" s="827">
        <v>343</v>
      </c>
      <c r="Y333" s="827">
        <v>357</v>
      </c>
      <c r="Z333" s="827">
        <v>349</v>
      </c>
      <c r="AA333" s="827">
        <v>343</v>
      </c>
      <c r="AB333" s="827">
        <v>338</v>
      </c>
      <c r="AC333" s="828">
        <v>328</v>
      </c>
      <c r="AD333" s="828">
        <v>321</v>
      </c>
      <c r="AE333" s="828">
        <v>313</v>
      </c>
      <c r="AF333" s="828">
        <v>310</v>
      </c>
      <c r="AG333" s="828">
        <v>306</v>
      </c>
      <c r="AH333" s="828">
        <v>302</v>
      </c>
      <c r="AI333" s="828">
        <v>299</v>
      </c>
      <c r="AJ333" s="828">
        <v>293</v>
      </c>
      <c r="AK333" s="828">
        <v>285</v>
      </c>
      <c r="AL333" s="828">
        <v>280</v>
      </c>
      <c r="AM333" s="828">
        <v>267</v>
      </c>
      <c r="AN333" s="828">
        <v>264</v>
      </c>
      <c r="AO333" s="828">
        <v>260</v>
      </c>
      <c r="AP333" s="828">
        <v>257</v>
      </c>
    </row>
    <row r="334" hidden="1" ht="15.95" customHeight="1">
      <c r="B334" s="829" t="s">
        <v>17</v>
      </c>
      <c r="C334" s="823">
        <v>9313</v>
      </c>
      <c r="D334" s="823">
        <v>9429</v>
      </c>
      <c r="E334" s="823">
        <v>9543</v>
      </c>
      <c r="F334" s="823">
        <v>9812</v>
      </c>
      <c r="G334" s="823">
        <v>9772</v>
      </c>
      <c r="H334" s="823">
        <v>9792</v>
      </c>
      <c r="I334" s="823">
        <v>9719</v>
      </c>
      <c r="J334" s="823">
        <v>9526</v>
      </c>
      <c r="K334" s="823">
        <v>9339</v>
      </c>
      <c r="L334" s="823">
        <v>9243</v>
      </c>
      <c r="M334" s="823">
        <v>9157</v>
      </c>
      <c r="N334" s="823">
        <v>9043</v>
      </c>
      <c r="O334" s="823">
        <v>8730</v>
      </c>
      <c r="P334" s="823">
        <v>9038</v>
      </c>
      <c r="Q334" s="823">
        <v>8433</v>
      </c>
      <c r="R334" s="823">
        <v>8389</v>
      </c>
      <c r="S334" s="823">
        <v>8362</v>
      </c>
      <c r="T334" s="823">
        <v>8340</v>
      </c>
      <c r="U334" s="823">
        <v>8378</v>
      </c>
      <c r="V334" s="823">
        <v>8380</v>
      </c>
      <c r="W334" s="823">
        <v>8058</v>
      </c>
      <c r="X334" s="823">
        <v>7937</v>
      </c>
      <c r="Y334" s="823">
        <v>7914</v>
      </c>
      <c r="Z334" s="823">
        <v>7823</v>
      </c>
      <c r="AA334" s="823">
        <v>7683</v>
      </c>
      <c r="AB334" s="823">
        <v>7666</v>
      </c>
      <c r="AC334" s="825">
        <v>7661</v>
      </c>
      <c r="AD334" s="825">
        <v>7635</v>
      </c>
      <c r="AE334" s="825">
        <v>7619</v>
      </c>
      <c r="AF334" s="825">
        <v>7591</v>
      </c>
      <c r="AG334" s="825">
        <v>7549</v>
      </c>
      <c r="AH334" s="825">
        <v>7498</v>
      </c>
      <c r="AI334" s="825">
        <v>7433</v>
      </c>
      <c r="AJ334" s="825">
        <v>7531</v>
      </c>
      <c r="AK334" s="825">
        <v>7470</v>
      </c>
      <c r="AL334" s="825">
        <v>7415</v>
      </c>
      <c r="AM334" s="825">
        <v>7360</v>
      </c>
      <c r="AN334" s="825">
        <v>7279</v>
      </c>
      <c r="AO334" s="825">
        <v>7087</v>
      </c>
      <c r="AP334" s="825">
        <v>7029</v>
      </c>
    </row>
    <row r="335" hidden="1" ht="15.95" customHeight="1">
      <c r="B335" s="826" t="s">
        <v>18</v>
      </c>
      <c r="C335" s="827">
        <v>10364</v>
      </c>
      <c r="D335" s="827">
        <v>10552</v>
      </c>
      <c r="E335" s="827">
        <v>8464</v>
      </c>
      <c r="F335" s="827">
        <v>7412</v>
      </c>
      <c r="G335" s="827">
        <v>6870</v>
      </c>
      <c r="H335" s="827">
        <v>6620</v>
      </c>
      <c r="I335" s="827">
        <v>6532</v>
      </c>
      <c r="J335" s="827">
        <v>5567</v>
      </c>
      <c r="K335" s="827">
        <v>4576</v>
      </c>
      <c r="L335" s="827">
        <v>4232</v>
      </c>
      <c r="M335" s="827">
        <v>3473</v>
      </c>
      <c r="N335" s="827">
        <v>3401</v>
      </c>
      <c r="O335" s="827">
        <v>2674</v>
      </c>
      <c r="P335" s="827">
        <v>2502</v>
      </c>
      <c r="Q335" s="827">
        <v>2431</v>
      </c>
      <c r="R335" s="827">
        <v>2433</v>
      </c>
      <c r="S335" s="827">
        <v>2259</v>
      </c>
      <c r="T335" s="827">
        <v>2165</v>
      </c>
      <c r="U335" s="827">
        <v>2086</v>
      </c>
      <c r="V335" s="827">
        <v>2036</v>
      </c>
      <c r="W335" s="827">
        <v>1851</v>
      </c>
      <c r="X335" s="827">
        <v>1821</v>
      </c>
      <c r="Y335" s="827">
        <v>1668</v>
      </c>
      <c r="Z335" s="827">
        <v>1572</v>
      </c>
      <c r="AA335" s="827">
        <v>1483</v>
      </c>
      <c r="AB335" s="827">
        <v>1372</v>
      </c>
      <c r="AC335" s="828">
        <v>1296</v>
      </c>
      <c r="AD335" s="828">
        <v>1245</v>
      </c>
      <c r="AE335" s="828">
        <v>1223</v>
      </c>
      <c r="AF335" s="828">
        <v>1102</v>
      </c>
      <c r="AG335" s="828">
        <v>1060</v>
      </c>
      <c r="AH335" s="828">
        <v>1047</v>
      </c>
      <c r="AI335" s="828">
        <v>1009</v>
      </c>
      <c r="AJ335" s="828">
        <v>936</v>
      </c>
      <c r="AK335" s="828">
        <v>894</v>
      </c>
      <c r="AL335" s="828">
        <v>822</v>
      </c>
      <c r="AM335" s="828">
        <v>792</v>
      </c>
      <c r="AN335" s="828">
        <v>751</v>
      </c>
      <c r="AO335" s="828">
        <v>735</v>
      </c>
      <c r="AP335" s="828">
        <v>670</v>
      </c>
    </row>
    <row r="336" hidden="1" ht="15.95" customHeight="1">
      <c r="B336" s="829" t="s">
        <v>19</v>
      </c>
      <c r="C336" s="823">
        <v>10</v>
      </c>
      <c r="D336" s="823">
        <v>10</v>
      </c>
      <c r="E336" s="823">
        <v>10</v>
      </c>
      <c r="F336" s="823">
        <v>10</v>
      </c>
      <c r="G336" s="823">
        <v>10</v>
      </c>
      <c r="H336" s="823">
        <v>10</v>
      </c>
      <c r="I336" s="823">
        <v>5</v>
      </c>
      <c r="J336" s="823">
        <v>6</v>
      </c>
      <c r="K336" s="823">
        <v>7</v>
      </c>
      <c r="L336" s="823">
        <v>6</v>
      </c>
      <c r="M336" s="823">
        <v>6</v>
      </c>
      <c r="N336" s="823">
        <v>7</v>
      </c>
      <c r="O336" s="823">
        <v>6</v>
      </c>
      <c r="P336" s="823">
        <v>8</v>
      </c>
      <c r="Q336" s="823">
        <v>7</v>
      </c>
      <c r="R336" s="823">
        <v>9</v>
      </c>
      <c r="S336" s="823">
        <v>9</v>
      </c>
      <c r="T336" s="823">
        <v>9</v>
      </c>
      <c r="U336" s="823">
        <v>9</v>
      </c>
      <c r="V336" s="823">
        <v>11</v>
      </c>
      <c r="W336" s="823">
        <v>11</v>
      </c>
      <c r="X336" s="823">
        <v>11</v>
      </c>
      <c r="Y336" s="823">
        <v>11</v>
      </c>
      <c r="Z336" s="823">
        <v>12</v>
      </c>
      <c r="AA336" s="823">
        <v>8</v>
      </c>
      <c r="AB336" s="823">
        <v>8</v>
      </c>
      <c r="AC336" s="825">
        <v>9</v>
      </c>
      <c r="AD336" s="825">
        <v>9</v>
      </c>
      <c r="AE336" s="825">
        <v>10</v>
      </c>
      <c r="AF336" s="825">
        <v>9</v>
      </c>
      <c r="AG336" s="825">
        <v>10</v>
      </c>
      <c r="AH336" s="825">
        <v>11</v>
      </c>
      <c r="AI336" s="825">
        <v>11</v>
      </c>
      <c r="AJ336" s="825">
        <v>8</v>
      </c>
      <c r="AK336" s="825">
        <v>7</v>
      </c>
      <c r="AL336" s="825">
        <v>8</v>
      </c>
      <c r="AM336" s="825">
        <v>9</v>
      </c>
      <c r="AN336" s="825">
        <v>13</v>
      </c>
      <c r="AO336" s="825">
        <v>13</v>
      </c>
      <c r="AP336" s="825">
        <v>15</v>
      </c>
    </row>
    <row r="337" hidden="1" ht="15.95" customHeight="1">
      <c r="B337" s="826" t="s">
        <v>20</v>
      </c>
      <c r="C337" s="827">
        <v>306</v>
      </c>
      <c r="D337" s="827">
        <v>312</v>
      </c>
      <c r="E337" s="827">
        <v>318</v>
      </c>
      <c r="F337" s="827">
        <v>282</v>
      </c>
      <c r="G337" s="827">
        <v>286</v>
      </c>
      <c r="H337" s="827">
        <v>276</v>
      </c>
      <c r="I337" s="827">
        <v>272</v>
      </c>
      <c r="J337" s="827">
        <v>270</v>
      </c>
      <c r="K337" s="827">
        <v>269</v>
      </c>
      <c r="L337" s="827">
        <v>267</v>
      </c>
      <c r="M337" s="827">
        <v>267</v>
      </c>
      <c r="N337" s="827">
        <v>222</v>
      </c>
      <c r="O337" s="827">
        <v>223</v>
      </c>
      <c r="P337" s="827">
        <v>213</v>
      </c>
      <c r="Q337" s="827">
        <v>195</v>
      </c>
      <c r="R337" s="827">
        <v>189</v>
      </c>
      <c r="S337" s="827">
        <v>185</v>
      </c>
      <c r="T337" s="827">
        <v>184</v>
      </c>
      <c r="U337" s="827">
        <v>182</v>
      </c>
      <c r="V337" s="827">
        <v>175</v>
      </c>
      <c r="W337" s="827">
        <v>168</v>
      </c>
      <c r="X337" s="827">
        <v>160</v>
      </c>
      <c r="Y337" s="827">
        <v>154</v>
      </c>
      <c r="Z337" s="827">
        <v>148</v>
      </c>
      <c r="AA337" s="827">
        <v>147</v>
      </c>
      <c r="AB337" s="827">
        <v>133</v>
      </c>
      <c r="AC337" s="828">
        <v>131</v>
      </c>
      <c r="AD337" s="828">
        <v>127</v>
      </c>
      <c r="AE337" s="828">
        <v>126</v>
      </c>
      <c r="AF337" s="828">
        <v>123</v>
      </c>
      <c r="AG337" s="828">
        <v>108</v>
      </c>
      <c r="AH337" s="828">
        <v>105</v>
      </c>
      <c r="AI337" s="828">
        <v>103</v>
      </c>
      <c r="AJ337" s="828">
        <v>99</v>
      </c>
      <c r="AK337" s="828">
        <v>96</v>
      </c>
      <c r="AL337" s="828">
        <v>106</v>
      </c>
      <c r="AM337" s="828">
        <v>99</v>
      </c>
      <c r="AN337" s="828">
        <v>93</v>
      </c>
      <c r="AO337" s="828">
        <v>86</v>
      </c>
      <c r="AP337" s="828">
        <v>84</v>
      </c>
    </row>
    <row r="338" hidden="1" ht="15.95" customHeight="1">
      <c r="B338" s="829" t="s">
        <v>21</v>
      </c>
      <c r="C338" s="823">
        <v>33</v>
      </c>
      <c r="D338" s="823">
        <v>31</v>
      </c>
      <c r="E338" s="823">
        <v>26</v>
      </c>
      <c r="F338" s="823">
        <v>29</v>
      </c>
      <c r="G338" s="823">
        <v>25</v>
      </c>
      <c r="H338" s="823">
        <v>23</v>
      </c>
      <c r="I338" s="823">
        <v>19</v>
      </c>
      <c r="J338" s="823">
        <v>20</v>
      </c>
      <c r="K338" s="823">
        <v>17</v>
      </c>
      <c r="L338" s="823">
        <v>17</v>
      </c>
      <c r="M338" s="823">
        <v>13</v>
      </c>
      <c r="N338" s="823">
        <v>12</v>
      </c>
      <c r="O338" s="823">
        <v>12</v>
      </c>
      <c r="P338" s="823">
        <v>11</v>
      </c>
      <c r="Q338" s="823">
        <v>10</v>
      </c>
      <c r="R338" s="823">
        <v>10</v>
      </c>
      <c r="S338" s="823">
        <v>11</v>
      </c>
      <c r="T338" s="823">
        <v>9</v>
      </c>
      <c r="U338" s="823">
        <v>8</v>
      </c>
      <c r="V338" s="823">
        <v>8</v>
      </c>
      <c r="W338" s="823">
        <v>9</v>
      </c>
      <c r="X338" s="823">
        <v>8</v>
      </c>
      <c r="Y338" s="823">
        <v>8</v>
      </c>
      <c r="Z338" s="823">
        <v>7</v>
      </c>
      <c r="AA338" s="823">
        <v>7</v>
      </c>
      <c r="AB338" s="823">
        <v>6</v>
      </c>
      <c r="AC338" s="825">
        <v>5</v>
      </c>
      <c r="AD338" s="825">
        <v>5</v>
      </c>
      <c r="AE338" s="825">
        <v>5</v>
      </c>
      <c r="AF338" s="825">
        <v>5</v>
      </c>
      <c r="AG338" s="825">
        <v>5</v>
      </c>
      <c r="AH338" s="825">
        <v>5</v>
      </c>
      <c r="AI338" s="825">
        <v>4</v>
      </c>
      <c r="AJ338" s="825">
        <v>3</v>
      </c>
      <c r="AK338" s="825">
        <v>3</v>
      </c>
      <c r="AL338" s="825">
        <v>3</v>
      </c>
      <c r="AM338" s="825">
        <v>3</v>
      </c>
      <c r="AN338" s="825">
        <v>3</v>
      </c>
      <c r="AO338" s="825">
        <v>3</v>
      </c>
      <c r="AP338" s="825">
        <v>3</v>
      </c>
    </row>
    <row r="339" hidden="1" ht="15.95" customHeight="1">
      <c r="B339" s="826" t="s">
        <v>22</v>
      </c>
      <c r="C339" s="827">
        <v>28</v>
      </c>
      <c r="D339" s="827">
        <v>30</v>
      </c>
      <c r="E339" s="827">
        <v>32</v>
      </c>
      <c r="F339" s="827">
        <v>33</v>
      </c>
      <c r="G339" s="827">
        <v>35</v>
      </c>
      <c r="H339" s="827">
        <v>35</v>
      </c>
      <c r="I339" s="827">
        <v>35</v>
      </c>
      <c r="J339" s="827">
        <v>36</v>
      </c>
      <c r="K339" s="827">
        <v>37</v>
      </c>
      <c r="L339" s="827">
        <v>39</v>
      </c>
      <c r="M339" s="827">
        <v>40</v>
      </c>
      <c r="N339" s="827">
        <v>40</v>
      </c>
      <c r="O339" s="827">
        <v>15</v>
      </c>
      <c r="P339" s="827">
        <v>18</v>
      </c>
      <c r="Q339" s="827">
        <v>24</v>
      </c>
      <c r="R339" s="827">
        <v>27</v>
      </c>
      <c r="S339" s="827">
        <v>31</v>
      </c>
      <c r="T339" s="827">
        <v>32</v>
      </c>
      <c r="U339" s="827">
        <v>43</v>
      </c>
      <c r="V339" s="827">
        <v>45</v>
      </c>
      <c r="W339" s="827">
        <v>43</v>
      </c>
      <c r="X339" s="827">
        <v>44</v>
      </c>
      <c r="Y339" s="827">
        <v>51</v>
      </c>
      <c r="Z339" s="827">
        <v>54</v>
      </c>
      <c r="AA339" s="827">
        <v>61</v>
      </c>
      <c r="AB339" s="827">
        <v>64</v>
      </c>
      <c r="AC339" s="828">
        <v>61</v>
      </c>
      <c r="AD339" s="828">
        <v>62</v>
      </c>
      <c r="AE339" s="828">
        <v>57</v>
      </c>
      <c r="AF339" s="828">
        <v>60</v>
      </c>
      <c r="AG339" s="828">
        <v>56</v>
      </c>
      <c r="AH339" s="828">
        <v>58</v>
      </c>
      <c r="AI339" s="828">
        <v>47</v>
      </c>
      <c r="AJ339" s="828">
        <v>47</v>
      </c>
      <c r="AK339" s="828">
        <v>39</v>
      </c>
      <c r="AL339" s="828">
        <v>39</v>
      </c>
      <c r="AM339" s="828">
        <v>40</v>
      </c>
      <c r="AN339" s="828">
        <v>43</v>
      </c>
      <c r="AO339" s="828">
        <v>49</v>
      </c>
      <c r="AP339" s="828">
        <v>51</v>
      </c>
    </row>
    <row r="340" hidden="1" ht="15.95" customHeight="1">
      <c r="B340" s="829" t="s">
        <v>23</v>
      </c>
      <c r="C340" s="823">
        <v>15</v>
      </c>
      <c r="D340" s="823">
        <v>15</v>
      </c>
      <c r="E340" s="823">
        <v>16</v>
      </c>
      <c r="F340" s="823">
        <v>16</v>
      </c>
      <c r="G340" s="823">
        <v>16</v>
      </c>
      <c r="H340" s="823">
        <v>17</v>
      </c>
      <c r="I340" s="823">
        <v>13</v>
      </c>
      <c r="J340" s="823">
        <v>14</v>
      </c>
      <c r="K340" s="823">
        <v>15</v>
      </c>
      <c r="L340" s="823">
        <v>13</v>
      </c>
      <c r="M340" s="823">
        <v>14</v>
      </c>
      <c r="N340" s="823">
        <v>13</v>
      </c>
      <c r="O340" s="823">
        <v>12</v>
      </c>
      <c r="P340" s="823">
        <v>12</v>
      </c>
      <c r="Q340" s="823">
        <v>9</v>
      </c>
      <c r="R340" s="823">
        <v>9</v>
      </c>
      <c r="S340" s="823">
        <v>9</v>
      </c>
      <c r="T340" s="823">
        <v>9</v>
      </c>
      <c r="U340" s="823">
        <v>9</v>
      </c>
      <c r="V340" s="823">
        <v>9</v>
      </c>
      <c r="W340" s="823">
        <v>10</v>
      </c>
      <c r="X340" s="823">
        <v>10</v>
      </c>
      <c r="Y340" s="823">
        <v>10</v>
      </c>
      <c r="Z340" s="823">
        <v>10</v>
      </c>
      <c r="AA340" s="823">
        <v>10</v>
      </c>
      <c r="AB340" s="823">
        <v>10</v>
      </c>
      <c r="AC340" s="825">
        <v>11</v>
      </c>
      <c r="AD340" s="825">
        <v>10</v>
      </c>
      <c r="AE340" s="825">
        <v>9</v>
      </c>
      <c r="AF340" s="825">
        <v>9</v>
      </c>
      <c r="AG340" s="825">
        <v>9</v>
      </c>
      <c r="AH340" s="825">
        <v>9</v>
      </c>
      <c r="AI340" s="825">
        <v>9</v>
      </c>
      <c r="AJ340" s="825">
        <v>9</v>
      </c>
      <c r="AK340" s="825">
        <v>8</v>
      </c>
      <c r="AL340" s="825">
        <v>8</v>
      </c>
      <c r="AM340" s="825">
        <v>8</v>
      </c>
      <c r="AN340" s="825">
        <v>8</v>
      </c>
      <c r="AO340" s="825">
        <v>8</v>
      </c>
      <c r="AP340" s="825">
        <v>8</v>
      </c>
    </row>
    <row r="341" hidden="1" ht="15.95" customHeight="1">
      <c r="B341" s="835" t="s">
        <v>24</v>
      </c>
      <c r="C341" s="827">
        <v>125</v>
      </c>
      <c r="D341" s="827">
        <v>120</v>
      </c>
      <c r="E341" s="827">
        <v>98</v>
      </c>
      <c r="F341" s="827">
        <v>97</v>
      </c>
      <c r="G341" s="827">
        <v>98</v>
      </c>
      <c r="H341" s="827">
        <v>97</v>
      </c>
      <c r="I341" s="827">
        <v>96</v>
      </c>
      <c r="J341" s="827">
        <v>92</v>
      </c>
      <c r="K341" s="827">
        <v>85</v>
      </c>
      <c r="L341" s="827">
        <v>79</v>
      </c>
      <c r="M341" s="827">
        <v>78</v>
      </c>
      <c r="N341" s="827">
        <v>75</v>
      </c>
      <c r="O341" s="827">
        <v>73</v>
      </c>
      <c r="P341" s="827">
        <v>69</v>
      </c>
      <c r="Q341" s="827">
        <v>62</v>
      </c>
      <c r="R341" s="827">
        <v>62</v>
      </c>
      <c r="S341" s="827">
        <v>60</v>
      </c>
      <c r="T341" s="827">
        <v>61</v>
      </c>
      <c r="U341" s="827">
        <v>59</v>
      </c>
      <c r="V341" s="827">
        <v>58</v>
      </c>
      <c r="W341" s="827">
        <v>56</v>
      </c>
      <c r="X341" s="827">
        <v>54</v>
      </c>
      <c r="Y341" s="827">
        <v>53</v>
      </c>
      <c r="Z341" s="827">
        <v>52</v>
      </c>
      <c r="AA341" s="827">
        <v>50</v>
      </c>
      <c r="AB341" s="827">
        <v>50</v>
      </c>
      <c r="AC341" s="828">
        <v>48</v>
      </c>
      <c r="AD341" s="828">
        <v>48</v>
      </c>
      <c r="AE341" s="828">
        <v>47</v>
      </c>
      <c r="AF341" s="828">
        <v>46</v>
      </c>
      <c r="AG341" s="828">
        <v>46</v>
      </c>
      <c r="AH341" s="828">
        <v>44</v>
      </c>
      <c r="AI341" s="828">
        <v>42</v>
      </c>
      <c r="AJ341" s="828">
        <v>41</v>
      </c>
      <c r="AK341" s="828">
        <v>40</v>
      </c>
      <c r="AL341" s="828">
        <v>38</v>
      </c>
      <c r="AM341" s="828">
        <v>36</v>
      </c>
      <c r="AN341" s="828">
        <v>35</v>
      </c>
      <c r="AO341" s="828">
        <v>34</v>
      </c>
      <c r="AP341" s="828">
        <v>32</v>
      </c>
    </row>
    <row r="342" hidden="1" ht="15.95" customHeight="1">
      <c r="B342" s="829" t="s">
        <v>25</v>
      </c>
      <c r="C342" s="823">
        <v>0</v>
      </c>
      <c r="D342" s="823">
        <v>0</v>
      </c>
      <c r="E342" s="823">
        <v>0</v>
      </c>
      <c r="F342" s="823">
        <v>0</v>
      </c>
      <c r="G342" s="823">
        <v>0</v>
      </c>
      <c r="H342" s="823">
        <v>0</v>
      </c>
      <c r="I342" s="823">
        <v>0</v>
      </c>
      <c r="J342" s="823">
        <v>0</v>
      </c>
      <c r="K342" s="823">
        <v>0</v>
      </c>
      <c r="L342" s="823">
        <v>0</v>
      </c>
      <c r="M342" s="823">
        <v>0</v>
      </c>
      <c r="N342" s="823">
        <v>0</v>
      </c>
      <c r="O342" s="823">
        <v>0</v>
      </c>
      <c r="P342" s="823">
        <v>0</v>
      </c>
      <c r="Q342" s="823">
        <v>0</v>
      </c>
      <c r="R342" s="823">
        <v>0</v>
      </c>
      <c r="S342" s="823">
        <v>0</v>
      </c>
      <c r="T342" s="823">
        <v>0</v>
      </c>
      <c r="U342" s="823">
        <v>0</v>
      </c>
      <c r="V342" s="823">
        <v>0</v>
      </c>
      <c r="W342" s="823">
        <v>0</v>
      </c>
      <c r="X342" s="823">
        <v>0</v>
      </c>
      <c r="Y342" s="823">
        <v>0</v>
      </c>
      <c r="Z342" s="823">
        <v>0</v>
      </c>
      <c r="AA342" s="823">
        <v>0</v>
      </c>
      <c r="AB342" s="823">
        <v>0</v>
      </c>
      <c r="AC342" s="825">
        <v>0</v>
      </c>
      <c r="AD342" s="825">
        <v>0</v>
      </c>
      <c r="AE342" s="825">
        <v>0</v>
      </c>
      <c r="AF342" s="825">
        <v>0</v>
      </c>
      <c r="AG342" s="825">
        <v>0</v>
      </c>
      <c r="AH342" s="825">
        <v>0</v>
      </c>
      <c r="AI342" s="825">
        <v>0</v>
      </c>
      <c r="AJ342" s="825">
        <v>0</v>
      </c>
      <c r="AK342" s="825">
        <v>0</v>
      </c>
      <c r="AL342" s="825">
        <v>0</v>
      </c>
      <c r="AM342" s="825">
        <v>0</v>
      </c>
      <c r="AN342" s="825">
        <v>0</v>
      </c>
      <c r="AO342" s="825">
        <v>0</v>
      </c>
      <c r="AP342" s="825">
        <v>0</v>
      </c>
    </row>
    <row r="343" hidden="1" ht="15.95" customHeight="1">
      <c r="B343" s="836" t="s">
        <v>26</v>
      </c>
      <c r="C343" s="827">
        <v>0</v>
      </c>
      <c r="D343" s="827">
        <v>0</v>
      </c>
      <c r="E343" s="827">
        <v>0</v>
      </c>
      <c r="F343" s="827">
        <v>0</v>
      </c>
      <c r="G343" s="827">
        <v>0</v>
      </c>
      <c r="H343" s="827">
        <v>0</v>
      </c>
      <c r="I343" s="827">
        <v>0</v>
      </c>
      <c r="J343" s="827">
        <v>0</v>
      </c>
      <c r="K343" s="827">
        <v>0</v>
      </c>
      <c r="L343" s="827">
        <v>0</v>
      </c>
      <c r="M343" s="827">
        <v>0</v>
      </c>
      <c r="N343" s="827">
        <v>0</v>
      </c>
      <c r="O343" s="827">
        <v>0</v>
      </c>
      <c r="P343" s="827">
        <v>0</v>
      </c>
      <c r="Q343" s="827">
        <v>0</v>
      </c>
      <c r="R343" s="827">
        <v>0</v>
      </c>
      <c r="S343" s="827">
        <v>0</v>
      </c>
      <c r="T343" s="827">
        <v>0</v>
      </c>
      <c r="U343" s="827">
        <v>0</v>
      </c>
      <c r="V343" s="827">
        <v>0</v>
      </c>
      <c r="W343" s="827">
        <v>0</v>
      </c>
      <c r="X343" s="827">
        <v>0</v>
      </c>
      <c r="Y343" s="827">
        <v>0</v>
      </c>
      <c r="Z343" s="827">
        <v>0</v>
      </c>
      <c r="AA343" s="827">
        <v>0</v>
      </c>
      <c r="AB343" s="837">
        <v>0</v>
      </c>
      <c r="AC343" s="828">
        <v>0</v>
      </c>
      <c r="AD343" s="828">
        <v>0</v>
      </c>
      <c r="AE343" s="828">
        <v>0</v>
      </c>
      <c r="AF343" s="828">
        <v>0</v>
      </c>
      <c r="AG343" s="828">
        <v>0</v>
      </c>
      <c r="AH343" s="828">
        <v>0</v>
      </c>
      <c r="AI343" s="828">
        <v>0</v>
      </c>
      <c r="AJ343" s="828">
        <v>0</v>
      </c>
      <c r="AK343" s="828">
        <v>0</v>
      </c>
      <c r="AL343" s="828">
        <v>0</v>
      </c>
      <c r="AM343" s="828">
        <v>0</v>
      </c>
      <c r="AN343" s="828">
        <v>0</v>
      </c>
      <c r="AO343" s="828">
        <v>0</v>
      </c>
      <c r="AP343" s="828">
        <v>0</v>
      </c>
    </row>
    <row r="344" hidden="1" ht="15.95" customHeight="1">
      <c r="B344" s="128" t="s">
        <v>7</v>
      </c>
      <c r="C344" s="129" t="str">
        <f>IF(SUM(C325:C343)&lt;&gt;0,SUM(C325:C343),"")</f>
      </c>
      <c r="D344" s="129" t="str">
        <f ref="D344:AA344" t="shared" si="35">IF(SUM(D325:D343)&lt;&gt;0,SUM(D325:D343),"")</f>
      </c>
      <c r="E344" s="129" t="str">
        <f t="shared" si="35"/>
      </c>
      <c r="F344" s="129" t="str">
        <f t="shared" si="35"/>
      </c>
      <c r="G344" s="129" t="str">
        <f t="shared" si="35"/>
      </c>
      <c r="H344" s="129" t="str">
        <f t="shared" si="35"/>
      </c>
      <c r="I344" s="129" t="str">
        <f t="shared" si="35"/>
      </c>
      <c r="J344" s="129" t="str">
        <f t="shared" si="35"/>
      </c>
      <c r="K344" s="129" t="str">
        <f t="shared" si="35"/>
      </c>
      <c r="L344" s="129" t="str">
        <f t="shared" si="35"/>
      </c>
      <c r="M344" s="129" t="str">
        <f t="shared" si="35"/>
      </c>
      <c r="N344" s="129" t="str">
        <f t="shared" si="35"/>
      </c>
      <c r="O344" s="129" t="str">
        <f t="shared" si="35"/>
      </c>
      <c r="P344" s="129" t="str">
        <f t="shared" si="35"/>
      </c>
      <c r="Q344" s="129" t="str">
        <f t="shared" si="35"/>
      </c>
      <c r="R344" s="129" t="str">
        <f t="shared" si="35"/>
      </c>
      <c r="S344" s="129" t="str">
        <f t="shared" si="35"/>
      </c>
      <c r="T344" s="129" t="str">
        <f t="shared" si="35"/>
      </c>
      <c r="U344" s="129" t="str">
        <f t="shared" si="35"/>
      </c>
      <c r="V344" s="129" t="str">
        <f t="shared" si="35"/>
      </c>
      <c r="W344" s="129" t="str">
        <f t="shared" si="35"/>
      </c>
      <c r="X344" s="129" t="str">
        <f t="shared" si="35"/>
      </c>
      <c r="Y344" s="129" t="str">
        <f t="shared" si="35"/>
      </c>
      <c r="Z344" s="129" t="str">
        <f t="shared" si="35"/>
      </c>
      <c r="AA344" s="129" t="str">
        <f t="shared" si="35"/>
      </c>
      <c r="AB344" s="130" t="str">
        <f>IF(SUM(AB325:AB343)&lt;&gt;0,SUM(AB325:AB343),"")</f>
      </c>
      <c r="AC344" s="91" t="str">
        <f ref="AC344:CN344" t="shared" si="36">IF(SUM(AC325:AC343)&lt;&gt;0,SUM(AC325:AC343),"")</f>
      </c>
      <c r="AD344" s="91" t="str">
        <f t="shared" si="36"/>
      </c>
      <c r="AE344" s="91" t="str">
        <f t="shared" si="36"/>
      </c>
      <c r="AF344" s="91" t="str">
        <f t="shared" si="36"/>
      </c>
      <c r="AG344" s="91" t="str">
        <f t="shared" si="36"/>
      </c>
      <c r="AH344" s="91" t="str">
        <f t="shared" si="36"/>
      </c>
      <c r="AI344" s="91" t="str">
        <f t="shared" si="36"/>
      </c>
      <c r="AJ344" s="91" t="str">
        <f t="shared" si="36"/>
      </c>
      <c r="AK344" s="91" t="str">
        <f t="shared" si="36"/>
      </c>
      <c r="AL344" s="91" t="str">
        <f t="shared" si="36"/>
      </c>
      <c r="AM344" s="91" t="str">
        <f t="shared" si="36"/>
      </c>
      <c r="AN344" s="91" t="str">
        <f t="shared" si="36"/>
      </c>
      <c r="AO344" s="91" t="str">
        <f t="shared" si="36"/>
      </c>
      <c r="AP344" s="91" t="str">
        <f t="shared" si="36"/>
      </c>
      <c r="AQ344" s="91" t="str">
        <f t="shared" si="36"/>
      </c>
      <c r="AR344" s="91" t="str">
        <f t="shared" si="36"/>
      </c>
      <c r="AS344" s="91" t="str">
        <f t="shared" si="36"/>
      </c>
      <c r="AT344" s="91" t="str">
        <f t="shared" si="36"/>
      </c>
      <c r="AU344" s="91" t="str">
        <f t="shared" si="36"/>
      </c>
      <c r="AV344" s="91" t="str">
        <f t="shared" si="36"/>
      </c>
      <c r="AW344" s="91" t="str">
        <f t="shared" si="36"/>
      </c>
      <c r="AX344" s="91" t="str">
        <f t="shared" si="36"/>
      </c>
      <c r="AY344" s="91" t="str">
        <f t="shared" si="36"/>
      </c>
      <c r="AZ344" s="91" t="str">
        <f t="shared" si="36"/>
      </c>
      <c r="BA344" s="91" t="str">
        <f t="shared" si="36"/>
      </c>
      <c r="BB344" s="91" t="str">
        <f t="shared" si="36"/>
      </c>
      <c r="BC344" s="91" t="str">
        <f t="shared" si="36"/>
      </c>
      <c r="BD344" s="91" t="str">
        <f t="shared" si="36"/>
      </c>
      <c r="BE344" s="91" t="str">
        <f t="shared" si="36"/>
      </c>
      <c r="BF344" s="91" t="str">
        <f t="shared" si="36"/>
      </c>
      <c r="BG344" s="91" t="str">
        <f t="shared" si="36"/>
      </c>
      <c r="BH344" s="91" t="str">
        <f t="shared" si="36"/>
      </c>
      <c r="BI344" s="91" t="str">
        <f t="shared" si="36"/>
      </c>
      <c r="BJ344" s="91" t="str">
        <f t="shared" si="36"/>
      </c>
      <c r="BK344" s="91" t="str">
        <f t="shared" si="36"/>
      </c>
      <c r="BL344" s="91" t="str">
        <f t="shared" si="36"/>
      </c>
      <c r="BM344" s="91" t="str">
        <f t="shared" si="36"/>
      </c>
      <c r="BN344" s="91" t="str">
        <f t="shared" si="36"/>
      </c>
      <c r="BO344" s="91" t="str">
        <f t="shared" si="36"/>
      </c>
      <c r="BP344" s="91" t="str">
        <f t="shared" si="36"/>
      </c>
      <c r="BQ344" s="91" t="str">
        <f t="shared" si="36"/>
      </c>
      <c r="BR344" s="91" t="str">
        <f t="shared" si="36"/>
      </c>
      <c r="BS344" s="91" t="str">
        <f t="shared" si="36"/>
      </c>
      <c r="BT344" s="91" t="str">
        <f t="shared" si="36"/>
      </c>
      <c r="BU344" s="91" t="str">
        <f t="shared" si="36"/>
      </c>
      <c r="BV344" s="91" t="str">
        <f t="shared" si="36"/>
      </c>
      <c r="BW344" s="91" t="str">
        <f t="shared" si="36"/>
      </c>
      <c r="BX344" s="91" t="str">
        <f t="shared" si="36"/>
      </c>
      <c r="BY344" s="91" t="str">
        <f t="shared" si="36"/>
      </c>
      <c r="BZ344" s="91" t="str">
        <f t="shared" si="36"/>
      </c>
      <c r="CA344" s="91" t="str">
        <f t="shared" si="36"/>
      </c>
      <c r="CB344" s="91" t="str">
        <f t="shared" si="36"/>
      </c>
      <c r="CC344" s="91" t="str">
        <f t="shared" si="36"/>
      </c>
      <c r="CD344" s="91" t="str">
        <f t="shared" si="36"/>
      </c>
      <c r="CE344" s="91" t="str">
        <f t="shared" si="36"/>
      </c>
      <c r="CF344" s="91" t="str">
        <f t="shared" si="36"/>
      </c>
      <c r="CG344" s="91" t="str">
        <f t="shared" si="36"/>
      </c>
      <c r="CH344" s="91" t="str">
        <f t="shared" si="36"/>
      </c>
      <c r="CI344" s="91" t="str">
        <f t="shared" si="36"/>
      </c>
      <c r="CJ344" s="91" t="str">
        <f t="shared" si="36"/>
      </c>
      <c r="CK344" s="91" t="str">
        <f t="shared" si="36"/>
      </c>
      <c r="CL344" s="91" t="str">
        <f t="shared" si="36"/>
      </c>
      <c r="CM344" s="91" t="str">
        <f t="shared" si="36"/>
      </c>
      <c r="CN344" s="91" t="str">
        <f t="shared" si="36"/>
      </c>
      <c r="CO344" s="91" t="str">
        <f ref="CO344:EZ344" t="shared" si="37">IF(SUM(CO325:CO343)&lt;&gt;0,SUM(CO325:CO343),"")</f>
      </c>
      <c r="CP344" s="91" t="str">
        <f t="shared" si="37"/>
      </c>
      <c r="CQ344" s="91" t="str">
        <f t="shared" si="37"/>
      </c>
      <c r="CR344" s="91" t="str">
        <f t="shared" si="37"/>
      </c>
      <c r="CS344" s="91" t="str">
        <f t="shared" si="37"/>
      </c>
      <c r="CT344" s="91" t="str">
        <f t="shared" si="37"/>
      </c>
      <c r="CU344" s="91" t="str">
        <f t="shared" si="37"/>
      </c>
      <c r="CV344" s="91" t="str">
        <f t="shared" si="37"/>
      </c>
      <c r="CW344" s="91" t="str">
        <f t="shared" si="37"/>
      </c>
      <c r="CX344" s="91" t="str">
        <f t="shared" si="37"/>
      </c>
      <c r="CY344" s="91" t="str">
        <f t="shared" si="37"/>
      </c>
      <c r="CZ344" s="91" t="str">
        <f t="shared" si="37"/>
      </c>
      <c r="DA344" s="91" t="str">
        <f t="shared" si="37"/>
      </c>
      <c r="DB344" s="91" t="str">
        <f t="shared" si="37"/>
      </c>
      <c r="DC344" s="91" t="str">
        <f t="shared" si="37"/>
      </c>
      <c r="DD344" s="91" t="str">
        <f t="shared" si="37"/>
      </c>
      <c r="DE344" s="91" t="str">
        <f t="shared" si="37"/>
      </c>
      <c r="DF344" s="91" t="str">
        <f t="shared" si="37"/>
      </c>
      <c r="DG344" s="91" t="str">
        <f t="shared" si="37"/>
      </c>
      <c r="DH344" s="91" t="str">
        <f t="shared" si="37"/>
      </c>
      <c r="DI344" s="91" t="str">
        <f t="shared" si="37"/>
      </c>
      <c r="DJ344" s="91" t="str">
        <f t="shared" si="37"/>
      </c>
      <c r="DK344" s="91" t="str">
        <f t="shared" si="37"/>
      </c>
      <c r="DL344" s="91" t="str">
        <f t="shared" si="37"/>
      </c>
      <c r="DM344" s="91" t="str">
        <f t="shared" si="37"/>
      </c>
      <c r="DN344" s="91" t="str">
        <f t="shared" si="37"/>
      </c>
      <c r="DO344" s="91" t="str">
        <f t="shared" si="37"/>
      </c>
      <c r="DP344" s="91" t="str">
        <f t="shared" si="37"/>
      </c>
      <c r="DQ344" s="91" t="str">
        <f t="shared" si="37"/>
      </c>
      <c r="DR344" s="91" t="str">
        <f t="shared" si="37"/>
      </c>
      <c r="DS344" s="91" t="str">
        <f t="shared" si="37"/>
      </c>
      <c r="DT344" s="91" t="str">
        <f t="shared" si="37"/>
      </c>
      <c r="DU344" s="91" t="str">
        <f t="shared" si="37"/>
      </c>
      <c r="DV344" s="91" t="str">
        <f t="shared" si="37"/>
      </c>
      <c r="DW344" s="91" t="str">
        <f t="shared" si="37"/>
      </c>
      <c r="DX344" s="91" t="str">
        <f t="shared" si="37"/>
      </c>
      <c r="DY344" s="91" t="str">
        <f t="shared" si="37"/>
      </c>
      <c r="DZ344" s="91" t="str">
        <f t="shared" si="37"/>
      </c>
      <c r="EA344" s="91" t="str">
        <f t="shared" si="37"/>
      </c>
      <c r="EB344" s="91" t="str">
        <f t="shared" si="37"/>
      </c>
      <c r="EC344" s="91" t="str">
        <f t="shared" si="37"/>
      </c>
      <c r="ED344" s="91" t="str">
        <f t="shared" si="37"/>
      </c>
      <c r="EE344" s="91" t="str">
        <f t="shared" si="37"/>
      </c>
      <c r="EF344" s="91" t="str">
        <f t="shared" si="37"/>
      </c>
      <c r="EG344" s="91" t="str">
        <f t="shared" si="37"/>
      </c>
      <c r="EH344" s="91" t="str">
        <f t="shared" si="37"/>
      </c>
      <c r="EI344" s="91" t="str">
        <f t="shared" si="37"/>
      </c>
      <c r="EJ344" s="91" t="str">
        <f t="shared" si="37"/>
      </c>
      <c r="EK344" s="91" t="str">
        <f t="shared" si="37"/>
      </c>
      <c r="EL344" s="91" t="str">
        <f t="shared" si="37"/>
      </c>
      <c r="EM344" s="91" t="str">
        <f t="shared" si="37"/>
      </c>
      <c r="EN344" s="91" t="str">
        <f t="shared" si="37"/>
      </c>
      <c r="EO344" s="91" t="str">
        <f t="shared" si="37"/>
      </c>
      <c r="EP344" s="91" t="str">
        <f t="shared" si="37"/>
      </c>
      <c r="EQ344" s="91" t="str">
        <f t="shared" si="37"/>
      </c>
      <c r="ER344" s="91" t="str">
        <f t="shared" si="37"/>
      </c>
      <c r="ES344" s="91" t="str">
        <f t="shared" si="37"/>
      </c>
      <c r="ET344" s="91" t="str">
        <f t="shared" si="37"/>
      </c>
      <c r="EU344" s="91" t="str">
        <f t="shared" si="37"/>
      </c>
      <c r="EV344" s="91" t="str">
        <f t="shared" si="37"/>
      </c>
      <c r="EW344" s="91" t="str">
        <f t="shared" si="37"/>
      </c>
      <c r="EX344" s="91" t="str">
        <f t="shared" si="37"/>
      </c>
      <c r="EY344" s="91" t="str">
        <f t="shared" si="37"/>
      </c>
      <c r="EZ344" s="91" t="str">
        <f t="shared" si="37"/>
      </c>
      <c r="FA344" s="91" t="str">
        <f ref="FA344:HL344" t="shared" si="38">IF(SUM(FA325:FA343)&lt;&gt;0,SUM(FA325:FA343),"")</f>
      </c>
      <c r="FB344" s="91" t="str">
        <f t="shared" si="38"/>
      </c>
      <c r="FC344" s="91" t="str">
        <f t="shared" si="38"/>
      </c>
      <c r="FD344" s="91" t="str">
        <f t="shared" si="38"/>
      </c>
      <c r="FE344" s="91" t="str">
        <f t="shared" si="38"/>
      </c>
      <c r="FF344" s="91" t="str">
        <f t="shared" si="38"/>
      </c>
      <c r="FG344" s="91" t="str">
        <f t="shared" si="38"/>
      </c>
      <c r="FH344" s="91" t="str">
        <f t="shared" si="38"/>
      </c>
      <c r="FI344" s="91" t="str">
        <f t="shared" si="38"/>
      </c>
      <c r="FJ344" s="91" t="str">
        <f t="shared" si="38"/>
      </c>
      <c r="FK344" s="91" t="str">
        <f t="shared" si="38"/>
      </c>
      <c r="FL344" s="91" t="str">
        <f t="shared" si="38"/>
      </c>
      <c r="FM344" s="91" t="str">
        <f t="shared" si="38"/>
      </c>
      <c r="FN344" s="91" t="str">
        <f t="shared" si="38"/>
      </c>
      <c r="FO344" s="91" t="str">
        <f t="shared" si="38"/>
      </c>
      <c r="FP344" s="91" t="str">
        <f t="shared" si="38"/>
      </c>
      <c r="FQ344" s="91" t="str">
        <f t="shared" si="38"/>
      </c>
      <c r="FR344" s="91" t="str">
        <f t="shared" si="38"/>
      </c>
      <c r="FS344" s="91" t="str">
        <f t="shared" si="38"/>
      </c>
      <c r="FT344" s="91" t="str">
        <f t="shared" si="38"/>
      </c>
      <c r="FU344" s="91" t="str">
        <f t="shared" si="38"/>
      </c>
      <c r="FV344" s="91" t="str">
        <f t="shared" si="38"/>
      </c>
      <c r="FW344" s="91" t="str">
        <f t="shared" si="38"/>
      </c>
      <c r="FX344" s="91" t="str">
        <f t="shared" si="38"/>
      </c>
      <c r="FY344" s="91" t="str">
        <f t="shared" si="38"/>
      </c>
      <c r="FZ344" s="91" t="str">
        <f t="shared" si="38"/>
      </c>
      <c r="GA344" s="91" t="str">
        <f t="shared" si="38"/>
      </c>
      <c r="GB344" s="91" t="str">
        <f t="shared" si="38"/>
      </c>
      <c r="GC344" s="91" t="str">
        <f t="shared" si="38"/>
      </c>
      <c r="GD344" s="91" t="str">
        <f t="shared" si="38"/>
      </c>
      <c r="GE344" s="91" t="str">
        <f t="shared" si="38"/>
      </c>
      <c r="GF344" s="91" t="str">
        <f t="shared" si="38"/>
      </c>
      <c r="GG344" s="91" t="str">
        <f t="shared" si="38"/>
      </c>
      <c r="GH344" s="91" t="str">
        <f t="shared" si="38"/>
      </c>
      <c r="GI344" s="91" t="str">
        <f t="shared" si="38"/>
      </c>
      <c r="GJ344" s="91" t="str">
        <f t="shared" si="38"/>
      </c>
      <c r="GK344" s="91" t="str">
        <f t="shared" si="38"/>
      </c>
      <c r="GL344" s="91" t="str">
        <f t="shared" si="38"/>
      </c>
      <c r="GM344" s="91" t="str">
        <f t="shared" si="38"/>
      </c>
      <c r="GN344" s="91" t="str">
        <f t="shared" si="38"/>
      </c>
      <c r="GO344" s="91" t="str">
        <f t="shared" si="38"/>
      </c>
      <c r="GP344" s="91" t="str">
        <f t="shared" si="38"/>
      </c>
      <c r="GQ344" s="91" t="str">
        <f t="shared" si="38"/>
      </c>
      <c r="GR344" s="91" t="str">
        <f t="shared" si="38"/>
      </c>
      <c r="GS344" s="91" t="str">
        <f t="shared" si="38"/>
      </c>
      <c r="GT344" s="91" t="str">
        <f t="shared" si="38"/>
      </c>
      <c r="GU344" s="91" t="str">
        <f t="shared" si="38"/>
      </c>
      <c r="GV344" s="91" t="str">
        <f t="shared" si="38"/>
      </c>
      <c r="GW344" s="91" t="str">
        <f t="shared" si="38"/>
      </c>
      <c r="GX344" s="91" t="str">
        <f t="shared" si="38"/>
      </c>
      <c r="GY344" s="91" t="str">
        <f t="shared" si="38"/>
      </c>
      <c r="GZ344" s="91" t="str">
        <f t="shared" si="38"/>
      </c>
      <c r="HA344" s="91" t="str">
        <f t="shared" si="38"/>
      </c>
      <c r="HB344" s="91" t="str">
        <f t="shared" si="38"/>
      </c>
      <c r="HC344" s="91" t="str">
        <f t="shared" si="38"/>
      </c>
      <c r="HD344" s="91" t="str">
        <f t="shared" si="38"/>
      </c>
      <c r="HE344" s="91" t="str">
        <f t="shared" si="38"/>
      </c>
      <c r="HF344" s="91" t="str">
        <f t="shared" si="38"/>
      </c>
      <c r="HG344" s="91" t="str">
        <f t="shared" si="38"/>
      </c>
      <c r="HH344" s="91" t="str">
        <f t="shared" si="38"/>
      </c>
      <c r="HI344" s="91" t="str">
        <f t="shared" si="38"/>
      </c>
      <c r="HJ344" s="91" t="str">
        <f t="shared" si="38"/>
      </c>
      <c r="HK344" s="91" t="str">
        <f t="shared" si="38"/>
      </c>
      <c r="HL344" s="91" t="str">
        <f t="shared" si="38"/>
      </c>
      <c r="HM344" s="91" t="str">
        <f ref="HM344:IV344" t="shared" si="39">IF(SUM(HM325:HM343)&lt;&gt;0,SUM(HM325:HM343),"")</f>
      </c>
      <c r="HN344" s="91" t="str">
        <f t="shared" si="39"/>
      </c>
      <c r="HO344" s="91" t="str">
        <f t="shared" si="39"/>
      </c>
      <c r="HP344" s="91" t="str">
        <f t="shared" si="39"/>
      </c>
      <c r="HQ344" s="91" t="str">
        <f t="shared" si="39"/>
      </c>
      <c r="HR344" s="91" t="str">
        <f t="shared" si="39"/>
      </c>
      <c r="HS344" s="91" t="str">
        <f t="shared" si="39"/>
      </c>
      <c r="HT344" s="91" t="str">
        <f t="shared" si="39"/>
      </c>
      <c r="HU344" s="91" t="str">
        <f t="shared" si="39"/>
      </c>
      <c r="HV344" s="91" t="str">
        <f t="shared" si="39"/>
      </c>
      <c r="HW344" s="91" t="str">
        <f t="shared" si="39"/>
      </c>
      <c r="HX344" s="91" t="str">
        <f t="shared" si="39"/>
      </c>
      <c r="HY344" s="91" t="str">
        <f t="shared" si="39"/>
      </c>
      <c r="HZ344" s="91" t="str">
        <f t="shared" si="39"/>
      </c>
      <c r="IA344" s="91" t="str">
        <f t="shared" si="39"/>
      </c>
      <c r="IB344" s="91" t="str">
        <f t="shared" si="39"/>
      </c>
      <c r="IC344" s="91" t="str">
        <f t="shared" si="39"/>
      </c>
      <c r="ID344" s="91" t="str">
        <f t="shared" si="39"/>
      </c>
      <c r="IE344" s="91" t="str">
        <f t="shared" si="39"/>
      </c>
      <c r="IF344" s="91" t="str">
        <f t="shared" si="39"/>
      </c>
      <c r="IG344" s="91" t="str">
        <f t="shared" si="39"/>
      </c>
      <c r="IH344" s="91" t="str">
        <f t="shared" si="39"/>
      </c>
      <c r="II344" s="91" t="str">
        <f t="shared" si="39"/>
      </c>
      <c r="IJ344" s="91" t="str">
        <f t="shared" si="39"/>
      </c>
      <c r="IK344" s="91" t="str">
        <f t="shared" si="39"/>
      </c>
      <c r="IL344" s="91" t="str">
        <f t="shared" si="39"/>
      </c>
      <c r="IM344" s="91" t="str">
        <f t="shared" si="39"/>
      </c>
      <c r="IN344" s="91" t="str">
        <f t="shared" si="39"/>
      </c>
      <c r="IO344" s="91" t="str">
        <f t="shared" si="39"/>
      </c>
      <c r="IP344" s="91" t="str">
        <f t="shared" si="39"/>
      </c>
      <c r="IQ344" s="91" t="str">
        <f t="shared" si="39"/>
      </c>
      <c r="IR344" s="91" t="str">
        <f t="shared" si="39"/>
      </c>
      <c r="IS344" s="91" t="str">
        <f t="shared" si="39"/>
      </c>
      <c r="IT344" s="91" t="str">
        <f t="shared" si="39"/>
      </c>
      <c r="IU344" s="91" t="str">
        <f t="shared" si="39"/>
      </c>
      <c r="IV344" s="91" t="str">
        <f t="shared" si="39"/>
      </c>
    </row>
    <row r="345" hidden="1" ht="15.95" customHeight="1">
      <c r="B345" s="274"/>
      <c r="C345" s="247"/>
      <c r="D345" s="247"/>
      <c r="E345" s="247"/>
      <c r="F345" s="247"/>
      <c r="G345" s="247"/>
      <c r="H345" s="247"/>
      <c r="I345" s="247"/>
      <c r="J345" s="247"/>
      <c r="K345" s="247"/>
      <c r="N345" s="275"/>
    </row>
    <row r="346" hidden="1" ht="15.95" customHeight="1">
      <c r="B346" s="274"/>
      <c r="C346" s="659" t="s">
        <v>201</v>
      </c>
      <c r="D346" s="660"/>
      <c r="E346" s="660"/>
      <c r="F346" s="660"/>
      <c r="G346" s="660"/>
      <c r="H346" s="660"/>
      <c r="I346" s="660"/>
      <c r="J346" s="660"/>
      <c r="K346" s="660"/>
      <c r="L346" s="660"/>
      <c r="M346" s="660"/>
      <c r="N346" s="660"/>
      <c r="O346" s="660"/>
      <c r="P346" s="660"/>
      <c r="Q346" s="660"/>
      <c r="R346" s="660"/>
      <c r="S346" s="660"/>
      <c r="T346" s="660"/>
      <c r="U346" s="660"/>
      <c r="V346" s="660"/>
      <c r="W346" s="660"/>
      <c r="X346" s="660"/>
      <c r="Y346" s="660"/>
      <c r="Z346" s="660"/>
      <c r="AA346" s="660"/>
      <c r="AB346" s="661"/>
    </row>
    <row r="347" hidden="1" ht="15.95" customHeight="1">
      <c r="C347" s="435" t="str">
        <f> IF(C367&lt;&gt;"",TEXT(AUX!G$1,"dd-MMM-aa"),"")</f>
      </c>
      <c r="D347" s="435" t="str">
        <f> IF(D367&lt;&gt;"",TEXT(AUX!H$1,"dd-MMM-aa"),"")</f>
      </c>
      <c r="E347" s="435" t="str">
        <f> IF(E367&lt;&gt;"",TEXT(AUX!I$1,"dd-MMM-aa"),"")</f>
      </c>
      <c r="F347" s="435" t="str">
        <f> IF(F367&lt;&gt;"",TEXT(AUX!J$1,"dd-MMM-aa"),"")</f>
      </c>
      <c r="G347" s="435" t="str">
        <f> IF(G367&lt;&gt;"",TEXT(AUX!K$1,"dd-MMM-aa"),"")</f>
      </c>
      <c r="H347" s="435" t="str">
        <f> IF(H367&lt;&gt;"",TEXT(AUX!L$1,"dd-MMM-aa"),"")</f>
      </c>
      <c r="I347" s="435" t="str">
        <f> IF(I367&lt;&gt;"",TEXT(AUX!M$1,"dd-MMM-aa"),"")</f>
      </c>
      <c r="J347" s="435" t="str">
        <f> IF(J367&lt;&gt;"",TEXT(AUX!N$1,"dd-MMM-aa"),"")</f>
      </c>
      <c r="K347" s="435" t="str">
        <f> IF(K367&lt;&gt;"",TEXT(AUX!O$1,"dd-MMM-aa"),"")</f>
      </c>
      <c r="L347" s="435" t="str">
        <f> IF(L367&lt;&gt;"",TEXT(AUX!P$1,"dd-MMM-aa"),"")</f>
      </c>
      <c r="M347" s="435" t="str">
        <f> IF(M367&lt;&gt;"",TEXT(AUX!Q$1,"dd-MMM-aa"),"")</f>
      </c>
      <c r="N347" s="435" t="str">
        <f> IF(N367&lt;&gt;"",TEXT(AUX!R$1,"dd-MMM-aa"),"")</f>
      </c>
      <c r="O347" s="435" t="str">
        <f> IF(O367&lt;&gt;"",TEXT(AUX!S$1,"dd-MMM-aa"),"")</f>
      </c>
      <c r="P347" s="435" t="str">
        <f> IF(P367&lt;&gt;"",TEXT(AUX!T$1,"dd-MMM-aa"),"")</f>
      </c>
      <c r="Q347" s="435" t="str">
        <f> IF(Q367&lt;&gt;"",TEXT(AUX!U$1,"dd-MMM-aa"),"")</f>
      </c>
      <c r="R347" s="435" t="str">
        <f> IF(R367&lt;&gt;"",TEXT(AUX!V$1,"dd-MMM-aa"),"")</f>
      </c>
      <c r="S347" s="435" t="str">
        <f> IF(S367&lt;&gt;"",TEXT(AUX!W$1,"dd-MMM-aa"),"")</f>
      </c>
      <c r="T347" s="435" t="str">
        <f> IF(T367&lt;&gt;"",TEXT(AUX!X$1,"dd-MMM-aa"),"")</f>
      </c>
      <c r="U347" s="435" t="str">
        <f> IF(U367&lt;&gt;"",TEXT(AUX!Y$1,"dd-MMM-aa"),"")</f>
      </c>
      <c r="V347" s="435" t="str">
        <f> IF(V367&lt;&gt;"",TEXT(AUX!Z$1,"dd-MMM-aa"),"")</f>
      </c>
      <c r="W347" s="435" t="str">
        <f> IF(W367&lt;&gt;"",TEXT(AUX!AA$1,"dd-MMM-aa"),"")</f>
      </c>
      <c r="X347" s="435" t="str">
        <f> IF(X367&lt;&gt;"",TEXT(AUX!AB$1,"dd-MMM-aa"),"")</f>
      </c>
      <c r="Y347" s="435" t="str">
        <f> IF(Y367&lt;&gt;"",TEXT(AUX!AC$1,"dd-MMM-aa"),"")</f>
      </c>
      <c r="Z347" s="435" t="str">
        <f> IF(Z367&lt;&gt;"",TEXT(AUX!AD$1,"dd-MMM-aa"),"")</f>
      </c>
      <c r="AA347" s="435" t="str">
        <f> IF(AA367&lt;&gt;"",TEXT(AUX!AE$1,"dd-MMM-aa"),"")</f>
      </c>
      <c r="AB347" s="497" t="str">
        <f> IF(AB367&lt;&gt;"",TEXT(AUX!AF$1,"dd-MMM-aa"),"")</f>
      </c>
      <c r="AC347" s="496" t="str">
        <f> IF(AC367&lt;&gt;"",TEXT(AUX!AG$1,"dd-MMM-aa"),"")</f>
      </c>
      <c r="AD347" s="496" t="str">
        <f> IF(AD367&lt;&gt;"",TEXT(AUX!AH$1,"dd-MMM-aa"),"")</f>
      </c>
      <c r="AE347" s="496" t="str">
        <f> IF(AE367&lt;&gt;"",TEXT(AUX!AI$1,"dd-MMM-aa"),"")</f>
      </c>
      <c r="AF347" s="496" t="str">
        <f> IF(AF367&lt;&gt;"",TEXT(AUX!AJ$1,"dd-MMM-aa"),"")</f>
      </c>
      <c r="AG347" s="496" t="str">
        <f> IF(AG367&lt;&gt;"",TEXT(AUX!AK$1,"dd-MMM-aa"),"")</f>
      </c>
      <c r="AH347" s="496" t="str">
        <f> IF(AH367&lt;&gt;"",TEXT(AUX!AL$1,"dd-MMM-aa"),"")</f>
      </c>
      <c r="AI347" s="496" t="str">
        <f> IF(AI367&lt;&gt;"",TEXT(AUX!AM$1,"dd-MMM-aa"),"")</f>
      </c>
      <c r="AJ347" s="496" t="str">
        <f> IF(AJ367&lt;&gt;"",TEXT(AUX!AN$1,"dd-MMM-aa"),"")</f>
      </c>
      <c r="AK347" s="496" t="str">
        <f> IF(AK367&lt;&gt;"",TEXT(AUX!AO$1,"dd-MMM-aa"),"")</f>
      </c>
      <c r="AL347" s="496" t="str">
        <f> IF(AL367&lt;&gt;"",TEXT(AUX!AP$1,"dd-MMM-aa"),"")</f>
      </c>
      <c r="AM347" s="496" t="str">
        <f> IF(AM367&lt;&gt;"",TEXT(AUX!AQ$1,"dd-MMM-aa"),"")</f>
      </c>
      <c r="AN347" s="496" t="str">
        <f> IF(AN367&lt;&gt;"",TEXT(AUX!AR$1,"dd-MMM-aa"),"")</f>
      </c>
      <c r="AO347" s="496" t="str">
        <f> IF(AO367&lt;&gt;"",TEXT(AUX!AS$1,"dd-MMM-aa"),"")</f>
      </c>
      <c r="AP347" s="496" t="str">
        <f> IF(AP367&lt;&gt;"",TEXT(AUX!AT$1,"dd-MMM-aa"),"")</f>
      </c>
      <c r="AQ347" s="496" t="str">
        <f> IF(AQ367&lt;&gt;"",TEXT(AUX!AU$1,"dd-MMM-aa"),"")</f>
      </c>
      <c r="AR347" s="496" t="str">
        <f> IF(AR367&lt;&gt;"",TEXT(AUX!AV$1,"dd-MMM-aa"),"")</f>
      </c>
      <c r="AS347" s="496" t="str">
        <f> IF(AS367&lt;&gt;"",TEXT(AUX!AW$1,"dd-MMM-aa"),"")</f>
      </c>
      <c r="AT347" s="496" t="str">
        <f> IF(AT367&lt;&gt;"",TEXT(AUX!AX$1,"dd-MMM-aa"),"")</f>
      </c>
      <c r="AU347" s="496" t="str">
        <f> IF(AU367&lt;&gt;"",TEXT(AUX!AY$1,"dd-MMM-aa"),"")</f>
      </c>
      <c r="AV347" s="496" t="str">
        <f> IF(AV367&lt;&gt;"",TEXT(AUX!AZ$1,"dd-MMM-aa"),"")</f>
      </c>
      <c r="AW347" s="496" t="str">
        <f> IF(AW367&lt;&gt;"",TEXT(AUX!BA$1,"dd-MMM-aa"),"")</f>
      </c>
      <c r="AX347" s="496" t="str">
        <f> IF(AX367&lt;&gt;"",TEXT(AUX!BB$1,"dd-MMM-aa"),"")</f>
      </c>
      <c r="AY347" s="496" t="str">
        <f> IF(AY367&lt;&gt;"",TEXT(AUX!BC$1,"dd-MMM-aa"),"")</f>
      </c>
      <c r="AZ347" s="496" t="str">
        <f> IF(AZ367&lt;&gt;"",TEXT(AUX!BD$1,"dd-MMM-aa"),"")</f>
      </c>
      <c r="BA347" s="496" t="str">
        <f> IF(BA367&lt;&gt;"",TEXT(AUX!BE$1,"dd-MMM-aa"),"")</f>
      </c>
      <c r="BB347" s="496" t="str">
        <f> IF(BB367&lt;&gt;"",TEXT(AUX!BF$1,"dd-MMM-aa"),"")</f>
      </c>
      <c r="BC347" s="496" t="str">
        <f> IF(BC367&lt;&gt;"",TEXT(AUX!BG$1,"dd-MMM-aa"),"")</f>
      </c>
      <c r="BD347" s="496" t="str">
        <f> IF(BD367&lt;&gt;"",TEXT(AUX!BH$1,"dd-MMM-aa"),"")</f>
      </c>
      <c r="BE347" s="496" t="str">
        <f> IF(BE367&lt;&gt;"",TEXT(AUX!BI$1,"dd-MMM-aa"),"")</f>
      </c>
      <c r="BF347" s="496" t="str">
        <f> IF(BF367&lt;&gt;"",TEXT(AUX!BJ$1,"dd-MMM-aa"),"")</f>
      </c>
      <c r="BG347" s="496" t="str">
        <f> IF(BG367&lt;&gt;"",TEXT(AUX!BK$1,"dd-MMM-aa"),"")</f>
      </c>
      <c r="BH347" s="496" t="str">
        <f> IF(BH367&lt;&gt;"",TEXT(AUX!BL$1,"dd-MMM-aa"),"")</f>
      </c>
      <c r="BI347" s="496" t="str">
        <f> IF(BI367&lt;&gt;"",TEXT(AUX!BM$1,"dd-MMM-aa"),"")</f>
      </c>
      <c r="BJ347" s="496" t="str">
        <f> IF(BJ367&lt;&gt;"",TEXT(AUX!BN$1,"dd-MMM-aa"),"")</f>
      </c>
      <c r="BK347" s="496" t="str">
        <f> IF(BK367&lt;&gt;"",TEXT(AUX!BO$1,"dd-MMM-aa"),"")</f>
      </c>
      <c r="BL347" s="496" t="str">
        <f> IF(BL367&lt;&gt;"",TEXT(AUX!BP$1,"dd-MMM-aa"),"")</f>
      </c>
      <c r="BM347" s="496" t="str">
        <f> IF(BM367&lt;&gt;"",TEXT(AUX!BQ$1,"dd-MMM-aa"),"")</f>
      </c>
      <c r="BN347" s="496" t="str">
        <f> IF(BN367&lt;&gt;"",TEXT(AUX!BR$1,"dd-MMM-aa"),"")</f>
      </c>
      <c r="BO347" s="496" t="str">
        <f> IF(BO367&lt;&gt;"",TEXT(AUX!BS$1,"dd-MMM-aa"),"")</f>
      </c>
      <c r="BP347" s="496" t="str">
        <f> IF(BP367&lt;&gt;"",TEXT(AUX!BT$1,"dd-MMM-aa"),"")</f>
      </c>
      <c r="BQ347" s="496" t="str">
        <f> IF(BQ367&lt;&gt;"",TEXT(AUX!BU$1,"dd-MMM-aa"),"")</f>
      </c>
      <c r="BR347" s="496" t="str">
        <f> IF(BR367&lt;&gt;"",TEXT(AUX!BV$1,"dd-MMM-aa"),"")</f>
      </c>
      <c r="BS347" s="496" t="str">
        <f> IF(BS367&lt;&gt;"",TEXT(AUX!BW$1,"dd-MMM-aa"),"")</f>
      </c>
      <c r="BT347" s="496" t="str">
        <f> IF(BT367&lt;&gt;"",TEXT(AUX!BX$1,"dd-MMM-aa"),"")</f>
      </c>
      <c r="BU347" s="496" t="str">
        <f> IF(BU367&lt;&gt;"",TEXT(AUX!BY$1,"dd-MMM-aa"),"")</f>
      </c>
      <c r="BV347" s="496" t="str">
        <f> IF(BV367&lt;&gt;"",TEXT(AUX!BZ$1,"dd-MMM-aa"),"")</f>
      </c>
      <c r="BW347" s="496" t="str">
        <f> IF(BW367&lt;&gt;"",TEXT(AUX!CA$1,"dd-MMM-aa"),"")</f>
      </c>
      <c r="BX347" s="496" t="str">
        <f> IF(BX367&lt;&gt;"",TEXT(AUX!CB$1,"dd-MMM-aa"),"")</f>
      </c>
      <c r="BY347" s="496" t="str">
        <f> IF(BY367&lt;&gt;"",TEXT(AUX!CC$1,"dd-MMM-aa"),"")</f>
      </c>
      <c r="BZ347" s="496" t="str">
        <f> IF(BZ367&lt;&gt;"",TEXT(AUX!CD$1,"dd-MMM-aa"),"")</f>
      </c>
      <c r="CA347" s="496" t="str">
        <f> IF(CA367&lt;&gt;"",TEXT(AUX!CE$1,"dd-MMM-aa"),"")</f>
      </c>
      <c r="CB347" s="496" t="str">
        <f> IF(CB367&lt;&gt;"",TEXT(AUX!CF$1,"dd-MMM-aa"),"")</f>
      </c>
      <c r="CC347" s="496" t="str">
        <f> IF(CC367&lt;&gt;"",TEXT(AUX!CG$1,"dd-MMM-aa"),"")</f>
      </c>
      <c r="CD347" s="496" t="str">
        <f> IF(CD367&lt;&gt;"",TEXT(AUX!CH$1,"dd-MMM-aa"),"")</f>
      </c>
      <c r="CE347" s="496" t="str">
        <f> IF(CE367&lt;&gt;"",TEXT(AUX!CI$1,"dd-MMM-aa"),"")</f>
      </c>
      <c r="CF347" s="496" t="str">
        <f> IF(CF367&lt;&gt;"",TEXT(AUX!CJ$1,"dd-MMM-aa"),"")</f>
      </c>
      <c r="CG347" s="496" t="str">
        <f> IF(CG367&lt;&gt;"",TEXT(AUX!CK$1,"dd-MMM-aa"),"")</f>
      </c>
      <c r="CH347" s="496" t="str">
        <f> IF(CH367&lt;&gt;"",TEXT(AUX!CL$1,"dd-MMM-aa"),"")</f>
      </c>
      <c r="CI347" s="496" t="str">
        <f> IF(CI367&lt;&gt;"",TEXT(AUX!CM$1,"dd-MMM-aa"),"")</f>
      </c>
      <c r="CJ347" s="496" t="str">
        <f> IF(CJ367&lt;&gt;"",TEXT(AUX!CN$1,"dd-MMM-aa"),"")</f>
      </c>
      <c r="CK347" s="496" t="str">
        <f> IF(CK367&lt;&gt;"",TEXT(AUX!CO$1,"dd-MMM-aa"),"")</f>
      </c>
      <c r="CL347" s="496" t="str">
        <f> IF(CL367&lt;&gt;"",TEXT(AUX!CP$1,"dd-MMM-aa"),"")</f>
      </c>
      <c r="CM347" s="496" t="str">
        <f> IF(CM367&lt;&gt;"",TEXT(AUX!CQ$1,"dd-MMM-aa"),"")</f>
      </c>
      <c r="CN347" s="496" t="str">
        <f> IF(CN367&lt;&gt;"",TEXT(AUX!CR$1,"dd-MMM-aa"),"")</f>
      </c>
      <c r="CO347" s="496" t="str">
        <f> IF(CO367&lt;&gt;"",TEXT(AUX!CS$1,"dd-MMM-aa"),"")</f>
      </c>
      <c r="CP347" s="496" t="str">
        <f> IF(CP367&lt;&gt;"",TEXT(AUX!CT$1,"dd-MMM-aa"),"")</f>
      </c>
      <c r="CQ347" s="496" t="str">
        <f> IF(CQ367&lt;&gt;"",TEXT(AUX!CU$1,"dd-MMM-aa"),"")</f>
      </c>
      <c r="CR347" s="496" t="str">
        <f> IF(CR367&lt;&gt;"",TEXT(AUX!CV$1,"dd-MMM-aa"),"")</f>
      </c>
      <c r="CS347" s="496" t="str">
        <f> IF(CS367&lt;&gt;"",TEXT(AUX!CW$1,"dd-MMM-aa"),"")</f>
      </c>
      <c r="CT347" s="496" t="str">
        <f> IF(CT367&lt;&gt;"",TEXT(AUX!CX$1,"dd-MMM-aa"),"")</f>
      </c>
      <c r="CU347" s="496" t="str">
        <f> IF(CU367&lt;&gt;"",TEXT(AUX!CY$1,"dd-MMM-aa"),"")</f>
      </c>
      <c r="CV347" s="496" t="str">
        <f> IF(CV367&lt;&gt;"",TEXT(AUX!CZ$1,"dd-MMM-aa"),"")</f>
      </c>
      <c r="CW347" s="496" t="str">
        <f> IF(CW367&lt;&gt;"",TEXT(AUX!DA$1,"dd-MMM-aa"),"")</f>
      </c>
      <c r="CX347" s="496" t="str">
        <f> IF(CX367&lt;&gt;"",TEXT(AUX!DB$1,"dd-MMM-aa"),"")</f>
      </c>
      <c r="CY347" s="496" t="str">
        <f> IF(CY367&lt;&gt;"",TEXT(AUX!DC$1,"dd-MMM-aa"),"")</f>
      </c>
      <c r="CZ347" s="496" t="str">
        <f> IF(CZ367&lt;&gt;"",TEXT(AUX!DD$1,"dd-MMM-aa"),"")</f>
      </c>
      <c r="DA347" s="496" t="str">
        <f> IF(DA367&lt;&gt;"",TEXT(AUX!DE$1,"dd-MMM-aa"),"")</f>
      </c>
      <c r="DB347" s="496" t="str">
        <f> IF(DB367&lt;&gt;"",TEXT(AUX!DF$1,"dd-MMM-aa"),"")</f>
      </c>
      <c r="DC347" s="496" t="str">
        <f> IF(DC367&lt;&gt;"",TEXT(AUX!DG$1,"dd-MMM-aa"),"")</f>
      </c>
      <c r="DD347" s="496" t="str">
        <f> IF(DD367&lt;&gt;"",TEXT(AUX!DH$1,"dd-MMM-aa"),"")</f>
      </c>
      <c r="DE347" s="496" t="str">
        <f> IF(DE367&lt;&gt;"",TEXT(AUX!DI$1,"dd-MMM-aa"),"")</f>
      </c>
      <c r="DF347" s="496" t="str">
        <f> IF(DF367&lt;&gt;"",TEXT(AUX!DJ$1,"dd-MMM-aa"),"")</f>
      </c>
      <c r="DG347" s="496" t="str">
        <f> IF(DG367&lt;&gt;"",TEXT(AUX!DK$1,"dd-MMM-aa"),"")</f>
      </c>
      <c r="DH347" s="496" t="str">
        <f> IF(DH367&lt;&gt;"",TEXT(AUX!DL$1,"dd-MMM-aa"),"")</f>
      </c>
      <c r="DI347" s="496" t="str">
        <f> IF(DI367&lt;&gt;"",TEXT(AUX!DM$1,"dd-MMM-aa"),"")</f>
      </c>
      <c r="DJ347" s="496" t="str">
        <f> IF(DJ367&lt;&gt;"",TEXT(AUX!DN$1,"dd-MMM-aa"),"")</f>
      </c>
      <c r="DK347" s="496" t="str">
        <f> IF(DK367&lt;&gt;"",TEXT(AUX!DO$1,"dd-MMM-aa"),"")</f>
      </c>
      <c r="DL347" s="496" t="str">
        <f> IF(DL367&lt;&gt;"",TEXT(AUX!DP$1,"dd-MMM-aa"),"")</f>
      </c>
      <c r="DM347" s="496" t="str">
        <f> IF(DM367&lt;&gt;"",TEXT(AUX!DQ$1,"dd-MMM-aa"),"")</f>
      </c>
      <c r="DN347" s="496" t="str">
        <f> IF(DN367&lt;&gt;"",TEXT(AUX!DR$1,"dd-MMM-aa"),"")</f>
      </c>
      <c r="DO347" s="496" t="str">
        <f> IF(DO367&lt;&gt;"",TEXT(AUX!DS$1,"dd-MMM-aa"),"")</f>
      </c>
      <c r="DP347" s="496" t="str">
        <f> IF(DP367&lt;&gt;"",TEXT(AUX!DT$1,"dd-MMM-aa"),"")</f>
      </c>
      <c r="DQ347" s="496" t="str">
        <f> IF(DQ367&lt;&gt;"",TEXT(AUX!DU$1,"dd-MMM-aa"),"")</f>
      </c>
      <c r="DR347" s="496" t="str">
        <f> IF(DR367&lt;&gt;"",TEXT(AUX!DV$1,"dd-MMM-aa"),"")</f>
      </c>
      <c r="DS347" s="496" t="str">
        <f> IF(DS367&lt;&gt;"",TEXT(AUX!DW$1,"dd-MMM-aa"),"")</f>
      </c>
      <c r="DT347" s="496" t="str">
        <f> IF(DT367&lt;&gt;"",TEXT(AUX!DX$1,"dd-MMM-aa"),"")</f>
      </c>
      <c r="DU347" s="496" t="str">
        <f> IF(DU367&lt;&gt;"",TEXT(AUX!DY$1,"dd-MMM-aa"),"")</f>
      </c>
      <c r="DV347" s="496" t="str">
        <f> IF(DV367&lt;&gt;"",TEXT(AUX!DZ$1,"dd-MMM-aa"),"")</f>
      </c>
      <c r="DW347" s="496" t="str">
        <f> IF(DW367&lt;&gt;"",TEXT(AUX!EA$1,"dd-MMM-aa"),"")</f>
      </c>
      <c r="DX347" s="496" t="str">
        <f> IF(DX367&lt;&gt;"",TEXT(AUX!EB$1,"dd-MMM-aa"),"")</f>
      </c>
      <c r="DY347" s="496" t="str">
        <f> IF(DY367&lt;&gt;"",TEXT(AUX!EC$1,"dd-MMM-aa"),"")</f>
      </c>
      <c r="DZ347" s="496" t="str">
        <f> IF(DZ367&lt;&gt;"",TEXT(AUX!ED$1,"dd-MMM-aa"),"")</f>
      </c>
      <c r="EA347" s="496" t="str">
        <f> IF(EA367&lt;&gt;"",TEXT(AUX!EE$1,"dd-MMM-aa"),"")</f>
      </c>
      <c r="EB347" s="496" t="str">
        <f> IF(EB367&lt;&gt;"",TEXT(AUX!EF$1,"dd-MMM-aa"),"")</f>
      </c>
      <c r="EC347" s="496" t="str">
        <f> IF(EC367&lt;&gt;"",TEXT(AUX!EG$1,"dd-MMM-aa"),"")</f>
      </c>
      <c r="ED347" s="496" t="str">
        <f> IF(ED367&lt;&gt;"",TEXT(AUX!EH$1,"dd-MMM-aa"),"")</f>
      </c>
      <c r="EE347" s="496" t="str">
        <f> IF(EE367&lt;&gt;"",TEXT(AUX!EI$1,"dd-MMM-aa"),"")</f>
      </c>
      <c r="EF347" s="496" t="str">
        <f> IF(EF367&lt;&gt;"",TEXT(AUX!EJ$1,"dd-MMM-aa"),"")</f>
      </c>
      <c r="EG347" s="496" t="str">
        <f> IF(EG367&lt;&gt;"",TEXT(AUX!EK$1,"dd-MMM-aa"),"")</f>
      </c>
      <c r="EH347" s="496" t="str">
        <f> IF(EH367&lt;&gt;"",TEXT(AUX!EL$1,"dd-MMM-aa"),"")</f>
      </c>
      <c r="EI347" s="496" t="str">
        <f> IF(EI367&lt;&gt;"",TEXT(AUX!EM$1,"dd-MMM-aa"),"")</f>
      </c>
      <c r="EJ347" s="496" t="str">
        <f> IF(EJ367&lt;&gt;"",TEXT(AUX!EN$1,"dd-MMM-aa"),"")</f>
      </c>
      <c r="EK347" s="496" t="str">
        <f> IF(EK367&lt;&gt;"",TEXT(AUX!EO$1,"dd-MMM-aa"),"")</f>
      </c>
      <c r="EL347" s="496" t="str">
        <f> IF(EL367&lt;&gt;"",TEXT(AUX!EP$1,"dd-MMM-aa"),"")</f>
      </c>
      <c r="EM347" s="496" t="str">
        <f> IF(EM367&lt;&gt;"",TEXT(AUX!EQ$1,"dd-MMM-aa"),"")</f>
      </c>
      <c r="EN347" s="496" t="str">
        <f> IF(EN367&lt;&gt;"",TEXT(AUX!ER$1,"dd-MMM-aa"),"")</f>
      </c>
      <c r="EO347" s="496" t="str">
        <f> IF(EO367&lt;&gt;"",TEXT(AUX!ES$1,"dd-MMM-aa"),"")</f>
      </c>
      <c r="EP347" s="496" t="str">
        <f> IF(EP367&lt;&gt;"",TEXT(AUX!ET$1,"dd-MMM-aa"),"")</f>
      </c>
      <c r="EQ347" s="496" t="str">
        <f> IF(EQ367&lt;&gt;"",TEXT(AUX!EU$1,"dd-MMM-aa"),"")</f>
      </c>
      <c r="ER347" s="496" t="str">
        <f> IF(ER367&lt;&gt;"",TEXT(AUX!EV$1,"dd-MMM-aa"),"")</f>
      </c>
      <c r="ES347" s="496" t="str">
        <f> IF(ES367&lt;&gt;"",TEXT(AUX!EW$1,"dd-MMM-aa"),"")</f>
      </c>
      <c r="ET347" s="496" t="str">
        <f> IF(ET367&lt;&gt;"",TEXT(AUX!EX$1,"dd-MMM-aa"),"")</f>
      </c>
      <c r="EU347" s="496" t="str">
        <f> IF(EU367&lt;&gt;"",TEXT(AUX!EY$1,"dd-MMM-aa"),"")</f>
      </c>
      <c r="EV347" s="496" t="str">
        <f> IF(EV367&lt;&gt;"",TEXT(AUX!EZ$1,"dd-MMM-aa"),"")</f>
      </c>
      <c r="EW347" s="496" t="str">
        <f> IF(EW367&lt;&gt;"",TEXT(AUX!FA$1,"dd-MMM-aa"),"")</f>
      </c>
      <c r="EX347" s="496" t="str">
        <f> IF(EX367&lt;&gt;"",TEXT(AUX!FB$1,"dd-MMM-aa"),"")</f>
      </c>
      <c r="EY347" s="496" t="str">
        <f> IF(EY367&lt;&gt;"",TEXT(AUX!FC$1,"dd-MMM-aa"),"")</f>
      </c>
      <c r="EZ347" s="496" t="str">
        <f> IF(EZ367&lt;&gt;"",TEXT(AUX!FD$1,"dd-MMM-aa"),"")</f>
      </c>
      <c r="FA347" s="496" t="str">
        <f> IF(FA367&lt;&gt;"",TEXT(AUX!FE$1,"dd-MMM-aa"),"")</f>
      </c>
      <c r="FB347" s="496" t="str">
        <f> IF(FB367&lt;&gt;"",TEXT(AUX!FF$1,"dd-MMM-aa"),"")</f>
      </c>
      <c r="FC347" s="496" t="str">
        <f> IF(FC367&lt;&gt;"",TEXT(AUX!FG$1,"dd-MMM-aa"),"")</f>
      </c>
      <c r="FD347" s="496" t="str">
        <f> IF(FD367&lt;&gt;"",TEXT(AUX!FH$1,"dd-MMM-aa"),"")</f>
      </c>
      <c r="FE347" s="496" t="str">
        <f> IF(FE367&lt;&gt;"",TEXT(AUX!FI$1,"dd-MMM-aa"),"")</f>
      </c>
      <c r="FF347" s="496" t="str">
        <f> IF(FF367&lt;&gt;"",TEXT(AUX!FJ$1,"dd-MMM-aa"),"")</f>
      </c>
      <c r="FG347" s="496" t="str">
        <f> IF(FG367&lt;&gt;"",TEXT(AUX!FK$1,"dd-MMM-aa"),"")</f>
      </c>
      <c r="FH347" s="496" t="str">
        <f> IF(FH367&lt;&gt;"",TEXT(AUX!FL$1,"dd-MMM-aa"),"")</f>
      </c>
      <c r="FI347" s="496" t="str">
        <f> IF(FI367&lt;&gt;"",TEXT(AUX!FM$1,"dd-MMM-aa"),"")</f>
      </c>
      <c r="FJ347" s="496" t="str">
        <f> IF(FJ367&lt;&gt;"",TEXT(AUX!FN$1,"dd-MMM-aa"),"")</f>
      </c>
      <c r="FK347" s="496" t="str">
        <f> IF(FK367&lt;&gt;"",TEXT(AUX!FO$1,"dd-MMM-aa"),"")</f>
      </c>
      <c r="FL347" s="496" t="str">
        <f> IF(FL367&lt;&gt;"",TEXT(AUX!FP$1,"dd-MMM-aa"),"")</f>
      </c>
      <c r="FM347" s="496" t="str">
        <f> IF(FM367&lt;&gt;"",TEXT(AUX!FQ$1,"dd-MMM-aa"),"")</f>
      </c>
      <c r="FN347" s="496" t="str">
        <f> IF(FN367&lt;&gt;"",TEXT(AUX!FR$1,"dd-MMM-aa"),"")</f>
      </c>
      <c r="FO347" s="496" t="str">
        <f> IF(FO367&lt;&gt;"",TEXT(AUX!FS$1,"dd-MMM-aa"),"")</f>
      </c>
      <c r="FP347" s="496" t="str">
        <f> IF(FP367&lt;&gt;"",TEXT(AUX!FT$1,"dd-MMM-aa"),"")</f>
      </c>
      <c r="FQ347" s="496" t="str">
        <f> IF(FQ367&lt;&gt;"",TEXT(AUX!FU$1,"dd-MMM-aa"),"")</f>
      </c>
      <c r="FR347" s="496" t="str">
        <f> IF(FR367&lt;&gt;"",TEXT(AUX!FV$1,"dd-MMM-aa"),"")</f>
      </c>
      <c r="FS347" s="496" t="str">
        <f> IF(FS367&lt;&gt;"",TEXT(AUX!FW$1,"dd-MMM-aa"),"")</f>
      </c>
      <c r="FT347" s="496" t="str">
        <f> IF(FT367&lt;&gt;"",TEXT(AUX!FX$1,"dd-MMM-aa"),"")</f>
      </c>
      <c r="FU347" s="496" t="str">
        <f> IF(FU367&lt;&gt;"",TEXT(AUX!FY$1,"dd-MMM-aa"),"")</f>
      </c>
      <c r="FV347" s="496" t="str">
        <f> IF(FV367&lt;&gt;"",TEXT(AUX!FZ$1,"dd-MMM-aa"),"")</f>
      </c>
      <c r="FW347" s="496" t="str">
        <f> IF(FW367&lt;&gt;"",TEXT(AUX!GA$1,"dd-MMM-aa"),"")</f>
      </c>
      <c r="FX347" s="496" t="str">
        <f> IF(FX367&lt;&gt;"",TEXT(AUX!GB$1,"dd-MMM-aa"),"")</f>
      </c>
      <c r="FY347" s="496" t="str">
        <f> IF(FY367&lt;&gt;"",TEXT(AUX!GC$1,"dd-MMM-aa"),"")</f>
      </c>
      <c r="FZ347" s="496" t="str">
        <f> IF(FZ367&lt;&gt;"",TEXT(AUX!GD$1,"dd-MMM-aa"),"")</f>
      </c>
      <c r="GA347" s="496" t="str">
        <f> IF(GA367&lt;&gt;"",TEXT(AUX!GE$1,"dd-MMM-aa"),"")</f>
      </c>
      <c r="GB347" s="496" t="str">
        <f> IF(GB367&lt;&gt;"",TEXT(AUX!GF$1,"dd-MMM-aa"),"")</f>
      </c>
      <c r="GC347" s="496" t="str">
        <f> IF(GC367&lt;&gt;"",TEXT(AUX!GG$1,"dd-MMM-aa"),"")</f>
      </c>
      <c r="GD347" s="496" t="str">
        <f> IF(GD367&lt;&gt;"",TEXT(AUX!GH$1,"dd-MMM-aa"),"")</f>
      </c>
      <c r="GE347" s="496" t="str">
        <f> IF(GE367&lt;&gt;"",TEXT(AUX!GI$1,"dd-MMM-aa"),"")</f>
      </c>
      <c r="GF347" s="496" t="str">
        <f> IF(GF367&lt;&gt;"",TEXT(AUX!GJ$1,"dd-MMM-aa"),"")</f>
      </c>
      <c r="GG347" s="496" t="str">
        <f> IF(GG367&lt;&gt;"",TEXT(AUX!GK$1,"dd-MMM-aa"),"")</f>
      </c>
      <c r="GH347" s="496" t="str">
        <f> IF(GH367&lt;&gt;"",TEXT(AUX!GL$1,"dd-MMM-aa"),"")</f>
      </c>
      <c r="GI347" s="496" t="str">
        <f> IF(GI367&lt;&gt;"",TEXT(AUX!GM$1,"dd-MMM-aa"),"")</f>
      </c>
      <c r="GJ347" s="496" t="str">
        <f> IF(GJ367&lt;&gt;"",TEXT(AUX!GN$1,"dd-MMM-aa"),"")</f>
      </c>
      <c r="GK347" s="496" t="str">
        <f> IF(GK367&lt;&gt;"",TEXT(AUX!GO$1,"dd-MMM-aa"),"")</f>
      </c>
      <c r="GL347" s="496" t="str">
        <f> IF(GL367&lt;&gt;"",TEXT(AUX!GP$1,"dd-MMM-aa"),"")</f>
      </c>
      <c r="GM347" s="496" t="str">
        <f> IF(GM367&lt;&gt;"",TEXT(AUX!GQ$1,"dd-MMM-aa"),"")</f>
      </c>
      <c r="GN347" s="496" t="str">
        <f> IF(GN367&lt;&gt;"",TEXT(AUX!GR$1,"dd-MMM-aa"),"")</f>
      </c>
      <c r="GO347" s="496" t="str">
        <f> IF(GO367&lt;&gt;"",TEXT(AUX!GS$1,"dd-MMM-aa"),"")</f>
      </c>
      <c r="GP347" s="496" t="str">
        <f> IF(GP367&lt;&gt;"",TEXT(AUX!GT$1,"dd-MMM-aa"),"")</f>
      </c>
      <c r="GQ347" s="496" t="str">
        <f> IF(GQ367&lt;&gt;"",TEXT(AUX!GU$1,"dd-MMM-aa"),"")</f>
      </c>
      <c r="GR347" s="496" t="str">
        <f> IF(GR367&lt;&gt;"",TEXT(AUX!GV$1,"dd-MMM-aa"),"")</f>
      </c>
      <c r="GS347" s="496" t="str">
        <f> IF(GS367&lt;&gt;"",TEXT(AUX!GW$1,"dd-MMM-aa"),"")</f>
      </c>
      <c r="GT347" s="496" t="str">
        <f> IF(GT367&lt;&gt;"",TEXT(AUX!GX$1,"dd-MMM-aa"),"")</f>
      </c>
      <c r="GU347" s="496" t="str">
        <f> IF(GU367&lt;&gt;"",TEXT(AUX!GY$1,"dd-MMM-aa"),"")</f>
      </c>
      <c r="GV347" s="496" t="str">
        <f> IF(GV367&lt;&gt;"",TEXT(AUX!GZ$1,"dd-MMM-aa"),"")</f>
      </c>
      <c r="GW347" s="496" t="str">
        <f> IF(GW367&lt;&gt;"",TEXT(AUX!HA$1,"dd-MMM-aa"),"")</f>
      </c>
      <c r="GX347" s="496" t="str">
        <f> IF(GX367&lt;&gt;"",TEXT(AUX!HB$1,"dd-MMM-aa"),"")</f>
      </c>
      <c r="GY347" s="496" t="str">
        <f> IF(GY367&lt;&gt;"",TEXT(AUX!HC$1,"dd-MMM-aa"),"")</f>
      </c>
      <c r="GZ347" s="496" t="str">
        <f> IF(GZ367&lt;&gt;"",TEXT(AUX!HD$1,"dd-MMM-aa"),"")</f>
      </c>
      <c r="HA347" s="496" t="str">
        <f> IF(HA367&lt;&gt;"",TEXT(AUX!HE$1,"dd-MMM-aa"),"")</f>
      </c>
      <c r="HB347" s="496" t="str">
        <f> IF(HB367&lt;&gt;"",TEXT(AUX!HF$1,"dd-MMM-aa"),"")</f>
      </c>
      <c r="HC347" s="496" t="str">
        <f> IF(HC367&lt;&gt;"",TEXT(AUX!HG$1,"dd-MMM-aa"),"")</f>
      </c>
      <c r="HD347" s="496" t="str">
        <f> IF(HD367&lt;&gt;"",TEXT(AUX!HH$1,"dd-MMM-aa"),"")</f>
      </c>
      <c r="HE347" s="496" t="str">
        <f> IF(HE367&lt;&gt;"",TEXT(AUX!HI$1,"dd-MMM-aa"),"")</f>
      </c>
      <c r="HF347" s="496" t="str">
        <f> IF(HF367&lt;&gt;"",TEXT(AUX!HJ$1,"dd-MMM-aa"),"")</f>
      </c>
      <c r="HG347" s="496" t="str">
        <f> IF(HG367&lt;&gt;"",TEXT(AUX!HK$1,"dd-MMM-aa"),"")</f>
      </c>
      <c r="HH347" s="496" t="str">
        <f> IF(HH367&lt;&gt;"",TEXT(AUX!HL$1,"dd-MMM-aa"),"")</f>
      </c>
      <c r="HI347" s="496" t="str">
        <f> IF(HI367&lt;&gt;"",TEXT(AUX!HM$1,"dd-MMM-aa"),"")</f>
      </c>
      <c r="HJ347" s="496" t="str">
        <f> IF(HJ367&lt;&gt;"",TEXT(AUX!HN$1,"dd-MMM-aa"),"")</f>
      </c>
      <c r="HK347" s="496" t="str">
        <f> IF(HK367&lt;&gt;"",TEXT(AUX!HO$1,"dd-MMM-aa"),"")</f>
      </c>
      <c r="HL347" s="496" t="str">
        <f> IF(HL367&lt;&gt;"",TEXT(AUX!HP$1,"dd-MMM-aa"),"")</f>
      </c>
      <c r="HM347" s="496" t="str">
        <f> IF(HM367&lt;&gt;"",TEXT(AUX!HQ$1,"dd-MMM-aa"),"")</f>
      </c>
      <c r="HN347" s="496" t="str">
        <f> IF(HN367&lt;&gt;"",TEXT(AUX!HR$1,"dd-MMM-aa"),"")</f>
      </c>
      <c r="HO347" s="496" t="str">
        <f> IF(HO367&lt;&gt;"",TEXT(AUX!HS$1,"dd-MMM-aa"),"")</f>
      </c>
      <c r="HP347" s="496" t="str">
        <f> IF(HP367&lt;&gt;"",TEXT(AUX!HT$1,"dd-MMM-aa"),"")</f>
      </c>
      <c r="HQ347" s="496" t="str">
        <f> IF(HQ367&lt;&gt;"",TEXT(AUX!HU$1,"dd-MMM-aa"),"")</f>
      </c>
      <c r="HR347" s="496" t="str">
        <f> IF(HR367&lt;&gt;"",TEXT(AUX!HV$1,"dd-MMM-aa"),"")</f>
      </c>
      <c r="HS347" s="496" t="str">
        <f> IF(HS367&lt;&gt;"",TEXT(AUX!HW$1,"dd-MMM-aa"),"")</f>
      </c>
      <c r="HT347" s="496" t="str">
        <f> IF(HT367&lt;&gt;"",TEXT(AUX!HX$1,"dd-MMM-aa"),"")</f>
      </c>
      <c r="HU347" s="496" t="str">
        <f> IF(HU367&lt;&gt;"",TEXT(AUX!HY$1,"dd-MMM-aa"),"")</f>
      </c>
      <c r="HV347" s="496" t="str">
        <f> IF(HV367&lt;&gt;"",TEXT(AUX!HZ$1,"dd-MMM-aa"),"")</f>
      </c>
      <c r="HW347" s="496" t="str">
        <f> IF(HW367&lt;&gt;"",TEXT(AUX!IA$1,"dd-MMM-aa"),"")</f>
      </c>
      <c r="HX347" s="496" t="str">
        <f> IF(HX367&lt;&gt;"",TEXT(AUX!IB$1,"dd-MMM-aa"),"")</f>
      </c>
      <c r="HY347" s="496" t="str">
        <f> IF(HY367&lt;&gt;"",TEXT(AUX!IC$1,"dd-MMM-aa"),"")</f>
      </c>
      <c r="HZ347" s="496" t="str">
        <f> IF(HZ367&lt;&gt;"",TEXT(AUX!ID$1,"dd-MMM-aa"),"")</f>
      </c>
      <c r="IA347" s="496" t="str">
        <f> IF(IA367&lt;&gt;"",TEXT(AUX!IE$1,"dd-MMM-aa"),"")</f>
      </c>
      <c r="IB347" s="496" t="str">
        <f> IF(IB367&lt;&gt;"",TEXT(AUX!IF$1,"dd-MMM-aa"),"")</f>
      </c>
      <c r="IC347" s="496" t="str">
        <f> IF(IC367&lt;&gt;"",TEXT(AUX!IG$1,"dd-MMM-aa"),"")</f>
      </c>
      <c r="ID347" s="496" t="str">
        <f> IF(ID367&lt;&gt;"",TEXT(AUX!IH$1,"dd-MMM-aa"),"")</f>
      </c>
      <c r="IE347" s="496" t="str">
        <f> IF(IE367&lt;&gt;"",TEXT(AUX!II$1,"dd-MMM-aa"),"")</f>
      </c>
      <c r="IF347" s="496" t="str">
        <f> IF(IF367&lt;&gt;"",TEXT(AUX!IJ$1,"dd-MMM-aa"),"")</f>
      </c>
      <c r="IG347" s="496" t="str">
        <f> IF(IG367&lt;&gt;"",TEXT(AUX!IK$1,"dd-MMM-aa"),"")</f>
      </c>
      <c r="IH347" s="496" t="str">
        <f> IF(IH367&lt;&gt;"",TEXT(AUX!IL$1,"dd-MMM-aa"),"")</f>
      </c>
      <c r="II347" s="496" t="str">
        <f> IF(II367&lt;&gt;"",TEXT(AUX!IM$1,"dd-MMM-aa"),"")</f>
      </c>
      <c r="IJ347" s="496" t="str">
        <f> IF(IJ367&lt;&gt;"",TEXT(AUX!IN$1,"dd-MMM-aa"),"")</f>
      </c>
      <c r="IK347" s="496" t="str">
        <f> IF(IK367&lt;&gt;"",TEXT(AUX!IO$1,"dd-MMM-aa"),"")</f>
      </c>
      <c r="IL347" s="496" t="str">
        <f> IF(IL367&lt;&gt;"",TEXT(AUX!IP$1,"dd-MMM-aa"),"")</f>
      </c>
      <c r="IM347" s="496" t="str">
        <f> IF(IM367&lt;&gt;"",TEXT(AUX!IQ$1,"dd-MMM-aa"),"")</f>
      </c>
      <c r="IN347" s="496" t="str">
        <f> IF(IN367&lt;&gt;"",TEXT(AUX!IR$1,"dd-MMM-aa"),"")</f>
      </c>
      <c r="IO347" s="496" t="str">
        <f> IF(IO367&lt;&gt;"",TEXT(AUX!IS$1,"dd-MMM-aa"),"")</f>
      </c>
      <c r="IP347" s="496" t="str">
        <f> IF(IP367&lt;&gt;"",TEXT(AUX!IT$1,"dd-MMM-aa"),"")</f>
      </c>
      <c r="IQ347" s="496" t="str">
        <f> IF(IQ367&lt;&gt;"",TEXT(AUX!IU$1,"dd-MMM-aa"),"")</f>
      </c>
      <c r="IR347" s="496" t="str">
        <f> IF(IR367&lt;&gt;"",TEXT(AUX!IV$1,"dd-MMM-aa"),"")</f>
      </c>
      <c r="IS347" s="496" t="str">
        <f> IF(IS367&lt;&gt;"",TEXT(AUX!#REF!,"dd-MMM-aa"),"")</f>
      </c>
      <c r="IT347" s="496" t="str">
        <f> IF(IT367&lt;&gt;"",TEXT(AUX!#REF!,"dd-MMM-aa"),"")</f>
      </c>
      <c r="IU347" s="496" t="str">
        <f> IF(IU367&lt;&gt;"",TEXT(AUX!#REF!,"dd-MMM-aa"),"")</f>
      </c>
      <c r="IV347" s="496" t="str">
        <f> IF(IV367&lt;&gt;"",TEXT(AUX!#REF!,"dd-MMM-aa"),"")</f>
      </c>
    </row>
    <row r="348" hidden="1" ht="15.95" customHeight="1">
      <c r="B348" s="822" t="s">
        <v>8</v>
      </c>
      <c r="C348" s="823">
        <v>32</v>
      </c>
      <c r="D348" s="823">
        <v>29</v>
      </c>
      <c r="E348" s="823">
        <v>11</v>
      </c>
      <c r="F348" s="823">
        <v>12</v>
      </c>
      <c r="G348" s="823">
        <v>10</v>
      </c>
      <c r="H348" s="823">
        <v>10</v>
      </c>
      <c r="I348" s="823">
        <v>10</v>
      </c>
      <c r="J348" s="823">
        <v>9</v>
      </c>
      <c r="K348" s="823">
        <v>8</v>
      </c>
      <c r="L348" s="823">
        <v>8</v>
      </c>
      <c r="M348" s="823">
        <v>8</v>
      </c>
      <c r="N348" s="823">
        <v>8</v>
      </c>
      <c r="O348" s="823">
        <v>10</v>
      </c>
      <c r="P348" s="823">
        <v>12</v>
      </c>
      <c r="Q348" s="823">
        <v>13</v>
      </c>
      <c r="R348" s="823">
        <v>13</v>
      </c>
      <c r="S348" s="823">
        <v>14</v>
      </c>
      <c r="T348" s="823">
        <v>17</v>
      </c>
      <c r="U348" s="823">
        <v>16</v>
      </c>
      <c r="V348" s="823">
        <v>17</v>
      </c>
      <c r="W348" s="823">
        <v>20</v>
      </c>
      <c r="X348" s="823">
        <v>20</v>
      </c>
      <c r="Y348" s="823">
        <v>21</v>
      </c>
      <c r="Z348" s="823">
        <v>23</v>
      </c>
      <c r="AA348" s="823">
        <v>25</v>
      </c>
      <c r="AB348" s="824">
        <v>26</v>
      </c>
      <c r="AC348" s="825">
        <v>27</v>
      </c>
      <c r="AD348" s="825">
        <v>29</v>
      </c>
      <c r="AE348" s="825">
        <v>34</v>
      </c>
      <c r="AF348" s="825">
        <v>34</v>
      </c>
      <c r="AG348" s="825">
        <v>37</v>
      </c>
      <c r="AH348" s="825">
        <v>40</v>
      </c>
      <c r="AI348" s="825">
        <v>41</v>
      </c>
      <c r="AJ348" s="825">
        <v>41</v>
      </c>
      <c r="AK348" s="825">
        <v>42</v>
      </c>
      <c r="AL348" s="825">
        <v>43</v>
      </c>
      <c r="AM348" s="825">
        <v>43</v>
      </c>
      <c r="AN348" s="825">
        <v>43</v>
      </c>
      <c r="AO348" s="825">
        <v>44</v>
      </c>
      <c r="AP348" s="825">
        <v>46</v>
      </c>
    </row>
    <row r="349" hidden="1" ht="15.95" customHeight="1">
      <c r="B349" s="826" t="s">
        <v>9</v>
      </c>
      <c r="C349" s="827">
        <v>48</v>
      </c>
      <c r="D349" s="827">
        <v>49</v>
      </c>
      <c r="E349" s="827">
        <v>50</v>
      </c>
      <c r="F349" s="827">
        <v>52</v>
      </c>
      <c r="G349" s="827">
        <v>52</v>
      </c>
      <c r="H349" s="827">
        <v>56</v>
      </c>
      <c r="I349" s="827">
        <v>59</v>
      </c>
      <c r="J349" s="827">
        <v>61</v>
      </c>
      <c r="K349" s="827">
        <v>60</v>
      </c>
      <c r="L349" s="827">
        <v>61</v>
      </c>
      <c r="M349" s="827">
        <v>61</v>
      </c>
      <c r="N349" s="827">
        <v>61</v>
      </c>
      <c r="O349" s="827">
        <v>64</v>
      </c>
      <c r="P349" s="827">
        <v>66</v>
      </c>
      <c r="Q349" s="827">
        <v>65</v>
      </c>
      <c r="R349" s="827">
        <v>67</v>
      </c>
      <c r="S349" s="827">
        <v>70</v>
      </c>
      <c r="T349" s="827">
        <v>74</v>
      </c>
      <c r="U349" s="827">
        <v>79</v>
      </c>
      <c r="V349" s="827">
        <v>84</v>
      </c>
      <c r="W349" s="827">
        <v>86</v>
      </c>
      <c r="X349" s="827">
        <v>91</v>
      </c>
      <c r="Y349" s="827">
        <v>99</v>
      </c>
      <c r="Z349" s="827">
        <v>106</v>
      </c>
      <c r="AA349" s="827">
        <v>108</v>
      </c>
      <c r="AB349" s="827">
        <v>116</v>
      </c>
      <c r="AC349" s="828">
        <v>122</v>
      </c>
      <c r="AD349" s="828">
        <v>123</v>
      </c>
      <c r="AE349" s="828">
        <v>128</v>
      </c>
      <c r="AF349" s="828">
        <v>132</v>
      </c>
      <c r="AG349" s="828">
        <v>135</v>
      </c>
      <c r="AH349" s="828">
        <v>140</v>
      </c>
      <c r="AI349" s="828">
        <v>144</v>
      </c>
      <c r="AJ349" s="828">
        <v>149</v>
      </c>
      <c r="AK349" s="828">
        <v>153</v>
      </c>
      <c r="AL349" s="828">
        <v>157</v>
      </c>
      <c r="AM349" s="828">
        <v>159</v>
      </c>
      <c r="AN349" s="828">
        <v>164</v>
      </c>
      <c r="AO349" s="828">
        <v>173</v>
      </c>
      <c r="AP349" s="828">
        <v>178</v>
      </c>
    </row>
    <row r="350" hidden="1" ht="15.95" customHeight="1">
      <c r="B350" s="829" t="s">
        <v>10</v>
      </c>
      <c r="C350" s="823">
        <v>0</v>
      </c>
      <c r="D350" s="823">
        <v>0</v>
      </c>
      <c r="E350" s="823">
        <v>0</v>
      </c>
      <c r="F350" s="823">
        <v>0</v>
      </c>
      <c r="G350" s="823">
        <v>0</v>
      </c>
      <c r="H350" s="823">
        <v>0</v>
      </c>
      <c r="I350" s="823">
        <v>0</v>
      </c>
      <c r="J350" s="823">
        <v>0</v>
      </c>
      <c r="K350" s="823">
        <v>0</v>
      </c>
      <c r="L350" s="823">
        <v>0</v>
      </c>
      <c r="M350" s="823">
        <v>0</v>
      </c>
      <c r="N350" s="823">
        <v>0</v>
      </c>
      <c r="O350" s="823">
        <v>0</v>
      </c>
      <c r="P350" s="823">
        <v>0</v>
      </c>
      <c r="Q350" s="823">
        <v>0</v>
      </c>
      <c r="R350" s="823">
        <v>0</v>
      </c>
      <c r="S350" s="823">
        <v>0</v>
      </c>
      <c r="T350" s="823">
        <v>0</v>
      </c>
      <c r="U350" s="823">
        <v>0</v>
      </c>
      <c r="V350" s="823">
        <v>0</v>
      </c>
      <c r="W350" s="823">
        <v>0</v>
      </c>
      <c r="X350" s="823">
        <v>0</v>
      </c>
      <c r="Y350" s="823">
        <v>0</v>
      </c>
      <c r="Z350" s="823">
        <v>0</v>
      </c>
      <c r="AA350" s="823">
        <v>0</v>
      </c>
      <c r="AB350" s="823">
        <v>0</v>
      </c>
      <c r="AC350" s="825">
        <v>0</v>
      </c>
      <c r="AD350" s="825">
        <v>0</v>
      </c>
      <c r="AE350" s="825">
        <v>0</v>
      </c>
      <c r="AF350" s="825">
        <v>0</v>
      </c>
      <c r="AG350" s="825">
        <v>0</v>
      </c>
      <c r="AH350" s="825">
        <v>0</v>
      </c>
      <c r="AI350" s="825">
        <v>0</v>
      </c>
      <c r="AJ350" s="825">
        <v>0</v>
      </c>
      <c r="AK350" s="825">
        <v>2</v>
      </c>
      <c r="AL350" s="825">
        <v>2</v>
      </c>
      <c r="AM350" s="825">
        <v>2</v>
      </c>
      <c r="AN350" s="825">
        <v>2</v>
      </c>
      <c r="AO350" s="825">
        <v>3</v>
      </c>
      <c r="AP350" s="825">
        <v>4</v>
      </c>
    </row>
    <row r="351" hidden="1" ht="15.95" customHeight="1">
      <c r="B351" s="826" t="s">
        <v>11</v>
      </c>
      <c r="C351" s="827">
        <v>0</v>
      </c>
      <c r="D351" s="827">
        <v>0</v>
      </c>
      <c r="E351" s="827">
        <v>0</v>
      </c>
      <c r="F351" s="827">
        <v>0</v>
      </c>
      <c r="G351" s="827">
        <v>0</v>
      </c>
      <c r="H351" s="827">
        <v>0</v>
      </c>
      <c r="I351" s="827">
        <v>0</v>
      </c>
      <c r="J351" s="827">
        <v>0</v>
      </c>
      <c r="K351" s="827">
        <v>1</v>
      </c>
      <c r="L351" s="827">
        <v>1</v>
      </c>
      <c r="M351" s="827">
        <v>0</v>
      </c>
      <c r="N351" s="827">
        <v>0</v>
      </c>
      <c r="O351" s="827">
        <v>0</v>
      </c>
      <c r="P351" s="827">
        <v>0</v>
      </c>
      <c r="Q351" s="827">
        <v>0</v>
      </c>
      <c r="R351" s="827">
        <v>0</v>
      </c>
      <c r="S351" s="827">
        <v>1</v>
      </c>
      <c r="T351" s="827">
        <v>0</v>
      </c>
      <c r="U351" s="827">
        <v>0</v>
      </c>
      <c r="V351" s="827">
        <v>0</v>
      </c>
      <c r="W351" s="827">
        <v>0</v>
      </c>
      <c r="X351" s="827">
        <v>0</v>
      </c>
      <c r="Y351" s="827">
        <v>0</v>
      </c>
      <c r="Z351" s="827">
        <v>0</v>
      </c>
      <c r="AA351" s="827">
        <v>0</v>
      </c>
      <c r="AB351" s="827">
        <v>0</v>
      </c>
      <c r="AC351" s="828">
        <v>0</v>
      </c>
      <c r="AD351" s="828">
        <v>0</v>
      </c>
      <c r="AE351" s="828">
        <v>0</v>
      </c>
      <c r="AF351" s="828">
        <v>0</v>
      </c>
      <c r="AG351" s="828">
        <v>0</v>
      </c>
      <c r="AH351" s="828">
        <v>0</v>
      </c>
      <c r="AI351" s="828">
        <v>0</v>
      </c>
      <c r="AJ351" s="828">
        <v>0</v>
      </c>
      <c r="AK351" s="828">
        <v>0</v>
      </c>
      <c r="AL351" s="828">
        <v>0</v>
      </c>
      <c r="AM351" s="828">
        <v>0</v>
      </c>
      <c r="AN351" s="828">
        <v>0</v>
      </c>
      <c r="AO351" s="828">
        <v>0</v>
      </c>
      <c r="AP351" s="828">
        <v>0</v>
      </c>
    </row>
    <row r="352" hidden="1" ht="15.95" customHeight="1">
      <c r="B352" s="829" t="s">
        <v>12</v>
      </c>
      <c r="C352" s="823">
        <v>0</v>
      </c>
      <c r="D352" s="823">
        <v>0</v>
      </c>
      <c r="E352" s="823">
        <v>0</v>
      </c>
      <c r="F352" s="823">
        <v>0</v>
      </c>
      <c r="G352" s="823">
        <v>0</v>
      </c>
      <c r="H352" s="823">
        <v>0</v>
      </c>
      <c r="I352" s="823">
        <v>0</v>
      </c>
      <c r="J352" s="823">
        <v>0</v>
      </c>
      <c r="K352" s="823">
        <v>0</v>
      </c>
      <c r="L352" s="823">
        <v>0</v>
      </c>
      <c r="M352" s="823">
        <v>0</v>
      </c>
      <c r="N352" s="823">
        <v>0</v>
      </c>
      <c r="O352" s="823">
        <v>0</v>
      </c>
      <c r="P352" s="823">
        <v>0</v>
      </c>
      <c r="Q352" s="823">
        <v>0</v>
      </c>
      <c r="R352" s="823">
        <v>0</v>
      </c>
      <c r="S352" s="823">
        <v>0</v>
      </c>
      <c r="T352" s="823">
        <v>0</v>
      </c>
      <c r="U352" s="823">
        <v>0</v>
      </c>
      <c r="V352" s="823">
        <v>0</v>
      </c>
      <c r="W352" s="823">
        <v>0</v>
      </c>
      <c r="X352" s="823">
        <v>0</v>
      </c>
      <c r="Y352" s="823">
        <v>0</v>
      </c>
      <c r="Z352" s="823">
        <v>0</v>
      </c>
      <c r="AA352" s="823">
        <v>0</v>
      </c>
      <c r="AB352" s="823">
        <v>0</v>
      </c>
      <c r="AC352" s="825">
        <v>0</v>
      </c>
      <c r="AD352" s="825">
        <v>0</v>
      </c>
      <c r="AE352" s="825">
        <v>0</v>
      </c>
      <c r="AF352" s="825">
        <v>0</v>
      </c>
      <c r="AG352" s="825">
        <v>0</v>
      </c>
      <c r="AH352" s="825">
        <v>0</v>
      </c>
      <c r="AI352" s="825">
        <v>0</v>
      </c>
      <c r="AJ352" s="825">
        <v>0</v>
      </c>
      <c r="AK352" s="825">
        <v>0</v>
      </c>
      <c r="AL352" s="825">
        <v>0</v>
      </c>
      <c r="AM352" s="825">
        <v>0</v>
      </c>
      <c r="AN352" s="825">
        <v>0</v>
      </c>
      <c r="AO352" s="825">
        <v>0</v>
      </c>
      <c r="AP352" s="825">
        <v>0</v>
      </c>
    </row>
    <row r="353" hidden="1" ht="15.95" customHeight="1">
      <c r="B353" s="826" t="s">
        <v>13</v>
      </c>
      <c r="C353" s="827">
        <v>0</v>
      </c>
      <c r="D353" s="827">
        <v>0</v>
      </c>
      <c r="E353" s="827">
        <v>0</v>
      </c>
      <c r="F353" s="827">
        <v>0</v>
      </c>
      <c r="G353" s="827">
        <v>0</v>
      </c>
      <c r="H353" s="827">
        <v>0</v>
      </c>
      <c r="I353" s="827">
        <v>0</v>
      </c>
      <c r="J353" s="827">
        <v>0</v>
      </c>
      <c r="K353" s="827">
        <v>0</v>
      </c>
      <c r="L353" s="827">
        <v>0</v>
      </c>
      <c r="M353" s="827">
        <v>0</v>
      </c>
      <c r="N353" s="827">
        <v>0</v>
      </c>
      <c r="O353" s="827">
        <v>0</v>
      </c>
      <c r="P353" s="827">
        <v>0</v>
      </c>
      <c r="Q353" s="827">
        <v>0</v>
      </c>
      <c r="R353" s="827">
        <v>0</v>
      </c>
      <c r="S353" s="827">
        <v>0</v>
      </c>
      <c r="T353" s="827">
        <v>0</v>
      </c>
      <c r="U353" s="827">
        <v>0</v>
      </c>
      <c r="V353" s="827">
        <v>0</v>
      </c>
      <c r="W353" s="827">
        <v>0</v>
      </c>
      <c r="X353" s="827">
        <v>0</v>
      </c>
      <c r="Y353" s="827">
        <v>0</v>
      </c>
      <c r="Z353" s="827">
        <v>0</v>
      </c>
      <c r="AA353" s="827">
        <v>0</v>
      </c>
      <c r="AB353" s="827">
        <v>0</v>
      </c>
      <c r="AC353" s="828">
        <v>0</v>
      </c>
      <c r="AD353" s="828">
        <v>0</v>
      </c>
      <c r="AE353" s="828">
        <v>0</v>
      </c>
      <c r="AF353" s="828">
        <v>0</v>
      </c>
      <c r="AG353" s="828">
        <v>0</v>
      </c>
      <c r="AH353" s="828">
        <v>0</v>
      </c>
      <c r="AI353" s="828">
        <v>0</v>
      </c>
      <c r="AJ353" s="828">
        <v>0</v>
      </c>
      <c r="AK353" s="828">
        <v>0</v>
      </c>
      <c r="AL353" s="828">
        <v>0</v>
      </c>
      <c r="AM353" s="828">
        <v>0</v>
      </c>
      <c r="AN353" s="828">
        <v>0</v>
      </c>
      <c r="AO353" s="828">
        <v>0</v>
      </c>
      <c r="AP353" s="828">
        <v>0</v>
      </c>
    </row>
    <row r="354" hidden="1" ht="15.95" customHeight="1">
      <c r="B354" s="829" t="s">
        <v>109</v>
      </c>
      <c r="C354" s="823">
        <v>22</v>
      </c>
      <c r="D354" s="823">
        <v>22</v>
      </c>
      <c r="E354" s="823">
        <v>22</v>
      </c>
      <c r="F354" s="823">
        <v>21</v>
      </c>
      <c r="G354" s="823">
        <v>22</v>
      </c>
      <c r="H354" s="823">
        <v>23</v>
      </c>
      <c r="I354" s="823">
        <v>22</v>
      </c>
      <c r="J354" s="823">
        <v>22</v>
      </c>
      <c r="K354" s="823">
        <v>21</v>
      </c>
      <c r="L354" s="823">
        <v>20</v>
      </c>
      <c r="M354" s="823">
        <v>19</v>
      </c>
      <c r="N354" s="823">
        <v>18</v>
      </c>
      <c r="O354" s="823">
        <v>19</v>
      </c>
      <c r="P354" s="823">
        <v>18</v>
      </c>
      <c r="Q354" s="823">
        <v>18</v>
      </c>
      <c r="R354" s="823">
        <v>18</v>
      </c>
      <c r="S354" s="823">
        <v>17</v>
      </c>
      <c r="T354" s="823">
        <v>17</v>
      </c>
      <c r="U354" s="823">
        <v>18</v>
      </c>
      <c r="V354" s="823">
        <v>18</v>
      </c>
      <c r="W354" s="823">
        <v>17</v>
      </c>
      <c r="X354" s="823">
        <v>16</v>
      </c>
      <c r="Y354" s="823">
        <v>17</v>
      </c>
      <c r="Z354" s="823">
        <v>19</v>
      </c>
      <c r="AA354" s="823">
        <v>19</v>
      </c>
      <c r="AB354" s="823">
        <v>20</v>
      </c>
      <c r="AC354" s="825">
        <v>20</v>
      </c>
      <c r="AD354" s="825">
        <v>22</v>
      </c>
      <c r="AE354" s="825">
        <v>23</v>
      </c>
      <c r="AF354" s="825">
        <v>23</v>
      </c>
      <c r="AG354" s="825">
        <v>23</v>
      </c>
      <c r="AH354" s="825">
        <v>24</v>
      </c>
      <c r="AI354" s="825">
        <v>25</v>
      </c>
      <c r="AJ354" s="825">
        <v>24</v>
      </c>
      <c r="AK354" s="825">
        <v>25</v>
      </c>
      <c r="AL354" s="825">
        <v>27</v>
      </c>
      <c r="AM354" s="825">
        <v>30</v>
      </c>
      <c r="AN354" s="825">
        <v>30</v>
      </c>
      <c r="AO354" s="825">
        <v>33</v>
      </c>
      <c r="AP354" s="825">
        <v>35</v>
      </c>
    </row>
    <row r="355" hidden="1" ht="15.95" customHeight="1">
      <c r="B355" s="826" t="s">
        <v>110</v>
      </c>
      <c r="C355" s="827">
        <v>25</v>
      </c>
      <c r="D355" s="827">
        <v>23</v>
      </c>
      <c r="E355" s="827">
        <v>23</v>
      </c>
      <c r="F355" s="827">
        <v>22</v>
      </c>
      <c r="G355" s="827">
        <v>23</v>
      </c>
      <c r="H355" s="827">
        <v>24</v>
      </c>
      <c r="I355" s="827">
        <v>24</v>
      </c>
      <c r="J355" s="827">
        <v>23</v>
      </c>
      <c r="K355" s="827">
        <v>24</v>
      </c>
      <c r="L355" s="827">
        <v>23</v>
      </c>
      <c r="M355" s="827">
        <v>25</v>
      </c>
      <c r="N355" s="827">
        <v>24</v>
      </c>
      <c r="O355" s="827">
        <v>24</v>
      </c>
      <c r="P355" s="827">
        <v>26</v>
      </c>
      <c r="Q355" s="827">
        <v>23</v>
      </c>
      <c r="R355" s="827">
        <v>28</v>
      </c>
      <c r="S355" s="827">
        <v>24</v>
      </c>
      <c r="T355" s="827">
        <v>25</v>
      </c>
      <c r="U355" s="827">
        <v>26</v>
      </c>
      <c r="V355" s="827">
        <v>24</v>
      </c>
      <c r="W355" s="827">
        <v>25</v>
      </c>
      <c r="X355" s="827">
        <v>25</v>
      </c>
      <c r="Y355" s="827">
        <v>26</v>
      </c>
      <c r="Z355" s="827">
        <v>26</v>
      </c>
      <c r="AA355" s="827">
        <v>26</v>
      </c>
      <c r="AB355" s="827">
        <v>29</v>
      </c>
      <c r="AC355" s="828">
        <v>30</v>
      </c>
      <c r="AD355" s="828">
        <v>32</v>
      </c>
      <c r="AE355" s="828">
        <v>34</v>
      </c>
      <c r="AF355" s="828">
        <v>35</v>
      </c>
      <c r="AG355" s="828">
        <v>35</v>
      </c>
      <c r="AH355" s="828">
        <v>38</v>
      </c>
      <c r="AI355" s="828">
        <v>41</v>
      </c>
      <c r="AJ355" s="828">
        <v>43</v>
      </c>
      <c r="AK355" s="828">
        <v>45</v>
      </c>
      <c r="AL355" s="828">
        <v>48</v>
      </c>
      <c r="AM355" s="828">
        <v>48</v>
      </c>
      <c r="AN355" s="828">
        <v>53</v>
      </c>
      <c r="AO355" s="828">
        <v>55</v>
      </c>
      <c r="AP355" s="828">
        <v>55</v>
      </c>
    </row>
    <row r="356" hidden="1" ht="15.95" customHeight="1">
      <c r="B356" s="829" t="s">
        <v>16</v>
      </c>
      <c r="C356" s="823">
        <v>118</v>
      </c>
      <c r="D356" s="823">
        <v>122</v>
      </c>
      <c r="E356" s="823">
        <v>126</v>
      </c>
      <c r="F356" s="823">
        <v>131</v>
      </c>
      <c r="G356" s="823">
        <v>132</v>
      </c>
      <c r="H356" s="823">
        <v>138</v>
      </c>
      <c r="I356" s="823">
        <v>137</v>
      </c>
      <c r="J356" s="823">
        <v>142</v>
      </c>
      <c r="K356" s="823">
        <v>144</v>
      </c>
      <c r="L356" s="823">
        <v>143</v>
      </c>
      <c r="M356" s="823">
        <v>148</v>
      </c>
      <c r="N356" s="823">
        <v>150</v>
      </c>
      <c r="O356" s="823">
        <v>155</v>
      </c>
      <c r="P356" s="823">
        <v>155</v>
      </c>
      <c r="Q356" s="823">
        <v>165</v>
      </c>
      <c r="R356" s="823">
        <v>173</v>
      </c>
      <c r="S356" s="823">
        <v>182</v>
      </c>
      <c r="T356" s="823">
        <v>190</v>
      </c>
      <c r="U356" s="823">
        <v>213</v>
      </c>
      <c r="V356" s="823">
        <v>221</v>
      </c>
      <c r="W356" s="823">
        <v>230</v>
      </c>
      <c r="X356" s="823">
        <v>238</v>
      </c>
      <c r="Y356" s="823">
        <v>300</v>
      </c>
      <c r="Z356" s="823">
        <v>315</v>
      </c>
      <c r="AA356" s="823">
        <v>321</v>
      </c>
      <c r="AB356" s="823">
        <v>328</v>
      </c>
      <c r="AC356" s="825">
        <v>336</v>
      </c>
      <c r="AD356" s="825">
        <v>346</v>
      </c>
      <c r="AE356" s="825">
        <v>346</v>
      </c>
      <c r="AF356" s="825">
        <v>344</v>
      </c>
      <c r="AG356" s="825">
        <v>342</v>
      </c>
      <c r="AH356" s="825">
        <v>344</v>
      </c>
      <c r="AI356" s="825">
        <v>354</v>
      </c>
      <c r="AJ356" s="825">
        <v>354</v>
      </c>
      <c r="AK356" s="825">
        <v>365</v>
      </c>
      <c r="AL356" s="825">
        <v>375</v>
      </c>
      <c r="AM356" s="825">
        <v>389</v>
      </c>
      <c r="AN356" s="825">
        <v>395</v>
      </c>
      <c r="AO356" s="825">
        <v>406</v>
      </c>
      <c r="AP356" s="825">
        <v>408</v>
      </c>
    </row>
    <row r="357" hidden="1" ht="15.95" customHeight="1">
      <c r="B357" s="826" t="s">
        <v>17</v>
      </c>
      <c r="C357" s="827">
        <v>0</v>
      </c>
      <c r="D357" s="827">
        <v>0</v>
      </c>
      <c r="E357" s="827">
        <v>0</v>
      </c>
      <c r="F357" s="827">
        <v>0</v>
      </c>
      <c r="G357" s="827">
        <v>0</v>
      </c>
      <c r="H357" s="827">
        <v>0</v>
      </c>
      <c r="I357" s="827">
        <v>0</v>
      </c>
      <c r="J357" s="827">
        <v>0</v>
      </c>
      <c r="K357" s="827">
        <v>0</v>
      </c>
      <c r="L357" s="827">
        <v>0</v>
      </c>
      <c r="M357" s="827">
        <v>0</v>
      </c>
      <c r="N357" s="827">
        <v>0</v>
      </c>
      <c r="O357" s="827">
        <v>0</v>
      </c>
      <c r="P357" s="827">
        <v>1</v>
      </c>
      <c r="Q357" s="827">
        <v>1</v>
      </c>
      <c r="R357" s="827">
        <v>1</v>
      </c>
      <c r="S357" s="827">
        <v>2</v>
      </c>
      <c r="T357" s="827">
        <v>2</v>
      </c>
      <c r="U357" s="827">
        <v>2</v>
      </c>
      <c r="V357" s="827">
        <v>2</v>
      </c>
      <c r="W357" s="827">
        <v>1</v>
      </c>
      <c r="X357" s="827">
        <v>1</v>
      </c>
      <c r="Y357" s="827">
        <v>1</v>
      </c>
      <c r="Z357" s="827">
        <v>6</v>
      </c>
      <c r="AA357" s="827">
        <v>17</v>
      </c>
      <c r="AB357" s="827">
        <v>15</v>
      </c>
      <c r="AC357" s="828">
        <v>13</v>
      </c>
      <c r="AD357" s="828">
        <v>12</v>
      </c>
      <c r="AE357" s="828">
        <v>11</v>
      </c>
      <c r="AF357" s="828">
        <v>11</v>
      </c>
      <c r="AG357" s="828">
        <v>11</v>
      </c>
      <c r="AH357" s="828">
        <v>12</v>
      </c>
      <c r="AI357" s="828">
        <v>13</v>
      </c>
      <c r="AJ357" s="828">
        <v>13</v>
      </c>
      <c r="AK357" s="828">
        <v>14</v>
      </c>
      <c r="AL357" s="828">
        <v>15</v>
      </c>
      <c r="AM357" s="828">
        <v>16</v>
      </c>
      <c r="AN357" s="828">
        <v>15</v>
      </c>
      <c r="AO357" s="828">
        <v>14</v>
      </c>
      <c r="AP357" s="828">
        <v>14</v>
      </c>
    </row>
    <row r="358" hidden="1" ht="15.95" customHeight="1">
      <c r="B358" s="829" t="s">
        <v>18</v>
      </c>
      <c r="C358" s="823">
        <v>5</v>
      </c>
      <c r="D358" s="823">
        <v>5</v>
      </c>
      <c r="E358" s="823">
        <v>6</v>
      </c>
      <c r="F358" s="823">
        <v>6</v>
      </c>
      <c r="G358" s="823">
        <v>7</v>
      </c>
      <c r="H358" s="823">
        <v>7</v>
      </c>
      <c r="I358" s="823">
        <v>9</v>
      </c>
      <c r="J358" s="823">
        <v>9</v>
      </c>
      <c r="K358" s="823">
        <v>11</v>
      </c>
      <c r="L358" s="823">
        <v>11</v>
      </c>
      <c r="M358" s="823">
        <v>10</v>
      </c>
      <c r="N358" s="823">
        <v>10</v>
      </c>
      <c r="O358" s="823">
        <v>12</v>
      </c>
      <c r="P358" s="823">
        <v>12</v>
      </c>
      <c r="Q358" s="823">
        <v>12</v>
      </c>
      <c r="R358" s="823">
        <v>12</v>
      </c>
      <c r="S358" s="823">
        <v>12</v>
      </c>
      <c r="T358" s="823">
        <v>13</v>
      </c>
      <c r="U358" s="823">
        <v>14</v>
      </c>
      <c r="V358" s="823">
        <v>14</v>
      </c>
      <c r="W358" s="823">
        <v>15</v>
      </c>
      <c r="X358" s="823">
        <v>16</v>
      </c>
      <c r="Y358" s="823">
        <v>16</v>
      </c>
      <c r="Z358" s="823">
        <v>16</v>
      </c>
      <c r="AA358" s="823">
        <v>17</v>
      </c>
      <c r="AB358" s="823">
        <v>17</v>
      </c>
      <c r="AC358" s="825">
        <v>18</v>
      </c>
      <c r="AD358" s="825">
        <v>18</v>
      </c>
      <c r="AE358" s="825">
        <v>18</v>
      </c>
      <c r="AF358" s="825">
        <v>19</v>
      </c>
      <c r="AG358" s="825">
        <v>22</v>
      </c>
      <c r="AH358" s="825">
        <v>23</v>
      </c>
      <c r="AI358" s="825">
        <v>23</v>
      </c>
      <c r="AJ358" s="825">
        <v>23</v>
      </c>
      <c r="AK358" s="825">
        <v>24</v>
      </c>
      <c r="AL358" s="825">
        <v>23</v>
      </c>
      <c r="AM358" s="825">
        <v>24</v>
      </c>
      <c r="AN358" s="825">
        <v>24</v>
      </c>
      <c r="AO358" s="825">
        <v>23</v>
      </c>
      <c r="AP358" s="825">
        <v>24</v>
      </c>
    </row>
    <row r="359" hidden="1" ht="15.95" customHeight="1">
      <c r="B359" s="826" t="s">
        <v>19</v>
      </c>
      <c r="C359" s="827">
        <v>2</v>
      </c>
      <c r="D359" s="827">
        <v>1</v>
      </c>
      <c r="E359" s="827">
        <v>1</v>
      </c>
      <c r="F359" s="827">
        <v>1</v>
      </c>
      <c r="G359" s="827">
        <v>1</v>
      </c>
      <c r="H359" s="827">
        <v>1</v>
      </c>
      <c r="I359" s="827">
        <v>1</v>
      </c>
      <c r="J359" s="827">
        <v>1</v>
      </c>
      <c r="K359" s="827">
        <v>1</v>
      </c>
      <c r="L359" s="827">
        <v>1</v>
      </c>
      <c r="M359" s="827">
        <v>0</v>
      </c>
      <c r="N359" s="827">
        <v>0</v>
      </c>
      <c r="O359" s="827">
        <v>0</v>
      </c>
      <c r="P359" s="827">
        <v>0</v>
      </c>
      <c r="Q359" s="827">
        <v>0</v>
      </c>
      <c r="R359" s="827">
        <v>0</v>
      </c>
      <c r="S359" s="827">
        <v>0</v>
      </c>
      <c r="T359" s="827">
        <v>0</v>
      </c>
      <c r="U359" s="827">
        <v>0</v>
      </c>
      <c r="V359" s="827">
        <v>0</v>
      </c>
      <c r="W359" s="827">
        <v>0</v>
      </c>
      <c r="X359" s="827">
        <v>0</v>
      </c>
      <c r="Y359" s="827">
        <v>0</v>
      </c>
      <c r="Z359" s="827">
        <v>0</v>
      </c>
      <c r="AA359" s="827">
        <v>0</v>
      </c>
      <c r="AB359" s="827">
        <v>0</v>
      </c>
      <c r="AC359" s="828">
        <v>0</v>
      </c>
      <c r="AD359" s="828">
        <v>0</v>
      </c>
      <c r="AE359" s="828">
        <v>0</v>
      </c>
      <c r="AF359" s="828">
        <v>0</v>
      </c>
      <c r="AG359" s="828">
        <v>0</v>
      </c>
      <c r="AH359" s="828">
        <v>0</v>
      </c>
      <c r="AI359" s="828">
        <v>0</v>
      </c>
      <c r="AJ359" s="828">
        <v>0</v>
      </c>
      <c r="AK359" s="828">
        <v>0</v>
      </c>
      <c r="AL359" s="828">
        <v>0</v>
      </c>
      <c r="AM359" s="828">
        <v>0</v>
      </c>
      <c r="AN359" s="828">
        <v>0</v>
      </c>
      <c r="AO359" s="828">
        <v>0</v>
      </c>
      <c r="AP359" s="828">
        <v>0</v>
      </c>
    </row>
    <row r="360" hidden="1" ht="15.95" customHeight="1">
      <c r="B360" s="829" t="s">
        <v>20</v>
      </c>
      <c r="C360" s="823">
        <v>21</v>
      </c>
      <c r="D360" s="823">
        <v>26</v>
      </c>
      <c r="E360" s="823">
        <v>30</v>
      </c>
      <c r="F360" s="823">
        <v>33</v>
      </c>
      <c r="G360" s="823">
        <v>34</v>
      </c>
      <c r="H360" s="823">
        <v>35</v>
      </c>
      <c r="I360" s="823">
        <v>37</v>
      </c>
      <c r="J360" s="823">
        <v>37</v>
      </c>
      <c r="K360" s="823">
        <v>39</v>
      </c>
      <c r="L360" s="823">
        <v>40</v>
      </c>
      <c r="M360" s="823">
        <v>41</v>
      </c>
      <c r="N360" s="823">
        <v>44</v>
      </c>
      <c r="O360" s="823">
        <v>47</v>
      </c>
      <c r="P360" s="823">
        <v>49</v>
      </c>
      <c r="Q360" s="823">
        <v>49</v>
      </c>
      <c r="R360" s="823">
        <v>52</v>
      </c>
      <c r="S360" s="823">
        <v>54</v>
      </c>
      <c r="T360" s="823">
        <v>55</v>
      </c>
      <c r="U360" s="823">
        <v>57</v>
      </c>
      <c r="V360" s="823">
        <v>59</v>
      </c>
      <c r="W360" s="823">
        <v>62</v>
      </c>
      <c r="X360" s="823">
        <v>60</v>
      </c>
      <c r="Y360" s="823">
        <v>59</v>
      </c>
      <c r="Z360" s="823">
        <v>60</v>
      </c>
      <c r="AA360" s="823">
        <v>61</v>
      </c>
      <c r="AB360" s="823">
        <v>63</v>
      </c>
      <c r="AC360" s="825">
        <v>62</v>
      </c>
      <c r="AD360" s="825">
        <v>63</v>
      </c>
      <c r="AE360" s="825">
        <v>65</v>
      </c>
      <c r="AF360" s="825">
        <v>68</v>
      </c>
      <c r="AG360" s="825">
        <v>70</v>
      </c>
      <c r="AH360" s="825">
        <v>73</v>
      </c>
      <c r="AI360" s="825">
        <v>74</v>
      </c>
      <c r="AJ360" s="825">
        <v>76</v>
      </c>
      <c r="AK360" s="825">
        <v>78</v>
      </c>
      <c r="AL360" s="825">
        <v>80</v>
      </c>
      <c r="AM360" s="825">
        <v>81</v>
      </c>
      <c r="AN360" s="825">
        <v>83</v>
      </c>
      <c r="AO360" s="825">
        <v>86</v>
      </c>
      <c r="AP360" s="825">
        <v>88</v>
      </c>
    </row>
    <row r="361" hidden="1" ht="15.95" customHeight="1">
      <c r="B361" s="826" t="s">
        <v>21</v>
      </c>
      <c r="C361" s="827">
        <v>25</v>
      </c>
      <c r="D361" s="827">
        <v>25</v>
      </c>
      <c r="E361" s="827">
        <v>25</v>
      </c>
      <c r="F361" s="827">
        <v>25</v>
      </c>
      <c r="G361" s="827">
        <v>24</v>
      </c>
      <c r="H361" s="827">
        <v>26</v>
      </c>
      <c r="I361" s="827">
        <v>28</v>
      </c>
      <c r="J361" s="827">
        <v>27</v>
      </c>
      <c r="K361" s="827">
        <v>28</v>
      </c>
      <c r="L361" s="827">
        <v>28</v>
      </c>
      <c r="M361" s="827">
        <v>28</v>
      </c>
      <c r="N361" s="827">
        <v>28</v>
      </c>
      <c r="O361" s="827">
        <v>27</v>
      </c>
      <c r="P361" s="827">
        <v>27</v>
      </c>
      <c r="Q361" s="827">
        <v>25</v>
      </c>
      <c r="R361" s="827">
        <v>25</v>
      </c>
      <c r="S361" s="827">
        <v>25</v>
      </c>
      <c r="T361" s="827">
        <v>21</v>
      </c>
      <c r="U361" s="827">
        <v>22</v>
      </c>
      <c r="V361" s="827">
        <v>23</v>
      </c>
      <c r="W361" s="827">
        <v>22</v>
      </c>
      <c r="X361" s="827">
        <v>23</v>
      </c>
      <c r="Y361" s="827">
        <v>25</v>
      </c>
      <c r="Z361" s="827">
        <v>26</v>
      </c>
      <c r="AA361" s="827">
        <v>27</v>
      </c>
      <c r="AB361" s="827">
        <v>27</v>
      </c>
      <c r="AC361" s="828">
        <v>27</v>
      </c>
      <c r="AD361" s="828">
        <v>28</v>
      </c>
      <c r="AE361" s="828">
        <v>28</v>
      </c>
      <c r="AF361" s="828">
        <v>29</v>
      </c>
      <c r="AG361" s="828">
        <v>30</v>
      </c>
      <c r="AH361" s="828">
        <v>30</v>
      </c>
      <c r="AI361" s="828">
        <v>28</v>
      </c>
      <c r="AJ361" s="828">
        <v>29</v>
      </c>
      <c r="AK361" s="828">
        <v>30</v>
      </c>
      <c r="AL361" s="828">
        <v>31</v>
      </c>
      <c r="AM361" s="828">
        <v>27</v>
      </c>
      <c r="AN361" s="828">
        <v>28</v>
      </c>
      <c r="AO361" s="828">
        <v>28</v>
      </c>
      <c r="AP361" s="828">
        <v>29</v>
      </c>
    </row>
    <row r="362" hidden="1" ht="15.95" customHeight="1">
      <c r="B362" s="829" t="s">
        <v>22</v>
      </c>
      <c r="C362" s="823">
        <v>0</v>
      </c>
      <c r="D362" s="823">
        <v>0</v>
      </c>
      <c r="E362" s="823">
        <v>0</v>
      </c>
      <c r="F362" s="823">
        <v>0</v>
      </c>
      <c r="G362" s="823">
        <v>0</v>
      </c>
      <c r="H362" s="823">
        <v>0</v>
      </c>
      <c r="I362" s="823">
        <v>0</v>
      </c>
      <c r="J362" s="823">
        <v>0</v>
      </c>
      <c r="K362" s="823">
        <v>1</v>
      </c>
      <c r="L362" s="823">
        <v>1</v>
      </c>
      <c r="M362" s="823">
        <v>1</v>
      </c>
      <c r="N362" s="823">
        <v>1</v>
      </c>
      <c r="O362" s="823">
        <v>0</v>
      </c>
      <c r="P362" s="823">
        <v>0</v>
      </c>
      <c r="Q362" s="823">
        <v>0</v>
      </c>
      <c r="R362" s="823">
        <v>0</v>
      </c>
      <c r="S362" s="823">
        <v>0</v>
      </c>
      <c r="T362" s="823">
        <v>0</v>
      </c>
      <c r="U362" s="823">
        <v>0</v>
      </c>
      <c r="V362" s="823">
        <v>0</v>
      </c>
      <c r="W362" s="823">
        <v>0</v>
      </c>
      <c r="X362" s="823">
        <v>0</v>
      </c>
      <c r="Y362" s="823">
        <v>0</v>
      </c>
      <c r="Z362" s="823">
        <v>0</v>
      </c>
      <c r="AA362" s="823">
        <v>0</v>
      </c>
      <c r="AB362" s="823">
        <v>0</v>
      </c>
      <c r="AC362" s="825">
        <v>0</v>
      </c>
      <c r="AD362" s="825">
        <v>0</v>
      </c>
      <c r="AE362" s="825">
        <v>0</v>
      </c>
      <c r="AF362" s="825">
        <v>0</v>
      </c>
      <c r="AG362" s="825">
        <v>0</v>
      </c>
      <c r="AH362" s="825">
        <v>0</v>
      </c>
      <c r="AI362" s="825">
        <v>0</v>
      </c>
      <c r="AJ362" s="825">
        <v>0</v>
      </c>
      <c r="AK362" s="825">
        <v>0</v>
      </c>
      <c r="AL362" s="825">
        <v>0</v>
      </c>
      <c r="AM362" s="825">
        <v>0</v>
      </c>
      <c r="AN362" s="825">
        <v>0</v>
      </c>
      <c r="AO362" s="825">
        <v>0</v>
      </c>
      <c r="AP362" s="825">
        <v>0</v>
      </c>
    </row>
    <row r="363" hidden="1" ht="15.95" customHeight="1">
      <c r="B363" s="826" t="s">
        <v>23</v>
      </c>
      <c r="C363" s="827">
        <v>0</v>
      </c>
      <c r="D363" s="827">
        <v>0</v>
      </c>
      <c r="E363" s="827">
        <v>0</v>
      </c>
      <c r="F363" s="827">
        <v>0</v>
      </c>
      <c r="G363" s="827">
        <v>0</v>
      </c>
      <c r="H363" s="827">
        <v>0</v>
      </c>
      <c r="I363" s="827">
        <v>0</v>
      </c>
      <c r="J363" s="827">
        <v>0</v>
      </c>
      <c r="K363" s="827">
        <v>0</v>
      </c>
      <c r="L363" s="827">
        <v>0</v>
      </c>
      <c r="M363" s="827">
        <v>0</v>
      </c>
      <c r="N363" s="827">
        <v>0</v>
      </c>
      <c r="O363" s="827">
        <v>0</v>
      </c>
      <c r="P363" s="827">
        <v>0</v>
      </c>
      <c r="Q363" s="827">
        <v>0</v>
      </c>
      <c r="R363" s="827">
        <v>0</v>
      </c>
      <c r="S363" s="827">
        <v>0</v>
      </c>
      <c r="T363" s="827">
        <v>1</v>
      </c>
      <c r="U363" s="827">
        <v>1</v>
      </c>
      <c r="V363" s="827">
        <v>1</v>
      </c>
      <c r="W363" s="827">
        <v>1</v>
      </c>
      <c r="X363" s="827">
        <v>1</v>
      </c>
      <c r="Y363" s="827">
        <v>1</v>
      </c>
      <c r="Z363" s="827">
        <v>1</v>
      </c>
      <c r="AA363" s="827">
        <v>1</v>
      </c>
      <c r="AB363" s="827">
        <v>1</v>
      </c>
      <c r="AC363" s="828">
        <v>1</v>
      </c>
      <c r="AD363" s="828">
        <v>1</v>
      </c>
      <c r="AE363" s="828">
        <v>2</v>
      </c>
      <c r="AF363" s="828">
        <v>2</v>
      </c>
      <c r="AG363" s="828">
        <v>2</v>
      </c>
      <c r="AH363" s="828">
        <v>2</v>
      </c>
      <c r="AI363" s="828">
        <v>2</v>
      </c>
      <c r="AJ363" s="828">
        <v>2</v>
      </c>
      <c r="AK363" s="828">
        <v>2</v>
      </c>
      <c r="AL363" s="828">
        <v>2</v>
      </c>
      <c r="AM363" s="828">
        <v>2</v>
      </c>
      <c r="AN363" s="828">
        <v>2</v>
      </c>
      <c r="AO363" s="828">
        <v>2</v>
      </c>
      <c r="AP363" s="828">
        <v>2</v>
      </c>
    </row>
    <row r="364" hidden="1" ht="15.95" customHeight="1">
      <c r="B364" s="830" t="s">
        <v>24</v>
      </c>
      <c r="C364" s="823">
        <v>21</v>
      </c>
      <c r="D364" s="823">
        <v>21</v>
      </c>
      <c r="E364" s="823">
        <v>20</v>
      </c>
      <c r="F364" s="823">
        <v>20</v>
      </c>
      <c r="G364" s="823">
        <v>18</v>
      </c>
      <c r="H364" s="823">
        <v>17</v>
      </c>
      <c r="I364" s="823">
        <v>18</v>
      </c>
      <c r="J364" s="823">
        <v>19</v>
      </c>
      <c r="K364" s="823">
        <v>19</v>
      </c>
      <c r="L364" s="823">
        <v>18</v>
      </c>
      <c r="M364" s="823">
        <v>18</v>
      </c>
      <c r="N364" s="823">
        <v>18</v>
      </c>
      <c r="O364" s="823">
        <v>18</v>
      </c>
      <c r="P364" s="823">
        <v>18</v>
      </c>
      <c r="Q364" s="823">
        <v>19</v>
      </c>
      <c r="R364" s="823">
        <v>20</v>
      </c>
      <c r="S364" s="823">
        <v>20</v>
      </c>
      <c r="T364" s="823">
        <v>21</v>
      </c>
      <c r="U364" s="823">
        <v>21</v>
      </c>
      <c r="V364" s="823">
        <v>21</v>
      </c>
      <c r="W364" s="823">
        <v>21</v>
      </c>
      <c r="X364" s="823">
        <v>22</v>
      </c>
      <c r="Y364" s="823">
        <v>22</v>
      </c>
      <c r="Z364" s="823">
        <v>21</v>
      </c>
      <c r="AA364" s="823">
        <v>21</v>
      </c>
      <c r="AB364" s="823">
        <v>21</v>
      </c>
      <c r="AC364" s="825">
        <v>21</v>
      </c>
      <c r="AD364" s="825">
        <v>22</v>
      </c>
      <c r="AE364" s="825">
        <v>22</v>
      </c>
      <c r="AF364" s="825">
        <v>22</v>
      </c>
      <c r="AG364" s="825">
        <v>21</v>
      </c>
      <c r="AH364" s="825">
        <v>23</v>
      </c>
      <c r="AI364" s="825">
        <v>23</v>
      </c>
      <c r="AJ364" s="825">
        <v>24</v>
      </c>
      <c r="AK364" s="825">
        <v>24</v>
      </c>
      <c r="AL364" s="825">
        <v>24</v>
      </c>
      <c r="AM364" s="825">
        <v>24</v>
      </c>
      <c r="AN364" s="825">
        <v>24</v>
      </c>
      <c r="AO364" s="825">
        <v>26</v>
      </c>
      <c r="AP364" s="825">
        <v>30</v>
      </c>
    </row>
    <row r="365" hidden="1" ht="15.95" customHeight="1">
      <c r="B365" s="826" t="s">
        <v>25</v>
      </c>
      <c r="C365" s="827">
        <v>0</v>
      </c>
      <c r="D365" s="827">
        <v>0</v>
      </c>
      <c r="E365" s="827">
        <v>0</v>
      </c>
      <c r="F365" s="827">
        <v>0</v>
      </c>
      <c r="G365" s="827">
        <v>0</v>
      </c>
      <c r="H365" s="827">
        <v>0</v>
      </c>
      <c r="I365" s="827">
        <v>0</v>
      </c>
      <c r="J365" s="827">
        <v>0</v>
      </c>
      <c r="K365" s="827">
        <v>0</v>
      </c>
      <c r="L365" s="827">
        <v>0</v>
      </c>
      <c r="M365" s="827">
        <v>0</v>
      </c>
      <c r="N365" s="827">
        <v>0</v>
      </c>
      <c r="O365" s="827">
        <v>0</v>
      </c>
      <c r="P365" s="827">
        <v>0</v>
      </c>
      <c r="Q365" s="827">
        <v>0</v>
      </c>
      <c r="R365" s="827">
        <v>0</v>
      </c>
      <c r="S365" s="827">
        <v>0</v>
      </c>
      <c r="T365" s="827">
        <v>0</v>
      </c>
      <c r="U365" s="827">
        <v>0</v>
      </c>
      <c r="V365" s="827">
        <v>0</v>
      </c>
      <c r="W365" s="827">
        <v>0</v>
      </c>
      <c r="X365" s="827">
        <v>0</v>
      </c>
      <c r="Y365" s="827">
        <v>0</v>
      </c>
      <c r="Z365" s="827">
        <v>0</v>
      </c>
      <c r="AA365" s="827">
        <v>0</v>
      </c>
      <c r="AB365" s="827">
        <v>0</v>
      </c>
      <c r="AC365" s="828">
        <v>0</v>
      </c>
      <c r="AD365" s="828">
        <v>0</v>
      </c>
      <c r="AE365" s="828">
        <v>0</v>
      </c>
      <c r="AF365" s="828">
        <v>0</v>
      </c>
      <c r="AG365" s="828">
        <v>0</v>
      </c>
      <c r="AH365" s="828">
        <v>0</v>
      </c>
      <c r="AI365" s="828">
        <v>0</v>
      </c>
      <c r="AJ365" s="828">
        <v>0</v>
      </c>
      <c r="AK365" s="828">
        <v>0</v>
      </c>
      <c r="AL365" s="828">
        <v>0</v>
      </c>
      <c r="AM365" s="828">
        <v>0</v>
      </c>
      <c r="AN365" s="828">
        <v>0</v>
      </c>
      <c r="AO365" s="828">
        <v>0</v>
      </c>
      <c r="AP365" s="828">
        <v>0</v>
      </c>
    </row>
    <row r="366" hidden="1" ht="15.95" customHeight="1">
      <c r="B366" s="831" t="s">
        <v>26</v>
      </c>
      <c r="C366" s="823">
        <v>0</v>
      </c>
      <c r="D366" s="823">
        <v>0</v>
      </c>
      <c r="E366" s="823">
        <v>0</v>
      </c>
      <c r="F366" s="823">
        <v>0</v>
      </c>
      <c r="G366" s="823">
        <v>0</v>
      </c>
      <c r="H366" s="823">
        <v>0</v>
      </c>
      <c r="I366" s="823">
        <v>0</v>
      </c>
      <c r="J366" s="823">
        <v>0</v>
      </c>
      <c r="K366" s="823">
        <v>0</v>
      </c>
      <c r="L366" s="823">
        <v>0</v>
      </c>
      <c r="M366" s="823">
        <v>0</v>
      </c>
      <c r="N366" s="823">
        <v>0</v>
      </c>
      <c r="O366" s="823">
        <v>0</v>
      </c>
      <c r="P366" s="823">
        <v>0</v>
      </c>
      <c r="Q366" s="823">
        <v>0</v>
      </c>
      <c r="R366" s="823">
        <v>0</v>
      </c>
      <c r="S366" s="823">
        <v>0</v>
      </c>
      <c r="T366" s="823">
        <v>0</v>
      </c>
      <c r="U366" s="823">
        <v>0</v>
      </c>
      <c r="V366" s="823">
        <v>0</v>
      </c>
      <c r="W366" s="823">
        <v>0</v>
      </c>
      <c r="X366" s="823">
        <v>0</v>
      </c>
      <c r="Y366" s="823">
        <v>0</v>
      </c>
      <c r="Z366" s="823">
        <v>0</v>
      </c>
      <c r="AA366" s="823">
        <v>0</v>
      </c>
      <c r="AB366" s="832">
        <v>0</v>
      </c>
      <c r="AC366" s="825">
        <v>0</v>
      </c>
      <c r="AD366" s="825">
        <v>0</v>
      </c>
      <c r="AE366" s="825">
        <v>0</v>
      </c>
      <c r="AF366" s="825">
        <v>0</v>
      </c>
      <c r="AG366" s="825">
        <v>0</v>
      </c>
      <c r="AH366" s="825">
        <v>0</v>
      </c>
      <c r="AI366" s="825">
        <v>0</v>
      </c>
      <c r="AJ366" s="825">
        <v>0</v>
      </c>
      <c r="AK366" s="825">
        <v>0</v>
      </c>
      <c r="AL366" s="825">
        <v>0</v>
      </c>
      <c r="AM366" s="825">
        <v>0</v>
      </c>
      <c r="AN366" s="825">
        <v>0</v>
      </c>
      <c r="AO366" s="825">
        <v>0</v>
      </c>
      <c r="AP366" s="825">
        <v>0</v>
      </c>
    </row>
    <row r="367" hidden="1" ht="15.95" customHeight="1">
      <c r="B367" s="128" t="s">
        <v>7</v>
      </c>
      <c r="C367" s="129" t="str">
        <f>IF(SUM(C348:C366)&lt;&gt;0,SUM(C348:C366),"")</f>
      </c>
      <c r="D367" s="129" t="str">
        <f ref="D367:AA367" t="shared" si="40">IF(SUM(D348:D366)&lt;&gt;0,SUM(D348:D366),"")</f>
      </c>
      <c r="E367" s="129" t="str">
        <f t="shared" si="40"/>
      </c>
      <c r="F367" s="129" t="str">
        <f t="shared" si="40"/>
      </c>
      <c r="G367" s="129" t="str">
        <f t="shared" si="40"/>
      </c>
      <c r="H367" s="129" t="str">
        <f t="shared" si="40"/>
      </c>
      <c r="I367" s="129" t="str">
        <f t="shared" si="40"/>
      </c>
      <c r="J367" s="129" t="str">
        <f t="shared" si="40"/>
      </c>
      <c r="K367" s="129" t="str">
        <f t="shared" si="40"/>
      </c>
      <c r="L367" s="129" t="str">
        <f t="shared" si="40"/>
      </c>
      <c r="M367" s="129" t="str">
        <f t="shared" si="40"/>
      </c>
      <c r="N367" s="129" t="str">
        <f t="shared" si="40"/>
      </c>
      <c r="O367" s="129" t="str">
        <f t="shared" si="40"/>
      </c>
      <c r="P367" s="129" t="str">
        <f t="shared" si="40"/>
      </c>
      <c r="Q367" s="129" t="str">
        <f t="shared" si="40"/>
      </c>
      <c r="R367" s="129" t="str">
        <f t="shared" si="40"/>
      </c>
      <c r="S367" s="129" t="str">
        <f t="shared" si="40"/>
      </c>
      <c r="T367" s="129" t="str">
        <f t="shared" si="40"/>
      </c>
      <c r="U367" s="129" t="str">
        <f t="shared" si="40"/>
      </c>
      <c r="V367" s="129" t="str">
        <f t="shared" si="40"/>
      </c>
      <c r="W367" s="129" t="str">
        <f t="shared" si="40"/>
      </c>
      <c r="X367" s="129" t="str">
        <f t="shared" si="40"/>
      </c>
      <c r="Y367" s="129" t="str">
        <f t="shared" si="40"/>
      </c>
      <c r="Z367" s="129" t="str">
        <f t="shared" si="40"/>
      </c>
      <c r="AA367" s="129" t="str">
        <f t="shared" si="40"/>
      </c>
      <c r="AB367" s="130" t="str">
        <f>IF(SUM(AB348:AB366)&lt;&gt;0,SUM(AB348:AB366),"")</f>
      </c>
      <c r="AC367" s="91" t="str">
        <f ref="AC367:CN367" t="shared" si="41">IF(SUM(AC348:AC366)&lt;&gt;0,SUM(AC348:AC366),"")</f>
      </c>
      <c r="AD367" s="91" t="str">
        <f t="shared" si="41"/>
      </c>
      <c r="AE367" s="91" t="str">
        <f t="shared" si="41"/>
      </c>
      <c r="AF367" s="91" t="str">
        <f t="shared" si="41"/>
      </c>
      <c r="AG367" s="91" t="str">
        <f t="shared" si="41"/>
      </c>
      <c r="AH367" s="91" t="str">
        <f t="shared" si="41"/>
      </c>
      <c r="AI367" s="91" t="str">
        <f t="shared" si="41"/>
      </c>
      <c r="AJ367" s="91" t="str">
        <f t="shared" si="41"/>
      </c>
      <c r="AK367" s="91" t="str">
        <f t="shared" si="41"/>
      </c>
      <c r="AL367" s="91" t="str">
        <f t="shared" si="41"/>
      </c>
      <c r="AM367" s="91" t="str">
        <f t="shared" si="41"/>
      </c>
      <c r="AN367" s="91" t="str">
        <f t="shared" si="41"/>
      </c>
      <c r="AO367" s="91" t="str">
        <f t="shared" si="41"/>
      </c>
      <c r="AP367" s="91" t="str">
        <f t="shared" si="41"/>
      </c>
      <c r="AQ367" s="91" t="str">
        <f t="shared" si="41"/>
      </c>
      <c r="AR367" s="91" t="str">
        <f t="shared" si="41"/>
      </c>
      <c r="AS367" s="91" t="str">
        <f t="shared" si="41"/>
      </c>
      <c r="AT367" s="91" t="str">
        <f t="shared" si="41"/>
      </c>
      <c r="AU367" s="91" t="str">
        <f t="shared" si="41"/>
      </c>
      <c r="AV367" s="91" t="str">
        <f t="shared" si="41"/>
      </c>
      <c r="AW367" s="91" t="str">
        <f t="shared" si="41"/>
      </c>
      <c r="AX367" s="91" t="str">
        <f t="shared" si="41"/>
      </c>
      <c r="AY367" s="91" t="str">
        <f t="shared" si="41"/>
      </c>
      <c r="AZ367" s="91" t="str">
        <f t="shared" si="41"/>
      </c>
      <c r="BA367" s="91" t="str">
        <f t="shared" si="41"/>
      </c>
      <c r="BB367" s="91" t="str">
        <f t="shared" si="41"/>
      </c>
      <c r="BC367" s="91" t="str">
        <f t="shared" si="41"/>
      </c>
      <c r="BD367" s="91" t="str">
        <f t="shared" si="41"/>
      </c>
      <c r="BE367" s="91" t="str">
        <f t="shared" si="41"/>
      </c>
      <c r="BF367" s="91" t="str">
        <f t="shared" si="41"/>
      </c>
      <c r="BG367" s="91" t="str">
        <f t="shared" si="41"/>
      </c>
      <c r="BH367" s="91" t="str">
        <f t="shared" si="41"/>
      </c>
      <c r="BI367" s="91" t="str">
        <f t="shared" si="41"/>
      </c>
      <c r="BJ367" s="91" t="str">
        <f t="shared" si="41"/>
      </c>
      <c r="BK367" s="91" t="str">
        <f t="shared" si="41"/>
      </c>
      <c r="BL367" s="91" t="str">
        <f t="shared" si="41"/>
      </c>
      <c r="BM367" s="91" t="str">
        <f t="shared" si="41"/>
      </c>
      <c r="BN367" s="91" t="str">
        <f t="shared" si="41"/>
      </c>
      <c r="BO367" s="91" t="str">
        <f t="shared" si="41"/>
      </c>
      <c r="BP367" s="91" t="str">
        <f t="shared" si="41"/>
      </c>
      <c r="BQ367" s="91" t="str">
        <f t="shared" si="41"/>
      </c>
      <c r="BR367" s="91" t="str">
        <f t="shared" si="41"/>
      </c>
      <c r="BS367" s="91" t="str">
        <f t="shared" si="41"/>
      </c>
      <c r="BT367" s="91" t="str">
        <f t="shared" si="41"/>
      </c>
      <c r="BU367" s="91" t="str">
        <f t="shared" si="41"/>
      </c>
      <c r="BV367" s="91" t="str">
        <f t="shared" si="41"/>
      </c>
      <c r="BW367" s="91" t="str">
        <f t="shared" si="41"/>
      </c>
      <c r="BX367" s="91" t="str">
        <f t="shared" si="41"/>
      </c>
      <c r="BY367" s="91" t="str">
        <f t="shared" si="41"/>
      </c>
      <c r="BZ367" s="91" t="str">
        <f t="shared" si="41"/>
      </c>
      <c r="CA367" s="91" t="str">
        <f t="shared" si="41"/>
      </c>
      <c r="CB367" s="91" t="str">
        <f t="shared" si="41"/>
      </c>
      <c r="CC367" s="91" t="str">
        <f t="shared" si="41"/>
      </c>
      <c r="CD367" s="91" t="str">
        <f t="shared" si="41"/>
      </c>
      <c r="CE367" s="91" t="str">
        <f t="shared" si="41"/>
      </c>
      <c r="CF367" s="91" t="str">
        <f t="shared" si="41"/>
      </c>
      <c r="CG367" s="91" t="str">
        <f t="shared" si="41"/>
      </c>
      <c r="CH367" s="91" t="str">
        <f t="shared" si="41"/>
      </c>
      <c r="CI367" s="91" t="str">
        <f t="shared" si="41"/>
      </c>
      <c r="CJ367" s="91" t="str">
        <f t="shared" si="41"/>
      </c>
      <c r="CK367" s="91" t="str">
        <f t="shared" si="41"/>
      </c>
      <c r="CL367" s="91" t="str">
        <f t="shared" si="41"/>
      </c>
      <c r="CM367" s="91" t="str">
        <f t="shared" si="41"/>
      </c>
      <c r="CN367" s="91" t="str">
        <f t="shared" si="41"/>
      </c>
      <c r="CO367" s="91" t="str">
        <f ref="CO367:EZ367" t="shared" si="42">IF(SUM(CO348:CO366)&lt;&gt;0,SUM(CO348:CO366),"")</f>
      </c>
      <c r="CP367" s="91" t="str">
        <f t="shared" si="42"/>
      </c>
      <c r="CQ367" s="91" t="str">
        <f t="shared" si="42"/>
      </c>
      <c r="CR367" s="91" t="str">
        <f t="shared" si="42"/>
      </c>
      <c r="CS367" s="91" t="str">
        <f t="shared" si="42"/>
      </c>
      <c r="CT367" s="91" t="str">
        <f t="shared" si="42"/>
      </c>
      <c r="CU367" s="91" t="str">
        <f t="shared" si="42"/>
      </c>
      <c r="CV367" s="91" t="str">
        <f t="shared" si="42"/>
      </c>
      <c r="CW367" s="91" t="str">
        <f t="shared" si="42"/>
      </c>
      <c r="CX367" s="91" t="str">
        <f t="shared" si="42"/>
      </c>
      <c r="CY367" s="91" t="str">
        <f t="shared" si="42"/>
      </c>
      <c r="CZ367" s="91" t="str">
        <f t="shared" si="42"/>
      </c>
      <c r="DA367" s="91" t="str">
        <f t="shared" si="42"/>
      </c>
      <c r="DB367" s="91" t="str">
        <f t="shared" si="42"/>
      </c>
      <c r="DC367" s="91" t="str">
        <f t="shared" si="42"/>
      </c>
      <c r="DD367" s="91" t="str">
        <f t="shared" si="42"/>
      </c>
      <c r="DE367" s="91" t="str">
        <f t="shared" si="42"/>
      </c>
      <c r="DF367" s="91" t="str">
        <f t="shared" si="42"/>
      </c>
      <c r="DG367" s="91" t="str">
        <f t="shared" si="42"/>
      </c>
      <c r="DH367" s="91" t="str">
        <f t="shared" si="42"/>
      </c>
      <c r="DI367" s="91" t="str">
        <f t="shared" si="42"/>
      </c>
      <c r="DJ367" s="91" t="str">
        <f t="shared" si="42"/>
      </c>
      <c r="DK367" s="91" t="str">
        <f t="shared" si="42"/>
      </c>
      <c r="DL367" s="91" t="str">
        <f t="shared" si="42"/>
      </c>
      <c r="DM367" s="91" t="str">
        <f t="shared" si="42"/>
      </c>
      <c r="DN367" s="91" t="str">
        <f t="shared" si="42"/>
      </c>
      <c r="DO367" s="91" t="str">
        <f t="shared" si="42"/>
      </c>
      <c r="DP367" s="91" t="str">
        <f t="shared" si="42"/>
      </c>
      <c r="DQ367" s="91" t="str">
        <f t="shared" si="42"/>
      </c>
      <c r="DR367" s="91" t="str">
        <f t="shared" si="42"/>
      </c>
      <c r="DS367" s="91" t="str">
        <f t="shared" si="42"/>
      </c>
      <c r="DT367" s="91" t="str">
        <f t="shared" si="42"/>
      </c>
      <c r="DU367" s="91" t="str">
        <f t="shared" si="42"/>
      </c>
      <c r="DV367" s="91" t="str">
        <f t="shared" si="42"/>
      </c>
      <c r="DW367" s="91" t="str">
        <f t="shared" si="42"/>
      </c>
      <c r="DX367" s="91" t="str">
        <f t="shared" si="42"/>
      </c>
      <c r="DY367" s="91" t="str">
        <f t="shared" si="42"/>
      </c>
      <c r="DZ367" s="91" t="str">
        <f t="shared" si="42"/>
      </c>
      <c r="EA367" s="91" t="str">
        <f t="shared" si="42"/>
      </c>
      <c r="EB367" s="91" t="str">
        <f t="shared" si="42"/>
      </c>
      <c r="EC367" s="91" t="str">
        <f t="shared" si="42"/>
      </c>
      <c r="ED367" s="91" t="str">
        <f t="shared" si="42"/>
      </c>
      <c r="EE367" s="91" t="str">
        <f t="shared" si="42"/>
      </c>
      <c r="EF367" s="91" t="str">
        <f t="shared" si="42"/>
      </c>
      <c r="EG367" s="91" t="str">
        <f t="shared" si="42"/>
      </c>
      <c r="EH367" s="91" t="str">
        <f t="shared" si="42"/>
      </c>
      <c r="EI367" s="91" t="str">
        <f t="shared" si="42"/>
      </c>
      <c r="EJ367" s="91" t="str">
        <f t="shared" si="42"/>
      </c>
      <c r="EK367" s="91" t="str">
        <f t="shared" si="42"/>
      </c>
      <c r="EL367" s="91" t="str">
        <f t="shared" si="42"/>
      </c>
      <c r="EM367" s="91" t="str">
        <f t="shared" si="42"/>
      </c>
      <c r="EN367" s="91" t="str">
        <f t="shared" si="42"/>
      </c>
      <c r="EO367" s="91" t="str">
        <f t="shared" si="42"/>
      </c>
      <c r="EP367" s="91" t="str">
        <f t="shared" si="42"/>
      </c>
      <c r="EQ367" s="91" t="str">
        <f t="shared" si="42"/>
      </c>
      <c r="ER367" s="91" t="str">
        <f t="shared" si="42"/>
      </c>
      <c r="ES367" s="91" t="str">
        <f t="shared" si="42"/>
      </c>
      <c r="ET367" s="91" t="str">
        <f t="shared" si="42"/>
      </c>
      <c r="EU367" s="91" t="str">
        <f t="shared" si="42"/>
      </c>
      <c r="EV367" s="91" t="str">
        <f t="shared" si="42"/>
      </c>
      <c r="EW367" s="91" t="str">
        <f t="shared" si="42"/>
      </c>
      <c r="EX367" s="91" t="str">
        <f t="shared" si="42"/>
      </c>
      <c r="EY367" s="91" t="str">
        <f t="shared" si="42"/>
      </c>
      <c r="EZ367" s="91" t="str">
        <f t="shared" si="42"/>
      </c>
      <c r="FA367" s="91" t="str">
        <f ref="FA367:HL367" t="shared" si="43">IF(SUM(FA348:FA366)&lt;&gt;0,SUM(FA348:FA366),"")</f>
      </c>
      <c r="FB367" s="91" t="str">
        <f t="shared" si="43"/>
      </c>
      <c r="FC367" s="91" t="str">
        <f t="shared" si="43"/>
      </c>
      <c r="FD367" s="91" t="str">
        <f t="shared" si="43"/>
      </c>
      <c r="FE367" s="91" t="str">
        <f t="shared" si="43"/>
      </c>
      <c r="FF367" s="91" t="str">
        <f t="shared" si="43"/>
      </c>
      <c r="FG367" s="91" t="str">
        <f t="shared" si="43"/>
      </c>
      <c r="FH367" s="91" t="str">
        <f t="shared" si="43"/>
      </c>
      <c r="FI367" s="91" t="str">
        <f t="shared" si="43"/>
      </c>
      <c r="FJ367" s="91" t="str">
        <f t="shared" si="43"/>
      </c>
      <c r="FK367" s="91" t="str">
        <f t="shared" si="43"/>
      </c>
      <c r="FL367" s="91" t="str">
        <f t="shared" si="43"/>
      </c>
      <c r="FM367" s="91" t="str">
        <f t="shared" si="43"/>
      </c>
      <c r="FN367" s="91" t="str">
        <f t="shared" si="43"/>
      </c>
      <c r="FO367" s="91" t="str">
        <f t="shared" si="43"/>
      </c>
      <c r="FP367" s="91" t="str">
        <f t="shared" si="43"/>
      </c>
      <c r="FQ367" s="91" t="str">
        <f t="shared" si="43"/>
      </c>
      <c r="FR367" s="91" t="str">
        <f t="shared" si="43"/>
      </c>
      <c r="FS367" s="91" t="str">
        <f t="shared" si="43"/>
      </c>
      <c r="FT367" s="91" t="str">
        <f t="shared" si="43"/>
      </c>
      <c r="FU367" s="91" t="str">
        <f t="shared" si="43"/>
      </c>
      <c r="FV367" s="91" t="str">
        <f t="shared" si="43"/>
      </c>
      <c r="FW367" s="91" t="str">
        <f t="shared" si="43"/>
      </c>
      <c r="FX367" s="91" t="str">
        <f t="shared" si="43"/>
      </c>
      <c r="FY367" s="91" t="str">
        <f t="shared" si="43"/>
      </c>
      <c r="FZ367" s="91" t="str">
        <f t="shared" si="43"/>
      </c>
      <c r="GA367" s="91" t="str">
        <f t="shared" si="43"/>
      </c>
      <c r="GB367" s="91" t="str">
        <f t="shared" si="43"/>
      </c>
      <c r="GC367" s="91" t="str">
        <f t="shared" si="43"/>
      </c>
      <c r="GD367" s="91" t="str">
        <f t="shared" si="43"/>
      </c>
      <c r="GE367" s="91" t="str">
        <f t="shared" si="43"/>
      </c>
      <c r="GF367" s="91" t="str">
        <f t="shared" si="43"/>
      </c>
      <c r="GG367" s="91" t="str">
        <f t="shared" si="43"/>
      </c>
      <c r="GH367" s="91" t="str">
        <f t="shared" si="43"/>
      </c>
      <c r="GI367" s="91" t="str">
        <f t="shared" si="43"/>
      </c>
      <c r="GJ367" s="91" t="str">
        <f t="shared" si="43"/>
      </c>
      <c r="GK367" s="91" t="str">
        <f t="shared" si="43"/>
      </c>
      <c r="GL367" s="91" t="str">
        <f t="shared" si="43"/>
      </c>
      <c r="GM367" s="91" t="str">
        <f t="shared" si="43"/>
      </c>
      <c r="GN367" s="91" t="str">
        <f t="shared" si="43"/>
      </c>
      <c r="GO367" s="91" t="str">
        <f t="shared" si="43"/>
      </c>
      <c r="GP367" s="91" t="str">
        <f t="shared" si="43"/>
      </c>
      <c r="GQ367" s="91" t="str">
        <f t="shared" si="43"/>
      </c>
      <c r="GR367" s="91" t="str">
        <f t="shared" si="43"/>
      </c>
      <c r="GS367" s="91" t="str">
        <f t="shared" si="43"/>
      </c>
      <c r="GT367" s="91" t="str">
        <f t="shared" si="43"/>
      </c>
      <c r="GU367" s="91" t="str">
        <f t="shared" si="43"/>
      </c>
      <c r="GV367" s="91" t="str">
        <f t="shared" si="43"/>
      </c>
      <c r="GW367" s="91" t="str">
        <f t="shared" si="43"/>
      </c>
      <c r="GX367" s="91" t="str">
        <f t="shared" si="43"/>
      </c>
      <c r="GY367" s="91" t="str">
        <f t="shared" si="43"/>
      </c>
      <c r="GZ367" s="91" t="str">
        <f t="shared" si="43"/>
      </c>
      <c r="HA367" s="91" t="str">
        <f t="shared" si="43"/>
      </c>
      <c r="HB367" s="91" t="str">
        <f t="shared" si="43"/>
      </c>
      <c r="HC367" s="91" t="str">
        <f t="shared" si="43"/>
      </c>
      <c r="HD367" s="91" t="str">
        <f t="shared" si="43"/>
      </c>
      <c r="HE367" s="91" t="str">
        <f t="shared" si="43"/>
      </c>
      <c r="HF367" s="91" t="str">
        <f t="shared" si="43"/>
      </c>
      <c r="HG367" s="91" t="str">
        <f t="shared" si="43"/>
      </c>
      <c r="HH367" s="91" t="str">
        <f t="shared" si="43"/>
      </c>
      <c r="HI367" s="91" t="str">
        <f t="shared" si="43"/>
      </c>
      <c r="HJ367" s="91" t="str">
        <f t="shared" si="43"/>
      </c>
      <c r="HK367" s="91" t="str">
        <f t="shared" si="43"/>
      </c>
      <c r="HL367" s="91" t="str">
        <f t="shared" si="43"/>
      </c>
      <c r="HM367" s="91" t="str">
        <f ref="HM367:IV367" t="shared" si="44">IF(SUM(HM348:HM366)&lt;&gt;0,SUM(HM348:HM366),"")</f>
      </c>
      <c r="HN367" s="91" t="str">
        <f t="shared" si="44"/>
      </c>
      <c r="HO367" s="91" t="str">
        <f t="shared" si="44"/>
      </c>
      <c r="HP367" s="91" t="str">
        <f t="shared" si="44"/>
      </c>
      <c r="HQ367" s="91" t="str">
        <f t="shared" si="44"/>
      </c>
      <c r="HR367" s="91" t="str">
        <f t="shared" si="44"/>
      </c>
      <c r="HS367" s="91" t="str">
        <f t="shared" si="44"/>
      </c>
      <c r="HT367" s="91" t="str">
        <f t="shared" si="44"/>
      </c>
      <c r="HU367" s="91" t="str">
        <f t="shared" si="44"/>
      </c>
      <c r="HV367" s="91" t="str">
        <f t="shared" si="44"/>
      </c>
      <c r="HW367" s="91" t="str">
        <f t="shared" si="44"/>
      </c>
      <c r="HX367" s="91" t="str">
        <f t="shared" si="44"/>
      </c>
      <c r="HY367" s="91" t="str">
        <f t="shared" si="44"/>
      </c>
      <c r="HZ367" s="91" t="str">
        <f t="shared" si="44"/>
      </c>
      <c r="IA367" s="91" t="str">
        <f t="shared" si="44"/>
      </c>
      <c r="IB367" s="91" t="str">
        <f t="shared" si="44"/>
      </c>
      <c r="IC367" s="91" t="str">
        <f t="shared" si="44"/>
      </c>
      <c r="ID367" s="91" t="str">
        <f t="shared" si="44"/>
      </c>
      <c r="IE367" s="91" t="str">
        <f t="shared" si="44"/>
      </c>
      <c r="IF367" s="91" t="str">
        <f t="shared" si="44"/>
      </c>
      <c r="IG367" s="91" t="str">
        <f t="shared" si="44"/>
      </c>
      <c r="IH367" s="91" t="str">
        <f t="shared" si="44"/>
      </c>
      <c r="II367" s="91" t="str">
        <f t="shared" si="44"/>
      </c>
      <c r="IJ367" s="91" t="str">
        <f t="shared" si="44"/>
      </c>
      <c r="IK367" s="91" t="str">
        <f t="shared" si="44"/>
      </c>
      <c r="IL367" s="91" t="str">
        <f t="shared" si="44"/>
      </c>
      <c r="IM367" s="91" t="str">
        <f t="shared" si="44"/>
      </c>
      <c r="IN367" s="91" t="str">
        <f t="shared" si="44"/>
      </c>
      <c r="IO367" s="91" t="str">
        <f t="shared" si="44"/>
      </c>
      <c r="IP367" s="91" t="str">
        <f t="shared" si="44"/>
      </c>
      <c r="IQ367" s="91" t="str">
        <f t="shared" si="44"/>
      </c>
      <c r="IR367" s="91" t="str">
        <f t="shared" si="44"/>
      </c>
      <c r="IS367" s="91" t="str">
        <f t="shared" si="44"/>
      </c>
      <c r="IT367" s="91" t="str">
        <f t="shared" si="44"/>
      </c>
      <c r="IU367" s="91" t="str">
        <f t="shared" si="44"/>
      </c>
      <c r="IV367" s="91" t="str">
        <f t="shared" si="44"/>
      </c>
    </row>
    <row r="368" hidden="1" ht="15.95" customHeight="1">
      <c r="B368" s="274"/>
      <c r="C368" s="247"/>
      <c r="D368" s="247"/>
      <c r="E368" s="247"/>
      <c r="F368" s="247"/>
      <c r="G368" s="247"/>
      <c r="H368" s="247"/>
      <c r="I368" s="247"/>
      <c r="J368" s="247"/>
      <c r="K368" s="247"/>
      <c r="N368" s="275"/>
    </row>
    <row r="369" hidden="1" ht="15.95" customHeight="1">
      <c r="B369" s="274"/>
      <c r="C369" s="659" t="s">
        <v>208</v>
      </c>
      <c r="D369" s="660"/>
      <c r="E369" s="660"/>
      <c r="F369" s="660"/>
      <c r="G369" s="660"/>
      <c r="H369" s="660"/>
      <c r="I369" s="660"/>
      <c r="J369" s="660"/>
      <c r="K369" s="660"/>
      <c r="L369" s="660"/>
      <c r="M369" s="660"/>
      <c r="N369" s="660"/>
      <c r="O369" s="660"/>
      <c r="P369" s="660"/>
      <c r="Q369" s="660"/>
      <c r="R369" s="660"/>
      <c r="S369" s="660"/>
      <c r="T369" s="660"/>
      <c r="U369" s="660"/>
      <c r="V369" s="660"/>
      <c r="W369" s="660"/>
      <c r="X369" s="660"/>
      <c r="Y369" s="660"/>
      <c r="Z369" s="660"/>
      <c r="AA369" s="660"/>
      <c r="AB369" s="661"/>
    </row>
    <row r="370" hidden="1" ht="15.95" customHeight="1">
      <c r="C370" s="435" t="str">
        <f> IF(C390&lt;&gt;"",TEXT(AUX!G$1,"dd-MMM-aa"),"")</f>
      </c>
      <c r="D370" s="435" t="str">
        <f> IF(D390&lt;&gt;"",TEXT(AUX!H$1,"dd-MMM-aa"),"")</f>
      </c>
      <c r="E370" s="435" t="str">
        <f> IF(E390&lt;&gt;"",TEXT(AUX!I$1,"dd-MMM-aa"),"")</f>
      </c>
      <c r="F370" s="435" t="str">
        <f> IF(F390&lt;&gt;"",TEXT(AUX!J$1,"dd-MMM-aa"),"")</f>
      </c>
      <c r="G370" s="435" t="str">
        <f> IF(G390&lt;&gt;"",TEXT(AUX!K$1,"dd-MMM-aa"),"")</f>
      </c>
      <c r="H370" s="435" t="str">
        <f> IF(H390&lt;&gt;"",TEXT(AUX!L$1,"dd-MMM-aa"),"")</f>
      </c>
      <c r="I370" s="435" t="str">
        <f> IF(I390&lt;&gt;"",TEXT(AUX!M$1,"dd-MMM-aa"),"")</f>
      </c>
      <c r="J370" s="435" t="str">
        <f> IF(J390&lt;&gt;"",TEXT(AUX!N$1,"dd-MMM-aa"),"")</f>
      </c>
      <c r="K370" s="435" t="str">
        <f> IF(K390&lt;&gt;"",TEXT(AUX!O$1,"dd-MMM-aa"),"")</f>
      </c>
      <c r="L370" s="435" t="str">
        <f> IF(L390&lt;&gt;"",TEXT(AUX!P$1,"dd-MMM-aa"),"")</f>
      </c>
      <c r="M370" s="435" t="str">
        <f> IF(M390&lt;&gt;"",TEXT(AUX!Q$1,"dd-MMM-aa"),"")</f>
      </c>
      <c r="N370" s="435" t="str">
        <f> IF(N390&lt;&gt;"",TEXT(AUX!R$1,"dd-MMM-aa"),"")</f>
      </c>
      <c r="O370" s="435" t="str">
        <f> IF(O390&lt;&gt;"",TEXT(AUX!S$1,"dd-MMM-aa"),"")</f>
      </c>
      <c r="P370" s="435" t="str">
        <f> IF(P390&lt;&gt;"",TEXT(AUX!T$1,"dd-MMM-aa"),"")</f>
      </c>
      <c r="Q370" s="435" t="str">
        <f> IF(Q390&lt;&gt;"",TEXT(AUX!U$1,"dd-MMM-aa"),"")</f>
      </c>
      <c r="R370" s="435" t="str">
        <f> IF(R390&lt;&gt;"",TEXT(AUX!V$1,"dd-MMM-aa"),"")</f>
      </c>
      <c r="S370" s="435" t="str">
        <f> IF(S390&lt;&gt;"",TEXT(AUX!W$1,"dd-MMM-aa"),"")</f>
      </c>
      <c r="T370" s="435" t="str">
        <f> IF(T390&lt;&gt;"",TEXT(AUX!X$1,"dd-MMM-aa"),"")</f>
      </c>
      <c r="U370" s="435" t="str">
        <f> IF(U390&lt;&gt;"",TEXT(AUX!Y$1,"dd-MMM-aa"),"")</f>
      </c>
      <c r="V370" s="435" t="str">
        <f> IF(V390&lt;&gt;"",TEXT(AUX!Z$1,"dd-MMM-aa"),"")</f>
      </c>
      <c r="W370" s="435" t="str">
        <f> IF(W390&lt;&gt;"",TEXT(AUX!AA$1,"dd-MMM-aa"),"")</f>
      </c>
      <c r="X370" s="435" t="str">
        <f> IF(X390&lt;&gt;"",TEXT(AUX!AB$1,"dd-MMM-aa"),"")</f>
      </c>
      <c r="Y370" s="435" t="str">
        <f> IF(Y390&lt;&gt;"",TEXT(AUX!AC$1,"dd-MMM-aa"),"")</f>
      </c>
      <c r="Z370" s="435" t="str">
        <f> IF(Z390&lt;&gt;"",TEXT(AUX!AD$1,"dd-MMM-aa"),"")</f>
      </c>
      <c r="AA370" s="435" t="str">
        <f> IF(AA390&lt;&gt;"",TEXT(AUX!AE$1,"dd-MMM-aa"),"")</f>
      </c>
      <c r="AB370" s="497" t="str">
        <f> IF(AB390&lt;&gt;"",TEXT(AUX!AF$1,"dd-MMM-aa"),"")</f>
      </c>
      <c r="AC370" s="496" t="str">
        <f> IF(AC390&lt;&gt;"",TEXT(AUX!AG$1,"dd-MMM-aa"),"")</f>
      </c>
      <c r="AD370" s="496" t="str">
        <f> IF(AD390&lt;&gt;"",TEXT(AUX!AH$1,"dd-MMM-aa"),"")</f>
      </c>
      <c r="AE370" s="496" t="str">
        <f> IF(AE390&lt;&gt;"",TEXT(AUX!AI$1,"dd-MMM-aa"),"")</f>
      </c>
      <c r="AF370" s="496" t="str">
        <f> IF(AF390&lt;&gt;"",TEXT(AUX!AJ$1,"dd-MMM-aa"),"")</f>
      </c>
      <c r="AG370" s="496" t="str">
        <f> IF(AG390&lt;&gt;"",TEXT(AUX!AK$1,"dd-MMM-aa"),"")</f>
      </c>
      <c r="AH370" s="496" t="str">
        <f> IF(AH390&lt;&gt;"",TEXT(AUX!AL$1,"dd-MMM-aa"),"")</f>
      </c>
      <c r="AI370" s="496" t="str">
        <f> IF(AI390&lt;&gt;"",TEXT(AUX!AM$1,"dd-MMM-aa"),"")</f>
      </c>
      <c r="AJ370" s="496" t="str">
        <f> IF(AJ390&lt;&gt;"",TEXT(AUX!AN$1,"dd-MMM-aa"),"")</f>
      </c>
      <c r="AK370" s="496" t="str">
        <f> IF(AK390&lt;&gt;"",TEXT(AUX!AO$1,"dd-MMM-aa"),"")</f>
      </c>
      <c r="AL370" s="496" t="str">
        <f> IF(AL390&lt;&gt;"",TEXT(AUX!AP$1,"dd-MMM-aa"),"")</f>
      </c>
      <c r="AM370" s="496" t="str">
        <f> IF(AM390&lt;&gt;"",TEXT(AUX!AQ$1,"dd-MMM-aa"),"")</f>
      </c>
      <c r="AN370" s="496" t="str">
        <f> IF(AN390&lt;&gt;"",TEXT(AUX!AR$1,"dd-MMM-aa"),"")</f>
      </c>
      <c r="AO370" s="496" t="str">
        <f> IF(AO390&lt;&gt;"",TEXT(AUX!AS$1,"dd-MMM-aa"),"")</f>
      </c>
      <c r="AP370" s="496" t="str">
        <f> IF(AP390&lt;&gt;"",TEXT(AUX!AT$1,"dd-MMM-aa"),"")</f>
      </c>
      <c r="AQ370" s="496" t="str">
        <f> IF(AQ390&lt;&gt;"",TEXT(AUX!AU$1,"dd-MMM-aa"),"")</f>
      </c>
      <c r="AR370" s="496" t="str">
        <f> IF(AR390&lt;&gt;"",TEXT(AUX!AV$1,"dd-MMM-aa"),"")</f>
      </c>
      <c r="AS370" s="496" t="str">
        <f> IF(AS390&lt;&gt;"",TEXT(AUX!AW$1,"dd-MMM-aa"),"")</f>
      </c>
      <c r="AT370" s="496" t="str">
        <f> IF(AT390&lt;&gt;"",TEXT(AUX!AX$1,"dd-MMM-aa"),"")</f>
      </c>
      <c r="AU370" s="496" t="str">
        <f> IF(AU390&lt;&gt;"",TEXT(AUX!AY$1,"dd-MMM-aa"),"")</f>
      </c>
      <c r="AV370" s="496" t="str">
        <f> IF(AV390&lt;&gt;"",TEXT(AUX!AZ$1,"dd-MMM-aa"),"")</f>
      </c>
      <c r="AW370" s="496" t="str">
        <f> IF(AW390&lt;&gt;"",TEXT(AUX!BA$1,"dd-MMM-aa"),"")</f>
      </c>
      <c r="AX370" s="496" t="str">
        <f> IF(AX390&lt;&gt;"",TEXT(AUX!BB$1,"dd-MMM-aa"),"")</f>
      </c>
      <c r="AY370" s="496" t="str">
        <f> IF(AY390&lt;&gt;"",TEXT(AUX!BC$1,"dd-MMM-aa"),"")</f>
      </c>
      <c r="AZ370" s="496" t="str">
        <f> IF(AZ390&lt;&gt;"",TEXT(AUX!BD$1,"dd-MMM-aa"),"")</f>
      </c>
      <c r="BA370" s="496" t="str">
        <f> IF(BA390&lt;&gt;"",TEXT(AUX!BE$1,"dd-MMM-aa"),"")</f>
      </c>
      <c r="BB370" s="496" t="str">
        <f> IF(BB390&lt;&gt;"",TEXT(AUX!BF$1,"dd-MMM-aa"),"")</f>
      </c>
      <c r="BC370" s="496" t="str">
        <f> IF(BC390&lt;&gt;"",TEXT(AUX!BG$1,"dd-MMM-aa"),"")</f>
      </c>
      <c r="BD370" s="496" t="str">
        <f> IF(BD390&lt;&gt;"",TEXT(AUX!BH$1,"dd-MMM-aa"),"")</f>
      </c>
      <c r="BE370" s="496" t="str">
        <f> IF(BE390&lt;&gt;"",TEXT(AUX!BI$1,"dd-MMM-aa"),"")</f>
      </c>
      <c r="BF370" s="496" t="str">
        <f> IF(BF390&lt;&gt;"",TEXT(AUX!BJ$1,"dd-MMM-aa"),"")</f>
      </c>
      <c r="BG370" s="496" t="str">
        <f> IF(BG390&lt;&gt;"",TEXT(AUX!BK$1,"dd-MMM-aa"),"")</f>
      </c>
      <c r="BH370" s="496" t="str">
        <f> IF(BH390&lt;&gt;"",TEXT(AUX!BL$1,"dd-MMM-aa"),"")</f>
      </c>
      <c r="BI370" s="496" t="str">
        <f> IF(BI390&lt;&gt;"",TEXT(AUX!BM$1,"dd-MMM-aa"),"")</f>
      </c>
      <c r="BJ370" s="496" t="str">
        <f> IF(BJ390&lt;&gt;"",TEXT(AUX!BN$1,"dd-MMM-aa"),"")</f>
      </c>
      <c r="BK370" s="496" t="str">
        <f> IF(BK390&lt;&gt;"",TEXT(AUX!BO$1,"dd-MMM-aa"),"")</f>
      </c>
      <c r="BL370" s="496" t="str">
        <f> IF(BL390&lt;&gt;"",TEXT(AUX!BP$1,"dd-MMM-aa"),"")</f>
      </c>
      <c r="BM370" s="496" t="str">
        <f> IF(BM390&lt;&gt;"",TEXT(AUX!BQ$1,"dd-MMM-aa"),"")</f>
      </c>
      <c r="BN370" s="496" t="str">
        <f> IF(BN390&lt;&gt;"",TEXT(AUX!BR$1,"dd-MMM-aa"),"")</f>
      </c>
      <c r="BO370" s="496" t="str">
        <f> IF(BO390&lt;&gt;"",TEXT(AUX!BS$1,"dd-MMM-aa"),"")</f>
      </c>
      <c r="BP370" s="496" t="str">
        <f> IF(BP390&lt;&gt;"",TEXT(AUX!BT$1,"dd-MMM-aa"),"")</f>
      </c>
      <c r="BQ370" s="496" t="str">
        <f> IF(BQ390&lt;&gt;"",TEXT(AUX!BU$1,"dd-MMM-aa"),"")</f>
      </c>
      <c r="BR370" s="496" t="str">
        <f> IF(BR390&lt;&gt;"",TEXT(AUX!BV$1,"dd-MMM-aa"),"")</f>
      </c>
      <c r="BS370" s="496" t="str">
        <f> IF(BS390&lt;&gt;"",TEXT(AUX!BW$1,"dd-MMM-aa"),"")</f>
      </c>
      <c r="BT370" s="496" t="str">
        <f> IF(BT390&lt;&gt;"",TEXT(AUX!BX$1,"dd-MMM-aa"),"")</f>
      </c>
      <c r="BU370" s="496" t="str">
        <f> IF(BU390&lt;&gt;"",TEXT(AUX!BY$1,"dd-MMM-aa"),"")</f>
      </c>
      <c r="BV370" s="496" t="str">
        <f> IF(BV390&lt;&gt;"",TEXT(AUX!BZ$1,"dd-MMM-aa"),"")</f>
      </c>
      <c r="BW370" s="496" t="str">
        <f> IF(BW390&lt;&gt;"",TEXT(AUX!CA$1,"dd-MMM-aa"),"")</f>
      </c>
      <c r="BX370" s="496" t="str">
        <f> IF(BX390&lt;&gt;"",TEXT(AUX!CB$1,"dd-MMM-aa"),"")</f>
      </c>
      <c r="BY370" s="496" t="str">
        <f> IF(BY390&lt;&gt;"",TEXT(AUX!CC$1,"dd-MMM-aa"),"")</f>
      </c>
      <c r="BZ370" s="496" t="str">
        <f> IF(BZ390&lt;&gt;"",TEXT(AUX!CD$1,"dd-MMM-aa"),"")</f>
      </c>
      <c r="CA370" s="496" t="str">
        <f> IF(CA390&lt;&gt;"",TEXT(AUX!CE$1,"dd-MMM-aa"),"")</f>
      </c>
      <c r="CB370" s="496" t="str">
        <f> IF(CB390&lt;&gt;"",TEXT(AUX!CF$1,"dd-MMM-aa"),"")</f>
      </c>
      <c r="CC370" s="496" t="str">
        <f> IF(CC390&lt;&gt;"",TEXT(AUX!CG$1,"dd-MMM-aa"),"")</f>
      </c>
      <c r="CD370" s="496" t="str">
        <f> IF(CD390&lt;&gt;"",TEXT(AUX!CH$1,"dd-MMM-aa"),"")</f>
      </c>
      <c r="CE370" s="496" t="str">
        <f> IF(CE390&lt;&gt;"",TEXT(AUX!CI$1,"dd-MMM-aa"),"")</f>
      </c>
      <c r="CF370" s="496" t="str">
        <f> IF(CF390&lt;&gt;"",TEXT(AUX!CJ$1,"dd-MMM-aa"),"")</f>
      </c>
      <c r="CG370" s="496" t="str">
        <f> IF(CG390&lt;&gt;"",TEXT(AUX!CK$1,"dd-MMM-aa"),"")</f>
      </c>
      <c r="CH370" s="496" t="str">
        <f> IF(CH390&lt;&gt;"",TEXT(AUX!CL$1,"dd-MMM-aa"),"")</f>
      </c>
      <c r="CI370" s="496" t="str">
        <f> IF(CI390&lt;&gt;"",TEXT(AUX!CM$1,"dd-MMM-aa"),"")</f>
      </c>
      <c r="CJ370" s="496" t="str">
        <f> IF(CJ390&lt;&gt;"",TEXT(AUX!CN$1,"dd-MMM-aa"),"")</f>
      </c>
      <c r="CK370" s="496" t="str">
        <f> IF(CK390&lt;&gt;"",TEXT(AUX!CO$1,"dd-MMM-aa"),"")</f>
      </c>
      <c r="CL370" s="496" t="str">
        <f> IF(CL390&lt;&gt;"",TEXT(AUX!CP$1,"dd-MMM-aa"),"")</f>
      </c>
      <c r="CM370" s="496" t="str">
        <f> IF(CM390&lt;&gt;"",TEXT(AUX!CQ$1,"dd-MMM-aa"),"")</f>
      </c>
      <c r="CN370" s="496" t="str">
        <f> IF(CN390&lt;&gt;"",TEXT(AUX!CR$1,"dd-MMM-aa"),"")</f>
      </c>
      <c r="CO370" s="496" t="str">
        <f> IF(CO390&lt;&gt;"",TEXT(AUX!CS$1,"dd-MMM-aa"),"")</f>
      </c>
      <c r="CP370" s="496" t="str">
        <f> IF(CP390&lt;&gt;"",TEXT(AUX!CT$1,"dd-MMM-aa"),"")</f>
      </c>
      <c r="CQ370" s="496" t="str">
        <f> IF(CQ390&lt;&gt;"",TEXT(AUX!CU$1,"dd-MMM-aa"),"")</f>
      </c>
      <c r="CR370" s="496" t="str">
        <f> IF(CR390&lt;&gt;"",TEXT(AUX!CV$1,"dd-MMM-aa"),"")</f>
      </c>
      <c r="CS370" s="496" t="str">
        <f> IF(CS390&lt;&gt;"",TEXT(AUX!CW$1,"dd-MMM-aa"),"")</f>
      </c>
      <c r="CT370" s="496" t="str">
        <f> IF(CT390&lt;&gt;"",TEXT(AUX!CX$1,"dd-MMM-aa"),"")</f>
      </c>
      <c r="CU370" s="496" t="str">
        <f> IF(CU390&lt;&gt;"",TEXT(AUX!CY$1,"dd-MMM-aa"),"")</f>
      </c>
      <c r="CV370" s="496" t="str">
        <f> IF(CV390&lt;&gt;"",TEXT(AUX!CZ$1,"dd-MMM-aa"),"")</f>
      </c>
      <c r="CW370" s="496" t="str">
        <f> IF(CW390&lt;&gt;"",TEXT(AUX!DA$1,"dd-MMM-aa"),"")</f>
      </c>
      <c r="CX370" s="496" t="str">
        <f> IF(CX390&lt;&gt;"",TEXT(AUX!DB$1,"dd-MMM-aa"),"")</f>
      </c>
      <c r="CY370" s="496" t="str">
        <f> IF(CY390&lt;&gt;"",TEXT(AUX!DC$1,"dd-MMM-aa"),"")</f>
      </c>
      <c r="CZ370" s="496" t="str">
        <f> IF(CZ390&lt;&gt;"",TEXT(AUX!DD$1,"dd-MMM-aa"),"")</f>
      </c>
      <c r="DA370" s="496" t="str">
        <f> IF(DA390&lt;&gt;"",TEXT(AUX!DE$1,"dd-MMM-aa"),"")</f>
      </c>
      <c r="DB370" s="496" t="str">
        <f> IF(DB390&lt;&gt;"",TEXT(AUX!DF$1,"dd-MMM-aa"),"")</f>
      </c>
      <c r="DC370" s="496" t="str">
        <f> IF(DC390&lt;&gt;"",TEXT(AUX!DG$1,"dd-MMM-aa"),"")</f>
      </c>
      <c r="DD370" s="496" t="str">
        <f> IF(DD390&lt;&gt;"",TEXT(AUX!DH$1,"dd-MMM-aa"),"")</f>
      </c>
      <c r="DE370" s="496" t="str">
        <f> IF(DE390&lt;&gt;"",TEXT(AUX!DI$1,"dd-MMM-aa"),"")</f>
      </c>
      <c r="DF370" s="496" t="str">
        <f> IF(DF390&lt;&gt;"",TEXT(AUX!DJ$1,"dd-MMM-aa"),"")</f>
      </c>
      <c r="DG370" s="496" t="str">
        <f> IF(DG390&lt;&gt;"",TEXT(AUX!DK$1,"dd-MMM-aa"),"")</f>
      </c>
      <c r="DH370" s="496" t="str">
        <f> IF(DH390&lt;&gt;"",TEXT(AUX!DL$1,"dd-MMM-aa"),"")</f>
      </c>
      <c r="DI370" s="496" t="str">
        <f> IF(DI390&lt;&gt;"",TEXT(AUX!DM$1,"dd-MMM-aa"),"")</f>
      </c>
      <c r="DJ370" s="496" t="str">
        <f> IF(DJ390&lt;&gt;"",TEXT(AUX!DN$1,"dd-MMM-aa"),"")</f>
      </c>
      <c r="DK370" s="496" t="str">
        <f> IF(DK390&lt;&gt;"",TEXT(AUX!DO$1,"dd-MMM-aa"),"")</f>
      </c>
      <c r="DL370" s="496" t="str">
        <f> IF(DL390&lt;&gt;"",TEXT(AUX!DP$1,"dd-MMM-aa"),"")</f>
      </c>
      <c r="DM370" s="496" t="str">
        <f> IF(DM390&lt;&gt;"",TEXT(AUX!DQ$1,"dd-MMM-aa"),"")</f>
      </c>
      <c r="DN370" s="496" t="str">
        <f> IF(DN390&lt;&gt;"",TEXT(AUX!DR$1,"dd-MMM-aa"),"")</f>
      </c>
      <c r="DO370" s="496" t="str">
        <f> IF(DO390&lt;&gt;"",TEXT(AUX!DS$1,"dd-MMM-aa"),"")</f>
      </c>
      <c r="DP370" s="496" t="str">
        <f> IF(DP390&lt;&gt;"",TEXT(AUX!DT$1,"dd-MMM-aa"),"")</f>
      </c>
      <c r="DQ370" s="496" t="str">
        <f> IF(DQ390&lt;&gt;"",TEXT(AUX!DU$1,"dd-MMM-aa"),"")</f>
      </c>
      <c r="DR370" s="496" t="str">
        <f> IF(DR390&lt;&gt;"",TEXT(AUX!DV$1,"dd-MMM-aa"),"")</f>
      </c>
      <c r="DS370" s="496" t="str">
        <f> IF(DS390&lt;&gt;"",TEXT(AUX!DW$1,"dd-MMM-aa"),"")</f>
      </c>
      <c r="DT370" s="496" t="str">
        <f> IF(DT390&lt;&gt;"",TEXT(AUX!DX$1,"dd-MMM-aa"),"")</f>
      </c>
      <c r="DU370" s="496" t="str">
        <f> IF(DU390&lt;&gt;"",TEXT(AUX!DY$1,"dd-MMM-aa"),"")</f>
      </c>
      <c r="DV370" s="496" t="str">
        <f> IF(DV390&lt;&gt;"",TEXT(AUX!DZ$1,"dd-MMM-aa"),"")</f>
      </c>
      <c r="DW370" s="496" t="str">
        <f> IF(DW390&lt;&gt;"",TEXT(AUX!EA$1,"dd-MMM-aa"),"")</f>
      </c>
      <c r="DX370" s="496" t="str">
        <f> IF(DX390&lt;&gt;"",TEXT(AUX!EB$1,"dd-MMM-aa"),"")</f>
      </c>
      <c r="DY370" s="496" t="str">
        <f> IF(DY390&lt;&gt;"",TEXT(AUX!EC$1,"dd-MMM-aa"),"")</f>
      </c>
      <c r="DZ370" s="496" t="str">
        <f> IF(DZ390&lt;&gt;"",TEXT(AUX!ED$1,"dd-MMM-aa"),"")</f>
      </c>
      <c r="EA370" s="496" t="str">
        <f> IF(EA390&lt;&gt;"",TEXT(AUX!EE$1,"dd-MMM-aa"),"")</f>
      </c>
      <c r="EB370" s="496" t="str">
        <f> IF(EB390&lt;&gt;"",TEXT(AUX!EF$1,"dd-MMM-aa"),"")</f>
      </c>
      <c r="EC370" s="496" t="str">
        <f> IF(EC390&lt;&gt;"",TEXT(AUX!EG$1,"dd-MMM-aa"),"")</f>
      </c>
      <c r="ED370" s="496" t="str">
        <f> IF(ED390&lt;&gt;"",TEXT(AUX!EH$1,"dd-MMM-aa"),"")</f>
      </c>
      <c r="EE370" s="496" t="str">
        <f> IF(EE390&lt;&gt;"",TEXT(AUX!EI$1,"dd-MMM-aa"),"")</f>
      </c>
      <c r="EF370" s="496" t="str">
        <f> IF(EF390&lt;&gt;"",TEXT(AUX!EJ$1,"dd-MMM-aa"),"")</f>
      </c>
      <c r="EG370" s="496" t="str">
        <f> IF(EG390&lt;&gt;"",TEXT(AUX!EK$1,"dd-MMM-aa"),"")</f>
      </c>
      <c r="EH370" s="496" t="str">
        <f> IF(EH390&lt;&gt;"",TEXT(AUX!EL$1,"dd-MMM-aa"),"")</f>
      </c>
      <c r="EI370" s="496" t="str">
        <f> IF(EI390&lt;&gt;"",TEXT(AUX!EM$1,"dd-MMM-aa"),"")</f>
      </c>
      <c r="EJ370" s="496" t="str">
        <f> IF(EJ390&lt;&gt;"",TEXT(AUX!EN$1,"dd-MMM-aa"),"")</f>
      </c>
      <c r="EK370" s="496" t="str">
        <f> IF(EK390&lt;&gt;"",TEXT(AUX!EO$1,"dd-MMM-aa"),"")</f>
      </c>
      <c r="EL370" s="496" t="str">
        <f> IF(EL390&lt;&gt;"",TEXT(AUX!EP$1,"dd-MMM-aa"),"")</f>
      </c>
      <c r="EM370" s="496" t="str">
        <f> IF(EM390&lt;&gt;"",TEXT(AUX!EQ$1,"dd-MMM-aa"),"")</f>
      </c>
      <c r="EN370" s="496" t="str">
        <f> IF(EN390&lt;&gt;"",TEXT(AUX!ER$1,"dd-MMM-aa"),"")</f>
      </c>
      <c r="EO370" s="496" t="str">
        <f> IF(EO390&lt;&gt;"",TEXT(AUX!ES$1,"dd-MMM-aa"),"")</f>
      </c>
      <c r="EP370" s="496" t="str">
        <f> IF(EP390&lt;&gt;"",TEXT(AUX!ET$1,"dd-MMM-aa"),"")</f>
      </c>
      <c r="EQ370" s="496" t="str">
        <f> IF(EQ390&lt;&gt;"",TEXT(AUX!EU$1,"dd-MMM-aa"),"")</f>
      </c>
      <c r="ER370" s="496" t="str">
        <f> IF(ER390&lt;&gt;"",TEXT(AUX!EV$1,"dd-MMM-aa"),"")</f>
      </c>
      <c r="ES370" s="496" t="str">
        <f> IF(ES390&lt;&gt;"",TEXT(AUX!EW$1,"dd-MMM-aa"),"")</f>
      </c>
      <c r="ET370" s="496" t="str">
        <f> IF(ET390&lt;&gt;"",TEXT(AUX!EX$1,"dd-MMM-aa"),"")</f>
      </c>
      <c r="EU370" s="496" t="str">
        <f> IF(EU390&lt;&gt;"",TEXT(AUX!EY$1,"dd-MMM-aa"),"")</f>
      </c>
      <c r="EV370" s="496" t="str">
        <f> IF(EV390&lt;&gt;"",TEXT(AUX!EZ$1,"dd-MMM-aa"),"")</f>
      </c>
      <c r="EW370" s="496" t="str">
        <f> IF(EW390&lt;&gt;"",TEXT(AUX!FA$1,"dd-MMM-aa"),"")</f>
      </c>
      <c r="EX370" s="496" t="str">
        <f> IF(EX390&lt;&gt;"",TEXT(AUX!FB$1,"dd-MMM-aa"),"")</f>
      </c>
      <c r="EY370" s="496" t="str">
        <f> IF(EY390&lt;&gt;"",TEXT(AUX!FC$1,"dd-MMM-aa"),"")</f>
      </c>
      <c r="EZ370" s="496" t="str">
        <f> IF(EZ390&lt;&gt;"",TEXT(AUX!FD$1,"dd-MMM-aa"),"")</f>
      </c>
      <c r="FA370" s="496" t="str">
        <f> IF(FA390&lt;&gt;"",TEXT(AUX!FE$1,"dd-MMM-aa"),"")</f>
      </c>
      <c r="FB370" s="496" t="str">
        <f> IF(FB390&lt;&gt;"",TEXT(AUX!FF$1,"dd-MMM-aa"),"")</f>
      </c>
      <c r="FC370" s="496" t="str">
        <f> IF(FC390&lt;&gt;"",TEXT(AUX!FG$1,"dd-MMM-aa"),"")</f>
      </c>
      <c r="FD370" s="496" t="str">
        <f> IF(FD390&lt;&gt;"",TEXT(AUX!FH$1,"dd-MMM-aa"),"")</f>
      </c>
      <c r="FE370" s="496" t="str">
        <f> IF(FE390&lt;&gt;"",TEXT(AUX!FI$1,"dd-MMM-aa"),"")</f>
      </c>
      <c r="FF370" s="496" t="str">
        <f> IF(FF390&lt;&gt;"",TEXT(AUX!FJ$1,"dd-MMM-aa"),"")</f>
      </c>
      <c r="FG370" s="496" t="str">
        <f> IF(FG390&lt;&gt;"",TEXT(AUX!FK$1,"dd-MMM-aa"),"")</f>
      </c>
      <c r="FH370" s="496" t="str">
        <f> IF(FH390&lt;&gt;"",TEXT(AUX!FL$1,"dd-MMM-aa"),"")</f>
      </c>
      <c r="FI370" s="496" t="str">
        <f> IF(FI390&lt;&gt;"",TEXT(AUX!FM$1,"dd-MMM-aa"),"")</f>
      </c>
      <c r="FJ370" s="496" t="str">
        <f> IF(FJ390&lt;&gt;"",TEXT(AUX!FN$1,"dd-MMM-aa"),"")</f>
      </c>
      <c r="FK370" s="496" t="str">
        <f> IF(FK390&lt;&gt;"",TEXT(AUX!FO$1,"dd-MMM-aa"),"")</f>
      </c>
      <c r="FL370" s="496" t="str">
        <f> IF(FL390&lt;&gt;"",TEXT(AUX!FP$1,"dd-MMM-aa"),"")</f>
      </c>
      <c r="FM370" s="496" t="str">
        <f> IF(FM390&lt;&gt;"",TEXT(AUX!FQ$1,"dd-MMM-aa"),"")</f>
      </c>
      <c r="FN370" s="496" t="str">
        <f> IF(FN390&lt;&gt;"",TEXT(AUX!FR$1,"dd-MMM-aa"),"")</f>
      </c>
      <c r="FO370" s="496" t="str">
        <f> IF(FO390&lt;&gt;"",TEXT(AUX!FS$1,"dd-MMM-aa"),"")</f>
      </c>
      <c r="FP370" s="496" t="str">
        <f> IF(FP390&lt;&gt;"",TEXT(AUX!FT$1,"dd-MMM-aa"),"")</f>
      </c>
      <c r="FQ370" s="496" t="str">
        <f> IF(FQ390&lt;&gt;"",TEXT(AUX!FU$1,"dd-MMM-aa"),"")</f>
      </c>
      <c r="FR370" s="496" t="str">
        <f> IF(FR390&lt;&gt;"",TEXT(AUX!FV$1,"dd-MMM-aa"),"")</f>
      </c>
      <c r="FS370" s="496" t="str">
        <f> IF(FS390&lt;&gt;"",TEXT(AUX!FW$1,"dd-MMM-aa"),"")</f>
      </c>
      <c r="FT370" s="496" t="str">
        <f> IF(FT390&lt;&gt;"",TEXT(AUX!FX$1,"dd-MMM-aa"),"")</f>
      </c>
      <c r="FU370" s="496" t="str">
        <f> IF(FU390&lt;&gt;"",TEXT(AUX!FY$1,"dd-MMM-aa"),"")</f>
      </c>
      <c r="FV370" s="496" t="str">
        <f> IF(FV390&lt;&gt;"",TEXT(AUX!FZ$1,"dd-MMM-aa"),"")</f>
      </c>
      <c r="FW370" s="496" t="str">
        <f> IF(FW390&lt;&gt;"",TEXT(AUX!GA$1,"dd-MMM-aa"),"")</f>
      </c>
      <c r="FX370" s="496" t="str">
        <f> IF(FX390&lt;&gt;"",TEXT(AUX!GB$1,"dd-MMM-aa"),"")</f>
      </c>
      <c r="FY370" s="496" t="str">
        <f> IF(FY390&lt;&gt;"",TEXT(AUX!GC$1,"dd-MMM-aa"),"")</f>
      </c>
      <c r="FZ370" s="496" t="str">
        <f> IF(FZ390&lt;&gt;"",TEXT(AUX!GD$1,"dd-MMM-aa"),"")</f>
      </c>
      <c r="GA370" s="496" t="str">
        <f> IF(GA390&lt;&gt;"",TEXT(AUX!GE$1,"dd-MMM-aa"),"")</f>
      </c>
      <c r="GB370" s="496" t="str">
        <f> IF(GB390&lt;&gt;"",TEXT(AUX!GF$1,"dd-MMM-aa"),"")</f>
      </c>
      <c r="GC370" s="496" t="str">
        <f> IF(GC390&lt;&gt;"",TEXT(AUX!GG$1,"dd-MMM-aa"),"")</f>
      </c>
      <c r="GD370" s="496" t="str">
        <f> IF(GD390&lt;&gt;"",TEXT(AUX!GH$1,"dd-MMM-aa"),"")</f>
      </c>
      <c r="GE370" s="496" t="str">
        <f> IF(GE390&lt;&gt;"",TEXT(AUX!GI$1,"dd-MMM-aa"),"")</f>
      </c>
      <c r="GF370" s="496" t="str">
        <f> IF(GF390&lt;&gt;"",TEXT(AUX!GJ$1,"dd-MMM-aa"),"")</f>
      </c>
      <c r="GG370" s="496" t="str">
        <f> IF(GG390&lt;&gt;"",TEXT(AUX!GK$1,"dd-MMM-aa"),"")</f>
      </c>
      <c r="GH370" s="496" t="str">
        <f> IF(GH390&lt;&gt;"",TEXT(AUX!GL$1,"dd-MMM-aa"),"")</f>
      </c>
      <c r="GI370" s="496" t="str">
        <f> IF(GI390&lt;&gt;"",TEXT(AUX!GM$1,"dd-MMM-aa"),"")</f>
      </c>
      <c r="GJ370" s="496" t="str">
        <f> IF(GJ390&lt;&gt;"",TEXT(AUX!GN$1,"dd-MMM-aa"),"")</f>
      </c>
      <c r="GK370" s="496" t="str">
        <f> IF(GK390&lt;&gt;"",TEXT(AUX!GO$1,"dd-MMM-aa"),"")</f>
      </c>
      <c r="GL370" s="496" t="str">
        <f> IF(GL390&lt;&gt;"",TEXT(AUX!GP$1,"dd-MMM-aa"),"")</f>
      </c>
      <c r="GM370" s="496" t="str">
        <f> IF(GM390&lt;&gt;"",TEXT(AUX!GQ$1,"dd-MMM-aa"),"")</f>
      </c>
      <c r="GN370" s="496" t="str">
        <f> IF(GN390&lt;&gt;"",TEXT(AUX!GR$1,"dd-MMM-aa"),"")</f>
      </c>
      <c r="GO370" s="496" t="str">
        <f> IF(GO390&lt;&gt;"",TEXT(AUX!GS$1,"dd-MMM-aa"),"")</f>
      </c>
      <c r="GP370" s="496" t="str">
        <f> IF(GP390&lt;&gt;"",TEXT(AUX!GT$1,"dd-MMM-aa"),"")</f>
      </c>
      <c r="GQ370" s="496" t="str">
        <f> IF(GQ390&lt;&gt;"",TEXT(AUX!GU$1,"dd-MMM-aa"),"")</f>
      </c>
      <c r="GR370" s="496" t="str">
        <f> IF(GR390&lt;&gt;"",TEXT(AUX!GV$1,"dd-MMM-aa"),"")</f>
      </c>
      <c r="GS370" s="496" t="str">
        <f> IF(GS390&lt;&gt;"",TEXT(AUX!GW$1,"dd-MMM-aa"),"")</f>
      </c>
      <c r="GT370" s="496" t="str">
        <f> IF(GT390&lt;&gt;"",TEXT(AUX!GX$1,"dd-MMM-aa"),"")</f>
      </c>
      <c r="GU370" s="496" t="str">
        <f> IF(GU390&lt;&gt;"",TEXT(AUX!GY$1,"dd-MMM-aa"),"")</f>
      </c>
      <c r="GV370" s="496" t="str">
        <f> IF(GV390&lt;&gt;"",TEXT(AUX!GZ$1,"dd-MMM-aa"),"")</f>
      </c>
      <c r="GW370" s="496" t="str">
        <f> IF(GW390&lt;&gt;"",TEXT(AUX!HA$1,"dd-MMM-aa"),"")</f>
      </c>
      <c r="GX370" s="496" t="str">
        <f> IF(GX390&lt;&gt;"",TEXT(AUX!HB$1,"dd-MMM-aa"),"")</f>
      </c>
      <c r="GY370" s="496" t="str">
        <f> IF(GY390&lt;&gt;"",TEXT(AUX!HC$1,"dd-MMM-aa"),"")</f>
      </c>
      <c r="GZ370" s="496" t="str">
        <f> IF(GZ390&lt;&gt;"",TEXT(AUX!HD$1,"dd-MMM-aa"),"")</f>
      </c>
      <c r="HA370" s="496" t="str">
        <f> IF(HA390&lt;&gt;"",TEXT(AUX!HE$1,"dd-MMM-aa"),"")</f>
      </c>
      <c r="HB370" s="496" t="str">
        <f> IF(HB390&lt;&gt;"",TEXT(AUX!HF$1,"dd-MMM-aa"),"")</f>
      </c>
      <c r="HC370" s="496" t="str">
        <f> IF(HC390&lt;&gt;"",TEXT(AUX!HG$1,"dd-MMM-aa"),"")</f>
      </c>
      <c r="HD370" s="496" t="str">
        <f> IF(HD390&lt;&gt;"",TEXT(AUX!HH$1,"dd-MMM-aa"),"")</f>
      </c>
      <c r="HE370" s="496" t="str">
        <f> IF(HE390&lt;&gt;"",TEXT(AUX!HI$1,"dd-MMM-aa"),"")</f>
      </c>
      <c r="HF370" s="496" t="str">
        <f> IF(HF390&lt;&gt;"",TEXT(AUX!HJ$1,"dd-MMM-aa"),"")</f>
      </c>
      <c r="HG370" s="496" t="str">
        <f> IF(HG390&lt;&gt;"",TEXT(AUX!HK$1,"dd-MMM-aa"),"")</f>
      </c>
      <c r="HH370" s="496" t="str">
        <f> IF(HH390&lt;&gt;"",TEXT(AUX!HL$1,"dd-MMM-aa"),"")</f>
      </c>
      <c r="HI370" s="496" t="str">
        <f> IF(HI390&lt;&gt;"",TEXT(AUX!HM$1,"dd-MMM-aa"),"")</f>
      </c>
      <c r="HJ370" s="496" t="str">
        <f> IF(HJ390&lt;&gt;"",TEXT(AUX!HN$1,"dd-MMM-aa"),"")</f>
      </c>
      <c r="HK370" s="496" t="str">
        <f> IF(HK390&lt;&gt;"",TEXT(AUX!HO$1,"dd-MMM-aa"),"")</f>
      </c>
      <c r="HL370" s="496" t="str">
        <f> IF(HL390&lt;&gt;"",TEXT(AUX!HP$1,"dd-MMM-aa"),"")</f>
      </c>
      <c r="HM370" s="496" t="str">
        <f> IF(HM390&lt;&gt;"",TEXT(AUX!HQ$1,"dd-MMM-aa"),"")</f>
      </c>
      <c r="HN370" s="496" t="str">
        <f> IF(HN390&lt;&gt;"",TEXT(AUX!HR$1,"dd-MMM-aa"),"")</f>
      </c>
      <c r="HO370" s="496" t="str">
        <f> IF(HO390&lt;&gt;"",TEXT(AUX!HS$1,"dd-MMM-aa"),"")</f>
      </c>
      <c r="HP370" s="496" t="str">
        <f> IF(HP390&lt;&gt;"",TEXT(AUX!HT$1,"dd-MMM-aa"),"")</f>
      </c>
      <c r="HQ370" s="496" t="str">
        <f> IF(HQ390&lt;&gt;"",TEXT(AUX!HU$1,"dd-MMM-aa"),"")</f>
      </c>
      <c r="HR370" s="496" t="str">
        <f> IF(HR390&lt;&gt;"",TEXT(AUX!HV$1,"dd-MMM-aa"),"")</f>
      </c>
      <c r="HS370" s="496" t="str">
        <f> IF(HS390&lt;&gt;"",TEXT(AUX!HW$1,"dd-MMM-aa"),"")</f>
      </c>
      <c r="HT370" s="496" t="str">
        <f> IF(HT390&lt;&gt;"",TEXT(AUX!HX$1,"dd-MMM-aa"),"")</f>
      </c>
      <c r="HU370" s="496" t="str">
        <f> IF(HU390&lt;&gt;"",TEXT(AUX!HY$1,"dd-MMM-aa"),"")</f>
      </c>
      <c r="HV370" s="496" t="str">
        <f> IF(HV390&lt;&gt;"",TEXT(AUX!HZ$1,"dd-MMM-aa"),"")</f>
      </c>
      <c r="HW370" s="496" t="str">
        <f> IF(HW390&lt;&gt;"",TEXT(AUX!IA$1,"dd-MMM-aa"),"")</f>
      </c>
      <c r="HX370" s="496" t="str">
        <f> IF(HX390&lt;&gt;"",TEXT(AUX!IB$1,"dd-MMM-aa"),"")</f>
      </c>
      <c r="HY370" s="496" t="str">
        <f> IF(HY390&lt;&gt;"",TEXT(AUX!IC$1,"dd-MMM-aa"),"")</f>
      </c>
      <c r="HZ370" s="496" t="str">
        <f> IF(HZ390&lt;&gt;"",TEXT(AUX!ID$1,"dd-MMM-aa"),"")</f>
      </c>
      <c r="IA370" s="496" t="str">
        <f> IF(IA390&lt;&gt;"",TEXT(AUX!IE$1,"dd-MMM-aa"),"")</f>
      </c>
      <c r="IB370" s="496" t="str">
        <f> IF(IB390&lt;&gt;"",TEXT(AUX!IF$1,"dd-MMM-aa"),"")</f>
      </c>
      <c r="IC370" s="496" t="str">
        <f> IF(IC390&lt;&gt;"",TEXT(AUX!IG$1,"dd-MMM-aa"),"")</f>
      </c>
      <c r="ID370" s="496" t="str">
        <f> IF(ID390&lt;&gt;"",TEXT(AUX!IH$1,"dd-MMM-aa"),"")</f>
      </c>
      <c r="IE370" s="496" t="str">
        <f> IF(IE390&lt;&gt;"",TEXT(AUX!II$1,"dd-MMM-aa"),"")</f>
      </c>
      <c r="IF370" s="496" t="str">
        <f> IF(IF390&lt;&gt;"",TEXT(AUX!IJ$1,"dd-MMM-aa"),"")</f>
      </c>
      <c r="IG370" s="496" t="str">
        <f> IF(IG390&lt;&gt;"",TEXT(AUX!IK$1,"dd-MMM-aa"),"")</f>
      </c>
      <c r="IH370" s="496" t="str">
        <f> IF(IH390&lt;&gt;"",TEXT(AUX!IL$1,"dd-MMM-aa"),"")</f>
      </c>
      <c r="II370" s="496" t="str">
        <f> IF(II390&lt;&gt;"",TEXT(AUX!IM$1,"dd-MMM-aa"),"")</f>
      </c>
      <c r="IJ370" s="496" t="str">
        <f> IF(IJ390&lt;&gt;"",TEXT(AUX!IN$1,"dd-MMM-aa"),"")</f>
      </c>
      <c r="IK370" s="496" t="str">
        <f> IF(IK390&lt;&gt;"",TEXT(AUX!IO$1,"dd-MMM-aa"),"")</f>
      </c>
      <c r="IL370" s="496" t="str">
        <f> IF(IL390&lt;&gt;"",TEXT(AUX!IP$1,"dd-MMM-aa"),"")</f>
      </c>
      <c r="IM370" s="496" t="str">
        <f> IF(IM390&lt;&gt;"",TEXT(AUX!IQ$1,"dd-MMM-aa"),"")</f>
      </c>
      <c r="IN370" s="496" t="str">
        <f> IF(IN390&lt;&gt;"",TEXT(AUX!IR$1,"dd-MMM-aa"),"")</f>
      </c>
      <c r="IO370" s="496" t="str">
        <f> IF(IO390&lt;&gt;"",TEXT(AUX!IS$1,"dd-MMM-aa"),"")</f>
      </c>
      <c r="IP370" s="496" t="str">
        <f> IF(IP390&lt;&gt;"",TEXT(AUX!IT$1,"dd-MMM-aa"),"")</f>
      </c>
      <c r="IQ370" s="496" t="str">
        <f> IF(IQ390&lt;&gt;"",TEXT(AUX!IU$1,"dd-MMM-aa"),"")</f>
      </c>
      <c r="IR370" s="496" t="str">
        <f> IF(IR390&lt;&gt;"",TEXT(AUX!IV$1,"dd-MMM-aa"),"")</f>
      </c>
      <c r="IS370" s="496" t="str">
        <f> IF(IS390&lt;&gt;"",TEXT(AUX!#REF!,"dd-MMM-aa"),"")</f>
      </c>
      <c r="IT370" s="496" t="str">
        <f> IF(IT390&lt;&gt;"",TEXT(AUX!#REF!,"dd-MMM-aa"),"")</f>
      </c>
      <c r="IU370" s="496" t="str">
        <f> IF(IU390&lt;&gt;"",TEXT(AUX!#REF!,"dd-MMM-aa"),"")</f>
      </c>
      <c r="IV370" s="496" t="str">
        <f> IF(IV390&lt;&gt;"",TEXT(AUX!#REF!,"dd-MMM-aa"),"")</f>
      </c>
    </row>
    <row r="371" hidden="1" ht="15.95" customHeight="1">
      <c r="B371" s="833" t="s">
        <v>8</v>
      </c>
      <c r="C371" s="827">
        <v>7</v>
      </c>
      <c r="D371" s="827">
        <v>7</v>
      </c>
      <c r="E371" s="827">
        <v>7</v>
      </c>
      <c r="F371" s="827">
        <v>7</v>
      </c>
      <c r="G371" s="827">
        <v>7</v>
      </c>
      <c r="H371" s="827">
        <v>7</v>
      </c>
      <c r="I371" s="827">
        <v>7</v>
      </c>
      <c r="J371" s="827">
        <v>7</v>
      </c>
      <c r="K371" s="827">
        <v>7</v>
      </c>
      <c r="L371" s="827">
        <v>7</v>
      </c>
      <c r="M371" s="827">
        <v>7</v>
      </c>
      <c r="N371" s="827">
        <v>7</v>
      </c>
      <c r="O371" s="827">
        <v>7</v>
      </c>
      <c r="P371" s="827">
        <v>7</v>
      </c>
      <c r="Q371" s="827">
        <v>7</v>
      </c>
      <c r="R371" s="827">
        <v>7</v>
      </c>
      <c r="S371" s="827">
        <v>7</v>
      </c>
      <c r="T371" s="827">
        <v>7</v>
      </c>
      <c r="U371" s="827">
        <v>7</v>
      </c>
      <c r="V371" s="827">
        <v>6</v>
      </c>
      <c r="W371" s="827">
        <v>6</v>
      </c>
      <c r="X371" s="827">
        <v>6</v>
      </c>
      <c r="Y371" s="827">
        <v>6</v>
      </c>
      <c r="Z371" s="827">
        <v>6</v>
      </c>
      <c r="AA371" s="827">
        <v>5</v>
      </c>
      <c r="AB371" s="834">
        <v>5</v>
      </c>
      <c r="AC371" s="828">
        <v>6</v>
      </c>
      <c r="AD371" s="828">
        <v>6</v>
      </c>
      <c r="AE371" s="828">
        <v>6</v>
      </c>
      <c r="AF371" s="828">
        <v>6</v>
      </c>
      <c r="AG371" s="828">
        <v>5</v>
      </c>
      <c r="AH371" s="828">
        <v>5</v>
      </c>
      <c r="AI371" s="828">
        <v>0</v>
      </c>
      <c r="AJ371" s="828">
        <v>5</v>
      </c>
      <c r="AK371" s="828">
        <v>5</v>
      </c>
      <c r="AL371" s="828">
        <v>5</v>
      </c>
      <c r="AM371" s="828">
        <v>5</v>
      </c>
      <c r="AN371" s="828">
        <v>5</v>
      </c>
      <c r="AO371" s="828">
        <v>5</v>
      </c>
      <c r="AP371" s="828">
        <v>5</v>
      </c>
    </row>
    <row r="372" hidden="1" ht="15.95" customHeight="1">
      <c r="B372" s="829" t="s">
        <v>9</v>
      </c>
      <c r="C372" s="823">
        <v>12</v>
      </c>
      <c r="D372" s="823">
        <v>13</v>
      </c>
      <c r="E372" s="823">
        <v>12</v>
      </c>
      <c r="F372" s="823">
        <v>12</v>
      </c>
      <c r="G372" s="823">
        <v>12</v>
      </c>
      <c r="H372" s="823">
        <v>12</v>
      </c>
      <c r="I372" s="823">
        <v>12</v>
      </c>
      <c r="J372" s="823">
        <v>12</v>
      </c>
      <c r="K372" s="823">
        <v>12</v>
      </c>
      <c r="L372" s="823">
        <v>12</v>
      </c>
      <c r="M372" s="823">
        <v>12</v>
      </c>
      <c r="N372" s="823">
        <v>11</v>
      </c>
      <c r="O372" s="823">
        <v>11</v>
      </c>
      <c r="P372" s="823">
        <v>11</v>
      </c>
      <c r="Q372" s="823">
        <v>11</v>
      </c>
      <c r="R372" s="823">
        <v>11</v>
      </c>
      <c r="S372" s="823">
        <v>11</v>
      </c>
      <c r="T372" s="823">
        <v>11</v>
      </c>
      <c r="U372" s="823">
        <v>12</v>
      </c>
      <c r="V372" s="823">
        <v>12</v>
      </c>
      <c r="W372" s="823">
        <v>12</v>
      </c>
      <c r="X372" s="823">
        <v>11</v>
      </c>
      <c r="Y372" s="823">
        <v>11</v>
      </c>
      <c r="Z372" s="823">
        <v>11</v>
      </c>
      <c r="AA372" s="823">
        <v>11</v>
      </c>
      <c r="AB372" s="823">
        <v>13</v>
      </c>
      <c r="AC372" s="825">
        <v>13</v>
      </c>
      <c r="AD372" s="825">
        <v>13</v>
      </c>
      <c r="AE372" s="825">
        <v>14</v>
      </c>
      <c r="AF372" s="825">
        <v>14</v>
      </c>
      <c r="AG372" s="825">
        <v>0</v>
      </c>
      <c r="AH372" s="825">
        <v>0</v>
      </c>
      <c r="AI372" s="825">
        <v>0</v>
      </c>
      <c r="AJ372" s="825">
        <v>13</v>
      </c>
      <c r="AK372" s="825">
        <v>12</v>
      </c>
      <c r="AL372" s="825">
        <v>12</v>
      </c>
      <c r="AM372" s="825">
        <v>11</v>
      </c>
      <c r="AN372" s="825">
        <v>11</v>
      </c>
      <c r="AO372" s="825">
        <v>10</v>
      </c>
      <c r="AP372" s="825">
        <v>11</v>
      </c>
    </row>
    <row r="373" hidden="1" ht="15.95" customHeight="1">
      <c r="B373" s="826" t="s">
        <v>10</v>
      </c>
      <c r="C373" s="827">
        <v>0</v>
      </c>
      <c r="D373" s="827">
        <v>0</v>
      </c>
      <c r="E373" s="827">
        <v>0</v>
      </c>
      <c r="F373" s="827">
        <v>0</v>
      </c>
      <c r="G373" s="827">
        <v>0</v>
      </c>
      <c r="H373" s="827">
        <v>0</v>
      </c>
      <c r="I373" s="827">
        <v>0</v>
      </c>
      <c r="J373" s="827">
        <v>0</v>
      </c>
      <c r="K373" s="827">
        <v>0</v>
      </c>
      <c r="L373" s="827">
        <v>0</v>
      </c>
      <c r="M373" s="827">
        <v>0</v>
      </c>
      <c r="N373" s="827">
        <v>0</v>
      </c>
      <c r="O373" s="827">
        <v>0</v>
      </c>
      <c r="P373" s="827">
        <v>0</v>
      </c>
      <c r="Q373" s="827">
        <v>0</v>
      </c>
      <c r="R373" s="827">
        <v>0</v>
      </c>
      <c r="S373" s="827">
        <v>0</v>
      </c>
      <c r="T373" s="827">
        <v>0</v>
      </c>
      <c r="U373" s="827">
        <v>0</v>
      </c>
      <c r="V373" s="827">
        <v>0</v>
      </c>
      <c r="W373" s="827">
        <v>0</v>
      </c>
      <c r="X373" s="827">
        <v>0</v>
      </c>
      <c r="Y373" s="827">
        <v>0</v>
      </c>
      <c r="Z373" s="827">
        <v>0</v>
      </c>
      <c r="AA373" s="827">
        <v>0</v>
      </c>
      <c r="AB373" s="827">
        <v>0</v>
      </c>
      <c r="AC373" s="828">
        <v>0</v>
      </c>
      <c r="AD373" s="828">
        <v>0</v>
      </c>
      <c r="AE373" s="828">
        <v>0</v>
      </c>
      <c r="AF373" s="828">
        <v>0</v>
      </c>
      <c r="AG373" s="828">
        <v>0</v>
      </c>
      <c r="AH373" s="828">
        <v>0</v>
      </c>
      <c r="AI373" s="828">
        <v>0</v>
      </c>
      <c r="AJ373" s="828">
        <v>0</v>
      </c>
      <c r="AK373" s="828">
        <v>0</v>
      </c>
      <c r="AL373" s="828">
        <v>0</v>
      </c>
      <c r="AM373" s="828">
        <v>0</v>
      </c>
      <c r="AN373" s="828">
        <v>0</v>
      </c>
      <c r="AO373" s="828">
        <v>0</v>
      </c>
      <c r="AP373" s="828">
        <v>0</v>
      </c>
    </row>
    <row r="374" hidden="1" ht="15.95" customHeight="1">
      <c r="B374" s="829" t="s">
        <v>11</v>
      </c>
      <c r="C374" s="823">
        <v>1</v>
      </c>
      <c r="D374" s="823">
        <v>1</v>
      </c>
      <c r="E374" s="823">
        <v>1</v>
      </c>
      <c r="F374" s="823">
        <v>1</v>
      </c>
      <c r="G374" s="823">
        <v>1</v>
      </c>
      <c r="H374" s="823">
        <v>1</v>
      </c>
      <c r="I374" s="823">
        <v>0</v>
      </c>
      <c r="J374" s="823">
        <v>0</v>
      </c>
      <c r="K374" s="823">
        <v>0</v>
      </c>
      <c r="L374" s="823">
        <v>0</v>
      </c>
      <c r="M374" s="823">
        <v>0</v>
      </c>
      <c r="N374" s="823">
        <v>0</v>
      </c>
      <c r="O374" s="823">
        <v>0</v>
      </c>
      <c r="P374" s="823">
        <v>0</v>
      </c>
      <c r="Q374" s="823">
        <v>0</v>
      </c>
      <c r="R374" s="823">
        <v>0</v>
      </c>
      <c r="S374" s="823">
        <v>0</v>
      </c>
      <c r="T374" s="823">
        <v>0</v>
      </c>
      <c r="U374" s="823">
        <v>0</v>
      </c>
      <c r="V374" s="823">
        <v>0</v>
      </c>
      <c r="W374" s="823">
        <v>0</v>
      </c>
      <c r="X374" s="823">
        <v>0</v>
      </c>
      <c r="Y374" s="823">
        <v>0</v>
      </c>
      <c r="Z374" s="823">
        <v>0</v>
      </c>
      <c r="AA374" s="823">
        <v>0</v>
      </c>
      <c r="AB374" s="823">
        <v>0</v>
      </c>
      <c r="AC374" s="825">
        <v>0</v>
      </c>
      <c r="AD374" s="825">
        <v>0</v>
      </c>
      <c r="AE374" s="825">
        <v>0</v>
      </c>
      <c r="AF374" s="825">
        <v>0</v>
      </c>
      <c r="AG374" s="825">
        <v>0</v>
      </c>
      <c r="AH374" s="825">
        <v>0</v>
      </c>
      <c r="AI374" s="825">
        <v>0</v>
      </c>
      <c r="AJ374" s="825">
        <v>0</v>
      </c>
      <c r="AK374" s="825">
        <v>0</v>
      </c>
      <c r="AL374" s="825">
        <v>0</v>
      </c>
      <c r="AM374" s="825">
        <v>0</v>
      </c>
      <c r="AN374" s="825">
        <v>0</v>
      </c>
      <c r="AO374" s="825">
        <v>0</v>
      </c>
      <c r="AP374" s="825">
        <v>0</v>
      </c>
    </row>
    <row r="375" hidden="1" ht="15.95" customHeight="1">
      <c r="B375" s="826" t="s">
        <v>12</v>
      </c>
      <c r="C375" s="827">
        <v>0</v>
      </c>
      <c r="D375" s="827">
        <v>0</v>
      </c>
      <c r="E375" s="827">
        <v>0</v>
      </c>
      <c r="F375" s="827">
        <v>0</v>
      </c>
      <c r="G375" s="827">
        <v>0</v>
      </c>
      <c r="H375" s="827">
        <v>0</v>
      </c>
      <c r="I375" s="827">
        <v>0</v>
      </c>
      <c r="J375" s="827">
        <v>0</v>
      </c>
      <c r="K375" s="827">
        <v>1</v>
      </c>
      <c r="L375" s="827">
        <v>1</v>
      </c>
      <c r="M375" s="827">
        <v>1</v>
      </c>
      <c r="N375" s="827">
        <v>1</v>
      </c>
      <c r="O375" s="827">
        <v>1</v>
      </c>
      <c r="P375" s="827">
        <v>1</v>
      </c>
      <c r="Q375" s="827">
        <v>1</v>
      </c>
      <c r="R375" s="827">
        <v>1</v>
      </c>
      <c r="S375" s="827">
        <v>1</v>
      </c>
      <c r="T375" s="827">
        <v>1</v>
      </c>
      <c r="U375" s="827">
        <v>1</v>
      </c>
      <c r="V375" s="827">
        <v>1</v>
      </c>
      <c r="W375" s="827">
        <v>1</v>
      </c>
      <c r="X375" s="827">
        <v>1</v>
      </c>
      <c r="Y375" s="827">
        <v>1</v>
      </c>
      <c r="Z375" s="827">
        <v>1</v>
      </c>
      <c r="AA375" s="827">
        <v>1</v>
      </c>
      <c r="AB375" s="827">
        <v>1</v>
      </c>
      <c r="AC375" s="828">
        <v>1</v>
      </c>
      <c r="AD375" s="828">
        <v>1</v>
      </c>
      <c r="AE375" s="828">
        <v>1</v>
      </c>
      <c r="AF375" s="828">
        <v>1</v>
      </c>
      <c r="AG375" s="828">
        <v>1</v>
      </c>
      <c r="AH375" s="828">
        <v>1</v>
      </c>
      <c r="AI375" s="828">
        <v>1</v>
      </c>
      <c r="AJ375" s="828">
        <v>1</v>
      </c>
      <c r="AK375" s="828">
        <v>1</v>
      </c>
      <c r="AL375" s="828">
        <v>1</v>
      </c>
      <c r="AM375" s="828">
        <v>1</v>
      </c>
      <c r="AN375" s="828">
        <v>1</v>
      </c>
      <c r="AO375" s="828">
        <v>1</v>
      </c>
      <c r="AP375" s="828">
        <v>1</v>
      </c>
    </row>
    <row r="376" hidden="1" ht="15.95" customHeight="1">
      <c r="B376" s="829" t="s">
        <v>13</v>
      </c>
      <c r="C376" s="823">
        <v>0</v>
      </c>
      <c r="D376" s="823">
        <v>0</v>
      </c>
      <c r="E376" s="823">
        <v>0</v>
      </c>
      <c r="F376" s="823">
        <v>0</v>
      </c>
      <c r="G376" s="823">
        <v>0</v>
      </c>
      <c r="H376" s="823">
        <v>0</v>
      </c>
      <c r="I376" s="823">
        <v>0</v>
      </c>
      <c r="J376" s="823">
        <v>0</v>
      </c>
      <c r="K376" s="823">
        <v>0</v>
      </c>
      <c r="L376" s="823">
        <v>0</v>
      </c>
      <c r="M376" s="823">
        <v>0</v>
      </c>
      <c r="N376" s="823">
        <v>0</v>
      </c>
      <c r="O376" s="823">
        <v>0</v>
      </c>
      <c r="P376" s="823">
        <v>0</v>
      </c>
      <c r="Q376" s="823">
        <v>0</v>
      </c>
      <c r="R376" s="823">
        <v>0</v>
      </c>
      <c r="S376" s="823">
        <v>0</v>
      </c>
      <c r="T376" s="823">
        <v>0</v>
      </c>
      <c r="U376" s="823">
        <v>0</v>
      </c>
      <c r="V376" s="823">
        <v>0</v>
      </c>
      <c r="W376" s="823">
        <v>0</v>
      </c>
      <c r="X376" s="823">
        <v>0</v>
      </c>
      <c r="Y376" s="823">
        <v>0</v>
      </c>
      <c r="Z376" s="823">
        <v>0</v>
      </c>
      <c r="AA376" s="823">
        <v>0</v>
      </c>
      <c r="AB376" s="823">
        <v>0</v>
      </c>
      <c r="AC376" s="825">
        <v>0</v>
      </c>
      <c r="AD376" s="825">
        <v>0</v>
      </c>
      <c r="AE376" s="825">
        <v>0</v>
      </c>
      <c r="AF376" s="825">
        <v>0</v>
      </c>
      <c r="AG376" s="825">
        <v>0</v>
      </c>
      <c r="AH376" s="825">
        <v>0</v>
      </c>
      <c r="AI376" s="825">
        <v>0</v>
      </c>
      <c r="AJ376" s="825">
        <v>0</v>
      </c>
      <c r="AK376" s="825">
        <v>0</v>
      </c>
      <c r="AL376" s="825">
        <v>0</v>
      </c>
      <c r="AM376" s="825">
        <v>0</v>
      </c>
      <c r="AN376" s="825">
        <v>0</v>
      </c>
      <c r="AO376" s="825">
        <v>0</v>
      </c>
      <c r="AP376" s="825">
        <v>0</v>
      </c>
    </row>
    <row r="377" hidden="1" ht="15.95" customHeight="1">
      <c r="B377" s="826" t="s">
        <v>109</v>
      </c>
      <c r="C377" s="827">
        <v>9</v>
      </c>
      <c r="D377" s="827">
        <v>9</v>
      </c>
      <c r="E377" s="827">
        <v>9</v>
      </c>
      <c r="F377" s="827">
        <v>9</v>
      </c>
      <c r="G377" s="827">
        <v>9</v>
      </c>
      <c r="H377" s="827">
        <v>9</v>
      </c>
      <c r="I377" s="827">
        <v>1</v>
      </c>
      <c r="J377" s="827">
        <v>1</v>
      </c>
      <c r="K377" s="827">
        <v>0</v>
      </c>
      <c r="L377" s="827">
        <v>0</v>
      </c>
      <c r="M377" s="827">
        <v>0</v>
      </c>
      <c r="N377" s="827">
        <v>0</v>
      </c>
      <c r="O377" s="827">
        <v>0</v>
      </c>
      <c r="P377" s="827">
        <v>0</v>
      </c>
      <c r="Q377" s="827">
        <v>0</v>
      </c>
      <c r="R377" s="827">
        <v>0</v>
      </c>
      <c r="S377" s="827">
        <v>0</v>
      </c>
      <c r="T377" s="827">
        <v>0</v>
      </c>
      <c r="U377" s="827">
        <v>0</v>
      </c>
      <c r="V377" s="827">
        <v>0</v>
      </c>
      <c r="W377" s="827">
        <v>0</v>
      </c>
      <c r="X377" s="827">
        <v>0</v>
      </c>
      <c r="Y377" s="827">
        <v>0</v>
      </c>
      <c r="Z377" s="827">
        <v>0</v>
      </c>
      <c r="AA377" s="827">
        <v>0</v>
      </c>
      <c r="AB377" s="827">
        <v>0</v>
      </c>
      <c r="AC377" s="828">
        <v>0</v>
      </c>
      <c r="AD377" s="828">
        <v>0</v>
      </c>
      <c r="AE377" s="828">
        <v>5</v>
      </c>
      <c r="AF377" s="828">
        <v>6</v>
      </c>
      <c r="AG377" s="828">
        <v>6</v>
      </c>
      <c r="AH377" s="828">
        <v>6</v>
      </c>
      <c r="AI377" s="828">
        <v>0</v>
      </c>
      <c r="AJ377" s="828">
        <v>5</v>
      </c>
      <c r="AK377" s="828">
        <v>5</v>
      </c>
      <c r="AL377" s="828">
        <v>4</v>
      </c>
      <c r="AM377" s="828">
        <v>4</v>
      </c>
      <c r="AN377" s="828">
        <v>4</v>
      </c>
      <c r="AO377" s="828">
        <v>5</v>
      </c>
      <c r="AP377" s="828">
        <v>5</v>
      </c>
    </row>
    <row r="378" hidden="1" ht="15.95" customHeight="1">
      <c r="B378" s="829" t="s">
        <v>110</v>
      </c>
      <c r="C378" s="823">
        <v>12</v>
      </c>
      <c r="D378" s="823">
        <v>12</v>
      </c>
      <c r="E378" s="823">
        <v>12</v>
      </c>
      <c r="F378" s="823">
        <v>13</v>
      </c>
      <c r="G378" s="823">
        <v>13</v>
      </c>
      <c r="H378" s="823">
        <v>11</v>
      </c>
      <c r="I378" s="823">
        <v>12</v>
      </c>
      <c r="J378" s="823">
        <v>12</v>
      </c>
      <c r="K378" s="823">
        <v>11</v>
      </c>
      <c r="L378" s="823">
        <v>10</v>
      </c>
      <c r="M378" s="823">
        <v>10</v>
      </c>
      <c r="N378" s="823">
        <v>11</v>
      </c>
      <c r="O378" s="823">
        <v>11</v>
      </c>
      <c r="P378" s="823">
        <v>11</v>
      </c>
      <c r="Q378" s="823">
        <v>12</v>
      </c>
      <c r="R378" s="823">
        <v>12</v>
      </c>
      <c r="S378" s="823">
        <v>12</v>
      </c>
      <c r="T378" s="823">
        <v>12</v>
      </c>
      <c r="U378" s="823">
        <v>14</v>
      </c>
      <c r="V378" s="823">
        <v>14</v>
      </c>
      <c r="W378" s="823">
        <v>14</v>
      </c>
      <c r="X378" s="823">
        <v>14</v>
      </c>
      <c r="Y378" s="823">
        <v>14</v>
      </c>
      <c r="Z378" s="823">
        <v>14</v>
      </c>
      <c r="AA378" s="823">
        <v>14</v>
      </c>
      <c r="AB378" s="823">
        <v>14</v>
      </c>
      <c r="AC378" s="825">
        <v>15</v>
      </c>
      <c r="AD378" s="825">
        <v>15</v>
      </c>
      <c r="AE378" s="825">
        <v>15</v>
      </c>
      <c r="AF378" s="825">
        <v>21</v>
      </c>
      <c r="AG378" s="825">
        <v>5</v>
      </c>
      <c r="AH378" s="825">
        <v>0</v>
      </c>
      <c r="AI378" s="825">
        <v>0</v>
      </c>
      <c r="AJ378" s="825">
        <v>12</v>
      </c>
      <c r="AK378" s="825">
        <v>14</v>
      </c>
      <c r="AL378" s="825">
        <v>12</v>
      </c>
      <c r="AM378" s="825">
        <v>12</v>
      </c>
      <c r="AN378" s="825">
        <v>11</v>
      </c>
      <c r="AO378" s="825">
        <v>11</v>
      </c>
      <c r="AP378" s="825">
        <v>11</v>
      </c>
    </row>
    <row r="379" hidden="1" ht="15.95" customHeight="1">
      <c r="B379" s="826" t="s">
        <v>16</v>
      </c>
      <c r="C379" s="827">
        <v>21</v>
      </c>
      <c r="D379" s="827">
        <v>18</v>
      </c>
      <c r="E379" s="827">
        <v>15</v>
      </c>
      <c r="F379" s="827">
        <v>14</v>
      </c>
      <c r="G379" s="827">
        <v>14</v>
      </c>
      <c r="H379" s="827">
        <v>14</v>
      </c>
      <c r="I379" s="827">
        <v>14</v>
      </c>
      <c r="J379" s="827">
        <v>14</v>
      </c>
      <c r="K379" s="827">
        <v>14</v>
      </c>
      <c r="L379" s="827">
        <v>14</v>
      </c>
      <c r="M379" s="827">
        <v>14</v>
      </c>
      <c r="N379" s="827">
        <v>13</v>
      </c>
      <c r="O379" s="827">
        <v>13</v>
      </c>
      <c r="P379" s="827">
        <v>13</v>
      </c>
      <c r="Q379" s="827">
        <v>4</v>
      </c>
      <c r="R379" s="827">
        <v>3</v>
      </c>
      <c r="S379" s="827">
        <v>3</v>
      </c>
      <c r="T379" s="827">
        <v>3</v>
      </c>
      <c r="U379" s="827">
        <v>2</v>
      </c>
      <c r="V379" s="827">
        <v>2</v>
      </c>
      <c r="W379" s="827">
        <v>0</v>
      </c>
      <c r="X379" s="827">
        <v>0</v>
      </c>
      <c r="Y379" s="827">
        <v>0</v>
      </c>
      <c r="Z379" s="827">
        <v>0</v>
      </c>
      <c r="AA379" s="827">
        <v>0</v>
      </c>
      <c r="AB379" s="827">
        <v>0</v>
      </c>
      <c r="AC379" s="828">
        <v>0</v>
      </c>
      <c r="AD379" s="828">
        <v>0</v>
      </c>
      <c r="AE379" s="828">
        <v>1</v>
      </c>
      <c r="AF379" s="828">
        <v>8</v>
      </c>
      <c r="AG379" s="828">
        <v>24</v>
      </c>
      <c r="AH379" s="828">
        <v>24</v>
      </c>
      <c r="AI379" s="828">
        <v>2</v>
      </c>
      <c r="AJ379" s="828">
        <v>32</v>
      </c>
      <c r="AK379" s="828">
        <v>32</v>
      </c>
      <c r="AL379" s="828">
        <v>31</v>
      </c>
      <c r="AM379" s="828">
        <v>30</v>
      </c>
      <c r="AN379" s="828">
        <v>29</v>
      </c>
      <c r="AO379" s="828">
        <v>29</v>
      </c>
      <c r="AP379" s="828">
        <v>29</v>
      </c>
    </row>
    <row r="380" hidden="1" ht="15.95" customHeight="1">
      <c r="B380" s="829" t="s">
        <v>17</v>
      </c>
      <c r="C380" s="823">
        <v>1</v>
      </c>
      <c r="D380" s="823">
        <v>1</v>
      </c>
      <c r="E380" s="823">
        <v>1</v>
      </c>
      <c r="F380" s="823">
        <v>1</v>
      </c>
      <c r="G380" s="823">
        <v>2</v>
      </c>
      <c r="H380" s="823">
        <v>3</v>
      </c>
      <c r="I380" s="823">
        <v>3</v>
      </c>
      <c r="J380" s="823">
        <v>3</v>
      </c>
      <c r="K380" s="823">
        <v>3</v>
      </c>
      <c r="L380" s="823">
        <v>3</v>
      </c>
      <c r="M380" s="823">
        <v>3</v>
      </c>
      <c r="N380" s="823">
        <v>4</v>
      </c>
      <c r="O380" s="823">
        <v>4</v>
      </c>
      <c r="P380" s="823">
        <v>3</v>
      </c>
      <c r="Q380" s="823">
        <v>3</v>
      </c>
      <c r="R380" s="823">
        <v>3</v>
      </c>
      <c r="S380" s="823">
        <v>3</v>
      </c>
      <c r="T380" s="823">
        <v>3</v>
      </c>
      <c r="U380" s="823">
        <v>3</v>
      </c>
      <c r="V380" s="823">
        <v>4</v>
      </c>
      <c r="W380" s="823">
        <v>2</v>
      </c>
      <c r="X380" s="823">
        <v>2</v>
      </c>
      <c r="Y380" s="823">
        <v>2</v>
      </c>
      <c r="Z380" s="823">
        <v>102</v>
      </c>
      <c r="AA380" s="823">
        <v>224</v>
      </c>
      <c r="AB380" s="823">
        <v>209</v>
      </c>
      <c r="AC380" s="825">
        <v>181</v>
      </c>
      <c r="AD380" s="825">
        <v>167</v>
      </c>
      <c r="AE380" s="825">
        <v>160</v>
      </c>
      <c r="AF380" s="825">
        <v>155</v>
      </c>
      <c r="AG380" s="825">
        <v>143</v>
      </c>
      <c r="AH380" s="825">
        <v>135</v>
      </c>
      <c r="AI380" s="825">
        <v>131</v>
      </c>
      <c r="AJ380" s="825">
        <v>4</v>
      </c>
      <c r="AK380" s="825">
        <v>4</v>
      </c>
      <c r="AL380" s="825">
        <v>4</v>
      </c>
      <c r="AM380" s="825">
        <v>5</v>
      </c>
      <c r="AN380" s="825">
        <v>5</v>
      </c>
      <c r="AO380" s="825">
        <v>6</v>
      </c>
      <c r="AP380" s="825">
        <v>6</v>
      </c>
    </row>
    <row r="381" hidden="1" ht="15.95" customHeight="1">
      <c r="B381" s="826" t="s">
        <v>18</v>
      </c>
      <c r="C381" s="827">
        <v>3</v>
      </c>
      <c r="D381" s="827">
        <v>3</v>
      </c>
      <c r="E381" s="827">
        <v>3</v>
      </c>
      <c r="F381" s="827">
        <v>3</v>
      </c>
      <c r="G381" s="827">
        <v>3</v>
      </c>
      <c r="H381" s="827">
        <v>4</v>
      </c>
      <c r="I381" s="827">
        <v>4</v>
      </c>
      <c r="J381" s="827">
        <v>4</v>
      </c>
      <c r="K381" s="827">
        <v>4</v>
      </c>
      <c r="L381" s="827">
        <v>4</v>
      </c>
      <c r="M381" s="827">
        <v>4</v>
      </c>
      <c r="N381" s="827">
        <v>4</v>
      </c>
      <c r="O381" s="827">
        <v>4</v>
      </c>
      <c r="P381" s="827">
        <v>4</v>
      </c>
      <c r="Q381" s="827">
        <v>4</v>
      </c>
      <c r="R381" s="827">
        <v>4</v>
      </c>
      <c r="S381" s="827">
        <v>4</v>
      </c>
      <c r="T381" s="827">
        <v>4</v>
      </c>
      <c r="U381" s="827">
        <v>4</v>
      </c>
      <c r="V381" s="827">
        <v>4</v>
      </c>
      <c r="W381" s="827">
        <v>4</v>
      </c>
      <c r="X381" s="827">
        <v>4</v>
      </c>
      <c r="Y381" s="827">
        <v>4</v>
      </c>
      <c r="Z381" s="827">
        <v>4</v>
      </c>
      <c r="AA381" s="827">
        <v>4</v>
      </c>
      <c r="AB381" s="827">
        <v>4</v>
      </c>
      <c r="AC381" s="828">
        <v>4</v>
      </c>
      <c r="AD381" s="828">
        <v>4</v>
      </c>
      <c r="AE381" s="828">
        <v>4</v>
      </c>
      <c r="AF381" s="828">
        <v>4</v>
      </c>
      <c r="AG381" s="828">
        <v>1</v>
      </c>
      <c r="AH381" s="828">
        <v>0</v>
      </c>
      <c r="AI381" s="828">
        <v>0</v>
      </c>
      <c r="AJ381" s="828">
        <v>3</v>
      </c>
      <c r="AK381" s="828">
        <v>3</v>
      </c>
      <c r="AL381" s="828">
        <v>3</v>
      </c>
      <c r="AM381" s="828">
        <v>3</v>
      </c>
      <c r="AN381" s="828">
        <v>3</v>
      </c>
      <c r="AO381" s="828">
        <v>3</v>
      </c>
      <c r="AP381" s="828">
        <v>3</v>
      </c>
    </row>
    <row r="382" hidden="1" ht="15.95" customHeight="1">
      <c r="B382" s="829" t="s">
        <v>19</v>
      </c>
      <c r="C382" s="823">
        <v>2</v>
      </c>
      <c r="D382" s="823">
        <v>2</v>
      </c>
      <c r="E382" s="823">
        <v>2</v>
      </c>
      <c r="F382" s="823">
        <v>2</v>
      </c>
      <c r="G382" s="823">
        <v>2</v>
      </c>
      <c r="H382" s="823">
        <v>2</v>
      </c>
      <c r="I382" s="823">
        <v>2</v>
      </c>
      <c r="J382" s="823">
        <v>2</v>
      </c>
      <c r="K382" s="823">
        <v>2</v>
      </c>
      <c r="L382" s="823">
        <v>2</v>
      </c>
      <c r="M382" s="823">
        <v>2</v>
      </c>
      <c r="N382" s="823">
        <v>1</v>
      </c>
      <c r="O382" s="823">
        <v>0</v>
      </c>
      <c r="P382" s="823">
        <v>0</v>
      </c>
      <c r="Q382" s="823">
        <v>0</v>
      </c>
      <c r="R382" s="823">
        <v>0</v>
      </c>
      <c r="S382" s="823">
        <v>0</v>
      </c>
      <c r="T382" s="823">
        <v>0</v>
      </c>
      <c r="U382" s="823">
        <v>0</v>
      </c>
      <c r="V382" s="823">
        <v>0</v>
      </c>
      <c r="W382" s="823">
        <v>0</v>
      </c>
      <c r="X382" s="823">
        <v>0</v>
      </c>
      <c r="Y382" s="823">
        <v>0</v>
      </c>
      <c r="Z382" s="823">
        <v>0</v>
      </c>
      <c r="AA382" s="823">
        <v>0</v>
      </c>
      <c r="AB382" s="823">
        <v>0</v>
      </c>
      <c r="AC382" s="825">
        <v>0</v>
      </c>
      <c r="AD382" s="825">
        <v>0</v>
      </c>
      <c r="AE382" s="825">
        <v>0</v>
      </c>
      <c r="AF382" s="825">
        <v>0</v>
      </c>
      <c r="AG382" s="825">
        <v>0</v>
      </c>
      <c r="AH382" s="825">
        <v>0</v>
      </c>
      <c r="AI382" s="825">
        <v>0</v>
      </c>
      <c r="AJ382" s="825">
        <v>0</v>
      </c>
      <c r="AK382" s="825">
        <v>0</v>
      </c>
      <c r="AL382" s="825">
        <v>0</v>
      </c>
      <c r="AM382" s="825">
        <v>0</v>
      </c>
      <c r="AN382" s="825">
        <v>0</v>
      </c>
      <c r="AO382" s="825">
        <v>0</v>
      </c>
      <c r="AP382" s="825">
        <v>0</v>
      </c>
    </row>
    <row r="383" hidden="1" ht="15.95" customHeight="1">
      <c r="B383" s="826" t="s">
        <v>20</v>
      </c>
      <c r="C383" s="827">
        <v>3</v>
      </c>
      <c r="D383" s="827">
        <v>4</v>
      </c>
      <c r="E383" s="827">
        <v>4</v>
      </c>
      <c r="F383" s="827">
        <v>4</v>
      </c>
      <c r="G383" s="827">
        <v>4</v>
      </c>
      <c r="H383" s="827">
        <v>4</v>
      </c>
      <c r="I383" s="827">
        <v>4</v>
      </c>
      <c r="J383" s="827">
        <v>4</v>
      </c>
      <c r="K383" s="827">
        <v>4</v>
      </c>
      <c r="L383" s="827">
        <v>4</v>
      </c>
      <c r="M383" s="827">
        <v>4</v>
      </c>
      <c r="N383" s="827">
        <v>3</v>
      </c>
      <c r="O383" s="827">
        <v>3</v>
      </c>
      <c r="P383" s="827">
        <v>3</v>
      </c>
      <c r="Q383" s="827">
        <v>3</v>
      </c>
      <c r="R383" s="827">
        <v>3</v>
      </c>
      <c r="S383" s="827">
        <v>3</v>
      </c>
      <c r="T383" s="827">
        <v>3</v>
      </c>
      <c r="U383" s="827">
        <v>3</v>
      </c>
      <c r="V383" s="827">
        <v>3</v>
      </c>
      <c r="W383" s="827">
        <v>3</v>
      </c>
      <c r="X383" s="827">
        <v>3</v>
      </c>
      <c r="Y383" s="827">
        <v>3</v>
      </c>
      <c r="Z383" s="827">
        <v>3</v>
      </c>
      <c r="AA383" s="827">
        <v>3</v>
      </c>
      <c r="AB383" s="827">
        <v>3</v>
      </c>
      <c r="AC383" s="828">
        <v>3</v>
      </c>
      <c r="AD383" s="828">
        <v>3</v>
      </c>
      <c r="AE383" s="828">
        <v>3</v>
      </c>
      <c r="AF383" s="828">
        <v>4</v>
      </c>
      <c r="AG383" s="828">
        <v>4</v>
      </c>
      <c r="AH383" s="828">
        <v>4</v>
      </c>
      <c r="AI383" s="828">
        <v>4</v>
      </c>
      <c r="AJ383" s="828">
        <v>4</v>
      </c>
      <c r="AK383" s="828">
        <v>4</v>
      </c>
      <c r="AL383" s="828">
        <v>4</v>
      </c>
      <c r="AM383" s="828">
        <v>4</v>
      </c>
      <c r="AN383" s="828">
        <v>4</v>
      </c>
      <c r="AO383" s="828">
        <v>4</v>
      </c>
      <c r="AP383" s="828">
        <v>4</v>
      </c>
    </row>
    <row r="384" hidden="1" ht="15.95" customHeight="1">
      <c r="B384" s="829" t="s">
        <v>21</v>
      </c>
      <c r="C384" s="823">
        <v>1</v>
      </c>
      <c r="D384" s="823">
        <v>1</v>
      </c>
      <c r="E384" s="823">
        <v>1</v>
      </c>
      <c r="F384" s="823">
        <v>1</v>
      </c>
      <c r="G384" s="823">
        <v>1</v>
      </c>
      <c r="H384" s="823">
        <v>1</v>
      </c>
      <c r="I384" s="823">
        <v>1</v>
      </c>
      <c r="J384" s="823">
        <v>0</v>
      </c>
      <c r="K384" s="823">
        <v>0</v>
      </c>
      <c r="L384" s="823">
        <v>0</v>
      </c>
      <c r="M384" s="823">
        <v>0</v>
      </c>
      <c r="N384" s="823">
        <v>0</v>
      </c>
      <c r="O384" s="823">
        <v>0</v>
      </c>
      <c r="P384" s="823">
        <v>0</v>
      </c>
      <c r="Q384" s="823">
        <v>0</v>
      </c>
      <c r="R384" s="823">
        <v>0</v>
      </c>
      <c r="S384" s="823">
        <v>0</v>
      </c>
      <c r="T384" s="823">
        <v>0</v>
      </c>
      <c r="U384" s="823">
        <v>0</v>
      </c>
      <c r="V384" s="823">
        <v>0</v>
      </c>
      <c r="W384" s="823">
        <v>0</v>
      </c>
      <c r="X384" s="823">
        <v>0</v>
      </c>
      <c r="Y384" s="823">
        <v>0</v>
      </c>
      <c r="Z384" s="823">
        <v>0</v>
      </c>
      <c r="AA384" s="823">
        <v>0</v>
      </c>
      <c r="AB384" s="823">
        <v>0</v>
      </c>
      <c r="AC384" s="825">
        <v>0</v>
      </c>
      <c r="AD384" s="825">
        <v>0</v>
      </c>
      <c r="AE384" s="825">
        <v>0</v>
      </c>
      <c r="AF384" s="825">
        <v>0</v>
      </c>
      <c r="AG384" s="825">
        <v>0</v>
      </c>
      <c r="AH384" s="825">
        <v>0</v>
      </c>
      <c r="AI384" s="825">
        <v>0</v>
      </c>
      <c r="AJ384" s="825">
        <v>0</v>
      </c>
      <c r="AK384" s="825">
        <v>0</v>
      </c>
      <c r="AL384" s="825">
        <v>0</v>
      </c>
      <c r="AM384" s="825">
        <v>0</v>
      </c>
      <c r="AN384" s="825">
        <v>0</v>
      </c>
      <c r="AO384" s="825">
        <v>0</v>
      </c>
      <c r="AP384" s="825">
        <v>0</v>
      </c>
    </row>
    <row r="385" hidden="1" ht="15.95" customHeight="1">
      <c r="B385" s="826" t="s">
        <v>22</v>
      </c>
      <c r="C385" s="827">
        <v>1</v>
      </c>
      <c r="D385" s="827">
        <v>1</v>
      </c>
      <c r="E385" s="827">
        <v>1</v>
      </c>
      <c r="F385" s="827">
        <v>1</v>
      </c>
      <c r="G385" s="827">
        <v>1</v>
      </c>
      <c r="H385" s="827">
        <v>1</v>
      </c>
      <c r="I385" s="827">
        <v>1</v>
      </c>
      <c r="J385" s="827">
        <v>1</v>
      </c>
      <c r="K385" s="827">
        <v>1</v>
      </c>
      <c r="L385" s="827">
        <v>1</v>
      </c>
      <c r="M385" s="827">
        <v>1</v>
      </c>
      <c r="N385" s="827">
        <v>1</v>
      </c>
      <c r="O385" s="827">
        <v>0</v>
      </c>
      <c r="P385" s="827">
        <v>0</v>
      </c>
      <c r="Q385" s="827">
        <v>0</v>
      </c>
      <c r="R385" s="827">
        <v>0</v>
      </c>
      <c r="S385" s="827">
        <v>0</v>
      </c>
      <c r="T385" s="827">
        <v>0</v>
      </c>
      <c r="U385" s="827">
        <v>0</v>
      </c>
      <c r="V385" s="827">
        <v>0</v>
      </c>
      <c r="W385" s="827">
        <v>0</v>
      </c>
      <c r="X385" s="827">
        <v>0</v>
      </c>
      <c r="Y385" s="827">
        <v>0</v>
      </c>
      <c r="Z385" s="827">
        <v>0</v>
      </c>
      <c r="AA385" s="827">
        <v>0</v>
      </c>
      <c r="AB385" s="827">
        <v>0</v>
      </c>
      <c r="AC385" s="828">
        <v>0</v>
      </c>
      <c r="AD385" s="828">
        <v>0</v>
      </c>
      <c r="AE385" s="828">
        <v>0</v>
      </c>
      <c r="AF385" s="828">
        <v>0</v>
      </c>
      <c r="AG385" s="828">
        <v>0</v>
      </c>
      <c r="AH385" s="828">
        <v>0</v>
      </c>
      <c r="AI385" s="828">
        <v>0</v>
      </c>
      <c r="AJ385" s="828">
        <v>0</v>
      </c>
      <c r="AK385" s="828">
        <v>0</v>
      </c>
      <c r="AL385" s="828">
        <v>0</v>
      </c>
      <c r="AM385" s="828">
        <v>0</v>
      </c>
      <c r="AN385" s="828">
        <v>0</v>
      </c>
      <c r="AO385" s="828">
        <v>0</v>
      </c>
      <c r="AP385" s="828">
        <v>0</v>
      </c>
    </row>
    <row r="386" hidden="1" ht="15.95" customHeight="1">
      <c r="B386" s="829" t="s">
        <v>23</v>
      </c>
      <c r="C386" s="823">
        <v>0</v>
      </c>
      <c r="D386" s="823">
        <v>0</v>
      </c>
      <c r="E386" s="823">
        <v>0</v>
      </c>
      <c r="F386" s="823">
        <v>0</v>
      </c>
      <c r="G386" s="823">
        <v>0</v>
      </c>
      <c r="H386" s="823">
        <v>0</v>
      </c>
      <c r="I386" s="823">
        <v>0</v>
      </c>
      <c r="J386" s="823">
        <v>0</v>
      </c>
      <c r="K386" s="823">
        <v>0</v>
      </c>
      <c r="L386" s="823">
        <v>0</v>
      </c>
      <c r="M386" s="823">
        <v>0</v>
      </c>
      <c r="N386" s="823">
        <v>0</v>
      </c>
      <c r="O386" s="823">
        <v>0</v>
      </c>
      <c r="P386" s="823">
        <v>0</v>
      </c>
      <c r="Q386" s="823">
        <v>0</v>
      </c>
      <c r="R386" s="823">
        <v>0</v>
      </c>
      <c r="S386" s="823">
        <v>0</v>
      </c>
      <c r="T386" s="823">
        <v>0</v>
      </c>
      <c r="U386" s="823">
        <v>1</v>
      </c>
      <c r="V386" s="823">
        <v>1</v>
      </c>
      <c r="W386" s="823">
        <v>1</v>
      </c>
      <c r="X386" s="823">
        <v>1</v>
      </c>
      <c r="Y386" s="823">
        <v>1</v>
      </c>
      <c r="Z386" s="823">
        <v>1</v>
      </c>
      <c r="AA386" s="823">
        <v>1</v>
      </c>
      <c r="AB386" s="823">
        <v>1</v>
      </c>
      <c r="AC386" s="825">
        <v>1</v>
      </c>
      <c r="AD386" s="825">
        <v>1</v>
      </c>
      <c r="AE386" s="825">
        <v>1</v>
      </c>
      <c r="AF386" s="825">
        <v>0</v>
      </c>
      <c r="AG386" s="825">
        <v>0</v>
      </c>
      <c r="AH386" s="825">
        <v>0</v>
      </c>
      <c r="AI386" s="825">
        <v>0</v>
      </c>
      <c r="AJ386" s="825">
        <v>0</v>
      </c>
      <c r="AK386" s="825">
        <v>0</v>
      </c>
      <c r="AL386" s="825">
        <v>0</v>
      </c>
      <c r="AM386" s="825">
        <v>0</v>
      </c>
      <c r="AN386" s="825">
        <v>0</v>
      </c>
      <c r="AO386" s="825">
        <v>0</v>
      </c>
      <c r="AP386" s="825">
        <v>0</v>
      </c>
    </row>
    <row r="387" hidden="1" ht="15.95" customHeight="1">
      <c r="B387" s="835" t="s">
        <v>24</v>
      </c>
      <c r="C387" s="827">
        <v>5</v>
      </c>
      <c r="D387" s="827">
        <v>5</v>
      </c>
      <c r="E387" s="827">
        <v>4</v>
      </c>
      <c r="F387" s="827">
        <v>4</v>
      </c>
      <c r="G387" s="827">
        <v>5</v>
      </c>
      <c r="H387" s="827">
        <v>5</v>
      </c>
      <c r="I387" s="827">
        <v>4</v>
      </c>
      <c r="J387" s="827">
        <v>4</v>
      </c>
      <c r="K387" s="827">
        <v>4</v>
      </c>
      <c r="L387" s="827">
        <v>4</v>
      </c>
      <c r="M387" s="827">
        <v>4</v>
      </c>
      <c r="N387" s="827">
        <v>4</v>
      </c>
      <c r="O387" s="827">
        <v>4</v>
      </c>
      <c r="P387" s="827">
        <v>4</v>
      </c>
      <c r="Q387" s="827">
        <v>4</v>
      </c>
      <c r="R387" s="827">
        <v>4</v>
      </c>
      <c r="S387" s="827">
        <v>4</v>
      </c>
      <c r="T387" s="827">
        <v>4</v>
      </c>
      <c r="U387" s="827">
        <v>4</v>
      </c>
      <c r="V387" s="827">
        <v>4</v>
      </c>
      <c r="W387" s="827">
        <v>4</v>
      </c>
      <c r="X387" s="827">
        <v>4</v>
      </c>
      <c r="Y387" s="827">
        <v>4</v>
      </c>
      <c r="Z387" s="827">
        <v>4</v>
      </c>
      <c r="AA387" s="827">
        <v>4</v>
      </c>
      <c r="AB387" s="827">
        <v>4</v>
      </c>
      <c r="AC387" s="828">
        <v>4</v>
      </c>
      <c r="AD387" s="828">
        <v>4</v>
      </c>
      <c r="AE387" s="828">
        <v>4</v>
      </c>
      <c r="AF387" s="828">
        <v>4</v>
      </c>
      <c r="AG387" s="828">
        <v>3</v>
      </c>
      <c r="AH387" s="828">
        <v>2</v>
      </c>
      <c r="AI387" s="828">
        <v>0</v>
      </c>
      <c r="AJ387" s="828">
        <v>4</v>
      </c>
      <c r="AK387" s="828">
        <v>4</v>
      </c>
      <c r="AL387" s="828">
        <v>4</v>
      </c>
      <c r="AM387" s="828">
        <v>5</v>
      </c>
      <c r="AN387" s="828">
        <v>5</v>
      </c>
      <c r="AO387" s="828">
        <v>5</v>
      </c>
      <c r="AP387" s="828">
        <v>5</v>
      </c>
    </row>
    <row r="388" hidden="1" ht="15.95" customHeight="1">
      <c r="B388" s="829" t="s">
        <v>25</v>
      </c>
      <c r="C388" s="823">
        <v>0</v>
      </c>
      <c r="D388" s="823">
        <v>0</v>
      </c>
      <c r="E388" s="823">
        <v>0</v>
      </c>
      <c r="F388" s="823">
        <v>0</v>
      </c>
      <c r="G388" s="823">
        <v>0</v>
      </c>
      <c r="H388" s="823">
        <v>0</v>
      </c>
      <c r="I388" s="823">
        <v>0</v>
      </c>
      <c r="J388" s="823">
        <v>0</v>
      </c>
      <c r="K388" s="823">
        <v>0</v>
      </c>
      <c r="L388" s="823">
        <v>0</v>
      </c>
      <c r="M388" s="823">
        <v>0</v>
      </c>
      <c r="N388" s="823">
        <v>0</v>
      </c>
      <c r="O388" s="823">
        <v>0</v>
      </c>
      <c r="P388" s="823">
        <v>0</v>
      </c>
      <c r="Q388" s="823">
        <v>0</v>
      </c>
      <c r="R388" s="823">
        <v>0</v>
      </c>
      <c r="S388" s="823">
        <v>0</v>
      </c>
      <c r="T388" s="823">
        <v>0</v>
      </c>
      <c r="U388" s="823">
        <v>0</v>
      </c>
      <c r="V388" s="823">
        <v>0</v>
      </c>
      <c r="W388" s="823">
        <v>0</v>
      </c>
      <c r="X388" s="823">
        <v>0</v>
      </c>
      <c r="Y388" s="823">
        <v>0</v>
      </c>
      <c r="Z388" s="823">
        <v>0</v>
      </c>
      <c r="AA388" s="823">
        <v>0</v>
      </c>
      <c r="AB388" s="823">
        <v>0</v>
      </c>
      <c r="AC388" s="825">
        <v>0</v>
      </c>
      <c r="AD388" s="825">
        <v>0</v>
      </c>
      <c r="AE388" s="825">
        <v>0</v>
      </c>
      <c r="AF388" s="825">
        <v>0</v>
      </c>
      <c r="AG388" s="825">
        <v>0</v>
      </c>
      <c r="AH388" s="825">
        <v>0</v>
      </c>
      <c r="AI388" s="825">
        <v>0</v>
      </c>
      <c r="AJ388" s="825">
        <v>0</v>
      </c>
      <c r="AK388" s="825">
        <v>0</v>
      </c>
      <c r="AL388" s="825">
        <v>0</v>
      </c>
      <c r="AM388" s="825">
        <v>0</v>
      </c>
      <c r="AN388" s="825">
        <v>0</v>
      </c>
      <c r="AO388" s="825">
        <v>0</v>
      </c>
      <c r="AP388" s="825">
        <v>0</v>
      </c>
    </row>
    <row r="389" hidden="1" ht="15.95" customHeight="1">
      <c r="B389" s="836" t="s">
        <v>26</v>
      </c>
      <c r="C389" s="827">
        <v>0</v>
      </c>
      <c r="D389" s="827">
        <v>0</v>
      </c>
      <c r="E389" s="827">
        <v>0</v>
      </c>
      <c r="F389" s="827">
        <v>0</v>
      </c>
      <c r="G389" s="827">
        <v>0</v>
      </c>
      <c r="H389" s="827">
        <v>0</v>
      </c>
      <c r="I389" s="827">
        <v>0</v>
      </c>
      <c r="J389" s="827">
        <v>0</v>
      </c>
      <c r="K389" s="827">
        <v>0</v>
      </c>
      <c r="L389" s="827">
        <v>0</v>
      </c>
      <c r="M389" s="827">
        <v>0</v>
      </c>
      <c r="N389" s="827">
        <v>0</v>
      </c>
      <c r="O389" s="827">
        <v>0</v>
      </c>
      <c r="P389" s="827">
        <v>0</v>
      </c>
      <c r="Q389" s="827">
        <v>0</v>
      </c>
      <c r="R389" s="827">
        <v>0</v>
      </c>
      <c r="S389" s="827">
        <v>0</v>
      </c>
      <c r="T389" s="827">
        <v>0</v>
      </c>
      <c r="U389" s="827">
        <v>0</v>
      </c>
      <c r="V389" s="827">
        <v>0</v>
      </c>
      <c r="W389" s="827">
        <v>0</v>
      </c>
      <c r="X389" s="827">
        <v>0</v>
      </c>
      <c r="Y389" s="827">
        <v>0</v>
      </c>
      <c r="Z389" s="827">
        <v>0</v>
      </c>
      <c r="AA389" s="827">
        <v>0</v>
      </c>
      <c r="AB389" s="837">
        <v>0</v>
      </c>
      <c r="AC389" s="828">
        <v>0</v>
      </c>
      <c r="AD389" s="828">
        <v>0</v>
      </c>
      <c r="AE389" s="828">
        <v>0</v>
      </c>
      <c r="AF389" s="828">
        <v>0</v>
      </c>
      <c r="AG389" s="828">
        <v>0</v>
      </c>
      <c r="AH389" s="828">
        <v>0</v>
      </c>
      <c r="AI389" s="828">
        <v>0</v>
      </c>
      <c r="AJ389" s="828">
        <v>0</v>
      </c>
      <c r="AK389" s="828">
        <v>0</v>
      </c>
      <c r="AL389" s="828">
        <v>0</v>
      </c>
      <c r="AM389" s="828">
        <v>0</v>
      </c>
      <c r="AN389" s="828">
        <v>0</v>
      </c>
      <c r="AO389" s="828">
        <v>0</v>
      </c>
      <c r="AP389" s="828">
        <v>0</v>
      </c>
    </row>
    <row r="390" hidden="1" ht="15.95" customHeight="1">
      <c r="B390" s="128" t="s">
        <v>7</v>
      </c>
      <c r="C390" s="129" t="str">
        <f>IF(SUM(C371:C389)&lt;&gt;0,SUM(C371:C389),"")</f>
      </c>
      <c r="D390" s="129" t="str">
        <f ref="D390:AA390" t="shared" si="45">IF(SUM(D371:D389)&lt;&gt;0,SUM(D371:D389),"")</f>
      </c>
      <c r="E390" s="129" t="str">
        <f t="shared" si="45"/>
      </c>
      <c r="F390" s="129" t="str">
        <f t="shared" si="45"/>
      </c>
      <c r="G390" s="129" t="str">
        <f t="shared" si="45"/>
      </c>
      <c r="H390" s="129" t="str">
        <f t="shared" si="45"/>
      </c>
      <c r="I390" s="129" t="str">
        <f t="shared" si="45"/>
      </c>
      <c r="J390" s="129" t="str">
        <f t="shared" si="45"/>
      </c>
      <c r="K390" s="129" t="str">
        <f t="shared" si="45"/>
      </c>
      <c r="L390" s="129" t="str">
        <f t="shared" si="45"/>
      </c>
      <c r="M390" s="129" t="str">
        <f t="shared" si="45"/>
      </c>
      <c r="N390" s="129" t="str">
        <f t="shared" si="45"/>
      </c>
      <c r="O390" s="129" t="str">
        <f t="shared" si="45"/>
      </c>
      <c r="P390" s="129" t="str">
        <f t="shared" si="45"/>
      </c>
      <c r="Q390" s="129" t="str">
        <f t="shared" si="45"/>
      </c>
      <c r="R390" s="129" t="str">
        <f t="shared" si="45"/>
      </c>
      <c r="S390" s="129" t="str">
        <f t="shared" si="45"/>
      </c>
      <c r="T390" s="129" t="str">
        <f t="shared" si="45"/>
      </c>
      <c r="U390" s="129" t="str">
        <f t="shared" si="45"/>
      </c>
      <c r="V390" s="129" t="str">
        <f t="shared" si="45"/>
      </c>
      <c r="W390" s="129" t="str">
        <f t="shared" si="45"/>
      </c>
      <c r="X390" s="129" t="str">
        <f t="shared" si="45"/>
      </c>
      <c r="Y390" s="129" t="str">
        <f t="shared" si="45"/>
      </c>
      <c r="Z390" s="129" t="str">
        <f t="shared" si="45"/>
      </c>
      <c r="AA390" s="129" t="str">
        <f t="shared" si="45"/>
      </c>
      <c r="AB390" s="130" t="str">
        <f>IF(SUM(AB371:AB389)&lt;&gt;0,SUM(AB371:AB389),"")</f>
      </c>
      <c r="AC390" s="91" t="str">
        <f ref="AC390:CN390" t="shared" si="46">IF(SUM(AC371:AC389)&lt;&gt;0,SUM(AC371:AC389),"")</f>
      </c>
      <c r="AD390" s="91" t="str">
        <f t="shared" si="46"/>
      </c>
      <c r="AE390" s="91" t="str">
        <f t="shared" si="46"/>
      </c>
      <c r="AF390" s="91" t="str">
        <f t="shared" si="46"/>
      </c>
      <c r="AG390" s="91" t="str">
        <f t="shared" si="46"/>
      </c>
      <c r="AH390" s="91" t="str">
        <f t="shared" si="46"/>
      </c>
      <c r="AI390" s="91" t="str">
        <f t="shared" si="46"/>
      </c>
      <c r="AJ390" s="91" t="str">
        <f t="shared" si="46"/>
      </c>
      <c r="AK390" s="91" t="str">
        <f t="shared" si="46"/>
      </c>
      <c r="AL390" s="91" t="str">
        <f t="shared" si="46"/>
      </c>
      <c r="AM390" s="91" t="str">
        <f t="shared" si="46"/>
      </c>
      <c r="AN390" s="91" t="str">
        <f t="shared" si="46"/>
      </c>
      <c r="AO390" s="91" t="str">
        <f t="shared" si="46"/>
      </c>
      <c r="AP390" s="91" t="str">
        <f t="shared" si="46"/>
      </c>
      <c r="AQ390" s="91" t="str">
        <f t="shared" si="46"/>
      </c>
      <c r="AR390" s="91" t="str">
        <f t="shared" si="46"/>
      </c>
      <c r="AS390" s="91" t="str">
        <f t="shared" si="46"/>
      </c>
      <c r="AT390" s="91" t="str">
        <f t="shared" si="46"/>
      </c>
      <c r="AU390" s="91" t="str">
        <f t="shared" si="46"/>
      </c>
      <c r="AV390" s="91" t="str">
        <f t="shared" si="46"/>
      </c>
      <c r="AW390" s="91" t="str">
        <f t="shared" si="46"/>
      </c>
      <c r="AX390" s="91" t="str">
        <f t="shared" si="46"/>
      </c>
      <c r="AY390" s="91" t="str">
        <f t="shared" si="46"/>
      </c>
      <c r="AZ390" s="91" t="str">
        <f t="shared" si="46"/>
      </c>
      <c r="BA390" s="91" t="str">
        <f t="shared" si="46"/>
      </c>
      <c r="BB390" s="91" t="str">
        <f t="shared" si="46"/>
      </c>
      <c r="BC390" s="91" t="str">
        <f t="shared" si="46"/>
      </c>
      <c r="BD390" s="91" t="str">
        <f t="shared" si="46"/>
      </c>
      <c r="BE390" s="91" t="str">
        <f t="shared" si="46"/>
      </c>
      <c r="BF390" s="91" t="str">
        <f t="shared" si="46"/>
      </c>
      <c r="BG390" s="91" t="str">
        <f t="shared" si="46"/>
      </c>
      <c r="BH390" s="91" t="str">
        <f t="shared" si="46"/>
      </c>
      <c r="BI390" s="91" t="str">
        <f t="shared" si="46"/>
      </c>
      <c r="BJ390" s="91" t="str">
        <f t="shared" si="46"/>
      </c>
      <c r="BK390" s="91" t="str">
        <f t="shared" si="46"/>
      </c>
      <c r="BL390" s="91" t="str">
        <f t="shared" si="46"/>
      </c>
      <c r="BM390" s="91" t="str">
        <f t="shared" si="46"/>
      </c>
      <c r="BN390" s="91" t="str">
        <f t="shared" si="46"/>
      </c>
      <c r="BO390" s="91" t="str">
        <f t="shared" si="46"/>
      </c>
      <c r="BP390" s="91" t="str">
        <f t="shared" si="46"/>
      </c>
      <c r="BQ390" s="91" t="str">
        <f t="shared" si="46"/>
      </c>
      <c r="BR390" s="91" t="str">
        <f t="shared" si="46"/>
      </c>
      <c r="BS390" s="91" t="str">
        <f t="shared" si="46"/>
      </c>
      <c r="BT390" s="91" t="str">
        <f t="shared" si="46"/>
      </c>
      <c r="BU390" s="91" t="str">
        <f t="shared" si="46"/>
      </c>
      <c r="BV390" s="91" t="str">
        <f t="shared" si="46"/>
      </c>
      <c r="BW390" s="91" t="str">
        <f t="shared" si="46"/>
      </c>
      <c r="BX390" s="91" t="str">
        <f t="shared" si="46"/>
      </c>
      <c r="BY390" s="91" t="str">
        <f t="shared" si="46"/>
      </c>
      <c r="BZ390" s="91" t="str">
        <f t="shared" si="46"/>
      </c>
      <c r="CA390" s="91" t="str">
        <f t="shared" si="46"/>
      </c>
      <c r="CB390" s="91" t="str">
        <f t="shared" si="46"/>
      </c>
      <c r="CC390" s="91" t="str">
        <f t="shared" si="46"/>
      </c>
      <c r="CD390" s="91" t="str">
        <f t="shared" si="46"/>
      </c>
      <c r="CE390" s="91" t="str">
        <f t="shared" si="46"/>
      </c>
      <c r="CF390" s="91" t="str">
        <f t="shared" si="46"/>
      </c>
      <c r="CG390" s="91" t="str">
        <f t="shared" si="46"/>
      </c>
      <c r="CH390" s="91" t="str">
        <f t="shared" si="46"/>
      </c>
      <c r="CI390" s="91" t="str">
        <f t="shared" si="46"/>
      </c>
      <c r="CJ390" s="91" t="str">
        <f t="shared" si="46"/>
      </c>
      <c r="CK390" s="91" t="str">
        <f t="shared" si="46"/>
      </c>
      <c r="CL390" s="91" t="str">
        <f t="shared" si="46"/>
      </c>
      <c r="CM390" s="91" t="str">
        <f t="shared" si="46"/>
      </c>
      <c r="CN390" s="91" t="str">
        <f t="shared" si="46"/>
      </c>
      <c r="CO390" s="91" t="str">
        <f ref="CO390:EZ390" t="shared" si="47">IF(SUM(CO371:CO389)&lt;&gt;0,SUM(CO371:CO389),"")</f>
      </c>
      <c r="CP390" s="91" t="str">
        <f t="shared" si="47"/>
      </c>
      <c r="CQ390" s="91" t="str">
        <f t="shared" si="47"/>
      </c>
      <c r="CR390" s="91" t="str">
        <f t="shared" si="47"/>
      </c>
      <c r="CS390" s="91" t="str">
        <f t="shared" si="47"/>
      </c>
      <c r="CT390" s="91" t="str">
        <f t="shared" si="47"/>
      </c>
      <c r="CU390" s="91" t="str">
        <f t="shared" si="47"/>
      </c>
      <c r="CV390" s="91" t="str">
        <f t="shared" si="47"/>
      </c>
      <c r="CW390" s="91" t="str">
        <f t="shared" si="47"/>
      </c>
      <c r="CX390" s="91" t="str">
        <f t="shared" si="47"/>
      </c>
      <c r="CY390" s="91" t="str">
        <f t="shared" si="47"/>
      </c>
      <c r="CZ390" s="91" t="str">
        <f t="shared" si="47"/>
      </c>
      <c r="DA390" s="91" t="str">
        <f t="shared" si="47"/>
      </c>
      <c r="DB390" s="91" t="str">
        <f t="shared" si="47"/>
      </c>
      <c r="DC390" s="91" t="str">
        <f t="shared" si="47"/>
      </c>
      <c r="DD390" s="91" t="str">
        <f t="shared" si="47"/>
      </c>
      <c r="DE390" s="91" t="str">
        <f t="shared" si="47"/>
      </c>
      <c r="DF390" s="91" t="str">
        <f t="shared" si="47"/>
      </c>
      <c r="DG390" s="91" t="str">
        <f t="shared" si="47"/>
      </c>
      <c r="DH390" s="91" t="str">
        <f t="shared" si="47"/>
      </c>
      <c r="DI390" s="91" t="str">
        <f t="shared" si="47"/>
      </c>
      <c r="DJ390" s="91" t="str">
        <f t="shared" si="47"/>
      </c>
      <c r="DK390" s="91" t="str">
        <f t="shared" si="47"/>
      </c>
      <c r="DL390" s="91" t="str">
        <f t="shared" si="47"/>
      </c>
      <c r="DM390" s="91" t="str">
        <f t="shared" si="47"/>
      </c>
      <c r="DN390" s="91" t="str">
        <f t="shared" si="47"/>
      </c>
      <c r="DO390" s="91" t="str">
        <f t="shared" si="47"/>
      </c>
      <c r="DP390" s="91" t="str">
        <f t="shared" si="47"/>
      </c>
      <c r="DQ390" s="91" t="str">
        <f t="shared" si="47"/>
      </c>
      <c r="DR390" s="91" t="str">
        <f t="shared" si="47"/>
      </c>
      <c r="DS390" s="91" t="str">
        <f t="shared" si="47"/>
      </c>
      <c r="DT390" s="91" t="str">
        <f t="shared" si="47"/>
      </c>
      <c r="DU390" s="91" t="str">
        <f t="shared" si="47"/>
      </c>
      <c r="DV390" s="91" t="str">
        <f t="shared" si="47"/>
      </c>
      <c r="DW390" s="91" t="str">
        <f t="shared" si="47"/>
      </c>
      <c r="DX390" s="91" t="str">
        <f t="shared" si="47"/>
      </c>
      <c r="DY390" s="91" t="str">
        <f t="shared" si="47"/>
      </c>
      <c r="DZ390" s="91" t="str">
        <f t="shared" si="47"/>
      </c>
      <c r="EA390" s="91" t="str">
        <f t="shared" si="47"/>
      </c>
      <c r="EB390" s="91" t="str">
        <f t="shared" si="47"/>
      </c>
      <c r="EC390" s="91" t="str">
        <f t="shared" si="47"/>
      </c>
      <c r="ED390" s="91" t="str">
        <f t="shared" si="47"/>
      </c>
      <c r="EE390" s="91" t="str">
        <f t="shared" si="47"/>
      </c>
      <c r="EF390" s="91" t="str">
        <f t="shared" si="47"/>
      </c>
      <c r="EG390" s="91" t="str">
        <f t="shared" si="47"/>
      </c>
      <c r="EH390" s="91" t="str">
        <f t="shared" si="47"/>
      </c>
      <c r="EI390" s="91" t="str">
        <f t="shared" si="47"/>
      </c>
      <c r="EJ390" s="91" t="str">
        <f t="shared" si="47"/>
      </c>
      <c r="EK390" s="91" t="str">
        <f t="shared" si="47"/>
      </c>
      <c r="EL390" s="91" t="str">
        <f t="shared" si="47"/>
      </c>
      <c r="EM390" s="91" t="str">
        <f t="shared" si="47"/>
      </c>
      <c r="EN390" s="91" t="str">
        <f t="shared" si="47"/>
      </c>
      <c r="EO390" s="91" t="str">
        <f t="shared" si="47"/>
      </c>
      <c r="EP390" s="91" t="str">
        <f t="shared" si="47"/>
      </c>
      <c r="EQ390" s="91" t="str">
        <f t="shared" si="47"/>
      </c>
      <c r="ER390" s="91" t="str">
        <f t="shared" si="47"/>
      </c>
      <c r="ES390" s="91" t="str">
        <f t="shared" si="47"/>
      </c>
      <c r="ET390" s="91" t="str">
        <f t="shared" si="47"/>
      </c>
      <c r="EU390" s="91" t="str">
        <f t="shared" si="47"/>
      </c>
      <c r="EV390" s="91" t="str">
        <f t="shared" si="47"/>
      </c>
      <c r="EW390" s="91" t="str">
        <f t="shared" si="47"/>
      </c>
      <c r="EX390" s="91" t="str">
        <f t="shared" si="47"/>
      </c>
      <c r="EY390" s="91" t="str">
        <f t="shared" si="47"/>
      </c>
      <c r="EZ390" s="91" t="str">
        <f t="shared" si="47"/>
      </c>
      <c r="FA390" s="91" t="str">
        <f ref="FA390:HL390" t="shared" si="48">IF(SUM(FA371:FA389)&lt;&gt;0,SUM(FA371:FA389),"")</f>
      </c>
      <c r="FB390" s="91" t="str">
        <f t="shared" si="48"/>
      </c>
      <c r="FC390" s="91" t="str">
        <f t="shared" si="48"/>
      </c>
      <c r="FD390" s="91" t="str">
        <f t="shared" si="48"/>
      </c>
      <c r="FE390" s="91" t="str">
        <f t="shared" si="48"/>
      </c>
      <c r="FF390" s="91" t="str">
        <f t="shared" si="48"/>
      </c>
      <c r="FG390" s="91" t="str">
        <f t="shared" si="48"/>
      </c>
      <c r="FH390" s="91" t="str">
        <f t="shared" si="48"/>
      </c>
      <c r="FI390" s="91" t="str">
        <f t="shared" si="48"/>
      </c>
      <c r="FJ390" s="91" t="str">
        <f t="shared" si="48"/>
      </c>
      <c r="FK390" s="91" t="str">
        <f t="shared" si="48"/>
      </c>
      <c r="FL390" s="91" t="str">
        <f t="shared" si="48"/>
      </c>
      <c r="FM390" s="91" t="str">
        <f t="shared" si="48"/>
      </c>
      <c r="FN390" s="91" t="str">
        <f t="shared" si="48"/>
      </c>
      <c r="FO390" s="91" t="str">
        <f t="shared" si="48"/>
      </c>
      <c r="FP390" s="91" t="str">
        <f t="shared" si="48"/>
      </c>
      <c r="FQ390" s="91" t="str">
        <f t="shared" si="48"/>
      </c>
      <c r="FR390" s="91" t="str">
        <f t="shared" si="48"/>
      </c>
      <c r="FS390" s="91" t="str">
        <f t="shared" si="48"/>
      </c>
      <c r="FT390" s="91" t="str">
        <f t="shared" si="48"/>
      </c>
      <c r="FU390" s="91" t="str">
        <f t="shared" si="48"/>
      </c>
      <c r="FV390" s="91" t="str">
        <f t="shared" si="48"/>
      </c>
      <c r="FW390" s="91" t="str">
        <f t="shared" si="48"/>
      </c>
      <c r="FX390" s="91" t="str">
        <f t="shared" si="48"/>
      </c>
      <c r="FY390" s="91" t="str">
        <f t="shared" si="48"/>
      </c>
      <c r="FZ390" s="91" t="str">
        <f t="shared" si="48"/>
      </c>
      <c r="GA390" s="91" t="str">
        <f t="shared" si="48"/>
      </c>
      <c r="GB390" s="91" t="str">
        <f t="shared" si="48"/>
      </c>
      <c r="GC390" s="91" t="str">
        <f t="shared" si="48"/>
      </c>
      <c r="GD390" s="91" t="str">
        <f t="shared" si="48"/>
      </c>
      <c r="GE390" s="91" t="str">
        <f t="shared" si="48"/>
      </c>
      <c r="GF390" s="91" t="str">
        <f t="shared" si="48"/>
      </c>
      <c r="GG390" s="91" t="str">
        <f t="shared" si="48"/>
      </c>
      <c r="GH390" s="91" t="str">
        <f t="shared" si="48"/>
      </c>
      <c r="GI390" s="91" t="str">
        <f t="shared" si="48"/>
      </c>
      <c r="GJ390" s="91" t="str">
        <f t="shared" si="48"/>
      </c>
      <c r="GK390" s="91" t="str">
        <f t="shared" si="48"/>
      </c>
      <c r="GL390" s="91" t="str">
        <f t="shared" si="48"/>
      </c>
      <c r="GM390" s="91" t="str">
        <f t="shared" si="48"/>
      </c>
      <c r="GN390" s="91" t="str">
        <f t="shared" si="48"/>
      </c>
      <c r="GO390" s="91" t="str">
        <f t="shared" si="48"/>
      </c>
      <c r="GP390" s="91" t="str">
        <f t="shared" si="48"/>
      </c>
      <c r="GQ390" s="91" t="str">
        <f t="shared" si="48"/>
      </c>
      <c r="GR390" s="91" t="str">
        <f t="shared" si="48"/>
      </c>
      <c r="GS390" s="91" t="str">
        <f t="shared" si="48"/>
      </c>
      <c r="GT390" s="91" t="str">
        <f t="shared" si="48"/>
      </c>
      <c r="GU390" s="91" t="str">
        <f t="shared" si="48"/>
      </c>
      <c r="GV390" s="91" t="str">
        <f t="shared" si="48"/>
      </c>
      <c r="GW390" s="91" t="str">
        <f t="shared" si="48"/>
      </c>
      <c r="GX390" s="91" t="str">
        <f t="shared" si="48"/>
      </c>
      <c r="GY390" s="91" t="str">
        <f t="shared" si="48"/>
      </c>
      <c r="GZ390" s="91" t="str">
        <f t="shared" si="48"/>
      </c>
      <c r="HA390" s="91" t="str">
        <f t="shared" si="48"/>
      </c>
      <c r="HB390" s="91" t="str">
        <f t="shared" si="48"/>
      </c>
      <c r="HC390" s="91" t="str">
        <f t="shared" si="48"/>
      </c>
      <c r="HD390" s="91" t="str">
        <f t="shared" si="48"/>
      </c>
      <c r="HE390" s="91" t="str">
        <f t="shared" si="48"/>
      </c>
      <c r="HF390" s="91" t="str">
        <f t="shared" si="48"/>
      </c>
      <c r="HG390" s="91" t="str">
        <f t="shared" si="48"/>
      </c>
      <c r="HH390" s="91" t="str">
        <f t="shared" si="48"/>
      </c>
      <c r="HI390" s="91" t="str">
        <f t="shared" si="48"/>
      </c>
      <c r="HJ390" s="91" t="str">
        <f t="shared" si="48"/>
      </c>
      <c r="HK390" s="91" t="str">
        <f t="shared" si="48"/>
      </c>
      <c r="HL390" s="91" t="str">
        <f t="shared" si="48"/>
      </c>
      <c r="HM390" s="91" t="str">
        <f ref="HM390:IV390" t="shared" si="49">IF(SUM(HM371:HM389)&lt;&gt;0,SUM(HM371:HM389),"")</f>
      </c>
      <c r="HN390" s="91" t="str">
        <f t="shared" si="49"/>
      </c>
      <c r="HO390" s="91" t="str">
        <f t="shared" si="49"/>
      </c>
      <c r="HP390" s="91" t="str">
        <f t="shared" si="49"/>
      </c>
      <c r="HQ390" s="91" t="str">
        <f t="shared" si="49"/>
      </c>
      <c r="HR390" s="91" t="str">
        <f t="shared" si="49"/>
      </c>
      <c r="HS390" s="91" t="str">
        <f t="shared" si="49"/>
      </c>
      <c r="HT390" s="91" t="str">
        <f t="shared" si="49"/>
      </c>
      <c r="HU390" s="91" t="str">
        <f t="shared" si="49"/>
      </c>
      <c r="HV390" s="91" t="str">
        <f t="shared" si="49"/>
      </c>
      <c r="HW390" s="91" t="str">
        <f t="shared" si="49"/>
      </c>
      <c r="HX390" s="91" t="str">
        <f t="shared" si="49"/>
      </c>
      <c r="HY390" s="91" t="str">
        <f t="shared" si="49"/>
      </c>
      <c r="HZ390" s="91" t="str">
        <f t="shared" si="49"/>
      </c>
      <c r="IA390" s="91" t="str">
        <f t="shared" si="49"/>
      </c>
      <c r="IB390" s="91" t="str">
        <f t="shared" si="49"/>
      </c>
      <c r="IC390" s="91" t="str">
        <f t="shared" si="49"/>
      </c>
      <c r="ID390" s="91" t="str">
        <f t="shared" si="49"/>
      </c>
      <c r="IE390" s="91" t="str">
        <f t="shared" si="49"/>
      </c>
      <c r="IF390" s="91" t="str">
        <f t="shared" si="49"/>
      </c>
      <c r="IG390" s="91" t="str">
        <f t="shared" si="49"/>
      </c>
      <c r="IH390" s="91" t="str">
        <f t="shared" si="49"/>
      </c>
      <c r="II390" s="91" t="str">
        <f t="shared" si="49"/>
      </c>
      <c r="IJ390" s="91" t="str">
        <f t="shared" si="49"/>
      </c>
      <c r="IK390" s="91" t="str">
        <f t="shared" si="49"/>
      </c>
      <c r="IL390" s="91" t="str">
        <f t="shared" si="49"/>
      </c>
      <c r="IM390" s="91" t="str">
        <f t="shared" si="49"/>
      </c>
      <c r="IN390" s="91" t="str">
        <f t="shared" si="49"/>
      </c>
      <c r="IO390" s="91" t="str">
        <f t="shared" si="49"/>
      </c>
      <c r="IP390" s="91" t="str">
        <f t="shared" si="49"/>
      </c>
      <c r="IQ390" s="91" t="str">
        <f t="shared" si="49"/>
      </c>
      <c r="IR390" s="91" t="str">
        <f t="shared" si="49"/>
      </c>
      <c r="IS390" s="91" t="str">
        <f t="shared" si="49"/>
      </c>
      <c r="IT390" s="91" t="str">
        <f t="shared" si="49"/>
      </c>
      <c r="IU390" s="91" t="str">
        <f t="shared" si="49"/>
      </c>
      <c r="IV390" s="91" t="str">
        <f t="shared" si="49"/>
      </c>
    </row>
    <row r="391" hidden="1" ht="15.95" customHeight="1">
      <c r="B391" s="274"/>
      <c r="C391" s="247"/>
      <c r="D391" s="247"/>
      <c r="E391" s="247"/>
      <c r="F391" s="247"/>
      <c r="G391" s="247"/>
      <c r="H391" s="247"/>
      <c r="I391" s="247"/>
      <c r="J391" s="247"/>
      <c r="K391" s="247"/>
      <c r="N391" s="275"/>
    </row>
    <row r="392" hidden="1" ht="15.95" customHeight="1">
      <c r="B392" s="274"/>
      <c r="C392" s="659" t="s">
        <v>204</v>
      </c>
      <c r="D392" s="660"/>
      <c r="E392" s="660"/>
      <c r="F392" s="660"/>
      <c r="G392" s="660"/>
      <c r="H392" s="660"/>
      <c r="I392" s="660"/>
      <c r="J392" s="660"/>
      <c r="K392" s="660"/>
      <c r="L392" s="660"/>
      <c r="M392" s="660"/>
      <c r="N392" s="660"/>
      <c r="O392" s="660"/>
      <c r="P392" s="660"/>
      <c r="Q392" s="660"/>
      <c r="R392" s="660"/>
      <c r="S392" s="660"/>
      <c r="T392" s="660"/>
      <c r="U392" s="660"/>
      <c r="V392" s="660"/>
      <c r="W392" s="660"/>
      <c r="X392" s="660"/>
      <c r="Y392" s="660"/>
      <c r="Z392" s="660"/>
      <c r="AA392" s="660"/>
      <c r="AB392" s="661"/>
    </row>
    <row r="393" hidden="1" ht="15.95" customHeight="1">
      <c r="C393" s="435" t="str">
        <f> IF(C413&lt;&gt;"",TEXT(AUX!G$1,"dd-MMM-aa"),"")</f>
      </c>
      <c r="D393" s="435" t="str">
        <f> IF(D413&lt;&gt;"",TEXT(AUX!H$1,"dd-MMM-aa"),"")</f>
      </c>
      <c r="E393" s="435" t="str">
        <f> IF(E413&lt;&gt;"",TEXT(AUX!I$1,"dd-MMM-aa"),"")</f>
      </c>
      <c r="F393" s="435" t="str">
        <f> IF(F413&lt;&gt;"",TEXT(AUX!J$1,"dd-MMM-aa"),"")</f>
      </c>
      <c r="G393" s="435" t="str">
        <f> IF(G413&lt;&gt;"",TEXT(AUX!K$1,"dd-MMM-aa"),"")</f>
      </c>
      <c r="H393" s="435" t="str">
        <f> IF(H413&lt;&gt;"",TEXT(AUX!L$1,"dd-MMM-aa"),"")</f>
      </c>
      <c r="I393" s="435" t="str">
        <f> IF(I413&lt;&gt;"",TEXT(AUX!M$1,"dd-MMM-aa"),"")</f>
      </c>
      <c r="J393" s="435" t="str">
        <f> IF(J413&lt;&gt;"",TEXT(AUX!N$1,"dd-MMM-aa"),"")</f>
      </c>
      <c r="K393" s="435" t="str">
        <f> IF(K413&lt;&gt;"",TEXT(AUX!O$1,"dd-MMM-aa"),"")</f>
      </c>
      <c r="L393" s="435" t="str">
        <f> IF(L413&lt;&gt;"",TEXT(AUX!P$1,"dd-MMM-aa"),"")</f>
      </c>
      <c r="M393" s="435" t="str">
        <f> IF(M413&lt;&gt;"",TEXT(AUX!Q$1,"dd-MMM-aa"),"")</f>
      </c>
      <c r="N393" s="435" t="str">
        <f> IF(N413&lt;&gt;"",TEXT(AUX!R$1,"dd-MMM-aa"),"")</f>
      </c>
      <c r="O393" s="435" t="str">
        <f> IF(O413&lt;&gt;"",TEXT(AUX!S$1,"dd-MMM-aa"),"")</f>
      </c>
      <c r="P393" s="435" t="str">
        <f> IF(P413&lt;&gt;"",TEXT(AUX!T$1,"dd-MMM-aa"),"")</f>
      </c>
      <c r="Q393" s="435" t="str">
        <f> IF(Q413&lt;&gt;"",TEXT(AUX!U$1,"dd-MMM-aa"),"")</f>
      </c>
      <c r="R393" s="435" t="str">
        <f> IF(R413&lt;&gt;"",TEXT(AUX!V$1,"dd-MMM-aa"),"")</f>
      </c>
      <c r="S393" s="435" t="str">
        <f> IF(S413&lt;&gt;"",TEXT(AUX!W$1,"dd-MMM-aa"),"")</f>
      </c>
      <c r="T393" s="435" t="str">
        <f> IF(T413&lt;&gt;"",TEXT(AUX!X$1,"dd-MMM-aa"),"")</f>
      </c>
      <c r="U393" s="435" t="str">
        <f> IF(U413&lt;&gt;"",TEXT(AUX!Y$1,"dd-MMM-aa"),"")</f>
      </c>
      <c r="V393" s="435" t="str">
        <f> IF(V413&lt;&gt;"",TEXT(AUX!Z$1,"dd-MMM-aa"),"")</f>
      </c>
      <c r="W393" s="435" t="str">
        <f> IF(W413&lt;&gt;"",TEXT(AUX!AA$1,"dd-MMM-aa"),"")</f>
      </c>
      <c r="X393" s="435" t="str">
        <f> IF(X413&lt;&gt;"",TEXT(AUX!AB$1,"dd-MMM-aa"),"")</f>
      </c>
      <c r="Y393" s="435" t="str">
        <f> IF(Y413&lt;&gt;"",TEXT(AUX!AC$1,"dd-MMM-aa"),"")</f>
      </c>
      <c r="Z393" s="435" t="str">
        <f> IF(Z413&lt;&gt;"",TEXT(AUX!AD$1,"dd-MMM-aa"),"")</f>
      </c>
      <c r="AA393" s="435" t="str">
        <f> IF(AA413&lt;&gt;"",TEXT(AUX!AE$1,"dd-MMM-aa"),"")</f>
      </c>
      <c r="AB393" s="497" t="str">
        <f> IF(AB413&lt;&gt;"",TEXT(AUX!AF$1,"dd-MMM-aa"),"")</f>
      </c>
      <c r="AC393" s="496" t="str">
        <f> IF(AC413&lt;&gt;"",TEXT(AUX!AG$1,"dd-MMM-aa"),"")</f>
      </c>
      <c r="AD393" s="496" t="str">
        <f> IF(AD413&lt;&gt;"",TEXT(AUX!AH$1,"dd-MMM-aa"),"")</f>
      </c>
      <c r="AE393" s="496" t="str">
        <f> IF(AE413&lt;&gt;"",TEXT(AUX!AI$1,"dd-MMM-aa"),"")</f>
      </c>
      <c r="AF393" s="496" t="str">
        <f> IF(AF413&lt;&gt;"",TEXT(AUX!AJ$1,"dd-MMM-aa"),"")</f>
      </c>
      <c r="AG393" s="496" t="str">
        <f> IF(AG413&lt;&gt;"",TEXT(AUX!AK$1,"dd-MMM-aa"),"")</f>
      </c>
      <c r="AH393" s="496" t="str">
        <f> IF(AH413&lt;&gt;"",TEXT(AUX!AL$1,"dd-MMM-aa"),"")</f>
      </c>
      <c r="AI393" s="496" t="str">
        <f> IF(AI413&lt;&gt;"",TEXT(AUX!AM$1,"dd-MMM-aa"),"")</f>
      </c>
      <c r="AJ393" s="496" t="str">
        <f> IF(AJ413&lt;&gt;"",TEXT(AUX!AN$1,"dd-MMM-aa"),"")</f>
      </c>
      <c r="AK393" s="496" t="str">
        <f> IF(AK413&lt;&gt;"",TEXT(AUX!AO$1,"dd-MMM-aa"),"")</f>
      </c>
      <c r="AL393" s="496" t="str">
        <f> IF(AL413&lt;&gt;"",TEXT(AUX!AP$1,"dd-MMM-aa"),"")</f>
      </c>
      <c r="AM393" s="496" t="str">
        <f> IF(AM413&lt;&gt;"",TEXT(AUX!AQ$1,"dd-MMM-aa"),"")</f>
      </c>
      <c r="AN393" s="496" t="str">
        <f> IF(AN413&lt;&gt;"",TEXT(AUX!AR$1,"dd-MMM-aa"),"")</f>
      </c>
      <c r="AO393" s="496" t="str">
        <f> IF(AO413&lt;&gt;"",TEXT(AUX!AS$1,"dd-MMM-aa"),"")</f>
      </c>
      <c r="AP393" s="496" t="str">
        <f> IF(AP413&lt;&gt;"",TEXT(AUX!AT$1,"dd-MMM-aa"),"")</f>
      </c>
      <c r="AQ393" s="496" t="str">
        <f> IF(AQ413&lt;&gt;"",TEXT(AUX!AU$1,"dd-MMM-aa"),"")</f>
      </c>
      <c r="AR393" s="496" t="str">
        <f> IF(AR413&lt;&gt;"",TEXT(AUX!AV$1,"dd-MMM-aa"),"")</f>
      </c>
      <c r="AS393" s="496" t="str">
        <f> IF(AS413&lt;&gt;"",TEXT(AUX!AW$1,"dd-MMM-aa"),"")</f>
      </c>
      <c r="AT393" s="496" t="str">
        <f> IF(AT413&lt;&gt;"",TEXT(AUX!AX$1,"dd-MMM-aa"),"")</f>
      </c>
      <c r="AU393" s="496" t="str">
        <f> IF(AU413&lt;&gt;"",TEXT(AUX!AY$1,"dd-MMM-aa"),"")</f>
      </c>
      <c r="AV393" s="496" t="str">
        <f> IF(AV413&lt;&gt;"",TEXT(AUX!AZ$1,"dd-MMM-aa"),"")</f>
      </c>
      <c r="AW393" s="496" t="str">
        <f> IF(AW413&lt;&gt;"",TEXT(AUX!BA$1,"dd-MMM-aa"),"")</f>
      </c>
      <c r="AX393" s="496" t="str">
        <f> IF(AX413&lt;&gt;"",TEXT(AUX!BB$1,"dd-MMM-aa"),"")</f>
      </c>
      <c r="AY393" s="496" t="str">
        <f> IF(AY413&lt;&gt;"",TEXT(AUX!BC$1,"dd-MMM-aa"),"")</f>
      </c>
      <c r="AZ393" s="496" t="str">
        <f> IF(AZ413&lt;&gt;"",TEXT(AUX!BD$1,"dd-MMM-aa"),"")</f>
      </c>
      <c r="BA393" s="496" t="str">
        <f> IF(BA413&lt;&gt;"",TEXT(AUX!BE$1,"dd-MMM-aa"),"")</f>
      </c>
      <c r="BB393" s="496" t="str">
        <f> IF(BB413&lt;&gt;"",TEXT(AUX!BF$1,"dd-MMM-aa"),"")</f>
      </c>
      <c r="BC393" s="496" t="str">
        <f> IF(BC413&lt;&gt;"",TEXT(AUX!BG$1,"dd-MMM-aa"),"")</f>
      </c>
      <c r="BD393" s="496" t="str">
        <f> IF(BD413&lt;&gt;"",TEXT(AUX!BH$1,"dd-MMM-aa"),"")</f>
      </c>
      <c r="BE393" s="496" t="str">
        <f> IF(BE413&lt;&gt;"",TEXT(AUX!BI$1,"dd-MMM-aa"),"")</f>
      </c>
      <c r="BF393" s="496" t="str">
        <f> IF(BF413&lt;&gt;"",TEXT(AUX!BJ$1,"dd-MMM-aa"),"")</f>
      </c>
      <c r="BG393" s="496" t="str">
        <f> IF(BG413&lt;&gt;"",TEXT(AUX!BK$1,"dd-MMM-aa"),"")</f>
      </c>
      <c r="BH393" s="496" t="str">
        <f> IF(BH413&lt;&gt;"",TEXT(AUX!BL$1,"dd-MMM-aa"),"")</f>
      </c>
      <c r="BI393" s="496" t="str">
        <f> IF(BI413&lt;&gt;"",TEXT(AUX!BM$1,"dd-MMM-aa"),"")</f>
      </c>
      <c r="BJ393" s="496" t="str">
        <f> IF(BJ413&lt;&gt;"",TEXT(AUX!BN$1,"dd-MMM-aa"),"")</f>
      </c>
      <c r="BK393" s="496" t="str">
        <f> IF(BK413&lt;&gt;"",TEXT(AUX!BO$1,"dd-MMM-aa"),"")</f>
      </c>
      <c r="BL393" s="496" t="str">
        <f> IF(BL413&lt;&gt;"",TEXT(AUX!BP$1,"dd-MMM-aa"),"")</f>
      </c>
      <c r="BM393" s="496" t="str">
        <f> IF(BM413&lt;&gt;"",TEXT(AUX!BQ$1,"dd-MMM-aa"),"")</f>
      </c>
      <c r="BN393" s="496" t="str">
        <f> IF(BN413&lt;&gt;"",TEXT(AUX!BR$1,"dd-MMM-aa"),"")</f>
      </c>
      <c r="BO393" s="496" t="str">
        <f> IF(BO413&lt;&gt;"",TEXT(AUX!BS$1,"dd-MMM-aa"),"")</f>
      </c>
      <c r="BP393" s="496" t="str">
        <f> IF(BP413&lt;&gt;"",TEXT(AUX!BT$1,"dd-MMM-aa"),"")</f>
      </c>
      <c r="BQ393" s="496" t="str">
        <f> IF(BQ413&lt;&gt;"",TEXT(AUX!BU$1,"dd-MMM-aa"),"")</f>
      </c>
      <c r="BR393" s="496" t="str">
        <f> IF(BR413&lt;&gt;"",TEXT(AUX!BV$1,"dd-MMM-aa"),"")</f>
      </c>
      <c r="BS393" s="496" t="str">
        <f> IF(BS413&lt;&gt;"",TEXT(AUX!BW$1,"dd-MMM-aa"),"")</f>
      </c>
      <c r="BT393" s="496" t="str">
        <f> IF(BT413&lt;&gt;"",TEXT(AUX!BX$1,"dd-MMM-aa"),"")</f>
      </c>
      <c r="BU393" s="496" t="str">
        <f> IF(BU413&lt;&gt;"",TEXT(AUX!BY$1,"dd-MMM-aa"),"")</f>
      </c>
      <c r="BV393" s="496" t="str">
        <f> IF(BV413&lt;&gt;"",TEXT(AUX!BZ$1,"dd-MMM-aa"),"")</f>
      </c>
      <c r="BW393" s="496" t="str">
        <f> IF(BW413&lt;&gt;"",TEXT(AUX!CA$1,"dd-MMM-aa"),"")</f>
      </c>
      <c r="BX393" s="496" t="str">
        <f> IF(BX413&lt;&gt;"",TEXT(AUX!CB$1,"dd-MMM-aa"),"")</f>
      </c>
      <c r="BY393" s="496" t="str">
        <f> IF(BY413&lt;&gt;"",TEXT(AUX!CC$1,"dd-MMM-aa"),"")</f>
      </c>
      <c r="BZ393" s="496" t="str">
        <f> IF(BZ413&lt;&gt;"",TEXT(AUX!CD$1,"dd-MMM-aa"),"")</f>
      </c>
      <c r="CA393" s="496" t="str">
        <f> IF(CA413&lt;&gt;"",TEXT(AUX!CE$1,"dd-MMM-aa"),"")</f>
      </c>
      <c r="CB393" s="496" t="str">
        <f> IF(CB413&lt;&gt;"",TEXT(AUX!CF$1,"dd-MMM-aa"),"")</f>
      </c>
      <c r="CC393" s="496" t="str">
        <f> IF(CC413&lt;&gt;"",TEXT(AUX!CG$1,"dd-MMM-aa"),"")</f>
      </c>
      <c r="CD393" s="496" t="str">
        <f> IF(CD413&lt;&gt;"",TEXT(AUX!CH$1,"dd-MMM-aa"),"")</f>
      </c>
      <c r="CE393" s="496" t="str">
        <f> IF(CE413&lt;&gt;"",TEXT(AUX!CI$1,"dd-MMM-aa"),"")</f>
      </c>
      <c r="CF393" s="496" t="str">
        <f> IF(CF413&lt;&gt;"",TEXT(AUX!CJ$1,"dd-MMM-aa"),"")</f>
      </c>
      <c r="CG393" s="496" t="str">
        <f> IF(CG413&lt;&gt;"",TEXT(AUX!CK$1,"dd-MMM-aa"),"")</f>
      </c>
      <c r="CH393" s="496" t="str">
        <f> IF(CH413&lt;&gt;"",TEXT(AUX!CL$1,"dd-MMM-aa"),"")</f>
      </c>
      <c r="CI393" s="496" t="str">
        <f> IF(CI413&lt;&gt;"",TEXT(AUX!CM$1,"dd-MMM-aa"),"")</f>
      </c>
      <c r="CJ393" s="496" t="str">
        <f> IF(CJ413&lt;&gt;"",TEXT(AUX!CN$1,"dd-MMM-aa"),"")</f>
      </c>
      <c r="CK393" s="496" t="str">
        <f> IF(CK413&lt;&gt;"",TEXT(AUX!CO$1,"dd-MMM-aa"),"")</f>
      </c>
      <c r="CL393" s="496" t="str">
        <f> IF(CL413&lt;&gt;"",TEXT(AUX!CP$1,"dd-MMM-aa"),"")</f>
      </c>
      <c r="CM393" s="496" t="str">
        <f> IF(CM413&lt;&gt;"",TEXT(AUX!CQ$1,"dd-MMM-aa"),"")</f>
      </c>
      <c r="CN393" s="496" t="str">
        <f> IF(CN413&lt;&gt;"",TEXT(AUX!CR$1,"dd-MMM-aa"),"")</f>
      </c>
      <c r="CO393" s="496" t="str">
        <f> IF(CO413&lt;&gt;"",TEXT(AUX!CS$1,"dd-MMM-aa"),"")</f>
      </c>
      <c r="CP393" s="496" t="str">
        <f> IF(CP413&lt;&gt;"",TEXT(AUX!CT$1,"dd-MMM-aa"),"")</f>
      </c>
      <c r="CQ393" s="496" t="str">
        <f> IF(CQ413&lt;&gt;"",TEXT(AUX!CU$1,"dd-MMM-aa"),"")</f>
      </c>
      <c r="CR393" s="496" t="str">
        <f> IF(CR413&lt;&gt;"",TEXT(AUX!CV$1,"dd-MMM-aa"),"")</f>
      </c>
      <c r="CS393" s="496" t="str">
        <f> IF(CS413&lt;&gt;"",TEXT(AUX!CW$1,"dd-MMM-aa"),"")</f>
      </c>
      <c r="CT393" s="496" t="str">
        <f> IF(CT413&lt;&gt;"",TEXT(AUX!CX$1,"dd-MMM-aa"),"")</f>
      </c>
      <c r="CU393" s="496" t="str">
        <f> IF(CU413&lt;&gt;"",TEXT(AUX!CY$1,"dd-MMM-aa"),"")</f>
      </c>
      <c r="CV393" s="496" t="str">
        <f> IF(CV413&lt;&gt;"",TEXT(AUX!CZ$1,"dd-MMM-aa"),"")</f>
      </c>
      <c r="CW393" s="496" t="str">
        <f> IF(CW413&lt;&gt;"",TEXT(AUX!DA$1,"dd-MMM-aa"),"")</f>
      </c>
      <c r="CX393" s="496" t="str">
        <f> IF(CX413&lt;&gt;"",TEXT(AUX!DB$1,"dd-MMM-aa"),"")</f>
      </c>
      <c r="CY393" s="496" t="str">
        <f> IF(CY413&lt;&gt;"",TEXT(AUX!DC$1,"dd-MMM-aa"),"")</f>
      </c>
      <c r="CZ393" s="496" t="str">
        <f> IF(CZ413&lt;&gt;"",TEXT(AUX!DD$1,"dd-MMM-aa"),"")</f>
      </c>
      <c r="DA393" s="496" t="str">
        <f> IF(DA413&lt;&gt;"",TEXT(AUX!DE$1,"dd-MMM-aa"),"")</f>
      </c>
      <c r="DB393" s="496" t="str">
        <f> IF(DB413&lt;&gt;"",TEXT(AUX!DF$1,"dd-MMM-aa"),"")</f>
      </c>
      <c r="DC393" s="496" t="str">
        <f> IF(DC413&lt;&gt;"",TEXT(AUX!DG$1,"dd-MMM-aa"),"")</f>
      </c>
      <c r="DD393" s="496" t="str">
        <f> IF(DD413&lt;&gt;"",TEXT(AUX!DH$1,"dd-MMM-aa"),"")</f>
      </c>
      <c r="DE393" s="496" t="str">
        <f> IF(DE413&lt;&gt;"",TEXT(AUX!DI$1,"dd-MMM-aa"),"")</f>
      </c>
      <c r="DF393" s="496" t="str">
        <f> IF(DF413&lt;&gt;"",TEXT(AUX!DJ$1,"dd-MMM-aa"),"")</f>
      </c>
      <c r="DG393" s="496" t="str">
        <f> IF(DG413&lt;&gt;"",TEXT(AUX!DK$1,"dd-MMM-aa"),"")</f>
      </c>
      <c r="DH393" s="496" t="str">
        <f> IF(DH413&lt;&gt;"",TEXT(AUX!DL$1,"dd-MMM-aa"),"")</f>
      </c>
      <c r="DI393" s="496" t="str">
        <f> IF(DI413&lt;&gt;"",TEXT(AUX!DM$1,"dd-MMM-aa"),"")</f>
      </c>
      <c r="DJ393" s="496" t="str">
        <f> IF(DJ413&lt;&gt;"",TEXT(AUX!DN$1,"dd-MMM-aa"),"")</f>
      </c>
      <c r="DK393" s="496" t="str">
        <f> IF(DK413&lt;&gt;"",TEXT(AUX!DO$1,"dd-MMM-aa"),"")</f>
      </c>
      <c r="DL393" s="496" t="str">
        <f> IF(DL413&lt;&gt;"",TEXT(AUX!DP$1,"dd-MMM-aa"),"")</f>
      </c>
      <c r="DM393" s="496" t="str">
        <f> IF(DM413&lt;&gt;"",TEXT(AUX!DQ$1,"dd-MMM-aa"),"")</f>
      </c>
      <c r="DN393" s="496" t="str">
        <f> IF(DN413&lt;&gt;"",TEXT(AUX!DR$1,"dd-MMM-aa"),"")</f>
      </c>
      <c r="DO393" s="496" t="str">
        <f> IF(DO413&lt;&gt;"",TEXT(AUX!DS$1,"dd-MMM-aa"),"")</f>
      </c>
      <c r="DP393" s="496" t="str">
        <f> IF(DP413&lt;&gt;"",TEXT(AUX!DT$1,"dd-MMM-aa"),"")</f>
      </c>
      <c r="DQ393" s="496" t="str">
        <f> IF(DQ413&lt;&gt;"",TEXT(AUX!DU$1,"dd-MMM-aa"),"")</f>
      </c>
      <c r="DR393" s="496" t="str">
        <f> IF(DR413&lt;&gt;"",TEXT(AUX!DV$1,"dd-MMM-aa"),"")</f>
      </c>
      <c r="DS393" s="496" t="str">
        <f> IF(DS413&lt;&gt;"",TEXT(AUX!DW$1,"dd-MMM-aa"),"")</f>
      </c>
      <c r="DT393" s="496" t="str">
        <f> IF(DT413&lt;&gt;"",TEXT(AUX!DX$1,"dd-MMM-aa"),"")</f>
      </c>
      <c r="DU393" s="496" t="str">
        <f> IF(DU413&lt;&gt;"",TEXT(AUX!DY$1,"dd-MMM-aa"),"")</f>
      </c>
      <c r="DV393" s="496" t="str">
        <f> IF(DV413&lt;&gt;"",TEXT(AUX!DZ$1,"dd-MMM-aa"),"")</f>
      </c>
      <c r="DW393" s="496" t="str">
        <f> IF(DW413&lt;&gt;"",TEXT(AUX!EA$1,"dd-MMM-aa"),"")</f>
      </c>
      <c r="DX393" s="496" t="str">
        <f> IF(DX413&lt;&gt;"",TEXT(AUX!EB$1,"dd-MMM-aa"),"")</f>
      </c>
      <c r="DY393" s="496" t="str">
        <f> IF(DY413&lt;&gt;"",TEXT(AUX!EC$1,"dd-MMM-aa"),"")</f>
      </c>
      <c r="DZ393" s="496" t="str">
        <f> IF(DZ413&lt;&gt;"",TEXT(AUX!ED$1,"dd-MMM-aa"),"")</f>
      </c>
      <c r="EA393" s="496" t="str">
        <f> IF(EA413&lt;&gt;"",TEXT(AUX!EE$1,"dd-MMM-aa"),"")</f>
      </c>
      <c r="EB393" s="496" t="str">
        <f> IF(EB413&lt;&gt;"",TEXT(AUX!EF$1,"dd-MMM-aa"),"")</f>
      </c>
      <c r="EC393" s="496" t="str">
        <f> IF(EC413&lt;&gt;"",TEXT(AUX!EG$1,"dd-MMM-aa"),"")</f>
      </c>
      <c r="ED393" s="496" t="str">
        <f> IF(ED413&lt;&gt;"",TEXT(AUX!EH$1,"dd-MMM-aa"),"")</f>
      </c>
      <c r="EE393" s="496" t="str">
        <f> IF(EE413&lt;&gt;"",TEXT(AUX!EI$1,"dd-MMM-aa"),"")</f>
      </c>
      <c r="EF393" s="496" t="str">
        <f> IF(EF413&lt;&gt;"",TEXT(AUX!EJ$1,"dd-MMM-aa"),"")</f>
      </c>
      <c r="EG393" s="496" t="str">
        <f> IF(EG413&lt;&gt;"",TEXT(AUX!EK$1,"dd-MMM-aa"),"")</f>
      </c>
      <c r="EH393" s="496" t="str">
        <f> IF(EH413&lt;&gt;"",TEXT(AUX!EL$1,"dd-MMM-aa"),"")</f>
      </c>
      <c r="EI393" s="496" t="str">
        <f> IF(EI413&lt;&gt;"",TEXT(AUX!EM$1,"dd-MMM-aa"),"")</f>
      </c>
      <c r="EJ393" s="496" t="str">
        <f> IF(EJ413&lt;&gt;"",TEXT(AUX!EN$1,"dd-MMM-aa"),"")</f>
      </c>
      <c r="EK393" s="496" t="str">
        <f> IF(EK413&lt;&gt;"",TEXT(AUX!EO$1,"dd-MMM-aa"),"")</f>
      </c>
      <c r="EL393" s="496" t="str">
        <f> IF(EL413&lt;&gt;"",TEXT(AUX!EP$1,"dd-MMM-aa"),"")</f>
      </c>
      <c r="EM393" s="496" t="str">
        <f> IF(EM413&lt;&gt;"",TEXT(AUX!EQ$1,"dd-MMM-aa"),"")</f>
      </c>
      <c r="EN393" s="496" t="str">
        <f> IF(EN413&lt;&gt;"",TEXT(AUX!ER$1,"dd-MMM-aa"),"")</f>
      </c>
      <c r="EO393" s="496" t="str">
        <f> IF(EO413&lt;&gt;"",TEXT(AUX!ES$1,"dd-MMM-aa"),"")</f>
      </c>
      <c r="EP393" s="496" t="str">
        <f> IF(EP413&lt;&gt;"",TEXT(AUX!ET$1,"dd-MMM-aa"),"")</f>
      </c>
      <c r="EQ393" s="496" t="str">
        <f> IF(EQ413&lt;&gt;"",TEXT(AUX!EU$1,"dd-MMM-aa"),"")</f>
      </c>
      <c r="ER393" s="496" t="str">
        <f> IF(ER413&lt;&gt;"",TEXT(AUX!EV$1,"dd-MMM-aa"),"")</f>
      </c>
      <c r="ES393" s="496" t="str">
        <f> IF(ES413&lt;&gt;"",TEXT(AUX!EW$1,"dd-MMM-aa"),"")</f>
      </c>
      <c r="ET393" s="496" t="str">
        <f> IF(ET413&lt;&gt;"",TEXT(AUX!EX$1,"dd-MMM-aa"),"")</f>
      </c>
      <c r="EU393" s="496" t="str">
        <f> IF(EU413&lt;&gt;"",TEXT(AUX!EY$1,"dd-MMM-aa"),"")</f>
      </c>
      <c r="EV393" s="496" t="str">
        <f> IF(EV413&lt;&gt;"",TEXT(AUX!EZ$1,"dd-MMM-aa"),"")</f>
      </c>
      <c r="EW393" s="496" t="str">
        <f> IF(EW413&lt;&gt;"",TEXT(AUX!FA$1,"dd-MMM-aa"),"")</f>
      </c>
      <c r="EX393" s="496" t="str">
        <f> IF(EX413&lt;&gt;"",TEXT(AUX!FB$1,"dd-MMM-aa"),"")</f>
      </c>
      <c r="EY393" s="496" t="str">
        <f> IF(EY413&lt;&gt;"",TEXT(AUX!FC$1,"dd-MMM-aa"),"")</f>
      </c>
      <c r="EZ393" s="496" t="str">
        <f> IF(EZ413&lt;&gt;"",TEXT(AUX!FD$1,"dd-MMM-aa"),"")</f>
      </c>
      <c r="FA393" s="496" t="str">
        <f> IF(FA413&lt;&gt;"",TEXT(AUX!FE$1,"dd-MMM-aa"),"")</f>
      </c>
      <c r="FB393" s="496" t="str">
        <f> IF(FB413&lt;&gt;"",TEXT(AUX!FF$1,"dd-MMM-aa"),"")</f>
      </c>
      <c r="FC393" s="496" t="str">
        <f> IF(FC413&lt;&gt;"",TEXT(AUX!FG$1,"dd-MMM-aa"),"")</f>
      </c>
      <c r="FD393" s="496" t="str">
        <f> IF(FD413&lt;&gt;"",TEXT(AUX!FH$1,"dd-MMM-aa"),"")</f>
      </c>
      <c r="FE393" s="496" t="str">
        <f> IF(FE413&lt;&gt;"",TEXT(AUX!FI$1,"dd-MMM-aa"),"")</f>
      </c>
      <c r="FF393" s="496" t="str">
        <f> IF(FF413&lt;&gt;"",TEXT(AUX!FJ$1,"dd-MMM-aa"),"")</f>
      </c>
      <c r="FG393" s="496" t="str">
        <f> IF(FG413&lt;&gt;"",TEXT(AUX!FK$1,"dd-MMM-aa"),"")</f>
      </c>
      <c r="FH393" s="496" t="str">
        <f> IF(FH413&lt;&gt;"",TEXT(AUX!FL$1,"dd-MMM-aa"),"")</f>
      </c>
      <c r="FI393" s="496" t="str">
        <f> IF(FI413&lt;&gt;"",TEXT(AUX!FM$1,"dd-MMM-aa"),"")</f>
      </c>
      <c r="FJ393" s="496" t="str">
        <f> IF(FJ413&lt;&gt;"",TEXT(AUX!FN$1,"dd-MMM-aa"),"")</f>
      </c>
      <c r="FK393" s="496" t="str">
        <f> IF(FK413&lt;&gt;"",TEXT(AUX!FO$1,"dd-MMM-aa"),"")</f>
      </c>
      <c r="FL393" s="496" t="str">
        <f> IF(FL413&lt;&gt;"",TEXT(AUX!FP$1,"dd-MMM-aa"),"")</f>
      </c>
      <c r="FM393" s="496" t="str">
        <f> IF(FM413&lt;&gt;"",TEXT(AUX!FQ$1,"dd-MMM-aa"),"")</f>
      </c>
      <c r="FN393" s="496" t="str">
        <f> IF(FN413&lt;&gt;"",TEXT(AUX!FR$1,"dd-MMM-aa"),"")</f>
      </c>
      <c r="FO393" s="496" t="str">
        <f> IF(FO413&lt;&gt;"",TEXT(AUX!FS$1,"dd-MMM-aa"),"")</f>
      </c>
      <c r="FP393" s="496" t="str">
        <f> IF(FP413&lt;&gt;"",TEXT(AUX!FT$1,"dd-MMM-aa"),"")</f>
      </c>
      <c r="FQ393" s="496" t="str">
        <f> IF(FQ413&lt;&gt;"",TEXT(AUX!FU$1,"dd-MMM-aa"),"")</f>
      </c>
      <c r="FR393" s="496" t="str">
        <f> IF(FR413&lt;&gt;"",TEXT(AUX!FV$1,"dd-MMM-aa"),"")</f>
      </c>
      <c r="FS393" s="496" t="str">
        <f> IF(FS413&lt;&gt;"",TEXT(AUX!FW$1,"dd-MMM-aa"),"")</f>
      </c>
      <c r="FT393" s="496" t="str">
        <f> IF(FT413&lt;&gt;"",TEXT(AUX!FX$1,"dd-MMM-aa"),"")</f>
      </c>
      <c r="FU393" s="496" t="str">
        <f> IF(FU413&lt;&gt;"",TEXT(AUX!FY$1,"dd-MMM-aa"),"")</f>
      </c>
      <c r="FV393" s="496" t="str">
        <f> IF(FV413&lt;&gt;"",TEXT(AUX!FZ$1,"dd-MMM-aa"),"")</f>
      </c>
      <c r="FW393" s="496" t="str">
        <f> IF(FW413&lt;&gt;"",TEXT(AUX!GA$1,"dd-MMM-aa"),"")</f>
      </c>
      <c r="FX393" s="496" t="str">
        <f> IF(FX413&lt;&gt;"",TEXT(AUX!GB$1,"dd-MMM-aa"),"")</f>
      </c>
      <c r="FY393" s="496" t="str">
        <f> IF(FY413&lt;&gt;"",TEXT(AUX!GC$1,"dd-MMM-aa"),"")</f>
      </c>
      <c r="FZ393" s="496" t="str">
        <f> IF(FZ413&lt;&gt;"",TEXT(AUX!GD$1,"dd-MMM-aa"),"")</f>
      </c>
      <c r="GA393" s="496" t="str">
        <f> IF(GA413&lt;&gt;"",TEXT(AUX!GE$1,"dd-MMM-aa"),"")</f>
      </c>
      <c r="GB393" s="496" t="str">
        <f> IF(GB413&lt;&gt;"",TEXT(AUX!GF$1,"dd-MMM-aa"),"")</f>
      </c>
      <c r="GC393" s="496" t="str">
        <f> IF(GC413&lt;&gt;"",TEXT(AUX!GG$1,"dd-MMM-aa"),"")</f>
      </c>
      <c r="GD393" s="496" t="str">
        <f> IF(GD413&lt;&gt;"",TEXT(AUX!GH$1,"dd-MMM-aa"),"")</f>
      </c>
      <c r="GE393" s="496" t="str">
        <f> IF(GE413&lt;&gt;"",TEXT(AUX!GI$1,"dd-MMM-aa"),"")</f>
      </c>
      <c r="GF393" s="496" t="str">
        <f> IF(GF413&lt;&gt;"",TEXT(AUX!GJ$1,"dd-MMM-aa"),"")</f>
      </c>
      <c r="GG393" s="496" t="str">
        <f> IF(GG413&lt;&gt;"",TEXT(AUX!GK$1,"dd-MMM-aa"),"")</f>
      </c>
      <c r="GH393" s="496" t="str">
        <f> IF(GH413&lt;&gt;"",TEXT(AUX!GL$1,"dd-MMM-aa"),"")</f>
      </c>
      <c r="GI393" s="496" t="str">
        <f> IF(GI413&lt;&gt;"",TEXT(AUX!GM$1,"dd-MMM-aa"),"")</f>
      </c>
      <c r="GJ393" s="496" t="str">
        <f> IF(GJ413&lt;&gt;"",TEXT(AUX!GN$1,"dd-MMM-aa"),"")</f>
      </c>
      <c r="GK393" s="496" t="str">
        <f> IF(GK413&lt;&gt;"",TEXT(AUX!GO$1,"dd-MMM-aa"),"")</f>
      </c>
      <c r="GL393" s="496" t="str">
        <f> IF(GL413&lt;&gt;"",TEXT(AUX!GP$1,"dd-MMM-aa"),"")</f>
      </c>
      <c r="GM393" s="496" t="str">
        <f> IF(GM413&lt;&gt;"",TEXT(AUX!GQ$1,"dd-MMM-aa"),"")</f>
      </c>
      <c r="GN393" s="496" t="str">
        <f> IF(GN413&lt;&gt;"",TEXT(AUX!GR$1,"dd-MMM-aa"),"")</f>
      </c>
      <c r="GO393" s="496" t="str">
        <f> IF(GO413&lt;&gt;"",TEXT(AUX!GS$1,"dd-MMM-aa"),"")</f>
      </c>
      <c r="GP393" s="496" t="str">
        <f> IF(GP413&lt;&gt;"",TEXT(AUX!GT$1,"dd-MMM-aa"),"")</f>
      </c>
      <c r="GQ393" s="496" t="str">
        <f> IF(GQ413&lt;&gt;"",TEXT(AUX!GU$1,"dd-MMM-aa"),"")</f>
      </c>
      <c r="GR393" s="496" t="str">
        <f> IF(GR413&lt;&gt;"",TEXT(AUX!GV$1,"dd-MMM-aa"),"")</f>
      </c>
      <c r="GS393" s="496" t="str">
        <f> IF(GS413&lt;&gt;"",TEXT(AUX!GW$1,"dd-MMM-aa"),"")</f>
      </c>
      <c r="GT393" s="496" t="str">
        <f> IF(GT413&lt;&gt;"",TEXT(AUX!GX$1,"dd-MMM-aa"),"")</f>
      </c>
      <c r="GU393" s="496" t="str">
        <f> IF(GU413&lt;&gt;"",TEXT(AUX!GY$1,"dd-MMM-aa"),"")</f>
      </c>
      <c r="GV393" s="496" t="str">
        <f> IF(GV413&lt;&gt;"",TEXT(AUX!GZ$1,"dd-MMM-aa"),"")</f>
      </c>
      <c r="GW393" s="496" t="str">
        <f> IF(GW413&lt;&gt;"",TEXT(AUX!HA$1,"dd-MMM-aa"),"")</f>
      </c>
      <c r="GX393" s="496" t="str">
        <f> IF(GX413&lt;&gt;"",TEXT(AUX!HB$1,"dd-MMM-aa"),"")</f>
      </c>
      <c r="GY393" s="496" t="str">
        <f> IF(GY413&lt;&gt;"",TEXT(AUX!HC$1,"dd-MMM-aa"),"")</f>
      </c>
      <c r="GZ393" s="496" t="str">
        <f> IF(GZ413&lt;&gt;"",TEXT(AUX!HD$1,"dd-MMM-aa"),"")</f>
      </c>
      <c r="HA393" s="496" t="str">
        <f> IF(HA413&lt;&gt;"",TEXT(AUX!HE$1,"dd-MMM-aa"),"")</f>
      </c>
      <c r="HB393" s="496" t="str">
        <f> IF(HB413&lt;&gt;"",TEXT(AUX!HF$1,"dd-MMM-aa"),"")</f>
      </c>
      <c r="HC393" s="496" t="str">
        <f> IF(HC413&lt;&gt;"",TEXT(AUX!HG$1,"dd-MMM-aa"),"")</f>
      </c>
      <c r="HD393" s="496" t="str">
        <f> IF(HD413&lt;&gt;"",TEXT(AUX!HH$1,"dd-MMM-aa"),"")</f>
      </c>
      <c r="HE393" s="496" t="str">
        <f> IF(HE413&lt;&gt;"",TEXT(AUX!HI$1,"dd-MMM-aa"),"")</f>
      </c>
      <c r="HF393" s="496" t="str">
        <f> IF(HF413&lt;&gt;"",TEXT(AUX!HJ$1,"dd-MMM-aa"),"")</f>
      </c>
      <c r="HG393" s="496" t="str">
        <f> IF(HG413&lt;&gt;"",TEXT(AUX!HK$1,"dd-MMM-aa"),"")</f>
      </c>
      <c r="HH393" s="496" t="str">
        <f> IF(HH413&lt;&gt;"",TEXT(AUX!HL$1,"dd-MMM-aa"),"")</f>
      </c>
      <c r="HI393" s="496" t="str">
        <f> IF(HI413&lt;&gt;"",TEXT(AUX!HM$1,"dd-MMM-aa"),"")</f>
      </c>
      <c r="HJ393" s="496" t="str">
        <f> IF(HJ413&lt;&gt;"",TEXT(AUX!HN$1,"dd-MMM-aa"),"")</f>
      </c>
      <c r="HK393" s="496" t="str">
        <f> IF(HK413&lt;&gt;"",TEXT(AUX!HO$1,"dd-MMM-aa"),"")</f>
      </c>
      <c r="HL393" s="496" t="str">
        <f> IF(HL413&lt;&gt;"",TEXT(AUX!HP$1,"dd-MMM-aa"),"")</f>
      </c>
      <c r="HM393" s="496" t="str">
        <f> IF(HM413&lt;&gt;"",TEXT(AUX!HQ$1,"dd-MMM-aa"),"")</f>
      </c>
      <c r="HN393" s="496" t="str">
        <f> IF(HN413&lt;&gt;"",TEXT(AUX!HR$1,"dd-MMM-aa"),"")</f>
      </c>
      <c r="HO393" s="496" t="str">
        <f> IF(HO413&lt;&gt;"",TEXT(AUX!HS$1,"dd-MMM-aa"),"")</f>
      </c>
      <c r="HP393" s="496" t="str">
        <f> IF(HP413&lt;&gt;"",TEXT(AUX!HT$1,"dd-MMM-aa"),"")</f>
      </c>
      <c r="HQ393" s="496" t="str">
        <f> IF(HQ413&lt;&gt;"",TEXT(AUX!HU$1,"dd-MMM-aa"),"")</f>
      </c>
      <c r="HR393" s="496" t="str">
        <f> IF(HR413&lt;&gt;"",TEXT(AUX!HV$1,"dd-MMM-aa"),"")</f>
      </c>
      <c r="HS393" s="496" t="str">
        <f> IF(HS413&lt;&gt;"",TEXT(AUX!HW$1,"dd-MMM-aa"),"")</f>
      </c>
      <c r="HT393" s="496" t="str">
        <f> IF(HT413&lt;&gt;"",TEXT(AUX!HX$1,"dd-MMM-aa"),"")</f>
      </c>
      <c r="HU393" s="496" t="str">
        <f> IF(HU413&lt;&gt;"",TEXT(AUX!HY$1,"dd-MMM-aa"),"")</f>
      </c>
      <c r="HV393" s="496" t="str">
        <f> IF(HV413&lt;&gt;"",TEXT(AUX!HZ$1,"dd-MMM-aa"),"")</f>
      </c>
      <c r="HW393" s="496" t="str">
        <f> IF(HW413&lt;&gt;"",TEXT(AUX!IA$1,"dd-MMM-aa"),"")</f>
      </c>
      <c r="HX393" s="496" t="str">
        <f> IF(HX413&lt;&gt;"",TEXT(AUX!IB$1,"dd-MMM-aa"),"")</f>
      </c>
      <c r="HY393" s="496" t="str">
        <f> IF(HY413&lt;&gt;"",TEXT(AUX!IC$1,"dd-MMM-aa"),"")</f>
      </c>
      <c r="HZ393" s="496" t="str">
        <f> IF(HZ413&lt;&gt;"",TEXT(AUX!ID$1,"dd-MMM-aa"),"")</f>
      </c>
      <c r="IA393" s="496" t="str">
        <f> IF(IA413&lt;&gt;"",TEXT(AUX!IE$1,"dd-MMM-aa"),"")</f>
      </c>
      <c r="IB393" s="496" t="str">
        <f> IF(IB413&lt;&gt;"",TEXT(AUX!IF$1,"dd-MMM-aa"),"")</f>
      </c>
      <c r="IC393" s="496" t="str">
        <f> IF(IC413&lt;&gt;"",TEXT(AUX!IG$1,"dd-MMM-aa"),"")</f>
      </c>
      <c r="ID393" s="496" t="str">
        <f> IF(ID413&lt;&gt;"",TEXT(AUX!IH$1,"dd-MMM-aa"),"")</f>
      </c>
      <c r="IE393" s="496" t="str">
        <f> IF(IE413&lt;&gt;"",TEXT(AUX!II$1,"dd-MMM-aa"),"")</f>
      </c>
      <c r="IF393" s="496" t="str">
        <f> IF(IF413&lt;&gt;"",TEXT(AUX!IJ$1,"dd-MMM-aa"),"")</f>
      </c>
      <c r="IG393" s="496" t="str">
        <f> IF(IG413&lt;&gt;"",TEXT(AUX!IK$1,"dd-MMM-aa"),"")</f>
      </c>
      <c r="IH393" s="496" t="str">
        <f> IF(IH413&lt;&gt;"",TEXT(AUX!IL$1,"dd-MMM-aa"),"")</f>
      </c>
      <c r="II393" s="496" t="str">
        <f> IF(II413&lt;&gt;"",TEXT(AUX!IM$1,"dd-MMM-aa"),"")</f>
      </c>
      <c r="IJ393" s="496" t="str">
        <f> IF(IJ413&lt;&gt;"",TEXT(AUX!IN$1,"dd-MMM-aa"),"")</f>
      </c>
      <c r="IK393" s="496" t="str">
        <f> IF(IK413&lt;&gt;"",TEXT(AUX!IO$1,"dd-MMM-aa"),"")</f>
      </c>
      <c r="IL393" s="496" t="str">
        <f> IF(IL413&lt;&gt;"",TEXT(AUX!IP$1,"dd-MMM-aa"),"")</f>
      </c>
      <c r="IM393" s="496" t="str">
        <f> IF(IM413&lt;&gt;"",TEXT(AUX!IQ$1,"dd-MMM-aa"),"")</f>
      </c>
      <c r="IN393" s="496" t="str">
        <f> IF(IN413&lt;&gt;"",TEXT(AUX!IR$1,"dd-MMM-aa"),"")</f>
      </c>
      <c r="IO393" s="496" t="str">
        <f> IF(IO413&lt;&gt;"",TEXT(AUX!IS$1,"dd-MMM-aa"),"")</f>
      </c>
      <c r="IP393" s="496" t="str">
        <f> IF(IP413&lt;&gt;"",TEXT(AUX!IT$1,"dd-MMM-aa"),"")</f>
      </c>
      <c r="IQ393" s="496" t="str">
        <f> IF(IQ413&lt;&gt;"",TEXT(AUX!IU$1,"dd-MMM-aa"),"")</f>
      </c>
      <c r="IR393" s="496" t="str">
        <f> IF(IR413&lt;&gt;"",TEXT(AUX!IV$1,"dd-MMM-aa"),"")</f>
      </c>
      <c r="IS393" s="496" t="str">
        <f> IF(IS413&lt;&gt;"",TEXT(AUX!#REF!,"dd-MMM-aa"),"")</f>
      </c>
      <c r="IT393" s="496" t="str">
        <f> IF(IT413&lt;&gt;"",TEXT(AUX!#REF!,"dd-MMM-aa"),"")</f>
      </c>
      <c r="IU393" s="496" t="str">
        <f> IF(IU413&lt;&gt;"",TEXT(AUX!#REF!,"dd-MMM-aa"),"")</f>
      </c>
      <c r="IV393" s="496" t="str">
        <f> IF(IV413&lt;&gt;"",TEXT(AUX!#REF!,"dd-MMM-aa"),"")</f>
      </c>
    </row>
    <row r="394" hidden="1" ht="15.95" customHeight="1">
      <c r="B394" s="822" t="s">
        <v>8</v>
      </c>
      <c r="C394" s="823">
        <v>131</v>
      </c>
      <c r="D394" s="823">
        <v>133</v>
      </c>
      <c r="E394" s="823">
        <v>136</v>
      </c>
      <c r="F394" s="823">
        <v>136</v>
      </c>
      <c r="G394" s="823">
        <v>131</v>
      </c>
      <c r="H394" s="823">
        <v>132</v>
      </c>
      <c r="I394" s="823">
        <v>134</v>
      </c>
      <c r="J394" s="823">
        <v>133</v>
      </c>
      <c r="K394" s="823">
        <v>133</v>
      </c>
      <c r="L394" s="823">
        <v>134</v>
      </c>
      <c r="M394" s="823">
        <v>128</v>
      </c>
      <c r="N394" s="823">
        <v>126</v>
      </c>
      <c r="O394" s="823">
        <v>124</v>
      </c>
      <c r="P394" s="823">
        <v>124</v>
      </c>
      <c r="Q394" s="823">
        <v>125</v>
      </c>
      <c r="R394" s="823">
        <v>128</v>
      </c>
      <c r="S394" s="823">
        <v>129</v>
      </c>
      <c r="T394" s="823">
        <v>722</v>
      </c>
      <c r="U394" s="823">
        <v>757</v>
      </c>
      <c r="V394" s="823">
        <v>800</v>
      </c>
      <c r="W394" s="823">
        <v>822</v>
      </c>
      <c r="X394" s="823">
        <v>3952</v>
      </c>
      <c r="Y394" s="823">
        <v>860</v>
      </c>
      <c r="Z394" s="823">
        <v>853</v>
      </c>
      <c r="AA394" s="823">
        <v>1133</v>
      </c>
      <c r="AB394" s="824">
        <v>1176</v>
      </c>
      <c r="AC394" s="825">
        <v>1176</v>
      </c>
      <c r="AD394" s="825">
        <v>1172</v>
      </c>
      <c r="AE394" s="825">
        <v>1169</v>
      </c>
      <c r="AF394" s="825">
        <v>1151</v>
      </c>
      <c r="AG394" s="825">
        <v>1148</v>
      </c>
      <c r="AH394" s="825">
        <v>1131</v>
      </c>
      <c r="AI394" s="825">
        <v>1115</v>
      </c>
      <c r="AJ394" s="825">
        <v>100</v>
      </c>
      <c r="AK394" s="825">
        <v>98</v>
      </c>
      <c r="AL394" s="825">
        <v>98</v>
      </c>
      <c r="AM394" s="825">
        <v>98</v>
      </c>
      <c r="AN394" s="825">
        <v>98</v>
      </c>
      <c r="AO394" s="825">
        <v>96</v>
      </c>
      <c r="AP394" s="825">
        <v>99</v>
      </c>
    </row>
    <row r="395" hidden="1" ht="15.95" customHeight="1">
      <c r="B395" s="826" t="s">
        <v>9</v>
      </c>
      <c r="C395" s="827">
        <v>183</v>
      </c>
      <c r="D395" s="827">
        <v>169</v>
      </c>
      <c r="E395" s="827">
        <v>179</v>
      </c>
      <c r="F395" s="827">
        <v>164</v>
      </c>
      <c r="G395" s="827">
        <v>164</v>
      </c>
      <c r="H395" s="827">
        <v>142</v>
      </c>
      <c r="I395" s="827">
        <v>144</v>
      </c>
      <c r="J395" s="827">
        <v>144</v>
      </c>
      <c r="K395" s="827">
        <v>142</v>
      </c>
      <c r="L395" s="827">
        <v>142</v>
      </c>
      <c r="M395" s="827">
        <v>141</v>
      </c>
      <c r="N395" s="827">
        <v>145</v>
      </c>
      <c r="O395" s="827">
        <v>160</v>
      </c>
      <c r="P395" s="827">
        <v>167</v>
      </c>
      <c r="Q395" s="827">
        <v>160</v>
      </c>
      <c r="R395" s="827">
        <v>158</v>
      </c>
      <c r="S395" s="827">
        <v>154</v>
      </c>
      <c r="T395" s="827">
        <v>155</v>
      </c>
      <c r="U395" s="827">
        <v>150</v>
      </c>
      <c r="V395" s="827">
        <v>153</v>
      </c>
      <c r="W395" s="827">
        <v>153</v>
      </c>
      <c r="X395" s="827">
        <v>153</v>
      </c>
      <c r="Y395" s="827">
        <v>81</v>
      </c>
      <c r="Z395" s="827">
        <v>84</v>
      </c>
      <c r="AA395" s="827">
        <v>84</v>
      </c>
      <c r="AB395" s="827">
        <v>87</v>
      </c>
      <c r="AC395" s="828">
        <v>86</v>
      </c>
      <c r="AD395" s="828">
        <v>95</v>
      </c>
      <c r="AE395" s="828">
        <v>91</v>
      </c>
      <c r="AF395" s="828">
        <v>95</v>
      </c>
      <c r="AG395" s="828">
        <v>94</v>
      </c>
      <c r="AH395" s="828">
        <v>94</v>
      </c>
      <c r="AI395" s="828">
        <v>89</v>
      </c>
      <c r="AJ395" s="828">
        <v>86</v>
      </c>
      <c r="AK395" s="828">
        <v>83</v>
      </c>
      <c r="AL395" s="828">
        <v>86</v>
      </c>
      <c r="AM395" s="828">
        <v>83</v>
      </c>
      <c r="AN395" s="828">
        <v>85</v>
      </c>
      <c r="AO395" s="828">
        <v>82</v>
      </c>
      <c r="AP395" s="828">
        <v>84</v>
      </c>
    </row>
    <row r="396" hidden="1" ht="15.95" customHeight="1">
      <c r="B396" s="829" t="s">
        <v>10</v>
      </c>
      <c r="C396" s="823">
        <v>21</v>
      </c>
      <c r="D396" s="823">
        <v>22</v>
      </c>
      <c r="E396" s="823">
        <v>28</v>
      </c>
      <c r="F396" s="823">
        <v>30</v>
      </c>
      <c r="G396" s="823">
        <v>32</v>
      </c>
      <c r="H396" s="823">
        <v>33</v>
      </c>
      <c r="I396" s="823">
        <v>33</v>
      </c>
      <c r="J396" s="823">
        <v>34</v>
      </c>
      <c r="K396" s="823">
        <v>36</v>
      </c>
      <c r="L396" s="823">
        <v>41</v>
      </c>
      <c r="M396" s="823">
        <v>42</v>
      </c>
      <c r="N396" s="823">
        <v>43</v>
      </c>
      <c r="O396" s="823">
        <v>45</v>
      </c>
      <c r="P396" s="823">
        <v>54</v>
      </c>
      <c r="Q396" s="823">
        <v>56</v>
      </c>
      <c r="R396" s="823">
        <v>61</v>
      </c>
      <c r="S396" s="823">
        <v>61</v>
      </c>
      <c r="T396" s="823">
        <v>60</v>
      </c>
      <c r="U396" s="823">
        <v>62</v>
      </c>
      <c r="V396" s="823">
        <v>65</v>
      </c>
      <c r="W396" s="823">
        <v>67</v>
      </c>
      <c r="X396" s="823">
        <v>67</v>
      </c>
      <c r="Y396" s="823">
        <v>68</v>
      </c>
      <c r="Z396" s="823">
        <v>66</v>
      </c>
      <c r="AA396" s="823">
        <v>66</v>
      </c>
      <c r="AB396" s="823">
        <v>68</v>
      </c>
      <c r="AC396" s="825">
        <v>69</v>
      </c>
      <c r="AD396" s="825">
        <v>71</v>
      </c>
      <c r="AE396" s="825">
        <v>70</v>
      </c>
      <c r="AF396" s="825">
        <v>71</v>
      </c>
      <c r="AG396" s="825">
        <v>2937</v>
      </c>
      <c r="AH396" s="825">
        <v>3002</v>
      </c>
      <c r="AI396" s="825">
        <v>3068</v>
      </c>
      <c r="AJ396" s="825">
        <v>3069</v>
      </c>
      <c r="AK396" s="825">
        <v>3451</v>
      </c>
      <c r="AL396" s="825">
        <v>3485</v>
      </c>
      <c r="AM396" s="825">
        <v>3512</v>
      </c>
      <c r="AN396" s="825">
        <v>3536</v>
      </c>
      <c r="AO396" s="825">
        <v>3554</v>
      </c>
      <c r="AP396" s="825">
        <v>3580</v>
      </c>
    </row>
    <row r="397" hidden="1" ht="15.95" customHeight="1">
      <c r="B397" s="826" t="s">
        <v>11</v>
      </c>
      <c r="C397" s="827">
        <v>25</v>
      </c>
      <c r="D397" s="827">
        <v>25</v>
      </c>
      <c r="E397" s="827">
        <v>26</v>
      </c>
      <c r="F397" s="827">
        <v>29</v>
      </c>
      <c r="G397" s="827">
        <v>28</v>
      </c>
      <c r="H397" s="827">
        <v>28</v>
      </c>
      <c r="I397" s="827">
        <v>28</v>
      </c>
      <c r="J397" s="827">
        <v>31</v>
      </c>
      <c r="K397" s="827">
        <v>54</v>
      </c>
      <c r="L397" s="827">
        <v>752</v>
      </c>
      <c r="M397" s="827">
        <v>1027</v>
      </c>
      <c r="N397" s="827">
        <v>1089</v>
      </c>
      <c r="O397" s="827">
        <v>1161</v>
      </c>
      <c r="P397" s="827">
        <v>1210</v>
      </c>
      <c r="Q397" s="827">
        <v>1252</v>
      </c>
      <c r="R397" s="827">
        <v>1268</v>
      </c>
      <c r="S397" s="827">
        <v>1328</v>
      </c>
      <c r="T397" s="827">
        <v>1353</v>
      </c>
      <c r="U397" s="827">
        <v>1365</v>
      </c>
      <c r="V397" s="827">
        <v>1389</v>
      </c>
      <c r="W397" s="827">
        <v>1366</v>
      </c>
      <c r="X397" s="827">
        <v>1379</v>
      </c>
      <c r="Y397" s="827">
        <v>1365</v>
      </c>
      <c r="Z397" s="827">
        <v>1390</v>
      </c>
      <c r="AA397" s="827">
        <v>1361</v>
      </c>
      <c r="AB397" s="827">
        <v>1336</v>
      </c>
      <c r="AC397" s="828">
        <v>1360</v>
      </c>
      <c r="AD397" s="828">
        <v>1369</v>
      </c>
      <c r="AE397" s="828">
        <v>1439</v>
      </c>
      <c r="AF397" s="828">
        <v>1472</v>
      </c>
      <c r="AG397" s="828">
        <v>1361</v>
      </c>
      <c r="AH397" s="828">
        <v>1405</v>
      </c>
      <c r="AI397" s="828">
        <v>1424</v>
      </c>
      <c r="AJ397" s="828">
        <v>1441</v>
      </c>
      <c r="AK397" s="828">
        <v>1462</v>
      </c>
      <c r="AL397" s="828">
        <v>1488</v>
      </c>
      <c r="AM397" s="828">
        <v>1407</v>
      </c>
      <c r="AN397" s="828">
        <v>1333</v>
      </c>
      <c r="AO397" s="828">
        <v>1292</v>
      </c>
      <c r="AP397" s="828">
        <v>1291</v>
      </c>
    </row>
    <row r="398" hidden="1" ht="15.95" customHeight="1">
      <c r="B398" s="829" t="s">
        <v>12</v>
      </c>
      <c r="C398" s="823">
        <v>17</v>
      </c>
      <c r="D398" s="823">
        <v>15</v>
      </c>
      <c r="E398" s="823">
        <v>15</v>
      </c>
      <c r="F398" s="823">
        <v>14</v>
      </c>
      <c r="G398" s="823">
        <v>15</v>
      </c>
      <c r="H398" s="823">
        <v>14</v>
      </c>
      <c r="I398" s="823">
        <v>13</v>
      </c>
      <c r="J398" s="823">
        <v>14</v>
      </c>
      <c r="K398" s="823">
        <v>16</v>
      </c>
      <c r="L398" s="823">
        <v>18</v>
      </c>
      <c r="M398" s="823">
        <v>106</v>
      </c>
      <c r="N398" s="823">
        <v>113</v>
      </c>
      <c r="O398" s="823">
        <v>110</v>
      </c>
      <c r="P398" s="823">
        <v>116</v>
      </c>
      <c r="Q398" s="823">
        <v>119</v>
      </c>
      <c r="R398" s="823">
        <v>123</v>
      </c>
      <c r="S398" s="823">
        <v>129</v>
      </c>
      <c r="T398" s="823">
        <v>129</v>
      </c>
      <c r="U398" s="823">
        <v>121</v>
      </c>
      <c r="V398" s="823">
        <v>116</v>
      </c>
      <c r="W398" s="823">
        <v>118</v>
      </c>
      <c r="X398" s="823">
        <v>117</v>
      </c>
      <c r="Y398" s="823">
        <v>112</v>
      </c>
      <c r="Z398" s="823">
        <v>106</v>
      </c>
      <c r="AA398" s="823">
        <v>95</v>
      </c>
      <c r="AB398" s="823">
        <v>97</v>
      </c>
      <c r="AC398" s="825">
        <v>95</v>
      </c>
      <c r="AD398" s="825">
        <v>93</v>
      </c>
      <c r="AE398" s="825">
        <v>88</v>
      </c>
      <c r="AF398" s="825">
        <v>92</v>
      </c>
      <c r="AG398" s="825">
        <v>90</v>
      </c>
      <c r="AH398" s="825">
        <v>96</v>
      </c>
      <c r="AI398" s="825">
        <v>92</v>
      </c>
      <c r="AJ398" s="825">
        <v>84</v>
      </c>
      <c r="AK398" s="825">
        <v>80</v>
      </c>
      <c r="AL398" s="825">
        <v>77</v>
      </c>
      <c r="AM398" s="825">
        <v>73</v>
      </c>
      <c r="AN398" s="825">
        <v>65</v>
      </c>
      <c r="AO398" s="825">
        <v>61</v>
      </c>
      <c r="AP398" s="825">
        <v>59</v>
      </c>
    </row>
    <row r="399" hidden="1" ht="15.95" customHeight="1">
      <c r="B399" s="826" t="s">
        <v>13</v>
      </c>
      <c r="C399" s="827">
        <v>5</v>
      </c>
      <c r="D399" s="827">
        <v>5</v>
      </c>
      <c r="E399" s="827">
        <v>0</v>
      </c>
      <c r="F399" s="827">
        <v>10</v>
      </c>
      <c r="G399" s="827">
        <v>10</v>
      </c>
      <c r="H399" s="827">
        <v>13</v>
      </c>
      <c r="I399" s="827">
        <v>13</v>
      </c>
      <c r="J399" s="827">
        <v>14</v>
      </c>
      <c r="K399" s="827">
        <v>15</v>
      </c>
      <c r="L399" s="827">
        <v>15</v>
      </c>
      <c r="M399" s="827">
        <v>15</v>
      </c>
      <c r="N399" s="827">
        <v>15</v>
      </c>
      <c r="O399" s="827">
        <v>14</v>
      </c>
      <c r="P399" s="827">
        <v>14</v>
      </c>
      <c r="Q399" s="827">
        <v>17</v>
      </c>
      <c r="R399" s="827">
        <v>25</v>
      </c>
      <c r="S399" s="827">
        <v>28</v>
      </c>
      <c r="T399" s="827">
        <v>31</v>
      </c>
      <c r="U399" s="827">
        <v>32</v>
      </c>
      <c r="V399" s="827">
        <v>32</v>
      </c>
      <c r="W399" s="827">
        <v>33</v>
      </c>
      <c r="X399" s="827">
        <v>36</v>
      </c>
      <c r="Y399" s="827">
        <v>105</v>
      </c>
      <c r="Z399" s="827">
        <v>106</v>
      </c>
      <c r="AA399" s="827">
        <v>108</v>
      </c>
      <c r="AB399" s="827">
        <v>106</v>
      </c>
      <c r="AC399" s="828">
        <v>110</v>
      </c>
      <c r="AD399" s="828">
        <v>109</v>
      </c>
      <c r="AE399" s="828">
        <v>110</v>
      </c>
      <c r="AF399" s="828">
        <v>111</v>
      </c>
      <c r="AG399" s="828">
        <v>114</v>
      </c>
      <c r="AH399" s="828">
        <v>112</v>
      </c>
      <c r="AI399" s="828">
        <v>108</v>
      </c>
      <c r="AJ399" s="828">
        <v>104</v>
      </c>
      <c r="AK399" s="828">
        <v>100</v>
      </c>
      <c r="AL399" s="828">
        <v>96</v>
      </c>
      <c r="AM399" s="828">
        <v>95</v>
      </c>
      <c r="AN399" s="828">
        <v>93</v>
      </c>
      <c r="AO399" s="828">
        <v>92</v>
      </c>
      <c r="AP399" s="828">
        <v>88</v>
      </c>
    </row>
    <row r="400" hidden="1" ht="15.95" customHeight="1">
      <c r="B400" s="829" t="s">
        <v>109</v>
      </c>
      <c r="C400" s="823">
        <v>247</v>
      </c>
      <c r="D400" s="823">
        <v>179</v>
      </c>
      <c r="E400" s="823">
        <v>176</v>
      </c>
      <c r="F400" s="823">
        <v>173</v>
      </c>
      <c r="G400" s="823">
        <v>166</v>
      </c>
      <c r="H400" s="823">
        <v>166</v>
      </c>
      <c r="I400" s="823">
        <v>168</v>
      </c>
      <c r="J400" s="823">
        <v>173</v>
      </c>
      <c r="K400" s="823">
        <v>176</v>
      </c>
      <c r="L400" s="823">
        <v>194</v>
      </c>
      <c r="M400" s="823">
        <v>207</v>
      </c>
      <c r="N400" s="823">
        <v>183</v>
      </c>
      <c r="O400" s="823">
        <v>193</v>
      </c>
      <c r="P400" s="823">
        <v>201</v>
      </c>
      <c r="Q400" s="823">
        <v>216</v>
      </c>
      <c r="R400" s="823">
        <v>236</v>
      </c>
      <c r="S400" s="823">
        <v>233</v>
      </c>
      <c r="T400" s="823">
        <v>251</v>
      </c>
      <c r="U400" s="823">
        <v>247</v>
      </c>
      <c r="V400" s="823">
        <v>248</v>
      </c>
      <c r="W400" s="823">
        <v>229</v>
      </c>
      <c r="X400" s="823">
        <v>230</v>
      </c>
      <c r="Y400" s="823">
        <v>223</v>
      </c>
      <c r="Z400" s="823">
        <v>227</v>
      </c>
      <c r="AA400" s="823">
        <v>223</v>
      </c>
      <c r="AB400" s="823">
        <v>245</v>
      </c>
      <c r="AC400" s="825">
        <v>238</v>
      </c>
      <c r="AD400" s="825">
        <v>236</v>
      </c>
      <c r="AE400" s="825">
        <v>225</v>
      </c>
      <c r="AF400" s="825">
        <v>223</v>
      </c>
      <c r="AG400" s="825">
        <v>226</v>
      </c>
      <c r="AH400" s="825">
        <v>233</v>
      </c>
      <c r="AI400" s="825">
        <v>218</v>
      </c>
      <c r="AJ400" s="825">
        <v>185</v>
      </c>
      <c r="AK400" s="825">
        <v>175</v>
      </c>
      <c r="AL400" s="825">
        <v>172</v>
      </c>
      <c r="AM400" s="825">
        <v>166</v>
      </c>
      <c r="AN400" s="825">
        <v>163</v>
      </c>
      <c r="AO400" s="825">
        <v>158</v>
      </c>
      <c r="AP400" s="825">
        <v>165</v>
      </c>
    </row>
    <row r="401" hidden="1" ht="15.95" customHeight="1">
      <c r="B401" s="826" t="s">
        <v>110</v>
      </c>
      <c r="C401" s="827">
        <v>984</v>
      </c>
      <c r="D401" s="827">
        <v>1071</v>
      </c>
      <c r="E401" s="827">
        <v>1023</v>
      </c>
      <c r="F401" s="827">
        <v>1170</v>
      </c>
      <c r="G401" s="827">
        <v>1178</v>
      </c>
      <c r="H401" s="827">
        <v>1287</v>
      </c>
      <c r="I401" s="827">
        <v>1085</v>
      </c>
      <c r="J401" s="827">
        <v>1255</v>
      </c>
      <c r="K401" s="827">
        <v>1212</v>
      </c>
      <c r="L401" s="827">
        <v>1468</v>
      </c>
      <c r="M401" s="827">
        <v>2017</v>
      </c>
      <c r="N401" s="827">
        <v>2534</v>
      </c>
      <c r="O401" s="827">
        <v>3002</v>
      </c>
      <c r="P401" s="827">
        <v>3589</v>
      </c>
      <c r="Q401" s="827">
        <v>3771</v>
      </c>
      <c r="R401" s="827">
        <v>5275</v>
      </c>
      <c r="S401" s="827">
        <v>5347</v>
      </c>
      <c r="T401" s="827">
        <v>5471</v>
      </c>
      <c r="U401" s="827">
        <v>5646</v>
      </c>
      <c r="V401" s="827">
        <v>5607</v>
      </c>
      <c r="W401" s="827">
        <v>5822</v>
      </c>
      <c r="X401" s="827">
        <v>5737</v>
      </c>
      <c r="Y401" s="827">
        <v>5626</v>
      </c>
      <c r="Z401" s="827">
        <v>5519</v>
      </c>
      <c r="AA401" s="827">
        <v>5403</v>
      </c>
      <c r="AB401" s="827">
        <v>5406</v>
      </c>
      <c r="AC401" s="828">
        <v>5003</v>
      </c>
      <c r="AD401" s="828">
        <v>4958</v>
      </c>
      <c r="AE401" s="828">
        <v>4910</v>
      </c>
      <c r="AF401" s="828">
        <v>4925</v>
      </c>
      <c r="AG401" s="828">
        <v>4601</v>
      </c>
      <c r="AH401" s="828">
        <v>4518</v>
      </c>
      <c r="AI401" s="828">
        <v>4340</v>
      </c>
      <c r="AJ401" s="828">
        <v>3914</v>
      </c>
      <c r="AK401" s="828">
        <v>3829</v>
      </c>
      <c r="AL401" s="828">
        <v>3715</v>
      </c>
      <c r="AM401" s="828">
        <v>3662</v>
      </c>
      <c r="AN401" s="828">
        <v>3640</v>
      </c>
      <c r="AO401" s="828">
        <v>3301</v>
      </c>
      <c r="AP401" s="828">
        <v>3280</v>
      </c>
    </row>
    <row r="402" hidden="1" ht="15.95" customHeight="1">
      <c r="B402" s="829" t="s">
        <v>16</v>
      </c>
      <c r="C402" s="823">
        <v>134</v>
      </c>
      <c r="D402" s="823">
        <v>141</v>
      </c>
      <c r="E402" s="823">
        <v>145</v>
      </c>
      <c r="F402" s="823">
        <v>145</v>
      </c>
      <c r="G402" s="823">
        <v>137</v>
      </c>
      <c r="H402" s="823">
        <v>138</v>
      </c>
      <c r="I402" s="823">
        <v>141</v>
      </c>
      <c r="J402" s="823">
        <v>140</v>
      </c>
      <c r="K402" s="823">
        <v>143</v>
      </c>
      <c r="L402" s="823">
        <v>146</v>
      </c>
      <c r="M402" s="823">
        <v>140</v>
      </c>
      <c r="N402" s="823">
        <v>139</v>
      </c>
      <c r="O402" s="823">
        <v>143</v>
      </c>
      <c r="P402" s="823">
        <v>158</v>
      </c>
      <c r="Q402" s="823">
        <v>173</v>
      </c>
      <c r="R402" s="823">
        <v>179</v>
      </c>
      <c r="S402" s="823">
        <v>176</v>
      </c>
      <c r="T402" s="823">
        <v>176</v>
      </c>
      <c r="U402" s="823">
        <v>177</v>
      </c>
      <c r="V402" s="823">
        <v>156</v>
      </c>
      <c r="W402" s="823">
        <v>156</v>
      </c>
      <c r="X402" s="823">
        <v>156</v>
      </c>
      <c r="Y402" s="823">
        <v>162</v>
      </c>
      <c r="Z402" s="823">
        <v>166</v>
      </c>
      <c r="AA402" s="823">
        <v>171</v>
      </c>
      <c r="AB402" s="823">
        <v>174</v>
      </c>
      <c r="AC402" s="825">
        <v>170</v>
      </c>
      <c r="AD402" s="825">
        <v>170</v>
      </c>
      <c r="AE402" s="825">
        <v>170</v>
      </c>
      <c r="AF402" s="825">
        <v>163</v>
      </c>
      <c r="AG402" s="825">
        <v>148</v>
      </c>
      <c r="AH402" s="825">
        <v>152</v>
      </c>
      <c r="AI402" s="825">
        <v>142</v>
      </c>
      <c r="AJ402" s="825">
        <v>143</v>
      </c>
      <c r="AK402" s="825">
        <v>140</v>
      </c>
      <c r="AL402" s="825">
        <v>137</v>
      </c>
      <c r="AM402" s="825">
        <v>138</v>
      </c>
      <c r="AN402" s="825">
        <v>132</v>
      </c>
      <c r="AO402" s="825">
        <v>120</v>
      </c>
      <c r="AP402" s="825">
        <v>116</v>
      </c>
    </row>
    <row r="403" hidden="1" ht="15.95" customHeight="1">
      <c r="B403" s="826" t="s">
        <v>17</v>
      </c>
      <c r="C403" s="827">
        <v>1</v>
      </c>
      <c r="D403" s="827">
        <v>496</v>
      </c>
      <c r="E403" s="827">
        <v>489</v>
      </c>
      <c r="F403" s="827">
        <v>489</v>
      </c>
      <c r="G403" s="827">
        <v>489</v>
      </c>
      <c r="H403" s="827">
        <v>489</v>
      </c>
      <c r="I403" s="827">
        <v>488</v>
      </c>
      <c r="J403" s="827">
        <v>487</v>
      </c>
      <c r="K403" s="827">
        <v>441</v>
      </c>
      <c r="L403" s="827">
        <v>443</v>
      </c>
      <c r="M403" s="827">
        <v>446</v>
      </c>
      <c r="N403" s="827">
        <v>446</v>
      </c>
      <c r="O403" s="827">
        <v>441</v>
      </c>
      <c r="P403" s="827">
        <v>929</v>
      </c>
      <c r="Q403" s="827">
        <v>878</v>
      </c>
      <c r="R403" s="827">
        <v>875</v>
      </c>
      <c r="S403" s="827">
        <v>871</v>
      </c>
      <c r="T403" s="827">
        <v>841</v>
      </c>
      <c r="U403" s="827">
        <v>832</v>
      </c>
      <c r="V403" s="827">
        <v>828</v>
      </c>
      <c r="W403" s="827">
        <v>764</v>
      </c>
      <c r="X403" s="827">
        <v>749</v>
      </c>
      <c r="Y403" s="827">
        <v>748</v>
      </c>
      <c r="Z403" s="827">
        <v>652</v>
      </c>
      <c r="AA403" s="827">
        <v>750</v>
      </c>
      <c r="AB403" s="827">
        <v>707</v>
      </c>
      <c r="AC403" s="828">
        <v>683</v>
      </c>
      <c r="AD403" s="828">
        <v>656</v>
      </c>
      <c r="AE403" s="828">
        <v>639</v>
      </c>
      <c r="AF403" s="828">
        <v>637</v>
      </c>
      <c r="AG403" s="828">
        <v>718</v>
      </c>
      <c r="AH403" s="828">
        <v>798</v>
      </c>
      <c r="AI403" s="828">
        <v>950</v>
      </c>
      <c r="AJ403" s="828">
        <v>934</v>
      </c>
      <c r="AK403" s="828">
        <v>921</v>
      </c>
      <c r="AL403" s="828">
        <v>909</v>
      </c>
      <c r="AM403" s="828">
        <v>899</v>
      </c>
      <c r="AN403" s="828">
        <v>871</v>
      </c>
      <c r="AO403" s="828">
        <v>856</v>
      </c>
      <c r="AP403" s="828">
        <v>849</v>
      </c>
    </row>
    <row r="404" hidden="1" ht="15.95" customHeight="1">
      <c r="B404" s="829" t="s">
        <v>18</v>
      </c>
      <c r="C404" s="823">
        <v>257</v>
      </c>
      <c r="D404" s="823">
        <v>304</v>
      </c>
      <c r="E404" s="823">
        <v>330</v>
      </c>
      <c r="F404" s="823">
        <v>265</v>
      </c>
      <c r="G404" s="823">
        <v>261</v>
      </c>
      <c r="H404" s="823">
        <v>265</v>
      </c>
      <c r="I404" s="823">
        <v>271</v>
      </c>
      <c r="J404" s="823">
        <v>263</v>
      </c>
      <c r="K404" s="823">
        <v>267</v>
      </c>
      <c r="L404" s="823">
        <v>266</v>
      </c>
      <c r="M404" s="823">
        <v>246</v>
      </c>
      <c r="N404" s="823">
        <v>239</v>
      </c>
      <c r="O404" s="823">
        <v>250</v>
      </c>
      <c r="P404" s="823">
        <v>256</v>
      </c>
      <c r="Q404" s="823">
        <v>250</v>
      </c>
      <c r="R404" s="823">
        <v>250</v>
      </c>
      <c r="S404" s="823">
        <v>251</v>
      </c>
      <c r="T404" s="823">
        <v>256</v>
      </c>
      <c r="U404" s="823">
        <v>253</v>
      </c>
      <c r="V404" s="823">
        <v>246</v>
      </c>
      <c r="W404" s="823">
        <v>233</v>
      </c>
      <c r="X404" s="823">
        <v>236</v>
      </c>
      <c r="Y404" s="823">
        <v>263</v>
      </c>
      <c r="Z404" s="823">
        <v>261</v>
      </c>
      <c r="AA404" s="823">
        <v>250</v>
      </c>
      <c r="AB404" s="823">
        <v>240</v>
      </c>
      <c r="AC404" s="825">
        <v>219</v>
      </c>
      <c r="AD404" s="825">
        <v>202</v>
      </c>
      <c r="AE404" s="825">
        <v>195</v>
      </c>
      <c r="AF404" s="825">
        <v>191</v>
      </c>
      <c r="AG404" s="825">
        <v>190</v>
      </c>
      <c r="AH404" s="825">
        <v>187</v>
      </c>
      <c r="AI404" s="825">
        <v>2691</v>
      </c>
      <c r="AJ404" s="825">
        <v>7933</v>
      </c>
      <c r="AK404" s="825">
        <v>12488</v>
      </c>
      <c r="AL404" s="825">
        <v>13980</v>
      </c>
      <c r="AM404" s="825">
        <v>7196</v>
      </c>
      <c r="AN404" s="825">
        <v>198</v>
      </c>
      <c r="AO404" s="825">
        <v>185</v>
      </c>
      <c r="AP404" s="825">
        <v>180</v>
      </c>
    </row>
    <row r="405" hidden="1" ht="15.95" customHeight="1">
      <c r="B405" s="826" t="s">
        <v>19</v>
      </c>
      <c r="C405" s="827">
        <v>32</v>
      </c>
      <c r="D405" s="827">
        <v>33</v>
      </c>
      <c r="E405" s="827">
        <v>34</v>
      </c>
      <c r="F405" s="827">
        <v>42</v>
      </c>
      <c r="G405" s="827">
        <v>45</v>
      </c>
      <c r="H405" s="827">
        <v>48</v>
      </c>
      <c r="I405" s="827">
        <v>47</v>
      </c>
      <c r="J405" s="827">
        <v>47</v>
      </c>
      <c r="K405" s="827">
        <v>47</v>
      </c>
      <c r="L405" s="827">
        <v>46</v>
      </c>
      <c r="M405" s="827">
        <v>46</v>
      </c>
      <c r="N405" s="827">
        <v>45</v>
      </c>
      <c r="O405" s="827">
        <v>52</v>
      </c>
      <c r="P405" s="827">
        <v>55</v>
      </c>
      <c r="Q405" s="827">
        <v>60</v>
      </c>
      <c r="R405" s="827">
        <v>63</v>
      </c>
      <c r="S405" s="827">
        <v>66</v>
      </c>
      <c r="T405" s="827">
        <v>61</v>
      </c>
      <c r="U405" s="827">
        <v>61</v>
      </c>
      <c r="V405" s="827">
        <v>61</v>
      </c>
      <c r="W405" s="827">
        <v>58</v>
      </c>
      <c r="X405" s="827">
        <v>59</v>
      </c>
      <c r="Y405" s="827">
        <v>51</v>
      </c>
      <c r="Z405" s="827">
        <v>51</v>
      </c>
      <c r="AA405" s="827">
        <v>48</v>
      </c>
      <c r="AB405" s="827">
        <v>46</v>
      </c>
      <c r="AC405" s="828">
        <v>47</v>
      </c>
      <c r="AD405" s="828">
        <v>49</v>
      </c>
      <c r="AE405" s="828">
        <v>48</v>
      </c>
      <c r="AF405" s="828">
        <v>48</v>
      </c>
      <c r="AG405" s="828">
        <v>49</v>
      </c>
      <c r="AH405" s="828">
        <v>52</v>
      </c>
      <c r="AI405" s="828">
        <v>54</v>
      </c>
      <c r="AJ405" s="828">
        <v>41</v>
      </c>
      <c r="AK405" s="828">
        <v>47</v>
      </c>
      <c r="AL405" s="828">
        <v>47</v>
      </c>
      <c r="AM405" s="828">
        <v>48</v>
      </c>
      <c r="AN405" s="828">
        <v>49</v>
      </c>
      <c r="AO405" s="828">
        <v>48</v>
      </c>
      <c r="AP405" s="828">
        <v>48</v>
      </c>
    </row>
    <row r="406" hidden="1" ht="15.95" customHeight="1">
      <c r="B406" s="829" t="s">
        <v>20</v>
      </c>
      <c r="C406" s="823">
        <v>20</v>
      </c>
      <c r="D406" s="823">
        <v>20</v>
      </c>
      <c r="E406" s="823">
        <v>22</v>
      </c>
      <c r="F406" s="823">
        <v>22</v>
      </c>
      <c r="G406" s="823">
        <v>22</v>
      </c>
      <c r="H406" s="823">
        <v>22</v>
      </c>
      <c r="I406" s="823">
        <v>26</v>
      </c>
      <c r="J406" s="823">
        <v>22</v>
      </c>
      <c r="K406" s="823">
        <v>22</v>
      </c>
      <c r="L406" s="823">
        <v>22</v>
      </c>
      <c r="M406" s="823">
        <v>22</v>
      </c>
      <c r="N406" s="823">
        <v>22</v>
      </c>
      <c r="O406" s="823">
        <v>22</v>
      </c>
      <c r="P406" s="823">
        <v>21</v>
      </c>
      <c r="Q406" s="823">
        <v>21</v>
      </c>
      <c r="R406" s="823">
        <v>21</v>
      </c>
      <c r="S406" s="823">
        <v>18</v>
      </c>
      <c r="T406" s="823">
        <v>18</v>
      </c>
      <c r="U406" s="823">
        <v>19</v>
      </c>
      <c r="V406" s="823">
        <v>19</v>
      </c>
      <c r="W406" s="823">
        <v>19</v>
      </c>
      <c r="X406" s="823">
        <v>19</v>
      </c>
      <c r="Y406" s="823">
        <v>19</v>
      </c>
      <c r="Z406" s="823">
        <v>19</v>
      </c>
      <c r="AA406" s="823">
        <v>19</v>
      </c>
      <c r="AB406" s="823">
        <v>21</v>
      </c>
      <c r="AC406" s="825">
        <v>21</v>
      </c>
      <c r="AD406" s="825">
        <v>21</v>
      </c>
      <c r="AE406" s="825">
        <v>22</v>
      </c>
      <c r="AF406" s="825">
        <v>22</v>
      </c>
      <c r="AG406" s="825">
        <v>21</v>
      </c>
      <c r="AH406" s="825">
        <v>22</v>
      </c>
      <c r="AI406" s="825">
        <v>22</v>
      </c>
      <c r="AJ406" s="825">
        <v>20</v>
      </c>
      <c r="AK406" s="825">
        <v>21</v>
      </c>
      <c r="AL406" s="825">
        <v>22</v>
      </c>
      <c r="AM406" s="825">
        <v>25</v>
      </c>
      <c r="AN406" s="825">
        <v>26</v>
      </c>
      <c r="AO406" s="825">
        <v>26</v>
      </c>
      <c r="AP406" s="825">
        <v>26</v>
      </c>
    </row>
    <row r="407" hidden="1" ht="15.95" customHeight="1">
      <c r="B407" s="826" t="s">
        <v>21</v>
      </c>
      <c r="C407" s="827">
        <v>289</v>
      </c>
      <c r="D407" s="827">
        <v>284</v>
      </c>
      <c r="E407" s="827">
        <v>284</v>
      </c>
      <c r="F407" s="827">
        <v>284</v>
      </c>
      <c r="G407" s="827">
        <v>284</v>
      </c>
      <c r="H407" s="827">
        <v>284</v>
      </c>
      <c r="I407" s="827">
        <v>284</v>
      </c>
      <c r="J407" s="827">
        <v>282</v>
      </c>
      <c r="K407" s="827">
        <v>282</v>
      </c>
      <c r="L407" s="827">
        <v>283</v>
      </c>
      <c r="M407" s="827">
        <v>283</v>
      </c>
      <c r="N407" s="827">
        <v>282</v>
      </c>
      <c r="O407" s="827">
        <v>282</v>
      </c>
      <c r="P407" s="827">
        <v>292</v>
      </c>
      <c r="Q407" s="827">
        <v>292</v>
      </c>
      <c r="R407" s="827">
        <v>290</v>
      </c>
      <c r="S407" s="827">
        <v>291</v>
      </c>
      <c r="T407" s="827">
        <v>292</v>
      </c>
      <c r="U407" s="827">
        <v>291</v>
      </c>
      <c r="V407" s="827">
        <v>292</v>
      </c>
      <c r="W407" s="827">
        <v>292</v>
      </c>
      <c r="X407" s="827">
        <v>293</v>
      </c>
      <c r="Y407" s="827">
        <v>290</v>
      </c>
      <c r="Z407" s="827">
        <v>289</v>
      </c>
      <c r="AA407" s="827">
        <v>291</v>
      </c>
      <c r="AB407" s="827">
        <v>291</v>
      </c>
      <c r="AC407" s="828">
        <v>292</v>
      </c>
      <c r="AD407" s="828">
        <v>602</v>
      </c>
      <c r="AE407" s="828">
        <v>595</v>
      </c>
      <c r="AF407" s="828">
        <v>590</v>
      </c>
      <c r="AG407" s="828">
        <v>542</v>
      </c>
      <c r="AH407" s="828">
        <v>541</v>
      </c>
      <c r="AI407" s="828">
        <v>552</v>
      </c>
      <c r="AJ407" s="828">
        <v>586</v>
      </c>
      <c r="AK407" s="828">
        <v>569</v>
      </c>
      <c r="AL407" s="828">
        <v>575</v>
      </c>
      <c r="AM407" s="828">
        <v>491</v>
      </c>
      <c r="AN407" s="828">
        <v>503</v>
      </c>
      <c r="AO407" s="828">
        <v>497</v>
      </c>
      <c r="AP407" s="828">
        <v>507</v>
      </c>
    </row>
    <row r="408" hidden="1" ht="15.95" customHeight="1">
      <c r="B408" s="829" t="s">
        <v>22</v>
      </c>
      <c r="C408" s="823">
        <v>7</v>
      </c>
      <c r="D408" s="823">
        <v>7</v>
      </c>
      <c r="E408" s="823">
        <v>9</v>
      </c>
      <c r="F408" s="823">
        <v>10</v>
      </c>
      <c r="G408" s="823">
        <v>10</v>
      </c>
      <c r="H408" s="823">
        <v>11</v>
      </c>
      <c r="I408" s="823">
        <v>11</v>
      </c>
      <c r="J408" s="823">
        <v>14</v>
      </c>
      <c r="K408" s="823">
        <v>9</v>
      </c>
      <c r="L408" s="823">
        <v>10</v>
      </c>
      <c r="M408" s="823">
        <v>7</v>
      </c>
      <c r="N408" s="823">
        <v>7</v>
      </c>
      <c r="O408" s="823">
        <v>102</v>
      </c>
      <c r="P408" s="823">
        <v>104</v>
      </c>
      <c r="Q408" s="823">
        <v>176</v>
      </c>
      <c r="R408" s="823">
        <v>191</v>
      </c>
      <c r="S408" s="823">
        <v>226</v>
      </c>
      <c r="T408" s="823">
        <v>254</v>
      </c>
      <c r="U408" s="823">
        <v>191</v>
      </c>
      <c r="V408" s="823">
        <v>217</v>
      </c>
      <c r="W408" s="823">
        <v>244</v>
      </c>
      <c r="X408" s="823">
        <v>251</v>
      </c>
      <c r="Y408" s="823">
        <v>189</v>
      </c>
      <c r="Z408" s="823">
        <v>201</v>
      </c>
      <c r="AA408" s="823">
        <v>184</v>
      </c>
      <c r="AB408" s="823">
        <v>197</v>
      </c>
      <c r="AC408" s="825">
        <v>169</v>
      </c>
      <c r="AD408" s="825">
        <v>161</v>
      </c>
      <c r="AE408" s="825">
        <v>155</v>
      </c>
      <c r="AF408" s="825">
        <v>165</v>
      </c>
      <c r="AG408" s="825">
        <v>164</v>
      </c>
      <c r="AH408" s="825">
        <v>171</v>
      </c>
      <c r="AI408" s="825">
        <v>130</v>
      </c>
      <c r="AJ408" s="825">
        <v>147</v>
      </c>
      <c r="AK408" s="825">
        <v>126</v>
      </c>
      <c r="AL408" s="825">
        <v>117</v>
      </c>
      <c r="AM408" s="825">
        <v>104</v>
      </c>
      <c r="AN408" s="825">
        <v>121</v>
      </c>
      <c r="AO408" s="825">
        <v>115</v>
      </c>
      <c r="AP408" s="825">
        <v>134</v>
      </c>
    </row>
    <row r="409" hidden="1" ht="15.95" customHeight="1">
      <c r="B409" s="826" t="s">
        <v>23</v>
      </c>
      <c r="C409" s="827">
        <v>6</v>
      </c>
      <c r="D409" s="827">
        <v>8</v>
      </c>
      <c r="E409" s="827">
        <v>9</v>
      </c>
      <c r="F409" s="827">
        <v>11</v>
      </c>
      <c r="G409" s="827">
        <v>11</v>
      </c>
      <c r="H409" s="827">
        <v>11</v>
      </c>
      <c r="I409" s="827">
        <v>14</v>
      </c>
      <c r="J409" s="827">
        <v>14</v>
      </c>
      <c r="K409" s="827">
        <v>14</v>
      </c>
      <c r="L409" s="827">
        <v>14</v>
      </c>
      <c r="M409" s="827">
        <v>14</v>
      </c>
      <c r="N409" s="827">
        <v>14</v>
      </c>
      <c r="O409" s="827">
        <v>16</v>
      </c>
      <c r="P409" s="827">
        <v>33</v>
      </c>
      <c r="Q409" s="827">
        <v>34</v>
      </c>
      <c r="R409" s="827">
        <v>36</v>
      </c>
      <c r="S409" s="827">
        <v>35</v>
      </c>
      <c r="T409" s="827">
        <v>35</v>
      </c>
      <c r="U409" s="827">
        <v>39</v>
      </c>
      <c r="V409" s="827">
        <v>40</v>
      </c>
      <c r="W409" s="827">
        <v>40</v>
      </c>
      <c r="X409" s="827">
        <v>40</v>
      </c>
      <c r="Y409" s="827">
        <v>40</v>
      </c>
      <c r="Z409" s="827">
        <v>42</v>
      </c>
      <c r="AA409" s="827">
        <v>42</v>
      </c>
      <c r="AB409" s="827">
        <v>61</v>
      </c>
      <c r="AC409" s="828">
        <v>72</v>
      </c>
      <c r="AD409" s="828">
        <v>74</v>
      </c>
      <c r="AE409" s="828">
        <v>80</v>
      </c>
      <c r="AF409" s="828">
        <v>92</v>
      </c>
      <c r="AG409" s="828">
        <v>102</v>
      </c>
      <c r="AH409" s="828">
        <v>105</v>
      </c>
      <c r="AI409" s="828">
        <v>113</v>
      </c>
      <c r="AJ409" s="828">
        <v>110</v>
      </c>
      <c r="AK409" s="828">
        <v>111</v>
      </c>
      <c r="AL409" s="828">
        <v>113</v>
      </c>
      <c r="AM409" s="828">
        <v>113</v>
      </c>
      <c r="AN409" s="828">
        <v>115</v>
      </c>
      <c r="AO409" s="828">
        <v>116</v>
      </c>
      <c r="AP409" s="828">
        <v>133</v>
      </c>
    </row>
    <row r="410" hidden="1" ht="15.95" customHeight="1">
      <c r="B410" s="830" t="s">
        <v>24</v>
      </c>
      <c r="C410" s="823">
        <v>67</v>
      </c>
      <c r="D410" s="823">
        <v>65</v>
      </c>
      <c r="E410" s="823">
        <v>65</v>
      </c>
      <c r="F410" s="823">
        <v>63</v>
      </c>
      <c r="G410" s="823">
        <v>65</v>
      </c>
      <c r="H410" s="823">
        <v>62</v>
      </c>
      <c r="I410" s="823">
        <v>59</v>
      </c>
      <c r="J410" s="823">
        <v>57</v>
      </c>
      <c r="K410" s="823">
        <v>58</v>
      </c>
      <c r="L410" s="823">
        <v>57</v>
      </c>
      <c r="M410" s="823">
        <v>54</v>
      </c>
      <c r="N410" s="823">
        <v>54</v>
      </c>
      <c r="O410" s="823">
        <v>55</v>
      </c>
      <c r="P410" s="823">
        <v>45</v>
      </c>
      <c r="Q410" s="823">
        <v>47</v>
      </c>
      <c r="R410" s="823">
        <v>47</v>
      </c>
      <c r="S410" s="823">
        <v>49</v>
      </c>
      <c r="T410" s="823">
        <v>49</v>
      </c>
      <c r="U410" s="823">
        <v>50</v>
      </c>
      <c r="V410" s="823">
        <v>49</v>
      </c>
      <c r="W410" s="823">
        <v>43</v>
      </c>
      <c r="X410" s="823">
        <v>40</v>
      </c>
      <c r="Y410" s="823">
        <v>38</v>
      </c>
      <c r="Z410" s="823">
        <v>36</v>
      </c>
      <c r="AA410" s="823">
        <v>35</v>
      </c>
      <c r="AB410" s="823">
        <v>35</v>
      </c>
      <c r="AC410" s="825">
        <v>35</v>
      </c>
      <c r="AD410" s="825">
        <v>35</v>
      </c>
      <c r="AE410" s="825">
        <v>33</v>
      </c>
      <c r="AF410" s="825">
        <v>31</v>
      </c>
      <c r="AG410" s="825">
        <v>29</v>
      </c>
      <c r="AH410" s="825">
        <v>30</v>
      </c>
      <c r="AI410" s="825">
        <v>29</v>
      </c>
      <c r="AJ410" s="825">
        <v>29</v>
      </c>
      <c r="AK410" s="825">
        <v>29</v>
      </c>
      <c r="AL410" s="825">
        <v>27</v>
      </c>
      <c r="AM410" s="825">
        <v>27</v>
      </c>
      <c r="AN410" s="825">
        <v>25</v>
      </c>
      <c r="AO410" s="825">
        <v>25</v>
      </c>
      <c r="AP410" s="825">
        <v>24</v>
      </c>
    </row>
    <row r="411" hidden="1" ht="15.95" customHeight="1">
      <c r="B411" s="826" t="s">
        <v>25</v>
      </c>
      <c r="C411" s="827">
        <v>0</v>
      </c>
      <c r="D411" s="827">
        <v>0</v>
      </c>
      <c r="E411" s="827">
        <v>0</v>
      </c>
      <c r="F411" s="827">
        <v>0</v>
      </c>
      <c r="G411" s="827">
        <v>0</v>
      </c>
      <c r="H411" s="827">
        <v>0</v>
      </c>
      <c r="I411" s="827">
        <v>0</v>
      </c>
      <c r="J411" s="827">
        <v>0</v>
      </c>
      <c r="K411" s="827">
        <v>0</v>
      </c>
      <c r="L411" s="827">
        <v>0</v>
      </c>
      <c r="M411" s="827">
        <v>1</v>
      </c>
      <c r="N411" s="827">
        <v>1</v>
      </c>
      <c r="O411" s="827">
        <v>1</v>
      </c>
      <c r="P411" s="827">
        <v>1</v>
      </c>
      <c r="Q411" s="827">
        <v>1</v>
      </c>
      <c r="R411" s="827">
        <v>1</v>
      </c>
      <c r="S411" s="827">
        <v>1</v>
      </c>
      <c r="T411" s="827">
        <v>1</v>
      </c>
      <c r="U411" s="827">
        <v>1</v>
      </c>
      <c r="V411" s="827">
        <v>1</v>
      </c>
      <c r="W411" s="827">
        <v>1</v>
      </c>
      <c r="X411" s="827">
        <v>1</v>
      </c>
      <c r="Y411" s="827">
        <v>1</v>
      </c>
      <c r="Z411" s="827">
        <v>1</v>
      </c>
      <c r="AA411" s="827">
        <v>1</v>
      </c>
      <c r="AB411" s="827">
        <v>1</v>
      </c>
      <c r="AC411" s="828">
        <v>1</v>
      </c>
      <c r="AD411" s="828">
        <v>1</v>
      </c>
      <c r="AE411" s="828">
        <v>1</v>
      </c>
      <c r="AF411" s="828">
        <v>1</v>
      </c>
      <c r="AG411" s="828">
        <v>1</v>
      </c>
      <c r="AH411" s="828">
        <v>1</v>
      </c>
      <c r="AI411" s="828">
        <v>1</v>
      </c>
      <c r="AJ411" s="828">
        <v>1</v>
      </c>
      <c r="AK411" s="828">
        <v>1</v>
      </c>
      <c r="AL411" s="828">
        <v>1</v>
      </c>
      <c r="AM411" s="828">
        <v>1</v>
      </c>
      <c r="AN411" s="828">
        <v>1</v>
      </c>
      <c r="AO411" s="828">
        <v>1</v>
      </c>
      <c r="AP411" s="828">
        <v>1</v>
      </c>
    </row>
    <row r="412" hidden="1" ht="15.95" customHeight="1">
      <c r="B412" s="831" t="s">
        <v>26</v>
      </c>
      <c r="C412" s="823">
        <v>0</v>
      </c>
      <c r="D412" s="823">
        <v>0</v>
      </c>
      <c r="E412" s="823">
        <v>0</v>
      </c>
      <c r="F412" s="823">
        <v>0</v>
      </c>
      <c r="G412" s="823">
        <v>0</v>
      </c>
      <c r="H412" s="823">
        <v>0</v>
      </c>
      <c r="I412" s="823">
        <v>0</v>
      </c>
      <c r="J412" s="823">
        <v>0</v>
      </c>
      <c r="K412" s="823">
        <v>0</v>
      </c>
      <c r="L412" s="823">
        <v>0</v>
      </c>
      <c r="M412" s="823">
        <v>0</v>
      </c>
      <c r="N412" s="823">
        <v>0</v>
      </c>
      <c r="O412" s="823">
        <v>1</v>
      </c>
      <c r="P412" s="823">
        <v>1</v>
      </c>
      <c r="Q412" s="823">
        <v>1</v>
      </c>
      <c r="R412" s="823">
        <v>1</v>
      </c>
      <c r="S412" s="823">
        <v>1</v>
      </c>
      <c r="T412" s="823">
        <v>1</v>
      </c>
      <c r="U412" s="823">
        <v>1</v>
      </c>
      <c r="V412" s="823">
        <v>1</v>
      </c>
      <c r="W412" s="823">
        <v>1</v>
      </c>
      <c r="X412" s="823">
        <v>1</v>
      </c>
      <c r="Y412" s="823">
        <v>1</v>
      </c>
      <c r="Z412" s="823">
        <v>1</v>
      </c>
      <c r="AA412" s="823">
        <v>1</v>
      </c>
      <c r="AB412" s="832">
        <v>1</v>
      </c>
      <c r="AC412" s="825">
        <v>1</v>
      </c>
      <c r="AD412" s="825">
        <v>1</v>
      </c>
      <c r="AE412" s="825">
        <v>1</v>
      </c>
      <c r="AF412" s="825">
        <v>1</v>
      </c>
      <c r="AG412" s="825">
        <v>1</v>
      </c>
      <c r="AH412" s="825">
        <v>1</v>
      </c>
      <c r="AI412" s="825">
        <v>1</v>
      </c>
      <c r="AJ412" s="825">
        <v>1</v>
      </c>
      <c r="AK412" s="825">
        <v>1</v>
      </c>
      <c r="AL412" s="825">
        <v>1</v>
      </c>
      <c r="AM412" s="825">
        <v>1</v>
      </c>
      <c r="AN412" s="825">
        <v>1</v>
      </c>
      <c r="AO412" s="825">
        <v>1</v>
      </c>
      <c r="AP412" s="825">
        <v>1</v>
      </c>
    </row>
    <row r="413" hidden="1" ht="15.95" customHeight="1">
      <c r="B413" s="128" t="s">
        <v>7</v>
      </c>
      <c r="C413" s="129" t="str">
        <f>IF(SUM(C394:C412)&lt;&gt;0,SUM(C394:C412),"")</f>
      </c>
      <c r="D413" s="129" t="str">
        <f ref="D413:AA413" t="shared" si="50">IF(SUM(D394:D412)&lt;&gt;0,SUM(D394:D412),"")</f>
      </c>
      <c r="E413" s="129" t="str">
        <f t="shared" si="50"/>
      </c>
      <c r="F413" s="129" t="str">
        <f t="shared" si="50"/>
      </c>
      <c r="G413" s="129" t="str">
        <f t="shared" si="50"/>
      </c>
      <c r="H413" s="129" t="str">
        <f t="shared" si="50"/>
      </c>
      <c r="I413" s="129" t="str">
        <f t="shared" si="50"/>
      </c>
      <c r="J413" s="129" t="str">
        <f t="shared" si="50"/>
      </c>
      <c r="K413" s="129" t="str">
        <f t="shared" si="50"/>
      </c>
      <c r="L413" s="129" t="str">
        <f t="shared" si="50"/>
      </c>
      <c r="M413" s="129" t="str">
        <f t="shared" si="50"/>
      </c>
      <c r="N413" s="129" t="str">
        <f t="shared" si="50"/>
      </c>
      <c r="O413" s="129" t="str">
        <f t="shared" si="50"/>
      </c>
      <c r="P413" s="129" t="str">
        <f t="shared" si="50"/>
      </c>
      <c r="Q413" s="129" t="str">
        <f t="shared" si="50"/>
      </c>
      <c r="R413" s="129" t="str">
        <f t="shared" si="50"/>
      </c>
      <c r="S413" s="129" t="str">
        <f t="shared" si="50"/>
      </c>
      <c r="T413" s="129" t="str">
        <f t="shared" si="50"/>
      </c>
      <c r="U413" s="129" t="str">
        <f t="shared" si="50"/>
      </c>
      <c r="V413" s="129" t="str">
        <f t="shared" si="50"/>
      </c>
      <c r="W413" s="129" t="str">
        <f t="shared" si="50"/>
      </c>
      <c r="X413" s="129" t="str">
        <f t="shared" si="50"/>
      </c>
      <c r="Y413" s="129" t="str">
        <f t="shared" si="50"/>
      </c>
      <c r="Z413" s="129" t="str">
        <f t="shared" si="50"/>
      </c>
      <c r="AA413" s="129" t="str">
        <f t="shared" si="50"/>
      </c>
      <c r="AB413" s="130" t="str">
        <f>IF(SUM(AB394:AB412)&lt;&gt;0,SUM(AB394:AB412),"")</f>
      </c>
      <c r="AC413" s="91" t="str">
        <f ref="AC413:CN413" t="shared" si="51">IF(SUM(AC394:AC412)&lt;&gt;0,SUM(AC394:AC412),"")</f>
      </c>
      <c r="AD413" s="91" t="str">
        <f t="shared" si="51"/>
      </c>
      <c r="AE413" s="91" t="str">
        <f t="shared" si="51"/>
      </c>
      <c r="AF413" s="91" t="str">
        <f t="shared" si="51"/>
      </c>
      <c r="AG413" s="91" t="str">
        <f t="shared" si="51"/>
      </c>
      <c r="AH413" s="91" t="str">
        <f t="shared" si="51"/>
      </c>
      <c r="AI413" s="91" t="str">
        <f t="shared" si="51"/>
      </c>
      <c r="AJ413" s="91" t="str">
        <f t="shared" si="51"/>
      </c>
      <c r="AK413" s="91" t="str">
        <f t="shared" si="51"/>
      </c>
      <c r="AL413" s="91" t="str">
        <f t="shared" si="51"/>
      </c>
      <c r="AM413" s="91" t="str">
        <f t="shared" si="51"/>
      </c>
      <c r="AN413" s="91" t="str">
        <f t="shared" si="51"/>
      </c>
      <c r="AO413" s="91" t="str">
        <f t="shared" si="51"/>
      </c>
      <c r="AP413" s="91" t="str">
        <f t="shared" si="51"/>
      </c>
      <c r="AQ413" s="91" t="str">
        <f t="shared" si="51"/>
      </c>
      <c r="AR413" s="91" t="str">
        <f t="shared" si="51"/>
      </c>
      <c r="AS413" s="91" t="str">
        <f t="shared" si="51"/>
      </c>
      <c r="AT413" s="91" t="str">
        <f t="shared" si="51"/>
      </c>
      <c r="AU413" s="91" t="str">
        <f t="shared" si="51"/>
      </c>
      <c r="AV413" s="91" t="str">
        <f t="shared" si="51"/>
      </c>
      <c r="AW413" s="91" t="str">
        <f t="shared" si="51"/>
      </c>
      <c r="AX413" s="91" t="str">
        <f t="shared" si="51"/>
      </c>
      <c r="AY413" s="91" t="str">
        <f t="shared" si="51"/>
      </c>
      <c r="AZ413" s="91" t="str">
        <f t="shared" si="51"/>
      </c>
      <c r="BA413" s="91" t="str">
        <f t="shared" si="51"/>
      </c>
      <c r="BB413" s="91" t="str">
        <f t="shared" si="51"/>
      </c>
      <c r="BC413" s="91" t="str">
        <f t="shared" si="51"/>
      </c>
      <c r="BD413" s="91" t="str">
        <f t="shared" si="51"/>
      </c>
      <c r="BE413" s="91" t="str">
        <f t="shared" si="51"/>
      </c>
      <c r="BF413" s="91" t="str">
        <f t="shared" si="51"/>
      </c>
      <c r="BG413" s="91" t="str">
        <f t="shared" si="51"/>
      </c>
      <c r="BH413" s="91" t="str">
        <f t="shared" si="51"/>
      </c>
      <c r="BI413" s="91" t="str">
        <f t="shared" si="51"/>
      </c>
      <c r="BJ413" s="91" t="str">
        <f t="shared" si="51"/>
      </c>
      <c r="BK413" s="91" t="str">
        <f t="shared" si="51"/>
      </c>
      <c r="BL413" s="91" t="str">
        <f t="shared" si="51"/>
      </c>
      <c r="BM413" s="91" t="str">
        <f t="shared" si="51"/>
      </c>
      <c r="BN413" s="91" t="str">
        <f t="shared" si="51"/>
      </c>
      <c r="BO413" s="91" t="str">
        <f t="shared" si="51"/>
      </c>
      <c r="BP413" s="91" t="str">
        <f t="shared" si="51"/>
      </c>
      <c r="BQ413" s="91" t="str">
        <f t="shared" si="51"/>
      </c>
      <c r="BR413" s="91" t="str">
        <f t="shared" si="51"/>
      </c>
      <c r="BS413" s="91" t="str">
        <f t="shared" si="51"/>
      </c>
      <c r="BT413" s="91" t="str">
        <f t="shared" si="51"/>
      </c>
      <c r="BU413" s="91" t="str">
        <f t="shared" si="51"/>
      </c>
      <c r="BV413" s="91" t="str">
        <f t="shared" si="51"/>
      </c>
      <c r="BW413" s="91" t="str">
        <f t="shared" si="51"/>
      </c>
      <c r="BX413" s="91" t="str">
        <f t="shared" si="51"/>
      </c>
      <c r="BY413" s="91" t="str">
        <f t="shared" si="51"/>
      </c>
      <c r="BZ413" s="91" t="str">
        <f t="shared" si="51"/>
      </c>
      <c r="CA413" s="91" t="str">
        <f t="shared" si="51"/>
      </c>
      <c r="CB413" s="91" t="str">
        <f t="shared" si="51"/>
      </c>
      <c r="CC413" s="91" t="str">
        <f t="shared" si="51"/>
      </c>
      <c r="CD413" s="91" t="str">
        <f t="shared" si="51"/>
      </c>
      <c r="CE413" s="91" t="str">
        <f t="shared" si="51"/>
      </c>
      <c r="CF413" s="91" t="str">
        <f t="shared" si="51"/>
      </c>
      <c r="CG413" s="91" t="str">
        <f t="shared" si="51"/>
      </c>
      <c r="CH413" s="91" t="str">
        <f t="shared" si="51"/>
      </c>
      <c r="CI413" s="91" t="str">
        <f t="shared" si="51"/>
      </c>
      <c r="CJ413" s="91" t="str">
        <f t="shared" si="51"/>
      </c>
      <c r="CK413" s="91" t="str">
        <f t="shared" si="51"/>
      </c>
      <c r="CL413" s="91" t="str">
        <f t="shared" si="51"/>
      </c>
      <c r="CM413" s="91" t="str">
        <f t="shared" si="51"/>
      </c>
      <c r="CN413" s="91" t="str">
        <f t="shared" si="51"/>
      </c>
      <c r="CO413" s="91" t="str">
        <f ref="CO413:EZ413" t="shared" si="52">IF(SUM(CO394:CO412)&lt;&gt;0,SUM(CO394:CO412),"")</f>
      </c>
      <c r="CP413" s="91" t="str">
        <f t="shared" si="52"/>
      </c>
      <c r="CQ413" s="91" t="str">
        <f t="shared" si="52"/>
      </c>
      <c r="CR413" s="91" t="str">
        <f t="shared" si="52"/>
      </c>
      <c r="CS413" s="91" t="str">
        <f t="shared" si="52"/>
      </c>
      <c r="CT413" s="91" t="str">
        <f t="shared" si="52"/>
      </c>
      <c r="CU413" s="91" t="str">
        <f t="shared" si="52"/>
      </c>
      <c r="CV413" s="91" t="str">
        <f t="shared" si="52"/>
      </c>
      <c r="CW413" s="91" t="str">
        <f t="shared" si="52"/>
      </c>
      <c r="CX413" s="91" t="str">
        <f t="shared" si="52"/>
      </c>
      <c r="CY413" s="91" t="str">
        <f t="shared" si="52"/>
      </c>
      <c r="CZ413" s="91" t="str">
        <f t="shared" si="52"/>
      </c>
      <c r="DA413" s="91" t="str">
        <f t="shared" si="52"/>
      </c>
      <c r="DB413" s="91" t="str">
        <f t="shared" si="52"/>
      </c>
      <c r="DC413" s="91" t="str">
        <f t="shared" si="52"/>
      </c>
      <c r="DD413" s="91" t="str">
        <f t="shared" si="52"/>
      </c>
      <c r="DE413" s="91" t="str">
        <f t="shared" si="52"/>
      </c>
      <c r="DF413" s="91" t="str">
        <f t="shared" si="52"/>
      </c>
      <c r="DG413" s="91" t="str">
        <f t="shared" si="52"/>
      </c>
      <c r="DH413" s="91" t="str">
        <f t="shared" si="52"/>
      </c>
      <c r="DI413" s="91" t="str">
        <f t="shared" si="52"/>
      </c>
      <c r="DJ413" s="91" t="str">
        <f t="shared" si="52"/>
      </c>
      <c r="DK413" s="91" t="str">
        <f t="shared" si="52"/>
      </c>
      <c r="DL413" s="91" t="str">
        <f t="shared" si="52"/>
      </c>
      <c r="DM413" s="91" t="str">
        <f t="shared" si="52"/>
      </c>
      <c r="DN413" s="91" t="str">
        <f t="shared" si="52"/>
      </c>
      <c r="DO413" s="91" t="str">
        <f t="shared" si="52"/>
      </c>
      <c r="DP413" s="91" t="str">
        <f t="shared" si="52"/>
      </c>
      <c r="DQ413" s="91" t="str">
        <f t="shared" si="52"/>
      </c>
      <c r="DR413" s="91" t="str">
        <f t="shared" si="52"/>
      </c>
      <c r="DS413" s="91" t="str">
        <f t="shared" si="52"/>
      </c>
      <c r="DT413" s="91" t="str">
        <f t="shared" si="52"/>
      </c>
      <c r="DU413" s="91" t="str">
        <f t="shared" si="52"/>
      </c>
      <c r="DV413" s="91" t="str">
        <f t="shared" si="52"/>
      </c>
      <c r="DW413" s="91" t="str">
        <f t="shared" si="52"/>
      </c>
      <c r="DX413" s="91" t="str">
        <f t="shared" si="52"/>
      </c>
      <c r="DY413" s="91" t="str">
        <f t="shared" si="52"/>
      </c>
      <c r="DZ413" s="91" t="str">
        <f t="shared" si="52"/>
      </c>
      <c r="EA413" s="91" t="str">
        <f t="shared" si="52"/>
      </c>
      <c r="EB413" s="91" t="str">
        <f t="shared" si="52"/>
      </c>
      <c r="EC413" s="91" t="str">
        <f t="shared" si="52"/>
      </c>
      <c r="ED413" s="91" t="str">
        <f t="shared" si="52"/>
      </c>
      <c r="EE413" s="91" t="str">
        <f t="shared" si="52"/>
      </c>
      <c r="EF413" s="91" t="str">
        <f t="shared" si="52"/>
      </c>
      <c r="EG413" s="91" t="str">
        <f t="shared" si="52"/>
      </c>
      <c r="EH413" s="91" t="str">
        <f t="shared" si="52"/>
      </c>
      <c r="EI413" s="91" t="str">
        <f t="shared" si="52"/>
      </c>
      <c r="EJ413" s="91" t="str">
        <f t="shared" si="52"/>
      </c>
      <c r="EK413" s="91" t="str">
        <f t="shared" si="52"/>
      </c>
      <c r="EL413" s="91" t="str">
        <f t="shared" si="52"/>
      </c>
      <c r="EM413" s="91" t="str">
        <f t="shared" si="52"/>
      </c>
      <c r="EN413" s="91" t="str">
        <f t="shared" si="52"/>
      </c>
      <c r="EO413" s="91" t="str">
        <f t="shared" si="52"/>
      </c>
      <c r="EP413" s="91" t="str">
        <f t="shared" si="52"/>
      </c>
      <c r="EQ413" s="91" t="str">
        <f t="shared" si="52"/>
      </c>
      <c r="ER413" s="91" t="str">
        <f t="shared" si="52"/>
      </c>
      <c r="ES413" s="91" t="str">
        <f t="shared" si="52"/>
      </c>
      <c r="ET413" s="91" t="str">
        <f t="shared" si="52"/>
      </c>
      <c r="EU413" s="91" t="str">
        <f t="shared" si="52"/>
      </c>
      <c r="EV413" s="91" t="str">
        <f t="shared" si="52"/>
      </c>
      <c r="EW413" s="91" t="str">
        <f t="shared" si="52"/>
      </c>
      <c r="EX413" s="91" t="str">
        <f t="shared" si="52"/>
      </c>
      <c r="EY413" s="91" t="str">
        <f t="shared" si="52"/>
      </c>
      <c r="EZ413" s="91" t="str">
        <f t="shared" si="52"/>
      </c>
      <c r="FA413" s="91" t="str">
        <f ref="FA413:HL413" t="shared" si="53">IF(SUM(FA394:FA412)&lt;&gt;0,SUM(FA394:FA412),"")</f>
      </c>
      <c r="FB413" s="91" t="str">
        <f t="shared" si="53"/>
      </c>
      <c r="FC413" s="91" t="str">
        <f t="shared" si="53"/>
      </c>
      <c r="FD413" s="91" t="str">
        <f t="shared" si="53"/>
      </c>
      <c r="FE413" s="91" t="str">
        <f t="shared" si="53"/>
      </c>
      <c r="FF413" s="91" t="str">
        <f t="shared" si="53"/>
      </c>
      <c r="FG413" s="91" t="str">
        <f t="shared" si="53"/>
      </c>
      <c r="FH413" s="91" t="str">
        <f t="shared" si="53"/>
      </c>
      <c r="FI413" s="91" t="str">
        <f t="shared" si="53"/>
      </c>
      <c r="FJ413" s="91" t="str">
        <f t="shared" si="53"/>
      </c>
      <c r="FK413" s="91" t="str">
        <f t="shared" si="53"/>
      </c>
      <c r="FL413" s="91" t="str">
        <f t="shared" si="53"/>
      </c>
      <c r="FM413" s="91" t="str">
        <f t="shared" si="53"/>
      </c>
      <c r="FN413" s="91" t="str">
        <f t="shared" si="53"/>
      </c>
      <c r="FO413" s="91" t="str">
        <f t="shared" si="53"/>
      </c>
      <c r="FP413" s="91" t="str">
        <f t="shared" si="53"/>
      </c>
      <c r="FQ413" s="91" t="str">
        <f t="shared" si="53"/>
      </c>
      <c r="FR413" s="91" t="str">
        <f t="shared" si="53"/>
      </c>
      <c r="FS413" s="91" t="str">
        <f t="shared" si="53"/>
      </c>
      <c r="FT413" s="91" t="str">
        <f t="shared" si="53"/>
      </c>
      <c r="FU413" s="91" t="str">
        <f t="shared" si="53"/>
      </c>
      <c r="FV413" s="91" t="str">
        <f t="shared" si="53"/>
      </c>
      <c r="FW413" s="91" t="str">
        <f t="shared" si="53"/>
      </c>
      <c r="FX413" s="91" t="str">
        <f t="shared" si="53"/>
      </c>
      <c r="FY413" s="91" t="str">
        <f t="shared" si="53"/>
      </c>
      <c r="FZ413" s="91" t="str">
        <f t="shared" si="53"/>
      </c>
      <c r="GA413" s="91" t="str">
        <f t="shared" si="53"/>
      </c>
      <c r="GB413" s="91" t="str">
        <f t="shared" si="53"/>
      </c>
      <c r="GC413" s="91" t="str">
        <f t="shared" si="53"/>
      </c>
      <c r="GD413" s="91" t="str">
        <f t="shared" si="53"/>
      </c>
      <c r="GE413" s="91" t="str">
        <f t="shared" si="53"/>
      </c>
      <c r="GF413" s="91" t="str">
        <f t="shared" si="53"/>
      </c>
      <c r="GG413" s="91" t="str">
        <f t="shared" si="53"/>
      </c>
      <c r="GH413" s="91" t="str">
        <f t="shared" si="53"/>
      </c>
      <c r="GI413" s="91" t="str">
        <f t="shared" si="53"/>
      </c>
      <c r="GJ413" s="91" t="str">
        <f t="shared" si="53"/>
      </c>
      <c r="GK413" s="91" t="str">
        <f t="shared" si="53"/>
      </c>
      <c r="GL413" s="91" t="str">
        <f t="shared" si="53"/>
      </c>
      <c r="GM413" s="91" t="str">
        <f t="shared" si="53"/>
      </c>
      <c r="GN413" s="91" t="str">
        <f t="shared" si="53"/>
      </c>
      <c r="GO413" s="91" t="str">
        <f t="shared" si="53"/>
      </c>
      <c r="GP413" s="91" t="str">
        <f t="shared" si="53"/>
      </c>
      <c r="GQ413" s="91" t="str">
        <f t="shared" si="53"/>
      </c>
      <c r="GR413" s="91" t="str">
        <f t="shared" si="53"/>
      </c>
      <c r="GS413" s="91" t="str">
        <f t="shared" si="53"/>
      </c>
      <c r="GT413" s="91" t="str">
        <f t="shared" si="53"/>
      </c>
      <c r="GU413" s="91" t="str">
        <f t="shared" si="53"/>
      </c>
      <c r="GV413" s="91" t="str">
        <f t="shared" si="53"/>
      </c>
      <c r="GW413" s="91" t="str">
        <f t="shared" si="53"/>
      </c>
      <c r="GX413" s="91" t="str">
        <f t="shared" si="53"/>
      </c>
      <c r="GY413" s="91" t="str">
        <f t="shared" si="53"/>
      </c>
      <c r="GZ413" s="91" t="str">
        <f t="shared" si="53"/>
      </c>
      <c r="HA413" s="91" t="str">
        <f t="shared" si="53"/>
      </c>
      <c r="HB413" s="91" t="str">
        <f t="shared" si="53"/>
      </c>
      <c r="HC413" s="91" t="str">
        <f t="shared" si="53"/>
      </c>
      <c r="HD413" s="91" t="str">
        <f t="shared" si="53"/>
      </c>
      <c r="HE413" s="91" t="str">
        <f t="shared" si="53"/>
      </c>
      <c r="HF413" s="91" t="str">
        <f t="shared" si="53"/>
      </c>
      <c r="HG413" s="91" t="str">
        <f t="shared" si="53"/>
      </c>
      <c r="HH413" s="91" t="str">
        <f t="shared" si="53"/>
      </c>
      <c r="HI413" s="91" t="str">
        <f t="shared" si="53"/>
      </c>
      <c r="HJ413" s="91" t="str">
        <f t="shared" si="53"/>
      </c>
      <c r="HK413" s="91" t="str">
        <f t="shared" si="53"/>
      </c>
      <c r="HL413" s="91" t="str">
        <f t="shared" si="53"/>
      </c>
      <c r="HM413" s="91" t="str">
        <f ref="HM413:IV413" t="shared" si="54">IF(SUM(HM394:HM412)&lt;&gt;0,SUM(HM394:HM412),"")</f>
      </c>
      <c r="HN413" s="91" t="str">
        <f t="shared" si="54"/>
      </c>
      <c r="HO413" s="91" t="str">
        <f t="shared" si="54"/>
      </c>
      <c r="HP413" s="91" t="str">
        <f t="shared" si="54"/>
      </c>
      <c r="HQ413" s="91" t="str">
        <f t="shared" si="54"/>
      </c>
      <c r="HR413" s="91" t="str">
        <f t="shared" si="54"/>
      </c>
      <c r="HS413" s="91" t="str">
        <f t="shared" si="54"/>
      </c>
      <c r="HT413" s="91" t="str">
        <f t="shared" si="54"/>
      </c>
      <c r="HU413" s="91" t="str">
        <f t="shared" si="54"/>
      </c>
      <c r="HV413" s="91" t="str">
        <f t="shared" si="54"/>
      </c>
      <c r="HW413" s="91" t="str">
        <f t="shared" si="54"/>
      </c>
      <c r="HX413" s="91" t="str">
        <f t="shared" si="54"/>
      </c>
      <c r="HY413" s="91" t="str">
        <f t="shared" si="54"/>
      </c>
      <c r="HZ413" s="91" t="str">
        <f t="shared" si="54"/>
      </c>
      <c r="IA413" s="91" t="str">
        <f t="shared" si="54"/>
      </c>
      <c r="IB413" s="91" t="str">
        <f t="shared" si="54"/>
      </c>
      <c r="IC413" s="91" t="str">
        <f t="shared" si="54"/>
      </c>
      <c r="ID413" s="91" t="str">
        <f t="shared" si="54"/>
      </c>
      <c r="IE413" s="91" t="str">
        <f t="shared" si="54"/>
      </c>
      <c r="IF413" s="91" t="str">
        <f t="shared" si="54"/>
      </c>
      <c r="IG413" s="91" t="str">
        <f t="shared" si="54"/>
      </c>
      <c r="IH413" s="91" t="str">
        <f t="shared" si="54"/>
      </c>
      <c r="II413" s="91" t="str">
        <f t="shared" si="54"/>
      </c>
      <c r="IJ413" s="91" t="str">
        <f t="shared" si="54"/>
      </c>
      <c r="IK413" s="91" t="str">
        <f t="shared" si="54"/>
      </c>
      <c r="IL413" s="91" t="str">
        <f t="shared" si="54"/>
      </c>
      <c r="IM413" s="91" t="str">
        <f t="shared" si="54"/>
      </c>
      <c r="IN413" s="91" t="str">
        <f t="shared" si="54"/>
      </c>
      <c r="IO413" s="91" t="str">
        <f t="shared" si="54"/>
      </c>
      <c r="IP413" s="91" t="str">
        <f t="shared" si="54"/>
      </c>
      <c r="IQ413" s="91" t="str">
        <f t="shared" si="54"/>
      </c>
      <c r="IR413" s="91" t="str">
        <f t="shared" si="54"/>
      </c>
      <c r="IS413" s="91" t="str">
        <f t="shared" si="54"/>
      </c>
      <c r="IT413" s="91" t="str">
        <f t="shared" si="54"/>
      </c>
      <c r="IU413" s="91" t="str">
        <f t="shared" si="54"/>
      </c>
      <c r="IV413" s="91" t="str">
        <f t="shared" si="54"/>
      </c>
    </row>
    <row r="414" hidden="1" ht="15.95" customHeight="1">
      <c r="B414" s="274"/>
      <c r="C414" s="247"/>
      <c r="D414" s="247"/>
      <c r="E414" s="247"/>
      <c r="F414" s="247"/>
      <c r="G414" s="247"/>
      <c r="H414" s="247"/>
      <c r="I414" s="247"/>
      <c r="J414" s="247"/>
      <c r="K414" s="247"/>
      <c r="N414" s="275"/>
    </row>
    <row r="415" hidden="1" ht="15.95" customHeight="1">
      <c r="B415" s="274"/>
      <c r="C415" s="659" t="s">
        <v>108</v>
      </c>
      <c r="D415" s="660"/>
      <c r="E415" s="660"/>
      <c r="F415" s="660"/>
      <c r="G415" s="660"/>
      <c r="H415" s="660"/>
      <c r="I415" s="660"/>
      <c r="J415" s="660"/>
      <c r="K415" s="660"/>
      <c r="L415" s="660"/>
      <c r="M415" s="660"/>
      <c r="N415" s="660"/>
      <c r="O415" s="660"/>
      <c r="P415" s="660"/>
      <c r="Q415" s="660"/>
      <c r="R415" s="660"/>
      <c r="S415" s="660"/>
      <c r="T415" s="660"/>
      <c r="U415" s="660"/>
      <c r="V415" s="660"/>
      <c r="W415" s="660"/>
      <c r="X415" s="660"/>
      <c r="Y415" s="660"/>
      <c r="Z415" s="660"/>
      <c r="AA415" s="660"/>
      <c r="AB415" s="661"/>
    </row>
    <row r="416" hidden="1" ht="15.95" customHeight="1">
      <c r="C416" s="435" t="str">
        <f> IF(C436&lt;&gt;"",TEXT(AUX!G$1,"dd-MMM-aa"),"")</f>
      </c>
      <c r="D416" s="435" t="str">
        <f> IF(D436&lt;&gt;"",TEXT(AUX!H$1,"dd-MMM-aa"),"")</f>
      </c>
      <c r="E416" s="435" t="str">
        <f> IF(E436&lt;&gt;"",TEXT(AUX!I$1,"dd-MMM-aa"),"")</f>
      </c>
      <c r="F416" s="435" t="str">
        <f> IF(F436&lt;&gt;"",TEXT(AUX!J$1,"dd-MMM-aa"),"")</f>
      </c>
      <c r="G416" s="435" t="str">
        <f> IF(G436&lt;&gt;"",TEXT(AUX!K$1,"dd-MMM-aa"),"")</f>
      </c>
      <c r="H416" s="435" t="str">
        <f> IF(H436&lt;&gt;"",TEXT(AUX!L$1,"dd-MMM-aa"),"")</f>
      </c>
      <c r="I416" s="435" t="str">
        <f> IF(I436&lt;&gt;"",TEXT(AUX!M$1,"dd-MMM-aa"),"")</f>
      </c>
      <c r="J416" s="435" t="str">
        <f> IF(J436&lt;&gt;"",TEXT(AUX!N$1,"dd-MMM-aa"),"")</f>
      </c>
      <c r="K416" s="435" t="str">
        <f> IF(K436&lt;&gt;"",TEXT(AUX!O$1,"dd-MMM-aa"),"")</f>
      </c>
      <c r="L416" s="435" t="str">
        <f> IF(L436&lt;&gt;"",TEXT(AUX!P$1,"dd-MMM-aa"),"")</f>
      </c>
      <c r="M416" s="435" t="str">
        <f> IF(M436&lt;&gt;"",TEXT(AUX!Q$1,"dd-MMM-aa"),"")</f>
      </c>
      <c r="N416" s="435" t="str">
        <f> IF(N436&lt;&gt;"",TEXT(AUX!R$1,"dd-MMM-aa"),"")</f>
      </c>
      <c r="O416" s="435" t="str">
        <f> IF(O436&lt;&gt;"",TEXT(AUX!S$1,"dd-MMM-aa"),"")</f>
      </c>
      <c r="P416" s="435" t="str">
        <f> IF(P436&lt;&gt;"",TEXT(AUX!T$1,"dd-MMM-aa"),"")</f>
      </c>
      <c r="Q416" s="435" t="str">
        <f> IF(Q436&lt;&gt;"",TEXT(AUX!U$1,"dd-MMM-aa"),"")</f>
      </c>
      <c r="R416" s="435" t="str">
        <f> IF(R436&lt;&gt;"",TEXT(AUX!V$1,"dd-MMM-aa"),"")</f>
      </c>
      <c r="S416" s="435" t="str">
        <f> IF(S436&lt;&gt;"",TEXT(AUX!W$1,"dd-MMM-aa"),"")</f>
      </c>
      <c r="T416" s="435" t="str">
        <f> IF(T436&lt;&gt;"",TEXT(AUX!X$1,"dd-MMM-aa"),"")</f>
      </c>
      <c r="U416" s="435" t="str">
        <f> IF(U436&lt;&gt;"",TEXT(AUX!Y$1,"dd-MMM-aa"),"")</f>
      </c>
      <c r="V416" s="435" t="str">
        <f> IF(V436&lt;&gt;"",TEXT(AUX!Z$1,"dd-MMM-aa"),"")</f>
      </c>
      <c r="W416" s="435" t="str">
        <f> IF(W436&lt;&gt;"",TEXT(AUX!AA$1,"dd-MMM-aa"),"")</f>
      </c>
      <c r="X416" s="435" t="str">
        <f> IF(X436&lt;&gt;"",TEXT(AUX!AB$1,"dd-MMM-aa"),"")</f>
      </c>
      <c r="Y416" s="435" t="str">
        <f> IF(Y436&lt;&gt;"",TEXT(AUX!AC$1,"dd-MMM-aa"),"")</f>
      </c>
      <c r="Z416" s="435" t="str">
        <f> IF(Z436&lt;&gt;"",TEXT(AUX!AD$1,"dd-MMM-aa"),"")</f>
      </c>
      <c r="AA416" s="435" t="str">
        <f> IF(AA436&lt;&gt;"",TEXT(AUX!AE$1,"dd-MMM-aa"),"")</f>
      </c>
      <c r="AB416" s="497" t="str">
        <f> IF(AB436&lt;&gt;"",TEXT(AUX!AF$1,"dd-MMM-aa"),"")</f>
      </c>
      <c r="AC416" s="496" t="str">
        <f> IF(AC436&lt;&gt;"",TEXT(AUX!AG$1,"dd-MMM-aa"),"")</f>
      </c>
      <c r="AD416" s="496" t="str">
        <f> IF(AD436&lt;&gt;"",TEXT(AUX!AH$1,"dd-MMM-aa"),"")</f>
      </c>
      <c r="AE416" s="496" t="str">
        <f> IF(AE436&lt;&gt;"",TEXT(AUX!AI$1,"dd-MMM-aa"),"")</f>
      </c>
      <c r="AF416" s="496" t="str">
        <f> IF(AF436&lt;&gt;"",TEXT(AUX!AJ$1,"dd-MMM-aa"),"")</f>
      </c>
      <c r="AG416" s="496" t="str">
        <f> IF(AG436&lt;&gt;"",TEXT(AUX!AK$1,"dd-MMM-aa"),"")</f>
      </c>
      <c r="AH416" s="496" t="str">
        <f> IF(AH436&lt;&gt;"",TEXT(AUX!AL$1,"dd-MMM-aa"),"")</f>
      </c>
      <c r="AI416" s="496" t="str">
        <f> IF(AI436&lt;&gt;"",TEXT(AUX!AM$1,"dd-MMM-aa"),"")</f>
      </c>
      <c r="AJ416" s="496" t="str">
        <f> IF(AJ436&lt;&gt;"",TEXT(AUX!AN$1,"dd-MMM-aa"),"")</f>
      </c>
      <c r="AK416" s="496" t="str">
        <f> IF(AK436&lt;&gt;"",TEXT(AUX!AO$1,"dd-MMM-aa"),"")</f>
      </c>
      <c r="AL416" s="496" t="str">
        <f> IF(AL436&lt;&gt;"",TEXT(AUX!AP$1,"dd-MMM-aa"),"")</f>
      </c>
      <c r="AM416" s="496" t="str">
        <f> IF(AM436&lt;&gt;"",TEXT(AUX!AQ$1,"dd-MMM-aa"),"")</f>
      </c>
      <c r="AN416" s="496" t="str">
        <f> IF(AN436&lt;&gt;"",TEXT(AUX!AR$1,"dd-MMM-aa"),"")</f>
      </c>
      <c r="AO416" s="496" t="str">
        <f> IF(AO436&lt;&gt;"",TEXT(AUX!AS$1,"dd-MMM-aa"),"")</f>
      </c>
      <c r="AP416" s="496" t="str">
        <f> IF(AP436&lt;&gt;"",TEXT(AUX!AT$1,"dd-MMM-aa"),"")</f>
      </c>
      <c r="AQ416" s="496" t="str">
        <f> IF(AQ436&lt;&gt;"",TEXT(AUX!AU$1,"dd-MMM-aa"),"")</f>
      </c>
      <c r="AR416" s="496" t="str">
        <f> IF(AR436&lt;&gt;"",TEXT(AUX!AV$1,"dd-MMM-aa"),"")</f>
      </c>
      <c r="AS416" s="496" t="str">
        <f> IF(AS436&lt;&gt;"",TEXT(AUX!AW$1,"dd-MMM-aa"),"")</f>
      </c>
      <c r="AT416" s="496" t="str">
        <f> IF(AT436&lt;&gt;"",TEXT(AUX!AX$1,"dd-MMM-aa"),"")</f>
      </c>
      <c r="AU416" s="496" t="str">
        <f> IF(AU436&lt;&gt;"",TEXT(AUX!AY$1,"dd-MMM-aa"),"")</f>
      </c>
      <c r="AV416" s="496" t="str">
        <f> IF(AV436&lt;&gt;"",TEXT(AUX!AZ$1,"dd-MMM-aa"),"")</f>
      </c>
      <c r="AW416" s="496" t="str">
        <f> IF(AW436&lt;&gt;"",TEXT(AUX!BA$1,"dd-MMM-aa"),"")</f>
      </c>
      <c r="AX416" s="496" t="str">
        <f> IF(AX436&lt;&gt;"",TEXT(AUX!BB$1,"dd-MMM-aa"),"")</f>
      </c>
      <c r="AY416" s="496" t="str">
        <f> IF(AY436&lt;&gt;"",TEXT(AUX!BC$1,"dd-MMM-aa"),"")</f>
      </c>
      <c r="AZ416" s="496" t="str">
        <f> IF(AZ436&lt;&gt;"",TEXT(AUX!BD$1,"dd-MMM-aa"),"")</f>
      </c>
      <c r="BA416" s="496" t="str">
        <f> IF(BA436&lt;&gt;"",TEXT(AUX!BE$1,"dd-MMM-aa"),"")</f>
      </c>
      <c r="BB416" s="496" t="str">
        <f> IF(BB436&lt;&gt;"",TEXT(AUX!BF$1,"dd-MMM-aa"),"")</f>
      </c>
      <c r="BC416" s="496" t="str">
        <f> IF(BC436&lt;&gt;"",TEXT(AUX!BG$1,"dd-MMM-aa"),"")</f>
      </c>
      <c r="BD416" s="496" t="str">
        <f> IF(BD436&lt;&gt;"",TEXT(AUX!BH$1,"dd-MMM-aa"),"")</f>
      </c>
      <c r="BE416" s="496" t="str">
        <f> IF(BE436&lt;&gt;"",TEXT(AUX!BI$1,"dd-MMM-aa"),"")</f>
      </c>
      <c r="BF416" s="496" t="str">
        <f> IF(BF436&lt;&gt;"",TEXT(AUX!BJ$1,"dd-MMM-aa"),"")</f>
      </c>
      <c r="BG416" s="496" t="str">
        <f> IF(BG436&lt;&gt;"",TEXT(AUX!BK$1,"dd-MMM-aa"),"")</f>
      </c>
      <c r="BH416" s="496" t="str">
        <f> IF(BH436&lt;&gt;"",TEXT(AUX!BL$1,"dd-MMM-aa"),"")</f>
      </c>
      <c r="BI416" s="496" t="str">
        <f> IF(BI436&lt;&gt;"",TEXT(AUX!BM$1,"dd-MMM-aa"),"")</f>
      </c>
      <c r="BJ416" s="496" t="str">
        <f> IF(BJ436&lt;&gt;"",TEXT(AUX!BN$1,"dd-MMM-aa"),"")</f>
      </c>
      <c r="BK416" s="496" t="str">
        <f> IF(BK436&lt;&gt;"",TEXT(AUX!BO$1,"dd-MMM-aa"),"")</f>
      </c>
      <c r="BL416" s="496" t="str">
        <f> IF(BL436&lt;&gt;"",TEXT(AUX!BP$1,"dd-MMM-aa"),"")</f>
      </c>
      <c r="BM416" s="496" t="str">
        <f> IF(BM436&lt;&gt;"",TEXT(AUX!BQ$1,"dd-MMM-aa"),"")</f>
      </c>
      <c r="BN416" s="496" t="str">
        <f> IF(BN436&lt;&gt;"",TEXT(AUX!BR$1,"dd-MMM-aa"),"")</f>
      </c>
      <c r="BO416" s="496" t="str">
        <f> IF(BO436&lt;&gt;"",TEXT(AUX!BS$1,"dd-MMM-aa"),"")</f>
      </c>
      <c r="BP416" s="496" t="str">
        <f> IF(BP436&lt;&gt;"",TEXT(AUX!BT$1,"dd-MMM-aa"),"")</f>
      </c>
      <c r="BQ416" s="496" t="str">
        <f> IF(BQ436&lt;&gt;"",TEXT(AUX!BU$1,"dd-MMM-aa"),"")</f>
      </c>
      <c r="BR416" s="496" t="str">
        <f> IF(BR436&lt;&gt;"",TEXT(AUX!BV$1,"dd-MMM-aa"),"")</f>
      </c>
      <c r="BS416" s="496" t="str">
        <f> IF(BS436&lt;&gt;"",TEXT(AUX!BW$1,"dd-MMM-aa"),"")</f>
      </c>
      <c r="BT416" s="496" t="str">
        <f> IF(BT436&lt;&gt;"",TEXT(AUX!BX$1,"dd-MMM-aa"),"")</f>
      </c>
      <c r="BU416" s="496" t="str">
        <f> IF(BU436&lt;&gt;"",TEXT(AUX!BY$1,"dd-MMM-aa"),"")</f>
      </c>
      <c r="BV416" s="496" t="str">
        <f> IF(BV436&lt;&gt;"",TEXT(AUX!BZ$1,"dd-MMM-aa"),"")</f>
      </c>
      <c r="BW416" s="496" t="str">
        <f> IF(BW436&lt;&gt;"",TEXT(AUX!CA$1,"dd-MMM-aa"),"")</f>
      </c>
      <c r="BX416" s="496" t="str">
        <f> IF(BX436&lt;&gt;"",TEXT(AUX!CB$1,"dd-MMM-aa"),"")</f>
      </c>
      <c r="BY416" s="496" t="str">
        <f> IF(BY436&lt;&gt;"",TEXT(AUX!CC$1,"dd-MMM-aa"),"")</f>
      </c>
      <c r="BZ416" s="496" t="str">
        <f> IF(BZ436&lt;&gt;"",TEXT(AUX!CD$1,"dd-MMM-aa"),"")</f>
      </c>
      <c r="CA416" s="496" t="str">
        <f> IF(CA436&lt;&gt;"",TEXT(AUX!CE$1,"dd-MMM-aa"),"")</f>
      </c>
      <c r="CB416" s="496" t="str">
        <f> IF(CB436&lt;&gt;"",TEXT(AUX!CF$1,"dd-MMM-aa"),"")</f>
      </c>
      <c r="CC416" s="496" t="str">
        <f> IF(CC436&lt;&gt;"",TEXT(AUX!CG$1,"dd-MMM-aa"),"")</f>
      </c>
      <c r="CD416" s="496" t="str">
        <f> IF(CD436&lt;&gt;"",TEXT(AUX!CH$1,"dd-MMM-aa"),"")</f>
      </c>
      <c r="CE416" s="496" t="str">
        <f> IF(CE436&lt;&gt;"",TEXT(AUX!CI$1,"dd-MMM-aa"),"")</f>
      </c>
      <c r="CF416" s="496" t="str">
        <f> IF(CF436&lt;&gt;"",TEXT(AUX!CJ$1,"dd-MMM-aa"),"")</f>
      </c>
      <c r="CG416" s="496" t="str">
        <f> IF(CG436&lt;&gt;"",TEXT(AUX!CK$1,"dd-MMM-aa"),"")</f>
      </c>
      <c r="CH416" s="496" t="str">
        <f> IF(CH436&lt;&gt;"",TEXT(AUX!CL$1,"dd-MMM-aa"),"")</f>
      </c>
      <c r="CI416" s="496" t="str">
        <f> IF(CI436&lt;&gt;"",TEXT(AUX!CM$1,"dd-MMM-aa"),"")</f>
      </c>
      <c r="CJ416" s="496" t="str">
        <f> IF(CJ436&lt;&gt;"",TEXT(AUX!CN$1,"dd-MMM-aa"),"")</f>
      </c>
      <c r="CK416" s="496" t="str">
        <f> IF(CK436&lt;&gt;"",TEXT(AUX!CO$1,"dd-MMM-aa"),"")</f>
      </c>
      <c r="CL416" s="496" t="str">
        <f> IF(CL436&lt;&gt;"",TEXT(AUX!CP$1,"dd-MMM-aa"),"")</f>
      </c>
      <c r="CM416" s="496" t="str">
        <f> IF(CM436&lt;&gt;"",TEXT(AUX!CQ$1,"dd-MMM-aa"),"")</f>
      </c>
      <c r="CN416" s="496" t="str">
        <f> IF(CN436&lt;&gt;"",TEXT(AUX!CR$1,"dd-MMM-aa"),"")</f>
      </c>
      <c r="CO416" s="496" t="str">
        <f> IF(CO436&lt;&gt;"",TEXT(AUX!CS$1,"dd-MMM-aa"),"")</f>
      </c>
      <c r="CP416" s="496" t="str">
        <f> IF(CP436&lt;&gt;"",TEXT(AUX!CT$1,"dd-MMM-aa"),"")</f>
      </c>
      <c r="CQ416" s="496" t="str">
        <f> IF(CQ436&lt;&gt;"",TEXT(AUX!CU$1,"dd-MMM-aa"),"")</f>
      </c>
      <c r="CR416" s="496" t="str">
        <f> IF(CR436&lt;&gt;"",TEXT(AUX!CV$1,"dd-MMM-aa"),"")</f>
      </c>
      <c r="CS416" s="496" t="str">
        <f> IF(CS436&lt;&gt;"",TEXT(AUX!CW$1,"dd-MMM-aa"),"")</f>
      </c>
      <c r="CT416" s="496" t="str">
        <f> IF(CT436&lt;&gt;"",TEXT(AUX!CX$1,"dd-MMM-aa"),"")</f>
      </c>
      <c r="CU416" s="496" t="str">
        <f> IF(CU436&lt;&gt;"",TEXT(AUX!CY$1,"dd-MMM-aa"),"")</f>
      </c>
      <c r="CV416" s="496" t="str">
        <f> IF(CV436&lt;&gt;"",TEXT(AUX!CZ$1,"dd-MMM-aa"),"")</f>
      </c>
      <c r="CW416" s="496" t="str">
        <f> IF(CW436&lt;&gt;"",TEXT(AUX!DA$1,"dd-MMM-aa"),"")</f>
      </c>
      <c r="CX416" s="496" t="str">
        <f> IF(CX436&lt;&gt;"",TEXT(AUX!DB$1,"dd-MMM-aa"),"")</f>
      </c>
      <c r="CY416" s="496" t="str">
        <f> IF(CY436&lt;&gt;"",TEXT(AUX!DC$1,"dd-MMM-aa"),"")</f>
      </c>
      <c r="CZ416" s="496" t="str">
        <f> IF(CZ436&lt;&gt;"",TEXT(AUX!DD$1,"dd-MMM-aa"),"")</f>
      </c>
      <c r="DA416" s="496" t="str">
        <f> IF(DA436&lt;&gt;"",TEXT(AUX!DE$1,"dd-MMM-aa"),"")</f>
      </c>
      <c r="DB416" s="496" t="str">
        <f> IF(DB436&lt;&gt;"",TEXT(AUX!DF$1,"dd-MMM-aa"),"")</f>
      </c>
      <c r="DC416" s="496" t="str">
        <f> IF(DC436&lt;&gt;"",TEXT(AUX!DG$1,"dd-MMM-aa"),"")</f>
      </c>
      <c r="DD416" s="496" t="str">
        <f> IF(DD436&lt;&gt;"",TEXT(AUX!DH$1,"dd-MMM-aa"),"")</f>
      </c>
      <c r="DE416" s="496" t="str">
        <f> IF(DE436&lt;&gt;"",TEXT(AUX!DI$1,"dd-MMM-aa"),"")</f>
      </c>
      <c r="DF416" s="496" t="str">
        <f> IF(DF436&lt;&gt;"",TEXT(AUX!DJ$1,"dd-MMM-aa"),"")</f>
      </c>
      <c r="DG416" s="496" t="str">
        <f> IF(DG436&lt;&gt;"",TEXT(AUX!DK$1,"dd-MMM-aa"),"")</f>
      </c>
      <c r="DH416" s="496" t="str">
        <f> IF(DH436&lt;&gt;"",TEXT(AUX!DL$1,"dd-MMM-aa"),"")</f>
      </c>
      <c r="DI416" s="496" t="str">
        <f> IF(DI436&lt;&gt;"",TEXT(AUX!DM$1,"dd-MMM-aa"),"")</f>
      </c>
      <c r="DJ416" s="496" t="str">
        <f> IF(DJ436&lt;&gt;"",TEXT(AUX!DN$1,"dd-MMM-aa"),"")</f>
      </c>
      <c r="DK416" s="496" t="str">
        <f> IF(DK436&lt;&gt;"",TEXT(AUX!DO$1,"dd-MMM-aa"),"")</f>
      </c>
      <c r="DL416" s="496" t="str">
        <f> IF(DL436&lt;&gt;"",TEXT(AUX!DP$1,"dd-MMM-aa"),"")</f>
      </c>
      <c r="DM416" s="496" t="str">
        <f> IF(DM436&lt;&gt;"",TEXT(AUX!DQ$1,"dd-MMM-aa"),"")</f>
      </c>
      <c r="DN416" s="496" t="str">
        <f> IF(DN436&lt;&gt;"",TEXT(AUX!DR$1,"dd-MMM-aa"),"")</f>
      </c>
      <c r="DO416" s="496" t="str">
        <f> IF(DO436&lt;&gt;"",TEXT(AUX!DS$1,"dd-MMM-aa"),"")</f>
      </c>
      <c r="DP416" s="496" t="str">
        <f> IF(DP436&lt;&gt;"",TEXT(AUX!DT$1,"dd-MMM-aa"),"")</f>
      </c>
      <c r="DQ416" s="496" t="str">
        <f> IF(DQ436&lt;&gt;"",TEXT(AUX!DU$1,"dd-MMM-aa"),"")</f>
      </c>
      <c r="DR416" s="496" t="str">
        <f> IF(DR436&lt;&gt;"",TEXT(AUX!DV$1,"dd-MMM-aa"),"")</f>
      </c>
      <c r="DS416" s="496" t="str">
        <f> IF(DS436&lt;&gt;"",TEXT(AUX!DW$1,"dd-MMM-aa"),"")</f>
      </c>
      <c r="DT416" s="496" t="str">
        <f> IF(DT436&lt;&gt;"",TEXT(AUX!DX$1,"dd-MMM-aa"),"")</f>
      </c>
      <c r="DU416" s="496" t="str">
        <f> IF(DU436&lt;&gt;"",TEXT(AUX!DY$1,"dd-MMM-aa"),"")</f>
      </c>
      <c r="DV416" s="496" t="str">
        <f> IF(DV436&lt;&gt;"",TEXT(AUX!DZ$1,"dd-MMM-aa"),"")</f>
      </c>
      <c r="DW416" s="496" t="str">
        <f> IF(DW436&lt;&gt;"",TEXT(AUX!EA$1,"dd-MMM-aa"),"")</f>
      </c>
      <c r="DX416" s="496" t="str">
        <f> IF(DX436&lt;&gt;"",TEXT(AUX!EB$1,"dd-MMM-aa"),"")</f>
      </c>
      <c r="DY416" s="496" t="str">
        <f> IF(DY436&lt;&gt;"",TEXT(AUX!EC$1,"dd-MMM-aa"),"")</f>
      </c>
      <c r="DZ416" s="496" t="str">
        <f> IF(DZ436&lt;&gt;"",TEXT(AUX!ED$1,"dd-MMM-aa"),"")</f>
      </c>
      <c r="EA416" s="496" t="str">
        <f> IF(EA436&lt;&gt;"",TEXT(AUX!EE$1,"dd-MMM-aa"),"")</f>
      </c>
      <c r="EB416" s="496" t="str">
        <f> IF(EB436&lt;&gt;"",TEXT(AUX!EF$1,"dd-MMM-aa"),"")</f>
      </c>
      <c r="EC416" s="496" t="str">
        <f> IF(EC436&lt;&gt;"",TEXT(AUX!EG$1,"dd-MMM-aa"),"")</f>
      </c>
      <c r="ED416" s="496" t="str">
        <f> IF(ED436&lt;&gt;"",TEXT(AUX!EH$1,"dd-MMM-aa"),"")</f>
      </c>
      <c r="EE416" s="496" t="str">
        <f> IF(EE436&lt;&gt;"",TEXT(AUX!EI$1,"dd-MMM-aa"),"")</f>
      </c>
      <c r="EF416" s="496" t="str">
        <f> IF(EF436&lt;&gt;"",TEXT(AUX!EJ$1,"dd-MMM-aa"),"")</f>
      </c>
      <c r="EG416" s="496" t="str">
        <f> IF(EG436&lt;&gt;"",TEXT(AUX!EK$1,"dd-MMM-aa"),"")</f>
      </c>
      <c r="EH416" s="496" t="str">
        <f> IF(EH436&lt;&gt;"",TEXT(AUX!EL$1,"dd-MMM-aa"),"")</f>
      </c>
      <c r="EI416" s="496" t="str">
        <f> IF(EI436&lt;&gt;"",TEXT(AUX!EM$1,"dd-MMM-aa"),"")</f>
      </c>
      <c r="EJ416" s="496" t="str">
        <f> IF(EJ436&lt;&gt;"",TEXT(AUX!EN$1,"dd-MMM-aa"),"")</f>
      </c>
      <c r="EK416" s="496" t="str">
        <f> IF(EK436&lt;&gt;"",TEXT(AUX!EO$1,"dd-MMM-aa"),"")</f>
      </c>
      <c r="EL416" s="496" t="str">
        <f> IF(EL436&lt;&gt;"",TEXT(AUX!EP$1,"dd-MMM-aa"),"")</f>
      </c>
      <c r="EM416" s="496" t="str">
        <f> IF(EM436&lt;&gt;"",TEXT(AUX!EQ$1,"dd-MMM-aa"),"")</f>
      </c>
      <c r="EN416" s="496" t="str">
        <f> IF(EN436&lt;&gt;"",TEXT(AUX!ER$1,"dd-MMM-aa"),"")</f>
      </c>
      <c r="EO416" s="496" t="str">
        <f> IF(EO436&lt;&gt;"",TEXT(AUX!ES$1,"dd-MMM-aa"),"")</f>
      </c>
      <c r="EP416" s="496" t="str">
        <f> IF(EP436&lt;&gt;"",TEXT(AUX!ET$1,"dd-MMM-aa"),"")</f>
      </c>
      <c r="EQ416" s="496" t="str">
        <f> IF(EQ436&lt;&gt;"",TEXT(AUX!EU$1,"dd-MMM-aa"),"")</f>
      </c>
      <c r="ER416" s="496" t="str">
        <f> IF(ER436&lt;&gt;"",TEXT(AUX!EV$1,"dd-MMM-aa"),"")</f>
      </c>
      <c r="ES416" s="496" t="str">
        <f> IF(ES436&lt;&gt;"",TEXT(AUX!EW$1,"dd-MMM-aa"),"")</f>
      </c>
      <c r="ET416" s="496" t="str">
        <f> IF(ET436&lt;&gt;"",TEXT(AUX!EX$1,"dd-MMM-aa"),"")</f>
      </c>
      <c r="EU416" s="496" t="str">
        <f> IF(EU436&lt;&gt;"",TEXT(AUX!EY$1,"dd-MMM-aa"),"")</f>
      </c>
      <c r="EV416" s="496" t="str">
        <f> IF(EV436&lt;&gt;"",TEXT(AUX!EZ$1,"dd-MMM-aa"),"")</f>
      </c>
      <c r="EW416" s="496" t="str">
        <f> IF(EW436&lt;&gt;"",TEXT(AUX!FA$1,"dd-MMM-aa"),"")</f>
      </c>
      <c r="EX416" s="496" t="str">
        <f> IF(EX436&lt;&gt;"",TEXT(AUX!FB$1,"dd-MMM-aa"),"")</f>
      </c>
      <c r="EY416" s="496" t="str">
        <f> IF(EY436&lt;&gt;"",TEXT(AUX!FC$1,"dd-MMM-aa"),"")</f>
      </c>
      <c r="EZ416" s="496" t="str">
        <f> IF(EZ436&lt;&gt;"",TEXT(AUX!FD$1,"dd-MMM-aa"),"")</f>
      </c>
      <c r="FA416" s="496" t="str">
        <f> IF(FA436&lt;&gt;"",TEXT(AUX!FE$1,"dd-MMM-aa"),"")</f>
      </c>
      <c r="FB416" s="496" t="str">
        <f> IF(FB436&lt;&gt;"",TEXT(AUX!FF$1,"dd-MMM-aa"),"")</f>
      </c>
      <c r="FC416" s="496" t="str">
        <f> IF(FC436&lt;&gt;"",TEXT(AUX!FG$1,"dd-MMM-aa"),"")</f>
      </c>
      <c r="FD416" s="496" t="str">
        <f> IF(FD436&lt;&gt;"",TEXT(AUX!FH$1,"dd-MMM-aa"),"")</f>
      </c>
      <c r="FE416" s="496" t="str">
        <f> IF(FE436&lt;&gt;"",TEXT(AUX!FI$1,"dd-MMM-aa"),"")</f>
      </c>
      <c r="FF416" s="496" t="str">
        <f> IF(FF436&lt;&gt;"",TEXT(AUX!FJ$1,"dd-MMM-aa"),"")</f>
      </c>
      <c r="FG416" s="496" t="str">
        <f> IF(FG436&lt;&gt;"",TEXT(AUX!FK$1,"dd-MMM-aa"),"")</f>
      </c>
      <c r="FH416" s="496" t="str">
        <f> IF(FH436&lt;&gt;"",TEXT(AUX!FL$1,"dd-MMM-aa"),"")</f>
      </c>
      <c r="FI416" s="496" t="str">
        <f> IF(FI436&lt;&gt;"",TEXT(AUX!FM$1,"dd-MMM-aa"),"")</f>
      </c>
      <c r="FJ416" s="496" t="str">
        <f> IF(FJ436&lt;&gt;"",TEXT(AUX!FN$1,"dd-MMM-aa"),"")</f>
      </c>
      <c r="FK416" s="496" t="str">
        <f> IF(FK436&lt;&gt;"",TEXT(AUX!FO$1,"dd-MMM-aa"),"")</f>
      </c>
      <c r="FL416" s="496" t="str">
        <f> IF(FL436&lt;&gt;"",TEXT(AUX!FP$1,"dd-MMM-aa"),"")</f>
      </c>
      <c r="FM416" s="496" t="str">
        <f> IF(FM436&lt;&gt;"",TEXT(AUX!FQ$1,"dd-MMM-aa"),"")</f>
      </c>
      <c r="FN416" s="496" t="str">
        <f> IF(FN436&lt;&gt;"",TEXT(AUX!FR$1,"dd-MMM-aa"),"")</f>
      </c>
      <c r="FO416" s="496" t="str">
        <f> IF(FO436&lt;&gt;"",TEXT(AUX!FS$1,"dd-MMM-aa"),"")</f>
      </c>
      <c r="FP416" s="496" t="str">
        <f> IF(FP436&lt;&gt;"",TEXT(AUX!FT$1,"dd-MMM-aa"),"")</f>
      </c>
      <c r="FQ416" s="496" t="str">
        <f> IF(FQ436&lt;&gt;"",TEXT(AUX!FU$1,"dd-MMM-aa"),"")</f>
      </c>
      <c r="FR416" s="496" t="str">
        <f> IF(FR436&lt;&gt;"",TEXT(AUX!FV$1,"dd-MMM-aa"),"")</f>
      </c>
      <c r="FS416" s="496" t="str">
        <f> IF(FS436&lt;&gt;"",TEXT(AUX!FW$1,"dd-MMM-aa"),"")</f>
      </c>
      <c r="FT416" s="496" t="str">
        <f> IF(FT436&lt;&gt;"",TEXT(AUX!FX$1,"dd-MMM-aa"),"")</f>
      </c>
      <c r="FU416" s="496" t="str">
        <f> IF(FU436&lt;&gt;"",TEXT(AUX!FY$1,"dd-MMM-aa"),"")</f>
      </c>
      <c r="FV416" s="496" t="str">
        <f> IF(FV436&lt;&gt;"",TEXT(AUX!FZ$1,"dd-MMM-aa"),"")</f>
      </c>
      <c r="FW416" s="496" t="str">
        <f> IF(FW436&lt;&gt;"",TEXT(AUX!GA$1,"dd-MMM-aa"),"")</f>
      </c>
      <c r="FX416" s="496" t="str">
        <f> IF(FX436&lt;&gt;"",TEXT(AUX!GB$1,"dd-MMM-aa"),"")</f>
      </c>
      <c r="FY416" s="496" t="str">
        <f> IF(FY436&lt;&gt;"",TEXT(AUX!GC$1,"dd-MMM-aa"),"")</f>
      </c>
      <c r="FZ416" s="496" t="str">
        <f> IF(FZ436&lt;&gt;"",TEXT(AUX!GD$1,"dd-MMM-aa"),"")</f>
      </c>
      <c r="GA416" s="496" t="str">
        <f> IF(GA436&lt;&gt;"",TEXT(AUX!GE$1,"dd-MMM-aa"),"")</f>
      </c>
      <c r="GB416" s="496" t="str">
        <f> IF(GB436&lt;&gt;"",TEXT(AUX!GF$1,"dd-MMM-aa"),"")</f>
      </c>
      <c r="GC416" s="496" t="str">
        <f> IF(GC436&lt;&gt;"",TEXT(AUX!GG$1,"dd-MMM-aa"),"")</f>
      </c>
      <c r="GD416" s="496" t="str">
        <f> IF(GD436&lt;&gt;"",TEXT(AUX!GH$1,"dd-MMM-aa"),"")</f>
      </c>
      <c r="GE416" s="496" t="str">
        <f> IF(GE436&lt;&gt;"",TEXT(AUX!GI$1,"dd-MMM-aa"),"")</f>
      </c>
      <c r="GF416" s="496" t="str">
        <f> IF(GF436&lt;&gt;"",TEXT(AUX!GJ$1,"dd-MMM-aa"),"")</f>
      </c>
      <c r="GG416" s="496" t="str">
        <f> IF(GG436&lt;&gt;"",TEXT(AUX!GK$1,"dd-MMM-aa"),"")</f>
      </c>
      <c r="GH416" s="496" t="str">
        <f> IF(GH436&lt;&gt;"",TEXT(AUX!GL$1,"dd-MMM-aa"),"")</f>
      </c>
      <c r="GI416" s="496" t="str">
        <f> IF(GI436&lt;&gt;"",TEXT(AUX!GM$1,"dd-MMM-aa"),"")</f>
      </c>
      <c r="GJ416" s="496" t="str">
        <f> IF(GJ436&lt;&gt;"",TEXT(AUX!GN$1,"dd-MMM-aa"),"")</f>
      </c>
      <c r="GK416" s="496" t="str">
        <f> IF(GK436&lt;&gt;"",TEXT(AUX!GO$1,"dd-MMM-aa"),"")</f>
      </c>
      <c r="GL416" s="496" t="str">
        <f> IF(GL436&lt;&gt;"",TEXT(AUX!GP$1,"dd-MMM-aa"),"")</f>
      </c>
      <c r="GM416" s="496" t="str">
        <f> IF(GM436&lt;&gt;"",TEXT(AUX!GQ$1,"dd-MMM-aa"),"")</f>
      </c>
      <c r="GN416" s="496" t="str">
        <f> IF(GN436&lt;&gt;"",TEXT(AUX!GR$1,"dd-MMM-aa"),"")</f>
      </c>
      <c r="GO416" s="496" t="str">
        <f> IF(GO436&lt;&gt;"",TEXT(AUX!GS$1,"dd-MMM-aa"),"")</f>
      </c>
      <c r="GP416" s="496" t="str">
        <f> IF(GP436&lt;&gt;"",TEXT(AUX!GT$1,"dd-MMM-aa"),"")</f>
      </c>
      <c r="GQ416" s="496" t="str">
        <f> IF(GQ436&lt;&gt;"",TEXT(AUX!GU$1,"dd-MMM-aa"),"")</f>
      </c>
      <c r="GR416" s="496" t="str">
        <f> IF(GR436&lt;&gt;"",TEXT(AUX!GV$1,"dd-MMM-aa"),"")</f>
      </c>
      <c r="GS416" s="496" t="str">
        <f> IF(GS436&lt;&gt;"",TEXT(AUX!GW$1,"dd-MMM-aa"),"")</f>
      </c>
      <c r="GT416" s="496" t="str">
        <f> IF(GT436&lt;&gt;"",TEXT(AUX!GX$1,"dd-MMM-aa"),"")</f>
      </c>
      <c r="GU416" s="496" t="str">
        <f> IF(GU436&lt;&gt;"",TEXT(AUX!GY$1,"dd-MMM-aa"),"")</f>
      </c>
      <c r="GV416" s="496" t="str">
        <f> IF(GV436&lt;&gt;"",TEXT(AUX!GZ$1,"dd-MMM-aa"),"")</f>
      </c>
      <c r="GW416" s="496" t="str">
        <f> IF(GW436&lt;&gt;"",TEXT(AUX!HA$1,"dd-MMM-aa"),"")</f>
      </c>
      <c r="GX416" s="496" t="str">
        <f> IF(GX436&lt;&gt;"",TEXT(AUX!HB$1,"dd-MMM-aa"),"")</f>
      </c>
      <c r="GY416" s="496" t="str">
        <f> IF(GY436&lt;&gt;"",TEXT(AUX!HC$1,"dd-MMM-aa"),"")</f>
      </c>
      <c r="GZ416" s="496" t="str">
        <f> IF(GZ436&lt;&gt;"",TEXT(AUX!HD$1,"dd-MMM-aa"),"")</f>
      </c>
      <c r="HA416" s="496" t="str">
        <f> IF(HA436&lt;&gt;"",TEXT(AUX!HE$1,"dd-MMM-aa"),"")</f>
      </c>
      <c r="HB416" s="496" t="str">
        <f> IF(HB436&lt;&gt;"",TEXT(AUX!HF$1,"dd-MMM-aa"),"")</f>
      </c>
      <c r="HC416" s="496" t="str">
        <f> IF(HC436&lt;&gt;"",TEXT(AUX!HG$1,"dd-MMM-aa"),"")</f>
      </c>
      <c r="HD416" s="496" t="str">
        <f> IF(HD436&lt;&gt;"",TEXT(AUX!HH$1,"dd-MMM-aa"),"")</f>
      </c>
      <c r="HE416" s="496" t="str">
        <f> IF(HE436&lt;&gt;"",TEXT(AUX!HI$1,"dd-MMM-aa"),"")</f>
      </c>
      <c r="HF416" s="496" t="str">
        <f> IF(HF436&lt;&gt;"",TEXT(AUX!HJ$1,"dd-MMM-aa"),"")</f>
      </c>
      <c r="HG416" s="496" t="str">
        <f> IF(HG436&lt;&gt;"",TEXT(AUX!HK$1,"dd-MMM-aa"),"")</f>
      </c>
      <c r="HH416" s="496" t="str">
        <f> IF(HH436&lt;&gt;"",TEXT(AUX!HL$1,"dd-MMM-aa"),"")</f>
      </c>
      <c r="HI416" s="496" t="str">
        <f> IF(HI436&lt;&gt;"",TEXT(AUX!HM$1,"dd-MMM-aa"),"")</f>
      </c>
      <c r="HJ416" s="496" t="str">
        <f> IF(HJ436&lt;&gt;"",TEXT(AUX!HN$1,"dd-MMM-aa"),"")</f>
      </c>
      <c r="HK416" s="496" t="str">
        <f> IF(HK436&lt;&gt;"",TEXT(AUX!HO$1,"dd-MMM-aa"),"")</f>
      </c>
      <c r="HL416" s="496" t="str">
        <f> IF(HL436&lt;&gt;"",TEXT(AUX!HP$1,"dd-MMM-aa"),"")</f>
      </c>
      <c r="HM416" s="496" t="str">
        <f> IF(HM436&lt;&gt;"",TEXT(AUX!HQ$1,"dd-MMM-aa"),"")</f>
      </c>
      <c r="HN416" s="496" t="str">
        <f> IF(HN436&lt;&gt;"",TEXT(AUX!HR$1,"dd-MMM-aa"),"")</f>
      </c>
      <c r="HO416" s="496" t="str">
        <f> IF(HO436&lt;&gt;"",TEXT(AUX!HS$1,"dd-MMM-aa"),"")</f>
      </c>
      <c r="HP416" s="496" t="str">
        <f> IF(HP436&lt;&gt;"",TEXT(AUX!HT$1,"dd-MMM-aa"),"")</f>
      </c>
      <c r="HQ416" s="496" t="str">
        <f> IF(HQ436&lt;&gt;"",TEXT(AUX!HU$1,"dd-MMM-aa"),"")</f>
      </c>
      <c r="HR416" s="496" t="str">
        <f> IF(HR436&lt;&gt;"",TEXT(AUX!HV$1,"dd-MMM-aa"),"")</f>
      </c>
      <c r="HS416" s="496" t="str">
        <f> IF(HS436&lt;&gt;"",TEXT(AUX!HW$1,"dd-MMM-aa"),"")</f>
      </c>
      <c r="HT416" s="496" t="str">
        <f> IF(HT436&lt;&gt;"",TEXT(AUX!HX$1,"dd-MMM-aa"),"")</f>
      </c>
      <c r="HU416" s="496" t="str">
        <f> IF(HU436&lt;&gt;"",TEXT(AUX!HY$1,"dd-MMM-aa"),"")</f>
      </c>
      <c r="HV416" s="496" t="str">
        <f> IF(HV436&lt;&gt;"",TEXT(AUX!HZ$1,"dd-MMM-aa"),"")</f>
      </c>
      <c r="HW416" s="496" t="str">
        <f> IF(HW436&lt;&gt;"",TEXT(AUX!IA$1,"dd-MMM-aa"),"")</f>
      </c>
      <c r="HX416" s="496" t="str">
        <f> IF(HX436&lt;&gt;"",TEXT(AUX!IB$1,"dd-MMM-aa"),"")</f>
      </c>
      <c r="HY416" s="496" t="str">
        <f> IF(HY436&lt;&gt;"",TEXT(AUX!IC$1,"dd-MMM-aa"),"")</f>
      </c>
      <c r="HZ416" s="496" t="str">
        <f> IF(HZ436&lt;&gt;"",TEXT(AUX!ID$1,"dd-MMM-aa"),"")</f>
      </c>
      <c r="IA416" s="496" t="str">
        <f> IF(IA436&lt;&gt;"",TEXT(AUX!IE$1,"dd-MMM-aa"),"")</f>
      </c>
      <c r="IB416" s="496" t="str">
        <f> IF(IB436&lt;&gt;"",TEXT(AUX!IF$1,"dd-MMM-aa"),"")</f>
      </c>
      <c r="IC416" s="496" t="str">
        <f> IF(IC436&lt;&gt;"",TEXT(AUX!IG$1,"dd-MMM-aa"),"")</f>
      </c>
      <c r="ID416" s="496" t="str">
        <f> IF(ID436&lt;&gt;"",TEXT(AUX!IH$1,"dd-MMM-aa"),"")</f>
      </c>
      <c r="IE416" s="496" t="str">
        <f> IF(IE436&lt;&gt;"",TEXT(AUX!II$1,"dd-MMM-aa"),"")</f>
      </c>
      <c r="IF416" s="496" t="str">
        <f> IF(IF436&lt;&gt;"",TEXT(AUX!IJ$1,"dd-MMM-aa"),"")</f>
      </c>
      <c r="IG416" s="496" t="str">
        <f> IF(IG436&lt;&gt;"",TEXT(AUX!IK$1,"dd-MMM-aa"),"")</f>
      </c>
      <c r="IH416" s="496" t="str">
        <f> IF(IH436&lt;&gt;"",TEXT(AUX!IL$1,"dd-MMM-aa"),"")</f>
      </c>
      <c r="II416" s="496" t="str">
        <f> IF(II436&lt;&gt;"",TEXT(AUX!IM$1,"dd-MMM-aa"),"")</f>
      </c>
      <c r="IJ416" s="496" t="str">
        <f> IF(IJ436&lt;&gt;"",TEXT(AUX!IN$1,"dd-MMM-aa"),"")</f>
      </c>
      <c r="IK416" s="496" t="str">
        <f> IF(IK436&lt;&gt;"",TEXT(AUX!IO$1,"dd-MMM-aa"),"")</f>
      </c>
      <c r="IL416" s="496" t="str">
        <f> IF(IL436&lt;&gt;"",TEXT(AUX!IP$1,"dd-MMM-aa"),"")</f>
      </c>
      <c r="IM416" s="496" t="str">
        <f> IF(IM436&lt;&gt;"",TEXT(AUX!IQ$1,"dd-MMM-aa"),"")</f>
      </c>
      <c r="IN416" s="496" t="str">
        <f> IF(IN436&lt;&gt;"",TEXT(AUX!IR$1,"dd-MMM-aa"),"")</f>
      </c>
      <c r="IO416" s="496" t="str">
        <f> IF(IO436&lt;&gt;"",TEXT(AUX!IS$1,"dd-MMM-aa"),"")</f>
      </c>
      <c r="IP416" s="496" t="str">
        <f> IF(IP436&lt;&gt;"",TEXT(AUX!IT$1,"dd-MMM-aa"),"")</f>
      </c>
      <c r="IQ416" s="496" t="str">
        <f> IF(IQ436&lt;&gt;"",TEXT(AUX!IU$1,"dd-MMM-aa"),"")</f>
      </c>
      <c r="IR416" s="496" t="str">
        <f> IF(IR436&lt;&gt;"",TEXT(AUX!IV$1,"dd-MMM-aa"),"")</f>
      </c>
      <c r="IS416" s="496" t="str">
        <f> IF(IS436&lt;&gt;"",TEXT(AUX!#REF!,"dd-MMM-aa"),"")</f>
      </c>
      <c r="IT416" s="496" t="str">
        <f> IF(IT436&lt;&gt;"",TEXT(AUX!#REF!,"dd-MMM-aa"),"")</f>
      </c>
      <c r="IU416" s="496" t="str">
        <f> IF(IU436&lt;&gt;"",TEXT(AUX!#REF!,"dd-MMM-aa"),"")</f>
      </c>
      <c r="IV416" s="496" t="str">
        <f> IF(IV436&lt;&gt;"",TEXT(AUX!#REF!,"dd-MMM-aa"),"")</f>
      </c>
    </row>
    <row r="417" hidden="1" ht="15.95" customHeight="1">
      <c r="B417" s="833" t="s">
        <v>8</v>
      </c>
      <c r="C417" s="827">
        <v>14484</v>
      </c>
      <c r="D417" s="827">
        <v>14576</v>
      </c>
      <c r="E417" s="827">
        <v>14534</v>
      </c>
      <c r="F417" s="827">
        <v>14649</v>
      </c>
      <c r="G417" s="827">
        <v>12680</v>
      </c>
      <c r="H417" s="827">
        <v>12746</v>
      </c>
      <c r="I417" s="827">
        <v>12702</v>
      </c>
      <c r="J417" s="827">
        <v>12478</v>
      </c>
      <c r="K417" s="827">
        <v>12341</v>
      </c>
      <c r="L417" s="827">
        <v>12211</v>
      </c>
      <c r="M417" s="827">
        <v>12068</v>
      </c>
      <c r="N417" s="827">
        <v>12128</v>
      </c>
      <c r="O417" s="827">
        <v>12017</v>
      </c>
      <c r="P417" s="827">
        <v>11981</v>
      </c>
      <c r="Q417" s="827">
        <v>12137</v>
      </c>
      <c r="R417" s="827">
        <v>12294</v>
      </c>
      <c r="S417" s="827">
        <v>12382</v>
      </c>
      <c r="T417" s="827">
        <v>12480</v>
      </c>
      <c r="U417" s="827">
        <v>12569</v>
      </c>
      <c r="V417" s="827">
        <v>12654</v>
      </c>
      <c r="W417" s="827">
        <v>12585</v>
      </c>
      <c r="X417" s="827">
        <v>12491</v>
      </c>
      <c r="Y417" s="827">
        <v>12368</v>
      </c>
      <c r="Z417" s="827">
        <v>12410</v>
      </c>
      <c r="AA417" s="827">
        <v>12236</v>
      </c>
      <c r="AB417" s="834">
        <v>12252</v>
      </c>
      <c r="AC417" s="828">
        <v>12021</v>
      </c>
      <c r="AD417" s="828">
        <v>12088</v>
      </c>
      <c r="AE417" s="828">
        <v>12103</v>
      </c>
      <c r="AF417" s="828">
        <v>12057</v>
      </c>
      <c r="AG417" s="828">
        <v>12091</v>
      </c>
      <c r="AH417" s="828">
        <v>12059</v>
      </c>
      <c r="AI417" s="828">
        <v>11699</v>
      </c>
      <c r="AJ417" s="828">
        <v>11645</v>
      </c>
      <c r="AK417" s="828">
        <v>11507</v>
      </c>
      <c r="AL417" s="828">
        <v>11452</v>
      </c>
      <c r="AM417" s="828">
        <v>10112</v>
      </c>
      <c r="AN417" s="828">
        <v>9960</v>
      </c>
      <c r="AO417" s="828">
        <v>9827</v>
      </c>
      <c r="AP417" s="828">
        <v>9848</v>
      </c>
    </row>
    <row r="418" hidden="1" ht="15.95" customHeight="1">
      <c r="B418" s="829" t="s">
        <v>9</v>
      </c>
      <c r="C418" s="823">
        <v>4014</v>
      </c>
      <c r="D418" s="823">
        <v>4009</v>
      </c>
      <c r="E418" s="823">
        <v>4019</v>
      </c>
      <c r="F418" s="823">
        <v>4067</v>
      </c>
      <c r="G418" s="823">
        <v>4095</v>
      </c>
      <c r="H418" s="823">
        <v>4091</v>
      </c>
      <c r="I418" s="823">
        <v>4052</v>
      </c>
      <c r="J418" s="823">
        <v>4077</v>
      </c>
      <c r="K418" s="823">
        <v>4052</v>
      </c>
      <c r="L418" s="823">
        <v>4059</v>
      </c>
      <c r="M418" s="823">
        <v>3986</v>
      </c>
      <c r="N418" s="823">
        <v>3980</v>
      </c>
      <c r="O418" s="823">
        <v>3842</v>
      </c>
      <c r="P418" s="823">
        <v>3881</v>
      </c>
      <c r="Q418" s="823">
        <v>3894</v>
      </c>
      <c r="R418" s="823">
        <v>3884</v>
      </c>
      <c r="S418" s="823">
        <v>3913</v>
      </c>
      <c r="T418" s="823">
        <v>3976</v>
      </c>
      <c r="U418" s="823">
        <v>4032</v>
      </c>
      <c r="V418" s="823">
        <v>4094</v>
      </c>
      <c r="W418" s="823">
        <v>4165</v>
      </c>
      <c r="X418" s="823">
        <v>4212</v>
      </c>
      <c r="Y418" s="823">
        <v>4260</v>
      </c>
      <c r="Z418" s="823">
        <v>4310</v>
      </c>
      <c r="AA418" s="823">
        <v>4354</v>
      </c>
      <c r="AB418" s="823">
        <v>4423</v>
      </c>
      <c r="AC418" s="825">
        <v>4472</v>
      </c>
      <c r="AD418" s="825">
        <v>4538</v>
      </c>
      <c r="AE418" s="825">
        <v>4574</v>
      </c>
      <c r="AF418" s="825">
        <v>4628</v>
      </c>
      <c r="AG418" s="825">
        <v>4654</v>
      </c>
      <c r="AH418" s="825">
        <v>4693</v>
      </c>
      <c r="AI418" s="825">
        <v>4731</v>
      </c>
      <c r="AJ418" s="825">
        <v>4572</v>
      </c>
      <c r="AK418" s="825">
        <v>4591</v>
      </c>
      <c r="AL418" s="825">
        <v>4613</v>
      </c>
      <c r="AM418" s="825">
        <v>4598</v>
      </c>
      <c r="AN418" s="825">
        <v>4607</v>
      </c>
      <c r="AO418" s="825">
        <v>4612</v>
      </c>
      <c r="AP418" s="825">
        <v>4628</v>
      </c>
    </row>
    <row r="419" hidden="1" ht="15.95" customHeight="1">
      <c r="B419" s="826" t="s">
        <v>10</v>
      </c>
      <c r="C419" s="827">
        <v>1062</v>
      </c>
      <c r="D419" s="827">
        <v>1169</v>
      </c>
      <c r="E419" s="827">
        <v>1212</v>
      </c>
      <c r="F419" s="827">
        <v>1320</v>
      </c>
      <c r="G419" s="827">
        <v>1324</v>
      </c>
      <c r="H419" s="827">
        <v>1462</v>
      </c>
      <c r="I419" s="827">
        <v>1497</v>
      </c>
      <c r="J419" s="827">
        <v>1522</v>
      </c>
      <c r="K419" s="827">
        <v>1485</v>
      </c>
      <c r="L419" s="827">
        <v>1520</v>
      </c>
      <c r="M419" s="827">
        <v>1483</v>
      </c>
      <c r="N419" s="827">
        <v>1451</v>
      </c>
      <c r="O419" s="827">
        <v>1525</v>
      </c>
      <c r="P419" s="827">
        <v>1569</v>
      </c>
      <c r="Q419" s="827">
        <v>1560</v>
      </c>
      <c r="R419" s="827">
        <v>1592</v>
      </c>
      <c r="S419" s="827">
        <v>1611</v>
      </c>
      <c r="T419" s="827">
        <v>1627</v>
      </c>
      <c r="U419" s="827">
        <v>1620</v>
      </c>
      <c r="V419" s="827">
        <v>1594</v>
      </c>
      <c r="W419" s="827">
        <v>1633</v>
      </c>
      <c r="X419" s="827">
        <v>1650</v>
      </c>
      <c r="Y419" s="827">
        <v>1668</v>
      </c>
      <c r="Z419" s="827">
        <v>1639</v>
      </c>
      <c r="AA419" s="827">
        <v>1667</v>
      </c>
      <c r="AB419" s="827">
        <v>1661</v>
      </c>
      <c r="AC419" s="828">
        <v>1855</v>
      </c>
      <c r="AD419" s="828">
        <v>2053</v>
      </c>
      <c r="AE419" s="828">
        <v>2511</v>
      </c>
      <c r="AF419" s="828">
        <v>2982</v>
      </c>
      <c r="AG419" s="828">
        <v>3218</v>
      </c>
      <c r="AH419" s="828">
        <v>3280</v>
      </c>
      <c r="AI419" s="828">
        <v>3341</v>
      </c>
      <c r="AJ419" s="828">
        <v>3298</v>
      </c>
      <c r="AK419" s="828">
        <v>3686</v>
      </c>
      <c r="AL419" s="828">
        <v>3687</v>
      </c>
      <c r="AM419" s="828">
        <v>3721</v>
      </c>
      <c r="AN419" s="828">
        <v>3750</v>
      </c>
      <c r="AO419" s="828">
        <v>3774</v>
      </c>
      <c r="AP419" s="828">
        <v>3756</v>
      </c>
    </row>
    <row r="420" hidden="1" ht="15.95" customHeight="1">
      <c r="B420" s="829" t="s">
        <v>11</v>
      </c>
      <c r="C420" s="823">
        <v>3155</v>
      </c>
      <c r="D420" s="823">
        <v>2741</v>
      </c>
      <c r="E420" s="823">
        <v>2730</v>
      </c>
      <c r="F420" s="823">
        <v>2725</v>
      </c>
      <c r="G420" s="823">
        <v>2606</v>
      </c>
      <c r="H420" s="823">
        <v>2479</v>
      </c>
      <c r="I420" s="823">
        <v>2499</v>
      </c>
      <c r="J420" s="823">
        <v>2366</v>
      </c>
      <c r="K420" s="823">
        <v>2389</v>
      </c>
      <c r="L420" s="823">
        <v>2379</v>
      </c>
      <c r="M420" s="823">
        <v>2467</v>
      </c>
      <c r="N420" s="823">
        <v>2516</v>
      </c>
      <c r="O420" s="823">
        <v>2558</v>
      </c>
      <c r="P420" s="823">
        <v>2581</v>
      </c>
      <c r="Q420" s="823">
        <v>2599</v>
      </c>
      <c r="R420" s="823">
        <v>2630</v>
      </c>
      <c r="S420" s="823">
        <v>2680</v>
      </c>
      <c r="T420" s="823">
        <v>2707</v>
      </c>
      <c r="U420" s="823">
        <v>2698</v>
      </c>
      <c r="V420" s="823">
        <v>2726</v>
      </c>
      <c r="W420" s="823">
        <v>2674</v>
      </c>
      <c r="X420" s="823">
        <v>2692</v>
      </c>
      <c r="Y420" s="823">
        <v>2600</v>
      </c>
      <c r="Z420" s="823">
        <v>2622</v>
      </c>
      <c r="AA420" s="823">
        <v>2549</v>
      </c>
      <c r="AB420" s="823">
        <v>2572</v>
      </c>
      <c r="AC420" s="825">
        <v>2589</v>
      </c>
      <c r="AD420" s="825">
        <v>2594</v>
      </c>
      <c r="AE420" s="825">
        <v>2602</v>
      </c>
      <c r="AF420" s="825">
        <v>2628</v>
      </c>
      <c r="AG420" s="825">
        <v>2414</v>
      </c>
      <c r="AH420" s="825">
        <v>2478</v>
      </c>
      <c r="AI420" s="825">
        <v>2506</v>
      </c>
      <c r="AJ420" s="825">
        <v>2540</v>
      </c>
      <c r="AK420" s="825">
        <v>2564</v>
      </c>
      <c r="AL420" s="825">
        <v>2598</v>
      </c>
      <c r="AM420" s="825">
        <v>2476</v>
      </c>
      <c r="AN420" s="825">
        <v>2379</v>
      </c>
      <c r="AO420" s="825">
        <v>2322</v>
      </c>
      <c r="AP420" s="825">
        <v>2296</v>
      </c>
    </row>
    <row r="421" hidden="1" ht="15.95" customHeight="1">
      <c r="B421" s="826" t="s">
        <v>12</v>
      </c>
      <c r="C421" s="827">
        <v>903</v>
      </c>
      <c r="D421" s="827">
        <v>792</v>
      </c>
      <c r="E421" s="827">
        <v>962</v>
      </c>
      <c r="F421" s="827">
        <v>928</v>
      </c>
      <c r="G421" s="827">
        <v>885</v>
      </c>
      <c r="H421" s="827">
        <v>870</v>
      </c>
      <c r="I421" s="827">
        <v>857</v>
      </c>
      <c r="J421" s="827">
        <v>885</v>
      </c>
      <c r="K421" s="827">
        <v>874</v>
      </c>
      <c r="L421" s="827">
        <v>842</v>
      </c>
      <c r="M421" s="827">
        <v>824</v>
      </c>
      <c r="N421" s="827">
        <v>810</v>
      </c>
      <c r="O421" s="827">
        <v>766</v>
      </c>
      <c r="P421" s="827">
        <v>777</v>
      </c>
      <c r="Q421" s="827">
        <v>766</v>
      </c>
      <c r="R421" s="827">
        <v>751</v>
      </c>
      <c r="S421" s="827">
        <v>755</v>
      </c>
      <c r="T421" s="827">
        <v>749</v>
      </c>
      <c r="U421" s="827">
        <v>720</v>
      </c>
      <c r="V421" s="827">
        <v>697</v>
      </c>
      <c r="W421" s="827">
        <v>672</v>
      </c>
      <c r="X421" s="827">
        <v>658</v>
      </c>
      <c r="Y421" s="827">
        <v>619</v>
      </c>
      <c r="Z421" s="827">
        <v>591</v>
      </c>
      <c r="AA421" s="827">
        <v>564</v>
      </c>
      <c r="AB421" s="827">
        <v>572</v>
      </c>
      <c r="AC421" s="828">
        <v>558</v>
      </c>
      <c r="AD421" s="828">
        <v>550</v>
      </c>
      <c r="AE421" s="828">
        <v>535</v>
      </c>
      <c r="AF421" s="828">
        <v>529</v>
      </c>
      <c r="AG421" s="828">
        <v>511</v>
      </c>
      <c r="AH421" s="828">
        <v>481</v>
      </c>
      <c r="AI421" s="828">
        <v>470</v>
      </c>
      <c r="AJ421" s="828">
        <v>456</v>
      </c>
      <c r="AK421" s="828">
        <v>449</v>
      </c>
      <c r="AL421" s="828">
        <v>447</v>
      </c>
      <c r="AM421" s="828">
        <v>427</v>
      </c>
      <c r="AN421" s="828">
        <v>396</v>
      </c>
      <c r="AO421" s="828">
        <v>382</v>
      </c>
      <c r="AP421" s="828">
        <v>378</v>
      </c>
    </row>
    <row r="422" hidden="1" ht="15.95" customHeight="1">
      <c r="B422" s="829" t="s">
        <v>13</v>
      </c>
      <c r="C422" s="823">
        <v>295</v>
      </c>
      <c r="D422" s="823">
        <v>231</v>
      </c>
      <c r="E422" s="823">
        <v>302</v>
      </c>
      <c r="F422" s="823">
        <v>370</v>
      </c>
      <c r="G422" s="823">
        <v>489</v>
      </c>
      <c r="H422" s="823">
        <v>565</v>
      </c>
      <c r="I422" s="823">
        <v>635</v>
      </c>
      <c r="J422" s="823">
        <v>674</v>
      </c>
      <c r="K422" s="823">
        <v>724</v>
      </c>
      <c r="L422" s="823">
        <v>674</v>
      </c>
      <c r="M422" s="823">
        <v>803</v>
      </c>
      <c r="N422" s="823">
        <v>811</v>
      </c>
      <c r="O422" s="823">
        <v>584</v>
      </c>
      <c r="P422" s="823">
        <v>559</v>
      </c>
      <c r="Q422" s="823">
        <v>633</v>
      </c>
      <c r="R422" s="823">
        <v>684</v>
      </c>
      <c r="S422" s="823">
        <v>811</v>
      </c>
      <c r="T422" s="823">
        <v>842</v>
      </c>
      <c r="U422" s="823">
        <v>903</v>
      </c>
      <c r="V422" s="823">
        <v>944</v>
      </c>
      <c r="W422" s="823">
        <v>969</v>
      </c>
      <c r="X422" s="823">
        <v>991</v>
      </c>
      <c r="Y422" s="823">
        <v>1027</v>
      </c>
      <c r="Z422" s="823">
        <v>1035</v>
      </c>
      <c r="AA422" s="823">
        <v>1057</v>
      </c>
      <c r="AB422" s="823">
        <v>1060</v>
      </c>
      <c r="AC422" s="825">
        <v>1067</v>
      </c>
      <c r="AD422" s="825">
        <v>1081</v>
      </c>
      <c r="AE422" s="825">
        <v>1091</v>
      </c>
      <c r="AF422" s="825">
        <v>1109</v>
      </c>
      <c r="AG422" s="825">
        <v>1137</v>
      </c>
      <c r="AH422" s="825">
        <v>1143</v>
      </c>
      <c r="AI422" s="825">
        <v>1144</v>
      </c>
      <c r="AJ422" s="825">
        <v>1148</v>
      </c>
      <c r="AK422" s="825">
        <v>1162</v>
      </c>
      <c r="AL422" s="825">
        <v>1169</v>
      </c>
      <c r="AM422" s="825">
        <v>1174</v>
      </c>
      <c r="AN422" s="825">
        <v>1168</v>
      </c>
      <c r="AO422" s="825">
        <v>1157</v>
      </c>
      <c r="AP422" s="825">
        <v>1169</v>
      </c>
    </row>
    <row r="423" hidden="1" ht="15.95" customHeight="1">
      <c r="B423" s="826" t="s">
        <v>109</v>
      </c>
      <c r="C423" s="827">
        <v>2314</v>
      </c>
      <c r="D423" s="827">
        <v>2113</v>
      </c>
      <c r="E423" s="827">
        <v>2044</v>
      </c>
      <c r="F423" s="827">
        <v>2004</v>
      </c>
      <c r="G423" s="827">
        <v>1949</v>
      </c>
      <c r="H423" s="827">
        <v>1934</v>
      </c>
      <c r="I423" s="827">
        <v>1921</v>
      </c>
      <c r="J423" s="827">
        <v>1884</v>
      </c>
      <c r="K423" s="827">
        <v>1867</v>
      </c>
      <c r="L423" s="827">
        <v>1775</v>
      </c>
      <c r="M423" s="827">
        <v>1717</v>
      </c>
      <c r="N423" s="827">
        <v>1684</v>
      </c>
      <c r="O423" s="827">
        <v>1631</v>
      </c>
      <c r="P423" s="827">
        <v>1627</v>
      </c>
      <c r="Q423" s="827">
        <v>1616</v>
      </c>
      <c r="R423" s="827">
        <v>1615</v>
      </c>
      <c r="S423" s="827">
        <v>1626</v>
      </c>
      <c r="T423" s="827">
        <v>1652</v>
      </c>
      <c r="U423" s="827">
        <v>1645</v>
      </c>
      <c r="V423" s="827">
        <v>1636</v>
      </c>
      <c r="W423" s="827">
        <v>1517</v>
      </c>
      <c r="X423" s="827">
        <v>1514</v>
      </c>
      <c r="Y423" s="827">
        <v>1512</v>
      </c>
      <c r="Z423" s="827">
        <v>1527</v>
      </c>
      <c r="AA423" s="827">
        <v>1478</v>
      </c>
      <c r="AB423" s="827">
        <v>1530</v>
      </c>
      <c r="AC423" s="828">
        <v>1505</v>
      </c>
      <c r="AD423" s="828">
        <v>1506</v>
      </c>
      <c r="AE423" s="828">
        <v>1483</v>
      </c>
      <c r="AF423" s="828">
        <v>1490</v>
      </c>
      <c r="AG423" s="828">
        <v>1479</v>
      </c>
      <c r="AH423" s="828">
        <v>1490</v>
      </c>
      <c r="AI423" s="828">
        <v>1478</v>
      </c>
      <c r="AJ423" s="828">
        <v>1436</v>
      </c>
      <c r="AK423" s="828">
        <v>1421</v>
      </c>
      <c r="AL423" s="828">
        <v>1385</v>
      </c>
      <c r="AM423" s="828">
        <v>1365</v>
      </c>
      <c r="AN423" s="828">
        <v>1367</v>
      </c>
      <c r="AO423" s="828">
        <v>1344</v>
      </c>
      <c r="AP423" s="828">
        <v>1343</v>
      </c>
    </row>
    <row r="424" hidden="1" ht="15.95" customHeight="1">
      <c r="B424" s="829" t="s">
        <v>110</v>
      </c>
      <c r="C424" s="823">
        <v>17629</v>
      </c>
      <c r="D424" s="823">
        <v>17889</v>
      </c>
      <c r="E424" s="823">
        <v>17817</v>
      </c>
      <c r="F424" s="823">
        <v>17960</v>
      </c>
      <c r="G424" s="823">
        <v>17752</v>
      </c>
      <c r="H424" s="823">
        <v>16685</v>
      </c>
      <c r="I424" s="823">
        <v>14721</v>
      </c>
      <c r="J424" s="823">
        <v>14937</v>
      </c>
      <c r="K424" s="823">
        <v>14803</v>
      </c>
      <c r="L424" s="823">
        <v>14629</v>
      </c>
      <c r="M424" s="823">
        <v>14424</v>
      </c>
      <c r="N424" s="823">
        <v>13293</v>
      </c>
      <c r="O424" s="823">
        <v>11289</v>
      </c>
      <c r="P424" s="823">
        <v>10876</v>
      </c>
      <c r="Q424" s="823">
        <v>10888</v>
      </c>
      <c r="R424" s="823">
        <v>10759</v>
      </c>
      <c r="S424" s="823">
        <v>10789</v>
      </c>
      <c r="T424" s="823">
        <v>10764</v>
      </c>
      <c r="U424" s="823">
        <v>10803</v>
      </c>
      <c r="V424" s="823">
        <v>10686</v>
      </c>
      <c r="W424" s="823">
        <v>10318</v>
      </c>
      <c r="X424" s="823">
        <v>10216</v>
      </c>
      <c r="Y424" s="823">
        <v>9998</v>
      </c>
      <c r="Z424" s="823">
        <v>9847</v>
      </c>
      <c r="AA424" s="823">
        <v>9602</v>
      </c>
      <c r="AB424" s="823">
        <v>9593</v>
      </c>
      <c r="AC424" s="825">
        <v>9048</v>
      </c>
      <c r="AD424" s="825">
        <v>8972</v>
      </c>
      <c r="AE424" s="825">
        <v>8869</v>
      </c>
      <c r="AF424" s="825">
        <v>8788</v>
      </c>
      <c r="AG424" s="825">
        <v>8536</v>
      </c>
      <c r="AH424" s="825">
        <v>8545</v>
      </c>
      <c r="AI424" s="825">
        <v>8326</v>
      </c>
      <c r="AJ424" s="825">
        <v>8218</v>
      </c>
      <c r="AK424" s="825">
        <v>8155</v>
      </c>
      <c r="AL424" s="825">
        <v>7921</v>
      </c>
      <c r="AM424" s="825">
        <v>7692</v>
      </c>
      <c r="AN424" s="825">
        <v>7638</v>
      </c>
      <c r="AO424" s="825">
        <v>7215</v>
      </c>
      <c r="AP424" s="825">
        <v>7187</v>
      </c>
    </row>
    <row r="425" hidden="1" ht="15.95" customHeight="1">
      <c r="B425" s="826" t="s">
        <v>16</v>
      </c>
      <c r="C425" s="827">
        <v>7704</v>
      </c>
      <c r="D425" s="827">
        <v>7625</v>
      </c>
      <c r="E425" s="827">
        <v>7473</v>
      </c>
      <c r="F425" s="827">
        <v>7411</v>
      </c>
      <c r="G425" s="827">
        <v>6910</v>
      </c>
      <c r="H425" s="827">
        <v>6835</v>
      </c>
      <c r="I425" s="827">
        <v>6738</v>
      </c>
      <c r="J425" s="827">
        <v>6660</v>
      </c>
      <c r="K425" s="827">
        <v>6626</v>
      </c>
      <c r="L425" s="827">
        <v>6595</v>
      </c>
      <c r="M425" s="827">
        <v>6513</v>
      </c>
      <c r="N425" s="827">
        <v>6363</v>
      </c>
      <c r="O425" s="827">
        <v>6146</v>
      </c>
      <c r="P425" s="827">
        <v>6119</v>
      </c>
      <c r="Q425" s="827">
        <v>6087</v>
      </c>
      <c r="R425" s="827">
        <v>6067</v>
      </c>
      <c r="S425" s="827">
        <v>6053</v>
      </c>
      <c r="T425" s="827">
        <v>6063</v>
      </c>
      <c r="U425" s="827">
        <v>6075</v>
      </c>
      <c r="V425" s="827">
        <v>6080</v>
      </c>
      <c r="W425" s="827">
        <v>6064</v>
      </c>
      <c r="X425" s="827">
        <v>6070</v>
      </c>
      <c r="Y425" s="827">
        <v>6073</v>
      </c>
      <c r="Z425" s="827">
        <v>6093</v>
      </c>
      <c r="AA425" s="827">
        <v>6094</v>
      </c>
      <c r="AB425" s="827">
        <v>6082</v>
      </c>
      <c r="AC425" s="828">
        <v>6061</v>
      </c>
      <c r="AD425" s="828">
        <v>6055</v>
      </c>
      <c r="AE425" s="828">
        <v>6048</v>
      </c>
      <c r="AF425" s="828">
        <v>6056</v>
      </c>
      <c r="AG425" s="828">
        <v>6026</v>
      </c>
      <c r="AH425" s="828">
        <v>6005</v>
      </c>
      <c r="AI425" s="828">
        <v>5927</v>
      </c>
      <c r="AJ425" s="828">
        <v>5932</v>
      </c>
      <c r="AK425" s="828">
        <v>5907</v>
      </c>
      <c r="AL425" s="828">
        <v>5874</v>
      </c>
      <c r="AM425" s="828">
        <v>5824</v>
      </c>
      <c r="AN425" s="828">
        <v>5783</v>
      </c>
      <c r="AO425" s="828">
        <v>5751</v>
      </c>
      <c r="AP425" s="828">
        <v>5736</v>
      </c>
    </row>
    <row r="426" hidden="1" ht="15.95" customHeight="1">
      <c r="B426" s="829" t="s">
        <v>17</v>
      </c>
      <c r="C426" s="823">
        <v>13624</v>
      </c>
      <c r="D426" s="823">
        <v>14185</v>
      </c>
      <c r="E426" s="823">
        <v>14353</v>
      </c>
      <c r="F426" s="823">
        <v>14825</v>
      </c>
      <c r="G426" s="823">
        <v>14801</v>
      </c>
      <c r="H426" s="823">
        <v>14852</v>
      </c>
      <c r="I426" s="823">
        <v>14805</v>
      </c>
      <c r="J426" s="823">
        <v>14812</v>
      </c>
      <c r="K426" s="823">
        <v>14616</v>
      </c>
      <c r="L426" s="823">
        <v>14556</v>
      </c>
      <c r="M426" s="823">
        <v>14458</v>
      </c>
      <c r="N426" s="823">
        <v>14367</v>
      </c>
      <c r="O426" s="823">
        <v>13844</v>
      </c>
      <c r="P426" s="823">
        <v>14348</v>
      </c>
      <c r="Q426" s="823">
        <v>13362</v>
      </c>
      <c r="R426" s="823">
        <v>13406</v>
      </c>
      <c r="S426" s="823">
        <v>13397</v>
      </c>
      <c r="T426" s="823">
        <v>13432</v>
      </c>
      <c r="U426" s="823">
        <v>13501</v>
      </c>
      <c r="V426" s="823">
        <v>13635</v>
      </c>
      <c r="W426" s="823">
        <v>13238</v>
      </c>
      <c r="X426" s="823">
        <v>13188</v>
      </c>
      <c r="Y426" s="823">
        <v>13185</v>
      </c>
      <c r="Z426" s="823">
        <v>13322</v>
      </c>
      <c r="AA426" s="823">
        <v>13317</v>
      </c>
      <c r="AB426" s="823">
        <v>13366</v>
      </c>
      <c r="AC426" s="825">
        <v>13329</v>
      </c>
      <c r="AD426" s="825">
        <v>13406</v>
      </c>
      <c r="AE426" s="825">
        <v>13400</v>
      </c>
      <c r="AF426" s="825">
        <v>13390</v>
      </c>
      <c r="AG426" s="825">
        <v>13338</v>
      </c>
      <c r="AH426" s="825">
        <v>13318</v>
      </c>
      <c r="AI426" s="825">
        <v>13279</v>
      </c>
      <c r="AJ426" s="825">
        <v>13290</v>
      </c>
      <c r="AK426" s="825">
        <v>13208</v>
      </c>
      <c r="AL426" s="825">
        <v>13192</v>
      </c>
      <c r="AM426" s="825">
        <v>13130</v>
      </c>
      <c r="AN426" s="825">
        <v>13042</v>
      </c>
      <c r="AO426" s="825">
        <v>12790</v>
      </c>
      <c r="AP426" s="825">
        <v>12746</v>
      </c>
    </row>
    <row r="427" hidden="1" ht="15.95" customHeight="1">
      <c r="B427" s="826" t="s">
        <v>18</v>
      </c>
      <c r="C427" s="827">
        <v>26703</v>
      </c>
      <c r="D427" s="827">
        <v>27832</v>
      </c>
      <c r="E427" s="827">
        <v>27708</v>
      </c>
      <c r="F427" s="827">
        <v>28003</v>
      </c>
      <c r="G427" s="827">
        <v>28423</v>
      </c>
      <c r="H427" s="827">
        <v>28897</v>
      </c>
      <c r="I427" s="827">
        <v>29050</v>
      </c>
      <c r="J427" s="827">
        <v>29290</v>
      </c>
      <c r="K427" s="827">
        <v>29422</v>
      </c>
      <c r="L427" s="827">
        <v>29521</v>
      </c>
      <c r="M427" s="827">
        <v>29813</v>
      </c>
      <c r="N427" s="827">
        <v>30091</v>
      </c>
      <c r="O427" s="827">
        <v>29818</v>
      </c>
      <c r="P427" s="827">
        <v>28140</v>
      </c>
      <c r="Q427" s="827">
        <v>27304</v>
      </c>
      <c r="R427" s="827">
        <v>27177</v>
      </c>
      <c r="S427" s="827">
        <v>27327</v>
      </c>
      <c r="T427" s="827">
        <v>27573</v>
      </c>
      <c r="U427" s="827">
        <v>27733</v>
      </c>
      <c r="V427" s="827">
        <v>27913</v>
      </c>
      <c r="W427" s="827">
        <v>28015</v>
      </c>
      <c r="X427" s="827">
        <v>28177</v>
      </c>
      <c r="Y427" s="827">
        <v>28241</v>
      </c>
      <c r="Z427" s="827">
        <v>28362</v>
      </c>
      <c r="AA427" s="827">
        <v>28487</v>
      </c>
      <c r="AB427" s="827">
        <v>28517</v>
      </c>
      <c r="AC427" s="828">
        <v>28561</v>
      </c>
      <c r="AD427" s="828">
        <v>28755</v>
      </c>
      <c r="AE427" s="828">
        <v>29747</v>
      </c>
      <c r="AF427" s="828">
        <v>29938</v>
      </c>
      <c r="AG427" s="828">
        <v>29784</v>
      </c>
      <c r="AH427" s="828">
        <v>29318</v>
      </c>
      <c r="AI427" s="828">
        <v>28854</v>
      </c>
      <c r="AJ427" s="828">
        <v>28522</v>
      </c>
      <c r="AK427" s="828">
        <v>28267</v>
      </c>
      <c r="AL427" s="828">
        <v>28431</v>
      </c>
      <c r="AM427" s="828">
        <v>28993</v>
      </c>
      <c r="AN427" s="828">
        <v>29264</v>
      </c>
      <c r="AO427" s="828">
        <v>29324</v>
      </c>
      <c r="AP427" s="828">
        <v>29757</v>
      </c>
    </row>
    <row r="428" hidden="1" ht="15.95" customHeight="1">
      <c r="B428" s="829" t="s">
        <v>19</v>
      </c>
      <c r="C428" s="823">
        <v>157</v>
      </c>
      <c r="D428" s="823">
        <v>144</v>
      </c>
      <c r="E428" s="823">
        <v>143</v>
      </c>
      <c r="F428" s="823">
        <v>147</v>
      </c>
      <c r="G428" s="823">
        <v>152</v>
      </c>
      <c r="H428" s="823">
        <v>162</v>
      </c>
      <c r="I428" s="823">
        <v>128</v>
      </c>
      <c r="J428" s="823">
        <v>132</v>
      </c>
      <c r="K428" s="823">
        <v>136</v>
      </c>
      <c r="L428" s="823">
        <v>133</v>
      </c>
      <c r="M428" s="823">
        <v>131</v>
      </c>
      <c r="N428" s="823">
        <v>137</v>
      </c>
      <c r="O428" s="823">
        <v>145</v>
      </c>
      <c r="P428" s="823">
        <v>147</v>
      </c>
      <c r="Q428" s="823">
        <v>145</v>
      </c>
      <c r="R428" s="823">
        <v>151</v>
      </c>
      <c r="S428" s="823">
        <v>158</v>
      </c>
      <c r="T428" s="823">
        <v>150</v>
      </c>
      <c r="U428" s="823">
        <v>152</v>
      </c>
      <c r="V428" s="823">
        <v>152</v>
      </c>
      <c r="W428" s="823">
        <v>147</v>
      </c>
      <c r="X428" s="823">
        <v>151</v>
      </c>
      <c r="Y428" s="823">
        <v>141</v>
      </c>
      <c r="Z428" s="823">
        <v>144</v>
      </c>
      <c r="AA428" s="823">
        <v>108</v>
      </c>
      <c r="AB428" s="823">
        <v>108</v>
      </c>
      <c r="AC428" s="825">
        <v>111</v>
      </c>
      <c r="AD428" s="825">
        <v>114</v>
      </c>
      <c r="AE428" s="825">
        <v>112</v>
      </c>
      <c r="AF428" s="825">
        <v>109</v>
      </c>
      <c r="AG428" s="825">
        <v>111</v>
      </c>
      <c r="AH428" s="825">
        <v>114</v>
      </c>
      <c r="AI428" s="825">
        <v>110</v>
      </c>
      <c r="AJ428" s="825">
        <v>86</v>
      </c>
      <c r="AK428" s="825">
        <v>93</v>
      </c>
      <c r="AL428" s="825">
        <v>100</v>
      </c>
      <c r="AM428" s="825">
        <v>105</v>
      </c>
      <c r="AN428" s="825">
        <v>110</v>
      </c>
      <c r="AO428" s="825">
        <v>111</v>
      </c>
      <c r="AP428" s="825">
        <v>116</v>
      </c>
    </row>
    <row r="429" hidden="1" ht="15.95" customHeight="1">
      <c r="B429" s="826" t="s">
        <v>20</v>
      </c>
      <c r="C429" s="827">
        <v>2318</v>
      </c>
      <c r="D429" s="827">
        <v>2325</v>
      </c>
      <c r="E429" s="827">
        <v>2333</v>
      </c>
      <c r="F429" s="827">
        <v>1980</v>
      </c>
      <c r="G429" s="827">
        <v>1975</v>
      </c>
      <c r="H429" s="827">
        <v>1859</v>
      </c>
      <c r="I429" s="827">
        <v>1862</v>
      </c>
      <c r="J429" s="827">
        <v>1848</v>
      </c>
      <c r="K429" s="827">
        <v>1845</v>
      </c>
      <c r="L429" s="827">
        <v>1849</v>
      </c>
      <c r="M429" s="827">
        <v>1850</v>
      </c>
      <c r="N429" s="827">
        <v>1607</v>
      </c>
      <c r="O429" s="827">
        <v>1617</v>
      </c>
      <c r="P429" s="827">
        <v>1622</v>
      </c>
      <c r="Q429" s="827">
        <v>1536</v>
      </c>
      <c r="R429" s="827">
        <v>1538</v>
      </c>
      <c r="S429" s="827">
        <v>1539</v>
      </c>
      <c r="T429" s="827">
        <v>1543</v>
      </c>
      <c r="U429" s="827">
        <v>1554</v>
      </c>
      <c r="V429" s="827">
        <v>1560</v>
      </c>
      <c r="W429" s="827">
        <v>1557</v>
      </c>
      <c r="X429" s="827">
        <v>1510</v>
      </c>
      <c r="Y429" s="827">
        <v>1526</v>
      </c>
      <c r="Z429" s="827">
        <v>1541</v>
      </c>
      <c r="AA429" s="827">
        <v>1552</v>
      </c>
      <c r="AB429" s="827">
        <v>1503</v>
      </c>
      <c r="AC429" s="828">
        <v>1507</v>
      </c>
      <c r="AD429" s="828">
        <v>1514</v>
      </c>
      <c r="AE429" s="828">
        <v>1525</v>
      </c>
      <c r="AF429" s="828">
        <v>1530</v>
      </c>
      <c r="AG429" s="828">
        <v>1456</v>
      </c>
      <c r="AH429" s="828">
        <v>1457</v>
      </c>
      <c r="AI429" s="828">
        <v>1453</v>
      </c>
      <c r="AJ429" s="828">
        <v>1444</v>
      </c>
      <c r="AK429" s="828">
        <v>1448</v>
      </c>
      <c r="AL429" s="828">
        <v>1422</v>
      </c>
      <c r="AM429" s="828">
        <v>1414</v>
      </c>
      <c r="AN429" s="828">
        <v>1406</v>
      </c>
      <c r="AO429" s="828">
        <v>1407</v>
      </c>
      <c r="AP429" s="828">
        <v>1408</v>
      </c>
    </row>
    <row r="430" hidden="1" ht="15.95" customHeight="1">
      <c r="B430" s="829" t="s">
        <v>21</v>
      </c>
      <c r="C430" s="823">
        <v>1710</v>
      </c>
      <c r="D430" s="823">
        <v>1709</v>
      </c>
      <c r="E430" s="823">
        <v>1671</v>
      </c>
      <c r="F430" s="823">
        <v>1719</v>
      </c>
      <c r="G430" s="823">
        <v>1647</v>
      </c>
      <c r="H430" s="823">
        <v>1681</v>
      </c>
      <c r="I430" s="823">
        <v>1440</v>
      </c>
      <c r="J430" s="823">
        <v>1498</v>
      </c>
      <c r="K430" s="823">
        <v>1434</v>
      </c>
      <c r="L430" s="823">
        <v>1479</v>
      </c>
      <c r="M430" s="823">
        <v>1485</v>
      </c>
      <c r="N430" s="823">
        <v>1508</v>
      </c>
      <c r="O430" s="823">
        <v>1481</v>
      </c>
      <c r="P430" s="823">
        <v>1444</v>
      </c>
      <c r="Q430" s="823">
        <v>1413</v>
      </c>
      <c r="R430" s="823">
        <v>1403</v>
      </c>
      <c r="S430" s="823">
        <v>1387</v>
      </c>
      <c r="T430" s="823">
        <v>1434</v>
      </c>
      <c r="U430" s="823">
        <v>1392</v>
      </c>
      <c r="V430" s="823">
        <v>1411</v>
      </c>
      <c r="W430" s="823">
        <v>1381</v>
      </c>
      <c r="X430" s="823">
        <v>1400</v>
      </c>
      <c r="Y430" s="823">
        <v>1369</v>
      </c>
      <c r="Z430" s="823">
        <v>1342</v>
      </c>
      <c r="AA430" s="823">
        <v>1273</v>
      </c>
      <c r="AB430" s="823">
        <v>1280</v>
      </c>
      <c r="AC430" s="825">
        <v>1244</v>
      </c>
      <c r="AD430" s="825">
        <v>1270</v>
      </c>
      <c r="AE430" s="825">
        <v>1247</v>
      </c>
      <c r="AF430" s="825">
        <v>1246</v>
      </c>
      <c r="AG430" s="825">
        <v>1217</v>
      </c>
      <c r="AH430" s="825">
        <v>1213</v>
      </c>
      <c r="AI430" s="825">
        <v>1210</v>
      </c>
      <c r="AJ430" s="825">
        <v>1169</v>
      </c>
      <c r="AK430" s="825">
        <v>1132</v>
      </c>
      <c r="AL430" s="825">
        <v>1137</v>
      </c>
      <c r="AM430" s="825">
        <v>1068</v>
      </c>
      <c r="AN430" s="825">
        <v>1095</v>
      </c>
      <c r="AO430" s="825">
        <v>1102</v>
      </c>
      <c r="AP430" s="825">
        <v>1110</v>
      </c>
    </row>
    <row r="431" hidden="1" ht="15.95" customHeight="1">
      <c r="B431" s="826" t="s">
        <v>22</v>
      </c>
      <c r="C431" s="827">
        <v>383</v>
      </c>
      <c r="D431" s="827">
        <v>405</v>
      </c>
      <c r="E431" s="827">
        <v>438</v>
      </c>
      <c r="F431" s="827">
        <v>475</v>
      </c>
      <c r="G431" s="827">
        <v>488</v>
      </c>
      <c r="H431" s="827">
        <v>493</v>
      </c>
      <c r="I431" s="827">
        <v>469</v>
      </c>
      <c r="J431" s="827">
        <v>492</v>
      </c>
      <c r="K431" s="827">
        <v>485</v>
      </c>
      <c r="L431" s="827">
        <v>503</v>
      </c>
      <c r="M431" s="827">
        <v>299</v>
      </c>
      <c r="N431" s="827">
        <v>354</v>
      </c>
      <c r="O431" s="827">
        <v>369</v>
      </c>
      <c r="P431" s="827">
        <v>408</v>
      </c>
      <c r="Q431" s="827">
        <v>387</v>
      </c>
      <c r="R431" s="827">
        <v>428</v>
      </c>
      <c r="S431" s="827">
        <v>457</v>
      </c>
      <c r="T431" s="827">
        <v>473</v>
      </c>
      <c r="U431" s="827">
        <v>417</v>
      </c>
      <c r="V431" s="827">
        <v>471</v>
      </c>
      <c r="W431" s="827">
        <v>503</v>
      </c>
      <c r="X431" s="827">
        <v>529</v>
      </c>
      <c r="Y431" s="827">
        <v>485</v>
      </c>
      <c r="Z431" s="827">
        <v>516</v>
      </c>
      <c r="AA431" s="827">
        <v>513</v>
      </c>
      <c r="AB431" s="827">
        <v>539</v>
      </c>
      <c r="AC431" s="828">
        <v>510</v>
      </c>
      <c r="AD431" s="828">
        <v>515</v>
      </c>
      <c r="AE431" s="828">
        <v>530</v>
      </c>
      <c r="AF431" s="828">
        <v>561</v>
      </c>
      <c r="AG431" s="828">
        <v>555</v>
      </c>
      <c r="AH431" s="828">
        <v>561</v>
      </c>
      <c r="AI431" s="828">
        <v>471</v>
      </c>
      <c r="AJ431" s="828">
        <v>495</v>
      </c>
      <c r="AK431" s="828">
        <v>479</v>
      </c>
      <c r="AL431" s="828">
        <v>470</v>
      </c>
      <c r="AM431" s="828">
        <v>466</v>
      </c>
      <c r="AN431" s="828">
        <v>489</v>
      </c>
      <c r="AO431" s="828">
        <v>485</v>
      </c>
      <c r="AP431" s="828">
        <v>516</v>
      </c>
    </row>
    <row r="432" hidden="1" ht="15.95" customHeight="1">
      <c r="B432" s="829" t="s">
        <v>23</v>
      </c>
      <c r="C432" s="823">
        <v>264</v>
      </c>
      <c r="D432" s="823">
        <v>266</v>
      </c>
      <c r="E432" s="823">
        <v>258</v>
      </c>
      <c r="F432" s="823">
        <v>263</v>
      </c>
      <c r="G432" s="823">
        <v>261</v>
      </c>
      <c r="H432" s="823">
        <v>267</v>
      </c>
      <c r="I432" s="823">
        <v>254</v>
      </c>
      <c r="J432" s="823">
        <v>256</v>
      </c>
      <c r="K432" s="823">
        <v>248</v>
      </c>
      <c r="L432" s="823">
        <v>227</v>
      </c>
      <c r="M432" s="823">
        <v>223</v>
      </c>
      <c r="N432" s="823">
        <v>220</v>
      </c>
      <c r="O432" s="823">
        <v>214</v>
      </c>
      <c r="P432" s="823">
        <v>220</v>
      </c>
      <c r="Q432" s="823">
        <v>215</v>
      </c>
      <c r="R432" s="823">
        <v>218</v>
      </c>
      <c r="S432" s="823">
        <v>219</v>
      </c>
      <c r="T432" s="823">
        <v>223</v>
      </c>
      <c r="U432" s="823">
        <v>229</v>
      </c>
      <c r="V432" s="823">
        <v>235</v>
      </c>
      <c r="W432" s="823">
        <v>232</v>
      </c>
      <c r="X432" s="823">
        <v>233</v>
      </c>
      <c r="Y432" s="823">
        <v>231</v>
      </c>
      <c r="Z432" s="823">
        <v>234</v>
      </c>
      <c r="AA432" s="823">
        <v>229</v>
      </c>
      <c r="AB432" s="823">
        <v>233</v>
      </c>
      <c r="AC432" s="825">
        <v>221</v>
      </c>
      <c r="AD432" s="825">
        <v>220</v>
      </c>
      <c r="AE432" s="825">
        <v>212</v>
      </c>
      <c r="AF432" s="825">
        <v>211</v>
      </c>
      <c r="AG432" s="825">
        <v>215</v>
      </c>
      <c r="AH432" s="825">
        <v>211</v>
      </c>
      <c r="AI432" s="825">
        <v>211</v>
      </c>
      <c r="AJ432" s="825">
        <v>208</v>
      </c>
      <c r="AK432" s="825">
        <v>205</v>
      </c>
      <c r="AL432" s="825">
        <v>207</v>
      </c>
      <c r="AM432" s="825">
        <v>202</v>
      </c>
      <c r="AN432" s="825">
        <v>205</v>
      </c>
      <c r="AO432" s="825">
        <v>206</v>
      </c>
      <c r="AP432" s="825">
        <v>210</v>
      </c>
    </row>
    <row r="433" hidden="1" ht="15.95" customHeight="1">
      <c r="B433" s="835" t="s">
        <v>24</v>
      </c>
      <c r="C433" s="827">
        <v>1318</v>
      </c>
      <c r="D433" s="827">
        <v>1291</v>
      </c>
      <c r="E433" s="827">
        <v>1230</v>
      </c>
      <c r="F433" s="827">
        <v>1211</v>
      </c>
      <c r="G433" s="827">
        <v>1201</v>
      </c>
      <c r="H433" s="827">
        <v>1180</v>
      </c>
      <c r="I433" s="827">
        <v>1148</v>
      </c>
      <c r="J433" s="827">
        <v>1122</v>
      </c>
      <c r="K433" s="827">
        <v>1089</v>
      </c>
      <c r="L433" s="827">
        <v>1067</v>
      </c>
      <c r="M433" s="827">
        <v>1041</v>
      </c>
      <c r="N433" s="827">
        <v>1025</v>
      </c>
      <c r="O433" s="827">
        <v>997</v>
      </c>
      <c r="P433" s="827">
        <v>973</v>
      </c>
      <c r="Q433" s="827">
        <v>953</v>
      </c>
      <c r="R433" s="827">
        <v>955</v>
      </c>
      <c r="S433" s="827">
        <v>962</v>
      </c>
      <c r="T433" s="827">
        <v>987</v>
      </c>
      <c r="U433" s="827">
        <v>986</v>
      </c>
      <c r="V433" s="827">
        <v>985</v>
      </c>
      <c r="W433" s="827">
        <v>976</v>
      </c>
      <c r="X433" s="827">
        <v>974</v>
      </c>
      <c r="Y433" s="827">
        <v>962</v>
      </c>
      <c r="Z433" s="827">
        <v>964</v>
      </c>
      <c r="AA433" s="827">
        <v>957</v>
      </c>
      <c r="AB433" s="827">
        <v>962</v>
      </c>
      <c r="AC433" s="828">
        <v>958</v>
      </c>
      <c r="AD433" s="828">
        <v>957</v>
      </c>
      <c r="AE433" s="828">
        <v>949</v>
      </c>
      <c r="AF433" s="828">
        <v>951</v>
      </c>
      <c r="AG433" s="828">
        <v>949</v>
      </c>
      <c r="AH433" s="828">
        <v>950</v>
      </c>
      <c r="AI433" s="828">
        <v>940</v>
      </c>
      <c r="AJ433" s="828">
        <v>941</v>
      </c>
      <c r="AK433" s="828">
        <v>934</v>
      </c>
      <c r="AL433" s="828">
        <v>931</v>
      </c>
      <c r="AM433" s="828">
        <v>925</v>
      </c>
      <c r="AN433" s="828">
        <v>920</v>
      </c>
      <c r="AO433" s="828">
        <v>917</v>
      </c>
      <c r="AP433" s="828">
        <v>916</v>
      </c>
    </row>
    <row r="434" hidden="1" ht="15.95" customHeight="1">
      <c r="B434" s="829" t="s">
        <v>25</v>
      </c>
      <c r="C434" s="823">
        <v>0</v>
      </c>
      <c r="D434" s="823">
        <v>0</v>
      </c>
      <c r="E434" s="823">
        <v>0</v>
      </c>
      <c r="F434" s="823">
        <v>0</v>
      </c>
      <c r="G434" s="823">
        <v>0</v>
      </c>
      <c r="H434" s="823">
        <v>0</v>
      </c>
      <c r="I434" s="823">
        <v>0</v>
      </c>
      <c r="J434" s="823">
        <v>0</v>
      </c>
      <c r="K434" s="823">
        <v>0</v>
      </c>
      <c r="L434" s="823">
        <v>0</v>
      </c>
      <c r="M434" s="823">
        <v>1</v>
      </c>
      <c r="N434" s="823">
        <v>1</v>
      </c>
      <c r="O434" s="823">
        <v>1</v>
      </c>
      <c r="P434" s="823">
        <v>1</v>
      </c>
      <c r="Q434" s="823">
        <v>1</v>
      </c>
      <c r="R434" s="823">
        <v>1</v>
      </c>
      <c r="S434" s="823">
        <v>1</v>
      </c>
      <c r="T434" s="823">
        <v>1</v>
      </c>
      <c r="U434" s="823">
        <v>1</v>
      </c>
      <c r="V434" s="823">
        <v>1</v>
      </c>
      <c r="W434" s="823">
        <v>1</v>
      </c>
      <c r="X434" s="823">
        <v>1</v>
      </c>
      <c r="Y434" s="823">
        <v>1</v>
      </c>
      <c r="Z434" s="823">
        <v>1</v>
      </c>
      <c r="AA434" s="823">
        <v>1</v>
      </c>
      <c r="AB434" s="823">
        <v>1</v>
      </c>
      <c r="AC434" s="825">
        <v>1</v>
      </c>
      <c r="AD434" s="825">
        <v>1</v>
      </c>
      <c r="AE434" s="825">
        <v>1</v>
      </c>
      <c r="AF434" s="825">
        <v>1</v>
      </c>
      <c r="AG434" s="825">
        <v>1</v>
      </c>
      <c r="AH434" s="825">
        <v>1</v>
      </c>
      <c r="AI434" s="825">
        <v>1</v>
      </c>
      <c r="AJ434" s="825">
        <v>1</v>
      </c>
      <c r="AK434" s="825">
        <v>1</v>
      </c>
      <c r="AL434" s="825">
        <v>1</v>
      </c>
      <c r="AM434" s="825">
        <v>1</v>
      </c>
      <c r="AN434" s="825">
        <v>1</v>
      </c>
      <c r="AO434" s="825">
        <v>1</v>
      </c>
      <c r="AP434" s="825">
        <v>1</v>
      </c>
    </row>
    <row r="435" hidden="1" ht="15.95" customHeight="1">
      <c r="B435" s="836" t="s">
        <v>26</v>
      </c>
      <c r="C435" s="827">
        <v>0</v>
      </c>
      <c r="D435" s="827">
        <v>0</v>
      </c>
      <c r="E435" s="827">
        <v>0</v>
      </c>
      <c r="F435" s="827">
        <v>0</v>
      </c>
      <c r="G435" s="827">
        <v>0</v>
      </c>
      <c r="H435" s="827">
        <v>0</v>
      </c>
      <c r="I435" s="827">
        <v>0</v>
      </c>
      <c r="J435" s="827">
        <v>0</v>
      </c>
      <c r="K435" s="827">
        <v>0</v>
      </c>
      <c r="L435" s="827">
        <v>0</v>
      </c>
      <c r="M435" s="827">
        <v>0</v>
      </c>
      <c r="N435" s="827">
        <v>0</v>
      </c>
      <c r="O435" s="827">
        <v>1</v>
      </c>
      <c r="P435" s="827">
        <v>1</v>
      </c>
      <c r="Q435" s="827">
        <v>1</v>
      </c>
      <c r="R435" s="827">
        <v>1</v>
      </c>
      <c r="S435" s="827">
        <v>1</v>
      </c>
      <c r="T435" s="827">
        <v>1</v>
      </c>
      <c r="U435" s="827">
        <v>1</v>
      </c>
      <c r="V435" s="827">
        <v>1</v>
      </c>
      <c r="W435" s="827">
        <v>1</v>
      </c>
      <c r="X435" s="827">
        <v>1</v>
      </c>
      <c r="Y435" s="827">
        <v>1</v>
      </c>
      <c r="Z435" s="827">
        <v>1</v>
      </c>
      <c r="AA435" s="827">
        <v>1</v>
      </c>
      <c r="AB435" s="837">
        <v>1</v>
      </c>
      <c r="AC435" s="828">
        <v>1</v>
      </c>
      <c r="AD435" s="828">
        <v>1</v>
      </c>
      <c r="AE435" s="828">
        <v>1</v>
      </c>
      <c r="AF435" s="828">
        <v>1</v>
      </c>
      <c r="AG435" s="828">
        <v>1</v>
      </c>
      <c r="AH435" s="828">
        <v>1</v>
      </c>
      <c r="AI435" s="828">
        <v>1</v>
      </c>
      <c r="AJ435" s="828">
        <v>1</v>
      </c>
      <c r="AK435" s="828">
        <v>1</v>
      </c>
      <c r="AL435" s="828">
        <v>1</v>
      </c>
      <c r="AM435" s="828">
        <v>1</v>
      </c>
      <c r="AN435" s="828">
        <v>1</v>
      </c>
      <c r="AO435" s="828">
        <v>1</v>
      </c>
      <c r="AP435" s="828">
        <v>1</v>
      </c>
    </row>
    <row r="436" hidden="1" ht="15.95" customHeight="1">
      <c r="B436" s="128" t="s">
        <v>7</v>
      </c>
      <c r="C436" s="129" t="str">
        <f>IF(SUM(C417:C435)&lt;&gt;0,SUM(C417:C435),"")</f>
      </c>
      <c r="D436" s="129" t="str">
        <f ref="D436:AA436" t="shared" si="55">IF(SUM(D417:D435)&lt;&gt;0,SUM(D417:D435),"")</f>
      </c>
      <c r="E436" s="129" t="str">
        <f t="shared" si="55"/>
      </c>
      <c r="F436" s="129" t="str">
        <f t="shared" si="55"/>
      </c>
      <c r="G436" s="129" t="str">
        <f t="shared" si="55"/>
      </c>
      <c r="H436" s="129" t="str">
        <f t="shared" si="55"/>
      </c>
      <c r="I436" s="129" t="str">
        <f t="shared" si="55"/>
      </c>
      <c r="J436" s="129" t="str">
        <f t="shared" si="55"/>
      </c>
      <c r="K436" s="129" t="str">
        <f t="shared" si="55"/>
      </c>
      <c r="L436" s="129" t="str">
        <f t="shared" si="55"/>
      </c>
      <c r="M436" s="129" t="str">
        <f t="shared" si="55"/>
      </c>
      <c r="N436" s="129" t="str">
        <f t="shared" si="55"/>
      </c>
      <c r="O436" s="129" t="str">
        <f t="shared" si="55"/>
      </c>
      <c r="P436" s="129" t="str">
        <f t="shared" si="55"/>
      </c>
      <c r="Q436" s="129" t="str">
        <f t="shared" si="55"/>
      </c>
      <c r="R436" s="129" t="str">
        <f t="shared" si="55"/>
      </c>
      <c r="S436" s="129" t="str">
        <f t="shared" si="55"/>
      </c>
      <c r="T436" s="129" t="str">
        <f t="shared" si="55"/>
      </c>
      <c r="U436" s="129" t="str">
        <f t="shared" si="55"/>
      </c>
      <c r="V436" s="129" t="str">
        <f t="shared" si="55"/>
      </c>
      <c r="W436" s="129" t="str">
        <f t="shared" si="55"/>
      </c>
      <c r="X436" s="129" t="str">
        <f t="shared" si="55"/>
      </c>
      <c r="Y436" s="129" t="str">
        <f t="shared" si="55"/>
      </c>
      <c r="Z436" s="129" t="str">
        <f t="shared" si="55"/>
      </c>
      <c r="AA436" s="129" t="str">
        <f t="shared" si="55"/>
      </c>
      <c r="AB436" s="130" t="str">
        <f>IF(SUM(AB417:AB435)&lt;&gt;0,SUM(AB417:AB435),"")</f>
      </c>
      <c r="AC436" s="91" t="str">
        <f ref="AC436:CN436" t="shared" si="56">IF(SUM(AC417:AC435)&lt;&gt;0,SUM(AC417:AC435),"")</f>
      </c>
      <c r="AD436" s="91" t="str">
        <f t="shared" si="56"/>
      </c>
      <c r="AE436" s="91" t="str">
        <f t="shared" si="56"/>
      </c>
      <c r="AF436" s="91" t="str">
        <f t="shared" si="56"/>
      </c>
      <c r="AG436" s="91" t="str">
        <f t="shared" si="56"/>
      </c>
      <c r="AH436" s="91" t="str">
        <f t="shared" si="56"/>
      </c>
      <c r="AI436" s="91" t="str">
        <f t="shared" si="56"/>
      </c>
      <c r="AJ436" s="91" t="str">
        <f t="shared" si="56"/>
      </c>
      <c r="AK436" s="91" t="str">
        <f t="shared" si="56"/>
      </c>
      <c r="AL436" s="91" t="str">
        <f t="shared" si="56"/>
      </c>
      <c r="AM436" s="91" t="str">
        <f t="shared" si="56"/>
      </c>
      <c r="AN436" s="91" t="str">
        <f t="shared" si="56"/>
      </c>
      <c r="AO436" s="91" t="str">
        <f t="shared" si="56"/>
      </c>
      <c r="AP436" s="91" t="str">
        <f t="shared" si="56"/>
      </c>
      <c r="AQ436" s="91" t="str">
        <f t="shared" si="56"/>
      </c>
      <c r="AR436" s="91" t="str">
        <f t="shared" si="56"/>
      </c>
      <c r="AS436" s="91" t="str">
        <f t="shared" si="56"/>
      </c>
      <c r="AT436" s="91" t="str">
        <f t="shared" si="56"/>
      </c>
      <c r="AU436" s="91" t="str">
        <f t="shared" si="56"/>
      </c>
      <c r="AV436" s="91" t="str">
        <f t="shared" si="56"/>
      </c>
      <c r="AW436" s="91" t="str">
        <f t="shared" si="56"/>
      </c>
      <c r="AX436" s="91" t="str">
        <f t="shared" si="56"/>
      </c>
      <c r="AY436" s="91" t="str">
        <f t="shared" si="56"/>
      </c>
      <c r="AZ436" s="91" t="str">
        <f t="shared" si="56"/>
      </c>
      <c r="BA436" s="91" t="str">
        <f t="shared" si="56"/>
      </c>
      <c r="BB436" s="91" t="str">
        <f t="shared" si="56"/>
      </c>
      <c r="BC436" s="91" t="str">
        <f t="shared" si="56"/>
      </c>
      <c r="BD436" s="91" t="str">
        <f t="shared" si="56"/>
      </c>
      <c r="BE436" s="91" t="str">
        <f t="shared" si="56"/>
      </c>
      <c r="BF436" s="91" t="str">
        <f t="shared" si="56"/>
      </c>
      <c r="BG436" s="91" t="str">
        <f t="shared" si="56"/>
      </c>
      <c r="BH436" s="91" t="str">
        <f t="shared" si="56"/>
      </c>
      <c r="BI436" s="91" t="str">
        <f t="shared" si="56"/>
      </c>
      <c r="BJ436" s="91" t="str">
        <f t="shared" si="56"/>
      </c>
      <c r="BK436" s="91" t="str">
        <f t="shared" si="56"/>
      </c>
      <c r="BL436" s="91" t="str">
        <f t="shared" si="56"/>
      </c>
      <c r="BM436" s="91" t="str">
        <f t="shared" si="56"/>
      </c>
      <c r="BN436" s="91" t="str">
        <f t="shared" si="56"/>
      </c>
      <c r="BO436" s="91" t="str">
        <f t="shared" si="56"/>
      </c>
      <c r="BP436" s="91" t="str">
        <f t="shared" si="56"/>
      </c>
      <c r="BQ436" s="91" t="str">
        <f t="shared" si="56"/>
      </c>
      <c r="BR436" s="91" t="str">
        <f t="shared" si="56"/>
      </c>
      <c r="BS436" s="91" t="str">
        <f t="shared" si="56"/>
      </c>
      <c r="BT436" s="91" t="str">
        <f t="shared" si="56"/>
      </c>
      <c r="BU436" s="91" t="str">
        <f t="shared" si="56"/>
      </c>
      <c r="BV436" s="91" t="str">
        <f t="shared" si="56"/>
      </c>
      <c r="BW436" s="91" t="str">
        <f t="shared" si="56"/>
      </c>
      <c r="BX436" s="91" t="str">
        <f t="shared" si="56"/>
      </c>
      <c r="BY436" s="91" t="str">
        <f t="shared" si="56"/>
      </c>
      <c r="BZ436" s="91" t="str">
        <f t="shared" si="56"/>
      </c>
      <c r="CA436" s="91" t="str">
        <f t="shared" si="56"/>
      </c>
      <c r="CB436" s="91" t="str">
        <f t="shared" si="56"/>
      </c>
      <c r="CC436" s="91" t="str">
        <f t="shared" si="56"/>
      </c>
      <c r="CD436" s="91" t="str">
        <f t="shared" si="56"/>
      </c>
      <c r="CE436" s="91" t="str">
        <f t="shared" si="56"/>
      </c>
      <c r="CF436" s="91" t="str">
        <f t="shared" si="56"/>
      </c>
      <c r="CG436" s="91" t="str">
        <f t="shared" si="56"/>
      </c>
      <c r="CH436" s="91" t="str">
        <f t="shared" si="56"/>
      </c>
      <c r="CI436" s="91" t="str">
        <f t="shared" si="56"/>
      </c>
      <c r="CJ436" s="91" t="str">
        <f t="shared" si="56"/>
      </c>
      <c r="CK436" s="91" t="str">
        <f t="shared" si="56"/>
      </c>
      <c r="CL436" s="91" t="str">
        <f t="shared" si="56"/>
      </c>
      <c r="CM436" s="91" t="str">
        <f t="shared" si="56"/>
      </c>
      <c r="CN436" s="91" t="str">
        <f t="shared" si="56"/>
      </c>
      <c r="CO436" s="91" t="str">
        <f ref="CO436:EZ436" t="shared" si="57">IF(SUM(CO417:CO435)&lt;&gt;0,SUM(CO417:CO435),"")</f>
      </c>
      <c r="CP436" s="91" t="str">
        <f t="shared" si="57"/>
      </c>
      <c r="CQ436" s="91" t="str">
        <f t="shared" si="57"/>
      </c>
      <c r="CR436" s="91" t="str">
        <f t="shared" si="57"/>
      </c>
      <c r="CS436" s="91" t="str">
        <f t="shared" si="57"/>
      </c>
      <c r="CT436" s="91" t="str">
        <f t="shared" si="57"/>
      </c>
      <c r="CU436" s="91" t="str">
        <f t="shared" si="57"/>
      </c>
      <c r="CV436" s="91" t="str">
        <f t="shared" si="57"/>
      </c>
      <c r="CW436" s="91" t="str">
        <f t="shared" si="57"/>
      </c>
      <c r="CX436" s="91" t="str">
        <f t="shared" si="57"/>
      </c>
      <c r="CY436" s="91" t="str">
        <f t="shared" si="57"/>
      </c>
      <c r="CZ436" s="91" t="str">
        <f t="shared" si="57"/>
      </c>
      <c r="DA436" s="91" t="str">
        <f t="shared" si="57"/>
      </c>
      <c r="DB436" s="91" t="str">
        <f t="shared" si="57"/>
      </c>
      <c r="DC436" s="91" t="str">
        <f t="shared" si="57"/>
      </c>
      <c r="DD436" s="91" t="str">
        <f t="shared" si="57"/>
      </c>
      <c r="DE436" s="91" t="str">
        <f t="shared" si="57"/>
      </c>
      <c r="DF436" s="91" t="str">
        <f t="shared" si="57"/>
      </c>
      <c r="DG436" s="91" t="str">
        <f t="shared" si="57"/>
      </c>
      <c r="DH436" s="91" t="str">
        <f t="shared" si="57"/>
      </c>
      <c r="DI436" s="91" t="str">
        <f t="shared" si="57"/>
      </c>
      <c r="DJ436" s="91" t="str">
        <f t="shared" si="57"/>
      </c>
      <c r="DK436" s="91" t="str">
        <f t="shared" si="57"/>
      </c>
      <c r="DL436" s="91" t="str">
        <f t="shared" si="57"/>
      </c>
      <c r="DM436" s="91" t="str">
        <f t="shared" si="57"/>
      </c>
      <c r="DN436" s="91" t="str">
        <f t="shared" si="57"/>
      </c>
      <c r="DO436" s="91" t="str">
        <f t="shared" si="57"/>
      </c>
      <c r="DP436" s="91" t="str">
        <f t="shared" si="57"/>
      </c>
      <c r="DQ436" s="91" t="str">
        <f t="shared" si="57"/>
      </c>
      <c r="DR436" s="91" t="str">
        <f t="shared" si="57"/>
      </c>
      <c r="DS436" s="91" t="str">
        <f t="shared" si="57"/>
      </c>
      <c r="DT436" s="91" t="str">
        <f t="shared" si="57"/>
      </c>
      <c r="DU436" s="91" t="str">
        <f t="shared" si="57"/>
      </c>
      <c r="DV436" s="91" t="str">
        <f t="shared" si="57"/>
      </c>
      <c r="DW436" s="91" t="str">
        <f t="shared" si="57"/>
      </c>
      <c r="DX436" s="91" t="str">
        <f t="shared" si="57"/>
      </c>
      <c r="DY436" s="91" t="str">
        <f t="shared" si="57"/>
      </c>
      <c r="DZ436" s="91" t="str">
        <f t="shared" si="57"/>
      </c>
      <c r="EA436" s="91" t="str">
        <f t="shared" si="57"/>
      </c>
      <c r="EB436" s="91" t="str">
        <f t="shared" si="57"/>
      </c>
      <c r="EC436" s="91" t="str">
        <f t="shared" si="57"/>
      </c>
      <c r="ED436" s="91" t="str">
        <f t="shared" si="57"/>
      </c>
      <c r="EE436" s="91" t="str">
        <f t="shared" si="57"/>
      </c>
      <c r="EF436" s="91" t="str">
        <f t="shared" si="57"/>
      </c>
      <c r="EG436" s="91" t="str">
        <f t="shared" si="57"/>
      </c>
      <c r="EH436" s="91" t="str">
        <f t="shared" si="57"/>
      </c>
      <c r="EI436" s="91" t="str">
        <f t="shared" si="57"/>
      </c>
      <c r="EJ436" s="91" t="str">
        <f t="shared" si="57"/>
      </c>
      <c r="EK436" s="91" t="str">
        <f t="shared" si="57"/>
      </c>
      <c r="EL436" s="91" t="str">
        <f t="shared" si="57"/>
      </c>
      <c r="EM436" s="91" t="str">
        <f t="shared" si="57"/>
      </c>
      <c r="EN436" s="91" t="str">
        <f t="shared" si="57"/>
      </c>
      <c r="EO436" s="91" t="str">
        <f t="shared" si="57"/>
      </c>
      <c r="EP436" s="91" t="str">
        <f t="shared" si="57"/>
      </c>
      <c r="EQ436" s="91" t="str">
        <f t="shared" si="57"/>
      </c>
      <c r="ER436" s="91" t="str">
        <f t="shared" si="57"/>
      </c>
      <c r="ES436" s="91" t="str">
        <f t="shared" si="57"/>
      </c>
      <c r="ET436" s="91" t="str">
        <f t="shared" si="57"/>
      </c>
      <c r="EU436" s="91" t="str">
        <f t="shared" si="57"/>
      </c>
      <c r="EV436" s="91" t="str">
        <f t="shared" si="57"/>
      </c>
      <c r="EW436" s="91" t="str">
        <f t="shared" si="57"/>
      </c>
      <c r="EX436" s="91" t="str">
        <f t="shared" si="57"/>
      </c>
      <c r="EY436" s="91" t="str">
        <f t="shared" si="57"/>
      </c>
      <c r="EZ436" s="91" t="str">
        <f t="shared" si="57"/>
      </c>
      <c r="FA436" s="91" t="str">
        <f ref="FA436:HL436" t="shared" si="58">IF(SUM(FA417:FA435)&lt;&gt;0,SUM(FA417:FA435),"")</f>
      </c>
      <c r="FB436" s="91" t="str">
        <f t="shared" si="58"/>
      </c>
      <c r="FC436" s="91" t="str">
        <f t="shared" si="58"/>
      </c>
      <c r="FD436" s="91" t="str">
        <f t="shared" si="58"/>
      </c>
      <c r="FE436" s="91" t="str">
        <f t="shared" si="58"/>
      </c>
      <c r="FF436" s="91" t="str">
        <f t="shared" si="58"/>
      </c>
      <c r="FG436" s="91" t="str">
        <f t="shared" si="58"/>
      </c>
      <c r="FH436" s="91" t="str">
        <f t="shared" si="58"/>
      </c>
      <c r="FI436" s="91" t="str">
        <f t="shared" si="58"/>
      </c>
      <c r="FJ436" s="91" t="str">
        <f t="shared" si="58"/>
      </c>
      <c r="FK436" s="91" t="str">
        <f t="shared" si="58"/>
      </c>
      <c r="FL436" s="91" t="str">
        <f t="shared" si="58"/>
      </c>
      <c r="FM436" s="91" t="str">
        <f t="shared" si="58"/>
      </c>
      <c r="FN436" s="91" t="str">
        <f t="shared" si="58"/>
      </c>
      <c r="FO436" s="91" t="str">
        <f t="shared" si="58"/>
      </c>
      <c r="FP436" s="91" t="str">
        <f t="shared" si="58"/>
      </c>
      <c r="FQ436" s="91" t="str">
        <f t="shared" si="58"/>
      </c>
      <c r="FR436" s="91" t="str">
        <f t="shared" si="58"/>
      </c>
      <c r="FS436" s="91" t="str">
        <f t="shared" si="58"/>
      </c>
      <c r="FT436" s="91" t="str">
        <f t="shared" si="58"/>
      </c>
      <c r="FU436" s="91" t="str">
        <f t="shared" si="58"/>
      </c>
      <c r="FV436" s="91" t="str">
        <f t="shared" si="58"/>
      </c>
      <c r="FW436" s="91" t="str">
        <f t="shared" si="58"/>
      </c>
      <c r="FX436" s="91" t="str">
        <f t="shared" si="58"/>
      </c>
      <c r="FY436" s="91" t="str">
        <f t="shared" si="58"/>
      </c>
      <c r="FZ436" s="91" t="str">
        <f t="shared" si="58"/>
      </c>
      <c r="GA436" s="91" t="str">
        <f t="shared" si="58"/>
      </c>
      <c r="GB436" s="91" t="str">
        <f t="shared" si="58"/>
      </c>
      <c r="GC436" s="91" t="str">
        <f t="shared" si="58"/>
      </c>
      <c r="GD436" s="91" t="str">
        <f t="shared" si="58"/>
      </c>
      <c r="GE436" s="91" t="str">
        <f t="shared" si="58"/>
      </c>
      <c r="GF436" s="91" t="str">
        <f t="shared" si="58"/>
      </c>
      <c r="GG436" s="91" t="str">
        <f t="shared" si="58"/>
      </c>
      <c r="GH436" s="91" t="str">
        <f t="shared" si="58"/>
      </c>
      <c r="GI436" s="91" t="str">
        <f t="shared" si="58"/>
      </c>
      <c r="GJ436" s="91" t="str">
        <f t="shared" si="58"/>
      </c>
      <c r="GK436" s="91" t="str">
        <f t="shared" si="58"/>
      </c>
      <c r="GL436" s="91" t="str">
        <f t="shared" si="58"/>
      </c>
      <c r="GM436" s="91" t="str">
        <f t="shared" si="58"/>
      </c>
      <c r="GN436" s="91" t="str">
        <f t="shared" si="58"/>
      </c>
      <c r="GO436" s="91" t="str">
        <f t="shared" si="58"/>
      </c>
      <c r="GP436" s="91" t="str">
        <f t="shared" si="58"/>
      </c>
      <c r="GQ436" s="91" t="str">
        <f t="shared" si="58"/>
      </c>
      <c r="GR436" s="91" t="str">
        <f t="shared" si="58"/>
      </c>
      <c r="GS436" s="91" t="str">
        <f t="shared" si="58"/>
      </c>
      <c r="GT436" s="91" t="str">
        <f t="shared" si="58"/>
      </c>
      <c r="GU436" s="91" t="str">
        <f t="shared" si="58"/>
      </c>
      <c r="GV436" s="91" t="str">
        <f t="shared" si="58"/>
      </c>
      <c r="GW436" s="91" t="str">
        <f t="shared" si="58"/>
      </c>
      <c r="GX436" s="91" t="str">
        <f t="shared" si="58"/>
      </c>
      <c r="GY436" s="91" t="str">
        <f t="shared" si="58"/>
      </c>
      <c r="GZ436" s="91" t="str">
        <f t="shared" si="58"/>
      </c>
      <c r="HA436" s="91" t="str">
        <f t="shared" si="58"/>
      </c>
      <c r="HB436" s="91" t="str">
        <f t="shared" si="58"/>
      </c>
      <c r="HC436" s="91" t="str">
        <f t="shared" si="58"/>
      </c>
      <c r="HD436" s="91" t="str">
        <f t="shared" si="58"/>
      </c>
      <c r="HE436" s="91" t="str">
        <f t="shared" si="58"/>
      </c>
      <c r="HF436" s="91" t="str">
        <f t="shared" si="58"/>
      </c>
      <c r="HG436" s="91" t="str">
        <f t="shared" si="58"/>
      </c>
      <c r="HH436" s="91" t="str">
        <f t="shared" si="58"/>
      </c>
      <c r="HI436" s="91" t="str">
        <f t="shared" si="58"/>
      </c>
      <c r="HJ436" s="91" t="str">
        <f t="shared" si="58"/>
      </c>
      <c r="HK436" s="91" t="str">
        <f t="shared" si="58"/>
      </c>
      <c r="HL436" s="91" t="str">
        <f t="shared" si="58"/>
      </c>
      <c r="HM436" s="91" t="str">
        <f ref="HM436:IV436" t="shared" si="59">IF(SUM(HM417:HM435)&lt;&gt;0,SUM(HM417:HM435),"")</f>
      </c>
      <c r="HN436" s="91" t="str">
        <f t="shared" si="59"/>
      </c>
      <c r="HO436" s="91" t="str">
        <f t="shared" si="59"/>
      </c>
      <c r="HP436" s="91" t="str">
        <f t="shared" si="59"/>
      </c>
      <c r="HQ436" s="91" t="str">
        <f t="shared" si="59"/>
      </c>
      <c r="HR436" s="91" t="str">
        <f t="shared" si="59"/>
      </c>
      <c r="HS436" s="91" t="str">
        <f t="shared" si="59"/>
      </c>
      <c r="HT436" s="91" t="str">
        <f t="shared" si="59"/>
      </c>
      <c r="HU436" s="91" t="str">
        <f t="shared" si="59"/>
      </c>
      <c r="HV436" s="91" t="str">
        <f t="shared" si="59"/>
      </c>
      <c r="HW436" s="91" t="str">
        <f t="shared" si="59"/>
      </c>
      <c r="HX436" s="91" t="str">
        <f t="shared" si="59"/>
      </c>
      <c r="HY436" s="91" t="str">
        <f t="shared" si="59"/>
      </c>
      <c r="HZ436" s="91" t="str">
        <f t="shared" si="59"/>
      </c>
      <c r="IA436" s="91" t="str">
        <f t="shared" si="59"/>
      </c>
      <c r="IB436" s="91" t="str">
        <f t="shared" si="59"/>
      </c>
      <c r="IC436" s="91" t="str">
        <f t="shared" si="59"/>
      </c>
      <c r="ID436" s="91" t="str">
        <f t="shared" si="59"/>
      </c>
      <c r="IE436" s="91" t="str">
        <f t="shared" si="59"/>
      </c>
      <c r="IF436" s="91" t="str">
        <f t="shared" si="59"/>
      </c>
      <c r="IG436" s="91" t="str">
        <f t="shared" si="59"/>
      </c>
      <c r="IH436" s="91" t="str">
        <f t="shared" si="59"/>
      </c>
      <c r="II436" s="91" t="str">
        <f t="shared" si="59"/>
      </c>
      <c r="IJ436" s="91" t="str">
        <f t="shared" si="59"/>
      </c>
      <c r="IK436" s="91" t="str">
        <f t="shared" si="59"/>
      </c>
      <c r="IL436" s="91" t="str">
        <f t="shared" si="59"/>
      </c>
      <c r="IM436" s="91" t="str">
        <f t="shared" si="59"/>
      </c>
      <c r="IN436" s="91" t="str">
        <f t="shared" si="59"/>
      </c>
      <c r="IO436" s="91" t="str">
        <f t="shared" si="59"/>
      </c>
      <c r="IP436" s="91" t="str">
        <f t="shared" si="59"/>
      </c>
      <c r="IQ436" s="91" t="str">
        <f t="shared" si="59"/>
      </c>
      <c r="IR436" s="91" t="str">
        <f t="shared" si="59"/>
      </c>
      <c r="IS436" s="91" t="str">
        <f t="shared" si="59"/>
      </c>
      <c r="IT436" s="91" t="str">
        <f t="shared" si="59"/>
      </c>
      <c r="IU436" s="91" t="str">
        <f t="shared" si="59"/>
      </c>
      <c r="IV436" s="91" t="str">
        <f t="shared" si="59"/>
      </c>
    </row>
    <row r="437" hidden="1" ht="15.95" customHeight="1">
      <c r="B437" s="274"/>
      <c r="M437" s="50"/>
      <c r="N437" s="50"/>
    </row>
    <row r="438" hidden="1" ht="15.95" customHeight="1">
      <c r="B438" s="274"/>
      <c r="M438" s="50"/>
      <c r="N438" s="50"/>
    </row>
    <row r="439" hidden="1" ht="15.95" customHeight="1">
      <c r="B439" s="274"/>
      <c r="M439" s="50"/>
      <c r="N439" s="50"/>
    </row>
    <row r="440" hidden="1" ht="15.95" customHeight="1">
      <c r="B440" s="276" t="s">
        <v>194</v>
      </c>
      <c r="C440" s="513" t="str">
        <f>INDEX($C164:$II$183,$F$8,38)</f>
      </c>
      <c r="M440" s="50"/>
      <c r="N440" s="50"/>
    </row>
    <row r="441" hidden="1" ht="15.95" customHeight="1">
      <c r="B441" s="277" t="s">
        <v>120</v>
      </c>
      <c r="C441" s="514" t="str">
        <f>INDEX($C187:$II$206,$F$8,38)</f>
      </c>
      <c r="M441" s="50"/>
      <c r="N441" s="50"/>
    </row>
    <row r="442" hidden="1" ht="15.95" customHeight="1">
      <c r="B442" s="277" t="s">
        <v>115</v>
      </c>
      <c r="C442" s="514" t="str">
        <f>INDEX($C210:$II$229,$F$8,38)</f>
      </c>
      <c r="M442" s="50"/>
      <c r="N442" s="50"/>
    </row>
    <row r="443" hidden="1" ht="15.95" customHeight="1">
      <c r="B443" s="277" t="s">
        <v>206</v>
      </c>
      <c r="C443" s="514" t="str">
        <f>INDEX($C233:$II$252,$F$8,38)</f>
      </c>
      <c r="M443" s="50"/>
      <c r="N443" s="50"/>
    </row>
    <row r="444" hidden="1" ht="15.95" customHeight="1">
      <c r="B444" s="277" t="s">
        <v>207</v>
      </c>
      <c r="C444" s="514" t="str">
        <f>INDEX($C256:$II$275,$F$8,38)</f>
      </c>
      <c r="M444" s="50"/>
      <c r="N444" s="50"/>
    </row>
    <row r="445" hidden="1" ht="15.95" customHeight="1">
      <c r="B445" s="277" t="s">
        <v>209</v>
      </c>
      <c r="C445" s="514" t="str">
        <f>INDEX($C458:$II$477,$F$8,38)</f>
      </c>
      <c r="M445" s="50"/>
      <c r="N445" s="50"/>
    </row>
    <row r="446" hidden="1" ht="15.95" customHeight="1">
      <c r="B446" s="277" t="s">
        <v>210</v>
      </c>
      <c r="C446" s="514" t="str">
        <f>INDEX($C279:$II$298,$F$8,38)</f>
      </c>
      <c r="M446" s="50"/>
      <c r="N446" s="50"/>
    </row>
    <row r="447" hidden="1" ht="15.95" customHeight="1">
      <c r="B447" s="277" t="s">
        <v>211</v>
      </c>
      <c r="C447" s="514" t="str">
        <f>INDEX($C302:$II$321,$F$8,38)</f>
      </c>
      <c r="M447" s="50"/>
      <c r="N447" s="50"/>
    </row>
    <row r="448" hidden="1" ht="15.95" customHeight="1">
      <c r="B448" s="277" t="s">
        <v>212</v>
      </c>
      <c r="C448" s="514" t="str">
        <f>INDEX($C325:$II$344,$F$8,38)</f>
      </c>
      <c r="M448" s="50"/>
      <c r="N448" s="50"/>
    </row>
    <row r="449" hidden="1" ht="15.95" customHeight="1">
      <c r="B449" s="277" t="s">
        <v>213</v>
      </c>
      <c r="C449" s="514" t="str">
        <f>INDEX($C348:$II$367,$F$8,38)</f>
      </c>
      <c r="M449" s="50"/>
      <c r="N449" s="50"/>
    </row>
    <row r="450" hidden="1" ht="15.95" customHeight="1">
      <c r="B450" s="277" t="s">
        <v>214</v>
      </c>
      <c r="C450" s="514" t="str">
        <f>INDEX($C371:$II$390,$F$8,38)</f>
      </c>
      <c r="M450" s="50"/>
      <c r="N450" s="50"/>
    </row>
    <row r="451" hidden="1" ht="15.95" customHeight="1">
      <c r="B451" s="277" t="s">
        <v>203</v>
      </c>
      <c r="C451" s="514" t="str">
        <f>INDEX($C481:$II$500,$F$8,38)</f>
      </c>
      <c r="M451" s="50"/>
      <c r="N451" s="50"/>
    </row>
    <row r="452" hidden="1" ht="15.95" customHeight="1">
      <c r="B452" s="278" t="s">
        <v>204</v>
      </c>
      <c r="C452" s="515" t="str">
        <f>INDEX($C394:$II$413,$F$8,38)</f>
      </c>
      <c r="M452" s="50"/>
      <c r="N452" s="50"/>
    </row>
    <row r="453" hidden="1" ht="15.95" customHeight="1">
      <c r="M453" s="50"/>
      <c r="N453" s="50"/>
    </row>
    <row r="454" hidden="1" ht="15.95" customHeight="1"/>
    <row r="455" hidden="1" ht="15.95" customHeight="1"/>
    <row r="456" hidden="1" ht="15.95" customHeight="1">
      <c r="B456" s="274"/>
      <c r="C456" s="659" t="s">
        <v>198</v>
      </c>
      <c r="D456" s="660"/>
      <c r="E456" s="660"/>
      <c r="F456" s="660"/>
      <c r="G456" s="660"/>
      <c r="H456" s="660"/>
      <c r="I456" s="660"/>
      <c r="J456" s="660"/>
      <c r="K456" s="660"/>
      <c r="L456" s="660"/>
      <c r="M456" s="660"/>
      <c r="N456" s="660"/>
      <c r="O456" s="660"/>
      <c r="P456" s="660"/>
      <c r="Q456" s="660"/>
      <c r="R456" s="660"/>
      <c r="S456" s="660"/>
      <c r="T456" s="660"/>
      <c r="U456" s="660"/>
      <c r="V456" s="660"/>
      <c r="W456" s="660"/>
      <c r="X456" s="660"/>
      <c r="Y456" s="660"/>
      <c r="Z456" s="660"/>
      <c r="AA456" s="660"/>
      <c r="AB456" s="661"/>
    </row>
    <row r="457" hidden="1" ht="15.95" customHeight="1">
      <c r="C457" s="435" t="str">
        <f> IF(C477&lt;&gt;"",TEXT(AUX!G$1,"dd-MMM-aa"),"")</f>
      </c>
      <c r="D457" s="435" t="str">
        <f> IF(D477&lt;&gt;"",TEXT(AUX!H$1,"dd-MMM-aa"),"")</f>
      </c>
      <c r="E457" s="435" t="str">
        <f> IF(E477&lt;&gt;"",TEXT(AUX!I$1,"dd-MMM-aa"),"")</f>
      </c>
      <c r="F457" s="435" t="str">
        <f> IF(F477&lt;&gt;"",TEXT(AUX!J$1,"dd-MMM-aa"),"")</f>
      </c>
      <c r="G457" s="435" t="str">
        <f> IF(G477&lt;&gt;"",TEXT(AUX!K$1,"dd-MMM-aa"),"")</f>
      </c>
      <c r="H457" s="435" t="str">
        <f> IF(H477&lt;&gt;"",TEXT(AUX!L$1,"dd-MMM-aa"),"")</f>
      </c>
      <c r="I457" s="435" t="str">
        <f> IF(I477&lt;&gt;"",TEXT(AUX!M$1,"dd-MMM-aa"),"")</f>
      </c>
      <c r="J457" s="435" t="str">
        <f> IF(J477&lt;&gt;"",TEXT(AUX!N$1,"dd-MMM-aa"),"")</f>
      </c>
      <c r="K457" s="435" t="str">
        <f> IF(K477&lt;&gt;"",TEXT(AUX!O$1,"dd-MMM-aa"),"")</f>
      </c>
      <c r="L457" s="435" t="str">
        <f> IF(L477&lt;&gt;"",TEXT(AUX!P$1,"dd-MMM-aa"),"")</f>
      </c>
      <c r="M457" s="435" t="str">
        <f> IF(M477&lt;&gt;"",TEXT(AUX!Q$1,"dd-MMM-aa"),"")</f>
      </c>
      <c r="N457" s="435" t="str">
        <f> IF(N477&lt;&gt;"",TEXT(AUX!R$1,"dd-MMM-aa"),"")</f>
      </c>
      <c r="O457" s="435" t="str">
        <f> IF(O477&lt;&gt;"",TEXT(AUX!S$1,"dd-MMM-aa"),"")</f>
      </c>
      <c r="P457" s="435" t="str">
        <f> IF(P477&lt;&gt;"",TEXT(AUX!T$1,"dd-MMM-aa"),"")</f>
      </c>
      <c r="Q457" s="435" t="str">
        <f> IF(Q477&lt;&gt;"",TEXT(AUX!U$1,"dd-MMM-aa"),"")</f>
      </c>
      <c r="R457" s="435" t="str">
        <f> IF(R477&lt;&gt;"",TEXT(AUX!V$1,"dd-MMM-aa"),"")</f>
      </c>
      <c r="S457" s="435" t="str">
        <f> IF(S477&lt;&gt;"",TEXT(AUX!W$1,"dd-MMM-aa"),"")</f>
      </c>
      <c r="T457" s="435" t="str">
        <f> IF(T477&lt;&gt;"",TEXT(AUX!X$1,"dd-MMM-aa"),"")</f>
      </c>
      <c r="U457" s="435" t="str">
        <f> IF(U477&lt;&gt;"",TEXT(AUX!Y$1,"dd-MMM-aa"),"")</f>
      </c>
      <c r="V457" s="435" t="str">
        <f> IF(V477&lt;&gt;"",TEXT(AUX!Z$1,"dd-MMM-aa"),"")</f>
      </c>
      <c r="W457" s="435" t="str">
        <f> IF(W477&lt;&gt;"",TEXT(AUX!AA$1,"dd-MMM-aa"),"")</f>
      </c>
      <c r="X457" s="435" t="str">
        <f> IF(X477&lt;&gt;"",TEXT(AUX!AB$1,"dd-MMM-aa"),"")</f>
      </c>
      <c r="Y457" s="435" t="str">
        <f> IF(Y477&lt;&gt;"",TEXT(AUX!AC$1,"dd-MMM-aa"),"")</f>
      </c>
      <c r="Z457" s="435" t="str">
        <f> IF(Z477&lt;&gt;"",TEXT(AUX!AD$1,"dd-MMM-aa"),"")</f>
      </c>
      <c r="AA457" s="435" t="str">
        <f> IF(AA477&lt;&gt;"",TEXT(AUX!AE$1,"dd-MMM-aa"),"")</f>
      </c>
      <c r="AB457" s="497" t="str">
        <f> IF(AB477&lt;&gt;"",TEXT(AUX!AF$1,"dd-MMM-aa"),"")</f>
      </c>
      <c r="AC457" s="496" t="str">
        <f> IF(AC477&lt;&gt;"",TEXT(AUX!AG$1,"dd-MMM-aa"),"")</f>
      </c>
      <c r="AD457" s="496" t="str">
        <f> IF(AD477&lt;&gt;"",TEXT(AUX!AH$1,"dd-MMM-aa"),"")</f>
      </c>
      <c r="AE457" s="496" t="str">
        <f> IF(AE477&lt;&gt;"",TEXT(AUX!AI$1,"dd-MMM-aa"),"")</f>
      </c>
      <c r="AF457" s="496" t="str">
        <f> IF(AF477&lt;&gt;"",TEXT(AUX!AJ$1,"dd-MMM-aa"),"")</f>
      </c>
      <c r="AG457" s="496" t="str">
        <f> IF(AG477&lt;&gt;"",TEXT(AUX!AK$1,"dd-MMM-aa"),"")</f>
      </c>
      <c r="AH457" s="496" t="str">
        <f> IF(AH477&lt;&gt;"",TEXT(AUX!AL$1,"dd-MMM-aa"),"")</f>
      </c>
      <c r="AI457" s="496" t="str">
        <f> IF(AI477&lt;&gt;"",TEXT(AUX!AM$1,"dd-MMM-aa"),"")</f>
      </c>
      <c r="AJ457" s="496" t="str">
        <f> IF(AJ477&lt;&gt;"",TEXT(AUX!AN$1,"dd-MMM-aa"),"")</f>
      </c>
      <c r="AK457" s="496" t="str">
        <f> IF(AK477&lt;&gt;"",TEXT(AUX!AO$1,"dd-MMM-aa"),"")</f>
      </c>
      <c r="AL457" s="496" t="str">
        <f> IF(AL477&lt;&gt;"",TEXT(AUX!AP$1,"dd-MMM-aa"),"")</f>
      </c>
      <c r="AM457" s="496" t="str">
        <f> IF(AM477&lt;&gt;"",TEXT(AUX!AQ$1,"dd-MMM-aa"),"")</f>
      </c>
      <c r="AN457" s="496" t="str">
        <f> IF(AN477&lt;&gt;"",TEXT(AUX!AR$1,"dd-MMM-aa"),"")</f>
      </c>
      <c r="AO457" s="496" t="str">
        <f> IF(AO477&lt;&gt;"",TEXT(AUX!AS$1,"dd-MMM-aa"),"")</f>
      </c>
      <c r="AP457" s="496" t="str">
        <f> IF(AP477&lt;&gt;"",TEXT(AUX!AT$1,"dd-MMM-aa"),"")</f>
      </c>
      <c r="AQ457" s="496" t="str">
        <f> IF(AQ477&lt;&gt;"",TEXT(AUX!AU$1,"dd-MMM-aa"),"")</f>
      </c>
      <c r="AR457" s="496" t="str">
        <f> IF(AR477&lt;&gt;"",TEXT(AUX!AV$1,"dd-MMM-aa"),"")</f>
      </c>
      <c r="AS457" s="496" t="str">
        <f> IF(AS477&lt;&gt;"",TEXT(AUX!AW$1,"dd-MMM-aa"),"")</f>
      </c>
      <c r="AT457" s="496" t="str">
        <f> IF(AT477&lt;&gt;"",TEXT(AUX!AX$1,"dd-MMM-aa"),"")</f>
      </c>
      <c r="AU457" s="496" t="str">
        <f> IF(AU477&lt;&gt;"",TEXT(AUX!AY$1,"dd-MMM-aa"),"")</f>
      </c>
      <c r="AV457" s="496" t="str">
        <f> IF(AV477&lt;&gt;"",TEXT(AUX!AZ$1,"dd-MMM-aa"),"")</f>
      </c>
      <c r="AW457" s="496" t="str">
        <f> IF(AW477&lt;&gt;"",TEXT(AUX!BA$1,"dd-MMM-aa"),"")</f>
      </c>
      <c r="AX457" s="496" t="str">
        <f> IF(AX477&lt;&gt;"",TEXT(AUX!BB$1,"dd-MMM-aa"),"")</f>
      </c>
      <c r="AY457" s="496" t="str">
        <f> IF(AY477&lt;&gt;"",TEXT(AUX!BC$1,"dd-MMM-aa"),"")</f>
      </c>
      <c r="AZ457" s="496" t="str">
        <f> IF(AZ477&lt;&gt;"",TEXT(AUX!BD$1,"dd-MMM-aa"),"")</f>
      </c>
      <c r="BA457" s="496" t="str">
        <f> IF(BA477&lt;&gt;"",TEXT(AUX!BE$1,"dd-MMM-aa"),"")</f>
      </c>
      <c r="BB457" s="496" t="str">
        <f> IF(BB477&lt;&gt;"",TEXT(AUX!BF$1,"dd-MMM-aa"),"")</f>
      </c>
      <c r="BC457" s="496" t="str">
        <f> IF(BC477&lt;&gt;"",TEXT(AUX!BG$1,"dd-MMM-aa"),"")</f>
      </c>
      <c r="BD457" s="496" t="str">
        <f> IF(BD477&lt;&gt;"",TEXT(AUX!BH$1,"dd-MMM-aa"),"")</f>
      </c>
      <c r="BE457" s="496" t="str">
        <f> IF(BE477&lt;&gt;"",TEXT(AUX!BI$1,"dd-MMM-aa"),"")</f>
      </c>
      <c r="BF457" s="496" t="str">
        <f> IF(BF477&lt;&gt;"",TEXT(AUX!BJ$1,"dd-MMM-aa"),"")</f>
      </c>
      <c r="BG457" s="496" t="str">
        <f> IF(BG477&lt;&gt;"",TEXT(AUX!BK$1,"dd-MMM-aa"),"")</f>
      </c>
      <c r="BH457" s="496" t="str">
        <f> IF(BH477&lt;&gt;"",TEXT(AUX!BL$1,"dd-MMM-aa"),"")</f>
      </c>
      <c r="BI457" s="496" t="str">
        <f> IF(BI477&lt;&gt;"",TEXT(AUX!BM$1,"dd-MMM-aa"),"")</f>
      </c>
      <c r="BJ457" s="496" t="str">
        <f> IF(BJ477&lt;&gt;"",TEXT(AUX!BN$1,"dd-MMM-aa"),"")</f>
      </c>
      <c r="BK457" s="496" t="str">
        <f> IF(BK477&lt;&gt;"",TEXT(AUX!BO$1,"dd-MMM-aa"),"")</f>
      </c>
      <c r="BL457" s="496" t="str">
        <f> IF(BL477&lt;&gt;"",TEXT(AUX!BP$1,"dd-MMM-aa"),"")</f>
      </c>
      <c r="BM457" s="496" t="str">
        <f> IF(BM477&lt;&gt;"",TEXT(AUX!BQ$1,"dd-MMM-aa"),"")</f>
      </c>
      <c r="BN457" s="496" t="str">
        <f> IF(BN477&lt;&gt;"",TEXT(AUX!BR$1,"dd-MMM-aa"),"")</f>
      </c>
      <c r="BO457" s="496" t="str">
        <f> IF(BO477&lt;&gt;"",TEXT(AUX!BS$1,"dd-MMM-aa"),"")</f>
      </c>
      <c r="BP457" s="496" t="str">
        <f> IF(BP477&lt;&gt;"",TEXT(AUX!BT$1,"dd-MMM-aa"),"")</f>
      </c>
      <c r="BQ457" s="496" t="str">
        <f> IF(BQ477&lt;&gt;"",TEXT(AUX!BU$1,"dd-MMM-aa"),"")</f>
      </c>
      <c r="BR457" s="496" t="str">
        <f> IF(BR477&lt;&gt;"",TEXT(AUX!BV$1,"dd-MMM-aa"),"")</f>
      </c>
      <c r="BS457" s="496" t="str">
        <f> IF(BS477&lt;&gt;"",TEXT(AUX!BW$1,"dd-MMM-aa"),"")</f>
      </c>
      <c r="BT457" s="496" t="str">
        <f> IF(BT477&lt;&gt;"",TEXT(AUX!BX$1,"dd-MMM-aa"),"")</f>
      </c>
      <c r="BU457" s="496" t="str">
        <f> IF(BU477&lt;&gt;"",TEXT(AUX!BY$1,"dd-MMM-aa"),"")</f>
      </c>
      <c r="BV457" s="496" t="str">
        <f> IF(BV477&lt;&gt;"",TEXT(AUX!BZ$1,"dd-MMM-aa"),"")</f>
      </c>
      <c r="BW457" s="496" t="str">
        <f> IF(BW477&lt;&gt;"",TEXT(AUX!CA$1,"dd-MMM-aa"),"")</f>
      </c>
      <c r="BX457" s="496" t="str">
        <f> IF(BX477&lt;&gt;"",TEXT(AUX!CB$1,"dd-MMM-aa"),"")</f>
      </c>
      <c r="BY457" s="496" t="str">
        <f> IF(BY477&lt;&gt;"",TEXT(AUX!CC$1,"dd-MMM-aa"),"")</f>
      </c>
      <c r="BZ457" s="496" t="str">
        <f> IF(BZ477&lt;&gt;"",TEXT(AUX!CD$1,"dd-MMM-aa"),"")</f>
      </c>
      <c r="CA457" s="496" t="str">
        <f> IF(CA477&lt;&gt;"",TEXT(AUX!CE$1,"dd-MMM-aa"),"")</f>
      </c>
      <c r="CB457" s="496" t="str">
        <f> IF(CB477&lt;&gt;"",TEXT(AUX!CF$1,"dd-MMM-aa"),"")</f>
      </c>
      <c r="CC457" s="496" t="str">
        <f> IF(CC477&lt;&gt;"",TEXT(AUX!CG$1,"dd-MMM-aa"),"")</f>
      </c>
      <c r="CD457" s="496" t="str">
        <f> IF(CD477&lt;&gt;"",TEXT(AUX!CH$1,"dd-MMM-aa"),"")</f>
      </c>
      <c r="CE457" s="496" t="str">
        <f> IF(CE477&lt;&gt;"",TEXT(AUX!CI$1,"dd-MMM-aa"),"")</f>
      </c>
      <c r="CF457" s="496" t="str">
        <f> IF(CF477&lt;&gt;"",TEXT(AUX!CJ$1,"dd-MMM-aa"),"")</f>
      </c>
      <c r="CG457" s="496" t="str">
        <f> IF(CG477&lt;&gt;"",TEXT(AUX!CK$1,"dd-MMM-aa"),"")</f>
      </c>
      <c r="CH457" s="496" t="str">
        <f> IF(CH477&lt;&gt;"",TEXT(AUX!CL$1,"dd-MMM-aa"),"")</f>
      </c>
      <c r="CI457" s="496" t="str">
        <f> IF(CI477&lt;&gt;"",TEXT(AUX!CM$1,"dd-MMM-aa"),"")</f>
      </c>
      <c r="CJ457" s="496" t="str">
        <f> IF(CJ477&lt;&gt;"",TEXT(AUX!CN$1,"dd-MMM-aa"),"")</f>
      </c>
      <c r="CK457" s="496" t="str">
        <f> IF(CK477&lt;&gt;"",TEXT(AUX!CO$1,"dd-MMM-aa"),"")</f>
      </c>
      <c r="CL457" s="496" t="str">
        <f> IF(CL477&lt;&gt;"",TEXT(AUX!CP$1,"dd-MMM-aa"),"")</f>
      </c>
      <c r="CM457" s="496" t="str">
        <f> IF(CM477&lt;&gt;"",TEXT(AUX!CQ$1,"dd-MMM-aa"),"")</f>
      </c>
      <c r="CN457" s="496" t="str">
        <f> IF(CN477&lt;&gt;"",TEXT(AUX!CR$1,"dd-MMM-aa"),"")</f>
      </c>
      <c r="CO457" s="496" t="str">
        <f> IF(CO477&lt;&gt;"",TEXT(AUX!CS$1,"dd-MMM-aa"),"")</f>
      </c>
      <c r="CP457" s="496" t="str">
        <f> IF(CP477&lt;&gt;"",TEXT(AUX!CT$1,"dd-MMM-aa"),"")</f>
      </c>
      <c r="CQ457" s="496" t="str">
        <f> IF(CQ477&lt;&gt;"",TEXT(AUX!CU$1,"dd-MMM-aa"),"")</f>
      </c>
      <c r="CR457" s="496" t="str">
        <f> IF(CR477&lt;&gt;"",TEXT(AUX!CV$1,"dd-MMM-aa"),"")</f>
      </c>
      <c r="CS457" s="496" t="str">
        <f> IF(CS477&lt;&gt;"",TEXT(AUX!CW$1,"dd-MMM-aa"),"")</f>
      </c>
      <c r="CT457" s="496" t="str">
        <f> IF(CT477&lt;&gt;"",TEXT(AUX!CX$1,"dd-MMM-aa"),"")</f>
      </c>
      <c r="CU457" s="496" t="str">
        <f> IF(CU477&lt;&gt;"",TEXT(AUX!CY$1,"dd-MMM-aa"),"")</f>
      </c>
      <c r="CV457" s="496" t="str">
        <f> IF(CV477&lt;&gt;"",TEXT(AUX!CZ$1,"dd-MMM-aa"),"")</f>
      </c>
      <c r="CW457" s="496" t="str">
        <f> IF(CW477&lt;&gt;"",TEXT(AUX!DA$1,"dd-MMM-aa"),"")</f>
      </c>
      <c r="CX457" s="496" t="str">
        <f> IF(CX477&lt;&gt;"",TEXT(AUX!DB$1,"dd-MMM-aa"),"")</f>
      </c>
      <c r="CY457" s="496" t="str">
        <f> IF(CY477&lt;&gt;"",TEXT(AUX!DC$1,"dd-MMM-aa"),"")</f>
      </c>
      <c r="CZ457" s="496" t="str">
        <f> IF(CZ477&lt;&gt;"",TEXT(AUX!DD$1,"dd-MMM-aa"),"")</f>
      </c>
      <c r="DA457" s="496" t="str">
        <f> IF(DA477&lt;&gt;"",TEXT(AUX!DE$1,"dd-MMM-aa"),"")</f>
      </c>
      <c r="DB457" s="496" t="str">
        <f> IF(DB477&lt;&gt;"",TEXT(AUX!DF$1,"dd-MMM-aa"),"")</f>
      </c>
      <c r="DC457" s="496" t="str">
        <f> IF(DC477&lt;&gt;"",TEXT(AUX!DG$1,"dd-MMM-aa"),"")</f>
      </c>
      <c r="DD457" s="496" t="str">
        <f> IF(DD477&lt;&gt;"",TEXT(AUX!DH$1,"dd-MMM-aa"),"")</f>
      </c>
      <c r="DE457" s="496" t="str">
        <f> IF(DE477&lt;&gt;"",TEXT(AUX!DI$1,"dd-MMM-aa"),"")</f>
      </c>
      <c r="DF457" s="496" t="str">
        <f> IF(DF477&lt;&gt;"",TEXT(AUX!DJ$1,"dd-MMM-aa"),"")</f>
      </c>
      <c r="DG457" s="496" t="str">
        <f> IF(DG477&lt;&gt;"",TEXT(AUX!DK$1,"dd-MMM-aa"),"")</f>
      </c>
      <c r="DH457" s="496" t="str">
        <f> IF(DH477&lt;&gt;"",TEXT(AUX!DL$1,"dd-MMM-aa"),"")</f>
      </c>
      <c r="DI457" s="496" t="str">
        <f> IF(DI477&lt;&gt;"",TEXT(AUX!DM$1,"dd-MMM-aa"),"")</f>
      </c>
      <c r="DJ457" s="496" t="str">
        <f> IF(DJ477&lt;&gt;"",TEXT(AUX!DN$1,"dd-MMM-aa"),"")</f>
      </c>
      <c r="DK457" s="496" t="str">
        <f> IF(DK477&lt;&gt;"",TEXT(AUX!DO$1,"dd-MMM-aa"),"")</f>
      </c>
      <c r="DL457" s="496" t="str">
        <f> IF(DL477&lt;&gt;"",TEXT(AUX!DP$1,"dd-MMM-aa"),"")</f>
      </c>
      <c r="DM457" s="496" t="str">
        <f> IF(DM477&lt;&gt;"",TEXT(AUX!DQ$1,"dd-MMM-aa"),"")</f>
      </c>
      <c r="DN457" s="496" t="str">
        <f> IF(DN477&lt;&gt;"",TEXT(AUX!DR$1,"dd-MMM-aa"),"")</f>
      </c>
      <c r="DO457" s="496" t="str">
        <f> IF(DO477&lt;&gt;"",TEXT(AUX!DS$1,"dd-MMM-aa"),"")</f>
      </c>
      <c r="DP457" s="496" t="str">
        <f> IF(DP477&lt;&gt;"",TEXT(AUX!DT$1,"dd-MMM-aa"),"")</f>
      </c>
      <c r="DQ457" s="496" t="str">
        <f> IF(DQ477&lt;&gt;"",TEXT(AUX!DU$1,"dd-MMM-aa"),"")</f>
      </c>
      <c r="DR457" s="496" t="str">
        <f> IF(DR477&lt;&gt;"",TEXT(AUX!DV$1,"dd-MMM-aa"),"")</f>
      </c>
      <c r="DS457" s="496" t="str">
        <f> IF(DS477&lt;&gt;"",TEXT(AUX!DW$1,"dd-MMM-aa"),"")</f>
      </c>
      <c r="DT457" s="496" t="str">
        <f> IF(DT477&lt;&gt;"",TEXT(AUX!DX$1,"dd-MMM-aa"),"")</f>
      </c>
      <c r="DU457" s="496" t="str">
        <f> IF(DU477&lt;&gt;"",TEXT(AUX!DY$1,"dd-MMM-aa"),"")</f>
      </c>
      <c r="DV457" s="496" t="str">
        <f> IF(DV477&lt;&gt;"",TEXT(AUX!DZ$1,"dd-MMM-aa"),"")</f>
      </c>
      <c r="DW457" s="496" t="str">
        <f> IF(DW477&lt;&gt;"",TEXT(AUX!EA$1,"dd-MMM-aa"),"")</f>
      </c>
      <c r="DX457" s="496" t="str">
        <f> IF(DX477&lt;&gt;"",TEXT(AUX!EB$1,"dd-MMM-aa"),"")</f>
      </c>
      <c r="DY457" s="496" t="str">
        <f> IF(DY477&lt;&gt;"",TEXT(AUX!EC$1,"dd-MMM-aa"),"")</f>
      </c>
      <c r="DZ457" s="496" t="str">
        <f> IF(DZ477&lt;&gt;"",TEXT(AUX!ED$1,"dd-MMM-aa"),"")</f>
      </c>
      <c r="EA457" s="496" t="str">
        <f> IF(EA477&lt;&gt;"",TEXT(AUX!EE$1,"dd-MMM-aa"),"")</f>
      </c>
      <c r="EB457" s="496" t="str">
        <f> IF(EB477&lt;&gt;"",TEXT(AUX!EF$1,"dd-MMM-aa"),"")</f>
      </c>
      <c r="EC457" s="496" t="str">
        <f> IF(EC477&lt;&gt;"",TEXT(AUX!EG$1,"dd-MMM-aa"),"")</f>
      </c>
      <c r="ED457" s="496" t="str">
        <f> IF(ED477&lt;&gt;"",TEXT(AUX!EH$1,"dd-MMM-aa"),"")</f>
      </c>
      <c r="EE457" s="496" t="str">
        <f> IF(EE477&lt;&gt;"",TEXT(AUX!EI$1,"dd-MMM-aa"),"")</f>
      </c>
      <c r="EF457" s="496" t="str">
        <f> IF(EF477&lt;&gt;"",TEXT(AUX!EJ$1,"dd-MMM-aa"),"")</f>
      </c>
      <c r="EG457" s="496" t="str">
        <f> IF(EG477&lt;&gt;"",TEXT(AUX!EK$1,"dd-MMM-aa"),"")</f>
      </c>
      <c r="EH457" s="496" t="str">
        <f> IF(EH477&lt;&gt;"",TEXT(AUX!EL$1,"dd-MMM-aa"),"")</f>
      </c>
      <c r="EI457" s="496" t="str">
        <f> IF(EI477&lt;&gt;"",TEXT(AUX!EM$1,"dd-MMM-aa"),"")</f>
      </c>
      <c r="EJ457" s="496" t="str">
        <f> IF(EJ477&lt;&gt;"",TEXT(AUX!EN$1,"dd-MMM-aa"),"")</f>
      </c>
      <c r="EK457" s="496" t="str">
        <f> IF(EK477&lt;&gt;"",TEXT(AUX!EO$1,"dd-MMM-aa"),"")</f>
      </c>
      <c r="EL457" s="496" t="str">
        <f> IF(EL477&lt;&gt;"",TEXT(AUX!EP$1,"dd-MMM-aa"),"")</f>
      </c>
      <c r="EM457" s="496" t="str">
        <f> IF(EM477&lt;&gt;"",TEXT(AUX!EQ$1,"dd-MMM-aa"),"")</f>
      </c>
      <c r="EN457" s="496" t="str">
        <f> IF(EN477&lt;&gt;"",TEXT(AUX!ER$1,"dd-MMM-aa"),"")</f>
      </c>
      <c r="EO457" s="496" t="str">
        <f> IF(EO477&lt;&gt;"",TEXT(AUX!ES$1,"dd-MMM-aa"),"")</f>
      </c>
      <c r="EP457" s="496" t="str">
        <f> IF(EP477&lt;&gt;"",TEXT(AUX!ET$1,"dd-MMM-aa"),"")</f>
      </c>
      <c r="EQ457" s="496" t="str">
        <f> IF(EQ477&lt;&gt;"",TEXT(AUX!EU$1,"dd-MMM-aa"),"")</f>
      </c>
      <c r="ER457" s="496" t="str">
        <f> IF(ER477&lt;&gt;"",TEXT(AUX!EV$1,"dd-MMM-aa"),"")</f>
      </c>
      <c r="ES457" s="496" t="str">
        <f> IF(ES477&lt;&gt;"",TEXT(AUX!EW$1,"dd-MMM-aa"),"")</f>
      </c>
      <c r="ET457" s="496" t="str">
        <f> IF(ET477&lt;&gt;"",TEXT(AUX!EX$1,"dd-MMM-aa"),"")</f>
      </c>
      <c r="EU457" s="496" t="str">
        <f> IF(EU477&lt;&gt;"",TEXT(AUX!EY$1,"dd-MMM-aa"),"")</f>
      </c>
      <c r="EV457" s="496" t="str">
        <f> IF(EV477&lt;&gt;"",TEXT(AUX!EZ$1,"dd-MMM-aa"),"")</f>
      </c>
      <c r="EW457" s="496" t="str">
        <f> IF(EW477&lt;&gt;"",TEXT(AUX!FA$1,"dd-MMM-aa"),"")</f>
      </c>
      <c r="EX457" s="496" t="str">
        <f> IF(EX477&lt;&gt;"",TEXT(AUX!FB$1,"dd-MMM-aa"),"")</f>
      </c>
      <c r="EY457" s="496" t="str">
        <f> IF(EY477&lt;&gt;"",TEXT(AUX!FC$1,"dd-MMM-aa"),"")</f>
      </c>
      <c r="EZ457" s="496" t="str">
        <f> IF(EZ477&lt;&gt;"",TEXT(AUX!FD$1,"dd-MMM-aa"),"")</f>
      </c>
      <c r="FA457" s="496" t="str">
        <f> IF(FA477&lt;&gt;"",TEXT(AUX!FE$1,"dd-MMM-aa"),"")</f>
      </c>
      <c r="FB457" s="496" t="str">
        <f> IF(FB477&lt;&gt;"",TEXT(AUX!FF$1,"dd-MMM-aa"),"")</f>
      </c>
      <c r="FC457" s="496" t="str">
        <f> IF(FC477&lt;&gt;"",TEXT(AUX!FG$1,"dd-MMM-aa"),"")</f>
      </c>
      <c r="FD457" s="496" t="str">
        <f> IF(FD477&lt;&gt;"",TEXT(AUX!FH$1,"dd-MMM-aa"),"")</f>
      </c>
      <c r="FE457" s="496" t="str">
        <f> IF(FE477&lt;&gt;"",TEXT(AUX!FI$1,"dd-MMM-aa"),"")</f>
      </c>
      <c r="FF457" s="496" t="str">
        <f> IF(FF477&lt;&gt;"",TEXT(AUX!FJ$1,"dd-MMM-aa"),"")</f>
      </c>
      <c r="FG457" s="496" t="str">
        <f> IF(FG477&lt;&gt;"",TEXT(AUX!FK$1,"dd-MMM-aa"),"")</f>
      </c>
      <c r="FH457" s="496" t="str">
        <f> IF(FH477&lt;&gt;"",TEXT(AUX!FL$1,"dd-MMM-aa"),"")</f>
      </c>
      <c r="FI457" s="496" t="str">
        <f> IF(FI477&lt;&gt;"",TEXT(AUX!FM$1,"dd-MMM-aa"),"")</f>
      </c>
      <c r="FJ457" s="496" t="str">
        <f> IF(FJ477&lt;&gt;"",TEXT(AUX!FN$1,"dd-MMM-aa"),"")</f>
      </c>
      <c r="FK457" s="496" t="str">
        <f> IF(FK477&lt;&gt;"",TEXT(AUX!FO$1,"dd-MMM-aa"),"")</f>
      </c>
      <c r="FL457" s="496" t="str">
        <f> IF(FL477&lt;&gt;"",TEXT(AUX!FP$1,"dd-MMM-aa"),"")</f>
      </c>
      <c r="FM457" s="496" t="str">
        <f> IF(FM477&lt;&gt;"",TEXT(AUX!FQ$1,"dd-MMM-aa"),"")</f>
      </c>
      <c r="FN457" s="496" t="str">
        <f> IF(FN477&lt;&gt;"",TEXT(AUX!FR$1,"dd-MMM-aa"),"")</f>
      </c>
      <c r="FO457" s="496" t="str">
        <f> IF(FO477&lt;&gt;"",TEXT(AUX!FS$1,"dd-MMM-aa"),"")</f>
      </c>
      <c r="FP457" s="496" t="str">
        <f> IF(FP477&lt;&gt;"",TEXT(AUX!FT$1,"dd-MMM-aa"),"")</f>
      </c>
      <c r="FQ457" s="496" t="str">
        <f> IF(FQ477&lt;&gt;"",TEXT(AUX!FU$1,"dd-MMM-aa"),"")</f>
      </c>
      <c r="FR457" s="496" t="str">
        <f> IF(FR477&lt;&gt;"",TEXT(AUX!FV$1,"dd-MMM-aa"),"")</f>
      </c>
      <c r="FS457" s="496" t="str">
        <f> IF(FS477&lt;&gt;"",TEXT(AUX!FW$1,"dd-MMM-aa"),"")</f>
      </c>
      <c r="FT457" s="496" t="str">
        <f> IF(FT477&lt;&gt;"",TEXT(AUX!FX$1,"dd-MMM-aa"),"")</f>
      </c>
      <c r="FU457" s="496" t="str">
        <f> IF(FU477&lt;&gt;"",TEXT(AUX!FY$1,"dd-MMM-aa"),"")</f>
      </c>
      <c r="FV457" s="496" t="str">
        <f> IF(FV477&lt;&gt;"",TEXT(AUX!FZ$1,"dd-MMM-aa"),"")</f>
      </c>
      <c r="FW457" s="496" t="str">
        <f> IF(FW477&lt;&gt;"",TEXT(AUX!GA$1,"dd-MMM-aa"),"")</f>
      </c>
      <c r="FX457" s="496" t="str">
        <f> IF(FX477&lt;&gt;"",TEXT(AUX!GB$1,"dd-MMM-aa"),"")</f>
      </c>
      <c r="FY457" s="496" t="str">
        <f> IF(FY477&lt;&gt;"",TEXT(AUX!GC$1,"dd-MMM-aa"),"")</f>
      </c>
      <c r="FZ457" s="496" t="str">
        <f> IF(FZ477&lt;&gt;"",TEXT(AUX!GD$1,"dd-MMM-aa"),"")</f>
      </c>
      <c r="GA457" s="496" t="str">
        <f> IF(GA477&lt;&gt;"",TEXT(AUX!GE$1,"dd-MMM-aa"),"")</f>
      </c>
      <c r="GB457" s="496" t="str">
        <f> IF(GB477&lt;&gt;"",TEXT(AUX!GF$1,"dd-MMM-aa"),"")</f>
      </c>
      <c r="GC457" s="496" t="str">
        <f> IF(GC477&lt;&gt;"",TEXT(AUX!GG$1,"dd-MMM-aa"),"")</f>
      </c>
      <c r="GD457" s="496" t="str">
        <f> IF(GD477&lt;&gt;"",TEXT(AUX!GH$1,"dd-MMM-aa"),"")</f>
      </c>
      <c r="GE457" s="496" t="str">
        <f> IF(GE477&lt;&gt;"",TEXT(AUX!GI$1,"dd-MMM-aa"),"")</f>
      </c>
      <c r="GF457" s="496" t="str">
        <f> IF(GF477&lt;&gt;"",TEXT(AUX!GJ$1,"dd-MMM-aa"),"")</f>
      </c>
      <c r="GG457" s="496" t="str">
        <f> IF(GG477&lt;&gt;"",TEXT(AUX!GK$1,"dd-MMM-aa"),"")</f>
      </c>
      <c r="GH457" s="496" t="str">
        <f> IF(GH477&lt;&gt;"",TEXT(AUX!GL$1,"dd-MMM-aa"),"")</f>
      </c>
      <c r="GI457" s="496" t="str">
        <f> IF(GI477&lt;&gt;"",TEXT(AUX!GM$1,"dd-MMM-aa"),"")</f>
      </c>
      <c r="GJ457" s="496" t="str">
        <f> IF(GJ477&lt;&gt;"",TEXT(AUX!GN$1,"dd-MMM-aa"),"")</f>
      </c>
      <c r="GK457" s="496" t="str">
        <f> IF(GK477&lt;&gt;"",TEXT(AUX!GO$1,"dd-MMM-aa"),"")</f>
      </c>
      <c r="GL457" s="496" t="str">
        <f> IF(GL477&lt;&gt;"",TEXT(AUX!GP$1,"dd-MMM-aa"),"")</f>
      </c>
      <c r="GM457" s="496" t="str">
        <f> IF(GM477&lt;&gt;"",TEXT(AUX!GQ$1,"dd-MMM-aa"),"")</f>
      </c>
      <c r="GN457" s="496" t="str">
        <f> IF(GN477&lt;&gt;"",TEXT(AUX!GR$1,"dd-MMM-aa"),"")</f>
      </c>
      <c r="GO457" s="496" t="str">
        <f> IF(GO477&lt;&gt;"",TEXT(AUX!GS$1,"dd-MMM-aa"),"")</f>
      </c>
      <c r="GP457" s="496" t="str">
        <f> IF(GP477&lt;&gt;"",TEXT(AUX!GT$1,"dd-MMM-aa"),"")</f>
      </c>
      <c r="GQ457" s="496" t="str">
        <f> IF(GQ477&lt;&gt;"",TEXT(AUX!GU$1,"dd-MMM-aa"),"")</f>
      </c>
      <c r="GR457" s="496" t="str">
        <f> IF(GR477&lt;&gt;"",TEXT(AUX!GV$1,"dd-MMM-aa"),"")</f>
      </c>
      <c r="GS457" s="496" t="str">
        <f> IF(GS477&lt;&gt;"",TEXT(AUX!GW$1,"dd-MMM-aa"),"")</f>
      </c>
      <c r="GT457" s="496" t="str">
        <f> IF(GT477&lt;&gt;"",TEXT(AUX!GX$1,"dd-MMM-aa"),"")</f>
      </c>
      <c r="GU457" s="496" t="str">
        <f> IF(GU477&lt;&gt;"",TEXT(AUX!GY$1,"dd-MMM-aa"),"")</f>
      </c>
      <c r="GV457" s="496" t="str">
        <f> IF(GV477&lt;&gt;"",TEXT(AUX!GZ$1,"dd-MMM-aa"),"")</f>
      </c>
      <c r="GW457" s="496" t="str">
        <f> IF(GW477&lt;&gt;"",TEXT(AUX!HA$1,"dd-MMM-aa"),"")</f>
      </c>
      <c r="GX457" s="496" t="str">
        <f> IF(GX477&lt;&gt;"",TEXT(AUX!HB$1,"dd-MMM-aa"),"")</f>
      </c>
      <c r="GY457" s="496" t="str">
        <f> IF(GY477&lt;&gt;"",TEXT(AUX!HC$1,"dd-MMM-aa"),"")</f>
      </c>
      <c r="GZ457" s="496" t="str">
        <f> IF(GZ477&lt;&gt;"",TEXT(AUX!HD$1,"dd-MMM-aa"),"")</f>
      </c>
      <c r="HA457" s="496" t="str">
        <f> IF(HA477&lt;&gt;"",TEXT(AUX!HE$1,"dd-MMM-aa"),"")</f>
      </c>
      <c r="HB457" s="496" t="str">
        <f> IF(HB477&lt;&gt;"",TEXT(AUX!HF$1,"dd-MMM-aa"),"")</f>
      </c>
      <c r="HC457" s="496" t="str">
        <f> IF(HC477&lt;&gt;"",TEXT(AUX!HG$1,"dd-MMM-aa"),"")</f>
      </c>
      <c r="HD457" s="496" t="str">
        <f> IF(HD477&lt;&gt;"",TEXT(AUX!HH$1,"dd-MMM-aa"),"")</f>
      </c>
      <c r="HE457" s="496" t="str">
        <f> IF(HE477&lt;&gt;"",TEXT(AUX!HI$1,"dd-MMM-aa"),"")</f>
      </c>
      <c r="HF457" s="496" t="str">
        <f> IF(HF477&lt;&gt;"",TEXT(AUX!HJ$1,"dd-MMM-aa"),"")</f>
      </c>
      <c r="HG457" s="496" t="str">
        <f> IF(HG477&lt;&gt;"",TEXT(AUX!HK$1,"dd-MMM-aa"),"")</f>
      </c>
      <c r="HH457" s="496" t="str">
        <f> IF(HH477&lt;&gt;"",TEXT(AUX!HL$1,"dd-MMM-aa"),"")</f>
      </c>
      <c r="HI457" s="496" t="str">
        <f> IF(HI477&lt;&gt;"",TEXT(AUX!HM$1,"dd-MMM-aa"),"")</f>
      </c>
      <c r="HJ457" s="496" t="str">
        <f> IF(HJ477&lt;&gt;"",TEXT(AUX!HN$1,"dd-MMM-aa"),"")</f>
      </c>
      <c r="HK457" s="496" t="str">
        <f> IF(HK477&lt;&gt;"",TEXT(AUX!HO$1,"dd-MMM-aa"),"")</f>
      </c>
      <c r="HL457" s="496" t="str">
        <f> IF(HL477&lt;&gt;"",TEXT(AUX!HP$1,"dd-MMM-aa"),"")</f>
      </c>
      <c r="HM457" s="496" t="str">
        <f> IF(HM477&lt;&gt;"",TEXT(AUX!HQ$1,"dd-MMM-aa"),"")</f>
      </c>
      <c r="HN457" s="496" t="str">
        <f> IF(HN477&lt;&gt;"",TEXT(AUX!HR$1,"dd-MMM-aa"),"")</f>
      </c>
      <c r="HO457" s="496" t="str">
        <f> IF(HO477&lt;&gt;"",TEXT(AUX!HS$1,"dd-MMM-aa"),"")</f>
      </c>
      <c r="HP457" s="496" t="str">
        <f> IF(HP477&lt;&gt;"",TEXT(AUX!HT$1,"dd-MMM-aa"),"")</f>
      </c>
      <c r="HQ457" s="496" t="str">
        <f> IF(HQ477&lt;&gt;"",TEXT(AUX!HU$1,"dd-MMM-aa"),"")</f>
      </c>
      <c r="HR457" s="496" t="str">
        <f> IF(HR477&lt;&gt;"",TEXT(AUX!HV$1,"dd-MMM-aa"),"")</f>
      </c>
      <c r="HS457" s="496" t="str">
        <f> IF(HS477&lt;&gt;"",TEXT(AUX!HW$1,"dd-MMM-aa"),"")</f>
      </c>
      <c r="HT457" s="496" t="str">
        <f> IF(HT477&lt;&gt;"",TEXT(AUX!HX$1,"dd-MMM-aa"),"")</f>
      </c>
      <c r="HU457" s="496" t="str">
        <f> IF(HU477&lt;&gt;"",TEXT(AUX!HY$1,"dd-MMM-aa"),"")</f>
      </c>
      <c r="HV457" s="496" t="str">
        <f> IF(HV477&lt;&gt;"",TEXT(AUX!HZ$1,"dd-MMM-aa"),"")</f>
      </c>
      <c r="HW457" s="496" t="str">
        <f> IF(HW477&lt;&gt;"",TEXT(AUX!IA$1,"dd-MMM-aa"),"")</f>
      </c>
      <c r="HX457" s="496" t="str">
        <f> IF(HX477&lt;&gt;"",TEXT(AUX!IB$1,"dd-MMM-aa"),"")</f>
      </c>
      <c r="HY457" s="496" t="str">
        <f> IF(HY477&lt;&gt;"",TEXT(AUX!IC$1,"dd-MMM-aa"),"")</f>
      </c>
      <c r="HZ457" s="496" t="str">
        <f> IF(HZ477&lt;&gt;"",TEXT(AUX!ID$1,"dd-MMM-aa"),"")</f>
      </c>
      <c r="IA457" s="496" t="str">
        <f> IF(IA477&lt;&gt;"",TEXT(AUX!IE$1,"dd-MMM-aa"),"")</f>
      </c>
      <c r="IB457" s="496" t="str">
        <f> IF(IB477&lt;&gt;"",TEXT(AUX!IF$1,"dd-MMM-aa"),"")</f>
      </c>
      <c r="IC457" s="496" t="str">
        <f> IF(IC477&lt;&gt;"",TEXT(AUX!IG$1,"dd-MMM-aa"),"")</f>
      </c>
      <c r="ID457" s="496" t="str">
        <f> IF(ID477&lt;&gt;"",TEXT(AUX!IH$1,"dd-MMM-aa"),"")</f>
      </c>
      <c r="IE457" s="496" t="str">
        <f> IF(IE477&lt;&gt;"",TEXT(AUX!II$1,"dd-MMM-aa"),"")</f>
      </c>
      <c r="IF457" s="496" t="str">
        <f> IF(IF477&lt;&gt;"",TEXT(AUX!IJ$1,"dd-MMM-aa"),"")</f>
      </c>
      <c r="IG457" s="496" t="str">
        <f> IF(IG477&lt;&gt;"",TEXT(AUX!IK$1,"dd-MMM-aa"),"")</f>
      </c>
      <c r="IH457" s="496" t="str">
        <f> IF(IH477&lt;&gt;"",TEXT(AUX!IL$1,"dd-MMM-aa"),"")</f>
      </c>
      <c r="II457" s="496" t="str">
        <f> IF(II477&lt;&gt;"",TEXT(AUX!IM$1,"dd-MMM-aa"),"")</f>
      </c>
      <c r="IJ457" s="496" t="str">
        <f> IF(IJ477&lt;&gt;"",TEXT(AUX!IN$1,"dd-MMM-aa"),"")</f>
      </c>
      <c r="IK457" s="496" t="str">
        <f> IF(IK477&lt;&gt;"",TEXT(AUX!IO$1,"dd-MMM-aa"),"")</f>
      </c>
      <c r="IL457" s="496" t="str">
        <f> IF(IL477&lt;&gt;"",TEXT(AUX!IP$1,"dd-MMM-aa"),"")</f>
      </c>
      <c r="IM457" s="496" t="str">
        <f> IF(IM477&lt;&gt;"",TEXT(AUX!IQ$1,"dd-MMM-aa"),"")</f>
      </c>
      <c r="IN457" s="496" t="str">
        <f> IF(IN477&lt;&gt;"",TEXT(AUX!IR$1,"dd-MMM-aa"),"")</f>
      </c>
      <c r="IO457" s="496" t="str">
        <f> IF(IO477&lt;&gt;"",TEXT(AUX!IS$1,"dd-MMM-aa"),"")</f>
      </c>
      <c r="IP457" s="496" t="str">
        <f> IF(IP477&lt;&gt;"",TEXT(AUX!IT$1,"dd-MMM-aa"),"")</f>
      </c>
      <c r="IQ457" s="496" t="str">
        <f> IF(IQ477&lt;&gt;"",TEXT(AUX!IU$1,"dd-MMM-aa"),"")</f>
      </c>
      <c r="IR457" s="496" t="str">
        <f> IF(IR477&lt;&gt;"",TEXT(AUX!IV$1,"dd-MMM-aa"),"")</f>
      </c>
      <c r="IS457" s="496" t="str">
        <f> IF(IS477&lt;&gt;"",TEXT(AUX!#REF!,"dd-MMM-aa"),"")</f>
      </c>
      <c r="IT457" s="496" t="str">
        <f> IF(IT477&lt;&gt;"",TEXT(AUX!#REF!,"dd-MMM-aa"),"")</f>
      </c>
      <c r="IU457" s="496" t="str">
        <f> IF(IU477&lt;&gt;"",TEXT(AUX!#REF!,"dd-MMM-aa"),"")</f>
      </c>
      <c r="IV457" s="496" t="str">
        <f> IF(IV477&lt;&gt;"",TEXT(AUX!#REF!,"dd-MMM-aa"),"")</f>
      </c>
    </row>
    <row r="458" hidden="1" ht="15.95" customHeight="1">
      <c r="B458" s="822" t="s">
        <v>8</v>
      </c>
      <c r="C458" s="823">
        <v>0</v>
      </c>
      <c r="D458" s="823">
        <v>0</v>
      </c>
      <c r="E458" s="823">
        <v>0</v>
      </c>
      <c r="F458" s="823">
        <v>0</v>
      </c>
      <c r="G458" s="823">
        <v>0</v>
      </c>
      <c r="H458" s="823">
        <v>0</v>
      </c>
      <c r="I458" s="823">
        <v>0</v>
      </c>
      <c r="J458" s="823">
        <v>0</v>
      </c>
      <c r="K458" s="823">
        <v>0</v>
      </c>
      <c r="L458" s="823">
        <v>0</v>
      </c>
      <c r="M458" s="823">
        <v>0</v>
      </c>
      <c r="N458" s="823">
        <v>0</v>
      </c>
      <c r="O458" s="823">
        <v>0</v>
      </c>
      <c r="P458" s="823">
        <v>0</v>
      </c>
      <c r="Q458" s="823">
        <v>0</v>
      </c>
      <c r="R458" s="823">
        <v>0</v>
      </c>
      <c r="S458" s="823">
        <v>0</v>
      </c>
      <c r="T458" s="823">
        <v>0</v>
      </c>
      <c r="U458" s="823">
        <v>0</v>
      </c>
      <c r="V458" s="823">
        <v>0</v>
      </c>
      <c r="W458" s="823">
        <v>0</v>
      </c>
      <c r="X458" s="823">
        <v>0</v>
      </c>
      <c r="Y458" s="823">
        <v>0</v>
      </c>
      <c r="Z458" s="823">
        <v>0</v>
      </c>
      <c r="AA458" s="823">
        <v>0</v>
      </c>
      <c r="AB458" s="824">
        <v>0</v>
      </c>
      <c r="AC458" s="825">
        <v>0</v>
      </c>
      <c r="AD458" s="825">
        <v>0</v>
      </c>
      <c r="AE458" s="825">
        <v>0</v>
      </c>
      <c r="AF458" s="825">
        <v>0</v>
      </c>
      <c r="AG458" s="825">
        <v>0</v>
      </c>
      <c r="AH458" s="825">
        <v>0</v>
      </c>
      <c r="AI458" s="825">
        <v>0</v>
      </c>
      <c r="AJ458" s="825">
        <v>1006</v>
      </c>
      <c r="AK458" s="825">
        <v>996</v>
      </c>
      <c r="AL458" s="825">
        <v>993</v>
      </c>
      <c r="AM458" s="825">
        <v>952</v>
      </c>
      <c r="AN458" s="825">
        <v>942</v>
      </c>
      <c r="AO458" s="825">
        <v>918</v>
      </c>
      <c r="AP458" s="825">
        <v>910</v>
      </c>
    </row>
    <row r="459" hidden="1" ht="15.95" customHeight="1">
      <c r="B459" s="826" t="s">
        <v>9</v>
      </c>
      <c r="C459" s="827">
        <v>0</v>
      </c>
      <c r="D459" s="827">
        <v>0</v>
      </c>
      <c r="E459" s="827">
        <v>0</v>
      </c>
      <c r="F459" s="827">
        <v>0</v>
      </c>
      <c r="G459" s="827">
        <v>0</v>
      </c>
      <c r="H459" s="827">
        <v>0</v>
      </c>
      <c r="I459" s="827">
        <v>0</v>
      </c>
      <c r="J459" s="827">
        <v>0</v>
      </c>
      <c r="K459" s="827">
        <v>0</v>
      </c>
      <c r="L459" s="827">
        <v>0</v>
      </c>
      <c r="M459" s="827">
        <v>0</v>
      </c>
      <c r="N459" s="827">
        <v>0</v>
      </c>
      <c r="O459" s="827">
        <v>0</v>
      </c>
      <c r="P459" s="827">
        <v>0</v>
      </c>
      <c r="Q459" s="827">
        <v>0</v>
      </c>
      <c r="R459" s="827">
        <v>0</v>
      </c>
      <c r="S459" s="827">
        <v>0</v>
      </c>
      <c r="T459" s="827">
        <v>0</v>
      </c>
      <c r="U459" s="827">
        <v>0</v>
      </c>
      <c r="V459" s="827">
        <v>0</v>
      </c>
      <c r="W459" s="827">
        <v>0</v>
      </c>
      <c r="X459" s="827">
        <v>0</v>
      </c>
      <c r="Y459" s="827">
        <v>0</v>
      </c>
      <c r="Z459" s="827">
        <v>0</v>
      </c>
      <c r="AA459" s="827">
        <v>0</v>
      </c>
      <c r="AB459" s="827">
        <v>0</v>
      </c>
      <c r="AC459" s="828">
        <v>0</v>
      </c>
      <c r="AD459" s="828">
        <v>0</v>
      </c>
      <c r="AE459" s="828">
        <v>0</v>
      </c>
      <c r="AF459" s="828">
        <v>0</v>
      </c>
      <c r="AG459" s="828">
        <v>0</v>
      </c>
      <c r="AH459" s="828">
        <v>0</v>
      </c>
      <c r="AI459" s="828">
        <v>0</v>
      </c>
      <c r="AJ459" s="828">
        <v>0</v>
      </c>
      <c r="AK459" s="828">
        <v>0</v>
      </c>
      <c r="AL459" s="828">
        <v>0</v>
      </c>
      <c r="AM459" s="828">
        <v>0</v>
      </c>
      <c r="AN459" s="828">
        <v>0</v>
      </c>
      <c r="AO459" s="828">
        <v>0</v>
      </c>
      <c r="AP459" s="828">
        <v>0</v>
      </c>
    </row>
    <row r="460" hidden="1" ht="15.95" customHeight="1">
      <c r="B460" s="829" t="s">
        <v>10</v>
      </c>
      <c r="C460" s="823">
        <v>0</v>
      </c>
      <c r="D460" s="823">
        <v>0</v>
      </c>
      <c r="E460" s="823">
        <v>0</v>
      </c>
      <c r="F460" s="823">
        <v>0</v>
      </c>
      <c r="G460" s="823">
        <v>0</v>
      </c>
      <c r="H460" s="823">
        <v>0</v>
      </c>
      <c r="I460" s="823">
        <v>0</v>
      </c>
      <c r="J460" s="823">
        <v>0</v>
      </c>
      <c r="K460" s="823">
        <v>0</v>
      </c>
      <c r="L460" s="823">
        <v>0</v>
      </c>
      <c r="M460" s="823">
        <v>0</v>
      </c>
      <c r="N460" s="823">
        <v>0</v>
      </c>
      <c r="O460" s="823">
        <v>0</v>
      </c>
      <c r="P460" s="823">
        <v>0</v>
      </c>
      <c r="Q460" s="823">
        <v>0</v>
      </c>
      <c r="R460" s="823">
        <v>0</v>
      </c>
      <c r="S460" s="823">
        <v>0</v>
      </c>
      <c r="T460" s="823">
        <v>0</v>
      </c>
      <c r="U460" s="823">
        <v>0</v>
      </c>
      <c r="V460" s="823">
        <v>0</v>
      </c>
      <c r="W460" s="823">
        <v>0</v>
      </c>
      <c r="X460" s="823">
        <v>0</v>
      </c>
      <c r="Y460" s="823">
        <v>0</v>
      </c>
      <c r="Z460" s="823">
        <v>0</v>
      </c>
      <c r="AA460" s="823">
        <v>0</v>
      </c>
      <c r="AB460" s="823">
        <v>0</v>
      </c>
      <c r="AC460" s="825">
        <v>0</v>
      </c>
      <c r="AD460" s="825">
        <v>0</v>
      </c>
      <c r="AE460" s="825">
        <v>0</v>
      </c>
      <c r="AF460" s="825">
        <v>0</v>
      </c>
      <c r="AG460" s="825">
        <v>0</v>
      </c>
      <c r="AH460" s="825">
        <v>0</v>
      </c>
      <c r="AI460" s="825">
        <v>0</v>
      </c>
      <c r="AJ460" s="825">
        <v>19</v>
      </c>
      <c r="AK460" s="825">
        <v>17</v>
      </c>
      <c r="AL460" s="825">
        <v>17</v>
      </c>
      <c r="AM460" s="825">
        <v>17</v>
      </c>
      <c r="AN460" s="825">
        <v>18</v>
      </c>
      <c r="AO460" s="825">
        <v>18</v>
      </c>
      <c r="AP460" s="825">
        <v>18</v>
      </c>
    </row>
    <row r="461" hidden="1" ht="15.95" customHeight="1">
      <c r="B461" s="826" t="s">
        <v>11</v>
      </c>
      <c r="C461" s="827">
        <v>0</v>
      </c>
      <c r="D461" s="827">
        <v>0</v>
      </c>
      <c r="E461" s="827">
        <v>0</v>
      </c>
      <c r="F461" s="827">
        <v>0</v>
      </c>
      <c r="G461" s="827">
        <v>0</v>
      </c>
      <c r="H461" s="827">
        <v>0</v>
      </c>
      <c r="I461" s="827">
        <v>0</v>
      </c>
      <c r="J461" s="827">
        <v>0</v>
      </c>
      <c r="K461" s="827">
        <v>0</v>
      </c>
      <c r="L461" s="827">
        <v>0</v>
      </c>
      <c r="M461" s="827">
        <v>0</v>
      </c>
      <c r="N461" s="827">
        <v>0</v>
      </c>
      <c r="O461" s="827">
        <v>0</v>
      </c>
      <c r="P461" s="827">
        <v>0</v>
      </c>
      <c r="Q461" s="827">
        <v>0</v>
      </c>
      <c r="R461" s="827">
        <v>0</v>
      </c>
      <c r="S461" s="827">
        <v>0</v>
      </c>
      <c r="T461" s="827">
        <v>0</v>
      </c>
      <c r="U461" s="827">
        <v>0</v>
      </c>
      <c r="V461" s="827">
        <v>0</v>
      </c>
      <c r="W461" s="827">
        <v>0</v>
      </c>
      <c r="X461" s="827">
        <v>0</v>
      </c>
      <c r="Y461" s="827">
        <v>0</v>
      </c>
      <c r="Z461" s="827">
        <v>0</v>
      </c>
      <c r="AA461" s="827">
        <v>0</v>
      </c>
      <c r="AB461" s="827">
        <v>0</v>
      </c>
      <c r="AC461" s="828">
        <v>0</v>
      </c>
      <c r="AD461" s="828">
        <v>0</v>
      </c>
      <c r="AE461" s="828">
        <v>0</v>
      </c>
      <c r="AF461" s="828">
        <v>0</v>
      </c>
      <c r="AG461" s="828">
        <v>0</v>
      </c>
      <c r="AH461" s="828">
        <v>0</v>
      </c>
      <c r="AI461" s="828">
        <v>0</v>
      </c>
      <c r="AJ461" s="828">
        <v>1</v>
      </c>
      <c r="AK461" s="828">
        <v>1</v>
      </c>
      <c r="AL461" s="828">
        <v>1</v>
      </c>
      <c r="AM461" s="828">
        <v>1</v>
      </c>
      <c r="AN461" s="828">
        <v>2</v>
      </c>
      <c r="AO461" s="828">
        <v>2</v>
      </c>
      <c r="AP461" s="828">
        <v>2</v>
      </c>
    </row>
    <row r="462" hidden="1" ht="15.95" customHeight="1">
      <c r="B462" s="829" t="s">
        <v>12</v>
      </c>
      <c r="C462" s="823">
        <v>0</v>
      </c>
      <c r="D462" s="823">
        <v>0</v>
      </c>
      <c r="E462" s="823">
        <v>0</v>
      </c>
      <c r="F462" s="823">
        <v>0</v>
      </c>
      <c r="G462" s="823">
        <v>0</v>
      </c>
      <c r="H462" s="823">
        <v>0</v>
      </c>
      <c r="I462" s="823">
        <v>0</v>
      </c>
      <c r="J462" s="823">
        <v>0</v>
      </c>
      <c r="K462" s="823">
        <v>0</v>
      </c>
      <c r="L462" s="823">
        <v>0</v>
      </c>
      <c r="M462" s="823">
        <v>0</v>
      </c>
      <c r="N462" s="823">
        <v>0</v>
      </c>
      <c r="O462" s="823">
        <v>0</v>
      </c>
      <c r="P462" s="823">
        <v>0</v>
      </c>
      <c r="Q462" s="823">
        <v>0</v>
      </c>
      <c r="R462" s="823">
        <v>0</v>
      </c>
      <c r="S462" s="823">
        <v>0</v>
      </c>
      <c r="T462" s="823">
        <v>0</v>
      </c>
      <c r="U462" s="823">
        <v>0</v>
      </c>
      <c r="V462" s="823">
        <v>0</v>
      </c>
      <c r="W462" s="823">
        <v>0</v>
      </c>
      <c r="X462" s="823">
        <v>0</v>
      </c>
      <c r="Y462" s="823">
        <v>0</v>
      </c>
      <c r="Z462" s="823">
        <v>0</v>
      </c>
      <c r="AA462" s="823">
        <v>0</v>
      </c>
      <c r="AB462" s="823">
        <v>0</v>
      </c>
      <c r="AC462" s="825">
        <v>0</v>
      </c>
      <c r="AD462" s="825">
        <v>0</v>
      </c>
      <c r="AE462" s="825">
        <v>0</v>
      </c>
      <c r="AF462" s="825">
        <v>0</v>
      </c>
      <c r="AG462" s="825">
        <v>0</v>
      </c>
      <c r="AH462" s="825">
        <v>0</v>
      </c>
      <c r="AI462" s="825">
        <v>0</v>
      </c>
      <c r="AJ462" s="825">
        <v>2</v>
      </c>
      <c r="AK462" s="825">
        <v>2</v>
      </c>
      <c r="AL462" s="825">
        <v>2</v>
      </c>
      <c r="AM462" s="825">
        <v>2</v>
      </c>
      <c r="AN462" s="825">
        <v>1</v>
      </c>
      <c r="AO462" s="825">
        <v>1</v>
      </c>
      <c r="AP462" s="825">
        <v>1</v>
      </c>
    </row>
    <row r="463" hidden="1" ht="15.95" customHeight="1">
      <c r="B463" s="826" t="s">
        <v>13</v>
      </c>
      <c r="C463" s="827">
        <v>0</v>
      </c>
      <c r="D463" s="827">
        <v>0</v>
      </c>
      <c r="E463" s="827">
        <v>0</v>
      </c>
      <c r="F463" s="827">
        <v>0</v>
      </c>
      <c r="G463" s="827">
        <v>0</v>
      </c>
      <c r="H463" s="827">
        <v>0</v>
      </c>
      <c r="I463" s="827">
        <v>0</v>
      </c>
      <c r="J463" s="827">
        <v>0</v>
      </c>
      <c r="K463" s="827">
        <v>0</v>
      </c>
      <c r="L463" s="827">
        <v>0</v>
      </c>
      <c r="M463" s="827">
        <v>0</v>
      </c>
      <c r="N463" s="827">
        <v>0</v>
      </c>
      <c r="O463" s="827">
        <v>0</v>
      </c>
      <c r="P463" s="827">
        <v>0</v>
      </c>
      <c r="Q463" s="827">
        <v>0</v>
      </c>
      <c r="R463" s="827">
        <v>0</v>
      </c>
      <c r="S463" s="827">
        <v>0</v>
      </c>
      <c r="T463" s="827">
        <v>0</v>
      </c>
      <c r="U463" s="827">
        <v>0</v>
      </c>
      <c r="V463" s="827">
        <v>0</v>
      </c>
      <c r="W463" s="827">
        <v>0</v>
      </c>
      <c r="X463" s="827">
        <v>0</v>
      </c>
      <c r="Y463" s="827">
        <v>0</v>
      </c>
      <c r="Z463" s="827">
        <v>0</v>
      </c>
      <c r="AA463" s="827">
        <v>0</v>
      </c>
      <c r="AB463" s="827">
        <v>0</v>
      </c>
      <c r="AC463" s="828">
        <v>0</v>
      </c>
      <c r="AD463" s="828">
        <v>0</v>
      </c>
      <c r="AE463" s="828">
        <v>0</v>
      </c>
      <c r="AF463" s="828">
        <v>0</v>
      </c>
      <c r="AG463" s="828">
        <v>0</v>
      </c>
      <c r="AH463" s="828">
        <v>0</v>
      </c>
      <c r="AI463" s="828">
        <v>0</v>
      </c>
      <c r="AJ463" s="828">
        <v>2</v>
      </c>
      <c r="AK463" s="828">
        <v>3</v>
      </c>
      <c r="AL463" s="828">
        <v>3</v>
      </c>
      <c r="AM463" s="828">
        <v>2</v>
      </c>
      <c r="AN463" s="828">
        <v>2</v>
      </c>
      <c r="AO463" s="828">
        <v>2</v>
      </c>
      <c r="AP463" s="828">
        <v>2</v>
      </c>
    </row>
    <row r="464" hidden="1" ht="15.95" customHeight="1">
      <c r="B464" s="829" t="s">
        <v>109</v>
      </c>
      <c r="C464" s="823">
        <v>0</v>
      </c>
      <c r="D464" s="823">
        <v>0</v>
      </c>
      <c r="E464" s="823">
        <v>0</v>
      </c>
      <c r="F464" s="823">
        <v>0</v>
      </c>
      <c r="G464" s="823">
        <v>0</v>
      </c>
      <c r="H464" s="823">
        <v>0</v>
      </c>
      <c r="I464" s="823">
        <v>0</v>
      </c>
      <c r="J464" s="823">
        <v>0</v>
      </c>
      <c r="K464" s="823">
        <v>0</v>
      </c>
      <c r="L464" s="823">
        <v>0</v>
      </c>
      <c r="M464" s="823">
        <v>0</v>
      </c>
      <c r="N464" s="823">
        <v>0</v>
      </c>
      <c r="O464" s="823">
        <v>0</v>
      </c>
      <c r="P464" s="823">
        <v>0</v>
      </c>
      <c r="Q464" s="823">
        <v>0</v>
      </c>
      <c r="R464" s="823">
        <v>0</v>
      </c>
      <c r="S464" s="823">
        <v>0</v>
      </c>
      <c r="T464" s="823">
        <v>0</v>
      </c>
      <c r="U464" s="823">
        <v>0</v>
      </c>
      <c r="V464" s="823">
        <v>0</v>
      </c>
      <c r="W464" s="823">
        <v>0</v>
      </c>
      <c r="X464" s="823">
        <v>0</v>
      </c>
      <c r="Y464" s="823">
        <v>0</v>
      </c>
      <c r="Z464" s="823">
        <v>0</v>
      </c>
      <c r="AA464" s="823">
        <v>0</v>
      </c>
      <c r="AB464" s="823">
        <v>0</v>
      </c>
      <c r="AC464" s="825">
        <v>0</v>
      </c>
      <c r="AD464" s="825">
        <v>0</v>
      </c>
      <c r="AE464" s="825">
        <v>0</v>
      </c>
      <c r="AF464" s="825">
        <v>0</v>
      </c>
      <c r="AG464" s="825">
        <v>0</v>
      </c>
      <c r="AH464" s="825">
        <v>0</v>
      </c>
      <c r="AI464" s="825">
        <v>0</v>
      </c>
      <c r="AJ464" s="825">
        <v>0</v>
      </c>
      <c r="AK464" s="825">
        <v>0</v>
      </c>
      <c r="AL464" s="825">
        <v>0</v>
      </c>
      <c r="AM464" s="825">
        <v>0</v>
      </c>
      <c r="AN464" s="825">
        <v>0</v>
      </c>
      <c r="AO464" s="825">
        <v>2</v>
      </c>
      <c r="AP464" s="825">
        <v>3</v>
      </c>
    </row>
    <row r="465" hidden="1" ht="15.95" customHeight="1">
      <c r="B465" s="826" t="s">
        <v>110</v>
      </c>
      <c r="C465" s="827">
        <v>0</v>
      </c>
      <c r="D465" s="827">
        <v>0</v>
      </c>
      <c r="E465" s="827">
        <v>0</v>
      </c>
      <c r="F465" s="827">
        <v>0</v>
      </c>
      <c r="G465" s="827">
        <v>0</v>
      </c>
      <c r="H465" s="827">
        <v>0</v>
      </c>
      <c r="I465" s="827">
        <v>0</v>
      </c>
      <c r="J465" s="827">
        <v>0</v>
      </c>
      <c r="K465" s="827">
        <v>0</v>
      </c>
      <c r="L465" s="827">
        <v>0</v>
      </c>
      <c r="M465" s="827">
        <v>0</v>
      </c>
      <c r="N465" s="827">
        <v>0</v>
      </c>
      <c r="O465" s="827">
        <v>0</v>
      </c>
      <c r="P465" s="827">
        <v>0</v>
      </c>
      <c r="Q465" s="827">
        <v>0</v>
      </c>
      <c r="R465" s="827">
        <v>0</v>
      </c>
      <c r="S465" s="827">
        <v>0</v>
      </c>
      <c r="T465" s="827">
        <v>0</v>
      </c>
      <c r="U465" s="827">
        <v>0</v>
      </c>
      <c r="V465" s="827">
        <v>0</v>
      </c>
      <c r="W465" s="827">
        <v>0</v>
      </c>
      <c r="X465" s="827">
        <v>0</v>
      </c>
      <c r="Y465" s="827">
        <v>0</v>
      </c>
      <c r="Z465" s="827">
        <v>0</v>
      </c>
      <c r="AA465" s="827">
        <v>0</v>
      </c>
      <c r="AB465" s="827">
        <v>0</v>
      </c>
      <c r="AC465" s="828">
        <v>0</v>
      </c>
      <c r="AD465" s="828">
        <v>0</v>
      </c>
      <c r="AE465" s="828">
        <v>0</v>
      </c>
      <c r="AF465" s="828">
        <v>0</v>
      </c>
      <c r="AG465" s="828">
        <v>0</v>
      </c>
      <c r="AH465" s="828">
        <v>0</v>
      </c>
      <c r="AI465" s="828">
        <v>0</v>
      </c>
      <c r="AJ465" s="828">
        <v>341</v>
      </c>
      <c r="AK465" s="828">
        <v>335</v>
      </c>
      <c r="AL465" s="828">
        <v>311</v>
      </c>
      <c r="AM465" s="828">
        <v>296</v>
      </c>
      <c r="AN465" s="828">
        <v>293</v>
      </c>
      <c r="AO465" s="828">
        <v>290</v>
      </c>
      <c r="AP465" s="828">
        <v>285</v>
      </c>
    </row>
    <row r="466" hidden="1" ht="15.95" customHeight="1">
      <c r="B466" s="829" t="s">
        <v>16</v>
      </c>
      <c r="C466" s="823">
        <v>0</v>
      </c>
      <c r="D466" s="823">
        <v>0</v>
      </c>
      <c r="E466" s="823">
        <v>0</v>
      </c>
      <c r="F466" s="823">
        <v>0</v>
      </c>
      <c r="G466" s="823">
        <v>0</v>
      </c>
      <c r="H466" s="823">
        <v>0</v>
      </c>
      <c r="I466" s="823">
        <v>0</v>
      </c>
      <c r="J466" s="823">
        <v>0</v>
      </c>
      <c r="K466" s="823">
        <v>0</v>
      </c>
      <c r="L466" s="823">
        <v>0</v>
      </c>
      <c r="M466" s="823">
        <v>0</v>
      </c>
      <c r="N466" s="823">
        <v>0</v>
      </c>
      <c r="O466" s="823">
        <v>0</v>
      </c>
      <c r="P466" s="823">
        <v>0</v>
      </c>
      <c r="Q466" s="823">
        <v>0</v>
      </c>
      <c r="R466" s="823">
        <v>0</v>
      </c>
      <c r="S466" s="823">
        <v>0</v>
      </c>
      <c r="T466" s="823">
        <v>0</v>
      </c>
      <c r="U466" s="823">
        <v>0</v>
      </c>
      <c r="V466" s="823">
        <v>0</v>
      </c>
      <c r="W466" s="823">
        <v>0</v>
      </c>
      <c r="X466" s="823">
        <v>0</v>
      </c>
      <c r="Y466" s="823">
        <v>0</v>
      </c>
      <c r="Z466" s="823">
        <v>0</v>
      </c>
      <c r="AA466" s="823">
        <v>0</v>
      </c>
      <c r="AB466" s="823">
        <v>0</v>
      </c>
      <c r="AC466" s="825">
        <v>0</v>
      </c>
      <c r="AD466" s="825">
        <v>0</v>
      </c>
      <c r="AE466" s="825">
        <v>0</v>
      </c>
      <c r="AF466" s="825">
        <v>0</v>
      </c>
      <c r="AG466" s="825">
        <v>0</v>
      </c>
      <c r="AH466" s="825">
        <v>0</v>
      </c>
      <c r="AI466" s="825">
        <v>0</v>
      </c>
      <c r="AJ466" s="825">
        <v>0</v>
      </c>
      <c r="AK466" s="825">
        <v>0</v>
      </c>
      <c r="AL466" s="825">
        <v>0</v>
      </c>
      <c r="AM466" s="825">
        <v>0</v>
      </c>
      <c r="AN466" s="825">
        <v>0</v>
      </c>
      <c r="AO466" s="825">
        <v>0</v>
      </c>
      <c r="AP466" s="825">
        <v>0</v>
      </c>
    </row>
    <row r="467" hidden="1" ht="15.95" customHeight="1">
      <c r="B467" s="826" t="s">
        <v>17</v>
      </c>
      <c r="C467" s="827">
        <v>0</v>
      </c>
      <c r="D467" s="827">
        <v>0</v>
      </c>
      <c r="E467" s="827">
        <v>0</v>
      </c>
      <c r="F467" s="827">
        <v>0</v>
      </c>
      <c r="G467" s="827">
        <v>0</v>
      </c>
      <c r="H467" s="827">
        <v>0</v>
      </c>
      <c r="I467" s="827">
        <v>0</v>
      </c>
      <c r="J467" s="827">
        <v>0</v>
      </c>
      <c r="K467" s="827">
        <v>0</v>
      </c>
      <c r="L467" s="827">
        <v>0</v>
      </c>
      <c r="M467" s="827">
        <v>0</v>
      </c>
      <c r="N467" s="827">
        <v>0</v>
      </c>
      <c r="O467" s="827">
        <v>0</v>
      </c>
      <c r="P467" s="827">
        <v>0</v>
      </c>
      <c r="Q467" s="827">
        <v>0</v>
      </c>
      <c r="R467" s="827">
        <v>0</v>
      </c>
      <c r="S467" s="827">
        <v>0</v>
      </c>
      <c r="T467" s="827">
        <v>0</v>
      </c>
      <c r="U467" s="827">
        <v>0</v>
      </c>
      <c r="V467" s="827">
        <v>0</v>
      </c>
      <c r="W467" s="827">
        <v>0</v>
      </c>
      <c r="X467" s="827">
        <v>0</v>
      </c>
      <c r="Y467" s="827">
        <v>0</v>
      </c>
      <c r="Z467" s="827">
        <v>0</v>
      </c>
      <c r="AA467" s="827">
        <v>0</v>
      </c>
      <c r="AB467" s="827">
        <v>0</v>
      </c>
      <c r="AC467" s="828">
        <v>0</v>
      </c>
      <c r="AD467" s="828">
        <v>0</v>
      </c>
      <c r="AE467" s="828">
        <v>0</v>
      </c>
      <c r="AF467" s="828">
        <v>0</v>
      </c>
      <c r="AG467" s="828">
        <v>0</v>
      </c>
      <c r="AH467" s="828">
        <v>0</v>
      </c>
      <c r="AI467" s="828">
        <v>0</v>
      </c>
      <c r="AJ467" s="828">
        <v>0</v>
      </c>
      <c r="AK467" s="828">
        <v>0</v>
      </c>
      <c r="AL467" s="828">
        <v>0</v>
      </c>
      <c r="AM467" s="828">
        <v>0</v>
      </c>
      <c r="AN467" s="828">
        <v>0</v>
      </c>
      <c r="AO467" s="828">
        <v>0</v>
      </c>
      <c r="AP467" s="828">
        <v>0</v>
      </c>
    </row>
    <row r="468" hidden="1" ht="15.95" customHeight="1">
      <c r="B468" s="829" t="s">
        <v>18</v>
      </c>
      <c r="C468" s="823">
        <v>0</v>
      </c>
      <c r="D468" s="823">
        <v>0</v>
      </c>
      <c r="E468" s="823">
        <v>0</v>
      </c>
      <c r="F468" s="823">
        <v>0</v>
      </c>
      <c r="G468" s="823">
        <v>0</v>
      </c>
      <c r="H468" s="823">
        <v>0</v>
      </c>
      <c r="I468" s="823">
        <v>0</v>
      </c>
      <c r="J468" s="823">
        <v>0</v>
      </c>
      <c r="K468" s="823">
        <v>0</v>
      </c>
      <c r="L468" s="823">
        <v>0</v>
      </c>
      <c r="M468" s="823">
        <v>0</v>
      </c>
      <c r="N468" s="823">
        <v>0</v>
      </c>
      <c r="O468" s="823">
        <v>0</v>
      </c>
      <c r="P468" s="823">
        <v>0</v>
      </c>
      <c r="Q468" s="823">
        <v>0</v>
      </c>
      <c r="R468" s="823">
        <v>0</v>
      </c>
      <c r="S468" s="823">
        <v>0</v>
      </c>
      <c r="T468" s="823">
        <v>0</v>
      </c>
      <c r="U468" s="823">
        <v>0</v>
      </c>
      <c r="V468" s="823">
        <v>0</v>
      </c>
      <c r="W468" s="823">
        <v>0</v>
      </c>
      <c r="X468" s="823">
        <v>0</v>
      </c>
      <c r="Y468" s="823">
        <v>0</v>
      </c>
      <c r="Z468" s="823">
        <v>0</v>
      </c>
      <c r="AA468" s="823">
        <v>0</v>
      </c>
      <c r="AB468" s="823">
        <v>0</v>
      </c>
      <c r="AC468" s="825">
        <v>0</v>
      </c>
      <c r="AD468" s="825">
        <v>0</v>
      </c>
      <c r="AE468" s="825">
        <v>0</v>
      </c>
      <c r="AF468" s="825">
        <v>0</v>
      </c>
      <c r="AG468" s="825">
        <v>0</v>
      </c>
      <c r="AH468" s="825">
        <v>0</v>
      </c>
      <c r="AI468" s="825">
        <v>0</v>
      </c>
      <c r="AJ468" s="825">
        <v>14</v>
      </c>
      <c r="AK468" s="825">
        <v>17</v>
      </c>
      <c r="AL468" s="825">
        <v>17</v>
      </c>
      <c r="AM468" s="825">
        <v>16</v>
      </c>
      <c r="AN468" s="825">
        <v>16</v>
      </c>
      <c r="AO468" s="825">
        <v>17</v>
      </c>
      <c r="AP468" s="825">
        <v>16</v>
      </c>
    </row>
    <row r="469" hidden="1" ht="15.95" customHeight="1">
      <c r="B469" s="826" t="s">
        <v>19</v>
      </c>
      <c r="C469" s="827">
        <v>0</v>
      </c>
      <c r="D469" s="827">
        <v>0</v>
      </c>
      <c r="E469" s="827">
        <v>0</v>
      </c>
      <c r="F469" s="827">
        <v>0</v>
      </c>
      <c r="G469" s="827">
        <v>0</v>
      </c>
      <c r="H469" s="827">
        <v>0</v>
      </c>
      <c r="I469" s="827">
        <v>0</v>
      </c>
      <c r="J469" s="827">
        <v>0</v>
      </c>
      <c r="K469" s="827">
        <v>0</v>
      </c>
      <c r="L469" s="827">
        <v>0</v>
      </c>
      <c r="M469" s="827">
        <v>0</v>
      </c>
      <c r="N469" s="827">
        <v>0</v>
      </c>
      <c r="O469" s="827">
        <v>0</v>
      </c>
      <c r="P469" s="827">
        <v>0</v>
      </c>
      <c r="Q469" s="827">
        <v>0</v>
      </c>
      <c r="R469" s="827">
        <v>0</v>
      </c>
      <c r="S469" s="827">
        <v>0</v>
      </c>
      <c r="T469" s="827">
        <v>0</v>
      </c>
      <c r="U469" s="827">
        <v>0</v>
      </c>
      <c r="V469" s="827">
        <v>0</v>
      </c>
      <c r="W469" s="827">
        <v>0</v>
      </c>
      <c r="X469" s="827">
        <v>0</v>
      </c>
      <c r="Y469" s="827">
        <v>0</v>
      </c>
      <c r="Z469" s="827">
        <v>0</v>
      </c>
      <c r="AA469" s="827">
        <v>0</v>
      </c>
      <c r="AB469" s="827">
        <v>0</v>
      </c>
      <c r="AC469" s="828">
        <v>0</v>
      </c>
      <c r="AD469" s="828">
        <v>0</v>
      </c>
      <c r="AE469" s="828">
        <v>0</v>
      </c>
      <c r="AF469" s="828">
        <v>0</v>
      </c>
      <c r="AG469" s="828">
        <v>0</v>
      </c>
      <c r="AH469" s="828">
        <v>0</v>
      </c>
      <c r="AI469" s="828">
        <v>0</v>
      </c>
      <c r="AJ469" s="828">
        <v>3</v>
      </c>
      <c r="AK469" s="828">
        <v>4</v>
      </c>
      <c r="AL469" s="828">
        <v>5</v>
      </c>
      <c r="AM469" s="828">
        <v>5</v>
      </c>
      <c r="AN469" s="828">
        <v>1</v>
      </c>
      <c r="AO469" s="828">
        <v>1</v>
      </c>
      <c r="AP469" s="828">
        <v>1</v>
      </c>
    </row>
    <row r="470" hidden="1" ht="15.95" customHeight="1">
      <c r="B470" s="829" t="s">
        <v>20</v>
      </c>
      <c r="C470" s="823">
        <v>0</v>
      </c>
      <c r="D470" s="823">
        <v>0</v>
      </c>
      <c r="E470" s="823">
        <v>0</v>
      </c>
      <c r="F470" s="823">
        <v>0</v>
      </c>
      <c r="G470" s="823">
        <v>0</v>
      </c>
      <c r="H470" s="823">
        <v>0</v>
      </c>
      <c r="I470" s="823">
        <v>0</v>
      </c>
      <c r="J470" s="823">
        <v>0</v>
      </c>
      <c r="K470" s="823">
        <v>0</v>
      </c>
      <c r="L470" s="823">
        <v>0</v>
      </c>
      <c r="M470" s="823">
        <v>0</v>
      </c>
      <c r="N470" s="823">
        <v>0</v>
      </c>
      <c r="O470" s="823">
        <v>0</v>
      </c>
      <c r="P470" s="823">
        <v>0</v>
      </c>
      <c r="Q470" s="823">
        <v>0</v>
      </c>
      <c r="R470" s="823">
        <v>0</v>
      </c>
      <c r="S470" s="823">
        <v>0</v>
      </c>
      <c r="T470" s="823">
        <v>0</v>
      </c>
      <c r="U470" s="823">
        <v>0</v>
      </c>
      <c r="V470" s="823">
        <v>0</v>
      </c>
      <c r="W470" s="823">
        <v>0</v>
      </c>
      <c r="X470" s="823">
        <v>0</v>
      </c>
      <c r="Y470" s="823">
        <v>0</v>
      </c>
      <c r="Z470" s="823">
        <v>0</v>
      </c>
      <c r="AA470" s="823">
        <v>0</v>
      </c>
      <c r="AB470" s="823">
        <v>0</v>
      </c>
      <c r="AC470" s="825">
        <v>0</v>
      </c>
      <c r="AD470" s="825">
        <v>0</v>
      </c>
      <c r="AE470" s="825">
        <v>0</v>
      </c>
      <c r="AF470" s="825">
        <v>0</v>
      </c>
      <c r="AG470" s="825">
        <v>0</v>
      </c>
      <c r="AH470" s="825">
        <v>0</v>
      </c>
      <c r="AI470" s="825">
        <v>0</v>
      </c>
      <c r="AJ470" s="825">
        <v>0</v>
      </c>
      <c r="AK470" s="825">
        <v>0</v>
      </c>
      <c r="AL470" s="825">
        <v>0</v>
      </c>
      <c r="AM470" s="825">
        <v>0</v>
      </c>
      <c r="AN470" s="825">
        <v>0</v>
      </c>
      <c r="AO470" s="825">
        <v>0</v>
      </c>
      <c r="AP470" s="825">
        <v>0</v>
      </c>
    </row>
    <row r="471" hidden="1" ht="15.95" customHeight="1">
      <c r="B471" s="826" t="s">
        <v>21</v>
      </c>
      <c r="C471" s="827">
        <v>0</v>
      </c>
      <c r="D471" s="827">
        <v>0</v>
      </c>
      <c r="E471" s="827">
        <v>0</v>
      </c>
      <c r="F471" s="827">
        <v>0</v>
      </c>
      <c r="G471" s="827">
        <v>0</v>
      </c>
      <c r="H471" s="827">
        <v>0</v>
      </c>
      <c r="I471" s="827">
        <v>0</v>
      </c>
      <c r="J471" s="827">
        <v>0</v>
      </c>
      <c r="K471" s="827">
        <v>0</v>
      </c>
      <c r="L471" s="827">
        <v>0</v>
      </c>
      <c r="M471" s="827">
        <v>0</v>
      </c>
      <c r="N471" s="827">
        <v>0</v>
      </c>
      <c r="O471" s="827">
        <v>0</v>
      </c>
      <c r="P471" s="827">
        <v>0</v>
      </c>
      <c r="Q471" s="827">
        <v>0</v>
      </c>
      <c r="R471" s="827">
        <v>0</v>
      </c>
      <c r="S471" s="827">
        <v>0</v>
      </c>
      <c r="T471" s="827">
        <v>0</v>
      </c>
      <c r="U471" s="827">
        <v>0</v>
      </c>
      <c r="V471" s="827">
        <v>0</v>
      </c>
      <c r="W471" s="827">
        <v>0</v>
      </c>
      <c r="X471" s="827">
        <v>0</v>
      </c>
      <c r="Y471" s="827">
        <v>0</v>
      </c>
      <c r="Z471" s="827">
        <v>0</v>
      </c>
      <c r="AA471" s="827">
        <v>0</v>
      </c>
      <c r="AB471" s="827">
        <v>0</v>
      </c>
      <c r="AC471" s="828">
        <v>0</v>
      </c>
      <c r="AD471" s="828">
        <v>0</v>
      </c>
      <c r="AE471" s="828">
        <v>0</v>
      </c>
      <c r="AF471" s="828">
        <v>0</v>
      </c>
      <c r="AG471" s="828">
        <v>0</v>
      </c>
      <c r="AH471" s="828">
        <v>0</v>
      </c>
      <c r="AI471" s="828">
        <v>0</v>
      </c>
      <c r="AJ471" s="828">
        <v>0</v>
      </c>
      <c r="AK471" s="828">
        <v>0</v>
      </c>
      <c r="AL471" s="828">
        <v>0</v>
      </c>
      <c r="AM471" s="828">
        <v>0</v>
      </c>
      <c r="AN471" s="828">
        <v>0</v>
      </c>
      <c r="AO471" s="828">
        <v>0</v>
      </c>
      <c r="AP471" s="828">
        <v>0</v>
      </c>
    </row>
    <row r="472" hidden="1" ht="15.95" customHeight="1">
      <c r="B472" s="829" t="s">
        <v>22</v>
      </c>
      <c r="C472" s="823">
        <v>0</v>
      </c>
      <c r="D472" s="823">
        <v>0</v>
      </c>
      <c r="E472" s="823">
        <v>0</v>
      </c>
      <c r="F472" s="823">
        <v>0</v>
      </c>
      <c r="G472" s="823">
        <v>0</v>
      </c>
      <c r="H472" s="823">
        <v>0</v>
      </c>
      <c r="I472" s="823">
        <v>0</v>
      </c>
      <c r="J472" s="823">
        <v>0</v>
      </c>
      <c r="K472" s="823">
        <v>0</v>
      </c>
      <c r="L472" s="823">
        <v>0</v>
      </c>
      <c r="M472" s="823">
        <v>0</v>
      </c>
      <c r="N472" s="823">
        <v>0</v>
      </c>
      <c r="O472" s="823">
        <v>0</v>
      </c>
      <c r="P472" s="823">
        <v>0</v>
      </c>
      <c r="Q472" s="823">
        <v>0</v>
      </c>
      <c r="R472" s="823">
        <v>0</v>
      </c>
      <c r="S472" s="823">
        <v>0</v>
      </c>
      <c r="T472" s="823">
        <v>0</v>
      </c>
      <c r="U472" s="823">
        <v>0</v>
      </c>
      <c r="V472" s="823">
        <v>0</v>
      </c>
      <c r="W472" s="823">
        <v>0</v>
      </c>
      <c r="X472" s="823">
        <v>0</v>
      </c>
      <c r="Y472" s="823">
        <v>0</v>
      </c>
      <c r="Z472" s="823">
        <v>0</v>
      </c>
      <c r="AA472" s="823">
        <v>0</v>
      </c>
      <c r="AB472" s="823">
        <v>0</v>
      </c>
      <c r="AC472" s="825">
        <v>0</v>
      </c>
      <c r="AD472" s="825">
        <v>0</v>
      </c>
      <c r="AE472" s="825">
        <v>0</v>
      </c>
      <c r="AF472" s="825">
        <v>0</v>
      </c>
      <c r="AG472" s="825">
        <v>0</v>
      </c>
      <c r="AH472" s="825">
        <v>0</v>
      </c>
      <c r="AI472" s="825">
        <v>0</v>
      </c>
      <c r="AJ472" s="825">
        <v>0</v>
      </c>
      <c r="AK472" s="825">
        <v>1</v>
      </c>
      <c r="AL472" s="825">
        <v>2</v>
      </c>
      <c r="AM472" s="825">
        <v>2</v>
      </c>
      <c r="AN472" s="825">
        <v>1</v>
      </c>
      <c r="AO472" s="825">
        <v>1</v>
      </c>
      <c r="AP472" s="825">
        <v>1</v>
      </c>
    </row>
    <row r="473" hidden="1" ht="15.95" customHeight="1">
      <c r="B473" s="826" t="s">
        <v>23</v>
      </c>
      <c r="C473" s="827">
        <v>0</v>
      </c>
      <c r="D473" s="827">
        <v>0</v>
      </c>
      <c r="E473" s="827">
        <v>0</v>
      </c>
      <c r="F473" s="827">
        <v>0</v>
      </c>
      <c r="G473" s="827">
        <v>0</v>
      </c>
      <c r="H473" s="827">
        <v>0</v>
      </c>
      <c r="I473" s="827">
        <v>0</v>
      </c>
      <c r="J473" s="827">
        <v>0</v>
      </c>
      <c r="K473" s="827">
        <v>0</v>
      </c>
      <c r="L473" s="827">
        <v>0</v>
      </c>
      <c r="M473" s="827">
        <v>0</v>
      </c>
      <c r="N473" s="827">
        <v>0</v>
      </c>
      <c r="O473" s="827">
        <v>0</v>
      </c>
      <c r="P473" s="827">
        <v>0</v>
      </c>
      <c r="Q473" s="827">
        <v>0</v>
      </c>
      <c r="R473" s="827">
        <v>0</v>
      </c>
      <c r="S473" s="827">
        <v>0</v>
      </c>
      <c r="T473" s="827">
        <v>0</v>
      </c>
      <c r="U473" s="827">
        <v>0</v>
      </c>
      <c r="V473" s="827">
        <v>0</v>
      </c>
      <c r="W473" s="827">
        <v>0</v>
      </c>
      <c r="X473" s="827">
        <v>0</v>
      </c>
      <c r="Y473" s="827">
        <v>0</v>
      </c>
      <c r="Z473" s="827">
        <v>0</v>
      </c>
      <c r="AA473" s="827">
        <v>0</v>
      </c>
      <c r="AB473" s="827">
        <v>0</v>
      </c>
      <c r="AC473" s="828">
        <v>0</v>
      </c>
      <c r="AD473" s="828">
        <v>0</v>
      </c>
      <c r="AE473" s="828">
        <v>0</v>
      </c>
      <c r="AF473" s="828">
        <v>0</v>
      </c>
      <c r="AG473" s="828">
        <v>0</v>
      </c>
      <c r="AH473" s="828">
        <v>0</v>
      </c>
      <c r="AI473" s="828">
        <v>0</v>
      </c>
      <c r="AJ473" s="828">
        <v>0</v>
      </c>
      <c r="AK473" s="828">
        <v>0</v>
      </c>
      <c r="AL473" s="828">
        <v>0</v>
      </c>
      <c r="AM473" s="828">
        <v>0</v>
      </c>
      <c r="AN473" s="828">
        <v>0</v>
      </c>
      <c r="AO473" s="828">
        <v>0</v>
      </c>
      <c r="AP473" s="828">
        <v>0</v>
      </c>
    </row>
    <row r="474" hidden="1" ht="15.95" customHeight="1">
      <c r="B474" s="830" t="s">
        <v>24</v>
      </c>
      <c r="C474" s="823">
        <v>0</v>
      </c>
      <c r="D474" s="823">
        <v>0</v>
      </c>
      <c r="E474" s="823">
        <v>0</v>
      </c>
      <c r="F474" s="823">
        <v>0</v>
      </c>
      <c r="G474" s="823">
        <v>0</v>
      </c>
      <c r="H474" s="823">
        <v>0</v>
      </c>
      <c r="I474" s="823">
        <v>0</v>
      </c>
      <c r="J474" s="823">
        <v>0</v>
      </c>
      <c r="K474" s="823">
        <v>0</v>
      </c>
      <c r="L474" s="823">
        <v>0</v>
      </c>
      <c r="M474" s="823">
        <v>0</v>
      </c>
      <c r="N474" s="823">
        <v>0</v>
      </c>
      <c r="O474" s="823">
        <v>0</v>
      </c>
      <c r="P474" s="823">
        <v>0</v>
      </c>
      <c r="Q474" s="823">
        <v>0</v>
      </c>
      <c r="R474" s="823">
        <v>0</v>
      </c>
      <c r="S474" s="823">
        <v>0</v>
      </c>
      <c r="T474" s="823">
        <v>0</v>
      </c>
      <c r="U474" s="823">
        <v>0</v>
      </c>
      <c r="V474" s="823">
        <v>0</v>
      </c>
      <c r="W474" s="823">
        <v>0</v>
      </c>
      <c r="X474" s="823">
        <v>0</v>
      </c>
      <c r="Y474" s="823">
        <v>0</v>
      </c>
      <c r="Z474" s="823">
        <v>0</v>
      </c>
      <c r="AA474" s="823">
        <v>0</v>
      </c>
      <c r="AB474" s="823">
        <v>0</v>
      </c>
      <c r="AC474" s="825">
        <v>0</v>
      </c>
      <c r="AD474" s="825">
        <v>0</v>
      </c>
      <c r="AE474" s="825">
        <v>0</v>
      </c>
      <c r="AF474" s="825">
        <v>0</v>
      </c>
      <c r="AG474" s="825">
        <v>0</v>
      </c>
      <c r="AH474" s="825">
        <v>0</v>
      </c>
      <c r="AI474" s="825">
        <v>0</v>
      </c>
      <c r="AJ474" s="825">
        <v>0</v>
      </c>
      <c r="AK474" s="825">
        <v>0</v>
      </c>
      <c r="AL474" s="825">
        <v>0</v>
      </c>
      <c r="AM474" s="825">
        <v>0</v>
      </c>
      <c r="AN474" s="825">
        <v>0</v>
      </c>
      <c r="AO474" s="825">
        <v>0</v>
      </c>
      <c r="AP474" s="825">
        <v>0</v>
      </c>
    </row>
    <row r="475" hidden="1" ht="15.95" customHeight="1">
      <c r="B475" s="826" t="s">
        <v>25</v>
      </c>
      <c r="C475" s="827">
        <v>0</v>
      </c>
      <c r="D475" s="827">
        <v>0</v>
      </c>
      <c r="E475" s="827">
        <v>0</v>
      </c>
      <c r="F475" s="827">
        <v>0</v>
      </c>
      <c r="G475" s="827">
        <v>0</v>
      </c>
      <c r="H475" s="827">
        <v>0</v>
      </c>
      <c r="I475" s="827">
        <v>0</v>
      </c>
      <c r="J475" s="827">
        <v>0</v>
      </c>
      <c r="K475" s="827">
        <v>0</v>
      </c>
      <c r="L475" s="827">
        <v>0</v>
      </c>
      <c r="M475" s="827">
        <v>0</v>
      </c>
      <c r="N475" s="827">
        <v>0</v>
      </c>
      <c r="O475" s="827">
        <v>0</v>
      </c>
      <c r="P475" s="827">
        <v>0</v>
      </c>
      <c r="Q475" s="827">
        <v>0</v>
      </c>
      <c r="R475" s="827">
        <v>0</v>
      </c>
      <c r="S475" s="827">
        <v>0</v>
      </c>
      <c r="T475" s="827">
        <v>0</v>
      </c>
      <c r="U475" s="827">
        <v>0</v>
      </c>
      <c r="V475" s="827">
        <v>0</v>
      </c>
      <c r="W475" s="827">
        <v>0</v>
      </c>
      <c r="X475" s="827">
        <v>0</v>
      </c>
      <c r="Y475" s="827">
        <v>0</v>
      </c>
      <c r="Z475" s="827">
        <v>0</v>
      </c>
      <c r="AA475" s="827">
        <v>0</v>
      </c>
      <c r="AB475" s="827">
        <v>0</v>
      </c>
      <c r="AC475" s="828">
        <v>0</v>
      </c>
      <c r="AD475" s="828">
        <v>0</v>
      </c>
      <c r="AE475" s="828">
        <v>0</v>
      </c>
      <c r="AF475" s="828">
        <v>0</v>
      </c>
      <c r="AG475" s="828">
        <v>0</v>
      </c>
      <c r="AH475" s="828">
        <v>0</v>
      </c>
      <c r="AI475" s="828">
        <v>0</v>
      </c>
      <c r="AJ475" s="828">
        <v>0</v>
      </c>
      <c r="AK475" s="828">
        <v>0</v>
      </c>
      <c r="AL475" s="828">
        <v>0</v>
      </c>
      <c r="AM475" s="828">
        <v>0</v>
      </c>
      <c r="AN475" s="828">
        <v>0</v>
      </c>
      <c r="AO475" s="828">
        <v>0</v>
      </c>
      <c r="AP475" s="828">
        <v>0</v>
      </c>
    </row>
    <row r="476" hidden="1" ht="15.95" customHeight="1">
      <c r="B476" s="831" t="s">
        <v>26</v>
      </c>
      <c r="C476" s="823">
        <v>0</v>
      </c>
      <c r="D476" s="823">
        <v>0</v>
      </c>
      <c r="E476" s="823">
        <v>0</v>
      </c>
      <c r="F476" s="823">
        <v>0</v>
      </c>
      <c r="G476" s="823">
        <v>0</v>
      </c>
      <c r="H476" s="823">
        <v>0</v>
      </c>
      <c r="I476" s="823">
        <v>0</v>
      </c>
      <c r="J476" s="823">
        <v>0</v>
      </c>
      <c r="K476" s="823">
        <v>0</v>
      </c>
      <c r="L476" s="823">
        <v>0</v>
      </c>
      <c r="M476" s="823">
        <v>0</v>
      </c>
      <c r="N476" s="823">
        <v>0</v>
      </c>
      <c r="O476" s="823">
        <v>0</v>
      </c>
      <c r="P476" s="823">
        <v>0</v>
      </c>
      <c r="Q476" s="823">
        <v>0</v>
      </c>
      <c r="R476" s="823">
        <v>0</v>
      </c>
      <c r="S476" s="823">
        <v>0</v>
      </c>
      <c r="T476" s="823">
        <v>0</v>
      </c>
      <c r="U476" s="823">
        <v>0</v>
      </c>
      <c r="V476" s="823">
        <v>0</v>
      </c>
      <c r="W476" s="823">
        <v>0</v>
      </c>
      <c r="X476" s="823">
        <v>0</v>
      </c>
      <c r="Y476" s="823">
        <v>0</v>
      </c>
      <c r="Z476" s="823">
        <v>0</v>
      </c>
      <c r="AA476" s="823">
        <v>0</v>
      </c>
      <c r="AB476" s="832">
        <v>0</v>
      </c>
      <c r="AC476" s="825">
        <v>0</v>
      </c>
      <c r="AD476" s="825">
        <v>0</v>
      </c>
      <c r="AE476" s="825">
        <v>0</v>
      </c>
      <c r="AF476" s="825">
        <v>0</v>
      </c>
      <c r="AG476" s="825">
        <v>0</v>
      </c>
      <c r="AH476" s="825">
        <v>0</v>
      </c>
      <c r="AI476" s="825">
        <v>0</v>
      </c>
      <c r="AJ476" s="825">
        <v>0</v>
      </c>
      <c r="AK476" s="825">
        <v>0</v>
      </c>
      <c r="AL476" s="825">
        <v>0</v>
      </c>
      <c r="AM476" s="825">
        <v>0</v>
      </c>
      <c r="AN476" s="825">
        <v>0</v>
      </c>
      <c r="AO476" s="825">
        <v>0</v>
      </c>
      <c r="AP476" s="825">
        <v>0</v>
      </c>
    </row>
    <row r="477" hidden="1" ht="15.95" customHeight="1">
      <c r="B477" s="128" t="s">
        <v>7</v>
      </c>
      <c r="C477" s="129" t="str">
        <f>IF(SUM(C458:C476)&lt;&gt;0,SUM(C458:C476),"")</f>
      </c>
      <c r="D477" s="129" t="str">
        <f ref="D477:AA477" t="shared" si="60">IF(SUM(D458:D476)&lt;&gt;0,SUM(D458:D476),"")</f>
      </c>
      <c r="E477" s="129" t="str">
        <f t="shared" si="60"/>
      </c>
      <c r="F477" s="129" t="str">
        <f t="shared" si="60"/>
      </c>
      <c r="G477" s="129" t="str">
        <f t="shared" si="60"/>
      </c>
      <c r="H477" s="129" t="str">
        <f t="shared" si="60"/>
      </c>
      <c r="I477" s="129" t="str">
        <f t="shared" si="60"/>
      </c>
      <c r="J477" s="129" t="str">
        <f t="shared" si="60"/>
      </c>
      <c r="K477" s="129" t="str">
        <f t="shared" si="60"/>
      </c>
      <c r="L477" s="129" t="str">
        <f t="shared" si="60"/>
      </c>
      <c r="M477" s="129" t="str">
        <f t="shared" si="60"/>
      </c>
      <c r="N477" s="129" t="str">
        <f t="shared" si="60"/>
      </c>
      <c r="O477" s="129" t="str">
        <f t="shared" si="60"/>
      </c>
      <c r="P477" s="129" t="str">
        <f t="shared" si="60"/>
      </c>
      <c r="Q477" s="129" t="str">
        <f t="shared" si="60"/>
      </c>
      <c r="R477" s="129" t="str">
        <f t="shared" si="60"/>
      </c>
      <c r="S477" s="129" t="str">
        <f t="shared" si="60"/>
      </c>
      <c r="T477" s="129" t="str">
        <f t="shared" si="60"/>
      </c>
      <c r="U477" s="129" t="str">
        <f t="shared" si="60"/>
      </c>
      <c r="V477" s="129" t="str">
        <f t="shared" si="60"/>
      </c>
      <c r="W477" s="129" t="str">
        <f t="shared" si="60"/>
      </c>
      <c r="X477" s="129" t="str">
        <f t="shared" si="60"/>
      </c>
      <c r="Y477" s="129" t="str">
        <f t="shared" si="60"/>
      </c>
      <c r="Z477" s="129" t="str">
        <f t="shared" si="60"/>
      </c>
      <c r="AA477" s="129" t="str">
        <f t="shared" si="60"/>
      </c>
      <c r="AB477" s="130" t="str">
        <f>IF(SUM(AB458:AB476)&lt;&gt;0,SUM(AB458:AB476),"")</f>
      </c>
      <c r="AC477" s="528" t="str">
        <f ref="AC477:CN477" t="shared" si="61">IF(SUM(AC458:AC476)&lt;&gt;0,SUM(AC458:AC476),"")</f>
      </c>
      <c r="AD477" s="528" t="str">
        <f t="shared" si="61"/>
      </c>
      <c r="AE477" s="528" t="str">
        <f t="shared" si="61"/>
      </c>
      <c r="AF477" s="528" t="str">
        <f t="shared" si="61"/>
      </c>
      <c r="AG477" s="528" t="str">
        <f t="shared" si="61"/>
      </c>
      <c r="AH477" s="528" t="str">
        <f t="shared" si="61"/>
      </c>
      <c r="AI477" s="528" t="str">
        <f t="shared" si="61"/>
      </c>
      <c r="AJ477" s="528" t="str">
        <f t="shared" si="61"/>
      </c>
      <c r="AK477" s="528" t="str">
        <f t="shared" si="61"/>
      </c>
      <c r="AL477" s="528" t="str">
        <f t="shared" si="61"/>
      </c>
      <c r="AM477" s="528" t="str">
        <f t="shared" si="61"/>
      </c>
      <c r="AN477" s="528" t="str">
        <f t="shared" si="61"/>
      </c>
      <c r="AO477" s="528" t="str">
        <f t="shared" si="61"/>
      </c>
      <c r="AP477" s="528" t="str">
        <f t="shared" si="61"/>
      </c>
      <c r="AQ477" s="528" t="str">
        <f t="shared" si="61"/>
      </c>
      <c r="AR477" s="528" t="str">
        <f t="shared" si="61"/>
      </c>
      <c r="AS477" s="528" t="str">
        <f t="shared" si="61"/>
      </c>
      <c r="AT477" s="528" t="str">
        <f t="shared" si="61"/>
      </c>
      <c r="AU477" s="528" t="str">
        <f t="shared" si="61"/>
      </c>
      <c r="AV477" s="528" t="str">
        <f t="shared" si="61"/>
      </c>
      <c r="AW477" s="528" t="str">
        <f t="shared" si="61"/>
      </c>
      <c r="AX477" s="528" t="str">
        <f t="shared" si="61"/>
      </c>
      <c r="AY477" s="528" t="str">
        <f t="shared" si="61"/>
      </c>
      <c r="AZ477" s="528" t="str">
        <f t="shared" si="61"/>
      </c>
      <c r="BA477" s="528" t="str">
        <f t="shared" si="61"/>
      </c>
      <c r="BB477" s="528" t="str">
        <f t="shared" si="61"/>
      </c>
      <c r="BC477" s="528" t="str">
        <f t="shared" si="61"/>
      </c>
      <c r="BD477" s="528" t="str">
        <f t="shared" si="61"/>
      </c>
      <c r="BE477" s="528" t="str">
        <f t="shared" si="61"/>
      </c>
      <c r="BF477" s="528" t="str">
        <f t="shared" si="61"/>
      </c>
      <c r="BG477" s="528" t="str">
        <f t="shared" si="61"/>
      </c>
      <c r="BH477" s="528" t="str">
        <f t="shared" si="61"/>
      </c>
      <c r="BI477" s="528" t="str">
        <f t="shared" si="61"/>
      </c>
      <c r="BJ477" s="528" t="str">
        <f t="shared" si="61"/>
      </c>
      <c r="BK477" s="528" t="str">
        <f t="shared" si="61"/>
      </c>
      <c r="BL477" s="528" t="str">
        <f t="shared" si="61"/>
      </c>
      <c r="BM477" s="528" t="str">
        <f t="shared" si="61"/>
      </c>
      <c r="BN477" s="528" t="str">
        <f t="shared" si="61"/>
      </c>
      <c r="BO477" s="528" t="str">
        <f t="shared" si="61"/>
      </c>
      <c r="BP477" s="528" t="str">
        <f t="shared" si="61"/>
      </c>
      <c r="BQ477" s="528" t="str">
        <f t="shared" si="61"/>
      </c>
      <c r="BR477" s="528" t="str">
        <f t="shared" si="61"/>
      </c>
      <c r="BS477" s="528" t="str">
        <f t="shared" si="61"/>
      </c>
      <c r="BT477" s="528" t="str">
        <f t="shared" si="61"/>
      </c>
      <c r="BU477" s="528" t="str">
        <f t="shared" si="61"/>
      </c>
      <c r="BV477" s="528" t="str">
        <f t="shared" si="61"/>
      </c>
      <c r="BW477" s="528" t="str">
        <f t="shared" si="61"/>
      </c>
      <c r="BX477" s="528" t="str">
        <f t="shared" si="61"/>
      </c>
      <c r="BY477" s="528" t="str">
        <f t="shared" si="61"/>
      </c>
      <c r="BZ477" s="528" t="str">
        <f t="shared" si="61"/>
      </c>
      <c r="CA477" s="528" t="str">
        <f t="shared" si="61"/>
      </c>
      <c r="CB477" s="528" t="str">
        <f t="shared" si="61"/>
      </c>
      <c r="CC477" s="528" t="str">
        <f t="shared" si="61"/>
      </c>
      <c r="CD477" s="528" t="str">
        <f t="shared" si="61"/>
      </c>
      <c r="CE477" s="528" t="str">
        <f t="shared" si="61"/>
      </c>
      <c r="CF477" s="528" t="str">
        <f t="shared" si="61"/>
      </c>
      <c r="CG477" s="528" t="str">
        <f t="shared" si="61"/>
      </c>
      <c r="CH477" s="528" t="str">
        <f t="shared" si="61"/>
      </c>
      <c r="CI477" s="528" t="str">
        <f t="shared" si="61"/>
      </c>
      <c r="CJ477" s="528" t="str">
        <f t="shared" si="61"/>
      </c>
      <c r="CK477" s="528" t="str">
        <f t="shared" si="61"/>
      </c>
      <c r="CL477" s="528" t="str">
        <f t="shared" si="61"/>
      </c>
      <c r="CM477" s="528" t="str">
        <f t="shared" si="61"/>
      </c>
      <c r="CN477" s="528" t="str">
        <f t="shared" si="61"/>
      </c>
      <c r="CO477" s="528" t="str">
        <f ref="CO477:EZ477" t="shared" si="62">IF(SUM(CO458:CO476)&lt;&gt;0,SUM(CO458:CO476),"")</f>
      </c>
      <c r="CP477" s="528" t="str">
        <f t="shared" si="62"/>
      </c>
      <c r="CQ477" s="528" t="str">
        <f t="shared" si="62"/>
      </c>
      <c r="CR477" s="528" t="str">
        <f t="shared" si="62"/>
      </c>
      <c r="CS477" s="528" t="str">
        <f t="shared" si="62"/>
      </c>
      <c r="CT477" s="528" t="str">
        <f t="shared" si="62"/>
      </c>
      <c r="CU477" s="528" t="str">
        <f t="shared" si="62"/>
      </c>
      <c r="CV477" s="528" t="str">
        <f t="shared" si="62"/>
      </c>
      <c r="CW477" s="528" t="str">
        <f t="shared" si="62"/>
      </c>
      <c r="CX477" s="528" t="str">
        <f t="shared" si="62"/>
      </c>
      <c r="CY477" s="528" t="str">
        <f t="shared" si="62"/>
      </c>
      <c r="CZ477" s="528" t="str">
        <f t="shared" si="62"/>
      </c>
      <c r="DA477" s="528" t="str">
        <f t="shared" si="62"/>
      </c>
      <c r="DB477" s="528" t="str">
        <f t="shared" si="62"/>
      </c>
      <c r="DC477" s="528" t="str">
        <f t="shared" si="62"/>
      </c>
      <c r="DD477" s="528" t="str">
        <f t="shared" si="62"/>
      </c>
      <c r="DE477" s="528" t="str">
        <f t="shared" si="62"/>
      </c>
      <c r="DF477" s="528" t="str">
        <f t="shared" si="62"/>
      </c>
      <c r="DG477" s="528" t="str">
        <f t="shared" si="62"/>
      </c>
      <c r="DH477" s="528" t="str">
        <f t="shared" si="62"/>
      </c>
      <c r="DI477" s="528" t="str">
        <f t="shared" si="62"/>
      </c>
      <c r="DJ477" s="528" t="str">
        <f t="shared" si="62"/>
      </c>
      <c r="DK477" s="528" t="str">
        <f t="shared" si="62"/>
      </c>
      <c r="DL477" s="528" t="str">
        <f t="shared" si="62"/>
      </c>
      <c r="DM477" s="528" t="str">
        <f t="shared" si="62"/>
      </c>
      <c r="DN477" s="528" t="str">
        <f t="shared" si="62"/>
      </c>
      <c r="DO477" s="528" t="str">
        <f t="shared" si="62"/>
      </c>
      <c r="DP477" s="528" t="str">
        <f t="shared" si="62"/>
      </c>
      <c r="DQ477" s="528" t="str">
        <f t="shared" si="62"/>
      </c>
      <c r="DR477" s="528" t="str">
        <f t="shared" si="62"/>
      </c>
      <c r="DS477" s="528" t="str">
        <f t="shared" si="62"/>
      </c>
      <c r="DT477" s="528" t="str">
        <f t="shared" si="62"/>
      </c>
      <c r="DU477" s="528" t="str">
        <f t="shared" si="62"/>
      </c>
      <c r="DV477" s="528" t="str">
        <f t="shared" si="62"/>
      </c>
      <c r="DW477" s="528" t="str">
        <f t="shared" si="62"/>
      </c>
      <c r="DX477" s="528" t="str">
        <f t="shared" si="62"/>
      </c>
      <c r="DY477" s="528" t="str">
        <f t="shared" si="62"/>
      </c>
      <c r="DZ477" s="528" t="str">
        <f t="shared" si="62"/>
      </c>
      <c r="EA477" s="528" t="str">
        <f t="shared" si="62"/>
      </c>
      <c r="EB477" s="528" t="str">
        <f t="shared" si="62"/>
      </c>
      <c r="EC477" s="528" t="str">
        <f t="shared" si="62"/>
      </c>
      <c r="ED477" s="528" t="str">
        <f t="shared" si="62"/>
      </c>
      <c r="EE477" s="528" t="str">
        <f t="shared" si="62"/>
      </c>
      <c r="EF477" s="528" t="str">
        <f t="shared" si="62"/>
      </c>
      <c r="EG477" s="528" t="str">
        <f t="shared" si="62"/>
      </c>
      <c r="EH477" s="528" t="str">
        <f t="shared" si="62"/>
      </c>
      <c r="EI477" s="528" t="str">
        <f t="shared" si="62"/>
      </c>
      <c r="EJ477" s="528" t="str">
        <f t="shared" si="62"/>
      </c>
      <c r="EK477" s="528" t="str">
        <f t="shared" si="62"/>
      </c>
      <c r="EL477" s="528" t="str">
        <f t="shared" si="62"/>
      </c>
      <c r="EM477" s="528" t="str">
        <f t="shared" si="62"/>
      </c>
      <c r="EN477" s="528" t="str">
        <f t="shared" si="62"/>
      </c>
      <c r="EO477" s="528" t="str">
        <f t="shared" si="62"/>
      </c>
      <c r="EP477" s="528" t="str">
        <f t="shared" si="62"/>
      </c>
      <c r="EQ477" s="528" t="str">
        <f t="shared" si="62"/>
      </c>
      <c r="ER477" s="528" t="str">
        <f t="shared" si="62"/>
      </c>
      <c r="ES477" s="528" t="str">
        <f t="shared" si="62"/>
      </c>
      <c r="ET477" s="528" t="str">
        <f t="shared" si="62"/>
      </c>
      <c r="EU477" s="528" t="str">
        <f t="shared" si="62"/>
      </c>
      <c r="EV477" s="528" t="str">
        <f t="shared" si="62"/>
      </c>
      <c r="EW477" s="528" t="str">
        <f t="shared" si="62"/>
      </c>
      <c r="EX477" s="528" t="str">
        <f t="shared" si="62"/>
      </c>
      <c r="EY477" s="528" t="str">
        <f t="shared" si="62"/>
      </c>
      <c r="EZ477" s="528" t="str">
        <f t="shared" si="62"/>
      </c>
      <c r="FA477" s="528" t="str">
        <f ref="FA477:HL477" t="shared" si="63">IF(SUM(FA458:FA476)&lt;&gt;0,SUM(FA458:FA476),"")</f>
      </c>
      <c r="FB477" s="528" t="str">
        <f t="shared" si="63"/>
      </c>
      <c r="FC477" s="528" t="str">
        <f t="shared" si="63"/>
      </c>
      <c r="FD477" s="528" t="str">
        <f t="shared" si="63"/>
      </c>
      <c r="FE477" s="528" t="str">
        <f t="shared" si="63"/>
      </c>
      <c r="FF477" s="528" t="str">
        <f t="shared" si="63"/>
      </c>
      <c r="FG477" s="528" t="str">
        <f t="shared" si="63"/>
      </c>
      <c r="FH477" s="528" t="str">
        <f t="shared" si="63"/>
      </c>
      <c r="FI477" s="528" t="str">
        <f t="shared" si="63"/>
      </c>
      <c r="FJ477" s="528" t="str">
        <f t="shared" si="63"/>
      </c>
      <c r="FK477" s="528" t="str">
        <f t="shared" si="63"/>
      </c>
      <c r="FL477" s="528" t="str">
        <f t="shared" si="63"/>
      </c>
      <c r="FM477" s="528" t="str">
        <f t="shared" si="63"/>
      </c>
      <c r="FN477" s="528" t="str">
        <f t="shared" si="63"/>
      </c>
      <c r="FO477" s="528" t="str">
        <f t="shared" si="63"/>
      </c>
      <c r="FP477" s="528" t="str">
        <f t="shared" si="63"/>
      </c>
      <c r="FQ477" s="528" t="str">
        <f t="shared" si="63"/>
      </c>
      <c r="FR477" s="528" t="str">
        <f t="shared" si="63"/>
      </c>
      <c r="FS477" s="528" t="str">
        <f t="shared" si="63"/>
      </c>
      <c r="FT477" s="528" t="str">
        <f t="shared" si="63"/>
      </c>
      <c r="FU477" s="528" t="str">
        <f t="shared" si="63"/>
      </c>
      <c r="FV477" s="528" t="str">
        <f t="shared" si="63"/>
      </c>
      <c r="FW477" s="528" t="str">
        <f t="shared" si="63"/>
      </c>
      <c r="FX477" s="528" t="str">
        <f t="shared" si="63"/>
      </c>
      <c r="FY477" s="528" t="str">
        <f t="shared" si="63"/>
      </c>
      <c r="FZ477" s="528" t="str">
        <f t="shared" si="63"/>
      </c>
      <c r="GA477" s="528" t="str">
        <f t="shared" si="63"/>
      </c>
      <c r="GB477" s="528" t="str">
        <f t="shared" si="63"/>
      </c>
      <c r="GC477" s="528" t="str">
        <f t="shared" si="63"/>
      </c>
      <c r="GD477" s="528" t="str">
        <f t="shared" si="63"/>
      </c>
      <c r="GE477" s="528" t="str">
        <f t="shared" si="63"/>
      </c>
      <c r="GF477" s="528" t="str">
        <f t="shared" si="63"/>
      </c>
      <c r="GG477" s="528" t="str">
        <f t="shared" si="63"/>
      </c>
      <c r="GH477" s="528" t="str">
        <f t="shared" si="63"/>
      </c>
      <c r="GI477" s="528" t="str">
        <f t="shared" si="63"/>
      </c>
      <c r="GJ477" s="528" t="str">
        <f t="shared" si="63"/>
      </c>
      <c r="GK477" s="528" t="str">
        <f t="shared" si="63"/>
      </c>
      <c r="GL477" s="528" t="str">
        <f t="shared" si="63"/>
      </c>
      <c r="GM477" s="528" t="str">
        <f t="shared" si="63"/>
      </c>
      <c r="GN477" s="528" t="str">
        <f t="shared" si="63"/>
      </c>
      <c r="GO477" s="528" t="str">
        <f t="shared" si="63"/>
      </c>
      <c r="GP477" s="528" t="str">
        <f t="shared" si="63"/>
      </c>
      <c r="GQ477" s="528" t="str">
        <f t="shared" si="63"/>
      </c>
      <c r="GR477" s="528" t="str">
        <f t="shared" si="63"/>
      </c>
      <c r="GS477" s="528" t="str">
        <f t="shared" si="63"/>
      </c>
      <c r="GT477" s="528" t="str">
        <f t="shared" si="63"/>
      </c>
      <c r="GU477" s="528" t="str">
        <f t="shared" si="63"/>
      </c>
      <c r="GV477" s="528" t="str">
        <f t="shared" si="63"/>
      </c>
      <c r="GW477" s="528" t="str">
        <f t="shared" si="63"/>
      </c>
      <c r="GX477" s="528" t="str">
        <f t="shared" si="63"/>
      </c>
      <c r="GY477" s="528" t="str">
        <f t="shared" si="63"/>
      </c>
      <c r="GZ477" s="528" t="str">
        <f t="shared" si="63"/>
      </c>
      <c r="HA477" s="528" t="str">
        <f t="shared" si="63"/>
      </c>
      <c r="HB477" s="528" t="str">
        <f t="shared" si="63"/>
      </c>
      <c r="HC477" s="528" t="str">
        <f t="shared" si="63"/>
      </c>
      <c r="HD477" s="528" t="str">
        <f t="shared" si="63"/>
      </c>
      <c r="HE477" s="528" t="str">
        <f t="shared" si="63"/>
      </c>
      <c r="HF477" s="528" t="str">
        <f t="shared" si="63"/>
      </c>
      <c r="HG477" s="528" t="str">
        <f t="shared" si="63"/>
      </c>
      <c r="HH477" s="528" t="str">
        <f t="shared" si="63"/>
      </c>
      <c r="HI477" s="528" t="str">
        <f t="shared" si="63"/>
      </c>
      <c r="HJ477" s="528" t="str">
        <f t="shared" si="63"/>
      </c>
      <c r="HK477" s="528" t="str">
        <f t="shared" si="63"/>
      </c>
      <c r="HL477" s="528" t="str">
        <f t="shared" si="63"/>
      </c>
      <c r="HM477" s="528" t="str">
        <f ref="HM477:IV477" t="shared" si="64">IF(SUM(HM458:HM476)&lt;&gt;0,SUM(HM458:HM476),"")</f>
      </c>
      <c r="HN477" s="528" t="str">
        <f t="shared" si="64"/>
      </c>
      <c r="HO477" s="528" t="str">
        <f t="shared" si="64"/>
      </c>
      <c r="HP477" s="528" t="str">
        <f t="shared" si="64"/>
      </c>
      <c r="HQ477" s="528" t="str">
        <f t="shared" si="64"/>
      </c>
      <c r="HR477" s="528" t="str">
        <f t="shared" si="64"/>
      </c>
      <c r="HS477" s="528" t="str">
        <f t="shared" si="64"/>
      </c>
      <c r="HT477" s="528" t="str">
        <f t="shared" si="64"/>
      </c>
      <c r="HU477" s="528" t="str">
        <f t="shared" si="64"/>
      </c>
      <c r="HV477" s="528" t="str">
        <f t="shared" si="64"/>
      </c>
      <c r="HW477" s="528" t="str">
        <f t="shared" si="64"/>
      </c>
      <c r="HX477" s="528" t="str">
        <f t="shared" si="64"/>
      </c>
      <c r="HY477" s="528" t="str">
        <f t="shared" si="64"/>
      </c>
      <c r="HZ477" s="528" t="str">
        <f t="shared" si="64"/>
      </c>
      <c r="IA477" s="528" t="str">
        <f t="shared" si="64"/>
      </c>
      <c r="IB477" s="528" t="str">
        <f t="shared" si="64"/>
      </c>
      <c r="IC477" s="528" t="str">
        <f t="shared" si="64"/>
      </c>
      <c r="ID477" s="528" t="str">
        <f t="shared" si="64"/>
      </c>
      <c r="IE477" s="528" t="str">
        <f t="shared" si="64"/>
      </c>
      <c r="IF477" s="528" t="str">
        <f t="shared" si="64"/>
      </c>
      <c r="IG477" s="528" t="str">
        <f t="shared" si="64"/>
      </c>
      <c r="IH477" s="528" t="str">
        <f t="shared" si="64"/>
      </c>
      <c r="II477" s="528" t="str">
        <f t="shared" si="64"/>
      </c>
      <c r="IJ477" s="528" t="str">
        <f t="shared" si="64"/>
      </c>
      <c r="IK477" s="528" t="str">
        <f t="shared" si="64"/>
      </c>
      <c r="IL477" s="528" t="str">
        <f t="shared" si="64"/>
      </c>
      <c r="IM477" s="528" t="str">
        <f t="shared" si="64"/>
      </c>
      <c r="IN477" s="528" t="str">
        <f t="shared" si="64"/>
      </c>
      <c r="IO477" s="528" t="str">
        <f t="shared" si="64"/>
      </c>
      <c r="IP477" s="528" t="str">
        <f t="shared" si="64"/>
      </c>
      <c r="IQ477" s="528" t="str">
        <f t="shared" si="64"/>
      </c>
      <c r="IR477" s="528" t="str">
        <f t="shared" si="64"/>
      </c>
      <c r="IS477" s="528" t="str">
        <f t="shared" si="64"/>
      </c>
      <c r="IT477" s="528" t="str">
        <f t="shared" si="64"/>
      </c>
      <c r="IU477" s="528" t="str">
        <f t="shared" si="64"/>
      </c>
      <c r="IV477" s="528" t="str">
        <f t="shared" si="64"/>
      </c>
    </row>
    <row r="478" hidden="1" ht="15.95" customHeight="1">
      <c r="B478" s="274"/>
      <c r="M478" s="50"/>
      <c r="N478" s="50"/>
    </row>
    <row r="479" hidden="1" ht="15.95" customHeight="1">
      <c r="B479" s="274"/>
      <c r="C479" s="659" t="s">
        <v>203</v>
      </c>
      <c r="D479" s="660"/>
      <c r="E479" s="660"/>
      <c r="F479" s="660"/>
      <c r="G479" s="660"/>
      <c r="H479" s="660"/>
      <c r="I479" s="660"/>
      <c r="J479" s="660"/>
      <c r="K479" s="660"/>
      <c r="L479" s="660"/>
      <c r="M479" s="660"/>
      <c r="N479" s="660"/>
      <c r="O479" s="660"/>
      <c r="P479" s="660"/>
      <c r="Q479" s="660"/>
      <c r="R479" s="660"/>
      <c r="S479" s="660"/>
      <c r="T479" s="660"/>
      <c r="U479" s="660"/>
      <c r="V479" s="660"/>
      <c r="W479" s="660"/>
      <c r="X479" s="660"/>
      <c r="Y479" s="660"/>
      <c r="Z479" s="660"/>
      <c r="AA479" s="660"/>
      <c r="AB479" s="661"/>
    </row>
    <row r="480" hidden="1" ht="15.95" customHeight="1">
      <c r="C480" s="435" t="str">
        <f> IF(C500&lt;&gt;"",TEXT(AUX!G$1,"dd-MMM-aa"),"")</f>
      </c>
      <c r="D480" s="435" t="str">
        <f> IF(D500&lt;&gt;"",TEXT(AUX!H$1,"dd-MMM-aa"),"")</f>
      </c>
      <c r="E480" s="435" t="str">
        <f> IF(E500&lt;&gt;"",TEXT(AUX!I$1,"dd-MMM-aa"),"")</f>
      </c>
      <c r="F480" s="435" t="str">
        <f> IF(F500&lt;&gt;"",TEXT(AUX!J$1,"dd-MMM-aa"),"")</f>
      </c>
      <c r="G480" s="435" t="str">
        <f> IF(G500&lt;&gt;"",TEXT(AUX!K$1,"dd-MMM-aa"),"")</f>
      </c>
      <c r="H480" s="435" t="str">
        <f> IF(H500&lt;&gt;"",TEXT(AUX!L$1,"dd-MMM-aa"),"")</f>
      </c>
      <c r="I480" s="435" t="str">
        <f> IF(I500&lt;&gt;"",TEXT(AUX!M$1,"dd-MMM-aa"),"")</f>
      </c>
      <c r="J480" s="435" t="str">
        <f> IF(J500&lt;&gt;"",TEXT(AUX!N$1,"dd-MMM-aa"),"")</f>
      </c>
      <c r="K480" s="435" t="str">
        <f> IF(K500&lt;&gt;"",TEXT(AUX!O$1,"dd-MMM-aa"),"")</f>
      </c>
      <c r="L480" s="435" t="str">
        <f> IF(L500&lt;&gt;"",TEXT(AUX!P$1,"dd-MMM-aa"),"")</f>
      </c>
      <c r="M480" s="435" t="str">
        <f> IF(M500&lt;&gt;"",TEXT(AUX!Q$1,"dd-MMM-aa"),"")</f>
      </c>
      <c r="N480" s="435" t="str">
        <f> IF(N500&lt;&gt;"",TEXT(AUX!R$1,"dd-MMM-aa"),"")</f>
      </c>
      <c r="O480" s="435" t="str">
        <f> IF(O500&lt;&gt;"",TEXT(AUX!S$1,"dd-MMM-aa"),"")</f>
      </c>
      <c r="P480" s="435" t="str">
        <f> IF(P500&lt;&gt;"",TEXT(AUX!T$1,"dd-MMM-aa"),"")</f>
      </c>
      <c r="Q480" s="435" t="str">
        <f> IF(Q500&lt;&gt;"",TEXT(AUX!U$1,"dd-MMM-aa"),"")</f>
      </c>
      <c r="R480" s="435" t="str">
        <f> IF(R500&lt;&gt;"",TEXT(AUX!V$1,"dd-MMM-aa"),"")</f>
      </c>
      <c r="S480" s="435" t="str">
        <f> IF(S500&lt;&gt;"",TEXT(AUX!W$1,"dd-MMM-aa"),"")</f>
      </c>
      <c r="T480" s="435" t="str">
        <f> IF(T500&lt;&gt;"",TEXT(AUX!X$1,"dd-MMM-aa"),"")</f>
      </c>
      <c r="U480" s="435" t="str">
        <f> IF(U500&lt;&gt;"",TEXT(AUX!Y$1,"dd-MMM-aa"),"")</f>
      </c>
      <c r="V480" s="435" t="str">
        <f> IF(V500&lt;&gt;"",TEXT(AUX!Z$1,"dd-MMM-aa"),"")</f>
      </c>
      <c r="W480" s="435" t="str">
        <f> IF(W500&lt;&gt;"",TEXT(AUX!AA$1,"dd-MMM-aa"),"")</f>
      </c>
      <c r="X480" s="435" t="str">
        <f> IF(X500&lt;&gt;"",TEXT(AUX!AB$1,"dd-MMM-aa"),"")</f>
      </c>
      <c r="Y480" s="435" t="str">
        <f> IF(Y500&lt;&gt;"",TEXT(AUX!AC$1,"dd-MMM-aa"),"")</f>
      </c>
      <c r="Z480" s="435" t="str">
        <f> IF(Z500&lt;&gt;"",TEXT(AUX!AD$1,"dd-MMM-aa"),"")</f>
      </c>
      <c r="AA480" s="435" t="str">
        <f> IF(AA500&lt;&gt;"",TEXT(AUX!AE$1,"dd-MMM-aa"),"")</f>
      </c>
      <c r="AB480" s="497" t="str">
        <f> IF(AB500&lt;&gt;"",TEXT(AUX!AF$1,"dd-MMM-aa"),"")</f>
      </c>
      <c r="AC480" s="496" t="str">
        <f> IF(AC500&lt;&gt;"",TEXT(AUX!AG$1,"dd-MMM-aa"),"")</f>
      </c>
      <c r="AD480" s="496" t="str">
        <f> IF(AD500&lt;&gt;"",TEXT(AUX!AH$1,"dd-MMM-aa"),"")</f>
      </c>
      <c r="AE480" s="496" t="str">
        <f> IF(AE500&lt;&gt;"",TEXT(AUX!AI$1,"dd-MMM-aa"),"")</f>
      </c>
      <c r="AF480" s="496" t="str">
        <f> IF(AF500&lt;&gt;"",TEXT(AUX!AJ$1,"dd-MMM-aa"),"")</f>
      </c>
      <c r="AG480" s="496" t="str">
        <f> IF(AG500&lt;&gt;"",TEXT(AUX!AK$1,"dd-MMM-aa"),"")</f>
      </c>
      <c r="AH480" s="496" t="str">
        <f> IF(AH500&lt;&gt;"",TEXT(AUX!AL$1,"dd-MMM-aa"),"")</f>
      </c>
      <c r="AI480" s="496" t="str">
        <f> IF(AI500&lt;&gt;"",TEXT(AUX!AM$1,"dd-MMM-aa"),"")</f>
      </c>
      <c r="AJ480" s="496" t="str">
        <f> IF(AJ500&lt;&gt;"",TEXT(AUX!AN$1,"dd-MMM-aa"),"")</f>
      </c>
      <c r="AK480" s="496" t="str">
        <f> IF(AK500&lt;&gt;"",TEXT(AUX!AO$1,"dd-MMM-aa"),"")</f>
      </c>
      <c r="AL480" s="496" t="str">
        <f> IF(AL500&lt;&gt;"",TEXT(AUX!AP$1,"dd-MMM-aa"),"")</f>
      </c>
      <c r="AM480" s="496" t="str">
        <f> IF(AM500&lt;&gt;"",TEXT(AUX!AQ$1,"dd-MMM-aa"),"")</f>
      </c>
      <c r="AN480" s="496" t="str">
        <f> IF(AN500&lt;&gt;"",TEXT(AUX!AR$1,"dd-MMM-aa"),"")</f>
      </c>
      <c r="AO480" s="496" t="str">
        <f> IF(AO500&lt;&gt;"",TEXT(AUX!AS$1,"dd-MMM-aa"),"")</f>
      </c>
      <c r="AP480" s="496" t="str">
        <f> IF(AP500&lt;&gt;"",TEXT(AUX!AT$1,"dd-MMM-aa"),"")</f>
      </c>
      <c r="AQ480" s="496" t="str">
        <f> IF(AQ500&lt;&gt;"",TEXT(AUX!AU$1,"dd-MMM-aa"),"")</f>
      </c>
      <c r="AR480" s="496" t="str">
        <f> IF(AR500&lt;&gt;"",TEXT(AUX!AV$1,"dd-MMM-aa"),"")</f>
      </c>
      <c r="AS480" s="496" t="str">
        <f> IF(AS500&lt;&gt;"",TEXT(AUX!AW$1,"dd-MMM-aa"),"")</f>
      </c>
      <c r="AT480" s="496" t="str">
        <f> IF(AT500&lt;&gt;"",TEXT(AUX!AX$1,"dd-MMM-aa"),"")</f>
      </c>
      <c r="AU480" s="496" t="str">
        <f> IF(AU500&lt;&gt;"",TEXT(AUX!AY$1,"dd-MMM-aa"),"")</f>
      </c>
      <c r="AV480" s="496" t="str">
        <f> IF(AV500&lt;&gt;"",TEXT(AUX!AZ$1,"dd-MMM-aa"),"")</f>
      </c>
      <c r="AW480" s="496" t="str">
        <f> IF(AW500&lt;&gt;"",TEXT(AUX!BA$1,"dd-MMM-aa"),"")</f>
      </c>
      <c r="AX480" s="496" t="str">
        <f> IF(AX500&lt;&gt;"",TEXT(AUX!BB$1,"dd-MMM-aa"),"")</f>
      </c>
      <c r="AY480" s="496" t="str">
        <f> IF(AY500&lt;&gt;"",TEXT(AUX!BC$1,"dd-MMM-aa"),"")</f>
      </c>
      <c r="AZ480" s="496" t="str">
        <f> IF(AZ500&lt;&gt;"",TEXT(AUX!BD$1,"dd-MMM-aa"),"")</f>
      </c>
      <c r="BA480" s="496" t="str">
        <f> IF(BA500&lt;&gt;"",TEXT(AUX!BE$1,"dd-MMM-aa"),"")</f>
      </c>
      <c r="BB480" s="496" t="str">
        <f> IF(BB500&lt;&gt;"",TEXT(AUX!BF$1,"dd-MMM-aa"),"")</f>
      </c>
      <c r="BC480" s="496" t="str">
        <f> IF(BC500&lt;&gt;"",TEXT(AUX!BG$1,"dd-MMM-aa"),"")</f>
      </c>
      <c r="BD480" s="496" t="str">
        <f> IF(BD500&lt;&gt;"",TEXT(AUX!BH$1,"dd-MMM-aa"),"")</f>
      </c>
      <c r="BE480" s="496" t="str">
        <f> IF(BE500&lt;&gt;"",TEXT(AUX!BI$1,"dd-MMM-aa"),"")</f>
      </c>
      <c r="BF480" s="496" t="str">
        <f> IF(BF500&lt;&gt;"",TEXT(AUX!BJ$1,"dd-MMM-aa"),"")</f>
      </c>
      <c r="BG480" s="496" t="str">
        <f> IF(BG500&lt;&gt;"",TEXT(AUX!BK$1,"dd-MMM-aa"),"")</f>
      </c>
      <c r="BH480" s="496" t="str">
        <f> IF(BH500&lt;&gt;"",TEXT(AUX!BL$1,"dd-MMM-aa"),"")</f>
      </c>
      <c r="BI480" s="496" t="str">
        <f> IF(BI500&lt;&gt;"",TEXT(AUX!BM$1,"dd-MMM-aa"),"")</f>
      </c>
      <c r="BJ480" s="496" t="str">
        <f> IF(BJ500&lt;&gt;"",TEXT(AUX!BN$1,"dd-MMM-aa"),"")</f>
      </c>
      <c r="BK480" s="496" t="str">
        <f> IF(BK500&lt;&gt;"",TEXT(AUX!BO$1,"dd-MMM-aa"),"")</f>
      </c>
      <c r="BL480" s="496" t="str">
        <f> IF(BL500&lt;&gt;"",TEXT(AUX!BP$1,"dd-MMM-aa"),"")</f>
      </c>
      <c r="BM480" s="496" t="str">
        <f> IF(BM500&lt;&gt;"",TEXT(AUX!BQ$1,"dd-MMM-aa"),"")</f>
      </c>
      <c r="BN480" s="496" t="str">
        <f> IF(BN500&lt;&gt;"",TEXT(AUX!BR$1,"dd-MMM-aa"),"")</f>
      </c>
      <c r="BO480" s="496" t="str">
        <f> IF(BO500&lt;&gt;"",TEXT(AUX!BS$1,"dd-MMM-aa"),"")</f>
      </c>
      <c r="BP480" s="496" t="str">
        <f> IF(BP500&lt;&gt;"",TEXT(AUX!BT$1,"dd-MMM-aa"),"")</f>
      </c>
      <c r="BQ480" s="496" t="str">
        <f> IF(BQ500&lt;&gt;"",TEXT(AUX!BU$1,"dd-MMM-aa"),"")</f>
      </c>
      <c r="BR480" s="496" t="str">
        <f> IF(BR500&lt;&gt;"",TEXT(AUX!BV$1,"dd-MMM-aa"),"")</f>
      </c>
      <c r="BS480" s="496" t="str">
        <f> IF(BS500&lt;&gt;"",TEXT(AUX!BW$1,"dd-MMM-aa"),"")</f>
      </c>
      <c r="BT480" s="496" t="str">
        <f> IF(BT500&lt;&gt;"",TEXT(AUX!BX$1,"dd-MMM-aa"),"")</f>
      </c>
      <c r="BU480" s="496" t="str">
        <f> IF(BU500&lt;&gt;"",TEXT(AUX!BY$1,"dd-MMM-aa"),"")</f>
      </c>
      <c r="BV480" s="496" t="str">
        <f> IF(BV500&lt;&gt;"",TEXT(AUX!BZ$1,"dd-MMM-aa"),"")</f>
      </c>
      <c r="BW480" s="496" t="str">
        <f> IF(BW500&lt;&gt;"",TEXT(AUX!CA$1,"dd-MMM-aa"),"")</f>
      </c>
      <c r="BX480" s="496" t="str">
        <f> IF(BX500&lt;&gt;"",TEXT(AUX!CB$1,"dd-MMM-aa"),"")</f>
      </c>
      <c r="BY480" s="496" t="str">
        <f> IF(BY500&lt;&gt;"",TEXT(AUX!CC$1,"dd-MMM-aa"),"")</f>
      </c>
      <c r="BZ480" s="496" t="str">
        <f> IF(BZ500&lt;&gt;"",TEXT(AUX!CD$1,"dd-MMM-aa"),"")</f>
      </c>
      <c r="CA480" s="496" t="str">
        <f> IF(CA500&lt;&gt;"",TEXT(AUX!CE$1,"dd-MMM-aa"),"")</f>
      </c>
      <c r="CB480" s="496" t="str">
        <f> IF(CB500&lt;&gt;"",TEXT(AUX!CF$1,"dd-MMM-aa"),"")</f>
      </c>
      <c r="CC480" s="496" t="str">
        <f> IF(CC500&lt;&gt;"",TEXT(AUX!CG$1,"dd-MMM-aa"),"")</f>
      </c>
      <c r="CD480" s="496" t="str">
        <f> IF(CD500&lt;&gt;"",TEXT(AUX!CH$1,"dd-MMM-aa"),"")</f>
      </c>
      <c r="CE480" s="496" t="str">
        <f> IF(CE500&lt;&gt;"",TEXT(AUX!CI$1,"dd-MMM-aa"),"")</f>
      </c>
      <c r="CF480" s="496" t="str">
        <f> IF(CF500&lt;&gt;"",TEXT(AUX!CJ$1,"dd-MMM-aa"),"")</f>
      </c>
      <c r="CG480" s="496" t="str">
        <f> IF(CG500&lt;&gt;"",TEXT(AUX!CK$1,"dd-MMM-aa"),"")</f>
      </c>
      <c r="CH480" s="496" t="str">
        <f> IF(CH500&lt;&gt;"",TEXT(AUX!CL$1,"dd-MMM-aa"),"")</f>
      </c>
      <c r="CI480" s="496" t="str">
        <f> IF(CI500&lt;&gt;"",TEXT(AUX!CM$1,"dd-MMM-aa"),"")</f>
      </c>
      <c r="CJ480" s="496" t="str">
        <f> IF(CJ500&lt;&gt;"",TEXT(AUX!CN$1,"dd-MMM-aa"),"")</f>
      </c>
      <c r="CK480" s="496" t="str">
        <f> IF(CK500&lt;&gt;"",TEXT(AUX!CO$1,"dd-MMM-aa"),"")</f>
      </c>
      <c r="CL480" s="496" t="str">
        <f> IF(CL500&lt;&gt;"",TEXT(AUX!CP$1,"dd-MMM-aa"),"")</f>
      </c>
      <c r="CM480" s="496" t="str">
        <f> IF(CM500&lt;&gt;"",TEXT(AUX!CQ$1,"dd-MMM-aa"),"")</f>
      </c>
      <c r="CN480" s="496" t="str">
        <f> IF(CN500&lt;&gt;"",TEXT(AUX!CR$1,"dd-MMM-aa"),"")</f>
      </c>
      <c r="CO480" s="496" t="str">
        <f> IF(CO500&lt;&gt;"",TEXT(AUX!CS$1,"dd-MMM-aa"),"")</f>
      </c>
      <c r="CP480" s="496" t="str">
        <f> IF(CP500&lt;&gt;"",TEXT(AUX!CT$1,"dd-MMM-aa"),"")</f>
      </c>
      <c r="CQ480" s="496" t="str">
        <f> IF(CQ500&lt;&gt;"",TEXT(AUX!CU$1,"dd-MMM-aa"),"")</f>
      </c>
      <c r="CR480" s="496" t="str">
        <f> IF(CR500&lt;&gt;"",TEXT(AUX!CV$1,"dd-MMM-aa"),"")</f>
      </c>
      <c r="CS480" s="496" t="str">
        <f> IF(CS500&lt;&gt;"",TEXT(AUX!CW$1,"dd-MMM-aa"),"")</f>
      </c>
      <c r="CT480" s="496" t="str">
        <f> IF(CT500&lt;&gt;"",TEXT(AUX!CX$1,"dd-MMM-aa"),"")</f>
      </c>
      <c r="CU480" s="496" t="str">
        <f> IF(CU500&lt;&gt;"",TEXT(AUX!CY$1,"dd-MMM-aa"),"")</f>
      </c>
      <c r="CV480" s="496" t="str">
        <f> IF(CV500&lt;&gt;"",TEXT(AUX!CZ$1,"dd-MMM-aa"),"")</f>
      </c>
      <c r="CW480" s="496" t="str">
        <f> IF(CW500&lt;&gt;"",TEXT(AUX!DA$1,"dd-MMM-aa"),"")</f>
      </c>
      <c r="CX480" s="496" t="str">
        <f> IF(CX500&lt;&gt;"",TEXT(AUX!DB$1,"dd-MMM-aa"),"")</f>
      </c>
      <c r="CY480" s="496" t="str">
        <f> IF(CY500&lt;&gt;"",TEXT(AUX!DC$1,"dd-MMM-aa"),"")</f>
      </c>
      <c r="CZ480" s="496" t="str">
        <f> IF(CZ500&lt;&gt;"",TEXT(AUX!DD$1,"dd-MMM-aa"),"")</f>
      </c>
      <c r="DA480" s="496" t="str">
        <f> IF(DA500&lt;&gt;"",TEXT(AUX!DE$1,"dd-MMM-aa"),"")</f>
      </c>
      <c r="DB480" s="496" t="str">
        <f> IF(DB500&lt;&gt;"",TEXT(AUX!DF$1,"dd-MMM-aa"),"")</f>
      </c>
      <c r="DC480" s="496" t="str">
        <f> IF(DC500&lt;&gt;"",TEXT(AUX!DG$1,"dd-MMM-aa"),"")</f>
      </c>
      <c r="DD480" s="496" t="str">
        <f> IF(DD500&lt;&gt;"",TEXT(AUX!DH$1,"dd-MMM-aa"),"")</f>
      </c>
      <c r="DE480" s="496" t="str">
        <f> IF(DE500&lt;&gt;"",TEXT(AUX!DI$1,"dd-MMM-aa"),"")</f>
      </c>
      <c r="DF480" s="496" t="str">
        <f> IF(DF500&lt;&gt;"",TEXT(AUX!DJ$1,"dd-MMM-aa"),"")</f>
      </c>
      <c r="DG480" s="496" t="str">
        <f> IF(DG500&lt;&gt;"",TEXT(AUX!DK$1,"dd-MMM-aa"),"")</f>
      </c>
      <c r="DH480" s="496" t="str">
        <f> IF(DH500&lt;&gt;"",TEXT(AUX!DL$1,"dd-MMM-aa"),"")</f>
      </c>
      <c r="DI480" s="496" t="str">
        <f> IF(DI500&lt;&gt;"",TEXT(AUX!DM$1,"dd-MMM-aa"),"")</f>
      </c>
      <c r="DJ480" s="496" t="str">
        <f> IF(DJ500&lt;&gt;"",TEXT(AUX!DN$1,"dd-MMM-aa"),"")</f>
      </c>
      <c r="DK480" s="496" t="str">
        <f> IF(DK500&lt;&gt;"",TEXT(AUX!DO$1,"dd-MMM-aa"),"")</f>
      </c>
      <c r="DL480" s="496" t="str">
        <f> IF(DL500&lt;&gt;"",TEXT(AUX!DP$1,"dd-MMM-aa"),"")</f>
      </c>
      <c r="DM480" s="496" t="str">
        <f> IF(DM500&lt;&gt;"",TEXT(AUX!DQ$1,"dd-MMM-aa"),"")</f>
      </c>
      <c r="DN480" s="496" t="str">
        <f> IF(DN500&lt;&gt;"",TEXT(AUX!DR$1,"dd-MMM-aa"),"")</f>
      </c>
      <c r="DO480" s="496" t="str">
        <f> IF(DO500&lt;&gt;"",TEXT(AUX!DS$1,"dd-MMM-aa"),"")</f>
      </c>
      <c r="DP480" s="496" t="str">
        <f> IF(DP500&lt;&gt;"",TEXT(AUX!DT$1,"dd-MMM-aa"),"")</f>
      </c>
      <c r="DQ480" s="496" t="str">
        <f> IF(DQ500&lt;&gt;"",TEXT(AUX!DU$1,"dd-MMM-aa"),"")</f>
      </c>
      <c r="DR480" s="496" t="str">
        <f> IF(DR500&lt;&gt;"",TEXT(AUX!DV$1,"dd-MMM-aa"),"")</f>
      </c>
      <c r="DS480" s="496" t="str">
        <f> IF(DS500&lt;&gt;"",TEXT(AUX!DW$1,"dd-MMM-aa"),"")</f>
      </c>
      <c r="DT480" s="496" t="str">
        <f> IF(DT500&lt;&gt;"",TEXT(AUX!DX$1,"dd-MMM-aa"),"")</f>
      </c>
      <c r="DU480" s="496" t="str">
        <f> IF(DU500&lt;&gt;"",TEXT(AUX!DY$1,"dd-MMM-aa"),"")</f>
      </c>
      <c r="DV480" s="496" t="str">
        <f> IF(DV500&lt;&gt;"",TEXT(AUX!DZ$1,"dd-MMM-aa"),"")</f>
      </c>
      <c r="DW480" s="496" t="str">
        <f> IF(DW500&lt;&gt;"",TEXT(AUX!EA$1,"dd-MMM-aa"),"")</f>
      </c>
      <c r="DX480" s="496" t="str">
        <f> IF(DX500&lt;&gt;"",TEXT(AUX!EB$1,"dd-MMM-aa"),"")</f>
      </c>
      <c r="DY480" s="496" t="str">
        <f> IF(DY500&lt;&gt;"",TEXT(AUX!EC$1,"dd-MMM-aa"),"")</f>
      </c>
      <c r="DZ480" s="496" t="str">
        <f> IF(DZ500&lt;&gt;"",TEXT(AUX!ED$1,"dd-MMM-aa"),"")</f>
      </c>
      <c r="EA480" s="496" t="str">
        <f> IF(EA500&lt;&gt;"",TEXT(AUX!EE$1,"dd-MMM-aa"),"")</f>
      </c>
      <c r="EB480" s="496" t="str">
        <f> IF(EB500&lt;&gt;"",TEXT(AUX!EF$1,"dd-MMM-aa"),"")</f>
      </c>
      <c r="EC480" s="496" t="str">
        <f> IF(EC500&lt;&gt;"",TEXT(AUX!EG$1,"dd-MMM-aa"),"")</f>
      </c>
      <c r="ED480" s="496" t="str">
        <f> IF(ED500&lt;&gt;"",TEXT(AUX!EH$1,"dd-MMM-aa"),"")</f>
      </c>
      <c r="EE480" s="496" t="str">
        <f> IF(EE500&lt;&gt;"",TEXT(AUX!EI$1,"dd-MMM-aa"),"")</f>
      </c>
      <c r="EF480" s="496" t="str">
        <f> IF(EF500&lt;&gt;"",TEXT(AUX!EJ$1,"dd-MMM-aa"),"")</f>
      </c>
      <c r="EG480" s="496" t="str">
        <f> IF(EG500&lt;&gt;"",TEXT(AUX!EK$1,"dd-MMM-aa"),"")</f>
      </c>
      <c r="EH480" s="496" t="str">
        <f> IF(EH500&lt;&gt;"",TEXT(AUX!EL$1,"dd-MMM-aa"),"")</f>
      </c>
      <c r="EI480" s="496" t="str">
        <f> IF(EI500&lt;&gt;"",TEXT(AUX!EM$1,"dd-MMM-aa"),"")</f>
      </c>
      <c r="EJ480" s="496" t="str">
        <f> IF(EJ500&lt;&gt;"",TEXT(AUX!EN$1,"dd-MMM-aa"),"")</f>
      </c>
      <c r="EK480" s="496" t="str">
        <f> IF(EK500&lt;&gt;"",TEXT(AUX!EO$1,"dd-MMM-aa"),"")</f>
      </c>
      <c r="EL480" s="496" t="str">
        <f> IF(EL500&lt;&gt;"",TEXT(AUX!EP$1,"dd-MMM-aa"),"")</f>
      </c>
      <c r="EM480" s="496" t="str">
        <f> IF(EM500&lt;&gt;"",TEXT(AUX!EQ$1,"dd-MMM-aa"),"")</f>
      </c>
      <c r="EN480" s="496" t="str">
        <f> IF(EN500&lt;&gt;"",TEXT(AUX!ER$1,"dd-MMM-aa"),"")</f>
      </c>
      <c r="EO480" s="496" t="str">
        <f> IF(EO500&lt;&gt;"",TEXT(AUX!ES$1,"dd-MMM-aa"),"")</f>
      </c>
      <c r="EP480" s="496" t="str">
        <f> IF(EP500&lt;&gt;"",TEXT(AUX!ET$1,"dd-MMM-aa"),"")</f>
      </c>
      <c r="EQ480" s="496" t="str">
        <f> IF(EQ500&lt;&gt;"",TEXT(AUX!EU$1,"dd-MMM-aa"),"")</f>
      </c>
      <c r="ER480" s="496" t="str">
        <f> IF(ER500&lt;&gt;"",TEXT(AUX!EV$1,"dd-MMM-aa"),"")</f>
      </c>
      <c r="ES480" s="496" t="str">
        <f> IF(ES500&lt;&gt;"",TEXT(AUX!EW$1,"dd-MMM-aa"),"")</f>
      </c>
      <c r="ET480" s="496" t="str">
        <f> IF(ET500&lt;&gt;"",TEXT(AUX!EX$1,"dd-MMM-aa"),"")</f>
      </c>
      <c r="EU480" s="496" t="str">
        <f> IF(EU500&lt;&gt;"",TEXT(AUX!EY$1,"dd-MMM-aa"),"")</f>
      </c>
      <c r="EV480" s="496" t="str">
        <f> IF(EV500&lt;&gt;"",TEXT(AUX!EZ$1,"dd-MMM-aa"),"")</f>
      </c>
      <c r="EW480" s="496" t="str">
        <f> IF(EW500&lt;&gt;"",TEXT(AUX!FA$1,"dd-MMM-aa"),"")</f>
      </c>
      <c r="EX480" s="496" t="str">
        <f> IF(EX500&lt;&gt;"",TEXT(AUX!FB$1,"dd-MMM-aa"),"")</f>
      </c>
      <c r="EY480" s="496" t="str">
        <f> IF(EY500&lt;&gt;"",TEXT(AUX!FC$1,"dd-MMM-aa"),"")</f>
      </c>
      <c r="EZ480" s="496" t="str">
        <f> IF(EZ500&lt;&gt;"",TEXT(AUX!FD$1,"dd-MMM-aa"),"")</f>
      </c>
      <c r="FA480" s="496" t="str">
        <f> IF(FA500&lt;&gt;"",TEXT(AUX!FE$1,"dd-MMM-aa"),"")</f>
      </c>
      <c r="FB480" s="496" t="str">
        <f> IF(FB500&lt;&gt;"",TEXT(AUX!FF$1,"dd-MMM-aa"),"")</f>
      </c>
      <c r="FC480" s="496" t="str">
        <f> IF(FC500&lt;&gt;"",TEXT(AUX!FG$1,"dd-MMM-aa"),"")</f>
      </c>
      <c r="FD480" s="496" t="str">
        <f> IF(FD500&lt;&gt;"",TEXT(AUX!FH$1,"dd-MMM-aa"),"")</f>
      </c>
      <c r="FE480" s="496" t="str">
        <f> IF(FE500&lt;&gt;"",TEXT(AUX!FI$1,"dd-MMM-aa"),"")</f>
      </c>
      <c r="FF480" s="496" t="str">
        <f> IF(FF500&lt;&gt;"",TEXT(AUX!FJ$1,"dd-MMM-aa"),"")</f>
      </c>
      <c r="FG480" s="496" t="str">
        <f> IF(FG500&lt;&gt;"",TEXT(AUX!FK$1,"dd-MMM-aa"),"")</f>
      </c>
      <c r="FH480" s="496" t="str">
        <f> IF(FH500&lt;&gt;"",TEXT(AUX!FL$1,"dd-MMM-aa"),"")</f>
      </c>
      <c r="FI480" s="496" t="str">
        <f> IF(FI500&lt;&gt;"",TEXT(AUX!FM$1,"dd-MMM-aa"),"")</f>
      </c>
      <c r="FJ480" s="496" t="str">
        <f> IF(FJ500&lt;&gt;"",TEXT(AUX!FN$1,"dd-MMM-aa"),"")</f>
      </c>
      <c r="FK480" s="496" t="str">
        <f> IF(FK500&lt;&gt;"",TEXT(AUX!FO$1,"dd-MMM-aa"),"")</f>
      </c>
      <c r="FL480" s="496" t="str">
        <f> IF(FL500&lt;&gt;"",TEXT(AUX!FP$1,"dd-MMM-aa"),"")</f>
      </c>
      <c r="FM480" s="496" t="str">
        <f> IF(FM500&lt;&gt;"",TEXT(AUX!FQ$1,"dd-MMM-aa"),"")</f>
      </c>
      <c r="FN480" s="496" t="str">
        <f> IF(FN500&lt;&gt;"",TEXT(AUX!FR$1,"dd-MMM-aa"),"")</f>
      </c>
      <c r="FO480" s="496" t="str">
        <f> IF(FO500&lt;&gt;"",TEXT(AUX!FS$1,"dd-MMM-aa"),"")</f>
      </c>
      <c r="FP480" s="496" t="str">
        <f> IF(FP500&lt;&gt;"",TEXT(AUX!FT$1,"dd-MMM-aa"),"")</f>
      </c>
      <c r="FQ480" s="496" t="str">
        <f> IF(FQ500&lt;&gt;"",TEXT(AUX!FU$1,"dd-MMM-aa"),"")</f>
      </c>
      <c r="FR480" s="496" t="str">
        <f> IF(FR500&lt;&gt;"",TEXT(AUX!FV$1,"dd-MMM-aa"),"")</f>
      </c>
      <c r="FS480" s="496" t="str">
        <f> IF(FS500&lt;&gt;"",TEXT(AUX!FW$1,"dd-MMM-aa"),"")</f>
      </c>
      <c r="FT480" s="496" t="str">
        <f> IF(FT500&lt;&gt;"",TEXT(AUX!FX$1,"dd-MMM-aa"),"")</f>
      </c>
      <c r="FU480" s="496" t="str">
        <f> IF(FU500&lt;&gt;"",TEXT(AUX!FY$1,"dd-MMM-aa"),"")</f>
      </c>
      <c r="FV480" s="496" t="str">
        <f> IF(FV500&lt;&gt;"",TEXT(AUX!FZ$1,"dd-MMM-aa"),"")</f>
      </c>
      <c r="FW480" s="496" t="str">
        <f> IF(FW500&lt;&gt;"",TEXT(AUX!GA$1,"dd-MMM-aa"),"")</f>
      </c>
      <c r="FX480" s="496" t="str">
        <f> IF(FX500&lt;&gt;"",TEXT(AUX!GB$1,"dd-MMM-aa"),"")</f>
      </c>
      <c r="FY480" s="496" t="str">
        <f> IF(FY500&lt;&gt;"",TEXT(AUX!GC$1,"dd-MMM-aa"),"")</f>
      </c>
      <c r="FZ480" s="496" t="str">
        <f> IF(FZ500&lt;&gt;"",TEXT(AUX!GD$1,"dd-MMM-aa"),"")</f>
      </c>
      <c r="GA480" s="496" t="str">
        <f> IF(GA500&lt;&gt;"",TEXT(AUX!GE$1,"dd-MMM-aa"),"")</f>
      </c>
      <c r="GB480" s="496" t="str">
        <f> IF(GB500&lt;&gt;"",TEXT(AUX!GF$1,"dd-MMM-aa"),"")</f>
      </c>
      <c r="GC480" s="496" t="str">
        <f> IF(GC500&lt;&gt;"",TEXT(AUX!GG$1,"dd-MMM-aa"),"")</f>
      </c>
      <c r="GD480" s="496" t="str">
        <f> IF(GD500&lt;&gt;"",TEXT(AUX!GH$1,"dd-MMM-aa"),"")</f>
      </c>
      <c r="GE480" s="496" t="str">
        <f> IF(GE500&lt;&gt;"",TEXT(AUX!GI$1,"dd-MMM-aa"),"")</f>
      </c>
      <c r="GF480" s="496" t="str">
        <f> IF(GF500&lt;&gt;"",TEXT(AUX!GJ$1,"dd-MMM-aa"),"")</f>
      </c>
      <c r="GG480" s="496" t="str">
        <f> IF(GG500&lt;&gt;"",TEXT(AUX!GK$1,"dd-MMM-aa"),"")</f>
      </c>
      <c r="GH480" s="496" t="str">
        <f> IF(GH500&lt;&gt;"",TEXT(AUX!GL$1,"dd-MMM-aa"),"")</f>
      </c>
      <c r="GI480" s="496" t="str">
        <f> IF(GI500&lt;&gt;"",TEXT(AUX!GM$1,"dd-MMM-aa"),"")</f>
      </c>
      <c r="GJ480" s="496" t="str">
        <f> IF(GJ500&lt;&gt;"",TEXT(AUX!GN$1,"dd-MMM-aa"),"")</f>
      </c>
      <c r="GK480" s="496" t="str">
        <f> IF(GK500&lt;&gt;"",TEXT(AUX!GO$1,"dd-MMM-aa"),"")</f>
      </c>
      <c r="GL480" s="496" t="str">
        <f> IF(GL500&lt;&gt;"",TEXT(AUX!GP$1,"dd-MMM-aa"),"")</f>
      </c>
      <c r="GM480" s="496" t="str">
        <f> IF(GM500&lt;&gt;"",TEXT(AUX!GQ$1,"dd-MMM-aa"),"")</f>
      </c>
      <c r="GN480" s="496" t="str">
        <f> IF(GN500&lt;&gt;"",TEXT(AUX!GR$1,"dd-MMM-aa"),"")</f>
      </c>
      <c r="GO480" s="496" t="str">
        <f> IF(GO500&lt;&gt;"",TEXT(AUX!GS$1,"dd-MMM-aa"),"")</f>
      </c>
      <c r="GP480" s="496" t="str">
        <f> IF(GP500&lt;&gt;"",TEXT(AUX!GT$1,"dd-MMM-aa"),"")</f>
      </c>
      <c r="GQ480" s="496" t="str">
        <f> IF(GQ500&lt;&gt;"",TEXT(AUX!GU$1,"dd-MMM-aa"),"")</f>
      </c>
      <c r="GR480" s="496" t="str">
        <f> IF(GR500&lt;&gt;"",TEXT(AUX!GV$1,"dd-MMM-aa"),"")</f>
      </c>
      <c r="GS480" s="496" t="str">
        <f> IF(GS500&lt;&gt;"",TEXT(AUX!GW$1,"dd-MMM-aa"),"")</f>
      </c>
      <c r="GT480" s="496" t="str">
        <f> IF(GT500&lt;&gt;"",TEXT(AUX!GX$1,"dd-MMM-aa"),"")</f>
      </c>
      <c r="GU480" s="496" t="str">
        <f> IF(GU500&lt;&gt;"",TEXT(AUX!GY$1,"dd-MMM-aa"),"")</f>
      </c>
      <c r="GV480" s="496" t="str">
        <f> IF(GV500&lt;&gt;"",TEXT(AUX!GZ$1,"dd-MMM-aa"),"")</f>
      </c>
      <c r="GW480" s="496" t="str">
        <f> IF(GW500&lt;&gt;"",TEXT(AUX!HA$1,"dd-MMM-aa"),"")</f>
      </c>
      <c r="GX480" s="496" t="str">
        <f> IF(GX500&lt;&gt;"",TEXT(AUX!HB$1,"dd-MMM-aa"),"")</f>
      </c>
      <c r="GY480" s="496" t="str">
        <f> IF(GY500&lt;&gt;"",TEXT(AUX!HC$1,"dd-MMM-aa"),"")</f>
      </c>
      <c r="GZ480" s="496" t="str">
        <f> IF(GZ500&lt;&gt;"",TEXT(AUX!HD$1,"dd-MMM-aa"),"")</f>
      </c>
      <c r="HA480" s="496" t="str">
        <f> IF(HA500&lt;&gt;"",TEXT(AUX!HE$1,"dd-MMM-aa"),"")</f>
      </c>
      <c r="HB480" s="496" t="str">
        <f> IF(HB500&lt;&gt;"",TEXT(AUX!HF$1,"dd-MMM-aa"),"")</f>
      </c>
      <c r="HC480" s="496" t="str">
        <f> IF(HC500&lt;&gt;"",TEXT(AUX!HG$1,"dd-MMM-aa"),"")</f>
      </c>
      <c r="HD480" s="496" t="str">
        <f> IF(HD500&lt;&gt;"",TEXT(AUX!HH$1,"dd-MMM-aa"),"")</f>
      </c>
      <c r="HE480" s="496" t="str">
        <f> IF(HE500&lt;&gt;"",TEXT(AUX!HI$1,"dd-MMM-aa"),"")</f>
      </c>
      <c r="HF480" s="496" t="str">
        <f> IF(HF500&lt;&gt;"",TEXT(AUX!HJ$1,"dd-MMM-aa"),"")</f>
      </c>
      <c r="HG480" s="496" t="str">
        <f> IF(HG500&lt;&gt;"",TEXT(AUX!HK$1,"dd-MMM-aa"),"")</f>
      </c>
      <c r="HH480" s="496" t="str">
        <f> IF(HH500&lt;&gt;"",TEXT(AUX!HL$1,"dd-MMM-aa"),"")</f>
      </c>
      <c r="HI480" s="496" t="str">
        <f> IF(HI500&lt;&gt;"",TEXT(AUX!HM$1,"dd-MMM-aa"),"")</f>
      </c>
      <c r="HJ480" s="496" t="str">
        <f> IF(HJ500&lt;&gt;"",TEXT(AUX!HN$1,"dd-MMM-aa"),"")</f>
      </c>
      <c r="HK480" s="496" t="str">
        <f> IF(HK500&lt;&gt;"",TEXT(AUX!HO$1,"dd-MMM-aa"),"")</f>
      </c>
      <c r="HL480" s="496" t="str">
        <f> IF(HL500&lt;&gt;"",TEXT(AUX!HP$1,"dd-MMM-aa"),"")</f>
      </c>
      <c r="HM480" s="496" t="str">
        <f> IF(HM500&lt;&gt;"",TEXT(AUX!HQ$1,"dd-MMM-aa"),"")</f>
      </c>
      <c r="HN480" s="496" t="str">
        <f> IF(HN500&lt;&gt;"",TEXT(AUX!HR$1,"dd-MMM-aa"),"")</f>
      </c>
      <c r="HO480" s="496" t="str">
        <f> IF(HO500&lt;&gt;"",TEXT(AUX!HS$1,"dd-MMM-aa"),"")</f>
      </c>
      <c r="HP480" s="496" t="str">
        <f> IF(HP500&lt;&gt;"",TEXT(AUX!HT$1,"dd-MMM-aa"),"")</f>
      </c>
      <c r="HQ480" s="496" t="str">
        <f> IF(HQ500&lt;&gt;"",TEXT(AUX!HU$1,"dd-MMM-aa"),"")</f>
      </c>
      <c r="HR480" s="496" t="str">
        <f> IF(HR500&lt;&gt;"",TEXT(AUX!HV$1,"dd-MMM-aa"),"")</f>
      </c>
      <c r="HS480" s="496" t="str">
        <f> IF(HS500&lt;&gt;"",TEXT(AUX!HW$1,"dd-MMM-aa"),"")</f>
      </c>
      <c r="HT480" s="496" t="str">
        <f> IF(HT500&lt;&gt;"",TEXT(AUX!HX$1,"dd-MMM-aa"),"")</f>
      </c>
      <c r="HU480" s="496" t="str">
        <f> IF(HU500&lt;&gt;"",TEXT(AUX!HY$1,"dd-MMM-aa"),"")</f>
      </c>
      <c r="HV480" s="496" t="str">
        <f> IF(HV500&lt;&gt;"",TEXT(AUX!HZ$1,"dd-MMM-aa"),"")</f>
      </c>
      <c r="HW480" s="496" t="str">
        <f> IF(HW500&lt;&gt;"",TEXT(AUX!IA$1,"dd-MMM-aa"),"")</f>
      </c>
      <c r="HX480" s="496" t="str">
        <f> IF(HX500&lt;&gt;"",TEXT(AUX!IB$1,"dd-MMM-aa"),"")</f>
      </c>
      <c r="HY480" s="496" t="str">
        <f> IF(HY500&lt;&gt;"",TEXT(AUX!IC$1,"dd-MMM-aa"),"")</f>
      </c>
      <c r="HZ480" s="496" t="str">
        <f> IF(HZ500&lt;&gt;"",TEXT(AUX!ID$1,"dd-MMM-aa"),"")</f>
      </c>
      <c r="IA480" s="496" t="str">
        <f> IF(IA500&lt;&gt;"",TEXT(AUX!IE$1,"dd-MMM-aa"),"")</f>
      </c>
      <c r="IB480" s="496" t="str">
        <f> IF(IB500&lt;&gt;"",TEXT(AUX!IF$1,"dd-MMM-aa"),"")</f>
      </c>
      <c r="IC480" s="496" t="str">
        <f> IF(IC500&lt;&gt;"",TEXT(AUX!IG$1,"dd-MMM-aa"),"")</f>
      </c>
      <c r="ID480" s="496" t="str">
        <f> IF(ID500&lt;&gt;"",TEXT(AUX!IH$1,"dd-MMM-aa"),"")</f>
      </c>
      <c r="IE480" s="496" t="str">
        <f> IF(IE500&lt;&gt;"",TEXT(AUX!II$1,"dd-MMM-aa"),"")</f>
      </c>
      <c r="IF480" s="496" t="str">
        <f> IF(IF500&lt;&gt;"",TEXT(AUX!IJ$1,"dd-MMM-aa"),"")</f>
      </c>
      <c r="IG480" s="496" t="str">
        <f> IF(IG500&lt;&gt;"",TEXT(AUX!IK$1,"dd-MMM-aa"),"")</f>
      </c>
      <c r="IH480" s="496" t="str">
        <f> IF(IH500&lt;&gt;"",TEXT(AUX!IL$1,"dd-MMM-aa"),"")</f>
      </c>
      <c r="II480" s="496" t="str">
        <f> IF(II500&lt;&gt;"",TEXT(AUX!IM$1,"dd-MMM-aa"),"")</f>
      </c>
      <c r="IJ480" s="496" t="str">
        <f> IF(IJ500&lt;&gt;"",TEXT(AUX!IN$1,"dd-MMM-aa"),"")</f>
      </c>
      <c r="IK480" s="496" t="str">
        <f> IF(IK500&lt;&gt;"",TEXT(AUX!IO$1,"dd-MMM-aa"),"")</f>
      </c>
      <c r="IL480" s="496" t="str">
        <f> IF(IL500&lt;&gt;"",TEXT(AUX!IP$1,"dd-MMM-aa"),"")</f>
      </c>
      <c r="IM480" s="496" t="str">
        <f> IF(IM500&lt;&gt;"",TEXT(AUX!IQ$1,"dd-MMM-aa"),"")</f>
      </c>
      <c r="IN480" s="496" t="str">
        <f> IF(IN500&lt;&gt;"",TEXT(AUX!IR$1,"dd-MMM-aa"),"")</f>
      </c>
      <c r="IO480" s="496" t="str">
        <f> IF(IO500&lt;&gt;"",TEXT(AUX!IS$1,"dd-MMM-aa"),"")</f>
      </c>
      <c r="IP480" s="496" t="str">
        <f> IF(IP500&lt;&gt;"",TEXT(AUX!IT$1,"dd-MMM-aa"),"")</f>
      </c>
      <c r="IQ480" s="496" t="str">
        <f> IF(IQ500&lt;&gt;"",TEXT(AUX!IU$1,"dd-MMM-aa"),"")</f>
      </c>
      <c r="IR480" s="496" t="str">
        <f> IF(IR500&lt;&gt;"",TEXT(AUX!IV$1,"dd-MMM-aa"),"")</f>
      </c>
      <c r="IS480" s="496" t="str">
        <f> IF(IS500&lt;&gt;"",TEXT(AUX!#REF!,"dd-MMM-aa"),"")</f>
      </c>
      <c r="IT480" s="496" t="str">
        <f> IF(IT500&lt;&gt;"",TEXT(AUX!#REF!,"dd-MMM-aa"),"")</f>
      </c>
      <c r="IU480" s="496" t="str">
        <f> IF(IU500&lt;&gt;"",TEXT(AUX!#REF!,"dd-MMM-aa"),"")</f>
      </c>
      <c r="IV480" s="496" t="str">
        <f> IF(IV500&lt;&gt;"",TEXT(AUX!#REF!,"dd-MMM-aa"),"")</f>
      </c>
    </row>
    <row r="481" hidden="1" ht="15.95" customHeight="1">
      <c r="B481" s="833" t="s">
        <v>8</v>
      </c>
      <c r="C481" s="827">
        <v>0</v>
      </c>
      <c r="D481" s="827">
        <v>0</v>
      </c>
      <c r="E481" s="827">
        <v>0</v>
      </c>
      <c r="F481" s="827">
        <v>0</v>
      </c>
      <c r="G481" s="827">
        <v>0</v>
      </c>
      <c r="H481" s="827">
        <v>0</v>
      </c>
      <c r="I481" s="827">
        <v>0</v>
      </c>
      <c r="J481" s="827">
        <v>0</v>
      </c>
      <c r="K481" s="827">
        <v>0</v>
      </c>
      <c r="L481" s="827">
        <v>0</v>
      </c>
      <c r="M481" s="827">
        <v>0</v>
      </c>
      <c r="N481" s="827">
        <v>0</v>
      </c>
      <c r="O481" s="827">
        <v>0</v>
      </c>
      <c r="P481" s="827">
        <v>0</v>
      </c>
      <c r="Q481" s="827">
        <v>0</v>
      </c>
      <c r="R481" s="827">
        <v>0</v>
      </c>
      <c r="S481" s="827">
        <v>0</v>
      </c>
      <c r="T481" s="827">
        <v>0</v>
      </c>
      <c r="U481" s="827">
        <v>0</v>
      </c>
      <c r="V481" s="827">
        <v>0</v>
      </c>
      <c r="W481" s="827">
        <v>0</v>
      </c>
      <c r="X481" s="827">
        <v>0</v>
      </c>
      <c r="Y481" s="827">
        <v>0</v>
      </c>
      <c r="Z481" s="827">
        <v>0</v>
      </c>
      <c r="AA481" s="827">
        <v>0</v>
      </c>
      <c r="AB481" s="834">
        <v>0</v>
      </c>
      <c r="AC481" s="828">
        <v>0</v>
      </c>
      <c r="AD481" s="828">
        <v>0</v>
      </c>
      <c r="AE481" s="828">
        <v>0</v>
      </c>
      <c r="AF481" s="828">
        <v>0</v>
      </c>
      <c r="AG481" s="828">
        <v>0</v>
      </c>
      <c r="AH481" s="828">
        <v>0</v>
      </c>
      <c r="AI481" s="828">
        <v>0</v>
      </c>
      <c r="AJ481" s="828">
        <v>0</v>
      </c>
      <c r="AK481" s="828">
        <v>0</v>
      </c>
      <c r="AL481" s="828">
        <v>0</v>
      </c>
      <c r="AM481" s="828">
        <v>0</v>
      </c>
      <c r="AN481" s="828">
        <v>0</v>
      </c>
      <c r="AO481" s="828">
        <v>0</v>
      </c>
      <c r="AP481" s="828">
        <v>0</v>
      </c>
    </row>
    <row r="482" hidden="1" ht="15.95" customHeight="1">
      <c r="B482" s="829" t="s">
        <v>9</v>
      </c>
      <c r="C482" s="823">
        <v>0</v>
      </c>
      <c r="D482" s="823">
        <v>0</v>
      </c>
      <c r="E482" s="823">
        <v>0</v>
      </c>
      <c r="F482" s="823">
        <v>0</v>
      </c>
      <c r="G482" s="823">
        <v>0</v>
      </c>
      <c r="H482" s="823">
        <v>0</v>
      </c>
      <c r="I482" s="823">
        <v>0</v>
      </c>
      <c r="J482" s="823">
        <v>0</v>
      </c>
      <c r="K482" s="823">
        <v>0</v>
      </c>
      <c r="L482" s="823">
        <v>0</v>
      </c>
      <c r="M482" s="823">
        <v>0</v>
      </c>
      <c r="N482" s="823">
        <v>0</v>
      </c>
      <c r="O482" s="823">
        <v>0</v>
      </c>
      <c r="P482" s="823">
        <v>0</v>
      </c>
      <c r="Q482" s="823">
        <v>0</v>
      </c>
      <c r="R482" s="823">
        <v>0</v>
      </c>
      <c r="S482" s="823">
        <v>0</v>
      </c>
      <c r="T482" s="823">
        <v>0</v>
      </c>
      <c r="U482" s="823">
        <v>0</v>
      </c>
      <c r="V482" s="823">
        <v>0</v>
      </c>
      <c r="W482" s="823">
        <v>0</v>
      </c>
      <c r="X482" s="823">
        <v>0</v>
      </c>
      <c r="Y482" s="823">
        <v>0</v>
      </c>
      <c r="Z482" s="823">
        <v>0</v>
      </c>
      <c r="AA482" s="823">
        <v>0</v>
      </c>
      <c r="AB482" s="823">
        <v>0</v>
      </c>
      <c r="AC482" s="825">
        <v>0</v>
      </c>
      <c r="AD482" s="825">
        <v>0</v>
      </c>
      <c r="AE482" s="825">
        <v>0</v>
      </c>
      <c r="AF482" s="825">
        <v>0</v>
      </c>
      <c r="AG482" s="825">
        <v>0</v>
      </c>
      <c r="AH482" s="825">
        <v>0</v>
      </c>
      <c r="AI482" s="825">
        <v>0</v>
      </c>
      <c r="AJ482" s="825">
        <v>0</v>
      </c>
      <c r="AK482" s="825">
        <v>1</v>
      </c>
      <c r="AL482" s="825">
        <v>1</v>
      </c>
      <c r="AM482" s="825">
        <v>1</v>
      </c>
      <c r="AN482" s="825">
        <v>1</v>
      </c>
      <c r="AO482" s="825">
        <v>5</v>
      </c>
      <c r="AP482" s="825">
        <v>5</v>
      </c>
    </row>
    <row r="483" hidden="1" ht="15.95" customHeight="1">
      <c r="B483" s="826" t="s">
        <v>10</v>
      </c>
      <c r="C483" s="827">
        <v>0</v>
      </c>
      <c r="D483" s="827">
        <v>0</v>
      </c>
      <c r="E483" s="827">
        <v>0</v>
      </c>
      <c r="F483" s="827">
        <v>0</v>
      </c>
      <c r="G483" s="827">
        <v>0</v>
      </c>
      <c r="H483" s="827">
        <v>0</v>
      </c>
      <c r="I483" s="827">
        <v>0</v>
      </c>
      <c r="J483" s="827">
        <v>0</v>
      </c>
      <c r="K483" s="827">
        <v>0</v>
      </c>
      <c r="L483" s="827">
        <v>0</v>
      </c>
      <c r="M483" s="827">
        <v>0</v>
      </c>
      <c r="N483" s="827">
        <v>0</v>
      </c>
      <c r="O483" s="827">
        <v>0</v>
      </c>
      <c r="P483" s="827">
        <v>0</v>
      </c>
      <c r="Q483" s="827">
        <v>0</v>
      </c>
      <c r="R483" s="827">
        <v>0</v>
      </c>
      <c r="S483" s="827">
        <v>0</v>
      </c>
      <c r="T483" s="827">
        <v>0</v>
      </c>
      <c r="U483" s="827">
        <v>0</v>
      </c>
      <c r="V483" s="827">
        <v>0</v>
      </c>
      <c r="W483" s="827">
        <v>0</v>
      </c>
      <c r="X483" s="827">
        <v>0</v>
      </c>
      <c r="Y483" s="827">
        <v>0</v>
      </c>
      <c r="Z483" s="827">
        <v>0</v>
      </c>
      <c r="AA483" s="827">
        <v>0</v>
      </c>
      <c r="AB483" s="827">
        <v>0</v>
      </c>
      <c r="AC483" s="828">
        <v>0</v>
      </c>
      <c r="AD483" s="828">
        <v>0</v>
      </c>
      <c r="AE483" s="828">
        <v>0</v>
      </c>
      <c r="AF483" s="828">
        <v>0</v>
      </c>
      <c r="AG483" s="828">
        <v>0</v>
      </c>
      <c r="AH483" s="828">
        <v>0</v>
      </c>
      <c r="AI483" s="828">
        <v>0</v>
      </c>
      <c r="AJ483" s="828">
        <v>0</v>
      </c>
      <c r="AK483" s="828">
        <v>0</v>
      </c>
      <c r="AL483" s="828">
        <v>0</v>
      </c>
      <c r="AM483" s="828">
        <v>0</v>
      </c>
      <c r="AN483" s="828">
        <v>0</v>
      </c>
      <c r="AO483" s="828">
        <v>0</v>
      </c>
      <c r="AP483" s="828">
        <v>0</v>
      </c>
    </row>
    <row r="484" hidden="1" ht="15.95" customHeight="1">
      <c r="B484" s="829" t="s">
        <v>11</v>
      </c>
      <c r="C484" s="823">
        <v>0</v>
      </c>
      <c r="D484" s="823">
        <v>0</v>
      </c>
      <c r="E484" s="823">
        <v>0</v>
      </c>
      <c r="F484" s="823">
        <v>0</v>
      </c>
      <c r="G484" s="823">
        <v>0</v>
      </c>
      <c r="H484" s="823">
        <v>0</v>
      </c>
      <c r="I484" s="823">
        <v>0</v>
      </c>
      <c r="J484" s="823">
        <v>0</v>
      </c>
      <c r="K484" s="823">
        <v>0</v>
      </c>
      <c r="L484" s="823">
        <v>0</v>
      </c>
      <c r="M484" s="823">
        <v>0</v>
      </c>
      <c r="N484" s="823">
        <v>0</v>
      </c>
      <c r="O484" s="823">
        <v>0</v>
      </c>
      <c r="P484" s="823">
        <v>0</v>
      </c>
      <c r="Q484" s="823">
        <v>0</v>
      </c>
      <c r="R484" s="823">
        <v>0</v>
      </c>
      <c r="S484" s="823">
        <v>0</v>
      </c>
      <c r="T484" s="823">
        <v>0</v>
      </c>
      <c r="U484" s="823">
        <v>0</v>
      </c>
      <c r="V484" s="823">
        <v>0</v>
      </c>
      <c r="W484" s="823">
        <v>0</v>
      </c>
      <c r="X484" s="823">
        <v>0</v>
      </c>
      <c r="Y484" s="823">
        <v>0</v>
      </c>
      <c r="Z484" s="823">
        <v>0</v>
      </c>
      <c r="AA484" s="823">
        <v>0</v>
      </c>
      <c r="AB484" s="823">
        <v>0</v>
      </c>
      <c r="AC484" s="825">
        <v>0</v>
      </c>
      <c r="AD484" s="825">
        <v>0</v>
      </c>
      <c r="AE484" s="825">
        <v>0</v>
      </c>
      <c r="AF484" s="825">
        <v>0</v>
      </c>
      <c r="AG484" s="825">
        <v>0</v>
      </c>
      <c r="AH484" s="825">
        <v>0</v>
      </c>
      <c r="AI484" s="825">
        <v>0</v>
      </c>
      <c r="AJ484" s="825">
        <v>0</v>
      </c>
      <c r="AK484" s="825">
        <v>0</v>
      </c>
      <c r="AL484" s="825">
        <v>0</v>
      </c>
      <c r="AM484" s="825">
        <v>0</v>
      </c>
      <c r="AN484" s="825">
        <v>0</v>
      </c>
      <c r="AO484" s="825">
        <v>1</v>
      </c>
      <c r="AP484" s="825">
        <v>1</v>
      </c>
    </row>
    <row r="485" hidden="1" ht="15.95" customHeight="1">
      <c r="B485" s="826" t="s">
        <v>12</v>
      </c>
      <c r="C485" s="827">
        <v>0</v>
      </c>
      <c r="D485" s="827">
        <v>0</v>
      </c>
      <c r="E485" s="827">
        <v>0</v>
      </c>
      <c r="F485" s="827">
        <v>0</v>
      </c>
      <c r="G485" s="827">
        <v>0</v>
      </c>
      <c r="H485" s="827">
        <v>0</v>
      </c>
      <c r="I485" s="827">
        <v>0</v>
      </c>
      <c r="J485" s="827">
        <v>0</v>
      </c>
      <c r="K485" s="827">
        <v>0</v>
      </c>
      <c r="L485" s="827">
        <v>0</v>
      </c>
      <c r="M485" s="827">
        <v>0</v>
      </c>
      <c r="N485" s="827">
        <v>0</v>
      </c>
      <c r="O485" s="827">
        <v>0</v>
      </c>
      <c r="P485" s="827">
        <v>0</v>
      </c>
      <c r="Q485" s="827">
        <v>0</v>
      </c>
      <c r="R485" s="827">
        <v>0</v>
      </c>
      <c r="S485" s="827">
        <v>0</v>
      </c>
      <c r="T485" s="827">
        <v>0</v>
      </c>
      <c r="U485" s="827">
        <v>0</v>
      </c>
      <c r="V485" s="827">
        <v>0</v>
      </c>
      <c r="W485" s="827">
        <v>0</v>
      </c>
      <c r="X485" s="827">
        <v>0</v>
      </c>
      <c r="Y485" s="827">
        <v>0</v>
      </c>
      <c r="Z485" s="827">
        <v>0</v>
      </c>
      <c r="AA485" s="827">
        <v>0</v>
      </c>
      <c r="AB485" s="827">
        <v>0</v>
      </c>
      <c r="AC485" s="828">
        <v>0</v>
      </c>
      <c r="AD485" s="828">
        <v>0</v>
      </c>
      <c r="AE485" s="828">
        <v>0</v>
      </c>
      <c r="AF485" s="828">
        <v>0</v>
      </c>
      <c r="AG485" s="828">
        <v>0</v>
      </c>
      <c r="AH485" s="828">
        <v>0</v>
      </c>
      <c r="AI485" s="828">
        <v>0</v>
      </c>
      <c r="AJ485" s="828">
        <v>0</v>
      </c>
      <c r="AK485" s="828">
        <v>0</v>
      </c>
      <c r="AL485" s="828">
        <v>0</v>
      </c>
      <c r="AM485" s="828">
        <v>0</v>
      </c>
      <c r="AN485" s="828">
        <v>0</v>
      </c>
      <c r="AO485" s="828">
        <v>0</v>
      </c>
      <c r="AP485" s="828">
        <v>0</v>
      </c>
    </row>
    <row r="486" hidden="1" ht="15.95" customHeight="1">
      <c r="B486" s="829" t="s">
        <v>13</v>
      </c>
      <c r="C486" s="823">
        <v>0</v>
      </c>
      <c r="D486" s="823">
        <v>0</v>
      </c>
      <c r="E486" s="823">
        <v>0</v>
      </c>
      <c r="F486" s="823">
        <v>0</v>
      </c>
      <c r="G486" s="823">
        <v>0</v>
      </c>
      <c r="H486" s="823">
        <v>0</v>
      </c>
      <c r="I486" s="823">
        <v>0</v>
      </c>
      <c r="J486" s="823">
        <v>0</v>
      </c>
      <c r="K486" s="823">
        <v>0</v>
      </c>
      <c r="L486" s="823">
        <v>0</v>
      </c>
      <c r="M486" s="823">
        <v>0</v>
      </c>
      <c r="N486" s="823">
        <v>0</v>
      </c>
      <c r="O486" s="823">
        <v>0</v>
      </c>
      <c r="P486" s="823">
        <v>0</v>
      </c>
      <c r="Q486" s="823">
        <v>0</v>
      </c>
      <c r="R486" s="823">
        <v>0</v>
      </c>
      <c r="S486" s="823">
        <v>0</v>
      </c>
      <c r="T486" s="823">
        <v>0</v>
      </c>
      <c r="U486" s="823">
        <v>0</v>
      </c>
      <c r="V486" s="823">
        <v>0</v>
      </c>
      <c r="W486" s="823">
        <v>0</v>
      </c>
      <c r="X486" s="823">
        <v>0</v>
      </c>
      <c r="Y486" s="823">
        <v>0</v>
      </c>
      <c r="Z486" s="823">
        <v>0</v>
      </c>
      <c r="AA486" s="823">
        <v>0</v>
      </c>
      <c r="AB486" s="823">
        <v>0</v>
      </c>
      <c r="AC486" s="825">
        <v>0</v>
      </c>
      <c r="AD486" s="825">
        <v>0</v>
      </c>
      <c r="AE486" s="825">
        <v>0</v>
      </c>
      <c r="AF486" s="825">
        <v>0</v>
      </c>
      <c r="AG486" s="825">
        <v>0</v>
      </c>
      <c r="AH486" s="825">
        <v>0</v>
      </c>
      <c r="AI486" s="825">
        <v>0</v>
      </c>
      <c r="AJ486" s="825">
        <v>0</v>
      </c>
      <c r="AK486" s="825">
        <v>0</v>
      </c>
      <c r="AL486" s="825">
        <v>0</v>
      </c>
      <c r="AM486" s="825">
        <v>0</v>
      </c>
      <c r="AN486" s="825">
        <v>0</v>
      </c>
      <c r="AO486" s="825">
        <v>1</v>
      </c>
      <c r="AP486" s="825">
        <v>1</v>
      </c>
    </row>
    <row r="487" hidden="1" ht="15.95" customHeight="1">
      <c r="B487" s="826" t="s">
        <v>109</v>
      </c>
      <c r="C487" s="827">
        <v>0</v>
      </c>
      <c r="D487" s="827">
        <v>0</v>
      </c>
      <c r="E487" s="827">
        <v>0</v>
      </c>
      <c r="F487" s="827">
        <v>0</v>
      </c>
      <c r="G487" s="827">
        <v>0</v>
      </c>
      <c r="H487" s="827">
        <v>0</v>
      </c>
      <c r="I487" s="827">
        <v>0</v>
      </c>
      <c r="J487" s="827">
        <v>0</v>
      </c>
      <c r="K487" s="827">
        <v>0</v>
      </c>
      <c r="L487" s="827">
        <v>0</v>
      </c>
      <c r="M487" s="827">
        <v>0</v>
      </c>
      <c r="N487" s="827">
        <v>0</v>
      </c>
      <c r="O487" s="827">
        <v>0</v>
      </c>
      <c r="P487" s="827">
        <v>0</v>
      </c>
      <c r="Q487" s="827">
        <v>0</v>
      </c>
      <c r="R487" s="827">
        <v>0</v>
      </c>
      <c r="S487" s="827">
        <v>0</v>
      </c>
      <c r="T487" s="827">
        <v>0</v>
      </c>
      <c r="U487" s="827">
        <v>0</v>
      </c>
      <c r="V487" s="827">
        <v>0</v>
      </c>
      <c r="W487" s="827">
        <v>0</v>
      </c>
      <c r="X487" s="827">
        <v>0</v>
      </c>
      <c r="Y487" s="827">
        <v>0</v>
      </c>
      <c r="Z487" s="827">
        <v>0</v>
      </c>
      <c r="AA487" s="827">
        <v>0</v>
      </c>
      <c r="AB487" s="827">
        <v>0</v>
      </c>
      <c r="AC487" s="828">
        <v>0</v>
      </c>
      <c r="AD487" s="828">
        <v>0</v>
      </c>
      <c r="AE487" s="828">
        <v>0</v>
      </c>
      <c r="AF487" s="828">
        <v>0</v>
      </c>
      <c r="AG487" s="828">
        <v>0</v>
      </c>
      <c r="AH487" s="828">
        <v>0</v>
      </c>
      <c r="AI487" s="828">
        <v>0</v>
      </c>
      <c r="AJ487" s="828">
        <v>0</v>
      </c>
      <c r="AK487" s="828">
        <v>0</v>
      </c>
      <c r="AL487" s="828">
        <v>0</v>
      </c>
      <c r="AM487" s="828">
        <v>3</v>
      </c>
      <c r="AN487" s="828">
        <v>3</v>
      </c>
      <c r="AO487" s="828">
        <v>4</v>
      </c>
      <c r="AP487" s="828">
        <v>4</v>
      </c>
    </row>
    <row r="488" hidden="1" ht="15.95" customHeight="1">
      <c r="B488" s="829" t="s">
        <v>110</v>
      </c>
      <c r="C488" s="823">
        <v>0</v>
      </c>
      <c r="D488" s="823">
        <v>0</v>
      </c>
      <c r="E488" s="823">
        <v>0</v>
      </c>
      <c r="F488" s="823">
        <v>0</v>
      </c>
      <c r="G488" s="823">
        <v>0</v>
      </c>
      <c r="H488" s="823">
        <v>0</v>
      </c>
      <c r="I488" s="823">
        <v>0</v>
      </c>
      <c r="J488" s="823">
        <v>0</v>
      </c>
      <c r="K488" s="823">
        <v>0</v>
      </c>
      <c r="L488" s="823">
        <v>0</v>
      </c>
      <c r="M488" s="823">
        <v>0</v>
      </c>
      <c r="N488" s="823">
        <v>0</v>
      </c>
      <c r="O488" s="823">
        <v>0</v>
      </c>
      <c r="P488" s="823">
        <v>0</v>
      </c>
      <c r="Q488" s="823">
        <v>0</v>
      </c>
      <c r="R488" s="823">
        <v>0</v>
      </c>
      <c r="S488" s="823">
        <v>0</v>
      </c>
      <c r="T488" s="823">
        <v>0</v>
      </c>
      <c r="U488" s="823">
        <v>0</v>
      </c>
      <c r="V488" s="823">
        <v>0</v>
      </c>
      <c r="W488" s="823">
        <v>0</v>
      </c>
      <c r="X488" s="823">
        <v>0</v>
      </c>
      <c r="Y488" s="823">
        <v>0</v>
      </c>
      <c r="Z488" s="823">
        <v>0</v>
      </c>
      <c r="AA488" s="823">
        <v>0</v>
      </c>
      <c r="AB488" s="823">
        <v>0</v>
      </c>
      <c r="AC488" s="825">
        <v>0</v>
      </c>
      <c r="AD488" s="825">
        <v>0</v>
      </c>
      <c r="AE488" s="825">
        <v>0</v>
      </c>
      <c r="AF488" s="825">
        <v>0</v>
      </c>
      <c r="AG488" s="825">
        <v>0</v>
      </c>
      <c r="AH488" s="825">
        <v>0</v>
      </c>
      <c r="AI488" s="825">
        <v>0</v>
      </c>
      <c r="AJ488" s="825">
        <v>3</v>
      </c>
      <c r="AK488" s="825">
        <v>4</v>
      </c>
      <c r="AL488" s="825">
        <v>4</v>
      </c>
      <c r="AM488" s="825">
        <v>5</v>
      </c>
      <c r="AN488" s="825">
        <v>5</v>
      </c>
      <c r="AO488" s="825">
        <v>5</v>
      </c>
      <c r="AP488" s="825">
        <v>6</v>
      </c>
    </row>
    <row r="489" hidden="1" ht="15.95" customHeight="1">
      <c r="B489" s="826" t="s">
        <v>16</v>
      </c>
      <c r="C489" s="827">
        <v>0</v>
      </c>
      <c r="D489" s="827">
        <v>0</v>
      </c>
      <c r="E489" s="827">
        <v>0</v>
      </c>
      <c r="F489" s="827">
        <v>0</v>
      </c>
      <c r="G489" s="827">
        <v>0</v>
      </c>
      <c r="H489" s="827">
        <v>0</v>
      </c>
      <c r="I489" s="827">
        <v>0</v>
      </c>
      <c r="J489" s="827">
        <v>0</v>
      </c>
      <c r="K489" s="827">
        <v>0</v>
      </c>
      <c r="L489" s="827">
        <v>0</v>
      </c>
      <c r="M489" s="827">
        <v>0</v>
      </c>
      <c r="N489" s="827">
        <v>0</v>
      </c>
      <c r="O489" s="827">
        <v>0</v>
      </c>
      <c r="P489" s="827">
        <v>0</v>
      </c>
      <c r="Q489" s="827">
        <v>0</v>
      </c>
      <c r="R489" s="827">
        <v>0</v>
      </c>
      <c r="S489" s="827">
        <v>0</v>
      </c>
      <c r="T489" s="827">
        <v>0</v>
      </c>
      <c r="U489" s="827">
        <v>0</v>
      </c>
      <c r="V489" s="827">
        <v>0</v>
      </c>
      <c r="W489" s="827">
        <v>0</v>
      </c>
      <c r="X489" s="827">
        <v>0</v>
      </c>
      <c r="Y489" s="827">
        <v>0</v>
      </c>
      <c r="Z489" s="827">
        <v>0</v>
      </c>
      <c r="AA489" s="827">
        <v>0</v>
      </c>
      <c r="AB489" s="827">
        <v>0</v>
      </c>
      <c r="AC489" s="828">
        <v>0</v>
      </c>
      <c r="AD489" s="828">
        <v>0</v>
      </c>
      <c r="AE489" s="828">
        <v>0</v>
      </c>
      <c r="AF489" s="828">
        <v>0</v>
      </c>
      <c r="AG489" s="828">
        <v>0</v>
      </c>
      <c r="AH489" s="828">
        <v>0</v>
      </c>
      <c r="AI489" s="828">
        <v>0</v>
      </c>
      <c r="AJ489" s="828">
        <v>0</v>
      </c>
      <c r="AK489" s="828">
        <v>0</v>
      </c>
      <c r="AL489" s="828">
        <v>0</v>
      </c>
      <c r="AM489" s="828">
        <v>0</v>
      </c>
      <c r="AN489" s="828">
        <v>0</v>
      </c>
      <c r="AO489" s="828">
        <v>0</v>
      </c>
      <c r="AP489" s="828">
        <v>0</v>
      </c>
    </row>
    <row r="490" hidden="1" ht="15.95" customHeight="1">
      <c r="B490" s="829" t="s">
        <v>17</v>
      </c>
      <c r="C490" s="823">
        <v>0</v>
      </c>
      <c r="D490" s="823">
        <v>0</v>
      </c>
      <c r="E490" s="823">
        <v>0</v>
      </c>
      <c r="F490" s="823">
        <v>0</v>
      </c>
      <c r="G490" s="823">
        <v>0</v>
      </c>
      <c r="H490" s="823">
        <v>0</v>
      </c>
      <c r="I490" s="823">
        <v>0</v>
      </c>
      <c r="J490" s="823">
        <v>0</v>
      </c>
      <c r="K490" s="823">
        <v>0</v>
      </c>
      <c r="L490" s="823">
        <v>0</v>
      </c>
      <c r="M490" s="823">
        <v>0</v>
      </c>
      <c r="N490" s="823">
        <v>0</v>
      </c>
      <c r="O490" s="823">
        <v>0</v>
      </c>
      <c r="P490" s="823">
        <v>0</v>
      </c>
      <c r="Q490" s="823">
        <v>0</v>
      </c>
      <c r="R490" s="823">
        <v>0</v>
      </c>
      <c r="S490" s="823">
        <v>0</v>
      </c>
      <c r="T490" s="823">
        <v>0</v>
      </c>
      <c r="U490" s="823">
        <v>0</v>
      </c>
      <c r="V490" s="823">
        <v>0</v>
      </c>
      <c r="W490" s="823">
        <v>0</v>
      </c>
      <c r="X490" s="823">
        <v>0</v>
      </c>
      <c r="Y490" s="823">
        <v>0</v>
      </c>
      <c r="Z490" s="823">
        <v>0</v>
      </c>
      <c r="AA490" s="823">
        <v>0</v>
      </c>
      <c r="AB490" s="823">
        <v>0</v>
      </c>
      <c r="AC490" s="825">
        <v>0</v>
      </c>
      <c r="AD490" s="825">
        <v>0</v>
      </c>
      <c r="AE490" s="825">
        <v>0</v>
      </c>
      <c r="AF490" s="825">
        <v>0</v>
      </c>
      <c r="AG490" s="825">
        <v>0</v>
      </c>
      <c r="AH490" s="825">
        <v>0</v>
      </c>
      <c r="AI490" s="825">
        <v>0</v>
      </c>
      <c r="AJ490" s="825">
        <v>0</v>
      </c>
      <c r="AK490" s="825">
        <v>0</v>
      </c>
      <c r="AL490" s="825">
        <v>0</v>
      </c>
      <c r="AM490" s="825">
        <v>0</v>
      </c>
      <c r="AN490" s="825">
        <v>0</v>
      </c>
      <c r="AO490" s="825">
        <v>0</v>
      </c>
      <c r="AP490" s="825">
        <v>0</v>
      </c>
    </row>
    <row r="491" hidden="1" ht="15.95" customHeight="1">
      <c r="B491" s="826" t="s">
        <v>18</v>
      </c>
      <c r="C491" s="827">
        <v>0</v>
      </c>
      <c r="D491" s="827">
        <v>0</v>
      </c>
      <c r="E491" s="827">
        <v>0</v>
      </c>
      <c r="F491" s="827">
        <v>0</v>
      </c>
      <c r="G491" s="827">
        <v>0</v>
      </c>
      <c r="H491" s="827">
        <v>0</v>
      </c>
      <c r="I491" s="827">
        <v>0</v>
      </c>
      <c r="J491" s="827">
        <v>0</v>
      </c>
      <c r="K491" s="827">
        <v>0</v>
      </c>
      <c r="L491" s="827">
        <v>0</v>
      </c>
      <c r="M491" s="827">
        <v>0</v>
      </c>
      <c r="N491" s="827">
        <v>0</v>
      </c>
      <c r="O491" s="827">
        <v>0</v>
      </c>
      <c r="P491" s="827">
        <v>0</v>
      </c>
      <c r="Q491" s="827">
        <v>0</v>
      </c>
      <c r="R491" s="827">
        <v>0</v>
      </c>
      <c r="S491" s="827">
        <v>0</v>
      </c>
      <c r="T491" s="827">
        <v>0</v>
      </c>
      <c r="U491" s="827">
        <v>0</v>
      </c>
      <c r="V491" s="827">
        <v>0</v>
      </c>
      <c r="W491" s="827">
        <v>0</v>
      </c>
      <c r="X491" s="827">
        <v>0</v>
      </c>
      <c r="Y491" s="827">
        <v>0</v>
      </c>
      <c r="Z491" s="827">
        <v>0</v>
      </c>
      <c r="AA491" s="827">
        <v>0</v>
      </c>
      <c r="AB491" s="827">
        <v>0</v>
      </c>
      <c r="AC491" s="828">
        <v>0</v>
      </c>
      <c r="AD491" s="828">
        <v>0</v>
      </c>
      <c r="AE491" s="828">
        <v>0</v>
      </c>
      <c r="AF491" s="828">
        <v>0</v>
      </c>
      <c r="AG491" s="828">
        <v>0</v>
      </c>
      <c r="AH491" s="828">
        <v>0</v>
      </c>
      <c r="AI491" s="828">
        <v>0</v>
      </c>
      <c r="AJ491" s="828">
        <v>0</v>
      </c>
      <c r="AK491" s="828">
        <v>0</v>
      </c>
      <c r="AL491" s="828">
        <v>0</v>
      </c>
      <c r="AM491" s="828">
        <v>0</v>
      </c>
      <c r="AN491" s="828">
        <v>0</v>
      </c>
      <c r="AO491" s="828">
        <v>0</v>
      </c>
      <c r="AP491" s="828">
        <v>0</v>
      </c>
    </row>
    <row r="492" hidden="1" ht="15.95" customHeight="1">
      <c r="B492" s="829" t="s">
        <v>19</v>
      </c>
      <c r="C492" s="823">
        <v>0</v>
      </c>
      <c r="D492" s="823">
        <v>0</v>
      </c>
      <c r="E492" s="823">
        <v>0</v>
      </c>
      <c r="F492" s="823">
        <v>0</v>
      </c>
      <c r="G492" s="823">
        <v>0</v>
      </c>
      <c r="H492" s="823">
        <v>0</v>
      </c>
      <c r="I492" s="823">
        <v>0</v>
      </c>
      <c r="J492" s="823">
        <v>0</v>
      </c>
      <c r="K492" s="823">
        <v>0</v>
      </c>
      <c r="L492" s="823">
        <v>0</v>
      </c>
      <c r="M492" s="823">
        <v>0</v>
      </c>
      <c r="N492" s="823">
        <v>0</v>
      </c>
      <c r="O492" s="823">
        <v>0</v>
      </c>
      <c r="P492" s="823">
        <v>0</v>
      </c>
      <c r="Q492" s="823">
        <v>0</v>
      </c>
      <c r="R492" s="823">
        <v>0</v>
      </c>
      <c r="S492" s="823">
        <v>0</v>
      </c>
      <c r="T492" s="823">
        <v>0</v>
      </c>
      <c r="U492" s="823">
        <v>0</v>
      </c>
      <c r="V492" s="823">
        <v>0</v>
      </c>
      <c r="W492" s="823">
        <v>0</v>
      </c>
      <c r="X492" s="823">
        <v>0</v>
      </c>
      <c r="Y492" s="823">
        <v>0</v>
      </c>
      <c r="Z492" s="823">
        <v>0</v>
      </c>
      <c r="AA492" s="823">
        <v>0</v>
      </c>
      <c r="AB492" s="823">
        <v>0</v>
      </c>
      <c r="AC492" s="825">
        <v>0</v>
      </c>
      <c r="AD492" s="825">
        <v>0</v>
      </c>
      <c r="AE492" s="825">
        <v>0</v>
      </c>
      <c r="AF492" s="825">
        <v>0</v>
      </c>
      <c r="AG492" s="825">
        <v>0</v>
      </c>
      <c r="AH492" s="825">
        <v>0</v>
      </c>
      <c r="AI492" s="825">
        <v>0</v>
      </c>
      <c r="AJ492" s="825">
        <v>0</v>
      </c>
      <c r="AK492" s="825">
        <v>0</v>
      </c>
      <c r="AL492" s="825">
        <v>0</v>
      </c>
      <c r="AM492" s="825">
        <v>0</v>
      </c>
      <c r="AN492" s="825">
        <v>0</v>
      </c>
      <c r="AO492" s="825">
        <v>0</v>
      </c>
      <c r="AP492" s="825">
        <v>0</v>
      </c>
    </row>
    <row r="493" hidden="1" ht="15.95" customHeight="1">
      <c r="B493" s="826" t="s">
        <v>20</v>
      </c>
      <c r="C493" s="827">
        <v>0</v>
      </c>
      <c r="D493" s="827">
        <v>0</v>
      </c>
      <c r="E493" s="827">
        <v>0</v>
      </c>
      <c r="F493" s="827">
        <v>0</v>
      </c>
      <c r="G493" s="827">
        <v>0</v>
      </c>
      <c r="H493" s="827">
        <v>0</v>
      </c>
      <c r="I493" s="827">
        <v>0</v>
      </c>
      <c r="J493" s="827">
        <v>0</v>
      </c>
      <c r="K493" s="827">
        <v>0</v>
      </c>
      <c r="L493" s="827">
        <v>0</v>
      </c>
      <c r="M493" s="827">
        <v>0</v>
      </c>
      <c r="N493" s="827">
        <v>0</v>
      </c>
      <c r="O493" s="827">
        <v>0</v>
      </c>
      <c r="P493" s="827">
        <v>0</v>
      </c>
      <c r="Q493" s="827">
        <v>0</v>
      </c>
      <c r="R493" s="827">
        <v>0</v>
      </c>
      <c r="S493" s="827">
        <v>0</v>
      </c>
      <c r="T493" s="827">
        <v>0</v>
      </c>
      <c r="U493" s="827">
        <v>0</v>
      </c>
      <c r="V493" s="827">
        <v>0</v>
      </c>
      <c r="W493" s="827">
        <v>0</v>
      </c>
      <c r="X493" s="827">
        <v>0</v>
      </c>
      <c r="Y493" s="827">
        <v>0</v>
      </c>
      <c r="Z493" s="827">
        <v>0</v>
      </c>
      <c r="AA493" s="827">
        <v>0</v>
      </c>
      <c r="AB493" s="827">
        <v>0</v>
      </c>
      <c r="AC493" s="828">
        <v>0</v>
      </c>
      <c r="AD493" s="828">
        <v>0</v>
      </c>
      <c r="AE493" s="828">
        <v>0</v>
      </c>
      <c r="AF493" s="828">
        <v>0</v>
      </c>
      <c r="AG493" s="828">
        <v>0</v>
      </c>
      <c r="AH493" s="828">
        <v>0</v>
      </c>
      <c r="AI493" s="828">
        <v>0</v>
      </c>
      <c r="AJ493" s="828">
        <v>0</v>
      </c>
      <c r="AK493" s="828">
        <v>1</v>
      </c>
      <c r="AL493" s="828">
        <v>1</v>
      </c>
      <c r="AM493" s="828">
        <v>1</v>
      </c>
      <c r="AN493" s="828">
        <v>2</v>
      </c>
      <c r="AO493" s="828">
        <v>2</v>
      </c>
      <c r="AP493" s="828">
        <v>2</v>
      </c>
    </row>
    <row r="494" hidden="1" ht="15.95" customHeight="1">
      <c r="B494" s="829" t="s">
        <v>21</v>
      </c>
      <c r="C494" s="823">
        <v>0</v>
      </c>
      <c r="D494" s="823">
        <v>0</v>
      </c>
      <c r="E494" s="823">
        <v>0</v>
      </c>
      <c r="F494" s="823">
        <v>0</v>
      </c>
      <c r="G494" s="823">
        <v>0</v>
      </c>
      <c r="H494" s="823">
        <v>0</v>
      </c>
      <c r="I494" s="823">
        <v>0</v>
      </c>
      <c r="J494" s="823">
        <v>0</v>
      </c>
      <c r="K494" s="823">
        <v>0</v>
      </c>
      <c r="L494" s="823">
        <v>0</v>
      </c>
      <c r="M494" s="823">
        <v>0</v>
      </c>
      <c r="N494" s="823">
        <v>0</v>
      </c>
      <c r="O494" s="823">
        <v>0</v>
      </c>
      <c r="P494" s="823">
        <v>0</v>
      </c>
      <c r="Q494" s="823">
        <v>0</v>
      </c>
      <c r="R494" s="823">
        <v>0</v>
      </c>
      <c r="S494" s="823">
        <v>0</v>
      </c>
      <c r="T494" s="823">
        <v>0</v>
      </c>
      <c r="U494" s="823">
        <v>0</v>
      </c>
      <c r="V494" s="823">
        <v>0</v>
      </c>
      <c r="W494" s="823">
        <v>0</v>
      </c>
      <c r="X494" s="823">
        <v>0</v>
      </c>
      <c r="Y494" s="823">
        <v>0</v>
      </c>
      <c r="Z494" s="823">
        <v>0</v>
      </c>
      <c r="AA494" s="823">
        <v>0</v>
      </c>
      <c r="AB494" s="823">
        <v>0</v>
      </c>
      <c r="AC494" s="825">
        <v>0</v>
      </c>
      <c r="AD494" s="825">
        <v>0</v>
      </c>
      <c r="AE494" s="825">
        <v>0</v>
      </c>
      <c r="AF494" s="825">
        <v>0</v>
      </c>
      <c r="AG494" s="825">
        <v>0</v>
      </c>
      <c r="AH494" s="825">
        <v>0</v>
      </c>
      <c r="AI494" s="825">
        <v>0</v>
      </c>
      <c r="AJ494" s="825">
        <v>0</v>
      </c>
      <c r="AK494" s="825">
        <v>0</v>
      </c>
      <c r="AL494" s="825">
        <v>0</v>
      </c>
      <c r="AM494" s="825">
        <v>6</v>
      </c>
      <c r="AN494" s="825">
        <v>6</v>
      </c>
      <c r="AO494" s="825">
        <v>6</v>
      </c>
      <c r="AP494" s="825">
        <v>5</v>
      </c>
    </row>
    <row r="495" hidden="1" ht="15.95" customHeight="1">
      <c r="B495" s="826" t="s">
        <v>22</v>
      </c>
      <c r="C495" s="827">
        <v>0</v>
      </c>
      <c r="D495" s="827">
        <v>0</v>
      </c>
      <c r="E495" s="827">
        <v>0</v>
      </c>
      <c r="F495" s="827">
        <v>0</v>
      </c>
      <c r="G495" s="827">
        <v>0</v>
      </c>
      <c r="H495" s="827">
        <v>0</v>
      </c>
      <c r="I495" s="827">
        <v>0</v>
      </c>
      <c r="J495" s="827">
        <v>0</v>
      </c>
      <c r="K495" s="827">
        <v>0</v>
      </c>
      <c r="L495" s="827">
        <v>0</v>
      </c>
      <c r="M495" s="827">
        <v>0</v>
      </c>
      <c r="N495" s="827">
        <v>0</v>
      </c>
      <c r="O495" s="827">
        <v>0</v>
      </c>
      <c r="P495" s="827">
        <v>0</v>
      </c>
      <c r="Q495" s="827">
        <v>0</v>
      </c>
      <c r="R495" s="827">
        <v>0</v>
      </c>
      <c r="S495" s="827">
        <v>0</v>
      </c>
      <c r="T495" s="827">
        <v>0</v>
      </c>
      <c r="U495" s="827">
        <v>0</v>
      </c>
      <c r="V495" s="827">
        <v>0</v>
      </c>
      <c r="W495" s="827">
        <v>0</v>
      </c>
      <c r="X495" s="827">
        <v>0</v>
      </c>
      <c r="Y495" s="827">
        <v>0</v>
      </c>
      <c r="Z495" s="827">
        <v>0</v>
      </c>
      <c r="AA495" s="827">
        <v>0</v>
      </c>
      <c r="AB495" s="827">
        <v>0</v>
      </c>
      <c r="AC495" s="828">
        <v>0</v>
      </c>
      <c r="AD495" s="828">
        <v>0</v>
      </c>
      <c r="AE495" s="828">
        <v>0</v>
      </c>
      <c r="AF495" s="828">
        <v>0</v>
      </c>
      <c r="AG495" s="828">
        <v>0</v>
      </c>
      <c r="AH495" s="828">
        <v>0</v>
      </c>
      <c r="AI495" s="828">
        <v>0</v>
      </c>
      <c r="AJ495" s="828">
        <v>0</v>
      </c>
      <c r="AK495" s="828">
        <v>0</v>
      </c>
      <c r="AL495" s="828">
        <v>0</v>
      </c>
      <c r="AM495" s="828">
        <v>0</v>
      </c>
      <c r="AN495" s="828">
        <v>0</v>
      </c>
      <c r="AO495" s="828">
        <v>0</v>
      </c>
      <c r="AP495" s="828">
        <v>0</v>
      </c>
    </row>
    <row r="496" hidden="1" ht="15.95" customHeight="1">
      <c r="B496" s="829" t="s">
        <v>23</v>
      </c>
      <c r="C496" s="823">
        <v>0</v>
      </c>
      <c r="D496" s="823">
        <v>0</v>
      </c>
      <c r="E496" s="823">
        <v>0</v>
      </c>
      <c r="F496" s="823">
        <v>0</v>
      </c>
      <c r="G496" s="823">
        <v>0</v>
      </c>
      <c r="H496" s="823">
        <v>0</v>
      </c>
      <c r="I496" s="823">
        <v>0</v>
      </c>
      <c r="J496" s="823">
        <v>0</v>
      </c>
      <c r="K496" s="823">
        <v>0</v>
      </c>
      <c r="L496" s="823">
        <v>0</v>
      </c>
      <c r="M496" s="823">
        <v>0</v>
      </c>
      <c r="N496" s="823">
        <v>0</v>
      </c>
      <c r="O496" s="823">
        <v>0</v>
      </c>
      <c r="P496" s="823">
        <v>0</v>
      </c>
      <c r="Q496" s="823">
        <v>0</v>
      </c>
      <c r="R496" s="823">
        <v>0</v>
      </c>
      <c r="S496" s="823">
        <v>0</v>
      </c>
      <c r="T496" s="823">
        <v>0</v>
      </c>
      <c r="U496" s="823">
        <v>0</v>
      </c>
      <c r="V496" s="823">
        <v>0</v>
      </c>
      <c r="W496" s="823">
        <v>0</v>
      </c>
      <c r="X496" s="823">
        <v>0</v>
      </c>
      <c r="Y496" s="823">
        <v>0</v>
      </c>
      <c r="Z496" s="823">
        <v>0</v>
      </c>
      <c r="AA496" s="823">
        <v>0</v>
      </c>
      <c r="AB496" s="823">
        <v>0</v>
      </c>
      <c r="AC496" s="825">
        <v>0</v>
      </c>
      <c r="AD496" s="825">
        <v>0</v>
      </c>
      <c r="AE496" s="825">
        <v>0</v>
      </c>
      <c r="AF496" s="825">
        <v>0</v>
      </c>
      <c r="AG496" s="825">
        <v>0</v>
      </c>
      <c r="AH496" s="825">
        <v>0</v>
      </c>
      <c r="AI496" s="825">
        <v>0</v>
      </c>
      <c r="AJ496" s="825">
        <v>0</v>
      </c>
      <c r="AK496" s="825">
        <v>0</v>
      </c>
      <c r="AL496" s="825">
        <v>0</v>
      </c>
      <c r="AM496" s="825">
        <v>0</v>
      </c>
      <c r="AN496" s="825">
        <v>0</v>
      </c>
      <c r="AO496" s="825">
        <v>0</v>
      </c>
      <c r="AP496" s="825">
        <v>0</v>
      </c>
    </row>
    <row r="497" hidden="1" ht="15.95" customHeight="1">
      <c r="B497" s="835" t="s">
        <v>24</v>
      </c>
      <c r="C497" s="827">
        <v>0</v>
      </c>
      <c r="D497" s="827">
        <v>0</v>
      </c>
      <c r="E497" s="827">
        <v>0</v>
      </c>
      <c r="F497" s="827">
        <v>0</v>
      </c>
      <c r="G497" s="827">
        <v>0</v>
      </c>
      <c r="H497" s="827">
        <v>0</v>
      </c>
      <c r="I497" s="827">
        <v>0</v>
      </c>
      <c r="J497" s="827">
        <v>0</v>
      </c>
      <c r="K497" s="827">
        <v>0</v>
      </c>
      <c r="L497" s="827">
        <v>0</v>
      </c>
      <c r="M497" s="827">
        <v>0</v>
      </c>
      <c r="N497" s="827">
        <v>0</v>
      </c>
      <c r="O497" s="827">
        <v>0</v>
      </c>
      <c r="P497" s="827">
        <v>0</v>
      </c>
      <c r="Q497" s="827">
        <v>0</v>
      </c>
      <c r="R497" s="827">
        <v>0</v>
      </c>
      <c r="S497" s="827">
        <v>0</v>
      </c>
      <c r="T497" s="827">
        <v>0</v>
      </c>
      <c r="U497" s="827">
        <v>0</v>
      </c>
      <c r="V497" s="827">
        <v>0</v>
      </c>
      <c r="W497" s="827">
        <v>0</v>
      </c>
      <c r="X497" s="827">
        <v>0</v>
      </c>
      <c r="Y497" s="827">
        <v>0</v>
      </c>
      <c r="Z497" s="827">
        <v>0</v>
      </c>
      <c r="AA497" s="827">
        <v>0</v>
      </c>
      <c r="AB497" s="827">
        <v>0</v>
      </c>
      <c r="AC497" s="828">
        <v>0</v>
      </c>
      <c r="AD497" s="828">
        <v>0</v>
      </c>
      <c r="AE497" s="828">
        <v>0</v>
      </c>
      <c r="AF497" s="828">
        <v>0</v>
      </c>
      <c r="AG497" s="828">
        <v>0</v>
      </c>
      <c r="AH497" s="828">
        <v>0</v>
      </c>
      <c r="AI497" s="828">
        <v>0</v>
      </c>
      <c r="AJ497" s="828">
        <v>2</v>
      </c>
      <c r="AK497" s="828">
        <v>2</v>
      </c>
      <c r="AL497" s="828">
        <v>2</v>
      </c>
      <c r="AM497" s="828">
        <v>3</v>
      </c>
      <c r="AN497" s="828">
        <v>3</v>
      </c>
      <c r="AO497" s="828">
        <v>3</v>
      </c>
      <c r="AP497" s="828">
        <v>3</v>
      </c>
    </row>
    <row r="498" hidden="1" ht="15.95" customHeight="1">
      <c r="B498" s="829" t="s">
        <v>25</v>
      </c>
      <c r="C498" s="823">
        <v>0</v>
      </c>
      <c r="D498" s="823">
        <v>0</v>
      </c>
      <c r="E498" s="823">
        <v>0</v>
      </c>
      <c r="F498" s="823">
        <v>0</v>
      </c>
      <c r="G498" s="823">
        <v>0</v>
      </c>
      <c r="H498" s="823">
        <v>0</v>
      </c>
      <c r="I498" s="823">
        <v>0</v>
      </c>
      <c r="J498" s="823">
        <v>0</v>
      </c>
      <c r="K498" s="823">
        <v>0</v>
      </c>
      <c r="L498" s="823">
        <v>0</v>
      </c>
      <c r="M498" s="823">
        <v>0</v>
      </c>
      <c r="N498" s="823">
        <v>0</v>
      </c>
      <c r="O498" s="823">
        <v>0</v>
      </c>
      <c r="P498" s="823">
        <v>0</v>
      </c>
      <c r="Q498" s="823">
        <v>0</v>
      </c>
      <c r="R498" s="823">
        <v>0</v>
      </c>
      <c r="S498" s="823">
        <v>0</v>
      </c>
      <c r="T498" s="823">
        <v>0</v>
      </c>
      <c r="U498" s="823">
        <v>0</v>
      </c>
      <c r="V498" s="823">
        <v>0</v>
      </c>
      <c r="W498" s="823">
        <v>0</v>
      </c>
      <c r="X498" s="823">
        <v>0</v>
      </c>
      <c r="Y498" s="823">
        <v>0</v>
      </c>
      <c r="Z498" s="823">
        <v>0</v>
      </c>
      <c r="AA498" s="823">
        <v>0</v>
      </c>
      <c r="AB498" s="823">
        <v>0</v>
      </c>
      <c r="AC498" s="825">
        <v>0</v>
      </c>
      <c r="AD498" s="825">
        <v>0</v>
      </c>
      <c r="AE498" s="825">
        <v>0</v>
      </c>
      <c r="AF498" s="825">
        <v>0</v>
      </c>
      <c r="AG498" s="825">
        <v>0</v>
      </c>
      <c r="AH498" s="825">
        <v>0</v>
      </c>
      <c r="AI498" s="825">
        <v>0</v>
      </c>
      <c r="AJ498" s="825">
        <v>0</v>
      </c>
      <c r="AK498" s="825">
        <v>0</v>
      </c>
      <c r="AL498" s="825">
        <v>0</v>
      </c>
      <c r="AM498" s="825">
        <v>0</v>
      </c>
      <c r="AN498" s="825">
        <v>0</v>
      </c>
      <c r="AO498" s="825">
        <v>0</v>
      </c>
      <c r="AP498" s="825">
        <v>0</v>
      </c>
    </row>
    <row r="499" hidden="1" ht="15.95" customHeight="1">
      <c r="B499" s="836" t="s">
        <v>26</v>
      </c>
      <c r="C499" s="827">
        <v>0</v>
      </c>
      <c r="D499" s="827">
        <v>0</v>
      </c>
      <c r="E499" s="827">
        <v>0</v>
      </c>
      <c r="F499" s="827">
        <v>0</v>
      </c>
      <c r="G499" s="827">
        <v>0</v>
      </c>
      <c r="H499" s="827">
        <v>0</v>
      </c>
      <c r="I499" s="827">
        <v>0</v>
      </c>
      <c r="J499" s="827">
        <v>0</v>
      </c>
      <c r="K499" s="827">
        <v>0</v>
      </c>
      <c r="L499" s="827">
        <v>0</v>
      </c>
      <c r="M499" s="827">
        <v>0</v>
      </c>
      <c r="N499" s="827">
        <v>0</v>
      </c>
      <c r="O499" s="827">
        <v>0</v>
      </c>
      <c r="P499" s="827">
        <v>0</v>
      </c>
      <c r="Q499" s="827">
        <v>0</v>
      </c>
      <c r="R499" s="827">
        <v>0</v>
      </c>
      <c r="S499" s="827">
        <v>0</v>
      </c>
      <c r="T499" s="827">
        <v>0</v>
      </c>
      <c r="U499" s="827">
        <v>0</v>
      </c>
      <c r="V499" s="827">
        <v>0</v>
      </c>
      <c r="W499" s="827">
        <v>0</v>
      </c>
      <c r="X499" s="827">
        <v>0</v>
      </c>
      <c r="Y499" s="827">
        <v>0</v>
      </c>
      <c r="Z499" s="827">
        <v>0</v>
      </c>
      <c r="AA499" s="827">
        <v>0</v>
      </c>
      <c r="AB499" s="837">
        <v>0</v>
      </c>
      <c r="AC499" s="828">
        <v>0</v>
      </c>
      <c r="AD499" s="828">
        <v>0</v>
      </c>
      <c r="AE499" s="828">
        <v>0</v>
      </c>
      <c r="AF499" s="828">
        <v>0</v>
      </c>
      <c r="AG499" s="828">
        <v>0</v>
      </c>
      <c r="AH499" s="828">
        <v>0</v>
      </c>
      <c r="AI499" s="828">
        <v>0</v>
      </c>
      <c r="AJ499" s="828">
        <v>0</v>
      </c>
      <c r="AK499" s="828">
        <v>0</v>
      </c>
      <c r="AL499" s="828">
        <v>0</v>
      </c>
      <c r="AM499" s="828">
        <v>0</v>
      </c>
      <c r="AN499" s="828">
        <v>0</v>
      </c>
      <c r="AO499" s="828">
        <v>0</v>
      </c>
      <c r="AP499" s="828">
        <v>0</v>
      </c>
    </row>
    <row r="500" hidden="1" ht="15.95" customHeight="1">
      <c r="B500" s="128" t="s">
        <v>7</v>
      </c>
      <c r="C500" s="129" t="str">
        <f>IF(SUM(C481:C499)&lt;&gt;0,SUM(C481:C499),"")</f>
      </c>
      <c r="D500" s="129" t="str">
        <f ref="D500:AA500" t="shared" si="65">IF(SUM(D481:D499)&lt;&gt;0,SUM(D481:D499),"")</f>
      </c>
      <c r="E500" s="129" t="str">
        <f t="shared" si="65"/>
      </c>
      <c r="F500" s="129" t="str">
        <f t="shared" si="65"/>
      </c>
      <c r="G500" s="129" t="str">
        <f t="shared" si="65"/>
      </c>
      <c r="H500" s="129" t="str">
        <f t="shared" si="65"/>
      </c>
      <c r="I500" s="129" t="str">
        <f t="shared" si="65"/>
      </c>
      <c r="J500" s="129" t="str">
        <f t="shared" si="65"/>
      </c>
      <c r="K500" s="129" t="str">
        <f t="shared" si="65"/>
      </c>
      <c r="L500" s="129" t="str">
        <f t="shared" si="65"/>
      </c>
      <c r="M500" s="129" t="str">
        <f t="shared" si="65"/>
      </c>
      <c r="N500" s="129" t="str">
        <f t="shared" si="65"/>
      </c>
      <c r="O500" s="129" t="str">
        <f t="shared" si="65"/>
      </c>
      <c r="P500" s="129" t="str">
        <f t="shared" si="65"/>
      </c>
      <c r="Q500" s="129" t="str">
        <f t="shared" si="65"/>
      </c>
      <c r="R500" s="129" t="str">
        <f t="shared" si="65"/>
      </c>
      <c r="S500" s="129" t="str">
        <f t="shared" si="65"/>
      </c>
      <c r="T500" s="129" t="str">
        <f t="shared" si="65"/>
      </c>
      <c r="U500" s="129" t="str">
        <f t="shared" si="65"/>
      </c>
      <c r="V500" s="129" t="str">
        <f t="shared" si="65"/>
      </c>
      <c r="W500" s="129" t="str">
        <f t="shared" si="65"/>
      </c>
      <c r="X500" s="129" t="str">
        <f t="shared" si="65"/>
      </c>
      <c r="Y500" s="129" t="str">
        <f t="shared" si="65"/>
      </c>
      <c r="Z500" s="129" t="str">
        <f t="shared" si="65"/>
      </c>
      <c r="AA500" s="129" t="str">
        <f t="shared" si="65"/>
      </c>
      <c r="AB500" s="130" t="str">
        <f>IF(SUM(AB481:AB499)&lt;&gt;0,SUM(AB481:AB499),"")</f>
      </c>
      <c r="AC500" s="528" t="str">
        <f ref="AC500:CN500" t="shared" si="66">IF(SUM(AC481:AC499)&lt;&gt;0,SUM(AC481:AC499),"")</f>
      </c>
      <c r="AD500" s="528" t="str">
        <f t="shared" si="66"/>
      </c>
      <c r="AE500" s="528" t="str">
        <f t="shared" si="66"/>
      </c>
      <c r="AF500" s="528" t="str">
        <f t="shared" si="66"/>
      </c>
      <c r="AG500" s="528" t="str">
        <f t="shared" si="66"/>
      </c>
      <c r="AH500" s="528" t="str">
        <f t="shared" si="66"/>
      </c>
      <c r="AI500" s="528" t="str">
        <f t="shared" si="66"/>
      </c>
      <c r="AJ500" s="528" t="str">
        <f t="shared" si="66"/>
      </c>
      <c r="AK500" s="528" t="str">
        <f t="shared" si="66"/>
      </c>
      <c r="AL500" s="528" t="str">
        <f t="shared" si="66"/>
      </c>
      <c r="AM500" s="528" t="str">
        <f t="shared" si="66"/>
      </c>
      <c r="AN500" s="528" t="str">
        <f t="shared" si="66"/>
      </c>
      <c r="AO500" s="528" t="str">
        <f t="shared" si="66"/>
      </c>
      <c r="AP500" s="528" t="str">
        <f t="shared" si="66"/>
      </c>
      <c r="AQ500" s="528" t="str">
        <f t="shared" si="66"/>
      </c>
      <c r="AR500" s="528" t="str">
        <f t="shared" si="66"/>
      </c>
      <c r="AS500" s="528" t="str">
        <f t="shared" si="66"/>
      </c>
      <c r="AT500" s="528" t="str">
        <f t="shared" si="66"/>
      </c>
      <c r="AU500" s="528" t="str">
        <f t="shared" si="66"/>
      </c>
      <c r="AV500" s="528" t="str">
        <f t="shared" si="66"/>
      </c>
      <c r="AW500" s="528" t="str">
        <f t="shared" si="66"/>
      </c>
      <c r="AX500" s="528" t="str">
        <f t="shared" si="66"/>
      </c>
      <c r="AY500" s="528" t="str">
        <f t="shared" si="66"/>
      </c>
      <c r="AZ500" s="528" t="str">
        <f t="shared" si="66"/>
      </c>
      <c r="BA500" s="528" t="str">
        <f t="shared" si="66"/>
      </c>
      <c r="BB500" s="528" t="str">
        <f t="shared" si="66"/>
      </c>
      <c r="BC500" s="528" t="str">
        <f t="shared" si="66"/>
      </c>
      <c r="BD500" s="528" t="str">
        <f t="shared" si="66"/>
      </c>
      <c r="BE500" s="528" t="str">
        <f t="shared" si="66"/>
      </c>
      <c r="BF500" s="528" t="str">
        <f t="shared" si="66"/>
      </c>
      <c r="BG500" s="528" t="str">
        <f t="shared" si="66"/>
      </c>
      <c r="BH500" s="528" t="str">
        <f t="shared" si="66"/>
      </c>
      <c r="BI500" s="528" t="str">
        <f t="shared" si="66"/>
      </c>
      <c r="BJ500" s="528" t="str">
        <f t="shared" si="66"/>
      </c>
      <c r="BK500" s="528" t="str">
        <f t="shared" si="66"/>
      </c>
      <c r="BL500" s="528" t="str">
        <f t="shared" si="66"/>
      </c>
      <c r="BM500" s="528" t="str">
        <f t="shared" si="66"/>
      </c>
      <c r="BN500" s="528" t="str">
        <f t="shared" si="66"/>
      </c>
      <c r="BO500" s="528" t="str">
        <f t="shared" si="66"/>
      </c>
      <c r="BP500" s="528" t="str">
        <f t="shared" si="66"/>
      </c>
      <c r="BQ500" s="528" t="str">
        <f t="shared" si="66"/>
      </c>
      <c r="BR500" s="528" t="str">
        <f t="shared" si="66"/>
      </c>
      <c r="BS500" s="528" t="str">
        <f t="shared" si="66"/>
      </c>
      <c r="BT500" s="528" t="str">
        <f t="shared" si="66"/>
      </c>
      <c r="BU500" s="528" t="str">
        <f t="shared" si="66"/>
      </c>
      <c r="BV500" s="528" t="str">
        <f t="shared" si="66"/>
      </c>
      <c r="BW500" s="528" t="str">
        <f t="shared" si="66"/>
      </c>
      <c r="BX500" s="528" t="str">
        <f t="shared" si="66"/>
      </c>
      <c r="BY500" s="528" t="str">
        <f t="shared" si="66"/>
      </c>
      <c r="BZ500" s="528" t="str">
        <f t="shared" si="66"/>
      </c>
      <c r="CA500" s="528" t="str">
        <f t="shared" si="66"/>
      </c>
      <c r="CB500" s="528" t="str">
        <f t="shared" si="66"/>
      </c>
      <c r="CC500" s="528" t="str">
        <f t="shared" si="66"/>
      </c>
      <c r="CD500" s="528" t="str">
        <f t="shared" si="66"/>
      </c>
      <c r="CE500" s="528" t="str">
        <f t="shared" si="66"/>
      </c>
      <c r="CF500" s="528" t="str">
        <f t="shared" si="66"/>
      </c>
      <c r="CG500" s="528" t="str">
        <f t="shared" si="66"/>
      </c>
      <c r="CH500" s="528" t="str">
        <f t="shared" si="66"/>
      </c>
      <c r="CI500" s="528" t="str">
        <f t="shared" si="66"/>
      </c>
      <c r="CJ500" s="528" t="str">
        <f t="shared" si="66"/>
      </c>
      <c r="CK500" s="528" t="str">
        <f t="shared" si="66"/>
      </c>
      <c r="CL500" s="528" t="str">
        <f t="shared" si="66"/>
      </c>
      <c r="CM500" s="528" t="str">
        <f t="shared" si="66"/>
      </c>
      <c r="CN500" s="528" t="str">
        <f t="shared" si="66"/>
      </c>
      <c r="CO500" s="528" t="str">
        <f ref="CO500:EZ500" t="shared" si="67">IF(SUM(CO481:CO499)&lt;&gt;0,SUM(CO481:CO499),"")</f>
      </c>
      <c r="CP500" s="528" t="str">
        <f t="shared" si="67"/>
      </c>
      <c r="CQ500" s="528" t="str">
        <f t="shared" si="67"/>
      </c>
      <c r="CR500" s="528" t="str">
        <f t="shared" si="67"/>
      </c>
      <c r="CS500" s="528" t="str">
        <f t="shared" si="67"/>
      </c>
      <c r="CT500" s="528" t="str">
        <f t="shared" si="67"/>
      </c>
      <c r="CU500" s="528" t="str">
        <f t="shared" si="67"/>
      </c>
      <c r="CV500" s="528" t="str">
        <f t="shared" si="67"/>
      </c>
      <c r="CW500" s="528" t="str">
        <f t="shared" si="67"/>
      </c>
      <c r="CX500" s="528" t="str">
        <f t="shared" si="67"/>
      </c>
      <c r="CY500" s="528" t="str">
        <f t="shared" si="67"/>
      </c>
      <c r="CZ500" s="528" t="str">
        <f t="shared" si="67"/>
      </c>
      <c r="DA500" s="528" t="str">
        <f t="shared" si="67"/>
      </c>
      <c r="DB500" s="528" t="str">
        <f t="shared" si="67"/>
      </c>
      <c r="DC500" s="528" t="str">
        <f t="shared" si="67"/>
      </c>
      <c r="DD500" s="528" t="str">
        <f t="shared" si="67"/>
      </c>
      <c r="DE500" s="528" t="str">
        <f t="shared" si="67"/>
      </c>
      <c r="DF500" s="528" t="str">
        <f t="shared" si="67"/>
      </c>
      <c r="DG500" s="528" t="str">
        <f t="shared" si="67"/>
      </c>
      <c r="DH500" s="528" t="str">
        <f t="shared" si="67"/>
      </c>
      <c r="DI500" s="528" t="str">
        <f t="shared" si="67"/>
      </c>
      <c r="DJ500" s="528" t="str">
        <f t="shared" si="67"/>
      </c>
      <c r="DK500" s="528" t="str">
        <f t="shared" si="67"/>
      </c>
      <c r="DL500" s="528" t="str">
        <f t="shared" si="67"/>
      </c>
      <c r="DM500" s="528" t="str">
        <f t="shared" si="67"/>
      </c>
      <c r="DN500" s="528" t="str">
        <f t="shared" si="67"/>
      </c>
      <c r="DO500" s="528" t="str">
        <f t="shared" si="67"/>
      </c>
      <c r="DP500" s="528" t="str">
        <f t="shared" si="67"/>
      </c>
      <c r="DQ500" s="528" t="str">
        <f t="shared" si="67"/>
      </c>
      <c r="DR500" s="528" t="str">
        <f t="shared" si="67"/>
      </c>
      <c r="DS500" s="528" t="str">
        <f t="shared" si="67"/>
      </c>
      <c r="DT500" s="528" t="str">
        <f t="shared" si="67"/>
      </c>
      <c r="DU500" s="528" t="str">
        <f t="shared" si="67"/>
      </c>
      <c r="DV500" s="528" t="str">
        <f t="shared" si="67"/>
      </c>
      <c r="DW500" s="528" t="str">
        <f t="shared" si="67"/>
      </c>
      <c r="DX500" s="528" t="str">
        <f t="shared" si="67"/>
      </c>
      <c r="DY500" s="528" t="str">
        <f t="shared" si="67"/>
      </c>
      <c r="DZ500" s="528" t="str">
        <f t="shared" si="67"/>
      </c>
      <c r="EA500" s="528" t="str">
        <f t="shared" si="67"/>
      </c>
      <c r="EB500" s="528" t="str">
        <f t="shared" si="67"/>
      </c>
      <c r="EC500" s="528" t="str">
        <f t="shared" si="67"/>
      </c>
      <c r="ED500" s="528" t="str">
        <f t="shared" si="67"/>
      </c>
      <c r="EE500" s="528" t="str">
        <f t="shared" si="67"/>
      </c>
      <c r="EF500" s="528" t="str">
        <f t="shared" si="67"/>
      </c>
      <c r="EG500" s="528" t="str">
        <f t="shared" si="67"/>
      </c>
      <c r="EH500" s="528" t="str">
        <f t="shared" si="67"/>
      </c>
      <c r="EI500" s="528" t="str">
        <f t="shared" si="67"/>
      </c>
      <c r="EJ500" s="528" t="str">
        <f t="shared" si="67"/>
      </c>
      <c r="EK500" s="528" t="str">
        <f t="shared" si="67"/>
      </c>
      <c r="EL500" s="528" t="str">
        <f t="shared" si="67"/>
      </c>
      <c r="EM500" s="528" t="str">
        <f t="shared" si="67"/>
      </c>
      <c r="EN500" s="528" t="str">
        <f t="shared" si="67"/>
      </c>
      <c r="EO500" s="528" t="str">
        <f t="shared" si="67"/>
      </c>
      <c r="EP500" s="528" t="str">
        <f t="shared" si="67"/>
      </c>
      <c r="EQ500" s="528" t="str">
        <f t="shared" si="67"/>
      </c>
      <c r="ER500" s="528" t="str">
        <f t="shared" si="67"/>
      </c>
      <c r="ES500" s="528" t="str">
        <f t="shared" si="67"/>
      </c>
      <c r="ET500" s="528" t="str">
        <f t="shared" si="67"/>
      </c>
      <c r="EU500" s="528" t="str">
        <f t="shared" si="67"/>
      </c>
      <c r="EV500" s="528" t="str">
        <f t="shared" si="67"/>
      </c>
      <c r="EW500" s="528" t="str">
        <f t="shared" si="67"/>
      </c>
      <c r="EX500" s="528" t="str">
        <f t="shared" si="67"/>
      </c>
      <c r="EY500" s="528" t="str">
        <f t="shared" si="67"/>
      </c>
      <c r="EZ500" s="528" t="str">
        <f t="shared" si="67"/>
      </c>
      <c r="FA500" s="528" t="str">
        <f ref="FA500:HL500" t="shared" si="68">IF(SUM(FA481:FA499)&lt;&gt;0,SUM(FA481:FA499),"")</f>
      </c>
      <c r="FB500" s="528" t="str">
        <f t="shared" si="68"/>
      </c>
      <c r="FC500" s="528" t="str">
        <f t="shared" si="68"/>
      </c>
      <c r="FD500" s="528" t="str">
        <f t="shared" si="68"/>
      </c>
      <c r="FE500" s="528" t="str">
        <f t="shared" si="68"/>
      </c>
      <c r="FF500" s="528" t="str">
        <f t="shared" si="68"/>
      </c>
      <c r="FG500" s="528" t="str">
        <f t="shared" si="68"/>
      </c>
      <c r="FH500" s="528" t="str">
        <f t="shared" si="68"/>
      </c>
      <c r="FI500" s="528" t="str">
        <f t="shared" si="68"/>
      </c>
      <c r="FJ500" s="528" t="str">
        <f t="shared" si="68"/>
      </c>
      <c r="FK500" s="528" t="str">
        <f t="shared" si="68"/>
      </c>
      <c r="FL500" s="528" t="str">
        <f t="shared" si="68"/>
      </c>
      <c r="FM500" s="528" t="str">
        <f t="shared" si="68"/>
      </c>
      <c r="FN500" s="528" t="str">
        <f t="shared" si="68"/>
      </c>
      <c r="FO500" s="528" t="str">
        <f t="shared" si="68"/>
      </c>
      <c r="FP500" s="528" t="str">
        <f t="shared" si="68"/>
      </c>
      <c r="FQ500" s="528" t="str">
        <f t="shared" si="68"/>
      </c>
      <c r="FR500" s="528" t="str">
        <f t="shared" si="68"/>
      </c>
      <c r="FS500" s="528" t="str">
        <f t="shared" si="68"/>
      </c>
      <c r="FT500" s="528" t="str">
        <f t="shared" si="68"/>
      </c>
      <c r="FU500" s="528" t="str">
        <f t="shared" si="68"/>
      </c>
      <c r="FV500" s="528" t="str">
        <f t="shared" si="68"/>
      </c>
      <c r="FW500" s="528" t="str">
        <f t="shared" si="68"/>
      </c>
      <c r="FX500" s="528" t="str">
        <f t="shared" si="68"/>
      </c>
      <c r="FY500" s="528" t="str">
        <f t="shared" si="68"/>
      </c>
      <c r="FZ500" s="528" t="str">
        <f t="shared" si="68"/>
      </c>
      <c r="GA500" s="528" t="str">
        <f t="shared" si="68"/>
      </c>
      <c r="GB500" s="528" t="str">
        <f t="shared" si="68"/>
      </c>
      <c r="GC500" s="528" t="str">
        <f t="shared" si="68"/>
      </c>
      <c r="GD500" s="528" t="str">
        <f t="shared" si="68"/>
      </c>
      <c r="GE500" s="528" t="str">
        <f t="shared" si="68"/>
      </c>
      <c r="GF500" s="528" t="str">
        <f t="shared" si="68"/>
      </c>
      <c r="GG500" s="528" t="str">
        <f t="shared" si="68"/>
      </c>
      <c r="GH500" s="528" t="str">
        <f t="shared" si="68"/>
      </c>
      <c r="GI500" s="528" t="str">
        <f t="shared" si="68"/>
      </c>
      <c r="GJ500" s="528" t="str">
        <f t="shared" si="68"/>
      </c>
      <c r="GK500" s="528" t="str">
        <f t="shared" si="68"/>
      </c>
      <c r="GL500" s="528" t="str">
        <f t="shared" si="68"/>
      </c>
      <c r="GM500" s="528" t="str">
        <f t="shared" si="68"/>
      </c>
      <c r="GN500" s="528" t="str">
        <f t="shared" si="68"/>
      </c>
      <c r="GO500" s="528" t="str">
        <f t="shared" si="68"/>
      </c>
      <c r="GP500" s="528" t="str">
        <f t="shared" si="68"/>
      </c>
      <c r="GQ500" s="528" t="str">
        <f t="shared" si="68"/>
      </c>
      <c r="GR500" s="528" t="str">
        <f t="shared" si="68"/>
      </c>
      <c r="GS500" s="528" t="str">
        <f t="shared" si="68"/>
      </c>
      <c r="GT500" s="528" t="str">
        <f t="shared" si="68"/>
      </c>
      <c r="GU500" s="528" t="str">
        <f t="shared" si="68"/>
      </c>
      <c r="GV500" s="528" t="str">
        <f t="shared" si="68"/>
      </c>
      <c r="GW500" s="528" t="str">
        <f t="shared" si="68"/>
      </c>
      <c r="GX500" s="528" t="str">
        <f t="shared" si="68"/>
      </c>
      <c r="GY500" s="528" t="str">
        <f t="shared" si="68"/>
      </c>
      <c r="GZ500" s="528" t="str">
        <f t="shared" si="68"/>
      </c>
      <c r="HA500" s="528" t="str">
        <f t="shared" si="68"/>
      </c>
      <c r="HB500" s="528" t="str">
        <f t="shared" si="68"/>
      </c>
      <c r="HC500" s="528" t="str">
        <f t="shared" si="68"/>
      </c>
      <c r="HD500" s="528" t="str">
        <f t="shared" si="68"/>
      </c>
      <c r="HE500" s="528" t="str">
        <f t="shared" si="68"/>
      </c>
      <c r="HF500" s="528" t="str">
        <f t="shared" si="68"/>
      </c>
      <c r="HG500" s="528" t="str">
        <f t="shared" si="68"/>
      </c>
      <c r="HH500" s="528" t="str">
        <f t="shared" si="68"/>
      </c>
      <c r="HI500" s="528" t="str">
        <f t="shared" si="68"/>
      </c>
      <c r="HJ500" s="528" t="str">
        <f t="shared" si="68"/>
      </c>
      <c r="HK500" s="528" t="str">
        <f t="shared" si="68"/>
      </c>
      <c r="HL500" s="528" t="str">
        <f t="shared" si="68"/>
      </c>
      <c r="HM500" s="528" t="str">
        <f ref="HM500:IV500" t="shared" si="69">IF(SUM(HM481:HM499)&lt;&gt;0,SUM(HM481:HM499),"")</f>
      </c>
      <c r="HN500" s="528" t="str">
        <f t="shared" si="69"/>
      </c>
      <c r="HO500" s="528" t="str">
        <f t="shared" si="69"/>
      </c>
      <c r="HP500" s="528" t="str">
        <f t="shared" si="69"/>
      </c>
      <c r="HQ500" s="528" t="str">
        <f t="shared" si="69"/>
      </c>
      <c r="HR500" s="528" t="str">
        <f t="shared" si="69"/>
      </c>
      <c r="HS500" s="528" t="str">
        <f t="shared" si="69"/>
      </c>
      <c r="HT500" s="528" t="str">
        <f t="shared" si="69"/>
      </c>
      <c r="HU500" s="528" t="str">
        <f t="shared" si="69"/>
      </c>
      <c r="HV500" s="528" t="str">
        <f t="shared" si="69"/>
      </c>
      <c r="HW500" s="528" t="str">
        <f t="shared" si="69"/>
      </c>
      <c r="HX500" s="528" t="str">
        <f t="shared" si="69"/>
      </c>
      <c r="HY500" s="528" t="str">
        <f t="shared" si="69"/>
      </c>
      <c r="HZ500" s="528" t="str">
        <f t="shared" si="69"/>
      </c>
      <c r="IA500" s="528" t="str">
        <f t="shared" si="69"/>
      </c>
      <c r="IB500" s="528" t="str">
        <f t="shared" si="69"/>
      </c>
      <c r="IC500" s="528" t="str">
        <f t="shared" si="69"/>
      </c>
      <c r="ID500" s="528" t="str">
        <f t="shared" si="69"/>
      </c>
      <c r="IE500" s="528" t="str">
        <f t="shared" si="69"/>
      </c>
      <c r="IF500" s="528" t="str">
        <f t="shared" si="69"/>
      </c>
      <c r="IG500" s="528" t="str">
        <f t="shared" si="69"/>
      </c>
      <c r="IH500" s="528" t="str">
        <f t="shared" si="69"/>
      </c>
      <c r="II500" s="528" t="str">
        <f t="shared" si="69"/>
      </c>
      <c r="IJ500" s="528" t="str">
        <f t="shared" si="69"/>
      </c>
      <c r="IK500" s="528" t="str">
        <f t="shared" si="69"/>
      </c>
      <c r="IL500" s="528" t="str">
        <f t="shared" si="69"/>
      </c>
      <c r="IM500" s="528" t="str">
        <f t="shared" si="69"/>
      </c>
      <c r="IN500" s="528" t="str">
        <f t="shared" si="69"/>
      </c>
      <c r="IO500" s="528" t="str">
        <f t="shared" si="69"/>
      </c>
      <c r="IP500" s="528" t="str">
        <f t="shared" si="69"/>
      </c>
      <c r="IQ500" s="528" t="str">
        <f t="shared" si="69"/>
      </c>
      <c r="IR500" s="528" t="str">
        <f t="shared" si="69"/>
      </c>
      <c r="IS500" s="528" t="str">
        <f t="shared" si="69"/>
      </c>
      <c r="IT500" s="528" t="str">
        <f t="shared" si="69"/>
      </c>
      <c r="IU500" s="528" t="str">
        <f t="shared" si="69"/>
      </c>
      <c r="IV500" s="528" t="str">
        <f t="shared" si="69"/>
      </c>
    </row>
    <row r="501" hidden="1" ht="15.95" customHeight="1">
      <c r="B501" s="274"/>
      <c r="M501" s="50"/>
      <c r="N501" s="50"/>
    </row>
    <row r="502" ht="15.95" customHeight="1"/>
  </sheetData>
  <sheetProtection sheet="1" autoFilter="0" objects="1" scenarios="1" sort="0" password="ed66"/>
  <mergeCells>
    <mergeCell ref="C37:M37"/>
    <mergeCell ref="C456:AB456"/>
    <mergeCell ref="C479:AB479"/>
    <mergeCell ref="C185:AB185"/>
    <mergeCell ref="C21:M21"/>
    <mergeCell ref="C23:M23"/>
    <mergeCell ref="C29:M29"/>
    <mergeCell ref="C25:M25"/>
    <mergeCell ref="C31:M31"/>
    <mergeCell ref="C162:AB162"/>
    <mergeCell ref="C41:M41"/>
    <mergeCell ref="C39:M39"/>
    <mergeCell ref="C35:M35"/>
    <mergeCell ref="C27:M27"/>
    <mergeCell ref="C346:AB346"/>
    <mergeCell ref="C369:AB369"/>
    <mergeCell ref="C17:M17"/>
    <mergeCell ref="C33:M33"/>
    <mergeCell ref="C19:M19"/>
    <mergeCell ref="B9:E9"/>
    <mergeCell ref="C11:M11"/>
    <mergeCell ref="C12:M12"/>
    <mergeCell ref="C15:M15"/>
    <mergeCell ref="C392:AB392"/>
    <mergeCell ref="C415:AB415"/>
    <mergeCell ref="C208:AB208"/>
    <mergeCell ref="C231:AB231"/>
    <mergeCell ref="C254:AB254"/>
    <mergeCell ref="C277:AB277"/>
    <mergeCell ref="C300:AB300"/>
    <mergeCell ref="C323:AB323"/>
  </mergeCells>
  <phoneticPr fontId="2" type="noConversion"/>
  <pageMargins left="0.23622047244094491" right="0.23622047244094491" top="0.98425196850393704" bottom="0.98425196850393704" header="0" footer="0"/>
  <pageSetup paperSize="9" scale="59" orientation="portrait"/>
  <headerFooter alignWithMargins="0"/>
  <rowBreaks count="1" manualBreakCount="1">
    <brk id="78" max="1048575" man="1"/>
  </rowBreaks>
  <drawing r:id="rId2"/>
  <legacyDrawing r:id="rId3"/>
  <mc:AlternateContent xmlns:mc="http://schemas.openxmlformats.org/markup-compatibility/2006">
    <mc:Choice Requires="x14">
      <controls>
        <mc:AlternateContent xmlns:mc="http://schemas.openxmlformats.org/markup-compatibility/2006">
          <mc:Choice Requires="x14">
            <control shapeId="34817" r:id="rId4" name="Drop Down 1">
              <controlPr defaultSize="0" autoLine="0" autoPict="0">
                <anchor moveWithCells="1">
                  <from>
                    <xdr:col>5</xdr:col>
                    <xdr:colOff>0</xdr:colOff>
                    <xdr:row>7</xdr:row>
                    <xdr:rowOff>0</xdr:rowOff>
                  </from>
                  <to>
                    <xdr:col>7</xdr:col>
                    <xdr:colOff>304800</xdr:colOff>
                    <xdr:row>9</xdr:row>
                    <xdr:rowOff>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ontainsText" priority="50" operator="containsText" id="{6E9B3EED-16B7-47FE-8913-0A9523CA3EAB}">
            <xm:f>NOT(ISERROR(SEARCH("",AC413)))</xm:f>
            <xm:f>""</xm:f>
            <x14:dxf>
              <numFmt numFmtId="3" formatCode="#,##0"/>
              <border>
                <left style="thin">
                  <color auto="1"/>
                </left>
                <right style="thin">
                  <color auto="1"/>
                </right>
                <top style="thin">
                  <color auto="1"/>
                </top>
                <bottom style="thin">
                  <color auto="1"/>
                </bottom>
                <vertical/>
                <horizontal/>
              </border>
            </x14:dxf>
          </x14:cfRule>
          <xm:sqref>AC413:IV413</xm:sqref>
        </x14:conditionalFormatting>
        <x14:conditionalFormatting xmlns:xm="http://schemas.microsoft.com/office/excel/2006/main">
          <x14:cfRule type="containsText" priority="49" operator="containsText" id="{D1248C2C-C0C9-49FF-9AE2-B65F4BD03660}">
            <xm:f>NOT(ISERROR(SEARCH("",C394)))</xm:f>
            <xm:f>""</xm:f>
            <x14:dxf>
              <numFmt numFmtId="3" formatCode="#,##0"/>
              <border>
                <right style="thin">
                  <color auto="1"/>
                </right>
                <top style="thin">
                  <color auto="1"/>
                </top>
                <bottom style="thin">
                  <color auto="1"/>
                </bottom>
                <vertical/>
                <horizontal/>
              </border>
            </x14:dxf>
          </x14:cfRule>
          <xm:sqref>C394:IV412</xm:sqref>
        </x14:conditionalFormatting>
        <x14:conditionalFormatting xmlns:xm="http://schemas.microsoft.com/office/excel/2006/main">
          <x14:cfRule type="containsText" priority="44" operator="containsText" id="{FB1D68A1-6B18-40DC-B737-2681FDBF4293}">
            <xm:f>NOT(ISERROR(SEARCH("",AD370)))</xm:f>
            <xm:f>""</xm:f>
            <x14:dxf>
              <numFmt numFmtId="3" formatCode="#,##0"/>
              <border>
                <left style="thin">
                  <color auto="1"/>
                </left>
                <right style="thin">
                  <color auto="1"/>
                </right>
                <top style="thin">
                  <color auto="1"/>
                </top>
                <bottom style="thin">
                  <color auto="1"/>
                </bottom>
                <vertical/>
                <horizontal/>
              </border>
            </x14:dxf>
          </x14:cfRule>
          <xm:sqref>AD370:AG370 AI370:AL370 AN370:AQ370 AS370:AV370 AX370:BA370 BC370:BF370 BH370:BK370 BM370:BP370 BR370:BU370 BW370:BZ370 CB370:CE370 CG370:CJ370 CL370:CO370 CQ370:CT370 CV370:CY370 DA370:DD370 DF370:DI370 DK370:DN370 DP370:DS370 DU370:DX370 DZ370:EC370 EE370:EH370 EJ370:EM370 EO370:ER370 ET370:EW370 EY370:FB370 FD370:FG370 FI370:FL370 FN370:FQ370 FS370:FV370 FX370:GA370 GC370:GF370 GH370:GK370 GM370:GP370 GR370:GU370 GW370:GZ370 HB370:HE370 HG370:HJ370 HL370:HO370 HQ370:HT370 HV370:HY370 IA370:ID370 IF370:II370 IK370:IN370 IP370:IS370 IU370:IV370</xm:sqref>
        </x14:conditionalFormatting>
        <x14:conditionalFormatting xmlns:xm="http://schemas.microsoft.com/office/excel/2006/main">
          <x14:cfRule type="containsText" priority="38" operator="containsText" id="{56FFF366-91FD-4CD5-AA42-2570FBC971D3}">
            <xm:f>NOT(ISERROR(SEARCH("",AC344)))</xm:f>
            <xm:f>""</xm:f>
            <x14:dxf>
              <numFmt numFmtId="3" formatCode="#,##0"/>
              <border>
                <left style="thin">
                  <color auto="1"/>
                </left>
                <right style="thin">
                  <color auto="1"/>
                </right>
                <top style="thin">
                  <color auto="1"/>
                </top>
                <bottom style="thin">
                  <color auto="1"/>
                </bottom>
                <vertical/>
                <horizontal/>
              </border>
            </x14:dxf>
          </x14:cfRule>
          <xm:sqref>AC344:IV344</xm:sqref>
        </x14:conditionalFormatting>
        <x14:conditionalFormatting xmlns:xm="http://schemas.microsoft.com/office/excel/2006/main">
          <x14:cfRule type="containsText" priority="37" operator="containsText" id="{8F88B1D2-76FA-4D2E-A5BF-BC905F1F0E2C}">
            <xm:f>NOT(ISERROR(SEARCH("",C325)))</xm:f>
            <xm:f>""</xm:f>
            <x14:dxf>
              <numFmt numFmtId="3" formatCode="#,##0"/>
              <border>
                <right style="thin">
                  <color auto="1"/>
                </right>
                <top style="thin">
                  <color auto="1"/>
                </top>
                <bottom style="thin">
                  <color auto="1"/>
                </bottom>
                <vertical/>
                <horizontal/>
              </border>
            </x14:dxf>
          </x14:cfRule>
          <xm:sqref>C325:IV343</xm:sqref>
        </x14:conditionalFormatting>
        <x14:conditionalFormatting xmlns:xm="http://schemas.microsoft.com/office/excel/2006/main">
          <x14:cfRule type="containsText" priority="32" operator="containsText" id="{9DBEE190-8AB9-49E3-A66D-702E7C0E1EE7}">
            <xm:f>NOT(ISERROR(SEARCH("",AD301)))</xm:f>
            <xm:f>""</xm:f>
            <x14:dxf>
              <numFmt numFmtId="3" formatCode="#,##0"/>
              <border>
                <left style="thin">
                  <color auto="1"/>
                </left>
                <right style="thin">
                  <color auto="1"/>
                </right>
                <top style="thin">
                  <color auto="1"/>
                </top>
                <bottom style="thin">
                  <color auto="1"/>
                </bottom>
                <vertical/>
                <horizontal/>
              </border>
            </x14:dxf>
          </x14:cfRule>
          <xm:sqref>AD301:AG301 AI301:AL301 AN301:AQ301 AS301:AV301 AX301:BA301 BC301:BF301 BH301:BK301 BM301:BP301 BR301:BU301 BW301:BZ301 CB301:CE301 CG301:CJ301 CL301:CO301 CQ301:CT301 CV301:CY301 DA301:DD301 DF301:DI301 DK301:DN301 DP301:DS301 DU301:DX301 DZ301:EC301 EE301:EH301 EJ301:EM301 EO301:ER301 ET301:EW301 EY301:FB301 FD301:FG301 FI301:FL301 FN301:FQ301 FS301:FV301 FX301:GA301 GC301:GF301 GH301:GK301 GM301:GP301 GR301:GU301 GW301:GZ301 HB301:HE301 HG301:HJ301 HL301:HO301 HQ301:HT301 HV301:HY301 IA301:ID301 IF301:II301 IK301:IN301 IP301:IS301 IU301:IV301</xm:sqref>
        </x14:conditionalFormatting>
        <x14:conditionalFormatting xmlns:xm="http://schemas.microsoft.com/office/excel/2006/main">
          <x14:cfRule type="containsText" priority="26" operator="containsText" id="{82F19E60-645E-447C-9185-337C639E253B}">
            <xm:f>NOT(ISERROR(SEARCH("",AC275)))</xm:f>
            <xm:f>""</xm:f>
            <x14:dxf>
              <numFmt numFmtId="3" formatCode="#,##0"/>
              <border>
                <left style="thin">
                  <color auto="1"/>
                </left>
                <right style="thin">
                  <color auto="1"/>
                </right>
                <top style="thin">
                  <color auto="1"/>
                </top>
                <bottom style="thin">
                  <color auto="1"/>
                </bottom>
                <vertical/>
                <horizontal/>
              </border>
            </x14:dxf>
          </x14:cfRule>
          <xm:sqref>AC275:IV275</xm:sqref>
        </x14:conditionalFormatting>
        <x14:conditionalFormatting xmlns:xm="http://schemas.microsoft.com/office/excel/2006/main">
          <x14:cfRule type="containsText" priority="25" operator="containsText" id="{6F1A6EF8-FA1F-4029-BD83-005505C18F57}">
            <xm:f>NOT(ISERROR(SEARCH("",C256)))</xm:f>
            <xm:f>""</xm:f>
            <x14:dxf>
              <numFmt numFmtId="3" formatCode="#,##0"/>
              <border>
                <right style="thin">
                  <color auto="1"/>
                </right>
                <top style="thin">
                  <color auto="1"/>
                </top>
                <bottom style="thin">
                  <color auto="1"/>
                </bottom>
                <vertical/>
                <horizontal/>
              </border>
            </x14:dxf>
          </x14:cfRule>
          <xm:sqref>C256:IV274</xm:sqref>
        </x14:conditionalFormatting>
        <x14:conditionalFormatting xmlns:xm="http://schemas.microsoft.com/office/excel/2006/main">
          <x14:cfRule type="containsText" priority="20" operator="containsText" id="{FB5B2BB8-3190-4506-94B6-2DECF3B301A6}">
            <xm:f>NOT(ISERROR(SEARCH("",AD232)))</xm:f>
            <xm:f>""</xm:f>
            <x14:dxf>
              <numFmt numFmtId="3" formatCode="#,##0"/>
              <border>
                <left style="thin">
                  <color auto="1"/>
                </left>
                <right style="thin">
                  <color auto="1"/>
                </right>
                <top style="thin">
                  <color auto="1"/>
                </top>
                <bottom style="thin">
                  <color auto="1"/>
                </bottom>
                <vertical/>
                <horizontal/>
              </border>
            </x14:dxf>
          </x14:cfRule>
          <xm:sqref>AD232:AG232 AI232:AL232 AN232:AQ232 AS232:AV232 AX232:BA232 BC232:BF232 BH232:BK232 BM232:BP232 BR232:BU232 BW232:BZ232 CB232:CE232 CG232:CJ232 CL232:CO232 CQ232:CT232 CV232:CY232 DA232:DD232 DF232:DI232 DK232:DN232 DP232:DS232 DU232:DX232 DZ232:EC232 EE232:EH232 EJ232:EM232 EO232:ER232 ET232:EW232 EY232:FB232 FD232:FG232 FI232:FL232 FN232:FQ232 FS232:FV232 FX232:GA232 GC232:GF232 GH232:GK232 GM232:GP232 GR232:GU232 GW232:GZ232 HB232:HE232 HG232:HJ232 HL232:HO232 HQ232:HT232 HV232:HY232 IA232:ID232 IF232:II232 IK232:IN232 IP232:IS232 IU232:IV232</xm:sqref>
        </x14:conditionalFormatting>
        <x14:conditionalFormatting xmlns:xm="http://schemas.microsoft.com/office/excel/2006/main">
          <x14:cfRule type="containsText" priority="14" operator="containsText" id="{3B20AEEE-E643-4AEE-87D4-A3EA26B38C22}">
            <xm:f>NOT(ISERROR(SEARCH("",AC206)))</xm:f>
            <xm:f>""</xm:f>
            <x14:dxf>
              <numFmt numFmtId="3" formatCode="#,##0"/>
              <border>
                <left style="thin">
                  <color auto="1"/>
                </left>
                <right style="thin">
                  <color auto="1"/>
                </right>
                <top style="thin">
                  <color auto="1"/>
                </top>
                <bottom style="thin">
                  <color auto="1"/>
                </bottom>
                <vertical/>
                <horizontal/>
              </border>
            </x14:dxf>
          </x14:cfRule>
          <xm:sqref>AC206:IV206</xm:sqref>
        </x14:conditionalFormatting>
        <x14:conditionalFormatting xmlns:xm="http://schemas.microsoft.com/office/excel/2006/main">
          <x14:cfRule type="containsText" priority="13" operator="containsText" id="{F672C2D1-D267-4A0F-B61F-ACBC223EA0E7}">
            <xm:f>NOT(ISERROR(SEARCH("",C187)))</xm:f>
            <xm:f>""</xm:f>
            <x14:dxf>
              <numFmt numFmtId="3" formatCode="#,##0"/>
              <border>
                <right style="thin">
                  <color auto="1"/>
                </right>
                <top style="thin">
                  <color auto="1"/>
                </top>
                <bottom style="thin">
                  <color auto="1"/>
                </bottom>
                <vertical/>
                <horizontal/>
              </border>
            </x14:dxf>
          </x14:cfRule>
          <xm:sqref>C187:IV205</xm:sqref>
        </x14:conditionalFormatting>
        <x14:conditionalFormatting xmlns:xm="http://schemas.microsoft.com/office/excel/2006/main">
          <x14:cfRule type="containsText" priority="8" operator="containsText" id="{4546E41B-16A1-4625-9BAF-BDF0F1234163}">
            <xm:f>NOT(ISERROR(SEARCH("",AD163)))</xm:f>
            <xm:f>""</xm:f>
            <x14:dxf>
              <numFmt numFmtId="3" formatCode="#,##0"/>
              <border>
                <left style="thin">
                  <color auto="1"/>
                </left>
                <right style="thin">
                  <color auto="1"/>
                </right>
                <top style="thin">
                  <color auto="1"/>
                </top>
                <bottom style="thin">
                  <color auto="1"/>
                </bottom>
                <vertical/>
                <horizontal/>
              </border>
            </x14:dxf>
          </x14:cfRule>
          <xm:sqref>AD163:AG163 AI163:AL163 AN163:AQ163 AS163:AV163 AX163:BA163 BC163:BF163 BH163:BK163 BM163:BP163 BR163:BU163 BW163:BZ163 CB163:CE163 CG163:CJ163 CL163:CO163 CQ163:CT163 CV163:CY163 DA163:DD163 DF163:DI163 DK163:DN163 DP163:DS163 DU163:DX163 DZ163:EC163 EE163:EH163 EJ163:EM163 EO163:ER163 ET163:EW163 EY163:FB163 FD163:FG163 FI163:FL163 FN163:FQ163 FS163:FV163 FX163:GA163 GC163:GF163 GH163:GK163 GM163:GP163 GR163:GU163 GW163:GZ163 HB163:HE163 HG163:HJ163 HL163:HO163 HQ163:HT163 HV163:HY163 IA163:ID163 IF163:II163 IK163:IN163 IP163:IS163 IU163:IV163</xm:sqref>
        </x14:conditionalFormatting>
        <x14:conditionalFormatting xmlns:xm="http://schemas.microsoft.com/office/excel/2006/main">
          <x14:cfRule type="containsText" priority="54" operator="containsText" id="{77E62677-BB1D-4467-B2A9-AA103D74A9F2}">
            <xm:f>NOT(ISERROR(SEARCH("",AC436)))</xm:f>
            <xm:f>""</xm:f>
            <x14:dxf>
              <numFmt numFmtId="3" formatCode="#,##0"/>
              <border>
                <left style="thin">
                  <color auto="1"/>
                </left>
                <right style="thin">
                  <color auto="1"/>
                </right>
                <top style="thin">
                  <color auto="1"/>
                </top>
                <bottom style="thin">
                  <color auto="1"/>
                </bottom>
                <vertical/>
                <horizontal/>
              </border>
            </x14:dxf>
          </x14:cfRule>
          <xm:sqref>AC436:IV436</xm:sqref>
        </x14:conditionalFormatting>
        <x14:conditionalFormatting xmlns:xm="http://schemas.microsoft.com/office/excel/2006/main">
          <x14:cfRule type="containsText" priority="53" operator="containsText" id="{EC2D008E-0E0E-4B8D-A50F-60D61899FC9B}">
            <xm:f>NOT(ISERROR(SEARCH("",C417)))</xm:f>
            <xm:f>""</xm:f>
            <x14:dxf>
              <numFmt numFmtId="3" formatCode="#,##0"/>
              <border>
                <right style="thin">
                  <color auto="1"/>
                </right>
                <top style="thin">
                  <color auto="1"/>
                </top>
                <bottom style="thin">
                  <color auto="1"/>
                </bottom>
                <vertical/>
                <horizontal/>
              </border>
            </x14:dxf>
          </x14:cfRule>
          <xm:sqref>C417:IV435</xm:sqref>
        </x14:conditionalFormatting>
        <x14:conditionalFormatting xmlns:xm="http://schemas.microsoft.com/office/excel/2006/main">
          <x14:cfRule type="containsText" priority="52" operator="containsText" id="{3BD16CBD-9007-4B20-81C8-62DD288A16AF}">
            <xm:f>NOT(ISERROR(SEARCH("",AD416)))</xm:f>
            <xm:f>""</xm:f>
            <x14:dxf>
              <numFmt numFmtId="3" formatCode="#,##0"/>
              <border>
                <left style="thin">
                  <color auto="1"/>
                </left>
                <right style="thin">
                  <color auto="1"/>
                </right>
                <top style="thin">
                  <color auto="1"/>
                </top>
                <bottom style="thin">
                  <color auto="1"/>
                </bottom>
                <vertical/>
                <horizontal/>
              </border>
            </x14:dxf>
          </x14:cfRule>
          <xm:sqref>AD416:AG416 AI416:AL416 AN416:AQ416 AS416:AV416 AX416:BA416 BC416:BF416 BH416:BK416 BM416:BP416 BR416:BU416 BW416:BZ416 CB416:CE416 CG416:CJ416 CL416:CO416 CQ416:CT416 CV416:CY416 DA416:DD416 DF416:DI416 DK416:DN416 DP416:DS416 DU416:DX416 DZ416:EC416 EE416:EH416 EJ416:EM416 EO416:ER416 ET416:EW416 EY416:FB416 FD416:FG416 FI416:FL416 FN416:FQ416 FS416:FV416 FX416:GA416 GC416:GF416 GH416:GK416 GM416:GP416 GR416:GU416 GW416:GZ416 HB416:HE416 HG416:HJ416 HL416:HO416 HQ416:HT416 HV416:HY416 IA416:ID416 IF416:II416 IK416:IN416 IP416:IS416 IU416:IV416</xm:sqref>
        </x14:conditionalFormatting>
        <x14:conditionalFormatting xmlns:xm="http://schemas.microsoft.com/office/excel/2006/main">
          <x14:cfRule type="containsText" priority="51" operator="containsText" id="{AEBF4B3C-56A3-4C5B-A420-B179237E1F21}">
            <xm:f>NOT(ISERROR(SEARCH("",AC416)))</xm:f>
            <xm:f>""</xm:f>
            <x14:dxf>
              <numFmt numFmtId="3" formatCode="#,##0"/>
              <border>
                <left style="thin">
                  <color auto="1"/>
                </left>
                <right style="thin">
                  <color auto="1"/>
                </right>
                <top style="thin">
                  <color auto="1"/>
                </top>
                <bottom style="thin">
                  <color auto="1"/>
                </bottom>
                <vertical/>
                <horizontal/>
              </border>
            </x14:dxf>
          </x14:cfRule>
          <xm:sqref>AC416 AH416 AM416 AR416 AW416 BB416 BG416 BL416 BQ416 BV416 CA416 CF416 CK416 CP416 CU416 CZ416 DE416 DJ416 DO416 DT416 DY416 ED416 EI416 EN416 ES416 EX416 FC416 FH416 FM416 FR416 FW416 GB416 GG416 GL416 GQ416 GV416 HA416 HF416 HK416 HP416 HU416 HZ416 IE416 IJ416 IO416 IT416</xm:sqref>
        </x14:conditionalFormatting>
        <x14:conditionalFormatting xmlns:xm="http://schemas.microsoft.com/office/excel/2006/main">
          <x14:cfRule type="containsText" priority="48" operator="containsText" id="{1654B123-509F-484B-8FCD-987B89514CFD}">
            <xm:f>NOT(ISERROR(SEARCH("",AD393)))</xm:f>
            <xm:f>""</xm:f>
            <x14:dxf>
              <numFmt numFmtId="3" formatCode="#,##0"/>
              <border>
                <left style="thin">
                  <color auto="1"/>
                </left>
                <right style="thin">
                  <color auto="1"/>
                </right>
                <top style="thin">
                  <color auto="1"/>
                </top>
                <bottom style="thin">
                  <color auto="1"/>
                </bottom>
                <vertical/>
                <horizontal/>
              </border>
            </x14:dxf>
          </x14:cfRule>
          <xm:sqref>AD393:AG393 AI393:AL393 AN393:AQ393 AS393:AV393 AX393:BA393 BC393:BF393 BH393:BK393 BM393:BP393 BR393:BU393 BW393:BZ393 CB393:CE393 CG393:CJ393 CL393:CO393 CQ393:CT393 CV393:CY393 DA393:DD393 DF393:DI393 DK393:DN393 DP393:DS393 DU393:DX393 DZ393:EC393 EE393:EH393 EJ393:EM393 EO393:ER393 ET393:EW393 EY393:FB393 FD393:FG393 FI393:FL393 FN393:FQ393 FS393:FV393 FX393:GA393 GC393:GF393 GH393:GK393 GM393:GP393 GR393:GU393 GW393:GZ393 HB393:HE393 HG393:HJ393 HL393:HO393 HQ393:HT393 HV393:HY393 IA393:ID393 IF393:II393 IK393:IN393 IP393:IS393 IU393:IV393</xm:sqref>
        </x14:conditionalFormatting>
        <x14:conditionalFormatting xmlns:xm="http://schemas.microsoft.com/office/excel/2006/main">
          <x14:cfRule type="containsText" priority="47" operator="containsText" id="{182477F8-CB55-4B6A-B47D-6E61A268EC80}">
            <xm:f>NOT(ISERROR(SEARCH("",AC393)))</xm:f>
            <xm:f>""</xm:f>
            <x14:dxf>
              <numFmt numFmtId="3" formatCode="#,##0"/>
              <border>
                <left style="thin">
                  <color auto="1"/>
                </left>
                <right style="thin">
                  <color auto="1"/>
                </right>
                <top style="thin">
                  <color auto="1"/>
                </top>
                <bottom style="thin">
                  <color auto="1"/>
                </bottom>
                <vertical/>
                <horizontal/>
              </border>
            </x14:dxf>
          </x14:cfRule>
          <xm:sqref>AC393 AH393 AM393 AR393 AW393 BB393 BG393 BL393 BQ393 BV393 CA393 CF393 CK393 CP393 CU393 CZ393 DE393 DJ393 DO393 DT393 DY393 ED393 EI393 EN393 ES393 EX393 FC393 FH393 FM393 FR393 FW393 GB393 GG393 GL393 GQ393 GV393 HA393 HF393 HK393 HP393 HU393 HZ393 IE393 IJ393 IO393 IT393</xm:sqref>
        </x14:conditionalFormatting>
        <x14:conditionalFormatting xmlns:xm="http://schemas.microsoft.com/office/excel/2006/main">
          <x14:cfRule type="containsText" priority="46" operator="containsText" id="{DA7E062B-3F18-451C-9523-651AFA6D64CA}">
            <xm:f>NOT(ISERROR(SEARCH("",AC390)))</xm:f>
            <xm:f>""</xm:f>
            <x14:dxf>
              <numFmt numFmtId="3" formatCode="#,##0"/>
              <border>
                <left style="thin">
                  <color auto="1"/>
                </left>
                <right style="thin">
                  <color auto="1"/>
                </right>
                <top style="thin">
                  <color auto="1"/>
                </top>
                <bottom style="thin">
                  <color auto="1"/>
                </bottom>
                <vertical/>
                <horizontal/>
              </border>
            </x14:dxf>
          </x14:cfRule>
          <xm:sqref>AC390:IV390</xm:sqref>
        </x14:conditionalFormatting>
        <x14:conditionalFormatting xmlns:xm="http://schemas.microsoft.com/office/excel/2006/main">
          <x14:cfRule type="containsText" priority="45" operator="containsText" id="{470C72C3-9262-428C-95B4-9B815F744C03}">
            <xm:f>NOT(ISERROR(SEARCH("",C371)))</xm:f>
            <xm:f>""</xm:f>
            <x14:dxf>
              <numFmt numFmtId="3" formatCode="#,##0"/>
              <border>
                <right style="thin">
                  <color auto="1"/>
                </right>
                <top style="thin">
                  <color auto="1"/>
                </top>
                <bottom style="thin">
                  <color auto="1"/>
                </bottom>
                <vertical/>
                <horizontal/>
              </border>
            </x14:dxf>
          </x14:cfRule>
          <xm:sqref>C371:IV389</xm:sqref>
        </x14:conditionalFormatting>
        <x14:conditionalFormatting xmlns:xm="http://schemas.microsoft.com/office/excel/2006/main">
          <x14:cfRule type="containsText" priority="43" operator="containsText" id="{CAAA2374-99DE-4D4B-892A-B728A4B24430}">
            <xm:f>NOT(ISERROR(SEARCH("",AC370)))</xm:f>
            <xm:f>""</xm:f>
            <x14:dxf>
              <numFmt numFmtId="3" formatCode="#,##0"/>
              <border>
                <left style="thin">
                  <color auto="1"/>
                </left>
                <right style="thin">
                  <color auto="1"/>
                </right>
                <top style="thin">
                  <color auto="1"/>
                </top>
                <bottom style="thin">
                  <color auto="1"/>
                </bottom>
                <vertical/>
                <horizontal/>
              </border>
            </x14:dxf>
          </x14:cfRule>
          <xm:sqref>AC370 AH370 AM370 AR370 AW370 BB370 BG370 BL370 BQ370 BV370 CA370 CF370 CK370 CP370 CU370 CZ370 DE370 DJ370 DO370 DT370 DY370 ED370 EI370 EN370 ES370 EX370 FC370 FH370 FM370 FR370 FW370 GB370 GG370 GL370 GQ370 GV370 HA370 HF370 HK370 HP370 HU370 HZ370 IE370 IJ370 IO370 IT370</xm:sqref>
        </x14:conditionalFormatting>
        <x14:conditionalFormatting xmlns:xm="http://schemas.microsoft.com/office/excel/2006/main">
          <x14:cfRule type="containsText" priority="42" operator="containsText" id="{87574D40-64A3-4C4A-B0B5-433836C6F8AC}">
            <xm:f>NOT(ISERROR(SEARCH("",AC367)))</xm:f>
            <xm:f>""</xm:f>
            <x14:dxf>
              <numFmt numFmtId="3" formatCode="#,##0"/>
              <border>
                <left style="thin">
                  <color auto="1"/>
                </left>
                <right style="thin">
                  <color auto="1"/>
                </right>
                <top style="thin">
                  <color auto="1"/>
                </top>
                <bottom style="thin">
                  <color auto="1"/>
                </bottom>
                <vertical/>
                <horizontal/>
              </border>
            </x14:dxf>
          </x14:cfRule>
          <xm:sqref>AC367:IV367</xm:sqref>
        </x14:conditionalFormatting>
        <x14:conditionalFormatting xmlns:xm="http://schemas.microsoft.com/office/excel/2006/main">
          <x14:cfRule type="containsText" priority="41" operator="containsText" id="{E384E523-B797-44C6-95A0-4386569011B5}">
            <xm:f>NOT(ISERROR(SEARCH("",C348)))</xm:f>
            <xm:f>""</xm:f>
            <x14:dxf>
              <numFmt numFmtId="3" formatCode="#,##0"/>
              <border>
                <right style="thin">
                  <color auto="1"/>
                </right>
                <top style="thin">
                  <color auto="1"/>
                </top>
                <bottom style="thin">
                  <color auto="1"/>
                </bottom>
                <vertical/>
                <horizontal/>
              </border>
            </x14:dxf>
          </x14:cfRule>
          <xm:sqref>C348:IV366</xm:sqref>
        </x14:conditionalFormatting>
        <x14:conditionalFormatting xmlns:xm="http://schemas.microsoft.com/office/excel/2006/main">
          <x14:cfRule type="containsText" priority="40" operator="containsText" id="{DE7F9F0C-74C5-465F-9DE9-3BD787E2BEF5}">
            <xm:f>NOT(ISERROR(SEARCH("",AD347)))</xm:f>
            <xm:f>""</xm:f>
            <x14:dxf>
              <numFmt numFmtId="3" formatCode="#,##0"/>
              <border>
                <left style="thin">
                  <color auto="1"/>
                </left>
                <right style="thin">
                  <color auto="1"/>
                </right>
                <top style="thin">
                  <color auto="1"/>
                </top>
                <bottom style="thin">
                  <color auto="1"/>
                </bottom>
                <vertical/>
                <horizontal/>
              </border>
            </x14:dxf>
          </x14:cfRule>
          <xm:sqref>AD347:AG347 AI347:AL347 AN347:AQ347 AS347:AV347 AX347:BA347 BC347:BF347 BH347:BK347 BM347:BP347 BR347:BU347 BW347:BZ347 CB347:CE347 CG347:CJ347 CL347:CO347 CQ347:CT347 CV347:CY347 DA347:DD347 DF347:DI347 DK347:DN347 DP347:DS347 DU347:DX347 DZ347:EC347 EE347:EH347 EJ347:EM347 EO347:ER347 ET347:EW347 EY347:FB347 FD347:FG347 FI347:FL347 FN347:FQ347 FS347:FV347 FX347:GA347 GC347:GF347 GH347:GK347 GM347:GP347 GR347:GU347 GW347:GZ347 HB347:HE347 HG347:HJ347 HL347:HO347 HQ347:HT347 HV347:HY347 IA347:ID347 IF347:II347 IK347:IN347 IP347:IS347 IU347:IV347</xm:sqref>
        </x14:conditionalFormatting>
        <x14:conditionalFormatting xmlns:xm="http://schemas.microsoft.com/office/excel/2006/main">
          <x14:cfRule type="containsText" priority="39" operator="containsText" id="{ED7526B4-7E4E-48D7-9ADA-E290F7C0AC12}">
            <xm:f>NOT(ISERROR(SEARCH("",AC347)))</xm:f>
            <xm:f>""</xm:f>
            <x14:dxf>
              <numFmt numFmtId="3" formatCode="#,##0"/>
              <border>
                <left style="thin">
                  <color auto="1"/>
                </left>
                <right style="thin">
                  <color auto="1"/>
                </right>
                <top style="thin">
                  <color auto="1"/>
                </top>
                <bottom style="thin">
                  <color auto="1"/>
                </bottom>
                <vertical/>
                <horizontal/>
              </border>
            </x14:dxf>
          </x14:cfRule>
          <xm:sqref>AC347 AH347 AM347 AR347 AW347 BB347 BG347 BL347 BQ347 BV347 CA347 CF347 CK347 CP347 CU347 CZ347 DE347 DJ347 DO347 DT347 DY347 ED347 EI347 EN347 ES347 EX347 FC347 FH347 FM347 FR347 FW347 GB347 GG347 GL347 GQ347 GV347 HA347 HF347 HK347 HP347 HU347 HZ347 IE347 IJ347 IO347 IT347</xm:sqref>
        </x14:conditionalFormatting>
        <x14:conditionalFormatting xmlns:xm="http://schemas.microsoft.com/office/excel/2006/main">
          <x14:cfRule type="containsText" priority="36" operator="containsText" id="{7CA90463-875C-4086-A2C6-EEABF1022D05}">
            <xm:f>NOT(ISERROR(SEARCH("",AD324)))</xm:f>
            <xm:f>""</xm:f>
            <x14:dxf>
              <numFmt numFmtId="3" formatCode="#,##0"/>
              <border>
                <left style="thin">
                  <color auto="1"/>
                </left>
                <right style="thin">
                  <color auto="1"/>
                </right>
                <top style="thin">
                  <color auto="1"/>
                </top>
                <bottom style="thin">
                  <color auto="1"/>
                </bottom>
                <vertical/>
                <horizontal/>
              </border>
            </x14:dxf>
          </x14:cfRule>
          <xm:sqref>AD324:AG324 AI324:AL324 AN324:AQ324 AS324:AV324 AX324:BA324 BC324:BF324 BH324:BK324 BM324:BP324 BR324:BU324 BW324:BZ324 CB324:CE324 CG324:CJ324 CL324:CO324 CQ324:CT324 CV324:CY324 DA324:DD324 DF324:DI324 DK324:DN324 DP324:DS324 DU324:DX324 DZ324:EC324 EE324:EH324 EJ324:EM324 EO324:ER324 ET324:EW324 EY324:FB324 FD324:FG324 FI324:FL324 FN324:FQ324 FS324:FV324 FX324:GA324 GC324:GF324 GH324:GK324 GM324:GP324 GR324:GU324 GW324:GZ324 HB324:HE324 HG324:HJ324 HL324:HO324 HQ324:HT324 HV324:HY324 IA324:ID324 IF324:II324 IK324:IN324 IP324:IS324 IU324:IV324</xm:sqref>
        </x14:conditionalFormatting>
        <x14:conditionalFormatting xmlns:xm="http://schemas.microsoft.com/office/excel/2006/main">
          <x14:cfRule type="containsText" priority="35" operator="containsText" id="{12551CB2-CEA3-400E-99F5-B8E78C229C43}">
            <xm:f>NOT(ISERROR(SEARCH("",AC324)))</xm:f>
            <xm:f>""</xm:f>
            <x14:dxf>
              <numFmt numFmtId="3" formatCode="#,##0"/>
              <border>
                <left style="thin">
                  <color auto="1"/>
                </left>
                <right style="thin">
                  <color auto="1"/>
                </right>
                <top style="thin">
                  <color auto="1"/>
                </top>
                <bottom style="thin">
                  <color auto="1"/>
                </bottom>
                <vertical/>
                <horizontal/>
              </border>
            </x14:dxf>
          </x14:cfRule>
          <xm:sqref>AC324 AH324 AM324 AR324 AW324 BB324 BG324 BL324 BQ324 BV324 CA324 CF324 CK324 CP324 CU324 CZ324 DE324 DJ324 DO324 DT324 DY324 ED324 EI324 EN324 ES324 EX324 FC324 FH324 FM324 FR324 FW324 GB324 GG324 GL324 GQ324 GV324 HA324 HF324 HK324 HP324 HU324 HZ324 IE324 IJ324 IO324 IT324</xm:sqref>
        </x14:conditionalFormatting>
        <x14:conditionalFormatting xmlns:xm="http://schemas.microsoft.com/office/excel/2006/main">
          <x14:cfRule type="containsText" priority="34" operator="containsText" id="{8AC25F2A-E1B5-4628-8BCC-E3ED7E690B59}">
            <xm:f>NOT(ISERROR(SEARCH("",AC321)))</xm:f>
            <xm:f>""</xm:f>
            <x14:dxf>
              <numFmt numFmtId="3" formatCode="#,##0"/>
              <border>
                <left style="thin">
                  <color auto="1"/>
                </left>
                <right style="thin">
                  <color auto="1"/>
                </right>
                <top style="thin">
                  <color auto="1"/>
                </top>
                <bottom style="thin">
                  <color auto="1"/>
                </bottom>
                <vertical/>
                <horizontal/>
              </border>
            </x14:dxf>
          </x14:cfRule>
          <xm:sqref>AC321:IV321</xm:sqref>
        </x14:conditionalFormatting>
        <x14:conditionalFormatting xmlns:xm="http://schemas.microsoft.com/office/excel/2006/main">
          <x14:cfRule type="containsText" priority="33" operator="containsText" id="{EE2D4074-D8F3-40BB-9E85-BC792A88FFD6}">
            <xm:f>NOT(ISERROR(SEARCH("",C302)))</xm:f>
            <xm:f>""</xm:f>
            <x14:dxf>
              <numFmt numFmtId="3" formatCode="#,##0"/>
              <border>
                <right style="thin">
                  <color auto="1"/>
                </right>
                <top style="thin">
                  <color auto="1"/>
                </top>
                <bottom style="thin">
                  <color auto="1"/>
                </bottom>
                <vertical/>
                <horizontal/>
              </border>
            </x14:dxf>
          </x14:cfRule>
          <xm:sqref>C302:IV320</xm:sqref>
        </x14:conditionalFormatting>
        <x14:conditionalFormatting xmlns:xm="http://schemas.microsoft.com/office/excel/2006/main">
          <x14:cfRule type="containsText" priority="31" operator="containsText" id="{E4C7AC3F-D476-45C2-A5A6-841C977D9E39}">
            <xm:f>NOT(ISERROR(SEARCH("",AC301)))</xm:f>
            <xm:f>""</xm:f>
            <x14:dxf>
              <numFmt numFmtId="3" formatCode="#,##0"/>
              <border>
                <left style="thin">
                  <color auto="1"/>
                </left>
                <right style="thin">
                  <color auto="1"/>
                </right>
                <top style="thin">
                  <color auto="1"/>
                </top>
                <bottom style="thin">
                  <color auto="1"/>
                </bottom>
                <vertical/>
                <horizontal/>
              </border>
            </x14:dxf>
          </x14:cfRule>
          <xm:sqref>AC301 AH301 AM301 AR301 AW301 BB301 BG301 BL301 BQ301 BV301 CA301 CF301 CK301 CP301 CU301 CZ301 DE301 DJ301 DO301 DT301 DY301 ED301 EI301 EN301 ES301 EX301 FC301 FH301 FM301 FR301 FW301 GB301 GG301 GL301 GQ301 GV301 HA301 HF301 HK301 HP301 HU301 HZ301 IE301 IJ301 IO301 IT301</xm:sqref>
        </x14:conditionalFormatting>
        <x14:conditionalFormatting xmlns:xm="http://schemas.microsoft.com/office/excel/2006/main">
          <x14:cfRule type="containsText" priority="30" operator="containsText" id="{071794AE-200E-4C02-BF90-5BFD86C9F7D3}">
            <xm:f>NOT(ISERROR(SEARCH("",AC298)))</xm:f>
            <xm:f>""</xm:f>
            <x14:dxf>
              <numFmt numFmtId="3" formatCode="#,##0"/>
              <border>
                <left style="thin">
                  <color auto="1"/>
                </left>
                <right style="thin">
                  <color auto="1"/>
                </right>
                <top style="thin">
                  <color auto="1"/>
                </top>
                <bottom style="thin">
                  <color auto="1"/>
                </bottom>
                <vertical/>
                <horizontal/>
              </border>
            </x14:dxf>
          </x14:cfRule>
          <xm:sqref>AC298:IV298</xm:sqref>
        </x14:conditionalFormatting>
        <x14:conditionalFormatting xmlns:xm="http://schemas.microsoft.com/office/excel/2006/main">
          <x14:cfRule type="containsText" priority="29" operator="containsText" id="{B24843D8-CD11-4F67-B5EE-FE73DFA35B43}">
            <xm:f>NOT(ISERROR(SEARCH("",C279)))</xm:f>
            <xm:f>""</xm:f>
            <x14:dxf>
              <numFmt numFmtId="3" formatCode="#,##0"/>
              <border>
                <right style="thin">
                  <color auto="1"/>
                </right>
                <top style="thin">
                  <color auto="1"/>
                </top>
                <bottom style="thin">
                  <color auto="1"/>
                </bottom>
                <vertical/>
                <horizontal/>
              </border>
            </x14:dxf>
          </x14:cfRule>
          <xm:sqref>C279:IV297</xm:sqref>
        </x14:conditionalFormatting>
        <x14:conditionalFormatting xmlns:xm="http://schemas.microsoft.com/office/excel/2006/main">
          <x14:cfRule type="containsText" priority="28" operator="containsText" id="{53142409-9E97-4E76-9800-9975003B0D4C}">
            <xm:f>NOT(ISERROR(SEARCH("",AD278)))</xm:f>
            <xm:f>""</xm:f>
            <x14:dxf>
              <numFmt numFmtId="3" formatCode="#,##0"/>
              <border>
                <left style="thin">
                  <color auto="1"/>
                </left>
                <right style="thin">
                  <color auto="1"/>
                </right>
                <top style="thin">
                  <color auto="1"/>
                </top>
                <bottom style="thin">
                  <color auto="1"/>
                </bottom>
                <vertical/>
                <horizontal/>
              </border>
            </x14:dxf>
          </x14:cfRule>
          <xm:sqref>AD278:AG278 AI278:AL278 AN278:AQ278 AS278:AV278 AX278:BA278 BC278:BF278 BH278:BK278 BM278:BP278 BR278:BU278 BW278:BZ278 CB278:CE278 CG278:CJ278 CL278:CO278 CQ278:CT278 CV278:CY278 DA278:DD278 DF278:DI278 DK278:DN278 DP278:DS278 DU278:DX278 DZ278:EC278 EE278:EH278 EJ278:EM278 EO278:ER278 ET278:EW278 EY278:FB278 FD278:FG278 FI278:FL278 FN278:FQ278 FS278:FV278 FX278:GA278 GC278:GF278 GH278:GK278 GM278:GP278 GR278:GU278 GW278:GZ278 HB278:HE278 HG278:HJ278 HL278:HO278 HQ278:HT278 HV278:HY278 IA278:ID278 IF278:II278 IK278:IN278 IP278:IS278 IU278:IV278</xm:sqref>
        </x14:conditionalFormatting>
        <x14:conditionalFormatting xmlns:xm="http://schemas.microsoft.com/office/excel/2006/main">
          <x14:cfRule type="containsText" priority="27" operator="containsText" id="{20B9B6F4-2766-4B25-AA8E-E4B726BCA942}">
            <xm:f>NOT(ISERROR(SEARCH("",AC278)))</xm:f>
            <xm:f>""</xm:f>
            <x14:dxf>
              <numFmt numFmtId="3" formatCode="#,##0"/>
              <border>
                <left style="thin">
                  <color auto="1"/>
                </left>
                <right style="thin">
                  <color auto="1"/>
                </right>
                <top style="thin">
                  <color auto="1"/>
                </top>
                <bottom style="thin">
                  <color auto="1"/>
                </bottom>
                <vertical/>
                <horizontal/>
              </border>
            </x14:dxf>
          </x14:cfRule>
          <xm:sqref>AC278 AH278 AM278 AR278 AW278 BB278 BG278 BL278 BQ278 BV278 CA278 CF278 CK278 CP278 CU278 CZ278 DE278 DJ278 DO278 DT278 DY278 ED278 EI278 EN278 ES278 EX278 FC278 FH278 FM278 FR278 FW278 GB278 GG278 GL278 GQ278 GV278 HA278 HF278 HK278 HP278 HU278 HZ278 IE278 IJ278 IO278 IT278</xm:sqref>
        </x14:conditionalFormatting>
        <x14:conditionalFormatting xmlns:xm="http://schemas.microsoft.com/office/excel/2006/main">
          <x14:cfRule type="containsText" priority="24" operator="containsText" id="{34AB7015-7EBA-4042-863C-D65D8F99ACD7}">
            <xm:f>NOT(ISERROR(SEARCH("",AD255)))</xm:f>
            <xm:f>""</xm:f>
            <x14:dxf>
              <numFmt numFmtId="3" formatCode="#,##0"/>
              <border>
                <left style="thin">
                  <color auto="1"/>
                </left>
                <right style="thin">
                  <color auto="1"/>
                </right>
                <top style="thin">
                  <color auto="1"/>
                </top>
                <bottom style="thin">
                  <color auto="1"/>
                </bottom>
                <vertical/>
                <horizontal/>
              </border>
            </x14:dxf>
          </x14:cfRule>
          <xm:sqref>AD255:AG255 AI255:AL255 AN255:AQ255 AS255:AV255 AX255:BA255 BC255:BF255 BH255:BK255 BM255:BP255 BR255:BU255 BW255:BZ255 CB255:CE255 CG255:CJ255 CL255:CO255 CQ255:CT255 CV255:CY255 DA255:DD255 DF255:DI255 DK255:DN255 DP255:DS255 DU255:DX255 DZ255:EC255 EE255:EH255 EJ255:EM255 EO255:ER255 ET255:EW255 EY255:FB255 FD255:FG255 FI255:FL255 FN255:FQ255 FS255:FV255 FX255:GA255 GC255:GF255 GH255:GK255 GM255:GP255 GR255:GU255 GW255:GZ255 HB255:HE255 HG255:HJ255 HL255:HO255 HQ255:HT255 HV255:HY255 IA255:ID255 IF255:II255 IK255:IN255 IP255:IS255 IU255:IV255</xm:sqref>
        </x14:conditionalFormatting>
        <x14:conditionalFormatting xmlns:xm="http://schemas.microsoft.com/office/excel/2006/main">
          <x14:cfRule type="containsText" priority="23" operator="containsText" id="{8D26368F-5C38-4C1C-8ACA-8829BEF048B2}">
            <xm:f>NOT(ISERROR(SEARCH("",AC255)))</xm:f>
            <xm:f>""</xm:f>
            <x14:dxf>
              <numFmt numFmtId="3" formatCode="#,##0"/>
              <border>
                <left style="thin">
                  <color auto="1"/>
                </left>
                <right style="thin">
                  <color auto="1"/>
                </right>
                <top style="thin">
                  <color auto="1"/>
                </top>
                <bottom style="thin">
                  <color auto="1"/>
                </bottom>
                <vertical/>
                <horizontal/>
              </border>
            </x14:dxf>
          </x14:cfRule>
          <xm:sqref>AC255 AH255 AM255 AR255 AW255 BB255 BG255 BL255 BQ255 BV255 CA255 CF255 CK255 CP255 CU255 CZ255 DE255 DJ255 DO255 DT255 DY255 ED255 EI255 EN255 ES255 EX255 FC255 FH255 FM255 FR255 FW255 GB255 GG255 GL255 GQ255 GV255 HA255 HF255 HK255 HP255 HU255 HZ255 IE255 IJ255 IO255 IT255</xm:sqref>
        </x14:conditionalFormatting>
        <x14:conditionalFormatting xmlns:xm="http://schemas.microsoft.com/office/excel/2006/main">
          <x14:cfRule type="containsText" priority="22" operator="containsText" id="{8DBFB53D-80C1-4CFA-AD1B-BB2B26A90520}">
            <xm:f>NOT(ISERROR(SEARCH("",AC252)))</xm:f>
            <xm:f>""</xm:f>
            <x14:dxf>
              <numFmt numFmtId="3" formatCode="#,##0"/>
              <border>
                <left style="thin">
                  <color auto="1"/>
                </left>
                <right style="thin">
                  <color auto="1"/>
                </right>
                <top style="thin">
                  <color auto="1"/>
                </top>
                <bottom style="thin">
                  <color auto="1"/>
                </bottom>
                <vertical/>
                <horizontal/>
              </border>
            </x14:dxf>
          </x14:cfRule>
          <xm:sqref>AC252:IV252</xm:sqref>
        </x14:conditionalFormatting>
        <x14:conditionalFormatting xmlns:xm="http://schemas.microsoft.com/office/excel/2006/main">
          <x14:cfRule type="containsText" priority="21" operator="containsText" id="{80B34C06-1890-4D21-B593-5C496571AD72}">
            <xm:f>NOT(ISERROR(SEARCH("",C233)))</xm:f>
            <xm:f>""</xm:f>
            <x14:dxf>
              <numFmt numFmtId="3" formatCode="#,##0"/>
              <border>
                <right style="thin">
                  <color auto="1"/>
                </right>
                <top style="thin">
                  <color auto="1"/>
                </top>
                <bottom style="thin">
                  <color auto="1"/>
                </bottom>
                <vertical/>
                <horizontal/>
              </border>
            </x14:dxf>
          </x14:cfRule>
          <xm:sqref>C233:IV251</xm:sqref>
        </x14:conditionalFormatting>
        <x14:conditionalFormatting xmlns:xm="http://schemas.microsoft.com/office/excel/2006/main">
          <x14:cfRule type="containsText" priority="19" operator="containsText" id="{67C24A97-2BDF-44F1-8F4D-03BD84793F2D}">
            <xm:f>NOT(ISERROR(SEARCH("",AC232)))</xm:f>
            <xm:f>""</xm:f>
            <x14:dxf>
              <numFmt numFmtId="3" formatCode="#,##0"/>
              <border>
                <left style="thin">
                  <color auto="1"/>
                </left>
                <right style="thin">
                  <color auto="1"/>
                </right>
                <top style="thin">
                  <color auto="1"/>
                </top>
                <bottom style="thin">
                  <color auto="1"/>
                </bottom>
                <vertical/>
                <horizontal/>
              </border>
            </x14:dxf>
          </x14:cfRule>
          <xm:sqref>AC232 AH232 AM232 AR232 AW232 BB232 BG232 BL232 BQ232 BV232 CA232 CF232 CK232 CP232 CU232 CZ232 DE232 DJ232 DO232 DT232 DY232 ED232 EI232 EN232 ES232 EX232 FC232 FH232 FM232 FR232 FW232 GB232 GG232 GL232 GQ232 GV232 HA232 HF232 HK232 HP232 HU232 HZ232 IE232 IJ232 IO232 IT232</xm:sqref>
        </x14:conditionalFormatting>
        <x14:conditionalFormatting xmlns:xm="http://schemas.microsoft.com/office/excel/2006/main">
          <x14:cfRule type="containsText" priority="18" operator="containsText" id="{17C5B887-CDAA-4913-9713-C02E9D95F14A}">
            <xm:f>NOT(ISERROR(SEARCH("",AC229)))</xm:f>
            <xm:f>""</xm:f>
            <x14:dxf>
              <numFmt numFmtId="3" formatCode="#,##0"/>
              <border>
                <left style="thin">
                  <color auto="1"/>
                </left>
                <right style="thin">
                  <color auto="1"/>
                </right>
                <top style="thin">
                  <color auto="1"/>
                </top>
                <bottom style="thin">
                  <color auto="1"/>
                </bottom>
                <vertical/>
                <horizontal/>
              </border>
            </x14:dxf>
          </x14:cfRule>
          <xm:sqref>AC229:IV229</xm:sqref>
        </x14:conditionalFormatting>
        <x14:conditionalFormatting xmlns:xm="http://schemas.microsoft.com/office/excel/2006/main">
          <x14:cfRule type="containsText" priority="17" operator="containsText" id="{CC6D45B2-5CD7-40E1-AD18-079AC320764E}">
            <xm:f>NOT(ISERROR(SEARCH("",C210)))</xm:f>
            <xm:f>""</xm:f>
            <x14:dxf>
              <numFmt numFmtId="3" formatCode="#,##0"/>
              <border>
                <right style="thin">
                  <color auto="1"/>
                </right>
                <top style="thin">
                  <color auto="1"/>
                </top>
                <bottom style="thin">
                  <color auto="1"/>
                </bottom>
                <vertical/>
                <horizontal/>
              </border>
            </x14:dxf>
          </x14:cfRule>
          <xm:sqref>C210:IV228</xm:sqref>
        </x14:conditionalFormatting>
        <x14:conditionalFormatting xmlns:xm="http://schemas.microsoft.com/office/excel/2006/main">
          <x14:cfRule type="containsText" priority="16" operator="containsText" id="{7B73B797-F24D-437E-ADD2-59A008F64BEB}">
            <xm:f>NOT(ISERROR(SEARCH("",AD209)))</xm:f>
            <xm:f>""</xm:f>
            <x14:dxf>
              <numFmt numFmtId="3" formatCode="#,##0"/>
              <border>
                <left style="thin">
                  <color auto="1"/>
                </left>
                <right style="thin">
                  <color auto="1"/>
                </right>
                <top style="thin">
                  <color auto="1"/>
                </top>
                <bottom style="thin">
                  <color auto="1"/>
                </bottom>
                <vertical/>
                <horizontal/>
              </border>
            </x14:dxf>
          </x14:cfRule>
          <xm:sqref>AD209:AG209 AI209:AL209 AN209:AQ209 AS209:AV209 AX209:BA209 BC209:BF209 BH209:BK209 BM209:BP209 BR209:BU209 BW209:BZ209 CB209:CE209 CG209:CJ209 CL209:CO209 CQ209:CT209 CV209:CY209 DA209:DD209 DF209:DI209 DK209:DN209 DP209:DS209 DU209:DX209 DZ209:EC209 EE209:EH209 EJ209:EM209 EO209:ER209 ET209:EW209 EY209:FB209 FD209:FG209 FI209:FL209 FN209:FQ209 FS209:FV209 FX209:GA209 GC209:GF209 GH209:GK209 GM209:GP209 GR209:GU209 GW209:GZ209 HB209:HE209 HG209:HJ209 HL209:HO209 HQ209:HT209 HV209:HY209 IA209:ID209 IF209:II209 IK209:IN209 IP209:IS209 IU209:IV209</xm:sqref>
        </x14:conditionalFormatting>
        <x14:conditionalFormatting xmlns:xm="http://schemas.microsoft.com/office/excel/2006/main">
          <x14:cfRule type="containsText" priority="15" operator="containsText" id="{56E92FC1-CB5E-4201-9B54-C135B7457FF9}">
            <xm:f>NOT(ISERROR(SEARCH("",AC209)))</xm:f>
            <xm:f>""</xm:f>
            <x14:dxf>
              <numFmt numFmtId="3" formatCode="#,##0"/>
              <border>
                <left style="thin">
                  <color auto="1"/>
                </left>
                <right style="thin">
                  <color auto="1"/>
                </right>
                <top style="thin">
                  <color auto="1"/>
                </top>
                <bottom style="thin">
                  <color auto="1"/>
                </bottom>
                <vertical/>
                <horizontal/>
              </border>
            </x14:dxf>
          </x14:cfRule>
          <xm:sqref>AC209 AH209 AM209 AR209 AW209 BB209 BG209 BL209 BQ209 BV209 CA209 CF209 CK209 CP209 CU209 CZ209 DE209 DJ209 DO209 DT209 DY209 ED209 EI209 EN209 ES209 EX209 FC209 FH209 FM209 FR209 FW209 GB209 GG209 GL209 GQ209 GV209 HA209 HF209 HK209 HP209 HU209 HZ209 IE209 IJ209 IO209 IT209</xm:sqref>
        </x14:conditionalFormatting>
        <x14:conditionalFormatting xmlns:xm="http://schemas.microsoft.com/office/excel/2006/main">
          <x14:cfRule type="containsText" priority="12" operator="containsText" id="{23799F47-0F8D-41F6-BEB7-86057EB7E594}">
            <xm:f>NOT(ISERROR(SEARCH("",AD186)))</xm:f>
            <xm:f>""</xm:f>
            <x14:dxf>
              <numFmt numFmtId="3" formatCode="#,##0"/>
              <border>
                <left style="thin">
                  <color auto="1"/>
                </left>
                <right style="thin">
                  <color auto="1"/>
                </right>
                <top style="thin">
                  <color auto="1"/>
                </top>
                <bottom style="thin">
                  <color auto="1"/>
                </bottom>
                <vertical/>
                <horizontal/>
              </border>
            </x14:dxf>
          </x14:cfRule>
          <xm:sqref>AD186:AG186 AI186:AL186 AN186:AQ186 AS186:AV186 AX186:BA186 BC186:BF186 BH186:BK186 BM186:BP186 BR186:BU186 BW186:BZ186 CB186:CE186 CG186:CJ186 CL186:CO186 CQ186:CT186 CV186:CY186 DA186:DD186 DF186:DI186 DK186:DN186 DP186:DS186 DU186:DX186 DZ186:EC186 EE186:EH186 EJ186:EM186 EO186:ER186 ET186:EW186 EY186:FB186 FD186:FG186 FI186:FL186 FN186:FQ186 FS186:FV186 FX186:GA186 GC186:GF186 GH186:GK186 GM186:GP186 GR186:GU186 GW186:GZ186 HB186:HE186 HG186:HJ186 HL186:HO186 HQ186:HT186 HV186:HY186 IA186:ID186 IF186:II186 IK186:IN186 IP186:IS186 IU186:IV186</xm:sqref>
        </x14:conditionalFormatting>
        <x14:conditionalFormatting xmlns:xm="http://schemas.microsoft.com/office/excel/2006/main">
          <x14:cfRule type="containsText" priority="11" operator="containsText" id="{C9C63EA6-651A-478C-AB74-235BA059D69A}">
            <xm:f>NOT(ISERROR(SEARCH("",AC186)))</xm:f>
            <xm:f>""</xm:f>
            <x14:dxf>
              <numFmt numFmtId="3" formatCode="#,##0"/>
              <border>
                <left style="thin">
                  <color auto="1"/>
                </left>
                <right style="thin">
                  <color auto="1"/>
                </right>
                <top style="thin">
                  <color auto="1"/>
                </top>
                <bottom style="thin">
                  <color auto="1"/>
                </bottom>
                <vertical/>
                <horizontal/>
              </border>
            </x14:dxf>
          </x14:cfRule>
          <xm:sqref>AC186 AH186 AM186 AR186 AW186 BB186 BG186 BL186 BQ186 BV186 CA186 CF186 CK186 CP186 CU186 CZ186 DE186 DJ186 DO186 DT186 DY186 ED186 EI186 EN186 ES186 EX186 FC186 FH186 FM186 FR186 FW186 GB186 GG186 GL186 GQ186 GV186 HA186 HF186 HK186 HP186 HU186 HZ186 IE186 IJ186 IO186 IT186</xm:sqref>
        </x14:conditionalFormatting>
        <x14:conditionalFormatting xmlns:xm="http://schemas.microsoft.com/office/excel/2006/main">
          <x14:cfRule type="containsText" priority="10" operator="containsText" id="{8C698AFD-F3BC-459E-99D2-7C44B046593A}">
            <xm:f>NOT(ISERROR(SEARCH("",AC183)))</xm:f>
            <xm:f>""</xm:f>
            <x14:dxf>
              <numFmt numFmtId="3" formatCode="#,##0"/>
              <border>
                <left style="thin">
                  <color auto="1"/>
                </left>
                <right style="thin">
                  <color auto="1"/>
                </right>
                <top style="thin">
                  <color auto="1"/>
                </top>
                <bottom style="thin">
                  <color auto="1"/>
                </bottom>
                <vertical/>
                <horizontal/>
              </border>
            </x14:dxf>
          </x14:cfRule>
          <xm:sqref>AC183:IV183</xm:sqref>
        </x14:conditionalFormatting>
        <x14:conditionalFormatting xmlns:xm="http://schemas.microsoft.com/office/excel/2006/main">
          <x14:cfRule type="containsText" priority="9" operator="containsText" id="{2D031E66-1B76-49F1-8016-AC41CAADC7F8}">
            <xm:f>NOT(ISERROR(SEARCH("",C164)))</xm:f>
            <xm:f>""</xm:f>
            <x14:dxf>
              <numFmt numFmtId="3" formatCode="#,##0"/>
              <border>
                <right style="thin">
                  <color auto="1"/>
                </right>
                <top style="thin">
                  <color auto="1"/>
                </top>
                <bottom style="thin">
                  <color auto="1"/>
                </bottom>
                <vertical/>
                <horizontal/>
              </border>
            </x14:dxf>
          </x14:cfRule>
          <xm:sqref>C164:IV182</xm:sqref>
        </x14:conditionalFormatting>
        <x14:conditionalFormatting xmlns:xm="http://schemas.microsoft.com/office/excel/2006/main">
          <x14:cfRule type="containsText" priority="7" operator="containsText" id="{309E7865-4B73-4775-B1BF-35EDE08741B6}">
            <xm:f>NOT(ISERROR(SEARCH("",AC163)))</xm:f>
            <xm:f>""</xm:f>
            <x14:dxf>
              <numFmt numFmtId="3" formatCode="#,##0"/>
              <border>
                <left style="thin">
                  <color auto="1"/>
                </left>
                <right style="thin">
                  <color auto="1"/>
                </right>
                <top style="thin">
                  <color auto="1"/>
                </top>
                <bottom style="thin">
                  <color auto="1"/>
                </bottom>
                <vertical/>
                <horizontal/>
              </border>
            </x14:dxf>
          </x14:cfRule>
          <xm:sqref>AC163 AH163 AM163 AR163 AW163 BB163 BG163 BL163 BQ163 BV163 CA163 CF163 CK163 CP163 CU163 CZ163 DE163 DJ163 DO163 DT163 DY163 ED163 EI163 EN163 ES163 EX163 FC163 FH163 FM163 FR163 FW163 GB163 GG163 GL163 GQ163 GV163 HA163 HF163 HK163 HP163 HU163 HZ163 IE163 IJ163 IO163 IT163</xm:sqref>
        </x14:conditionalFormatting>
        <x14:conditionalFormatting xmlns:xm="http://schemas.microsoft.com/office/excel/2006/main">
          <x14:cfRule type="containsText" priority="4" operator="containsText" id="{53CA2E91-203C-41FE-9CE6-95021C39675F}">
            <xm:f>NOT(ISERROR(SEARCH("",AC500)))</xm:f>
            <xm:f>""</xm:f>
            <x14:dxf>
              <numFmt numFmtId="3" formatCode="#,##0"/>
              <border>
                <left style="thin">
                  <color auto="1"/>
                </left>
                <right style="thin">
                  <color auto="1"/>
                </right>
                <top style="thin">
                  <color auto="1"/>
                </top>
                <bottom style="thin">
                  <color auto="1"/>
                </bottom>
                <vertical/>
                <horizontal/>
              </border>
            </x14:dxf>
          </x14:cfRule>
          <xm:sqref>AC500:IV500 AC477:IV477</xm:sqref>
        </x14:conditionalFormatting>
        <x14:conditionalFormatting xmlns:xm="http://schemas.microsoft.com/office/excel/2006/main">
          <x14:cfRule type="containsText" priority="3" operator="containsText" id="{0E4F783B-0335-4E28-9A9D-F5F64BA9132F}">
            <xm:f>NOT(ISERROR(SEARCH("",C481)))</xm:f>
            <xm:f>""</xm:f>
            <x14:dxf>
              <numFmt numFmtId="3" formatCode="#,##0"/>
              <border>
                <right style="thin">
                  <color auto="1"/>
                </right>
                <top style="thin">
                  <color auto="1"/>
                </top>
                <bottom style="thin">
                  <color auto="1"/>
                </bottom>
                <vertical/>
                <horizontal/>
              </border>
            </x14:dxf>
          </x14:cfRule>
          <xm:sqref>C481:IV499 C458:IV476</xm:sqref>
        </x14:conditionalFormatting>
        <x14:conditionalFormatting xmlns:xm="http://schemas.microsoft.com/office/excel/2006/main">
          <x14:cfRule type="containsText" priority="2" operator="containsText" id="{59F86FFB-8035-4B63-B93B-9125D5479100}">
            <xm:f>NOT(ISERROR(SEARCH("",AD480)))</xm:f>
            <xm:f>""</xm:f>
            <x14:dxf>
              <numFmt numFmtId="3" formatCode="#,##0"/>
              <border>
                <left style="thin">
                  <color auto="1"/>
                </left>
                <right style="thin">
                  <color auto="1"/>
                </right>
                <top style="thin">
                  <color auto="1"/>
                </top>
                <bottom style="thin">
                  <color auto="1"/>
                </bottom>
                <vertical/>
                <horizontal/>
              </border>
            </x14:dxf>
          </x14:cfRule>
          <xm:sqref>AD480:AG480 AI480:AL480 AN480:AQ480 AS480:AV480 AX480:BA480 BC480:BF480 BH480:BK480 BM480:BP480 BR480:BU480 BW480:BZ480 CB480:CE480 CG480:CJ480 CL480:CO480 CQ480:CT480 CV480:CY480 DA480:DD480 DF480:DI480 DK480:DN480 DP480:DS480 DU480:DX480 DZ480:EC480 EE480:EH480 EJ480:EM480 EO480:ER480 ET480:EW480 EY480:FB480 FD480:FG480 FI480:FL480 FN480:FQ480 FS480:FV480 FX480:GA480 GC480:GF480 GH480:GK480 GM480:GP480 GR480:GU480 GW480:GZ480 HB480:HE480 HG480:HJ480 HL480:HO480 HQ480:HT480 HV480:HY480 IA480:ID480 IF480:II480 IK480:IN480 IP480:IS480 IU480:IV480 AD457:AG457 AI457:AL457 AN457:AQ457 AS457:AV457 AX457:BA457 BC457:BF457 BH457:BK457 BM457:BP457 BR457:BU457 BW457:BZ457 CB457:CE457 CG457:CJ457 CL457:CO457 CQ457:CT457 CV457:CY457 DA457:DD457 DF457:DI457 DK457:DN457 DP457:DS457 DU457:DX457 DZ457:EC457 EE457:EH457 EJ457:EM457 EO457:ER457 ET457:EW457 EY457:FB457 FD457:FG457 FI457:FL457 FN457:FQ457 FS457:FV457 FX457:GA457 GC457:GF457 GH457:GK457 GM457:GP457 GR457:GU457 GW457:GZ457 HB457:HE457 HG457:HJ457 HL457:HO457 HQ457:HT457 HV457:HY457 IA457:ID457 IF457:II457 IK457:IN457 IP457:IS457 IU457:IV457</xm:sqref>
        </x14:conditionalFormatting>
        <x14:conditionalFormatting xmlns:xm="http://schemas.microsoft.com/office/excel/2006/main">
          <x14:cfRule type="containsText" priority="1" operator="containsText" id="{06B5C9D6-E451-48FF-B5F3-807F4FA89BB3}">
            <xm:f>NOT(ISERROR(SEARCH("",AC480)))</xm:f>
            <xm:f>""</xm:f>
            <x14:dxf>
              <numFmt numFmtId="3" formatCode="#,##0"/>
              <border>
                <left style="thin">
                  <color auto="1"/>
                </left>
                <right style="thin">
                  <color auto="1"/>
                </right>
                <top style="thin">
                  <color auto="1"/>
                </top>
                <bottom style="thin">
                  <color auto="1"/>
                </bottom>
                <vertical/>
                <horizontal/>
              </border>
            </x14:dxf>
          </x14:cfRule>
          <xm:sqref>AC480 AH480 AM480 AR480 AW480 BB480 BG480 BL480 BQ480 BV480 CA480 CF480 CK480 CP480 CU480 CZ480 DE480 DJ480 DO480 DT480 DY480 ED480 EI480 EN480 ES480 EX480 FC480 FH480 FM480 FR480 FW480 GB480 GG480 GL480 GQ480 GV480 HA480 HF480 HK480 HP480 HU480 HZ480 IE480 IJ480 IO480 IT480 AC457 AH457 AM457 AR457 AW457 BB457 BG457 BL457 BQ457 BV457 CA457 CF457 CK457 CP457 CU457 CZ457 DE457 DJ457 DO457 DT457 DY457 ED457 EI457 EN457 ES457 EX457 FC457 FH457 FM457 FR457 FW457 GB457 GG457 GL457 GQ457 GV457 HA457 HF457 HK457 HP457 HU457 HZ457 IE457 IJ457 IO457 IT457</xm:sqref>
        </x14:conditionalFormatting>
      </x14:conditionalFormatting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mc:Ignorable="x14ac xr">
  <sheetPr codeName="Hoja12">
    <tabColor indexed="46"/>
  </sheetPr>
  <dimension ref="A1:IV265"/>
  <sheetViews>
    <sheetView showGridLines="0" view="pageBreakPreview" zoomScaleNormal="100" workbookViewId="0">
      <pane ySplit="9" topLeftCell="A10" activePane="bottomLeft" state="frozen"/>
      <selection pane="bottomLeft" activeCell="A7" sqref="A7"/>
    </sheetView>
  </sheetViews>
  <sheetFormatPr baseColWidth="10" defaultRowHeight="12.75"/>
  <cols>
    <col min="1" max="1" width="7.42578125" customWidth="1" style="51"/>
    <col min="2" max="2" width="19.5703125" customWidth="1" style="51"/>
    <col min="3" max="11" width="11.7109375" customWidth="1" style="51"/>
    <col min="12" max="16384" width="11.42578125" customWidth="1" style="51"/>
  </cols>
  <sheetData>
    <row r="1">
      <c r="A1" s="46"/>
      <c r="B1" s="47"/>
      <c r="C1" s="47"/>
      <c r="D1" s="47"/>
      <c r="E1" s="47"/>
      <c r="F1" s="47"/>
      <c r="G1" s="47"/>
      <c r="H1" s="47"/>
      <c r="I1" s="47"/>
      <c r="J1" s="47"/>
      <c r="K1" s="47"/>
      <c r="L1" s="47"/>
      <c r="M1" s="47"/>
      <c r="N1" s="49"/>
      <c r="O1" s="50"/>
    </row>
    <row r="2">
      <c r="A2" s="52"/>
      <c r="B2" s="49"/>
      <c r="C2" s="49"/>
      <c r="D2" s="49"/>
      <c r="E2" s="49"/>
      <c r="F2" s="49"/>
      <c r="G2" s="49"/>
      <c r="H2" s="49"/>
      <c r="I2" s="49"/>
      <c r="J2" s="49"/>
      <c r="K2" s="49"/>
      <c r="L2" s="49"/>
      <c r="M2" s="49"/>
      <c r="N2" s="49"/>
      <c r="O2" s="50"/>
    </row>
    <row r="3">
      <c r="A3" s="52"/>
      <c r="B3" s="49"/>
      <c r="C3" s="49"/>
      <c r="D3" s="49"/>
      <c r="E3" s="49"/>
      <c r="F3" s="49"/>
      <c r="G3" s="49"/>
      <c r="H3" s="49"/>
      <c r="I3" s="49"/>
      <c r="J3" s="49"/>
      <c r="K3" s="49"/>
      <c r="L3" s="49"/>
      <c r="M3" s="49"/>
      <c r="N3" s="49"/>
      <c r="O3" s="50"/>
    </row>
    <row r="4">
      <c r="A4" s="52"/>
      <c r="B4" s="49"/>
      <c r="C4" s="49"/>
      <c r="D4" s="49"/>
      <c r="E4" s="49"/>
      <c r="F4" s="49"/>
      <c r="G4" s="49"/>
      <c r="H4" s="49"/>
      <c r="I4" s="49"/>
      <c r="J4" s="49"/>
      <c r="K4" s="49"/>
      <c r="L4" s="49"/>
      <c r="M4" s="49"/>
      <c r="N4" s="49"/>
      <c r="O4" s="50"/>
    </row>
    <row r="5">
      <c r="A5" s="52"/>
      <c r="B5" s="49"/>
      <c r="C5" s="49"/>
      <c r="D5" s="49"/>
      <c r="E5" s="49"/>
      <c r="F5" s="49"/>
      <c r="G5" s="49"/>
      <c r="H5" s="49"/>
      <c r="I5" s="49"/>
      <c r="J5" s="49"/>
      <c r="K5" s="49"/>
      <c r="L5" s="49"/>
      <c r="M5" s="49"/>
      <c r="N5" s="49"/>
      <c r="O5" s="50"/>
    </row>
    <row r="6" ht="13.5">
      <c r="A6" s="54"/>
      <c r="B6" s="55"/>
      <c r="C6" s="55"/>
      <c r="D6" s="55"/>
      <c r="E6" s="55"/>
      <c r="F6" s="55"/>
      <c r="G6" s="55"/>
      <c r="H6" s="55"/>
      <c r="I6" s="55"/>
      <c r="J6" s="55"/>
      <c r="K6" s="55"/>
      <c r="L6" s="55"/>
      <c r="M6" s="55"/>
      <c r="N6" s="55"/>
      <c r="O6" s="50"/>
    </row>
    <row r="7" s="57" customFormat="1">
      <c r="N7" s="58"/>
      <c r="O7" s="58"/>
    </row>
    <row r="8">
      <c r="E8" s="131">
        <v>20</v>
      </c>
      <c r="F8" s="131"/>
      <c r="I8" s="51" t="s">
        <v>100</v>
      </c>
      <c r="J8" s="51" t="e">
        <f>LOOKUP(AUX!$E$10,AUX!$B:$B,AUX!$A:$A)</f>
        <v>#N/A</v>
      </c>
    </row>
    <row r="9">
      <c r="A9" s="597" t="s">
        <v>101</v>
      </c>
      <c r="B9" s="597"/>
      <c r="C9" s="597"/>
      <c r="D9" s="597"/>
      <c r="I9" s="51" t="s">
        <v>1</v>
      </c>
      <c r="J9" s="51" t="str">
        <f>LOOKUP(AUX!$E$11,AUX!$E1:$E5,AUX!$D1:$D5)</f>
        <v>6 meses</v>
      </c>
    </row>
    <row r="12" ht="13.5"/>
    <row r="13" ht="16.5" customHeight="1">
      <c r="C13" s="680" t="s">
        <v>94</v>
      </c>
      <c r="D13" s="681"/>
      <c r="E13" s="681"/>
      <c r="F13" s="681"/>
      <c r="G13" s="681"/>
      <c r="H13" s="681"/>
      <c r="I13" s="681"/>
      <c r="J13" s="681"/>
      <c r="K13" s="681"/>
      <c r="L13" s="681"/>
      <c r="M13" s="682"/>
    </row>
    <row r="14" ht="16.5" customHeight="1">
      <c r="C14" s="683" t="s">
        <v>234</v>
      </c>
      <c r="D14" s="684"/>
      <c r="E14" s="684"/>
      <c r="F14" s="684"/>
      <c r="G14" s="684"/>
      <c r="H14" s="684"/>
      <c r="I14" s="684"/>
      <c r="J14" s="684"/>
      <c r="K14" s="684"/>
      <c r="L14" s="684"/>
      <c r="M14" s="685"/>
    </row>
    <row r="15">
      <c r="C15" s="141"/>
      <c r="D15" s="142"/>
      <c r="E15" s="142"/>
      <c r="F15" s="142"/>
      <c r="G15" s="142"/>
      <c r="H15" s="142"/>
      <c r="I15" s="142"/>
      <c r="J15" s="142"/>
      <c r="K15" s="142"/>
      <c r="L15" s="142"/>
      <c r="M15" s="143"/>
    </row>
    <row r="16" ht="15">
      <c r="A16" s="58"/>
      <c r="B16" s="279"/>
      <c r="C16" s="145" t="e">
        <f>INDEX(AUX!$G$1:$IV$1,1,AUX!$E$10+(AUX!$E$11*AUX!G$2))</f>
        <v>#VALUE!</v>
      </c>
      <c r="D16" s="146">
        <f>INDEX(AUX!$G$1:$IV$1,1,AUX!$E$10+(AUX!$E$11*AUX!H$2))</f>
        <v>38899</v>
      </c>
      <c r="E16" s="146">
        <f>INDEX(AUX!$G$1:$IV$1,1,AUX!$E$10+(AUX!$E$11*AUX!I$2))</f>
        <v>39083</v>
      </c>
      <c r="F16" s="146">
        <f>INDEX(AUX!$G$1:$IV$1,1,AUX!$E$10+(AUX!$E$11*AUX!J$2))</f>
        <v>39264</v>
      </c>
      <c r="G16" s="146">
        <f>INDEX(AUX!$G$1:$IV$1,1,AUX!$E$10+(AUX!$E$11*AUX!K$2))</f>
        <v>39448</v>
      </c>
      <c r="H16" s="146">
        <f>INDEX(AUX!$G$1:$IV$1,1,AUX!$E$10+(AUX!$E$11*AUX!L$2))</f>
        <v>39630</v>
      </c>
      <c r="I16" s="146">
        <f>INDEX(AUX!$G$1:$IV$1,1,AUX!$E$10+(AUX!$E$11*AUX!M$2))</f>
        <v>39814</v>
      </c>
      <c r="J16" s="146">
        <f>INDEX(AUX!$G$1:$IV$1,1,AUX!$E$10+(AUX!$E$11*AUX!N$2))</f>
        <v>39995</v>
      </c>
      <c r="K16" s="146">
        <f>INDEX(AUX!$G$1:$IV$1,1,AUX!$E$10+(AUX!$E$11*AUX!O$2))</f>
        <v>40179</v>
      </c>
      <c r="L16" s="146">
        <f>INDEX(AUX!$G$1:$IV$1,1,AUX!$E$10+(AUX!$E$11*AUX!P$2))</f>
        <v>40360</v>
      </c>
      <c r="M16" s="147">
        <f>INDEX(AUX!$G$1:$IV$1,1,AUX!$E$10+(AUX!$E$11*AUX!Q$2))</f>
        <v>40544</v>
      </c>
    </row>
    <row r="17" ht="15.75" customHeight="1">
      <c r="A17" s="144"/>
      <c r="B17" s="203"/>
      <c r="C17" s="677" t="s">
        <v>235</v>
      </c>
      <c r="D17" s="678"/>
      <c r="E17" s="678"/>
      <c r="F17" s="678"/>
      <c r="G17" s="678"/>
      <c r="H17" s="678"/>
      <c r="I17" s="678"/>
      <c r="J17" s="678"/>
      <c r="K17" s="678"/>
      <c r="L17" s="678"/>
      <c r="M17" s="679"/>
    </row>
    <row r="18" ht="15.75" customHeight="1">
      <c r="A18" s="58"/>
      <c r="B18" s="280" t="str">
        <f>INDEX($B$134:$I$153,$E$8,1)</f>
        <v>Total</v>
      </c>
      <c r="C18" s="234" t="str">
        <f>IF(INDEX($C$134:$II$153,$E$8,AUX!$E$10+(AUX!$E$11*AUX!G$2))="","--",IF(INDEX($C$134:$II$153,$E$8,AUX!$E$10+(AUX!$E$11*AUX!G$2))=0,"-",INDEX($C$134:$II$153,$E$8,AUX!$E$10+(AUX!$E$11*AUX!G$2))))</f>
        <v>--</v>
      </c>
      <c r="D18" s="235" t="str">
        <f>IF(INDEX($C$134:$II$153,$E$8,AUX!$E$10+(AUX!$E$11*AUX!H$2))="","--",IF(INDEX($C$134:$II$153,$E$8,AUX!$E$10+(AUX!$E$11*AUX!H$2))=0,"-",INDEX($C$134:$II$153,$E$8,AUX!$E$10+(AUX!$E$11*AUX!H$2))))</f>
        <v>--</v>
      </c>
      <c r="E18" s="235" t="str">
        <f>IF(INDEX($C$134:$II$153,$E$8,AUX!$E$10+(AUX!$E$11*AUX!I$2))="","--",IF(INDEX($C$134:$II$153,$E$8,AUX!$E$10+(AUX!$E$11*AUX!I$2))=0,"-",INDEX($C$134:$II$153,$E$8,AUX!$E$10+(AUX!$E$11*AUX!I$2))))</f>
        <v>--</v>
      </c>
      <c r="F18" s="235" t="str">
        <f>IF(INDEX($C$134:$II$153,$E$8,AUX!$E$10+(AUX!$E$11*AUX!J$2))="","--",IF(INDEX($C$134:$II$153,$E$8,AUX!$E$10+(AUX!$E$11*AUX!J$2))=0,"-",INDEX($C$134:$II$153,$E$8,AUX!$E$10+(AUX!$E$11*AUX!J$2))))</f>
        <v>--</v>
      </c>
      <c r="G18" s="235" t="str">
        <f>IF(INDEX($C$134:$II$153,$E$8,AUX!$E$10+(AUX!$E$11*AUX!K$2))="","--",IF(INDEX($C$134:$II$153,$E$8,AUX!$E$10+(AUX!$E$11*AUX!K$2))=0,"-",INDEX($C$134:$II$153,$E$8,AUX!$E$10+(AUX!$E$11*AUX!K$2))))</f>
        <v>--</v>
      </c>
      <c r="H18" s="235" t="str">
        <f>IF(INDEX($C$134:$II$153,$E$8,AUX!$E$10+(AUX!$E$11*AUX!L$2))="","--",IF(INDEX($C$134:$II$153,$E$8,AUX!$E$10+(AUX!$E$11*AUX!L$2))=0,"-",INDEX($C$134:$II$153,$E$8,AUX!$E$10+(AUX!$E$11*AUX!L$2))))</f>
        <v>--</v>
      </c>
      <c r="I18" s="235" t="str">
        <f>IF(INDEX($C$134:$II$153,$E$8,AUX!$E$10+(AUX!$E$11*AUX!M$2))="","--",IF(INDEX($C$134:$II$153,$E$8,AUX!$E$10+(AUX!$E$11*AUX!M$2))=0,"-",INDEX($C$134:$II$153,$E$8,AUX!$E$10+(AUX!$E$11*AUX!M$2))))</f>
        <v>--</v>
      </c>
      <c r="J18" s="235" t="str">
        <f>IF(INDEX($C$134:$II$153,$E$8,AUX!$E$10+(AUX!$E$11*AUX!N$2))="","--",IF(INDEX($C$134:$II$153,$E$8,AUX!$E$10+(AUX!$E$11*AUX!N$2))=0,"-",INDEX($C$134:$II$153,$E$8,AUX!$E$10+(AUX!$E$11*AUX!N$2))))</f>
        <v>--</v>
      </c>
      <c r="K18" s="235" t="str">
        <f>IF(INDEX($C$134:$II$153,$E$8,AUX!$E$10+(AUX!$E$11*AUX!O$2))="","--",IF(INDEX($C$134:$II$153,$E$8,AUX!$E$10+(AUX!$E$11*AUX!O$2))=0,"-",INDEX($C$134:$II$153,$E$8,AUX!$E$10+(AUX!$E$11*AUX!O$2))))</f>
        <v>--</v>
      </c>
      <c r="L18" s="235" t="str">
        <f>IF(INDEX($C$134:$II$153,$E$8,AUX!$E$10+(AUX!$E$11*AUX!P$2))="","--",IF(INDEX($C$134:$II$153,$E$8,AUX!$E$10+(AUX!$E$11*AUX!P$2))=0,"-",INDEX($C$134:$II$153,$E$8,AUX!$E$10+(AUX!$E$11*AUX!P$2))))</f>
        <v>--</v>
      </c>
      <c r="M18" s="236" t="str">
        <f>IF(INDEX($C$134:$II$153,$E$8,AUX!$E$10+(AUX!$E$11*AUX!Q$2))="","--",IF(INDEX($C$134:$II$153,$E$8,AUX!$E$10+(AUX!$E$11*AUX!Q$2))=0,"-",INDEX($C$134:$II$153,$E$8,AUX!$E$10+(AUX!$E$11*AUX!Q$2))))</f>
        <v>--</v>
      </c>
    </row>
    <row r="19" ht="15.75" customHeight="1">
      <c r="A19" s="154"/>
      <c r="B19" s="281"/>
      <c r="C19" s="677" t="s">
        <v>236</v>
      </c>
      <c r="D19" s="678"/>
      <c r="E19" s="678"/>
      <c r="F19" s="678"/>
      <c r="G19" s="678"/>
      <c r="H19" s="678"/>
      <c r="I19" s="678"/>
      <c r="J19" s="678"/>
      <c r="K19" s="678"/>
      <c r="L19" s="678"/>
      <c r="M19" s="679"/>
    </row>
    <row r="20" ht="15.75" customHeight="1">
      <c r="A20" s="282"/>
      <c r="B20" s="206"/>
      <c r="C20" s="234" t="str">
        <f>IF(INDEX($C$157:$II$176,$E$8,AUX!$E$10+(AUX!$E$11*AUX!G$2))="","--",IF(INDEX($C$157:$II$176,$E$8,AUX!$E$10+(AUX!$E$11*AUX!G$2))=0,"-",INDEX($C$157:$II$176,$E$8,AUX!$E$10+(AUX!$E$11*AUX!G$2))))</f>
        <v>--</v>
      </c>
      <c r="D20" s="235" t="str">
        <f>IF(INDEX($C$157:$II$176,$E$8,AUX!$E$10+(AUX!$E$11*AUX!H$2))="","--",IF(INDEX($C$157:$II$176,$E$8,AUX!$E$10+(AUX!$E$11*AUX!H$2))=0,"-",INDEX($C$157:$II$176,$E$8,AUX!$E$10+(AUX!$E$11*AUX!H$2))))</f>
        <v>--</v>
      </c>
      <c r="E20" s="235" t="str">
        <f>IF(INDEX($C$157:$II$176,$E$8,AUX!$E$10+(AUX!$E$11*AUX!I$2))="","--",IF(INDEX($C$157:$II$176,$E$8,AUX!$E$10+(AUX!$E$11*AUX!I$2))=0,"-",INDEX($C$157:$II$176,$E$8,AUX!$E$10+(AUX!$E$11*AUX!I$2))))</f>
        <v>--</v>
      </c>
      <c r="F20" s="235" t="str">
        <f>IF(INDEX($C$157:$II$176,$E$8,AUX!$E$10+(AUX!$E$11*AUX!J$2))="","--",IF(INDEX($C$157:$II$176,$E$8,AUX!$E$10+(AUX!$E$11*AUX!J$2))=0,"-",INDEX($C$157:$II$176,$E$8,AUX!$E$10+(AUX!$E$11*AUX!J$2))))</f>
        <v>--</v>
      </c>
      <c r="G20" s="235" t="str">
        <f>IF(INDEX($C$157:$II$176,$E$8,AUX!$E$10+(AUX!$E$11*AUX!K$2))="","--",IF(INDEX($C$157:$II$176,$E$8,AUX!$E$10+(AUX!$E$11*AUX!K$2))=0,"-",INDEX($C$157:$II$176,$E$8,AUX!$E$10+(AUX!$E$11*AUX!K$2))))</f>
        <v>--</v>
      </c>
      <c r="H20" s="235" t="str">
        <f>IF(INDEX($C$157:$II$176,$E$8,AUX!$E$10+(AUX!$E$11*AUX!L$2))="","--",IF(INDEX($C$157:$II$176,$E$8,AUX!$E$10+(AUX!$E$11*AUX!L$2))=0,"-",INDEX($C$157:$II$176,$E$8,AUX!$E$10+(AUX!$E$11*AUX!L$2))))</f>
        <v>--</v>
      </c>
      <c r="I20" s="235" t="str">
        <f>IF(INDEX($C$157:$II$176,$E$8,AUX!$E$10+(AUX!$E$11*AUX!M$2))="","--",IF(INDEX($C$157:$II$176,$E$8,AUX!$E$10+(AUX!$E$11*AUX!M$2))=0,"-",INDEX($C$157:$II$176,$E$8,AUX!$E$10+(AUX!$E$11*AUX!M$2))))</f>
        <v>--</v>
      </c>
      <c r="J20" s="235" t="str">
        <f>IF(INDEX($C$157:$II$176,$E$8,AUX!$E$10+(AUX!$E$11*AUX!N$2))="","--",IF(INDEX($C$157:$II$176,$E$8,AUX!$E$10+(AUX!$E$11*AUX!N$2))=0,"-",INDEX($C$157:$II$176,$E$8,AUX!$E$10+(AUX!$E$11*AUX!N$2))))</f>
        <v>--</v>
      </c>
      <c r="K20" s="235" t="str">
        <f>IF(INDEX($C$157:$II$176,$E$8,AUX!$E$10+(AUX!$E$11*AUX!O$2))="","--",IF(INDEX($C$157:$II$176,$E$8,AUX!$E$10+(AUX!$E$11*AUX!O$2))=0,"-",INDEX($C$157:$II$176,$E$8,AUX!$E$10+(AUX!$E$11*AUX!O$2))))</f>
        <v>--</v>
      </c>
      <c r="L20" s="235" t="str">
        <f>IF(INDEX($C$157:$II$176,$E$8,AUX!$E$10+(AUX!$E$11*AUX!P$2))="","--",IF(INDEX($C$157:$II$176,$E$8,AUX!$E$10+(AUX!$E$11*AUX!P$2))=0,"-",INDEX($C$157:$II$176,$E$8,AUX!$E$10+(AUX!$E$11*AUX!P$2))))</f>
        <v>--</v>
      </c>
      <c r="M20" s="236" t="str">
        <f>IF(INDEX($C$157:$II$176,$E$8,AUX!$E$10+(AUX!$E$11*AUX!Q$2))="","--",IF(INDEX($C$157:$II$176,$E$8,AUX!$E$10+(AUX!$E$11*AUX!Q$2))=0,"-",INDEX($C$157:$II$176,$E$8,AUX!$E$10+(AUX!$E$11*AUX!Q$2))))</f>
        <v>--</v>
      </c>
    </row>
    <row r="21" ht="15.75" customHeight="1">
      <c r="A21" s="154"/>
      <c r="B21" s="281"/>
      <c r="C21" s="677" t="s">
        <v>237</v>
      </c>
      <c r="D21" s="678"/>
      <c r="E21" s="678"/>
      <c r="F21" s="678"/>
      <c r="G21" s="678"/>
      <c r="H21" s="678"/>
      <c r="I21" s="678"/>
      <c r="J21" s="678"/>
      <c r="K21" s="678"/>
      <c r="L21" s="678"/>
      <c r="M21" s="679"/>
    </row>
    <row r="22" ht="15.75" customHeight="1">
      <c r="A22" s="282"/>
      <c r="B22" s="206"/>
      <c r="C22" s="234" t="str">
        <f>IF(INDEX($C$180:$II$199,$E$8,AUX!$E$10+(AUX!$E$11*AUX!G$2))="","--",IF(INDEX($C$180:$II$199,$E$8,AUX!$E$10+(AUX!$E$11*AUX!G$2))=0,"-",INDEX($C$180:$II$199,$E$8,AUX!$E$10+(AUX!$E$11*AUX!G$2))))</f>
        <v>--</v>
      </c>
      <c r="D22" s="235" t="str">
        <f>IF(INDEX($C$180:$II$199,$E$8,AUX!$E$10+(AUX!$E$11*AUX!H$2))="","--",IF(INDEX($C$180:$II$199,$E$8,AUX!$E$10+(AUX!$E$11*AUX!H$2))=0,"-",INDEX($C$180:$II$199,$E$8,AUX!$E$10+(AUX!$E$11*AUX!H$2))))</f>
        <v>--</v>
      </c>
      <c r="E22" s="235" t="str">
        <f>IF(INDEX($C$180:$II$199,$E$8,AUX!$E$10+(AUX!$E$11*AUX!I$2))="","--",IF(INDEX($C$180:$II$199,$E$8,AUX!$E$10+(AUX!$E$11*AUX!I$2))=0,"-",INDEX($C$180:$II$199,$E$8,AUX!$E$10+(AUX!$E$11*AUX!I$2))))</f>
        <v>--</v>
      </c>
      <c r="F22" s="235" t="str">
        <f>IF(INDEX($C$180:$II$199,$E$8,AUX!$E$10+(AUX!$E$11*AUX!J$2))="","--",IF(INDEX($C$180:$II$199,$E$8,AUX!$E$10+(AUX!$E$11*AUX!J$2))=0,"-",INDEX($C$180:$II$199,$E$8,AUX!$E$10+(AUX!$E$11*AUX!J$2))))</f>
        <v>--</v>
      </c>
      <c r="G22" s="235" t="str">
        <f>IF(INDEX($C$180:$II$199,$E$8,AUX!$E$10+(AUX!$E$11*AUX!K$2))="","--",IF(INDEX($C$180:$II$199,$E$8,AUX!$E$10+(AUX!$E$11*AUX!K$2))=0,"-",INDEX($C$180:$II$199,$E$8,AUX!$E$10+(AUX!$E$11*AUX!K$2))))</f>
        <v>--</v>
      </c>
      <c r="H22" s="235" t="str">
        <f>IF(INDEX($C$180:$II$199,$E$8,AUX!$E$10+(AUX!$E$11*AUX!L$2))="","--",IF(INDEX($C$180:$II$199,$E$8,AUX!$E$10+(AUX!$E$11*AUX!L$2))=0,"-",INDEX($C$180:$II$199,$E$8,AUX!$E$10+(AUX!$E$11*AUX!L$2))))</f>
        <v>--</v>
      </c>
      <c r="I22" s="235" t="str">
        <f>IF(INDEX($C$180:$II$199,$E$8,AUX!$E$10+(AUX!$E$11*AUX!M$2))="","--",IF(INDEX($C$180:$II$199,$E$8,AUX!$E$10+(AUX!$E$11*AUX!M$2))=0,"-",INDEX($C$180:$II$199,$E$8,AUX!$E$10+(AUX!$E$11*AUX!M$2))))</f>
        <v>--</v>
      </c>
      <c r="J22" s="235" t="str">
        <f>IF(INDEX($C$180:$II$199,$E$8,AUX!$E$10+(AUX!$E$11*AUX!N$2))="","--",IF(INDEX($C$180:$II$199,$E$8,AUX!$E$10+(AUX!$E$11*AUX!N$2))=0,"-",INDEX($C$180:$II$199,$E$8,AUX!$E$10+(AUX!$E$11*AUX!N$2))))</f>
        <v>--</v>
      </c>
      <c r="K22" s="235" t="str">
        <f>IF(INDEX($C$180:$II$199,$E$8,AUX!$E$10+(AUX!$E$11*AUX!O$2))="","--",IF(INDEX($C$180:$II$199,$E$8,AUX!$E$10+(AUX!$E$11*AUX!O$2))=0,"-",INDEX($C$180:$II$199,$E$8,AUX!$E$10+(AUX!$E$11*AUX!O$2))))</f>
        <v>--</v>
      </c>
      <c r="L22" s="235" t="str">
        <f>IF(INDEX($C$180:$II$199,$E$8,AUX!$E$10+(AUX!$E$11*AUX!P$2))="","--",IF(INDEX($C$180:$II$199,$E$8,AUX!$E$10+(AUX!$E$11*AUX!P$2))=0,"-",INDEX($C$180:$II$199,$E$8,AUX!$E$10+(AUX!$E$11*AUX!P$2))))</f>
        <v>--</v>
      </c>
      <c r="M22" s="236" t="str">
        <f>IF(INDEX($C$180:$II$199,$E$8,AUX!$E$10+(AUX!$E$11*AUX!Q$2))="","--",IF(INDEX($C$180:$II$199,$E$8,AUX!$E$10+(AUX!$E$11*AUX!Q$2))=0,"-",INDEX($C$180:$II$199,$E$8,AUX!$E$10+(AUX!$E$11*AUX!Q$2))))</f>
        <v>--</v>
      </c>
    </row>
    <row r="23" ht="15.75" customHeight="1">
      <c r="A23" s="154"/>
      <c r="B23" s="281"/>
      <c r="C23" s="677" t="s">
        <v>238</v>
      </c>
      <c r="D23" s="678"/>
      <c r="E23" s="678"/>
      <c r="F23" s="678"/>
      <c r="G23" s="678"/>
      <c r="H23" s="678"/>
      <c r="I23" s="678"/>
      <c r="J23" s="678"/>
      <c r="K23" s="678"/>
      <c r="L23" s="678"/>
      <c r="M23" s="679"/>
    </row>
    <row r="24" ht="15.75" customHeight="1">
      <c r="A24" s="282"/>
      <c r="B24" s="206"/>
      <c r="C24" s="234" t="str">
        <f>IF(INDEX($C$203:$II$222,$E$8,AUX!$E$10+(AUX!$E$11*AUX!G$2))="","--",IF(INDEX($C$203:$II$222,$E$8,AUX!$E$10+(AUX!$E$11*AUX!G$2))=0,"-",INDEX($C$203:$II$222,$E$8,AUX!$E$10+(AUX!$E$11*AUX!G$2))))</f>
        <v>--</v>
      </c>
      <c r="D24" s="235" t="str">
        <f>IF(INDEX($C$203:$II$222,$E$8,AUX!$E$10+(AUX!$E$11*AUX!H$2))="","--",IF(INDEX($C$203:$II$222,$E$8,AUX!$E$10+(AUX!$E$11*AUX!H$2))=0,"-",INDEX($C$203:$II$222,$E$8,AUX!$E$10+(AUX!$E$11*AUX!H$2))))</f>
        <v>--</v>
      </c>
      <c r="E24" s="235" t="str">
        <f>IF(INDEX($C$203:$II$222,$E$8,AUX!$E$10+(AUX!$E$11*AUX!I$2))="","--",IF(INDEX($C$203:$II$222,$E$8,AUX!$E$10+(AUX!$E$11*AUX!I$2))=0,"-",INDEX($C$203:$II$222,$E$8,AUX!$E$10+(AUX!$E$11*AUX!I$2))))</f>
        <v>--</v>
      </c>
      <c r="F24" s="235" t="str">
        <f>IF(INDEX($C$203:$II$222,$E$8,AUX!$E$10+(AUX!$E$11*AUX!J$2))="","--",IF(INDEX($C$203:$II$222,$E$8,AUX!$E$10+(AUX!$E$11*AUX!J$2))=0,"-",INDEX($C$203:$II$222,$E$8,AUX!$E$10+(AUX!$E$11*AUX!J$2))))</f>
        <v>--</v>
      </c>
      <c r="G24" s="235" t="str">
        <f>IF(INDEX($C$203:$II$222,$E$8,AUX!$E$10+(AUX!$E$11*AUX!K$2))="","--",IF(INDEX($C$203:$II$222,$E$8,AUX!$E$10+(AUX!$E$11*AUX!K$2))=0,"-",INDEX($C$203:$II$222,$E$8,AUX!$E$10+(AUX!$E$11*AUX!K$2))))</f>
        <v>--</v>
      </c>
      <c r="H24" s="235" t="str">
        <f>IF(INDEX($C$203:$II$222,$E$8,AUX!$E$10+(AUX!$E$11*AUX!L$2))="","--",IF(INDEX($C$203:$II$222,$E$8,AUX!$E$10+(AUX!$E$11*AUX!L$2))=0,"-",INDEX($C$203:$II$222,$E$8,AUX!$E$10+(AUX!$E$11*AUX!L$2))))</f>
        <v>--</v>
      </c>
      <c r="I24" s="235" t="str">
        <f>IF(INDEX($C$203:$II$222,$E$8,AUX!$E$10+(AUX!$E$11*AUX!M$2))="","--",IF(INDEX($C$203:$II$222,$E$8,AUX!$E$10+(AUX!$E$11*AUX!M$2))=0,"-",INDEX($C$203:$II$222,$E$8,AUX!$E$10+(AUX!$E$11*AUX!M$2))))</f>
        <v>--</v>
      </c>
      <c r="J24" s="235" t="str">
        <f>IF(INDEX($C$203:$II$222,$E$8,AUX!$E$10+(AUX!$E$11*AUX!N$2))="","--",IF(INDEX($C$203:$II$222,$E$8,AUX!$E$10+(AUX!$E$11*AUX!N$2))=0,"-",INDEX($C$203:$II$222,$E$8,AUX!$E$10+(AUX!$E$11*AUX!N$2))))</f>
        <v>--</v>
      </c>
      <c r="K24" s="235" t="str">
        <f>IF(INDEX($C$203:$II$222,$E$8,AUX!$E$10+(AUX!$E$11*AUX!O$2))="","--",IF(INDEX($C$203:$II$222,$E$8,AUX!$E$10+(AUX!$E$11*AUX!O$2))=0,"-",INDEX($C$203:$II$222,$E$8,AUX!$E$10+(AUX!$E$11*AUX!O$2))))</f>
        <v>--</v>
      </c>
      <c r="L24" s="235" t="str">
        <f>IF(INDEX($C$203:$II$222,$E$8,AUX!$E$10+(AUX!$E$11*AUX!P$2))="","--",IF(INDEX($C$203:$II$222,$E$8,AUX!$E$10+(AUX!$E$11*AUX!P$2))=0,"-",INDEX($C$203:$II$222,$E$8,AUX!$E$10+(AUX!$E$11*AUX!P$2))))</f>
        <v>--</v>
      </c>
      <c r="M24" s="236" t="str">
        <f>IF(INDEX($C$203:$II$222,$E$8,AUX!$E$10+(AUX!$E$11*AUX!Q$2))="","--",IF(INDEX($C$203:$II$222,$E$8,AUX!$E$10+(AUX!$E$11*AUX!Q$2))=0,"-",INDEX($C$203:$II$222,$E$8,AUX!$E$10+(AUX!$E$11*AUX!Q$2))))</f>
        <v>--</v>
      </c>
    </row>
    <row r="25" ht="15.75" customHeight="1">
      <c r="A25" s="154"/>
      <c r="B25" s="281"/>
      <c r="C25" s="677" t="s">
        <v>7</v>
      </c>
      <c r="D25" s="678"/>
      <c r="E25" s="678"/>
      <c r="F25" s="678"/>
      <c r="G25" s="678"/>
      <c r="H25" s="678"/>
      <c r="I25" s="678"/>
      <c r="J25" s="678"/>
      <c r="K25" s="678"/>
      <c r="L25" s="678"/>
      <c r="M25" s="679"/>
    </row>
    <row r="26" ht="15.75">
      <c r="A26" s="282"/>
      <c r="B26" s="206"/>
      <c r="C26" s="240" t="str">
        <f>IF(INDEX($C$226:$II$245,$E$8,AUX!$E$10+(AUX!$E$11*AUX!G$2))="","--",IF(INDEX($C$226:$II$245,$E$8,AUX!$E$10+(AUX!$E$11*AUX!G$2))=0,"-",INDEX($C$226:$II$245,$E$8,AUX!$E$10+(AUX!$E$11*AUX!G$2))))</f>
        <v>--</v>
      </c>
      <c r="D26" s="241" t="str">
        <f>IF(INDEX($C$226:$II$245,$E$8,AUX!$E$10+(AUX!$E$11*AUX!H$2))="","--",IF(INDEX($C$226:$II$245,$E$8,AUX!$E$10+(AUX!$E$11*AUX!H$2))=0,"-",INDEX($C$226:$II$245,$E$8,AUX!$E$10+(AUX!$E$11*AUX!H$2))))</f>
        <v>--</v>
      </c>
      <c r="E26" s="241" t="str">
        <f>IF(INDEX($C$226:$II$245,$E$8,AUX!$E$10+(AUX!$E$11*AUX!I$2))="","--",IF(INDEX($C$226:$II$245,$E$8,AUX!$E$10+(AUX!$E$11*AUX!I$2))=0,"-",INDEX($C$226:$II$245,$E$8,AUX!$E$10+(AUX!$E$11*AUX!I$2))))</f>
        <v>--</v>
      </c>
      <c r="F26" s="241" t="str">
        <f>IF(INDEX($C$226:$II$245,$E$8,AUX!$E$10+(AUX!$E$11*AUX!J$2))="","--",IF(INDEX($C$226:$II$245,$E$8,AUX!$E$10+(AUX!$E$11*AUX!J$2))=0,"-",INDEX($C$226:$II$245,$E$8,AUX!$E$10+(AUX!$E$11*AUX!J$2))))</f>
        <v>--</v>
      </c>
      <c r="G26" s="241" t="str">
        <f>IF(INDEX($C$226:$II$245,$E$8,AUX!$E$10+(AUX!$E$11*AUX!K$2))="","--",IF(INDEX($C$226:$II$245,$E$8,AUX!$E$10+(AUX!$E$11*AUX!K$2))=0,"-",INDEX($C$226:$II$245,$E$8,AUX!$E$10+(AUX!$E$11*AUX!K$2))))</f>
        <v>--</v>
      </c>
      <c r="H26" s="241" t="str">
        <f>IF(INDEX($C$226:$II$245,$E$8,AUX!$E$10+(AUX!$E$11*AUX!L$2))="","--",IF(INDEX($C$226:$II$245,$E$8,AUX!$E$10+(AUX!$E$11*AUX!L$2))=0,"-",INDEX($C$226:$II$245,$E$8,AUX!$E$10+(AUX!$E$11*AUX!L$2))))</f>
        <v>--</v>
      </c>
      <c r="I26" s="241" t="str">
        <f>IF(INDEX($C$226:$II$245,$E$8,AUX!$E$10+(AUX!$E$11*AUX!M$2))="","--",IF(INDEX($C$226:$II$245,$E$8,AUX!$E$10+(AUX!$E$11*AUX!M$2))=0,"-",INDEX($C$226:$II$245,$E$8,AUX!$E$10+(AUX!$E$11*AUX!M$2))))</f>
        <v>--</v>
      </c>
      <c r="J26" s="241" t="str">
        <f>IF(INDEX($C$226:$II$245,$E$8,AUX!$E$10+(AUX!$E$11*AUX!N$2))="","--",IF(INDEX($C$226:$II$245,$E$8,AUX!$E$10+(AUX!$E$11*AUX!N$2))=0,"-",INDEX($C$226:$II$245,$E$8,AUX!$E$10+(AUX!$E$11*AUX!N$2))))</f>
        <v>--</v>
      </c>
      <c r="K26" s="241" t="str">
        <f>IF(INDEX($C$226:$II$245,$E$8,AUX!$E$10+(AUX!$E$11*AUX!O$2))="","--",IF(INDEX($C$226:$II$245,$E$8,AUX!$E$10+(AUX!$E$11*AUX!O$2))=0,"-",INDEX($C$226:$II$245,$E$8,AUX!$E$10+(AUX!$E$11*AUX!O$2))))</f>
        <v>--</v>
      </c>
      <c r="L26" s="241" t="str">
        <f>IF(INDEX($C$226:$II$245,$E$8,AUX!$E$10+(AUX!$E$11*AUX!P$2))="","--",IF(INDEX($C$226:$II$245,$E$8,AUX!$E$10+(AUX!$E$11*AUX!P$2))=0,"-",INDEX($C$226:$II$245,$E$8,AUX!$E$10+(AUX!$E$11*AUX!P$2))))</f>
        <v>--</v>
      </c>
      <c r="M26" s="242" t="str">
        <f>IF(INDEX($C$226:$II$245,$E$8,AUX!$E$10+(AUX!$E$11*AUX!Q$2))="","--",IF(INDEX($C$226:$II$245,$E$8,AUX!$E$10+(AUX!$E$11*AUX!Q$2))=0,"-",INDEX($C$226:$II$245,$E$8,AUX!$E$10+(AUX!$E$11*AUX!Q$2))))</f>
        <v>--</v>
      </c>
    </row>
    <row r="28">
      <c r="C28" s="58"/>
    </row>
    <row r="29">
      <c r="C29" s="58"/>
    </row>
    <row r="32">
      <c r="A32" s="164"/>
      <c r="B32" s="164"/>
      <c r="C32" s="164"/>
      <c r="D32" s="164"/>
      <c r="E32" s="164"/>
      <c r="F32" s="164"/>
      <c r="G32" s="164"/>
      <c r="H32" s="164"/>
      <c r="I32" s="164"/>
      <c r="J32" s="164"/>
      <c r="K32" s="164"/>
    </row>
    <row r="86"/>
    <row r="132" hidden="1" ht="13.5" customHeight="1">
      <c r="A132" s="50"/>
      <c r="B132" s="50"/>
      <c r="C132" s="686" t="s">
        <v>235</v>
      </c>
      <c r="D132" s="687"/>
      <c r="E132" s="687"/>
      <c r="F132" s="687"/>
      <c r="G132" s="687"/>
      <c r="H132" s="687"/>
      <c r="I132" s="687"/>
      <c r="J132" s="687"/>
      <c r="K132" s="687"/>
      <c r="L132" s="687"/>
      <c r="M132" s="687"/>
      <c r="N132" s="687"/>
      <c r="O132" s="687"/>
      <c r="P132" s="687"/>
      <c r="Q132" s="687"/>
      <c r="R132" s="687"/>
      <c r="S132" s="687"/>
      <c r="T132" s="687"/>
      <c r="U132" s="687"/>
      <c r="V132" s="687"/>
      <c r="W132" s="687"/>
      <c r="X132" s="687"/>
      <c r="Y132" s="687"/>
      <c r="Z132" s="687"/>
      <c r="AA132" s="687"/>
      <c r="AB132" s="688"/>
    </row>
    <row r="133" hidden="1" ht="12.75" customHeight="1">
      <c r="A133" s="216"/>
      <c r="C133" s="435" t="str">
        <f> IF(C153&lt;&gt;"",TEXT(AUX!G$1,"dd-MMM-aa"),"")</f>
      </c>
      <c r="D133" s="435" t="str">
        <f> IF(D153&lt;&gt;"",TEXT(AUX!H$1,"dd-MMM-aa"),"")</f>
      </c>
      <c r="E133" s="435" t="str">
        <f> IF(E153&lt;&gt;"",TEXT(AUX!I$1,"dd-MMM-aa"),"")</f>
      </c>
      <c r="F133" s="435" t="str">
        <f> IF(F153&lt;&gt;"",TEXT(AUX!J$1,"dd-MMM-aa"),"")</f>
      </c>
      <c r="G133" s="435" t="str">
        <f> IF(G153&lt;&gt;"",TEXT(AUX!K$1,"dd-MMM-aa"),"")</f>
      </c>
      <c r="H133" s="435" t="str">
        <f> IF(H153&lt;&gt;"",TEXT(AUX!L$1,"dd-MMM-aa"),"")</f>
      </c>
      <c r="I133" s="435" t="str">
        <f> IF(I153&lt;&gt;"",TEXT(AUX!M$1,"dd-MMM-aa"),"")</f>
      </c>
      <c r="J133" s="435" t="str">
        <f> IF(J153&lt;&gt;"",TEXT(AUX!N$1,"dd-MMM-aa"),"")</f>
      </c>
      <c r="K133" s="435" t="str">
        <f> IF(K153&lt;&gt;"",TEXT(AUX!O$1,"dd-MMM-aa"),"")</f>
      </c>
      <c r="L133" s="435" t="str">
        <f> IF(L153&lt;&gt;"",TEXT(AUX!P$1,"dd-MMM-aa"),"")</f>
      </c>
      <c r="M133" s="435" t="str">
        <f> IF(M153&lt;&gt;"",TEXT(AUX!Q$1,"dd-MMM-aa"),"")</f>
      </c>
      <c r="N133" s="435" t="str">
        <f> IF(N153&lt;&gt;"",TEXT(AUX!R$1,"dd-MMM-aa"),"")</f>
      </c>
      <c r="O133" s="435" t="str">
        <f> IF(O153&lt;&gt;"",TEXT(AUX!S$1,"dd-MMM-aa"),"")</f>
      </c>
      <c r="P133" s="435" t="str">
        <f> IF(P153&lt;&gt;"",TEXT(AUX!T$1,"dd-MMM-aa"),"")</f>
      </c>
      <c r="Q133" s="435" t="str">
        <f> IF(Q153&lt;&gt;"",TEXT(AUX!U$1,"dd-MMM-aa"),"")</f>
      </c>
      <c r="R133" s="435" t="str">
        <f> IF(R153&lt;&gt;"",TEXT(AUX!V$1,"dd-MMM-aa"),"")</f>
      </c>
      <c r="S133" s="435" t="str">
        <f> IF(S153&lt;&gt;"",TEXT(AUX!W$1,"dd-MMM-aa"),"")</f>
      </c>
      <c r="T133" s="435" t="str">
        <f> IF(T153&lt;&gt;"",TEXT(AUX!X$1,"dd-MMM-aa"),"")</f>
      </c>
      <c r="U133" s="435" t="str">
        <f> IF(U153&lt;&gt;"",TEXT(AUX!Y$1,"dd-MMM-aa"),"")</f>
      </c>
      <c r="V133" s="435" t="str">
        <f> IF(V153&lt;&gt;"",TEXT(AUX!Z$1,"dd-MMM-aa"),"")</f>
      </c>
      <c r="W133" s="435" t="str">
        <f> IF(W153&lt;&gt;"",TEXT(AUX!AA$1,"dd-MMM-aa"),"")</f>
      </c>
      <c r="X133" s="435" t="str">
        <f> IF(X153&lt;&gt;"",TEXT(AUX!AB$1,"dd-MMM-aa"),"")</f>
      </c>
      <c r="Y133" s="435" t="str">
        <f> IF(Y153&lt;&gt;"",TEXT(AUX!AC$1,"dd-MMM-aa"),"")</f>
      </c>
      <c r="Z133" s="435" t="str">
        <f> IF(Z153&lt;&gt;"",TEXT(AUX!AD$1,"dd-MMM-aa"),"")</f>
      </c>
      <c r="AA133" s="435" t="str">
        <f> IF(AA153&lt;&gt;"",TEXT(AUX!AE$1,"dd-MMM-aa"),"")</f>
      </c>
      <c r="AB133" s="497" t="str">
        <f> IF(AB153&lt;&gt;"",TEXT(AUX!AF$1,"dd-MMM-aa"),"")</f>
      </c>
      <c r="AC133" s="496" t="str">
        <f> IF(AC153&lt;&gt;"",TEXT(AUX!AG$1,"dd-MMM-aa"),"")</f>
      </c>
      <c r="AD133" s="496" t="str">
        <f> IF(AD153&lt;&gt;"",TEXT(AUX!AH$1,"dd-MMM-aa"),"")</f>
      </c>
      <c r="AE133" s="496" t="str">
        <f> IF(AE153&lt;&gt;"",TEXT(AUX!AI$1,"dd-MMM-aa"),"")</f>
      </c>
      <c r="AF133" s="496" t="str">
        <f> IF(AF153&lt;&gt;"",TEXT(AUX!AJ$1,"dd-MMM-aa"),"")</f>
      </c>
      <c r="AG133" s="496" t="str">
        <f> IF(AG153&lt;&gt;"",TEXT(AUX!AK$1,"dd-MMM-aa"),"")</f>
      </c>
      <c r="AH133" s="496" t="str">
        <f> IF(AH153&lt;&gt;"",TEXT(AUX!AL$1,"dd-MMM-aa"),"")</f>
      </c>
      <c r="AI133" s="496" t="str">
        <f> IF(AI153&lt;&gt;"",TEXT(AUX!AM$1,"dd-MMM-aa"),"")</f>
      </c>
      <c r="AJ133" s="496" t="str">
        <f> IF(AJ153&lt;&gt;"",TEXT(AUX!AN$1,"dd-MMM-aa"),"")</f>
      </c>
      <c r="AK133" s="496" t="str">
        <f> IF(AK153&lt;&gt;"",TEXT(AUX!AO$1,"dd-MMM-aa"),"")</f>
      </c>
      <c r="AL133" s="496" t="str">
        <f> IF(AL153&lt;&gt;"",TEXT(AUX!AP$1,"dd-MMM-aa"),"")</f>
      </c>
      <c r="AM133" s="496" t="str">
        <f> IF(AM153&lt;&gt;"",TEXT(AUX!AQ$1,"dd-MMM-aa"),"")</f>
      </c>
      <c r="AN133" s="496" t="str">
        <f> IF(AN153&lt;&gt;"",TEXT(AUX!AR$1,"dd-MMM-aa"),"")</f>
      </c>
      <c r="AO133" s="496" t="str">
        <f> IF(AO153&lt;&gt;"",TEXT(AUX!AS$1,"dd-MMM-aa"),"")</f>
      </c>
      <c r="AP133" s="496" t="str">
        <f> IF(AP153&lt;&gt;"",TEXT(AUX!AT$1,"dd-MMM-aa"),"")</f>
      </c>
      <c r="AQ133" s="496" t="str">
        <f> IF(AQ153&lt;&gt;"",TEXT(AUX!AU$1,"dd-MMM-aa"),"")</f>
      </c>
      <c r="AR133" s="496" t="str">
        <f> IF(AR153&lt;&gt;"",TEXT(AUX!AV$1,"dd-MMM-aa"),"")</f>
      </c>
      <c r="AS133" s="496" t="str">
        <f> IF(AS153&lt;&gt;"",TEXT(AUX!AW$1,"dd-MMM-aa"),"")</f>
      </c>
      <c r="AT133" s="496" t="str">
        <f> IF(AT153&lt;&gt;"",TEXT(AUX!AX$1,"dd-MMM-aa"),"")</f>
      </c>
      <c r="AU133" s="496" t="str">
        <f> IF(AU153&lt;&gt;"",TEXT(AUX!AY$1,"dd-MMM-aa"),"")</f>
      </c>
      <c r="AV133" s="496" t="str">
        <f> IF(AV153&lt;&gt;"",TEXT(AUX!AZ$1,"dd-MMM-aa"),"")</f>
      </c>
      <c r="AW133" s="496" t="str">
        <f> IF(AW153&lt;&gt;"",TEXT(AUX!BA$1,"dd-MMM-aa"),"")</f>
      </c>
      <c r="AX133" s="496" t="str">
        <f> IF(AX153&lt;&gt;"",TEXT(AUX!BB$1,"dd-MMM-aa"),"")</f>
      </c>
      <c r="AY133" s="496" t="str">
        <f> IF(AY153&lt;&gt;"",TEXT(AUX!BC$1,"dd-MMM-aa"),"")</f>
      </c>
      <c r="AZ133" s="496" t="str">
        <f> IF(AZ153&lt;&gt;"",TEXT(AUX!BD$1,"dd-MMM-aa"),"")</f>
      </c>
      <c r="BA133" s="496" t="str">
        <f> IF(BA153&lt;&gt;"",TEXT(AUX!BE$1,"dd-MMM-aa"),"")</f>
      </c>
      <c r="BB133" s="496" t="str">
        <f> IF(BB153&lt;&gt;"",TEXT(AUX!BF$1,"dd-MMM-aa"),"")</f>
      </c>
      <c r="BC133" s="496" t="str">
        <f> IF(BC153&lt;&gt;"",TEXT(AUX!BG$1,"dd-MMM-aa"),"")</f>
      </c>
      <c r="BD133" s="496" t="str">
        <f> IF(BD153&lt;&gt;"",TEXT(AUX!BH$1,"dd-MMM-aa"),"")</f>
      </c>
      <c r="BE133" s="496" t="str">
        <f> IF(BE153&lt;&gt;"",TEXT(AUX!BI$1,"dd-MMM-aa"),"")</f>
      </c>
      <c r="BF133" s="496" t="str">
        <f> IF(BF153&lt;&gt;"",TEXT(AUX!BJ$1,"dd-MMM-aa"),"")</f>
      </c>
      <c r="BG133" s="496" t="str">
        <f> IF(BG153&lt;&gt;"",TEXT(AUX!BK$1,"dd-MMM-aa"),"")</f>
      </c>
      <c r="BH133" s="496" t="str">
        <f> IF(BH153&lt;&gt;"",TEXT(AUX!BL$1,"dd-MMM-aa"),"")</f>
      </c>
      <c r="BI133" s="496" t="str">
        <f> IF(BI153&lt;&gt;"",TEXT(AUX!BM$1,"dd-MMM-aa"),"")</f>
      </c>
      <c r="BJ133" s="496" t="str">
        <f> IF(BJ153&lt;&gt;"",TEXT(AUX!BN$1,"dd-MMM-aa"),"")</f>
      </c>
      <c r="BK133" s="496" t="str">
        <f> IF(BK153&lt;&gt;"",TEXT(AUX!BO$1,"dd-MMM-aa"),"")</f>
      </c>
      <c r="BL133" s="496" t="str">
        <f> IF(BL153&lt;&gt;"",TEXT(AUX!BP$1,"dd-MMM-aa"),"")</f>
      </c>
      <c r="BM133" s="496" t="str">
        <f> IF(BM153&lt;&gt;"",TEXT(AUX!BQ$1,"dd-MMM-aa"),"")</f>
      </c>
      <c r="BN133" s="496" t="str">
        <f> IF(BN153&lt;&gt;"",TEXT(AUX!BR$1,"dd-MMM-aa"),"")</f>
      </c>
      <c r="BO133" s="496" t="str">
        <f> IF(BO153&lt;&gt;"",TEXT(AUX!BS$1,"dd-MMM-aa"),"")</f>
      </c>
      <c r="BP133" s="496" t="str">
        <f> IF(BP153&lt;&gt;"",TEXT(AUX!BT$1,"dd-MMM-aa"),"")</f>
      </c>
      <c r="BQ133" s="496" t="str">
        <f> IF(BQ153&lt;&gt;"",TEXT(AUX!BU$1,"dd-MMM-aa"),"")</f>
      </c>
      <c r="BR133" s="496" t="str">
        <f> IF(BR153&lt;&gt;"",TEXT(AUX!BV$1,"dd-MMM-aa"),"")</f>
      </c>
      <c r="BS133" s="496" t="str">
        <f> IF(BS153&lt;&gt;"",TEXT(AUX!BW$1,"dd-MMM-aa"),"")</f>
      </c>
      <c r="BT133" s="496" t="str">
        <f> IF(BT153&lt;&gt;"",TEXT(AUX!BX$1,"dd-MMM-aa"),"")</f>
      </c>
      <c r="BU133" s="496" t="str">
        <f> IF(BU153&lt;&gt;"",TEXT(AUX!BY$1,"dd-MMM-aa"),"")</f>
      </c>
      <c r="BV133" s="496" t="str">
        <f> IF(BV153&lt;&gt;"",TEXT(AUX!BZ$1,"dd-MMM-aa"),"")</f>
      </c>
      <c r="BW133" s="496" t="str">
        <f> IF(BW153&lt;&gt;"",TEXT(AUX!CA$1,"dd-MMM-aa"),"")</f>
      </c>
      <c r="BX133" s="496" t="str">
        <f> IF(BX153&lt;&gt;"",TEXT(AUX!CB$1,"dd-MMM-aa"),"")</f>
      </c>
      <c r="BY133" s="496" t="str">
        <f> IF(BY153&lt;&gt;"",TEXT(AUX!CC$1,"dd-MMM-aa"),"")</f>
      </c>
      <c r="BZ133" s="496" t="str">
        <f> IF(BZ153&lt;&gt;"",TEXT(AUX!CD$1,"dd-MMM-aa"),"")</f>
      </c>
      <c r="CA133" s="496" t="str">
        <f> IF(CA153&lt;&gt;"",TEXT(AUX!CE$1,"dd-MMM-aa"),"")</f>
      </c>
      <c r="CB133" s="496" t="str">
        <f> IF(CB153&lt;&gt;"",TEXT(AUX!CF$1,"dd-MMM-aa"),"")</f>
      </c>
      <c r="CC133" s="496" t="str">
        <f> IF(CC153&lt;&gt;"",TEXT(AUX!CG$1,"dd-MMM-aa"),"")</f>
      </c>
      <c r="CD133" s="496" t="str">
        <f> IF(CD153&lt;&gt;"",TEXT(AUX!CH$1,"dd-MMM-aa"),"")</f>
      </c>
      <c r="CE133" s="496" t="str">
        <f> IF(CE153&lt;&gt;"",TEXT(AUX!CI$1,"dd-MMM-aa"),"")</f>
      </c>
      <c r="CF133" s="496" t="str">
        <f> IF(CF153&lt;&gt;"",TEXT(AUX!CJ$1,"dd-MMM-aa"),"")</f>
      </c>
      <c r="CG133" s="496" t="str">
        <f> IF(CG153&lt;&gt;"",TEXT(AUX!CK$1,"dd-MMM-aa"),"")</f>
      </c>
      <c r="CH133" s="496" t="str">
        <f> IF(CH153&lt;&gt;"",TEXT(AUX!CL$1,"dd-MMM-aa"),"")</f>
      </c>
      <c r="CI133" s="496" t="str">
        <f> IF(CI153&lt;&gt;"",TEXT(AUX!CM$1,"dd-MMM-aa"),"")</f>
      </c>
      <c r="CJ133" s="496" t="str">
        <f> IF(CJ153&lt;&gt;"",TEXT(AUX!CN$1,"dd-MMM-aa"),"")</f>
      </c>
      <c r="CK133" s="496" t="str">
        <f> IF(CK153&lt;&gt;"",TEXT(AUX!CO$1,"dd-MMM-aa"),"")</f>
      </c>
      <c r="CL133" s="496" t="str">
        <f> IF(CL153&lt;&gt;"",TEXT(AUX!CP$1,"dd-MMM-aa"),"")</f>
      </c>
      <c r="CM133" s="496" t="str">
        <f> IF(CM153&lt;&gt;"",TEXT(AUX!CQ$1,"dd-MMM-aa"),"")</f>
      </c>
      <c r="CN133" s="496" t="str">
        <f> IF(CN153&lt;&gt;"",TEXT(AUX!CR$1,"dd-MMM-aa"),"")</f>
      </c>
      <c r="CO133" s="496" t="str">
        <f> IF(CO153&lt;&gt;"",TEXT(AUX!CS$1,"dd-MMM-aa"),"")</f>
      </c>
      <c r="CP133" s="496" t="str">
        <f> IF(CP153&lt;&gt;"",TEXT(AUX!CT$1,"dd-MMM-aa"),"")</f>
      </c>
      <c r="CQ133" s="496" t="str">
        <f> IF(CQ153&lt;&gt;"",TEXT(AUX!CU$1,"dd-MMM-aa"),"")</f>
      </c>
      <c r="CR133" s="496" t="str">
        <f> IF(CR153&lt;&gt;"",TEXT(AUX!CV$1,"dd-MMM-aa"),"")</f>
      </c>
      <c r="CS133" s="496" t="str">
        <f> IF(CS153&lt;&gt;"",TEXT(AUX!CW$1,"dd-MMM-aa"),"")</f>
      </c>
      <c r="CT133" s="496" t="str">
        <f> IF(CT153&lt;&gt;"",TEXT(AUX!CX$1,"dd-MMM-aa"),"")</f>
      </c>
      <c r="CU133" s="496" t="str">
        <f> IF(CU153&lt;&gt;"",TEXT(AUX!CY$1,"dd-MMM-aa"),"")</f>
      </c>
      <c r="CV133" s="496" t="str">
        <f> IF(CV153&lt;&gt;"",TEXT(AUX!CZ$1,"dd-MMM-aa"),"")</f>
      </c>
      <c r="CW133" s="496" t="str">
        <f> IF(CW153&lt;&gt;"",TEXT(AUX!DA$1,"dd-MMM-aa"),"")</f>
      </c>
      <c r="CX133" s="496" t="str">
        <f> IF(CX153&lt;&gt;"",TEXT(AUX!DB$1,"dd-MMM-aa"),"")</f>
      </c>
      <c r="CY133" s="496" t="str">
        <f> IF(CY153&lt;&gt;"",TEXT(AUX!DC$1,"dd-MMM-aa"),"")</f>
      </c>
      <c r="CZ133" s="496" t="str">
        <f> IF(CZ153&lt;&gt;"",TEXT(AUX!DD$1,"dd-MMM-aa"),"")</f>
      </c>
      <c r="DA133" s="496" t="str">
        <f> IF(DA153&lt;&gt;"",TEXT(AUX!DE$1,"dd-MMM-aa"),"")</f>
      </c>
      <c r="DB133" s="496" t="str">
        <f> IF(DB153&lt;&gt;"",TEXT(AUX!DF$1,"dd-MMM-aa"),"")</f>
      </c>
      <c r="DC133" s="496" t="str">
        <f> IF(DC153&lt;&gt;"",TEXT(AUX!DG$1,"dd-MMM-aa"),"")</f>
      </c>
      <c r="DD133" s="496" t="str">
        <f> IF(DD153&lt;&gt;"",TEXT(AUX!DH$1,"dd-MMM-aa"),"")</f>
      </c>
      <c r="DE133" s="496" t="str">
        <f> IF(DE153&lt;&gt;"",TEXT(AUX!DI$1,"dd-MMM-aa"),"")</f>
      </c>
      <c r="DF133" s="496" t="str">
        <f> IF(DF153&lt;&gt;"",TEXT(AUX!DJ$1,"dd-MMM-aa"),"")</f>
      </c>
      <c r="DG133" s="496" t="str">
        <f> IF(DG153&lt;&gt;"",TEXT(AUX!DK$1,"dd-MMM-aa"),"")</f>
      </c>
      <c r="DH133" s="496" t="str">
        <f> IF(DH153&lt;&gt;"",TEXT(AUX!DL$1,"dd-MMM-aa"),"")</f>
      </c>
      <c r="DI133" s="496" t="str">
        <f> IF(DI153&lt;&gt;"",TEXT(AUX!DM$1,"dd-MMM-aa"),"")</f>
      </c>
      <c r="DJ133" s="496" t="str">
        <f> IF(DJ153&lt;&gt;"",TEXT(AUX!DN$1,"dd-MMM-aa"),"")</f>
      </c>
      <c r="DK133" s="496" t="str">
        <f> IF(DK153&lt;&gt;"",TEXT(AUX!DO$1,"dd-MMM-aa"),"")</f>
      </c>
      <c r="DL133" s="496" t="str">
        <f> IF(DL153&lt;&gt;"",TEXT(AUX!DP$1,"dd-MMM-aa"),"")</f>
      </c>
      <c r="DM133" s="496" t="str">
        <f> IF(DM153&lt;&gt;"",TEXT(AUX!DQ$1,"dd-MMM-aa"),"")</f>
      </c>
      <c r="DN133" s="496" t="str">
        <f> IF(DN153&lt;&gt;"",TEXT(AUX!DR$1,"dd-MMM-aa"),"")</f>
      </c>
      <c r="DO133" s="496" t="str">
        <f> IF(DO153&lt;&gt;"",TEXT(AUX!DS$1,"dd-MMM-aa"),"")</f>
      </c>
      <c r="DP133" s="496" t="str">
        <f> IF(DP153&lt;&gt;"",TEXT(AUX!DT$1,"dd-MMM-aa"),"")</f>
      </c>
      <c r="DQ133" s="496" t="str">
        <f> IF(DQ153&lt;&gt;"",TEXT(AUX!DU$1,"dd-MMM-aa"),"")</f>
      </c>
      <c r="DR133" s="496" t="str">
        <f> IF(DR153&lt;&gt;"",TEXT(AUX!DV$1,"dd-MMM-aa"),"")</f>
      </c>
      <c r="DS133" s="496" t="str">
        <f> IF(DS153&lt;&gt;"",TEXT(AUX!DW$1,"dd-MMM-aa"),"")</f>
      </c>
      <c r="DT133" s="496" t="str">
        <f> IF(DT153&lt;&gt;"",TEXT(AUX!DX$1,"dd-MMM-aa"),"")</f>
      </c>
      <c r="DU133" s="496" t="str">
        <f> IF(DU153&lt;&gt;"",TEXT(AUX!DY$1,"dd-MMM-aa"),"")</f>
      </c>
      <c r="DV133" s="496" t="str">
        <f> IF(DV153&lt;&gt;"",TEXT(AUX!DZ$1,"dd-MMM-aa"),"")</f>
      </c>
      <c r="DW133" s="496" t="str">
        <f> IF(DW153&lt;&gt;"",TEXT(AUX!EA$1,"dd-MMM-aa"),"")</f>
      </c>
      <c r="DX133" s="496" t="str">
        <f> IF(DX153&lt;&gt;"",TEXT(AUX!EB$1,"dd-MMM-aa"),"")</f>
      </c>
      <c r="DY133" s="496" t="str">
        <f> IF(DY153&lt;&gt;"",TEXT(AUX!EC$1,"dd-MMM-aa"),"")</f>
      </c>
      <c r="DZ133" s="496" t="str">
        <f> IF(DZ153&lt;&gt;"",TEXT(AUX!ED$1,"dd-MMM-aa"),"")</f>
      </c>
      <c r="EA133" s="496" t="str">
        <f> IF(EA153&lt;&gt;"",TEXT(AUX!EE$1,"dd-MMM-aa"),"")</f>
      </c>
      <c r="EB133" s="496" t="str">
        <f> IF(EB153&lt;&gt;"",TEXT(AUX!EF$1,"dd-MMM-aa"),"")</f>
      </c>
      <c r="EC133" s="496" t="str">
        <f> IF(EC153&lt;&gt;"",TEXT(AUX!EG$1,"dd-MMM-aa"),"")</f>
      </c>
      <c r="ED133" s="496" t="str">
        <f> IF(ED153&lt;&gt;"",TEXT(AUX!EH$1,"dd-MMM-aa"),"")</f>
      </c>
      <c r="EE133" s="496" t="str">
        <f> IF(EE153&lt;&gt;"",TEXT(AUX!EI$1,"dd-MMM-aa"),"")</f>
      </c>
      <c r="EF133" s="496" t="str">
        <f> IF(EF153&lt;&gt;"",TEXT(AUX!EJ$1,"dd-MMM-aa"),"")</f>
      </c>
      <c r="EG133" s="496" t="str">
        <f> IF(EG153&lt;&gt;"",TEXT(AUX!EK$1,"dd-MMM-aa"),"")</f>
      </c>
      <c r="EH133" s="496" t="str">
        <f> IF(EH153&lt;&gt;"",TEXT(AUX!EL$1,"dd-MMM-aa"),"")</f>
      </c>
      <c r="EI133" s="496" t="str">
        <f> IF(EI153&lt;&gt;"",TEXT(AUX!EM$1,"dd-MMM-aa"),"")</f>
      </c>
      <c r="EJ133" s="496" t="str">
        <f> IF(EJ153&lt;&gt;"",TEXT(AUX!EN$1,"dd-MMM-aa"),"")</f>
      </c>
      <c r="EK133" s="496" t="str">
        <f> IF(EK153&lt;&gt;"",TEXT(AUX!EO$1,"dd-MMM-aa"),"")</f>
      </c>
      <c r="EL133" s="496" t="str">
        <f> IF(EL153&lt;&gt;"",TEXT(AUX!EP$1,"dd-MMM-aa"),"")</f>
      </c>
      <c r="EM133" s="496" t="str">
        <f> IF(EM153&lt;&gt;"",TEXT(AUX!EQ$1,"dd-MMM-aa"),"")</f>
      </c>
      <c r="EN133" s="496" t="str">
        <f> IF(EN153&lt;&gt;"",TEXT(AUX!ER$1,"dd-MMM-aa"),"")</f>
      </c>
      <c r="EO133" s="496" t="str">
        <f> IF(EO153&lt;&gt;"",TEXT(AUX!ES$1,"dd-MMM-aa"),"")</f>
      </c>
      <c r="EP133" s="496" t="str">
        <f> IF(EP153&lt;&gt;"",TEXT(AUX!ET$1,"dd-MMM-aa"),"")</f>
      </c>
      <c r="EQ133" s="496" t="str">
        <f> IF(EQ153&lt;&gt;"",TEXT(AUX!EU$1,"dd-MMM-aa"),"")</f>
      </c>
      <c r="ER133" s="496" t="str">
        <f> IF(ER153&lt;&gt;"",TEXT(AUX!EV$1,"dd-MMM-aa"),"")</f>
      </c>
      <c r="ES133" s="496" t="str">
        <f> IF(ES153&lt;&gt;"",TEXT(AUX!EW$1,"dd-MMM-aa"),"")</f>
      </c>
      <c r="ET133" s="496" t="str">
        <f> IF(ET153&lt;&gt;"",TEXT(AUX!EX$1,"dd-MMM-aa"),"")</f>
      </c>
      <c r="EU133" s="496" t="str">
        <f> IF(EU153&lt;&gt;"",TEXT(AUX!EY$1,"dd-MMM-aa"),"")</f>
      </c>
      <c r="EV133" s="496" t="str">
        <f> IF(EV153&lt;&gt;"",TEXT(AUX!EZ$1,"dd-MMM-aa"),"")</f>
      </c>
      <c r="EW133" s="496" t="str">
        <f> IF(EW153&lt;&gt;"",TEXT(AUX!FA$1,"dd-MMM-aa"),"")</f>
      </c>
      <c r="EX133" s="496" t="str">
        <f> IF(EX153&lt;&gt;"",TEXT(AUX!FB$1,"dd-MMM-aa"),"")</f>
      </c>
      <c r="EY133" s="496" t="str">
        <f> IF(EY153&lt;&gt;"",TEXT(AUX!FC$1,"dd-MMM-aa"),"")</f>
      </c>
      <c r="EZ133" s="496" t="str">
        <f> IF(EZ153&lt;&gt;"",TEXT(AUX!FD$1,"dd-MMM-aa"),"")</f>
      </c>
      <c r="FA133" s="496" t="str">
        <f> IF(FA153&lt;&gt;"",TEXT(AUX!FE$1,"dd-MMM-aa"),"")</f>
      </c>
      <c r="FB133" s="496" t="str">
        <f> IF(FB153&lt;&gt;"",TEXT(AUX!FF$1,"dd-MMM-aa"),"")</f>
      </c>
      <c r="FC133" s="496" t="str">
        <f> IF(FC153&lt;&gt;"",TEXT(AUX!FG$1,"dd-MMM-aa"),"")</f>
      </c>
      <c r="FD133" s="496" t="str">
        <f> IF(FD153&lt;&gt;"",TEXT(AUX!FH$1,"dd-MMM-aa"),"")</f>
      </c>
      <c r="FE133" s="496" t="str">
        <f> IF(FE153&lt;&gt;"",TEXT(AUX!FI$1,"dd-MMM-aa"),"")</f>
      </c>
      <c r="FF133" s="496" t="str">
        <f> IF(FF153&lt;&gt;"",TEXT(AUX!FJ$1,"dd-MMM-aa"),"")</f>
      </c>
      <c r="FG133" s="496" t="str">
        <f> IF(FG153&lt;&gt;"",TEXT(AUX!FK$1,"dd-MMM-aa"),"")</f>
      </c>
      <c r="FH133" s="496" t="str">
        <f> IF(FH153&lt;&gt;"",TEXT(AUX!FL$1,"dd-MMM-aa"),"")</f>
      </c>
      <c r="FI133" s="496" t="str">
        <f> IF(FI153&lt;&gt;"",TEXT(AUX!FM$1,"dd-MMM-aa"),"")</f>
      </c>
      <c r="FJ133" s="496" t="str">
        <f> IF(FJ153&lt;&gt;"",TEXT(AUX!FN$1,"dd-MMM-aa"),"")</f>
      </c>
      <c r="FK133" s="496" t="str">
        <f> IF(FK153&lt;&gt;"",TEXT(AUX!FO$1,"dd-MMM-aa"),"")</f>
      </c>
      <c r="FL133" s="496" t="str">
        <f> IF(FL153&lt;&gt;"",TEXT(AUX!FP$1,"dd-MMM-aa"),"")</f>
      </c>
      <c r="FM133" s="496" t="str">
        <f> IF(FM153&lt;&gt;"",TEXT(AUX!FQ$1,"dd-MMM-aa"),"")</f>
      </c>
      <c r="FN133" s="496" t="str">
        <f> IF(FN153&lt;&gt;"",TEXT(AUX!FR$1,"dd-MMM-aa"),"")</f>
      </c>
      <c r="FO133" s="496" t="str">
        <f> IF(FO153&lt;&gt;"",TEXT(AUX!FS$1,"dd-MMM-aa"),"")</f>
      </c>
      <c r="FP133" s="496" t="str">
        <f> IF(FP153&lt;&gt;"",TEXT(AUX!FT$1,"dd-MMM-aa"),"")</f>
      </c>
      <c r="FQ133" s="496" t="str">
        <f> IF(FQ153&lt;&gt;"",TEXT(AUX!FU$1,"dd-MMM-aa"),"")</f>
      </c>
      <c r="FR133" s="496" t="str">
        <f> IF(FR153&lt;&gt;"",TEXT(AUX!FV$1,"dd-MMM-aa"),"")</f>
      </c>
      <c r="FS133" s="496" t="str">
        <f> IF(FS153&lt;&gt;"",TEXT(AUX!FW$1,"dd-MMM-aa"),"")</f>
      </c>
      <c r="FT133" s="496" t="str">
        <f> IF(FT153&lt;&gt;"",TEXT(AUX!FX$1,"dd-MMM-aa"),"")</f>
      </c>
      <c r="FU133" s="496" t="str">
        <f> IF(FU153&lt;&gt;"",TEXT(AUX!FY$1,"dd-MMM-aa"),"")</f>
      </c>
      <c r="FV133" s="496" t="str">
        <f> IF(FV153&lt;&gt;"",TEXT(AUX!FZ$1,"dd-MMM-aa"),"")</f>
      </c>
      <c r="FW133" s="496" t="str">
        <f> IF(FW153&lt;&gt;"",TEXT(AUX!GA$1,"dd-MMM-aa"),"")</f>
      </c>
      <c r="FX133" s="496" t="str">
        <f> IF(FX153&lt;&gt;"",TEXT(AUX!GB$1,"dd-MMM-aa"),"")</f>
      </c>
      <c r="FY133" s="496" t="str">
        <f> IF(FY153&lt;&gt;"",TEXT(AUX!GC$1,"dd-MMM-aa"),"")</f>
      </c>
      <c r="FZ133" s="496" t="str">
        <f> IF(FZ153&lt;&gt;"",TEXT(AUX!GD$1,"dd-MMM-aa"),"")</f>
      </c>
      <c r="GA133" s="496" t="str">
        <f> IF(GA153&lt;&gt;"",TEXT(AUX!GE$1,"dd-MMM-aa"),"")</f>
      </c>
      <c r="GB133" s="496" t="str">
        <f> IF(GB153&lt;&gt;"",TEXT(AUX!GF$1,"dd-MMM-aa"),"")</f>
      </c>
      <c r="GC133" s="496" t="str">
        <f> IF(GC153&lt;&gt;"",TEXT(AUX!GG$1,"dd-MMM-aa"),"")</f>
      </c>
      <c r="GD133" s="496" t="str">
        <f> IF(GD153&lt;&gt;"",TEXT(AUX!GH$1,"dd-MMM-aa"),"")</f>
      </c>
      <c r="GE133" s="496" t="str">
        <f> IF(GE153&lt;&gt;"",TEXT(AUX!GI$1,"dd-MMM-aa"),"")</f>
      </c>
      <c r="GF133" s="496" t="str">
        <f> IF(GF153&lt;&gt;"",TEXT(AUX!GJ$1,"dd-MMM-aa"),"")</f>
      </c>
      <c r="GG133" s="496" t="str">
        <f> IF(GG153&lt;&gt;"",TEXT(AUX!GK$1,"dd-MMM-aa"),"")</f>
      </c>
      <c r="GH133" s="496" t="str">
        <f> IF(GH153&lt;&gt;"",TEXT(AUX!GL$1,"dd-MMM-aa"),"")</f>
      </c>
      <c r="GI133" s="496" t="str">
        <f> IF(GI153&lt;&gt;"",TEXT(AUX!GM$1,"dd-MMM-aa"),"")</f>
      </c>
      <c r="GJ133" s="496" t="str">
        <f> IF(GJ153&lt;&gt;"",TEXT(AUX!GN$1,"dd-MMM-aa"),"")</f>
      </c>
      <c r="GK133" s="496" t="str">
        <f> IF(GK153&lt;&gt;"",TEXT(AUX!GO$1,"dd-MMM-aa"),"")</f>
      </c>
      <c r="GL133" s="496" t="str">
        <f> IF(GL153&lt;&gt;"",TEXT(AUX!GP$1,"dd-MMM-aa"),"")</f>
      </c>
      <c r="GM133" s="496" t="str">
        <f> IF(GM153&lt;&gt;"",TEXT(AUX!GQ$1,"dd-MMM-aa"),"")</f>
      </c>
      <c r="GN133" s="496" t="str">
        <f> IF(GN153&lt;&gt;"",TEXT(AUX!GR$1,"dd-MMM-aa"),"")</f>
      </c>
      <c r="GO133" s="496" t="str">
        <f> IF(GO153&lt;&gt;"",TEXT(AUX!GS$1,"dd-MMM-aa"),"")</f>
      </c>
      <c r="GP133" s="496" t="str">
        <f> IF(GP153&lt;&gt;"",TEXT(AUX!GT$1,"dd-MMM-aa"),"")</f>
      </c>
      <c r="GQ133" s="496" t="str">
        <f> IF(GQ153&lt;&gt;"",TEXT(AUX!GU$1,"dd-MMM-aa"),"")</f>
      </c>
      <c r="GR133" s="496" t="str">
        <f> IF(GR153&lt;&gt;"",TEXT(AUX!GV$1,"dd-MMM-aa"),"")</f>
      </c>
      <c r="GS133" s="496" t="str">
        <f> IF(GS153&lt;&gt;"",TEXT(AUX!GW$1,"dd-MMM-aa"),"")</f>
      </c>
      <c r="GT133" s="496" t="str">
        <f> IF(GT153&lt;&gt;"",TEXT(AUX!GX$1,"dd-MMM-aa"),"")</f>
      </c>
      <c r="GU133" s="496" t="str">
        <f> IF(GU153&lt;&gt;"",TEXT(AUX!GY$1,"dd-MMM-aa"),"")</f>
      </c>
      <c r="GV133" s="496" t="str">
        <f> IF(GV153&lt;&gt;"",TEXT(AUX!GZ$1,"dd-MMM-aa"),"")</f>
      </c>
      <c r="GW133" s="496" t="str">
        <f> IF(GW153&lt;&gt;"",TEXT(AUX!HA$1,"dd-MMM-aa"),"")</f>
      </c>
      <c r="GX133" s="496" t="str">
        <f> IF(GX153&lt;&gt;"",TEXT(AUX!HB$1,"dd-MMM-aa"),"")</f>
      </c>
      <c r="GY133" s="496" t="str">
        <f> IF(GY153&lt;&gt;"",TEXT(AUX!HC$1,"dd-MMM-aa"),"")</f>
      </c>
      <c r="GZ133" s="496" t="str">
        <f> IF(GZ153&lt;&gt;"",TEXT(AUX!HD$1,"dd-MMM-aa"),"")</f>
      </c>
      <c r="HA133" s="496" t="str">
        <f> IF(HA153&lt;&gt;"",TEXT(AUX!HE$1,"dd-MMM-aa"),"")</f>
      </c>
      <c r="HB133" s="496" t="str">
        <f> IF(HB153&lt;&gt;"",TEXT(AUX!HF$1,"dd-MMM-aa"),"")</f>
      </c>
      <c r="HC133" s="496" t="str">
        <f> IF(HC153&lt;&gt;"",TEXT(AUX!HG$1,"dd-MMM-aa"),"")</f>
      </c>
      <c r="HD133" s="496" t="str">
        <f> IF(HD153&lt;&gt;"",TEXT(AUX!HH$1,"dd-MMM-aa"),"")</f>
      </c>
      <c r="HE133" s="496" t="str">
        <f> IF(HE153&lt;&gt;"",TEXT(AUX!HI$1,"dd-MMM-aa"),"")</f>
      </c>
      <c r="HF133" s="496" t="str">
        <f> IF(HF153&lt;&gt;"",TEXT(AUX!HJ$1,"dd-MMM-aa"),"")</f>
      </c>
      <c r="HG133" s="496" t="str">
        <f> IF(HG153&lt;&gt;"",TEXT(AUX!HK$1,"dd-MMM-aa"),"")</f>
      </c>
      <c r="HH133" s="496" t="str">
        <f> IF(HH153&lt;&gt;"",TEXT(AUX!HL$1,"dd-MMM-aa"),"")</f>
      </c>
      <c r="HI133" s="496" t="str">
        <f> IF(HI153&lt;&gt;"",TEXT(AUX!HM$1,"dd-MMM-aa"),"")</f>
      </c>
      <c r="HJ133" s="496" t="str">
        <f> IF(HJ153&lt;&gt;"",TEXT(AUX!HN$1,"dd-MMM-aa"),"")</f>
      </c>
      <c r="HK133" s="496" t="str">
        <f> IF(HK153&lt;&gt;"",TEXT(AUX!HO$1,"dd-MMM-aa"),"")</f>
      </c>
      <c r="HL133" s="496" t="str">
        <f> IF(HL153&lt;&gt;"",TEXT(AUX!HP$1,"dd-MMM-aa"),"")</f>
      </c>
      <c r="HM133" s="496" t="str">
        <f> IF(HM153&lt;&gt;"",TEXT(AUX!HQ$1,"dd-MMM-aa"),"")</f>
      </c>
      <c r="HN133" s="496" t="str">
        <f> IF(HN153&lt;&gt;"",TEXT(AUX!HR$1,"dd-MMM-aa"),"")</f>
      </c>
      <c r="HO133" s="496" t="str">
        <f> IF(HO153&lt;&gt;"",TEXT(AUX!HS$1,"dd-MMM-aa"),"")</f>
      </c>
      <c r="HP133" s="496" t="str">
        <f> IF(HP153&lt;&gt;"",TEXT(AUX!HT$1,"dd-MMM-aa"),"")</f>
      </c>
      <c r="HQ133" s="496" t="str">
        <f> IF(HQ153&lt;&gt;"",TEXT(AUX!HU$1,"dd-MMM-aa"),"")</f>
      </c>
      <c r="HR133" s="496" t="str">
        <f> IF(HR153&lt;&gt;"",TEXT(AUX!HV$1,"dd-MMM-aa"),"")</f>
      </c>
      <c r="HS133" s="496" t="str">
        <f> IF(HS153&lt;&gt;"",TEXT(AUX!HW$1,"dd-MMM-aa"),"")</f>
      </c>
      <c r="HT133" s="496" t="str">
        <f> IF(HT153&lt;&gt;"",TEXT(AUX!HX$1,"dd-MMM-aa"),"")</f>
      </c>
      <c r="HU133" s="496" t="str">
        <f> IF(HU153&lt;&gt;"",TEXT(AUX!HY$1,"dd-MMM-aa"),"")</f>
      </c>
      <c r="HV133" s="496" t="str">
        <f> IF(HV153&lt;&gt;"",TEXT(AUX!HZ$1,"dd-MMM-aa"),"")</f>
      </c>
      <c r="HW133" s="496" t="str">
        <f> IF(HW153&lt;&gt;"",TEXT(AUX!IA$1,"dd-MMM-aa"),"")</f>
      </c>
      <c r="HX133" s="496" t="str">
        <f> IF(HX153&lt;&gt;"",TEXT(AUX!IB$1,"dd-MMM-aa"),"")</f>
      </c>
      <c r="HY133" s="496" t="str">
        <f> IF(HY153&lt;&gt;"",TEXT(AUX!IC$1,"dd-MMM-aa"),"")</f>
      </c>
      <c r="HZ133" s="496" t="str">
        <f> IF(HZ153&lt;&gt;"",TEXT(AUX!ID$1,"dd-MMM-aa"),"")</f>
      </c>
      <c r="IA133" s="496" t="str">
        <f> IF(IA153&lt;&gt;"",TEXT(AUX!IE$1,"dd-MMM-aa"),"")</f>
      </c>
      <c r="IB133" s="496" t="str">
        <f> IF(IB153&lt;&gt;"",TEXT(AUX!IF$1,"dd-MMM-aa"),"")</f>
      </c>
      <c r="IC133" s="496" t="str">
        <f> IF(IC153&lt;&gt;"",TEXT(AUX!IG$1,"dd-MMM-aa"),"")</f>
      </c>
      <c r="ID133" s="496" t="str">
        <f> IF(ID153&lt;&gt;"",TEXT(AUX!IH$1,"dd-MMM-aa"),"")</f>
      </c>
      <c r="IE133" s="496" t="str">
        <f> IF(IE153&lt;&gt;"",TEXT(AUX!II$1,"dd-MMM-aa"),"")</f>
      </c>
      <c r="IF133" s="496" t="str">
        <f> IF(IF153&lt;&gt;"",TEXT(AUX!IJ$1,"dd-MMM-aa"),"")</f>
      </c>
      <c r="IG133" s="496" t="str">
        <f> IF(IG153&lt;&gt;"",TEXT(AUX!IK$1,"dd-MMM-aa"),"")</f>
      </c>
      <c r="IH133" s="496" t="str">
        <f> IF(IH153&lt;&gt;"",TEXT(AUX!IL$1,"dd-MMM-aa"),"")</f>
      </c>
      <c r="II133" s="496" t="str">
        <f> IF(II153&lt;&gt;"",TEXT(AUX!IM$1,"dd-MMM-aa"),"")</f>
      </c>
      <c r="IJ133" s="496" t="str">
        <f> IF(IJ153&lt;&gt;"",TEXT(AUX!IN$1,"dd-MMM-aa"),"")</f>
      </c>
      <c r="IK133" s="496" t="str">
        <f> IF(IK153&lt;&gt;"",TEXT(AUX!IO$1,"dd-MMM-aa"),"")</f>
      </c>
      <c r="IL133" s="496" t="str">
        <f> IF(IL153&lt;&gt;"",TEXT(AUX!IP$1,"dd-MMM-aa"),"")</f>
      </c>
      <c r="IM133" s="496" t="str">
        <f> IF(IM153&lt;&gt;"",TEXT(AUX!IQ$1,"dd-MMM-aa"),"")</f>
      </c>
      <c r="IN133" s="496" t="str">
        <f> IF(IN153&lt;&gt;"",TEXT(AUX!IR$1,"dd-MMM-aa"),"")</f>
      </c>
      <c r="IO133" s="496" t="str">
        <f> IF(IO153&lt;&gt;"",TEXT(AUX!IS$1,"dd-MMM-aa"),"")</f>
      </c>
      <c r="IP133" s="496" t="str">
        <f> IF(IP153&lt;&gt;"",TEXT(AUX!IT$1,"dd-MMM-aa"),"")</f>
      </c>
      <c r="IQ133" s="496" t="str">
        <f> IF(IQ153&lt;&gt;"",TEXT(AUX!IU$1,"dd-MMM-aa"),"")</f>
      </c>
      <c r="IR133" s="496" t="str">
        <f> IF(IR153&lt;&gt;"",TEXT(AUX!IV$1,"dd-MMM-aa"),"")</f>
      </c>
      <c r="IS133" s="496" t="str">
        <f> IF(IS153&lt;&gt;"",TEXT(AUX!#REF!,"dd-MMM-aa"),"")</f>
      </c>
      <c r="IT133" s="496" t="str">
        <f> IF(IT153&lt;&gt;"",TEXT(AUX!#REF!,"dd-MMM-aa"),"")</f>
      </c>
      <c r="IU133" s="496" t="str">
        <f> IF(IU153&lt;&gt;"",TEXT(AUX!#REF!,"dd-MMM-aa"),"")</f>
      </c>
      <c r="IV133" s="496" t="str">
        <f> IF(IV153&lt;&gt;"",TEXT(AUX!#REF!,"dd-MMM-aa"),"")</f>
      </c>
    </row>
    <row r="134" hidden="1" ht="12.75" customHeight="1">
      <c r="B134" s="822" t="s">
        <v>8</v>
      </c>
      <c r="C134" s="823">
        <v>86462</v>
      </c>
      <c r="D134" s="823">
        <v>102038</v>
      </c>
      <c r="E134" s="823">
        <v>88785</v>
      </c>
      <c r="F134" s="823">
        <v>101197</v>
      </c>
      <c r="G134" s="823">
        <v>82673</v>
      </c>
      <c r="H134" s="823">
        <v>94405</v>
      </c>
      <c r="I134" s="823">
        <v>78751</v>
      </c>
      <c r="J134" s="823">
        <v>99691</v>
      </c>
      <c r="K134" s="823">
        <v>83603</v>
      </c>
      <c r="L134" s="823">
        <v>97035</v>
      </c>
      <c r="M134" s="823">
        <v>72909</v>
      </c>
      <c r="N134" s="823">
        <v>82786</v>
      </c>
      <c r="O134" s="823">
        <v>73087</v>
      </c>
      <c r="P134" s="823">
        <v>95232</v>
      </c>
      <c r="Q134" s="823">
        <v>105315</v>
      </c>
      <c r="R134" s="823">
        <v>129188</v>
      </c>
      <c r="S134" s="823">
        <v>119304</v>
      </c>
      <c r="T134" s="823">
        <v>154084</v>
      </c>
      <c r="U134" s="823">
        <v>136490</v>
      </c>
      <c r="V134" s="823">
        <v>173840</v>
      </c>
      <c r="W134" s="823">
        <v>132429</v>
      </c>
      <c r="X134" s="823">
        <v>157156</v>
      </c>
      <c r="Y134" s="823">
        <v>133702</v>
      </c>
      <c r="Z134" s="823">
        <v>136918</v>
      </c>
      <c r="AA134" s="823">
        <v>122008</v>
      </c>
      <c r="AB134" s="824">
        <v>131942</v>
      </c>
      <c r="AC134" s="825">
        <v>117990</v>
      </c>
      <c r="AD134" s="825">
        <v>133786</v>
      </c>
      <c r="AE134" s="825">
        <v>129785</v>
      </c>
      <c r="AF134" s="825">
        <v>145645</v>
      </c>
      <c r="AG134" s="825">
        <v>131227</v>
      </c>
      <c r="AH134" s="825">
        <v>158629</v>
      </c>
      <c r="AI134" s="825">
        <v>117883</v>
      </c>
      <c r="AJ134" s="825">
        <v>140493</v>
      </c>
      <c r="AK134" s="825">
        <v>100547</v>
      </c>
      <c r="AL134" s="825">
        <v>116217</v>
      </c>
      <c r="AM134" s="825">
        <v>91478</v>
      </c>
      <c r="AN134" s="825">
        <v>119014</v>
      </c>
      <c r="AO134" s="825">
        <v>161319</v>
      </c>
      <c r="AP134" s="825">
        <v>180174</v>
      </c>
    </row>
    <row r="135" hidden="1" ht="12.75" customHeight="1">
      <c r="B135" s="826" t="s">
        <v>9</v>
      </c>
      <c r="C135" s="827">
        <v>0</v>
      </c>
      <c r="D135" s="827">
        <v>0</v>
      </c>
      <c r="E135" s="827">
        <v>0</v>
      </c>
      <c r="F135" s="827">
        <v>0</v>
      </c>
      <c r="G135" s="827">
        <v>249</v>
      </c>
      <c r="H135" s="827">
        <v>249</v>
      </c>
      <c r="I135" s="827">
        <v>672</v>
      </c>
      <c r="J135" s="827">
        <v>1066</v>
      </c>
      <c r="K135" s="827">
        <v>2154</v>
      </c>
      <c r="L135" s="827">
        <v>2126</v>
      </c>
      <c r="M135" s="827">
        <v>2878</v>
      </c>
      <c r="N135" s="827">
        <v>3658</v>
      </c>
      <c r="O135" s="827">
        <v>3658</v>
      </c>
      <c r="P135" s="827">
        <v>4290</v>
      </c>
      <c r="Q135" s="827">
        <v>4314</v>
      </c>
      <c r="R135" s="827">
        <v>4578</v>
      </c>
      <c r="S135" s="827">
        <v>3591</v>
      </c>
      <c r="T135" s="827">
        <v>4506</v>
      </c>
      <c r="U135" s="827">
        <v>3985</v>
      </c>
      <c r="V135" s="827">
        <v>4534</v>
      </c>
      <c r="W135" s="827">
        <v>3685</v>
      </c>
      <c r="X135" s="827">
        <v>4427</v>
      </c>
      <c r="Y135" s="827">
        <v>3828</v>
      </c>
      <c r="Z135" s="827">
        <v>4535</v>
      </c>
      <c r="AA135" s="827">
        <v>3563</v>
      </c>
      <c r="AB135" s="827">
        <v>4362</v>
      </c>
      <c r="AC135" s="828">
        <v>3657</v>
      </c>
      <c r="AD135" s="828">
        <v>4341</v>
      </c>
      <c r="AE135" s="828">
        <v>3217</v>
      </c>
      <c r="AF135" s="828">
        <v>4212</v>
      </c>
      <c r="AG135" s="828">
        <v>3009</v>
      </c>
      <c r="AH135" s="828">
        <v>4053</v>
      </c>
      <c r="AI135" s="828">
        <v>2609</v>
      </c>
      <c r="AJ135" s="828">
        <v>3155</v>
      </c>
      <c r="AK135" s="828">
        <v>2577</v>
      </c>
      <c r="AL135" s="828">
        <v>2618</v>
      </c>
      <c r="AM135" s="828">
        <v>2518</v>
      </c>
      <c r="AN135" s="828">
        <v>2458</v>
      </c>
      <c r="AO135" s="828">
        <v>2724</v>
      </c>
      <c r="AP135" s="828">
        <v>3141</v>
      </c>
    </row>
    <row r="136" hidden="1" ht="12.75" customHeight="1">
      <c r="B136" s="829" t="s">
        <v>10</v>
      </c>
      <c r="C136" s="823">
        <v>2246</v>
      </c>
      <c r="D136" s="823">
        <v>2526</v>
      </c>
      <c r="E136" s="823">
        <v>2774</v>
      </c>
      <c r="F136" s="823">
        <v>2812</v>
      </c>
      <c r="G136" s="823">
        <v>2571</v>
      </c>
      <c r="H136" s="823">
        <v>2574</v>
      </c>
      <c r="I136" s="823">
        <v>3055</v>
      </c>
      <c r="J136" s="823">
        <v>3018</v>
      </c>
      <c r="K136" s="823">
        <v>2749</v>
      </c>
      <c r="L136" s="823">
        <v>2636</v>
      </c>
      <c r="M136" s="823">
        <v>2783</v>
      </c>
      <c r="N136" s="823">
        <v>2808</v>
      </c>
      <c r="O136" s="823">
        <v>2776</v>
      </c>
      <c r="P136" s="823">
        <v>2818</v>
      </c>
      <c r="Q136" s="823">
        <v>3220</v>
      </c>
      <c r="R136" s="823">
        <v>3268</v>
      </c>
      <c r="S136" s="823">
        <v>3914</v>
      </c>
      <c r="T136" s="823">
        <v>3906</v>
      </c>
      <c r="U136" s="823">
        <v>4060</v>
      </c>
      <c r="V136" s="823">
        <v>4046</v>
      </c>
      <c r="W136" s="823">
        <v>3718</v>
      </c>
      <c r="X136" s="823">
        <v>3683</v>
      </c>
      <c r="Y136" s="823">
        <v>4157</v>
      </c>
      <c r="Z136" s="823">
        <v>4107</v>
      </c>
      <c r="AA136" s="823">
        <v>4438</v>
      </c>
      <c r="AB136" s="823">
        <v>4599</v>
      </c>
      <c r="AC136" s="825">
        <v>3996</v>
      </c>
      <c r="AD136" s="825">
        <v>3964</v>
      </c>
      <c r="AE136" s="825">
        <v>4028</v>
      </c>
      <c r="AF136" s="825">
        <v>3817</v>
      </c>
      <c r="AG136" s="825">
        <v>4103</v>
      </c>
      <c r="AH136" s="825">
        <v>4043</v>
      </c>
      <c r="AI136" s="825">
        <v>3993</v>
      </c>
      <c r="AJ136" s="825">
        <v>3821</v>
      </c>
      <c r="AK136" s="825">
        <v>3752</v>
      </c>
      <c r="AL136" s="825">
        <v>3725</v>
      </c>
      <c r="AM136" s="825">
        <v>3883</v>
      </c>
      <c r="AN136" s="825">
        <v>3831</v>
      </c>
      <c r="AO136" s="825">
        <v>6930</v>
      </c>
      <c r="AP136" s="825">
        <v>6677</v>
      </c>
    </row>
    <row r="137" hidden="1" ht="12.75" customHeight="1">
      <c r="B137" s="826" t="s">
        <v>11</v>
      </c>
      <c r="C137" s="827">
        <v>1063</v>
      </c>
      <c r="D137" s="827">
        <v>1103</v>
      </c>
      <c r="E137" s="827">
        <v>1089</v>
      </c>
      <c r="F137" s="827">
        <v>1095</v>
      </c>
      <c r="G137" s="827">
        <v>964</v>
      </c>
      <c r="H137" s="827">
        <v>1014</v>
      </c>
      <c r="I137" s="827">
        <v>596</v>
      </c>
      <c r="J137" s="827">
        <v>1818</v>
      </c>
      <c r="K137" s="827">
        <v>1030</v>
      </c>
      <c r="L137" s="827">
        <v>1106</v>
      </c>
      <c r="M137" s="827">
        <v>904</v>
      </c>
      <c r="N137" s="827">
        <v>873</v>
      </c>
      <c r="O137" s="827">
        <v>744</v>
      </c>
      <c r="P137" s="827">
        <v>792</v>
      </c>
      <c r="Q137" s="827">
        <v>788</v>
      </c>
      <c r="R137" s="827">
        <v>724</v>
      </c>
      <c r="S137" s="827">
        <v>725</v>
      </c>
      <c r="T137" s="827">
        <v>870</v>
      </c>
      <c r="U137" s="827">
        <v>654</v>
      </c>
      <c r="V137" s="827">
        <v>633</v>
      </c>
      <c r="W137" s="827">
        <v>592</v>
      </c>
      <c r="X137" s="827">
        <v>567</v>
      </c>
      <c r="Y137" s="827">
        <v>756</v>
      </c>
      <c r="Z137" s="827">
        <v>676</v>
      </c>
      <c r="AA137" s="827">
        <v>883</v>
      </c>
      <c r="AB137" s="827">
        <v>737</v>
      </c>
      <c r="AC137" s="828">
        <v>964</v>
      </c>
      <c r="AD137" s="828">
        <v>909</v>
      </c>
      <c r="AE137" s="828">
        <v>1104</v>
      </c>
      <c r="AF137" s="828">
        <v>1007</v>
      </c>
      <c r="AG137" s="828">
        <v>711</v>
      </c>
      <c r="AH137" s="828">
        <v>698</v>
      </c>
      <c r="AI137" s="828">
        <v>618</v>
      </c>
      <c r="AJ137" s="828">
        <v>489</v>
      </c>
      <c r="AK137" s="828">
        <v>582</v>
      </c>
      <c r="AL137" s="828">
        <v>573</v>
      </c>
      <c r="AM137" s="828">
        <v>680</v>
      </c>
      <c r="AN137" s="828">
        <v>696</v>
      </c>
      <c r="AO137" s="828">
        <v>1375</v>
      </c>
      <c r="AP137" s="828">
        <v>1430</v>
      </c>
    </row>
    <row r="138" hidden="1" ht="12.75" customHeight="1">
      <c r="B138" s="829" t="s">
        <v>12</v>
      </c>
      <c r="C138" s="823">
        <v>25773</v>
      </c>
      <c r="D138" s="823">
        <v>31574</v>
      </c>
      <c r="E138" s="823">
        <v>27365</v>
      </c>
      <c r="F138" s="823">
        <v>32181</v>
      </c>
      <c r="G138" s="823">
        <v>27689</v>
      </c>
      <c r="H138" s="823">
        <v>31619</v>
      </c>
      <c r="I138" s="823">
        <v>28671</v>
      </c>
      <c r="J138" s="823">
        <v>27290</v>
      </c>
      <c r="K138" s="823">
        <v>23782</v>
      </c>
      <c r="L138" s="823">
        <v>29300</v>
      </c>
      <c r="M138" s="823">
        <v>21971</v>
      </c>
      <c r="N138" s="823">
        <v>23597</v>
      </c>
      <c r="O138" s="823">
        <v>23473</v>
      </c>
      <c r="P138" s="823">
        <v>24397</v>
      </c>
      <c r="Q138" s="823">
        <v>17210</v>
      </c>
      <c r="R138" s="823">
        <v>18075</v>
      </c>
      <c r="S138" s="823">
        <v>18109</v>
      </c>
      <c r="T138" s="823">
        <v>18783</v>
      </c>
      <c r="U138" s="823">
        <v>16473</v>
      </c>
      <c r="V138" s="823">
        <v>21263</v>
      </c>
      <c r="W138" s="823">
        <v>19562</v>
      </c>
      <c r="X138" s="823">
        <v>21628</v>
      </c>
      <c r="Y138" s="823">
        <v>16926</v>
      </c>
      <c r="Z138" s="823">
        <v>18286</v>
      </c>
      <c r="AA138" s="823">
        <v>19260</v>
      </c>
      <c r="AB138" s="823">
        <v>19585</v>
      </c>
      <c r="AC138" s="825">
        <v>24167</v>
      </c>
      <c r="AD138" s="825">
        <v>23851</v>
      </c>
      <c r="AE138" s="825">
        <v>21956</v>
      </c>
      <c r="AF138" s="825">
        <v>22923</v>
      </c>
      <c r="AG138" s="825">
        <v>20885</v>
      </c>
      <c r="AH138" s="825">
        <v>21340</v>
      </c>
      <c r="AI138" s="825">
        <v>23681</v>
      </c>
      <c r="AJ138" s="825">
        <v>23956</v>
      </c>
      <c r="AK138" s="825">
        <v>24304</v>
      </c>
      <c r="AL138" s="825">
        <v>23030</v>
      </c>
      <c r="AM138" s="825">
        <v>22806</v>
      </c>
      <c r="AN138" s="825">
        <v>22933</v>
      </c>
      <c r="AO138" s="825">
        <v>36531</v>
      </c>
      <c r="AP138" s="825">
        <v>39274</v>
      </c>
    </row>
    <row r="139" hidden="1" ht="12.75" customHeight="1">
      <c r="B139" s="826" t="s">
        <v>13</v>
      </c>
      <c r="C139" s="827">
        <v>1322</v>
      </c>
      <c r="D139" s="827">
        <v>1733</v>
      </c>
      <c r="E139" s="827">
        <v>2318</v>
      </c>
      <c r="F139" s="827">
        <v>2720</v>
      </c>
      <c r="G139" s="827">
        <v>2264</v>
      </c>
      <c r="H139" s="827">
        <v>2242</v>
      </c>
      <c r="I139" s="827">
        <v>2460</v>
      </c>
      <c r="J139" s="827">
        <v>2647</v>
      </c>
      <c r="K139" s="827">
        <v>2367</v>
      </c>
      <c r="L139" s="827">
        <v>2411</v>
      </c>
      <c r="M139" s="827">
        <v>3150</v>
      </c>
      <c r="N139" s="827">
        <v>4162</v>
      </c>
      <c r="O139" s="827">
        <v>3840</v>
      </c>
      <c r="P139" s="827">
        <v>4295</v>
      </c>
      <c r="Q139" s="827">
        <v>4815</v>
      </c>
      <c r="R139" s="827">
        <v>3116</v>
      </c>
      <c r="S139" s="827">
        <v>1638</v>
      </c>
      <c r="T139" s="827">
        <v>1902</v>
      </c>
      <c r="U139" s="827">
        <v>3167</v>
      </c>
      <c r="V139" s="827">
        <v>3487</v>
      </c>
      <c r="W139" s="827">
        <v>1779</v>
      </c>
      <c r="X139" s="827">
        <v>2413</v>
      </c>
      <c r="Y139" s="827">
        <v>1940</v>
      </c>
      <c r="Z139" s="827">
        <v>2535</v>
      </c>
      <c r="AA139" s="827">
        <v>1940</v>
      </c>
      <c r="AB139" s="827">
        <v>2347</v>
      </c>
      <c r="AC139" s="828">
        <v>1795</v>
      </c>
      <c r="AD139" s="828">
        <v>2017</v>
      </c>
      <c r="AE139" s="828">
        <v>1674</v>
      </c>
      <c r="AF139" s="828">
        <v>1821</v>
      </c>
      <c r="AG139" s="828">
        <v>2198</v>
      </c>
      <c r="AH139" s="828">
        <v>2399</v>
      </c>
      <c r="AI139" s="828">
        <v>1831</v>
      </c>
      <c r="AJ139" s="828">
        <v>1977</v>
      </c>
      <c r="AK139" s="828">
        <v>1762</v>
      </c>
      <c r="AL139" s="828">
        <v>1902</v>
      </c>
      <c r="AM139" s="828">
        <v>1754</v>
      </c>
      <c r="AN139" s="828">
        <v>1849</v>
      </c>
      <c r="AO139" s="828">
        <v>2968</v>
      </c>
      <c r="AP139" s="828">
        <v>3441</v>
      </c>
    </row>
    <row r="140" hidden="1" ht="12.75" customHeight="1">
      <c r="B140" s="829" t="s">
        <v>109</v>
      </c>
      <c r="C140" s="823">
        <v>35167</v>
      </c>
      <c r="D140" s="823">
        <v>35708</v>
      </c>
      <c r="E140" s="823">
        <v>38694</v>
      </c>
      <c r="F140" s="823">
        <v>39409</v>
      </c>
      <c r="G140" s="823">
        <v>36210</v>
      </c>
      <c r="H140" s="823">
        <v>36594</v>
      </c>
      <c r="I140" s="823">
        <v>36890</v>
      </c>
      <c r="J140" s="823">
        <v>36950</v>
      </c>
      <c r="K140" s="823">
        <v>36498</v>
      </c>
      <c r="L140" s="823">
        <v>36568</v>
      </c>
      <c r="M140" s="823">
        <v>31634</v>
      </c>
      <c r="N140" s="823">
        <v>31964</v>
      </c>
      <c r="O140" s="823">
        <v>30811</v>
      </c>
      <c r="P140" s="823">
        <v>30865</v>
      </c>
      <c r="Q140" s="823">
        <v>31648</v>
      </c>
      <c r="R140" s="823">
        <v>31323</v>
      </c>
      <c r="S140" s="823">
        <v>38222</v>
      </c>
      <c r="T140" s="823">
        <v>38514</v>
      </c>
      <c r="U140" s="823">
        <v>37405</v>
      </c>
      <c r="V140" s="823">
        <v>38309</v>
      </c>
      <c r="W140" s="823">
        <v>42890</v>
      </c>
      <c r="X140" s="823">
        <v>43276</v>
      </c>
      <c r="Y140" s="823">
        <v>38691</v>
      </c>
      <c r="Z140" s="823">
        <v>38296</v>
      </c>
      <c r="AA140" s="823">
        <v>36576</v>
      </c>
      <c r="AB140" s="823">
        <v>36381</v>
      </c>
      <c r="AC140" s="825">
        <v>30865</v>
      </c>
      <c r="AD140" s="825">
        <v>30441</v>
      </c>
      <c r="AE140" s="825">
        <v>4867</v>
      </c>
      <c r="AF140" s="825">
        <v>4900</v>
      </c>
      <c r="AG140" s="825">
        <v>5758</v>
      </c>
      <c r="AH140" s="825">
        <v>5476</v>
      </c>
      <c r="AI140" s="825">
        <v>4246</v>
      </c>
      <c r="AJ140" s="825">
        <v>4141</v>
      </c>
      <c r="AK140" s="825">
        <v>5180</v>
      </c>
      <c r="AL140" s="825">
        <v>5280</v>
      </c>
      <c r="AM140" s="825">
        <v>5759</v>
      </c>
      <c r="AN140" s="825">
        <v>5807</v>
      </c>
      <c r="AO140" s="825">
        <v>37815</v>
      </c>
      <c r="AP140" s="825">
        <v>53773</v>
      </c>
    </row>
    <row r="141" hidden="1" ht="12.75" customHeight="1">
      <c r="B141" s="826" t="s">
        <v>110</v>
      </c>
      <c r="C141" s="827">
        <v>16816</v>
      </c>
      <c r="D141" s="827">
        <v>16805</v>
      </c>
      <c r="E141" s="827">
        <v>13225</v>
      </c>
      <c r="F141" s="827">
        <v>13603</v>
      </c>
      <c r="G141" s="827">
        <v>12495</v>
      </c>
      <c r="H141" s="827">
        <v>12639</v>
      </c>
      <c r="I141" s="827">
        <v>11283</v>
      </c>
      <c r="J141" s="827">
        <v>10216</v>
      </c>
      <c r="K141" s="827">
        <v>12423</v>
      </c>
      <c r="L141" s="827">
        <v>12164</v>
      </c>
      <c r="M141" s="827">
        <v>11504</v>
      </c>
      <c r="N141" s="827">
        <v>11570</v>
      </c>
      <c r="O141" s="827">
        <v>10132</v>
      </c>
      <c r="P141" s="827">
        <v>10140</v>
      </c>
      <c r="Q141" s="827">
        <v>10349</v>
      </c>
      <c r="R141" s="827">
        <v>10374</v>
      </c>
      <c r="S141" s="827">
        <v>12596</v>
      </c>
      <c r="T141" s="827">
        <v>12767</v>
      </c>
      <c r="U141" s="827">
        <v>16986</v>
      </c>
      <c r="V141" s="827">
        <v>17302</v>
      </c>
      <c r="W141" s="827">
        <v>18846</v>
      </c>
      <c r="X141" s="827">
        <v>18777</v>
      </c>
      <c r="Y141" s="827">
        <v>18525</v>
      </c>
      <c r="Z141" s="827">
        <v>18646</v>
      </c>
      <c r="AA141" s="827">
        <v>18333</v>
      </c>
      <c r="AB141" s="827">
        <v>18588</v>
      </c>
      <c r="AC141" s="828">
        <v>7085</v>
      </c>
      <c r="AD141" s="828">
        <v>7039</v>
      </c>
      <c r="AE141" s="828">
        <v>5715</v>
      </c>
      <c r="AF141" s="828">
        <v>5673</v>
      </c>
      <c r="AG141" s="828">
        <v>6650</v>
      </c>
      <c r="AH141" s="828">
        <v>6703</v>
      </c>
      <c r="AI141" s="828">
        <v>6212</v>
      </c>
      <c r="AJ141" s="828">
        <v>5953</v>
      </c>
      <c r="AK141" s="828">
        <v>6422</v>
      </c>
      <c r="AL141" s="828">
        <v>6372</v>
      </c>
      <c r="AM141" s="828">
        <v>5474</v>
      </c>
      <c r="AN141" s="828">
        <v>5481</v>
      </c>
      <c r="AO141" s="828">
        <v>17744</v>
      </c>
      <c r="AP141" s="828">
        <v>21015</v>
      </c>
    </row>
    <row r="142" hidden="1" ht="12.75" customHeight="1">
      <c r="B142" s="829" t="s">
        <v>16</v>
      </c>
      <c r="C142" s="823">
        <v>6781</v>
      </c>
      <c r="D142" s="823">
        <v>7294</v>
      </c>
      <c r="E142" s="823">
        <v>7087</v>
      </c>
      <c r="F142" s="823">
        <v>7450</v>
      </c>
      <c r="G142" s="823">
        <v>7196</v>
      </c>
      <c r="H142" s="823">
        <v>7296</v>
      </c>
      <c r="I142" s="823">
        <v>6719</v>
      </c>
      <c r="J142" s="823">
        <v>6395</v>
      </c>
      <c r="K142" s="823">
        <v>5941</v>
      </c>
      <c r="L142" s="823">
        <v>5519</v>
      </c>
      <c r="M142" s="823">
        <v>5399</v>
      </c>
      <c r="N142" s="823">
        <v>5382</v>
      </c>
      <c r="O142" s="823">
        <v>5549</v>
      </c>
      <c r="P142" s="823">
        <v>4840</v>
      </c>
      <c r="Q142" s="823">
        <v>5162</v>
      </c>
      <c r="R142" s="823">
        <v>4749</v>
      </c>
      <c r="S142" s="823">
        <v>5082</v>
      </c>
      <c r="T142" s="823">
        <v>5087</v>
      </c>
      <c r="U142" s="823">
        <v>6179</v>
      </c>
      <c r="V142" s="823">
        <v>5938</v>
      </c>
      <c r="W142" s="823">
        <v>5938</v>
      </c>
      <c r="X142" s="823">
        <v>5938</v>
      </c>
      <c r="Y142" s="823">
        <v>5938</v>
      </c>
      <c r="Z142" s="823">
        <v>5938</v>
      </c>
      <c r="AA142" s="823">
        <v>5695</v>
      </c>
      <c r="AB142" s="823">
        <v>5669</v>
      </c>
      <c r="AC142" s="825">
        <v>6053</v>
      </c>
      <c r="AD142" s="825">
        <v>5999</v>
      </c>
      <c r="AE142" s="825">
        <v>6019</v>
      </c>
      <c r="AF142" s="825">
        <v>7974</v>
      </c>
      <c r="AG142" s="825">
        <v>7378</v>
      </c>
      <c r="AH142" s="825">
        <v>7255</v>
      </c>
      <c r="AI142" s="825">
        <v>6912</v>
      </c>
      <c r="AJ142" s="825">
        <v>6743</v>
      </c>
      <c r="AK142" s="825">
        <v>6463</v>
      </c>
      <c r="AL142" s="825">
        <v>6147</v>
      </c>
      <c r="AM142" s="825">
        <v>5503</v>
      </c>
      <c r="AN142" s="825">
        <v>5242</v>
      </c>
      <c r="AO142" s="825">
        <v>6521</v>
      </c>
      <c r="AP142" s="825">
        <v>7146</v>
      </c>
    </row>
    <row r="143" hidden="1" ht="12.75" customHeight="1">
      <c r="B143" s="826" t="s">
        <v>17</v>
      </c>
      <c r="C143" s="827">
        <v>14563</v>
      </c>
      <c r="D143" s="827">
        <v>15394</v>
      </c>
      <c r="E143" s="827">
        <v>10605</v>
      </c>
      <c r="F143" s="827">
        <v>18970</v>
      </c>
      <c r="G143" s="827">
        <v>14542</v>
      </c>
      <c r="H143" s="827">
        <v>16685</v>
      </c>
      <c r="I143" s="827">
        <v>13586</v>
      </c>
      <c r="J143" s="827">
        <v>19326</v>
      </c>
      <c r="K143" s="827">
        <v>13741</v>
      </c>
      <c r="L143" s="827">
        <v>16251</v>
      </c>
      <c r="M143" s="827">
        <v>14233</v>
      </c>
      <c r="N143" s="827">
        <v>16427</v>
      </c>
      <c r="O143" s="827">
        <v>14456</v>
      </c>
      <c r="P143" s="827">
        <v>18366</v>
      </c>
      <c r="Q143" s="827">
        <v>17192</v>
      </c>
      <c r="R143" s="827">
        <v>17548</v>
      </c>
      <c r="S143" s="827">
        <v>17376</v>
      </c>
      <c r="T143" s="827">
        <v>18091</v>
      </c>
      <c r="U143" s="827">
        <v>21547</v>
      </c>
      <c r="V143" s="827">
        <v>22690</v>
      </c>
      <c r="W143" s="827">
        <v>22245</v>
      </c>
      <c r="X143" s="827">
        <v>22113</v>
      </c>
      <c r="Y143" s="827">
        <v>19894</v>
      </c>
      <c r="Z143" s="827">
        <v>20211</v>
      </c>
      <c r="AA143" s="827">
        <v>19460</v>
      </c>
      <c r="AB143" s="827">
        <v>19434</v>
      </c>
      <c r="AC143" s="828">
        <v>18761</v>
      </c>
      <c r="AD143" s="828">
        <v>18695</v>
      </c>
      <c r="AE143" s="828">
        <v>17730</v>
      </c>
      <c r="AF143" s="828">
        <v>17848</v>
      </c>
      <c r="AG143" s="828">
        <v>18065</v>
      </c>
      <c r="AH143" s="828">
        <v>17846</v>
      </c>
      <c r="AI143" s="828">
        <v>18223</v>
      </c>
      <c r="AJ143" s="828">
        <v>18173</v>
      </c>
      <c r="AK143" s="828">
        <v>15324</v>
      </c>
      <c r="AL143" s="828">
        <v>15235</v>
      </c>
      <c r="AM143" s="828">
        <v>13478</v>
      </c>
      <c r="AN143" s="828">
        <v>13392</v>
      </c>
      <c r="AO143" s="828">
        <v>24812</v>
      </c>
      <c r="AP143" s="828">
        <v>25980</v>
      </c>
    </row>
    <row r="144" hidden="1" ht="12.75" customHeight="1">
      <c r="B144" s="829" t="s">
        <v>18</v>
      </c>
      <c r="C144" s="823">
        <v>1987</v>
      </c>
      <c r="D144" s="823">
        <v>2658</v>
      </c>
      <c r="E144" s="823">
        <v>1891</v>
      </c>
      <c r="F144" s="823">
        <v>1898</v>
      </c>
      <c r="G144" s="823">
        <v>1258</v>
      </c>
      <c r="H144" s="823">
        <v>1565</v>
      </c>
      <c r="I144" s="823">
        <v>1860</v>
      </c>
      <c r="J144" s="823">
        <v>2153</v>
      </c>
      <c r="K144" s="823">
        <v>2177</v>
      </c>
      <c r="L144" s="823">
        <v>1881</v>
      </c>
      <c r="M144" s="823">
        <v>1816</v>
      </c>
      <c r="N144" s="823">
        <v>1590</v>
      </c>
      <c r="O144" s="823">
        <v>1227</v>
      </c>
      <c r="P144" s="823">
        <v>376</v>
      </c>
      <c r="Q144" s="823">
        <v>153</v>
      </c>
      <c r="R144" s="823">
        <v>337</v>
      </c>
      <c r="S144" s="823">
        <v>2440</v>
      </c>
      <c r="T144" s="823">
        <v>2647</v>
      </c>
      <c r="U144" s="823">
        <v>3137</v>
      </c>
      <c r="V144" s="823">
        <v>3484</v>
      </c>
      <c r="W144" s="823">
        <v>3411</v>
      </c>
      <c r="X144" s="823">
        <v>4096</v>
      </c>
      <c r="Y144" s="823">
        <v>4058</v>
      </c>
      <c r="Z144" s="823">
        <v>3792</v>
      </c>
      <c r="AA144" s="823">
        <v>3690</v>
      </c>
      <c r="AB144" s="823">
        <v>3174</v>
      </c>
      <c r="AC144" s="825">
        <v>3184</v>
      </c>
      <c r="AD144" s="825">
        <v>2536</v>
      </c>
      <c r="AE144" s="825">
        <v>3092</v>
      </c>
      <c r="AF144" s="825">
        <v>2727</v>
      </c>
      <c r="AG144" s="825">
        <v>3552</v>
      </c>
      <c r="AH144" s="825">
        <v>3468</v>
      </c>
      <c r="AI144" s="825">
        <v>3552</v>
      </c>
      <c r="AJ144" s="825">
        <v>3512</v>
      </c>
      <c r="AK144" s="825">
        <v>3105</v>
      </c>
      <c r="AL144" s="825">
        <v>2984</v>
      </c>
      <c r="AM144" s="825">
        <v>3003</v>
      </c>
      <c r="AN144" s="825">
        <v>3071</v>
      </c>
      <c r="AO144" s="825">
        <v>5417</v>
      </c>
      <c r="AP144" s="825">
        <v>5490</v>
      </c>
    </row>
    <row r="145" hidden="1" ht="12.75" customHeight="1">
      <c r="B145" s="826" t="s">
        <v>19</v>
      </c>
      <c r="C145" s="827">
        <v>983</v>
      </c>
      <c r="D145" s="827">
        <v>1068</v>
      </c>
      <c r="E145" s="827">
        <v>1599</v>
      </c>
      <c r="F145" s="827">
        <v>1917</v>
      </c>
      <c r="G145" s="827">
        <v>2141</v>
      </c>
      <c r="H145" s="827">
        <v>3050</v>
      </c>
      <c r="I145" s="827">
        <v>2308</v>
      </c>
      <c r="J145" s="827">
        <v>2399</v>
      </c>
      <c r="K145" s="827">
        <v>2257</v>
      </c>
      <c r="L145" s="827">
        <v>1843</v>
      </c>
      <c r="M145" s="827">
        <v>2322</v>
      </c>
      <c r="N145" s="827">
        <v>2358</v>
      </c>
      <c r="O145" s="827">
        <v>1953</v>
      </c>
      <c r="P145" s="827">
        <v>2049</v>
      </c>
      <c r="Q145" s="827">
        <v>2808</v>
      </c>
      <c r="R145" s="827">
        <v>2837</v>
      </c>
      <c r="S145" s="827">
        <v>2964</v>
      </c>
      <c r="T145" s="827">
        <v>3059</v>
      </c>
      <c r="U145" s="827">
        <v>2702</v>
      </c>
      <c r="V145" s="827">
        <v>2775</v>
      </c>
      <c r="W145" s="827">
        <v>3130</v>
      </c>
      <c r="X145" s="827">
        <v>3157</v>
      </c>
      <c r="Y145" s="827">
        <v>3070</v>
      </c>
      <c r="Z145" s="827">
        <v>3115</v>
      </c>
      <c r="AA145" s="827">
        <v>2921</v>
      </c>
      <c r="AB145" s="827">
        <v>2930</v>
      </c>
      <c r="AC145" s="828">
        <v>3400</v>
      </c>
      <c r="AD145" s="828">
        <v>3393</v>
      </c>
      <c r="AE145" s="828">
        <v>2969</v>
      </c>
      <c r="AF145" s="828">
        <v>2995</v>
      </c>
      <c r="AG145" s="828">
        <v>3081</v>
      </c>
      <c r="AH145" s="828">
        <v>3212</v>
      </c>
      <c r="AI145" s="828">
        <v>3509</v>
      </c>
      <c r="AJ145" s="828">
        <v>3028</v>
      </c>
      <c r="AK145" s="828">
        <v>2425</v>
      </c>
      <c r="AL145" s="828">
        <v>2439</v>
      </c>
      <c r="AM145" s="828">
        <v>3235</v>
      </c>
      <c r="AN145" s="828">
        <v>3249</v>
      </c>
      <c r="AO145" s="828">
        <v>4411</v>
      </c>
      <c r="AP145" s="828">
        <v>5058</v>
      </c>
    </row>
    <row r="146" hidden="1" ht="12.75" customHeight="1">
      <c r="B146" s="829" t="s">
        <v>20</v>
      </c>
      <c r="C146" s="823">
        <v>30241</v>
      </c>
      <c r="D146" s="823">
        <v>14951</v>
      </c>
      <c r="E146" s="823">
        <v>23597</v>
      </c>
      <c r="F146" s="823">
        <v>19362</v>
      </c>
      <c r="G146" s="823">
        <v>18462</v>
      </c>
      <c r="H146" s="823">
        <v>14025</v>
      </c>
      <c r="I146" s="823">
        <v>19176</v>
      </c>
      <c r="J146" s="823">
        <v>18978</v>
      </c>
      <c r="K146" s="823">
        <v>24082</v>
      </c>
      <c r="L146" s="823">
        <v>19161</v>
      </c>
      <c r="M146" s="823">
        <v>23891</v>
      </c>
      <c r="N146" s="823">
        <v>13638</v>
      </c>
      <c r="O146" s="823">
        <v>16550</v>
      </c>
      <c r="P146" s="823">
        <v>14444</v>
      </c>
      <c r="Q146" s="823">
        <v>16489</v>
      </c>
      <c r="R146" s="823">
        <v>14986</v>
      </c>
      <c r="S146" s="823">
        <v>18973</v>
      </c>
      <c r="T146" s="823">
        <v>17952</v>
      </c>
      <c r="U146" s="823">
        <v>24328</v>
      </c>
      <c r="V146" s="823">
        <v>20616</v>
      </c>
      <c r="W146" s="823">
        <v>24424</v>
      </c>
      <c r="X146" s="823">
        <v>19771</v>
      </c>
      <c r="Y146" s="823">
        <v>21601</v>
      </c>
      <c r="Z146" s="823">
        <v>21546</v>
      </c>
      <c r="AA146" s="823">
        <v>23841</v>
      </c>
      <c r="AB146" s="823">
        <v>24004</v>
      </c>
      <c r="AC146" s="825">
        <v>21196</v>
      </c>
      <c r="AD146" s="825">
        <v>21043</v>
      </c>
      <c r="AE146" s="825">
        <v>20689</v>
      </c>
      <c r="AF146" s="825">
        <v>20273</v>
      </c>
      <c r="AG146" s="825">
        <v>23617</v>
      </c>
      <c r="AH146" s="825">
        <v>23620</v>
      </c>
      <c r="AI146" s="825">
        <v>24480</v>
      </c>
      <c r="AJ146" s="825">
        <v>24001</v>
      </c>
      <c r="AK146" s="825">
        <v>19621</v>
      </c>
      <c r="AL146" s="825">
        <v>19513</v>
      </c>
      <c r="AM146" s="825">
        <v>19217</v>
      </c>
      <c r="AN146" s="825">
        <v>19123</v>
      </c>
      <c r="AO146" s="825">
        <v>37454</v>
      </c>
      <c r="AP146" s="825">
        <v>29555</v>
      </c>
    </row>
    <row r="147" hidden="1" ht="12.75" customHeight="1">
      <c r="B147" s="826" t="s">
        <v>21</v>
      </c>
      <c r="C147" s="827">
        <v>804</v>
      </c>
      <c r="D147" s="827">
        <v>820</v>
      </c>
      <c r="E147" s="827">
        <v>939</v>
      </c>
      <c r="F147" s="827">
        <v>907</v>
      </c>
      <c r="G147" s="827">
        <v>893</v>
      </c>
      <c r="H147" s="827">
        <v>902</v>
      </c>
      <c r="I147" s="827">
        <v>1058</v>
      </c>
      <c r="J147" s="827">
        <v>1074</v>
      </c>
      <c r="K147" s="827">
        <v>1142</v>
      </c>
      <c r="L147" s="827">
        <v>1121</v>
      </c>
      <c r="M147" s="827">
        <v>1087</v>
      </c>
      <c r="N147" s="827">
        <v>1116</v>
      </c>
      <c r="O147" s="827">
        <v>1145</v>
      </c>
      <c r="P147" s="827">
        <v>1046</v>
      </c>
      <c r="Q147" s="827">
        <v>974</v>
      </c>
      <c r="R147" s="827">
        <v>1031</v>
      </c>
      <c r="S147" s="827">
        <v>1154</v>
      </c>
      <c r="T147" s="827">
        <v>1135</v>
      </c>
      <c r="U147" s="827">
        <v>1208</v>
      </c>
      <c r="V147" s="827">
        <v>906</v>
      </c>
      <c r="W147" s="827">
        <v>757</v>
      </c>
      <c r="X147" s="827">
        <v>752</v>
      </c>
      <c r="Y147" s="827">
        <v>543</v>
      </c>
      <c r="Z147" s="827">
        <v>526</v>
      </c>
      <c r="AA147" s="827">
        <v>352</v>
      </c>
      <c r="AB147" s="827">
        <v>354</v>
      </c>
      <c r="AC147" s="828">
        <v>305</v>
      </c>
      <c r="AD147" s="828">
        <v>305</v>
      </c>
      <c r="AE147" s="828">
        <v>231</v>
      </c>
      <c r="AF147" s="828">
        <v>231</v>
      </c>
      <c r="AG147" s="828">
        <v>197</v>
      </c>
      <c r="AH147" s="828">
        <v>0</v>
      </c>
      <c r="AI147" s="828">
        <v>0</v>
      </c>
      <c r="AJ147" s="828">
        <v>0</v>
      </c>
      <c r="AK147" s="828">
        <v>0</v>
      </c>
      <c r="AL147" s="828">
        <v>0</v>
      </c>
      <c r="AM147" s="828">
        <v>0</v>
      </c>
      <c r="AN147" s="828">
        <v>0</v>
      </c>
      <c r="AO147" s="828">
        <v>2414</v>
      </c>
      <c r="AP147" s="828">
        <v>3425</v>
      </c>
    </row>
    <row r="148" hidden="1" ht="12.75" customHeight="1">
      <c r="B148" s="829" t="s">
        <v>22</v>
      </c>
      <c r="C148" s="823">
        <v>348</v>
      </c>
      <c r="D148" s="823">
        <v>227</v>
      </c>
      <c r="E148" s="823">
        <v>132</v>
      </c>
      <c r="F148" s="823">
        <v>129</v>
      </c>
      <c r="G148" s="823">
        <v>139</v>
      </c>
      <c r="H148" s="823">
        <v>92</v>
      </c>
      <c r="I148" s="823">
        <v>43</v>
      </c>
      <c r="J148" s="823">
        <v>62</v>
      </c>
      <c r="K148" s="823">
        <v>195</v>
      </c>
      <c r="L148" s="823">
        <v>185</v>
      </c>
      <c r="M148" s="823">
        <v>626</v>
      </c>
      <c r="N148" s="823">
        <v>855</v>
      </c>
      <c r="O148" s="823">
        <v>1016</v>
      </c>
      <c r="P148" s="823">
        <v>1042</v>
      </c>
      <c r="Q148" s="823">
        <v>1054</v>
      </c>
      <c r="R148" s="823">
        <v>976</v>
      </c>
      <c r="S148" s="823">
        <v>1042</v>
      </c>
      <c r="T148" s="823">
        <v>763</v>
      </c>
      <c r="U148" s="823">
        <v>795</v>
      </c>
      <c r="V148" s="823">
        <v>792</v>
      </c>
      <c r="W148" s="823">
        <v>653</v>
      </c>
      <c r="X148" s="823">
        <v>649</v>
      </c>
      <c r="Y148" s="823">
        <v>1263</v>
      </c>
      <c r="Z148" s="823">
        <v>1261</v>
      </c>
      <c r="AA148" s="823">
        <v>1478</v>
      </c>
      <c r="AB148" s="823">
        <v>1475</v>
      </c>
      <c r="AC148" s="825">
        <v>1674</v>
      </c>
      <c r="AD148" s="825">
        <v>1651</v>
      </c>
      <c r="AE148" s="825">
        <v>1698</v>
      </c>
      <c r="AF148" s="825">
        <v>1712</v>
      </c>
      <c r="AG148" s="825">
        <v>1951</v>
      </c>
      <c r="AH148" s="825">
        <v>1936</v>
      </c>
      <c r="AI148" s="825">
        <v>2178</v>
      </c>
      <c r="AJ148" s="825">
        <v>2158</v>
      </c>
      <c r="AK148" s="825">
        <v>1973</v>
      </c>
      <c r="AL148" s="825">
        <v>1949</v>
      </c>
      <c r="AM148" s="825">
        <v>1573</v>
      </c>
      <c r="AN148" s="825">
        <v>1565</v>
      </c>
      <c r="AO148" s="825">
        <v>2995</v>
      </c>
      <c r="AP148" s="825">
        <v>5398</v>
      </c>
    </row>
    <row r="149" hidden="1" ht="12.75" customHeight="1">
      <c r="B149" s="826" t="s">
        <v>23</v>
      </c>
      <c r="C149" s="827">
        <v>627</v>
      </c>
      <c r="D149" s="827">
        <v>629</v>
      </c>
      <c r="E149" s="827">
        <v>880</v>
      </c>
      <c r="F149" s="827">
        <v>880</v>
      </c>
      <c r="G149" s="827">
        <v>1179</v>
      </c>
      <c r="H149" s="827">
        <v>1173</v>
      </c>
      <c r="I149" s="827">
        <v>953</v>
      </c>
      <c r="J149" s="827">
        <v>946</v>
      </c>
      <c r="K149" s="827">
        <v>959</v>
      </c>
      <c r="L149" s="827">
        <v>962</v>
      </c>
      <c r="M149" s="827">
        <v>1098</v>
      </c>
      <c r="N149" s="827">
        <v>1099</v>
      </c>
      <c r="O149" s="827">
        <v>1053</v>
      </c>
      <c r="P149" s="827">
        <v>1057</v>
      </c>
      <c r="Q149" s="827">
        <v>1254</v>
      </c>
      <c r="R149" s="827">
        <v>1430</v>
      </c>
      <c r="S149" s="827">
        <v>764</v>
      </c>
      <c r="T149" s="827">
        <v>948</v>
      </c>
      <c r="U149" s="827">
        <v>1017</v>
      </c>
      <c r="V149" s="827">
        <v>1014</v>
      </c>
      <c r="W149" s="827">
        <v>626</v>
      </c>
      <c r="X149" s="827">
        <v>623</v>
      </c>
      <c r="Y149" s="827">
        <v>877</v>
      </c>
      <c r="Z149" s="827">
        <v>871</v>
      </c>
      <c r="AA149" s="827">
        <v>567</v>
      </c>
      <c r="AB149" s="827">
        <v>572</v>
      </c>
      <c r="AC149" s="828">
        <v>688</v>
      </c>
      <c r="AD149" s="828">
        <v>688</v>
      </c>
      <c r="AE149" s="828">
        <v>651</v>
      </c>
      <c r="AF149" s="828">
        <v>650</v>
      </c>
      <c r="AG149" s="828">
        <v>829</v>
      </c>
      <c r="AH149" s="828">
        <v>810</v>
      </c>
      <c r="AI149" s="828">
        <v>489</v>
      </c>
      <c r="AJ149" s="828">
        <v>477</v>
      </c>
      <c r="AK149" s="828">
        <v>428</v>
      </c>
      <c r="AL149" s="828">
        <v>427</v>
      </c>
      <c r="AM149" s="828">
        <v>490</v>
      </c>
      <c r="AN149" s="828">
        <v>490</v>
      </c>
      <c r="AO149" s="828">
        <v>198</v>
      </c>
      <c r="AP149" s="828">
        <v>252</v>
      </c>
    </row>
    <row r="150" hidden="1" ht="12.75" customHeight="1">
      <c r="B150" s="830" t="s">
        <v>24</v>
      </c>
      <c r="C150" s="823">
        <v>5965</v>
      </c>
      <c r="D150" s="823">
        <v>6211</v>
      </c>
      <c r="E150" s="823">
        <v>5052</v>
      </c>
      <c r="F150" s="823">
        <v>5500</v>
      </c>
      <c r="G150" s="823">
        <v>7396</v>
      </c>
      <c r="H150" s="823">
        <v>7407</v>
      </c>
      <c r="I150" s="823">
        <v>5356</v>
      </c>
      <c r="J150" s="823">
        <v>5570</v>
      </c>
      <c r="K150" s="823">
        <v>6332</v>
      </c>
      <c r="L150" s="823">
        <v>6300</v>
      </c>
      <c r="M150" s="823">
        <v>5919</v>
      </c>
      <c r="N150" s="823">
        <v>5468</v>
      </c>
      <c r="O150" s="823">
        <v>5632</v>
      </c>
      <c r="P150" s="823">
        <v>5665</v>
      </c>
      <c r="Q150" s="823">
        <v>6582</v>
      </c>
      <c r="R150" s="823">
        <v>6659</v>
      </c>
      <c r="S150" s="823">
        <v>7081</v>
      </c>
      <c r="T150" s="823">
        <v>7117</v>
      </c>
      <c r="U150" s="823">
        <v>6350</v>
      </c>
      <c r="V150" s="823">
        <v>6529</v>
      </c>
      <c r="W150" s="823">
        <v>6601</v>
      </c>
      <c r="X150" s="823">
        <v>6673</v>
      </c>
      <c r="Y150" s="823">
        <v>6493</v>
      </c>
      <c r="Z150" s="823">
        <v>6663</v>
      </c>
      <c r="AA150" s="823">
        <v>5919</v>
      </c>
      <c r="AB150" s="823">
        <v>5988</v>
      </c>
      <c r="AC150" s="825">
        <v>6855</v>
      </c>
      <c r="AD150" s="825">
        <v>6225</v>
      </c>
      <c r="AE150" s="825">
        <v>7083</v>
      </c>
      <c r="AF150" s="825">
        <v>7303</v>
      </c>
      <c r="AG150" s="825">
        <v>6850</v>
      </c>
      <c r="AH150" s="825">
        <v>6812</v>
      </c>
      <c r="AI150" s="825">
        <v>6981</v>
      </c>
      <c r="AJ150" s="825">
        <v>6570</v>
      </c>
      <c r="AK150" s="825">
        <v>5798</v>
      </c>
      <c r="AL150" s="825">
        <v>5754</v>
      </c>
      <c r="AM150" s="825">
        <v>5554</v>
      </c>
      <c r="AN150" s="825">
        <v>5526</v>
      </c>
      <c r="AO150" s="825">
        <v>9438</v>
      </c>
      <c r="AP150" s="825">
        <v>10483</v>
      </c>
    </row>
    <row r="151" hidden="1" ht="12.75" customHeight="1">
      <c r="B151" s="826" t="s">
        <v>25</v>
      </c>
      <c r="C151" s="827">
        <v>0</v>
      </c>
      <c r="D151" s="827">
        <v>0</v>
      </c>
      <c r="E151" s="827">
        <v>0</v>
      </c>
      <c r="F151" s="827">
        <v>0</v>
      </c>
      <c r="G151" s="827">
        <v>0</v>
      </c>
      <c r="H151" s="827">
        <v>0</v>
      </c>
      <c r="I151" s="827">
        <v>0</v>
      </c>
      <c r="J151" s="827">
        <v>0</v>
      </c>
      <c r="K151" s="827">
        <v>0</v>
      </c>
      <c r="L151" s="827">
        <v>0</v>
      </c>
      <c r="M151" s="827">
        <v>0</v>
      </c>
      <c r="N151" s="827">
        <v>0</v>
      </c>
      <c r="O151" s="827">
        <v>0</v>
      </c>
      <c r="P151" s="827">
        <v>0</v>
      </c>
      <c r="Q151" s="827">
        <v>0</v>
      </c>
      <c r="R151" s="827">
        <v>0</v>
      </c>
      <c r="S151" s="827">
        <v>0</v>
      </c>
      <c r="T151" s="827">
        <v>0</v>
      </c>
      <c r="U151" s="827">
        <v>0</v>
      </c>
      <c r="V151" s="827">
        <v>0</v>
      </c>
      <c r="W151" s="827">
        <v>0</v>
      </c>
      <c r="X151" s="827">
        <v>0</v>
      </c>
      <c r="Y151" s="827">
        <v>0</v>
      </c>
      <c r="Z151" s="827">
        <v>0</v>
      </c>
      <c r="AA151" s="827">
        <v>0</v>
      </c>
      <c r="AB151" s="827">
        <v>0</v>
      </c>
      <c r="AC151" s="828">
        <v>0</v>
      </c>
      <c r="AD151" s="828">
        <v>0</v>
      </c>
      <c r="AE151" s="828">
        <v>0</v>
      </c>
      <c r="AF151" s="828">
        <v>0</v>
      </c>
      <c r="AG151" s="828">
        <v>0</v>
      </c>
      <c r="AH151" s="828">
        <v>0</v>
      </c>
      <c r="AI151" s="828">
        <v>0</v>
      </c>
      <c r="AJ151" s="828">
        <v>0</v>
      </c>
      <c r="AK151" s="828">
        <v>0</v>
      </c>
      <c r="AL151" s="828">
        <v>0</v>
      </c>
      <c r="AM151" s="828">
        <v>0</v>
      </c>
      <c r="AN151" s="828">
        <v>0</v>
      </c>
      <c r="AO151" s="828">
        <v>7</v>
      </c>
      <c r="AP151" s="828">
        <v>0</v>
      </c>
    </row>
    <row r="152" hidden="1" ht="12.75" customHeight="1">
      <c r="B152" s="831" t="s">
        <v>26</v>
      </c>
      <c r="C152" s="823">
        <v>0</v>
      </c>
      <c r="D152" s="823">
        <v>0</v>
      </c>
      <c r="E152" s="823">
        <v>0</v>
      </c>
      <c r="F152" s="823">
        <v>0</v>
      </c>
      <c r="G152" s="823">
        <v>0</v>
      </c>
      <c r="H152" s="823">
        <v>0</v>
      </c>
      <c r="I152" s="823">
        <v>0</v>
      </c>
      <c r="J152" s="823">
        <v>0</v>
      </c>
      <c r="K152" s="823">
        <v>0</v>
      </c>
      <c r="L152" s="823">
        <v>0</v>
      </c>
      <c r="M152" s="823">
        <v>0</v>
      </c>
      <c r="N152" s="823">
        <v>0</v>
      </c>
      <c r="O152" s="823">
        <v>0</v>
      </c>
      <c r="P152" s="823">
        <v>0</v>
      </c>
      <c r="Q152" s="823">
        <v>0</v>
      </c>
      <c r="R152" s="823">
        <v>0</v>
      </c>
      <c r="S152" s="823">
        <v>0</v>
      </c>
      <c r="T152" s="823">
        <v>0</v>
      </c>
      <c r="U152" s="823">
        <v>0</v>
      </c>
      <c r="V152" s="823">
        <v>0</v>
      </c>
      <c r="W152" s="823">
        <v>0</v>
      </c>
      <c r="X152" s="823">
        <v>0</v>
      </c>
      <c r="Y152" s="823">
        <v>0</v>
      </c>
      <c r="Z152" s="823">
        <v>0</v>
      </c>
      <c r="AA152" s="823">
        <v>0</v>
      </c>
      <c r="AB152" s="832">
        <v>0</v>
      </c>
      <c r="AC152" s="825">
        <v>0</v>
      </c>
      <c r="AD152" s="825">
        <v>0</v>
      </c>
      <c r="AE152" s="825">
        <v>0</v>
      </c>
      <c r="AF152" s="825">
        <v>0</v>
      </c>
      <c r="AG152" s="825">
        <v>0</v>
      </c>
      <c r="AH152" s="825">
        <v>0</v>
      </c>
      <c r="AI152" s="825">
        <v>0</v>
      </c>
      <c r="AJ152" s="825">
        <v>0</v>
      </c>
      <c r="AK152" s="825">
        <v>0</v>
      </c>
      <c r="AL152" s="825">
        <v>0</v>
      </c>
      <c r="AM152" s="825">
        <v>0</v>
      </c>
      <c r="AN152" s="825">
        <v>0</v>
      </c>
      <c r="AO152" s="825">
        <v>0</v>
      </c>
      <c r="AP152" s="825">
        <v>4</v>
      </c>
    </row>
    <row r="153" hidden="1" ht="12.75" customHeight="1">
      <c r="B153" s="128" t="s">
        <v>7</v>
      </c>
      <c r="C153" s="129" t="str">
        <f>IF(SUM(C134:C152)&lt;&gt;0,SUM(C134:C152),"")</f>
      </c>
      <c r="D153" s="129" t="str">
        <f ref="D153:AA153" t="shared" si="0">IF(SUM(D134:D152)&lt;&gt;0,SUM(D134:D152),"")</f>
      </c>
      <c r="E153" s="129" t="str">
        <f t="shared" si="0"/>
      </c>
      <c r="F153" s="129" t="str">
        <f t="shared" si="0"/>
      </c>
      <c r="G153" s="129" t="str">
        <f t="shared" si="0"/>
      </c>
      <c r="H153" s="129" t="str">
        <f t="shared" si="0"/>
      </c>
      <c r="I153" s="129" t="str">
        <f t="shared" si="0"/>
      </c>
      <c r="J153" s="129" t="str">
        <f t="shared" si="0"/>
      </c>
      <c r="K153" s="129" t="str">
        <f t="shared" si="0"/>
      </c>
      <c r="L153" s="129" t="str">
        <f t="shared" si="0"/>
      </c>
      <c r="M153" s="129" t="str">
        <f t="shared" si="0"/>
      </c>
      <c r="N153" s="129" t="str">
        <f t="shared" si="0"/>
      </c>
      <c r="O153" s="129" t="str">
        <f t="shared" si="0"/>
      </c>
      <c r="P153" s="129" t="str">
        <f t="shared" si="0"/>
      </c>
      <c r="Q153" s="129" t="str">
        <f t="shared" si="0"/>
      </c>
      <c r="R153" s="129" t="str">
        <f t="shared" si="0"/>
      </c>
      <c r="S153" s="129" t="str">
        <f t="shared" si="0"/>
      </c>
      <c r="T153" s="129" t="str">
        <f t="shared" si="0"/>
      </c>
      <c r="U153" s="129" t="str">
        <f t="shared" si="0"/>
      </c>
      <c r="V153" s="129" t="str">
        <f t="shared" si="0"/>
      </c>
      <c r="W153" s="129" t="str">
        <f t="shared" si="0"/>
      </c>
      <c r="X153" s="129" t="str">
        <f t="shared" si="0"/>
      </c>
      <c r="Y153" s="129" t="str">
        <f t="shared" si="0"/>
      </c>
      <c r="Z153" s="129" t="str">
        <f t="shared" si="0"/>
      </c>
      <c r="AA153" s="129" t="str">
        <f t="shared" si="0"/>
      </c>
      <c r="AB153" s="130" t="str">
        <f>IF(SUM(AB134:AB152)&lt;&gt;0,SUM(AB134:AB152),"")</f>
      </c>
      <c r="AC153" s="91" t="str">
        <f ref="AC153:CN153" t="shared" si="1">IF(SUM(AC134:AC152)&lt;&gt;0,SUM(AC134:AC152),"")</f>
      </c>
      <c r="AD153" s="91" t="str">
        <f t="shared" si="1"/>
      </c>
      <c r="AE153" s="91" t="str">
        <f t="shared" si="1"/>
      </c>
      <c r="AF153" s="91" t="str">
        <f t="shared" si="1"/>
      </c>
      <c r="AG153" s="91" t="str">
        <f t="shared" si="1"/>
      </c>
      <c r="AH153" s="91" t="str">
        <f t="shared" si="1"/>
      </c>
      <c r="AI153" s="91" t="str">
        <f t="shared" si="1"/>
      </c>
      <c r="AJ153" s="91" t="str">
        <f t="shared" si="1"/>
      </c>
      <c r="AK153" s="91" t="str">
        <f t="shared" si="1"/>
      </c>
      <c r="AL153" s="91" t="str">
        <f t="shared" si="1"/>
      </c>
      <c r="AM153" s="91" t="str">
        <f t="shared" si="1"/>
      </c>
      <c r="AN153" s="91" t="str">
        <f t="shared" si="1"/>
      </c>
      <c r="AO153" s="91" t="str">
        <f t="shared" si="1"/>
      </c>
      <c r="AP153" s="91" t="str">
        <f t="shared" si="1"/>
      </c>
      <c r="AQ153" s="91" t="str">
        <f t="shared" si="1"/>
      </c>
      <c r="AR153" s="91" t="str">
        <f t="shared" si="1"/>
      </c>
      <c r="AS153" s="91" t="str">
        <f t="shared" si="1"/>
      </c>
      <c r="AT153" s="91" t="str">
        <f t="shared" si="1"/>
      </c>
      <c r="AU153" s="91" t="str">
        <f t="shared" si="1"/>
      </c>
      <c r="AV153" s="91" t="str">
        <f t="shared" si="1"/>
      </c>
      <c r="AW153" s="91" t="str">
        <f t="shared" si="1"/>
      </c>
      <c r="AX153" s="91" t="str">
        <f t="shared" si="1"/>
      </c>
      <c r="AY153" s="91" t="str">
        <f t="shared" si="1"/>
      </c>
      <c r="AZ153" s="91" t="str">
        <f t="shared" si="1"/>
      </c>
      <c r="BA153" s="91" t="str">
        <f t="shared" si="1"/>
      </c>
      <c r="BB153" s="91" t="str">
        <f t="shared" si="1"/>
      </c>
      <c r="BC153" s="91" t="str">
        <f t="shared" si="1"/>
      </c>
      <c r="BD153" s="91" t="str">
        <f t="shared" si="1"/>
      </c>
      <c r="BE153" s="91" t="str">
        <f t="shared" si="1"/>
      </c>
      <c r="BF153" s="91" t="str">
        <f t="shared" si="1"/>
      </c>
      <c r="BG153" s="91" t="str">
        <f t="shared" si="1"/>
      </c>
      <c r="BH153" s="91" t="str">
        <f t="shared" si="1"/>
      </c>
      <c r="BI153" s="91" t="str">
        <f t="shared" si="1"/>
      </c>
      <c r="BJ153" s="91" t="str">
        <f t="shared" si="1"/>
      </c>
      <c r="BK153" s="91" t="str">
        <f t="shared" si="1"/>
      </c>
      <c r="BL153" s="91" t="str">
        <f t="shared" si="1"/>
      </c>
      <c r="BM153" s="91" t="str">
        <f t="shared" si="1"/>
      </c>
      <c r="BN153" s="91" t="str">
        <f t="shared" si="1"/>
      </c>
      <c r="BO153" s="91" t="str">
        <f t="shared" si="1"/>
      </c>
      <c r="BP153" s="91" t="str">
        <f t="shared" si="1"/>
      </c>
      <c r="BQ153" s="91" t="str">
        <f t="shared" si="1"/>
      </c>
      <c r="BR153" s="91" t="str">
        <f t="shared" si="1"/>
      </c>
      <c r="BS153" s="91" t="str">
        <f t="shared" si="1"/>
      </c>
      <c r="BT153" s="91" t="str">
        <f t="shared" si="1"/>
      </c>
      <c r="BU153" s="91" t="str">
        <f t="shared" si="1"/>
      </c>
      <c r="BV153" s="91" t="str">
        <f t="shared" si="1"/>
      </c>
      <c r="BW153" s="91" t="str">
        <f t="shared" si="1"/>
      </c>
      <c r="BX153" s="91" t="str">
        <f t="shared" si="1"/>
      </c>
      <c r="BY153" s="91" t="str">
        <f t="shared" si="1"/>
      </c>
      <c r="BZ153" s="91" t="str">
        <f t="shared" si="1"/>
      </c>
      <c r="CA153" s="91" t="str">
        <f t="shared" si="1"/>
      </c>
      <c r="CB153" s="91" t="str">
        <f t="shared" si="1"/>
      </c>
      <c r="CC153" s="91" t="str">
        <f t="shared" si="1"/>
      </c>
      <c r="CD153" s="91" t="str">
        <f t="shared" si="1"/>
      </c>
      <c r="CE153" s="91" t="str">
        <f t="shared" si="1"/>
      </c>
      <c r="CF153" s="91" t="str">
        <f t="shared" si="1"/>
      </c>
      <c r="CG153" s="91" t="str">
        <f t="shared" si="1"/>
      </c>
      <c r="CH153" s="91" t="str">
        <f t="shared" si="1"/>
      </c>
      <c r="CI153" s="91" t="str">
        <f t="shared" si="1"/>
      </c>
      <c r="CJ153" s="91" t="str">
        <f t="shared" si="1"/>
      </c>
      <c r="CK153" s="91" t="str">
        <f t="shared" si="1"/>
      </c>
      <c r="CL153" s="91" t="str">
        <f t="shared" si="1"/>
      </c>
      <c r="CM153" s="91" t="str">
        <f t="shared" si="1"/>
      </c>
      <c r="CN153" s="91" t="str">
        <f t="shared" si="1"/>
      </c>
      <c r="CO153" s="91" t="str">
        <f ref="CO153:EZ153" t="shared" si="2">IF(SUM(CO134:CO152)&lt;&gt;0,SUM(CO134:CO152),"")</f>
      </c>
      <c r="CP153" s="91" t="str">
        <f t="shared" si="2"/>
      </c>
      <c r="CQ153" s="91" t="str">
        <f t="shared" si="2"/>
      </c>
      <c r="CR153" s="91" t="str">
        <f t="shared" si="2"/>
      </c>
      <c r="CS153" s="91" t="str">
        <f t="shared" si="2"/>
      </c>
      <c r="CT153" s="91" t="str">
        <f t="shared" si="2"/>
      </c>
      <c r="CU153" s="91" t="str">
        <f t="shared" si="2"/>
      </c>
      <c r="CV153" s="91" t="str">
        <f t="shared" si="2"/>
      </c>
      <c r="CW153" s="91" t="str">
        <f t="shared" si="2"/>
      </c>
      <c r="CX153" s="91" t="str">
        <f t="shared" si="2"/>
      </c>
      <c r="CY153" s="91" t="str">
        <f t="shared" si="2"/>
      </c>
      <c r="CZ153" s="91" t="str">
        <f t="shared" si="2"/>
      </c>
      <c r="DA153" s="91" t="str">
        <f t="shared" si="2"/>
      </c>
      <c r="DB153" s="91" t="str">
        <f t="shared" si="2"/>
      </c>
      <c r="DC153" s="91" t="str">
        <f t="shared" si="2"/>
      </c>
      <c r="DD153" s="91" t="str">
        <f t="shared" si="2"/>
      </c>
      <c r="DE153" s="91" t="str">
        <f t="shared" si="2"/>
      </c>
      <c r="DF153" s="91" t="str">
        <f t="shared" si="2"/>
      </c>
      <c r="DG153" s="91" t="str">
        <f t="shared" si="2"/>
      </c>
      <c r="DH153" s="91" t="str">
        <f t="shared" si="2"/>
      </c>
      <c r="DI153" s="91" t="str">
        <f t="shared" si="2"/>
      </c>
      <c r="DJ153" s="91" t="str">
        <f t="shared" si="2"/>
      </c>
      <c r="DK153" s="91" t="str">
        <f t="shared" si="2"/>
      </c>
      <c r="DL153" s="91" t="str">
        <f t="shared" si="2"/>
      </c>
      <c r="DM153" s="91" t="str">
        <f t="shared" si="2"/>
      </c>
      <c r="DN153" s="91" t="str">
        <f t="shared" si="2"/>
      </c>
      <c r="DO153" s="91" t="str">
        <f t="shared" si="2"/>
      </c>
      <c r="DP153" s="91" t="str">
        <f t="shared" si="2"/>
      </c>
      <c r="DQ153" s="91" t="str">
        <f t="shared" si="2"/>
      </c>
      <c r="DR153" s="91" t="str">
        <f t="shared" si="2"/>
      </c>
      <c r="DS153" s="91" t="str">
        <f t="shared" si="2"/>
      </c>
      <c r="DT153" s="91" t="str">
        <f t="shared" si="2"/>
      </c>
      <c r="DU153" s="91" t="str">
        <f t="shared" si="2"/>
      </c>
      <c r="DV153" s="91" t="str">
        <f t="shared" si="2"/>
      </c>
      <c r="DW153" s="91" t="str">
        <f t="shared" si="2"/>
      </c>
      <c r="DX153" s="91" t="str">
        <f t="shared" si="2"/>
      </c>
      <c r="DY153" s="91" t="str">
        <f t="shared" si="2"/>
      </c>
      <c r="DZ153" s="91" t="str">
        <f t="shared" si="2"/>
      </c>
      <c r="EA153" s="91" t="str">
        <f t="shared" si="2"/>
      </c>
      <c r="EB153" s="91" t="str">
        <f t="shared" si="2"/>
      </c>
      <c r="EC153" s="91" t="str">
        <f t="shared" si="2"/>
      </c>
      <c r="ED153" s="91" t="str">
        <f t="shared" si="2"/>
      </c>
      <c r="EE153" s="91" t="str">
        <f t="shared" si="2"/>
      </c>
      <c r="EF153" s="91" t="str">
        <f t="shared" si="2"/>
      </c>
      <c r="EG153" s="91" t="str">
        <f t="shared" si="2"/>
      </c>
      <c r="EH153" s="91" t="str">
        <f t="shared" si="2"/>
      </c>
      <c r="EI153" s="91" t="str">
        <f t="shared" si="2"/>
      </c>
      <c r="EJ153" s="91" t="str">
        <f t="shared" si="2"/>
      </c>
      <c r="EK153" s="91" t="str">
        <f t="shared" si="2"/>
      </c>
      <c r="EL153" s="91" t="str">
        <f t="shared" si="2"/>
      </c>
      <c r="EM153" s="91" t="str">
        <f t="shared" si="2"/>
      </c>
      <c r="EN153" s="91" t="str">
        <f t="shared" si="2"/>
      </c>
      <c r="EO153" s="91" t="str">
        <f t="shared" si="2"/>
      </c>
      <c r="EP153" s="91" t="str">
        <f t="shared" si="2"/>
      </c>
      <c r="EQ153" s="91" t="str">
        <f t="shared" si="2"/>
      </c>
      <c r="ER153" s="91" t="str">
        <f t="shared" si="2"/>
      </c>
      <c r="ES153" s="91" t="str">
        <f t="shared" si="2"/>
      </c>
      <c r="ET153" s="91" t="str">
        <f t="shared" si="2"/>
      </c>
      <c r="EU153" s="91" t="str">
        <f t="shared" si="2"/>
      </c>
      <c r="EV153" s="91" t="str">
        <f t="shared" si="2"/>
      </c>
      <c r="EW153" s="91" t="str">
        <f t="shared" si="2"/>
      </c>
      <c r="EX153" s="91" t="str">
        <f t="shared" si="2"/>
      </c>
      <c r="EY153" s="91" t="str">
        <f t="shared" si="2"/>
      </c>
      <c r="EZ153" s="91" t="str">
        <f t="shared" si="2"/>
      </c>
      <c r="FA153" s="91" t="str">
        <f ref="FA153:HL153" t="shared" si="3">IF(SUM(FA134:FA152)&lt;&gt;0,SUM(FA134:FA152),"")</f>
      </c>
      <c r="FB153" s="91" t="str">
        <f t="shared" si="3"/>
      </c>
      <c r="FC153" s="91" t="str">
        <f t="shared" si="3"/>
      </c>
      <c r="FD153" s="91" t="str">
        <f t="shared" si="3"/>
      </c>
      <c r="FE153" s="91" t="str">
        <f t="shared" si="3"/>
      </c>
      <c r="FF153" s="91" t="str">
        <f t="shared" si="3"/>
      </c>
      <c r="FG153" s="91" t="str">
        <f t="shared" si="3"/>
      </c>
      <c r="FH153" s="91" t="str">
        <f t="shared" si="3"/>
      </c>
      <c r="FI153" s="91" t="str">
        <f t="shared" si="3"/>
      </c>
      <c r="FJ153" s="91" t="str">
        <f t="shared" si="3"/>
      </c>
      <c r="FK153" s="91" t="str">
        <f t="shared" si="3"/>
      </c>
      <c r="FL153" s="91" t="str">
        <f t="shared" si="3"/>
      </c>
      <c r="FM153" s="91" t="str">
        <f t="shared" si="3"/>
      </c>
      <c r="FN153" s="91" t="str">
        <f t="shared" si="3"/>
      </c>
      <c r="FO153" s="91" t="str">
        <f t="shared" si="3"/>
      </c>
      <c r="FP153" s="91" t="str">
        <f t="shared" si="3"/>
      </c>
      <c r="FQ153" s="91" t="str">
        <f t="shared" si="3"/>
      </c>
      <c r="FR153" s="91" t="str">
        <f t="shared" si="3"/>
      </c>
      <c r="FS153" s="91" t="str">
        <f t="shared" si="3"/>
      </c>
      <c r="FT153" s="91" t="str">
        <f t="shared" si="3"/>
      </c>
      <c r="FU153" s="91" t="str">
        <f t="shared" si="3"/>
      </c>
      <c r="FV153" s="91" t="str">
        <f t="shared" si="3"/>
      </c>
      <c r="FW153" s="91" t="str">
        <f t="shared" si="3"/>
      </c>
      <c r="FX153" s="91" t="str">
        <f t="shared" si="3"/>
      </c>
      <c r="FY153" s="91" t="str">
        <f t="shared" si="3"/>
      </c>
      <c r="FZ153" s="91" t="str">
        <f t="shared" si="3"/>
      </c>
      <c r="GA153" s="91" t="str">
        <f t="shared" si="3"/>
      </c>
      <c r="GB153" s="91" t="str">
        <f t="shared" si="3"/>
      </c>
      <c r="GC153" s="91" t="str">
        <f t="shared" si="3"/>
      </c>
      <c r="GD153" s="91" t="str">
        <f t="shared" si="3"/>
      </c>
      <c r="GE153" s="91" t="str">
        <f t="shared" si="3"/>
      </c>
      <c r="GF153" s="91" t="str">
        <f t="shared" si="3"/>
      </c>
      <c r="GG153" s="91" t="str">
        <f t="shared" si="3"/>
      </c>
      <c r="GH153" s="91" t="str">
        <f t="shared" si="3"/>
      </c>
      <c r="GI153" s="91" t="str">
        <f t="shared" si="3"/>
      </c>
      <c r="GJ153" s="91" t="str">
        <f t="shared" si="3"/>
      </c>
      <c r="GK153" s="91" t="str">
        <f t="shared" si="3"/>
      </c>
      <c r="GL153" s="91" t="str">
        <f t="shared" si="3"/>
      </c>
      <c r="GM153" s="91" t="str">
        <f t="shared" si="3"/>
      </c>
      <c r="GN153" s="91" t="str">
        <f t="shared" si="3"/>
      </c>
      <c r="GO153" s="91" t="str">
        <f t="shared" si="3"/>
      </c>
      <c r="GP153" s="91" t="str">
        <f t="shared" si="3"/>
      </c>
      <c r="GQ153" s="91" t="str">
        <f t="shared" si="3"/>
      </c>
      <c r="GR153" s="91" t="str">
        <f t="shared" si="3"/>
      </c>
      <c r="GS153" s="91" t="str">
        <f t="shared" si="3"/>
      </c>
      <c r="GT153" s="91" t="str">
        <f t="shared" si="3"/>
      </c>
      <c r="GU153" s="91" t="str">
        <f t="shared" si="3"/>
      </c>
      <c r="GV153" s="91" t="str">
        <f t="shared" si="3"/>
      </c>
      <c r="GW153" s="91" t="str">
        <f t="shared" si="3"/>
      </c>
      <c r="GX153" s="91" t="str">
        <f t="shared" si="3"/>
      </c>
      <c r="GY153" s="91" t="str">
        <f t="shared" si="3"/>
      </c>
      <c r="GZ153" s="91" t="str">
        <f t="shared" si="3"/>
      </c>
      <c r="HA153" s="91" t="str">
        <f t="shared" si="3"/>
      </c>
      <c r="HB153" s="91" t="str">
        <f t="shared" si="3"/>
      </c>
      <c r="HC153" s="91" t="str">
        <f t="shared" si="3"/>
      </c>
      <c r="HD153" s="91" t="str">
        <f t="shared" si="3"/>
      </c>
      <c r="HE153" s="91" t="str">
        <f t="shared" si="3"/>
      </c>
      <c r="HF153" s="91" t="str">
        <f t="shared" si="3"/>
      </c>
      <c r="HG153" s="91" t="str">
        <f t="shared" si="3"/>
      </c>
      <c r="HH153" s="91" t="str">
        <f t="shared" si="3"/>
      </c>
      <c r="HI153" s="91" t="str">
        <f t="shared" si="3"/>
      </c>
      <c r="HJ153" s="91" t="str">
        <f t="shared" si="3"/>
      </c>
      <c r="HK153" s="91" t="str">
        <f t="shared" si="3"/>
      </c>
      <c r="HL153" s="91" t="str">
        <f t="shared" si="3"/>
      </c>
      <c r="HM153" s="91" t="str">
        <f ref="HM153:IV153" t="shared" si="4">IF(SUM(HM134:HM152)&lt;&gt;0,SUM(HM134:HM152),"")</f>
      </c>
      <c r="HN153" s="91" t="str">
        <f t="shared" si="4"/>
      </c>
      <c r="HO153" s="91" t="str">
        <f t="shared" si="4"/>
      </c>
      <c r="HP153" s="91" t="str">
        <f t="shared" si="4"/>
      </c>
      <c r="HQ153" s="91" t="str">
        <f t="shared" si="4"/>
      </c>
      <c r="HR153" s="91" t="str">
        <f t="shared" si="4"/>
      </c>
      <c r="HS153" s="91" t="str">
        <f t="shared" si="4"/>
      </c>
      <c r="HT153" s="91" t="str">
        <f t="shared" si="4"/>
      </c>
      <c r="HU153" s="91" t="str">
        <f t="shared" si="4"/>
      </c>
      <c r="HV153" s="91" t="str">
        <f t="shared" si="4"/>
      </c>
      <c r="HW153" s="91" t="str">
        <f t="shared" si="4"/>
      </c>
      <c r="HX153" s="91" t="str">
        <f t="shared" si="4"/>
      </c>
      <c r="HY153" s="91" t="str">
        <f t="shared" si="4"/>
      </c>
      <c r="HZ153" s="91" t="str">
        <f t="shared" si="4"/>
      </c>
      <c r="IA153" s="91" t="str">
        <f t="shared" si="4"/>
      </c>
      <c r="IB153" s="91" t="str">
        <f t="shared" si="4"/>
      </c>
      <c r="IC153" s="91" t="str">
        <f t="shared" si="4"/>
      </c>
      <c r="ID153" s="91" t="str">
        <f t="shared" si="4"/>
      </c>
      <c r="IE153" s="91" t="str">
        <f t="shared" si="4"/>
      </c>
      <c r="IF153" s="91" t="str">
        <f t="shared" si="4"/>
      </c>
      <c r="IG153" s="91" t="str">
        <f t="shared" si="4"/>
      </c>
      <c r="IH153" s="91" t="str">
        <f t="shared" si="4"/>
      </c>
      <c r="II153" s="91" t="str">
        <f t="shared" si="4"/>
      </c>
      <c r="IJ153" s="91" t="str">
        <f t="shared" si="4"/>
      </c>
      <c r="IK153" s="91" t="str">
        <f t="shared" si="4"/>
      </c>
      <c r="IL153" s="91" t="str">
        <f t="shared" si="4"/>
      </c>
      <c r="IM153" s="91" t="str">
        <f t="shared" si="4"/>
      </c>
      <c r="IN153" s="91" t="str">
        <f t="shared" si="4"/>
      </c>
      <c r="IO153" s="91" t="str">
        <f t="shared" si="4"/>
      </c>
      <c r="IP153" s="91" t="str">
        <f t="shared" si="4"/>
      </c>
      <c r="IQ153" s="91" t="str">
        <f t="shared" si="4"/>
      </c>
      <c r="IR153" s="91" t="str">
        <f t="shared" si="4"/>
      </c>
      <c r="IS153" s="91" t="str">
        <f t="shared" si="4"/>
      </c>
      <c r="IT153" s="91" t="str">
        <f t="shared" si="4"/>
      </c>
      <c r="IU153" s="91" t="str">
        <f t="shared" si="4"/>
      </c>
      <c r="IV153" s="91" t="str">
        <f t="shared" si="4"/>
      </c>
    </row>
    <row r="154" hidden="1" ht="13.5" customHeight="1">
      <c r="N154" s="284"/>
    </row>
    <row r="155" hidden="1" ht="13.5" customHeight="1">
      <c r="A155" s="50"/>
      <c r="B155" s="50"/>
      <c r="C155" s="686" t="s">
        <v>236</v>
      </c>
      <c r="D155" s="687"/>
      <c r="E155" s="687"/>
      <c r="F155" s="687"/>
      <c r="G155" s="687"/>
      <c r="H155" s="687"/>
      <c r="I155" s="687"/>
      <c r="J155" s="687"/>
      <c r="K155" s="687"/>
      <c r="L155" s="687"/>
      <c r="M155" s="687"/>
      <c r="N155" s="687"/>
      <c r="O155" s="687"/>
      <c r="P155" s="687"/>
      <c r="Q155" s="687"/>
      <c r="R155" s="687"/>
      <c r="S155" s="687"/>
      <c r="T155" s="687"/>
      <c r="U155" s="687"/>
      <c r="V155" s="687"/>
      <c r="W155" s="687"/>
      <c r="X155" s="687"/>
      <c r="Y155" s="687"/>
      <c r="Z155" s="687"/>
      <c r="AA155" s="687"/>
      <c r="AB155" s="688"/>
    </row>
    <row r="156" hidden="1" ht="12.75" customHeight="1">
      <c r="A156" s="216"/>
      <c r="C156" s="435" t="str">
        <f> IF(C176&lt;&gt;"",TEXT(AUX!G$1,"dd-MMM-aa"),"")</f>
      </c>
      <c r="D156" s="435" t="str">
        <f> IF(D176&lt;&gt;"",TEXT(AUX!H$1,"dd-MMM-aa"),"")</f>
      </c>
      <c r="E156" s="435" t="str">
        <f> IF(E176&lt;&gt;"",TEXT(AUX!I$1,"dd-MMM-aa"),"")</f>
      </c>
      <c r="F156" s="435" t="str">
        <f> IF(F176&lt;&gt;"",TEXT(AUX!J$1,"dd-MMM-aa"),"")</f>
      </c>
      <c r="G156" s="435" t="str">
        <f> IF(G176&lt;&gt;"",TEXT(AUX!K$1,"dd-MMM-aa"),"")</f>
      </c>
      <c r="H156" s="435" t="str">
        <f> IF(H176&lt;&gt;"",TEXT(AUX!L$1,"dd-MMM-aa"),"")</f>
      </c>
      <c r="I156" s="435" t="str">
        <f> IF(I176&lt;&gt;"",TEXT(AUX!M$1,"dd-MMM-aa"),"")</f>
      </c>
      <c r="J156" s="435" t="str">
        <f> IF(J176&lt;&gt;"",TEXT(AUX!N$1,"dd-MMM-aa"),"")</f>
      </c>
      <c r="K156" s="435" t="str">
        <f> IF(K176&lt;&gt;"",TEXT(AUX!O$1,"dd-MMM-aa"),"")</f>
      </c>
      <c r="L156" s="435" t="str">
        <f> IF(L176&lt;&gt;"",TEXT(AUX!P$1,"dd-MMM-aa"),"")</f>
      </c>
      <c r="M156" s="435" t="str">
        <f> IF(M176&lt;&gt;"",TEXT(AUX!Q$1,"dd-MMM-aa"),"")</f>
      </c>
      <c r="N156" s="435" t="str">
        <f> IF(N176&lt;&gt;"",TEXT(AUX!R$1,"dd-MMM-aa"),"")</f>
      </c>
      <c r="O156" s="435" t="str">
        <f> IF(O176&lt;&gt;"",TEXT(AUX!S$1,"dd-MMM-aa"),"")</f>
      </c>
      <c r="P156" s="435" t="str">
        <f> IF(P176&lt;&gt;"",TEXT(AUX!T$1,"dd-MMM-aa"),"")</f>
      </c>
      <c r="Q156" s="435" t="str">
        <f> IF(Q176&lt;&gt;"",TEXT(AUX!U$1,"dd-MMM-aa"),"")</f>
      </c>
      <c r="R156" s="435" t="str">
        <f> IF(R176&lt;&gt;"",TEXT(AUX!V$1,"dd-MMM-aa"),"")</f>
      </c>
      <c r="S156" s="435" t="str">
        <f> IF(S176&lt;&gt;"",TEXT(AUX!W$1,"dd-MMM-aa"),"")</f>
      </c>
      <c r="T156" s="435" t="str">
        <f> IF(T176&lt;&gt;"",TEXT(AUX!X$1,"dd-MMM-aa"),"")</f>
      </c>
      <c r="U156" s="435" t="str">
        <f> IF(U176&lt;&gt;"",TEXT(AUX!Y$1,"dd-MMM-aa"),"")</f>
      </c>
      <c r="V156" s="435" t="str">
        <f> IF(V176&lt;&gt;"",TEXT(AUX!Z$1,"dd-MMM-aa"),"")</f>
      </c>
      <c r="W156" s="435" t="str">
        <f> IF(W176&lt;&gt;"",TEXT(AUX!AA$1,"dd-MMM-aa"),"")</f>
      </c>
      <c r="X156" s="435" t="str">
        <f> IF(X176&lt;&gt;"",TEXT(AUX!AB$1,"dd-MMM-aa"),"")</f>
      </c>
      <c r="Y156" s="435" t="str">
        <f> IF(Y176&lt;&gt;"",TEXT(AUX!AC$1,"dd-MMM-aa"),"")</f>
      </c>
      <c r="Z156" s="435" t="str">
        <f> IF(Z176&lt;&gt;"",TEXT(AUX!AD$1,"dd-MMM-aa"),"")</f>
      </c>
      <c r="AA156" s="435" t="str">
        <f> IF(AA176&lt;&gt;"",TEXT(AUX!AE$1,"dd-MMM-aa"),"")</f>
      </c>
      <c r="AB156" s="497" t="str">
        <f> IF(AB176&lt;&gt;"",TEXT(AUX!AF$1,"dd-MMM-aa"),"")</f>
      </c>
      <c r="AC156" s="496" t="str">
        <f> IF(AC176&lt;&gt;"",TEXT(AUX!AG$1,"dd-MMM-aa"),"")</f>
      </c>
      <c r="AD156" s="496" t="str">
        <f> IF(AD176&lt;&gt;"",TEXT(AUX!AH$1,"dd-MMM-aa"),"")</f>
      </c>
      <c r="AE156" s="496" t="str">
        <f> IF(AE176&lt;&gt;"",TEXT(AUX!AI$1,"dd-MMM-aa"),"")</f>
      </c>
      <c r="AF156" s="496" t="str">
        <f> IF(AF176&lt;&gt;"",TEXT(AUX!AJ$1,"dd-MMM-aa"),"")</f>
      </c>
      <c r="AG156" s="496" t="str">
        <f> IF(AG176&lt;&gt;"",TEXT(AUX!AK$1,"dd-MMM-aa"),"")</f>
      </c>
      <c r="AH156" s="496" t="str">
        <f> IF(AH176&lt;&gt;"",TEXT(AUX!AL$1,"dd-MMM-aa"),"")</f>
      </c>
      <c r="AI156" s="496" t="str">
        <f> IF(AI176&lt;&gt;"",TEXT(AUX!AM$1,"dd-MMM-aa"),"")</f>
      </c>
      <c r="AJ156" s="496" t="str">
        <f> IF(AJ176&lt;&gt;"",TEXT(AUX!AN$1,"dd-MMM-aa"),"")</f>
      </c>
      <c r="AK156" s="496" t="str">
        <f> IF(AK176&lt;&gt;"",TEXT(AUX!AO$1,"dd-MMM-aa"),"")</f>
      </c>
      <c r="AL156" s="496" t="str">
        <f> IF(AL176&lt;&gt;"",TEXT(AUX!AP$1,"dd-MMM-aa"),"")</f>
      </c>
      <c r="AM156" s="496" t="str">
        <f> IF(AM176&lt;&gt;"",TEXT(AUX!AQ$1,"dd-MMM-aa"),"")</f>
      </c>
      <c r="AN156" s="496" t="str">
        <f> IF(AN176&lt;&gt;"",TEXT(AUX!AR$1,"dd-MMM-aa"),"")</f>
      </c>
      <c r="AO156" s="496" t="str">
        <f> IF(AO176&lt;&gt;"",TEXT(AUX!AS$1,"dd-MMM-aa"),"")</f>
      </c>
      <c r="AP156" s="496" t="str">
        <f> IF(AP176&lt;&gt;"",TEXT(AUX!AT$1,"dd-MMM-aa"),"")</f>
      </c>
      <c r="AQ156" s="496" t="str">
        <f> IF(AQ176&lt;&gt;"",TEXT(AUX!AU$1,"dd-MMM-aa"),"")</f>
      </c>
      <c r="AR156" s="496" t="str">
        <f> IF(AR176&lt;&gt;"",TEXT(AUX!AV$1,"dd-MMM-aa"),"")</f>
      </c>
      <c r="AS156" s="496" t="str">
        <f> IF(AS176&lt;&gt;"",TEXT(AUX!AW$1,"dd-MMM-aa"),"")</f>
      </c>
      <c r="AT156" s="496" t="str">
        <f> IF(AT176&lt;&gt;"",TEXT(AUX!AX$1,"dd-MMM-aa"),"")</f>
      </c>
      <c r="AU156" s="496" t="str">
        <f> IF(AU176&lt;&gt;"",TEXT(AUX!AY$1,"dd-MMM-aa"),"")</f>
      </c>
      <c r="AV156" s="496" t="str">
        <f> IF(AV176&lt;&gt;"",TEXT(AUX!AZ$1,"dd-MMM-aa"),"")</f>
      </c>
      <c r="AW156" s="496" t="str">
        <f> IF(AW176&lt;&gt;"",TEXT(AUX!BA$1,"dd-MMM-aa"),"")</f>
      </c>
      <c r="AX156" s="496" t="str">
        <f> IF(AX176&lt;&gt;"",TEXT(AUX!BB$1,"dd-MMM-aa"),"")</f>
      </c>
      <c r="AY156" s="496" t="str">
        <f> IF(AY176&lt;&gt;"",TEXT(AUX!BC$1,"dd-MMM-aa"),"")</f>
      </c>
      <c r="AZ156" s="496" t="str">
        <f> IF(AZ176&lt;&gt;"",TEXT(AUX!BD$1,"dd-MMM-aa"),"")</f>
      </c>
      <c r="BA156" s="496" t="str">
        <f> IF(BA176&lt;&gt;"",TEXT(AUX!BE$1,"dd-MMM-aa"),"")</f>
      </c>
      <c r="BB156" s="496" t="str">
        <f> IF(BB176&lt;&gt;"",TEXT(AUX!BF$1,"dd-MMM-aa"),"")</f>
      </c>
      <c r="BC156" s="496" t="str">
        <f> IF(BC176&lt;&gt;"",TEXT(AUX!BG$1,"dd-MMM-aa"),"")</f>
      </c>
      <c r="BD156" s="496" t="str">
        <f> IF(BD176&lt;&gt;"",TEXT(AUX!BH$1,"dd-MMM-aa"),"")</f>
      </c>
      <c r="BE156" s="496" t="str">
        <f> IF(BE176&lt;&gt;"",TEXT(AUX!BI$1,"dd-MMM-aa"),"")</f>
      </c>
      <c r="BF156" s="496" t="str">
        <f> IF(BF176&lt;&gt;"",TEXT(AUX!BJ$1,"dd-MMM-aa"),"")</f>
      </c>
      <c r="BG156" s="496" t="str">
        <f> IF(BG176&lt;&gt;"",TEXT(AUX!BK$1,"dd-MMM-aa"),"")</f>
      </c>
      <c r="BH156" s="496" t="str">
        <f> IF(BH176&lt;&gt;"",TEXT(AUX!BL$1,"dd-MMM-aa"),"")</f>
      </c>
      <c r="BI156" s="496" t="str">
        <f> IF(BI176&lt;&gt;"",TEXT(AUX!BM$1,"dd-MMM-aa"),"")</f>
      </c>
      <c r="BJ156" s="496" t="str">
        <f> IF(BJ176&lt;&gt;"",TEXT(AUX!BN$1,"dd-MMM-aa"),"")</f>
      </c>
      <c r="BK156" s="496" t="str">
        <f> IF(BK176&lt;&gt;"",TEXT(AUX!BO$1,"dd-MMM-aa"),"")</f>
      </c>
      <c r="BL156" s="496" t="str">
        <f> IF(BL176&lt;&gt;"",TEXT(AUX!BP$1,"dd-MMM-aa"),"")</f>
      </c>
      <c r="BM156" s="496" t="str">
        <f> IF(BM176&lt;&gt;"",TEXT(AUX!BQ$1,"dd-MMM-aa"),"")</f>
      </c>
      <c r="BN156" s="496" t="str">
        <f> IF(BN176&lt;&gt;"",TEXT(AUX!BR$1,"dd-MMM-aa"),"")</f>
      </c>
      <c r="BO156" s="496" t="str">
        <f> IF(BO176&lt;&gt;"",TEXT(AUX!BS$1,"dd-MMM-aa"),"")</f>
      </c>
      <c r="BP156" s="496" t="str">
        <f> IF(BP176&lt;&gt;"",TEXT(AUX!BT$1,"dd-MMM-aa"),"")</f>
      </c>
      <c r="BQ156" s="496" t="str">
        <f> IF(BQ176&lt;&gt;"",TEXT(AUX!BU$1,"dd-MMM-aa"),"")</f>
      </c>
      <c r="BR156" s="496" t="str">
        <f> IF(BR176&lt;&gt;"",TEXT(AUX!BV$1,"dd-MMM-aa"),"")</f>
      </c>
      <c r="BS156" s="496" t="str">
        <f> IF(BS176&lt;&gt;"",TEXT(AUX!BW$1,"dd-MMM-aa"),"")</f>
      </c>
      <c r="BT156" s="496" t="str">
        <f> IF(BT176&lt;&gt;"",TEXT(AUX!BX$1,"dd-MMM-aa"),"")</f>
      </c>
      <c r="BU156" s="496" t="str">
        <f> IF(BU176&lt;&gt;"",TEXT(AUX!BY$1,"dd-MMM-aa"),"")</f>
      </c>
      <c r="BV156" s="496" t="str">
        <f> IF(BV176&lt;&gt;"",TEXT(AUX!BZ$1,"dd-MMM-aa"),"")</f>
      </c>
      <c r="BW156" s="496" t="str">
        <f> IF(BW176&lt;&gt;"",TEXT(AUX!CA$1,"dd-MMM-aa"),"")</f>
      </c>
      <c r="BX156" s="496" t="str">
        <f> IF(BX176&lt;&gt;"",TEXT(AUX!CB$1,"dd-MMM-aa"),"")</f>
      </c>
      <c r="BY156" s="496" t="str">
        <f> IF(BY176&lt;&gt;"",TEXT(AUX!CC$1,"dd-MMM-aa"),"")</f>
      </c>
      <c r="BZ156" s="496" t="str">
        <f> IF(BZ176&lt;&gt;"",TEXT(AUX!CD$1,"dd-MMM-aa"),"")</f>
      </c>
      <c r="CA156" s="496" t="str">
        <f> IF(CA176&lt;&gt;"",TEXT(AUX!CE$1,"dd-MMM-aa"),"")</f>
      </c>
      <c r="CB156" s="496" t="str">
        <f> IF(CB176&lt;&gt;"",TEXT(AUX!CF$1,"dd-MMM-aa"),"")</f>
      </c>
      <c r="CC156" s="496" t="str">
        <f> IF(CC176&lt;&gt;"",TEXT(AUX!CG$1,"dd-MMM-aa"),"")</f>
      </c>
      <c r="CD156" s="496" t="str">
        <f> IF(CD176&lt;&gt;"",TEXT(AUX!CH$1,"dd-MMM-aa"),"")</f>
      </c>
      <c r="CE156" s="496" t="str">
        <f> IF(CE176&lt;&gt;"",TEXT(AUX!CI$1,"dd-MMM-aa"),"")</f>
      </c>
      <c r="CF156" s="496" t="str">
        <f> IF(CF176&lt;&gt;"",TEXT(AUX!CJ$1,"dd-MMM-aa"),"")</f>
      </c>
      <c r="CG156" s="496" t="str">
        <f> IF(CG176&lt;&gt;"",TEXT(AUX!CK$1,"dd-MMM-aa"),"")</f>
      </c>
      <c r="CH156" s="496" t="str">
        <f> IF(CH176&lt;&gt;"",TEXT(AUX!CL$1,"dd-MMM-aa"),"")</f>
      </c>
      <c r="CI156" s="496" t="str">
        <f> IF(CI176&lt;&gt;"",TEXT(AUX!CM$1,"dd-MMM-aa"),"")</f>
      </c>
      <c r="CJ156" s="496" t="str">
        <f> IF(CJ176&lt;&gt;"",TEXT(AUX!CN$1,"dd-MMM-aa"),"")</f>
      </c>
      <c r="CK156" s="496" t="str">
        <f> IF(CK176&lt;&gt;"",TEXT(AUX!CO$1,"dd-MMM-aa"),"")</f>
      </c>
      <c r="CL156" s="496" t="str">
        <f> IF(CL176&lt;&gt;"",TEXT(AUX!CP$1,"dd-MMM-aa"),"")</f>
      </c>
      <c r="CM156" s="496" t="str">
        <f> IF(CM176&lt;&gt;"",TEXT(AUX!CQ$1,"dd-MMM-aa"),"")</f>
      </c>
      <c r="CN156" s="496" t="str">
        <f> IF(CN176&lt;&gt;"",TEXT(AUX!CR$1,"dd-MMM-aa"),"")</f>
      </c>
      <c r="CO156" s="496" t="str">
        <f> IF(CO176&lt;&gt;"",TEXT(AUX!CS$1,"dd-MMM-aa"),"")</f>
      </c>
      <c r="CP156" s="496" t="str">
        <f> IF(CP176&lt;&gt;"",TEXT(AUX!CT$1,"dd-MMM-aa"),"")</f>
      </c>
      <c r="CQ156" s="496" t="str">
        <f> IF(CQ176&lt;&gt;"",TEXT(AUX!CU$1,"dd-MMM-aa"),"")</f>
      </c>
      <c r="CR156" s="496" t="str">
        <f> IF(CR176&lt;&gt;"",TEXT(AUX!CV$1,"dd-MMM-aa"),"")</f>
      </c>
      <c r="CS156" s="496" t="str">
        <f> IF(CS176&lt;&gt;"",TEXT(AUX!CW$1,"dd-MMM-aa"),"")</f>
      </c>
      <c r="CT156" s="496" t="str">
        <f> IF(CT176&lt;&gt;"",TEXT(AUX!CX$1,"dd-MMM-aa"),"")</f>
      </c>
      <c r="CU156" s="496" t="str">
        <f> IF(CU176&lt;&gt;"",TEXT(AUX!CY$1,"dd-MMM-aa"),"")</f>
      </c>
      <c r="CV156" s="496" t="str">
        <f> IF(CV176&lt;&gt;"",TEXT(AUX!CZ$1,"dd-MMM-aa"),"")</f>
      </c>
      <c r="CW156" s="496" t="str">
        <f> IF(CW176&lt;&gt;"",TEXT(AUX!DA$1,"dd-MMM-aa"),"")</f>
      </c>
      <c r="CX156" s="496" t="str">
        <f> IF(CX176&lt;&gt;"",TEXT(AUX!DB$1,"dd-MMM-aa"),"")</f>
      </c>
      <c r="CY156" s="496" t="str">
        <f> IF(CY176&lt;&gt;"",TEXT(AUX!DC$1,"dd-MMM-aa"),"")</f>
      </c>
      <c r="CZ156" s="496" t="str">
        <f> IF(CZ176&lt;&gt;"",TEXT(AUX!DD$1,"dd-MMM-aa"),"")</f>
      </c>
      <c r="DA156" s="496" t="str">
        <f> IF(DA176&lt;&gt;"",TEXT(AUX!DE$1,"dd-MMM-aa"),"")</f>
      </c>
      <c r="DB156" s="496" t="str">
        <f> IF(DB176&lt;&gt;"",TEXT(AUX!DF$1,"dd-MMM-aa"),"")</f>
      </c>
      <c r="DC156" s="496" t="str">
        <f> IF(DC176&lt;&gt;"",TEXT(AUX!DG$1,"dd-MMM-aa"),"")</f>
      </c>
      <c r="DD156" s="496" t="str">
        <f> IF(DD176&lt;&gt;"",TEXT(AUX!DH$1,"dd-MMM-aa"),"")</f>
      </c>
      <c r="DE156" s="496" t="str">
        <f> IF(DE176&lt;&gt;"",TEXT(AUX!DI$1,"dd-MMM-aa"),"")</f>
      </c>
      <c r="DF156" s="496" t="str">
        <f> IF(DF176&lt;&gt;"",TEXT(AUX!DJ$1,"dd-MMM-aa"),"")</f>
      </c>
      <c r="DG156" s="496" t="str">
        <f> IF(DG176&lt;&gt;"",TEXT(AUX!DK$1,"dd-MMM-aa"),"")</f>
      </c>
      <c r="DH156" s="496" t="str">
        <f> IF(DH176&lt;&gt;"",TEXT(AUX!DL$1,"dd-MMM-aa"),"")</f>
      </c>
      <c r="DI156" s="496" t="str">
        <f> IF(DI176&lt;&gt;"",TEXT(AUX!DM$1,"dd-MMM-aa"),"")</f>
      </c>
      <c r="DJ156" s="496" t="str">
        <f> IF(DJ176&lt;&gt;"",TEXT(AUX!DN$1,"dd-MMM-aa"),"")</f>
      </c>
      <c r="DK156" s="496" t="str">
        <f> IF(DK176&lt;&gt;"",TEXT(AUX!DO$1,"dd-MMM-aa"),"")</f>
      </c>
      <c r="DL156" s="496" t="str">
        <f> IF(DL176&lt;&gt;"",TEXT(AUX!DP$1,"dd-MMM-aa"),"")</f>
      </c>
      <c r="DM156" s="496" t="str">
        <f> IF(DM176&lt;&gt;"",TEXT(AUX!DQ$1,"dd-MMM-aa"),"")</f>
      </c>
      <c r="DN156" s="496" t="str">
        <f> IF(DN176&lt;&gt;"",TEXT(AUX!DR$1,"dd-MMM-aa"),"")</f>
      </c>
      <c r="DO156" s="496" t="str">
        <f> IF(DO176&lt;&gt;"",TEXT(AUX!DS$1,"dd-MMM-aa"),"")</f>
      </c>
      <c r="DP156" s="496" t="str">
        <f> IF(DP176&lt;&gt;"",TEXT(AUX!DT$1,"dd-MMM-aa"),"")</f>
      </c>
      <c r="DQ156" s="496" t="str">
        <f> IF(DQ176&lt;&gt;"",TEXT(AUX!DU$1,"dd-MMM-aa"),"")</f>
      </c>
      <c r="DR156" s="496" t="str">
        <f> IF(DR176&lt;&gt;"",TEXT(AUX!DV$1,"dd-MMM-aa"),"")</f>
      </c>
      <c r="DS156" s="496" t="str">
        <f> IF(DS176&lt;&gt;"",TEXT(AUX!DW$1,"dd-MMM-aa"),"")</f>
      </c>
      <c r="DT156" s="496" t="str">
        <f> IF(DT176&lt;&gt;"",TEXT(AUX!DX$1,"dd-MMM-aa"),"")</f>
      </c>
      <c r="DU156" s="496" t="str">
        <f> IF(DU176&lt;&gt;"",TEXT(AUX!DY$1,"dd-MMM-aa"),"")</f>
      </c>
      <c r="DV156" s="496" t="str">
        <f> IF(DV176&lt;&gt;"",TEXT(AUX!DZ$1,"dd-MMM-aa"),"")</f>
      </c>
      <c r="DW156" s="496" t="str">
        <f> IF(DW176&lt;&gt;"",TEXT(AUX!EA$1,"dd-MMM-aa"),"")</f>
      </c>
      <c r="DX156" s="496" t="str">
        <f> IF(DX176&lt;&gt;"",TEXT(AUX!EB$1,"dd-MMM-aa"),"")</f>
      </c>
      <c r="DY156" s="496" t="str">
        <f> IF(DY176&lt;&gt;"",TEXT(AUX!EC$1,"dd-MMM-aa"),"")</f>
      </c>
      <c r="DZ156" s="496" t="str">
        <f> IF(DZ176&lt;&gt;"",TEXT(AUX!ED$1,"dd-MMM-aa"),"")</f>
      </c>
      <c r="EA156" s="496" t="str">
        <f> IF(EA176&lt;&gt;"",TEXT(AUX!EE$1,"dd-MMM-aa"),"")</f>
      </c>
      <c r="EB156" s="496" t="str">
        <f> IF(EB176&lt;&gt;"",TEXT(AUX!EF$1,"dd-MMM-aa"),"")</f>
      </c>
      <c r="EC156" s="496" t="str">
        <f> IF(EC176&lt;&gt;"",TEXT(AUX!EG$1,"dd-MMM-aa"),"")</f>
      </c>
      <c r="ED156" s="496" t="str">
        <f> IF(ED176&lt;&gt;"",TEXT(AUX!EH$1,"dd-MMM-aa"),"")</f>
      </c>
      <c r="EE156" s="496" t="str">
        <f> IF(EE176&lt;&gt;"",TEXT(AUX!EI$1,"dd-MMM-aa"),"")</f>
      </c>
      <c r="EF156" s="496" t="str">
        <f> IF(EF176&lt;&gt;"",TEXT(AUX!EJ$1,"dd-MMM-aa"),"")</f>
      </c>
      <c r="EG156" s="496" t="str">
        <f> IF(EG176&lt;&gt;"",TEXT(AUX!EK$1,"dd-MMM-aa"),"")</f>
      </c>
      <c r="EH156" s="496" t="str">
        <f> IF(EH176&lt;&gt;"",TEXT(AUX!EL$1,"dd-MMM-aa"),"")</f>
      </c>
      <c r="EI156" s="496" t="str">
        <f> IF(EI176&lt;&gt;"",TEXT(AUX!EM$1,"dd-MMM-aa"),"")</f>
      </c>
      <c r="EJ156" s="496" t="str">
        <f> IF(EJ176&lt;&gt;"",TEXT(AUX!EN$1,"dd-MMM-aa"),"")</f>
      </c>
      <c r="EK156" s="496" t="str">
        <f> IF(EK176&lt;&gt;"",TEXT(AUX!EO$1,"dd-MMM-aa"),"")</f>
      </c>
      <c r="EL156" s="496" t="str">
        <f> IF(EL176&lt;&gt;"",TEXT(AUX!EP$1,"dd-MMM-aa"),"")</f>
      </c>
      <c r="EM156" s="496" t="str">
        <f> IF(EM176&lt;&gt;"",TEXT(AUX!EQ$1,"dd-MMM-aa"),"")</f>
      </c>
      <c r="EN156" s="496" t="str">
        <f> IF(EN176&lt;&gt;"",TEXT(AUX!ER$1,"dd-MMM-aa"),"")</f>
      </c>
      <c r="EO156" s="496" t="str">
        <f> IF(EO176&lt;&gt;"",TEXT(AUX!ES$1,"dd-MMM-aa"),"")</f>
      </c>
      <c r="EP156" s="496" t="str">
        <f> IF(EP176&lt;&gt;"",TEXT(AUX!ET$1,"dd-MMM-aa"),"")</f>
      </c>
      <c r="EQ156" s="496" t="str">
        <f> IF(EQ176&lt;&gt;"",TEXT(AUX!EU$1,"dd-MMM-aa"),"")</f>
      </c>
      <c r="ER156" s="496" t="str">
        <f> IF(ER176&lt;&gt;"",TEXT(AUX!EV$1,"dd-MMM-aa"),"")</f>
      </c>
      <c r="ES156" s="496" t="str">
        <f> IF(ES176&lt;&gt;"",TEXT(AUX!EW$1,"dd-MMM-aa"),"")</f>
      </c>
      <c r="ET156" s="496" t="str">
        <f> IF(ET176&lt;&gt;"",TEXT(AUX!EX$1,"dd-MMM-aa"),"")</f>
      </c>
      <c r="EU156" s="496" t="str">
        <f> IF(EU176&lt;&gt;"",TEXT(AUX!EY$1,"dd-MMM-aa"),"")</f>
      </c>
      <c r="EV156" s="496" t="str">
        <f> IF(EV176&lt;&gt;"",TEXT(AUX!EZ$1,"dd-MMM-aa"),"")</f>
      </c>
      <c r="EW156" s="496" t="str">
        <f> IF(EW176&lt;&gt;"",TEXT(AUX!FA$1,"dd-MMM-aa"),"")</f>
      </c>
      <c r="EX156" s="496" t="str">
        <f> IF(EX176&lt;&gt;"",TEXT(AUX!FB$1,"dd-MMM-aa"),"")</f>
      </c>
      <c r="EY156" s="496" t="str">
        <f> IF(EY176&lt;&gt;"",TEXT(AUX!FC$1,"dd-MMM-aa"),"")</f>
      </c>
      <c r="EZ156" s="496" t="str">
        <f> IF(EZ176&lt;&gt;"",TEXT(AUX!FD$1,"dd-MMM-aa"),"")</f>
      </c>
      <c r="FA156" s="496" t="str">
        <f> IF(FA176&lt;&gt;"",TEXT(AUX!FE$1,"dd-MMM-aa"),"")</f>
      </c>
      <c r="FB156" s="496" t="str">
        <f> IF(FB176&lt;&gt;"",TEXT(AUX!FF$1,"dd-MMM-aa"),"")</f>
      </c>
      <c r="FC156" s="496" t="str">
        <f> IF(FC176&lt;&gt;"",TEXT(AUX!FG$1,"dd-MMM-aa"),"")</f>
      </c>
      <c r="FD156" s="496" t="str">
        <f> IF(FD176&lt;&gt;"",TEXT(AUX!FH$1,"dd-MMM-aa"),"")</f>
      </c>
      <c r="FE156" s="496" t="str">
        <f> IF(FE176&lt;&gt;"",TEXT(AUX!FI$1,"dd-MMM-aa"),"")</f>
      </c>
      <c r="FF156" s="496" t="str">
        <f> IF(FF176&lt;&gt;"",TEXT(AUX!FJ$1,"dd-MMM-aa"),"")</f>
      </c>
      <c r="FG156" s="496" t="str">
        <f> IF(FG176&lt;&gt;"",TEXT(AUX!FK$1,"dd-MMM-aa"),"")</f>
      </c>
      <c r="FH156" s="496" t="str">
        <f> IF(FH176&lt;&gt;"",TEXT(AUX!FL$1,"dd-MMM-aa"),"")</f>
      </c>
      <c r="FI156" s="496" t="str">
        <f> IF(FI176&lt;&gt;"",TEXT(AUX!FM$1,"dd-MMM-aa"),"")</f>
      </c>
      <c r="FJ156" s="496" t="str">
        <f> IF(FJ176&lt;&gt;"",TEXT(AUX!FN$1,"dd-MMM-aa"),"")</f>
      </c>
      <c r="FK156" s="496" t="str">
        <f> IF(FK176&lt;&gt;"",TEXT(AUX!FO$1,"dd-MMM-aa"),"")</f>
      </c>
      <c r="FL156" s="496" t="str">
        <f> IF(FL176&lt;&gt;"",TEXT(AUX!FP$1,"dd-MMM-aa"),"")</f>
      </c>
      <c r="FM156" s="496" t="str">
        <f> IF(FM176&lt;&gt;"",TEXT(AUX!FQ$1,"dd-MMM-aa"),"")</f>
      </c>
      <c r="FN156" s="496" t="str">
        <f> IF(FN176&lt;&gt;"",TEXT(AUX!FR$1,"dd-MMM-aa"),"")</f>
      </c>
      <c r="FO156" s="496" t="str">
        <f> IF(FO176&lt;&gt;"",TEXT(AUX!FS$1,"dd-MMM-aa"),"")</f>
      </c>
      <c r="FP156" s="496" t="str">
        <f> IF(FP176&lt;&gt;"",TEXT(AUX!FT$1,"dd-MMM-aa"),"")</f>
      </c>
      <c r="FQ156" s="496" t="str">
        <f> IF(FQ176&lt;&gt;"",TEXT(AUX!FU$1,"dd-MMM-aa"),"")</f>
      </c>
      <c r="FR156" s="496" t="str">
        <f> IF(FR176&lt;&gt;"",TEXT(AUX!FV$1,"dd-MMM-aa"),"")</f>
      </c>
      <c r="FS156" s="496" t="str">
        <f> IF(FS176&lt;&gt;"",TEXT(AUX!FW$1,"dd-MMM-aa"),"")</f>
      </c>
      <c r="FT156" s="496" t="str">
        <f> IF(FT176&lt;&gt;"",TEXT(AUX!FX$1,"dd-MMM-aa"),"")</f>
      </c>
      <c r="FU156" s="496" t="str">
        <f> IF(FU176&lt;&gt;"",TEXT(AUX!FY$1,"dd-MMM-aa"),"")</f>
      </c>
      <c r="FV156" s="496" t="str">
        <f> IF(FV176&lt;&gt;"",TEXT(AUX!FZ$1,"dd-MMM-aa"),"")</f>
      </c>
      <c r="FW156" s="496" t="str">
        <f> IF(FW176&lt;&gt;"",TEXT(AUX!GA$1,"dd-MMM-aa"),"")</f>
      </c>
      <c r="FX156" s="496" t="str">
        <f> IF(FX176&lt;&gt;"",TEXT(AUX!GB$1,"dd-MMM-aa"),"")</f>
      </c>
      <c r="FY156" s="496" t="str">
        <f> IF(FY176&lt;&gt;"",TEXT(AUX!GC$1,"dd-MMM-aa"),"")</f>
      </c>
      <c r="FZ156" s="496" t="str">
        <f> IF(FZ176&lt;&gt;"",TEXT(AUX!GD$1,"dd-MMM-aa"),"")</f>
      </c>
      <c r="GA156" s="496" t="str">
        <f> IF(GA176&lt;&gt;"",TEXT(AUX!GE$1,"dd-MMM-aa"),"")</f>
      </c>
      <c r="GB156" s="496" t="str">
        <f> IF(GB176&lt;&gt;"",TEXT(AUX!GF$1,"dd-MMM-aa"),"")</f>
      </c>
      <c r="GC156" s="496" t="str">
        <f> IF(GC176&lt;&gt;"",TEXT(AUX!GG$1,"dd-MMM-aa"),"")</f>
      </c>
      <c r="GD156" s="496" t="str">
        <f> IF(GD176&lt;&gt;"",TEXT(AUX!GH$1,"dd-MMM-aa"),"")</f>
      </c>
      <c r="GE156" s="496" t="str">
        <f> IF(GE176&lt;&gt;"",TEXT(AUX!GI$1,"dd-MMM-aa"),"")</f>
      </c>
      <c r="GF156" s="496" t="str">
        <f> IF(GF176&lt;&gt;"",TEXT(AUX!GJ$1,"dd-MMM-aa"),"")</f>
      </c>
      <c r="GG156" s="496" t="str">
        <f> IF(GG176&lt;&gt;"",TEXT(AUX!GK$1,"dd-MMM-aa"),"")</f>
      </c>
      <c r="GH156" s="496" t="str">
        <f> IF(GH176&lt;&gt;"",TEXT(AUX!GL$1,"dd-MMM-aa"),"")</f>
      </c>
      <c r="GI156" s="496" t="str">
        <f> IF(GI176&lt;&gt;"",TEXT(AUX!GM$1,"dd-MMM-aa"),"")</f>
      </c>
      <c r="GJ156" s="496" t="str">
        <f> IF(GJ176&lt;&gt;"",TEXT(AUX!GN$1,"dd-MMM-aa"),"")</f>
      </c>
      <c r="GK156" s="496" t="str">
        <f> IF(GK176&lt;&gt;"",TEXT(AUX!GO$1,"dd-MMM-aa"),"")</f>
      </c>
      <c r="GL156" s="496" t="str">
        <f> IF(GL176&lt;&gt;"",TEXT(AUX!GP$1,"dd-MMM-aa"),"")</f>
      </c>
      <c r="GM156" s="496" t="str">
        <f> IF(GM176&lt;&gt;"",TEXT(AUX!GQ$1,"dd-MMM-aa"),"")</f>
      </c>
      <c r="GN156" s="496" t="str">
        <f> IF(GN176&lt;&gt;"",TEXT(AUX!GR$1,"dd-MMM-aa"),"")</f>
      </c>
      <c r="GO156" s="496" t="str">
        <f> IF(GO176&lt;&gt;"",TEXT(AUX!GS$1,"dd-MMM-aa"),"")</f>
      </c>
      <c r="GP156" s="496" t="str">
        <f> IF(GP176&lt;&gt;"",TEXT(AUX!GT$1,"dd-MMM-aa"),"")</f>
      </c>
      <c r="GQ156" s="496" t="str">
        <f> IF(GQ176&lt;&gt;"",TEXT(AUX!GU$1,"dd-MMM-aa"),"")</f>
      </c>
      <c r="GR156" s="496" t="str">
        <f> IF(GR176&lt;&gt;"",TEXT(AUX!GV$1,"dd-MMM-aa"),"")</f>
      </c>
      <c r="GS156" s="496" t="str">
        <f> IF(GS176&lt;&gt;"",TEXT(AUX!GW$1,"dd-MMM-aa"),"")</f>
      </c>
      <c r="GT156" s="496" t="str">
        <f> IF(GT176&lt;&gt;"",TEXT(AUX!GX$1,"dd-MMM-aa"),"")</f>
      </c>
      <c r="GU156" s="496" t="str">
        <f> IF(GU176&lt;&gt;"",TEXT(AUX!GY$1,"dd-MMM-aa"),"")</f>
      </c>
      <c r="GV156" s="496" t="str">
        <f> IF(GV176&lt;&gt;"",TEXT(AUX!GZ$1,"dd-MMM-aa"),"")</f>
      </c>
      <c r="GW156" s="496" t="str">
        <f> IF(GW176&lt;&gt;"",TEXT(AUX!HA$1,"dd-MMM-aa"),"")</f>
      </c>
      <c r="GX156" s="496" t="str">
        <f> IF(GX176&lt;&gt;"",TEXT(AUX!HB$1,"dd-MMM-aa"),"")</f>
      </c>
      <c r="GY156" s="496" t="str">
        <f> IF(GY176&lt;&gt;"",TEXT(AUX!HC$1,"dd-MMM-aa"),"")</f>
      </c>
      <c r="GZ156" s="496" t="str">
        <f> IF(GZ176&lt;&gt;"",TEXT(AUX!HD$1,"dd-MMM-aa"),"")</f>
      </c>
      <c r="HA156" s="496" t="str">
        <f> IF(HA176&lt;&gt;"",TEXT(AUX!HE$1,"dd-MMM-aa"),"")</f>
      </c>
      <c r="HB156" s="496" t="str">
        <f> IF(HB176&lt;&gt;"",TEXT(AUX!HF$1,"dd-MMM-aa"),"")</f>
      </c>
      <c r="HC156" s="496" t="str">
        <f> IF(HC176&lt;&gt;"",TEXT(AUX!HG$1,"dd-MMM-aa"),"")</f>
      </c>
      <c r="HD156" s="496" t="str">
        <f> IF(HD176&lt;&gt;"",TEXT(AUX!HH$1,"dd-MMM-aa"),"")</f>
      </c>
      <c r="HE156" s="496" t="str">
        <f> IF(HE176&lt;&gt;"",TEXT(AUX!HI$1,"dd-MMM-aa"),"")</f>
      </c>
      <c r="HF156" s="496" t="str">
        <f> IF(HF176&lt;&gt;"",TEXT(AUX!HJ$1,"dd-MMM-aa"),"")</f>
      </c>
      <c r="HG156" s="496" t="str">
        <f> IF(HG176&lt;&gt;"",TEXT(AUX!HK$1,"dd-MMM-aa"),"")</f>
      </c>
      <c r="HH156" s="496" t="str">
        <f> IF(HH176&lt;&gt;"",TEXT(AUX!HL$1,"dd-MMM-aa"),"")</f>
      </c>
      <c r="HI156" s="496" t="str">
        <f> IF(HI176&lt;&gt;"",TEXT(AUX!HM$1,"dd-MMM-aa"),"")</f>
      </c>
      <c r="HJ156" s="496" t="str">
        <f> IF(HJ176&lt;&gt;"",TEXT(AUX!HN$1,"dd-MMM-aa"),"")</f>
      </c>
      <c r="HK156" s="496" t="str">
        <f> IF(HK176&lt;&gt;"",TEXT(AUX!HO$1,"dd-MMM-aa"),"")</f>
      </c>
      <c r="HL156" s="496" t="str">
        <f> IF(HL176&lt;&gt;"",TEXT(AUX!HP$1,"dd-MMM-aa"),"")</f>
      </c>
      <c r="HM156" s="496" t="str">
        <f> IF(HM176&lt;&gt;"",TEXT(AUX!HQ$1,"dd-MMM-aa"),"")</f>
      </c>
      <c r="HN156" s="496" t="str">
        <f> IF(HN176&lt;&gt;"",TEXT(AUX!HR$1,"dd-MMM-aa"),"")</f>
      </c>
      <c r="HO156" s="496" t="str">
        <f> IF(HO176&lt;&gt;"",TEXT(AUX!HS$1,"dd-MMM-aa"),"")</f>
      </c>
      <c r="HP156" s="496" t="str">
        <f> IF(HP176&lt;&gt;"",TEXT(AUX!HT$1,"dd-MMM-aa"),"")</f>
      </c>
      <c r="HQ156" s="496" t="str">
        <f> IF(HQ176&lt;&gt;"",TEXT(AUX!HU$1,"dd-MMM-aa"),"")</f>
      </c>
      <c r="HR156" s="496" t="str">
        <f> IF(HR176&lt;&gt;"",TEXT(AUX!HV$1,"dd-MMM-aa"),"")</f>
      </c>
      <c r="HS156" s="496" t="str">
        <f> IF(HS176&lt;&gt;"",TEXT(AUX!HW$1,"dd-MMM-aa"),"")</f>
      </c>
      <c r="HT156" s="496" t="str">
        <f> IF(HT176&lt;&gt;"",TEXT(AUX!HX$1,"dd-MMM-aa"),"")</f>
      </c>
      <c r="HU156" s="496" t="str">
        <f> IF(HU176&lt;&gt;"",TEXT(AUX!HY$1,"dd-MMM-aa"),"")</f>
      </c>
      <c r="HV156" s="496" t="str">
        <f> IF(HV176&lt;&gt;"",TEXT(AUX!HZ$1,"dd-MMM-aa"),"")</f>
      </c>
      <c r="HW156" s="496" t="str">
        <f> IF(HW176&lt;&gt;"",TEXT(AUX!IA$1,"dd-MMM-aa"),"")</f>
      </c>
      <c r="HX156" s="496" t="str">
        <f> IF(HX176&lt;&gt;"",TEXT(AUX!IB$1,"dd-MMM-aa"),"")</f>
      </c>
      <c r="HY156" s="496" t="str">
        <f> IF(HY176&lt;&gt;"",TEXT(AUX!IC$1,"dd-MMM-aa"),"")</f>
      </c>
      <c r="HZ156" s="496" t="str">
        <f> IF(HZ176&lt;&gt;"",TEXT(AUX!ID$1,"dd-MMM-aa"),"")</f>
      </c>
      <c r="IA156" s="496" t="str">
        <f> IF(IA176&lt;&gt;"",TEXT(AUX!IE$1,"dd-MMM-aa"),"")</f>
      </c>
      <c r="IB156" s="496" t="str">
        <f> IF(IB176&lt;&gt;"",TEXT(AUX!IF$1,"dd-MMM-aa"),"")</f>
      </c>
      <c r="IC156" s="496" t="str">
        <f> IF(IC176&lt;&gt;"",TEXT(AUX!IG$1,"dd-MMM-aa"),"")</f>
      </c>
      <c r="ID156" s="496" t="str">
        <f> IF(ID176&lt;&gt;"",TEXT(AUX!IH$1,"dd-MMM-aa"),"")</f>
      </c>
      <c r="IE156" s="496" t="str">
        <f> IF(IE176&lt;&gt;"",TEXT(AUX!II$1,"dd-MMM-aa"),"")</f>
      </c>
      <c r="IF156" s="496" t="str">
        <f> IF(IF176&lt;&gt;"",TEXT(AUX!IJ$1,"dd-MMM-aa"),"")</f>
      </c>
      <c r="IG156" s="496" t="str">
        <f> IF(IG176&lt;&gt;"",TEXT(AUX!IK$1,"dd-MMM-aa"),"")</f>
      </c>
      <c r="IH156" s="496" t="str">
        <f> IF(IH176&lt;&gt;"",TEXT(AUX!IL$1,"dd-MMM-aa"),"")</f>
      </c>
      <c r="II156" s="496" t="str">
        <f> IF(II176&lt;&gt;"",TEXT(AUX!IM$1,"dd-MMM-aa"),"")</f>
      </c>
      <c r="IJ156" s="496" t="str">
        <f> IF(IJ176&lt;&gt;"",TEXT(AUX!IN$1,"dd-MMM-aa"),"")</f>
      </c>
      <c r="IK156" s="496" t="str">
        <f> IF(IK176&lt;&gt;"",TEXT(AUX!IO$1,"dd-MMM-aa"),"")</f>
      </c>
      <c r="IL156" s="496" t="str">
        <f> IF(IL176&lt;&gt;"",TEXT(AUX!IP$1,"dd-MMM-aa"),"")</f>
      </c>
      <c r="IM156" s="496" t="str">
        <f> IF(IM176&lt;&gt;"",TEXT(AUX!IQ$1,"dd-MMM-aa"),"")</f>
      </c>
      <c r="IN156" s="496" t="str">
        <f> IF(IN176&lt;&gt;"",TEXT(AUX!IR$1,"dd-MMM-aa"),"")</f>
      </c>
      <c r="IO156" s="496" t="str">
        <f> IF(IO176&lt;&gt;"",TEXT(AUX!IS$1,"dd-MMM-aa"),"")</f>
      </c>
      <c r="IP156" s="496" t="str">
        <f> IF(IP176&lt;&gt;"",TEXT(AUX!IT$1,"dd-MMM-aa"),"")</f>
      </c>
      <c r="IQ156" s="496" t="str">
        <f> IF(IQ176&lt;&gt;"",TEXT(AUX!IU$1,"dd-MMM-aa"),"")</f>
      </c>
      <c r="IR156" s="496" t="str">
        <f> IF(IR176&lt;&gt;"",TEXT(AUX!IV$1,"dd-MMM-aa"),"")</f>
      </c>
      <c r="IS156" s="496" t="str">
        <f> IF(IS176&lt;&gt;"",TEXT(AUX!#REF!,"dd-MMM-aa"),"")</f>
      </c>
      <c r="IT156" s="496" t="str">
        <f> IF(IT176&lt;&gt;"",TEXT(AUX!#REF!,"dd-MMM-aa"),"")</f>
      </c>
      <c r="IU156" s="496" t="str">
        <f> IF(IU176&lt;&gt;"",TEXT(AUX!#REF!,"dd-MMM-aa"),"")</f>
      </c>
      <c r="IV156" s="496" t="str">
        <f> IF(IV176&lt;&gt;"",TEXT(AUX!#REF!,"dd-MMM-aa"),"")</f>
      </c>
    </row>
    <row r="157" hidden="1" ht="12.75" customHeight="1">
      <c r="B157" s="833" t="s">
        <v>8</v>
      </c>
      <c r="C157" s="827">
        <v>75387</v>
      </c>
      <c r="D157" s="827">
        <v>61172</v>
      </c>
      <c r="E157" s="827">
        <v>57520</v>
      </c>
      <c r="F157" s="827">
        <v>48016</v>
      </c>
      <c r="G157" s="827">
        <v>49201</v>
      </c>
      <c r="H157" s="827">
        <v>50265</v>
      </c>
      <c r="I157" s="827">
        <v>47478</v>
      </c>
      <c r="J157" s="827">
        <v>48287</v>
      </c>
      <c r="K157" s="827">
        <v>50884</v>
      </c>
      <c r="L157" s="827">
        <v>45891</v>
      </c>
      <c r="M157" s="827">
        <v>46577</v>
      </c>
      <c r="N157" s="827">
        <v>42548</v>
      </c>
      <c r="O157" s="827">
        <v>47363</v>
      </c>
      <c r="P157" s="827">
        <v>44007</v>
      </c>
      <c r="Q157" s="827">
        <v>68767</v>
      </c>
      <c r="R157" s="827">
        <v>66732</v>
      </c>
      <c r="S157" s="827">
        <v>75329</v>
      </c>
      <c r="T157" s="827">
        <v>73265</v>
      </c>
      <c r="U157" s="827">
        <v>93027</v>
      </c>
      <c r="V157" s="827">
        <v>81946</v>
      </c>
      <c r="W157" s="827">
        <v>92833</v>
      </c>
      <c r="X157" s="827">
        <v>77379</v>
      </c>
      <c r="Y157" s="827">
        <v>81996</v>
      </c>
      <c r="Z157" s="827">
        <v>75521</v>
      </c>
      <c r="AA157" s="827">
        <v>75704</v>
      </c>
      <c r="AB157" s="834">
        <v>63990</v>
      </c>
      <c r="AC157" s="828">
        <v>75222</v>
      </c>
      <c r="AD157" s="828">
        <v>64796</v>
      </c>
      <c r="AE157" s="828">
        <v>80066</v>
      </c>
      <c r="AF157" s="828">
        <v>67617</v>
      </c>
      <c r="AG157" s="828">
        <v>69140</v>
      </c>
      <c r="AH157" s="828">
        <v>61493</v>
      </c>
      <c r="AI157" s="828">
        <v>59287</v>
      </c>
      <c r="AJ157" s="828">
        <v>51959</v>
      </c>
      <c r="AK157" s="828">
        <v>52933</v>
      </c>
      <c r="AL157" s="828">
        <v>66007</v>
      </c>
      <c r="AM157" s="828">
        <v>55840</v>
      </c>
      <c r="AN157" s="828">
        <v>52177</v>
      </c>
      <c r="AO157" s="828">
        <v>53108</v>
      </c>
      <c r="AP157" s="828">
        <v>63131</v>
      </c>
    </row>
    <row r="158" hidden="1">
      <c r="B158" s="829" t="s">
        <v>9</v>
      </c>
      <c r="C158" s="823">
        <v>0</v>
      </c>
      <c r="D158" s="823">
        <v>0</v>
      </c>
      <c r="E158" s="823">
        <v>0</v>
      </c>
      <c r="F158" s="823">
        <v>0</v>
      </c>
      <c r="G158" s="823">
        <v>119</v>
      </c>
      <c r="H158" s="823">
        <v>119</v>
      </c>
      <c r="I158" s="823">
        <v>992</v>
      </c>
      <c r="J158" s="823">
        <v>921</v>
      </c>
      <c r="K158" s="823">
        <v>5981</v>
      </c>
      <c r="L158" s="823">
        <v>5648</v>
      </c>
      <c r="M158" s="823">
        <v>6236</v>
      </c>
      <c r="N158" s="823">
        <v>4991</v>
      </c>
      <c r="O158" s="823">
        <v>4991</v>
      </c>
      <c r="P158" s="823">
        <v>6107</v>
      </c>
      <c r="Q158" s="823">
        <v>6351</v>
      </c>
      <c r="R158" s="823">
        <v>6560</v>
      </c>
      <c r="S158" s="823">
        <v>6358</v>
      </c>
      <c r="T158" s="823">
        <v>6802</v>
      </c>
      <c r="U158" s="823">
        <v>6406</v>
      </c>
      <c r="V158" s="823">
        <v>7526</v>
      </c>
      <c r="W158" s="823">
        <v>6782</v>
      </c>
      <c r="X158" s="823">
        <v>7868</v>
      </c>
      <c r="Y158" s="823">
        <v>6476</v>
      </c>
      <c r="Z158" s="823">
        <v>7781</v>
      </c>
      <c r="AA158" s="823">
        <v>6909</v>
      </c>
      <c r="AB158" s="823">
        <v>7608</v>
      </c>
      <c r="AC158" s="825">
        <v>6690</v>
      </c>
      <c r="AD158" s="825">
        <v>7165</v>
      </c>
      <c r="AE158" s="825">
        <v>7037</v>
      </c>
      <c r="AF158" s="825">
        <v>7132</v>
      </c>
      <c r="AG158" s="825">
        <v>6671</v>
      </c>
      <c r="AH158" s="825">
        <v>6903</v>
      </c>
      <c r="AI158" s="825">
        <v>6422</v>
      </c>
      <c r="AJ158" s="825">
        <v>5354</v>
      </c>
      <c r="AK158" s="825">
        <v>6143</v>
      </c>
      <c r="AL158" s="825">
        <v>6037</v>
      </c>
      <c r="AM158" s="825">
        <v>6822</v>
      </c>
      <c r="AN158" s="825">
        <v>4371</v>
      </c>
      <c r="AO158" s="825">
        <v>5125</v>
      </c>
      <c r="AP158" s="825">
        <v>5396</v>
      </c>
    </row>
    <row r="159" hidden="1" ht="12.75" customHeight="1">
      <c r="B159" s="826" t="s">
        <v>10</v>
      </c>
      <c r="C159" s="827">
        <v>2528</v>
      </c>
      <c r="D159" s="827">
        <v>3404</v>
      </c>
      <c r="E159" s="827">
        <v>3853</v>
      </c>
      <c r="F159" s="827">
        <v>3828</v>
      </c>
      <c r="G159" s="827">
        <v>3658</v>
      </c>
      <c r="H159" s="827">
        <v>3467</v>
      </c>
      <c r="I159" s="827">
        <v>2722</v>
      </c>
      <c r="J159" s="827">
        <v>2643</v>
      </c>
      <c r="K159" s="827">
        <v>2851</v>
      </c>
      <c r="L159" s="827">
        <v>2753</v>
      </c>
      <c r="M159" s="827">
        <v>2635</v>
      </c>
      <c r="N159" s="827">
        <v>2499</v>
      </c>
      <c r="O159" s="827">
        <v>2655</v>
      </c>
      <c r="P159" s="827">
        <v>2647</v>
      </c>
      <c r="Q159" s="827">
        <v>2558</v>
      </c>
      <c r="R159" s="827">
        <v>2550</v>
      </c>
      <c r="S159" s="827">
        <v>2525</v>
      </c>
      <c r="T159" s="827">
        <v>2483</v>
      </c>
      <c r="U159" s="827">
        <v>2732</v>
      </c>
      <c r="V159" s="827">
        <v>2692</v>
      </c>
      <c r="W159" s="827">
        <v>2425</v>
      </c>
      <c r="X159" s="827">
        <v>2381</v>
      </c>
      <c r="Y159" s="827">
        <v>2166</v>
      </c>
      <c r="Z159" s="827">
        <v>2133</v>
      </c>
      <c r="AA159" s="827">
        <v>2120</v>
      </c>
      <c r="AB159" s="827">
        <v>246</v>
      </c>
      <c r="AC159" s="828">
        <v>1509</v>
      </c>
      <c r="AD159" s="828">
        <v>1503</v>
      </c>
      <c r="AE159" s="828">
        <v>1849</v>
      </c>
      <c r="AF159" s="828">
        <v>1784</v>
      </c>
      <c r="AG159" s="828">
        <v>1519</v>
      </c>
      <c r="AH159" s="828">
        <v>1484</v>
      </c>
      <c r="AI159" s="828">
        <v>1900</v>
      </c>
      <c r="AJ159" s="828">
        <v>1897</v>
      </c>
      <c r="AK159" s="828">
        <v>1731</v>
      </c>
      <c r="AL159" s="828">
        <v>1736</v>
      </c>
      <c r="AM159" s="828">
        <v>2074</v>
      </c>
      <c r="AN159" s="828">
        <v>2023</v>
      </c>
      <c r="AO159" s="828">
        <v>2274</v>
      </c>
      <c r="AP159" s="828">
        <v>2272</v>
      </c>
    </row>
    <row r="160" hidden="1">
      <c r="B160" s="829" t="s">
        <v>11</v>
      </c>
      <c r="C160" s="823">
        <v>3493</v>
      </c>
      <c r="D160" s="823">
        <v>3087</v>
      </c>
      <c r="E160" s="823">
        <v>3381</v>
      </c>
      <c r="F160" s="823">
        <v>3215</v>
      </c>
      <c r="G160" s="823">
        <v>3783</v>
      </c>
      <c r="H160" s="823">
        <v>3057</v>
      </c>
      <c r="I160" s="823">
        <v>2663</v>
      </c>
      <c r="J160" s="823">
        <v>1946</v>
      </c>
      <c r="K160" s="823">
        <v>2940</v>
      </c>
      <c r="L160" s="823">
        <v>2456</v>
      </c>
      <c r="M160" s="823">
        <v>3472</v>
      </c>
      <c r="N160" s="823">
        <v>3087</v>
      </c>
      <c r="O160" s="823">
        <v>3597</v>
      </c>
      <c r="P160" s="823">
        <v>3379</v>
      </c>
      <c r="Q160" s="823">
        <v>3757</v>
      </c>
      <c r="R160" s="823">
        <v>3579</v>
      </c>
      <c r="S160" s="823">
        <v>3815</v>
      </c>
      <c r="T160" s="823">
        <v>3456</v>
      </c>
      <c r="U160" s="823">
        <v>3704</v>
      </c>
      <c r="V160" s="823">
        <v>3403</v>
      </c>
      <c r="W160" s="823">
        <v>4039</v>
      </c>
      <c r="X160" s="823">
        <v>3849</v>
      </c>
      <c r="Y160" s="823">
        <v>3634</v>
      </c>
      <c r="Z160" s="823">
        <v>3563</v>
      </c>
      <c r="AA160" s="823">
        <v>3524</v>
      </c>
      <c r="AB160" s="823">
        <v>3296</v>
      </c>
      <c r="AC160" s="825">
        <v>3556</v>
      </c>
      <c r="AD160" s="825">
        <v>3328</v>
      </c>
      <c r="AE160" s="825">
        <v>3420</v>
      </c>
      <c r="AF160" s="825">
        <v>2999</v>
      </c>
      <c r="AG160" s="825">
        <v>3103</v>
      </c>
      <c r="AH160" s="825">
        <v>3075</v>
      </c>
      <c r="AI160" s="825">
        <v>2934</v>
      </c>
      <c r="AJ160" s="825">
        <v>2621</v>
      </c>
      <c r="AK160" s="825">
        <v>3109</v>
      </c>
      <c r="AL160" s="825">
        <v>3017</v>
      </c>
      <c r="AM160" s="825">
        <v>2951</v>
      </c>
      <c r="AN160" s="825">
        <v>2868</v>
      </c>
      <c r="AO160" s="825">
        <v>3221</v>
      </c>
      <c r="AP160" s="825">
        <v>3214</v>
      </c>
    </row>
    <row r="161" hidden="1">
      <c r="B161" s="826" t="s">
        <v>12</v>
      </c>
      <c r="C161" s="827">
        <v>29767</v>
      </c>
      <c r="D161" s="827">
        <v>26127</v>
      </c>
      <c r="E161" s="827">
        <v>30558</v>
      </c>
      <c r="F161" s="827">
        <v>29054</v>
      </c>
      <c r="G161" s="827">
        <v>33752</v>
      </c>
      <c r="H161" s="827">
        <v>30330</v>
      </c>
      <c r="I161" s="827">
        <v>30034</v>
      </c>
      <c r="J161" s="827">
        <v>26051</v>
      </c>
      <c r="K161" s="827">
        <v>34120</v>
      </c>
      <c r="L161" s="827">
        <v>27680</v>
      </c>
      <c r="M161" s="827">
        <v>52721</v>
      </c>
      <c r="N161" s="827">
        <v>30946</v>
      </c>
      <c r="O161" s="827">
        <v>30082</v>
      </c>
      <c r="P161" s="827">
        <v>28959</v>
      </c>
      <c r="Q161" s="827">
        <v>25578</v>
      </c>
      <c r="R161" s="827">
        <v>24123</v>
      </c>
      <c r="S161" s="827">
        <v>25763</v>
      </c>
      <c r="T161" s="827">
        <v>23978</v>
      </c>
      <c r="U161" s="827">
        <v>24055</v>
      </c>
      <c r="V161" s="827">
        <v>23215</v>
      </c>
      <c r="W161" s="827">
        <v>23203</v>
      </c>
      <c r="X161" s="827">
        <v>21758</v>
      </c>
      <c r="Y161" s="827">
        <v>26568</v>
      </c>
      <c r="Z161" s="827">
        <v>26522</v>
      </c>
      <c r="AA161" s="827">
        <v>26894</v>
      </c>
      <c r="AB161" s="827">
        <v>27192</v>
      </c>
      <c r="AC161" s="828">
        <v>26514</v>
      </c>
      <c r="AD161" s="828">
        <v>25774</v>
      </c>
      <c r="AE161" s="828">
        <v>24616</v>
      </c>
      <c r="AF161" s="828">
        <v>23901</v>
      </c>
      <c r="AG161" s="828">
        <v>27316</v>
      </c>
      <c r="AH161" s="828">
        <v>26957</v>
      </c>
      <c r="AI161" s="828">
        <v>27923</v>
      </c>
      <c r="AJ161" s="828">
        <v>27359</v>
      </c>
      <c r="AK161" s="828">
        <v>23500</v>
      </c>
      <c r="AL161" s="828">
        <v>22955</v>
      </c>
      <c r="AM161" s="828">
        <v>26562</v>
      </c>
      <c r="AN161" s="828">
        <v>24347</v>
      </c>
      <c r="AO161" s="828">
        <v>25447</v>
      </c>
      <c r="AP161" s="828">
        <v>26654</v>
      </c>
    </row>
    <row r="162" hidden="1">
      <c r="B162" s="829" t="s">
        <v>13</v>
      </c>
      <c r="C162" s="823">
        <v>1746</v>
      </c>
      <c r="D162" s="823">
        <v>2230</v>
      </c>
      <c r="E162" s="823">
        <v>2089</v>
      </c>
      <c r="F162" s="823">
        <v>2563</v>
      </c>
      <c r="G162" s="823">
        <v>12146</v>
      </c>
      <c r="H162" s="823">
        <v>12103</v>
      </c>
      <c r="I162" s="823">
        <v>12282</v>
      </c>
      <c r="J162" s="823">
        <v>2559</v>
      </c>
      <c r="K162" s="823">
        <v>2025</v>
      </c>
      <c r="L162" s="823">
        <v>2012</v>
      </c>
      <c r="M162" s="823">
        <v>2649</v>
      </c>
      <c r="N162" s="823">
        <v>599</v>
      </c>
      <c r="O162" s="823">
        <v>829</v>
      </c>
      <c r="P162" s="823">
        <v>378</v>
      </c>
      <c r="Q162" s="823">
        <v>1049</v>
      </c>
      <c r="R162" s="823">
        <v>554</v>
      </c>
      <c r="S162" s="823">
        <v>814</v>
      </c>
      <c r="T162" s="823">
        <v>489</v>
      </c>
      <c r="U162" s="823">
        <v>1812</v>
      </c>
      <c r="V162" s="823">
        <v>1415</v>
      </c>
      <c r="W162" s="823">
        <v>1010</v>
      </c>
      <c r="X162" s="823">
        <v>679</v>
      </c>
      <c r="Y162" s="823">
        <v>1534</v>
      </c>
      <c r="Z162" s="823">
        <v>1006</v>
      </c>
      <c r="AA162" s="823">
        <v>1615</v>
      </c>
      <c r="AB162" s="823">
        <v>1178</v>
      </c>
      <c r="AC162" s="825">
        <v>1167</v>
      </c>
      <c r="AD162" s="825">
        <v>1099</v>
      </c>
      <c r="AE162" s="825">
        <v>1157</v>
      </c>
      <c r="AF162" s="825">
        <v>870</v>
      </c>
      <c r="AG162" s="825">
        <v>1344</v>
      </c>
      <c r="AH162" s="825">
        <v>1204</v>
      </c>
      <c r="AI162" s="825">
        <v>812</v>
      </c>
      <c r="AJ162" s="825">
        <v>698</v>
      </c>
      <c r="AK162" s="825">
        <v>1200</v>
      </c>
      <c r="AL162" s="825">
        <v>1035</v>
      </c>
      <c r="AM162" s="825">
        <v>623</v>
      </c>
      <c r="AN162" s="825">
        <v>568</v>
      </c>
      <c r="AO162" s="825">
        <v>446</v>
      </c>
      <c r="AP162" s="825">
        <v>483</v>
      </c>
    </row>
    <row r="163" hidden="1">
      <c r="B163" s="826" t="s">
        <v>109</v>
      </c>
      <c r="C163" s="827">
        <v>39354</v>
      </c>
      <c r="D163" s="827">
        <v>39289</v>
      </c>
      <c r="E163" s="827">
        <v>30836</v>
      </c>
      <c r="F163" s="827">
        <v>30675</v>
      </c>
      <c r="G163" s="827">
        <v>32280</v>
      </c>
      <c r="H163" s="827">
        <v>31971</v>
      </c>
      <c r="I163" s="827">
        <v>32187</v>
      </c>
      <c r="J163" s="827">
        <v>34256</v>
      </c>
      <c r="K163" s="827">
        <v>30786</v>
      </c>
      <c r="L163" s="827">
        <v>30647</v>
      </c>
      <c r="M163" s="827">
        <v>30115</v>
      </c>
      <c r="N163" s="827">
        <v>30049</v>
      </c>
      <c r="O163" s="827">
        <v>31213</v>
      </c>
      <c r="P163" s="827">
        <v>30665</v>
      </c>
      <c r="Q163" s="827">
        <v>30449</v>
      </c>
      <c r="R163" s="827">
        <v>29965</v>
      </c>
      <c r="S163" s="827">
        <v>35640</v>
      </c>
      <c r="T163" s="827">
        <v>35664</v>
      </c>
      <c r="U163" s="827">
        <v>42870</v>
      </c>
      <c r="V163" s="827">
        <v>42585</v>
      </c>
      <c r="W163" s="827">
        <v>37412</v>
      </c>
      <c r="X163" s="827">
        <v>37405</v>
      </c>
      <c r="Y163" s="827">
        <v>31702</v>
      </c>
      <c r="Z163" s="827">
        <v>31349</v>
      </c>
      <c r="AA163" s="827">
        <v>28669</v>
      </c>
      <c r="AB163" s="827">
        <v>28131</v>
      </c>
      <c r="AC163" s="828">
        <v>26335</v>
      </c>
      <c r="AD163" s="828">
        <v>26449</v>
      </c>
      <c r="AE163" s="828">
        <v>26167</v>
      </c>
      <c r="AF163" s="828">
        <v>25948</v>
      </c>
      <c r="AG163" s="828">
        <v>23953</v>
      </c>
      <c r="AH163" s="828">
        <v>23421</v>
      </c>
      <c r="AI163" s="828">
        <v>22584</v>
      </c>
      <c r="AJ163" s="828">
        <v>22234</v>
      </c>
      <c r="AK163" s="828">
        <v>17934</v>
      </c>
      <c r="AL163" s="828">
        <v>17488</v>
      </c>
      <c r="AM163" s="828">
        <v>19031</v>
      </c>
      <c r="AN163" s="828">
        <v>18955</v>
      </c>
      <c r="AO163" s="828">
        <v>23232</v>
      </c>
      <c r="AP163" s="828">
        <v>23264</v>
      </c>
    </row>
    <row r="164" hidden="1">
      <c r="B164" s="829" t="s">
        <v>110</v>
      </c>
      <c r="C164" s="823">
        <v>3784</v>
      </c>
      <c r="D164" s="823">
        <v>3792</v>
      </c>
      <c r="E164" s="823">
        <v>11991</v>
      </c>
      <c r="F164" s="823">
        <v>13901</v>
      </c>
      <c r="G164" s="823">
        <v>14535</v>
      </c>
      <c r="H164" s="823">
        <v>14160</v>
      </c>
      <c r="I164" s="823">
        <v>13291</v>
      </c>
      <c r="J164" s="823">
        <v>3840</v>
      </c>
      <c r="K164" s="823">
        <v>10064</v>
      </c>
      <c r="L164" s="823">
        <v>9334</v>
      </c>
      <c r="M164" s="823">
        <v>8828</v>
      </c>
      <c r="N164" s="823">
        <v>8154</v>
      </c>
      <c r="O164" s="823">
        <v>9553</v>
      </c>
      <c r="P164" s="823">
        <v>9230</v>
      </c>
      <c r="Q164" s="823">
        <v>9836</v>
      </c>
      <c r="R164" s="823">
        <v>9710</v>
      </c>
      <c r="S164" s="823">
        <v>10344</v>
      </c>
      <c r="T164" s="823">
        <v>10305</v>
      </c>
      <c r="U164" s="823">
        <v>14352</v>
      </c>
      <c r="V164" s="823">
        <v>14122</v>
      </c>
      <c r="W164" s="823">
        <v>14407</v>
      </c>
      <c r="X164" s="823">
        <v>14730</v>
      </c>
      <c r="Y164" s="823">
        <v>13256</v>
      </c>
      <c r="Z164" s="823">
        <v>12925</v>
      </c>
      <c r="AA164" s="823">
        <v>13344</v>
      </c>
      <c r="AB164" s="823">
        <v>13165</v>
      </c>
      <c r="AC164" s="825">
        <v>7776</v>
      </c>
      <c r="AD164" s="825">
        <v>7630</v>
      </c>
      <c r="AE164" s="825">
        <v>7224</v>
      </c>
      <c r="AF164" s="825">
        <v>7279</v>
      </c>
      <c r="AG164" s="825">
        <v>7567</v>
      </c>
      <c r="AH164" s="825">
        <v>7451</v>
      </c>
      <c r="AI164" s="825">
        <v>6365</v>
      </c>
      <c r="AJ164" s="825">
        <v>6284</v>
      </c>
      <c r="AK164" s="825">
        <v>6851</v>
      </c>
      <c r="AL164" s="825">
        <v>6751</v>
      </c>
      <c r="AM164" s="825">
        <v>6665</v>
      </c>
      <c r="AN164" s="825">
        <v>6622</v>
      </c>
      <c r="AO164" s="825">
        <v>9219</v>
      </c>
      <c r="AP164" s="825">
        <v>9807</v>
      </c>
    </row>
    <row r="165" hidden="1">
      <c r="B165" s="826" t="s">
        <v>16</v>
      </c>
      <c r="C165" s="827">
        <v>4157</v>
      </c>
      <c r="D165" s="827">
        <v>9619</v>
      </c>
      <c r="E165" s="827">
        <v>9718</v>
      </c>
      <c r="F165" s="827">
        <v>9403</v>
      </c>
      <c r="G165" s="827">
        <v>8876</v>
      </c>
      <c r="H165" s="827">
        <v>9180</v>
      </c>
      <c r="I165" s="827">
        <v>8775</v>
      </c>
      <c r="J165" s="827">
        <v>8325</v>
      </c>
      <c r="K165" s="827">
        <v>8686</v>
      </c>
      <c r="L165" s="827">
        <v>8156</v>
      </c>
      <c r="M165" s="827">
        <v>7817</v>
      </c>
      <c r="N165" s="827">
        <v>7701</v>
      </c>
      <c r="O165" s="827">
        <v>6805</v>
      </c>
      <c r="P165" s="827">
        <v>6793</v>
      </c>
      <c r="Q165" s="827">
        <v>6149</v>
      </c>
      <c r="R165" s="827">
        <v>5928</v>
      </c>
      <c r="S165" s="827">
        <v>6457</v>
      </c>
      <c r="T165" s="827">
        <v>6315</v>
      </c>
      <c r="U165" s="827">
        <v>9094</v>
      </c>
      <c r="V165" s="827">
        <v>8903</v>
      </c>
      <c r="W165" s="827">
        <v>8903</v>
      </c>
      <c r="X165" s="827">
        <v>8903</v>
      </c>
      <c r="Y165" s="827">
        <v>8903</v>
      </c>
      <c r="Z165" s="827">
        <v>8903</v>
      </c>
      <c r="AA165" s="827">
        <v>10262</v>
      </c>
      <c r="AB165" s="827">
        <v>9771</v>
      </c>
      <c r="AC165" s="828">
        <v>9055</v>
      </c>
      <c r="AD165" s="828">
        <v>8801</v>
      </c>
      <c r="AE165" s="828">
        <v>8841</v>
      </c>
      <c r="AF165" s="828">
        <v>10224</v>
      </c>
      <c r="AG165" s="828">
        <v>8526</v>
      </c>
      <c r="AH165" s="828">
        <v>8372</v>
      </c>
      <c r="AI165" s="828">
        <v>8385</v>
      </c>
      <c r="AJ165" s="828">
        <v>8201</v>
      </c>
      <c r="AK165" s="828">
        <v>8011</v>
      </c>
      <c r="AL165" s="828">
        <v>8166</v>
      </c>
      <c r="AM165" s="828">
        <v>8507</v>
      </c>
      <c r="AN165" s="828">
        <v>8068</v>
      </c>
      <c r="AO165" s="828">
        <v>7580</v>
      </c>
      <c r="AP165" s="828">
        <v>8267</v>
      </c>
    </row>
    <row r="166" hidden="1">
      <c r="B166" s="829" t="s">
        <v>17</v>
      </c>
      <c r="C166" s="823">
        <v>66544</v>
      </c>
      <c r="D166" s="823">
        <v>63565</v>
      </c>
      <c r="E166" s="823">
        <v>53392</v>
      </c>
      <c r="F166" s="823">
        <v>42507</v>
      </c>
      <c r="G166" s="823">
        <v>42844</v>
      </c>
      <c r="H166" s="823">
        <v>40305</v>
      </c>
      <c r="I166" s="823">
        <v>44028</v>
      </c>
      <c r="J166" s="823">
        <v>39530</v>
      </c>
      <c r="K166" s="823">
        <v>42347</v>
      </c>
      <c r="L166" s="823">
        <v>37666</v>
      </c>
      <c r="M166" s="823">
        <v>34504</v>
      </c>
      <c r="N166" s="823">
        <v>30368</v>
      </c>
      <c r="O166" s="823">
        <v>33298</v>
      </c>
      <c r="P166" s="823">
        <v>32243</v>
      </c>
      <c r="Q166" s="823">
        <v>31519</v>
      </c>
      <c r="R166" s="823">
        <v>31248</v>
      </c>
      <c r="S166" s="823">
        <v>30631</v>
      </c>
      <c r="T166" s="823">
        <v>30789</v>
      </c>
      <c r="U166" s="823">
        <v>37060</v>
      </c>
      <c r="V166" s="823">
        <v>36550</v>
      </c>
      <c r="W166" s="823">
        <v>38736</v>
      </c>
      <c r="X166" s="823">
        <v>37774</v>
      </c>
      <c r="Y166" s="823">
        <v>36688</v>
      </c>
      <c r="Z166" s="823">
        <v>36646</v>
      </c>
      <c r="AA166" s="823">
        <v>40062</v>
      </c>
      <c r="AB166" s="823">
        <v>39424</v>
      </c>
      <c r="AC166" s="825">
        <v>34382</v>
      </c>
      <c r="AD166" s="825">
        <v>33875</v>
      </c>
      <c r="AE166" s="825">
        <v>36975</v>
      </c>
      <c r="AF166" s="825">
        <v>36708</v>
      </c>
      <c r="AG166" s="825">
        <v>34141</v>
      </c>
      <c r="AH166" s="825">
        <v>33789</v>
      </c>
      <c r="AI166" s="825">
        <v>33731</v>
      </c>
      <c r="AJ166" s="825">
        <v>32903</v>
      </c>
      <c r="AK166" s="825">
        <v>28057</v>
      </c>
      <c r="AL166" s="825">
        <v>27752</v>
      </c>
      <c r="AM166" s="825">
        <v>27412</v>
      </c>
      <c r="AN166" s="825">
        <v>27272</v>
      </c>
      <c r="AO166" s="825">
        <v>28054</v>
      </c>
      <c r="AP166" s="825">
        <v>28669</v>
      </c>
    </row>
    <row r="167" hidden="1" ht="12.75" customHeight="1">
      <c r="B167" s="826" t="s">
        <v>18</v>
      </c>
      <c r="C167" s="827">
        <v>67</v>
      </c>
      <c r="D167" s="827">
        <v>104</v>
      </c>
      <c r="E167" s="827">
        <v>637</v>
      </c>
      <c r="F167" s="827">
        <v>3375</v>
      </c>
      <c r="G167" s="827">
        <v>8115</v>
      </c>
      <c r="H167" s="827">
        <v>11904</v>
      </c>
      <c r="I167" s="827">
        <v>12905</v>
      </c>
      <c r="J167" s="827">
        <v>11830</v>
      </c>
      <c r="K167" s="827">
        <v>10754</v>
      </c>
      <c r="L167" s="827">
        <v>12293</v>
      </c>
      <c r="M167" s="827">
        <v>13598</v>
      </c>
      <c r="N167" s="827">
        <v>13847</v>
      </c>
      <c r="O167" s="827">
        <v>8686</v>
      </c>
      <c r="P167" s="827">
        <v>4242</v>
      </c>
      <c r="Q167" s="827">
        <v>871</v>
      </c>
      <c r="R167" s="827">
        <v>1095</v>
      </c>
      <c r="S167" s="827">
        <v>7040</v>
      </c>
      <c r="T167" s="827">
        <v>4936</v>
      </c>
      <c r="U167" s="827">
        <v>7884</v>
      </c>
      <c r="V167" s="827">
        <v>8500</v>
      </c>
      <c r="W167" s="827">
        <v>9476</v>
      </c>
      <c r="X167" s="827">
        <v>8914</v>
      </c>
      <c r="Y167" s="827">
        <v>8835</v>
      </c>
      <c r="Z167" s="827">
        <v>8374</v>
      </c>
      <c r="AA167" s="827">
        <v>7554</v>
      </c>
      <c r="AB167" s="827">
        <v>7239</v>
      </c>
      <c r="AC167" s="828">
        <v>5269</v>
      </c>
      <c r="AD167" s="828">
        <v>4844</v>
      </c>
      <c r="AE167" s="828">
        <v>4937</v>
      </c>
      <c r="AF167" s="828">
        <v>4101</v>
      </c>
      <c r="AG167" s="828">
        <v>4704</v>
      </c>
      <c r="AH167" s="828">
        <v>4904</v>
      </c>
      <c r="AI167" s="828">
        <v>4383</v>
      </c>
      <c r="AJ167" s="828">
        <v>4219</v>
      </c>
      <c r="AK167" s="828">
        <v>3581</v>
      </c>
      <c r="AL167" s="828">
        <v>3493</v>
      </c>
      <c r="AM167" s="828">
        <v>3199</v>
      </c>
      <c r="AN167" s="828">
        <v>3159</v>
      </c>
      <c r="AO167" s="828">
        <v>3170</v>
      </c>
      <c r="AP167" s="828">
        <v>3026</v>
      </c>
    </row>
    <row r="168" hidden="1">
      <c r="B168" s="829" t="s">
        <v>19</v>
      </c>
      <c r="C168" s="823">
        <v>1491</v>
      </c>
      <c r="D168" s="823">
        <v>1352</v>
      </c>
      <c r="E168" s="823">
        <v>1564</v>
      </c>
      <c r="F168" s="823">
        <v>1875</v>
      </c>
      <c r="G168" s="823">
        <v>1804</v>
      </c>
      <c r="H168" s="823">
        <v>2203</v>
      </c>
      <c r="I168" s="823">
        <v>2361</v>
      </c>
      <c r="J168" s="823">
        <v>2965</v>
      </c>
      <c r="K168" s="823">
        <v>3480</v>
      </c>
      <c r="L168" s="823">
        <v>6907</v>
      </c>
      <c r="M168" s="823">
        <v>2686</v>
      </c>
      <c r="N168" s="823">
        <v>2914</v>
      </c>
      <c r="O168" s="823">
        <v>3137</v>
      </c>
      <c r="P168" s="823">
        <v>3120</v>
      </c>
      <c r="Q168" s="823">
        <v>2648</v>
      </c>
      <c r="R168" s="823">
        <v>2744</v>
      </c>
      <c r="S168" s="823">
        <v>2814</v>
      </c>
      <c r="T168" s="823">
        <v>2869</v>
      </c>
      <c r="U168" s="823">
        <v>4048</v>
      </c>
      <c r="V168" s="823">
        <v>4135</v>
      </c>
      <c r="W168" s="823">
        <v>3894</v>
      </c>
      <c r="X168" s="823">
        <v>3953</v>
      </c>
      <c r="Y168" s="823">
        <v>3859</v>
      </c>
      <c r="Z168" s="823">
        <v>3880</v>
      </c>
      <c r="AA168" s="823">
        <v>4808</v>
      </c>
      <c r="AB168" s="823">
        <v>4833</v>
      </c>
      <c r="AC168" s="825">
        <v>4329</v>
      </c>
      <c r="AD168" s="825">
        <v>4340</v>
      </c>
      <c r="AE168" s="825">
        <v>4645</v>
      </c>
      <c r="AF168" s="825">
        <v>4606</v>
      </c>
      <c r="AG168" s="825">
        <v>4158</v>
      </c>
      <c r="AH168" s="825">
        <v>4178</v>
      </c>
      <c r="AI168" s="825">
        <v>4202</v>
      </c>
      <c r="AJ168" s="825">
        <v>3536</v>
      </c>
      <c r="AK168" s="825">
        <v>3656</v>
      </c>
      <c r="AL168" s="825">
        <v>3668</v>
      </c>
      <c r="AM168" s="825">
        <v>2880</v>
      </c>
      <c r="AN168" s="825">
        <v>2915</v>
      </c>
      <c r="AO168" s="825">
        <v>2471</v>
      </c>
      <c r="AP168" s="825">
        <v>2769</v>
      </c>
    </row>
    <row r="169" hidden="1" ht="12.75" customHeight="1">
      <c r="B169" s="826" t="s">
        <v>20</v>
      </c>
      <c r="C169" s="827">
        <v>6555</v>
      </c>
      <c r="D169" s="827">
        <v>75976</v>
      </c>
      <c r="E169" s="827">
        <v>56905</v>
      </c>
      <c r="F169" s="827">
        <v>73930</v>
      </c>
      <c r="G169" s="827">
        <v>70941</v>
      </c>
      <c r="H169" s="827">
        <v>110273</v>
      </c>
      <c r="I169" s="827">
        <v>158385</v>
      </c>
      <c r="J169" s="827">
        <v>178348</v>
      </c>
      <c r="K169" s="827">
        <v>159531</v>
      </c>
      <c r="L169" s="827">
        <v>169558</v>
      </c>
      <c r="M169" s="827">
        <v>30591</v>
      </c>
      <c r="N169" s="827">
        <v>154201</v>
      </c>
      <c r="O169" s="827">
        <v>156016</v>
      </c>
      <c r="P169" s="827">
        <v>164258</v>
      </c>
      <c r="Q169" s="827">
        <v>167581</v>
      </c>
      <c r="R169" s="827">
        <v>173779</v>
      </c>
      <c r="S169" s="827">
        <v>174347</v>
      </c>
      <c r="T169" s="827">
        <v>182476</v>
      </c>
      <c r="U169" s="827">
        <v>187323</v>
      </c>
      <c r="V169" s="827">
        <v>198192</v>
      </c>
      <c r="W169" s="827">
        <v>203240</v>
      </c>
      <c r="X169" s="827">
        <v>214233</v>
      </c>
      <c r="Y169" s="827">
        <v>64973</v>
      </c>
      <c r="Z169" s="827">
        <v>63078</v>
      </c>
      <c r="AA169" s="827">
        <v>31544</v>
      </c>
      <c r="AB169" s="827">
        <v>31292</v>
      </c>
      <c r="AC169" s="828">
        <v>28779</v>
      </c>
      <c r="AD169" s="828">
        <v>28770</v>
      </c>
      <c r="AE169" s="828">
        <v>28213</v>
      </c>
      <c r="AF169" s="828">
        <v>27856</v>
      </c>
      <c r="AG169" s="828">
        <v>22770</v>
      </c>
      <c r="AH169" s="828">
        <v>22594</v>
      </c>
      <c r="AI169" s="828">
        <v>23237</v>
      </c>
      <c r="AJ169" s="828">
        <v>23086</v>
      </c>
      <c r="AK169" s="828">
        <v>21322</v>
      </c>
      <c r="AL169" s="828">
        <v>20988</v>
      </c>
      <c r="AM169" s="828">
        <v>21227</v>
      </c>
      <c r="AN169" s="828">
        <v>21309</v>
      </c>
      <c r="AO169" s="828">
        <v>21993</v>
      </c>
      <c r="AP169" s="828">
        <v>34675</v>
      </c>
    </row>
    <row r="170" hidden="1">
      <c r="B170" s="829" t="s">
        <v>21</v>
      </c>
      <c r="C170" s="823">
        <v>0</v>
      </c>
      <c r="D170" s="823">
        <v>0</v>
      </c>
      <c r="E170" s="823">
        <v>0</v>
      </c>
      <c r="F170" s="823">
        <v>0</v>
      </c>
      <c r="G170" s="823">
        <v>0</v>
      </c>
      <c r="H170" s="823">
        <v>0</v>
      </c>
      <c r="I170" s="823">
        <v>0</v>
      </c>
      <c r="J170" s="823">
        <v>328</v>
      </c>
      <c r="K170" s="823">
        <v>350</v>
      </c>
      <c r="L170" s="823">
        <v>414</v>
      </c>
      <c r="M170" s="823">
        <v>509</v>
      </c>
      <c r="N170" s="823">
        <v>595</v>
      </c>
      <c r="O170" s="823">
        <v>656</v>
      </c>
      <c r="P170" s="823">
        <v>768</v>
      </c>
      <c r="Q170" s="823">
        <v>880</v>
      </c>
      <c r="R170" s="823">
        <v>929</v>
      </c>
      <c r="S170" s="823">
        <v>805</v>
      </c>
      <c r="T170" s="823">
        <v>797</v>
      </c>
      <c r="U170" s="823">
        <v>580</v>
      </c>
      <c r="V170" s="823">
        <v>576</v>
      </c>
      <c r="W170" s="823">
        <v>641</v>
      </c>
      <c r="X170" s="823">
        <v>640</v>
      </c>
      <c r="Y170" s="823">
        <v>692</v>
      </c>
      <c r="Z170" s="823">
        <v>689</v>
      </c>
      <c r="AA170" s="823">
        <v>621</v>
      </c>
      <c r="AB170" s="823">
        <v>631</v>
      </c>
      <c r="AC170" s="825">
        <v>809</v>
      </c>
      <c r="AD170" s="825">
        <v>812</v>
      </c>
      <c r="AE170" s="825">
        <v>626</v>
      </c>
      <c r="AF170" s="825">
        <v>614</v>
      </c>
      <c r="AG170" s="825">
        <v>643</v>
      </c>
      <c r="AH170" s="825">
        <v>0</v>
      </c>
      <c r="AI170" s="825">
        <v>0</v>
      </c>
      <c r="AJ170" s="825">
        <v>0</v>
      </c>
      <c r="AK170" s="825">
        <v>0</v>
      </c>
      <c r="AL170" s="825">
        <v>0</v>
      </c>
      <c r="AM170" s="825">
        <v>0</v>
      </c>
      <c r="AN170" s="825">
        <v>0</v>
      </c>
      <c r="AO170" s="825">
        <v>150</v>
      </c>
      <c r="AP170" s="825">
        <v>302</v>
      </c>
    </row>
    <row r="171" hidden="1">
      <c r="B171" s="826" t="s">
        <v>22</v>
      </c>
      <c r="C171" s="827">
        <v>29</v>
      </c>
      <c r="D171" s="827">
        <v>49</v>
      </c>
      <c r="E171" s="827">
        <v>19</v>
      </c>
      <c r="F171" s="827">
        <v>25</v>
      </c>
      <c r="G171" s="827">
        <v>72</v>
      </c>
      <c r="H171" s="827">
        <v>112</v>
      </c>
      <c r="I171" s="827">
        <v>113</v>
      </c>
      <c r="J171" s="827">
        <v>118</v>
      </c>
      <c r="K171" s="827">
        <v>98</v>
      </c>
      <c r="L171" s="827">
        <v>91</v>
      </c>
      <c r="M171" s="827">
        <v>369</v>
      </c>
      <c r="N171" s="827">
        <v>866</v>
      </c>
      <c r="O171" s="827">
        <v>1007</v>
      </c>
      <c r="P171" s="827">
        <v>1008</v>
      </c>
      <c r="Q171" s="827">
        <v>797</v>
      </c>
      <c r="R171" s="827">
        <v>737</v>
      </c>
      <c r="S171" s="827">
        <v>747</v>
      </c>
      <c r="T171" s="827">
        <v>251</v>
      </c>
      <c r="U171" s="827">
        <v>593</v>
      </c>
      <c r="V171" s="827">
        <v>600</v>
      </c>
      <c r="W171" s="827">
        <v>741</v>
      </c>
      <c r="X171" s="827">
        <v>741</v>
      </c>
      <c r="Y171" s="827">
        <v>1050</v>
      </c>
      <c r="Z171" s="827">
        <v>1050</v>
      </c>
      <c r="AA171" s="827">
        <v>924</v>
      </c>
      <c r="AB171" s="827">
        <v>901</v>
      </c>
      <c r="AC171" s="828">
        <v>884</v>
      </c>
      <c r="AD171" s="828">
        <v>872</v>
      </c>
      <c r="AE171" s="828">
        <v>960</v>
      </c>
      <c r="AF171" s="828">
        <v>959</v>
      </c>
      <c r="AG171" s="828">
        <v>738</v>
      </c>
      <c r="AH171" s="828">
        <v>758</v>
      </c>
      <c r="AI171" s="828">
        <v>855</v>
      </c>
      <c r="AJ171" s="828">
        <v>855</v>
      </c>
      <c r="AK171" s="828">
        <v>878</v>
      </c>
      <c r="AL171" s="828">
        <v>874</v>
      </c>
      <c r="AM171" s="828">
        <v>1009</v>
      </c>
      <c r="AN171" s="828">
        <v>994</v>
      </c>
      <c r="AO171" s="828">
        <v>1478</v>
      </c>
      <c r="AP171" s="828">
        <v>1551</v>
      </c>
    </row>
    <row r="172" hidden="1">
      <c r="B172" s="829" t="s">
        <v>23</v>
      </c>
      <c r="C172" s="823">
        <v>1197</v>
      </c>
      <c r="D172" s="823">
        <v>1189</v>
      </c>
      <c r="E172" s="823">
        <v>1640</v>
      </c>
      <c r="F172" s="823">
        <v>1634</v>
      </c>
      <c r="G172" s="823">
        <v>964</v>
      </c>
      <c r="H172" s="823">
        <v>966</v>
      </c>
      <c r="I172" s="823">
        <v>931</v>
      </c>
      <c r="J172" s="823">
        <v>926</v>
      </c>
      <c r="K172" s="823">
        <v>1293</v>
      </c>
      <c r="L172" s="823">
        <v>1288</v>
      </c>
      <c r="M172" s="823">
        <v>955</v>
      </c>
      <c r="N172" s="823">
        <v>959</v>
      </c>
      <c r="O172" s="823">
        <v>984</v>
      </c>
      <c r="P172" s="823">
        <v>987</v>
      </c>
      <c r="Q172" s="823">
        <v>1325</v>
      </c>
      <c r="R172" s="823">
        <v>1093</v>
      </c>
      <c r="S172" s="823">
        <v>1281</v>
      </c>
      <c r="T172" s="823">
        <v>1037</v>
      </c>
      <c r="U172" s="823">
        <v>1479</v>
      </c>
      <c r="V172" s="823">
        <v>1477</v>
      </c>
      <c r="W172" s="823">
        <v>1599</v>
      </c>
      <c r="X172" s="823">
        <v>1598</v>
      </c>
      <c r="Y172" s="823">
        <v>1391</v>
      </c>
      <c r="Z172" s="823">
        <v>1386</v>
      </c>
      <c r="AA172" s="823">
        <v>1345</v>
      </c>
      <c r="AB172" s="823">
        <v>1345</v>
      </c>
      <c r="AC172" s="825">
        <v>1519</v>
      </c>
      <c r="AD172" s="825">
        <v>1519</v>
      </c>
      <c r="AE172" s="825">
        <v>1147</v>
      </c>
      <c r="AF172" s="825">
        <v>1147</v>
      </c>
      <c r="AG172" s="825">
        <v>985</v>
      </c>
      <c r="AH172" s="825">
        <v>985</v>
      </c>
      <c r="AI172" s="825">
        <v>896</v>
      </c>
      <c r="AJ172" s="825">
        <v>902</v>
      </c>
      <c r="AK172" s="825">
        <v>907</v>
      </c>
      <c r="AL172" s="825">
        <v>907</v>
      </c>
      <c r="AM172" s="825">
        <v>769</v>
      </c>
      <c r="AN172" s="825">
        <v>769</v>
      </c>
      <c r="AO172" s="825">
        <v>0</v>
      </c>
      <c r="AP172" s="825">
        <v>0</v>
      </c>
    </row>
    <row r="173" hidden="1">
      <c r="B173" s="835" t="s">
        <v>24</v>
      </c>
      <c r="C173" s="827">
        <v>6643</v>
      </c>
      <c r="D173" s="827">
        <v>6827</v>
      </c>
      <c r="E173" s="827">
        <v>5986</v>
      </c>
      <c r="F173" s="827">
        <v>6321</v>
      </c>
      <c r="G173" s="827">
        <v>7229</v>
      </c>
      <c r="H173" s="827">
        <v>7104</v>
      </c>
      <c r="I173" s="827">
        <v>6560</v>
      </c>
      <c r="J173" s="827">
        <v>6445</v>
      </c>
      <c r="K173" s="827">
        <v>6527</v>
      </c>
      <c r="L173" s="827">
        <v>6363</v>
      </c>
      <c r="M173" s="827">
        <v>5841</v>
      </c>
      <c r="N173" s="827">
        <v>5865</v>
      </c>
      <c r="O173" s="827">
        <v>6458</v>
      </c>
      <c r="P173" s="827">
        <v>6400</v>
      </c>
      <c r="Q173" s="827">
        <v>6835</v>
      </c>
      <c r="R173" s="827">
        <v>6585</v>
      </c>
      <c r="S173" s="827">
        <v>6588</v>
      </c>
      <c r="T173" s="827">
        <v>6522</v>
      </c>
      <c r="U173" s="827">
        <v>6947</v>
      </c>
      <c r="V173" s="827">
        <v>7706</v>
      </c>
      <c r="W173" s="827">
        <v>7143</v>
      </c>
      <c r="X173" s="827">
        <v>6886</v>
      </c>
      <c r="Y173" s="827">
        <v>6369</v>
      </c>
      <c r="Z173" s="827">
        <v>6177</v>
      </c>
      <c r="AA173" s="827">
        <v>8030</v>
      </c>
      <c r="AB173" s="827">
        <v>7713</v>
      </c>
      <c r="AC173" s="828">
        <v>7544</v>
      </c>
      <c r="AD173" s="828">
        <v>7004</v>
      </c>
      <c r="AE173" s="828">
        <v>8221</v>
      </c>
      <c r="AF173" s="828">
        <v>8084</v>
      </c>
      <c r="AG173" s="828">
        <v>6969</v>
      </c>
      <c r="AH173" s="828">
        <v>6849</v>
      </c>
      <c r="AI173" s="828">
        <v>7427</v>
      </c>
      <c r="AJ173" s="828">
        <v>7085</v>
      </c>
      <c r="AK173" s="828">
        <v>5594</v>
      </c>
      <c r="AL173" s="828">
        <v>5371</v>
      </c>
      <c r="AM173" s="828">
        <v>6592</v>
      </c>
      <c r="AN173" s="828">
        <v>6936</v>
      </c>
      <c r="AO173" s="828">
        <v>7814</v>
      </c>
      <c r="AP173" s="828">
        <v>7838</v>
      </c>
    </row>
    <row r="174" hidden="1">
      <c r="B174" s="829" t="s">
        <v>25</v>
      </c>
      <c r="C174" s="823">
        <v>0</v>
      </c>
      <c r="D174" s="823">
        <v>0</v>
      </c>
      <c r="E174" s="823">
        <v>0</v>
      </c>
      <c r="F174" s="823">
        <v>0</v>
      </c>
      <c r="G174" s="823">
        <v>0</v>
      </c>
      <c r="H174" s="823">
        <v>0</v>
      </c>
      <c r="I174" s="823">
        <v>0</v>
      </c>
      <c r="J174" s="823">
        <v>0</v>
      </c>
      <c r="K174" s="823">
        <v>0</v>
      </c>
      <c r="L174" s="823">
        <v>0</v>
      </c>
      <c r="M174" s="823">
        <v>0</v>
      </c>
      <c r="N174" s="823">
        <v>0</v>
      </c>
      <c r="O174" s="823">
        <v>0</v>
      </c>
      <c r="P174" s="823">
        <v>0</v>
      </c>
      <c r="Q174" s="823">
        <v>0</v>
      </c>
      <c r="R174" s="823">
        <v>0</v>
      </c>
      <c r="S174" s="823">
        <v>0</v>
      </c>
      <c r="T174" s="823">
        <v>0</v>
      </c>
      <c r="U174" s="823">
        <v>0</v>
      </c>
      <c r="V174" s="823">
        <v>0</v>
      </c>
      <c r="W174" s="823">
        <v>0</v>
      </c>
      <c r="X174" s="823">
        <v>0</v>
      </c>
      <c r="Y174" s="823">
        <v>0</v>
      </c>
      <c r="Z174" s="823">
        <v>0</v>
      </c>
      <c r="AA174" s="823">
        <v>0</v>
      </c>
      <c r="AB174" s="823">
        <v>0</v>
      </c>
      <c r="AC174" s="825">
        <v>0</v>
      </c>
      <c r="AD174" s="825">
        <v>0</v>
      </c>
      <c r="AE174" s="825">
        <v>0</v>
      </c>
      <c r="AF174" s="825">
        <v>0</v>
      </c>
      <c r="AG174" s="825">
        <v>0</v>
      </c>
      <c r="AH174" s="825">
        <v>0</v>
      </c>
      <c r="AI174" s="825">
        <v>0</v>
      </c>
      <c r="AJ174" s="825">
        <v>0</v>
      </c>
      <c r="AK174" s="825">
        <v>0</v>
      </c>
      <c r="AL174" s="825">
        <v>0</v>
      </c>
      <c r="AM174" s="825">
        <v>0</v>
      </c>
      <c r="AN174" s="825">
        <v>0</v>
      </c>
      <c r="AO174" s="825">
        <v>0</v>
      </c>
      <c r="AP174" s="825">
        <v>0</v>
      </c>
    </row>
    <row r="175" hidden="1" ht="13.5">
      <c r="B175" s="836" t="s">
        <v>26</v>
      </c>
      <c r="C175" s="827">
        <v>0</v>
      </c>
      <c r="D175" s="827">
        <v>0</v>
      </c>
      <c r="E175" s="827">
        <v>0</v>
      </c>
      <c r="F175" s="827">
        <v>0</v>
      </c>
      <c r="G175" s="827">
        <v>0</v>
      </c>
      <c r="H175" s="827">
        <v>0</v>
      </c>
      <c r="I175" s="827">
        <v>0</v>
      </c>
      <c r="J175" s="827">
        <v>0</v>
      </c>
      <c r="K175" s="827">
        <v>0</v>
      </c>
      <c r="L175" s="827">
        <v>0</v>
      </c>
      <c r="M175" s="827">
        <v>0</v>
      </c>
      <c r="N175" s="827">
        <v>0</v>
      </c>
      <c r="O175" s="827">
        <v>0</v>
      </c>
      <c r="P175" s="827">
        <v>0</v>
      </c>
      <c r="Q175" s="827">
        <v>0</v>
      </c>
      <c r="R175" s="827">
        <v>0</v>
      </c>
      <c r="S175" s="827">
        <v>0</v>
      </c>
      <c r="T175" s="827">
        <v>0</v>
      </c>
      <c r="U175" s="827">
        <v>0</v>
      </c>
      <c r="V175" s="827">
        <v>0</v>
      </c>
      <c r="W175" s="827">
        <v>0</v>
      </c>
      <c r="X175" s="827">
        <v>0</v>
      </c>
      <c r="Y175" s="827">
        <v>0</v>
      </c>
      <c r="Z175" s="827">
        <v>0</v>
      </c>
      <c r="AA175" s="827">
        <v>0</v>
      </c>
      <c r="AB175" s="837">
        <v>0</v>
      </c>
      <c r="AC175" s="828">
        <v>0</v>
      </c>
      <c r="AD175" s="828">
        <v>0</v>
      </c>
      <c r="AE175" s="828">
        <v>0</v>
      </c>
      <c r="AF175" s="828">
        <v>0</v>
      </c>
      <c r="AG175" s="828">
        <v>0</v>
      </c>
      <c r="AH175" s="828">
        <v>0</v>
      </c>
      <c r="AI175" s="828">
        <v>0</v>
      </c>
      <c r="AJ175" s="828">
        <v>0</v>
      </c>
      <c r="AK175" s="828">
        <v>0</v>
      </c>
      <c r="AL175" s="828">
        <v>0</v>
      </c>
      <c r="AM175" s="828">
        <v>0</v>
      </c>
      <c r="AN175" s="828">
        <v>0</v>
      </c>
      <c r="AO175" s="828">
        <v>4</v>
      </c>
      <c r="AP175" s="828">
        <v>0</v>
      </c>
    </row>
    <row r="176" hidden="1" ht="13.5">
      <c r="B176" s="128" t="s">
        <v>7</v>
      </c>
      <c r="C176" s="129" t="str">
        <f>IF(SUM(C157:C175)&lt;&gt;0,SUM(C157:C175),"")</f>
      </c>
      <c r="D176" s="129" t="str">
        <f ref="D176:AA176" t="shared" si="5">IF(SUM(D157:D175)&lt;&gt;0,SUM(D157:D175),"")</f>
      </c>
      <c r="E176" s="129" t="str">
        <f t="shared" si="5"/>
      </c>
      <c r="F176" s="129" t="str">
        <f t="shared" si="5"/>
      </c>
      <c r="G176" s="129" t="str">
        <f t="shared" si="5"/>
      </c>
      <c r="H176" s="129" t="str">
        <f t="shared" si="5"/>
      </c>
      <c r="I176" s="129" t="str">
        <f t="shared" si="5"/>
      </c>
      <c r="J176" s="129" t="str">
        <f t="shared" si="5"/>
      </c>
      <c r="K176" s="129" t="str">
        <f t="shared" si="5"/>
      </c>
      <c r="L176" s="129" t="str">
        <f t="shared" si="5"/>
      </c>
      <c r="M176" s="129" t="str">
        <f t="shared" si="5"/>
      </c>
      <c r="N176" s="129" t="str">
        <f t="shared" si="5"/>
      </c>
      <c r="O176" s="129" t="str">
        <f t="shared" si="5"/>
      </c>
      <c r="P176" s="129" t="str">
        <f t="shared" si="5"/>
      </c>
      <c r="Q176" s="129" t="str">
        <f t="shared" si="5"/>
      </c>
      <c r="R176" s="129" t="str">
        <f t="shared" si="5"/>
      </c>
      <c r="S176" s="129" t="str">
        <f t="shared" si="5"/>
      </c>
      <c r="T176" s="129" t="str">
        <f t="shared" si="5"/>
      </c>
      <c r="U176" s="129" t="str">
        <f t="shared" si="5"/>
      </c>
      <c r="V176" s="129" t="str">
        <f t="shared" si="5"/>
      </c>
      <c r="W176" s="129" t="str">
        <f t="shared" si="5"/>
      </c>
      <c r="X176" s="129" t="str">
        <f t="shared" si="5"/>
      </c>
      <c r="Y176" s="129" t="str">
        <f t="shared" si="5"/>
      </c>
      <c r="Z176" s="129" t="str">
        <f t="shared" si="5"/>
      </c>
      <c r="AA176" s="129" t="str">
        <f t="shared" si="5"/>
      </c>
      <c r="AB176" s="130" t="str">
        <f>IF(SUM(AB157:AB175)&lt;&gt;0,SUM(AB157:AB175),"")</f>
      </c>
      <c r="AC176" s="91" t="str">
        <f ref="AC176:CN176" t="shared" si="6">IF(SUM(AC157:AC175)&lt;&gt;0,SUM(AC157:AC175),"")</f>
      </c>
      <c r="AD176" s="91" t="str">
        <f t="shared" si="6"/>
      </c>
      <c r="AE176" s="91" t="str">
        <f t="shared" si="6"/>
      </c>
      <c r="AF176" s="91" t="str">
        <f t="shared" si="6"/>
      </c>
      <c r="AG176" s="91" t="str">
        <f t="shared" si="6"/>
      </c>
      <c r="AH176" s="91" t="str">
        <f t="shared" si="6"/>
      </c>
      <c r="AI176" s="91" t="str">
        <f t="shared" si="6"/>
      </c>
      <c r="AJ176" s="91" t="str">
        <f t="shared" si="6"/>
      </c>
      <c r="AK176" s="91" t="str">
        <f t="shared" si="6"/>
      </c>
      <c r="AL176" s="91" t="str">
        <f t="shared" si="6"/>
      </c>
      <c r="AM176" s="91" t="str">
        <f t="shared" si="6"/>
      </c>
      <c r="AN176" s="91" t="str">
        <f t="shared" si="6"/>
      </c>
      <c r="AO176" s="91" t="str">
        <f t="shared" si="6"/>
      </c>
      <c r="AP176" s="91" t="str">
        <f t="shared" si="6"/>
      </c>
      <c r="AQ176" s="91" t="str">
        <f t="shared" si="6"/>
      </c>
      <c r="AR176" s="91" t="str">
        <f t="shared" si="6"/>
      </c>
      <c r="AS176" s="91" t="str">
        <f t="shared" si="6"/>
      </c>
      <c r="AT176" s="91" t="str">
        <f t="shared" si="6"/>
      </c>
      <c r="AU176" s="91" t="str">
        <f t="shared" si="6"/>
      </c>
      <c r="AV176" s="91" t="str">
        <f t="shared" si="6"/>
      </c>
      <c r="AW176" s="91" t="str">
        <f t="shared" si="6"/>
      </c>
      <c r="AX176" s="91" t="str">
        <f t="shared" si="6"/>
      </c>
      <c r="AY176" s="91" t="str">
        <f t="shared" si="6"/>
      </c>
      <c r="AZ176" s="91" t="str">
        <f t="shared" si="6"/>
      </c>
      <c r="BA176" s="91" t="str">
        <f t="shared" si="6"/>
      </c>
      <c r="BB176" s="91" t="str">
        <f t="shared" si="6"/>
      </c>
      <c r="BC176" s="91" t="str">
        <f t="shared" si="6"/>
      </c>
      <c r="BD176" s="91" t="str">
        <f t="shared" si="6"/>
      </c>
      <c r="BE176" s="91" t="str">
        <f t="shared" si="6"/>
      </c>
      <c r="BF176" s="91" t="str">
        <f t="shared" si="6"/>
      </c>
      <c r="BG176" s="91" t="str">
        <f t="shared" si="6"/>
      </c>
      <c r="BH176" s="91" t="str">
        <f t="shared" si="6"/>
      </c>
      <c r="BI176" s="91" t="str">
        <f t="shared" si="6"/>
      </c>
      <c r="BJ176" s="91" t="str">
        <f t="shared" si="6"/>
      </c>
      <c r="BK176" s="91" t="str">
        <f t="shared" si="6"/>
      </c>
      <c r="BL176" s="91" t="str">
        <f t="shared" si="6"/>
      </c>
      <c r="BM176" s="91" t="str">
        <f t="shared" si="6"/>
      </c>
      <c r="BN176" s="91" t="str">
        <f t="shared" si="6"/>
      </c>
      <c r="BO176" s="91" t="str">
        <f t="shared" si="6"/>
      </c>
      <c r="BP176" s="91" t="str">
        <f t="shared" si="6"/>
      </c>
      <c r="BQ176" s="91" t="str">
        <f t="shared" si="6"/>
      </c>
      <c r="BR176" s="91" t="str">
        <f t="shared" si="6"/>
      </c>
      <c r="BS176" s="91" t="str">
        <f t="shared" si="6"/>
      </c>
      <c r="BT176" s="91" t="str">
        <f t="shared" si="6"/>
      </c>
      <c r="BU176" s="91" t="str">
        <f t="shared" si="6"/>
      </c>
      <c r="BV176" s="91" t="str">
        <f t="shared" si="6"/>
      </c>
      <c r="BW176" s="91" t="str">
        <f t="shared" si="6"/>
      </c>
      <c r="BX176" s="91" t="str">
        <f t="shared" si="6"/>
      </c>
      <c r="BY176" s="91" t="str">
        <f t="shared" si="6"/>
      </c>
      <c r="BZ176" s="91" t="str">
        <f t="shared" si="6"/>
      </c>
      <c r="CA176" s="91" t="str">
        <f t="shared" si="6"/>
      </c>
      <c r="CB176" s="91" t="str">
        <f t="shared" si="6"/>
      </c>
      <c r="CC176" s="91" t="str">
        <f t="shared" si="6"/>
      </c>
      <c r="CD176" s="91" t="str">
        <f t="shared" si="6"/>
      </c>
      <c r="CE176" s="91" t="str">
        <f t="shared" si="6"/>
      </c>
      <c r="CF176" s="91" t="str">
        <f t="shared" si="6"/>
      </c>
      <c r="CG176" s="91" t="str">
        <f t="shared" si="6"/>
      </c>
      <c r="CH176" s="91" t="str">
        <f t="shared" si="6"/>
      </c>
      <c r="CI176" s="91" t="str">
        <f t="shared" si="6"/>
      </c>
      <c r="CJ176" s="91" t="str">
        <f t="shared" si="6"/>
      </c>
      <c r="CK176" s="91" t="str">
        <f t="shared" si="6"/>
      </c>
      <c r="CL176" s="91" t="str">
        <f t="shared" si="6"/>
      </c>
      <c r="CM176" s="91" t="str">
        <f t="shared" si="6"/>
      </c>
      <c r="CN176" s="91" t="str">
        <f t="shared" si="6"/>
      </c>
      <c r="CO176" s="91" t="str">
        <f ref="CO176:EZ176" t="shared" si="7">IF(SUM(CO157:CO175)&lt;&gt;0,SUM(CO157:CO175),"")</f>
      </c>
      <c r="CP176" s="91" t="str">
        <f t="shared" si="7"/>
      </c>
      <c r="CQ176" s="91" t="str">
        <f t="shared" si="7"/>
      </c>
      <c r="CR176" s="91" t="str">
        <f t="shared" si="7"/>
      </c>
      <c r="CS176" s="91" t="str">
        <f t="shared" si="7"/>
      </c>
      <c r="CT176" s="91" t="str">
        <f t="shared" si="7"/>
      </c>
      <c r="CU176" s="91" t="str">
        <f t="shared" si="7"/>
      </c>
      <c r="CV176" s="91" t="str">
        <f t="shared" si="7"/>
      </c>
      <c r="CW176" s="91" t="str">
        <f t="shared" si="7"/>
      </c>
      <c r="CX176" s="91" t="str">
        <f t="shared" si="7"/>
      </c>
      <c r="CY176" s="91" t="str">
        <f t="shared" si="7"/>
      </c>
      <c r="CZ176" s="91" t="str">
        <f t="shared" si="7"/>
      </c>
      <c r="DA176" s="91" t="str">
        <f t="shared" si="7"/>
      </c>
      <c r="DB176" s="91" t="str">
        <f t="shared" si="7"/>
      </c>
      <c r="DC176" s="91" t="str">
        <f t="shared" si="7"/>
      </c>
      <c r="DD176" s="91" t="str">
        <f t="shared" si="7"/>
      </c>
      <c r="DE176" s="91" t="str">
        <f t="shared" si="7"/>
      </c>
      <c r="DF176" s="91" t="str">
        <f t="shared" si="7"/>
      </c>
      <c r="DG176" s="91" t="str">
        <f t="shared" si="7"/>
      </c>
      <c r="DH176" s="91" t="str">
        <f t="shared" si="7"/>
      </c>
      <c r="DI176" s="91" t="str">
        <f t="shared" si="7"/>
      </c>
      <c r="DJ176" s="91" t="str">
        <f t="shared" si="7"/>
      </c>
      <c r="DK176" s="91" t="str">
        <f t="shared" si="7"/>
      </c>
      <c r="DL176" s="91" t="str">
        <f t="shared" si="7"/>
      </c>
      <c r="DM176" s="91" t="str">
        <f t="shared" si="7"/>
      </c>
      <c r="DN176" s="91" t="str">
        <f t="shared" si="7"/>
      </c>
      <c r="DO176" s="91" t="str">
        <f t="shared" si="7"/>
      </c>
      <c r="DP176" s="91" t="str">
        <f t="shared" si="7"/>
      </c>
      <c r="DQ176" s="91" t="str">
        <f t="shared" si="7"/>
      </c>
      <c r="DR176" s="91" t="str">
        <f t="shared" si="7"/>
      </c>
      <c r="DS176" s="91" t="str">
        <f t="shared" si="7"/>
      </c>
      <c r="DT176" s="91" t="str">
        <f t="shared" si="7"/>
      </c>
      <c r="DU176" s="91" t="str">
        <f t="shared" si="7"/>
      </c>
      <c r="DV176" s="91" t="str">
        <f t="shared" si="7"/>
      </c>
      <c r="DW176" s="91" t="str">
        <f t="shared" si="7"/>
      </c>
      <c r="DX176" s="91" t="str">
        <f t="shared" si="7"/>
      </c>
      <c r="DY176" s="91" t="str">
        <f t="shared" si="7"/>
      </c>
      <c r="DZ176" s="91" t="str">
        <f t="shared" si="7"/>
      </c>
      <c r="EA176" s="91" t="str">
        <f t="shared" si="7"/>
      </c>
      <c r="EB176" s="91" t="str">
        <f t="shared" si="7"/>
      </c>
      <c r="EC176" s="91" t="str">
        <f t="shared" si="7"/>
      </c>
      <c r="ED176" s="91" t="str">
        <f t="shared" si="7"/>
      </c>
      <c r="EE176" s="91" t="str">
        <f t="shared" si="7"/>
      </c>
      <c r="EF176" s="91" t="str">
        <f t="shared" si="7"/>
      </c>
      <c r="EG176" s="91" t="str">
        <f t="shared" si="7"/>
      </c>
      <c r="EH176" s="91" t="str">
        <f t="shared" si="7"/>
      </c>
      <c r="EI176" s="91" t="str">
        <f t="shared" si="7"/>
      </c>
      <c r="EJ176" s="91" t="str">
        <f t="shared" si="7"/>
      </c>
      <c r="EK176" s="91" t="str">
        <f t="shared" si="7"/>
      </c>
      <c r="EL176" s="91" t="str">
        <f t="shared" si="7"/>
      </c>
      <c r="EM176" s="91" t="str">
        <f t="shared" si="7"/>
      </c>
      <c r="EN176" s="91" t="str">
        <f t="shared" si="7"/>
      </c>
      <c r="EO176" s="91" t="str">
        <f t="shared" si="7"/>
      </c>
      <c r="EP176" s="91" t="str">
        <f t="shared" si="7"/>
      </c>
      <c r="EQ176" s="91" t="str">
        <f t="shared" si="7"/>
      </c>
      <c r="ER176" s="91" t="str">
        <f t="shared" si="7"/>
      </c>
      <c r="ES176" s="91" t="str">
        <f t="shared" si="7"/>
      </c>
      <c r="ET176" s="91" t="str">
        <f t="shared" si="7"/>
      </c>
      <c r="EU176" s="91" t="str">
        <f t="shared" si="7"/>
      </c>
      <c r="EV176" s="91" t="str">
        <f t="shared" si="7"/>
      </c>
      <c r="EW176" s="91" t="str">
        <f t="shared" si="7"/>
      </c>
      <c r="EX176" s="91" t="str">
        <f t="shared" si="7"/>
      </c>
      <c r="EY176" s="91" t="str">
        <f t="shared" si="7"/>
      </c>
      <c r="EZ176" s="91" t="str">
        <f t="shared" si="7"/>
      </c>
      <c r="FA176" s="91" t="str">
        <f ref="FA176:HL176" t="shared" si="8">IF(SUM(FA157:FA175)&lt;&gt;0,SUM(FA157:FA175),"")</f>
      </c>
      <c r="FB176" s="91" t="str">
        <f t="shared" si="8"/>
      </c>
      <c r="FC176" s="91" t="str">
        <f t="shared" si="8"/>
      </c>
      <c r="FD176" s="91" t="str">
        <f t="shared" si="8"/>
      </c>
      <c r="FE176" s="91" t="str">
        <f t="shared" si="8"/>
      </c>
      <c r="FF176" s="91" t="str">
        <f t="shared" si="8"/>
      </c>
      <c r="FG176" s="91" t="str">
        <f t="shared" si="8"/>
      </c>
      <c r="FH176" s="91" t="str">
        <f t="shared" si="8"/>
      </c>
      <c r="FI176" s="91" t="str">
        <f t="shared" si="8"/>
      </c>
      <c r="FJ176" s="91" t="str">
        <f t="shared" si="8"/>
      </c>
      <c r="FK176" s="91" t="str">
        <f t="shared" si="8"/>
      </c>
      <c r="FL176" s="91" t="str">
        <f t="shared" si="8"/>
      </c>
      <c r="FM176" s="91" t="str">
        <f t="shared" si="8"/>
      </c>
      <c r="FN176" s="91" t="str">
        <f t="shared" si="8"/>
      </c>
      <c r="FO176" s="91" t="str">
        <f t="shared" si="8"/>
      </c>
      <c r="FP176" s="91" t="str">
        <f t="shared" si="8"/>
      </c>
      <c r="FQ176" s="91" t="str">
        <f t="shared" si="8"/>
      </c>
      <c r="FR176" s="91" t="str">
        <f t="shared" si="8"/>
      </c>
      <c r="FS176" s="91" t="str">
        <f t="shared" si="8"/>
      </c>
      <c r="FT176" s="91" t="str">
        <f t="shared" si="8"/>
      </c>
      <c r="FU176" s="91" t="str">
        <f t="shared" si="8"/>
      </c>
      <c r="FV176" s="91" t="str">
        <f t="shared" si="8"/>
      </c>
      <c r="FW176" s="91" t="str">
        <f t="shared" si="8"/>
      </c>
      <c r="FX176" s="91" t="str">
        <f t="shared" si="8"/>
      </c>
      <c r="FY176" s="91" t="str">
        <f t="shared" si="8"/>
      </c>
      <c r="FZ176" s="91" t="str">
        <f t="shared" si="8"/>
      </c>
      <c r="GA176" s="91" t="str">
        <f t="shared" si="8"/>
      </c>
      <c r="GB176" s="91" t="str">
        <f t="shared" si="8"/>
      </c>
      <c r="GC176" s="91" t="str">
        <f t="shared" si="8"/>
      </c>
      <c r="GD176" s="91" t="str">
        <f t="shared" si="8"/>
      </c>
      <c r="GE176" s="91" t="str">
        <f t="shared" si="8"/>
      </c>
      <c r="GF176" s="91" t="str">
        <f t="shared" si="8"/>
      </c>
      <c r="GG176" s="91" t="str">
        <f t="shared" si="8"/>
      </c>
      <c r="GH176" s="91" t="str">
        <f t="shared" si="8"/>
      </c>
      <c r="GI176" s="91" t="str">
        <f t="shared" si="8"/>
      </c>
      <c r="GJ176" s="91" t="str">
        <f t="shared" si="8"/>
      </c>
      <c r="GK176" s="91" t="str">
        <f t="shared" si="8"/>
      </c>
      <c r="GL176" s="91" t="str">
        <f t="shared" si="8"/>
      </c>
      <c r="GM176" s="91" t="str">
        <f t="shared" si="8"/>
      </c>
      <c r="GN176" s="91" t="str">
        <f t="shared" si="8"/>
      </c>
      <c r="GO176" s="91" t="str">
        <f t="shared" si="8"/>
      </c>
      <c r="GP176" s="91" t="str">
        <f t="shared" si="8"/>
      </c>
      <c r="GQ176" s="91" t="str">
        <f t="shared" si="8"/>
      </c>
      <c r="GR176" s="91" t="str">
        <f t="shared" si="8"/>
      </c>
      <c r="GS176" s="91" t="str">
        <f t="shared" si="8"/>
      </c>
      <c r="GT176" s="91" t="str">
        <f t="shared" si="8"/>
      </c>
      <c r="GU176" s="91" t="str">
        <f t="shared" si="8"/>
      </c>
      <c r="GV176" s="91" t="str">
        <f t="shared" si="8"/>
      </c>
      <c r="GW176" s="91" t="str">
        <f t="shared" si="8"/>
      </c>
      <c r="GX176" s="91" t="str">
        <f t="shared" si="8"/>
      </c>
      <c r="GY176" s="91" t="str">
        <f t="shared" si="8"/>
      </c>
      <c r="GZ176" s="91" t="str">
        <f t="shared" si="8"/>
      </c>
      <c r="HA176" s="91" t="str">
        <f t="shared" si="8"/>
      </c>
      <c r="HB176" s="91" t="str">
        <f t="shared" si="8"/>
      </c>
      <c r="HC176" s="91" t="str">
        <f t="shared" si="8"/>
      </c>
      <c r="HD176" s="91" t="str">
        <f t="shared" si="8"/>
      </c>
      <c r="HE176" s="91" t="str">
        <f t="shared" si="8"/>
      </c>
      <c r="HF176" s="91" t="str">
        <f t="shared" si="8"/>
      </c>
      <c r="HG176" s="91" t="str">
        <f t="shared" si="8"/>
      </c>
      <c r="HH176" s="91" t="str">
        <f t="shared" si="8"/>
      </c>
      <c r="HI176" s="91" t="str">
        <f t="shared" si="8"/>
      </c>
      <c r="HJ176" s="91" t="str">
        <f t="shared" si="8"/>
      </c>
      <c r="HK176" s="91" t="str">
        <f t="shared" si="8"/>
      </c>
      <c r="HL176" s="91" t="str">
        <f t="shared" si="8"/>
      </c>
      <c r="HM176" s="91" t="str">
        <f ref="HM176:IV176" t="shared" si="9">IF(SUM(HM157:HM175)&lt;&gt;0,SUM(HM157:HM175),"")</f>
      </c>
      <c r="HN176" s="91" t="str">
        <f t="shared" si="9"/>
      </c>
      <c r="HO176" s="91" t="str">
        <f t="shared" si="9"/>
      </c>
      <c r="HP176" s="91" t="str">
        <f t="shared" si="9"/>
      </c>
      <c r="HQ176" s="91" t="str">
        <f t="shared" si="9"/>
      </c>
      <c r="HR176" s="91" t="str">
        <f t="shared" si="9"/>
      </c>
      <c r="HS176" s="91" t="str">
        <f t="shared" si="9"/>
      </c>
      <c r="HT176" s="91" t="str">
        <f t="shared" si="9"/>
      </c>
      <c r="HU176" s="91" t="str">
        <f t="shared" si="9"/>
      </c>
      <c r="HV176" s="91" t="str">
        <f t="shared" si="9"/>
      </c>
      <c r="HW176" s="91" t="str">
        <f t="shared" si="9"/>
      </c>
      <c r="HX176" s="91" t="str">
        <f t="shared" si="9"/>
      </c>
      <c r="HY176" s="91" t="str">
        <f t="shared" si="9"/>
      </c>
      <c r="HZ176" s="91" t="str">
        <f t="shared" si="9"/>
      </c>
      <c r="IA176" s="91" t="str">
        <f t="shared" si="9"/>
      </c>
      <c r="IB176" s="91" t="str">
        <f t="shared" si="9"/>
      </c>
      <c r="IC176" s="91" t="str">
        <f t="shared" si="9"/>
      </c>
      <c r="ID176" s="91" t="str">
        <f t="shared" si="9"/>
      </c>
      <c r="IE176" s="91" t="str">
        <f t="shared" si="9"/>
      </c>
      <c r="IF176" s="91" t="str">
        <f t="shared" si="9"/>
      </c>
      <c r="IG176" s="91" t="str">
        <f t="shared" si="9"/>
      </c>
      <c r="IH176" s="91" t="str">
        <f t="shared" si="9"/>
      </c>
      <c r="II176" s="91" t="str">
        <f t="shared" si="9"/>
      </c>
      <c r="IJ176" s="91" t="str">
        <f t="shared" si="9"/>
      </c>
      <c r="IK176" s="91" t="str">
        <f t="shared" si="9"/>
      </c>
      <c r="IL176" s="91" t="str">
        <f t="shared" si="9"/>
      </c>
      <c r="IM176" s="91" t="str">
        <f t="shared" si="9"/>
      </c>
      <c r="IN176" s="91" t="str">
        <f t="shared" si="9"/>
      </c>
      <c r="IO176" s="91" t="str">
        <f t="shared" si="9"/>
      </c>
      <c r="IP176" s="91" t="str">
        <f t="shared" si="9"/>
      </c>
      <c r="IQ176" s="91" t="str">
        <f t="shared" si="9"/>
      </c>
      <c r="IR176" s="91" t="str">
        <f t="shared" si="9"/>
      </c>
      <c r="IS176" s="91" t="str">
        <f t="shared" si="9"/>
      </c>
      <c r="IT176" s="91" t="str">
        <f t="shared" si="9"/>
      </c>
      <c r="IU176" s="91" t="str">
        <f t="shared" si="9"/>
      </c>
      <c r="IV176" s="91" t="str">
        <f t="shared" si="9"/>
      </c>
    </row>
    <row r="177" hidden="1" ht="13.5">
      <c r="N177" s="284"/>
    </row>
    <row r="178" hidden="1" ht="13.5" customHeight="1">
      <c r="A178" s="50"/>
      <c r="B178" s="50"/>
      <c r="C178" s="686" t="s">
        <v>237</v>
      </c>
      <c r="D178" s="687"/>
      <c r="E178" s="687"/>
      <c r="F178" s="687"/>
      <c r="G178" s="687"/>
      <c r="H178" s="687"/>
      <c r="I178" s="687"/>
      <c r="J178" s="687"/>
      <c r="K178" s="687"/>
      <c r="L178" s="687"/>
      <c r="M178" s="687"/>
      <c r="N178" s="687"/>
      <c r="O178" s="687"/>
      <c r="P178" s="687"/>
      <c r="Q178" s="687"/>
      <c r="R178" s="687"/>
      <c r="S178" s="687"/>
      <c r="T178" s="687"/>
      <c r="U178" s="687"/>
      <c r="V178" s="687"/>
      <c r="W178" s="687"/>
      <c r="X178" s="687"/>
      <c r="Y178" s="687"/>
      <c r="Z178" s="687"/>
      <c r="AA178" s="687"/>
      <c r="AB178" s="688"/>
    </row>
    <row r="179" hidden="1" ht="12.75" customHeight="1">
      <c r="A179" s="216"/>
      <c r="C179" s="435" t="str">
        <f> IF(C199&lt;&gt;"",TEXT(AUX!G$1,"dd-MMM-aa"),"")</f>
      </c>
      <c r="D179" s="435" t="str">
        <f> IF(D199&lt;&gt;"",TEXT(AUX!H$1,"dd-MMM-aa"),"")</f>
      </c>
      <c r="E179" s="435" t="str">
        <f> IF(E199&lt;&gt;"",TEXT(AUX!I$1,"dd-MMM-aa"),"")</f>
      </c>
      <c r="F179" s="435" t="str">
        <f> IF(F199&lt;&gt;"",TEXT(AUX!J$1,"dd-MMM-aa"),"")</f>
      </c>
      <c r="G179" s="435" t="str">
        <f> IF(G199&lt;&gt;"",TEXT(AUX!K$1,"dd-MMM-aa"),"")</f>
      </c>
      <c r="H179" s="435" t="str">
        <f> IF(H199&lt;&gt;"",TEXT(AUX!L$1,"dd-MMM-aa"),"")</f>
      </c>
      <c r="I179" s="435" t="str">
        <f> IF(I199&lt;&gt;"",TEXT(AUX!M$1,"dd-MMM-aa"),"")</f>
      </c>
      <c r="J179" s="435" t="str">
        <f> IF(J199&lt;&gt;"",TEXT(AUX!N$1,"dd-MMM-aa"),"")</f>
      </c>
      <c r="K179" s="435" t="str">
        <f> IF(K199&lt;&gt;"",TEXT(AUX!O$1,"dd-MMM-aa"),"")</f>
      </c>
      <c r="L179" s="435" t="str">
        <f> IF(L199&lt;&gt;"",TEXT(AUX!P$1,"dd-MMM-aa"),"")</f>
      </c>
      <c r="M179" s="435" t="str">
        <f> IF(M199&lt;&gt;"",TEXT(AUX!Q$1,"dd-MMM-aa"),"")</f>
      </c>
      <c r="N179" s="435" t="str">
        <f> IF(N199&lt;&gt;"",TEXT(AUX!R$1,"dd-MMM-aa"),"")</f>
      </c>
      <c r="O179" s="435" t="str">
        <f> IF(O199&lt;&gt;"",TEXT(AUX!S$1,"dd-MMM-aa"),"")</f>
      </c>
      <c r="P179" s="435" t="str">
        <f> IF(P199&lt;&gt;"",TEXT(AUX!T$1,"dd-MMM-aa"),"")</f>
      </c>
      <c r="Q179" s="435" t="str">
        <f> IF(Q199&lt;&gt;"",TEXT(AUX!U$1,"dd-MMM-aa"),"")</f>
      </c>
      <c r="R179" s="435" t="str">
        <f> IF(R199&lt;&gt;"",TEXT(AUX!V$1,"dd-MMM-aa"),"")</f>
      </c>
      <c r="S179" s="435" t="str">
        <f> IF(S199&lt;&gt;"",TEXT(AUX!W$1,"dd-MMM-aa"),"")</f>
      </c>
      <c r="T179" s="435" t="str">
        <f> IF(T199&lt;&gt;"",TEXT(AUX!X$1,"dd-MMM-aa"),"")</f>
      </c>
      <c r="U179" s="435" t="str">
        <f> IF(U199&lt;&gt;"",TEXT(AUX!Y$1,"dd-MMM-aa"),"")</f>
      </c>
      <c r="V179" s="435" t="str">
        <f> IF(V199&lt;&gt;"",TEXT(AUX!Z$1,"dd-MMM-aa"),"")</f>
      </c>
      <c r="W179" s="435" t="str">
        <f> IF(W199&lt;&gt;"",TEXT(AUX!AA$1,"dd-MMM-aa"),"")</f>
      </c>
      <c r="X179" s="435" t="str">
        <f> IF(X199&lt;&gt;"",TEXT(AUX!AB$1,"dd-MMM-aa"),"")</f>
      </c>
      <c r="Y179" s="435" t="str">
        <f> IF(Y199&lt;&gt;"",TEXT(AUX!AC$1,"dd-MMM-aa"),"")</f>
      </c>
      <c r="Z179" s="435" t="str">
        <f> IF(Z199&lt;&gt;"",TEXT(AUX!AD$1,"dd-MMM-aa"),"")</f>
      </c>
      <c r="AA179" s="435" t="str">
        <f> IF(AA199&lt;&gt;"",TEXT(AUX!AE$1,"dd-MMM-aa"),"")</f>
      </c>
      <c r="AB179" s="497" t="str">
        <f> IF(AB199&lt;&gt;"",TEXT(AUX!AF$1,"dd-MMM-aa"),"")</f>
      </c>
      <c r="AC179" s="496" t="str">
        <f> IF(AC199&lt;&gt;"",TEXT(AUX!AG$1,"dd-MMM-aa"),"")</f>
      </c>
      <c r="AD179" s="496" t="str">
        <f> IF(AD199&lt;&gt;"",TEXT(AUX!AH$1,"dd-MMM-aa"),"")</f>
      </c>
      <c r="AE179" s="496" t="str">
        <f> IF(AE199&lt;&gt;"",TEXT(AUX!AI$1,"dd-MMM-aa"),"")</f>
      </c>
      <c r="AF179" s="496" t="str">
        <f> IF(AF199&lt;&gt;"",TEXT(AUX!AJ$1,"dd-MMM-aa"),"")</f>
      </c>
      <c r="AG179" s="496" t="str">
        <f> IF(AG199&lt;&gt;"",TEXT(AUX!AK$1,"dd-MMM-aa"),"")</f>
      </c>
      <c r="AH179" s="496" t="str">
        <f> IF(AH199&lt;&gt;"",TEXT(AUX!AL$1,"dd-MMM-aa"),"")</f>
      </c>
      <c r="AI179" s="496" t="str">
        <f> IF(AI199&lt;&gt;"",TEXT(AUX!AM$1,"dd-MMM-aa"),"")</f>
      </c>
      <c r="AJ179" s="496" t="str">
        <f> IF(AJ199&lt;&gt;"",TEXT(AUX!AN$1,"dd-MMM-aa"),"")</f>
      </c>
      <c r="AK179" s="496" t="str">
        <f> IF(AK199&lt;&gt;"",TEXT(AUX!AO$1,"dd-MMM-aa"),"")</f>
      </c>
      <c r="AL179" s="496" t="str">
        <f> IF(AL199&lt;&gt;"",TEXT(AUX!AP$1,"dd-MMM-aa"),"")</f>
      </c>
      <c r="AM179" s="496" t="str">
        <f> IF(AM199&lt;&gt;"",TEXT(AUX!AQ$1,"dd-MMM-aa"),"")</f>
      </c>
      <c r="AN179" s="496" t="str">
        <f> IF(AN199&lt;&gt;"",TEXT(AUX!AR$1,"dd-MMM-aa"),"")</f>
      </c>
      <c r="AO179" s="496" t="str">
        <f> IF(AO199&lt;&gt;"",TEXT(AUX!AS$1,"dd-MMM-aa"),"")</f>
      </c>
      <c r="AP179" s="496" t="str">
        <f> IF(AP199&lt;&gt;"",TEXT(AUX!AT$1,"dd-MMM-aa"),"")</f>
      </c>
      <c r="AQ179" s="496" t="str">
        <f> IF(AQ199&lt;&gt;"",TEXT(AUX!AU$1,"dd-MMM-aa"),"")</f>
      </c>
      <c r="AR179" s="496" t="str">
        <f> IF(AR199&lt;&gt;"",TEXT(AUX!AV$1,"dd-MMM-aa"),"")</f>
      </c>
      <c r="AS179" s="496" t="str">
        <f> IF(AS199&lt;&gt;"",TEXT(AUX!AW$1,"dd-MMM-aa"),"")</f>
      </c>
      <c r="AT179" s="496" t="str">
        <f> IF(AT199&lt;&gt;"",TEXT(AUX!AX$1,"dd-MMM-aa"),"")</f>
      </c>
      <c r="AU179" s="496" t="str">
        <f> IF(AU199&lt;&gt;"",TEXT(AUX!AY$1,"dd-MMM-aa"),"")</f>
      </c>
      <c r="AV179" s="496" t="str">
        <f> IF(AV199&lt;&gt;"",TEXT(AUX!AZ$1,"dd-MMM-aa"),"")</f>
      </c>
      <c r="AW179" s="496" t="str">
        <f> IF(AW199&lt;&gt;"",TEXT(AUX!BA$1,"dd-MMM-aa"),"")</f>
      </c>
      <c r="AX179" s="496" t="str">
        <f> IF(AX199&lt;&gt;"",TEXT(AUX!BB$1,"dd-MMM-aa"),"")</f>
      </c>
      <c r="AY179" s="496" t="str">
        <f> IF(AY199&lt;&gt;"",TEXT(AUX!BC$1,"dd-MMM-aa"),"")</f>
      </c>
      <c r="AZ179" s="496" t="str">
        <f> IF(AZ199&lt;&gt;"",TEXT(AUX!BD$1,"dd-MMM-aa"),"")</f>
      </c>
      <c r="BA179" s="496" t="str">
        <f> IF(BA199&lt;&gt;"",TEXT(AUX!BE$1,"dd-MMM-aa"),"")</f>
      </c>
      <c r="BB179" s="496" t="str">
        <f> IF(BB199&lt;&gt;"",TEXT(AUX!BF$1,"dd-MMM-aa"),"")</f>
      </c>
      <c r="BC179" s="496" t="str">
        <f> IF(BC199&lt;&gt;"",TEXT(AUX!BG$1,"dd-MMM-aa"),"")</f>
      </c>
      <c r="BD179" s="496" t="str">
        <f> IF(BD199&lt;&gt;"",TEXT(AUX!BH$1,"dd-MMM-aa"),"")</f>
      </c>
      <c r="BE179" s="496" t="str">
        <f> IF(BE199&lt;&gt;"",TEXT(AUX!BI$1,"dd-MMM-aa"),"")</f>
      </c>
      <c r="BF179" s="496" t="str">
        <f> IF(BF199&lt;&gt;"",TEXT(AUX!BJ$1,"dd-MMM-aa"),"")</f>
      </c>
      <c r="BG179" s="496" t="str">
        <f> IF(BG199&lt;&gt;"",TEXT(AUX!BK$1,"dd-MMM-aa"),"")</f>
      </c>
      <c r="BH179" s="496" t="str">
        <f> IF(BH199&lt;&gt;"",TEXT(AUX!BL$1,"dd-MMM-aa"),"")</f>
      </c>
      <c r="BI179" s="496" t="str">
        <f> IF(BI199&lt;&gt;"",TEXT(AUX!BM$1,"dd-MMM-aa"),"")</f>
      </c>
      <c r="BJ179" s="496" t="str">
        <f> IF(BJ199&lt;&gt;"",TEXT(AUX!BN$1,"dd-MMM-aa"),"")</f>
      </c>
      <c r="BK179" s="496" t="str">
        <f> IF(BK199&lt;&gt;"",TEXT(AUX!BO$1,"dd-MMM-aa"),"")</f>
      </c>
      <c r="BL179" s="496" t="str">
        <f> IF(BL199&lt;&gt;"",TEXT(AUX!BP$1,"dd-MMM-aa"),"")</f>
      </c>
      <c r="BM179" s="496" t="str">
        <f> IF(BM199&lt;&gt;"",TEXT(AUX!BQ$1,"dd-MMM-aa"),"")</f>
      </c>
      <c r="BN179" s="496" t="str">
        <f> IF(BN199&lt;&gt;"",TEXT(AUX!BR$1,"dd-MMM-aa"),"")</f>
      </c>
      <c r="BO179" s="496" t="str">
        <f> IF(BO199&lt;&gt;"",TEXT(AUX!BS$1,"dd-MMM-aa"),"")</f>
      </c>
      <c r="BP179" s="496" t="str">
        <f> IF(BP199&lt;&gt;"",TEXT(AUX!BT$1,"dd-MMM-aa"),"")</f>
      </c>
      <c r="BQ179" s="496" t="str">
        <f> IF(BQ199&lt;&gt;"",TEXT(AUX!BU$1,"dd-MMM-aa"),"")</f>
      </c>
      <c r="BR179" s="496" t="str">
        <f> IF(BR199&lt;&gt;"",TEXT(AUX!BV$1,"dd-MMM-aa"),"")</f>
      </c>
      <c r="BS179" s="496" t="str">
        <f> IF(BS199&lt;&gt;"",TEXT(AUX!BW$1,"dd-MMM-aa"),"")</f>
      </c>
      <c r="BT179" s="496" t="str">
        <f> IF(BT199&lt;&gt;"",TEXT(AUX!BX$1,"dd-MMM-aa"),"")</f>
      </c>
      <c r="BU179" s="496" t="str">
        <f> IF(BU199&lt;&gt;"",TEXT(AUX!BY$1,"dd-MMM-aa"),"")</f>
      </c>
      <c r="BV179" s="496" t="str">
        <f> IF(BV199&lt;&gt;"",TEXT(AUX!BZ$1,"dd-MMM-aa"),"")</f>
      </c>
      <c r="BW179" s="496" t="str">
        <f> IF(BW199&lt;&gt;"",TEXT(AUX!CA$1,"dd-MMM-aa"),"")</f>
      </c>
      <c r="BX179" s="496" t="str">
        <f> IF(BX199&lt;&gt;"",TEXT(AUX!CB$1,"dd-MMM-aa"),"")</f>
      </c>
      <c r="BY179" s="496" t="str">
        <f> IF(BY199&lt;&gt;"",TEXT(AUX!CC$1,"dd-MMM-aa"),"")</f>
      </c>
      <c r="BZ179" s="496" t="str">
        <f> IF(BZ199&lt;&gt;"",TEXT(AUX!CD$1,"dd-MMM-aa"),"")</f>
      </c>
      <c r="CA179" s="496" t="str">
        <f> IF(CA199&lt;&gt;"",TEXT(AUX!CE$1,"dd-MMM-aa"),"")</f>
      </c>
      <c r="CB179" s="496" t="str">
        <f> IF(CB199&lt;&gt;"",TEXT(AUX!CF$1,"dd-MMM-aa"),"")</f>
      </c>
      <c r="CC179" s="496" t="str">
        <f> IF(CC199&lt;&gt;"",TEXT(AUX!CG$1,"dd-MMM-aa"),"")</f>
      </c>
      <c r="CD179" s="496" t="str">
        <f> IF(CD199&lt;&gt;"",TEXT(AUX!CH$1,"dd-MMM-aa"),"")</f>
      </c>
      <c r="CE179" s="496" t="str">
        <f> IF(CE199&lt;&gt;"",TEXT(AUX!CI$1,"dd-MMM-aa"),"")</f>
      </c>
      <c r="CF179" s="496" t="str">
        <f> IF(CF199&lt;&gt;"",TEXT(AUX!CJ$1,"dd-MMM-aa"),"")</f>
      </c>
      <c r="CG179" s="496" t="str">
        <f> IF(CG199&lt;&gt;"",TEXT(AUX!CK$1,"dd-MMM-aa"),"")</f>
      </c>
      <c r="CH179" s="496" t="str">
        <f> IF(CH199&lt;&gt;"",TEXT(AUX!CL$1,"dd-MMM-aa"),"")</f>
      </c>
      <c r="CI179" s="496" t="str">
        <f> IF(CI199&lt;&gt;"",TEXT(AUX!CM$1,"dd-MMM-aa"),"")</f>
      </c>
      <c r="CJ179" s="496" t="str">
        <f> IF(CJ199&lt;&gt;"",TEXT(AUX!CN$1,"dd-MMM-aa"),"")</f>
      </c>
      <c r="CK179" s="496" t="str">
        <f> IF(CK199&lt;&gt;"",TEXT(AUX!CO$1,"dd-MMM-aa"),"")</f>
      </c>
      <c r="CL179" s="496" t="str">
        <f> IF(CL199&lt;&gt;"",TEXT(AUX!CP$1,"dd-MMM-aa"),"")</f>
      </c>
      <c r="CM179" s="496" t="str">
        <f> IF(CM199&lt;&gt;"",TEXT(AUX!CQ$1,"dd-MMM-aa"),"")</f>
      </c>
      <c r="CN179" s="496" t="str">
        <f> IF(CN199&lt;&gt;"",TEXT(AUX!CR$1,"dd-MMM-aa"),"")</f>
      </c>
      <c r="CO179" s="496" t="str">
        <f> IF(CO199&lt;&gt;"",TEXT(AUX!CS$1,"dd-MMM-aa"),"")</f>
      </c>
      <c r="CP179" s="496" t="str">
        <f> IF(CP199&lt;&gt;"",TEXT(AUX!CT$1,"dd-MMM-aa"),"")</f>
      </c>
      <c r="CQ179" s="496" t="str">
        <f> IF(CQ199&lt;&gt;"",TEXT(AUX!CU$1,"dd-MMM-aa"),"")</f>
      </c>
      <c r="CR179" s="496" t="str">
        <f> IF(CR199&lt;&gt;"",TEXT(AUX!CV$1,"dd-MMM-aa"),"")</f>
      </c>
      <c r="CS179" s="496" t="str">
        <f> IF(CS199&lt;&gt;"",TEXT(AUX!CW$1,"dd-MMM-aa"),"")</f>
      </c>
      <c r="CT179" s="496" t="str">
        <f> IF(CT199&lt;&gt;"",TEXT(AUX!CX$1,"dd-MMM-aa"),"")</f>
      </c>
      <c r="CU179" s="496" t="str">
        <f> IF(CU199&lt;&gt;"",TEXT(AUX!CY$1,"dd-MMM-aa"),"")</f>
      </c>
      <c r="CV179" s="496" t="str">
        <f> IF(CV199&lt;&gt;"",TEXT(AUX!CZ$1,"dd-MMM-aa"),"")</f>
      </c>
      <c r="CW179" s="496" t="str">
        <f> IF(CW199&lt;&gt;"",TEXT(AUX!DA$1,"dd-MMM-aa"),"")</f>
      </c>
      <c r="CX179" s="496" t="str">
        <f> IF(CX199&lt;&gt;"",TEXT(AUX!DB$1,"dd-MMM-aa"),"")</f>
      </c>
      <c r="CY179" s="496" t="str">
        <f> IF(CY199&lt;&gt;"",TEXT(AUX!DC$1,"dd-MMM-aa"),"")</f>
      </c>
      <c r="CZ179" s="496" t="str">
        <f> IF(CZ199&lt;&gt;"",TEXT(AUX!DD$1,"dd-MMM-aa"),"")</f>
      </c>
      <c r="DA179" s="496" t="str">
        <f> IF(DA199&lt;&gt;"",TEXT(AUX!DE$1,"dd-MMM-aa"),"")</f>
      </c>
      <c r="DB179" s="496" t="str">
        <f> IF(DB199&lt;&gt;"",TEXT(AUX!DF$1,"dd-MMM-aa"),"")</f>
      </c>
      <c r="DC179" s="496" t="str">
        <f> IF(DC199&lt;&gt;"",TEXT(AUX!DG$1,"dd-MMM-aa"),"")</f>
      </c>
      <c r="DD179" s="496" t="str">
        <f> IF(DD199&lt;&gt;"",TEXT(AUX!DH$1,"dd-MMM-aa"),"")</f>
      </c>
      <c r="DE179" s="496" t="str">
        <f> IF(DE199&lt;&gt;"",TEXT(AUX!DI$1,"dd-MMM-aa"),"")</f>
      </c>
      <c r="DF179" s="496" t="str">
        <f> IF(DF199&lt;&gt;"",TEXT(AUX!DJ$1,"dd-MMM-aa"),"")</f>
      </c>
      <c r="DG179" s="496" t="str">
        <f> IF(DG199&lt;&gt;"",TEXT(AUX!DK$1,"dd-MMM-aa"),"")</f>
      </c>
      <c r="DH179" s="496" t="str">
        <f> IF(DH199&lt;&gt;"",TEXT(AUX!DL$1,"dd-MMM-aa"),"")</f>
      </c>
      <c r="DI179" s="496" t="str">
        <f> IF(DI199&lt;&gt;"",TEXT(AUX!DM$1,"dd-MMM-aa"),"")</f>
      </c>
      <c r="DJ179" s="496" t="str">
        <f> IF(DJ199&lt;&gt;"",TEXT(AUX!DN$1,"dd-MMM-aa"),"")</f>
      </c>
      <c r="DK179" s="496" t="str">
        <f> IF(DK199&lt;&gt;"",TEXT(AUX!DO$1,"dd-MMM-aa"),"")</f>
      </c>
      <c r="DL179" s="496" t="str">
        <f> IF(DL199&lt;&gt;"",TEXT(AUX!DP$1,"dd-MMM-aa"),"")</f>
      </c>
      <c r="DM179" s="496" t="str">
        <f> IF(DM199&lt;&gt;"",TEXT(AUX!DQ$1,"dd-MMM-aa"),"")</f>
      </c>
      <c r="DN179" s="496" t="str">
        <f> IF(DN199&lt;&gt;"",TEXT(AUX!DR$1,"dd-MMM-aa"),"")</f>
      </c>
      <c r="DO179" s="496" t="str">
        <f> IF(DO199&lt;&gt;"",TEXT(AUX!DS$1,"dd-MMM-aa"),"")</f>
      </c>
      <c r="DP179" s="496" t="str">
        <f> IF(DP199&lt;&gt;"",TEXT(AUX!DT$1,"dd-MMM-aa"),"")</f>
      </c>
      <c r="DQ179" s="496" t="str">
        <f> IF(DQ199&lt;&gt;"",TEXT(AUX!DU$1,"dd-MMM-aa"),"")</f>
      </c>
      <c r="DR179" s="496" t="str">
        <f> IF(DR199&lt;&gt;"",TEXT(AUX!DV$1,"dd-MMM-aa"),"")</f>
      </c>
      <c r="DS179" s="496" t="str">
        <f> IF(DS199&lt;&gt;"",TEXT(AUX!DW$1,"dd-MMM-aa"),"")</f>
      </c>
      <c r="DT179" s="496" t="str">
        <f> IF(DT199&lt;&gt;"",TEXT(AUX!DX$1,"dd-MMM-aa"),"")</f>
      </c>
      <c r="DU179" s="496" t="str">
        <f> IF(DU199&lt;&gt;"",TEXT(AUX!DY$1,"dd-MMM-aa"),"")</f>
      </c>
      <c r="DV179" s="496" t="str">
        <f> IF(DV199&lt;&gt;"",TEXT(AUX!DZ$1,"dd-MMM-aa"),"")</f>
      </c>
      <c r="DW179" s="496" t="str">
        <f> IF(DW199&lt;&gt;"",TEXT(AUX!EA$1,"dd-MMM-aa"),"")</f>
      </c>
      <c r="DX179" s="496" t="str">
        <f> IF(DX199&lt;&gt;"",TEXT(AUX!EB$1,"dd-MMM-aa"),"")</f>
      </c>
      <c r="DY179" s="496" t="str">
        <f> IF(DY199&lt;&gt;"",TEXT(AUX!EC$1,"dd-MMM-aa"),"")</f>
      </c>
      <c r="DZ179" s="496" t="str">
        <f> IF(DZ199&lt;&gt;"",TEXT(AUX!ED$1,"dd-MMM-aa"),"")</f>
      </c>
      <c r="EA179" s="496" t="str">
        <f> IF(EA199&lt;&gt;"",TEXT(AUX!EE$1,"dd-MMM-aa"),"")</f>
      </c>
      <c r="EB179" s="496" t="str">
        <f> IF(EB199&lt;&gt;"",TEXT(AUX!EF$1,"dd-MMM-aa"),"")</f>
      </c>
      <c r="EC179" s="496" t="str">
        <f> IF(EC199&lt;&gt;"",TEXT(AUX!EG$1,"dd-MMM-aa"),"")</f>
      </c>
      <c r="ED179" s="496" t="str">
        <f> IF(ED199&lt;&gt;"",TEXT(AUX!EH$1,"dd-MMM-aa"),"")</f>
      </c>
      <c r="EE179" s="496" t="str">
        <f> IF(EE199&lt;&gt;"",TEXT(AUX!EI$1,"dd-MMM-aa"),"")</f>
      </c>
      <c r="EF179" s="496" t="str">
        <f> IF(EF199&lt;&gt;"",TEXT(AUX!EJ$1,"dd-MMM-aa"),"")</f>
      </c>
      <c r="EG179" s="496" t="str">
        <f> IF(EG199&lt;&gt;"",TEXT(AUX!EK$1,"dd-MMM-aa"),"")</f>
      </c>
      <c r="EH179" s="496" t="str">
        <f> IF(EH199&lt;&gt;"",TEXT(AUX!EL$1,"dd-MMM-aa"),"")</f>
      </c>
      <c r="EI179" s="496" t="str">
        <f> IF(EI199&lt;&gt;"",TEXT(AUX!EM$1,"dd-MMM-aa"),"")</f>
      </c>
      <c r="EJ179" s="496" t="str">
        <f> IF(EJ199&lt;&gt;"",TEXT(AUX!EN$1,"dd-MMM-aa"),"")</f>
      </c>
      <c r="EK179" s="496" t="str">
        <f> IF(EK199&lt;&gt;"",TEXT(AUX!EO$1,"dd-MMM-aa"),"")</f>
      </c>
      <c r="EL179" s="496" t="str">
        <f> IF(EL199&lt;&gt;"",TEXT(AUX!EP$1,"dd-MMM-aa"),"")</f>
      </c>
      <c r="EM179" s="496" t="str">
        <f> IF(EM199&lt;&gt;"",TEXT(AUX!EQ$1,"dd-MMM-aa"),"")</f>
      </c>
      <c r="EN179" s="496" t="str">
        <f> IF(EN199&lt;&gt;"",TEXT(AUX!ER$1,"dd-MMM-aa"),"")</f>
      </c>
      <c r="EO179" s="496" t="str">
        <f> IF(EO199&lt;&gt;"",TEXT(AUX!ES$1,"dd-MMM-aa"),"")</f>
      </c>
      <c r="EP179" s="496" t="str">
        <f> IF(EP199&lt;&gt;"",TEXT(AUX!ET$1,"dd-MMM-aa"),"")</f>
      </c>
      <c r="EQ179" s="496" t="str">
        <f> IF(EQ199&lt;&gt;"",TEXT(AUX!EU$1,"dd-MMM-aa"),"")</f>
      </c>
      <c r="ER179" s="496" t="str">
        <f> IF(ER199&lt;&gt;"",TEXT(AUX!EV$1,"dd-MMM-aa"),"")</f>
      </c>
      <c r="ES179" s="496" t="str">
        <f> IF(ES199&lt;&gt;"",TEXT(AUX!EW$1,"dd-MMM-aa"),"")</f>
      </c>
      <c r="ET179" s="496" t="str">
        <f> IF(ET199&lt;&gt;"",TEXT(AUX!EX$1,"dd-MMM-aa"),"")</f>
      </c>
      <c r="EU179" s="496" t="str">
        <f> IF(EU199&lt;&gt;"",TEXT(AUX!EY$1,"dd-MMM-aa"),"")</f>
      </c>
      <c r="EV179" s="496" t="str">
        <f> IF(EV199&lt;&gt;"",TEXT(AUX!EZ$1,"dd-MMM-aa"),"")</f>
      </c>
      <c r="EW179" s="496" t="str">
        <f> IF(EW199&lt;&gt;"",TEXT(AUX!FA$1,"dd-MMM-aa"),"")</f>
      </c>
      <c r="EX179" s="496" t="str">
        <f> IF(EX199&lt;&gt;"",TEXT(AUX!FB$1,"dd-MMM-aa"),"")</f>
      </c>
      <c r="EY179" s="496" t="str">
        <f> IF(EY199&lt;&gt;"",TEXT(AUX!FC$1,"dd-MMM-aa"),"")</f>
      </c>
      <c r="EZ179" s="496" t="str">
        <f> IF(EZ199&lt;&gt;"",TEXT(AUX!FD$1,"dd-MMM-aa"),"")</f>
      </c>
      <c r="FA179" s="496" t="str">
        <f> IF(FA199&lt;&gt;"",TEXT(AUX!FE$1,"dd-MMM-aa"),"")</f>
      </c>
      <c r="FB179" s="496" t="str">
        <f> IF(FB199&lt;&gt;"",TEXT(AUX!FF$1,"dd-MMM-aa"),"")</f>
      </c>
      <c r="FC179" s="496" t="str">
        <f> IF(FC199&lt;&gt;"",TEXT(AUX!FG$1,"dd-MMM-aa"),"")</f>
      </c>
      <c r="FD179" s="496" t="str">
        <f> IF(FD199&lt;&gt;"",TEXT(AUX!FH$1,"dd-MMM-aa"),"")</f>
      </c>
      <c r="FE179" s="496" t="str">
        <f> IF(FE199&lt;&gt;"",TEXT(AUX!FI$1,"dd-MMM-aa"),"")</f>
      </c>
      <c r="FF179" s="496" t="str">
        <f> IF(FF199&lt;&gt;"",TEXT(AUX!FJ$1,"dd-MMM-aa"),"")</f>
      </c>
      <c r="FG179" s="496" t="str">
        <f> IF(FG199&lt;&gt;"",TEXT(AUX!FK$1,"dd-MMM-aa"),"")</f>
      </c>
      <c r="FH179" s="496" t="str">
        <f> IF(FH199&lt;&gt;"",TEXT(AUX!FL$1,"dd-MMM-aa"),"")</f>
      </c>
      <c r="FI179" s="496" t="str">
        <f> IF(FI199&lt;&gt;"",TEXT(AUX!FM$1,"dd-MMM-aa"),"")</f>
      </c>
      <c r="FJ179" s="496" t="str">
        <f> IF(FJ199&lt;&gt;"",TEXT(AUX!FN$1,"dd-MMM-aa"),"")</f>
      </c>
      <c r="FK179" s="496" t="str">
        <f> IF(FK199&lt;&gt;"",TEXT(AUX!FO$1,"dd-MMM-aa"),"")</f>
      </c>
      <c r="FL179" s="496" t="str">
        <f> IF(FL199&lt;&gt;"",TEXT(AUX!FP$1,"dd-MMM-aa"),"")</f>
      </c>
      <c r="FM179" s="496" t="str">
        <f> IF(FM199&lt;&gt;"",TEXT(AUX!FQ$1,"dd-MMM-aa"),"")</f>
      </c>
      <c r="FN179" s="496" t="str">
        <f> IF(FN199&lt;&gt;"",TEXT(AUX!FR$1,"dd-MMM-aa"),"")</f>
      </c>
      <c r="FO179" s="496" t="str">
        <f> IF(FO199&lt;&gt;"",TEXT(AUX!FS$1,"dd-MMM-aa"),"")</f>
      </c>
      <c r="FP179" s="496" t="str">
        <f> IF(FP199&lt;&gt;"",TEXT(AUX!FT$1,"dd-MMM-aa"),"")</f>
      </c>
      <c r="FQ179" s="496" t="str">
        <f> IF(FQ199&lt;&gt;"",TEXT(AUX!FU$1,"dd-MMM-aa"),"")</f>
      </c>
      <c r="FR179" s="496" t="str">
        <f> IF(FR199&lt;&gt;"",TEXT(AUX!FV$1,"dd-MMM-aa"),"")</f>
      </c>
      <c r="FS179" s="496" t="str">
        <f> IF(FS199&lt;&gt;"",TEXT(AUX!FW$1,"dd-MMM-aa"),"")</f>
      </c>
      <c r="FT179" s="496" t="str">
        <f> IF(FT199&lt;&gt;"",TEXT(AUX!FX$1,"dd-MMM-aa"),"")</f>
      </c>
      <c r="FU179" s="496" t="str">
        <f> IF(FU199&lt;&gt;"",TEXT(AUX!FY$1,"dd-MMM-aa"),"")</f>
      </c>
      <c r="FV179" s="496" t="str">
        <f> IF(FV199&lt;&gt;"",TEXT(AUX!FZ$1,"dd-MMM-aa"),"")</f>
      </c>
      <c r="FW179" s="496" t="str">
        <f> IF(FW199&lt;&gt;"",TEXT(AUX!GA$1,"dd-MMM-aa"),"")</f>
      </c>
      <c r="FX179" s="496" t="str">
        <f> IF(FX199&lt;&gt;"",TEXT(AUX!GB$1,"dd-MMM-aa"),"")</f>
      </c>
      <c r="FY179" s="496" t="str">
        <f> IF(FY199&lt;&gt;"",TEXT(AUX!GC$1,"dd-MMM-aa"),"")</f>
      </c>
      <c r="FZ179" s="496" t="str">
        <f> IF(FZ199&lt;&gt;"",TEXT(AUX!GD$1,"dd-MMM-aa"),"")</f>
      </c>
      <c r="GA179" s="496" t="str">
        <f> IF(GA199&lt;&gt;"",TEXT(AUX!GE$1,"dd-MMM-aa"),"")</f>
      </c>
      <c r="GB179" s="496" t="str">
        <f> IF(GB199&lt;&gt;"",TEXT(AUX!GF$1,"dd-MMM-aa"),"")</f>
      </c>
      <c r="GC179" s="496" t="str">
        <f> IF(GC199&lt;&gt;"",TEXT(AUX!GG$1,"dd-MMM-aa"),"")</f>
      </c>
      <c r="GD179" s="496" t="str">
        <f> IF(GD199&lt;&gt;"",TEXT(AUX!GH$1,"dd-MMM-aa"),"")</f>
      </c>
      <c r="GE179" s="496" t="str">
        <f> IF(GE199&lt;&gt;"",TEXT(AUX!GI$1,"dd-MMM-aa"),"")</f>
      </c>
      <c r="GF179" s="496" t="str">
        <f> IF(GF199&lt;&gt;"",TEXT(AUX!GJ$1,"dd-MMM-aa"),"")</f>
      </c>
      <c r="GG179" s="496" t="str">
        <f> IF(GG199&lt;&gt;"",TEXT(AUX!GK$1,"dd-MMM-aa"),"")</f>
      </c>
      <c r="GH179" s="496" t="str">
        <f> IF(GH199&lt;&gt;"",TEXT(AUX!GL$1,"dd-MMM-aa"),"")</f>
      </c>
      <c r="GI179" s="496" t="str">
        <f> IF(GI199&lt;&gt;"",TEXT(AUX!GM$1,"dd-MMM-aa"),"")</f>
      </c>
      <c r="GJ179" s="496" t="str">
        <f> IF(GJ199&lt;&gt;"",TEXT(AUX!GN$1,"dd-MMM-aa"),"")</f>
      </c>
      <c r="GK179" s="496" t="str">
        <f> IF(GK199&lt;&gt;"",TEXT(AUX!GO$1,"dd-MMM-aa"),"")</f>
      </c>
      <c r="GL179" s="496" t="str">
        <f> IF(GL199&lt;&gt;"",TEXT(AUX!GP$1,"dd-MMM-aa"),"")</f>
      </c>
      <c r="GM179" s="496" t="str">
        <f> IF(GM199&lt;&gt;"",TEXT(AUX!GQ$1,"dd-MMM-aa"),"")</f>
      </c>
      <c r="GN179" s="496" t="str">
        <f> IF(GN199&lt;&gt;"",TEXT(AUX!GR$1,"dd-MMM-aa"),"")</f>
      </c>
      <c r="GO179" s="496" t="str">
        <f> IF(GO199&lt;&gt;"",TEXT(AUX!GS$1,"dd-MMM-aa"),"")</f>
      </c>
      <c r="GP179" s="496" t="str">
        <f> IF(GP199&lt;&gt;"",TEXT(AUX!GT$1,"dd-MMM-aa"),"")</f>
      </c>
      <c r="GQ179" s="496" t="str">
        <f> IF(GQ199&lt;&gt;"",TEXT(AUX!GU$1,"dd-MMM-aa"),"")</f>
      </c>
      <c r="GR179" s="496" t="str">
        <f> IF(GR199&lt;&gt;"",TEXT(AUX!GV$1,"dd-MMM-aa"),"")</f>
      </c>
      <c r="GS179" s="496" t="str">
        <f> IF(GS199&lt;&gt;"",TEXT(AUX!GW$1,"dd-MMM-aa"),"")</f>
      </c>
      <c r="GT179" s="496" t="str">
        <f> IF(GT199&lt;&gt;"",TEXT(AUX!GX$1,"dd-MMM-aa"),"")</f>
      </c>
      <c r="GU179" s="496" t="str">
        <f> IF(GU199&lt;&gt;"",TEXT(AUX!GY$1,"dd-MMM-aa"),"")</f>
      </c>
      <c r="GV179" s="496" t="str">
        <f> IF(GV199&lt;&gt;"",TEXT(AUX!GZ$1,"dd-MMM-aa"),"")</f>
      </c>
      <c r="GW179" s="496" t="str">
        <f> IF(GW199&lt;&gt;"",TEXT(AUX!HA$1,"dd-MMM-aa"),"")</f>
      </c>
      <c r="GX179" s="496" t="str">
        <f> IF(GX199&lt;&gt;"",TEXT(AUX!HB$1,"dd-MMM-aa"),"")</f>
      </c>
      <c r="GY179" s="496" t="str">
        <f> IF(GY199&lt;&gt;"",TEXT(AUX!HC$1,"dd-MMM-aa"),"")</f>
      </c>
      <c r="GZ179" s="496" t="str">
        <f> IF(GZ199&lt;&gt;"",TEXT(AUX!HD$1,"dd-MMM-aa"),"")</f>
      </c>
      <c r="HA179" s="496" t="str">
        <f> IF(HA199&lt;&gt;"",TEXT(AUX!HE$1,"dd-MMM-aa"),"")</f>
      </c>
      <c r="HB179" s="496" t="str">
        <f> IF(HB199&lt;&gt;"",TEXT(AUX!HF$1,"dd-MMM-aa"),"")</f>
      </c>
      <c r="HC179" s="496" t="str">
        <f> IF(HC199&lt;&gt;"",TEXT(AUX!HG$1,"dd-MMM-aa"),"")</f>
      </c>
      <c r="HD179" s="496" t="str">
        <f> IF(HD199&lt;&gt;"",TEXT(AUX!HH$1,"dd-MMM-aa"),"")</f>
      </c>
      <c r="HE179" s="496" t="str">
        <f> IF(HE199&lt;&gt;"",TEXT(AUX!HI$1,"dd-MMM-aa"),"")</f>
      </c>
      <c r="HF179" s="496" t="str">
        <f> IF(HF199&lt;&gt;"",TEXT(AUX!HJ$1,"dd-MMM-aa"),"")</f>
      </c>
      <c r="HG179" s="496" t="str">
        <f> IF(HG199&lt;&gt;"",TEXT(AUX!HK$1,"dd-MMM-aa"),"")</f>
      </c>
      <c r="HH179" s="496" t="str">
        <f> IF(HH199&lt;&gt;"",TEXT(AUX!HL$1,"dd-MMM-aa"),"")</f>
      </c>
      <c r="HI179" s="496" t="str">
        <f> IF(HI199&lt;&gt;"",TEXT(AUX!HM$1,"dd-MMM-aa"),"")</f>
      </c>
      <c r="HJ179" s="496" t="str">
        <f> IF(HJ199&lt;&gt;"",TEXT(AUX!HN$1,"dd-MMM-aa"),"")</f>
      </c>
      <c r="HK179" s="496" t="str">
        <f> IF(HK199&lt;&gt;"",TEXT(AUX!HO$1,"dd-MMM-aa"),"")</f>
      </c>
      <c r="HL179" s="496" t="str">
        <f> IF(HL199&lt;&gt;"",TEXT(AUX!HP$1,"dd-MMM-aa"),"")</f>
      </c>
      <c r="HM179" s="496" t="str">
        <f> IF(HM199&lt;&gt;"",TEXT(AUX!HQ$1,"dd-MMM-aa"),"")</f>
      </c>
      <c r="HN179" s="496" t="str">
        <f> IF(HN199&lt;&gt;"",TEXT(AUX!HR$1,"dd-MMM-aa"),"")</f>
      </c>
      <c r="HO179" s="496" t="str">
        <f> IF(HO199&lt;&gt;"",TEXT(AUX!HS$1,"dd-MMM-aa"),"")</f>
      </c>
      <c r="HP179" s="496" t="str">
        <f> IF(HP199&lt;&gt;"",TEXT(AUX!HT$1,"dd-MMM-aa"),"")</f>
      </c>
      <c r="HQ179" s="496" t="str">
        <f> IF(HQ199&lt;&gt;"",TEXT(AUX!HU$1,"dd-MMM-aa"),"")</f>
      </c>
      <c r="HR179" s="496" t="str">
        <f> IF(HR199&lt;&gt;"",TEXT(AUX!HV$1,"dd-MMM-aa"),"")</f>
      </c>
      <c r="HS179" s="496" t="str">
        <f> IF(HS199&lt;&gt;"",TEXT(AUX!HW$1,"dd-MMM-aa"),"")</f>
      </c>
      <c r="HT179" s="496" t="str">
        <f> IF(HT199&lt;&gt;"",TEXT(AUX!HX$1,"dd-MMM-aa"),"")</f>
      </c>
      <c r="HU179" s="496" t="str">
        <f> IF(HU199&lt;&gt;"",TEXT(AUX!HY$1,"dd-MMM-aa"),"")</f>
      </c>
      <c r="HV179" s="496" t="str">
        <f> IF(HV199&lt;&gt;"",TEXT(AUX!HZ$1,"dd-MMM-aa"),"")</f>
      </c>
      <c r="HW179" s="496" t="str">
        <f> IF(HW199&lt;&gt;"",TEXT(AUX!IA$1,"dd-MMM-aa"),"")</f>
      </c>
      <c r="HX179" s="496" t="str">
        <f> IF(HX199&lt;&gt;"",TEXT(AUX!IB$1,"dd-MMM-aa"),"")</f>
      </c>
      <c r="HY179" s="496" t="str">
        <f> IF(HY199&lt;&gt;"",TEXT(AUX!IC$1,"dd-MMM-aa"),"")</f>
      </c>
      <c r="HZ179" s="496" t="str">
        <f> IF(HZ199&lt;&gt;"",TEXT(AUX!ID$1,"dd-MMM-aa"),"")</f>
      </c>
      <c r="IA179" s="496" t="str">
        <f> IF(IA199&lt;&gt;"",TEXT(AUX!IE$1,"dd-MMM-aa"),"")</f>
      </c>
      <c r="IB179" s="496" t="str">
        <f> IF(IB199&lt;&gt;"",TEXT(AUX!IF$1,"dd-MMM-aa"),"")</f>
      </c>
      <c r="IC179" s="496" t="str">
        <f> IF(IC199&lt;&gt;"",TEXT(AUX!IG$1,"dd-MMM-aa"),"")</f>
      </c>
      <c r="ID179" s="496" t="str">
        <f> IF(ID199&lt;&gt;"",TEXT(AUX!IH$1,"dd-MMM-aa"),"")</f>
      </c>
      <c r="IE179" s="496" t="str">
        <f> IF(IE199&lt;&gt;"",TEXT(AUX!II$1,"dd-MMM-aa"),"")</f>
      </c>
      <c r="IF179" s="496" t="str">
        <f> IF(IF199&lt;&gt;"",TEXT(AUX!IJ$1,"dd-MMM-aa"),"")</f>
      </c>
      <c r="IG179" s="496" t="str">
        <f> IF(IG199&lt;&gt;"",TEXT(AUX!IK$1,"dd-MMM-aa"),"")</f>
      </c>
      <c r="IH179" s="496" t="str">
        <f> IF(IH199&lt;&gt;"",TEXT(AUX!IL$1,"dd-MMM-aa"),"")</f>
      </c>
      <c r="II179" s="496" t="str">
        <f> IF(II199&lt;&gt;"",TEXT(AUX!IM$1,"dd-MMM-aa"),"")</f>
      </c>
      <c r="IJ179" s="496" t="str">
        <f> IF(IJ199&lt;&gt;"",TEXT(AUX!IN$1,"dd-MMM-aa"),"")</f>
      </c>
      <c r="IK179" s="496" t="str">
        <f> IF(IK199&lt;&gt;"",TEXT(AUX!IO$1,"dd-MMM-aa"),"")</f>
      </c>
      <c r="IL179" s="496" t="str">
        <f> IF(IL199&lt;&gt;"",TEXT(AUX!IP$1,"dd-MMM-aa"),"")</f>
      </c>
      <c r="IM179" s="496" t="str">
        <f> IF(IM199&lt;&gt;"",TEXT(AUX!IQ$1,"dd-MMM-aa"),"")</f>
      </c>
      <c r="IN179" s="496" t="str">
        <f> IF(IN199&lt;&gt;"",TEXT(AUX!IR$1,"dd-MMM-aa"),"")</f>
      </c>
      <c r="IO179" s="496" t="str">
        <f> IF(IO199&lt;&gt;"",TEXT(AUX!IS$1,"dd-MMM-aa"),"")</f>
      </c>
      <c r="IP179" s="496" t="str">
        <f> IF(IP199&lt;&gt;"",TEXT(AUX!IT$1,"dd-MMM-aa"),"")</f>
      </c>
      <c r="IQ179" s="496" t="str">
        <f> IF(IQ199&lt;&gt;"",TEXT(AUX!IU$1,"dd-MMM-aa"),"")</f>
      </c>
      <c r="IR179" s="496" t="str">
        <f> IF(IR199&lt;&gt;"",TEXT(AUX!IV$1,"dd-MMM-aa"),"")</f>
      </c>
      <c r="IS179" s="496" t="str">
        <f> IF(IS199&lt;&gt;"",TEXT(AUX!#REF!,"dd-MMM-aa"),"")</f>
      </c>
      <c r="IT179" s="496" t="str">
        <f> IF(IT199&lt;&gt;"",TEXT(AUX!#REF!,"dd-MMM-aa"),"")</f>
      </c>
      <c r="IU179" s="496" t="str">
        <f> IF(IU199&lt;&gt;"",TEXT(AUX!#REF!,"dd-MMM-aa"),"")</f>
      </c>
      <c r="IV179" s="496" t="str">
        <f> IF(IV199&lt;&gt;"",TEXT(AUX!#REF!,"dd-MMM-aa"),"")</f>
      </c>
    </row>
    <row r="180" hidden="1">
      <c r="B180" s="822" t="s">
        <v>8</v>
      </c>
      <c r="C180" s="823">
        <v>841923</v>
      </c>
      <c r="D180" s="823">
        <v>789846</v>
      </c>
      <c r="E180" s="823">
        <v>784096</v>
      </c>
      <c r="F180" s="823">
        <v>757401</v>
      </c>
      <c r="G180" s="823">
        <v>760371</v>
      </c>
      <c r="H180" s="823">
        <v>725953</v>
      </c>
      <c r="I180" s="823">
        <v>730724</v>
      </c>
      <c r="J180" s="823">
        <v>693057</v>
      </c>
      <c r="K180" s="823">
        <v>684003</v>
      </c>
      <c r="L180" s="823">
        <v>637706</v>
      </c>
      <c r="M180" s="823">
        <v>629819</v>
      </c>
      <c r="N180" s="823">
        <v>590083</v>
      </c>
      <c r="O180" s="823">
        <v>582061</v>
      </c>
      <c r="P180" s="823">
        <v>559413</v>
      </c>
      <c r="Q180" s="823">
        <v>725974</v>
      </c>
      <c r="R180" s="823">
        <v>704380</v>
      </c>
      <c r="S180" s="823">
        <v>730446</v>
      </c>
      <c r="T180" s="823">
        <v>718350</v>
      </c>
      <c r="U180" s="823">
        <v>766827</v>
      </c>
      <c r="V180" s="823">
        <v>761015</v>
      </c>
      <c r="W180" s="823">
        <v>842475</v>
      </c>
      <c r="X180" s="823">
        <v>831611</v>
      </c>
      <c r="Y180" s="823">
        <v>858062</v>
      </c>
      <c r="Z180" s="823">
        <v>859091</v>
      </c>
      <c r="AA180" s="823">
        <v>876951</v>
      </c>
      <c r="AB180" s="824">
        <v>834594</v>
      </c>
      <c r="AC180" s="825">
        <v>828871</v>
      </c>
      <c r="AD180" s="825">
        <v>804691</v>
      </c>
      <c r="AE180" s="825">
        <v>816480</v>
      </c>
      <c r="AF180" s="825">
        <v>799137</v>
      </c>
      <c r="AG180" s="825">
        <v>788821</v>
      </c>
      <c r="AH180" s="825">
        <v>768414</v>
      </c>
      <c r="AI180" s="825">
        <v>760037</v>
      </c>
      <c r="AJ180" s="825">
        <v>718297</v>
      </c>
      <c r="AK180" s="825">
        <v>707886</v>
      </c>
      <c r="AL180" s="825">
        <v>679423</v>
      </c>
      <c r="AM180" s="825">
        <v>663122</v>
      </c>
      <c r="AN180" s="825">
        <v>642393</v>
      </c>
      <c r="AO180" s="825">
        <v>631922</v>
      </c>
      <c r="AP180" s="825">
        <v>640051</v>
      </c>
    </row>
    <row r="181" hidden="1">
      <c r="B181" s="826" t="s">
        <v>9</v>
      </c>
      <c r="C181" s="827">
        <v>7245</v>
      </c>
      <c r="D181" s="827">
        <v>7274</v>
      </c>
      <c r="E181" s="827">
        <v>7532</v>
      </c>
      <c r="F181" s="827">
        <v>7674</v>
      </c>
      <c r="G181" s="827">
        <v>9111</v>
      </c>
      <c r="H181" s="827">
        <v>9111</v>
      </c>
      <c r="I181" s="827">
        <v>26226</v>
      </c>
      <c r="J181" s="827">
        <v>31026</v>
      </c>
      <c r="K181" s="827">
        <v>61089</v>
      </c>
      <c r="L181" s="827">
        <v>50204</v>
      </c>
      <c r="M181" s="827">
        <v>50902</v>
      </c>
      <c r="N181" s="827">
        <v>50475</v>
      </c>
      <c r="O181" s="827">
        <v>50475</v>
      </c>
      <c r="P181" s="827">
        <v>46318</v>
      </c>
      <c r="Q181" s="827">
        <v>48649</v>
      </c>
      <c r="R181" s="827">
        <v>46090</v>
      </c>
      <c r="S181" s="827">
        <v>45546</v>
      </c>
      <c r="T181" s="827">
        <v>45013</v>
      </c>
      <c r="U181" s="827">
        <v>43675</v>
      </c>
      <c r="V181" s="827">
        <v>43311</v>
      </c>
      <c r="W181" s="827">
        <v>42813</v>
      </c>
      <c r="X181" s="827">
        <v>44778</v>
      </c>
      <c r="Y181" s="827">
        <v>41812</v>
      </c>
      <c r="Z181" s="827">
        <v>40537</v>
      </c>
      <c r="AA181" s="827">
        <v>40549</v>
      </c>
      <c r="AB181" s="827">
        <v>40269</v>
      </c>
      <c r="AC181" s="828">
        <v>40067</v>
      </c>
      <c r="AD181" s="828">
        <v>39112</v>
      </c>
      <c r="AE181" s="828">
        <v>40099</v>
      </c>
      <c r="AF181" s="828">
        <v>37369</v>
      </c>
      <c r="AG181" s="828">
        <v>37493</v>
      </c>
      <c r="AH181" s="828">
        <v>36650</v>
      </c>
      <c r="AI181" s="828">
        <v>38677</v>
      </c>
      <c r="AJ181" s="828">
        <v>36168</v>
      </c>
      <c r="AK181" s="828">
        <v>35426</v>
      </c>
      <c r="AL181" s="828">
        <v>34669</v>
      </c>
      <c r="AM181" s="828">
        <v>34401</v>
      </c>
      <c r="AN181" s="828">
        <v>32910</v>
      </c>
      <c r="AO181" s="828">
        <v>29171</v>
      </c>
      <c r="AP181" s="828">
        <v>29364</v>
      </c>
    </row>
    <row r="182" hidden="1">
      <c r="B182" s="829" t="s">
        <v>10</v>
      </c>
      <c r="C182" s="823">
        <v>21140</v>
      </c>
      <c r="D182" s="823">
        <v>21599</v>
      </c>
      <c r="E182" s="823">
        <v>24468</v>
      </c>
      <c r="F182" s="823">
        <v>24723</v>
      </c>
      <c r="G182" s="823">
        <v>25375</v>
      </c>
      <c r="H182" s="823">
        <v>25561</v>
      </c>
      <c r="I182" s="823">
        <v>27033</v>
      </c>
      <c r="J182" s="823">
        <v>26486</v>
      </c>
      <c r="K182" s="823">
        <v>26695</v>
      </c>
      <c r="L182" s="823">
        <v>26057</v>
      </c>
      <c r="M182" s="823">
        <v>26160</v>
      </c>
      <c r="N182" s="823">
        <v>25940</v>
      </c>
      <c r="O182" s="823">
        <v>25709</v>
      </c>
      <c r="P182" s="823">
        <v>25962</v>
      </c>
      <c r="Q182" s="823">
        <v>26665</v>
      </c>
      <c r="R182" s="823">
        <v>26773</v>
      </c>
      <c r="S182" s="823">
        <v>27670</v>
      </c>
      <c r="T182" s="823">
        <v>27634</v>
      </c>
      <c r="U182" s="823">
        <v>27943</v>
      </c>
      <c r="V182" s="823">
        <v>27784</v>
      </c>
      <c r="W182" s="823">
        <v>28250</v>
      </c>
      <c r="X182" s="823">
        <v>27890</v>
      </c>
      <c r="Y182" s="823">
        <v>28426</v>
      </c>
      <c r="Z182" s="823">
        <v>28391</v>
      </c>
      <c r="AA182" s="823">
        <v>28357</v>
      </c>
      <c r="AB182" s="823">
        <v>37647</v>
      </c>
      <c r="AC182" s="825">
        <v>30391</v>
      </c>
      <c r="AD182" s="825">
        <v>30138</v>
      </c>
      <c r="AE182" s="825">
        <v>29977</v>
      </c>
      <c r="AF182" s="825">
        <v>28523</v>
      </c>
      <c r="AG182" s="825">
        <v>27373</v>
      </c>
      <c r="AH182" s="825">
        <v>26541</v>
      </c>
      <c r="AI182" s="825">
        <v>26822</v>
      </c>
      <c r="AJ182" s="825">
        <v>26075</v>
      </c>
      <c r="AK182" s="825">
        <v>25788</v>
      </c>
      <c r="AL182" s="825">
        <v>24520</v>
      </c>
      <c r="AM182" s="825">
        <v>24642</v>
      </c>
      <c r="AN182" s="825">
        <v>24233</v>
      </c>
      <c r="AO182" s="825">
        <v>22100</v>
      </c>
      <c r="AP182" s="825">
        <v>22083</v>
      </c>
    </row>
    <row r="183" hidden="1">
      <c r="B183" s="826" t="s">
        <v>11</v>
      </c>
      <c r="C183" s="827">
        <v>15553</v>
      </c>
      <c r="D183" s="827">
        <v>15933</v>
      </c>
      <c r="E183" s="827">
        <v>14900</v>
      </c>
      <c r="F183" s="827">
        <v>15053</v>
      </c>
      <c r="G183" s="827">
        <v>13829</v>
      </c>
      <c r="H183" s="827">
        <v>12654</v>
      </c>
      <c r="I183" s="827">
        <v>11620</v>
      </c>
      <c r="J183" s="827">
        <v>11241</v>
      </c>
      <c r="K183" s="827">
        <v>10898</v>
      </c>
      <c r="L183" s="827">
        <v>10344</v>
      </c>
      <c r="M183" s="827">
        <v>10340</v>
      </c>
      <c r="N183" s="827">
        <v>10501</v>
      </c>
      <c r="O183" s="827">
        <v>10124</v>
      </c>
      <c r="P183" s="827">
        <v>10052</v>
      </c>
      <c r="Q183" s="827">
        <v>9545</v>
      </c>
      <c r="R183" s="827">
        <v>9502</v>
      </c>
      <c r="S183" s="827">
        <v>9480</v>
      </c>
      <c r="T183" s="827">
        <v>9573</v>
      </c>
      <c r="U183" s="827">
        <v>8993</v>
      </c>
      <c r="V183" s="827">
        <v>9095</v>
      </c>
      <c r="W183" s="827">
        <v>9413</v>
      </c>
      <c r="X183" s="827">
        <v>9506</v>
      </c>
      <c r="Y183" s="827">
        <v>9620</v>
      </c>
      <c r="Z183" s="827">
        <v>9837</v>
      </c>
      <c r="AA183" s="827">
        <v>9429</v>
      </c>
      <c r="AB183" s="827">
        <v>9614</v>
      </c>
      <c r="AC183" s="828">
        <v>9287</v>
      </c>
      <c r="AD183" s="828">
        <v>9299</v>
      </c>
      <c r="AE183" s="828">
        <v>9206</v>
      </c>
      <c r="AF183" s="828">
        <v>9262</v>
      </c>
      <c r="AG183" s="828">
        <v>9251</v>
      </c>
      <c r="AH183" s="828">
        <v>9678</v>
      </c>
      <c r="AI183" s="828">
        <v>9073</v>
      </c>
      <c r="AJ183" s="828">
        <v>8736</v>
      </c>
      <c r="AK183" s="828">
        <v>9035</v>
      </c>
      <c r="AL183" s="828">
        <v>9273</v>
      </c>
      <c r="AM183" s="828">
        <v>9264</v>
      </c>
      <c r="AN183" s="828">
        <v>9357</v>
      </c>
      <c r="AO183" s="828">
        <v>9289</v>
      </c>
      <c r="AP183" s="828">
        <v>9149</v>
      </c>
    </row>
    <row r="184" hidden="1">
      <c r="B184" s="829" t="s">
        <v>12</v>
      </c>
      <c r="C184" s="823">
        <v>250039</v>
      </c>
      <c r="D184" s="823">
        <v>250403</v>
      </c>
      <c r="E184" s="823">
        <v>271950</v>
      </c>
      <c r="F184" s="823">
        <v>266229</v>
      </c>
      <c r="G184" s="823">
        <v>265228</v>
      </c>
      <c r="H184" s="823">
        <v>266014</v>
      </c>
      <c r="I184" s="823">
        <v>272777</v>
      </c>
      <c r="J184" s="823">
        <v>243900</v>
      </c>
      <c r="K184" s="823">
        <v>239088</v>
      </c>
      <c r="L184" s="823">
        <v>216040</v>
      </c>
      <c r="M184" s="823">
        <v>234316</v>
      </c>
      <c r="N184" s="823">
        <v>230766</v>
      </c>
      <c r="O184" s="823">
        <v>239753</v>
      </c>
      <c r="P184" s="823">
        <v>233886</v>
      </c>
      <c r="Q184" s="823">
        <v>215515</v>
      </c>
      <c r="R184" s="823">
        <v>214017</v>
      </c>
      <c r="S184" s="823">
        <v>198218</v>
      </c>
      <c r="T184" s="823">
        <v>192298</v>
      </c>
      <c r="U184" s="823">
        <v>182451</v>
      </c>
      <c r="V184" s="823">
        <v>177816</v>
      </c>
      <c r="W184" s="823">
        <v>172490</v>
      </c>
      <c r="X184" s="823">
        <v>169225</v>
      </c>
      <c r="Y184" s="823">
        <v>169968</v>
      </c>
      <c r="Z184" s="823">
        <v>166046</v>
      </c>
      <c r="AA184" s="823">
        <v>161371</v>
      </c>
      <c r="AB184" s="823">
        <v>162798</v>
      </c>
      <c r="AC184" s="825">
        <v>162618</v>
      </c>
      <c r="AD184" s="825">
        <v>162146</v>
      </c>
      <c r="AE184" s="825">
        <v>160353</v>
      </c>
      <c r="AF184" s="825">
        <v>158678</v>
      </c>
      <c r="AG184" s="825">
        <v>158484</v>
      </c>
      <c r="AH184" s="825">
        <v>158287</v>
      </c>
      <c r="AI184" s="825">
        <v>157297</v>
      </c>
      <c r="AJ184" s="825">
        <v>157269</v>
      </c>
      <c r="AK184" s="825">
        <v>153694</v>
      </c>
      <c r="AL184" s="825">
        <v>152522</v>
      </c>
      <c r="AM184" s="825">
        <v>146054</v>
      </c>
      <c r="AN184" s="825">
        <v>143056</v>
      </c>
      <c r="AO184" s="825">
        <v>70967</v>
      </c>
      <c r="AP184" s="825">
        <v>79346</v>
      </c>
    </row>
    <row r="185" hidden="1">
      <c r="B185" s="826" t="s">
        <v>13</v>
      </c>
      <c r="C185" s="827">
        <v>17820</v>
      </c>
      <c r="D185" s="827">
        <v>20109</v>
      </c>
      <c r="E185" s="827">
        <v>23467</v>
      </c>
      <c r="F185" s="827">
        <v>25557</v>
      </c>
      <c r="G185" s="827">
        <v>29263</v>
      </c>
      <c r="H185" s="827">
        <v>27389</v>
      </c>
      <c r="I185" s="827">
        <v>25043</v>
      </c>
      <c r="J185" s="827">
        <v>23412</v>
      </c>
      <c r="K185" s="827">
        <v>19400</v>
      </c>
      <c r="L185" s="827">
        <v>19702</v>
      </c>
      <c r="M185" s="827">
        <v>23909</v>
      </c>
      <c r="N185" s="827">
        <v>18943</v>
      </c>
      <c r="O185" s="827">
        <v>15454</v>
      </c>
      <c r="P185" s="827">
        <v>13122</v>
      </c>
      <c r="Q185" s="827">
        <v>16526</v>
      </c>
      <c r="R185" s="827">
        <v>14397</v>
      </c>
      <c r="S185" s="827">
        <v>11836</v>
      </c>
      <c r="T185" s="827">
        <v>10111</v>
      </c>
      <c r="U185" s="827">
        <v>24753</v>
      </c>
      <c r="V185" s="827">
        <v>23594</v>
      </c>
      <c r="W185" s="827">
        <v>23936</v>
      </c>
      <c r="X185" s="827">
        <v>22617</v>
      </c>
      <c r="Y185" s="827">
        <v>20353</v>
      </c>
      <c r="Z185" s="827">
        <v>18381</v>
      </c>
      <c r="AA185" s="827">
        <v>19928</v>
      </c>
      <c r="AB185" s="827">
        <v>18667</v>
      </c>
      <c r="AC185" s="828">
        <v>18797</v>
      </c>
      <c r="AD185" s="828">
        <v>17351</v>
      </c>
      <c r="AE185" s="828">
        <v>16988</v>
      </c>
      <c r="AF185" s="828">
        <v>15893</v>
      </c>
      <c r="AG185" s="828">
        <v>16746</v>
      </c>
      <c r="AH185" s="828">
        <v>15630</v>
      </c>
      <c r="AI185" s="828">
        <v>16759</v>
      </c>
      <c r="AJ185" s="828">
        <v>15801</v>
      </c>
      <c r="AK185" s="828">
        <v>16806</v>
      </c>
      <c r="AL185" s="828">
        <v>15604</v>
      </c>
      <c r="AM185" s="828">
        <v>14528</v>
      </c>
      <c r="AN185" s="828">
        <v>14558</v>
      </c>
      <c r="AO185" s="828">
        <v>18228</v>
      </c>
      <c r="AP185" s="828">
        <v>17154</v>
      </c>
    </row>
    <row r="186" hidden="1">
      <c r="B186" s="829" t="s">
        <v>109</v>
      </c>
      <c r="C186" s="823">
        <v>360598</v>
      </c>
      <c r="D186" s="823">
        <v>360804</v>
      </c>
      <c r="E186" s="823">
        <v>356178</v>
      </c>
      <c r="F186" s="823">
        <v>356297</v>
      </c>
      <c r="G186" s="823">
        <v>359320</v>
      </c>
      <c r="H186" s="823">
        <v>355097</v>
      </c>
      <c r="I186" s="823">
        <v>369851</v>
      </c>
      <c r="J186" s="823">
        <v>356457</v>
      </c>
      <c r="K186" s="823">
        <v>358898</v>
      </c>
      <c r="L186" s="823">
        <v>357649</v>
      </c>
      <c r="M186" s="823">
        <v>338682</v>
      </c>
      <c r="N186" s="823">
        <v>337610</v>
      </c>
      <c r="O186" s="823">
        <v>321131</v>
      </c>
      <c r="P186" s="823">
        <v>319879</v>
      </c>
      <c r="Q186" s="823">
        <v>322955</v>
      </c>
      <c r="R186" s="823">
        <v>319016</v>
      </c>
      <c r="S186" s="823">
        <v>323548</v>
      </c>
      <c r="T186" s="823">
        <v>323179</v>
      </c>
      <c r="U186" s="823">
        <v>351409</v>
      </c>
      <c r="V186" s="823">
        <v>354038</v>
      </c>
      <c r="W186" s="823">
        <v>365927</v>
      </c>
      <c r="X186" s="823">
        <v>364528</v>
      </c>
      <c r="Y186" s="823">
        <v>371430</v>
      </c>
      <c r="Z186" s="823">
        <v>364961</v>
      </c>
      <c r="AA186" s="823">
        <v>361887</v>
      </c>
      <c r="AB186" s="823">
        <v>358019</v>
      </c>
      <c r="AC186" s="825">
        <v>348911</v>
      </c>
      <c r="AD186" s="825">
        <v>347315</v>
      </c>
      <c r="AE186" s="825">
        <v>354486</v>
      </c>
      <c r="AF186" s="825">
        <v>352780</v>
      </c>
      <c r="AG186" s="825">
        <v>347472</v>
      </c>
      <c r="AH186" s="825">
        <v>343101</v>
      </c>
      <c r="AI186" s="825">
        <v>321064</v>
      </c>
      <c r="AJ186" s="825">
        <v>315445</v>
      </c>
      <c r="AK186" s="825">
        <v>290544</v>
      </c>
      <c r="AL186" s="825">
        <v>287621</v>
      </c>
      <c r="AM186" s="825">
        <v>282360</v>
      </c>
      <c r="AN186" s="825">
        <v>280408</v>
      </c>
      <c r="AO186" s="825">
        <v>266652</v>
      </c>
      <c r="AP186" s="825">
        <v>252269</v>
      </c>
    </row>
    <row r="187" hidden="1">
      <c r="B187" s="826" t="s">
        <v>110</v>
      </c>
      <c r="C187" s="827">
        <v>129116</v>
      </c>
      <c r="D187" s="827">
        <v>130254</v>
      </c>
      <c r="E187" s="827">
        <v>146663</v>
      </c>
      <c r="F187" s="827">
        <v>145735</v>
      </c>
      <c r="G187" s="827">
        <v>152883</v>
      </c>
      <c r="H187" s="827">
        <v>152889</v>
      </c>
      <c r="I187" s="827">
        <v>152563</v>
      </c>
      <c r="J187" s="827">
        <v>146932</v>
      </c>
      <c r="K187" s="827">
        <v>144482</v>
      </c>
      <c r="L187" s="827">
        <v>140389</v>
      </c>
      <c r="M187" s="827">
        <v>126680</v>
      </c>
      <c r="N187" s="827">
        <v>122481</v>
      </c>
      <c r="O187" s="827">
        <v>117753</v>
      </c>
      <c r="P187" s="827">
        <v>114645</v>
      </c>
      <c r="Q187" s="827">
        <v>114709</v>
      </c>
      <c r="R187" s="827">
        <v>113566</v>
      </c>
      <c r="S187" s="827">
        <v>110942</v>
      </c>
      <c r="T187" s="827">
        <v>110254</v>
      </c>
      <c r="U187" s="827">
        <v>108754</v>
      </c>
      <c r="V187" s="827">
        <v>108536</v>
      </c>
      <c r="W187" s="827">
        <v>115675</v>
      </c>
      <c r="X187" s="827">
        <v>116281</v>
      </c>
      <c r="Y187" s="827">
        <v>120173</v>
      </c>
      <c r="Z187" s="827">
        <v>119317</v>
      </c>
      <c r="AA187" s="827">
        <v>117305</v>
      </c>
      <c r="AB187" s="827">
        <v>117029</v>
      </c>
      <c r="AC187" s="828">
        <v>126608</v>
      </c>
      <c r="AD187" s="828">
        <v>126431</v>
      </c>
      <c r="AE187" s="828">
        <v>127494</v>
      </c>
      <c r="AF187" s="828">
        <v>126250</v>
      </c>
      <c r="AG187" s="828">
        <v>128417</v>
      </c>
      <c r="AH187" s="828">
        <v>128763</v>
      </c>
      <c r="AI187" s="828">
        <v>127920</v>
      </c>
      <c r="AJ187" s="828">
        <v>128687</v>
      </c>
      <c r="AK187" s="828">
        <v>122369</v>
      </c>
      <c r="AL187" s="828">
        <v>120979</v>
      </c>
      <c r="AM187" s="828">
        <v>115377</v>
      </c>
      <c r="AN187" s="828">
        <v>114828</v>
      </c>
      <c r="AO187" s="828">
        <v>95020</v>
      </c>
      <c r="AP187" s="828">
        <v>92607</v>
      </c>
    </row>
    <row r="188" hidden="1">
      <c r="B188" s="829" t="s">
        <v>16</v>
      </c>
      <c r="C188" s="823">
        <v>71444</v>
      </c>
      <c r="D188" s="823">
        <v>76830</v>
      </c>
      <c r="E188" s="823">
        <v>79503</v>
      </c>
      <c r="F188" s="823">
        <v>79429</v>
      </c>
      <c r="G188" s="823">
        <v>77318</v>
      </c>
      <c r="H188" s="823">
        <v>77525</v>
      </c>
      <c r="I188" s="823">
        <v>72033</v>
      </c>
      <c r="J188" s="823">
        <v>71914</v>
      </c>
      <c r="K188" s="823">
        <v>65995</v>
      </c>
      <c r="L188" s="823">
        <v>65711</v>
      </c>
      <c r="M188" s="823">
        <v>63218</v>
      </c>
      <c r="N188" s="823">
        <v>61693</v>
      </c>
      <c r="O188" s="823">
        <v>57257</v>
      </c>
      <c r="P188" s="823">
        <v>49223</v>
      </c>
      <c r="Q188" s="823">
        <v>51982</v>
      </c>
      <c r="R188" s="823">
        <v>51392</v>
      </c>
      <c r="S188" s="823">
        <v>52360</v>
      </c>
      <c r="T188" s="823">
        <v>50385</v>
      </c>
      <c r="U188" s="823">
        <v>57967</v>
      </c>
      <c r="V188" s="823">
        <v>57879</v>
      </c>
      <c r="W188" s="823">
        <v>57879</v>
      </c>
      <c r="X188" s="823">
        <v>57879</v>
      </c>
      <c r="Y188" s="823">
        <v>57879</v>
      </c>
      <c r="Z188" s="823">
        <v>57879</v>
      </c>
      <c r="AA188" s="823">
        <v>62827</v>
      </c>
      <c r="AB188" s="823">
        <v>62433</v>
      </c>
      <c r="AC188" s="825">
        <v>60524</v>
      </c>
      <c r="AD188" s="825">
        <v>59625</v>
      </c>
      <c r="AE188" s="825">
        <v>58833</v>
      </c>
      <c r="AF188" s="825">
        <v>54058</v>
      </c>
      <c r="AG188" s="825">
        <v>60504</v>
      </c>
      <c r="AH188" s="825">
        <v>59901</v>
      </c>
      <c r="AI188" s="825">
        <v>60174</v>
      </c>
      <c r="AJ188" s="825">
        <v>59657</v>
      </c>
      <c r="AK188" s="825">
        <v>58785</v>
      </c>
      <c r="AL188" s="825">
        <v>58992</v>
      </c>
      <c r="AM188" s="825">
        <v>59328</v>
      </c>
      <c r="AN188" s="825">
        <v>58905</v>
      </c>
      <c r="AO188" s="825">
        <v>27707</v>
      </c>
      <c r="AP188" s="825">
        <v>26264</v>
      </c>
    </row>
    <row r="189" hidden="1" ht="12.75" customHeight="1">
      <c r="B189" s="826" t="s">
        <v>17</v>
      </c>
      <c r="C189" s="827">
        <v>263776</v>
      </c>
      <c r="D189" s="827">
        <v>260809</v>
      </c>
      <c r="E189" s="827">
        <v>269294</v>
      </c>
      <c r="F189" s="827">
        <v>270857</v>
      </c>
      <c r="G189" s="827">
        <v>271864</v>
      </c>
      <c r="H189" s="827">
        <v>269603</v>
      </c>
      <c r="I189" s="827">
        <v>271796</v>
      </c>
      <c r="J189" s="827">
        <v>271799</v>
      </c>
      <c r="K189" s="827">
        <v>265795</v>
      </c>
      <c r="L189" s="827">
        <v>256962</v>
      </c>
      <c r="M189" s="827">
        <v>243893</v>
      </c>
      <c r="N189" s="827">
        <v>234879</v>
      </c>
      <c r="O189" s="827">
        <v>225076</v>
      </c>
      <c r="P189" s="827">
        <v>220980</v>
      </c>
      <c r="Q189" s="827">
        <v>213625</v>
      </c>
      <c r="R189" s="827">
        <v>213872</v>
      </c>
      <c r="S189" s="827">
        <v>213308</v>
      </c>
      <c r="T189" s="827">
        <v>216109</v>
      </c>
      <c r="U189" s="827">
        <v>226216</v>
      </c>
      <c r="V189" s="827">
        <v>227748</v>
      </c>
      <c r="W189" s="827">
        <v>240030</v>
      </c>
      <c r="X189" s="827">
        <v>236207</v>
      </c>
      <c r="Y189" s="827">
        <v>239318</v>
      </c>
      <c r="Z189" s="827">
        <v>241319</v>
      </c>
      <c r="AA189" s="827">
        <v>233025</v>
      </c>
      <c r="AB189" s="827">
        <v>230126</v>
      </c>
      <c r="AC189" s="828">
        <v>221756</v>
      </c>
      <c r="AD189" s="828">
        <v>219026</v>
      </c>
      <c r="AE189" s="828">
        <v>213382</v>
      </c>
      <c r="AF189" s="828">
        <v>214352</v>
      </c>
      <c r="AG189" s="828">
        <v>208140</v>
      </c>
      <c r="AH189" s="828">
        <v>207301</v>
      </c>
      <c r="AI189" s="828">
        <v>199275</v>
      </c>
      <c r="AJ189" s="828">
        <v>197267</v>
      </c>
      <c r="AK189" s="828">
        <v>186130</v>
      </c>
      <c r="AL189" s="828">
        <v>183328</v>
      </c>
      <c r="AM189" s="828">
        <v>173614</v>
      </c>
      <c r="AN189" s="828">
        <v>172741</v>
      </c>
      <c r="AO189" s="828">
        <v>125805</v>
      </c>
      <c r="AP189" s="828">
        <v>117338</v>
      </c>
    </row>
    <row r="190" hidden="1">
      <c r="B190" s="829" t="s">
        <v>18</v>
      </c>
      <c r="C190" s="823">
        <v>43323</v>
      </c>
      <c r="D190" s="823">
        <v>44146</v>
      </c>
      <c r="E190" s="823">
        <v>45496</v>
      </c>
      <c r="F190" s="823">
        <v>46256</v>
      </c>
      <c r="G190" s="823">
        <v>45224</v>
      </c>
      <c r="H190" s="823">
        <v>45372</v>
      </c>
      <c r="I190" s="823">
        <v>42553</v>
      </c>
      <c r="J190" s="823">
        <v>41701</v>
      </c>
      <c r="K190" s="823">
        <v>42545</v>
      </c>
      <c r="L190" s="823">
        <v>40506</v>
      </c>
      <c r="M190" s="823">
        <v>44516</v>
      </c>
      <c r="N190" s="823">
        <v>42357</v>
      </c>
      <c r="O190" s="823">
        <v>41007</v>
      </c>
      <c r="P190" s="823">
        <v>40581</v>
      </c>
      <c r="Q190" s="823">
        <v>40743</v>
      </c>
      <c r="R190" s="823">
        <v>40582</v>
      </c>
      <c r="S190" s="823">
        <v>40653</v>
      </c>
      <c r="T190" s="823">
        <v>41162</v>
      </c>
      <c r="U190" s="823">
        <v>41768</v>
      </c>
      <c r="V190" s="823">
        <v>42010</v>
      </c>
      <c r="W190" s="823">
        <v>41788</v>
      </c>
      <c r="X190" s="823">
        <v>41373</v>
      </c>
      <c r="Y190" s="823">
        <v>40874</v>
      </c>
      <c r="Z190" s="823">
        <v>41117</v>
      </c>
      <c r="AA190" s="823">
        <v>39177</v>
      </c>
      <c r="AB190" s="823">
        <v>37563</v>
      </c>
      <c r="AC190" s="825">
        <v>36691</v>
      </c>
      <c r="AD190" s="825">
        <v>36250</v>
      </c>
      <c r="AE190" s="825">
        <v>35481</v>
      </c>
      <c r="AF190" s="825">
        <v>34454</v>
      </c>
      <c r="AG190" s="825">
        <v>36788</v>
      </c>
      <c r="AH190" s="825">
        <v>35734</v>
      </c>
      <c r="AI190" s="825">
        <v>34104</v>
      </c>
      <c r="AJ190" s="825">
        <v>33227</v>
      </c>
      <c r="AK190" s="825">
        <v>30116</v>
      </c>
      <c r="AL190" s="825">
        <v>29205</v>
      </c>
      <c r="AM190" s="825">
        <v>28297</v>
      </c>
      <c r="AN190" s="825">
        <v>27603</v>
      </c>
      <c r="AO190" s="825">
        <v>21991</v>
      </c>
      <c r="AP190" s="825">
        <v>20916</v>
      </c>
    </row>
    <row r="191" hidden="1" ht="12.75" customHeight="1">
      <c r="B191" s="826" t="s">
        <v>19</v>
      </c>
      <c r="C191" s="827">
        <v>14417</v>
      </c>
      <c r="D191" s="827">
        <v>14994</v>
      </c>
      <c r="E191" s="827">
        <v>16330</v>
      </c>
      <c r="F191" s="827">
        <v>18685</v>
      </c>
      <c r="G191" s="827">
        <v>19348</v>
      </c>
      <c r="H191" s="827">
        <v>19936</v>
      </c>
      <c r="I191" s="827">
        <v>20480</v>
      </c>
      <c r="J191" s="827">
        <v>21231</v>
      </c>
      <c r="K191" s="827">
        <v>21095</v>
      </c>
      <c r="L191" s="827">
        <v>16164</v>
      </c>
      <c r="M191" s="827">
        <v>20596</v>
      </c>
      <c r="N191" s="827">
        <v>21886</v>
      </c>
      <c r="O191" s="827">
        <v>21771</v>
      </c>
      <c r="P191" s="827">
        <v>21873</v>
      </c>
      <c r="Q191" s="827">
        <v>22076</v>
      </c>
      <c r="R191" s="827">
        <v>22149</v>
      </c>
      <c r="S191" s="827">
        <v>23549</v>
      </c>
      <c r="T191" s="827">
        <v>23803</v>
      </c>
      <c r="U191" s="827">
        <v>25005</v>
      </c>
      <c r="V191" s="827">
        <v>25031</v>
      </c>
      <c r="W191" s="827">
        <v>25718</v>
      </c>
      <c r="X191" s="827">
        <v>26031</v>
      </c>
      <c r="Y191" s="827">
        <v>27984</v>
      </c>
      <c r="Z191" s="827">
        <v>27869</v>
      </c>
      <c r="AA191" s="827">
        <v>27513</v>
      </c>
      <c r="AB191" s="827">
        <v>27626</v>
      </c>
      <c r="AC191" s="828">
        <v>29091</v>
      </c>
      <c r="AD191" s="828">
        <v>29144</v>
      </c>
      <c r="AE191" s="828">
        <v>27741</v>
      </c>
      <c r="AF191" s="828">
        <v>27680</v>
      </c>
      <c r="AG191" s="828">
        <v>30492</v>
      </c>
      <c r="AH191" s="828">
        <v>30458</v>
      </c>
      <c r="AI191" s="828">
        <v>28141</v>
      </c>
      <c r="AJ191" s="828">
        <v>24588</v>
      </c>
      <c r="AK191" s="828">
        <v>24739</v>
      </c>
      <c r="AL191" s="828">
        <v>24763</v>
      </c>
      <c r="AM191" s="828">
        <v>25923</v>
      </c>
      <c r="AN191" s="828">
        <v>25999</v>
      </c>
      <c r="AO191" s="828">
        <v>20527</v>
      </c>
      <c r="AP191" s="828">
        <v>19603</v>
      </c>
    </row>
    <row r="192" hidden="1">
      <c r="B192" s="829" t="s">
        <v>20</v>
      </c>
      <c r="C192" s="823">
        <v>128191</v>
      </c>
      <c r="D192" s="823">
        <v>92404</v>
      </c>
      <c r="E192" s="823">
        <v>123934</v>
      </c>
      <c r="F192" s="823">
        <v>93460</v>
      </c>
      <c r="G192" s="823">
        <v>134137</v>
      </c>
      <c r="H192" s="823">
        <v>136803</v>
      </c>
      <c r="I192" s="823">
        <v>162873</v>
      </c>
      <c r="J192" s="823">
        <v>182471</v>
      </c>
      <c r="K192" s="823">
        <v>161146</v>
      </c>
      <c r="L192" s="823">
        <v>170462</v>
      </c>
      <c r="M192" s="823">
        <v>147006</v>
      </c>
      <c r="N192" s="823">
        <v>154646</v>
      </c>
      <c r="O192" s="823">
        <v>156068</v>
      </c>
      <c r="P192" s="823">
        <v>163734</v>
      </c>
      <c r="Q192" s="823">
        <v>166471</v>
      </c>
      <c r="R192" s="823">
        <v>172320</v>
      </c>
      <c r="S192" s="823">
        <v>172397</v>
      </c>
      <c r="T192" s="823">
        <v>180303</v>
      </c>
      <c r="U192" s="823">
        <v>187381</v>
      </c>
      <c r="V192" s="823">
        <v>198616</v>
      </c>
      <c r="W192" s="823">
        <v>204077</v>
      </c>
      <c r="X192" s="823">
        <v>213894</v>
      </c>
      <c r="Y192" s="823">
        <v>173028</v>
      </c>
      <c r="Z192" s="823">
        <v>171997</v>
      </c>
      <c r="AA192" s="823">
        <v>171196</v>
      </c>
      <c r="AB192" s="823">
        <v>168947</v>
      </c>
      <c r="AC192" s="825">
        <v>169163</v>
      </c>
      <c r="AD192" s="825">
        <v>167094</v>
      </c>
      <c r="AE192" s="825">
        <v>167694</v>
      </c>
      <c r="AF192" s="825">
        <v>165259</v>
      </c>
      <c r="AG192" s="825">
        <v>163875</v>
      </c>
      <c r="AH192" s="825">
        <v>163296</v>
      </c>
      <c r="AI192" s="825">
        <v>161840</v>
      </c>
      <c r="AJ192" s="825">
        <v>161128</v>
      </c>
      <c r="AK192" s="825">
        <v>160509</v>
      </c>
      <c r="AL192" s="825">
        <v>158050</v>
      </c>
      <c r="AM192" s="825">
        <v>155547</v>
      </c>
      <c r="AN192" s="825">
        <v>155540</v>
      </c>
      <c r="AO192" s="825">
        <v>141987</v>
      </c>
      <c r="AP192" s="825">
        <v>154587</v>
      </c>
    </row>
    <row r="193" hidden="1">
      <c r="B193" s="826" t="s">
        <v>21</v>
      </c>
      <c r="C193" s="827">
        <v>7545</v>
      </c>
      <c r="D193" s="827">
        <v>7014</v>
      </c>
      <c r="E193" s="827">
        <v>7189</v>
      </c>
      <c r="F193" s="827">
        <v>7807</v>
      </c>
      <c r="G193" s="827">
        <v>8249</v>
      </c>
      <c r="H193" s="827">
        <v>8368</v>
      </c>
      <c r="I193" s="827">
        <v>8421</v>
      </c>
      <c r="J193" s="827">
        <v>8563</v>
      </c>
      <c r="K193" s="827">
        <v>8709</v>
      </c>
      <c r="L193" s="827">
        <v>8774</v>
      </c>
      <c r="M193" s="827">
        <v>9281</v>
      </c>
      <c r="N193" s="827">
        <v>9536</v>
      </c>
      <c r="O193" s="827">
        <v>9732</v>
      </c>
      <c r="P193" s="827">
        <v>9690</v>
      </c>
      <c r="Q193" s="827">
        <v>9545</v>
      </c>
      <c r="R193" s="827">
        <v>9656</v>
      </c>
      <c r="S193" s="827">
        <v>9840</v>
      </c>
      <c r="T193" s="827">
        <v>9818</v>
      </c>
      <c r="U193" s="827">
        <v>10078</v>
      </c>
      <c r="V193" s="827">
        <v>10177</v>
      </c>
      <c r="W193" s="827">
        <v>10496</v>
      </c>
      <c r="X193" s="827">
        <v>10446</v>
      </c>
      <c r="Y193" s="827">
        <v>10650</v>
      </c>
      <c r="Z193" s="827">
        <v>10622</v>
      </c>
      <c r="AA193" s="827">
        <v>10592</v>
      </c>
      <c r="AB193" s="827">
        <v>10726</v>
      </c>
      <c r="AC193" s="828">
        <v>10687</v>
      </c>
      <c r="AD193" s="828">
        <v>10688</v>
      </c>
      <c r="AE193" s="828">
        <v>10705</v>
      </c>
      <c r="AF193" s="828">
        <v>10577</v>
      </c>
      <c r="AG193" s="828">
        <v>11956</v>
      </c>
      <c r="AH193" s="828">
        <v>12756</v>
      </c>
      <c r="AI193" s="828">
        <v>12895</v>
      </c>
      <c r="AJ193" s="828">
        <v>12875</v>
      </c>
      <c r="AK193" s="828">
        <v>12939</v>
      </c>
      <c r="AL193" s="828">
        <v>12677</v>
      </c>
      <c r="AM193" s="828">
        <v>12561</v>
      </c>
      <c r="AN193" s="828">
        <v>12563</v>
      </c>
      <c r="AO193" s="828">
        <v>10884</v>
      </c>
      <c r="AP193" s="828">
        <v>10571</v>
      </c>
    </row>
    <row r="194" hidden="1">
      <c r="B194" s="829" t="s">
        <v>22</v>
      </c>
      <c r="C194" s="823">
        <v>15419</v>
      </c>
      <c r="D194" s="823">
        <v>14846</v>
      </c>
      <c r="E194" s="823">
        <v>19378</v>
      </c>
      <c r="F194" s="823">
        <v>19287</v>
      </c>
      <c r="G194" s="823">
        <v>18796</v>
      </c>
      <c r="H194" s="823">
        <v>18676</v>
      </c>
      <c r="I194" s="823">
        <v>18118</v>
      </c>
      <c r="J194" s="823">
        <v>17345</v>
      </c>
      <c r="K194" s="823">
        <v>27098</v>
      </c>
      <c r="L194" s="823">
        <v>15558</v>
      </c>
      <c r="M194" s="823">
        <v>25164</v>
      </c>
      <c r="N194" s="823">
        <v>25677</v>
      </c>
      <c r="O194" s="823">
        <v>26748</v>
      </c>
      <c r="P194" s="823">
        <v>26914</v>
      </c>
      <c r="Q194" s="823">
        <v>26130</v>
      </c>
      <c r="R194" s="823">
        <v>26464</v>
      </c>
      <c r="S194" s="823">
        <v>27490</v>
      </c>
      <c r="T194" s="823">
        <v>21784</v>
      </c>
      <c r="U194" s="823">
        <v>24268</v>
      </c>
      <c r="V194" s="823">
        <v>24347</v>
      </c>
      <c r="W194" s="823">
        <v>23997</v>
      </c>
      <c r="X194" s="823">
        <v>23722</v>
      </c>
      <c r="Y194" s="823">
        <v>23137</v>
      </c>
      <c r="Z194" s="823">
        <v>23195</v>
      </c>
      <c r="AA194" s="823">
        <v>23943</v>
      </c>
      <c r="AB194" s="823">
        <v>23691</v>
      </c>
      <c r="AC194" s="825">
        <v>22887</v>
      </c>
      <c r="AD194" s="825">
        <v>22652</v>
      </c>
      <c r="AE194" s="825">
        <v>22533</v>
      </c>
      <c r="AF194" s="825">
        <v>22561</v>
      </c>
      <c r="AG194" s="825">
        <v>23332</v>
      </c>
      <c r="AH194" s="825">
        <v>22922</v>
      </c>
      <c r="AI194" s="825">
        <v>23598</v>
      </c>
      <c r="AJ194" s="825">
        <v>23372</v>
      </c>
      <c r="AK194" s="825">
        <v>23860</v>
      </c>
      <c r="AL194" s="825">
        <v>23563</v>
      </c>
      <c r="AM194" s="825">
        <v>23820</v>
      </c>
      <c r="AN194" s="825">
        <v>23791</v>
      </c>
      <c r="AO194" s="825">
        <v>24376</v>
      </c>
      <c r="AP194" s="825">
        <v>23183</v>
      </c>
    </row>
    <row r="195" hidden="1">
      <c r="B195" s="826" t="s">
        <v>23</v>
      </c>
      <c r="C195" s="827">
        <v>10062</v>
      </c>
      <c r="D195" s="827">
        <v>9973</v>
      </c>
      <c r="E195" s="827">
        <v>9928</v>
      </c>
      <c r="F195" s="827">
        <v>9764</v>
      </c>
      <c r="G195" s="827">
        <v>9963</v>
      </c>
      <c r="H195" s="827">
        <v>9970</v>
      </c>
      <c r="I195" s="827">
        <v>9964</v>
      </c>
      <c r="J195" s="827">
        <v>9780</v>
      </c>
      <c r="K195" s="827">
        <v>9133</v>
      </c>
      <c r="L195" s="827">
        <v>9127</v>
      </c>
      <c r="M195" s="827">
        <v>8794</v>
      </c>
      <c r="N195" s="827">
        <v>8766</v>
      </c>
      <c r="O195" s="827">
        <v>9237</v>
      </c>
      <c r="P195" s="827">
        <v>9436</v>
      </c>
      <c r="Q195" s="827">
        <v>11714</v>
      </c>
      <c r="R195" s="827">
        <v>10975</v>
      </c>
      <c r="S195" s="827">
        <v>12143</v>
      </c>
      <c r="T195" s="827">
        <v>11855</v>
      </c>
      <c r="U195" s="827">
        <v>11776</v>
      </c>
      <c r="V195" s="827">
        <v>11756</v>
      </c>
      <c r="W195" s="827">
        <v>12092</v>
      </c>
      <c r="X195" s="827">
        <v>12081</v>
      </c>
      <c r="Y195" s="827">
        <v>11647</v>
      </c>
      <c r="Z195" s="827">
        <v>11611</v>
      </c>
      <c r="AA195" s="827">
        <v>10458</v>
      </c>
      <c r="AB195" s="827">
        <v>10439</v>
      </c>
      <c r="AC195" s="828">
        <v>10025</v>
      </c>
      <c r="AD195" s="828">
        <v>9979</v>
      </c>
      <c r="AE195" s="828">
        <v>9177</v>
      </c>
      <c r="AF195" s="828">
        <v>9175</v>
      </c>
      <c r="AG195" s="828">
        <v>9220</v>
      </c>
      <c r="AH195" s="828">
        <v>9154</v>
      </c>
      <c r="AI195" s="828">
        <v>8769</v>
      </c>
      <c r="AJ195" s="828">
        <v>8294</v>
      </c>
      <c r="AK195" s="828">
        <v>7304</v>
      </c>
      <c r="AL195" s="828">
        <v>7277</v>
      </c>
      <c r="AM195" s="828">
        <v>7338</v>
      </c>
      <c r="AN195" s="828">
        <v>7010</v>
      </c>
      <c r="AO195" s="828">
        <v>6542</v>
      </c>
      <c r="AP195" s="828">
        <v>5924</v>
      </c>
    </row>
    <row r="196" hidden="1">
      <c r="B196" s="830" t="s">
        <v>24</v>
      </c>
      <c r="C196" s="823">
        <v>71208</v>
      </c>
      <c r="D196" s="823">
        <v>70457</v>
      </c>
      <c r="E196" s="823">
        <v>70979</v>
      </c>
      <c r="F196" s="823">
        <v>71264</v>
      </c>
      <c r="G196" s="823">
        <v>70755</v>
      </c>
      <c r="H196" s="823">
        <v>69571</v>
      </c>
      <c r="I196" s="823">
        <v>71586</v>
      </c>
      <c r="J196" s="823">
        <v>69926</v>
      </c>
      <c r="K196" s="823">
        <v>67580</v>
      </c>
      <c r="L196" s="823">
        <v>66729</v>
      </c>
      <c r="M196" s="823">
        <v>63270</v>
      </c>
      <c r="N196" s="823">
        <v>60560</v>
      </c>
      <c r="O196" s="823">
        <v>58190</v>
      </c>
      <c r="P196" s="823">
        <v>58342</v>
      </c>
      <c r="Q196" s="823">
        <v>58829</v>
      </c>
      <c r="R196" s="823">
        <v>57871</v>
      </c>
      <c r="S196" s="823">
        <v>59252</v>
      </c>
      <c r="T196" s="823">
        <v>58017</v>
      </c>
      <c r="U196" s="823">
        <v>59605</v>
      </c>
      <c r="V196" s="823">
        <v>58989</v>
      </c>
      <c r="W196" s="823">
        <v>59980</v>
      </c>
      <c r="X196" s="823">
        <v>59272</v>
      </c>
      <c r="Y196" s="823">
        <v>60989</v>
      </c>
      <c r="Z196" s="823">
        <v>61413</v>
      </c>
      <c r="AA196" s="823">
        <v>62476</v>
      </c>
      <c r="AB196" s="823">
        <v>62479</v>
      </c>
      <c r="AC196" s="825">
        <v>68482</v>
      </c>
      <c r="AD196" s="825">
        <v>60215</v>
      </c>
      <c r="AE196" s="825">
        <v>63807</v>
      </c>
      <c r="AF196" s="825">
        <v>64334</v>
      </c>
      <c r="AG196" s="825">
        <v>58798</v>
      </c>
      <c r="AH196" s="825">
        <v>59334</v>
      </c>
      <c r="AI196" s="825">
        <v>60256</v>
      </c>
      <c r="AJ196" s="825">
        <v>58101</v>
      </c>
      <c r="AK196" s="825">
        <v>52183</v>
      </c>
      <c r="AL196" s="825">
        <v>50992</v>
      </c>
      <c r="AM196" s="825">
        <v>50372</v>
      </c>
      <c r="AN196" s="825">
        <v>50182</v>
      </c>
      <c r="AO196" s="825">
        <v>46240</v>
      </c>
      <c r="AP196" s="825">
        <v>46400</v>
      </c>
    </row>
    <row r="197" hidden="1">
      <c r="B197" s="826" t="s">
        <v>25</v>
      </c>
      <c r="C197" s="827">
        <v>0</v>
      </c>
      <c r="D197" s="827">
        <v>0</v>
      </c>
      <c r="E197" s="827">
        <v>0</v>
      </c>
      <c r="F197" s="827">
        <v>0</v>
      </c>
      <c r="G197" s="827">
        <v>0</v>
      </c>
      <c r="H197" s="827">
        <v>0</v>
      </c>
      <c r="I197" s="827">
        <v>0</v>
      </c>
      <c r="J197" s="827">
        <v>0</v>
      </c>
      <c r="K197" s="827">
        <v>0</v>
      </c>
      <c r="L197" s="827">
        <v>0</v>
      </c>
      <c r="M197" s="827">
        <v>0</v>
      </c>
      <c r="N197" s="827">
        <v>0</v>
      </c>
      <c r="O197" s="827">
        <v>0</v>
      </c>
      <c r="P197" s="827">
        <v>0</v>
      </c>
      <c r="Q197" s="827">
        <v>0</v>
      </c>
      <c r="R197" s="827">
        <v>0</v>
      </c>
      <c r="S197" s="827">
        <v>0</v>
      </c>
      <c r="T197" s="827">
        <v>0</v>
      </c>
      <c r="U197" s="827">
        <v>0</v>
      </c>
      <c r="V197" s="827">
        <v>0</v>
      </c>
      <c r="W197" s="827">
        <v>0</v>
      </c>
      <c r="X197" s="827">
        <v>0</v>
      </c>
      <c r="Y197" s="827">
        <v>0</v>
      </c>
      <c r="Z197" s="827">
        <v>0</v>
      </c>
      <c r="AA197" s="827">
        <v>0</v>
      </c>
      <c r="AB197" s="827">
        <v>0</v>
      </c>
      <c r="AC197" s="828">
        <v>0</v>
      </c>
      <c r="AD197" s="828">
        <v>0</v>
      </c>
      <c r="AE197" s="828">
        <v>0</v>
      </c>
      <c r="AF197" s="828">
        <v>0</v>
      </c>
      <c r="AG197" s="828">
        <v>0</v>
      </c>
      <c r="AH197" s="828">
        <v>0</v>
      </c>
      <c r="AI197" s="828">
        <v>0</v>
      </c>
      <c r="AJ197" s="828">
        <v>0</v>
      </c>
      <c r="AK197" s="828">
        <v>0</v>
      </c>
      <c r="AL197" s="828">
        <v>0</v>
      </c>
      <c r="AM197" s="828">
        <v>0</v>
      </c>
      <c r="AN197" s="828">
        <v>0</v>
      </c>
      <c r="AO197" s="828">
        <v>0</v>
      </c>
      <c r="AP197" s="828">
        <v>0</v>
      </c>
    </row>
    <row r="198" hidden="1" ht="13.5">
      <c r="B198" s="831" t="s">
        <v>26</v>
      </c>
      <c r="C198" s="823">
        <v>0</v>
      </c>
      <c r="D198" s="823">
        <v>0</v>
      </c>
      <c r="E198" s="823">
        <v>0</v>
      </c>
      <c r="F198" s="823">
        <v>0</v>
      </c>
      <c r="G198" s="823">
        <v>0</v>
      </c>
      <c r="H198" s="823">
        <v>0</v>
      </c>
      <c r="I198" s="823">
        <v>0</v>
      </c>
      <c r="J198" s="823">
        <v>0</v>
      </c>
      <c r="K198" s="823">
        <v>0</v>
      </c>
      <c r="L198" s="823">
        <v>0</v>
      </c>
      <c r="M198" s="823">
        <v>0</v>
      </c>
      <c r="N198" s="823">
        <v>0</v>
      </c>
      <c r="O198" s="823">
        <v>0</v>
      </c>
      <c r="P198" s="823">
        <v>0</v>
      </c>
      <c r="Q198" s="823">
        <v>0</v>
      </c>
      <c r="R198" s="823">
        <v>0</v>
      </c>
      <c r="S198" s="823">
        <v>0</v>
      </c>
      <c r="T198" s="823">
        <v>0</v>
      </c>
      <c r="U198" s="823">
        <v>0</v>
      </c>
      <c r="V198" s="823">
        <v>0</v>
      </c>
      <c r="W198" s="823">
        <v>0</v>
      </c>
      <c r="X198" s="823">
        <v>0</v>
      </c>
      <c r="Y198" s="823">
        <v>0</v>
      </c>
      <c r="Z198" s="823">
        <v>0</v>
      </c>
      <c r="AA198" s="823">
        <v>0</v>
      </c>
      <c r="AB198" s="832">
        <v>0</v>
      </c>
      <c r="AC198" s="825">
        <v>0</v>
      </c>
      <c r="AD198" s="825">
        <v>0</v>
      </c>
      <c r="AE198" s="825">
        <v>0</v>
      </c>
      <c r="AF198" s="825">
        <v>0</v>
      </c>
      <c r="AG198" s="825">
        <v>0</v>
      </c>
      <c r="AH198" s="825">
        <v>0</v>
      </c>
      <c r="AI198" s="825">
        <v>0</v>
      </c>
      <c r="AJ198" s="825">
        <v>0</v>
      </c>
      <c r="AK198" s="825">
        <v>0</v>
      </c>
      <c r="AL198" s="825">
        <v>0</v>
      </c>
      <c r="AM198" s="825">
        <v>0</v>
      </c>
      <c r="AN198" s="825">
        <v>0</v>
      </c>
      <c r="AO198" s="825">
        <v>0</v>
      </c>
      <c r="AP198" s="825">
        <v>0</v>
      </c>
    </row>
    <row r="199" hidden="1" ht="13.5">
      <c r="B199" s="128" t="s">
        <v>7</v>
      </c>
      <c r="C199" s="129" t="str">
        <f>IF(SUM(C180:C198)&lt;&gt;0,SUM(C180:C198),"")</f>
      </c>
      <c r="D199" s="129" t="str">
        <f ref="D199:AA199" t="shared" si="10">IF(SUM(D180:D198)&lt;&gt;0,SUM(D180:D198),"")</f>
      </c>
      <c r="E199" s="129" t="str">
        <f t="shared" si="10"/>
      </c>
      <c r="F199" s="129" t="str">
        <f t="shared" si="10"/>
      </c>
      <c r="G199" s="129" t="str">
        <f t="shared" si="10"/>
      </c>
      <c r="H199" s="129" t="str">
        <f t="shared" si="10"/>
      </c>
      <c r="I199" s="129" t="str">
        <f t="shared" si="10"/>
      </c>
      <c r="J199" s="129" t="str">
        <f t="shared" si="10"/>
      </c>
      <c r="K199" s="129" t="str">
        <f t="shared" si="10"/>
      </c>
      <c r="L199" s="129" t="str">
        <f t="shared" si="10"/>
      </c>
      <c r="M199" s="129" t="str">
        <f t="shared" si="10"/>
      </c>
      <c r="N199" s="129" t="str">
        <f t="shared" si="10"/>
      </c>
      <c r="O199" s="129" t="str">
        <f t="shared" si="10"/>
      </c>
      <c r="P199" s="129" t="str">
        <f t="shared" si="10"/>
      </c>
      <c r="Q199" s="129" t="str">
        <f t="shared" si="10"/>
      </c>
      <c r="R199" s="129" t="str">
        <f t="shared" si="10"/>
      </c>
      <c r="S199" s="129" t="str">
        <f t="shared" si="10"/>
      </c>
      <c r="T199" s="129" t="str">
        <f t="shared" si="10"/>
      </c>
      <c r="U199" s="129" t="str">
        <f t="shared" si="10"/>
      </c>
      <c r="V199" s="129" t="str">
        <f t="shared" si="10"/>
      </c>
      <c r="W199" s="129" t="str">
        <f t="shared" si="10"/>
      </c>
      <c r="X199" s="129" t="str">
        <f t="shared" si="10"/>
      </c>
      <c r="Y199" s="129" t="str">
        <f t="shared" si="10"/>
      </c>
      <c r="Z199" s="129" t="str">
        <f t="shared" si="10"/>
      </c>
      <c r="AA199" s="129" t="str">
        <f t="shared" si="10"/>
      </c>
      <c r="AB199" s="130" t="str">
        <f>IF(SUM(AB180:AB198)&lt;&gt;0,SUM(AB180:AB198),"")</f>
      </c>
      <c r="AC199" s="91" t="str">
        <f ref="AC199:CN199" t="shared" si="11">IF(SUM(AC180:AC198)&lt;&gt;0,SUM(AC180:AC198),"")</f>
      </c>
      <c r="AD199" s="91" t="str">
        <f t="shared" si="11"/>
      </c>
      <c r="AE199" s="91" t="str">
        <f t="shared" si="11"/>
      </c>
      <c r="AF199" s="91" t="str">
        <f t="shared" si="11"/>
      </c>
      <c r="AG199" s="91" t="str">
        <f t="shared" si="11"/>
      </c>
      <c r="AH199" s="91" t="str">
        <f t="shared" si="11"/>
      </c>
      <c r="AI199" s="91" t="str">
        <f t="shared" si="11"/>
      </c>
      <c r="AJ199" s="91" t="str">
        <f t="shared" si="11"/>
      </c>
      <c r="AK199" s="91" t="str">
        <f t="shared" si="11"/>
      </c>
      <c r="AL199" s="91" t="str">
        <f t="shared" si="11"/>
      </c>
      <c r="AM199" s="91" t="str">
        <f t="shared" si="11"/>
      </c>
      <c r="AN199" s="91" t="str">
        <f t="shared" si="11"/>
      </c>
      <c r="AO199" s="91" t="str">
        <f t="shared" si="11"/>
      </c>
      <c r="AP199" s="91" t="str">
        <f t="shared" si="11"/>
      </c>
      <c r="AQ199" s="91" t="str">
        <f t="shared" si="11"/>
      </c>
      <c r="AR199" s="91" t="str">
        <f t="shared" si="11"/>
      </c>
      <c r="AS199" s="91" t="str">
        <f t="shared" si="11"/>
      </c>
      <c r="AT199" s="91" t="str">
        <f t="shared" si="11"/>
      </c>
      <c r="AU199" s="91" t="str">
        <f t="shared" si="11"/>
      </c>
      <c r="AV199" s="91" t="str">
        <f t="shared" si="11"/>
      </c>
      <c r="AW199" s="91" t="str">
        <f t="shared" si="11"/>
      </c>
      <c r="AX199" s="91" t="str">
        <f t="shared" si="11"/>
      </c>
      <c r="AY199" s="91" t="str">
        <f t="shared" si="11"/>
      </c>
      <c r="AZ199" s="91" t="str">
        <f t="shared" si="11"/>
      </c>
      <c r="BA199" s="91" t="str">
        <f t="shared" si="11"/>
      </c>
      <c r="BB199" s="91" t="str">
        <f t="shared" si="11"/>
      </c>
      <c r="BC199" s="91" t="str">
        <f t="shared" si="11"/>
      </c>
      <c r="BD199" s="91" t="str">
        <f t="shared" si="11"/>
      </c>
      <c r="BE199" s="91" t="str">
        <f t="shared" si="11"/>
      </c>
      <c r="BF199" s="91" t="str">
        <f t="shared" si="11"/>
      </c>
      <c r="BG199" s="91" t="str">
        <f t="shared" si="11"/>
      </c>
      <c r="BH199" s="91" t="str">
        <f t="shared" si="11"/>
      </c>
      <c r="BI199" s="91" t="str">
        <f t="shared" si="11"/>
      </c>
      <c r="BJ199" s="91" t="str">
        <f t="shared" si="11"/>
      </c>
      <c r="BK199" s="91" t="str">
        <f t="shared" si="11"/>
      </c>
      <c r="BL199" s="91" t="str">
        <f t="shared" si="11"/>
      </c>
      <c r="BM199" s="91" t="str">
        <f t="shared" si="11"/>
      </c>
      <c r="BN199" s="91" t="str">
        <f t="shared" si="11"/>
      </c>
      <c r="BO199" s="91" t="str">
        <f t="shared" si="11"/>
      </c>
      <c r="BP199" s="91" t="str">
        <f t="shared" si="11"/>
      </c>
      <c r="BQ199" s="91" t="str">
        <f t="shared" si="11"/>
      </c>
      <c r="BR199" s="91" t="str">
        <f t="shared" si="11"/>
      </c>
      <c r="BS199" s="91" t="str">
        <f t="shared" si="11"/>
      </c>
      <c r="BT199" s="91" t="str">
        <f t="shared" si="11"/>
      </c>
      <c r="BU199" s="91" t="str">
        <f t="shared" si="11"/>
      </c>
      <c r="BV199" s="91" t="str">
        <f t="shared" si="11"/>
      </c>
      <c r="BW199" s="91" t="str">
        <f t="shared" si="11"/>
      </c>
      <c r="BX199" s="91" t="str">
        <f t="shared" si="11"/>
      </c>
      <c r="BY199" s="91" t="str">
        <f t="shared" si="11"/>
      </c>
      <c r="BZ199" s="91" t="str">
        <f t="shared" si="11"/>
      </c>
      <c r="CA199" s="91" t="str">
        <f t="shared" si="11"/>
      </c>
      <c r="CB199" s="91" t="str">
        <f t="shared" si="11"/>
      </c>
      <c r="CC199" s="91" t="str">
        <f t="shared" si="11"/>
      </c>
      <c r="CD199" s="91" t="str">
        <f t="shared" si="11"/>
      </c>
      <c r="CE199" s="91" t="str">
        <f t="shared" si="11"/>
      </c>
      <c r="CF199" s="91" t="str">
        <f t="shared" si="11"/>
      </c>
      <c r="CG199" s="91" t="str">
        <f t="shared" si="11"/>
      </c>
      <c r="CH199" s="91" t="str">
        <f t="shared" si="11"/>
      </c>
      <c r="CI199" s="91" t="str">
        <f t="shared" si="11"/>
      </c>
      <c r="CJ199" s="91" t="str">
        <f t="shared" si="11"/>
      </c>
      <c r="CK199" s="91" t="str">
        <f t="shared" si="11"/>
      </c>
      <c r="CL199" s="91" t="str">
        <f t="shared" si="11"/>
      </c>
      <c r="CM199" s="91" t="str">
        <f t="shared" si="11"/>
      </c>
      <c r="CN199" s="91" t="str">
        <f t="shared" si="11"/>
      </c>
      <c r="CO199" s="91" t="str">
        <f ref="CO199:EZ199" t="shared" si="12">IF(SUM(CO180:CO198)&lt;&gt;0,SUM(CO180:CO198),"")</f>
      </c>
      <c r="CP199" s="91" t="str">
        <f t="shared" si="12"/>
      </c>
      <c r="CQ199" s="91" t="str">
        <f t="shared" si="12"/>
      </c>
      <c r="CR199" s="91" t="str">
        <f t="shared" si="12"/>
      </c>
      <c r="CS199" s="91" t="str">
        <f t="shared" si="12"/>
      </c>
      <c r="CT199" s="91" t="str">
        <f t="shared" si="12"/>
      </c>
      <c r="CU199" s="91" t="str">
        <f t="shared" si="12"/>
      </c>
      <c r="CV199" s="91" t="str">
        <f t="shared" si="12"/>
      </c>
      <c r="CW199" s="91" t="str">
        <f t="shared" si="12"/>
      </c>
      <c r="CX199" s="91" t="str">
        <f t="shared" si="12"/>
      </c>
      <c r="CY199" s="91" t="str">
        <f t="shared" si="12"/>
      </c>
      <c r="CZ199" s="91" t="str">
        <f t="shared" si="12"/>
      </c>
      <c r="DA199" s="91" t="str">
        <f t="shared" si="12"/>
      </c>
      <c r="DB199" s="91" t="str">
        <f t="shared" si="12"/>
      </c>
      <c r="DC199" s="91" t="str">
        <f t="shared" si="12"/>
      </c>
      <c r="DD199" s="91" t="str">
        <f t="shared" si="12"/>
      </c>
      <c r="DE199" s="91" t="str">
        <f t="shared" si="12"/>
      </c>
      <c r="DF199" s="91" t="str">
        <f t="shared" si="12"/>
      </c>
      <c r="DG199" s="91" t="str">
        <f t="shared" si="12"/>
      </c>
      <c r="DH199" s="91" t="str">
        <f t="shared" si="12"/>
      </c>
      <c r="DI199" s="91" t="str">
        <f t="shared" si="12"/>
      </c>
      <c r="DJ199" s="91" t="str">
        <f t="shared" si="12"/>
      </c>
      <c r="DK199" s="91" t="str">
        <f t="shared" si="12"/>
      </c>
      <c r="DL199" s="91" t="str">
        <f t="shared" si="12"/>
      </c>
      <c r="DM199" s="91" t="str">
        <f t="shared" si="12"/>
      </c>
      <c r="DN199" s="91" t="str">
        <f t="shared" si="12"/>
      </c>
      <c r="DO199" s="91" t="str">
        <f t="shared" si="12"/>
      </c>
      <c r="DP199" s="91" t="str">
        <f t="shared" si="12"/>
      </c>
      <c r="DQ199" s="91" t="str">
        <f t="shared" si="12"/>
      </c>
      <c r="DR199" s="91" t="str">
        <f t="shared" si="12"/>
      </c>
      <c r="DS199" s="91" t="str">
        <f t="shared" si="12"/>
      </c>
      <c r="DT199" s="91" t="str">
        <f t="shared" si="12"/>
      </c>
      <c r="DU199" s="91" t="str">
        <f t="shared" si="12"/>
      </c>
      <c r="DV199" s="91" t="str">
        <f t="shared" si="12"/>
      </c>
      <c r="DW199" s="91" t="str">
        <f t="shared" si="12"/>
      </c>
      <c r="DX199" s="91" t="str">
        <f t="shared" si="12"/>
      </c>
      <c r="DY199" s="91" t="str">
        <f t="shared" si="12"/>
      </c>
      <c r="DZ199" s="91" t="str">
        <f t="shared" si="12"/>
      </c>
      <c r="EA199" s="91" t="str">
        <f t="shared" si="12"/>
      </c>
      <c r="EB199" s="91" t="str">
        <f t="shared" si="12"/>
      </c>
      <c r="EC199" s="91" t="str">
        <f t="shared" si="12"/>
      </c>
      <c r="ED199" s="91" t="str">
        <f t="shared" si="12"/>
      </c>
      <c r="EE199" s="91" t="str">
        <f t="shared" si="12"/>
      </c>
      <c r="EF199" s="91" t="str">
        <f t="shared" si="12"/>
      </c>
      <c r="EG199" s="91" t="str">
        <f t="shared" si="12"/>
      </c>
      <c r="EH199" s="91" t="str">
        <f t="shared" si="12"/>
      </c>
      <c r="EI199" s="91" t="str">
        <f t="shared" si="12"/>
      </c>
      <c r="EJ199" s="91" t="str">
        <f t="shared" si="12"/>
      </c>
      <c r="EK199" s="91" t="str">
        <f t="shared" si="12"/>
      </c>
      <c r="EL199" s="91" t="str">
        <f t="shared" si="12"/>
      </c>
      <c r="EM199" s="91" t="str">
        <f t="shared" si="12"/>
      </c>
      <c r="EN199" s="91" t="str">
        <f t="shared" si="12"/>
      </c>
      <c r="EO199" s="91" t="str">
        <f t="shared" si="12"/>
      </c>
      <c r="EP199" s="91" t="str">
        <f t="shared" si="12"/>
      </c>
      <c r="EQ199" s="91" t="str">
        <f t="shared" si="12"/>
      </c>
      <c r="ER199" s="91" t="str">
        <f t="shared" si="12"/>
      </c>
      <c r="ES199" s="91" t="str">
        <f t="shared" si="12"/>
      </c>
      <c r="ET199" s="91" t="str">
        <f t="shared" si="12"/>
      </c>
      <c r="EU199" s="91" t="str">
        <f t="shared" si="12"/>
      </c>
      <c r="EV199" s="91" t="str">
        <f t="shared" si="12"/>
      </c>
      <c r="EW199" s="91" t="str">
        <f t="shared" si="12"/>
      </c>
      <c r="EX199" s="91" t="str">
        <f t="shared" si="12"/>
      </c>
      <c r="EY199" s="91" t="str">
        <f t="shared" si="12"/>
      </c>
      <c r="EZ199" s="91" t="str">
        <f t="shared" si="12"/>
      </c>
      <c r="FA199" s="91" t="str">
        <f ref="FA199:HL199" t="shared" si="13">IF(SUM(FA180:FA198)&lt;&gt;0,SUM(FA180:FA198),"")</f>
      </c>
      <c r="FB199" s="91" t="str">
        <f t="shared" si="13"/>
      </c>
      <c r="FC199" s="91" t="str">
        <f t="shared" si="13"/>
      </c>
      <c r="FD199" s="91" t="str">
        <f t="shared" si="13"/>
      </c>
      <c r="FE199" s="91" t="str">
        <f t="shared" si="13"/>
      </c>
      <c r="FF199" s="91" t="str">
        <f t="shared" si="13"/>
      </c>
      <c r="FG199" s="91" t="str">
        <f t="shared" si="13"/>
      </c>
      <c r="FH199" s="91" t="str">
        <f t="shared" si="13"/>
      </c>
      <c r="FI199" s="91" t="str">
        <f t="shared" si="13"/>
      </c>
      <c r="FJ199" s="91" t="str">
        <f t="shared" si="13"/>
      </c>
      <c r="FK199" s="91" t="str">
        <f t="shared" si="13"/>
      </c>
      <c r="FL199" s="91" t="str">
        <f t="shared" si="13"/>
      </c>
      <c r="FM199" s="91" t="str">
        <f t="shared" si="13"/>
      </c>
      <c r="FN199" s="91" t="str">
        <f t="shared" si="13"/>
      </c>
      <c r="FO199" s="91" t="str">
        <f t="shared" si="13"/>
      </c>
      <c r="FP199" s="91" t="str">
        <f t="shared" si="13"/>
      </c>
      <c r="FQ199" s="91" t="str">
        <f t="shared" si="13"/>
      </c>
      <c r="FR199" s="91" t="str">
        <f t="shared" si="13"/>
      </c>
      <c r="FS199" s="91" t="str">
        <f t="shared" si="13"/>
      </c>
      <c r="FT199" s="91" t="str">
        <f t="shared" si="13"/>
      </c>
      <c r="FU199" s="91" t="str">
        <f t="shared" si="13"/>
      </c>
      <c r="FV199" s="91" t="str">
        <f t="shared" si="13"/>
      </c>
      <c r="FW199" s="91" t="str">
        <f t="shared" si="13"/>
      </c>
      <c r="FX199" s="91" t="str">
        <f t="shared" si="13"/>
      </c>
      <c r="FY199" s="91" t="str">
        <f t="shared" si="13"/>
      </c>
      <c r="FZ199" s="91" t="str">
        <f t="shared" si="13"/>
      </c>
      <c r="GA199" s="91" t="str">
        <f t="shared" si="13"/>
      </c>
      <c r="GB199" s="91" t="str">
        <f t="shared" si="13"/>
      </c>
      <c r="GC199" s="91" t="str">
        <f t="shared" si="13"/>
      </c>
      <c r="GD199" s="91" t="str">
        <f t="shared" si="13"/>
      </c>
      <c r="GE199" s="91" t="str">
        <f t="shared" si="13"/>
      </c>
      <c r="GF199" s="91" t="str">
        <f t="shared" si="13"/>
      </c>
      <c r="GG199" s="91" t="str">
        <f t="shared" si="13"/>
      </c>
      <c r="GH199" s="91" t="str">
        <f t="shared" si="13"/>
      </c>
      <c r="GI199" s="91" t="str">
        <f t="shared" si="13"/>
      </c>
      <c r="GJ199" s="91" t="str">
        <f t="shared" si="13"/>
      </c>
      <c r="GK199" s="91" t="str">
        <f t="shared" si="13"/>
      </c>
      <c r="GL199" s="91" t="str">
        <f t="shared" si="13"/>
      </c>
      <c r="GM199" s="91" t="str">
        <f t="shared" si="13"/>
      </c>
      <c r="GN199" s="91" t="str">
        <f t="shared" si="13"/>
      </c>
      <c r="GO199" s="91" t="str">
        <f t="shared" si="13"/>
      </c>
      <c r="GP199" s="91" t="str">
        <f t="shared" si="13"/>
      </c>
      <c r="GQ199" s="91" t="str">
        <f t="shared" si="13"/>
      </c>
      <c r="GR199" s="91" t="str">
        <f t="shared" si="13"/>
      </c>
      <c r="GS199" s="91" t="str">
        <f t="shared" si="13"/>
      </c>
      <c r="GT199" s="91" t="str">
        <f t="shared" si="13"/>
      </c>
      <c r="GU199" s="91" t="str">
        <f t="shared" si="13"/>
      </c>
      <c r="GV199" s="91" t="str">
        <f t="shared" si="13"/>
      </c>
      <c r="GW199" s="91" t="str">
        <f t="shared" si="13"/>
      </c>
      <c r="GX199" s="91" t="str">
        <f t="shared" si="13"/>
      </c>
      <c r="GY199" s="91" t="str">
        <f t="shared" si="13"/>
      </c>
      <c r="GZ199" s="91" t="str">
        <f t="shared" si="13"/>
      </c>
      <c r="HA199" s="91" t="str">
        <f t="shared" si="13"/>
      </c>
      <c r="HB199" s="91" t="str">
        <f t="shared" si="13"/>
      </c>
      <c r="HC199" s="91" t="str">
        <f t="shared" si="13"/>
      </c>
      <c r="HD199" s="91" t="str">
        <f t="shared" si="13"/>
      </c>
      <c r="HE199" s="91" t="str">
        <f t="shared" si="13"/>
      </c>
      <c r="HF199" s="91" t="str">
        <f t="shared" si="13"/>
      </c>
      <c r="HG199" s="91" t="str">
        <f t="shared" si="13"/>
      </c>
      <c r="HH199" s="91" t="str">
        <f t="shared" si="13"/>
      </c>
      <c r="HI199" s="91" t="str">
        <f t="shared" si="13"/>
      </c>
      <c r="HJ199" s="91" t="str">
        <f t="shared" si="13"/>
      </c>
      <c r="HK199" s="91" t="str">
        <f t="shared" si="13"/>
      </c>
      <c r="HL199" s="91" t="str">
        <f t="shared" si="13"/>
      </c>
      <c r="HM199" s="91" t="str">
        <f ref="HM199:IV199" t="shared" si="14">IF(SUM(HM180:HM198)&lt;&gt;0,SUM(HM180:HM198),"")</f>
      </c>
      <c r="HN199" s="91" t="str">
        <f t="shared" si="14"/>
      </c>
      <c r="HO199" s="91" t="str">
        <f t="shared" si="14"/>
      </c>
      <c r="HP199" s="91" t="str">
        <f t="shared" si="14"/>
      </c>
      <c r="HQ199" s="91" t="str">
        <f t="shared" si="14"/>
      </c>
      <c r="HR199" s="91" t="str">
        <f t="shared" si="14"/>
      </c>
      <c r="HS199" s="91" t="str">
        <f t="shared" si="14"/>
      </c>
      <c r="HT199" s="91" t="str">
        <f t="shared" si="14"/>
      </c>
      <c r="HU199" s="91" t="str">
        <f t="shared" si="14"/>
      </c>
      <c r="HV199" s="91" t="str">
        <f t="shared" si="14"/>
      </c>
      <c r="HW199" s="91" t="str">
        <f t="shared" si="14"/>
      </c>
      <c r="HX199" s="91" t="str">
        <f t="shared" si="14"/>
      </c>
      <c r="HY199" s="91" t="str">
        <f t="shared" si="14"/>
      </c>
      <c r="HZ199" s="91" t="str">
        <f t="shared" si="14"/>
      </c>
      <c r="IA199" s="91" t="str">
        <f t="shared" si="14"/>
      </c>
      <c r="IB199" s="91" t="str">
        <f t="shared" si="14"/>
      </c>
      <c r="IC199" s="91" t="str">
        <f t="shared" si="14"/>
      </c>
      <c r="ID199" s="91" t="str">
        <f t="shared" si="14"/>
      </c>
      <c r="IE199" s="91" t="str">
        <f t="shared" si="14"/>
      </c>
      <c r="IF199" s="91" t="str">
        <f t="shared" si="14"/>
      </c>
      <c r="IG199" s="91" t="str">
        <f t="shared" si="14"/>
      </c>
      <c r="IH199" s="91" t="str">
        <f t="shared" si="14"/>
      </c>
      <c r="II199" s="91" t="str">
        <f t="shared" si="14"/>
      </c>
      <c r="IJ199" s="91" t="str">
        <f t="shared" si="14"/>
      </c>
      <c r="IK199" s="91" t="str">
        <f t="shared" si="14"/>
      </c>
      <c r="IL199" s="91" t="str">
        <f t="shared" si="14"/>
      </c>
      <c r="IM199" s="91" t="str">
        <f t="shared" si="14"/>
      </c>
      <c r="IN199" s="91" t="str">
        <f t="shared" si="14"/>
      </c>
      <c r="IO199" s="91" t="str">
        <f t="shared" si="14"/>
      </c>
      <c r="IP199" s="91" t="str">
        <f t="shared" si="14"/>
      </c>
      <c r="IQ199" s="91" t="str">
        <f t="shared" si="14"/>
      </c>
      <c r="IR199" s="91" t="str">
        <f t="shared" si="14"/>
      </c>
      <c r="IS199" s="91" t="str">
        <f t="shared" si="14"/>
      </c>
      <c r="IT199" s="91" t="str">
        <f t="shared" si="14"/>
      </c>
      <c r="IU199" s="91" t="str">
        <f t="shared" si="14"/>
      </c>
      <c r="IV199" s="91" t="str">
        <f t="shared" si="14"/>
      </c>
    </row>
    <row r="200" hidden="1" ht="13.5">
      <c r="N200" s="284"/>
    </row>
    <row r="201" hidden="1" ht="13.5" customHeight="1">
      <c r="A201" s="50"/>
      <c r="B201" s="50"/>
      <c r="C201" s="686" t="s">
        <v>238</v>
      </c>
      <c r="D201" s="687"/>
      <c r="E201" s="687"/>
      <c r="F201" s="687"/>
      <c r="G201" s="687"/>
      <c r="H201" s="687"/>
      <c r="I201" s="687"/>
      <c r="J201" s="687"/>
      <c r="K201" s="687"/>
      <c r="L201" s="687"/>
      <c r="M201" s="687"/>
      <c r="N201" s="687"/>
      <c r="O201" s="687"/>
      <c r="P201" s="687"/>
      <c r="Q201" s="687"/>
      <c r="R201" s="687"/>
      <c r="S201" s="687"/>
      <c r="T201" s="687"/>
      <c r="U201" s="687"/>
      <c r="V201" s="687"/>
      <c r="W201" s="687"/>
      <c r="X201" s="687"/>
      <c r="Y201" s="687"/>
      <c r="Z201" s="687"/>
      <c r="AA201" s="687"/>
      <c r="AB201" s="688"/>
    </row>
    <row r="202" hidden="1" ht="12.75" customHeight="1">
      <c r="A202" s="216"/>
      <c r="C202" s="435" t="str">
        <f> IF(C222&lt;&gt;"",TEXT(AUX!G$1,"dd-MMM-aa"),"")</f>
      </c>
      <c r="D202" s="435" t="str">
        <f> IF(D222&lt;&gt;"",TEXT(AUX!H$1,"dd-MMM-aa"),"")</f>
      </c>
      <c r="E202" s="435" t="str">
        <f> IF(E222&lt;&gt;"",TEXT(AUX!I$1,"dd-MMM-aa"),"")</f>
      </c>
      <c r="F202" s="435" t="str">
        <f> IF(F222&lt;&gt;"",TEXT(AUX!J$1,"dd-MMM-aa"),"")</f>
      </c>
      <c r="G202" s="435" t="str">
        <f> IF(G222&lt;&gt;"",TEXT(AUX!K$1,"dd-MMM-aa"),"")</f>
      </c>
      <c r="H202" s="435" t="str">
        <f> IF(H222&lt;&gt;"",TEXT(AUX!L$1,"dd-MMM-aa"),"")</f>
      </c>
      <c r="I202" s="435" t="str">
        <f> IF(I222&lt;&gt;"",TEXT(AUX!M$1,"dd-MMM-aa"),"")</f>
      </c>
      <c r="J202" s="435" t="str">
        <f> IF(J222&lt;&gt;"",TEXT(AUX!N$1,"dd-MMM-aa"),"")</f>
      </c>
      <c r="K202" s="435" t="str">
        <f> IF(K222&lt;&gt;"",TEXT(AUX!O$1,"dd-MMM-aa"),"")</f>
      </c>
      <c r="L202" s="435" t="str">
        <f> IF(L222&lt;&gt;"",TEXT(AUX!P$1,"dd-MMM-aa"),"")</f>
      </c>
      <c r="M202" s="435" t="str">
        <f> IF(M222&lt;&gt;"",TEXT(AUX!Q$1,"dd-MMM-aa"),"")</f>
      </c>
      <c r="N202" s="435" t="str">
        <f> IF(N222&lt;&gt;"",TEXT(AUX!R$1,"dd-MMM-aa"),"")</f>
      </c>
      <c r="O202" s="435" t="str">
        <f> IF(O222&lt;&gt;"",TEXT(AUX!S$1,"dd-MMM-aa"),"")</f>
      </c>
      <c r="P202" s="435" t="str">
        <f> IF(P222&lt;&gt;"",TEXT(AUX!T$1,"dd-MMM-aa"),"")</f>
      </c>
      <c r="Q202" s="435" t="str">
        <f> IF(Q222&lt;&gt;"",TEXT(AUX!U$1,"dd-MMM-aa"),"")</f>
      </c>
      <c r="R202" s="435" t="str">
        <f> IF(R222&lt;&gt;"",TEXT(AUX!V$1,"dd-MMM-aa"),"")</f>
      </c>
      <c r="S202" s="435" t="str">
        <f> IF(S222&lt;&gt;"",TEXT(AUX!W$1,"dd-MMM-aa"),"")</f>
      </c>
      <c r="T202" s="435" t="str">
        <f> IF(T222&lt;&gt;"",TEXT(AUX!X$1,"dd-MMM-aa"),"")</f>
      </c>
      <c r="U202" s="435" t="str">
        <f> IF(U222&lt;&gt;"",TEXT(AUX!Y$1,"dd-MMM-aa"),"")</f>
      </c>
      <c r="V202" s="435" t="str">
        <f> IF(V222&lt;&gt;"",TEXT(AUX!Z$1,"dd-MMM-aa"),"")</f>
      </c>
      <c r="W202" s="435" t="str">
        <f> IF(W222&lt;&gt;"",TEXT(AUX!AA$1,"dd-MMM-aa"),"")</f>
      </c>
      <c r="X202" s="435" t="str">
        <f> IF(X222&lt;&gt;"",TEXT(AUX!AB$1,"dd-MMM-aa"),"")</f>
      </c>
      <c r="Y202" s="435" t="str">
        <f> IF(Y222&lt;&gt;"",TEXT(AUX!AC$1,"dd-MMM-aa"),"")</f>
      </c>
      <c r="Z202" s="435" t="str">
        <f> IF(Z222&lt;&gt;"",TEXT(AUX!AD$1,"dd-MMM-aa"),"")</f>
      </c>
      <c r="AA202" s="435" t="str">
        <f> IF(AA222&lt;&gt;"",TEXT(AUX!AE$1,"dd-MMM-aa"),"")</f>
      </c>
      <c r="AB202" s="497" t="str">
        <f> IF(AB222&lt;&gt;"",TEXT(AUX!AF$1,"dd-MMM-aa"),"")</f>
      </c>
      <c r="AC202" s="496" t="str">
        <f> IF(AC222&lt;&gt;"",TEXT(AUX!AG$1,"dd-MMM-aa"),"")</f>
      </c>
      <c r="AD202" s="496" t="str">
        <f> IF(AD222&lt;&gt;"",TEXT(AUX!AH$1,"dd-MMM-aa"),"")</f>
      </c>
      <c r="AE202" s="496" t="str">
        <f> IF(AE222&lt;&gt;"",TEXT(AUX!AI$1,"dd-MMM-aa"),"")</f>
      </c>
      <c r="AF202" s="496" t="str">
        <f> IF(AF222&lt;&gt;"",TEXT(AUX!AJ$1,"dd-MMM-aa"),"")</f>
      </c>
      <c r="AG202" s="496" t="str">
        <f> IF(AG222&lt;&gt;"",TEXT(AUX!AK$1,"dd-MMM-aa"),"")</f>
      </c>
      <c r="AH202" s="496" t="str">
        <f> IF(AH222&lt;&gt;"",TEXT(AUX!AL$1,"dd-MMM-aa"),"")</f>
      </c>
      <c r="AI202" s="496" t="str">
        <f> IF(AI222&lt;&gt;"",TEXT(AUX!AM$1,"dd-MMM-aa"),"")</f>
      </c>
      <c r="AJ202" s="496" t="str">
        <f> IF(AJ222&lt;&gt;"",TEXT(AUX!AN$1,"dd-MMM-aa"),"")</f>
      </c>
      <c r="AK202" s="496" t="str">
        <f> IF(AK222&lt;&gt;"",TEXT(AUX!AO$1,"dd-MMM-aa"),"")</f>
      </c>
      <c r="AL202" s="496" t="str">
        <f> IF(AL222&lt;&gt;"",TEXT(AUX!AP$1,"dd-MMM-aa"),"")</f>
      </c>
      <c r="AM202" s="496" t="str">
        <f> IF(AM222&lt;&gt;"",TEXT(AUX!AQ$1,"dd-MMM-aa"),"")</f>
      </c>
      <c r="AN202" s="496" t="str">
        <f> IF(AN222&lt;&gt;"",TEXT(AUX!AR$1,"dd-MMM-aa"),"")</f>
      </c>
      <c r="AO202" s="496" t="str">
        <f> IF(AO222&lt;&gt;"",TEXT(AUX!AS$1,"dd-MMM-aa"),"")</f>
      </c>
      <c r="AP202" s="496" t="str">
        <f> IF(AP222&lt;&gt;"",TEXT(AUX!AT$1,"dd-MMM-aa"),"")</f>
      </c>
      <c r="AQ202" s="496" t="str">
        <f> IF(AQ222&lt;&gt;"",TEXT(AUX!AU$1,"dd-MMM-aa"),"")</f>
      </c>
      <c r="AR202" s="496" t="str">
        <f> IF(AR222&lt;&gt;"",TEXT(AUX!AV$1,"dd-MMM-aa"),"")</f>
      </c>
      <c r="AS202" s="496" t="str">
        <f> IF(AS222&lt;&gt;"",TEXT(AUX!AW$1,"dd-MMM-aa"),"")</f>
      </c>
      <c r="AT202" s="496" t="str">
        <f> IF(AT222&lt;&gt;"",TEXT(AUX!AX$1,"dd-MMM-aa"),"")</f>
      </c>
      <c r="AU202" s="496" t="str">
        <f> IF(AU222&lt;&gt;"",TEXT(AUX!AY$1,"dd-MMM-aa"),"")</f>
      </c>
      <c r="AV202" s="496" t="str">
        <f> IF(AV222&lt;&gt;"",TEXT(AUX!AZ$1,"dd-MMM-aa"),"")</f>
      </c>
      <c r="AW202" s="496" t="str">
        <f> IF(AW222&lt;&gt;"",TEXT(AUX!BA$1,"dd-MMM-aa"),"")</f>
      </c>
      <c r="AX202" s="496" t="str">
        <f> IF(AX222&lt;&gt;"",TEXT(AUX!BB$1,"dd-MMM-aa"),"")</f>
      </c>
      <c r="AY202" s="496" t="str">
        <f> IF(AY222&lt;&gt;"",TEXT(AUX!BC$1,"dd-MMM-aa"),"")</f>
      </c>
      <c r="AZ202" s="496" t="str">
        <f> IF(AZ222&lt;&gt;"",TEXT(AUX!BD$1,"dd-MMM-aa"),"")</f>
      </c>
      <c r="BA202" s="496" t="str">
        <f> IF(BA222&lt;&gt;"",TEXT(AUX!BE$1,"dd-MMM-aa"),"")</f>
      </c>
      <c r="BB202" s="496" t="str">
        <f> IF(BB222&lt;&gt;"",TEXT(AUX!BF$1,"dd-MMM-aa"),"")</f>
      </c>
      <c r="BC202" s="496" t="str">
        <f> IF(BC222&lt;&gt;"",TEXT(AUX!BG$1,"dd-MMM-aa"),"")</f>
      </c>
      <c r="BD202" s="496" t="str">
        <f> IF(BD222&lt;&gt;"",TEXT(AUX!BH$1,"dd-MMM-aa"),"")</f>
      </c>
      <c r="BE202" s="496" t="str">
        <f> IF(BE222&lt;&gt;"",TEXT(AUX!BI$1,"dd-MMM-aa"),"")</f>
      </c>
      <c r="BF202" s="496" t="str">
        <f> IF(BF222&lt;&gt;"",TEXT(AUX!BJ$1,"dd-MMM-aa"),"")</f>
      </c>
      <c r="BG202" s="496" t="str">
        <f> IF(BG222&lt;&gt;"",TEXT(AUX!BK$1,"dd-MMM-aa"),"")</f>
      </c>
      <c r="BH202" s="496" t="str">
        <f> IF(BH222&lt;&gt;"",TEXT(AUX!BL$1,"dd-MMM-aa"),"")</f>
      </c>
      <c r="BI202" s="496" t="str">
        <f> IF(BI222&lt;&gt;"",TEXT(AUX!BM$1,"dd-MMM-aa"),"")</f>
      </c>
      <c r="BJ202" s="496" t="str">
        <f> IF(BJ222&lt;&gt;"",TEXT(AUX!BN$1,"dd-MMM-aa"),"")</f>
      </c>
      <c r="BK202" s="496" t="str">
        <f> IF(BK222&lt;&gt;"",TEXT(AUX!BO$1,"dd-MMM-aa"),"")</f>
      </c>
      <c r="BL202" s="496" t="str">
        <f> IF(BL222&lt;&gt;"",TEXT(AUX!BP$1,"dd-MMM-aa"),"")</f>
      </c>
      <c r="BM202" s="496" t="str">
        <f> IF(BM222&lt;&gt;"",TEXT(AUX!BQ$1,"dd-MMM-aa"),"")</f>
      </c>
      <c r="BN202" s="496" t="str">
        <f> IF(BN222&lt;&gt;"",TEXT(AUX!BR$1,"dd-MMM-aa"),"")</f>
      </c>
      <c r="BO202" s="496" t="str">
        <f> IF(BO222&lt;&gt;"",TEXT(AUX!BS$1,"dd-MMM-aa"),"")</f>
      </c>
      <c r="BP202" s="496" t="str">
        <f> IF(BP222&lt;&gt;"",TEXT(AUX!BT$1,"dd-MMM-aa"),"")</f>
      </c>
      <c r="BQ202" s="496" t="str">
        <f> IF(BQ222&lt;&gt;"",TEXT(AUX!BU$1,"dd-MMM-aa"),"")</f>
      </c>
      <c r="BR202" s="496" t="str">
        <f> IF(BR222&lt;&gt;"",TEXT(AUX!BV$1,"dd-MMM-aa"),"")</f>
      </c>
      <c r="BS202" s="496" t="str">
        <f> IF(BS222&lt;&gt;"",TEXT(AUX!BW$1,"dd-MMM-aa"),"")</f>
      </c>
      <c r="BT202" s="496" t="str">
        <f> IF(BT222&lt;&gt;"",TEXT(AUX!BX$1,"dd-MMM-aa"),"")</f>
      </c>
      <c r="BU202" s="496" t="str">
        <f> IF(BU222&lt;&gt;"",TEXT(AUX!BY$1,"dd-MMM-aa"),"")</f>
      </c>
      <c r="BV202" s="496" t="str">
        <f> IF(BV222&lt;&gt;"",TEXT(AUX!BZ$1,"dd-MMM-aa"),"")</f>
      </c>
      <c r="BW202" s="496" t="str">
        <f> IF(BW222&lt;&gt;"",TEXT(AUX!CA$1,"dd-MMM-aa"),"")</f>
      </c>
      <c r="BX202" s="496" t="str">
        <f> IF(BX222&lt;&gt;"",TEXT(AUX!CB$1,"dd-MMM-aa"),"")</f>
      </c>
      <c r="BY202" s="496" t="str">
        <f> IF(BY222&lt;&gt;"",TEXT(AUX!CC$1,"dd-MMM-aa"),"")</f>
      </c>
      <c r="BZ202" s="496" t="str">
        <f> IF(BZ222&lt;&gt;"",TEXT(AUX!CD$1,"dd-MMM-aa"),"")</f>
      </c>
      <c r="CA202" s="496" t="str">
        <f> IF(CA222&lt;&gt;"",TEXT(AUX!CE$1,"dd-MMM-aa"),"")</f>
      </c>
      <c r="CB202" s="496" t="str">
        <f> IF(CB222&lt;&gt;"",TEXT(AUX!CF$1,"dd-MMM-aa"),"")</f>
      </c>
      <c r="CC202" s="496" t="str">
        <f> IF(CC222&lt;&gt;"",TEXT(AUX!CG$1,"dd-MMM-aa"),"")</f>
      </c>
      <c r="CD202" s="496" t="str">
        <f> IF(CD222&lt;&gt;"",TEXT(AUX!CH$1,"dd-MMM-aa"),"")</f>
      </c>
      <c r="CE202" s="496" t="str">
        <f> IF(CE222&lt;&gt;"",TEXT(AUX!CI$1,"dd-MMM-aa"),"")</f>
      </c>
      <c r="CF202" s="496" t="str">
        <f> IF(CF222&lt;&gt;"",TEXT(AUX!CJ$1,"dd-MMM-aa"),"")</f>
      </c>
      <c r="CG202" s="496" t="str">
        <f> IF(CG222&lt;&gt;"",TEXT(AUX!CK$1,"dd-MMM-aa"),"")</f>
      </c>
      <c r="CH202" s="496" t="str">
        <f> IF(CH222&lt;&gt;"",TEXT(AUX!CL$1,"dd-MMM-aa"),"")</f>
      </c>
      <c r="CI202" s="496" t="str">
        <f> IF(CI222&lt;&gt;"",TEXT(AUX!CM$1,"dd-MMM-aa"),"")</f>
      </c>
      <c r="CJ202" s="496" t="str">
        <f> IF(CJ222&lt;&gt;"",TEXT(AUX!CN$1,"dd-MMM-aa"),"")</f>
      </c>
      <c r="CK202" s="496" t="str">
        <f> IF(CK222&lt;&gt;"",TEXT(AUX!CO$1,"dd-MMM-aa"),"")</f>
      </c>
      <c r="CL202" s="496" t="str">
        <f> IF(CL222&lt;&gt;"",TEXT(AUX!CP$1,"dd-MMM-aa"),"")</f>
      </c>
      <c r="CM202" s="496" t="str">
        <f> IF(CM222&lt;&gt;"",TEXT(AUX!CQ$1,"dd-MMM-aa"),"")</f>
      </c>
      <c r="CN202" s="496" t="str">
        <f> IF(CN222&lt;&gt;"",TEXT(AUX!CR$1,"dd-MMM-aa"),"")</f>
      </c>
      <c r="CO202" s="496" t="str">
        <f> IF(CO222&lt;&gt;"",TEXT(AUX!CS$1,"dd-MMM-aa"),"")</f>
      </c>
      <c r="CP202" s="496" t="str">
        <f> IF(CP222&lt;&gt;"",TEXT(AUX!CT$1,"dd-MMM-aa"),"")</f>
      </c>
      <c r="CQ202" s="496" t="str">
        <f> IF(CQ222&lt;&gt;"",TEXT(AUX!CU$1,"dd-MMM-aa"),"")</f>
      </c>
      <c r="CR202" s="496" t="str">
        <f> IF(CR222&lt;&gt;"",TEXT(AUX!CV$1,"dd-MMM-aa"),"")</f>
      </c>
      <c r="CS202" s="496" t="str">
        <f> IF(CS222&lt;&gt;"",TEXT(AUX!CW$1,"dd-MMM-aa"),"")</f>
      </c>
      <c r="CT202" s="496" t="str">
        <f> IF(CT222&lt;&gt;"",TEXT(AUX!CX$1,"dd-MMM-aa"),"")</f>
      </c>
      <c r="CU202" s="496" t="str">
        <f> IF(CU222&lt;&gt;"",TEXT(AUX!CY$1,"dd-MMM-aa"),"")</f>
      </c>
      <c r="CV202" s="496" t="str">
        <f> IF(CV222&lt;&gt;"",TEXT(AUX!CZ$1,"dd-MMM-aa"),"")</f>
      </c>
      <c r="CW202" s="496" t="str">
        <f> IF(CW222&lt;&gt;"",TEXT(AUX!DA$1,"dd-MMM-aa"),"")</f>
      </c>
      <c r="CX202" s="496" t="str">
        <f> IF(CX222&lt;&gt;"",TEXT(AUX!DB$1,"dd-MMM-aa"),"")</f>
      </c>
      <c r="CY202" s="496" t="str">
        <f> IF(CY222&lt;&gt;"",TEXT(AUX!DC$1,"dd-MMM-aa"),"")</f>
      </c>
      <c r="CZ202" s="496" t="str">
        <f> IF(CZ222&lt;&gt;"",TEXT(AUX!DD$1,"dd-MMM-aa"),"")</f>
      </c>
      <c r="DA202" s="496" t="str">
        <f> IF(DA222&lt;&gt;"",TEXT(AUX!DE$1,"dd-MMM-aa"),"")</f>
      </c>
      <c r="DB202" s="496" t="str">
        <f> IF(DB222&lt;&gt;"",TEXT(AUX!DF$1,"dd-MMM-aa"),"")</f>
      </c>
      <c r="DC202" s="496" t="str">
        <f> IF(DC222&lt;&gt;"",TEXT(AUX!DG$1,"dd-MMM-aa"),"")</f>
      </c>
      <c r="DD202" s="496" t="str">
        <f> IF(DD222&lt;&gt;"",TEXT(AUX!DH$1,"dd-MMM-aa"),"")</f>
      </c>
      <c r="DE202" s="496" t="str">
        <f> IF(DE222&lt;&gt;"",TEXT(AUX!DI$1,"dd-MMM-aa"),"")</f>
      </c>
      <c r="DF202" s="496" t="str">
        <f> IF(DF222&lt;&gt;"",TEXT(AUX!DJ$1,"dd-MMM-aa"),"")</f>
      </c>
      <c r="DG202" s="496" t="str">
        <f> IF(DG222&lt;&gt;"",TEXT(AUX!DK$1,"dd-MMM-aa"),"")</f>
      </c>
      <c r="DH202" s="496" t="str">
        <f> IF(DH222&lt;&gt;"",TEXT(AUX!DL$1,"dd-MMM-aa"),"")</f>
      </c>
      <c r="DI202" s="496" t="str">
        <f> IF(DI222&lt;&gt;"",TEXT(AUX!DM$1,"dd-MMM-aa"),"")</f>
      </c>
      <c r="DJ202" s="496" t="str">
        <f> IF(DJ222&lt;&gt;"",TEXT(AUX!DN$1,"dd-MMM-aa"),"")</f>
      </c>
      <c r="DK202" s="496" t="str">
        <f> IF(DK222&lt;&gt;"",TEXT(AUX!DO$1,"dd-MMM-aa"),"")</f>
      </c>
      <c r="DL202" s="496" t="str">
        <f> IF(DL222&lt;&gt;"",TEXT(AUX!DP$1,"dd-MMM-aa"),"")</f>
      </c>
      <c r="DM202" s="496" t="str">
        <f> IF(DM222&lt;&gt;"",TEXT(AUX!DQ$1,"dd-MMM-aa"),"")</f>
      </c>
      <c r="DN202" s="496" t="str">
        <f> IF(DN222&lt;&gt;"",TEXT(AUX!DR$1,"dd-MMM-aa"),"")</f>
      </c>
      <c r="DO202" s="496" t="str">
        <f> IF(DO222&lt;&gt;"",TEXT(AUX!DS$1,"dd-MMM-aa"),"")</f>
      </c>
      <c r="DP202" s="496" t="str">
        <f> IF(DP222&lt;&gt;"",TEXT(AUX!DT$1,"dd-MMM-aa"),"")</f>
      </c>
      <c r="DQ202" s="496" t="str">
        <f> IF(DQ222&lt;&gt;"",TEXT(AUX!DU$1,"dd-MMM-aa"),"")</f>
      </c>
      <c r="DR202" s="496" t="str">
        <f> IF(DR222&lt;&gt;"",TEXT(AUX!DV$1,"dd-MMM-aa"),"")</f>
      </c>
      <c r="DS202" s="496" t="str">
        <f> IF(DS222&lt;&gt;"",TEXT(AUX!DW$1,"dd-MMM-aa"),"")</f>
      </c>
      <c r="DT202" s="496" t="str">
        <f> IF(DT222&lt;&gt;"",TEXT(AUX!DX$1,"dd-MMM-aa"),"")</f>
      </c>
      <c r="DU202" s="496" t="str">
        <f> IF(DU222&lt;&gt;"",TEXT(AUX!DY$1,"dd-MMM-aa"),"")</f>
      </c>
      <c r="DV202" s="496" t="str">
        <f> IF(DV222&lt;&gt;"",TEXT(AUX!DZ$1,"dd-MMM-aa"),"")</f>
      </c>
      <c r="DW202" s="496" t="str">
        <f> IF(DW222&lt;&gt;"",TEXT(AUX!EA$1,"dd-MMM-aa"),"")</f>
      </c>
      <c r="DX202" s="496" t="str">
        <f> IF(DX222&lt;&gt;"",TEXT(AUX!EB$1,"dd-MMM-aa"),"")</f>
      </c>
      <c r="DY202" s="496" t="str">
        <f> IF(DY222&lt;&gt;"",TEXT(AUX!EC$1,"dd-MMM-aa"),"")</f>
      </c>
      <c r="DZ202" s="496" t="str">
        <f> IF(DZ222&lt;&gt;"",TEXT(AUX!ED$1,"dd-MMM-aa"),"")</f>
      </c>
      <c r="EA202" s="496" t="str">
        <f> IF(EA222&lt;&gt;"",TEXT(AUX!EE$1,"dd-MMM-aa"),"")</f>
      </c>
      <c r="EB202" s="496" t="str">
        <f> IF(EB222&lt;&gt;"",TEXT(AUX!EF$1,"dd-MMM-aa"),"")</f>
      </c>
      <c r="EC202" s="496" t="str">
        <f> IF(EC222&lt;&gt;"",TEXT(AUX!EG$1,"dd-MMM-aa"),"")</f>
      </c>
      <c r="ED202" s="496" t="str">
        <f> IF(ED222&lt;&gt;"",TEXT(AUX!EH$1,"dd-MMM-aa"),"")</f>
      </c>
      <c r="EE202" s="496" t="str">
        <f> IF(EE222&lt;&gt;"",TEXT(AUX!EI$1,"dd-MMM-aa"),"")</f>
      </c>
      <c r="EF202" s="496" t="str">
        <f> IF(EF222&lt;&gt;"",TEXT(AUX!EJ$1,"dd-MMM-aa"),"")</f>
      </c>
      <c r="EG202" s="496" t="str">
        <f> IF(EG222&lt;&gt;"",TEXT(AUX!EK$1,"dd-MMM-aa"),"")</f>
      </c>
      <c r="EH202" s="496" t="str">
        <f> IF(EH222&lt;&gt;"",TEXT(AUX!EL$1,"dd-MMM-aa"),"")</f>
      </c>
      <c r="EI202" s="496" t="str">
        <f> IF(EI222&lt;&gt;"",TEXT(AUX!EM$1,"dd-MMM-aa"),"")</f>
      </c>
      <c r="EJ202" s="496" t="str">
        <f> IF(EJ222&lt;&gt;"",TEXT(AUX!EN$1,"dd-MMM-aa"),"")</f>
      </c>
      <c r="EK202" s="496" t="str">
        <f> IF(EK222&lt;&gt;"",TEXT(AUX!EO$1,"dd-MMM-aa"),"")</f>
      </c>
      <c r="EL202" s="496" t="str">
        <f> IF(EL222&lt;&gt;"",TEXT(AUX!EP$1,"dd-MMM-aa"),"")</f>
      </c>
      <c r="EM202" s="496" t="str">
        <f> IF(EM222&lt;&gt;"",TEXT(AUX!EQ$1,"dd-MMM-aa"),"")</f>
      </c>
      <c r="EN202" s="496" t="str">
        <f> IF(EN222&lt;&gt;"",TEXT(AUX!ER$1,"dd-MMM-aa"),"")</f>
      </c>
      <c r="EO202" s="496" t="str">
        <f> IF(EO222&lt;&gt;"",TEXT(AUX!ES$1,"dd-MMM-aa"),"")</f>
      </c>
      <c r="EP202" s="496" t="str">
        <f> IF(EP222&lt;&gt;"",TEXT(AUX!ET$1,"dd-MMM-aa"),"")</f>
      </c>
      <c r="EQ202" s="496" t="str">
        <f> IF(EQ222&lt;&gt;"",TEXT(AUX!EU$1,"dd-MMM-aa"),"")</f>
      </c>
      <c r="ER202" s="496" t="str">
        <f> IF(ER222&lt;&gt;"",TEXT(AUX!EV$1,"dd-MMM-aa"),"")</f>
      </c>
      <c r="ES202" s="496" t="str">
        <f> IF(ES222&lt;&gt;"",TEXT(AUX!EW$1,"dd-MMM-aa"),"")</f>
      </c>
      <c r="ET202" s="496" t="str">
        <f> IF(ET222&lt;&gt;"",TEXT(AUX!EX$1,"dd-MMM-aa"),"")</f>
      </c>
      <c r="EU202" s="496" t="str">
        <f> IF(EU222&lt;&gt;"",TEXT(AUX!EY$1,"dd-MMM-aa"),"")</f>
      </c>
      <c r="EV202" s="496" t="str">
        <f> IF(EV222&lt;&gt;"",TEXT(AUX!EZ$1,"dd-MMM-aa"),"")</f>
      </c>
      <c r="EW202" s="496" t="str">
        <f> IF(EW222&lt;&gt;"",TEXT(AUX!FA$1,"dd-MMM-aa"),"")</f>
      </c>
      <c r="EX202" s="496" t="str">
        <f> IF(EX222&lt;&gt;"",TEXT(AUX!FB$1,"dd-MMM-aa"),"")</f>
      </c>
      <c r="EY202" s="496" t="str">
        <f> IF(EY222&lt;&gt;"",TEXT(AUX!FC$1,"dd-MMM-aa"),"")</f>
      </c>
      <c r="EZ202" s="496" t="str">
        <f> IF(EZ222&lt;&gt;"",TEXT(AUX!FD$1,"dd-MMM-aa"),"")</f>
      </c>
      <c r="FA202" s="496" t="str">
        <f> IF(FA222&lt;&gt;"",TEXT(AUX!FE$1,"dd-MMM-aa"),"")</f>
      </c>
      <c r="FB202" s="496" t="str">
        <f> IF(FB222&lt;&gt;"",TEXT(AUX!FF$1,"dd-MMM-aa"),"")</f>
      </c>
      <c r="FC202" s="496" t="str">
        <f> IF(FC222&lt;&gt;"",TEXT(AUX!FG$1,"dd-MMM-aa"),"")</f>
      </c>
      <c r="FD202" s="496" t="str">
        <f> IF(FD222&lt;&gt;"",TEXT(AUX!FH$1,"dd-MMM-aa"),"")</f>
      </c>
      <c r="FE202" s="496" t="str">
        <f> IF(FE222&lt;&gt;"",TEXT(AUX!FI$1,"dd-MMM-aa"),"")</f>
      </c>
      <c r="FF202" s="496" t="str">
        <f> IF(FF222&lt;&gt;"",TEXT(AUX!FJ$1,"dd-MMM-aa"),"")</f>
      </c>
      <c r="FG202" s="496" t="str">
        <f> IF(FG222&lt;&gt;"",TEXT(AUX!FK$1,"dd-MMM-aa"),"")</f>
      </c>
      <c r="FH202" s="496" t="str">
        <f> IF(FH222&lt;&gt;"",TEXT(AUX!FL$1,"dd-MMM-aa"),"")</f>
      </c>
      <c r="FI202" s="496" t="str">
        <f> IF(FI222&lt;&gt;"",TEXT(AUX!FM$1,"dd-MMM-aa"),"")</f>
      </c>
      <c r="FJ202" s="496" t="str">
        <f> IF(FJ222&lt;&gt;"",TEXT(AUX!FN$1,"dd-MMM-aa"),"")</f>
      </c>
      <c r="FK202" s="496" t="str">
        <f> IF(FK222&lt;&gt;"",TEXT(AUX!FO$1,"dd-MMM-aa"),"")</f>
      </c>
      <c r="FL202" s="496" t="str">
        <f> IF(FL222&lt;&gt;"",TEXT(AUX!FP$1,"dd-MMM-aa"),"")</f>
      </c>
      <c r="FM202" s="496" t="str">
        <f> IF(FM222&lt;&gt;"",TEXT(AUX!FQ$1,"dd-MMM-aa"),"")</f>
      </c>
      <c r="FN202" s="496" t="str">
        <f> IF(FN222&lt;&gt;"",TEXT(AUX!FR$1,"dd-MMM-aa"),"")</f>
      </c>
      <c r="FO202" s="496" t="str">
        <f> IF(FO222&lt;&gt;"",TEXT(AUX!FS$1,"dd-MMM-aa"),"")</f>
      </c>
      <c r="FP202" s="496" t="str">
        <f> IF(FP222&lt;&gt;"",TEXT(AUX!FT$1,"dd-MMM-aa"),"")</f>
      </c>
      <c r="FQ202" s="496" t="str">
        <f> IF(FQ222&lt;&gt;"",TEXT(AUX!FU$1,"dd-MMM-aa"),"")</f>
      </c>
      <c r="FR202" s="496" t="str">
        <f> IF(FR222&lt;&gt;"",TEXT(AUX!FV$1,"dd-MMM-aa"),"")</f>
      </c>
      <c r="FS202" s="496" t="str">
        <f> IF(FS222&lt;&gt;"",TEXT(AUX!FW$1,"dd-MMM-aa"),"")</f>
      </c>
      <c r="FT202" s="496" t="str">
        <f> IF(FT222&lt;&gt;"",TEXT(AUX!FX$1,"dd-MMM-aa"),"")</f>
      </c>
      <c r="FU202" s="496" t="str">
        <f> IF(FU222&lt;&gt;"",TEXT(AUX!FY$1,"dd-MMM-aa"),"")</f>
      </c>
      <c r="FV202" s="496" t="str">
        <f> IF(FV222&lt;&gt;"",TEXT(AUX!FZ$1,"dd-MMM-aa"),"")</f>
      </c>
      <c r="FW202" s="496" t="str">
        <f> IF(FW222&lt;&gt;"",TEXT(AUX!GA$1,"dd-MMM-aa"),"")</f>
      </c>
      <c r="FX202" s="496" t="str">
        <f> IF(FX222&lt;&gt;"",TEXT(AUX!GB$1,"dd-MMM-aa"),"")</f>
      </c>
      <c r="FY202" s="496" t="str">
        <f> IF(FY222&lt;&gt;"",TEXT(AUX!GC$1,"dd-MMM-aa"),"")</f>
      </c>
      <c r="FZ202" s="496" t="str">
        <f> IF(FZ222&lt;&gt;"",TEXT(AUX!GD$1,"dd-MMM-aa"),"")</f>
      </c>
      <c r="GA202" s="496" t="str">
        <f> IF(GA222&lt;&gt;"",TEXT(AUX!GE$1,"dd-MMM-aa"),"")</f>
      </c>
      <c r="GB202" s="496" t="str">
        <f> IF(GB222&lt;&gt;"",TEXT(AUX!GF$1,"dd-MMM-aa"),"")</f>
      </c>
      <c r="GC202" s="496" t="str">
        <f> IF(GC222&lt;&gt;"",TEXT(AUX!GG$1,"dd-MMM-aa"),"")</f>
      </c>
      <c r="GD202" s="496" t="str">
        <f> IF(GD222&lt;&gt;"",TEXT(AUX!GH$1,"dd-MMM-aa"),"")</f>
      </c>
      <c r="GE202" s="496" t="str">
        <f> IF(GE222&lt;&gt;"",TEXT(AUX!GI$1,"dd-MMM-aa"),"")</f>
      </c>
      <c r="GF202" s="496" t="str">
        <f> IF(GF222&lt;&gt;"",TEXT(AUX!GJ$1,"dd-MMM-aa"),"")</f>
      </c>
      <c r="GG202" s="496" t="str">
        <f> IF(GG222&lt;&gt;"",TEXT(AUX!GK$1,"dd-MMM-aa"),"")</f>
      </c>
      <c r="GH202" s="496" t="str">
        <f> IF(GH222&lt;&gt;"",TEXT(AUX!GL$1,"dd-MMM-aa"),"")</f>
      </c>
      <c r="GI202" s="496" t="str">
        <f> IF(GI222&lt;&gt;"",TEXT(AUX!GM$1,"dd-MMM-aa"),"")</f>
      </c>
      <c r="GJ202" s="496" t="str">
        <f> IF(GJ222&lt;&gt;"",TEXT(AUX!GN$1,"dd-MMM-aa"),"")</f>
      </c>
      <c r="GK202" s="496" t="str">
        <f> IF(GK222&lt;&gt;"",TEXT(AUX!GO$1,"dd-MMM-aa"),"")</f>
      </c>
      <c r="GL202" s="496" t="str">
        <f> IF(GL222&lt;&gt;"",TEXT(AUX!GP$1,"dd-MMM-aa"),"")</f>
      </c>
      <c r="GM202" s="496" t="str">
        <f> IF(GM222&lt;&gt;"",TEXT(AUX!GQ$1,"dd-MMM-aa"),"")</f>
      </c>
      <c r="GN202" s="496" t="str">
        <f> IF(GN222&lt;&gt;"",TEXT(AUX!GR$1,"dd-MMM-aa"),"")</f>
      </c>
      <c r="GO202" s="496" t="str">
        <f> IF(GO222&lt;&gt;"",TEXT(AUX!GS$1,"dd-MMM-aa"),"")</f>
      </c>
      <c r="GP202" s="496" t="str">
        <f> IF(GP222&lt;&gt;"",TEXT(AUX!GT$1,"dd-MMM-aa"),"")</f>
      </c>
      <c r="GQ202" s="496" t="str">
        <f> IF(GQ222&lt;&gt;"",TEXT(AUX!GU$1,"dd-MMM-aa"),"")</f>
      </c>
      <c r="GR202" s="496" t="str">
        <f> IF(GR222&lt;&gt;"",TEXT(AUX!GV$1,"dd-MMM-aa"),"")</f>
      </c>
      <c r="GS202" s="496" t="str">
        <f> IF(GS222&lt;&gt;"",TEXT(AUX!GW$1,"dd-MMM-aa"),"")</f>
      </c>
      <c r="GT202" s="496" t="str">
        <f> IF(GT222&lt;&gt;"",TEXT(AUX!GX$1,"dd-MMM-aa"),"")</f>
      </c>
      <c r="GU202" s="496" t="str">
        <f> IF(GU222&lt;&gt;"",TEXT(AUX!GY$1,"dd-MMM-aa"),"")</f>
      </c>
      <c r="GV202" s="496" t="str">
        <f> IF(GV222&lt;&gt;"",TEXT(AUX!GZ$1,"dd-MMM-aa"),"")</f>
      </c>
      <c r="GW202" s="496" t="str">
        <f> IF(GW222&lt;&gt;"",TEXT(AUX!HA$1,"dd-MMM-aa"),"")</f>
      </c>
      <c r="GX202" s="496" t="str">
        <f> IF(GX222&lt;&gt;"",TEXT(AUX!HB$1,"dd-MMM-aa"),"")</f>
      </c>
      <c r="GY202" s="496" t="str">
        <f> IF(GY222&lt;&gt;"",TEXT(AUX!HC$1,"dd-MMM-aa"),"")</f>
      </c>
      <c r="GZ202" s="496" t="str">
        <f> IF(GZ222&lt;&gt;"",TEXT(AUX!HD$1,"dd-MMM-aa"),"")</f>
      </c>
      <c r="HA202" s="496" t="str">
        <f> IF(HA222&lt;&gt;"",TEXT(AUX!HE$1,"dd-MMM-aa"),"")</f>
      </c>
      <c r="HB202" s="496" t="str">
        <f> IF(HB222&lt;&gt;"",TEXT(AUX!HF$1,"dd-MMM-aa"),"")</f>
      </c>
      <c r="HC202" s="496" t="str">
        <f> IF(HC222&lt;&gt;"",TEXT(AUX!HG$1,"dd-MMM-aa"),"")</f>
      </c>
      <c r="HD202" s="496" t="str">
        <f> IF(HD222&lt;&gt;"",TEXT(AUX!HH$1,"dd-MMM-aa"),"")</f>
      </c>
      <c r="HE202" s="496" t="str">
        <f> IF(HE222&lt;&gt;"",TEXT(AUX!HI$1,"dd-MMM-aa"),"")</f>
      </c>
      <c r="HF202" s="496" t="str">
        <f> IF(HF222&lt;&gt;"",TEXT(AUX!HJ$1,"dd-MMM-aa"),"")</f>
      </c>
      <c r="HG202" s="496" t="str">
        <f> IF(HG222&lt;&gt;"",TEXT(AUX!HK$1,"dd-MMM-aa"),"")</f>
      </c>
      <c r="HH202" s="496" t="str">
        <f> IF(HH222&lt;&gt;"",TEXT(AUX!HL$1,"dd-MMM-aa"),"")</f>
      </c>
      <c r="HI202" s="496" t="str">
        <f> IF(HI222&lt;&gt;"",TEXT(AUX!HM$1,"dd-MMM-aa"),"")</f>
      </c>
      <c r="HJ202" s="496" t="str">
        <f> IF(HJ222&lt;&gt;"",TEXT(AUX!HN$1,"dd-MMM-aa"),"")</f>
      </c>
      <c r="HK202" s="496" t="str">
        <f> IF(HK222&lt;&gt;"",TEXT(AUX!HO$1,"dd-MMM-aa"),"")</f>
      </c>
      <c r="HL202" s="496" t="str">
        <f> IF(HL222&lt;&gt;"",TEXT(AUX!HP$1,"dd-MMM-aa"),"")</f>
      </c>
      <c r="HM202" s="496" t="str">
        <f> IF(HM222&lt;&gt;"",TEXT(AUX!HQ$1,"dd-MMM-aa"),"")</f>
      </c>
      <c r="HN202" s="496" t="str">
        <f> IF(HN222&lt;&gt;"",TEXT(AUX!HR$1,"dd-MMM-aa"),"")</f>
      </c>
      <c r="HO202" s="496" t="str">
        <f> IF(HO222&lt;&gt;"",TEXT(AUX!HS$1,"dd-MMM-aa"),"")</f>
      </c>
      <c r="HP202" s="496" t="str">
        <f> IF(HP222&lt;&gt;"",TEXT(AUX!HT$1,"dd-MMM-aa"),"")</f>
      </c>
      <c r="HQ202" s="496" t="str">
        <f> IF(HQ222&lt;&gt;"",TEXT(AUX!HU$1,"dd-MMM-aa"),"")</f>
      </c>
      <c r="HR202" s="496" t="str">
        <f> IF(HR222&lt;&gt;"",TEXT(AUX!HV$1,"dd-MMM-aa"),"")</f>
      </c>
      <c r="HS202" s="496" t="str">
        <f> IF(HS222&lt;&gt;"",TEXT(AUX!HW$1,"dd-MMM-aa"),"")</f>
      </c>
      <c r="HT202" s="496" t="str">
        <f> IF(HT222&lt;&gt;"",TEXT(AUX!HX$1,"dd-MMM-aa"),"")</f>
      </c>
      <c r="HU202" s="496" t="str">
        <f> IF(HU222&lt;&gt;"",TEXT(AUX!HY$1,"dd-MMM-aa"),"")</f>
      </c>
      <c r="HV202" s="496" t="str">
        <f> IF(HV222&lt;&gt;"",TEXT(AUX!HZ$1,"dd-MMM-aa"),"")</f>
      </c>
      <c r="HW202" s="496" t="str">
        <f> IF(HW222&lt;&gt;"",TEXT(AUX!IA$1,"dd-MMM-aa"),"")</f>
      </c>
      <c r="HX202" s="496" t="str">
        <f> IF(HX222&lt;&gt;"",TEXT(AUX!IB$1,"dd-MMM-aa"),"")</f>
      </c>
      <c r="HY202" s="496" t="str">
        <f> IF(HY222&lt;&gt;"",TEXT(AUX!IC$1,"dd-MMM-aa"),"")</f>
      </c>
      <c r="HZ202" s="496" t="str">
        <f> IF(HZ222&lt;&gt;"",TEXT(AUX!ID$1,"dd-MMM-aa"),"")</f>
      </c>
      <c r="IA202" s="496" t="str">
        <f> IF(IA222&lt;&gt;"",TEXT(AUX!IE$1,"dd-MMM-aa"),"")</f>
      </c>
      <c r="IB202" s="496" t="str">
        <f> IF(IB222&lt;&gt;"",TEXT(AUX!IF$1,"dd-MMM-aa"),"")</f>
      </c>
      <c r="IC202" s="496" t="str">
        <f> IF(IC222&lt;&gt;"",TEXT(AUX!IG$1,"dd-MMM-aa"),"")</f>
      </c>
      <c r="ID202" s="496" t="str">
        <f> IF(ID222&lt;&gt;"",TEXT(AUX!IH$1,"dd-MMM-aa"),"")</f>
      </c>
      <c r="IE202" s="496" t="str">
        <f> IF(IE222&lt;&gt;"",TEXT(AUX!II$1,"dd-MMM-aa"),"")</f>
      </c>
      <c r="IF202" s="496" t="str">
        <f> IF(IF222&lt;&gt;"",TEXT(AUX!IJ$1,"dd-MMM-aa"),"")</f>
      </c>
      <c r="IG202" s="496" t="str">
        <f> IF(IG222&lt;&gt;"",TEXT(AUX!IK$1,"dd-MMM-aa"),"")</f>
      </c>
      <c r="IH202" s="496" t="str">
        <f> IF(IH222&lt;&gt;"",TEXT(AUX!IL$1,"dd-MMM-aa"),"")</f>
      </c>
      <c r="II202" s="496" t="str">
        <f> IF(II222&lt;&gt;"",TEXT(AUX!IM$1,"dd-MMM-aa"),"")</f>
      </c>
      <c r="IJ202" s="496" t="str">
        <f> IF(IJ222&lt;&gt;"",TEXT(AUX!IN$1,"dd-MMM-aa"),"")</f>
      </c>
      <c r="IK202" s="496" t="str">
        <f> IF(IK222&lt;&gt;"",TEXT(AUX!IO$1,"dd-MMM-aa"),"")</f>
      </c>
      <c r="IL202" s="496" t="str">
        <f> IF(IL222&lt;&gt;"",TEXT(AUX!IP$1,"dd-MMM-aa"),"")</f>
      </c>
      <c r="IM202" s="496" t="str">
        <f> IF(IM222&lt;&gt;"",TEXT(AUX!IQ$1,"dd-MMM-aa"),"")</f>
      </c>
      <c r="IN202" s="496" t="str">
        <f> IF(IN222&lt;&gt;"",TEXT(AUX!IR$1,"dd-MMM-aa"),"")</f>
      </c>
      <c r="IO202" s="496" t="str">
        <f> IF(IO222&lt;&gt;"",TEXT(AUX!IS$1,"dd-MMM-aa"),"")</f>
      </c>
      <c r="IP202" s="496" t="str">
        <f> IF(IP222&lt;&gt;"",TEXT(AUX!IT$1,"dd-MMM-aa"),"")</f>
      </c>
      <c r="IQ202" s="496" t="str">
        <f> IF(IQ222&lt;&gt;"",TEXT(AUX!IU$1,"dd-MMM-aa"),"")</f>
      </c>
      <c r="IR202" s="496" t="str">
        <f> IF(IR222&lt;&gt;"",TEXT(AUX!IV$1,"dd-MMM-aa"),"")</f>
      </c>
      <c r="IS202" s="496" t="str">
        <f> IF(IS222&lt;&gt;"",TEXT(AUX!#REF!,"dd-MMM-aa"),"")</f>
      </c>
      <c r="IT202" s="496" t="str">
        <f> IF(IT222&lt;&gt;"",TEXT(AUX!#REF!,"dd-MMM-aa"),"")</f>
      </c>
      <c r="IU202" s="496" t="str">
        <f> IF(IU222&lt;&gt;"",TEXT(AUX!#REF!,"dd-MMM-aa"),"")</f>
      </c>
      <c r="IV202" s="496" t="str">
        <f> IF(IV222&lt;&gt;"",TEXT(AUX!#REF!,"dd-MMM-aa"),"")</f>
      </c>
    </row>
    <row r="203" hidden="1">
      <c r="B203" s="833" t="s">
        <v>8</v>
      </c>
      <c r="C203" s="827">
        <v>32227</v>
      </c>
      <c r="D203" s="827">
        <v>30832</v>
      </c>
      <c r="E203" s="827">
        <v>30057</v>
      </c>
      <c r="F203" s="827">
        <v>29317</v>
      </c>
      <c r="G203" s="827">
        <v>28184</v>
      </c>
      <c r="H203" s="827">
        <v>28389</v>
      </c>
      <c r="I203" s="827">
        <v>27038</v>
      </c>
      <c r="J203" s="827">
        <v>25714</v>
      </c>
      <c r="K203" s="827">
        <v>25811</v>
      </c>
      <c r="L203" s="827">
        <v>24061</v>
      </c>
      <c r="M203" s="827">
        <v>24033</v>
      </c>
      <c r="N203" s="827">
        <v>22463</v>
      </c>
      <c r="O203" s="827">
        <v>22279</v>
      </c>
      <c r="P203" s="827">
        <v>21016</v>
      </c>
      <c r="Q203" s="827">
        <v>30098</v>
      </c>
      <c r="R203" s="827">
        <v>28867</v>
      </c>
      <c r="S203" s="827">
        <v>30195</v>
      </c>
      <c r="T203" s="827">
        <v>29319</v>
      </c>
      <c r="U203" s="827">
        <v>31738</v>
      </c>
      <c r="V203" s="827">
        <v>30677</v>
      </c>
      <c r="W203" s="827">
        <v>34574</v>
      </c>
      <c r="X203" s="827">
        <v>33866</v>
      </c>
      <c r="Y203" s="827">
        <v>34846</v>
      </c>
      <c r="Z203" s="827">
        <v>34546</v>
      </c>
      <c r="AA203" s="827">
        <v>35483</v>
      </c>
      <c r="AB203" s="834">
        <v>33245</v>
      </c>
      <c r="AC203" s="828">
        <v>32900</v>
      </c>
      <c r="AD203" s="828">
        <v>31454</v>
      </c>
      <c r="AE203" s="828">
        <v>32406</v>
      </c>
      <c r="AF203" s="828">
        <v>31475</v>
      </c>
      <c r="AG203" s="828">
        <v>31543</v>
      </c>
      <c r="AH203" s="828">
        <v>30084</v>
      </c>
      <c r="AI203" s="828">
        <v>30637</v>
      </c>
      <c r="AJ203" s="828">
        <v>27883</v>
      </c>
      <c r="AK203" s="828">
        <v>27977</v>
      </c>
      <c r="AL203" s="828">
        <v>26482</v>
      </c>
      <c r="AM203" s="828">
        <v>26750</v>
      </c>
      <c r="AN203" s="828">
        <v>25173</v>
      </c>
      <c r="AO203" s="828">
        <v>25930</v>
      </c>
      <c r="AP203" s="828">
        <v>25970</v>
      </c>
    </row>
    <row r="204" hidden="1">
      <c r="B204" s="829" t="s">
        <v>9</v>
      </c>
      <c r="C204" s="823">
        <v>0</v>
      </c>
      <c r="D204" s="823">
        <v>0</v>
      </c>
      <c r="E204" s="823">
        <v>12</v>
      </c>
      <c r="F204" s="823">
        <v>12</v>
      </c>
      <c r="G204" s="823">
        <v>56</v>
      </c>
      <c r="H204" s="823">
        <v>56</v>
      </c>
      <c r="I204" s="823">
        <v>1674</v>
      </c>
      <c r="J204" s="823">
        <v>1977</v>
      </c>
      <c r="K204" s="823">
        <v>4365</v>
      </c>
      <c r="L204" s="823">
        <v>4316</v>
      </c>
      <c r="M204" s="823">
        <v>4622</v>
      </c>
      <c r="N204" s="823">
        <v>4527</v>
      </c>
      <c r="O204" s="823">
        <v>4527</v>
      </c>
      <c r="P204" s="823">
        <v>4519</v>
      </c>
      <c r="Q204" s="823">
        <v>4694</v>
      </c>
      <c r="R204" s="823">
        <v>4572</v>
      </c>
      <c r="S204" s="823">
        <v>4601</v>
      </c>
      <c r="T204" s="823">
        <v>4566</v>
      </c>
      <c r="U204" s="823">
        <v>4763</v>
      </c>
      <c r="V204" s="823">
        <v>4775</v>
      </c>
      <c r="W204" s="823">
        <v>4751</v>
      </c>
      <c r="X204" s="823">
        <v>4645</v>
      </c>
      <c r="Y204" s="823">
        <v>4770</v>
      </c>
      <c r="Z204" s="823">
        <v>4668</v>
      </c>
      <c r="AA204" s="823">
        <v>4612</v>
      </c>
      <c r="AB204" s="823">
        <v>4542</v>
      </c>
      <c r="AC204" s="825">
        <v>4579</v>
      </c>
      <c r="AD204" s="825">
        <v>4492</v>
      </c>
      <c r="AE204" s="825">
        <v>4490</v>
      </c>
      <c r="AF204" s="825">
        <v>4487</v>
      </c>
      <c r="AG204" s="825">
        <v>4496</v>
      </c>
      <c r="AH204" s="825">
        <v>4401</v>
      </c>
      <c r="AI204" s="825">
        <v>4560</v>
      </c>
      <c r="AJ204" s="825">
        <v>4365</v>
      </c>
      <c r="AK204" s="825">
        <v>4393</v>
      </c>
      <c r="AL204" s="825">
        <v>4361</v>
      </c>
      <c r="AM204" s="825">
        <v>4354</v>
      </c>
      <c r="AN204" s="825">
        <v>4195</v>
      </c>
      <c r="AO204" s="825">
        <v>3755</v>
      </c>
      <c r="AP204" s="825">
        <v>3886</v>
      </c>
    </row>
    <row r="205" hidden="1">
      <c r="B205" s="826" t="s">
        <v>10</v>
      </c>
      <c r="C205" s="827">
        <v>1143</v>
      </c>
      <c r="D205" s="827">
        <v>1183</v>
      </c>
      <c r="E205" s="827">
        <v>1363</v>
      </c>
      <c r="F205" s="827">
        <v>1392</v>
      </c>
      <c r="G205" s="827">
        <v>1553</v>
      </c>
      <c r="H205" s="827">
        <v>1548</v>
      </c>
      <c r="I205" s="827">
        <v>1473</v>
      </c>
      <c r="J205" s="827">
        <v>1414</v>
      </c>
      <c r="K205" s="827">
        <v>1416</v>
      </c>
      <c r="L205" s="827">
        <v>1349</v>
      </c>
      <c r="M205" s="827">
        <v>1467</v>
      </c>
      <c r="N205" s="827">
        <v>1467</v>
      </c>
      <c r="O205" s="827">
        <v>1479</v>
      </c>
      <c r="P205" s="827">
        <v>1508</v>
      </c>
      <c r="Q205" s="827">
        <v>1475</v>
      </c>
      <c r="R205" s="827">
        <v>1489</v>
      </c>
      <c r="S205" s="827">
        <v>1519</v>
      </c>
      <c r="T205" s="827">
        <v>1519</v>
      </c>
      <c r="U205" s="827">
        <v>1547</v>
      </c>
      <c r="V205" s="827">
        <v>1520</v>
      </c>
      <c r="W205" s="827">
        <v>1589</v>
      </c>
      <c r="X205" s="827">
        <v>1559</v>
      </c>
      <c r="Y205" s="827">
        <v>1616</v>
      </c>
      <c r="Z205" s="827">
        <v>1612</v>
      </c>
      <c r="AA205" s="827">
        <v>1753</v>
      </c>
      <c r="AB205" s="827">
        <v>2461</v>
      </c>
      <c r="AC205" s="828">
        <v>1907</v>
      </c>
      <c r="AD205" s="828">
        <v>1889</v>
      </c>
      <c r="AE205" s="828">
        <v>1874</v>
      </c>
      <c r="AF205" s="828">
        <v>1769</v>
      </c>
      <c r="AG205" s="828">
        <v>1849</v>
      </c>
      <c r="AH205" s="828">
        <v>1780</v>
      </c>
      <c r="AI205" s="828">
        <v>1866</v>
      </c>
      <c r="AJ205" s="828">
        <v>1826</v>
      </c>
      <c r="AK205" s="828">
        <v>1772</v>
      </c>
      <c r="AL205" s="828">
        <v>1667</v>
      </c>
      <c r="AM205" s="828">
        <v>1720</v>
      </c>
      <c r="AN205" s="828">
        <v>1682</v>
      </c>
      <c r="AO205" s="828">
        <v>1928</v>
      </c>
      <c r="AP205" s="828">
        <v>1904</v>
      </c>
    </row>
    <row r="206" hidden="1">
      <c r="B206" s="829" t="s">
        <v>11</v>
      </c>
      <c r="C206" s="823">
        <v>1441</v>
      </c>
      <c r="D206" s="823">
        <v>1438</v>
      </c>
      <c r="E206" s="823">
        <v>1329</v>
      </c>
      <c r="F206" s="823">
        <v>1312</v>
      </c>
      <c r="G206" s="823">
        <v>1238</v>
      </c>
      <c r="H206" s="823">
        <v>1144</v>
      </c>
      <c r="I206" s="823">
        <v>1100</v>
      </c>
      <c r="J206" s="823">
        <v>1033</v>
      </c>
      <c r="K206" s="823">
        <v>1021</v>
      </c>
      <c r="L206" s="823">
        <v>993</v>
      </c>
      <c r="M206" s="823">
        <v>1027</v>
      </c>
      <c r="N206" s="823">
        <v>1069</v>
      </c>
      <c r="O206" s="823">
        <v>1090</v>
      </c>
      <c r="P206" s="823">
        <v>1106</v>
      </c>
      <c r="Q206" s="823">
        <v>1075</v>
      </c>
      <c r="R206" s="823">
        <v>1078</v>
      </c>
      <c r="S206" s="823">
        <v>1100</v>
      </c>
      <c r="T206" s="823">
        <v>1122</v>
      </c>
      <c r="U206" s="823">
        <v>1034</v>
      </c>
      <c r="V206" s="823">
        <v>1037</v>
      </c>
      <c r="W206" s="823">
        <v>1000</v>
      </c>
      <c r="X206" s="823">
        <v>1015</v>
      </c>
      <c r="Y206" s="823">
        <v>947</v>
      </c>
      <c r="Z206" s="823">
        <v>976</v>
      </c>
      <c r="AA206" s="823">
        <v>941</v>
      </c>
      <c r="AB206" s="823">
        <v>968</v>
      </c>
      <c r="AC206" s="825">
        <v>956</v>
      </c>
      <c r="AD206" s="825">
        <v>965</v>
      </c>
      <c r="AE206" s="825">
        <v>947</v>
      </c>
      <c r="AF206" s="825">
        <v>965</v>
      </c>
      <c r="AG206" s="825">
        <v>881</v>
      </c>
      <c r="AH206" s="825">
        <v>936</v>
      </c>
      <c r="AI206" s="825">
        <v>908</v>
      </c>
      <c r="AJ206" s="825">
        <v>929</v>
      </c>
      <c r="AK206" s="825">
        <v>949</v>
      </c>
      <c r="AL206" s="825">
        <v>987</v>
      </c>
      <c r="AM206" s="825">
        <v>1021</v>
      </c>
      <c r="AN206" s="825">
        <v>1053</v>
      </c>
      <c r="AO206" s="825">
        <v>979</v>
      </c>
      <c r="AP206" s="825">
        <v>1002</v>
      </c>
    </row>
    <row r="207" hidden="1">
      <c r="B207" s="826" t="s">
        <v>12</v>
      </c>
      <c r="C207" s="827">
        <v>8221</v>
      </c>
      <c r="D207" s="827">
        <v>8762</v>
      </c>
      <c r="E207" s="827">
        <v>8665</v>
      </c>
      <c r="F207" s="827">
        <v>8899</v>
      </c>
      <c r="G207" s="827">
        <v>9200</v>
      </c>
      <c r="H207" s="827">
        <v>9044</v>
      </c>
      <c r="I207" s="827">
        <v>9042</v>
      </c>
      <c r="J207" s="827">
        <v>7745</v>
      </c>
      <c r="K207" s="827">
        <v>8330</v>
      </c>
      <c r="L207" s="827">
        <v>7987</v>
      </c>
      <c r="M207" s="827">
        <v>7813</v>
      </c>
      <c r="N207" s="827">
        <v>7848</v>
      </c>
      <c r="O207" s="827">
        <v>7322</v>
      </c>
      <c r="P207" s="827">
        <v>7253</v>
      </c>
      <c r="Q207" s="827">
        <v>7123</v>
      </c>
      <c r="R207" s="827">
        <v>6719</v>
      </c>
      <c r="S207" s="827">
        <v>6011</v>
      </c>
      <c r="T207" s="827">
        <v>5682</v>
      </c>
      <c r="U207" s="827">
        <v>5228</v>
      </c>
      <c r="V207" s="827">
        <v>5058</v>
      </c>
      <c r="W207" s="827">
        <v>5023</v>
      </c>
      <c r="X207" s="827">
        <v>5045</v>
      </c>
      <c r="Y207" s="827">
        <v>5194</v>
      </c>
      <c r="Z207" s="827">
        <v>5172</v>
      </c>
      <c r="AA207" s="827">
        <v>5309</v>
      </c>
      <c r="AB207" s="827">
        <v>5376</v>
      </c>
      <c r="AC207" s="828">
        <v>5519</v>
      </c>
      <c r="AD207" s="828">
        <v>5598</v>
      </c>
      <c r="AE207" s="828">
        <v>5694</v>
      </c>
      <c r="AF207" s="828">
        <v>5524</v>
      </c>
      <c r="AG207" s="828">
        <v>5707</v>
      </c>
      <c r="AH207" s="828">
        <v>5774</v>
      </c>
      <c r="AI207" s="828">
        <v>5781</v>
      </c>
      <c r="AJ207" s="828">
        <v>5762</v>
      </c>
      <c r="AK207" s="828">
        <v>5480</v>
      </c>
      <c r="AL207" s="828">
        <v>5540</v>
      </c>
      <c r="AM207" s="828">
        <v>5557</v>
      </c>
      <c r="AN207" s="828">
        <v>5153</v>
      </c>
      <c r="AO207" s="828">
        <v>3631</v>
      </c>
      <c r="AP207" s="828">
        <v>3925</v>
      </c>
    </row>
    <row r="208" hidden="1">
      <c r="B208" s="829" t="s">
        <v>13</v>
      </c>
      <c r="C208" s="823">
        <v>720</v>
      </c>
      <c r="D208" s="823">
        <v>963</v>
      </c>
      <c r="E208" s="823">
        <v>1188</v>
      </c>
      <c r="F208" s="823">
        <v>1387</v>
      </c>
      <c r="G208" s="823">
        <v>1515</v>
      </c>
      <c r="H208" s="823">
        <v>1452</v>
      </c>
      <c r="I208" s="823">
        <v>1314</v>
      </c>
      <c r="J208" s="823">
        <v>1765</v>
      </c>
      <c r="K208" s="823">
        <v>1575</v>
      </c>
      <c r="L208" s="823">
        <v>1650</v>
      </c>
      <c r="M208" s="823">
        <v>2316</v>
      </c>
      <c r="N208" s="823">
        <v>1161</v>
      </c>
      <c r="O208" s="823">
        <v>1308</v>
      </c>
      <c r="P208" s="823">
        <v>1074</v>
      </c>
      <c r="Q208" s="823">
        <v>1295</v>
      </c>
      <c r="R208" s="823">
        <v>1051</v>
      </c>
      <c r="S208" s="823">
        <v>944</v>
      </c>
      <c r="T208" s="823">
        <v>921</v>
      </c>
      <c r="U208" s="823">
        <v>1551</v>
      </c>
      <c r="V208" s="823">
        <v>1656</v>
      </c>
      <c r="W208" s="823">
        <v>1775</v>
      </c>
      <c r="X208" s="823">
        <v>1898</v>
      </c>
      <c r="Y208" s="823">
        <v>1340</v>
      </c>
      <c r="Z208" s="823">
        <v>1484</v>
      </c>
      <c r="AA208" s="823">
        <v>1340</v>
      </c>
      <c r="AB208" s="823">
        <v>1332</v>
      </c>
      <c r="AC208" s="825">
        <v>1269</v>
      </c>
      <c r="AD208" s="825">
        <v>1291</v>
      </c>
      <c r="AE208" s="825">
        <v>1228</v>
      </c>
      <c r="AF208" s="825">
        <v>1264</v>
      </c>
      <c r="AG208" s="825">
        <v>1249</v>
      </c>
      <c r="AH208" s="825">
        <v>1243</v>
      </c>
      <c r="AI208" s="825">
        <v>1353</v>
      </c>
      <c r="AJ208" s="825">
        <v>1329</v>
      </c>
      <c r="AK208" s="825">
        <v>1310</v>
      </c>
      <c r="AL208" s="825">
        <v>1297</v>
      </c>
      <c r="AM208" s="825">
        <v>1189</v>
      </c>
      <c r="AN208" s="825">
        <v>1280</v>
      </c>
      <c r="AO208" s="825">
        <v>1635</v>
      </c>
      <c r="AP208" s="825">
        <v>1582</v>
      </c>
    </row>
    <row r="209" hidden="1">
      <c r="B209" s="826" t="s">
        <v>109</v>
      </c>
      <c r="C209" s="827">
        <v>14088</v>
      </c>
      <c r="D209" s="827">
        <v>14383</v>
      </c>
      <c r="E209" s="827">
        <v>12853</v>
      </c>
      <c r="F209" s="827">
        <v>12710</v>
      </c>
      <c r="G209" s="827">
        <v>12152</v>
      </c>
      <c r="H209" s="827">
        <v>12062</v>
      </c>
      <c r="I209" s="827">
        <v>11797</v>
      </c>
      <c r="J209" s="827">
        <v>11551</v>
      </c>
      <c r="K209" s="827">
        <v>11489</v>
      </c>
      <c r="L209" s="827">
        <v>11484</v>
      </c>
      <c r="M209" s="827">
        <v>11166</v>
      </c>
      <c r="N209" s="827">
        <v>11056</v>
      </c>
      <c r="O209" s="827">
        <v>10977</v>
      </c>
      <c r="P209" s="827">
        <v>10811</v>
      </c>
      <c r="Q209" s="827">
        <v>11070</v>
      </c>
      <c r="R209" s="827">
        <v>10890</v>
      </c>
      <c r="S209" s="827">
        <v>11166</v>
      </c>
      <c r="T209" s="827">
        <v>11180</v>
      </c>
      <c r="U209" s="827">
        <v>12231</v>
      </c>
      <c r="V209" s="827">
        <v>12303</v>
      </c>
      <c r="W209" s="827">
        <v>12797</v>
      </c>
      <c r="X209" s="827">
        <v>12674</v>
      </c>
      <c r="Y209" s="827">
        <v>12902</v>
      </c>
      <c r="Z209" s="827">
        <v>12579</v>
      </c>
      <c r="AA209" s="827">
        <v>12767</v>
      </c>
      <c r="AB209" s="827">
        <v>12647</v>
      </c>
      <c r="AC209" s="828">
        <v>12095</v>
      </c>
      <c r="AD209" s="828">
        <v>12056</v>
      </c>
      <c r="AE209" s="828">
        <v>12116</v>
      </c>
      <c r="AF209" s="828">
        <v>12054</v>
      </c>
      <c r="AG209" s="828">
        <v>12261</v>
      </c>
      <c r="AH209" s="828">
        <v>12100</v>
      </c>
      <c r="AI209" s="828">
        <v>11964</v>
      </c>
      <c r="AJ209" s="828">
        <v>11162</v>
      </c>
      <c r="AK209" s="828">
        <v>10840</v>
      </c>
      <c r="AL209" s="828">
        <v>10747</v>
      </c>
      <c r="AM209" s="828">
        <v>10623</v>
      </c>
      <c r="AN209" s="828">
        <v>10535</v>
      </c>
      <c r="AO209" s="828">
        <v>10723</v>
      </c>
      <c r="AP209" s="828">
        <v>9972</v>
      </c>
    </row>
    <row r="210" hidden="1">
      <c r="B210" s="829" t="s">
        <v>110</v>
      </c>
      <c r="C210" s="823">
        <v>3916</v>
      </c>
      <c r="D210" s="823">
        <v>3957</v>
      </c>
      <c r="E210" s="823">
        <v>4553</v>
      </c>
      <c r="F210" s="823">
        <v>4623</v>
      </c>
      <c r="G210" s="823">
        <v>4930</v>
      </c>
      <c r="H210" s="823">
        <v>4957</v>
      </c>
      <c r="I210" s="823">
        <v>4830</v>
      </c>
      <c r="J210" s="823">
        <v>4540</v>
      </c>
      <c r="K210" s="823">
        <v>4850</v>
      </c>
      <c r="L210" s="823">
        <v>4740</v>
      </c>
      <c r="M210" s="823">
        <v>4729</v>
      </c>
      <c r="N210" s="823">
        <v>4643</v>
      </c>
      <c r="O210" s="823">
        <v>4225</v>
      </c>
      <c r="P210" s="823">
        <v>4101</v>
      </c>
      <c r="Q210" s="823">
        <v>4270</v>
      </c>
      <c r="R210" s="823">
        <v>4214</v>
      </c>
      <c r="S210" s="823">
        <v>4333</v>
      </c>
      <c r="T210" s="823">
        <v>4299</v>
      </c>
      <c r="U210" s="823">
        <v>4217</v>
      </c>
      <c r="V210" s="823">
        <v>4212</v>
      </c>
      <c r="W210" s="823">
        <v>4451</v>
      </c>
      <c r="X210" s="823">
        <v>4450</v>
      </c>
      <c r="Y210" s="823">
        <v>4591</v>
      </c>
      <c r="Z210" s="823">
        <v>4553</v>
      </c>
      <c r="AA210" s="823">
        <v>4848</v>
      </c>
      <c r="AB210" s="823">
        <v>4832</v>
      </c>
      <c r="AC210" s="825">
        <v>5279</v>
      </c>
      <c r="AD210" s="825">
        <v>5265</v>
      </c>
      <c r="AE210" s="825">
        <v>5691</v>
      </c>
      <c r="AF210" s="825">
        <v>5519</v>
      </c>
      <c r="AG210" s="825">
        <v>5617</v>
      </c>
      <c r="AH210" s="825">
        <v>5616</v>
      </c>
      <c r="AI210" s="825">
        <v>5687</v>
      </c>
      <c r="AJ210" s="825">
        <v>5693</v>
      </c>
      <c r="AK210" s="825">
        <v>5930</v>
      </c>
      <c r="AL210" s="825">
        <v>5616</v>
      </c>
      <c r="AM210" s="825">
        <v>5147</v>
      </c>
      <c r="AN210" s="825">
        <v>5172</v>
      </c>
      <c r="AO210" s="825">
        <v>4356</v>
      </c>
      <c r="AP210" s="825">
        <v>4118</v>
      </c>
    </row>
    <row r="211" hidden="1">
      <c r="B211" s="826" t="s">
        <v>16</v>
      </c>
      <c r="C211" s="827">
        <v>3160</v>
      </c>
      <c r="D211" s="827">
        <v>3509</v>
      </c>
      <c r="E211" s="827">
        <v>3550</v>
      </c>
      <c r="F211" s="827">
        <v>3516</v>
      </c>
      <c r="G211" s="827">
        <v>3500</v>
      </c>
      <c r="H211" s="827">
        <v>3475</v>
      </c>
      <c r="I211" s="827">
        <v>3237</v>
      </c>
      <c r="J211" s="827">
        <v>3209</v>
      </c>
      <c r="K211" s="827">
        <v>3053</v>
      </c>
      <c r="L211" s="827">
        <v>3038</v>
      </c>
      <c r="M211" s="827">
        <v>2926</v>
      </c>
      <c r="N211" s="827">
        <v>2890</v>
      </c>
      <c r="O211" s="827">
        <v>2951</v>
      </c>
      <c r="P211" s="827">
        <v>2625</v>
      </c>
      <c r="Q211" s="827">
        <v>2782</v>
      </c>
      <c r="R211" s="827">
        <v>2714</v>
      </c>
      <c r="S211" s="827">
        <v>2776</v>
      </c>
      <c r="T211" s="827">
        <v>2674</v>
      </c>
      <c r="U211" s="827">
        <v>3111</v>
      </c>
      <c r="V211" s="827">
        <v>3125</v>
      </c>
      <c r="W211" s="827">
        <v>3125</v>
      </c>
      <c r="X211" s="827">
        <v>3125</v>
      </c>
      <c r="Y211" s="827">
        <v>3125</v>
      </c>
      <c r="Z211" s="827">
        <v>3125</v>
      </c>
      <c r="AA211" s="827">
        <v>3231</v>
      </c>
      <c r="AB211" s="827">
        <v>3228</v>
      </c>
      <c r="AC211" s="828">
        <v>3169</v>
      </c>
      <c r="AD211" s="828">
        <v>3145</v>
      </c>
      <c r="AE211" s="828">
        <v>3245</v>
      </c>
      <c r="AF211" s="828">
        <v>4632</v>
      </c>
      <c r="AG211" s="828">
        <v>3468</v>
      </c>
      <c r="AH211" s="828">
        <v>3363</v>
      </c>
      <c r="AI211" s="828">
        <v>3296</v>
      </c>
      <c r="AJ211" s="828">
        <v>3306</v>
      </c>
      <c r="AK211" s="828">
        <v>3339</v>
      </c>
      <c r="AL211" s="828">
        <v>3323</v>
      </c>
      <c r="AM211" s="828">
        <v>3384</v>
      </c>
      <c r="AN211" s="828">
        <v>3354</v>
      </c>
      <c r="AO211" s="828">
        <v>1545</v>
      </c>
      <c r="AP211" s="828">
        <v>1561</v>
      </c>
    </row>
    <row r="212" hidden="1">
      <c r="B212" s="829" t="s">
        <v>17</v>
      </c>
      <c r="C212" s="823">
        <v>11185</v>
      </c>
      <c r="D212" s="823">
        <v>11020</v>
      </c>
      <c r="E212" s="823">
        <v>10985</v>
      </c>
      <c r="F212" s="823">
        <v>11047</v>
      </c>
      <c r="G212" s="823">
        <v>11196</v>
      </c>
      <c r="H212" s="823">
        <v>10556</v>
      </c>
      <c r="I212" s="823">
        <v>10557</v>
      </c>
      <c r="J212" s="823">
        <v>10758</v>
      </c>
      <c r="K212" s="823">
        <v>11403</v>
      </c>
      <c r="L212" s="823">
        <v>10367</v>
      </c>
      <c r="M212" s="823">
        <v>9906</v>
      </c>
      <c r="N212" s="823">
        <v>9880</v>
      </c>
      <c r="O212" s="823">
        <v>9533</v>
      </c>
      <c r="P212" s="823">
        <v>9157</v>
      </c>
      <c r="Q212" s="823">
        <v>8909</v>
      </c>
      <c r="R212" s="823">
        <v>8958</v>
      </c>
      <c r="S212" s="823">
        <v>9088</v>
      </c>
      <c r="T212" s="823">
        <v>9295</v>
      </c>
      <c r="U212" s="823">
        <v>9812</v>
      </c>
      <c r="V212" s="823">
        <v>9890</v>
      </c>
      <c r="W212" s="823">
        <v>10364</v>
      </c>
      <c r="X212" s="823">
        <v>10184</v>
      </c>
      <c r="Y212" s="823">
        <v>10237</v>
      </c>
      <c r="Z212" s="823">
        <v>10318</v>
      </c>
      <c r="AA212" s="823">
        <v>10112</v>
      </c>
      <c r="AB212" s="823">
        <v>10007</v>
      </c>
      <c r="AC212" s="825">
        <v>9675</v>
      </c>
      <c r="AD212" s="825">
        <v>9548</v>
      </c>
      <c r="AE212" s="825">
        <v>9322</v>
      </c>
      <c r="AF212" s="825">
        <v>9354</v>
      </c>
      <c r="AG212" s="825">
        <v>9251</v>
      </c>
      <c r="AH212" s="825">
        <v>9182</v>
      </c>
      <c r="AI212" s="825">
        <v>9055</v>
      </c>
      <c r="AJ212" s="825">
        <v>8991</v>
      </c>
      <c r="AK212" s="825">
        <v>8218</v>
      </c>
      <c r="AL212" s="825">
        <v>8087</v>
      </c>
      <c r="AM212" s="825">
        <v>7660</v>
      </c>
      <c r="AN212" s="825">
        <v>7622</v>
      </c>
      <c r="AO212" s="825">
        <v>6334</v>
      </c>
      <c r="AP212" s="825">
        <v>5530</v>
      </c>
    </row>
    <row r="213" hidden="1">
      <c r="B213" s="826" t="s">
        <v>18</v>
      </c>
      <c r="C213" s="827">
        <v>2895</v>
      </c>
      <c r="D213" s="827">
        <v>2994</v>
      </c>
      <c r="E213" s="827">
        <v>3100</v>
      </c>
      <c r="F213" s="827">
        <v>3162</v>
      </c>
      <c r="G213" s="827">
        <v>3061</v>
      </c>
      <c r="H213" s="827">
        <v>3083</v>
      </c>
      <c r="I213" s="827">
        <v>2956</v>
      </c>
      <c r="J213" s="827">
        <v>2918</v>
      </c>
      <c r="K213" s="827">
        <v>2863</v>
      </c>
      <c r="L213" s="827">
        <v>2930</v>
      </c>
      <c r="M213" s="827">
        <v>3424</v>
      </c>
      <c r="N213" s="827">
        <v>3202</v>
      </c>
      <c r="O213" s="827">
        <v>3086</v>
      </c>
      <c r="P213" s="827">
        <v>3121</v>
      </c>
      <c r="Q213" s="827">
        <v>3115</v>
      </c>
      <c r="R213" s="827">
        <v>3139</v>
      </c>
      <c r="S213" s="827">
        <v>3119</v>
      </c>
      <c r="T213" s="827">
        <v>3139</v>
      </c>
      <c r="U213" s="827">
        <v>3197</v>
      </c>
      <c r="V213" s="827">
        <v>3247</v>
      </c>
      <c r="W213" s="827">
        <v>3290</v>
      </c>
      <c r="X213" s="827">
        <v>3229</v>
      </c>
      <c r="Y213" s="827">
        <v>3155</v>
      </c>
      <c r="Z213" s="827">
        <v>3080</v>
      </c>
      <c r="AA213" s="827">
        <v>2931</v>
      </c>
      <c r="AB213" s="827">
        <v>2971</v>
      </c>
      <c r="AC213" s="828">
        <v>2935</v>
      </c>
      <c r="AD213" s="828">
        <v>3005</v>
      </c>
      <c r="AE213" s="828">
        <v>3064</v>
      </c>
      <c r="AF213" s="828">
        <v>2987</v>
      </c>
      <c r="AG213" s="828">
        <v>2864</v>
      </c>
      <c r="AH213" s="828">
        <v>2837</v>
      </c>
      <c r="AI213" s="828">
        <v>2692</v>
      </c>
      <c r="AJ213" s="828">
        <v>2634</v>
      </c>
      <c r="AK213" s="828">
        <v>2644</v>
      </c>
      <c r="AL213" s="828">
        <v>2660</v>
      </c>
      <c r="AM213" s="828">
        <v>2711</v>
      </c>
      <c r="AN213" s="828">
        <v>2668</v>
      </c>
      <c r="AO213" s="828">
        <v>2411</v>
      </c>
      <c r="AP213" s="828">
        <v>2307</v>
      </c>
    </row>
    <row r="214" hidden="1">
      <c r="B214" s="829" t="s">
        <v>19</v>
      </c>
      <c r="C214" s="823">
        <v>431</v>
      </c>
      <c r="D214" s="823">
        <v>444</v>
      </c>
      <c r="E214" s="823">
        <v>533</v>
      </c>
      <c r="F214" s="823">
        <v>577</v>
      </c>
      <c r="G214" s="823">
        <v>749</v>
      </c>
      <c r="H214" s="823">
        <v>656</v>
      </c>
      <c r="I214" s="823">
        <v>683</v>
      </c>
      <c r="J214" s="823">
        <v>744</v>
      </c>
      <c r="K214" s="823">
        <v>730</v>
      </c>
      <c r="L214" s="823">
        <v>581</v>
      </c>
      <c r="M214" s="823">
        <v>721</v>
      </c>
      <c r="N214" s="823">
        <v>743</v>
      </c>
      <c r="O214" s="823">
        <v>725</v>
      </c>
      <c r="P214" s="823">
        <v>909</v>
      </c>
      <c r="Q214" s="823">
        <v>809</v>
      </c>
      <c r="R214" s="823">
        <v>810</v>
      </c>
      <c r="S214" s="823">
        <v>777</v>
      </c>
      <c r="T214" s="823">
        <v>790</v>
      </c>
      <c r="U214" s="823">
        <v>894</v>
      </c>
      <c r="V214" s="823">
        <v>911</v>
      </c>
      <c r="W214" s="823">
        <v>986</v>
      </c>
      <c r="X214" s="823">
        <v>1001</v>
      </c>
      <c r="Y214" s="823">
        <v>1005</v>
      </c>
      <c r="Z214" s="823">
        <v>1002</v>
      </c>
      <c r="AA214" s="823">
        <v>1001</v>
      </c>
      <c r="AB214" s="823">
        <v>1021</v>
      </c>
      <c r="AC214" s="825">
        <v>1076</v>
      </c>
      <c r="AD214" s="825">
        <v>1077</v>
      </c>
      <c r="AE214" s="825">
        <v>1135</v>
      </c>
      <c r="AF214" s="825">
        <v>1148</v>
      </c>
      <c r="AG214" s="825">
        <v>1061</v>
      </c>
      <c r="AH214" s="825">
        <v>1041</v>
      </c>
      <c r="AI214" s="825">
        <v>988</v>
      </c>
      <c r="AJ214" s="825">
        <v>850</v>
      </c>
      <c r="AK214" s="825">
        <v>1074</v>
      </c>
      <c r="AL214" s="825">
        <v>1078</v>
      </c>
      <c r="AM214" s="825">
        <v>1583</v>
      </c>
      <c r="AN214" s="825">
        <v>1586</v>
      </c>
      <c r="AO214" s="825">
        <v>946</v>
      </c>
      <c r="AP214" s="825">
        <v>887</v>
      </c>
    </row>
    <row r="215" hidden="1">
      <c r="B215" s="826" t="s">
        <v>20</v>
      </c>
      <c r="C215" s="827">
        <v>7171</v>
      </c>
      <c r="D215" s="827">
        <v>3873</v>
      </c>
      <c r="E215" s="827">
        <v>5233</v>
      </c>
      <c r="F215" s="827">
        <v>3858</v>
      </c>
      <c r="G215" s="827">
        <v>4285</v>
      </c>
      <c r="H215" s="827">
        <v>4486</v>
      </c>
      <c r="I215" s="827">
        <v>5405</v>
      </c>
      <c r="J215" s="827">
        <v>6379</v>
      </c>
      <c r="K215" s="827">
        <v>5752</v>
      </c>
      <c r="L215" s="827">
        <v>6370</v>
      </c>
      <c r="M215" s="827">
        <v>5966</v>
      </c>
      <c r="N215" s="827">
        <v>5929</v>
      </c>
      <c r="O215" s="827">
        <v>6056</v>
      </c>
      <c r="P215" s="827">
        <v>6763</v>
      </c>
      <c r="Q215" s="827">
        <v>6547</v>
      </c>
      <c r="R215" s="827">
        <v>6858</v>
      </c>
      <c r="S215" s="827">
        <v>6962</v>
      </c>
      <c r="T215" s="827">
        <v>7400</v>
      </c>
      <c r="U215" s="827">
        <v>7641</v>
      </c>
      <c r="V215" s="827">
        <v>8045</v>
      </c>
      <c r="W215" s="827">
        <v>8287</v>
      </c>
      <c r="X215" s="827">
        <v>8681</v>
      </c>
      <c r="Y215" s="827">
        <v>6790</v>
      </c>
      <c r="Z215" s="827">
        <v>6694</v>
      </c>
      <c r="AA215" s="827">
        <v>6558</v>
      </c>
      <c r="AB215" s="827">
        <v>6486</v>
      </c>
      <c r="AC215" s="828">
        <v>6482</v>
      </c>
      <c r="AD215" s="828">
        <v>6348</v>
      </c>
      <c r="AE215" s="828">
        <v>6140</v>
      </c>
      <c r="AF215" s="828">
        <v>6031</v>
      </c>
      <c r="AG215" s="828">
        <v>6100</v>
      </c>
      <c r="AH215" s="828">
        <v>6042</v>
      </c>
      <c r="AI215" s="828">
        <v>6335</v>
      </c>
      <c r="AJ215" s="828">
        <v>6232</v>
      </c>
      <c r="AK215" s="828">
        <v>6075</v>
      </c>
      <c r="AL215" s="828">
        <v>5983</v>
      </c>
      <c r="AM215" s="828">
        <v>6227</v>
      </c>
      <c r="AN215" s="828">
        <v>5904</v>
      </c>
      <c r="AO215" s="828">
        <v>5569</v>
      </c>
      <c r="AP215" s="828">
        <v>6110</v>
      </c>
    </row>
    <row r="216" hidden="1">
      <c r="B216" s="829" t="s">
        <v>21</v>
      </c>
      <c r="C216" s="823">
        <v>341</v>
      </c>
      <c r="D216" s="823">
        <v>253</v>
      </c>
      <c r="E216" s="823">
        <v>430</v>
      </c>
      <c r="F216" s="823">
        <v>371</v>
      </c>
      <c r="G216" s="823">
        <v>535</v>
      </c>
      <c r="H216" s="823">
        <v>540</v>
      </c>
      <c r="I216" s="823">
        <v>578</v>
      </c>
      <c r="J216" s="823">
        <v>590</v>
      </c>
      <c r="K216" s="823">
        <v>832</v>
      </c>
      <c r="L216" s="823">
        <v>810</v>
      </c>
      <c r="M216" s="823">
        <v>756</v>
      </c>
      <c r="N216" s="823">
        <v>759</v>
      </c>
      <c r="O216" s="823">
        <v>819</v>
      </c>
      <c r="P216" s="823">
        <v>813</v>
      </c>
      <c r="Q216" s="823">
        <v>860</v>
      </c>
      <c r="R216" s="823">
        <v>866</v>
      </c>
      <c r="S216" s="823">
        <v>944</v>
      </c>
      <c r="T216" s="823">
        <v>926</v>
      </c>
      <c r="U216" s="823">
        <v>955</v>
      </c>
      <c r="V216" s="823">
        <v>937</v>
      </c>
      <c r="W216" s="823">
        <v>1044</v>
      </c>
      <c r="X216" s="823">
        <v>1044</v>
      </c>
      <c r="Y216" s="823">
        <v>1244</v>
      </c>
      <c r="Z216" s="823">
        <v>1236</v>
      </c>
      <c r="AA216" s="823">
        <v>1257</v>
      </c>
      <c r="AB216" s="823">
        <v>1263</v>
      </c>
      <c r="AC216" s="825">
        <v>1258</v>
      </c>
      <c r="AD216" s="825">
        <v>1260</v>
      </c>
      <c r="AE216" s="825">
        <v>1335</v>
      </c>
      <c r="AF216" s="825">
        <v>1322</v>
      </c>
      <c r="AG216" s="825">
        <v>1425</v>
      </c>
      <c r="AH216" s="825">
        <v>1504</v>
      </c>
      <c r="AI216" s="825">
        <v>1495</v>
      </c>
      <c r="AJ216" s="825">
        <v>1479</v>
      </c>
      <c r="AK216" s="825">
        <v>1521</v>
      </c>
      <c r="AL216" s="825">
        <v>1479</v>
      </c>
      <c r="AM216" s="825">
        <v>1447</v>
      </c>
      <c r="AN216" s="825">
        <v>1403</v>
      </c>
      <c r="AO216" s="825">
        <v>1163</v>
      </c>
      <c r="AP216" s="825">
        <v>1093</v>
      </c>
    </row>
    <row r="217" hidden="1">
      <c r="B217" s="826" t="s">
        <v>22</v>
      </c>
      <c r="C217" s="827">
        <v>1175</v>
      </c>
      <c r="D217" s="827">
        <v>1131</v>
      </c>
      <c r="E217" s="827">
        <v>1478</v>
      </c>
      <c r="F217" s="827">
        <v>1512</v>
      </c>
      <c r="G217" s="827">
        <v>1481</v>
      </c>
      <c r="H217" s="827">
        <v>1552</v>
      </c>
      <c r="I217" s="827">
        <v>1512</v>
      </c>
      <c r="J217" s="827">
        <v>1476</v>
      </c>
      <c r="K217" s="827">
        <v>2328</v>
      </c>
      <c r="L217" s="827">
        <v>1418</v>
      </c>
      <c r="M217" s="827">
        <v>2114</v>
      </c>
      <c r="N217" s="827">
        <v>2154</v>
      </c>
      <c r="O217" s="827">
        <v>2354</v>
      </c>
      <c r="P217" s="827">
        <v>2367</v>
      </c>
      <c r="Q217" s="827">
        <v>2262</v>
      </c>
      <c r="R217" s="827">
        <v>2375</v>
      </c>
      <c r="S217" s="827">
        <v>2409</v>
      </c>
      <c r="T217" s="827">
        <v>7909</v>
      </c>
      <c r="U217" s="827">
        <v>4125</v>
      </c>
      <c r="V217" s="827">
        <v>4126</v>
      </c>
      <c r="W217" s="827">
        <v>3741</v>
      </c>
      <c r="X217" s="827">
        <v>3653</v>
      </c>
      <c r="Y217" s="827">
        <v>3177</v>
      </c>
      <c r="Z217" s="827">
        <v>3185</v>
      </c>
      <c r="AA217" s="827">
        <v>3018</v>
      </c>
      <c r="AB217" s="827">
        <v>2994</v>
      </c>
      <c r="AC217" s="828">
        <v>2789</v>
      </c>
      <c r="AD217" s="828">
        <v>2785</v>
      </c>
      <c r="AE217" s="828">
        <v>2627</v>
      </c>
      <c r="AF217" s="828">
        <v>2625</v>
      </c>
      <c r="AG217" s="828">
        <v>2627</v>
      </c>
      <c r="AH217" s="828">
        <v>2593</v>
      </c>
      <c r="AI217" s="828">
        <v>2494</v>
      </c>
      <c r="AJ217" s="828">
        <v>2487</v>
      </c>
      <c r="AK217" s="828">
        <v>2528</v>
      </c>
      <c r="AL217" s="828">
        <v>2503</v>
      </c>
      <c r="AM217" s="828">
        <v>2465</v>
      </c>
      <c r="AN217" s="828">
        <v>2481</v>
      </c>
      <c r="AO217" s="828">
        <v>2462</v>
      </c>
      <c r="AP217" s="828">
        <v>2403</v>
      </c>
    </row>
    <row r="218" hidden="1">
      <c r="B218" s="829" t="s">
        <v>23</v>
      </c>
      <c r="C218" s="823">
        <v>444</v>
      </c>
      <c r="D218" s="823">
        <v>444</v>
      </c>
      <c r="E218" s="823">
        <v>434</v>
      </c>
      <c r="F218" s="823">
        <v>427</v>
      </c>
      <c r="G218" s="823">
        <v>420</v>
      </c>
      <c r="H218" s="823">
        <v>422</v>
      </c>
      <c r="I218" s="823">
        <v>412</v>
      </c>
      <c r="J218" s="823">
        <v>403</v>
      </c>
      <c r="K218" s="823">
        <v>408</v>
      </c>
      <c r="L218" s="823">
        <v>405</v>
      </c>
      <c r="M218" s="823">
        <v>390</v>
      </c>
      <c r="N218" s="823">
        <v>391</v>
      </c>
      <c r="O218" s="823">
        <v>388</v>
      </c>
      <c r="P218" s="823">
        <v>380</v>
      </c>
      <c r="Q218" s="823">
        <v>497</v>
      </c>
      <c r="R218" s="823">
        <v>475</v>
      </c>
      <c r="S218" s="823">
        <v>541</v>
      </c>
      <c r="T218" s="823">
        <v>505</v>
      </c>
      <c r="U218" s="823">
        <v>514</v>
      </c>
      <c r="V218" s="823">
        <v>508</v>
      </c>
      <c r="W218" s="823">
        <v>494</v>
      </c>
      <c r="X218" s="823">
        <v>493</v>
      </c>
      <c r="Y218" s="823">
        <v>475</v>
      </c>
      <c r="Z218" s="823">
        <v>469</v>
      </c>
      <c r="AA218" s="823">
        <v>431</v>
      </c>
      <c r="AB218" s="823">
        <v>429</v>
      </c>
      <c r="AC218" s="825">
        <v>454</v>
      </c>
      <c r="AD218" s="825">
        <v>453</v>
      </c>
      <c r="AE218" s="825">
        <v>436</v>
      </c>
      <c r="AF218" s="825">
        <v>436</v>
      </c>
      <c r="AG218" s="825">
        <v>421</v>
      </c>
      <c r="AH218" s="825">
        <v>412</v>
      </c>
      <c r="AI218" s="825">
        <v>433</v>
      </c>
      <c r="AJ218" s="825">
        <v>404</v>
      </c>
      <c r="AK218" s="825">
        <v>399</v>
      </c>
      <c r="AL218" s="825">
        <v>397</v>
      </c>
      <c r="AM218" s="825">
        <v>379</v>
      </c>
      <c r="AN218" s="825">
        <v>365</v>
      </c>
      <c r="AO218" s="825">
        <v>347</v>
      </c>
      <c r="AP218" s="825">
        <v>307</v>
      </c>
    </row>
    <row r="219" hidden="1">
      <c r="B219" s="835" t="s">
        <v>24</v>
      </c>
      <c r="C219" s="827">
        <v>2764</v>
      </c>
      <c r="D219" s="827">
        <v>2734</v>
      </c>
      <c r="E219" s="827">
        <v>2795</v>
      </c>
      <c r="F219" s="827">
        <v>2795</v>
      </c>
      <c r="G219" s="827">
        <v>2693</v>
      </c>
      <c r="H219" s="827">
        <v>2647</v>
      </c>
      <c r="I219" s="827">
        <v>2516</v>
      </c>
      <c r="J219" s="827">
        <v>2495</v>
      </c>
      <c r="K219" s="827">
        <v>2569</v>
      </c>
      <c r="L219" s="827">
        <v>2541</v>
      </c>
      <c r="M219" s="827">
        <v>2433</v>
      </c>
      <c r="N219" s="827">
        <v>2351</v>
      </c>
      <c r="O219" s="827">
        <v>2381</v>
      </c>
      <c r="P219" s="827">
        <v>2345</v>
      </c>
      <c r="Q219" s="827">
        <v>2457</v>
      </c>
      <c r="R219" s="827">
        <v>2437</v>
      </c>
      <c r="S219" s="827">
        <v>2533</v>
      </c>
      <c r="T219" s="827">
        <v>2526</v>
      </c>
      <c r="U219" s="827">
        <v>2587</v>
      </c>
      <c r="V219" s="827">
        <v>2608</v>
      </c>
      <c r="W219" s="827">
        <v>2675</v>
      </c>
      <c r="X219" s="827">
        <v>2616</v>
      </c>
      <c r="Y219" s="827">
        <v>2653</v>
      </c>
      <c r="Z219" s="827">
        <v>2616</v>
      </c>
      <c r="AA219" s="827">
        <v>2771</v>
      </c>
      <c r="AB219" s="827">
        <v>2687</v>
      </c>
      <c r="AC219" s="828">
        <v>2794</v>
      </c>
      <c r="AD219" s="828">
        <v>2771</v>
      </c>
      <c r="AE219" s="828">
        <v>2851</v>
      </c>
      <c r="AF219" s="828">
        <v>2855</v>
      </c>
      <c r="AG219" s="828">
        <v>2644</v>
      </c>
      <c r="AH219" s="828">
        <v>2601</v>
      </c>
      <c r="AI219" s="828">
        <v>2756</v>
      </c>
      <c r="AJ219" s="828">
        <v>2639</v>
      </c>
      <c r="AK219" s="828">
        <v>2758</v>
      </c>
      <c r="AL219" s="828">
        <v>2714</v>
      </c>
      <c r="AM219" s="828">
        <v>2856</v>
      </c>
      <c r="AN219" s="828">
        <v>2795</v>
      </c>
      <c r="AO219" s="828">
        <v>2530</v>
      </c>
      <c r="AP219" s="828">
        <v>2692</v>
      </c>
    </row>
    <row r="220" hidden="1">
      <c r="B220" s="829" t="s">
        <v>25</v>
      </c>
      <c r="C220" s="823">
        <v>0</v>
      </c>
      <c r="D220" s="823">
        <v>0</v>
      </c>
      <c r="E220" s="823">
        <v>0</v>
      </c>
      <c r="F220" s="823">
        <v>0</v>
      </c>
      <c r="G220" s="823">
        <v>0</v>
      </c>
      <c r="H220" s="823">
        <v>0</v>
      </c>
      <c r="I220" s="823">
        <v>0</v>
      </c>
      <c r="J220" s="823">
        <v>0</v>
      </c>
      <c r="K220" s="823">
        <v>0</v>
      </c>
      <c r="L220" s="823">
        <v>0</v>
      </c>
      <c r="M220" s="823">
        <v>0</v>
      </c>
      <c r="N220" s="823">
        <v>0</v>
      </c>
      <c r="O220" s="823">
        <v>0</v>
      </c>
      <c r="P220" s="823">
        <v>0</v>
      </c>
      <c r="Q220" s="823">
        <v>0</v>
      </c>
      <c r="R220" s="823">
        <v>0</v>
      </c>
      <c r="S220" s="823">
        <v>0</v>
      </c>
      <c r="T220" s="823">
        <v>0</v>
      </c>
      <c r="U220" s="823">
        <v>0</v>
      </c>
      <c r="V220" s="823">
        <v>0</v>
      </c>
      <c r="W220" s="823">
        <v>0</v>
      </c>
      <c r="X220" s="823">
        <v>0</v>
      </c>
      <c r="Y220" s="823">
        <v>0</v>
      </c>
      <c r="Z220" s="823">
        <v>0</v>
      </c>
      <c r="AA220" s="823">
        <v>0</v>
      </c>
      <c r="AB220" s="823">
        <v>0</v>
      </c>
      <c r="AC220" s="825">
        <v>0</v>
      </c>
      <c r="AD220" s="825">
        <v>0</v>
      </c>
      <c r="AE220" s="825">
        <v>0</v>
      </c>
      <c r="AF220" s="825">
        <v>0</v>
      </c>
      <c r="AG220" s="825">
        <v>0</v>
      </c>
      <c r="AH220" s="825">
        <v>0</v>
      </c>
      <c r="AI220" s="825">
        <v>0</v>
      </c>
      <c r="AJ220" s="825">
        <v>0</v>
      </c>
      <c r="AK220" s="825">
        <v>0</v>
      </c>
      <c r="AL220" s="825">
        <v>0</v>
      </c>
      <c r="AM220" s="825">
        <v>0</v>
      </c>
      <c r="AN220" s="825">
        <v>0</v>
      </c>
      <c r="AO220" s="825">
        <v>2</v>
      </c>
      <c r="AP220" s="825">
        <v>7</v>
      </c>
    </row>
    <row r="221" hidden="1" ht="13.5">
      <c r="B221" s="836" t="s">
        <v>26</v>
      </c>
      <c r="C221" s="827">
        <v>0</v>
      </c>
      <c r="D221" s="827">
        <v>0</v>
      </c>
      <c r="E221" s="827">
        <v>0</v>
      </c>
      <c r="F221" s="827">
        <v>0</v>
      </c>
      <c r="G221" s="827">
        <v>0</v>
      </c>
      <c r="H221" s="827">
        <v>0</v>
      </c>
      <c r="I221" s="827">
        <v>0</v>
      </c>
      <c r="J221" s="827">
        <v>0</v>
      </c>
      <c r="K221" s="827">
        <v>0</v>
      </c>
      <c r="L221" s="827">
        <v>0</v>
      </c>
      <c r="M221" s="827">
        <v>0</v>
      </c>
      <c r="N221" s="827">
        <v>0</v>
      </c>
      <c r="O221" s="827">
        <v>0</v>
      </c>
      <c r="P221" s="827">
        <v>0</v>
      </c>
      <c r="Q221" s="827">
        <v>0</v>
      </c>
      <c r="R221" s="827">
        <v>0</v>
      </c>
      <c r="S221" s="827">
        <v>0</v>
      </c>
      <c r="T221" s="827">
        <v>0</v>
      </c>
      <c r="U221" s="827">
        <v>0</v>
      </c>
      <c r="V221" s="827">
        <v>0</v>
      </c>
      <c r="W221" s="827">
        <v>0</v>
      </c>
      <c r="X221" s="827">
        <v>0</v>
      </c>
      <c r="Y221" s="827">
        <v>0</v>
      </c>
      <c r="Z221" s="827">
        <v>0</v>
      </c>
      <c r="AA221" s="827">
        <v>0</v>
      </c>
      <c r="AB221" s="837">
        <v>0</v>
      </c>
      <c r="AC221" s="828">
        <v>0</v>
      </c>
      <c r="AD221" s="828">
        <v>0</v>
      </c>
      <c r="AE221" s="828">
        <v>0</v>
      </c>
      <c r="AF221" s="828">
        <v>0</v>
      </c>
      <c r="AG221" s="828">
        <v>0</v>
      </c>
      <c r="AH221" s="828">
        <v>0</v>
      </c>
      <c r="AI221" s="828">
        <v>0</v>
      </c>
      <c r="AJ221" s="828">
        <v>0</v>
      </c>
      <c r="AK221" s="828">
        <v>0</v>
      </c>
      <c r="AL221" s="828">
        <v>0</v>
      </c>
      <c r="AM221" s="828">
        <v>0</v>
      </c>
      <c r="AN221" s="828">
        <v>0</v>
      </c>
      <c r="AO221" s="828">
        <v>0</v>
      </c>
      <c r="AP221" s="828">
        <v>0</v>
      </c>
    </row>
    <row r="222" hidden="1" ht="13.5">
      <c r="B222" s="128" t="s">
        <v>7</v>
      </c>
      <c r="C222" s="129" t="str">
        <f>IF(SUM(C203:C221)&lt;&gt;0,SUM(C203:C221),"")</f>
      </c>
      <c r="D222" s="129" t="str">
        <f ref="D222:AA222" t="shared" si="15">IF(SUM(D203:D221)&lt;&gt;0,SUM(D203:D221),"")</f>
      </c>
      <c r="E222" s="129" t="str">
        <f t="shared" si="15"/>
      </c>
      <c r="F222" s="129" t="str">
        <f t="shared" si="15"/>
      </c>
      <c r="G222" s="129" t="str">
        <f t="shared" si="15"/>
      </c>
      <c r="H222" s="129" t="str">
        <f t="shared" si="15"/>
      </c>
      <c r="I222" s="129" t="str">
        <f t="shared" si="15"/>
      </c>
      <c r="J222" s="129" t="str">
        <f t="shared" si="15"/>
      </c>
      <c r="K222" s="129" t="str">
        <f t="shared" si="15"/>
      </c>
      <c r="L222" s="129" t="str">
        <f t="shared" si="15"/>
      </c>
      <c r="M222" s="129" t="str">
        <f t="shared" si="15"/>
      </c>
      <c r="N222" s="129" t="str">
        <f t="shared" si="15"/>
      </c>
      <c r="O222" s="129" t="str">
        <f t="shared" si="15"/>
      </c>
      <c r="P222" s="129" t="str">
        <f t="shared" si="15"/>
      </c>
      <c r="Q222" s="129" t="str">
        <f t="shared" si="15"/>
      </c>
      <c r="R222" s="129" t="str">
        <f t="shared" si="15"/>
      </c>
      <c r="S222" s="129" t="str">
        <f t="shared" si="15"/>
      </c>
      <c r="T222" s="129" t="str">
        <f t="shared" si="15"/>
      </c>
      <c r="U222" s="129" t="str">
        <f t="shared" si="15"/>
      </c>
      <c r="V222" s="129" t="str">
        <f t="shared" si="15"/>
      </c>
      <c r="W222" s="129" t="str">
        <f t="shared" si="15"/>
      </c>
      <c r="X222" s="129" t="str">
        <f t="shared" si="15"/>
      </c>
      <c r="Y222" s="129" t="str">
        <f t="shared" si="15"/>
      </c>
      <c r="Z222" s="129" t="str">
        <f t="shared" si="15"/>
      </c>
      <c r="AA222" s="129" t="str">
        <f t="shared" si="15"/>
      </c>
      <c r="AB222" s="130" t="str">
        <f>IF(SUM(AB203:AB221)&lt;&gt;0,SUM(AB203:AB221),"")</f>
      </c>
      <c r="AC222" s="91" t="str">
        <f ref="AC222:CN222" t="shared" si="16">IF(SUM(AC203:AC221)&lt;&gt;0,SUM(AC203:AC221),"")</f>
      </c>
      <c r="AD222" s="91" t="str">
        <f t="shared" si="16"/>
      </c>
      <c r="AE222" s="91" t="str">
        <f t="shared" si="16"/>
      </c>
      <c r="AF222" s="91" t="str">
        <f t="shared" si="16"/>
      </c>
      <c r="AG222" s="91" t="str">
        <f t="shared" si="16"/>
      </c>
      <c r="AH222" s="91" t="str">
        <f t="shared" si="16"/>
      </c>
      <c r="AI222" s="91" t="str">
        <f t="shared" si="16"/>
      </c>
      <c r="AJ222" s="91" t="str">
        <f t="shared" si="16"/>
      </c>
      <c r="AK222" s="91" t="str">
        <f t="shared" si="16"/>
      </c>
      <c r="AL222" s="91" t="str">
        <f t="shared" si="16"/>
      </c>
      <c r="AM222" s="91" t="str">
        <f t="shared" si="16"/>
      </c>
      <c r="AN222" s="91" t="str">
        <f t="shared" si="16"/>
      </c>
      <c r="AO222" s="91" t="str">
        <f t="shared" si="16"/>
      </c>
      <c r="AP222" s="91" t="str">
        <f t="shared" si="16"/>
      </c>
      <c r="AQ222" s="91" t="str">
        <f t="shared" si="16"/>
      </c>
      <c r="AR222" s="91" t="str">
        <f t="shared" si="16"/>
      </c>
      <c r="AS222" s="91" t="str">
        <f t="shared" si="16"/>
      </c>
      <c r="AT222" s="91" t="str">
        <f t="shared" si="16"/>
      </c>
      <c r="AU222" s="91" t="str">
        <f t="shared" si="16"/>
      </c>
      <c r="AV222" s="91" t="str">
        <f t="shared" si="16"/>
      </c>
      <c r="AW222" s="91" t="str">
        <f t="shared" si="16"/>
      </c>
      <c r="AX222" s="91" t="str">
        <f t="shared" si="16"/>
      </c>
      <c r="AY222" s="91" t="str">
        <f t="shared" si="16"/>
      </c>
      <c r="AZ222" s="91" t="str">
        <f t="shared" si="16"/>
      </c>
      <c r="BA222" s="91" t="str">
        <f t="shared" si="16"/>
      </c>
      <c r="BB222" s="91" t="str">
        <f t="shared" si="16"/>
      </c>
      <c r="BC222" s="91" t="str">
        <f t="shared" si="16"/>
      </c>
      <c r="BD222" s="91" t="str">
        <f t="shared" si="16"/>
      </c>
      <c r="BE222" s="91" t="str">
        <f t="shared" si="16"/>
      </c>
      <c r="BF222" s="91" t="str">
        <f t="shared" si="16"/>
      </c>
      <c r="BG222" s="91" t="str">
        <f t="shared" si="16"/>
      </c>
      <c r="BH222" s="91" t="str">
        <f t="shared" si="16"/>
      </c>
      <c r="BI222" s="91" t="str">
        <f t="shared" si="16"/>
      </c>
      <c r="BJ222" s="91" t="str">
        <f t="shared" si="16"/>
      </c>
      <c r="BK222" s="91" t="str">
        <f t="shared" si="16"/>
      </c>
      <c r="BL222" s="91" t="str">
        <f t="shared" si="16"/>
      </c>
      <c r="BM222" s="91" t="str">
        <f t="shared" si="16"/>
      </c>
      <c r="BN222" s="91" t="str">
        <f t="shared" si="16"/>
      </c>
      <c r="BO222" s="91" t="str">
        <f t="shared" si="16"/>
      </c>
      <c r="BP222" s="91" t="str">
        <f t="shared" si="16"/>
      </c>
      <c r="BQ222" s="91" t="str">
        <f t="shared" si="16"/>
      </c>
      <c r="BR222" s="91" t="str">
        <f t="shared" si="16"/>
      </c>
      <c r="BS222" s="91" t="str">
        <f t="shared" si="16"/>
      </c>
      <c r="BT222" s="91" t="str">
        <f t="shared" si="16"/>
      </c>
      <c r="BU222" s="91" t="str">
        <f t="shared" si="16"/>
      </c>
      <c r="BV222" s="91" t="str">
        <f t="shared" si="16"/>
      </c>
      <c r="BW222" s="91" t="str">
        <f t="shared" si="16"/>
      </c>
      <c r="BX222" s="91" t="str">
        <f t="shared" si="16"/>
      </c>
      <c r="BY222" s="91" t="str">
        <f t="shared" si="16"/>
      </c>
      <c r="BZ222" s="91" t="str">
        <f t="shared" si="16"/>
      </c>
      <c r="CA222" s="91" t="str">
        <f t="shared" si="16"/>
      </c>
      <c r="CB222" s="91" t="str">
        <f t="shared" si="16"/>
      </c>
      <c r="CC222" s="91" t="str">
        <f t="shared" si="16"/>
      </c>
      <c r="CD222" s="91" t="str">
        <f t="shared" si="16"/>
      </c>
      <c r="CE222" s="91" t="str">
        <f t="shared" si="16"/>
      </c>
      <c r="CF222" s="91" t="str">
        <f t="shared" si="16"/>
      </c>
      <c r="CG222" s="91" t="str">
        <f t="shared" si="16"/>
      </c>
      <c r="CH222" s="91" t="str">
        <f t="shared" si="16"/>
      </c>
      <c r="CI222" s="91" t="str">
        <f t="shared" si="16"/>
      </c>
      <c r="CJ222" s="91" t="str">
        <f t="shared" si="16"/>
      </c>
      <c r="CK222" s="91" t="str">
        <f t="shared" si="16"/>
      </c>
      <c r="CL222" s="91" t="str">
        <f t="shared" si="16"/>
      </c>
      <c r="CM222" s="91" t="str">
        <f t="shared" si="16"/>
      </c>
      <c r="CN222" s="91" t="str">
        <f t="shared" si="16"/>
      </c>
      <c r="CO222" s="91" t="str">
        <f ref="CO222:EZ222" t="shared" si="17">IF(SUM(CO203:CO221)&lt;&gt;0,SUM(CO203:CO221),"")</f>
      </c>
      <c r="CP222" s="91" t="str">
        <f t="shared" si="17"/>
      </c>
      <c r="CQ222" s="91" t="str">
        <f t="shared" si="17"/>
      </c>
      <c r="CR222" s="91" t="str">
        <f t="shared" si="17"/>
      </c>
      <c r="CS222" s="91" t="str">
        <f t="shared" si="17"/>
      </c>
      <c r="CT222" s="91" t="str">
        <f t="shared" si="17"/>
      </c>
      <c r="CU222" s="91" t="str">
        <f t="shared" si="17"/>
      </c>
      <c r="CV222" s="91" t="str">
        <f t="shared" si="17"/>
      </c>
      <c r="CW222" s="91" t="str">
        <f t="shared" si="17"/>
      </c>
      <c r="CX222" s="91" t="str">
        <f t="shared" si="17"/>
      </c>
      <c r="CY222" s="91" t="str">
        <f t="shared" si="17"/>
      </c>
      <c r="CZ222" s="91" t="str">
        <f t="shared" si="17"/>
      </c>
      <c r="DA222" s="91" t="str">
        <f t="shared" si="17"/>
      </c>
      <c r="DB222" s="91" t="str">
        <f t="shared" si="17"/>
      </c>
      <c r="DC222" s="91" t="str">
        <f t="shared" si="17"/>
      </c>
      <c r="DD222" s="91" t="str">
        <f t="shared" si="17"/>
      </c>
      <c r="DE222" s="91" t="str">
        <f t="shared" si="17"/>
      </c>
      <c r="DF222" s="91" t="str">
        <f t="shared" si="17"/>
      </c>
      <c r="DG222" s="91" t="str">
        <f t="shared" si="17"/>
      </c>
      <c r="DH222" s="91" t="str">
        <f t="shared" si="17"/>
      </c>
      <c r="DI222" s="91" t="str">
        <f t="shared" si="17"/>
      </c>
      <c r="DJ222" s="91" t="str">
        <f t="shared" si="17"/>
      </c>
      <c r="DK222" s="91" t="str">
        <f t="shared" si="17"/>
      </c>
      <c r="DL222" s="91" t="str">
        <f t="shared" si="17"/>
      </c>
      <c r="DM222" s="91" t="str">
        <f t="shared" si="17"/>
      </c>
      <c r="DN222" s="91" t="str">
        <f t="shared" si="17"/>
      </c>
      <c r="DO222" s="91" t="str">
        <f t="shared" si="17"/>
      </c>
      <c r="DP222" s="91" t="str">
        <f t="shared" si="17"/>
      </c>
      <c r="DQ222" s="91" t="str">
        <f t="shared" si="17"/>
      </c>
      <c r="DR222" s="91" t="str">
        <f t="shared" si="17"/>
      </c>
      <c r="DS222" s="91" t="str">
        <f t="shared" si="17"/>
      </c>
      <c r="DT222" s="91" t="str">
        <f t="shared" si="17"/>
      </c>
      <c r="DU222" s="91" t="str">
        <f t="shared" si="17"/>
      </c>
      <c r="DV222" s="91" t="str">
        <f t="shared" si="17"/>
      </c>
      <c r="DW222" s="91" t="str">
        <f t="shared" si="17"/>
      </c>
      <c r="DX222" s="91" t="str">
        <f t="shared" si="17"/>
      </c>
      <c r="DY222" s="91" t="str">
        <f t="shared" si="17"/>
      </c>
      <c r="DZ222" s="91" t="str">
        <f t="shared" si="17"/>
      </c>
      <c r="EA222" s="91" t="str">
        <f t="shared" si="17"/>
      </c>
      <c r="EB222" s="91" t="str">
        <f t="shared" si="17"/>
      </c>
      <c r="EC222" s="91" t="str">
        <f t="shared" si="17"/>
      </c>
      <c r="ED222" s="91" t="str">
        <f t="shared" si="17"/>
      </c>
      <c r="EE222" s="91" t="str">
        <f t="shared" si="17"/>
      </c>
      <c r="EF222" s="91" t="str">
        <f t="shared" si="17"/>
      </c>
      <c r="EG222" s="91" t="str">
        <f t="shared" si="17"/>
      </c>
      <c r="EH222" s="91" t="str">
        <f t="shared" si="17"/>
      </c>
      <c r="EI222" s="91" t="str">
        <f t="shared" si="17"/>
      </c>
      <c r="EJ222" s="91" t="str">
        <f t="shared" si="17"/>
      </c>
      <c r="EK222" s="91" t="str">
        <f t="shared" si="17"/>
      </c>
      <c r="EL222" s="91" t="str">
        <f t="shared" si="17"/>
      </c>
      <c r="EM222" s="91" t="str">
        <f t="shared" si="17"/>
      </c>
      <c r="EN222" s="91" t="str">
        <f t="shared" si="17"/>
      </c>
      <c r="EO222" s="91" t="str">
        <f t="shared" si="17"/>
      </c>
      <c r="EP222" s="91" t="str">
        <f t="shared" si="17"/>
      </c>
      <c r="EQ222" s="91" t="str">
        <f t="shared" si="17"/>
      </c>
      <c r="ER222" s="91" t="str">
        <f t="shared" si="17"/>
      </c>
      <c r="ES222" s="91" t="str">
        <f t="shared" si="17"/>
      </c>
      <c r="ET222" s="91" t="str">
        <f t="shared" si="17"/>
      </c>
      <c r="EU222" s="91" t="str">
        <f t="shared" si="17"/>
      </c>
      <c r="EV222" s="91" t="str">
        <f t="shared" si="17"/>
      </c>
      <c r="EW222" s="91" t="str">
        <f t="shared" si="17"/>
      </c>
      <c r="EX222" s="91" t="str">
        <f t="shared" si="17"/>
      </c>
      <c r="EY222" s="91" t="str">
        <f t="shared" si="17"/>
      </c>
      <c r="EZ222" s="91" t="str">
        <f t="shared" si="17"/>
      </c>
      <c r="FA222" s="91" t="str">
        <f ref="FA222:HL222" t="shared" si="18">IF(SUM(FA203:FA221)&lt;&gt;0,SUM(FA203:FA221),"")</f>
      </c>
      <c r="FB222" s="91" t="str">
        <f t="shared" si="18"/>
      </c>
      <c r="FC222" s="91" t="str">
        <f t="shared" si="18"/>
      </c>
      <c r="FD222" s="91" t="str">
        <f t="shared" si="18"/>
      </c>
      <c r="FE222" s="91" t="str">
        <f t="shared" si="18"/>
      </c>
      <c r="FF222" s="91" t="str">
        <f t="shared" si="18"/>
      </c>
      <c r="FG222" s="91" t="str">
        <f t="shared" si="18"/>
      </c>
      <c r="FH222" s="91" t="str">
        <f t="shared" si="18"/>
      </c>
      <c r="FI222" s="91" t="str">
        <f t="shared" si="18"/>
      </c>
      <c r="FJ222" s="91" t="str">
        <f t="shared" si="18"/>
      </c>
      <c r="FK222" s="91" t="str">
        <f t="shared" si="18"/>
      </c>
      <c r="FL222" s="91" t="str">
        <f t="shared" si="18"/>
      </c>
      <c r="FM222" s="91" t="str">
        <f t="shared" si="18"/>
      </c>
      <c r="FN222" s="91" t="str">
        <f t="shared" si="18"/>
      </c>
      <c r="FO222" s="91" t="str">
        <f t="shared" si="18"/>
      </c>
      <c r="FP222" s="91" t="str">
        <f t="shared" si="18"/>
      </c>
      <c r="FQ222" s="91" t="str">
        <f t="shared" si="18"/>
      </c>
      <c r="FR222" s="91" t="str">
        <f t="shared" si="18"/>
      </c>
      <c r="FS222" s="91" t="str">
        <f t="shared" si="18"/>
      </c>
      <c r="FT222" s="91" t="str">
        <f t="shared" si="18"/>
      </c>
      <c r="FU222" s="91" t="str">
        <f t="shared" si="18"/>
      </c>
      <c r="FV222" s="91" t="str">
        <f t="shared" si="18"/>
      </c>
      <c r="FW222" s="91" t="str">
        <f t="shared" si="18"/>
      </c>
      <c r="FX222" s="91" t="str">
        <f t="shared" si="18"/>
      </c>
      <c r="FY222" s="91" t="str">
        <f t="shared" si="18"/>
      </c>
      <c r="FZ222" s="91" t="str">
        <f t="shared" si="18"/>
      </c>
      <c r="GA222" s="91" t="str">
        <f t="shared" si="18"/>
      </c>
      <c r="GB222" s="91" t="str">
        <f t="shared" si="18"/>
      </c>
      <c r="GC222" s="91" t="str">
        <f t="shared" si="18"/>
      </c>
      <c r="GD222" s="91" t="str">
        <f t="shared" si="18"/>
      </c>
      <c r="GE222" s="91" t="str">
        <f t="shared" si="18"/>
      </c>
      <c r="GF222" s="91" t="str">
        <f t="shared" si="18"/>
      </c>
      <c r="GG222" s="91" t="str">
        <f t="shared" si="18"/>
      </c>
      <c r="GH222" s="91" t="str">
        <f t="shared" si="18"/>
      </c>
      <c r="GI222" s="91" t="str">
        <f t="shared" si="18"/>
      </c>
      <c r="GJ222" s="91" t="str">
        <f t="shared" si="18"/>
      </c>
      <c r="GK222" s="91" t="str">
        <f t="shared" si="18"/>
      </c>
      <c r="GL222" s="91" t="str">
        <f t="shared" si="18"/>
      </c>
      <c r="GM222" s="91" t="str">
        <f t="shared" si="18"/>
      </c>
      <c r="GN222" s="91" t="str">
        <f t="shared" si="18"/>
      </c>
      <c r="GO222" s="91" t="str">
        <f t="shared" si="18"/>
      </c>
      <c r="GP222" s="91" t="str">
        <f t="shared" si="18"/>
      </c>
      <c r="GQ222" s="91" t="str">
        <f t="shared" si="18"/>
      </c>
      <c r="GR222" s="91" t="str">
        <f t="shared" si="18"/>
      </c>
      <c r="GS222" s="91" t="str">
        <f t="shared" si="18"/>
      </c>
      <c r="GT222" s="91" t="str">
        <f t="shared" si="18"/>
      </c>
      <c r="GU222" s="91" t="str">
        <f t="shared" si="18"/>
      </c>
      <c r="GV222" s="91" t="str">
        <f t="shared" si="18"/>
      </c>
      <c r="GW222" s="91" t="str">
        <f t="shared" si="18"/>
      </c>
      <c r="GX222" s="91" t="str">
        <f t="shared" si="18"/>
      </c>
      <c r="GY222" s="91" t="str">
        <f t="shared" si="18"/>
      </c>
      <c r="GZ222" s="91" t="str">
        <f t="shared" si="18"/>
      </c>
      <c r="HA222" s="91" t="str">
        <f t="shared" si="18"/>
      </c>
      <c r="HB222" s="91" t="str">
        <f t="shared" si="18"/>
      </c>
      <c r="HC222" s="91" t="str">
        <f t="shared" si="18"/>
      </c>
      <c r="HD222" s="91" t="str">
        <f t="shared" si="18"/>
      </c>
      <c r="HE222" s="91" t="str">
        <f t="shared" si="18"/>
      </c>
      <c r="HF222" s="91" t="str">
        <f t="shared" si="18"/>
      </c>
      <c r="HG222" s="91" t="str">
        <f t="shared" si="18"/>
      </c>
      <c r="HH222" s="91" t="str">
        <f t="shared" si="18"/>
      </c>
      <c r="HI222" s="91" t="str">
        <f t="shared" si="18"/>
      </c>
      <c r="HJ222" s="91" t="str">
        <f t="shared" si="18"/>
      </c>
      <c r="HK222" s="91" t="str">
        <f t="shared" si="18"/>
      </c>
      <c r="HL222" s="91" t="str">
        <f t="shared" si="18"/>
      </c>
      <c r="HM222" s="91" t="str">
        <f ref="HM222:IV222" t="shared" si="19">IF(SUM(HM203:HM221)&lt;&gt;0,SUM(HM203:HM221),"")</f>
      </c>
      <c r="HN222" s="91" t="str">
        <f t="shared" si="19"/>
      </c>
      <c r="HO222" s="91" t="str">
        <f t="shared" si="19"/>
      </c>
      <c r="HP222" s="91" t="str">
        <f t="shared" si="19"/>
      </c>
      <c r="HQ222" s="91" t="str">
        <f t="shared" si="19"/>
      </c>
      <c r="HR222" s="91" t="str">
        <f t="shared" si="19"/>
      </c>
      <c r="HS222" s="91" t="str">
        <f t="shared" si="19"/>
      </c>
      <c r="HT222" s="91" t="str">
        <f t="shared" si="19"/>
      </c>
      <c r="HU222" s="91" t="str">
        <f t="shared" si="19"/>
      </c>
      <c r="HV222" s="91" t="str">
        <f t="shared" si="19"/>
      </c>
      <c r="HW222" s="91" t="str">
        <f t="shared" si="19"/>
      </c>
      <c r="HX222" s="91" t="str">
        <f t="shared" si="19"/>
      </c>
      <c r="HY222" s="91" t="str">
        <f t="shared" si="19"/>
      </c>
      <c r="HZ222" s="91" t="str">
        <f t="shared" si="19"/>
      </c>
      <c r="IA222" s="91" t="str">
        <f t="shared" si="19"/>
      </c>
      <c r="IB222" s="91" t="str">
        <f t="shared" si="19"/>
      </c>
      <c r="IC222" s="91" t="str">
        <f t="shared" si="19"/>
      </c>
      <c r="ID222" s="91" t="str">
        <f t="shared" si="19"/>
      </c>
      <c r="IE222" s="91" t="str">
        <f t="shared" si="19"/>
      </c>
      <c r="IF222" s="91" t="str">
        <f t="shared" si="19"/>
      </c>
      <c r="IG222" s="91" t="str">
        <f t="shared" si="19"/>
      </c>
      <c r="IH222" s="91" t="str">
        <f t="shared" si="19"/>
      </c>
      <c r="II222" s="91" t="str">
        <f t="shared" si="19"/>
      </c>
      <c r="IJ222" s="91" t="str">
        <f t="shared" si="19"/>
      </c>
      <c r="IK222" s="91" t="str">
        <f t="shared" si="19"/>
      </c>
      <c r="IL222" s="91" t="str">
        <f t="shared" si="19"/>
      </c>
      <c r="IM222" s="91" t="str">
        <f t="shared" si="19"/>
      </c>
      <c r="IN222" s="91" t="str">
        <f t="shared" si="19"/>
      </c>
      <c r="IO222" s="91" t="str">
        <f t="shared" si="19"/>
      </c>
      <c r="IP222" s="91" t="str">
        <f t="shared" si="19"/>
      </c>
      <c r="IQ222" s="91" t="str">
        <f t="shared" si="19"/>
      </c>
      <c r="IR222" s="91" t="str">
        <f t="shared" si="19"/>
      </c>
      <c r="IS222" s="91" t="str">
        <f t="shared" si="19"/>
      </c>
      <c r="IT222" s="91" t="str">
        <f t="shared" si="19"/>
      </c>
      <c r="IU222" s="91" t="str">
        <f t="shared" si="19"/>
      </c>
      <c r="IV222" s="91" t="str">
        <f t="shared" si="19"/>
      </c>
    </row>
    <row r="223" hidden="1" ht="13.5">
      <c r="N223" s="284"/>
    </row>
    <row r="224" hidden="1" ht="13.5">
      <c r="A224" s="50"/>
      <c r="B224" s="50"/>
      <c r="C224" s="686" t="s">
        <v>7</v>
      </c>
      <c r="D224" s="687"/>
      <c r="E224" s="687"/>
      <c r="F224" s="687"/>
      <c r="G224" s="687"/>
      <c r="H224" s="687"/>
      <c r="I224" s="687"/>
      <c r="J224" s="687"/>
      <c r="K224" s="687"/>
      <c r="L224" s="687"/>
      <c r="M224" s="687"/>
      <c r="N224" s="687"/>
      <c r="O224" s="687"/>
      <c r="P224" s="687"/>
      <c r="Q224" s="687"/>
      <c r="R224" s="687"/>
      <c r="S224" s="687"/>
      <c r="T224" s="687"/>
      <c r="U224" s="687"/>
      <c r="V224" s="687"/>
      <c r="W224" s="687"/>
      <c r="X224" s="687"/>
      <c r="Y224" s="687"/>
      <c r="Z224" s="687"/>
      <c r="AA224" s="687"/>
      <c r="AB224" s="688"/>
    </row>
    <row r="225" hidden="1" ht="13.5">
      <c r="A225" s="216"/>
      <c r="C225" s="435" t="str">
        <f> IF(C245&lt;&gt;"",TEXT(AUX!G$1,"dd-MMM-aa"),"")</f>
      </c>
      <c r="D225" s="435" t="str">
        <f> IF(D245&lt;&gt;"",TEXT(AUX!H$1,"dd-MMM-aa"),"")</f>
      </c>
      <c r="E225" s="435" t="str">
        <f> IF(E245&lt;&gt;"",TEXT(AUX!I$1,"dd-MMM-aa"),"")</f>
      </c>
      <c r="F225" s="435" t="str">
        <f> IF(F245&lt;&gt;"",TEXT(AUX!J$1,"dd-MMM-aa"),"")</f>
      </c>
      <c r="G225" s="435" t="str">
        <f> IF(G245&lt;&gt;"",TEXT(AUX!K$1,"dd-MMM-aa"),"")</f>
      </c>
      <c r="H225" s="435" t="str">
        <f> IF(H245&lt;&gt;"",TEXT(AUX!L$1,"dd-MMM-aa"),"")</f>
      </c>
      <c r="I225" s="435" t="str">
        <f> IF(I245&lt;&gt;"",TEXT(AUX!M$1,"dd-MMM-aa"),"")</f>
      </c>
      <c r="J225" s="435" t="str">
        <f> IF(J245&lt;&gt;"",TEXT(AUX!N$1,"dd-MMM-aa"),"")</f>
      </c>
      <c r="K225" s="435" t="str">
        <f> IF(K245&lt;&gt;"",TEXT(AUX!O$1,"dd-MMM-aa"),"")</f>
      </c>
      <c r="L225" s="435" t="str">
        <f> IF(L245&lt;&gt;"",TEXT(AUX!P$1,"dd-MMM-aa"),"")</f>
      </c>
      <c r="M225" s="435" t="str">
        <f> IF(M245&lt;&gt;"",TEXT(AUX!Q$1,"dd-MMM-aa"),"")</f>
      </c>
      <c r="N225" s="435" t="str">
        <f> IF(N245&lt;&gt;"",TEXT(AUX!R$1,"dd-MMM-aa"),"")</f>
      </c>
      <c r="O225" s="435" t="str">
        <f> IF(O245&lt;&gt;"",TEXT(AUX!S$1,"dd-MMM-aa"),"")</f>
      </c>
      <c r="P225" s="435" t="str">
        <f> IF(P245&lt;&gt;"",TEXT(AUX!T$1,"dd-MMM-aa"),"")</f>
      </c>
      <c r="Q225" s="435" t="str">
        <f> IF(Q245&lt;&gt;"",TEXT(AUX!U$1,"dd-MMM-aa"),"")</f>
      </c>
      <c r="R225" s="435" t="str">
        <f> IF(R245&lt;&gt;"",TEXT(AUX!V$1,"dd-MMM-aa"),"")</f>
      </c>
      <c r="S225" s="435" t="str">
        <f> IF(S245&lt;&gt;"",TEXT(AUX!W$1,"dd-MMM-aa"),"")</f>
      </c>
      <c r="T225" s="435" t="str">
        <f> IF(T245&lt;&gt;"",TEXT(AUX!X$1,"dd-MMM-aa"),"")</f>
      </c>
      <c r="U225" s="435" t="str">
        <f> IF(U245&lt;&gt;"",TEXT(AUX!Y$1,"dd-MMM-aa"),"")</f>
      </c>
      <c r="V225" s="435" t="str">
        <f> IF(V245&lt;&gt;"",TEXT(AUX!Z$1,"dd-MMM-aa"),"")</f>
      </c>
      <c r="W225" s="435" t="str">
        <f> IF(W245&lt;&gt;"",TEXT(AUX!AA$1,"dd-MMM-aa"),"")</f>
      </c>
      <c r="X225" s="435" t="str">
        <f> IF(X245&lt;&gt;"",TEXT(AUX!AB$1,"dd-MMM-aa"),"")</f>
      </c>
      <c r="Y225" s="435" t="str">
        <f> IF(Y245&lt;&gt;"",TEXT(AUX!AC$1,"dd-MMM-aa"),"")</f>
      </c>
      <c r="Z225" s="435" t="str">
        <f> IF(Z245&lt;&gt;"",TEXT(AUX!AD$1,"dd-MMM-aa"),"")</f>
      </c>
      <c r="AA225" s="435" t="str">
        <f> IF(AA245&lt;&gt;"",TEXT(AUX!AE$1,"dd-MMM-aa"),"")</f>
      </c>
      <c r="AB225" s="497" t="str">
        <f> IF(AB245&lt;&gt;"",TEXT(AUX!AF$1,"dd-MMM-aa"),"")</f>
      </c>
      <c r="AC225" s="496" t="str">
        <f> IF(AC245&lt;&gt;"",TEXT(AUX!AG$1,"dd-MMM-aa"),"")</f>
      </c>
      <c r="AD225" s="496" t="str">
        <f> IF(AD245&lt;&gt;"",TEXT(AUX!AH$1,"dd-MMM-aa"),"")</f>
      </c>
      <c r="AE225" s="496" t="str">
        <f> IF(AE245&lt;&gt;"",TEXT(AUX!AI$1,"dd-MMM-aa"),"")</f>
      </c>
      <c r="AF225" s="496" t="str">
        <f> IF(AF245&lt;&gt;"",TEXT(AUX!AJ$1,"dd-MMM-aa"),"")</f>
      </c>
      <c r="AG225" s="496" t="str">
        <f> IF(AG245&lt;&gt;"",TEXT(AUX!AK$1,"dd-MMM-aa"),"")</f>
      </c>
      <c r="AH225" s="496" t="str">
        <f> IF(AH245&lt;&gt;"",TEXT(AUX!AL$1,"dd-MMM-aa"),"")</f>
      </c>
      <c r="AI225" s="496" t="str">
        <f> IF(AI245&lt;&gt;"",TEXT(AUX!AM$1,"dd-MMM-aa"),"")</f>
      </c>
      <c r="AJ225" s="496" t="str">
        <f> IF(AJ245&lt;&gt;"",TEXT(AUX!AN$1,"dd-MMM-aa"),"")</f>
      </c>
      <c r="AK225" s="496" t="str">
        <f> IF(AK245&lt;&gt;"",TEXT(AUX!AO$1,"dd-MMM-aa"),"")</f>
      </c>
      <c r="AL225" s="496" t="str">
        <f> IF(AL245&lt;&gt;"",TEXT(AUX!AP$1,"dd-MMM-aa"),"")</f>
      </c>
      <c r="AM225" s="496" t="str">
        <f> IF(AM245&lt;&gt;"",TEXT(AUX!AQ$1,"dd-MMM-aa"),"")</f>
      </c>
      <c r="AN225" s="496" t="str">
        <f> IF(AN245&lt;&gt;"",TEXT(AUX!AR$1,"dd-MMM-aa"),"")</f>
      </c>
      <c r="AO225" s="496" t="str">
        <f> IF(AO245&lt;&gt;"",TEXT(AUX!AS$1,"dd-MMM-aa"),"")</f>
      </c>
      <c r="AP225" s="496" t="str">
        <f> IF(AP245&lt;&gt;"",TEXT(AUX!AT$1,"dd-MMM-aa"),"")</f>
      </c>
      <c r="AQ225" s="496" t="str">
        <f> IF(AQ245&lt;&gt;"",TEXT(AUX!AU$1,"dd-MMM-aa"),"")</f>
      </c>
      <c r="AR225" s="496" t="str">
        <f> IF(AR245&lt;&gt;"",TEXT(AUX!AV$1,"dd-MMM-aa"),"")</f>
      </c>
      <c r="AS225" s="496" t="str">
        <f> IF(AS245&lt;&gt;"",TEXT(AUX!AW$1,"dd-MMM-aa"),"")</f>
      </c>
      <c r="AT225" s="496" t="str">
        <f> IF(AT245&lt;&gt;"",TEXT(AUX!AX$1,"dd-MMM-aa"),"")</f>
      </c>
      <c r="AU225" s="496" t="str">
        <f> IF(AU245&lt;&gt;"",TEXT(AUX!AY$1,"dd-MMM-aa"),"")</f>
      </c>
      <c r="AV225" s="496" t="str">
        <f> IF(AV245&lt;&gt;"",TEXT(AUX!AZ$1,"dd-MMM-aa"),"")</f>
      </c>
      <c r="AW225" s="496" t="str">
        <f> IF(AW245&lt;&gt;"",TEXT(AUX!BA$1,"dd-MMM-aa"),"")</f>
      </c>
      <c r="AX225" s="496" t="str">
        <f> IF(AX245&lt;&gt;"",TEXT(AUX!BB$1,"dd-MMM-aa"),"")</f>
      </c>
      <c r="AY225" s="496" t="str">
        <f> IF(AY245&lt;&gt;"",TEXT(AUX!BC$1,"dd-MMM-aa"),"")</f>
      </c>
      <c r="AZ225" s="496" t="str">
        <f> IF(AZ245&lt;&gt;"",TEXT(AUX!BD$1,"dd-MMM-aa"),"")</f>
      </c>
      <c r="BA225" s="496" t="str">
        <f> IF(BA245&lt;&gt;"",TEXT(AUX!BE$1,"dd-MMM-aa"),"")</f>
      </c>
      <c r="BB225" s="496" t="str">
        <f> IF(BB245&lt;&gt;"",TEXT(AUX!BF$1,"dd-MMM-aa"),"")</f>
      </c>
      <c r="BC225" s="496" t="str">
        <f> IF(BC245&lt;&gt;"",TEXT(AUX!BG$1,"dd-MMM-aa"),"")</f>
      </c>
      <c r="BD225" s="496" t="str">
        <f> IF(BD245&lt;&gt;"",TEXT(AUX!BH$1,"dd-MMM-aa"),"")</f>
      </c>
      <c r="BE225" s="496" t="str">
        <f> IF(BE245&lt;&gt;"",TEXT(AUX!BI$1,"dd-MMM-aa"),"")</f>
      </c>
      <c r="BF225" s="496" t="str">
        <f> IF(BF245&lt;&gt;"",TEXT(AUX!BJ$1,"dd-MMM-aa"),"")</f>
      </c>
      <c r="BG225" s="496" t="str">
        <f> IF(BG245&lt;&gt;"",TEXT(AUX!BK$1,"dd-MMM-aa"),"")</f>
      </c>
      <c r="BH225" s="496" t="str">
        <f> IF(BH245&lt;&gt;"",TEXT(AUX!BL$1,"dd-MMM-aa"),"")</f>
      </c>
      <c r="BI225" s="496" t="str">
        <f> IF(BI245&lt;&gt;"",TEXT(AUX!BM$1,"dd-MMM-aa"),"")</f>
      </c>
      <c r="BJ225" s="496" t="str">
        <f> IF(BJ245&lt;&gt;"",TEXT(AUX!BN$1,"dd-MMM-aa"),"")</f>
      </c>
      <c r="BK225" s="496" t="str">
        <f> IF(BK245&lt;&gt;"",TEXT(AUX!BO$1,"dd-MMM-aa"),"")</f>
      </c>
      <c r="BL225" s="496" t="str">
        <f> IF(BL245&lt;&gt;"",TEXT(AUX!BP$1,"dd-MMM-aa"),"")</f>
      </c>
      <c r="BM225" s="496" t="str">
        <f> IF(BM245&lt;&gt;"",TEXT(AUX!BQ$1,"dd-MMM-aa"),"")</f>
      </c>
      <c r="BN225" s="496" t="str">
        <f> IF(BN245&lt;&gt;"",TEXT(AUX!BR$1,"dd-MMM-aa"),"")</f>
      </c>
      <c r="BO225" s="496" t="str">
        <f> IF(BO245&lt;&gt;"",TEXT(AUX!BS$1,"dd-MMM-aa"),"")</f>
      </c>
      <c r="BP225" s="496" t="str">
        <f> IF(BP245&lt;&gt;"",TEXT(AUX!BT$1,"dd-MMM-aa"),"")</f>
      </c>
      <c r="BQ225" s="496" t="str">
        <f> IF(BQ245&lt;&gt;"",TEXT(AUX!BU$1,"dd-MMM-aa"),"")</f>
      </c>
      <c r="BR225" s="496" t="str">
        <f> IF(BR245&lt;&gt;"",TEXT(AUX!BV$1,"dd-MMM-aa"),"")</f>
      </c>
      <c r="BS225" s="496" t="str">
        <f> IF(BS245&lt;&gt;"",TEXT(AUX!BW$1,"dd-MMM-aa"),"")</f>
      </c>
      <c r="BT225" s="496" t="str">
        <f> IF(BT245&lt;&gt;"",TEXT(AUX!BX$1,"dd-MMM-aa"),"")</f>
      </c>
      <c r="BU225" s="496" t="str">
        <f> IF(BU245&lt;&gt;"",TEXT(AUX!BY$1,"dd-MMM-aa"),"")</f>
      </c>
      <c r="BV225" s="496" t="str">
        <f> IF(BV245&lt;&gt;"",TEXT(AUX!BZ$1,"dd-MMM-aa"),"")</f>
      </c>
      <c r="BW225" s="496" t="str">
        <f> IF(BW245&lt;&gt;"",TEXT(AUX!CA$1,"dd-MMM-aa"),"")</f>
      </c>
      <c r="BX225" s="496" t="str">
        <f> IF(BX245&lt;&gt;"",TEXT(AUX!CB$1,"dd-MMM-aa"),"")</f>
      </c>
      <c r="BY225" s="496" t="str">
        <f> IF(BY245&lt;&gt;"",TEXT(AUX!CC$1,"dd-MMM-aa"),"")</f>
      </c>
      <c r="BZ225" s="496" t="str">
        <f> IF(BZ245&lt;&gt;"",TEXT(AUX!CD$1,"dd-MMM-aa"),"")</f>
      </c>
      <c r="CA225" s="496" t="str">
        <f> IF(CA245&lt;&gt;"",TEXT(AUX!CE$1,"dd-MMM-aa"),"")</f>
      </c>
      <c r="CB225" s="496" t="str">
        <f> IF(CB245&lt;&gt;"",TEXT(AUX!CF$1,"dd-MMM-aa"),"")</f>
      </c>
      <c r="CC225" s="496" t="str">
        <f> IF(CC245&lt;&gt;"",TEXT(AUX!CG$1,"dd-MMM-aa"),"")</f>
      </c>
      <c r="CD225" s="496" t="str">
        <f> IF(CD245&lt;&gt;"",TEXT(AUX!CH$1,"dd-MMM-aa"),"")</f>
      </c>
      <c r="CE225" s="496" t="str">
        <f> IF(CE245&lt;&gt;"",TEXT(AUX!CI$1,"dd-MMM-aa"),"")</f>
      </c>
      <c r="CF225" s="496" t="str">
        <f> IF(CF245&lt;&gt;"",TEXT(AUX!CJ$1,"dd-MMM-aa"),"")</f>
      </c>
      <c r="CG225" s="496" t="str">
        <f> IF(CG245&lt;&gt;"",TEXT(AUX!CK$1,"dd-MMM-aa"),"")</f>
      </c>
      <c r="CH225" s="496" t="str">
        <f> IF(CH245&lt;&gt;"",TEXT(AUX!CL$1,"dd-MMM-aa"),"")</f>
      </c>
      <c r="CI225" s="496" t="str">
        <f> IF(CI245&lt;&gt;"",TEXT(AUX!CM$1,"dd-MMM-aa"),"")</f>
      </c>
      <c r="CJ225" s="496" t="str">
        <f> IF(CJ245&lt;&gt;"",TEXT(AUX!CN$1,"dd-MMM-aa"),"")</f>
      </c>
      <c r="CK225" s="496" t="str">
        <f> IF(CK245&lt;&gt;"",TEXT(AUX!CO$1,"dd-MMM-aa"),"")</f>
      </c>
      <c r="CL225" s="496" t="str">
        <f> IF(CL245&lt;&gt;"",TEXT(AUX!CP$1,"dd-MMM-aa"),"")</f>
      </c>
      <c r="CM225" s="496" t="str">
        <f> IF(CM245&lt;&gt;"",TEXT(AUX!CQ$1,"dd-MMM-aa"),"")</f>
      </c>
      <c r="CN225" s="496" t="str">
        <f> IF(CN245&lt;&gt;"",TEXT(AUX!CR$1,"dd-MMM-aa"),"")</f>
      </c>
      <c r="CO225" s="496" t="str">
        <f> IF(CO245&lt;&gt;"",TEXT(AUX!CS$1,"dd-MMM-aa"),"")</f>
      </c>
      <c r="CP225" s="496" t="str">
        <f> IF(CP245&lt;&gt;"",TEXT(AUX!CT$1,"dd-MMM-aa"),"")</f>
      </c>
      <c r="CQ225" s="496" t="str">
        <f> IF(CQ245&lt;&gt;"",TEXT(AUX!CU$1,"dd-MMM-aa"),"")</f>
      </c>
      <c r="CR225" s="496" t="str">
        <f> IF(CR245&lt;&gt;"",TEXT(AUX!CV$1,"dd-MMM-aa"),"")</f>
      </c>
      <c r="CS225" s="496" t="str">
        <f> IF(CS245&lt;&gt;"",TEXT(AUX!CW$1,"dd-MMM-aa"),"")</f>
      </c>
      <c r="CT225" s="496" t="str">
        <f> IF(CT245&lt;&gt;"",TEXT(AUX!CX$1,"dd-MMM-aa"),"")</f>
      </c>
      <c r="CU225" s="496" t="str">
        <f> IF(CU245&lt;&gt;"",TEXT(AUX!CY$1,"dd-MMM-aa"),"")</f>
      </c>
      <c r="CV225" s="496" t="str">
        <f> IF(CV245&lt;&gt;"",TEXT(AUX!CZ$1,"dd-MMM-aa"),"")</f>
      </c>
      <c r="CW225" s="496" t="str">
        <f> IF(CW245&lt;&gt;"",TEXT(AUX!DA$1,"dd-MMM-aa"),"")</f>
      </c>
      <c r="CX225" s="496" t="str">
        <f> IF(CX245&lt;&gt;"",TEXT(AUX!DB$1,"dd-MMM-aa"),"")</f>
      </c>
      <c r="CY225" s="496" t="str">
        <f> IF(CY245&lt;&gt;"",TEXT(AUX!DC$1,"dd-MMM-aa"),"")</f>
      </c>
      <c r="CZ225" s="496" t="str">
        <f> IF(CZ245&lt;&gt;"",TEXT(AUX!DD$1,"dd-MMM-aa"),"")</f>
      </c>
      <c r="DA225" s="496" t="str">
        <f> IF(DA245&lt;&gt;"",TEXT(AUX!DE$1,"dd-MMM-aa"),"")</f>
      </c>
      <c r="DB225" s="496" t="str">
        <f> IF(DB245&lt;&gt;"",TEXT(AUX!DF$1,"dd-MMM-aa"),"")</f>
      </c>
      <c r="DC225" s="496" t="str">
        <f> IF(DC245&lt;&gt;"",TEXT(AUX!DG$1,"dd-MMM-aa"),"")</f>
      </c>
      <c r="DD225" s="496" t="str">
        <f> IF(DD245&lt;&gt;"",TEXT(AUX!DH$1,"dd-MMM-aa"),"")</f>
      </c>
      <c r="DE225" s="496" t="str">
        <f> IF(DE245&lt;&gt;"",TEXT(AUX!DI$1,"dd-MMM-aa"),"")</f>
      </c>
      <c r="DF225" s="496" t="str">
        <f> IF(DF245&lt;&gt;"",TEXT(AUX!DJ$1,"dd-MMM-aa"),"")</f>
      </c>
      <c r="DG225" s="496" t="str">
        <f> IF(DG245&lt;&gt;"",TEXT(AUX!DK$1,"dd-MMM-aa"),"")</f>
      </c>
      <c r="DH225" s="496" t="str">
        <f> IF(DH245&lt;&gt;"",TEXT(AUX!DL$1,"dd-MMM-aa"),"")</f>
      </c>
      <c r="DI225" s="496" t="str">
        <f> IF(DI245&lt;&gt;"",TEXT(AUX!DM$1,"dd-MMM-aa"),"")</f>
      </c>
      <c r="DJ225" s="496" t="str">
        <f> IF(DJ245&lt;&gt;"",TEXT(AUX!DN$1,"dd-MMM-aa"),"")</f>
      </c>
      <c r="DK225" s="496" t="str">
        <f> IF(DK245&lt;&gt;"",TEXT(AUX!DO$1,"dd-MMM-aa"),"")</f>
      </c>
      <c r="DL225" s="496" t="str">
        <f> IF(DL245&lt;&gt;"",TEXT(AUX!DP$1,"dd-MMM-aa"),"")</f>
      </c>
      <c r="DM225" s="496" t="str">
        <f> IF(DM245&lt;&gt;"",TEXT(AUX!DQ$1,"dd-MMM-aa"),"")</f>
      </c>
      <c r="DN225" s="496" t="str">
        <f> IF(DN245&lt;&gt;"",TEXT(AUX!DR$1,"dd-MMM-aa"),"")</f>
      </c>
      <c r="DO225" s="496" t="str">
        <f> IF(DO245&lt;&gt;"",TEXT(AUX!DS$1,"dd-MMM-aa"),"")</f>
      </c>
      <c r="DP225" s="496" t="str">
        <f> IF(DP245&lt;&gt;"",TEXT(AUX!DT$1,"dd-MMM-aa"),"")</f>
      </c>
      <c r="DQ225" s="496" t="str">
        <f> IF(DQ245&lt;&gt;"",TEXT(AUX!DU$1,"dd-MMM-aa"),"")</f>
      </c>
      <c r="DR225" s="496" t="str">
        <f> IF(DR245&lt;&gt;"",TEXT(AUX!DV$1,"dd-MMM-aa"),"")</f>
      </c>
      <c r="DS225" s="496" t="str">
        <f> IF(DS245&lt;&gt;"",TEXT(AUX!DW$1,"dd-MMM-aa"),"")</f>
      </c>
      <c r="DT225" s="496" t="str">
        <f> IF(DT245&lt;&gt;"",TEXT(AUX!DX$1,"dd-MMM-aa"),"")</f>
      </c>
      <c r="DU225" s="496" t="str">
        <f> IF(DU245&lt;&gt;"",TEXT(AUX!DY$1,"dd-MMM-aa"),"")</f>
      </c>
      <c r="DV225" s="496" t="str">
        <f> IF(DV245&lt;&gt;"",TEXT(AUX!DZ$1,"dd-MMM-aa"),"")</f>
      </c>
      <c r="DW225" s="496" t="str">
        <f> IF(DW245&lt;&gt;"",TEXT(AUX!EA$1,"dd-MMM-aa"),"")</f>
      </c>
      <c r="DX225" s="496" t="str">
        <f> IF(DX245&lt;&gt;"",TEXT(AUX!EB$1,"dd-MMM-aa"),"")</f>
      </c>
      <c r="DY225" s="496" t="str">
        <f> IF(DY245&lt;&gt;"",TEXT(AUX!EC$1,"dd-MMM-aa"),"")</f>
      </c>
      <c r="DZ225" s="496" t="str">
        <f> IF(DZ245&lt;&gt;"",TEXT(AUX!ED$1,"dd-MMM-aa"),"")</f>
      </c>
      <c r="EA225" s="496" t="str">
        <f> IF(EA245&lt;&gt;"",TEXT(AUX!EE$1,"dd-MMM-aa"),"")</f>
      </c>
      <c r="EB225" s="496" t="str">
        <f> IF(EB245&lt;&gt;"",TEXT(AUX!EF$1,"dd-MMM-aa"),"")</f>
      </c>
      <c r="EC225" s="496" t="str">
        <f> IF(EC245&lt;&gt;"",TEXT(AUX!EG$1,"dd-MMM-aa"),"")</f>
      </c>
      <c r="ED225" s="496" t="str">
        <f> IF(ED245&lt;&gt;"",TEXT(AUX!EH$1,"dd-MMM-aa"),"")</f>
      </c>
      <c r="EE225" s="496" t="str">
        <f> IF(EE245&lt;&gt;"",TEXT(AUX!EI$1,"dd-MMM-aa"),"")</f>
      </c>
      <c r="EF225" s="496" t="str">
        <f> IF(EF245&lt;&gt;"",TEXT(AUX!EJ$1,"dd-MMM-aa"),"")</f>
      </c>
      <c r="EG225" s="496" t="str">
        <f> IF(EG245&lt;&gt;"",TEXT(AUX!EK$1,"dd-MMM-aa"),"")</f>
      </c>
      <c r="EH225" s="496" t="str">
        <f> IF(EH245&lt;&gt;"",TEXT(AUX!EL$1,"dd-MMM-aa"),"")</f>
      </c>
      <c r="EI225" s="496" t="str">
        <f> IF(EI245&lt;&gt;"",TEXT(AUX!EM$1,"dd-MMM-aa"),"")</f>
      </c>
      <c r="EJ225" s="496" t="str">
        <f> IF(EJ245&lt;&gt;"",TEXT(AUX!EN$1,"dd-MMM-aa"),"")</f>
      </c>
      <c r="EK225" s="496" t="str">
        <f> IF(EK245&lt;&gt;"",TEXT(AUX!EO$1,"dd-MMM-aa"),"")</f>
      </c>
      <c r="EL225" s="496" t="str">
        <f> IF(EL245&lt;&gt;"",TEXT(AUX!EP$1,"dd-MMM-aa"),"")</f>
      </c>
      <c r="EM225" s="496" t="str">
        <f> IF(EM245&lt;&gt;"",TEXT(AUX!EQ$1,"dd-MMM-aa"),"")</f>
      </c>
      <c r="EN225" s="496" t="str">
        <f> IF(EN245&lt;&gt;"",TEXT(AUX!ER$1,"dd-MMM-aa"),"")</f>
      </c>
      <c r="EO225" s="496" t="str">
        <f> IF(EO245&lt;&gt;"",TEXT(AUX!ES$1,"dd-MMM-aa"),"")</f>
      </c>
      <c r="EP225" s="496" t="str">
        <f> IF(EP245&lt;&gt;"",TEXT(AUX!ET$1,"dd-MMM-aa"),"")</f>
      </c>
      <c r="EQ225" s="496" t="str">
        <f> IF(EQ245&lt;&gt;"",TEXT(AUX!EU$1,"dd-MMM-aa"),"")</f>
      </c>
      <c r="ER225" s="496" t="str">
        <f> IF(ER245&lt;&gt;"",TEXT(AUX!EV$1,"dd-MMM-aa"),"")</f>
      </c>
      <c r="ES225" s="496" t="str">
        <f> IF(ES245&lt;&gt;"",TEXT(AUX!EW$1,"dd-MMM-aa"),"")</f>
      </c>
      <c r="ET225" s="496" t="str">
        <f> IF(ET245&lt;&gt;"",TEXT(AUX!EX$1,"dd-MMM-aa"),"")</f>
      </c>
      <c r="EU225" s="496" t="str">
        <f> IF(EU245&lt;&gt;"",TEXT(AUX!EY$1,"dd-MMM-aa"),"")</f>
      </c>
      <c r="EV225" s="496" t="str">
        <f> IF(EV245&lt;&gt;"",TEXT(AUX!EZ$1,"dd-MMM-aa"),"")</f>
      </c>
      <c r="EW225" s="496" t="str">
        <f> IF(EW245&lt;&gt;"",TEXT(AUX!FA$1,"dd-MMM-aa"),"")</f>
      </c>
      <c r="EX225" s="496" t="str">
        <f> IF(EX245&lt;&gt;"",TEXT(AUX!FB$1,"dd-MMM-aa"),"")</f>
      </c>
      <c r="EY225" s="496" t="str">
        <f> IF(EY245&lt;&gt;"",TEXT(AUX!FC$1,"dd-MMM-aa"),"")</f>
      </c>
      <c r="EZ225" s="496" t="str">
        <f> IF(EZ245&lt;&gt;"",TEXT(AUX!FD$1,"dd-MMM-aa"),"")</f>
      </c>
      <c r="FA225" s="496" t="str">
        <f> IF(FA245&lt;&gt;"",TEXT(AUX!FE$1,"dd-MMM-aa"),"")</f>
      </c>
      <c r="FB225" s="496" t="str">
        <f> IF(FB245&lt;&gt;"",TEXT(AUX!FF$1,"dd-MMM-aa"),"")</f>
      </c>
      <c r="FC225" s="496" t="str">
        <f> IF(FC245&lt;&gt;"",TEXT(AUX!FG$1,"dd-MMM-aa"),"")</f>
      </c>
      <c r="FD225" s="496" t="str">
        <f> IF(FD245&lt;&gt;"",TEXT(AUX!FH$1,"dd-MMM-aa"),"")</f>
      </c>
      <c r="FE225" s="496" t="str">
        <f> IF(FE245&lt;&gt;"",TEXT(AUX!FI$1,"dd-MMM-aa"),"")</f>
      </c>
      <c r="FF225" s="496" t="str">
        <f> IF(FF245&lt;&gt;"",TEXT(AUX!FJ$1,"dd-MMM-aa"),"")</f>
      </c>
      <c r="FG225" s="496" t="str">
        <f> IF(FG245&lt;&gt;"",TEXT(AUX!FK$1,"dd-MMM-aa"),"")</f>
      </c>
      <c r="FH225" s="496" t="str">
        <f> IF(FH245&lt;&gt;"",TEXT(AUX!FL$1,"dd-MMM-aa"),"")</f>
      </c>
      <c r="FI225" s="496" t="str">
        <f> IF(FI245&lt;&gt;"",TEXT(AUX!FM$1,"dd-MMM-aa"),"")</f>
      </c>
      <c r="FJ225" s="496" t="str">
        <f> IF(FJ245&lt;&gt;"",TEXT(AUX!FN$1,"dd-MMM-aa"),"")</f>
      </c>
      <c r="FK225" s="496" t="str">
        <f> IF(FK245&lt;&gt;"",TEXT(AUX!FO$1,"dd-MMM-aa"),"")</f>
      </c>
      <c r="FL225" s="496" t="str">
        <f> IF(FL245&lt;&gt;"",TEXT(AUX!FP$1,"dd-MMM-aa"),"")</f>
      </c>
      <c r="FM225" s="496" t="str">
        <f> IF(FM245&lt;&gt;"",TEXT(AUX!FQ$1,"dd-MMM-aa"),"")</f>
      </c>
      <c r="FN225" s="496" t="str">
        <f> IF(FN245&lt;&gt;"",TEXT(AUX!FR$1,"dd-MMM-aa"),"")</f>
      </c>
      <c r="FO225" s="496" t="str">
        <f> IF(FO245&lt;&gt;"",TEXT(AUX!FS$1,"dd-MMM-aa"),"")</f>
      </c>
      <c r="FP225" s="496" t="str">
        <f> IF(FP245&lt;&gt;"",TEXT(AUX!FT$1,"dd-MMM-aa"),"")</f>
      </c>
      <c r="FQ225" s="496" t="str">
        <f> IF(FQ245&lt;&gt;"",TEXT(AUX!FU$1,"dd-MMM-aa"),"")</f>
      </c>
      <c r="FR225" s="496" t="str">
        <f> IF(FR245&lt;&gt;"",TEXT(AUX!FV$1,"dd-MMM-aa"),"")</f>
      </c>
      <c r="FS225" s="496" t="str">
        <f> IF(FS245&lt;&gt;"",TEXT(AUX!FW$1,"dd-MMM-aa"),"")</f>
      </c>
      <c r="FT225" s="496" t="str">
        <f> IF(FT245&lt;&gt;"",TEXT(AUX!FX$1,"dd-MMM-aa"),"")</f>
      </c>
      <c r="FU225" s="496" t="str">
        <f> IF(FU245&lt;&gt;"",TEXT(AUX!FY$1,"dd-MMM-aa"),"")</f>
      </c>
      <c r="FV225" s="496" t="str">
        <f> IF(FV245&lt;&gt;"",TEXT(AUX!FZ$1,"dd-MMM-aa"),"")</f>
      </c>
      <c r="FW225" s="496" t="str">
        <f> IF(FW245&lt;&gt;"",TEXT(AUX!GA$1,"dd-MMM-aa"),"")</f>
      </c>
      <c r="FX225" s="496" t="str">
        <f> IF(FX245&lt;&gt;"",TEXT(AUX!GB$1,"dd-MMM-aa"),"")</f>
      </c>
      <c r="FY225" s="496" t="str">
        <f> IF(FY245&lt;&gt;"",TEXT(AUX!GC$1,"dd-MMM-aa"),"")</f>
      </c>
      <c r="FZ225" s="496" t="str">
        <f> IF(FZ245&lt;&gt;"",TEXT(AUX!GD$1,"dd-MMM-aa"),"")</f>
      </c>
      <c r="GA225" s="496" t="str">
        <f> IF(GA245&lt;&gt;"",TEXT(AUX!GE$1,"dd-MMM-aa"),"")</f>
      </c>
      <c r="GB225" s="496" t="str">
        <f> IF(GB245&lt;&gt;"",TEXT(AUX!GF$1,"dd-MMM-aa"),"")</f>
      </c>
      <c r="GC225" s="496" t="str">
        <f> IF(GC245&lt;&gt;"",TEXT(AUX!GG$1,"dd-MMM-aa"),"")</f>
      </c>
      <c r="GD225" s="496" t="str">
        <f> IF(GD245&lt;&gt;"",TEXT(AUX!GH$1,"dd-MMM-aa"),"")</f>
      </c>
      <c r="GE225" s="496" t="str">
        <f> IF(GE245&lt;&gt;"",TEXT(AUX!GI$1,"dd-MMM-aa"),"")</f>
      </c>
      <c r="GF225" s="496" t="str">
        <f> IF(GF245&lt;&gt;"",TEXT(AUX!GJ$1,"dd-MMM-aa"),"")</f>
      </c>
      <c r="GG225" s="496" t="str">
        <f> IF(GG245&lt;&gt;"",TEXT(AUX!GK$1,"dd-MMM-aa"),"")</f>
      </c>
      <c r="GH225" s="496" t="str">
        <f> IF(GH245&lt;&gt;"",TEXT(AUX!GL$1,"dd-MMM-aa"),"")</f>
      </c>
      <c r="GI225" s="496" t="str">
        <f> IF(GI245&lt;&gt;"",TEXT(AUX!GM$1,"dd-MMM-aa"),"")</f>
      </c>
      <c r="GJ225" s="496" t="str">
        <f> IF(GJ245&lt;&gt;"",TEXT(AUX!GN$1,"dd-MMM-aa"),"")</f>
      </c>
      <c r="GK225" s="496" t="str">
        <f> IF(GK245&lt;&gt;"",TEXT(AUX!GO$1,"dd-MMM-aa"),"")</f>
      </c>
      <c r="GL225" s="496" t="str">
        <f> IF(GL245&lt;&gt;"",TEXT(AUX!GP$1,"dd-MMM-aa"),"")</f>
      </c>
      <c r="GM225" s="496" t="str">
        <f> IF(GM245&lt;&gt;"",TEXT(AUX!GQ$1,"dd-MMM-aa"),"")</f>
      </c>
      <c r="GN225" s="496" t="str">
        <f> IF(GN245&lt;&gt;"",TEXT(AUX!GR$1,"dd-MMM-aa"),"")</f>
      </c>
      <c r="GO225" s="496" t="str">
        <f> IF(GO245&lt;&gt;"",TEXT(AUX!GS$1,"dd-MMM-aa"),"")</f>
      </c>
      <c r="GP225" s="496" t="str">
        <f> IF(GP245&lt;&gt;"",TEXT(AUX!GT$1,"dd-MMM-aa"),"")</f>
      </c>
      <c r="GQ225" s="496" t="str">
        <f> IF(GQ245&lt;&gt;"",TEXT(AUX!GU$1,"dd-MMM-aa"),"")</f>
      </c>
      <c r="GR225" s="496" t="str">
        <f> IF(GR245&lt;&gt;"",TEXT(AUX!GV$1,"dd-MMM-aa"),"")</f>
      </c>
      <c r="GS225" s="496" t="str">
        <f> IF(GS245&lt;&gt;"",TEXT(AUX!GW$1,"dd-MMM-aa"),"")</f>
      </c>
      <c r="GT225" s="496" t="str">
        <f> IF(GT245&lt;&gt;"",TEXT(AUX!GX$1,"dd-MMM-aa"),"")</f>
      </c>
      <c r="GU225" s="496" t="str">
        <f> IF(GU245&lt;&gt;"",TEXT(AUX!GY$1,"dd-MMM-aa"),"")</f>
      </c>
      <c r="GV225" s="496" t="str">
        <f> IF(GV245&lt;&gt;"",TEXT(AUX!GZ$1,"dd-MMM-aa"),"")</f>
      </c>
      <c r="GW225" s="496" t="str">
        <f> IF(GW245&lt;&gt;"",TEXT(AUX!HA$1,"dd-MMM-aa"),"")</f>
      </c>
      <c r="GX225" s="496" t="str">
        <f> IF(GX245&lt;&gt;"",TEXT(AUX!HB$1,"dd-MMM-aa"),"")</f>
      </c>
      <c r="GY225" s="496" t="str">
        <f> IF(GY245&lt;&gt;"",TEXT(AUX!HC$1,"dd-MMM-aa"),"")</f>
      </c>
      <c r="GZ225" s="496" t="str">
        <f> IF(GZ245&lt;&gt;"",TEXT(AUX!HD$1,"dd-MMM-aa"),"")</f>
      </c>
      <c r="HA225" s="496" t="str">
        <f> IF(HA245&lt;&gt;"",TEXT(AUX!HE$1,"dd-MMM-aa"),"")</f>
      </c>
      <c r="HB225" s="496" t="str">
        <f> IF(HB245&lt;&gt;"",TEXT(AUX!HF$1,"dd-MMM-aa"),"")</f>
      </c>
      <c r="HC225" s="496" t="str">
        <f> IF(HC245&lt;&gt;"",TEXT(AUX!HG$1,"dd-MMM-aa"),"")</f>
      </c>
      <c r="HD225" s="496" t="str">
        <f> IF(HD245&lt;&gt;"",TEXT(AUX!HH$1,"dd-MMM-aa"),"")</f>
      </c>
      <c r="HE225" s="496" t="str">
        <f> IF(HE245&lt;&gt;"",TEXT(AUX!HI$1,"dd-MMM-aa"),"")</f>
      </c>
      <c r="HF225" s="496" t="str">
        <f> IF(HF245&lt;&gt;"",TEXT(AUX!HJ$1,"dd-MMM-aa"),"")</f>
      </c>
      <c r="HG225" s="496" t="str">
        <f> IF(HG245&lt;&gt;"",TEXT(AUX!HK$1,"dd-MMM-aa"),"")</f>
      </c>
      <c r="HH225" s="496" t="str">
        <f> IF(HH245&lt;&gt;"",TEXT(AUX!HL$1,"dd-MMM-aa"),"")</f>
      </c>
      <c r="HI225" s="496" t="str">
        <f> IF(HI245&lt;&gt;"",TEXT(AUX!HM$1,"dd-MMM-aa"),"")</f>
      </c>
      <c r="HJ225" s="496" t="str">
        <f> IF(HJ245&lt;&gt;"",TEXT(AUX!HN$1,"dd-MMM-aa"),"")</f>
      </c>
      <c r="HK225" s="496" t="str">
        <f> IF(HK245&lt;&gt;"",TEXT(AUX!HO$1,"dd-MMM-aa"),"")</f>
      </c>
      <c r="HL225" s="496" t="str">
        <f> IF(HL245&lt;&gt;"",TEXT(AUX!HP$1,"dd-MMM-aa"),"")</f>
      </c>
      <c r="HM225" s="496" t="str">
        <f> IF(HM245&lt;&gt;"",TEXT(AUX!HQ$1,"dd-MMM-aa"),"")</f>
      </c>
      <c r="HN225" s="496" t="str">
        <f> IF(HN245&lt;&gt;"",TEXT(AUX!HR$1,"dd-MMM-aa"),"")</f>
      </c>
      <c r="HO225" s="496" t="str">
        <f> IF(HO245&lt;&gt;"",TEXT(AUX!HS$1,"dd-MMM-aa"),"")</f>
      </c>
      <c r="HP225" s="496" t="str">
        <f> IF(HP245&lt;&gt;"",TEXT(AUX!HT$1,"dd-MMM-aa"),"")</f>
      </c>
      <c r="HQ225" s="496" t="str">
        <f> IF(HQ245&lt;&gt;"",TEXT(AUX!HU$1,"dd-MMM-aa"),"")</f>
      </c>
      <c r="HR225" s="496" t="str">
        <f> IF(HR245&lt;&gt;"",TEXT(AUX!HV$1,"dd-MMM-aa"),"")</f>
      </c>
      <c r="HS225" s="496" t="str">
        <f> IF(HS245&lt;&gt;"",TEXT(AUX!HW$1,"dd-MMM-aa"),"")</f>
      </c>
      <c r="HT225" s="496" t="str">
        <f> IF(HT245&lt;&gt;"",TEXT(AUX!HX$1,"dd-MMM-aa"),"")</f>
      </c>
      <c r="HU225" s="496" t="str">
        <f> IF(HU245&lt;&gt;"",TEXT(AUX!HY$1,"dd-MMM-aa"),"")</f>
      </c>
      <c r="HV225" s="496" t="str">
        <f> IF(HV245&lt;&gt;"",TEXT(AUX!HZ$1,"dd-MMM-aa"),"")</f>
      </c>
      <c r="HW225" s="496" t="str">
        <f> IF(HW245&lt;&gt;"",TEXT(AUX!IA$1,"dd-MMM-aa"),"")</f>
      </c>
      <c r="HX225" s="496" t="str">
        <f> IF(HX245&lt;&gt;"",TEXT(AUX!IB$1,"dd-MMM-aa"),"")</f>
      </c>
      <c r="HY225" s="496" t="str">
        <f> IF(HY245&lt;&gt;"",TEXT(AUX!IC$1,"dd-MMM-aa"),"")</f>
      </c>
      <c r="HZ225" s="496" t="str">
        <f> IF(HZ245&lt;&gt;"",TEXT(AUX!ID$1,"dd-MMM-aa"),"")</f>
      </c>
      <c r="IA225" s="496" t="str">
        <f> IF(IA245&lt;&gt;"",TEXT(AUX!IE$1,"dd-MMM-aa"),"")</f>
      </c>
      <c r="IB225" s="496" t="str">
        <f> IF(IB245&lt;&gt;"",TEXT(AUX!IF$1,"dd-MMM-aa"),"")</f>
      </c>
      <c r="IC225" s="496" t="str">
        <f> IF(IC245&lt;&gt;"",TEXT(AUX!IG$1,"dd-MMM-aa"),"")</f>
      </c>
      <c r="ID225" s="496" t="str">
        <f> IF(ID245&lt;&gt;"",TEXT(AUX!IH$1,"dd-MMM-aa"),"")</f>
      </c>
      <c r="IE225" s="496" t="str">
        <f> IF(IE245&lt;&gt;"",TEXT(AUX!II$1,"dd-MMM-aa"),"")</f>
      </c>
      <c r="IF225" s="496" t="str">
        <f> IF(IF245&lt;&gt;"",TEXT(AUX!IJ$1,"dd-MMM-aa"),"")</f>
      </c>
      <c r="IG225" s="496" t="str">
        <f> IF(IG245&lt;&gt;"",TEXT(AUX!IK$1,"dd-MMM-aa"),"")</f>
      </c>
      <c r="IH225" s="496" t="str">
        <f> IF(IH245&lt;&gt;"",TEXT(AUX!IL$1,"dd-MMM-aa"),"")</f>
      </c>
      <c r="II225" s="496" t="str">
        <f> IF(II245&lt;&gt;"",TEXT(AUX!IM$1,"dd-MMM-aa"),"")</f>
      </c>
      <c r="IJ225" s="496" t="str">
        <f> IF(IJ245&lt;&gt;"",TEXT(AUX!IN$1,"dd-MMM-aa"),"")</f>
      </c>
      <c r="IK225" s="496" t="str">
        <f> IF(IK245&lt;&gt;"",TEXT(AUX!IO$1,"dd-MMM-aa"),"")</f>
      </c>
      <c r="IL225" s="496" t="str">
        <f> IF(IL245&lt;&gt;"",TEXT(AUX!IP$1,"dd-MMM-aa"),"")</f>
      </c>
      <c r="IM225" s="496" t="str">
        <f> IF(IM245&lt;&gt;"",TEXT(AUX!IQ$1,"dd-MMM-aa"),"")</f>
      </c>
      <c r="IN225" s="496" t="str">
        <f> IF(IN245&lt;&gt;"",TEXT(AUX!IR$1,"dd-MMM-aa"),"")</f>
      </c>
      <c r="IO225" s="496" t="str">
        <f> IF(IO245&lt;&gt;"",TEXT(AUX!IS$1,"dd-MMM-aa"),"")</f>
      </c>
      <c r="IP225" s="496" t="str">
        <f> IF(IP245&lt;&gt;"",TEXT(AUX!IT$1,"dd-MMM-aa"),"")</f>
      </c>
      <c r="IQ225" s="496" t="str">
        <f> IF(IQ245&lt;&gt;"",TEXT(AUX!IU$1,"dd-MMM-aa"),"")</f>
      </c>
      <c r="IR225" s="496" t="str">
        <f> IF(IR245&lt;&gt;"",TEXT(AUX!IV$1,"dd-MMM-aa"),"")</f>
      </c>
      <c r="IS225" s="496" t="str">
        <f> IF(IS245&lt;&gt;"",TEXT(AUX!#REF!,"dd-MMM-aa"),"")</f>
      </c>
      <c r="IT225" s="496" t="str">
        <f> IF(IT245&lt;&gt;"",TEXT(AUX!#REF!,"dd-MMM-aa"),"")</f>
      </c>
      <c r="IU225" s="496" t="str">
        <f> IF(IU245&lt;&gt;"",TEXT(AUX!#REF!,"dd-MMM-aa"),"")</f>
      </c>
      <c r="IV225" s="496" t="str">
        <f> IF(IV245&lt;&gt;"",TEXT(AUX!#REF!,"dd-MMM-aa"),"")</f>
      </c>
    </row>
    <row r="226" hidden="1" ht="13.5" customHeight="1">
      <c r="B226" s="838" t="s">
        <v>8</v>
      </c>
      <c r="C226" s="839">
        <f>C203 + C180 + C157 + C134</f>
        <v>1035999</v>
      </c>
      <c r="D226" s="839">
        <f>D203 + D180 + D157 + D134</f>
        <v>983888</v>
      </c>
      <c r="E226" s="839">
        <f>E203 + E180 + E157 + E134</f>
        <v>960458</v>
      </c>
      <c r="F226" s="839">
        <f>F203 + F180 + F157 + F134</f>
        <v>935931</v>
      </c>
      <c r="G226" s="839">
        <f>G203 + G180 + G157 + G134</f>
        <v>920429</v>
      </c>
      <c r="H226" s="839">
        <f>H203 + H180 + H157 + H134</f>
        <v>899012</v>
      </c>
      <c r="I226" s="839">
        <f>I203 + I180 + I157 + I134</f>
        <v>883991</v>
      </c>
      <c r="J226" s="839">
        <f>J203 + J180 + J157 + J134</f>
        <v>866749</v>
      </c>
      <c r="K226" s="839">
        <f>K203 + K180 + K157 + K134</f>
        <v>844301</v>
      </c>
      <c r="L226" s="839">
        <f>L203 + L180 + L157 + L134</f>
        <v>804693</v>
      </c>
      <c r="M226" s="839">
        <f>M203 + M180 + M157 + M134</f>
        <v>773338</v>
      </c>
      <c r="N226" s="839">
        <f>N203 + N180 + N157 + N134</f>
        <v>737880</v>
      </c>
      <c r="O226" s="839">
        <f>O203 + O180 + O157 + O134</f>
        <v>724790</v>
      </c>
      <c r="P226" s="839">
        <f>P203 + P180 + P157 + P134</f>
        <v>719668</v>
      </c>
      <c r="Q226" s="839">
        <f>Q203 + Q180 + Q157 + Q134</f>
        <v>930154</v>
      </c>
      <c r="R226" s="839">
        <f>R203 + R180 + R157 + R134</f>
        <v>929167</v>
      </c>
      <c r="S226" s="839">
        <f>S203 + S180 + S157 + S134</f>
        <v>955274</v>
      </c>
      <c r="T226" s="839">
        <f>T203 + T180 + T157 + T134</f>
        <v>975018</v>
      </c>
      <c r="U226" s="839">
        <f>U203 + U180 + U157 + U134</f>
        <v>1028082</v>
      </c>
      <c r="V226" s="839">
        <f>V203 + V180 + V157 + V134</f>
        <v>1047478</v>
      </c>
      <c r="W226" s="839">
        <f>W203 + W180 + W157 + W134</f>
        <v>1102311</v>
      </c>
      <c r="X226" s="839">
        <f>X203 + X180 + X157 + X134</f>
        <v>1100012</v>
      </c>
      <c r="Y226" s="839">
        <f>Y203 + Y180 + Y157 + Y134</f>
        <v>1108606</v>
      </c>
      <c r="Z226" s="839">
        <f>Z203 + Z180 + Z157 + Z134</f>
        <v>1106076</v>
      </c>
      <c r="AA226" s="839">
        <f>AA203 + AA180 + AA157 + AA134</f>
        <v>1110146</v>
      </c>
      <c r="AB226" s="840">
        <f>AB203 + AB180 + AB157 + AB134</f>
        <v>1063771</v>
      </c>
      <c r="AC226" s="841">
        <f>AC203 + AC180 + AC157 + AC134</f>
        <v>1054983</v>
      </c>
      <c r="AD226" s="841">
        <f>AD203 + AD180 + AD157 + AD134</f>
        <v>1034727</v>
      </c>
      <c r="AE226" s="841">
        <f>AE203 + AE180 + AE157 + AE134</f>
        <v>1058737</v>
      </c>
      <c r="AF226" s="841">
        <f>AF203 + AF180 + AF157 + AF134</f>
        <v>1043874</v>
      </c>
      <c r="AG226" s="841">
        <f>AG203 + AG180 + AG157 + AG134</f>
        <v>1020731</v>
      </c>
      <c r="AH226" s="841">
        <f>AH203 + AH180 + AH157 + AH134</f>
        <v>1018620</v>
      </c>
      <c r="AI226" s="841">
        <f>AI203 + AI180 + AI157 + AI134</f>
        <v>967844</v>
      </c>
      <c r="AJ226" s="841">
        <f>AJ203 + AJ180 + AJ157 + AJ134</f>
        <v>938632</v>
      </c>
      <c r="AK226" s="841">
        <f>AK203 + AK180 + AK157 + AK134</f>
        <v>889343</v>
      </c>
      <c r="AL226" s="841">
        <f>AL203 + AL180 + AL157 + AL134</f>
        <v>888129</v>
      </c>
      <c r="AM226" s="841">
        <f>AM203 + AM180 + AM157 + AM134</f>
        <v>837190</v>
      </c>
      <c r="AN226" s="841">
        <f>AN203 + AN180 + AN157 + AN134</f>
        <v>838757</v>
      </c>
      <c r="AO226" s="841">
        <f>AO203 + AO180 + AO157 + AO134</f>
        <v>872279</v>
      </c>
      <c r="AP226" s="841">
        <f>AP203 + AP180 + AP157 + AP134</f>
        <v>909326</v>
      </c>
    </row>
    <row r="227" hidden="1">
      <c r="B227" s="842" t="s">
        <v>9</v>
      </c>
      <c r="C227" s="839">
        <f>C204 + C181 + C158 + C135</f>
        <v>7245</v>
      </c>
      <c r="D227" s="839">
        <f>D204 + D181 + D158 + D135</f>
        <v>7274</v>
      </c>
      <c r="E227" s="839">
        <f>E204 + E181 + E158 + E135</f>
        <v>7544</v>
      </c>
      <c r="F227" s="839">
        <f>F204 + F181 + F158 + F135</f>
        <v>7686</v>
      </c>
      <c r="G227" s="839">
        <f>G204 + G181 + G158 + G135</f>
        <v>9535</v>
      </c>
      <c r="H227" s="839">
        <f>H204 + H181 + H158 + H135</f>
        <v>9535</v>
      </c>
      <c r="I227" s="839">
        <f>I204 + I181 + I158 + I135</f>
        <v>29564</v>
      </c>
      <c r="J227" s="839">
        <f>J204 + J181 + J158 + J135</f>
        <v>34990</v>
      </c>
      <c r="K227" s="839">
        <f>K204 + K181 + K158 + K135</f>
        <v>73589</v>
      </c>
      <c r="L227" s="839">
        <f>L204 + L181 + L158 + L135</f>
        <v>62294</v>
      </c>
      <c r="M227" s="839">
        <f>M204 + M181 + M158 + M135</f>
        <v>64638</v>
      </c>
      <c r="N227" s="839">
        <f>N204 + N181 + N158 + N135</f>
        <v>63651</v>
      </c>
      <c r="O227" s="839">
        <f>O204 + O181 + O158 + O135</f>
        <v>63651</v>
      </c>
      <c r="P227" s="839">
        <f>P204 + P181 + P158 + P135</f>
        <v>61234</v>
      </c>
      <c r="Q227" s="839">
        <f>Q204 + Q181 + Q158 + Q135</f>
        <v>64008</v>
      </c>
      <c r="R227" s="839">
        <f>R204 + R181 + R158 + R135</f>
        <v>61800</v>
      </c>
      <c r="S227" s="839">
        <f>S204 + S181 + S158 + S135</f>
        <v>60096</v>
      </c>
      <c r="T227" s="839">
        <f>T204 + T181 + T158 + T135</f>
        <v>60887</v>
      </c>
      <c r="U227" s="839">
        <f>U204 + U181 + U158 + U135</f>
        <v>58829</v>
      </c>
      <c r="V227" s="839">
        <f>V204 + V181 + V158 + V135</f>
        <v>60146</v>
      </c>
      <c r="W227" s="839">
        <f>W204 + W181 + W158 + W135</f>
        <v>58031</v>
      </c>
      <c r="X227" s="839">
        <f>X204 + X181 + X158 + X135</f>
        <v>61718</v>
      </c>
      <c r="Y227" s="839">
        <f>Y204 + Y181 + Y158 + Y135</f>
        <v>56886</v>
      </c>
      <c r="Z227" s="839">
        <f>Z204 + Z181 + Z158 + Z135</f>
        <v>57521</v>
      </c>
      <c r="AA227" s="839">
        <f>AA204 + AA181 + AA158 + AA135</f>
        <v>55633</v>
      </c>
      <c r="AB227" s="839">
        <f>AB204 + AB181 + AB158 + AB135</f>
        <v>56781</v>
      </c>
      <c r="AC227" s="841">
        <f>AC204 + AC181 + AC158 + AC135</f>
        <v>54993</v>
      </c>
      <c r="AD227" s="841">
        <f>AD204 + AD181 + AD158 + AD135</f>
        <v>55110</v>
      </c>
      <c r="AE227" s="841">
        <f>AE204 + AE181 + AE158 + AE135</f>
        <v>54843</v>
      </c>
      <c r="AF227" s="841">
        <f>AF204 + AF181 + AF158 + AF135</f>
        <v>53200</v>
      </c>
      <c r="AG227" s="841">
        <f>AG204 + AG181 + AG158 + AG135</f>
        <v>51669</v>
      </c>
      <c r="AH227" s="841">
        <f>AH204 + AH181 + AH158 + AH135</f>
        <v>52007</v>
      </c>
      <c r="AI227" s="841">
        <f>AI204 + AI181 + AI158 + AI135</f>
        <v>52268</v>
      </c>
      <c r="AJ227" s="841">
        <f>AJ204 + AJ181 + AJ158 + AJ135</f>
        <v>49042</v>
      </c>
      <c r="AK227" s="841">
        <f>AK204 + AK181 + AK158 + AK135</f>
        <v>48539</v>
      </c>
      <c r="AL227" s="841">
        <f>AL204 + AL181 + AL158 + AL135</f>
        <v>47685</v>
      </c>
      <c r="AM227" s="841">
        <f>AM204 + AM181 + AM158 + AM135</f>
        <v>48095</v>
      </c>
      <c r="AN227" s="841">
        <f>AN204 + AN181 + AN158 + AN135</f>
        <v>43934</v>
      </c>
      <c r="AO227" s="841">
        <f>AO204 + AO181 + AO158 + AO135</f>
        <v>40775</v>
      </c>
      <c r="AP227" s="841">
        <f>AP204 + AP181 + AP158 + AP135</f>
        <v>41787</v>
      </c>
    </row>
    <row r="228" hidden="1">
      <c r="B228" s="842" t="s">
        <v>10</v>
      </c>
      <c r="C228" s="839">
        <f>C205 + C182 + C159 + C136</f>
        <v>27057</v>
      </c>
      <c r="D228" s="839">
        <f>D205 + D182 + D159 + D136</f>
        <v>28712</v>
      </c>
      <c r="E228" s="839">
        <f>E205 + E182 + E159 + E136</f>
        <v>32458</v>
      </c>
      <c r="F228" s="839">
        <f>F205 + F182 + F159 + F136</f>
        <v>32755</v>
      </c>
      <c r="G228" s="839">
        <f>G205 + G182 + G159 + G136</f>
        <v>33157</v>
      </c>
      <c r="H228" s="839">
        <f>H205 + H182 + H159 + H136</f>
        <v>33150</v>
      </c>
      <c r="I228" s="839">
        <f>I205 + I182 + I159 + I136</f>
        <v>34283</v>
      </c>
      <c r="J228" s="839">
        <f>J205 + J182 + J159 + J136</f>
        <v>33561</v>
      </c>
      <c r="K228" s="839">
        <f>K205 + K182 + K159 + K136</f>
        <v>33711</v>
      </c>
      <c r="L228" s="839">
        <f>L205 + L182 + L159 + L136</f>
        <v>32795</v>
      </c>
      <c r="M228" s="839">
        <f>M205 + M182 + M159 + M136</f>
        <v>33045</v>
      </c>
      <c r="N228" s="839">
        <f>N205 + N182 + N159 + N136</f>
        <v>32714</v>
      </c>
      <c r="O228" s="839">
        <f>O205 + O182 + O159 + O136</f>
        <v>32619</v>
      </c>
      <c r="P228" s="839">
        <f>P205 + P182 + P159 + P136</f>
        <v>32935</v>
      </c>
      <c r="Q228" s="839">
        <f>Q205 + Q182 + Q159 + Q136</f>
        <v>33918</v>
      </c>
      <c r="R228" s="839">
        <f>R205 + R182 + R159 + R136</f>
        <v>34080</v>
      </c>
      <c r="S228" s="839">
        <f>S205 + S182 + S159 + S136</f>
        <v>35628</v>
      </c>
      <c r="T228" s="839">
        <f>T205 + T182 + T159 + T136</f>
        <v>35542</v>
      </c>
      <c r="U228" s="839">
        <f>U205 + U182 + U159 + U136</f>
        <v>36282</v>
      </c>
      <c r="V228" s="839">
        <f>V205 + V182 + V159 + V136</f>
        <v>36042</v>
      </c>
      <c r="W228" s="839">
        <f>W205 + W182 + W159 + W136</f>
        <v>35982</v>
      </c>
      <c r="X228" s="839">
        <f>X205 + X182 + X159 + X136</f>
        <v>35513</v>
      </c>
      <c r="Y228" s="839">
        <f>Y205 + Y182 + Y159 + Y136</f>
        <v>36365</v>
      </c>
      <c r="Z228" s="839">
        <f>Z205 + Z182 + Z159 + Z136</f>
        <v>36243</v>
      </c>
      <c r="AA228" s="839">
        <f>AA205 + AA182 + AA159 + AA136</f>
        <v>36668</v>
      </c>
      <c r="AB228" s="839">
        <f>AB205 + AB182 + AB159 + AB136</f>
        <v>44953</v>
      </c>
      <c r="AC228" s="841">
        <f>AC205 + AC182 + AC159 + AC136</f>
        <v>37803</v>
      </c>
      <c r="AD228" s="841">
        <f>AD205 + AD182 + AD159 + AD136</f>
        <v>37494</v>
      </c>
      <c r="AE228" s="841">
        <f>AE205 + AE182 + AE159 + AE136</f>
        <v>37728</v>
      </c>
      <c r="AF228" s="841">
        <f>AF205 + AF182 + AF159 + AF136</f>
        <v>35893</v>
      </c>
      <c r="AG228" s="841">
        <f>AG205 + AG182 + AG159 + AG136</f>
        <v>34844</v>
      </c>
      <c r="AH228" s="841">
        <f>AH205 + AH182 + AH159 + AH136</f>
        <v>33848</v>
      </c>
      <c r="AI228" s="841">
        <f>AI205 + AI182 + AI159 + AI136</f>
        <v>34581</v>
      </c>
      <c r="AJ228" s="841">
        <f>AJ205 + AJ182 + AJ159 + AJ136</f>
        <v>33619</v>
      </c>
      <c r="AK228" s="841">
        <f>AK205 + AK182 + AK159 + AK136</f>
        <v>33043</v>
      </c>
      <c r="AL228" s="841">
        <f>AL205 + AL182 + AL159 + AL136</f>
        <v>31648</v>
      </c>
      <c r="AM228" s="841">
        <f>AM205 + AM182 + AM159 + AM136</f>
        <v>32319</v>
      </c>
      <c r="AN228" s="841">
        <f>AN205 + AN182 + AN159 + AN136</f>
        <v>31769</v>
      </c>
      <c r="AO228" s="841">
        <f>AO205 + AO182 + AO159 + AO136</f>
        <v>33232</v>
      </c>
      <c r="AP228" s="841">
        <f>AP205 + AP182 + AP159 + AP136</f>
        <v>32936</v>
      </c>
    </row>
    <row r="229" hidden="1">
      <c r="B229" s="842" t="s">
        <v>11</v>
      </c>
      <c r="C229" s="839">
        <f>C206 + C183 + C160 + C137</f>
        <v>21550</v>
      </c>
      <c r="D229" s="839">
        <f>D206 + D183 + D160 + D137</f>
        <v>21561</v>
      </c>
      <c r="E229" s="839">
        <f>E206 + E183 + E160 + E137</f>
        <v>20699</v>
      </c>
      <c r="F229" s="839">
        <f>F206 + F183 + F160 + F137</f>
        <v>20675</v>
      </c>
      <c r="G229" s="839">
        <f>G206 + G183 + G160 + G137</f>
        <v>19814</v>
      </c>
      <c r="H229" s="839">
        <f>H206 + H183 + H160 + H137</f>
        <v>17869</v>
      </c>
      <c r="I229" s="839">
        <f>I206 + I183 + I160 + I137</f>
        <v>15979</v>
      </c>
      <c r="J229" s="839">
        <f>J206 + J183 + J160 + J137</f>
        <v>16038</v>
      </c>
      <c r="K229" s="839">
        <f>K206 + K183 + K160 + K137</f>
        <v>15889</v>
      </c>
      <c r="L229" s="839">
        <f>L206 + L183 + L160 + L137</f>
        <v>14899</v>
      </c>
      <c r="M229" s="839">
        <f>M206 + M183 + M160 + M137</f>
        <v>15743</v>
      </c>
      <c r="N229" s="839">
        <f>N206 + N183 + N160 + N137</f>
        <v>15530</v>
      </c>
      <c r="O229" s="839">
        <f>O206 + O183 + O160 + O137</f>
        <v>15555</v>
      </c>
      <c r="P229" s="839">
        <f>P206 + P183 + P160 + P137</f>
        <v>15329</v>
      </c>
      <c r="Q229" s="839">
        <f>Q206 + Q183 + Q160 + Q137</f>
        <v>15165</v>
      </c>
      <c r="R229" s="839">
        <f>R206 + R183 + R160 + R137</f>
        <v>14883</v>
      </c>
      <c r="S229" s="839">
        <f>S206 + S183 + S160 + S137</f>
        <v>15120</v>
      </c>
      <c r="T229" s="839">
        <f>T206 + T183 + T160 + T137</f>
        <v>15021</v>
      </c>
      <c r="U229" s="839">
        <f>U206 + U183 + U160 + U137</f>
        <v>14385</v>
      </c>
      <c r="V229" s="839">
        <f>V206 + V183 + V160 + V137</f>
        <v>14168</v>
      </c>
      <c r="W229" s="839">
        <f>W206 + W183 + W160 + W137</f>
        <v>15044</v>
      </c>
      <c r="X229" s="839">
        <f>X206 + X183 + X160 + X137</f>
        <v>14937</v>
      </c>
      <c r="Y229" s="839">
        <f>Y206 + Y183 + Y160 + Y137</f>
        <v>14957</v>
      </c>
      <c r="Z229" s="839">
        <f>Z206 + Z183 + Z160 + Z137</f>
        <v>15052</v>
      </c>
      <c r="AA229" s="839">
        <f>AA206 + AA183 + AA160 + AA137</f>
        <v>14777</v>
      </c>
      <c r="AB229" s="839">
        <f>AB206 + AB183 + AB160 + AB137</f>
        <v>14615</v>
      </c>
      <c r="AC229" s="841">
        <f>AC206 + AC183 + AC160 + AC137</f>
        <v>14763</v>
      </c>
      <c r="AD229" s="841">
        <f>AD206 + AD183 + AD160 + AD137</f>
        <v>14501</v>
      </c>
      <c r="AE229" s="841">
        <f>AE206 + AE183 + AE160 + AE137</f>
        <v>14677</v>
      </c>
      <c r="AF229" s="841">
        <f>AF206 + AF183 + AF160 + AF137</f>
        <v>14233</v>
      </c>
      <c r="AG229" s="841">
        <f>AG206 + AG183 + AG160 + AG137</f>
        <v>13946</v>
      </c>
      <c r="AH229" s="841">
        <f>AH206 + AH183 + AH160 + AH137</f>
        <v>14387</v>
      </c>
      <c r="AI229" s="841">
        <f>AI206 + AI183 + AI160 + AI137</f>
        <v>13533</v>
      </c>
      <c r="AJ229" s="841">
        <f>AJ206 + AJ183 + AJ160 + AJ137</f>
        <v>12775</v>
      </c>
      <c r="AK229" s="841">
        <f>AK206 + AK183 + AK160 + AK137</f>
        <v>13675</v>
      </c>
      <c r="AL229" s="841">
        <f>AL206 + AL183 + AL160 + AL137</f>
        <v>13850</v>
      </c>
      <c r="AM229" s="841">
        <f>AM206 + AM183 + AM160 + AM137</f>
        <v>13916</v>
      </c>
      <c r="AN229" s="841">
        <f>AN206 + AN183 + AN160 + AN137</f>
        <v>13974</v>
      </c>
      <c r="AO229" s="841">
        <f>AO206 + AO183 + AO160 + AO137</f>
        <v>14864</v>
      </c>
      <c r="AP229" s="841">
        <f>AP206 + AP183 + AP160 + AP137</f>
        <v>14795</v>
      </c>
    </row>
    <row r="230" hidden="1">
      <c r="B230" s="842" t="s">
        <v>12</v>
      </c>
      <c r="C230" s="839">
        <f>C207 + C184 + C161 + C138</f>
        <v>313800</v>
      </c>
      <c r="D230" s="839">
        <f>D207 + D184 + D161 + D138</f>
        <v>316866</v>
      </c>
      <c r="E230" s="839">
        <f>E207 + E184 + E161 + E138</f>
        <v>338538</v>
      </c>
      <c r="F230" s="839">
        <f>F207 + F184 + F161 + F138</f>
        <v>336363</v>
      </c>
      <c r="G230" s="839">
        <f>G207 + G184 + G161 + G138</f>
        <v>335869</v>
      </c>
      <c r="H230" s="839">
        <f>H207 + H184 + H161 + H138</f>
        <v>337007</v>
      </c>
      <c r="I230" s="839">
        <f>I207 + I184 + I161 + I138</f>
        <v>340524</v>
      </c>
      <c r="J230" s="839">
        <f>J207 + J184 + J161 + J138</f>
        <v>304986</v>
      </c>
      <c r="K230" s="839">
        <f>K207 + K184 + K161 + K138</f>
        <v>305320</v>
      </c>
      <c r="L230" s="839">
        <f>L207 + L184 + L161 + L138</f>
        <v>281007</v>
      </c>
      <c r="M230" s="839">
        <f>M207 + M184 + M161 + M138</f>
        <v>316821</v>
      </c>
      <c r="N230" s="839">
        <f>N207 + N184 + N161 + N138</f>
        <v>293157</v>
      </c>
      <c r="O230" s="839">
        <f>O207 + O184 + O161 + O138</f>
        <v>300630</v>
      </c>
      <c r="P230" s="839">
        <f>P207 + P184 + P161 + P138</f>
        <v>294495</v>
      </c>
      <c r="Q230" s="839">
        <f>Q207 + Q184 + Q161 + Q138</f>
        <v>265426</v>
      </c>
      <c r="R230" s="839">
        <f>R207 + R184 + R161 + R138</f>
        <v>262934</v>
      </c>
      <c r="S230" s="839">
        <f>S207 + S184 + S161 + S138</f>
        <v>248101</v>
      </c>
      <c r="T230" s="839">
        <f>T207 + T184 + T161 + T138</f>
        <v>240741</v>
      </c>
      <c r="U230" s="839">
        <f>U207 + U184 + U161 + U138</f>
        <v>228207</v>
      </c>
      <c r="V230" s="839">
        <f>V207 + V184 + V161 + V138</f>
        <v>227352</v>
      </c>
      <c r="W230" s="839">
        <f>W207 + W184 + W161 + W138</f>
        <v>220278</v>
      </c>
      <c r="X230" s="839">
        <f>X207 + X184 + X161 + X138</f>
        <v>217656</v>
      </c>
      <c r="Y230" s="839">
        <f>Y207 + Y184 + Y161 + Y138</f>
        <v>218656</v>
      </c>
      <c r="Z230" s="839">
        <f>Z207 + Z184 + Z161 + Z138</f>
        <v>216026</v>
      </c>
      <c r="AA230" s="839">
        <f>AA207 + AA184 + AA161 + AA138</f>
        <v>212834</v>
      </c>
      <c r="AB230" s="839">
        <f>AB207 + AB184 + AB161 + AB138</f>
        <v>214951</v>
      </c>
      <c r="AC230" s="841">
        <f>AC207 + AC184 + AC161 + AC138</f>
        <v>218818</v>
      </c>
      <c r="AD230" s="841">
        <f>AD207 + AD184 + AD161 + AD138</f>
        <v>217369</v>
      </c>
      <c r="AE230" s="841">
        <f>AE207 + AE184 + AE161 + AE138</f>
        <v>212619</v>
      </c>
      <c r="AF230" s="841">
        <f>AF207 + AF184 + AF161 + AF138</f>
        <v>211026</v>
      </c>
      <c r="AG230" s="841">
        <f>AG207 + AG184 + AG161 + AG138</f>
        <v>212392</v>
      </c>
      <c r="AH230" s="841">
        <f>AH207 + AH184 + AH161 + AH138</f>
        <v>212358</v>
      </c>
      <c r="AI230" s="841">
        <f>AI207 + AI184 + AI161 + AI138</f>
        <v>214682</v>
      </c>
      <c r="AJ230" s="841">
        <f>AJ207 + AJ184 + AJ161 + AJ138</f>
        <v>214346</v>
      </c>
      <c r="AK230" s="841">
        <f>AK207 + AK184 + AK161 + AK138</f>
        <v>206978</v>
      </c>
      <c r="AL230" s="841">
        <f>AL207 + AL184 + AL161 + AL138</f>
        <v>204047</v>
      </c>
      <c r="AM230" s="841">
        <f>AM207 + AM184 + AM161 + AM138</f>
        <v>200979</v>
      </c>
      <c r="AN230" s="841">
        <f>AN207 + AN184 + AN161 + AN138</f>
        <v>195489</v>
      </c>
      <c r="AO230" s="841">
        <f>AO207 + AO184 + AO161 + AO138</f>
        <v>136576</v>
      </c>
      <c r="AP230" s="841">
        <f>AP207 + AP184 + AP161 + AP138</f>
        <v>149199</v>
      </c>
    </row>
    <row r="231" hidden="1">
      <c r="B231" s="842" t="s">
        <v>13</v>
      </c>
      <c r="C231" s="839">
        <f>C208 + C185 + C162 + C139</f>
        <v>21608</v>
      </c>
      <c r="D231" s="839">
        <f>D208 + D185 + D162 + D139</f>
        <v>25035</v>
      </c>
      <c r="E231" s="839">
        <f>E208 + E185 + E162 + E139</f>
        <v>29062</v>
      </c>
      <c r="F231" s="839">
        <f>F208 + F185 + F162 + F139</f>
        <v>32227</v>
      </c>
      <c r="G231" s="839">
        <f>G208 + G185 + G162 + G139</f>
        <v>45188</v>
      </c>
      <c r="H231" s="839">
        <f>H208 + H185 + H162 + H139</f>
        <v>43186</v>
      </c>
      <c r="I231" s="839">
        <f>I208 + I185 + I162 + I139</f>
        <v>41099</v>
      </c>
      <c r="J231" s="839">
        <f>J208 + J185 + J162 + J139</f>
        <v>30383</v>
      </c>
      <c r="K231" s="839">
        <f>K208 + K185 + K162 + K139</f>
        <v>25367</v>
      </c>
      <c r="L231" s="839">
        <f>L208 + L185 + L162 + L139</f>
        <v>25775</v>
      </c>
      <c r="M231" s="839">
        <f>M208 + M185 + M162 + M139</f>
        <v>32024</v>
      </c>
      <c r="N231" s="839">
        <f>N208 + N185 + N162 + N139</f>
        <v>24865</v>
      </c>
      <c r="O231" s="839">
        <f>O208 + O185 + O162 + O139</f>
        <v>21431</v>
      </c>
      <c r="P231" s="839">
        <f>P208 + P185 + P162 + P139</f>
        <v>18869</v>
      </c>
      <c r="Q231" s="839">
        <f>Q208 + Q185 + Q162 + Q139</f>
        <v>23685</v>
      </c>
      <c r="R231" s="839">
        <f>R208 + R185 + R162 + R139</f>
        <v>19118</v>
      </c>
      <c r="S231" s="839">
        <f>S208 + S185 + S162 + S139</f>
        <v>15232</v>
      </c>
      <c r="T231" s="839">
        <f>T208 + T185 + T162 + T139</f>
        <v>13423</v>
      </c>
      <c r="U231" s="839">
        <f>U208 + U185 + U162 + U139</f>
        <v>31283</v>
      </c>
      <c r="V231" s="839">
        <f>V208 + V185 + V162 + V139</f>
        <v>30152</v>
      </c>
      <c r="W231" s="839">
        <f>W208 + W185 + W162 + W139</f>
        <v>28500</v>
      </c>
      <c r="X231" s="839">
        <f>X208 + X185 + X162 + X139</f>
        <v>27607</v>
      </c>
      <c r="Y231" s="839">
        <f>Y208 + Y185 + Y162 + Y139</f>
        <v>25167</v>
      </c>
      <c r="Z231" s="839">
        <f>Z208 + Z185 + Z162 + Z139</f>
        <v>23406</v>
      </c>
      <c r="AA231" s="839">
        <f>AA208 + AA185 + AA162 + AA139</f>
        <v>24823</v>
      </c>
      <c r="AB231" s="839">
        <f>AB208 + AB185 + AB162 + AB139</f>
        <v>23524</v>
      </c>
      <c r="AC231" s="841">
        <f>AC208 + AC185 + AC162 + AC139</f>
        <v>23028</v>
      </c>
      <c r="AD231" s="841">
        <f>AD208 + AD185 + AD162 + AD139</f>
        <v>21758</v>
      </c>
      <c r="AE231" s="841">
        <f>AE208 + AE185 + AE162 + AE139</f>
        <v>21047</v>
      </c>
      <c r="AF231" s="841">
        <f>AF208 + AF185 + AF162 + AF139</f>
        <v>19848</v>
      </c>
      <c r="AG231" s="841">
        <f>AG208 + AG185 + AG162 + AG139</f>
        <v>21537</v>
      </c>
      <c r="AH231" s="841">
        <f>AH208 + AH185 + AH162 + AH139</f>
        <v>20476</v>
      </c>
      <c r="AI231" s="841">
        <f>AI208 + AI185 + AI162 + AI139</f>
        <v>20755</v>
      </c>
      <c r="AJ231" s="841">
        <f>AJ208 + AJ185 + AJ162 + AJ139</f>
        <v>19805</v>
      </c>
      <c r="AK231" s="841">
        <f>AK208 + AK185 + AK162 + AK139</f>
        <v>21078</v>
      </c>
      <c r="AL231" s="841">
        <f>AL208 + AL185 + AL162 + AL139</f>
        <v>19838</v>
      </c>
      <c r="AM231" s="841">
        <f>AM208 + AM185 + AM162 + AM139</f>
        <v>18094</v>
      </c>
      <c r="AN231" s="841">
        <f>AN208 + AN185 + AN162 + AN139</f>
        <v>18255</v>
      </c>
      <c r="AO231" s="841">
        <f>AO208 + AO185 + AO162 + AO139</f>
        <v>23277</v>
      </c>
      <c r="AP231" s="841">
        <f>AP208 + AP185 + AP162 + AP139</f>
        <v>22660</v>
      </c>
    </row>
    <row r="232" hidden="1" ht="12.75" customHeight="1">
      <c r="B232" s="842" t="s">
        <v>109</v>
      </c>
      <c r="C232" s="839">
        <f>C209 + C186 + C163 + C140</f>
        <v>449207</v>
      </c>
      <c r="D232" s="839">
        <f>D209 + D186 + D163 + D140</f>
        <v>450184</v>
      </c>
      <c r="E232" s="839">
        <f>E209 + E186 + E163 + E140</f>
        <v>438561</v>
      </c>
      <c r="F232" s="839">
        <f>F209 + F186 + F163 + F140</f>
        <v>439091</v>
      </c>
      <c r="G232" s="839">
        <f>G209 + G186 + G163 + G140</f>
        <v>439962</v>
      </c>
      <c r="H232" s="839">
        <f>H209 + H186 + H163 + H140</f>
        <v>435724</v>
      </c>
      <c r="I232" s="839">
        <f>I209 + I186 + I163 + I140</f>
        <v>450725</v>
      </c>
      <c r="J232" s="839">
        <f>J209 + J186 + J163 + J140</f>
        <v>439214</v>
      </c>
      <c r="K232" s="839">
        <f>K209 + K186 + K163 + K140</f>
        <v>437671</v>
      </c>
      <c r="L232" s="839">
        <f>L209 + L186 + L163 + L140</f>
        <v>436348</v>
      </c>
      <c r="M232" s="839">
        <f>M209 + M186 + M163 + M140</f>
        <v>411597</v>
      </c>
      <c r="N232" s="839">
        <f>N209 + N186 + N163 + N140</f>
        <v>410679</v>
      </c>
      <c r="O232" s="839">
        <f>O209 + O186 + O163 + O140</f>
        <v>394132</v>
      </c>
      <c r="P232" s="839">
        <f>P209 + P186 + P163 + P140</f>
        <v>392220</v>
      </c>
      <c r="Q232" s="839">
        <f>Q209 + Q186 + Q163 + Q140</f>
        <v>396122</v>
      </c>
      <c r="R232" s="839">
        <f>R209 + R186 + R163 + R140</f>
        <v>391194</v>
      </c>
      <c r="S232" s="839">
        <f>S209 + S186 + S163 + S140</f>
        <v>408576</v>
      </c>
      <c r="T232" s="839">
        <f>T209 + T186 + T163 + T140</f>
        <v>408537</v>
      </c>
      <c r="U232" s="839">
        <f>U209 + U186 + U163 + U140</f>
        <v>443915</v>
      </c>
      <c r="V232" s="839">
        <f>V209 + V186 + V163 + V140</f>
        <v>447235</v>
      </c>
      <c r="W232" s="839">
        <f>W209 + W186 + W163 + W140</f>
        <v>459026</v>
      </c>
      <c r="X232" s="839">
        <f>X209 + X186 + X163 + X140</f>
        <v>457883</v>
      </c>
      <c r="Y232" s="839">
        <f>Y209 + Y186 + Y163 + Y140</f>
        <v>454725</v>
      </c>
      <c r="Z232" s="839">
        <f>Z209 + Z186 + Z163 + Z140</f>
        <v>447185</v>
      </c>
      <c r="AA232" s="839">
        <f>AA209 + AA186 + AA163 + AA140</f>
        <v>439899</v>
      </c>
      <c r="AB232" s="839">
        <f>AB209 + AB186 + AB163 + AB140</f>
        <v>435178</v>
      </c>
      <c r="AC232" s="841">
        <f>AC209 + AC186 + AC163 + AC140</f>
        <v>418206</v>
      </c>
      <c r="AD232" s="841">
        <f>AD209 + AD186 + AD163 + AD140</f>
        <v>416261</v>
      </c>
      <c r="AE232" s="841">
        <f>AE209 + AE186 + AE163 + AE140</f>
        <v>397636</v>
      </c>
      <c r="AF232" s="841">
        <f>AF209 + AF186 + AF163 + AF140</f>
        <v>395682</v>
      </c>
      <c r="AG232" s="841">
        <f>AG209 + AG186 + AG163 + AG140</f>
        <v>389444</v>
      </c>
      <c r="AH232" s="841">
        <f>AH209 + AH186 + AH163 + AH140</f>
        <v>384098</v>
      </c>
      <c r="AI232" s="841">
        <f>AI209 + AI186 + AI163 + AI140</f>
        <v>359858</v>
      </c>
      <c r="AJ232" s="841">
        <f>AJ209 + AJ186 + AJ163 + AJ140</f>
        <v>352982</v>
      </c>
      <c r="AK232" s="841">
        <f>AK209 + AK186 + AK163 + AK140</f>
        <v>324498</v>
      </c>
      <c r="AL232" s="841">
        <f>AL209 + AL186 + AL163 + AL140</f>
        <v>321136</v>
      </c>
      <c r="AM232" s="841">
        <f>AM209 + AM186 + AM163 + AM140</f>
        <v>317773</v>
      </c>
      <c r="AN232" s="841">
        <f>AN209 + AN186 + AN163 + AN140</f>
        <v>315705</v>
      </c>
      <c r="AO232" s="841">
        <f>AO209 + AO186 + AO163 + AO140</f>
        <v>338422</v>
      </c>
      <c r="AP232" s="841">
        <f>AP209 + AP186 + AP163 + AP140</f>
        <v>339278</v>
      </c>
    </row>
    <row r="233" hidden="1">
      <c r="B233" s="842" t="s">
        <v>110</v>
      </c>
      <c r="C233" s="839">
        <f>C210 + C187 + C164 + C141</f>
        <v>153632</v>
      </c>
      <c r="D233" s="839">
        <f>D210 + D187 + D164 + D141</f>
        <v>154808</v>
      </c>
      <c r="E233" s="839">
        <f>E210 + E187 + E164 + E141</f>
        <v>176432</v>
      </c>
      <c r="F233" s="839">
        <f>F210 + F187 + F164 + F141</f>
        <v>177862</v>
      </c>
      <c r="G233" s="839">
        <f>G210 + G187 + G164 + G141</f>
        <v>184843</v>
      </c>
      <c r="H233" s="839">
        <f>H210 + H187 + H164 + H141</f>
        <v>184645</v>
      </c>
      <c r="I233" s="839">
        <f>I210 + I187 + I164 + I141</f>
        <v>181967</v>
      </c>
      <c r="J233" s="839">
        <f>J210 + J187 + J164 + J141</f>
        <v>165528</v>
      </c>
      <c r="K233" s="839">
        <f>K210 + K187 + K164 + K141</f>
        <v>171819</v>
      </c>
      <c r="L233" s="839">
        <f>L210 + L187 + L164 + L141</f>
        <v>166627</v>
      </c>
      <c r="M233" s="839">
        <f>M210 + M187 + M164 + M141</f>
        <v>151741</v>
      </c>
      <c r="N233" s="839">
        <f>N210 + N187 + N164 + N141</f>
        <v>146848</v>
      </c>
      <c r="O233" s="839">
        <f>O210 + O187 + O164 + O141</f>
        <v>141663</v>
      </c>
      <c r="P233" s="839">
        <f>P210 + P187 + P164 + P141</f>
        <v>138116</v>
      </c>
      <c r="Q233" s="839">
        <f>Q210 + Q187 + Q164 + Q141</f>
        <v>139164</v>
      </c>
      <c r="R233" s="839">
        <f>R210 + R187 + R164 + R141</f>
        <v>137864</v>
      </c>
      <c r="S233" s="839">
        <f>S210 + S187 + S164 + S141</f>
        <v>138215</v>
      </c>
      <c r="T233" s="839">
        <f>T210 + T187 + T164 + T141</f>
        <v>137625</v>
      </c>
      <c r="U233" s="839">
        <f>U210 + U187 + U164 + U141</f>
        <v>144309</v>
      </c>
      <c r="V233" s="839">
        <f>V210 + V187 + V164 + V141</f>
        <v>144172</v>
      </c>
      <c r="W233" s="839">
        <f>W210 + W187 + W164 + W141</f>
        <v>153379</v>
      </c>
      <c r="X233" s="839">
        <f>X210 + X187 + X164 + X141</f>
        <v>154238</v>
      </c>
      <c r="Y233" s="839">
        <f>Y210 + Y187 + Y164 + Y141</f>
        <v>156545</v>
      </c>
      <c r="Z233" s="839">
        <f>Z210 + Z187 + Z164 + Z141</f>
        <v>155441</v>
      </c>
      <c r="AA233" s="839">
        <f>AA210 + AA187 + AA164 + AA141</f>
        <v>153830</v>
      </c>
      <c r="AB233" s="839">
        <f>AB210 + AB187 + AB164 + AB141</f>
        <v>153614</v>
      </c>
      <c r="AC233" s="841">
        <f>AC210 + AC187 + AC164 + AC141</f>
        <v>146748</v>
      </c>
      <c r="AD233" s="841">
        <f>AD210 + AD187 + AD164 + AD141</f>
        <v>146365</v>
      </c>
      <c r="AE233" s="841">
        <f>AE210 + AE187 + AE164 + AE141</f>
        <v>146124</v>
      </c>
      <c r="AF233" s="841">
        <f>AF210 + AF187 + AF164 + AF141</f>
        <v>144721</v>
      </c>
      <c r="AG233" s="841">
        <f>AG210 + AG187 + AG164 + AG141</f>
        <v>148251</v>
      </c>
      <c r="AH233" s="841">
        <f>AH210 + AH187 + AH164 + AH141</f>
        <v>148533</v>
      </c>
      <c r="AI233" s="841">
        <f>AI210 + AI187 + AI164 + AI141</f>
        <v>146184</v>
      </c>
      <c r="AJ233" s="841">
        <f>AJ210 + AJ187 + AJ164 + AJ141</f>
        <v>146617</v>
      </c>
      <c r="AK233" s="841">
        <f>AK210 + AK187 + AK164 + AK141</f>
        <v>141572</v>
      </c>
      <c r="AL233" s="841">
        <f>AL210 + AL187 + AL164 + AL141</f>
        <v>139718</v>
      </c>
      <c r="AM233" s="841">
        <f>AM210 + AM187 + AM164 + AM141</f>
        <v>132663</v>
      </c>
      <c r="AN233" s="841">
        <f>AN210 + AN187 + AN164 + AN141</f>
        <v>132103</v>
      </c>
      <c r="AO233" s="841">
        <f>AO210 + AO187 + AO164 + AO141</f>
        <v>126339</v>
      </c>
      <c r="AP233" s="841">
        <f>AP210 + AP187 + AP164 + AP141</f>
        <v>127547</v>
      </c>
    </row>
    <row r="234" hidden="1" ht="12.75" customHeight="1">
      <c r="B234" s="842" t="s">
        <v>16</v>
      </c>
      <c r="C234" s="839">
        <f>C211 + C188 + C165 + C142</f>
        <v>85542</v>
      </c>
      <c r="D234" s="839">
        <f>D211 + D188 + D165 + D142</f>
        <v>97252</v>
      </c>
      <c r="E234" s="839">
        <f>E211 + E188 + E165 + E142</f>
        <v>99858</v>
      </c>
      <c r="F234" s="839">
        <f>F211 + F188 + F165 + F142</f>
        <v>99798</v>
      </c>
      <c r="G234" s="839">
        <f>G211 + G188 + G165 + G142</f>
        <v>96890</v>
      </c>
      <c r="H234" s="839">
        <f>H211 + H188 + H165 + H142</f>
        <v>97476</v>
      </c>
      <c r="I234" s="839">
        <f>I211 + I188 + I165 + I142</f>
        <v>90764</v>
      </c>
      <c r="J234" s="839">
        <f>J211 + J188 + J165 + J142</f>
        <v>89843</v>
      </c>
      <c r="K234" s="839">
        <f>K211 + K188 + K165 + K142</f>
        <v>83675</v>
      </c>
      <c r="L234" s="839">
        <f>L211 + L188 + L165 + L142</f>
        <v>82424</v>
      </c>
      <c r="M234" s="839">
        <f>M211 + M188 + M165 + M142</f>
        <v>79360</v>
      </c>
      <c r="N234" s="839">
        <f>N211 + N188 + N165 + N142</f>
        <v>77666</v>
      </c>
      <c r="O234" s="839">
        <f>O211 + O188 + O165 + O142</f>
        <v>72562</v>
      </c>
      <c r="P234" s="839">
        <f>P211 + P188 + P165 + P142</f>
        <v>63481</v>
      </c>
      <c r="Q234" s="839">
        <f>Q211 + Q188 + Q165 + Q142</f>
        <v>66075</v>
      </c>
      <c r="R234" s="839">
        <f>R211 + R188 + R165 + R142</f>
        <v>64783</v>
      </c>
      <c r="S234" s="839">
        <f>S211 + S188 + S165 + S142</f>
        <v>66675</v>
      </c>
      <c r="T234" s="839">
        <f>T211 + T188 + T165 + T142</f>
        <v>64461</v>
      </c>
      <c r="U234" s="839">
        <f>U211 + U188 + U165 + U142</f>
        <v>76351</v>
      </c>
      <c r="V234" s="839">
        <f>V211 + V188 + V165 + V142</f>
        <v>75845</v>
      </c>
      <c r="W234" s="839">
        <f>W211 + W188 + W165 + W142</f>
        <v>75845</v>
      </c>
      <c r="X234" s="839">
        <f>X211 + X188 + X165 + X142</f>
        <v>75845</v>
      </c>
      <c r="Y234" s="839">
        <f>Y211 + Y188 + Y165 + Y142</f>
        <v>75845</v>
      </c>
      <c r="Z234" s="839">
        <f>Z211 + Z188 + Z165 + Z142</f>
        <v>75845</v>
      </c>
      <c r="AA234" s="839">
        <f>AA211 + AA188 + AA165 + AA142</f>
        <v>82015</v>
      </c>
      <c r="AB234" s="839">
        <f>AB211 + AB188 + AB165 + AB142</f>
        <v>81101</v>
      </c>
      <c r="AC234" s="841">
        <f>AC211 + AC188 + AC165 + AC142</f>
        <v>78801</v>
      </c>
      <c r="AD234" s="841">
        <f>AD211 + AD188 + AD165 + AD142</f>
        <v>77570</v>
      </c>
      <c r="AE234" s="841">
        <f>AE211 + AE188 + AE165 + AE142</f>
        <v>76938</v>
      </c>
      <c r="AF234" s="841">
        <f>AF211 + AF188 + AF165 + AF142</f>
        <v>76888</v>
      </c>
      <c r="AG234" s="841">
        <f>AG211 + AG188 + AG165 + AG142</f>
        <v>79876</v>
      </c>
      <c r="AH234" s="841">
        <f>AH211 + AH188 + AH165 + AH142</f>
        <v>78891</v>
      </c>
      <c r="AI234" s="841">
        <f>AI211 + AI188 + AI165 + AI142</f>
        <v>78767</v>
      </c>
      <c r="AJ234" s="841">
        <f>AJ211 + AJ188 + AJ165 + AJ142</f>
        <v>77907</v>
      </c>
      <c r="AK234" s="841">
        <f>AK211 + AK188 + AK165 + AK142</f>
        <v>76598</v>
      </c>
      <c r="AL234" s="841">
        <f>AL211 + AL188 + AL165 + AL142</f>
        <v>76628</v>
      </c>
      <c r="AM234" s="841">
        <f>AM211 + AM188 + AM165 + AM142</f>
        <v>76722</v>
      </c>
      <c r="AN234" s="841">
        <f>AN211 + AN188 + AN165 + AN142</f>
        <v>75569</v>
      </c>
      <c r="AO234" s="841">
        <f>AO211 + AO188 + AO165 + AO142</f>
        <v>43353</v>
      </c>
      <c r="AP234" s="841">
        <f>AP211 + AP188 + AP165 + AP142</f>
        <v>43238</v>
      </c>
    </row>
    <row r="235" hidden="1">
      <c r="B235" s="842" t="s">
        <v>17</v>
      </c>
      <c r="C235" s="839">
        <f>C212 + C189 + C166 + C143</f>
        <v>356068</v>
      </c>
      <c r="D235" s="839">
        <f>D212 + D189 + D166 + D143</f>
        <v>350788</v>
      </c>
      <c r="E235" s="839">
        <f>E212 + E189 + E166 + E143</f>
        <v>344276</v>
      </c>
      <c r="F235" s="839">
        <f>F212 + F189 + F166 + F143</f>
        <v>343381</v>
      </c>
      <c r="G235" s="839">
        <f>G212 + G189 + G166 + G143</f>
        <v>340446</v>
      </c>
      <c r="H235" s="839">
        <f>H212 + H189 + H166 + H143</f>
        <v>337149</v>
      </c>
      <c r="I235" s="839">
        <f>I212 + I189 + I166 + I143</f>
        <v>339967</v>
      </c>
      <c r="J235" s="839">
        <f>J212 + J189 + J166 + J143</f>
        <v>341413</v>
      </c>
      <c r="K235" s="839">
        <f>K212 + K189 + K166 + K143</f>
        <v>333286</v>
      </c>
      <c r="L235" s="839">
        <f>L212 + L189 + L166 + L143</f>
        <v>321246</v>
      </c>
      <c r="M235" s="839">
        <f>M212 + M189 + M166 + M143</f>
        <v>302536</v>
      </c>
      <c r="N235" s="839">
        <f>N212 + N189 + N166 + N143</f>
        <v>291554</v>
      </c>
      <c r="O235" s="839">
        <f>O212 + O189 + O166 + O143</f>
        <v>282363</v>
      </c>
      <c r="P235" s="839">
        <f>P212 + P189 + P166 + P143</f>
        <v>280746</v>
      </c>
      <c r="Q235" s="839">
        <f>Q212 + Q189 + Q166 + Q143</f>
        <v>271245</v>
      </c>
      <c r="R235" s="839">
        <f>R212 + R189 + R166 + R143</f>
        <v>271626</v>
      </c>
      <c r="S235" s="839">
        <f>S212 + S189 + S166 + S143</f>
        <v>270403</v>
      </c>
      <c r="T235" s="839">
        <f>T212 + T189 + T166 + T143</f>
        <v>274284</v>
      </c>
      <c r="U235" s="839">
        <f>U212 + U189 + U166 + U143</f>
        <v>294635</v>
      </c>
      <c r="V235" s="839">
        <f>V212 + V189 + V166 + V143</f>
        <v>296878</v>
      </c>
      <c r="W235" s="839">
        <f>W212 + W189 + W166 + W143</f>
        <v>311375</v>
      </c>
      <c r="X235" s="839">
        <f>X212 + X189 + X166 + X143</f>
        <v>306278</v>
      </c>
      <c r="Y235" s="839">
        <f>Y212 + Y189 + Y166 + Y143</f>
        <v>306137</v>
      </c>
      <c r="Z235" s="839">
        <f>Z212 + Z189 + Z166 + Z143</f>
        <v>308494</v>
      </c>
      <c r="AA235" s="839">
        <f>AA212 + AA189 + AA166 + AA143</f>
        <v>302659</v>
      </c>
      <c r="AB235" s="839">
        <f>AB212 + AB189 + AB166 + AB143</f>
        <v>298991</v>
      </c>
      <c r="AC235" s="841">
        <f>AC212 + AC189 + AC166 + AC143</f>
        <v>284574</v>
      </c>
      <c r="AD235" s="841">
        <f>AD212 + AD189 + AD166 + AD143</f>
        <v>281144</v>
      </c>
      <c r="AE235" s="841">
        <f>AE212 + AE189 + AE166 + AE143</f>
        <v>277409</v>
      </c>
      <c r="AF235" s="841">
        <f>AF212 + AF189 + AF166 + AF143</f>
        <v>278262</v>
      </c>
      <c r="AG235" s="841">
        <f>AG212 + AG189 + AG166 + AG143</f>
        <v>269597</v>
      </c>
      <c r="AH235" s="841">
        <f>AH212 + AH189 + AH166 + AH143</f>
        <v>268118</v>
      </c>
      <c r="AI235" s="841">
        <f>AI212 + AI189 + AI166 + AI143</f>
        <v>260284</v>
      </c>
      <c r="AJ235" s="841">
        <f>AJ212 + AJ189 + AJ166 + AJ143</f>
        <v>257334</v>
      </c>
      <c r="AK235" s="841">
        <f>AK212 + AK189 + AK166 + AK143</f>
        <v>237729</v>
      </c>
      <c r="AL235" s="841">
        <f>AL212 + AL189 + AL166 + AL143</f>
        <v>234402</v>
      </c>
      <c r="AM235" s="841">
        <f>AM212 + AM189 + AM166 + AM143</f>
        <v>222164</v>
      </c>
      <c r="AN235" s="841">
        <f>AN212 + AN189 + AN166 + AN143</f>
        <v>221027</v>
      </c>
      <c r="AO235" s="841">
        <f>AO212 + AO189 + AO166 + AO143</f>
        <v>185005</v>
      </c>
      <c r="AP235" s="841">
        <f>AP212 + AP189 + AP166 + AP143</f>
        <v>177517</v>
      </c>
    </row>
    <row r="236" hidden="1">
      <c r="B236" s="842" t="s">
        <v>18</v>
      </c>
      <c r="C236" s="839">
        <f>C213 + C190 + C167 + C144</f>
        <v>48272</v>
      </c>
      <c r="D236" s="839">
        <f>D213 + D190 + D167 + D144</f>
        <v>49902</v>
      </c>
      <c r="E236" s="839">
        <f>E213 + E190 + E167 + E144</f>
        <v>51124</v>
      </c>
      <c r="F236" s="839">
        <f>F213 + F190 + F167 + F144</f>
        <v>54691</v>
      </c>
      <c r="G236" s="839">
        <f>G213 + G190 + G167 + G144</f>
        <v>57658</v>
      </c>
      <c r="H236" s="839">
        <f>H213 + H190 + H167 + H144</f>
        <v>61924</v>
      </c>
      <c r="I236" s="839">
        <f>I213 + I190 + I167 + I144</f>
        <v>60274</v>
      </c>
      <c r="J236" s="839">
        <f>J213 + J190 + J167 + J144</f>
        <v>58602</v>
      </c>
      <c r="K236" s="839">
        <f>K213 + K190 + K167 + K144</f>
        <v>58339</v>
      </c>
      <c r="L236" s="839">
        <f>L213 + L190 + L167 + L144</f>
        <v>57610</v>
      </c>
      <c r="M236" s="839">
        <f>M213 + M190 + M167 + M144</f>
        <v>63354</v>
      </c>
      <c r="N236" s="839">
        <f>N213 + N190 + N167 + N144</f>
        <v>60996</v>
      </c>
      <c r="O236" s="839">
        <f>O213 + O190 + O167 + O144</f>
        <v>54006</v>
      </c>
      <c r="P236" s="839">
        <f>P213 + P190 + P167 + P144</f>
        <v>48320</v>
      </c>
      <c r="Q236" s="839">
        <f>Q213 + Q190 + Q167 + Q144</f>
        <v>44882</v>
      </c>
      <c r="R236" s="839">
        <f>R213 + R190 + R167 + R144</f>
        <v>45153</v>
      </c>
      <c r="S236" s="839">
        <f>S213 + S190 + S167 + S144</f>
        <v>53252</v>
      </c>
      <c r="T236" s="839">
        <f>T213 + T190 + T167 + T144</f>
        <v>51884</v>
      </c>
      <c r="U236" s="839">
        <f>U213 + U190 + U167 + U144</f>
        <v>55986</v>
      </c>
      <c r="V236" s="839">
        <f>V213 + V190 + V167 + V144</f>
        <v>57241</v>
      </c>
      <c r="W236" s="839">
        <f>W213 + W190 + W167 + W144</f>
        <v>57965</v>
      </c>
      <c r="X236" s="839">
        <f>X213 + X190 + X167 + X144</f>
        <v>57612</v>
      </c>
      <c r="Y236" s="839">
        <f>Y213 + Y190 + Y167 + Y144</f>
        <v>56922</v>
      </c>
      <c r="Z236" s="839">
        <f>Z213 + Z190 + Z167 + Z144</f>
        <v>56363</v>
      </c>
      <c r="AA236" s="839">
        <f>AA213 + AA190 + AA167 + AA144</f>
        <v>53352</v>
      </c>
      <c r="AB236" s="839">
        <f>AB213 + AB190 + AB167 + AB144</f>
        <v>50947</v>
      </c>
      <c r="AC236" s="841">
        <f>AC213 + AC190 + AC167 + AC144</f>
        <v>48079</v>
      </c>
      <c r="AD236" s="841">
        <f>AD213 + AD190 + AD167 + AD144</f>
        <v>46635</v>
      </c>
      <c r="AE236" s="841">
        <f>AE213 + AE190 + AE167 + AE144</f>
        <v>46574</v>
      </c>
      <c r="AF236" s="841">
        <f>AF213 + AF190 + AF167 + AF144</f>
        <v>44269</v>
      </c>
      <c r="AG236" s="841">
        <f>AG213 + AG190 + AG167 + AG144</f>
        <v>47908</v>
      </c>
      <c r="AH236" s="841">
        <f>AH213 + AH190 + AH167 + AH144</f>
        <v>46943</v>
      </c>
      <c r="AI236" s="841">
        <f>AI213 + AI190 + AI167 + AI144</f>
        <v>44731</v>
      </c>
      <c r="AJ236" s="841">
        <f>AJ213 + AJ190 + AJ167 + AJ144</f>
        <v>43592</v>
      </c>
      <c r="AK236" s="841">
        <f>AK213 + AK190 + AK167 + AK144</f>
        <v>39446</v>
      </c>
      <c r="AL236" s="841">
        <f>AL213 + AL190 + AL167 + AL144</f>
        <v>38342</v>
      </c>
      <c r="AM236" s="841">
        <f>AM213 + AM190 + AM167 + AM144</f>
        <v>37210</v>
      </c>
      <c r="AN236" s="841">
        <f>AN213 + AN190 + AN167 + AN144</f>
        <v>36501</v>
      </c>
      <c r="AO236" s="841">
        <f>AO213 + AO190 + AO167 + AO144</f>
        <v>32989</v>
      </c>
      <c r="AP236" s="841">
        <f>AP213 + AP190 + AP167 + AP144</f>
        <v>31739</v>
      </c>
    </row>
    <row r="237" hidden="1">
      <c r="B237" s="842" t="s">
        <v>19</v>
      </c>
      <c r="C237" s="839">
        <f>C214 + C191 + C168 + C145</f>
        <v>17322</v>
      </c>
      <c r="D237" s="839">
        <f>D214 + D191 + D168 + D145</f>
        <v>17858</v>
      </c>
      <c r="E237" s="839">
        <f>E214 + E191 + E168 + E145</f>
        <v>20026</v>
      </c>
      <c r="F237" s="839">
        <f>F214 + F191 + F168 + F145</f>
        <v>23054</v>
      </c>
      <c r="G237" s="839">
        <f>G214 + G191 + G168 + G145</f>
        <v>24042</v>
      </c>
      <c r="H237" s="839">
        <f>H214 + H191 + H168 + H145</f>
        <v>25845</v>
      </c>
      <c r="I237" s="839">
        <f>I214 + I191 + I168 + I145</f>
        <v>25832</v>
      </c>
      <c r="J237" s="839">
        <f>J214 + J191 + J168 + J145</f>
        <v>27339</v>
      </c>
      <c r="K237" s="839">
        <f>K214 + K191 + K168 + K145</f>
        <v>27562</v>
      </c>
      <c r="L237" s="839">
        <f>L214 + L191 + L168 + L145</f>
        <v>25495</v>
      </c>
      <c r="M237" s="839">
        <f>M214 + M191 + M168 + M145</f>
        <v>26325</v>
      </c>
      <c r="N237" s="839">
        <f>N214 + N191 + N168 + N145</f>
        <v>27901</v>
      </c>
      <c r="O237" s="839">
        <f>O214 + O191 + O168 + O145</f>
        <v>27586</v>
      </c>
      <c r="P237" s="839">
        <f>P214 + P191 + P168 + P145</f>
        <v>27951</v>
      </c>
      <c r="Q237" s="839">
        <f>Q214 + Q191 + Q168 + Q145</f>
        <v>28341</v>
      </c>
      <c r="R237" s="839">
        <f>R214 + R191 + R168 + R145</f>
        <v>28540</v>
      </c>
      <c r="S237" s="839">
        <f>S214 + S191 + S168 + S145</f>
        <v>30104</v>
      </c>
      <c r="T237" s="839">
        <f>T214 + T191 + T168 + T145</f>
        <v>30521</v>
      </c>
      <c r="U237" s="839">
        <f>U214 + U191 + U168 + U145</f>
        <v>32649</v>
      </c>
      <c r="V237" s="839">
        <f>V214 + V191 + V168 + V145</f>
        <v>32852</v>
      </c>
      <c r="W237" s="839">
        <f>W214 + W191 + W168 + W145</f>
        <v>33728</v>
      </c>
      <c r="X237" s="839">
        <f>X214 + X191 + X168 + X145</f>
        <v>34142</v>
      </c>
      <c r="Y237" s="839">
        <f>Y214 + Y191 + Y168 + Y145</f>
        <v>35918</v>
      </c>
      <c r="Z237" s="839">
        <f>Z214 + Z191 + Z168 + Z145</f>
        <v>35866</v>
      </c>
      <c r="AA237" s="839">
        <f>AA214 + AA191 + AA168 + AA145</f>
        <v>36243</v>
      </c>
      <c r="AB237" s="839">
        <f>AB214 + AB191 + AB168 + AB145</f>
        <v>36410</v>
      </c>
      <c r="AC237" s="841">
        <f>AC214 + AC191 + AC168 + AC145</f>
        <v>37896</v>
      </c>
      <c r="AD237" s="841">
        <f>AD214 + AD191 + AD168 + AD145</f>
        <v>37954</v>
      </c>
      <c r="AE237" s="841">
        <f>AE214 + AE191 + AE168 + AE145</f>
        <v>36490</v>
      </c>
      <c r="AF237" s="841">
        <f>AF214 + AF191 + AF168 + AF145</f>
        <v>36429</v>
      </c>
      <c r="AG237" s="841">
        <f>AG214 + AG191 + AG168 + AG145</f>
        <v>38792</v>
      </c>
      <c r="AH237" s="841">
        <f>AH214 + AH191 + AH168 + AH145</f>
        <v>38889</v>
      </c>
      <c r="AI237" s="841">
        <f>AI214 + AI191 + AI168 + AI145</f>
        <v>36840</v>
      </c>
      <c r="AJ237" s="841">
        <f>AJ214 + AJ191 + AJ168 + AJ145</f>
        <v>32002</v>
      </c>
      <c r="AK237" s="841">
        <f>AK214 + AK191 + AK168 + AK145</f>
        <v>31894</v>
      </c>
      <c r="AL237" s="841">
        <f>AL214 + AL191 + AL168 + AL145</f>
        <v>31948</v>
      </c>
      <c r="AM237" s="841">
        <f>AM214 + AM191 + AM168 + AM145</f>
        <v>33621</v>
      </c>
      <c r="AN237" s="841">
        <f>AN214 + AN191 + AN168 + AN145</f>
        <v>33749</v>
      </c>
      <c r="AO237" s="841">
        <f>AO214 + AO191 + AO168 + AO145</f>
        <v>28355</v>
      </c>
      <c r="AP237" s="841">
        <f>AP214 + AP191 + AP168 + AP145</f>
        <v>28317</v>
      </c>
    </row>
    <row r="238" hidden="1">
      <c r="B238" s="842" t="s">
        <v>20</v>
      </c>
      <c r="C238" s="839">
        <f>C215 + C192 + C169 + C146</f>
        <v>172158</v>
      </c>
      <c r="D238" s="839">
        <f>D215 + D192 + D169 + D146</f>
        <v>187204</v>
      </c>
      <c r="E238" s="839">
        <f>E215 + E192 + E169 + E146</f>
        <v>209669</v>
      </c>
      <c r="F238" s="839">
        <f>F215 + F192 + F169 + F146</f>
        <v>190610</v>
      </c>
      <c r="G238" s="839">
        <f>G215 + G192 + G169 + G146</f>
        <v>227825</v>
      </c>
      <c r="H238" s="839">
        <f>H215 + H192 + H169 + H146</f>
        <v>265587</v>
      </c>
      <c r="I238" s="839">
        <f>I215 + I192 + I169 + I146</f>
        <v>345839</v>
      </c>
      <c r="J238" s="839">
        <f>J215 + J192 + J169 + J146</f>
        <v>386176</v>
      </c>
      <c r="K238" s="839">
        <f>K215 + K192 + K169 + K146</f>
        <v>350511</v>
      </c>
      <c r="L238" s="839">
        <f>L215 + L192 + L169 + L146</f>
        <v>365551</v>
      </c>
      <c r="M238" s="839">
        <f>M215 + M192 + M169 + M146</f>
        <v>207454</v>
      </c>
      <c r="N238" s="839">
        <f>N215 + N192 + N169 + N146</f>
        <v>328414</v>
      </c>
      <c r="O238" s="839">
        <f>O215 + O192 + O169 + O146</f>
        <v>334690</v>
      </c>
      <c r="P238" s="839">
        <f>P215 + P192 + P169 + P146</f>
        <v>349199</v>
      </c>
      <c r="Q238" s="839">
        <f>Q215 + Q192 + Q169 + Q146</f>
        <v>357088</v>
      </c>
      <c r="R238" s="839">
        <f>R215 + R192 + R169 + R146</f>
        <v>367943</v>
      </c>
      <c r="S238" s="839">
        <f>S215 + S192 + S169 + S146</f>
        <v>372679</v>
      </c>
      <c r="T238" s="839">
        <f>T215 + T192 + T169 + T146</f>
        <v>388131</v>
      </c>
      <c r="U238" s="839">
        <f>U215 + U192 + U169 + U146</f>
        <v>406673</v>
      </c>
      <c r="V238" s="839">
        <f>V215 + V192 + V169 + V146</f>
        <v>425469</v>
      </c>
      <c r="W238" s="839">
        <f>W215 + W192 + W169 + W146</f>
        <v>440028</v>
      </c>
      <c r="X238" s="839">
        <f>X215 + X192 + X169 + X146</f>
        <v>456579</v>
      </c>
      <c r="Y238" s="839">
        <f>Y215 + Y192 + Y169 + Y146</f>
        <v>266392</v>
      </c>
      <c r="Z238" s="839">
        <f>Z215 + Z192 + Z169 + Z146</f>
        <v>263315</v>
      </c>
      <c r="AA238" s="839">
        <f>AA215 + AA192 + AA169 + AA146</f>
        <v>233139</v>
      </c>
      <c r="AB238" s="839">
        <f>AB215 + AB192 + AB169 + AB146</f>
        <v>230729</v>
      </c>
      <c r="AC238" s="841">
        <f>AC215 + AC192 + AC169 + AC146</f>
        <v>225620</v>
      </c>
      <c r="AD238" s="841">
        <f>AD215 + AD192 + AD169 + AD146</f>
        <v>223255</v>
      </c>
      <c r="AE238" s="841">
        <f>AE215 + AE192 + AE169 + AE146</f>
        <v>222736</v>
      </c>
      <c r="AF238" s="841">
        <f>AF215 + AF192 + AF169 + AF146</f>
        <v>219419</v>
      </c>
      <c r="AG238" s="841">
        <f>AG215 + AG192 + AG169 + AG146</f>
        <v>216362</v>
      </c>
      <c r="AH238" s="841">
        <f>AH215 + AH192 + AH169 + AH146</f>
        <v>215552</v>
      </c>
      <c r="AI238" s="841">
        <f>AI215 + AI192 + AI169 + AI146</f>
        <v>215892</v>
      </c>
      <c r="AJ238" s="841">
        <f>AJ215 + AJ192 + AJ169 + AJ146</f>
        <v>214447</v>
      </c>
      <c r="AK238" s="841">
        <f>AK215 + AK192 + AK169 + AK146</f>
        <v>207527</v>
      </c>
      <c r="AL238" s="841">
        <f>AL215 + AL192 + AL169 + AL146</f>
        <v>204534</v>
      </c>
      <c r="AM238" s="841">
        <f>AM215 + AM192 + AM169 + AM146</f>
        <v>202218</v>
      </c>
      <c r="AN238" s="841">
        <f>AN215 + AN192 + AN169 + AN146</f>
        <v>201876</v>
      </c>
      <c r="AO238" s="841">
        <f>AO215 + AO192 + AO169 + AO146</f>
        <v>207003</v>
      </c>
      <c r="AP238" s="841">
        <f>AP215 + AP192 + AP169 + AP146</f>
        <v>224927</v>
      </c>
    </row>
    <row r="239" hidden="1">
      <c r="B239" s="842" t="s">
        <v>21</v>
      </c>
      <c r="C239" s="839">
        <f>C216 + C193 + C170 + C147</f>
        <v>8690</v>
      </c>
      <c r="D239" s="839">
        <f>D216 + D193 + D170 + D147</f>
        <v>8087</v>
      </c>
      <c r="E239" s="839">
        <f>E216 + E193 + E170 + E147</f>
        <v>8558</v>
      </c>
      <c r="F239" s="839">
        <f>F216 + F193 + F170 + F147</f>
        <v>9085</v>
      </c>
      <c r="G239" s="839">
        <f>G216 + G193 + G170 + G147</f>
        <v>9677</v>
      </c>
      <c r="H239" s="839">
        <f>H216 + H193 + H170 + H147</f>
        <v>9810</v>
      </c>
      <c r="I239" s="839">
        <f>I216 + I193 + I170 + I147</f>
        <v>10057</v>
      </c>
      <c r="J239" s="839">
        <f>J216 + J193 + J170 + J147</f>
        <v>10555</v>
      </c>
      <c r="K239" s="839">
        <f>K216 + K193 + K170 + K147</f>
        <v>11033</v>
      </c>
      <c r="L239" s="839">
        <f>L216 + L193 + L170 + L147</f>
        <v>11119</v>
      </c>
      <c r="M239" s="839">
        <f>M216 + M193 + M170 + M147</f>
        <v>11633</v>
      </c>
      <c r="N239" s="839">
        <f>N216 + N193 + N170 + N147</f>
        <v>12006</v>
      </c>
      <c r="O239" s="839">
        <f>O216 + O193 + O170 + O147</f>
        <v>12352</v>
      </c>
      <c r="P239" s="839">
        <f>P216 + P193 + P170 + P147</f>
        <v>12317</v>
      </c>
      <c r="Q239" s="839">
        <f>Q216 + Q193 + Q170 + Q147</f>
        <v>12259</v>
      </c>
      <c r="R239" s="839">
        <f>R216 + R193 + R170 + R147</f>
        <v>12482</v>
      </c>
      <c r="S239" s="839">
        <f>S216 + S193 + S170 + S147</f>
        <v>12743</v>
      </c>
      <c r="T239" s="839">
        <f>T216 + T193 + T170 + T147</f>
        <v>12676</v>
      </c>
      <c r="U239" s="839">
        <f>U216 + U193 + U170 + U147</f>
        <v>12821</v>
      </c>
      <c r="V239" s="839">
        <f>V216 + V193 + V170 + V147</f>
        <v>12596</v>
      </c>
      <c r="W239" s="839">
        <f>W216 + W193 + W170 + W147</f>
        <v>12938</v>
      </c>
      <c r="X239" s="839">
        <f>X216 + X193 + X170 + X147</f>
        <v>12882</v>
      </c>
      <c r="Y239" s="839">
        <f>Y216 + Y193 + Y170 + Y147</f>
        <v>13129</v>
      </c>
      <c r="Z239" s="839">
        <f>Z216 + Z193 + Z170 + Z147</f>
        <v>13073</v>
      </c>
      <c r="AA239" s="839">
        <f>AA216 + AA193 + AA170 + AA147</f>
        <v>12822</v>
      </c>
      <c r="AB239" s="839">
        <f>AB216 + AB193 + AB170 + AB147</f>
        <v>12974</v>
      </c>
      <c r="AC239" s="841">
        <f>AC216 + AC193 + AC170 + AC147</f>
        <v>13059</v>
      </c>
      <c r="AD239" s="841">
        <f>AD216 + AD193 + AD170 + AD147</f>
        <v>13065</v>
      </c>
      <c r="AE239" s="841">
        <f>AE216 + AE193 + AE170 + AE147</f>
        <v>12897</v>
      </c>
      <c r="AF239" s="841">
        <f>AF216 + AF193 + AF170 + AF147</f>
        <v>12744</v>
      </c>
      <c r="AG239" s="841">
        <f>AG216 + AG193 + AG170 + AG147</f>
        <v>14221</v>
      </c>
      <c r="AH239" s="841">
        <f>AH216 + AH193 + AH170 + AH147</f>
        <v>14260</v>
      </c>
      <c r="AI239" s="841">
        <f>AI216 + AI193 + AI170 + AI147</f>
        <v>14390</v>
      </c>
      <c r="AJ239" s="841">
        <f>AJ216 + AJ193 + AJ170 + AJ147</f>
        <v>14354</v>
      </c>
      <c r="AK239" s="841">
        <f>AK216 + AK193 + AK170 + AK147</f>
        <v>14460</v>
      </c>
      <c r="AL239" s="841">
        <f>AL216 + AL193 + AL170 + AL147</f>
        <v>14156</v>
      </c>
      <c r="AM239" s="841">
        <f>AM216 + AM193 + AM170 + AM147</f>
        <v>14008</v>
      </c>
      <c r="AN239" s="841">
        <f>AN216 + AN193 + AN170 + AN147</f>
        <v>13966</v>
      </c>
      <c r="AO239" s="841">
        <f>AO216 + AO193 + AO170 + AO147</f>
        <v>14611</v>
      </c>
      <c r="AP239" s="841">
        <f>AP216 + AP193 + AP170 + AP147</f>
        <v>15391</v>
      </c>
    </row>
    <row r="240" hidden="1">
      <c r="B240" s="842" t="s">
        <v>22</v>
      </c>
      <c r="C240" s="839">
        <f>C217 + C194 + C171 + C148</f>
        <v>16971</v>
      </c>
      <c r="D240" s="839">
        <f>D217 + D194 + D171 + D148</f>
        <v>16253</v>
      </c>
      <c r="E240" s="839">
        <f>E217 + E194 + E171 + E148</f>
        <v>21007</v>
      </c>
      <c r="F240" s="839">
        <f>F217 + F194 + F171 + F148</f>
        <v>20953</v>
      </c>
      <c r="G240" s="839">
        <f>G217 + G194 + G171 + G148</f>
        <v>20488</v>
      </c>
      <c r="H240" s="839">
        <f>H217 + H194 + H171 + H148</f>
        <v>20432</v>
      </c>
      <c r="I240" s="839">
        <f>I217 + I194 + I171 + I148</f>
        <v>19786</v>
      </c>
      <c r="J240" s="839">
        <f>J217 + J194 + J171 + J148</f>
        <v>19001</v>
      </c>
      <c r="K240" s="839">
        <f>K217 + K194 + K171 + K148</f>
        <v>29719</v>
      </c>
      <c r="L240" s="839">
        <f>L217 + L194 + L171 + L148</f>
        <v>17252</v>
      </c>
      <c r="M240" s="839">
        <f>M217 + M194 + M171 + M148</f>
        <v>28273</v>
      </c>
      <c r="N240" s="839">
        <f>N217 + N194 + N171 + N148</f>
        <v>29552</v>
      </c>
      <c r="O240" s="839">
        <f>O217 + O194 + O171 + O148</f>
        <v>31125</v>
      </c>
      <c r="P240" s="839">
        <f>P217 + P194 + P171 + P148</f>
        <v>31331</v>
      </c>
      <c r="Q240" s="839">
        <f>Q217 + Q194 + Q171 + Q148</f>
        <v>30243</v>
      </c>
      <c r="R240" s="839">
        <f>R217 + R194 + R171 + R148</f>
        <v>30552</v>
      </c>
      <c r="S240" s="839">
        <f>S217 + S194 + S171 + S148</f>
        <v>31688</v>
      </c>
      <c r="T240" s="839">
        <f>T217 + T194 + T171 + T148</f>
        <v>30707</v>
      </c>
      <c r="U240" s="839">
        <f>U217 + U194 + U171 + U148</f>
        <v>29781</v>
      </c>
      <c r="V240" s="839">
        <f>V217 + V194 + V171 + V148</f>
        <v>29865</v>
      </c>
      <c r="W240" s="839">
        <f>W217 + W194 + W171 + W148</f>
        <v>29132</v>
      </c>
      <c r="X240" s="839">
        <f>X217 + X194 + X171 + X148</f>
        <v>28765</v>
      </c>
      <c r="Y240" s="839">
        <f>Y217 + Y194 + Y171 + Y148</f>
        <v>28627</v>
      </c>
      <c r="Z240" s="839">
        <f>Z217 + Z194 + Z171 + Z148</f>
        <v>28691</v>
      </c>
      <c r="AA240" s="839">
        <f>AA217 + AA194 + AA171 + AA148</f>
        <v>29363</v>
      </c>
      <c r="AB240" s="839">
        <f>AB217 + AB194 + AB171 + AB148</f>
        <v>29061</v>
      </c>
      <c r="AC240" s="841">
        <f>AC217 + AC194 + AC171 + AC148</f>
        <v>28234</v>
      </c>
      <c r="AD240" s="841">
        <f>AD217 + AD194 + AD171 + AD148</f>
        <v>27960</v>
      </c>
      <c r="AE240" s="841">
        <f>AE217 + AE194 + AE171 + AE148</f>
        <v>27818</v>
      </c>
      <c r="AF240" s="841">
        <f>AF217 + AF194 + AF171 + AF148</f>
        <v>27857</v>
      </c>
      <c r="AG240" s="841">
        <f>AG217 + AG194 + AG171 + AG148</f>
        <v>28648</v>
      </c>
      <c r="AH240" s="841">
        <f>AH217 + AH194 + AH171 + AH148</f>
        <v>28209</v>
      </c>
      <c r="AI240" s="841">
        <f>AI217 + AI194 + AI171 + AI148</f>
        <v>29125</v>
      </c>
      <c r="AJ240" s="841">
        <f>AJ217 + AJ194 + AJ171 + AJ148</f>
        <v>28872</v>
      </c>
      <c r="AK240" s="841">
        <f>AK217 + AK194 + AK171 + AK148</f>
        <v>29239</v>
      </c>
      <c r="AL240" s="841">
        <f>AL217 + AL194 + AL171 + AL148</f>
        <v>28889</v>
      </c>
      <c r="AM240" s="841">
        <f>AM217 + AM194 + AM171 + AM148</f>
        <v>28867</v>
      </c>
      <c r="AN240" s="841">
        <f>AN217 + AN194 + AN171 + AN148</f>
        <v>28831</v>
      </c>
      <c r="AO240" s="841">
        <f>AO217 + AO194 + AO171 + AO148</f>
        <v>31311</v>
      </c>
      <c r="AP240" s="841">
        <f>AP217 + AP194 + AP171 + AP148</f>
        <v>32535</v>
      </c>
    </row>
    <row r="241" hidden="1">
      <c r="B241" s="842" t="s">
        <v>23</v>
      </c>
      <c r="C241" s="839">
        <f>C218 + C195 + C172 + C149</f>
        <v>12330</v>
      </c>
      <c r="D241" s="839">
        <f>D218 + D195 + D172 + D149</f>
        <v>12235</v>
      </c>
      <c r="E241" s="839">
        <f>E218 + E195 + E172 + E149</f>
        <v>12882</v>
      </c>
      <c r="F241" s="839">
        <f>F218 + F195 + F172 + F149</f>
        <v>12705</v>
      </c>
      <c r="G241" s="839">
        <f>G218 + G195 + G172 + G149</f>
        <v>12526</v>
      </c>
      <c r="H241" s="839">
        <f>H218 + H195 + H172 + H149</f>
        <v>12531</v>
      </c>
      <c r="I241" s="839">
        <f>I218 + I195 + I172 + I149</f>
        <v>12260</v>
      </c>
      <c r="J241" s="839">
        <f>J218 + J195 + J172 + J149</f>
        <v>12055</v>
      </c>
      <c r="K241" s="839">
        <f>K218 + K195 + K172 + K149</f>
        <v>11793</v>
      </c>
      <c r="L241" s="839">
        <f>L218 + L195 + L172 + L149</f>
        <v>11782</v>
      </c>
      <c r="M241" s="839">
        <f>M218 + M195 + M172 + M149</f>
        <v>11237</v>
      </c>
      <c r="N241" s="839">
        <f>N218 + N195 + N172 + N149</f>
        <v>11215</v>
      </c>
      <c r="O241" s="839">
        <f>O218 + O195 + O172 + O149</f>
        <v>11662</v>
      </c>
      <c r="P241" s="839">
        <f>P218 + P195 + P172 + P149</f>
        <v>11860</v>
      </c>
      <c r="Q241" s="839">
        <f>Q218 + Q195 + Q172 + Q149</f>
        <v>14790</v>
      </c>
      <c r="R241" s="839">
        <f>R218 + R195 + R172 + R149</f>
        <v>13973</v>
      </c>
      <c r="S241" s="839">
        <f>S218 + S195 + S172 + S149</f>
        <v>14729</v>
      </c>
      <c r="T241" s="839">
        <f>T218 + T195 + T172 + T149</f>
        <v>14345</v>
      </c>
      <c r="U241" s="839">
        <f>U218 + U195 + U172 + U149</f>
        <v>14786</v>
      </c>
      <c r="V241" s="839">
        <f>V218 + V195 + V172 + V149</f>
        <v>14755</v>
      </c>
      <c r="W241" s="839">
        <f>W218 + W195 + W172 + W149</f>
        <v>14811</v>
      </c>
      <c r="X241" s="839">
        <f>X218 + X195 + X172 + X149</f>
        <v>14795</v>
      </c>
      <c r="Y241" s="839">
        <f>Y218 + Y195 + Y172 + Y149</f>
        <v>14390</v>
      </c>
      <c r="Z241" s="839">
        <f>Z218 + Z195 + Z172 + Z149</f>
        <v>14337</v>
      </c>
      <c r="AA241" s="839">
        <f>AA218 + AA195 + AA172 + AA149</f>
        <v>12801</v>
      </c>
      <c r="AB241" s="839">
        <f>AB218 + AB195 + AB172 + AB149</f>
        <v>12785</v>
      </c>
      <c r="AC241" s="841">
        <f>AC218 + AC195 + AC172 + AC149</f>
        <v>12686</v>
      </c>
      <c r="AD241" s="841">
        <f>AD218 + AD195 + AD172 + AD149</f>
        <v>12639</v>
      </c>
      <c r="AE241" s="841">
        <f>AE218 + AE195 + AE172 + AE149</f>
        <v>11411</v>
      </c>
      <c r="AF241" s="841">
        <f>AF218 + AF195 + AF172 + AF149</f>
        <v>11408</v>
      </c>
      <c r="AG241" s="841">
        <f>AG218 + AG195 + AG172 + AG149</f>
        <v>11455</v>
      </c>
      <c r="AH241" s="841">
        <f>AH218 + AH195 + AH172 + AH149</f>
        <v>11361</v>
      </c>
      <c r="AI241" s="841">
        <f>AI218 + AI195 + AI172 + AI149</f>
        <v>10587</v>
      </c>
      <c r="AJ241" s="841">
        <f>AJ218 + AJ195 + AJ172 + AJ149</f>
        <v>10077</v>
      </c>
      <c r="AK241" s="841">
        <f>AK218 + AK195 + AK172 + AK149</f>
        <v>9038</v>
      </c>
      <c r="AL241" s="841">
        <f>AL218 + AL195 + AL172 + AL149</f>
        <v>9008</v>
      </c>
      <c r="AM241" s="841">
        <f>AM218 + AM195 + AM172 + AM149</f>
        <v>8976</v>
      </c>
      <c r="AN241" s="841">
        <f>AN218 + AN195 + AN172 + AN149</f>
        <v>8634</v>
      </c>
      <c r="AO241" s="841">
        <f>AO218 + AO195 + AO172 + AO149</f>
        <v>7087</v>
      </c>
      <c r="AP241" s="841">
        <f>AP218 + AP195 + AP172 + AP149</f>
        <v>6483</v>
      </c>
    </row>
    <row r="242" hidden="1">
      <c r="B242" s="843" t="s">
        <v>24</v>
      </c>
      <c r="C242" s="839">
        <f>C219 + C196 + C173 + C150</f>
        <v>86580</v>
      </c>
      <c r="D242" s="839">
        <f>D219 + D196 + D173 + D150</f>
        <v>86229</v>
      </c>
      <c r="E242" s="839">
        <f>E219 + E196 + E173 + E150</f>
        <v>84812</v>
      </c>
      <c r="F242" s="839">
        <f>F219 + F196 + F173 + F150</f>
        <v>85880</v>
      </c>
      <c r="G242" s="839">
        <f>G219 + G196 + G173 + G150</f>
        <v>88073</v>
      </c>
      <c r="H242" s="839">
        <f>H219 + H196 + H173 + H150</f>
        <v>86729</v>
      </c>
      <c r="I242" s="839">
        <f>I219 + I196 + I173 + I150</f>
        <v>86018</v>
      </c>
      <c r="J242" s="839">
        <f>J219 + J196 + J173 + J150</f>
        <v>84436</v>
      </c>
      <c r="K242" s="839">
        <f>K219 + K196 + K173 + K150</f>
        <v>83008</v>
      </c>
      <c r="L242" s="839">
        <f>L219 + L196 + L173 + L150</f>
        <v>81933</v>
      </c>
      <c r="M242" s="839">
        <f>M219 + M196 + M173 + M150</f>
        <v>77463</v>
      </c>
      <c r="N242" s="839">
        <f>N219 + N196 + N173 + N150</f>
        <v>74244</v>
      </c>
      <c r="O242" s="839">
        <f>O219 + O196 + O173 + O150</f>
        <v>72661</v>
      </c>
      <c r="P242" s="839">
        <f>P219 + P196 + P173 + P150</f>
        <v>72752</v>
      </c>
      <c r="Q242" s="839">
        <f>Q219 + Q196 + Q173 + Q150</f>
        <v>74703</v>
      </c>
      <c r="R242" s="839">
        <f>R219 + R196 + R173 + R150</f>
        <v>73552</v>
      </c>
      <c r="S242" s="839">
        <f>S219 + S196 + S173 + S150</f>
        <v>75454</v>
      </c>
      <c r="T242" s="839">
        <f>T219 + T196 + T173 + T150</f>
        <v>74182</v>
      </c>
      <c r="U242" s="839">
        <f>U219 + U196 + U173 + U150</f>
        <v>75489</v>
      </c>
      <c r="V242" s="839">
        <f>V219 + V196 + V173 + V150</f>
        <v>75832</v>
      </c>
      <c r="W242" s="839">
        <f>W219 + W196 + W173 + W150</f>
        <v>76399</v>
      </c>
      <c r="X242" s="839">
        <f>X219 + X196 + X173 + X150</f>
        <v>75447</v>
      </c>
      <c r="Y242" s="839">
        <f>Y219 + Y196 + Y173 + Y150</f>
        <v>76504</v>
      </c>
      <c r="Z242" s="839">
        <f>Z219 + Z196 + Z173 + Z150</f>
        <v>76869</v>
      </c>
      <c r="AA242" s="839">
        <f>AA219 + AA196 + AA173 + AA150</f>
        <v>79196</v>
      </c>
      <c r="AB242" s="839">
        <f>AB219 + AB196 + AB173 + AB150</f>
        <v>78867</v>
      </c>
      <c r="AC242" s="841">
        <f>AC219 + AC196 + AC173 + AC150</f>
        <v>85675</v>
      </c>
      <c r="AD242" s="841">
        <f>AD219 + AD196 + AD173 + AD150</f>
        <v>76215</v>
      </c>
      <c r="AE242" s="841">
        <f>AE219 + AE196 + AE173 + AE150</f>
        <v>81962</v>
      </c>
      <c r="AF242" s="841">
        <f>AF219 + AF196 + AF173 + AF150</f>
        <v>82576</v>
      </c>
      <c r="AG242" s="841">
        <f>AG219 + AG196 + AG173 + AG150</f>
        <v>75261</v>
      </c>
      <c r="AH242" s="841">
        <f>AH219 + AH196 + AH173 + AH150</f>
        <v>75596</v>
      </c>
      <c r="AI242" s="841">
        <f>AI219 + AI196 + AI173 + AI150</f>
        <v>77420</v>
      </c>
      <c r="AJ242" s="841">
        <f>AJ219 + AJ196 + AJ173 + AJ150</f>
        <v>74395</v>
      </c>
      <c r="AK242" s="841">
        <f>AK219 + AK196 + AK173 + AK150</f>
        <v>66333</v>
      </c>
      <c r="AL242" s="841">
        <f>AL219 + AL196 + AL173 + AL150</f>
        <v>64831</v>
      </c>
      <c r="AM242" s="841">
        <f>AM219 + AM196 + AM173 + AM150</f>
        <v>65374</v>
      </c>
      <c r="AN242" s="841">
        <f>AN219 + AN196 + AN173 + AN150</f>
        <v>65439</v>
      </c>
      <c r="AO242" s="841">
        <f>AO219 + AO196 + AO173 + AO150</f>
        <v>66022</v>
      </c>
      <c r="AP242" s="841">
        <f>AP219 + AP196 + AP173 + AP150</f>
        <v>67413</v>
      </c>
    </row>
    <row r="243" hidden="1">
      <c r="B243" s="842" t="s">
        <v>25</v>
      </c>
      <c r="C243" s="839">
        <f>C220 + C197 + C174 + C151</f>
        <v>0</v>
      </c>
      <c r="D243" s="839">
        <f>D220 + D197 + D174 + D151</f>
        <v>0</v>
      </c>
      <c r="E243" s="839">
        <f>E220 + E197 + E174 + E151</f>
        <v>0</v>
      </c>
      <c r="F243" s="839">
        <f>F220 + F197 + F174 + F151</f>
        <v>0</v>
      </c>
      <c r="G243" s="839">
        <f>G220 + G197 + G174 + G151</f>
        <v>0</v>
      </c>
      <c r="H243" s="839">
        <f>H220 + H197 + H174 + H151</f>
        <v>0</v>
      </c>
      <c r="I243" s="839">
        <f>I220 + I197 + I174 + I151</f>
        <v>0</v>
      </c>
      <c r="J243" s="839">
        <f>J220 + J197 + J174 + J151</f>
        <v>0</v>
      </c>
      <c r="K243" s="839">
        <f>K220 + K197 + K174 + K151</f>
        <v>0</v>
      </c>
      <c r="L243" s="839">
        <f>L220 + L197 + L174 + L151</f>
        <v>0</v>
      </c>
      <c r="M243" s="839">
        <f>M220 + M197 + M174 + M151</f>
        <v>0</v>
      </c>
      <c r="N243" s="839">
        <f>N220 + N197 + N174 + N151</f>
        <v>0</v>
      </c>
      <c r="O243" s="839">
        <f>O220 + O197 + O174 + O151</f>
        <v>0</v>
      </c>
      <c r="P243" s="839">
        <f>P220 + P197 + P174 + P151</f>
        <v>0</v>
      </c>
      <c r="Q243" s="839">
        <f>Q220 + Q197 + Q174 + Q151</f>
        <v>0</v>
      </c>
      <c r="R243" s="839">
        <f>R220 + R197 + R174 + R151</f>
        <v>0</v>
      </c>
      <c r="S243" s="839">
        <f>S220 + S197 + S174 + S151</f>
        <v>0</v>
      </c>
      <c r="T243" s="839">
        <f>T220 + T197 + T174 + T151</f>
        <v>0</v>
      </c>
      <c r="U243" s="839">
        <f>U220 + U197 + U174 + U151</f>
        <v>0</v>
      </c>
      <c r="V243" s="839">
        <f>V220 + V197 + V174 + V151</f>
        <v>0</v>
      </c>
      <c r="W243" s="839">
        <f>W220 + W197 + W174 + W151</f>
        <v>0</v>
      </c>
      <c r="X243" s="839">
        <f>X220 + X197 + X174 + X151</f>
        <v>0</v>
      </c>
      <c r="Y243" s="839">
        <f>Y220 + Y197 + Y174 + Y151</f>
        <v>0</v>
      </c>
      <c r="Z243" s="839">
        <f>Z220 + Z197 + Z174 + Z151</f>
        <v>0</v>
      </c>
      <c r="AA243" s="839">
        <f>AA220 + AA197 + AA174 + AA151</f>
        <v>0</v>
      </c>
      <c r="AB243" s="839">
        <f>AB220 + AB197 + AB174 + AB151</f>
        <v>0</v>
      </c>
      <c r="AC243" s="841">
        <f>AC220 + AC197 + AC174 + AC151</f>
        <v>0</v>
      </c>
      <c r="AD243" s="841">
        <f>AD220 + AD197 + AD174 + AD151</f>
        <v>0</v>
      </c>
      <c r="AE243" s="841">
        <f>AE220 + AE197 + AE174 + AE151</f>
        <v>0</v>
      </c>
      <c r="AF243" s="841">
        <f>AF220 + AF197 + AF174 + AF151</f>
        <v>0</v>
      </c>
      <c r="AG243" s="841">
        <f>AG220 + AG197 + AG174 + AG151</f>
        <v>0</v>
      </c>
      <c r="AH243" s="841">
        <f>AH220 + AH197 + AH174 + AH151</f>
        <v>0</v>
      </c>
      <c r="AI243" s="841">
        <f>AI220 + AI197 + AI174 + AI151</f>
        <v>0</v>
      </c>
      <c r="AJ243" s="841">
        <f>AJ220 + AJ197 + AJ174 + AJ151</f>
        <v>0</v>
      </c>
      <c r="AK243" s="841">
        <f>AK220 + AK197 + AK174 + AK151</f>
        <v>0</v>
      </c>
      <c r="AL243" s="841">
        <f>AL220 + AL197 + AL174 + AL151</f>
        <v>0</v>
      </c>
      <c r="AM243" s="841">
        <f>AM220 + AM197 + AM174 + AM151</f>
        <v>0</v>
      </c>
      <c r="AN243" s="841">
        <f>AN220 + AN197 + AN174 + AN151</f>
        <v>0</v>
      </c>
      <c r="AO243" s="841">
        <f>AO220 + AO197 + AO174 + AO151</f>
        <v>9</v>
      </c>
      <c r="AP243" s="841">
        <f>AP220 + AP197 + AP174 + AP151</f>
        <v>7</v>
      </c>
    </row>
    <row r="244" hidden="1" ht="13.5">
      <c r="B244" s="844" t="s">
        <v>26</v>
      </c>
      <c r="C244" s="839">
        <f>C221 + C198 + C175 + C152</f>
        <v>0</v>
      </c>
      <c r="D244" s="839">
        <f>D221 + D198 + D175 + D152</f>
        <v>0</v>
      </c>
      <c r="E244" s="839">
        <f>E221 + E198 + E175 + E152</f>
        <v>0</v>
      </c>
      <c r="F244" s="839">
        <f>F221 + F198 + F175 + F152</f>
        <v>0</v>
      </c>
      <c r="G244" s="839">
        <f>G221 + G198 + G175 + G152</f>
        <v>0</v>
      </c>
      <c r="H244" s="839">
        <f>H221 + H198 + H175 + H152</f>
        <v>0</v>
      </c>
      <c r="I244" s="839">
        <f>I221 + I198 + I175 + I152</f>
        <v>0</v>
      </c>
      <c r="J244" s="839">
        <f>J221 + J198 + J175 + J152</f>
        <v>0</v>
      </c>
      <c r="K244" s="839">
        <f>K221 + K198 + K175 + K152</f>
        <v>0</v>
      </c>
      <c r="L244" s="839">
        <f>L221 + L198 + L175 + L152</f>
        <v>0</v>
      </c>
      <c r="M244" s="839">
        <f>M221 + M198 + M175 + M152</f>
        <v>0</v>
      </c>
      <c r="N244" s="839">
        <f>N221 + N198 + N175 + N152</f>
        <v>0</v>
      </c>
      <c r="O244" s="839">
        <f>O221 + O198 + O175 + O152</f>
        <v>0</v>
      </c>
      <c r="P244" s="839">
        <f>P221 + P198 + P175 + P152</f>
        <v>0</v>
      </c>
      <c r="Q244" s="839">
        <f>Q221 + Q198 + Q175 + Q152</f>
        <v>0</v>
      </c>
      <c r="R244" s="839">
        <f>R221 + R198 + R175 + R152</f>
        <v>0</v>
      </c>
      <c r="S244" s="839">
        <f>S221 + S198 + S175 + S152</f>
        <v>0</v>
      </c>
      <c r="T244" s="839">
        <f>T221 + T198 + T175 + T152</f>
        <v>0</v>
      </c>
      <c r="U244" s="839">
        <f>U221 + U198 + U175 + U152</f>
        <v>0</v>
      </c>
      <c r="V244" s="839">
        <f>V221 + V198 + V175 + V152</f>
        <v>0</v>
      </c>
      <c r="W244" s="839">
        <f>W221 + W198 + W175 + W152</f>
        <v>0</v>
      </c>
      <c r="X244" s="839">
        <f>X221 + X198 + X175 + X152</f>
        <v>0</v>
      </c>
      <c r="Y244" s="839">
        <f>Y221 + Y198 + Y175 + Y152</f>
        <v>0</v>
      </c>
      <c r="Z244" s="839">
        <f>Z221 + Z198 + Z175 + Z152</f>
        <v>0</v>
      </c>
      <c r="AA244" s="839">
        <f>AA221 + AA198 + AA175 + AA152</f>
        <v>0</v>
      </c>
      <c r="AB244" s="845">
        <f>AB221 + AB198 + AB175 + AB152</f>
        <v>0</v>
      </c>
      <c r="AC244" s="841">
        <f>AC221 + AC198 + AC175 + AC152</f>
        <v>0</v>
      </c>
      <c r="AD244" s="841">
        <f>AD221 + AD198 + AD175 + AD152</f>
        <v>0</v>
      </c>
      <c r="AE244" s="841">
        <f>AE221 + AE198 + AE175 + AE152</f>
        <v>0</v>
      </c>
      <c r="AF244" s="841">
        <f>AF221 + AF198 + AF175 + AF152</f>
        <v>0</v>
      </c>
      <c r="AG244" s="841">
        <f>AG221 + AG198 + AG175 + AG152</f>
        <v>0</v>
      </c>
      <c r="AH244" s="841">
        <f>AH221 + AH198 + AH175 + AH152</f>
        <v>0</v>
      </c>
      <c r="AI244" s="841">
        <f>AI221 + AI198 + AI175 + AI152</f>
        <v>0</v>
      </c>
      <c r="AJ244" s="841">
        <f>AJ221 + AJ198 + AJ175 + AJ152</f>
        <v>0</v>
      </c>
      <c r="AK244" s="841">
        <f>AK221 + AK198 + AK175 + AK152</f>
        <v>0</v>
      </c>
      <c r="AL244" s="841">
        <f>AL221 + AL198 + AL175 + AL152</f>
        <v>0</v>
      </c>
      <c r="AM244" s="841">
        <f>AM221 + AM198 + AM175 + AM152</f>
        <v>0</v>
      </c>
      <c r="AN244" s="841">
        <f>AN221 + AN198 + AN175 + AN152</f>
        <v>0</v>
      </c>
      <c r="AO244" s="841">
        <f>AO221 + AO198 + AO175 + AO152</f>
        <v>4</v>
      </c>
      <c r="AP244" s="841">
        <f>AP221 + AP198 + AP175 + AP152</f>
        <v>4</v>
      </c>
    </row>
    <row r="245" hidden="1" ht="13.5">
      <c r="B245" s="128" t="s">
        <v>7</v>
      </c>
      <c r="C245" s="129" t="str">
        <f>IF(SUM(C226:C244)&lt;&gt;0,SUM(C226:C244),"")</f>
      </c>
      <c r="D245" s="129" t="str">
        <f ref="D245:AA245" t="shared" si="20">IF(SUM(D226:D244)&lt;&gt;0,SUM(D226:D244),"")</f>
      </c>
      <c r="E245" s="129" t="str">
        <f t="shared" si="20"/>
      </c>
      <c r="F245" s="129" t="str">
        <f t="shared" si="20"/>
      </c>
      <c r="G245" s="129" t="str">
        <f t="shared" si="20"/>
      </c>
      <c r="H245" s="129" t="str">
        <f t="shared" si="20"/>
      </c>
      <c r="I245" s="129" t="str">
        <f t="shared" si="20"/>
      </c>
      <c r="J245" s="129" t="str">
        <f t="shared" si="20"/>
      </c>
      <c r="K245" s="129" t="str">
        <f t="shared" si="20"/>
      </c>
      <c r="L245" s="129" t="str">
        <f t="shared" si="20"/>
      </c>
      <c r="M245" s="129" t="str">
        <f t="shared" si="20"/>
      </c>
      <c r="N245" s="129" t="str">
        <f t="shared" si="20"/>
      </c>
      <c r="O245" s="129" t="str">
        <f t="shared" si="20"/>
      </c>
      <c r="P245" s="129" t="str">
        <f t="shared" si="20"/>
      </c>
      <c r="Q245" s="129" t="str">
        <f t="shared" si="20"/>
      </c>
      <c r="R245" s="129" t="str">
        <f t="shared" si="20"/>
      </c>
      <c r="S245" s="129" t="str">
        <f t="shared" si="20"/>
      </c>
      <c r="T245" s="129" t="str">
        <f t="shared" si="20"/>
      </c>
      <c r="U245" s="129" t="str">
        <f t="shared" si="20"/>
      </c>
      <c r="V245" s="129" t="str">
        <f t="shared" si="20"/>
      </c>
      <c r="W245" s="129" t="str">
        <f t="shared" si="20"/>
      </c>
      <c r="X245" s="129" t="str">
        <f t="shared" si="20"/>
      </c>
      <c r="Y245" s="129" t="str">
        <f t="shared" si="20"/>
      </c>
      <c r="Z245" s="129" t="str">
        <f t="shared" si="20"/>
      </c>
      <c r="AA245" s="129" t="str">
        <f t="shared" si="20"/>
      </c>
      <c r="AB245" s="130" t="str">
        <f>IF(SUM(AB226:AB244)&lt;&gt;0,SUM(AB226:AB244),"")</f>
      </c>
      <c r="AC245" s="91" t="str">
        <f ref="AC245:CN245" t="shared" si="21">IF(SUM(AC226:AC244)&lt;&gt;0,SUM(AC226:AC244),"")</f>
      </c>
      <c r="AD245" s="91" t="str">
        <f t="shared" si="21"/>
      </c>
      <c r="AE245" s="91" t="str">
        <f t="shared" si="21"/>
      </c>
      <c r="AF245" s="91" t="str">
        <f t="shared" si="21"/>
      </c>
      <c r="AG245" s="91" t="str">
        <f t="shared" si="21"/>
      </c>
      <c r="AH245" s="91" t="str">
        <f t="shared" si="21"/>
      </c>
      <c r="AI245" s="91" t="str">
        <f t="shared" si="21"/>
      </c>
      <c r="AJ245" s="91" t="str">
        <f t="shared" si="21"/>
      </c>
      <c r="AK245" s="91" t="str">
        <f t="shared" si="21"/>
      </c>
      <c r="AL245" s="91" t="str">
        <f t="shared" si="21"/>
      </c>
      <c r="AM245" s="91" t="str">
        <f t="shared" si="21"/>
      </c>
      <c r="AN245" s="91" t="str">
        <f t="shared" si="21"/>
      </c>
      <c r="AO245" s="91" t="str">
        <f t="shared" si="21"/>
      </c>
      <c r="AP245" s="91" t="str">
        <f t="shared" si="21"/>
      </c>
      <c r="AQ245" s="91" t="str">
        <f t="shared" si="21"/>
      </c>
      <c r="AR245" s="91" t="str">
        <f t="shared" si="21"/>
      </c>
      <c r="AS245" s="91" t="str">
        <f t="shared" si="21"/>
      </c>
      <c r="AT245" s="91" t="str">
        <f t="shared" si="21"/>
      </c>
      <c r="AU245" s="91" t="str">
        <f t="shared" si="21"/>
      </c>
      <c r="AV245" s="91" t="str">
        <f t="shared" si="21"/>
      </c>
      <c r="AW245" s="91" t="str">
        <f t="shared" si="21"/>
      </c>
      <c r="AX245" s="91" t="str">
        <f t="shared" si="21"/>
      </c>
      <c r="AY245" s="91" t="str">
        <f t="shared" si="21"/>
      </c>
      <c r="AZ245" s="91" t="str">
        <f t="shared" si="21"/>
      </c>
      <c r="BA245" s="91" t="str">
        <f t="shared" si="21"/>
      </c>
      <c r="BB245" s="91" t="str">
        <f t="shared" si="21"/>
      </c>
      <c r="BC245" s="91" t="str">
        <f t="shared" si="21"/>
      </c>
      <c r="BD245" s="91" t="str">
        <f t="shared" si="21"/>
      </c>
      <c r="BE245" s="91" t="str">
        <f t="shared" si="21"/>
      </c>
      <c r="BF245" s="91" t="str">
        <f t="shared" si="21"/>
      </c>
      <c r="BG245" s="91" t="str">
        <f t="shared" si="21"/>
      </c>
      <c r="BH245" s="91" t="str">
        <f t="shared" si="21"/>
      </c>
      <c r="BI245" s="91" t="str">
        <f t="shared" si="21"/>
      </c>
      <c r="BJ245" s="91" t="str">
        <f t="shared" si="21"/>
      </c>
      <c r="BK245" s="91" t="str">
        <f t="shared" si="21"/>
      </c>
      <c r="BL245" s="91" t="str">
        <f t="shared" si="21"/>
      </c>
      <c r="BM245" s="91" t="str">
        <f t="shared" si="21"/>
      </c>
      <c r="BN245" s="91" t="str">
        <f t="shared" si="21"/>
      </c>
      <c r="BO245" s="91" t="str">
        <f t="shared" si="21"/>
      </c>
      <c r="BP245" s="91" t="str">
        <f t="shared" si="21"/>
      </c>
      <c r="BQ245" s="91" t="str">
        <f t="shared" si="21"/>
      </c>
      <c r="BR245" s="91" t="str">
        <f t="shared" si="21"/>
      </c>
      <c r="BS245" s="91" t="str">
        <f t="shared" si="21"/>
      </c>
      <c r="BT245" s="91" t="str">
        <f t="shared" si="21"/>
      </c>
      <c r="BU245" s="91" t="str">
        <f t="shared" si="21"/>
      </c>
      <c r="BV245" s="91" t="str">
        <f t="shared" si="21"/>
      </c>
      <c r="BW245" s="91" t="str">
        <f t="shared" si="21"/>
      </c>
      <c r="BX245" s="91" t="str">
        <f t="shared" si="21"/>
      </c>
      <c r="BY245" s="91" t="str">
        <f t="shared" si="21"/>
      </c>
      <c r="BZ245" s="91" t="str">
        <f t="shared" si="21"/>
      </c>
      <c r="CA245" s="91" t="str">
        <f t="shared" si="21"/>
      </c>
      <c r="CB245" s="91" t="str">
        <f t="shared" si="21"/>
      </c>
      <c r="CC245" s="91" t="str">
        <f t="shared" si="21"/>
      </c>
      <c r="CD245" s="91" t="str">
        <f t="shared" si="21"/>
      </c>
      <c r="CE245" s="91" t="str">
        <f t="shared" si="21"/>
      </c>
      <c r="CF245" s="91" t="str">
        <f t="shared" si="21"/>
      </c>
      <c r="CG245" s="91" t="str">
        <f t="shared" si="21"/>
      </c>
      <c r="CH245" s="91" t="str">
        <f t="shared" si="21"/>
      </c>
      <c r="CI245" s="91" t="str">
        <f t="shared" si="21"/>
      </c>
      <c r="CJ245" s="91" t="str">
        <f t="shared" si="21"/>
      </c>
      <c r="CK245" s="91" t="str">
        <f t="shared" si="21"/>
      </c>
      <c r="CL245" s="91" t="str">
        <f t="shared" si="21"/>
      </c>
      <c r="CM245" s="91" t="str">
        <f t="shared" si="21"/>
      </c>
      <c r="CN245" s="91" t="str">
        <f t="shared" si="21"/>
      </c>
      <c r="CO245" s="91" t="str">
        <f ref="CO245:EZ245" t="shared" si="22">IF(SUM(CO226:CO244)&lt;&gt;0,SUM(CO226:CO244),"")</f>
      </c>
      <c r="CP245" s="91" t="str">
        <f t="shared" si="22"/>
      </c>
      <c r="CQ245" s="91" t="str">
        <f t="shared" si="22"/>
      </c>
      <c r="CR245" s="91" t="str">
        <f t="shared" si="22"/>
      </c>
      <c r="CS245" s="91" t="str">
        <f t="shared" si="22"/>
      </c>
      <c r="CT245" s="91" t="str">
        <f t="shared" si="22"/>
      </c>
      <c r="CU245" s="91" t="str">
        <f t="shared" si="22"/>
      </c>
      <c r="CV245" s="91" t="str">
        <f t="shared" si="22"/>
      </c>
      <c r="CW245" s="91" t="str">
        <f t="shared" si="22"/>
      </c>
      <c r="CX245" s="91" t="str">
        <f t="shared" si="22"/>
      </c>
      <c r="CY245" s="91" t="str">
        <f t="shared" si="22"/>
      </c>
      <c r="CZ245" s="91" t="str">
        <f t="shared" si="22"/>
      </c>
      <c r="DA245" s="91" t="str">
        <f t="shared" si="22"/>
      </c>
      <c r="DB245" s="91" t="str">
        <f t="shared" si="22"/>
      </c>
      <c r="DC245" s="91" t="str">
        <f t="shared" si="22"/>
      </c>
      <c r="DD245" s="91" t="str">
        <f t="shared" si="22"/>
      </c>
      <c r="DE245" s="91" t="str">
        <f t="shared" si="22"/>
      </c>
      <c r="DF245" s="91" t="str">
        <f t="shared" si="22"/>
      </c>
      <c r="DG245" s="91" t="str">
        <f t="shared" si="22"/>
      </c>
      <c r="DH245" s="91" t="str">
        <f t="shared" si="22"/>
      </c>
      <c r="DI245" s="91" t="str">
        <f t="shared" si="22"/>
      </c>
      <c r="DJ245" s="91" t="str">
        <f t="shared" si="22"/>
      </c>
      <c r="DK245" s="91" t="str">
        <f t="shared" si="22"/>
      </c>
      <c r="DL245" s="91" t="str">
        <f t="shared" si="22"/>
      </c>
      <c r="DM245" s="91" t="str">
        <f t="shared" si="22"/>
      </c>
      <c r="DN245" s="91" t="str">
        <f t="shared" si="22"/>
      </c>
      <c r="DO245" s="91" t="str">
        <f t="shared" si="22"/>
      </c>
      <c r="DP245" s="91" t="str">
        <f t="shared" si="22"/>
      </c>
      <c r="DQ245" s="91" t="str">
        <f t="shared" si="22"/>
      </c>
      <c r="DR245" s="91" t="str">
        <f t="shared" si="22"/>
      </c>
      <c r="DS245" s="91" t="str">
        <f t="shared" si="22"/>
      </c>
      <c r="DT245" s="91" t="str">
        <f t="shared" si="22"/>
      </c>
      <c r="DU245" s="91" t="str">
        <f t="shared" si="22"/>
      </c>
      <c r="DV245" s="91" t="str">
        <f t="shared" si="22"/>
      </c>
      <c r="DW245" s="91" t="str">
        <f t="shared" si="22"/>
      </c>
      <c r="DX245" s="91" t="str">
        <f t="shared" si="22"/>
      </c>
      <c r="DY245" s="91" t="str">
        <f t="shared" si="22"/>
      </c>
      <c r="DZ245" s="91" t="str">
        <f t="shared" si="22"/>
      </c>
      <c r="EA245" s="91" t="str">
        <f t="shared" si="22"/>
      </c>
      <c r="EB245" s="91" t="str">
        <f t="shared" si="22"/>
      </c>
      <c r="EC245" s="91" t="str">
        <f t="shared" si="22"/>
      </c>
      <c r="ED245" s="91" t="str">
        <f t="shared" si="22"/>
      </c>
      <c r="EE245" s="91" t="str">
        <f t="shared" si="22"/>
      </c>
      <c r="EF245" s="91" t="str">
        <f t="shared" si="22"/>
      </c>
      <c r="EG245" s="91" t="str">
        <f t="shared" si="22"/>
      </c>
      <c r="EH245" s="91" t="str">
        <f t="shared" si="22"/>
      </c>
      <c r="EI245" s="91" t="str">
        <f t="shared" si="22"/>
      </c>
      <c r="EJ245" s="91" t="str">
        <f t="shared" si="22"/>
      </c>
      <c r="EK245" s="91" t="str">
        <f t="shared" si="22"/>
      </c>
      <c r="EL245" s="91" t="str">
        <f t="shared" si="22"/>
      </c>
      <c r="EM245" s="91" t="str">
        <f t="shared" si="22"/>
      </c>
      <c r="EN245" s="91" t="str">
        <f t="shared" si="22"/>
      </c>
      <c r="EO245" s="91" t="str">
        <f t="shared" si="22"/>
      </c>
      <c r="EP245" s="91" t="str">
        <f t="shared" si="22"/>
      </c>
      <c r="EQ245" s="91" t="str">
        <f t="shared" si="22"/>
      </c>
      <c r="ER245" s="91" t="str">
        <f t="shared" si="22"/>
      </c>
      <c r="ES245" s="91" t="str">
        <f t="shared" si="22"/>
      </c>
      <c r="ET245" s="91" t="str">
        <f t="shared" si="22"/>
      </c>
      <c r="EU245" s="91" t="str">
        <f t="shared" si="22"/>
      </c>
      <c r="EV245" s="91" t="str">
        <f t="shared" si="22"/>
      </c>
      <c r="EW245" s="91" t="str">
        <f t="shared" si="22"/>
      </c>
      <c r="EX245" s="91" t="str">
        <f t="shared" si="22"/>
      </c>
      <c r="EY245" s="91" t="str">
        <f t="shared" si="22"/>
      </c>
      <c r="EZ245" s="91" t="str">
        <f t="shared" si="22"/>
      </c>
      <c r="FA245" s="91" t="str">
        <f ref="FA245:HL245" t="shared" si="23">IF(SUM(FA226:FA244)&lt;&gt;0,SUM(FA226:FA244),"")</f>
      </c>
      <c r="FB245" s="91" t="str">
        <f t="shared" si="23"/>
      </c>
      <c r="FC245" s="91" t="str">
        <f t="shared" si="23"/>
      </c>
      <c r="FD245" s="91" t="str">
        <f t="shared" si="23"/>
      </c>
      <c r="FE245" s="91" t="str">
        <f t="shared" si="23"/>
      </c>
      <c r="FF245" s="91" t="str">
        <f t="shared" si="23"/>
      </c>
      <c r="FG245" s="91" t="str">
        <f t="shared" si="23"/>
      </c>
      <c r="FH245" s="91" t="str">
        <f t="shared" si="23"/>
      </c>
      <c r="FI245" s="91" t="str">
        <f t="shared" si="23"/>
      </c>
      <c r="FJ245" s="91" t="str">
        <f t="shared" si="23"/>
      </c>
      <c r="FK245" s="91" t="str">
        <f t="shared" si="23"/>
      </c>
      <c r="FL245" s="91" t="str">
        <f t="shared" si="23"/>
      </c>
      <c r="FM245" s="91" t="str">
        <f t="shared" si="23"/>
      </c>
      <c r="FN245" s="91" t="str">
        <f t="shared" si="23"/>
      </c>
      <c r="FO245" s="91" t="str">
        <f t="shared" si="23"/>
      </c>
      <c r="FP245" s="91" t="str">
        <f t="shared" si="23"/>
      </c>
      <c r="FQ245" s="91" t="str">
        <f t="shared" si="23"/>
      </c>
      <c r="FR245" s="91" t="str">
        <f t="shared" si="23"/>
      </c>
      <c r="FS245" s="91" t="str">
        <f t="shared" si="23"/>
      </c>
      <c r="FT245" s="91" t="str">
        <f t="shared" si="23"/>
      </c>
      <c r="FU245" s="91" t="str">
        <f t="shared" si="23"/>
      </c>
      <c r="FV245" s="91" t="str">
        <f t="shared" si="23"/>
      </c>
      <c r="FW245" s="91" t="str">
        <f t="shared" si="23"/>
      </c>
      <c r="FX245" s="91" t="str">
        <f t="shared" si="23"/>
      </c>
      <c r="FY245" s="91" t="str">
        <f t="shared" si="23"/>
      </c>
      <c r="FZ245" s="91" t="str">
        <f t="shared" si="23"/>
      </c>
      <c r="GA245" s="91" t="str">
        <f t="shared" si="23"/>
      </c>
      <c r="GB245" s="91" t="str">
        <f t="shared" si="23"/>
      </c>
      <c r="GC245" s="91" t="str">
        <f t="shared" si="23"/>
      </c>
      <c r="GD245" s="91" t="str">
        <f t="shared" si="23"/>
      </c>
      <c r="GE245" s="91" t="str">
        <f t="shared" si="23"/>
      </c>
      <c r="GF245" s="91" t="str">
        <f t="shared" si="23"/>
      </c>
      <c r="GG245" s="91" t="str">
        <f t="shared" si="23"/>
      </c>
      <c r="GH245" s="91" t="str">
        <f t="shared" si="23"/>
      </c>
      <c r="GI245" s="91" t="str">
        <f t="shared" si="23"/>
      </c>
      <c r="GJ245" s="91" t="str">
        <f t="shared" si="23"/>
      </c>
      <c r="GK245" s="91" t="str">
        <f t="shared" si="23"/>
      </c>
      <c r="GL245" s="91" t="str">
        <f t="shared" si="23"/>
      </c>
      <c r="GM245" s="91" t="str">
        <f t="shared" si="23"/>
      </c>
      <c r="GN245" s="91" t="str">
        <f t="shared" si="23"/>
      </c>
      <c r="GO245" s="91" t="str">
        <f t="shared" si="23"/>
      </c>
      <c r="GP245" s="91" t="str">
        <f t="shared" si="23"/>
      </c>
      <c r="GQ245" s="91" t="str">
        <f t="shared" si="23"/>
      </c>
      <c r="GR245" s="91" t="str">
        <f t="shared" si="23"/>
      </c>
      <c r="GS245" s="91" t="str">
        <f t="shared" si="23"/>
      </c>
      <c r="GT245" s="91" t="str">
        <f t="shared" si="23"/>
      </c>
      <c r="GU245" s="91" t="str">
        <f t="shared" si="23"/>
      </c>
      <c r="GV245" s="91" t="str">
        <f t="shared" si="23"/>
      </c>
      <c r="GW245" s="91" t="str">
        <f t="shared" si="23"/>
      </c>
      <c r="GX245" s="91" t="str">
        <f t="shared" si="23"/>
      </c>
      <c r="GY245" s="91" t="str">
        <f t="shared" si="23"/>
      </c>
      <c r="GZ245" s="91" t="str">
        <f t="shared" si="23"/>
      </c>
      <c r="HA245" s="91" t="str">
        <f t="shared" si="23"/>
      </c>
      <c r="HB245" s="91" t="str">
        <f t="shared" si="23"/>
      </c>
      <c r="HC245" s="91" t="str">
        <f t="shared" si="23"/>
      </c>
      <c r="HD245" s="91" t="str">
        <f t="shared" si="23"/>
      </c>
      <c r="HE245" s="91" t="str">
        <f t="shared" si="23"/>
      </c>
      <c r="HF245" s="91" t="str">
        <f t="shared" si="23"/>
      </c>
      <c r="HG245" s="91" t="str">
        <f t="shared" si="23"/>
      </c>
      <c r="HH245" s="91" t="str">
        <f t="shared" si="23"/>
      </c>
      <c r="HI245" s="91" t="str">
        <f t="shared" si="23"/>
      </c>
      <c r="HJ245" s="91" t="str">
        <f t="shared" si="23"/>
      </c>
      <c r="HK245" s="91" t="str">
        <f t="shared" si="23"/>
      </c>
      <c r="HL245" s="91" t="str">
        <f t="shared" si="23"/>
      </c>
      <c r="HM245" s="91" t="str">
        <f ref="HM245:IV245" t="shared" si="24">IF(SUM(HM226:HM244)&lt;&gt;0,SUM(HM226:HM244),"")</f>
      </c>
      <c r="HN245" s="91" t="str">
        <f t="shared" si="24"/>
      </c>
      <c r="HO245" s="91" t="str">
        <f t="shared" si="24"/>
      </c>
      <c r="HP245" s="91" t="str">
        <f t="shared" si="24"/>
      </c>
      <c r="HQ245" s="91" t="str">
        <f t="shared" si="24"/>
      </c>
      <c r="HR245" s="91" t="str">
        <f t="shared" si="24"/>
      </c>
      <c r="HS245" s="91" t="str">
        <f t="shared" si="24"/>
      </c>
      <c r="HT245" s="91" t="str">
        <f t="shared" si="24"/>
      </c>
      <c r="HU245" s="91" t="str">
        <f t="shared" si="24"/>
      </c>
      <c r="HV245" s="91" t="str">
        <f t="shared" si="24"/>
      </c>
      <c r="HW245" s="91" t="str">
        <f t="shared" si="24"/>
      </c>
      <c r="HX245" s="91" t="str">
        <f t="shared" si="24"/>
      </c>
      <c r="HY245" s="91" t="str">
        <f t="shared" si="24"/>
      </c>
      <c r="HZ245" s="91" t="str">
        <f t="shared" si="24"/>
      </c>
      <c r="IA245" s="91" t="str">
        <f t="shared" si="24"/>
      </c>
      <c r="IB245" s="91" t="str">
        <f t="shared" si="24"/>
      </c>
      <c r="IC245" s="91" t="str">
        <f t="shared" si="24"/>
      </c>
      <c r="ID245" s="91" t="str">
        <f t="shared" si="24"/>
      </c>
      <c r="IE245" s="91" t="str">
        <f t="shared" si="24"/>
      </c>
      <c r="IF245" s="91" t="str">
        <f t="shared" si="24"/>
      </c>
      <c r="IG245" s="91" t="str">
        <f t="shared" si="24"/>
      </c>
      <c r="IH245" s="91" t="str">
        <f t="shared" si="24"/>
      </c>
      <c r="II245" s="91" t="str">
        <f t="shared" si="24"/>
      </c>
      <c r="IJ245" s="91" t="str">
        <f t="shared" si="24"/>
      </c>
      <c r="IK245" s="91" t="str">
        <f t="shared" si="24"/>
      </c>
      <c r="IL245" s="91" t="str">
        <f t="shared" si="24"/>
      </c>
      <c r="IM245" s="91" t="str">
        <f t="shared" si="24"/>
      </c>
      <c r="IN245" s="91" t="str">
        <f t="shared" si="24"/>
      </c>
      <c r="IO245" s="91" t="str">
        <f t="shared" si="24"/>
      </c>
      <c r="IP245" s="91" t="str">
        <f t="shared" si="24"/>
      </c>
      <c r="IQ245" s="91" t="str">
        <f t="shared" si="24"/>
      </c>
      <c r="IR245" s="91" t="str">
        <f t="shared" si="24"/>
      </c>
      <c r="IS245" s="91" t="str">
        <f t="shared" si="24"/>
      </c>
      <c r="IT245" s="91" t="str">
        <f t="shared" si="24"/>
      </c>
      <c r="IU245" s="91" t="str">
        <f t="shared" si="24"/>
      </c>
      <c r="IV245" s="91" t="str">
        <f t="shared" si="24"/>
      </c>
    </row>
    <row r="246" hidden="1" ht="13.5">
      <c r="M246" s="215"/>
      <c r="N246" s="284"/>
    </row>
    <row r="247" hidden="1">
      <c r="B247" s="509" t="s">
        <v>8</v>
      </c>
      <c r="C247" s="505" t="e">
        <f>INDIRECT(ADDRESS(226,MATCH(9000000000+307,'7.1- CAPRINO (CENSO)'!226:226,1),1,,"7.1- CAPRINO (CENSO)"))</f>
        <v>#N/A</v>
      </c>
      <c r="D247" s="505"/>
      <c r="L247" s="215"/>
      <c r="M247" s="283"/>
    </row>
    <row r="248" hidden="1">
      <c r="B248" s="507" t="s">
        <v>9</v>
      </c>
      <c r="C248" s="505" t="e">
        <f>INDIRECT(ADDRESS(227,MATCH(9000000000+307,'7.1- CAPRINO (CENSO)'!227:227,1),1,,"7.1- CAPRINO (CENSO)"))</f>
        <v>#N/A</v>
      </c>
      <c r="D248" s="505"/>
      <c r="L248" s="50"/>
      <c r="M248" s="50"/>
    </row>
    <row r="249" hidden="1">
      <c r="B249" s="507" t="s">
        <v>10</v>
      </c>
      <c r="C249" s="505" t="e">
        <f>INDIRECT(ADDRESS(228,MATCH(9000000000+307,'7.1- CAPRINO (CENSO)'!228:228,1),1,,"7.1- CAPRINO (CENSO)"))</f>
        <v>#N/A</v>
      </c>
      <c r="D249" s="505"/>
      <c r="L249" s="50"/>
      <c r="M249" s="50"/>
    </row>
    <row r="250" hidden="1">
      <c r="B250" s="507" t="s">
        <v>11</v>
      </c>
      <c r="C250" s="505" t="e">
        <f>INDIRECT(ADDRESS(229,MATCH(9000000000+307,'7.1- CAPRINO (CENSO)'!229:229,1),1,,"7.1- CAPRINO (CENSO)"))</f>
        <v>#N/A</v>
      </c>
      <c r="D250" s="505"/>
    </row>
    <row r="251" hidden="1">
      <c r="B251" s="507" t="s">
        <v>12</v>
      </c>
      <c r="C251" s="505" t="e">
        <f>INDIRECT(ADDRESS(230,MATCH(9000000000+307,'7.1- CAPRINO (CENSO)'!230:230,1),1,,"7.1- CAPRINO (CENSO)"))</f>
        <v>#N/A</v>
      </c>
      <c r="D251" s="505"/>
    </row>
    <row r="252" hidden="1">
      <c r="B252" s="507" t="s">
        <v>13</v>
      </c>
      <c r="C252" s="505" t="e">
        <f>INDIRECT(ADDRESS(231,MATCH(9000000000+307,'7.1- CAPRINO (CENSO)'!231:231,1),1,,"7.1- CAPRINO (CENSO)"))</f>
        <v>#N/A</v>
      </c>
      <c r="D252" s="505"/>
    </row>
    <row r="253" hidden="1">
      <c r="B253" s="507" t="s">
        <v>109</v>
      </c>
      <c r="C253" s="505" t="e">
        <f>INDIRECT(ADDRESS(232,MATCH(9000000000+307,'7.1- CAPRINO (CENSO)'!232:232,1),1,,"7.1- CAPRINO (CENSO)"))</f>
        <v>#N/A</v>
      </c>
      <c r="D253" s="505"/>
    </row>
    <row r="254" hidden="1">
      <c r="B254" s="507" t="s">
        <v>110</v>
      </c>
      <c r="C254" s="505" t="e">
        <f>INDIRECT(ADDRESS(233,MATCH(9000000000+307,'7.1- CAPRINO (CENSO)'!233:233,1),1,,"7.1- CAPRINO (CENSO)"))</f>
        <v>#N/A</v>
      </c>
      <c r="D254" s="505"/>
    </row>
    <row r="255" hidden="1">
      <c r="B255" s="507" t="s">
        <v>16</v>
      </c>
      <c r="C255" s="505" t="e">
        <f>INDIRECT(ADDRESS(234,MATCH(9000000000+307,'7.1- CAPRINO (CENSO)'!234:234,1),1,,"7.1- CAPRINO (CENSO)"))</f>
        <v>#N/A</v>
      </c>
      <c r="D255" s="505"/>
    </row>
    <row r="256" hidden="1">
      <c r="B256" s="507" t="s">
        <v>17</v>
      </c>
      <c r="C256" s="505" t="e">
        <f>INDIRECT(ADDRESS(235,MATCH(9000000000+307,'7.1- CAPRINO (CENSO)'!235:235,1),1,,"7.1- CAPRINO (CENSO)"))</f>
        <v>#N/A</v>
      </c>
      <c r="D256" s="505"/>
    </row>
    <row r="257" hidden="1">
      <c r="B257" s="507" t="s">
        <v>18</v>
      </c>
      <c r="C257" s="505" t="e">
        <f>INDIRECT(ADDRESS(236,MATCH(9000000000+307,'7.1- CAPRINO (CENSO)'!236:236,1),1,,"7.1- CAPRINO (CENSO)"))</f>
        <v>#N/A</v>
      </c>
      <c r="D257" s="505"/>
    </row>
    <row r="258" hidden="1">
      <c r="B258" s="507" t="s">
        <v>19</v>
      </c>
      <c r="C258" s="505" t="e">
        <f>INDIRECT(ADDRESS(237,MATCH(9000000000+307,'7.1- CAPRINO (CENSO)'!237:237,1),1,,"7.1- CAPRINO (CENSO)"))</f>
        <v>#N/A</v>
      </c>
      <c r="D258" s="505"/>
    </row>
    <row r="259" hidden="1">
      <c r="B259" s="507" t="s">
        <v>20</v>
      </c>
      <c r="C259" s="505" t="e">
        <f>INDIRECT(ADDRESS(238,MATCH(9000000000+307,'7.1- CAPRINO (CENSO)'!238:238,1),1,,"7.1- CAPRINO (CENSO)"))</f>
        <v>#N/A</v>
      </c>
      <c r="D259" s="505"/>
    </row>
    <row r="260" hidden="1">
      <c r="B260" s="507" t="s">
        <v>21</v>
      </c>
      <c r="C260" s="505" t="e">
        <f>INDIRECT(ADDRESS(239,MATCH(9000000000+307,'7.1- CAPRINO (CENSO)'!239:239,1),1,,"7.1- CAPRINO (CENSO)"))</f>
        <v>#N/A</v>
      </c>
      <c r="D260" s="505"/>
    </row>
    <row r="261" hidden="1">
      <c r="B261" s="507" t="s">
        <v>22</v>
      </c>
      <c r="C261" s="505" t="e">
        <f>INDIRECT(ADDRESS(240,MATCH(9000000000+307,'7.1- CAPRINO (CENSO)'!240:240,1),1,,"7.1- CAPRINO (CENSO)"))</f>
        <v>#N/A</v>
      </c>
      <c r="D261" s="505"/>
    </row>
    <row r="262" hidden="1">
      <c r="B262" s="507" t="s">
        <v>23</v>
      </c>
      <c r="C262" s="505" t="e">
        <f>INDIRECT(ADDRESS(241,MATCH(9000000000+307,'7.1- CAPRINO (CENSO)'!241:241,1),1,,"7.1- CAPRINO (CENSO)"))</f>
        <v>#N/A</v>
      </c>
      <c r="D262" s="505"/>
    </row>
    <row r="263" hidden="1">
      <c r="B263" s="508" t="s">
        <v>24</v>
      </c>
      <c r="C263" s="505" t="e">
        <f>INDIRECT(ADDRESS(242,MATCH(9000000000+307,'7.1- CAPRINO (CENSO)'!242:242,1),1,,"7.1- CAPRINO (CENSO)"))</f>
        <v>#N/A</v>
      </c>
      <c r="D263" s="505"/>
    </row>
    <row r="264" hidden="1">
      <c r="B264" s="507" t="s">
        <v>25</v>
      </c>
      <c r="C264" s="505" t="e">
        <f>INDIRECT(ADDRESS(243,MATCH(9000000000+307,'7.1- CAPRINO (CENSO)'!243:243,1),1,,"7.1- CAPRINO (CENSO)"))</f>
        <v>#N/A</v>
      </c>
      <c r="D264" s="505"/>
    </row>
    <row r="265" hidden="1" ht="13.5">
      <c r="B265" s="506" t="s">
        <v>26</v>
      </c>
      <c r="C265" s="505" t="e">
        <f>INDIRECT(ADDRESS(244,MATCH(9000000000+307,'7.1- CAPRINO (CENSO)'!244:244,1),1,,"7.1- CAPRINO (CENSO)"))</f>
        <v>#N/A</v>
      </c>
      <c r="D265" s="505"/>
    </row>
  </sheetData>
  <sheetProtection sheet="1" autoFilter="0" objects="1" scenarios="1" sort="0" password="ed66"/>
  <mergeCells>
    <mergeCell ref="C224:AB224"/>
    <mergeCell ref="C132:AB132"/>
    <mergeCell ref="C155:AB155"/>
    <mergeCell ref="C178:AB178"/>
    <mergeCell ref="C201:AB201"/>
    <mergeCell ref="A9:D9"/>
    <mergeCell ref="C21:M21"/>
    <mergeCell ref="C23:M23"/>
    <mergeCell ref="C25:M25"/>
    <mergeCell ref="C13:M13"/>
    <mergeCell ref="C14:M14"/>
    <mergeCell ref="C17:M17"/>
    <mergeCell ref="C19:M19"/>
  </mergeCells>
  <phoneticPr fontId="44" type="noConversion"/>
  <printOptions horizontalCentered="1"/>
  <pageMargins left="0.23622047244094491" right="0.23622047244094491" top="0.98425196850393704" bottom="0.98425196850393704" header="0" footer="0"/>
  <pageSetup paperSize="9" scale="59" orientation="portrait"/>
  <headerFooter alignWithMargins="0"/>
  <rowBreaks count="1" manualBreakCount="1">
    <brk id="86" max="1048575" man="1"/>
  </rowBreaks>
  <drawing r:id="rId2"/>
  <legacyDrawing r:id="rId3"/>
  <mc:AlternateContent xmlns:mc="http://schemas.openxmlformats.org/markup-compatibility/2006">
    <mc:Choice Requires="x14">
      <controls>
        <mc:AlternateContent xmlns:mc="http://schemas.openxmlformats.org/markup-compatibility/2006">
          <mc:Choice Requires="x14">
            <control shapeId="43009" r:id="rId4" name="Drop Down 1">
              <controlPr defaultSize="0" autoLine="0" autoPict="0">
                <anchor moveWithCells="1">
                  <from>
                    <xdr:col>3</xdr:col>
                    <xdr:colOff>762000</xdr:colOff>
                    <xdr:row>7</xdr:row>
                    <xdr:rowOff>0</xdr:rowOff>
                  </from>
                  <to>
                    <xdr:col>6</xdr:col>
                    <xdr:colOff>180975</xdr:colOff>
                    <xdr:row>9</xdr:row>
                    <xdr:rowOff>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ontainsText" priority="24" operator="containsText" id="{DA944F9B-8BC8-4CD2-8CA2-F4A3E7F45E58}">
            <xm:f>NOT(ISERROR(SEARCH("",AC245)))</xm:f>
            <xm:f>""</xm:f>
            <x14:dxf>
              <numFmt numFmtId="3" formatCode="#,##0"/>
              <border>
                <left style="thin">
                  <color auto="1"/>
                </left>
                <right style="thin">
                  <color auto="1"/>
                </right>
                <top style="thin">
                  <color auto="1"/>
                </top>
                <bottom style="thin">
                  <color auto="1"/>
                </bottom>
                <vertical/>
                <horizontal/>
              </border>
            </x14:dxf>
          </x14:cfRule>
          <xm:sqref>AC245:IV245</xm:sqref>
        </x14:conditionalFormatting>
        <x14:conditionalFormatting xmlns:xm="http://schemas.microsoft.com/office/excel/2006/main">
          <x14:cfRule type="containsText" priority="23" operator="containsText" id="{385D9202-092A-4EED-9A6F-F97FA1475464}">
            <xm:f>NOT(ISERROR(SEARCH("",C226)))</xm:f>
            <xm:f>""</xm:f>
            <x14:dxf>
              <numFmt numFmtId="3" formatCode="#,##0"/>
              <border>
                <right style="thin">
                  <color auto="1"/>
                </right>
                <top style="thin">
                  <color auto="1"/>
                </top>
                <bottom style="thin">
                  <color auto="1"/>
                </bottom>
                <vertical/>
                <horizontal/>
              </border>
            </x14:dxf>
          </x14:cfRule>
          <xm:sqref>C226:IV244</xm:sqref>
        </x14:conditionalFormatting>
        <x14:conditionalFormatting xmlns:xm="http://schemas.microsoft.com/office/excel/2006/main">
          <x14:cfRule type="containsText" priority="18" operator="containsText" id="{23A95561-F1BD-42A7-98A3-7B752BA643F6}">
            <xm:f>NOT(ISERROR(SEARCH("",AD202)))</xm:f>
            <xm:f>""</xm:f>
            <x14:dxf>
              <numFmt numFmtId="3" formatCode="#,##0"/>
              <border>
                <left style="thin">
                  <color auto="1"/>
                </left>
                <right style="thin">
                  <color auto="1"/>
                </right>
                <top style="thin">
                  <color auto="1"/>
                </top>
                <bottom style="thin">
                  <color auto="1"/>
                </bottom>
                <vertical/>
                <horizontal/>
              </border>
            </x14:dxf>
          </x14:cfRule>
          <xm:sqref>AD202:AG202 AI202:AL202 AN202:AQ202 AS202:AV202 AX202:BA202 BC202:BF202 BH202:BK202 BM202:BP202 BR202:BU202 BW202:BZ202 CB202:CE202 CG202:CJ202 CL202:CO202 CQ202:CT202 CV202:CY202 DA202:DD202 DF202:DI202 DK202:DN202 DP202:DS202 DU202:DX202 DZ202:EC202 EE202:EH202 EJ202:EM202 EO202:ER202 ET202:EW202 EY202:FB202 FD202:FG202 FI202:FL202 FN202:FQ202 FS202:FV202 FX202:GA202 GC202:GF202 GH202:GK202 GM202:GP202 GR202:GU202 GW202:GZ202 HB202:HE202 HG202:HJ202 HL202:HO202 HQ202:HT202 HV202:HY202 IA202:ID202 IF202:II202 IK202:IN202 IP202:IS202 IU202:IV202</xm:sqref>
        </x14:conditionalFormatting>
        <x14:conditionalFormatting xmlns:xm="http://schemas.microsoft.com/office/excel/2006/main">
          <x14:cfRule type="containsText" priority="12" operator="containsText" id="{93DD7B20-190F-405C-9F14-BF880DBCFE19}">
            <xm:f>NOT(ISERROR(SEARCH("",AC176)))</xm:f>
            <xm:f>""</xm:f>
            <x14:dxf>
              <numFmt numFmtId="3" formatCode="#,##0"/>
              <border>
                <left style="thin">
                  <color auto="1"/>
                </left>
                <right style="thin">
                  <color auto="1"/>
                </right>
                <top style="thin">
                  <color auto="1"/>
                </top>
                <bottom style="thin">
                  <color auto="1"/>
                </bottom>
                <vertical/>
                <horizontal/>
              </border>
            </x14:dxf>
          </x14:cfRule>
          <xm:sqref>AC176:IV176</xm:sqref>
        </x14:conditionalFormatting>
        <x14:conditionalFormatting xmlns:xm="http://schemas.microsoft.com/office/excel/2006/main">
          <x14:cfRule type="containsText" priority="11" operator="containsText" id="{E108EFDE-BCFC-4CC4-8D2D-95C40017A4DC}">
            <xm:f>NOT(ISERROR(SEARCH("",C157)))</xm:f>
            <xm:f>""</xm:f>
            <x14:dxf>
              <numFmt numFmtId="3" formatCode="#,##0"/>
              <border>
                <right style="thin">
                  <color auto="1"/>
                </right>
                <top style="thin">
                  <color auto="1"/>
                </top>
                <bottom style="thin">
                  <color auto="1"/>
                </bottom>
                <vertical/>
                <horizontal/>
              </border>
            </x14:dxf>
          </x14:cfRule>
          <xm:sqref>C157:IV175</xm:sqref>
        </x14:conditionalFormatting>
        <x14:conditionalFormatting xmlns:xm="http://schemas.microsoft.com/office/excel/2006/main">
          <x14:cfRule type="containsText" priority="6" operator="containsText" id="{B79461A6-5452-420A-B311-E440AF07262E}">
            <xm:f>NOT(ISERROR(SEARCH("",AD133)))</xm:f>
            <xm:f>""</xm:f>
            <x14:dxf>
              <numFmt numFmtId="3" formatCode="#,##0"/>
              <border>
                <left style="thin">
                  <color auto="1"/>
                </left>
                <right style="thin">
                  <color auto="1"/>
                </right>
                <top style="thin">
                  <color auto="1"/>
                </top>
                <bottom style="thin">
                  <color auto="1"/>
                </bottom>
                <vertical/>
                <horizontal/>
              </border>
            </x14:dxf>
          </x14:cfRule>
          <xm:sqref>AD133:AG133 AI133:AL133 AN133:AQ133 AS133:AV133 AX133:BA133 BC133:BF133 BH133:BK133 BM133:BP133 BR133:BU133 BW133:BZ133 CB133:CE133 CG133:CJ133 CL133:CO133 CQ133:CT133 CV133:CY133 DA133:DD133 DF133:DI133 DK133:DN133 DP133:DS133 DU133:DX133 DZ133:EC133 EE133:EH133 EJ133:EM133 EO133:ER133 ET133:EW133 EY133:FB133 FD133:FG133 FI133:FL133 FN133:FQ133 FS133:FV133 FX133:GA133 GC133:GF133 GH133:GK133 GM133:GP133 GR133:GU133 GW133:GZ133 HB133:HE133 HG133:HJ133 HL133:HO133 HQ133:HT133 HV133:HY133 IA133:ID133 IF133:II133 IK133:IN133 IP133:IS133 IU133:IV133</xm:sqref>
        </x14:conditionalFormatting>
        <x14:conditionalFormatting xmlns:xm="http://schemas.microsoft.com/office/excel/2006/main">
          <x14:cfRule type="containsText" priority="22" operator="containsText" id="{E86816AC-B3A5-4F8A-9A8D-867DA674CB1F}">
            <xm:f>NOT(ISERROR(SEARCH("",AD225)))</xm:f>
            <xm:f>""</xm:f>
            <x14:dxf>
              <numFmt numFmtId="3" formatCode="#,##0"/>
              <border>
                <left style="thin">
                  <color auto="1"/>
                </left>
                <right style="thin">
                  <color auto="1"/>
                </right>
                <top style="thin">
                  <color auto="1"/>
                </top>
                <bottom style="thin">
                  <color auto="1"/>
                </bottom>
                <vertical/>
                <horizontal/>
              </border>
            </x14:dxf>
          </x14:cfRule>
          <xm:sqref>AD225:AG225 AI225:AL225 AN225:AQ225 AS225:AV225 AX225:BA225 BC225:BF225 BH225:BK225 BM225:BP225 BR225:BU225 BW225:BZ225 CB225:CE225 CG225:CJ225 CL225:CO225 CQ225:CT225 CV225:CY225 DA225:DD225 DF225:DI225 DK225:DN225 DP225:DS225 DU225:DX225 DZ225:EC225 EE225:EH225 EJ225:EM225 EO225:ER225 ET225:EW225 EY225:FB225 FD225:FG225 FI225:FL225 FN225:FQ225 FS225:FV225 FX225:GA225 GC225:GF225 GH225:GK225 GM225:GP225 GR225:GU225 GW225:GZ225 HB225:HE225 HG225:HJ225 HL225:HO225 HQ225:HT225 HV225:HY225 IA225:ID225 IF225:II225 IK225:IN225 IP225:IS225 IU225:IV225</xm:sqref>
        </x14:conditionalFormatting>
        <x14:conditionalFormatting xmlns:xm="http://schemas.microsoft.com/office/excel/2006/main">
          <x14:cfRule type="containsText" priority="21" operator="containsText" id="{EC3D9609-DE82-40CC-A837-68072F7B65CD}">
            <xm:f>NOT(ISERROR(SEARCH("",AC225)))</xm:f>
            <xm:f>""</xm:f>
            <x14:dxf>
              <numFmt numFmtId="3" formatCode="#,##0"/>
              <border>
                <left style="thin">
                  <color auto="1"/>
                </left>
                <right style="thin">
                  <color auto="1"/>
                </right>
                <top style="thin">
                  <color auto="1"/>
                </top>
                <bottom style="thin">
                  <color auto="1"/>
                </bottom>
                <vertical/>
                <horizontal/>
              </border>
            </x14:dxf>
          </x14:cfRule>
          <xm:sqref>AC225 AH225 AM225 AR225 AW225 BB225 BG225 BL225 BQ225 BV225 CA225 CF225 CK225 CP225 CU225 CZ225 DE225 DJ225 DO225 DT225 DY225 ED225 EI225 EN225 ES225 EX225 FC225 FH225 FM225 FR225 FW225 GB225 GG225 GL225 GQ225 GV225 HA225 HF225 HK225 HP225 HU225 HZ225 IE225 IJ225 IO225 IT225</xm:sqref>
        </x14:conditionalFormatting>
        <x14:conditionalFormatting xmlns:xm="http://schemas.microsoft.com/office/excel/2006/main">
          <x14:cfRule type="containsText" priority="20" operator="containsText" id="{F0FF7D38-CD35-4E74-B3E2-455C1EABA654}">
            <xm:f>NOT(ISERROR(SEARCH("",AC222)))</xm:f>
            <xm:f>""</xm:f>
            <x14:dxf>
              <numFmt numFmtId="3" formatCode="#,##0"/>
              <border>
                <left style="thin">
                  <color auto="1"/>
                </left>
                <right style="thin">
                  <color auto="1"/>
                </right>
                <top style="thin">
                  <color auto="1"/>
                </top>
                <bottom style="thin">
                  <color auto="1"/>
                </bottom>
                <vertical/>
                <horizontal/>
              </border>
            </x14:dxf>
          </x14:cfRule>
          <xm:sqref>AC222:IV222</xm:sqref>
        </x14:conditionalFormatting>
        <x14:conditionalFormatting xmlns:xm="http://schemas.microsoft.com/office/excel/2006/main">
          <x14:cfRule type="containsText" priority="19" operator="containsText" id="{D31250EE-E30C-426F-9BB5-CBF04C52FC0A}">
            <xm:f>NOT(ISERROR(SEARCH("",C203)))</xm:f>
            <xm:f>""</xm:f>
            <x14:dxf>
              <numFmt numFmtId="3" formatCode="#,##0"/>
              <border>
                <right style="thin">
                  <color auto="1"/>
                </right>
                <top style="thin">
                  <color auto="1"/>
                </top>
                <bottom style="thin">
                  <color auto="1"/>
                </bottom>
                <vertical/>
                <horizontal/>
              </border>
            </x14:dxf>
          </x14:cfRule>
          <xm:sqref>C203:IV221</xm:sqref>
        </x14:conditionalFormatting>
        <x14:conditionalFormatting xmlns:xm="http://schemas.microsoft.com/office/excel/2006/main">
          <x14:cfRule type="containsText" priority="17" operator="containsText" id="{177B3A96-9D6B-42AB-9E45-57DD1028528C}">
            <xm:f>NOT(ISERROR(SEARCH("",AC202)))</xm:f>
            <xm:f>""</xm:f>
            <x14:dxf>
              <numFmt numFmtId="3" formatCode="#,##0"/>
              <border>
                <left style="thin">
                  <color auto="1"/>
                </left>
                <right style="thin">
                  <color auto="1"/>
                </right>
                <top style="thin">
                  <color auto="1"/>
                </top>
                <bottom style="thin">
                  <color auto="1"/>
                </bottom>
                <vertical/>
                <horizontal/>
              </border>
            </x14:dxf>
          </x14:cfRule>
          <xm:sqref>AC202 AH202 AM202 AR202 AW202 BB202 BG202 BL202 BQ202 BV202 CA202 CF202 CK202 CP202 CU202 CZ202 DE202 DJ202 DO202 DT202 DY202 ED202 EI202 EN202 ES202 EX202 FC202 FH202 FM202 FR202 FW202 GB202 GG202 GL202 GQ202 GV202 HA202 HF202 HK202 HP202 HU202 HZ202 IE202 IJ202 IO202 IT202</xm:sqref>
        </x14:conditionalFormatting>
        <x14:conditionalFormatting xmlns:xm="http://schemas.microsoft.com/office/excel/2006/main">
          <x14:cfRule type="containsText" priority="16" operator="containsText" id="{0B74E3FD-930C-4F24-BF8A-44D9BD356330}">
            <xm:f>NOT(ISERROR(SEARCH("",AC199)))</xm:f>
            <xm:f>""</xm:f>
            <x14:dxf>
              <numFmt numFmtId="3" formatCode="#,##0"/>
              <border>
                <left style="thin">
                  <color auto="1"/>
                </left>
                <right style="thin">
                  <color auto="1"/>
                </right>
                <top style="thin">
                  <color auto="1"/>
                </top>
                <bottom style="thin">
                  <color auto="1"/>
                </bottom>
                <vertical/>
                <horizontal/>
              </border>
            </x14:dxf>
          </x14:cfRule>
          <xm:sqref>AC199:IV199</xm:sqref>
        </x14:conditionalFormatting>
        <x14:conditionalFormatting xmlns:xm="http://schemas.microsoft.com/office/excel/2006/main">
          <x14:cfRule type="containsText" priority="15" operator="containsText" id="{173A4FB1-C307-4CF3-813F-D4C5813B6BF0}">
            <xm:f>NOT(ISERROR(SEARCH("",C180)))</xm:f>
            <xm:f>""</xm:f>
            <x14:dxf>
              <numFmt numFmtId="3" formatCode="#,##0"/>
              <border>
                <right style="thin">
                  <color auto="1"/>
                </right>
                <top style="thin">
                  <color auto="1"/>
                </top>
                <bottom style="thin">
                  <color auto="1"/>
                </bottom>
                <vertical/>
                <horizontal/>
              </border>
            </x14:dxf>
          </x14:cfRule>
          <xm:sqref>C180:IV198</xm:sqref>
        </x14:conditionalFormatting>
        <x14:conditionalFormatting xmlns:xm="http://schemas.microsoft.com/office/excel/2006/main">
          <x14:cfRule type="containsText" priority="14" operator="containsText" id="{E616FA87-8C0A-4EBE-97CB-8E8D09E995BE}">
            <xm:f>NOT(ISERROR(SEARCH("",AD179)))</xm:f>
            <xm:f>""</xm:f>
            <x14:dxf>
              <numFmt numFmtId="3" formatCode="#,##0"/>
              <border>
                <left style="thin">
                  <color auto="1"/>
                </left>
                <right style="thin">
                  <color auto="1"/>
                </right>
                <top style="thin">
                  <color auto="1"/>
                </top>
                <bottom style="thin">
                  <color auto="1"/>
                </bottom>
                <vertical/>
                <horizontal/>
              </border>
            </x14:dxf>
          </x14:cfRule>
          <xm:sqref>AD179:AG179 AI179:AL179 AN179:AQ179 AS179:AV179 AX179:BA179 BC179:BF179 BH179:BK179 BM179:BP179 BR179:BU179 BW179:BZ179 CB179:CE179 CG179:CJ179 CL179:CO179 CQ179:CT179 CV179:CY179 DA179:DD179 DF179:DI179 DK179:DN179 DP179:DS179 DU179:DX179 DZ179:EC179 EE179:EH179 EJ179:EM179 EO179:ER179 ET179:EW179 EY179:FB179 FD179:FG179 FI179:FL179 FN179:FQ179 FS179:FV179 FX179:GA179 GC179:GF179 GH179:GK179 GM179:GP179 GR179:GU179 GW179:GZ179 HB179:HE179 HG179:HJ179 HL179:HO179 HQ179:HT179 HV179:HY179 IA179:ID179 IF179:II179 IK179:IN179 IP179:IS179 IU179:IV179</xm:sqref>
        </x14:conditionalFormatting>
        <x14:conditionalFormatting xmlns:xm="http://schemas.microsoft.com/office/excel/2006/main">
          <x14:cfRule type="containsText" priority="13" operator="containsText" id="{B0F8DBAE-A037-4447-B7BA-A348151955F0}">
            <xm:f>NOT(ISERROR(SEARCH("",AC179)))</xm:f>
            <xm:f>""</xm:f>
            <x14:dxf>
              <numFmt numFmtId="3" formatCode="#,##0"/>
              <border>
                <left style="thin">
                  <color auto="1"/>
                </left>
                <right style="thin">
                  <color auto="1"/>
                </right>
                <top style="thin">
                  <color auto="1"/>
                </top>
                <bottom style="thin">
                  <color auto="1"/>
                </bottom>
                <vertical/>
                <horizontal/>
              </border>
            </x14:dxf>
          </x14:cfRule>
          <xm:sqref>AC179 AH179 AM179 AR179 AW179 BB179 BG179 BL179 BQ179 BV179 CA179 CF179 CK179 CP179 CU179 CZ179 DE179 DJ179 DO179 DT179 DY179 ED179 EI179 EN179 ES179 EX179 FC179 FH179 FM179 FR179 FW179 GB179 GG179 GL179 GQ179 GV179 HA179 HF179 HK179 HP179 HU179 HZ179 IE179 IJ179 IO179 IT179</xm:sqref>
        </x14:conditionalFormatting>
        <x14:conditionalFormatting xmlns:xm="http://schemas.microsoft.com/office/excel/2006/main">
          <x14:cfRule type="containsText" priority="10" operator="containsText" id="{10630BA6-3E54-4D41-A134-A2BFD8DC92FE}">
            <xm:f>NOT(ISERROR(SEARCH("",AD156)))</xm:f>
            <xm:f>""</xm:f>
            <x14:dxf>
              <numFmt numFmtId="3" formatCode="#,##0"/>
              <border>
                <left style="thin">
                  <color auto="1"/>
                </left>
                <right style="thin">
                  <color auto="1"/>
                </right>
                <top style="thin">
                  <color auto="1"/>
                </top>
                <bottom style="thin">
                  <color auto="1"/>
                </bottom>
                <vertical/>
                <horizontal/>
              </border>
            </x14:dxf>
          </x14:cfRule>
          <xm:sqref>AD156:AG156 AI156:AL156 AN156:AQ156 AS156:AV156 AX156:BA156 BC156:BF156 BH156:BK156 BM156:BP156 BR156:BU156 BW156:BZ156 CB156:CE156 CG156:CJ156 CL156:CO156 CQ156:CT156 CV156:CY156 DA156:DD156 DF156:DI156 DK156:DN156 DP156:DS156 DU156:DX156 DZ156:EC156 EE156:EH156 EJ156:EM156 EO156:ER156 ET156:EW156 EY156:FB156 FD156:FG156 FI156:FL156 FN156:FQ156 FS156:FV156 FX156:GA156 GC156:GF156 GH156:GK156 GM156:GP156 GR156:GU156 GW156:GZ156 HB156:HE156 HG156:HJ156 HL156:HO156 HQ156:HT156 HV156:HY156 IA156:ID156 IF156:II156 IK156:IN156 IP156:IS156 IU156:IV156</xm:sqref>
        </x14:conditionalFormatting>
        <x14:conditionalFormatting xmlns:xm="http://schemas.microsoft.com/office/excel/2006/main">
          <x14:cfRule type="containsText" priority="9" operator="containsText" id="{410EE8B7-E1F6-49C7-92C7-970EB82BF213}">
            <xm:f>NOT(ISERROR(SEARCH("",AC156)))</xm:f>
            <xm:f>""</xm:f>
            <x14:dxf>
              <numFmt numFmtId="3" formatCode="#,##0"/>
              <border>
                <left style="thin">
                  <color auto="1"/>
                </left>
                <right style="thin">
                  <color auto="1"/>
                </right>
                <top style="thin">
                  <color auto="1"/>
                </top>
                <bottom style="thin">
                  <color auto="1"/>
                </bottom>
                <vertical/>
                <horizontal/>
              </border>
            </x14:dxf>
          </x14:cfRule>
          <xm:sqref>AC156 AH156 AM156 AR156 AW156 BB156 BG156 BL156 BQ156 BV156 CA156 CF156 CK156 CP156 CU156 CZ156 DE156 DJ156 DO156 DT156 DY156 ED156 EI156 EN156 ES156 EX156 FC156 FH156 FM156 FR156 FW156 GB156 GG156 GL156 GQ156 GV156 HA156 HF156 HK156 HP156 HU156 HZ156 IE156 IJ156 IO156 IT156</xm:sqref>
        </x14:conditionalFormatting>
        <x14:conditionalFormatting xmlns:xm="http://schemas.microsoft.com/office/excel/2006/main">
          <x14:cfRule type="containsText" priority="8" operator="containsText" id="{F7710923-53E8-4843-A500-4A531104D5C8}">
            <xm:f>NOT(ISERROR(SEARCH("",AC153)))</xm:f>
            <xm:f>""</xm:f>
            <x14:dxf>
              <numFmt numFmtId="3" formatCode="#,##0"/>
              <border>
                <left style="thin">
                  <color auto="1"/>
                </left>
                <right style="thin">
                  <color auto="1"/>
                </right>
                <top style="thin">
                  <color auto="1"/>
                </top>
                <bottom style="thin">
                  <color auto="1"/>
                </bottom>
                <vertical/>
                <horizontal/>
              </border>
            </x14:dxf>
          </x14:cfRule>
          <xm:sqref>AC153:IV153</xm:sqref>
        </x14:conditionalFormatting>
        <x14:conditionalFormatting xmlns:xm="http://schemas.microsoft.com/office/excel/2006/main">
          <x14:cfRule type="containsText" priority="7" operator="containsText" id="{736677E4-ACBD-47C0-8484-AB9B6B3BCC5A}">
            <xm:f>NOT(ISERROR(SEARCH("",C134)))</xm:f>
            <xm:f>""</xm:f>
            <x14:dxf>
              <numFmt numFmtId="3" formatCode="#,##0"/>
              <border>
                <right style="thin">
                  <color auto="1"/>
                </right>
                <top style="thin">
                  <color auto="1"/>
                </top>
                <bottom style="thin">
                  <color auto="1"/>
                </bottom>
                <vertical/>
                <horizontal/>
              </border>
            </x14:dxf>
          </x14:cfRule>
          <xm:sqref>C134:IV152</xm:sqref>
        </x14:conditionalFormatting>
        <x14:conditionalFormatting xmlns:xm="http://schemas.microsoft.com/office/excel/2006/main">
          <x14:cfRule type="containsText" priority="5" operator="containsText" id="{659277E3-159F-40B5-AADD-A079AFCD9649}">
            <xm:f>NOT(ISERROR(SEARCH("",AC133)))</xm:f>
            <xm:f>""</xm:f>
            <x14:dxf>
              <numFmt numFmtId="3" formatCode="#,##0"/>
              <border>
                <left style="thin">
                  <color auto="1"/>
                </left>
                <right style="thin">
                  <color auto="1"/>
                </right>
                <top style="thin">
                  <color auto="1"/>
                </top>
                <bottom style="thin">
                  <color auto="1"/>
                </bottom>
                <vertical/>
                <horizontal/>
              </border>
            </x14:dxf>
          </x14:cfRule>
          <xm:sqref>AC133 AH133 AM133 AR133 AW133 BB133 BG133 BL133 BQ133 BV133 CA133 CF133 CK133 CP133 CU133 CZ133 DE133 DJ133 DO133 DT133 DY133 ED133 EI133 EN133 ES133 EX133 FC133 FH133 FM133 FR133 FW133 GB133 GG133 GL133 GQ133 GV133 HA133 HF133 HK133 HP133 HU133 HZ133 IE133 IJ133 IO133 IT133</xm:sqref>
        </x14:conditionalFormatting>
        <x14:conditionalFormatting xmlns:xm="http://schemas.microsoft.com/office/excel/2006/main">
          <x14:cfRule type="containsText" priority="2" operator="containsText" id="{B136E10A-93C7-4931-8945-21C76D2CF41E}">
            <xm:f>NOT(ISERROR(SEARCH("",C247)))</xm:f>
            <xm:f>""</xm:f>
            <x14:dxf>
              <numFmt numFmtId="3" formatCode="#,##0"/>
              <border>
                <right style="thin">
                  <color auto="1"/>
                </right>
                <top style="thin">
                  <color auto="1"/>
                </top>
                <bottom style="thin">
                  <color auto="1"/>
                </bottom>
                <vertical/>
                <horizontal/>
              </border>
            </x14:dxf>
          </x14:cfRule>
          <xm:sqref>C247:C265</xm:sqref>
        </x14:conditionalFormatting>
        <x14:conditionalFormatting xmlns:xm="http://schemas.microsoft.com/office/excel/2006/main">
          <x14:cfRule type="containsText" priority="1" operator="containsText" id="{B451847F-3E7F-4BE3-BF7E-7D8421A7F1BC}">
            <xm:f>NOT(ISERROR(SEARCH("",D247)))</xm:f>
            <xm:f>""</xm:f>
            <x14:dxf>
              <numFmt numFmtId="3" formatCode="#,##0"/>
              <border>
                <right style="thin">
                  <color auto="1"/>
                </right>
                <top style="thin">
                  <color auto="1"/>
                </top>
                <bottom style="thin">
                  <color auto="1"/>
                </bottom>
                <vertical/>
                <horizontal/>
              </border>
            </x14:dxf>
          </x14:cfRule>
          <xm:sqref>D247:D265</xm:sqref>
        </x14:conditionalFormatting>
      </x14:conditionalFormatting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mc:Ignorable="x14ac xr">
  <sheetPr codeName="Hoja13">
    <tabColor indexed="46"/>
  </sheetPr>
  <dimension ref="A1:IV295"/>
  <sheetViews>
    <sheetView showGridLines="0" view="pageBreakPreview" zoomScaleNormal="100" workbookViewId="0">
      <pane ySplit="9" topLeftCell="A10" activePane="bottomLeft" state="frozen"/>
      <selection pane="bottomLeft" activeCell="A7" sqref="A7"/>
    </sheetView>
  </sheetViews>
  <sheetFormatPr baseColWidth="10" defaultRowHeight="12.75"/>
  <cols>
    <col min="1" max="1" width="7.140625" customWidth="1" style="51"/>
    <col min="2" max="2" bestFit="1" width="17.42578125" customWidth="1" style="51"/>
    <col min="3" max="11" width="11.7109375" customWidth="1" style="51"/>
    <col min="12" max="12" width="11.42578125" customWidth="1" style="51"/>
    <col min="13" max="13" width="14" customWidth="1" style="51"/>
    <col min="14" max="14" bestFit="1" width="12.28515625" customWidth="1" style="51"/>
    <col min="15" max="15" width="11.42578125" customWidth="1" style="51"/>
    <col min="16" max="16" width="14.5703125" customWidth="1" style="51"/>
    <col min="17" max="16384" width="11.42578125" customWidth="1" style="51"/>
  </cols>
  <sheetData>
    <row r="1">
      <c r="A1" s="46"/>
      <c r="B1" s="47"/>
      <c r="C1" s="47"/>
      <c r="D1" s="47"/>
      <c r="E1" s="47"/>
      <c r="F1" s="47"/>
      <c r="G1" s="47"/>
      <c r="H1" s="47"/>
      <c r="I1" s="47"/>
      <c r="J1" s="47"/>
      <c r="K1" s="47"/>
      <c r="L1" s="47"/>
      <c r="M1" s="47"/>
      <c r="N1" s="47"/>
      <c r="O1" s="47"/>
      <c r="P1" s="48"/>
    </row>
    <row r="2">
      <c r="A2" s="52"/>
      <c r="B2" s="49"/>
      <c r="C2" s="49"/>
      <c r="D2" s="49"/>
      <c r="E2" s="49"/>
      <c r="F2" s="49"/>
      <c r="G2" s="49"/>
      <c r="H2" s="49"/>
      <c r="I2" s="49"/>
      <c r="J2" s="49"/>
      <c r="K2" s="49"/>
      <c r="L2" s="49"/>
      <c r="M2" s="49"/>
      <c r="N2" s="49"/>
      <c r="O2" s="49"/>
      <c r="P2" s="53"/>
    </row>
    <row r="3">
      <c r="A3" s="52"/>
      <c r="B3" s="49"/>
      <c r="C3" s="49"/>
      <c r="D3" s="49"/>
      <c r="E3" s="49"/>
      <c r="F3" s="49"/>
      <c r="G3" s="49"/>
      <c r="H3" s="49"/>
      <c r="I3" s="49"/>
      <c r="J3" s="49"/>
      <c r="K3" s="49"/>
      <c r="L3" s="49"/>
      <c r="M3" s="49"/>
      <c r="N3" s="49"/>
      <c r="O3" s="49"/>
      <c r="P3" s="53"/>
    </row>
    <row r="4">
      <c r="A4" s="52"/>
      <c r="B4" s="49"/>
      <c r="C4" s="49"/>
      <c r="D4" s="49"/>
      <c r="E4" s="49"/>
      <c r="F4" s="49"/>
      <c r="G4" s="49"/>
      <c r="H4" s="49"/>
      <c r="I4" s="49"/>
      <c r="J4" s="49"/>
      <c r="K4" s="49"/>
      <c r="L4" s="49"/>
      <c r="M4" s="49"/>
      <c r="N4" s="49"/>
      <c r="O4" s="49"/>
      <c r="P4" s="53"/>
    </row>
    <row r="5">
      <c r="A5" s="52"/>
      <c r="B5" s="49"/>
      <c r="C5" s="49"/>
      <c r="D5" s="49"/>
      <c r="E5" s="49"/>
      <c r="F5" s="49"/>
      <c r="G5" s="49"/>
      <c r="H5" s="49"/>
      <c r="I5" s="49"/>
      <c r="J5" s="49"/>
      <c r="K5" s="49"/>
      <c r="L5" s="49"/>
      <c r="M5" s="49"/>
      <c r="N5" s="49"/>
      <c r="O5" s="49"/>
      <c r="P5" s="53"/>
    </row>
    <row r="6" ht="13.5">
      <c r="A6" s="54"/>
      <c r="B6" s="55"/>
      <c r="C6" s="55"/>
      <c r="D6" s="55"/>
      <c r="E6" s="55"/>
      <c r="F6" s="55"/>
      <c r="G6" s="55"/>
      <c r="H6" s="55"/>
      <c r="I6" s="55"/>
      <c r="J6" s="55"/>
      <c r="K6" s="55"/>
      <c r="L6" s="55"/>
      <c r="M6" s="55"/>
      <c r="N6" s="55"/>
      <c r="O6" s="55"/>
      <c r="P6" s="56"/>
    </row>
    <row r="7" s="57" customFormat="1"/>
    <row r="8">
      <c r="F8" s="131">
        <v>20</v>
      </c>
      <c r="I8" s="51" t="s">
        <v>100</v>
      </c>
      <c r="J8" s="51" t="e">
        <f>LOOKUP(AUX!$E$10,AUX!$B:$B,AUX!$A:$A)</f>
        <v>#N/A</v>
      </c>
    </row>
    <row r="9">
      <c r="B9" s="597" t="s">
        <v>101</v>
      </c>
      <c r="C9" s="597"/>
      <c r="D9" s="597"/>
      <c r="E9" s="597"/>
      <c r="I9" s="51" t="s">
        <v>1</v>
      </c>
      <c r="J9" s="51" t="str">
        <f>LOOKUP(AUX!$E$11,AUX!$E1:$E5,AUX!$D1:$D5)</f>
        <v>6 meses</v>
      </c>
    </row>
    <row r="12" ht="13.5"/>
    <row r="13" ht="16.5" customHeight="1">
      <c r="C13" s="680" t="s">
        <v>94</v>
      </c>
      <c r="D13" s="681"/>
      <c r="E13" s="681"/>
      <c r="F13" s="681"/>
      <c r="G13" s="681"/>
      <c r="H13" s="681"/>
      <c r="I13" s="681"/>
      <c r="J13" s="681"/>
      <c r="K13" s="681"/>
      <c r="L13" s="681"/>
      <c r="M13" s="682"/>
    </row>
    <row r="14" ht="16.5" customHeight="1">
      <c r="C14" s="692" t="s">
        <v>182</v>
      </c>
      <c r="D14" s="693"/>
      <c r="E14" s="693"/>
      <c r="F14" s="693"/>
      <c r="G14" s="693"/>
      <c r="H14" s="693"/>
      <c r="I14" s="693"/>
      <c r="J14" s="693"/>
      <c r="K14" s="693"/>
      <c r="L14" s="693"/>
      <c r="M14" s="694"/>
      <c r="N14" s="285"/>
      <c r="O14" s="285"/>
    </row>
    <row r="15">
      <c r="B15" s="50"/>
      <c r="C15" s="286"/>
      <c r="D15" s="262"/>
      <c r="E15" s="262"/>
      <c r="F15" s="262"/>
      <c r="G15" s="262"/>
      <c r="H15" s="262"/>
      <c r="I15" s="262"/>
      <c r="J15" s="262"/>
      <c r="K15" s="262"/>
      <c r="L15" s="262"/>
      <c r="M15" s="143"/>
    </row>
    <row r="16" ht="15">
      <c r="B16" s="209"/>
      <c r="C16" s="145" t="e">
        <f>INDEX(AUX!$G$1:$IV$1,1,AUX!$E$10+(AUX!$E$11*AUX!G$2))</f>
        <v>#VALUE!</v>
      </c>
      <c r="D16" s="146">
        <f>INDEX(AUX!$G$1:$IV$1,1,AUX!$E$10+(AUX!$E$11*AUX!H$2))</f>
        <v>38899</v>
      </c>
      <c r="E16" s="146">
        <f>INDEX(AUX!$G$1:$IV$1,1,AUX!$E$10+(AUX!$E$11*AUX!I$2))</f>
        <v>39083</v>
      </c>
      <c r="F16" s="146">
        <f>INDEX(AUX!$G$1:$IV$1,1,AUX!$E$10+(AUX!$E$11*AUX!J$2))</f>
        <v>39264</v>
      </c>
      <c r="G16" s="146">
        <f>INDEX(AUX!$G$1:$IV$1,1,AUX!$E$10+(AUX!$E$11*AUX!K$2))</f>
        <v>39448</v>
      </c>
      <c r="H16" s="146">
        <f>INDEX(AUX!$G$1:$IV$1,1,AUX!$E$10+(AUX!$E$11*AUX!L$2))</f>
        <v>39630</v>
      </c>
      <c r="I16" s="146">
        <f>INDEX(AUX!$G$1:$IV$1,1,AUX!$E$10+(AUX!$E$11*AUX!M$2))</f>
        <v>39814</v>
      </c>
      <c r="J16" s="146">
        <f>INDEX(AUX!$G$1:$IV$1,1,AUX!$E$10+(AUX!$E$11*AUX!N$2))</f>
        <v>39995</v>
      </c>
      <c r="K16" s="146">
        <f>INDEX(AUX!$G$1:$IV$1,1,AUX!$E$10+(AUX!$E$11*AUX!O$2))</f>
        <v>40179</v>
      </c>
      <c r="L16" s="146">
        <f>INDEX(AUX!$G$1:$IV$1,1,AUX!$E$10+(AUX!$E$11*AUX!P$2))</f>
        <v>40360</v>
      </c>
      <c r="M16" s="147">
        <f>INDEX(AUX!$G$1:$IV$1,1,AUX!$E$10+(AUX!$E$11*AUX!Q$2))</f>
        <v>40544</v>
      </c>
      <c r="N16" s="287"/>
      <c r="O16" s="287"/>
    </row>
    <row r="17" ht="15.75" customHeight="1">
      <c r="B17" s="288"/>
      <c r="C17" s="689" t="s">
        <v>194</v>
      </c>
      <c r="D17" s="690"/>
      <c r="E17" s="690"/>
      <c r="F17" s="690"/>
      <c r="G17" s="690"/>
      <c r="H17" s="690"/>
      <c r="I17" s="690"/>
      <c r="J17" s="690"/>
      <c r="K17" s="690"/>
      <c r="L17" s="690"/>
      <c r="M17" s="691"/>
      <c r="N17" s="287"/>
      <c r="O17" s="287"/>
    </row>
    <row r="18" ht="15.75" customHeight="1">
      <c r="B18" s="280" t="str">
        <f>INDEX($B$147:$I$166,$F$8,1)</f>
        <v>Total</v>
      </c>
      <c r="C18" s="289" t="str">
        <f>IF(INDEX($C$147:$II$166,$F$8,AUX!$E$10+(AUX!$E$11*AUX!G$2))="","--",INDEX($C$147:$II$166,$F$8,AUX!$E$10+(AUX!$E$11*AUX!G$2)))</f>
        <v>--</v>
      </c>
      <c r="D18" s="290" t="str">
        <f>IF(INDEX($C$147:$II$166,$F$8,AUX!$E$10+(AUX!$E$11*AUX!H$2))="","--",INDEX($C$147:$II$166,$F$8,AUX!$E$10+(AUX!$E$11*AUX!H$2)))</f>
        <v>--</v>
      </c>
      <c r="E18" s="290" t="str">
        <f>IF(INDEX($C$147:$II$166,$F$8,AUX!$E$10+(AUX!$E$11*AUX!I$2))="","--",INDEX($C$147:$II$166,$F$8,AUX!$E$10+(AUX!$E$11*AUX!I$2)))</f>
        <v>--</v>
      </c>
      <c r="F18" s="290" t="str">
        <f>IF(INDEX($C$147:$II$166,$F$8,AUX!$E$10+(AUX!$E$11*AUX!J$2))="","--",INDEX($C$147:$II$166,$F$8,AUX!$E$10+(AUX!$E$11*AUX!J$2)))</f>
        <v>--</v>
      </c>
      <c r="G18" s="290" t="str">
        <f>IF(INDEX($C$147:$II$166,$F$8,AUX!$E$10+(AUX!$E$11*AUX!K$2))="","--",INDEX($C$147:$II$166,$F$8,AUX!$E$10+(AUX!$E$11*AUX!K$2)))</f>
        <v>--</v>
      </c>
      <c r="H18" s="290" t="str">
        <f>IF(INDEX($C$147:$II$166,$F$8,AUX!$E$10+(AUX!$E$11*AUX!L$2))="","--",INDEX($C$147:$II$166,$F$8,AUX!$E$10+(AUX!$E$11*AUX!L$2)))</f>
        <v>--</v>
      </c>
      <c r="I18" s="290" t="str">
        <f>IF(INDEX($C$147:$II$166,$F$8,AUX!$E$10+(AUX!$E$11*AUX!M$2))="","--",INDEX($C$147:$II$166,$F$8,AUX!$E$10+(AUX!$E$11*AUX!M$2)))</f>
        <v>--</v>
      </c>
      <c r="J18" s="290" t="str">
        <f>IF(INDEX($C$147:$II$166,$F$8,AUX!$E$10+(AUX!$E$11*AUX!N$2))="","--",INDEX($C$147:$II$166,$F$8,AUX!$E$10+(AUX!$E$11*AUX!N$2)))</f>
        <v>--</v>
      </c>
      <c r="K18" s="290" t="str">
        <f>IF(INDEX($C$147:$II$166,$F$8,AUX!$E$10+(AUX!$E$11*AUX!O$2))="","--",INDEX($C$147:$II$166,$F$8,AUX!$E$10+(AUX!$E$11*AUX!O$2)))</f>
        <v>--</v>
      </c>
      <c r="L18" s="290" t="str">
        <f>IF(INDEX($C$147:$II$166,$F$8,AUX!$E$10+(AUX!$E$11*AUX!P$2))="","--",INDEX($C$147:$II$166,$F$8,AUX!$E$10+(AUX!$E$11*AUX!P$2)))</f>
        <v>--</v>
      </c>
      <c r="M18" s="291" t="str">
        <f>IF(INDEX($C$147:$II$166,$F$8,AUX!$E$10+(AUX!$E$11*AUX!Q$2))="","--",INDEX($C$147:$II$166,$F$8,AUX!$E$10+(AUX!$E$11*AUX!Q$2)))</f>
        <v>--</v>
      </c>
      <c r="N18" s="287"/>
      <c r="O18" s="287"/>
    </row>
    <row r="19" ht="15.75" customHeight="1">
      <c r="B19" s="209"/>
      <c r="C19" s="689" t="s">
        <v>239</v>
      </c>
      <c r="D19" s="690"/>
      <c r="E19" s="690"/>
      <c r="F19" s="690"/>
      <c r="G19" s="690"/>
      <c r="H19" s="690"/>
      <c r="I19" s="690"/>
      <c r="J19" s="690"/>
      <c r="K19" s="690"/>
      <c r="L19" s="690"/>
      <c r="M19" s="691"/>
      <c r="N19" s="287"/>
      <c r="O19" s="287"/>
    </row>
    <row r="20" ht="15.75" customHeight="1">
      <c r="B20" s="209"/>
      <c r="C20" s="289" t="str">
        <f>IF(INDEX($C$171:$II$190,$F$8,AUX!$E$10+(AUX!$E$11*AUX!G$2))="","--",INDEX($C$171:$II$190,$F$8,AUX!$E$10+(AUX!$E$11*AUX!G$2)))</f>
        <v>--</v>
      </c>
      <c r="D20" s="290" t="str">
        <f>IF(INDEX($C$171:$II$190,$F$8,AUX!$E$10+(AUX!$E$11*AUX!H$2))="","--",INDEX($C$171:$II$190,$F$8,AUX!$E$10+(AUX!$E$11*AUX!H$2)))</f>
        <v>--</v>
      </c>
      <c r="E20" s="290" t="str">
        <f>IF(INDEX($C$171:$II$190,$F$8,AUX!$E$10+(AUX!$E$11*AUX!I$2))="","--",INDEX($C$171:$II$190,$F$8,AUX!$E$10+(AUX!$E$11*AUX!I$2)))</f>
        <v>--</v>
      </c>
      <c r="F20" s="290" t="str">
        <f>IF(INDEX($C$171:$II$190,$F$8,AUX!$E$10+(AUX!$E$11*AUX!J$2))="","--",INDEX($C$171:$II$190,$F$8,AUX!$E$10+(AUX!$E$11*AUX!J$2)))</f>
        <v>--</v>
      </c>
      <c r="G20" s="290" t="str">
        <f>IF(INDEX($C$171:$II$190,$F$8,AUX!$E$10+(AUX!$E$11*AUX!K$2))="","--",INDEX($C$171:$II$190,$F$8,AUX!$E$10+(AUX!$E$11*AUX!K$2)))</f>
        <v>--</v>
      </c>
      <c r="H20" s="290" t="str">
        <f>IF(INDEX($C$171:$II$190,$F$8,AUX!$E$10+(AUX!$E$11*AUX!L$2))="","--",INDEX($C$171:$II$190,$F$8,AUX!$E$10+(AUX!$E$11*AUX!L$2)))</f>
        <v>--</v>
      </c>
      <c r="I20" s="290" t="str">
        <f>IF(INDEX($C$171:$II$190,$F$8,AUX!$E$10+(AUX!$E$11*AUX!M$2))="","--",INDEX($C$171:$II$190,$F$8,AUX!$E$10+(AUX!$E$11*AUX!M$2)))</f>
        <v>--</v>
      </c>
      <c r="J20" s="290" t="str">
        <f>IF(INDEX($C$171:$II$190,$F$8,AUX!$E$10+(AUX!$E$11*AUX!N$2))="","--",INDEX($C$171:$II$190,$F$8,AUX!$E$10+(AUX!$E$11*AUX!N$2)))</f>
        <v>--</v>
      </c>
      <c r="K20" s="290" t="str">
        <f>IF(INDEX($C$171:$II$190,$F$8,AUX!$E$10+(AUX!$E$11*AUX!O$2))="","--",INDEX($C$171:$II$190,$F$8,AUX!$E$10+(AUX!$E$11*AUX!O$2)))</f>
        <v>--</v>
      </c>
      <c r="L20" s="290" t="str">
        <f>IF(INDEX($C$171:$II$190,$F$8,AUX!$E$10+(AUX!$E$11*AUX!P$2))="","--",INDEX($C$171:$II$190,$F$8,AUX!$E$10+(AUX!$E$11*AUX!P$2)))</f>
        <v>--</v>
      </c>
      <c r="M20" s="291" t="str">
        <f>IF(INDEX($C$171:$II$190,$F$8,AUX!$E$10+(AUX!$E$11*AUX!Q$2))="","--",INDEX($C$171:$II$190,$F$8,AUX!$E$10+(AUX!$E$11*AUX!Q$2)))</f>
        <v>--</v>
      </c>
      <c r="N20" s="287"/>
      <c r="O20" s="287"/>
    </row>
    <row r="21" ht="15.75" customHeight="1">
      <c r="B21" s="209"/>
      <c r="C21" s="689" t="s">
        <v>240</v>
      </c>
      <c r="D21" s="690"/>
      <c r="E21" s="690"/>
      <c r="F21" s="690"/>
      <c r="G21" s="690"/>
      <c r="H21" s="690"/>
      <c r="I21" s="690"/>
      <c r="J21" s="690"/>
      <c r="K21" s="690"/>
      <c r="L21" s="690"/>
      <c r="M21" s="691"/>
    </row>
    <row r="22" ht="15.75" customHeight="1">
      <c r="B22" s="209"/>
      <c r="C22" s="289" t="str">
        <f>IF(INDEX($C$195:$II$214,$F$8,AUX!$E$10+(AUX!$E$11*AUX!G$2))="","--",INDEX($C$195:$II$214,$F$8,AUX!$E$10+(AUX!$E$11*AUX!G$2)))</f>
        <v>--</v>
      </c>
      <c r="D22" s="290" t="str">
        <f>IF(INDEX($C$195:$II$214,$F$8,AUX!$E$10+(AUX!$E$11*AUX!H$2))="","--",INDEX($C$195:$II$214,$F$8,AUX!$E$10+(AUX!$E$11*AUX!H$2)))</f>
        <v>--</v>
      </c>
      <c r="E22" s="290" t="str">
        <f>IF(INDEX($C$195:$II$214,$F$8,AUX!$E$10+(AUX!$E$11*AUX!I$2))="","--",INDEX($C$195:$II$214,$F$8,AUX!$E$10+(AUX!$E$11*AUX!I$2)))</f>
        <v>--</v>
      </c>
      <c r="F22" s="290" t="str">
        <f>IF(INDEX($C$195:$II$214,$F$8,AUX!$E$10+(AUX!$E$11*AUX!J$2))="","--",INDEX($C$195:$II$214,$F$8,AUX!$E$10+(AUX!$E$11*AUX!J$2)))</f>
        <v>--</v>
      </c>
      <c r="G22" s="290" t="str">
        <f>IF(INDEX($C$195:$II$214,$F$8,AUX!$E$10+(AUX!$E$11*AUX!K$2))="","--",INDEX($C$195:$II$214,$F$8,AUX!$E$10+(AUX!$E$11*AUX!K$2)))</f>
        <v>--</v>
      </c>
      <c r="H22" s="290" t="str">
        <f>IF(INDEX($C$195:$II$214,$F$8,AUX!$E$10+(AUX!$E$11*AUX!L$2))="","--",INDEX($C$195:$II$214,$F$8,AUX!$E$10+(AUX!$E$11*AUX!L$2)))</f>
        <v>--</v>
      </c>
      <c r="I22" s="290" t="str">
        <f>IF(INDEX($C$195:$II$214,$F$8,AUX!$E$10+(AUX!$E$11*AUX!M$2))="","--",INDEX($C$195:$II$214,$F$8,AUX!$E$10+(AUX!$E$11*AUX!M$2)))</f>
        <v>--</v>
      </c>
      <c r="J22" s="290" t="str">
        <f>IF(INDEX($C$195:$II$214,$F$8,AUX!$E$10+(AUX!$E$11*AUX!N$2))="","--",INDEX($C$195:$II$214,$F$8,AUX!$E$10+(AUX!$E$11*AUX!N$2)))</f>
        <v>--</v>
      </c>
      <c r="K22" s="290" t="str">
        <f>IF(INDEX($C$195:$II$214,$F$8,AUX!$E$10+(AUX!$E$11*AUX!O$2))="","--",INDEX($C$195:$II$214,$F$8,AUX!$E$10+(AUX!$E$11*AUX!O$2)))</f>
        <v>--</v>
      </c>
      <c r="L22" s="290" t="str">
        <f>IF(INDEX($C$195:$II$214,$F$8,AUX!$E$10+(AUX!$E$11*AUX!P$2))="","--",INDEX($C$195:$II$214,$F$8,AUX!$E$10+(AUX!$E$11*AUX!P$2)))</f>
        <v>--</v>
      </c>
      <c r="M22" s="291" t="str">
        <f>IF(INDEX($C$195:$II$214,$F$8,AUX!$E$10+(AUX!$E$11*AUX!Q$2))="","--",INDEX($C$195:$II$214,$F$8,AUX!$E$10+(AUX!$E$11*AUX!Q$2)))</f>
        <v>--</v>
      </c>
    </row>
    <row r="23" ht="15.75" customHeight="1">
      <c r="B23" s="209"/>
      <c r="C23" s="689" t="s">
        <v>241</v>
      </c>
      <c r="D23" s="690"/>
      <c r="E23" s="690"/>
      <c r="F23" s="690"/>
      <c r="G23" s="690"/>
      <c r="H23" s="690"/>
      <c r="I23" s="690"/>
      <c r="J23" s="690"/>
      <c r="K23" s="690"/>
      <c r="L23" s="690"/>
      <c r="M23" s="691"/>
    </row>
    <row r="24" ht="15.75" customHeight="1">
      <c r="B24" s="209"/>
      <c r="C24" s="289" t="str">
        <f>IF(INDEX($C$219:$II$238,$F$8,AUX!$E$10+(AUX!$E$11*AUX!G$2))="","--",INDEX($C$219:$II$238,$F$8,AUX!$E$10+(AUX!$E$11*AUX!G$2)))</f>
        <v>--</v>
      </c>
      <c r="D24" s="290" t="str">
        <f>IF(INDEX($C$219:$II$238,$F$8,AUX!$E$10+(AUX!$E$11*AUX!H$2))="","--",INDEX($C$219:$II$238,$F$8,AUX!$E$10+(AUX!$E$11*AUX!H$2)))</f>
        <v>--</v>
      </c>
      <c r="E24" s="290" t="str">
        <f>IF(INDEX($C$219:$II$238,$F$8,AUX!$E$10+(AUX!$E$11*AUX!I$2))="","--",INDEX($C$219:$II$238,$F$8,AUX!$E$10+(AUX!$E$11*AUX!I$2)))</f>
        <v>--</v>
      </c>
      <c r="F24" s="290" t="str">
        <f>IF(INDEX($C$219:$II$238,$F$8,AUX!$E$10+(AUX!$E$11*AUX!J$2))="","--",INDEX($C$219:$II$238,$F$8,AUX!$E$10+(AUX!$E$11*AUX!J$2)))</f>
        <v>--</v>
      </c>
      <c r="G24" s="290" t="str">
        <f>IF(INDEX($C$219:$II$238,$F$8,AUX!$E$10+(AUX!$E$11*AUX!K$2))="","--",INDEX($C$219:$II$238,$F$8,AUX!$E$10+(AUX!$E$11*AUX!K$2)))</f>
        <v>--</v>
      </c>
      <c r="H24" s="290" t="str">
        <f>IF(INDEX($C$219:$II$238,$F$8,AUX!$E$10+(AUX!$E$11*AUX!L$2))="","--",INDEX($C$219:$II$238,$F$8,AUX!$E$10+(AUX!$E$11*AUX!L$2)))</f>
        <v>--</v>
      </c>
      <c r="I24" s="290" t="str">
        <f>IF(INDEX($C$219:$II$238,$F$8,AUX!$E$10+(AUX!$E$11*AUX!M$2))="","--",INDEX($C$219:$II$238,$F$8,AUX!$E$10+(AUX!$E$11*AUX!M$2)))</f>
        <v>--</v>
      </c>
      <c r="J24" s="290" t="str">
        <f>IF(INDEX($C$219:$II$238,$F$8,AUX!$E$10+(AUX!$E$11*AUX!N$2))="","--",INDEX($C$219:$II$238,$F$8,AUX!$E$10+(AUX!$E$11*AUX!N$2)))</f>
        <v>--</v>
      </c>
      <c r="K24" s="290" t="str">
        <f>IF(INDEX($C$219:$II$238,$F$8,AUX!$E$10+(AUX!$E$11*AUX!O$2))="","--",INDEX($C$219:$II$238,$F$8,AUX!$E$10+(AUX!$E$11*AUX!O$2)))</f>
        <v>--</v>
      </c>
      <c r="L24" s="290" t="str">
        <f>IF(INDEX($C$219:$II$238,$F$8,AUX!$E$10+(AUX!$E$11*AUX!P$2))="","--",INDEX($C$219:$II$238,$F$8,AUX!$E$10+(AUX!$E$11*AUX!P$2)))</f>
        <v>--</v>
      </c>
      <c r="M24" s="291" t="str">
        <f>IF(INDEX($C$219:$II$238,$F$8,AUX!$E$10+(AUX!$E$11*AUX!Q$2))="","--",INDEX($C$219:$II$238,$F$8,AUX!$E$10+(AUX!$E$11*AUX!Q$2)))</f>
        <v>--</v>
      </c>
    </row>
    <row r="25" ht="15.75" customHeight="1">
      <c r="B25" s="209"/>
      <c r="C25" s="689" t="s">
        <v>253</v>
      </c>
      <c r="D25" s="690"/>
      <c r="E25" s="690"/>
      <c r="F25" s="690"/>
      <c r="G25" s="690"/>
      <c r="H25" s="690"/>
      <c r="I25" s="690"/>
      <c r="J25" s="690"/>
      <c r="K25" s="690"/>
      <c r="L25" s="690"/>
      <c r="M25" s="691"/>
    </row>
    <row r="26" ht="15.75" customHeight="1">
      <c r="B26" s="209"/>
      <c r="C26" s="289" t="str">
        <f>IF(INDEX($C$243:$II$262,$F$8,AUX!$E$10+(AUX!$E$11*AUX!G$2))="","--",INDEX($C$243:$II$262,$F$8,AUX!$E$10+(AUX!$E$11*AUX!G$2)))</f>
        <v>--</v>
      </c>
      <c r="D26" s="290" t="str">
        <f>IF(INDEX($C$243:$II$262,$F$8,AUX!$E$10+(AUX!$E$11*AUX!H$2))="","--",INDEX($C$243:$II$262,$F$8,AUX!$E$10+(AUX!$E$11*AUX!H$2)))</f>
        <v>--</v>
      </c>
      <c r="E26" s="290" t="str">
        <f>IF(INDEX($C$243:$II$262,$F$8,AUX!$E$10+(AUX!$E$11*AUX!I$2))="","--",INDEX($C$243:$II$262,$F$8,AUX!$E$10+(AUX!$E$11*AUX!I$2)))</f>
        <v>--</v>
      </c>
      <c r="F26" s="290" t="str">
        <f>IF(INDEX($C$243:$II$262,$F$8,AUX!$E$10+(AUX!$E$11*AUX!J$2))="","--",INDEX($C$243:$II$262,$F$8,AUX!$E$10+(AUX!$E$11*AUX!J$2)))</f>
        <v>--</v>
      </c>
      <c r="G26" s="290" t="str">
        <f>IF(INDEX($C$243:$II$262,$F$8,AUX!$E$10+(AUX!$E$11*AUX!K$2))="","--",INDEX($C$243:$II$262,$F$8,AUX!$E$10+(AUX!$E$11*AUX!K$2)))</f>
        <v>--</v>
      </c>
      <c r="H26" s="290" t="str">
        <f>IF(INDEX($C$243:$II$262,$F$8,AUX!$E$10+(AUX!$E$11*AUX!L$2))="","--",INDEX($C$243:$II$262,$F$8,AUX!$E$10+(AUX!$E$11*AUX!L$2)))</f>
        <v>--</v>
      </c>
      <c r="I26" s="290" t="str">
        <f>IF(INDEX($C$243:$II$262,$F$8,AUX!$E$10+(AUX!$E$11*AUX!M$2))="","--",INDEX($C$243:$II$262,$F$8,AUX!$E$10+(AUX!$E$11*AUX!M$2)))</f>
        <v>--</v>
      </c>
      <c r="J26" s="290" t="str">
        <f>IF(INDEX($C$243:$II$262,$F$8,AUX!$E$10+(AUX!$E$11*AUX!N$2))="","--",INDEX($C$243:$II$262,$F$8,AUX!$E$10+(AUX!$E$11*AUX!N$2)))</f>
        <v>--</v>
      </c>
      <c r="K26" s="290" t="str">
        <f>IF(INDEX($C$243:$II$262,$F$8,AUX!$E$10+(AUX!$E$11*AUX!O$2))="","--",INDEX($C$243:$II$262,$F$8,AUX!$E$10+(AUX!$E$11*AUX!O$2)))</f>
        <v>--</v>
      </c>
      <c r="L26" s="290" t="str">
        <f>IF(INDEX($C$243:$II$262,$F$8,AUX!$E$10+(AUX!$E$11*AUX!P$2))="","--",INDEX($C$243:$II$262,$F$8,AUX!$E$10+(AUX!$E$11*AUX!P$2)))</f>
        <v>--</v>
      </c>
      <c r="M26" s="291" t="str">
        <f>IF(INDEX($C$243:$II$262,$F$8,AUX!$E$10+(AUX!$E$11*AUX!Q$2))="","--",INDEX($C$243:$II$262,$F$8,AUX!$E$10+(AUX!$E$11*AUX!Q$2)))</f>
        <v>--</v>
      </c>
    </row>
    <row r="27" ht="15.75" customHeight="1">
      <c r="B27" s="209"/>
      <c r="C27" s="689" t="s">
        <v>205</v>
      </c>
      <c r="D27" s="690"/>
      <c r="E27" s="690"/>
      <c r="F27" s="690"/>
      <c r="G27" s="690"/>
      <c r="H27" s="690"/>
      <c r="I27" s="690"/>
      <c r="J27" s="690"/>
      <c r="K27" s="690"/>
      <c r="L27" s="690"/>
      <c r="M27" s="691"/>
    </row>
    <row r="28" ht="15.75" customHeight="1">
      <c r="B28" s="209"/>
      <c r="C28" s="292" t="str">
        <f>IF(INDEX($C$267:$II$286,$F$8,AUX!$E$10+(AUX!$E$11*AUX!G$2))="","--",INDEX($C$267:$II$286,$F$8,AUX!$E$10+(AUX!$E$11*AUX!G$2)))</f>
        <v>--</v>
      </c>
      <c r="D28" s="293" t="str">
        <f>IF(INDEX($C$267:$II$286,$F$8,AUX!$E$10+(AUX!$E$11*AUX!H$2))="","--",INDEX($C$267:$II$286,$F$8,AUX!$E$10+(AUX!$E$11*AUX!H$2)))</f>
        <v>--</v>
      </c>
      <c r="E28" s="293" t="str">
        <f>IF(INDEX($C$267:$II$286,$F$8,AUX!$E$10+(AUX!$E$11*AUX!I$2))="","--",INDEX($C$267:$II$286,$F$8,AUX!$E$10+(AUX!$E$11*AUX!I$2)))</f>
        <v>--</v>
      </c>
      <c r="F28" s="293" t="str">
        <f>IF(INDEX($C$267:$II$286,$F$8,AUX!$E$10+(AUX!$E$11*AUX!J$2))="","--",INDEX($C$267:$II$286,$F$8,AUX!$E$10+(AUX!$E$11*AUX!J$2)))</f>
        <v>--</v>
      </c>
      <c r="G28" s="293" t="str">
        <f>IF(INDEX($C$267:$II$286,$F$8,AUX!$E$10+(AUX!$E$11*AUX!K$2))="","--",INDEX($C$267:$II$286,$F$8,AUX!$E$10+(AUX!$E$11*AUX!K$2)))</f>
        <v>--</v>
      </c>
      <c r="H28" s="293" t="str">
        <f>IF(INDEX($C$267:$II$286,$F$8,AUX!$E$10+(AUX!$E$11*AUX!L$2))="","--",INDEX($C$267:$II$286,$F$8,AUX!$E$10+(AUX!$E$11*AUX!L$2)))</f>
        <v>--</v>
      </c>
      <c r="I28" s="293" t="str">
        <f>IF(INDEX($C$267:$II$286,$F$8,AUX!$E$10+(AUX!$E$11*AUX!M$2))="","--",INDEX($C$267:$II$286,$F$8,AUX!$E$10+(AUX!$E$11*AUX!M$2)))</f>
        <v>--</v>
      </c>
      <c r="J28" s="293" t="str">
        <f>IF(INDEX($C$267:$II$286,$F$8,AUX!$E$10+(AUX!$E$11*AUX!N$2))="","--",INDEX($C$267:$II$286,$F$8,AUX!$E$10+(AUX!$E$11*AUX!N$2)))</f>
        <v>--</v>
      </c>
      <c r="K28" s="293" t="str">
        <f>IF(INDEX($C$267:$II$286,$F$8,AUX!$E$10+(AUX!$E$11*AUX!O$2))="","--",INDEX($C$267:$II$286,$F$8,AUX!$E$10+(AUX!$E$11*AUX!O$2)))</f>
        <v>--</v>
      </c>
      <c r="L28" s="293" t="str">
        <f>IF(INDEX($C$267:$II$286,$F$8,AUX!$E$10+(AUX!$E$11*AUX!P$2))="","--",INDEX($C$267:$II$286,$F$8,AUX!$E$10+(AUX!$E$11*AUX!P$2)))</f>
        <v>--</v>
      </c>
      <c r="M28" s="294" t="str">
        <f>IF(INDEX($C$267:$II$286,$F$8,AUX!$E$10+(AUX!$E$11*AUX!Q$2))="","--",INDEX($C$267:$II$286,$F$8,AUX!$E$10+(AUX!$E$11*AUX!Q$2)))</f>
        <v>--</v>
      </c>
    </row>
    <row r="31" ht="12.75" customHeight="1">
      <c r="C31"/>
      <c r="D31"/>
      <c r="E31"/>
      <c r="F31"/>
      <c r="G31"/>
      <c r="H31"/>
      <c r="I31"/>
      <c r="J31"/>
      <c r="K31"/>
      <c r="L31"/>
      <c r="M31"/>
    </row>
    <row r="32">
      <c r="C32"/>
      <c r="D32"/>
      <c r="E32"/>
      <c r="F32"/>
      <c r="G32"/>
      <c r="H32"/>
      <c r="I32"/>
      <c r="J32"/>
      <c r="K32"/>
      <c r="L32"/>
      <c r="M32"/>
    </row>
    <row r="34">
      <c r="A34" s="295"/>
      <c r="B34" s="295"/>
      <c r="C34" s="295"/>
      <c r="D34" s="295"/>
      <c r="E34" s="295"/>
      <c r="F34" s="295"/>
      <c r="G34" s="295"/>
      <c r="H34" s="295"/>
      <c r="I34" s="295"/>
      <c r="J34" s="295"/>
      <c r="K34" s="295"/>
    </row>
    <row r="96"/>
    <row r="144" hidden="1"/>
    <row r="145" hidden="1" ht="13.5" customHeight="1">
      <c r="C145" s="686" t="s">
        <v>194</v>
      </c>
      <c r="D145" s="687"/>
      <c r="E145" s="687"/>
      <c r="F145" s="687"/>
      <c r="G145" s="687"/>
      <c r="H145" s="687"/>
      <c r="I145" s="687"/>
      <c r="J145" s="687"/>
      <c r="K145" s="687"/>
      <c r="L145" s="687"/>
      <c r="M145" s="687"/>
      <c r="N145" s="687"/>
      <c r="O145" s="687"/>
      <c r="P145" s="687"/>
      <c r="Q145" s="687"/>
      <c r="R145" s="687"/>
      <c r="S145" s="687"/>
      <c r="T145" s="687"/>
      <c r="U145" s="687"/>
      <c r="V145" s="687"/>
      <c r="W145" s="687"/>
      <c r="X145" s="687"/>
      <c r="Y145" s="687"/>
      <c r="Z145" s="687"/>
      <c r="AA145" s="687"/>
      <c r="AB145" s="688"/>
    </row>
    <row r="146" hidden="1" ht="15.75" customHeight="1">
      <c r="C146" s="435" t="str">
        <f> IF(C166&lt;&gt;"",TEXT(AUX!G$1,"dd-MMM-aa"),"")</f>
      </c>
      <c r="D146" s="435" t="str">
        <f> IF(D166&lt;&gt;"",TEXT(AUX!H$1,"dd-MMM-aa"),"")</f>
      </c>
      <c r="E146" s="435" t="str">
        <f> IF(E166&lt;&gt;"",TEXT(AUX!I$1,"dd-MMM-aa"),"")</f>
      </c>
      <c r="F146" s="435" t="str">
        <f> IF(F166&lt;&gt;"",TEXT(AUX!J$1,"dd-MMM-aa"),"")</f>
      </c>
      <c r="G146" s="435" t="str">
        <f> IF(G166&lt;&gt;"",TEXT(AUX!K$1,"dd-MMM-aa"),"")</f>
      </c>
      <c r="H146" s="435" t="str">
        <f> IF(H166&lt;&gt;"",TEXT(AUX!L$1,"dd-MMM-aa"),"")</f>
      </c>
      <c r="I146" s="435" t="str">
        <f> IF(I166&lt;&gt;"",TEXT(AUX!M$1,"dd-MMM-aa"),"")</f>
      </c>
      <c r="J146" s="435" t="str">
        <f> IF(J166&lt;&gt;"",TEXT(AUX!N$1,"dd-MMM-aa"),"")</f>
      </c>
      <c r="K146" s="435" t="str">
        <f> IF(K166&lt;&gt;"",TEXT(AUX!O$1,"dd-MMM-aa"),"")</f>
      </c>
      <c r="L146" s="435" t="str">
        <f> IF(L166&lt;&gt;"",TEXT(AUX!P$1,"dd-MMM-aa"),"")</f>
      </c>
      <c r="M146" s="435" t="str">
        <f> IF(M166&lt;&gt;"",TEXT(AUX!Q$1,"dd-MMM-aa"),"")</f>
      </c>
      <c r="N146" s="435" t="str">
        <f> IF(N166&lt;&gt;"",TEXT(AUX!R$1,"dd-MMM-aa"),"")</f>
      </c>
      <c r="O146" s="435" t="str">
        <f> IF(O166&lt;&gt;"",TEXT(AUX!S$1,"dd-MMM-aa"),"")</f>
      </c>
      <c r="P146" s="435" t="str">
        <f> IF(P166&lt;&gt;"",TEXT(AUX!T$1,"dd-MMM-aa"),"")</f>
      </c>
      <c r="Q146" s="435" t="str">
        <f> IF(Q166&lt;&gt;"",TEXT(AUX!U$1,"dd-MMM-aa"),"")</f>
      </c>
      <c r="R146" s="435" t="str">
        <f> IF(R166&lt;&gt;"",TEXT(AUX!V$1,"dd-MMM-aa"),"")</f>
      </c>
      <c r="S146" s="435" t="str">
        <f> IF(S166&lt;&gt;"",TEXT(AUX!W$1,"dd-MMM-aa"),"")</f>
      </c>
      <c r="T146" s="435" t="str">
        <f> IF(T166&lt;&gt;"",TEXT(AUX!X$1,"dd-MMM-aa"),"")</f>
      </c>
      <c r="U146" s="435" t="str">
        <f> IF(U166&lt;&gt;"",TEXT(AUX!Y$1,"dd-MMM-aa"),"")</f>
      </c>
      <c r="V146" s="435" t="str">
        <f> IF(V166&lt;&gt;"",TEXT(AUX!Z$1,"dd-MMM-aa"),"")</f>
      </c>
      <c r="W146" s="435" t="str">
        <f> IF(W166&lt;&gt;"",TEXT(AUX!AA$1,"dd-MMM-aa"),"")</f>
      </c>
      <c r="X146" s="435" t="str">
        <f> IF(X166&lt;&gt;"",TEXT(AUX!AB$1,"dd-MMM-aa"),"")</f>
      </c>
      <c r="Y146" s="435" t="str">
        <f> IF(Y166&lt;&gt;"",TEXT(AUX!AC$1,"dd-MMM-aa"),"")</f>
      </c>
      <c r="Z146" s="435" t="str">
        <f> IF(Z166&lt;&gt;"",TEXT(AUX!AD$1,"dd-MMM-aa"),"")</f>
      </c>
      <c r="AA146" s="435" t="str">
        <f> IF(AA166&lt;&gt;"",TEXT(AUX!AE$1,"dd-MMM-aa"),"")</f>
      </c>
      <c r="AB146" s="497" t="str">
        <f> IF(AB166&lt;&gt;"",TEXT(AUX!AF$1,"dd-MMM-aa"),"")</f>
      </c>
      <c r="AC146" s="496" t="str">
        <f> IF(AC166&lt;&gt;"",TEXT(AUX!AG$1,"dd-MMM-aa"),"")</f>
      </c>
      <c r="AD146" s="496" t="str">
        <f> IF(AD166&lt;&gt;"",TEXT(AUX!AH$1,"dd-MMM-aa"),"")</f>
      </c>
      <c r="AE146" s="496" t="str">
        <f> IF(AE166&lt;&gt;"",TEXT(AUX!AI$1,"dd-MMM-aa"),"")</f>
      </c>
      <c r="AF146" s="496" t="str">
        <f> IF(AF166&lt;&gt;"",TEXT(AUX!AJ$1,"dd-MMM-aa"),"")</f>
      </c>
      <c r="AG146" s="496" t="str">
        <f> IF(AG166&lt;&gt;"",TEXT(AUX!AK$1,"dd-MMM-aa"),"")</f>
      </c>
      <c r="AH146" s="496" t="str">
        <f> IF(AH166&lt;&gt;"",TEXT(AUX!AL$1,"dd-MMM-aa"),"")</f>
      </c>
      <c r="AI146" s="496" t="str">
        <f> IF(AI166&lt;&gt;"",TEXT(AUX!AM$1,"dd-MMM-aa"),"")</f>
      </c>
      <c r="AJ146" s="496" t="str">
        <f> IF(AJ166&lt;&gt;"",TEXT(AUX!AN$1,"dd-MMM-aa"),"")</f>
      </c>
      <c r="AK146" s="496" t="str">
        <f> IF(AK166&lt;&gt;"",TEXT(AUX!AO$1,"dd-MMM-aa"),"")</f>
      </c>
      <c r="AL146" s="496" t="str">
        <f> IF(AL166&lt;&gt;"",TEXT(AUX!AP$1,"dd-MMM-aa"),"")</f>
      </c>
      <c r="AM146" s="496" t="str">
        <f> IF(AM166&lt;&gt;"",TEXT(AUX!AQ$1,"dd-MMM-aa"),"")</f>
      </c>
      <c r="AN146" s="496" t="str">
        <f> IF(AN166&lt;&gt;"",TEXT(AUX!AR$1,"dd-MMM-aa"),"")</f>
      </c>
      <c r="AO146" s="496" t="str">
        <f> IF(AO166&lt;&gt;"",TEXT(AUX!AS$1,"dd-MMM-aa"),"")</f>
      </c>
      <c r="AP146" s="496" t="str">
        <f> IF(AP166&lt;&gt;"",TEXT(AUX!AT$1,"dd-MMM-aa"),"")</f>
      </c>
      <c r="AQ146" s="496" t="str">
        <f> IF(AQ166&lt;&gt;"",TEXT(AUX!AU$1,"dd-MMM-aa"),"")</f>
      </c>
      <c r="AR146" s="496" t="str">
        <f> IF(AR166&lt;&gt;"",TEXT(AUX!AV$1,"dd-MMM-aa"),"")</f>
      </c>
      <c r="AS146" s="496" t="str">
        <f> IF(AS166&lt;&gt;"",TEXT(AUX!AW$1,"dd-MMM-aa"),"")</f>
      </c>
      <c r="AT146" s="496" t="str">
        <f> IF(AT166&lt;&gt;"",TEXT(AUX!AX$1,"dd-MMM-aa"),"")</f>
      </c>
      <c r="AU146" s="496" t="str">
        <f> IF(AU166&lt;&gt;"",TEXT(AUX!AY$1,"dd-MMM-aa"),"")</f>
      </c>
      <c r="AV146" s="496" t="str">
        <f> IF(AV166&lt;&gt;"",TEXT(AUX!AZ$1,"dd-MMM-aa"),"")</f>
      </c>
      <c r="AW146" s="496" t="str">
        <f> IF(AW166&lt;&gt;"",TEXT(AUX!BA$1,"dd-MMM-aa"),"")</f>
      </c>
      <c r="AX146" s="496" t="str">
        <f> IF(AX166&lt;&gt;"",TEXT(AUX!BB$1,"dd-MMM-aa"),"")</f>
      </c>
      <c r="AY146" s="496" t="str">
        <f> IF(AY166&lt;&gt;"",TEXT(AUX!BC$1,"dd-MMM-aa"),"")</f>
      </c>
      <c r="AZ146" s="496" t="str">
        <f> IF(AZ166&lt;&gt;"",TEXT(AUX!BD$1,"dd-MMM-aa"),"")</f>
      </c>
      <c r="BA146" s="496" t="str">
        <f> IF(BA166&lt;&gt;"",TEXT(AUX!BE$1,"dd-MMM-aa"),"")</f>
      </c>
      <c r="BB146" s="496" t="str">
        <f> IF(BB166&lt;&gt;"",TEXT(AUX!BF$1,"dd-MMM-aa"),"")</f>
      </c>
      <c r="BC146" s="496" t="str">
        <f> IF(BC166&lt;&gt;"",TEXT(AUX!BG$1,"dd-MMM-aa"),"")</f>
      </c>
      <c r="BD146" s="496" t="str">
        <f> IF(BD166&lt;&gt;"",TEXT(AUX!BH$1,"dd-MMM-aa"),"")</f>
      </c>
      <c r="BE146" s="496" t="str">
        <f> IF(BE166&lt;&gt;"",TEXT(AUX!BI$1,"dd-MMM-aa"),"")</f>
      </c>
      <c r="BF146" s="496" t="str">
        <f> IF(BF166&lt;&gt;"",TEXT(AUX!BJ$1,"dd-MMM-aa"),"")</f>
      </c>
      <c r="BG146" s="496" t="str">
        <f> IF(BG166&lt;&gt;"",TEXT(AUX!BK$1,"dd-MMM-aa"),"")</f>
      </c>
      <c r="BH146" s="496" t="str">
        <f> IF(BH166&lt;&gt;"",TEXT(AUX!BL$1,"dd-MMM-aa"),"")</f>
      </c>
      <c r="BI146" s="496" t="str">
        <f> IF(BI166&lt;&gt;"",TEXT(AUX!BM$1,"dd-MMM-aa"),"")</f>
      </c>
      <c r="BJ146" s="496" t="str">
        <f> IF(BJ166&lt;&gt;"",TEXT(AUX!BN$1,"dd-MMM-aa"),"")</f>
      </c>
      <c r="BK146" s="496" t="str">
        <f> IF(BK166&lt;&gt;"",TEXT(AUX!BO$1,"dd-MMM-aa"),"")</f>
      </c>
      <c r="BL146" s="496" t="str">
        <f> IF(BL166&lt;&gt;"",TEXT(AUX!BP$1,"dd-MMM-aa"),"")</f>
      </c>
      <c r="BM146" s="496" t="str">
        <f> IF(BM166&lt;&gt;"",TEXT(AUX!BQ$1,"dd-MMM-aa"),"")</f>
      </c>
      <c r="BN146" s="496" t="str">
        <f> IF(BN166&lt;&gt;"",TEXT(AUX!BR$1,"dd-MMM-aa"),"")</f>
      </c>
      <c r="BO146" s="496" t="str">
        <f> IF(BO166&lt;&gt;"",TEXT(AUX!BS$1,"dd-MMM-aa"),"")</f>
      </c>
      <c r="BP146" s="496" t="str">
        <f> IF(BP166&lt;&gt;"",TEXT(AUX!BT$1,"dd-MMM-aa"),"")</f>
      </c>
      <c r="BQ146" s="496" t="str">
        <f> IF(BQ166&lt;&gt;"",TEXT(AUX!BU$1,"dd-MMM-aa"),"")</f>
      </c>
      <c r="BR146" s="496" t="str">
        <f> IF(BR166&lt;&gt;"",TEXT(AUX!BV$1,"dd-MMM-aa"),"")</f>
      </c>
      <c r="BS146" s="496" t="str">
        <f> IF(BS166&lt;&gt;"",TEXT(AUX!BW$1,"dd-MMM-aa"),"")</f>
      </c>
      <c r="BT146" s="496" t="str">
        <f> IF(BT166&lt;&gt;"",TEXT(AUX!BX$1,"dd-MMM-aa"),"")</f>
      </c>
      <c r="BU146" s="496" t="str">
        <f> IF(BU166&lt;&gt;"",TEXT(AUX!BY$1,"dd-MMM-aa"),"")</f>
      </c>
      <c r="BV146" s="496" t="str">
        <f> IF(BV166&lt;&gt;"",TEXT(AUX!BZ$1,"dd-MMM-aa"),"")</f>
      </c>
      <c r="BW146" s="496" t="str">
        <f> IF(BW166&lt;&gt;"",TEXT(AUX!CA$1,"dd-MMM-aa"),"")</f>
      </c>
      <c r="BX146" s="496" t="str">
        <f> IF(BX166&lt;&gt;"",TEXT(AUX!CB$1,"dd-MMM-aa"),"")</f>
      </c>
      <c r="BY146" s="496" t="str">
        <f> IF(BY166&lt;&gt;"",TEXT(AUX!CC$1,"dd-MMM-aa"),"")</f>
      </c>
      <c r="BZ146" s="496" t="str">
        <f> IF(BZ166&lt;&gt;"",TEXT(AUX!CD$1,"dd-MMM-aa"),"")</f>
      </c>
      <c r="CA146" s="496" t="str">
        <f> IF(CA166&lt;&gt;"",TEXT(AUX!CE$1,"dd-MMM-aa"),"")</f>
      </c>
      <c r="CB146" s="496" t="str">
        <f> IF(CB166&lt;&gt;"",TEXT(AUX!CF$1,"dd-MMM-aa"),"")</f>
      </c>
      <c r="CC146" s="496" t="str">
        <f> IF(CC166&lt;&gt;"",TEXT(AUX!CG$1,"dd-MMM-aa"),"")</f>
      </c>
      <c r="CD146" s="496" t="str">
        <f> IF(CD166&lt;&gt;"",TEXT(AUX!CH$1,"dd-MMM-aa"),"")</f>
      </c>
      <c r="CE146" s="496" t="str">
        <f> IF(CE166&lt;&gt;"",TEXT(AUX!CI$1,"dd-MMM-aa"),"")</f>
      </c>
      <c r="CF146" s="496" t="str">
        <f> IF(CF166&lt;&gt;"",TEXT(AUX!CJ$1,"dd-MMM-aa"),"")</f>
      </c>
      <c r="CG146" s="496" t="str">
        <f> IF(CG166&lt;&gt;"",TEXT(AUX!CK$1,"dd-MMM-aa"),"")</f>
      </c>
      <c r="CH146" s="496" t="str">
        <f> IF(CH166&lt;&gt;"",TEXT(AUX!CL$1,"dd-MMM-aa"),"")</f>
      </c>
      <c r="CI146" s="496" t="str">
        <f> IF(CI166&lt;&gt;"",TEXT(AUX!CM$1,"dd-MMM-aa"),"")</f>
      </c>
      <c r="CJ146" s="496" t="str">
        <f> IF(CJ166&lt;&gt;"",TEXT(AUX!CN$1,"dd-MMM-aa"),"")</f>
      </c>
      <c r="CK146" s="496" t="str">
        <f> IF(CK166&lt;&gt;"",TEXT(AUX!CO$1,"dd-MMM-aa"),"")</f>
      </c>
      <c r="CL146" s="496" t="str">
        <f> IF(CL166&lt;&gt;"",TEXT(AUX!CP$1,"dd-MMM-aa"),"")</f>
      </c>
      <c r="CM146" s="496" t="str">
        <f> IF(CM166&lt;&gt;"",TEXT(AUX!CQ$1,"dd-MMM-aa"),"")</f>
      </c>
      <c r="CN146" s="496" t="str">
        <f> IF(CN166&lt;&gt;"",TEXT(AUX!CR$1,"dd-MMM-aa"),"")</f>
      </c>
      <c r="CO146" s="496" t="str">
        <f> IF(CO166&lt;&gt;"",TEXT(AUX!CS$1,"dd-MMM-aa"),"")</f>
      </c>
      <c r="CP146" s="496" t="str">
        <f> IF(CP166&lt;&gt;"",TEXT(AUX!CT$1,"dd-MMM-aa"),"")</f>
      </c>
      <c r="CQ146" s="496" t="str">
        <f> IF(CQ166&lt;&gt;"",TEXT(AUX!CU$1,"dd-MMM-aa"),"")</f>
      </c>
      <c r="CR146" s="496" t="str">
        <f> IF(CR166&lt;&gt;"",TEXT(AUX!CV$1,"dd-MMM-aa"),"")</f>
      </c>
      <c r="CS146" s="496" t="str">
        <f> IF(CS166&lt;&gt;"",TEXT(AUX!CW$1,"dd-MMM-aa"),"")</f>
      </c>
      <c r="CT146" s="496" t="str">
        <f> IF(CT166&lt;&gt;"",TEXT(AUX!CX$1,"dd-MMM-aa"),"")</f>
      </c>
      <c r="CU146" s="496" t="str">
        <f> IF(CU166&lt;&gt;"",TEXT(AUX!CY$1,"dd-MMM-aa"),"")</f>
      </c>
      <c r="CV146" s="496" t="str">
        <f> IF(CV166&lt;&gt;"",TEXT(AUX!CZ$1,"dd-MMM-aa"),"")</f>
      </c>
      <c r="CW146" s="496" t="str">
        <f> IF(CW166&lt;&gt;"",TEXT(AUX!DA$1,"dd-MMM-aa"),"")</f>
      </c>
      <c r="CX146" s="496" t="str">
        <f> IF(CX166&lt;&gt;"",TEXT(AUX!DB$1,"dd-MMM-aa"),"")</f>
      </c>
      <c r="CY146" s="496" t="str">
        <f> IF(CY166&lt;&gt;"",TEXT(AUX!DC$1,"dd-MMM-aa"),"")</f>
      </c>
      <c r="CZ146" s="496" t="str">
        <f> IF(CZ166&lt;&gt;"",TEXT(AUX!DD$1,"dd-MMM-aa"),"")</f>
      </c>
      <c r="DA146" s="496" t="str">
        <f> IF(DA166&lt;&gt;"",TEXT(AUX!DE$1,"dd-MMM-aa"),"")</f>
      </c>
      <c r="DB146" s="496" t="str">
        <f> IF(DB166&lt;&gt;"",TEXT(AUX!DF$1,"dd-MMM-aa"),"")</f>
      </c>
      <c r="DC146" s="496" t="str">
        <f> IF(DC166&lt;&gt;"",TEXT(AUX!DG$1,"dd-MMM-aa"),"")</f>
      </c>
      <c r="DD146" s="496" t="str">
        <f> IF(DD166&lt;&gt;"",TEXT(AUX!DH$1,"dd-MMM-aa"),"")</f>
      </c>
      <c r="DE146" s="496" t="str">
        <f> IF(DE166&lt;&gt;"",TEXT(AUX!DI$1,"dd-MMM-aa"),"")</f>
      </c>
      <c r="DF146" s="496" t="str">
        <f> IF(DF166&lt;&gt;"",TEXT(AUX!DJ$1,"dd-MMM-aa"),"")</f>
      </c>
      <c r="DG146" s="496" t="str">
        <f> IF(DG166&lt;&gt;"",TEXT(AUX!DK$1,"dd-MMM-aa"),"")</f>
      </c>
      <c r="DH146" s="496" t="str">
        <f> IF(DH166&lt;&gt;"",TEXT(AUX!DL$1,"dd-MMM-aa"),"")</f>
      </c>
      <c r="DI146" s="496" t="str">
        <f> IF(DI166&lt;&gt;"",TEXT(AUX!DM$1,"dd-MMM-aa"),"")</f>
      </c>
      <c r="DJ146" s="496" t="str">
        <f> IF(DJ166&lt;&gt;"",TEXT(AUX!DN$1,"dd-MMM-aa"),"")</f>
      </c>
      <c r="DK146" s="496" t="str">
        <f> IF(DK166&lt;&gt;"",TEXT(AUX!DO$1,"dd-MMM-aa"),"")</f>
      </c>
      <c r="DL146" s="496" t="str">
        <f> IF(DL166&lt;&gt;"",TEXT(AUX!DP$1,"dd-MMM-aa"),"")</f>
      </c>
      <c r="DM146" s="496" t="str">
        <f> IF(DM166&lt;&gt;"",TEXT(AUX!DQ$1,"dd-MMM-aa"),"")</f>
      </c>
      <c r="DN146" s="496" t="str">
        <f> IF(DN166&lt;&gt;"",TEXT(AUX!DR$1,"dd-MMM-aa"),"")</f>
      </c>
      <c r="DO146" s="496" t="str">
        <f> IF(DO166&lt;&gt;"",TEXT(AUX!DS$1,"dd-MMM-aa"),"")</f>
      </c>
      <c r="DP146" s="496" t="str">
        <f> IF(DP166&lt;&gt;"",TEXT(AUX!DT$1,"dd-MMM-aa"),"")</f>
      </c>
      <c r="DQ146" s="496" t="str">
        <f> IF(DQ166&lt;&gt;"",TEXT(AUX!DU$1,"dd-MMM-aa"),"")</f>
      </c>
      <c r="DR146" s="496" t="str">
        <f> IF(DR166&lt;&gt;"",TEXT(AUX!DV$1,"dd-MMM-aa"),"")</f>
      </c>
      <c r="DS146" s="496" t="str">
        <f> IF(DS166&lt;&gt;"",TEXT(AUX!DW$1,"dd-MMM-aa"),"")</f>
      </c>
      <c r="DT146" s="496" t="str">
        <f> IF(DT166&lt;&gt;"",TEXT(AUX!DX$1,"dd-MMM-aa"),"")</f>
      </c>
      <c r="DU146" s="496" t="str">
        <f> IF(DU166&lt;&gt;"",TEXT(AUX!DY$1,"dd-MMM-aa"),"")</f>
      </c>
      <c r="DV146" s="496" t="str">
        <f> IF(DV166&lt;&gt;"",TEXT(AUX!DZ$1,"dd-MMM-aa"),"")</f>
      </c>
      <c r="DW146" s="496" t="str">
        <f> IF(DW166&lt;&gt;"",TEXT(AUX!EA$1,"dd-MMM-aa"),"")</f>
      </c>
      <c r="DX146" s="496" t="str">
        <f> IF(DX166&lt;&gt;"",TEXT(AUX!EB$1,"dd-MMM-aa"),"")</f>
      </c>
      <c r="DY146" s="496" t="str">
        <f> IF(DY166&lt;&gt;"",TEXT(AUX!EC$1,"dd-MMM-aa"),"")</f>
      </c>
      <c r="DZ146" s="496" t="str">
        <f> IF(DZ166&lt;&gt;"",TEXT(AUX!ED$1,"dd-MMM-aa"),"")</f>
      </c>
      <c r="EA146" s="496" t="str">
        <f> IF(EA166&lt;&gt;"",TEXT(AUX!EE$1,"dd-MMM-aa"),"")</f>
      </c>
      <c r="EB146" s="496" t="str">
        <f> IF(EB166&lt;&gt;"",TEXT(AUX!EF$1,"dd-MMM-aa"),"")</f>
      </c>
      <c r="EC146" s="496" t="str">
        <f> IF(EC166&lt;&gt;"",TEXT(AUX!EG$1,"dd-MMM-aa"),"")</f>
      </c>
      <c r="ED146" s="496" t="str">
        <f> IF(ED166&lt;&gt;"",TEXT(AUX!EH$1,"dd-MMM-aa"),"")</f>
      </c>
      <c r="EE146" s="496" t="str">
        <f> IF(EE166&lt;&gt;"",TEXT(AUX!EI$1,"dd-MMM-aa"),"")</f>
      </c>
      <c r="EF146" s="496" t="str">
        <f> IF(EF166&lt;&gt;"",TEXT(AUX!EJ$1,"dd-MMM-aa"),"")</f>
      </c>
      <c r="EG146" s="496" t="str">
        <f> IF(EG166&lt;&gt;"",TEXT(AUX!EK$1,"dd-MMM-aa"),"")</f>
      </c>
      <c r="EH146" s="496" t="str">
        <f> IF(EH166&lt;&gt;"",TEXT(AUX!EL$1,"dd-MMM-aa"),"")</f>
      </c>
      <c r="EI146" s="496" t="str">
        <f> IF(EI166&lt;&gt;"",TEXT(AUX!EM$1,"dd-MMM-aa"),"")</f>
      </c>
      <c r="EJ146" s="496" t="str">
        <f> IF(EJ166&lt;&gt;"",TEXT(AUX!EN$1,"dd-MMM-aa"),"")</f>
      </c>
      <c r="EK146" s="496" t="str">
        <f> IF(EK166&lt;&gt;"",TEXT(AUX!EO$1,"dd-MMM-aa"),"")</f>
      </c>
      <c r="EL146" s="496" t="str">
        <f> IF(EL166&lt;&gt;"",TEXT(AUX!EP$1,"dd-MMM-aa"),"")</f>
      </c>
      <c r="EM146" s="496" t="str">
        <f> IF(EM166&lt;&gt;"",TEXT(AUX!EQ$1,"dd-MMM-aa"),"")</f>
      </c>
      <c r="EN146" s="496" t="str">
        <f> IF(EN166&lt;&gt;"",TEXT(AUX!ER$1,"dd-MMM-aa"),"")</f>
      </c>
      <c r="EO146" s="496" t="str">
        <f> IF(EO166&lt;&gt;"",TEXT(AUX!ES$1,"dd-MMM-aa"),"")</f>
      </c>
      <c r="EP146" s="496" t="str">
        <f> IF(EP166&lt;&gt;"",TEXT(AUX!ET$1,"dd-MMM-aa"),"")</f>
      </c>
      <c r="EQ146" s="496" t="str">
        <f> IF(EQ166&lt;&gt;"",TEXT(AUX!EU$1,"dd-MMM-aa"),"")</f>
      </c>
      <c r="ER146" s="496" t="str">
        <f> IF(ER166&lt;&gt;"",TEXT(AUX!EV$1,"dd-MMM-aa"),"")</f>
      </c>
      <c r="ES146" s="496" t="str">
        <f> IF(ES166&lt;&gt;"",TEXT(AUX!EW$1,"dd-MMM-aa"),"")</f>
      </c>
      <c r="ET146" s="496" t="str">
        <f> IF(ET166&lt;&gt;"",TEXT(AUX!EX$1,"dd-MMM-aa"),"")</f>
      </c>
      <c r="EU146" s="496" t="str">
        <f> IF(EU166&lt;&gt;"",TEXT(AUX!EY$1,"dd-MMM-aa"),"")</f>
      </c>
      <c r="EV146" s="496" t="str">
        <f> IF(EV166&lt;&gt;"",TEXT(AUX!EZ$1,"dd-MMM-aa"),"")</f>
      </c>
      <c r="EW146" s="496" t="str">
        <f> IF(EW166&lt;&gt;"",TEXT(AUX!FA$1,"dd-MMM-aa"),"")</f>
      </c>
      <c r="EX146" s="496" t="str">
        <f> IF(EX166&lt;&gt;"",TEXT(AUX!FB$1,"dd-MMM-aa"),"")</f>
      </c>
      <c r="EY146" s="496" t="str">
        <f> IF(EY166&lt;&gt;"",TEXT(AUX!FC$1,"dd-MMM-aa"),"")</f>
      </c>
      <c r="EZ146" s="496" t="str">
        <f> IF(EZ166&lt;&gt;"",TEXT(AUX!FD$1,"dd-MMM-aa"),"")</f>
      </c>
      <c r="FA146" s="496" t="str">
        <f> IF(FA166&lt;&gt;"",TEXT(AUX!FE$1,"dd-MMM-aa"),"")</f>
      </c>
      <c r="FB146" s="496" t="str">
        <f> IF(FB166&lt;&gt;"",TEXT(AUX!FF$1,"dd-MMM-aa"),"")</f>
      </c>
      <c r="FC146" s="496" t="str">
        <f> IF(FC166&lt;&gt;"",TEXT(AUX!FG$1,"dd-MMM-aa"),"")</f>
      </c>
      <c r="FD146" s="496" t="str">
        <f> IF(FD166&lt;&gt;"",TEXT(AUX!FH$1,"dd-MMM-aa"),"")</f>
      </c>
      <c r="FE146" s="496" t="str">
        <f> IF(FE166&lt;&gt;"",TEXT(AUX!FI$1,"dd-MMM-aa"),"")</f>
      </c>
      <c r="FF146" s="496" t="str">
        <f> IF(FF166&lt;&gt;"",TEXT(AUX!FJ$1,"dd-MMM-aa"),"")</f>
      </c>
      <c r="FG146" s="496" t="str">
        <f> IF(FG166&lt;&gt;"",TEXT(AUX!FK$1,"dd-MMM-aa"),"")</f>
      </c>
      <c r="FH146" s="496" t="str">
        <f> IF(FH166&lt;&gt;"",TEXT(AUX!FL$1,"dd-MMM-aa"),"")</f>
      </c>
      <c r="FI146" s="496" t="str">
        <f> IF(FI166&lt;&gt;"",TEXT(AUX!FM$1,"dd-MMM-aa"),"")</f>
      </c>
      <c r="FJ146" s="496" t="str">
        <f> IF(FJ166&lt;&gt;"",TEXT(AUX!FN$1,"dd-MMM-aa"),"")</f>
      </c>
      <c r="FK146" s="496" t="str">
        <f> IF(FK166&lt;&gt;"",TEXT(AUX!FO$1,"dd-MMM-aa"),"")</f>
      </c>
      <c r="FL146" s="496" t="str">
        <f> IF(FL166&lt;&gt;"",TEXT(AUX!FP$1,"dd-MMM-aa"),"")</f>
      </c>
      <c r="FM146" s="496" t="str">
        <f> IF(FM166&lt;&gt;"",TEXT(AUX!FQ$1,"dd-MMM-aa"),"")</f>
      </c>
      <c r="FN146" s="496" t="str">
        <f> IF(FN166&lt;&gt;"",TEXT(AUX!FR$1,"dd-MMM-aa"),"")</f>
      </c>
      <c r="FO146" s="496" t="str">
        <f> IF(FO166&lt;&gt;"",TEXT(AUX!FS$1,"dd-MMM-aa"),"")</f>
      </c>
      <c r="FP146" s="496" t="str">
        <f> IF(FP166&lt;&gt;"",TEXT(AUX!FT$1,"dd-MMM-aa"),"")</f>
      </c>
      <c r="FQ146" s="496" t="str">
        <f> IF(FQ166&lt;&gt;"",TEXT(AUX!FU$1,"dd-MMM-aa"),"")</f>
      </c>
      <c r="FR146" s="496" t="str">
        <f> IF(FR166&lt;&gt;"",TEXT(AUX!FV$1,"dd-MMM-aa"),"")</f>
      </c>
      <c r="FS146" s="496" t="str">
        <f> IF(FS166&lt;&gt;"",TEXT(AUX!FW$1,"dd-MMM-aa"),"")</f>
      </c>
      <c r="FT146" s="496" t="str">
        <f> IF(FT166&lt;&gt;"",TEXT(AUX!FX$1,"dd-MMM-aa"),"")</f>
      </c>
      <c r="FU146" s="496" t="str">
        <f> IF(FU166&lt;&gt;"",TEXT(AUX!FY$1,"dd-MMM-aa"),"")</f>
      </c>
      <c r="FV146" s="496" t="str">
        <f> IF(FV166&lt;&gt;"",TEXT(AUX!FZ$1,"dd-MMM-aa"),"")</f>
      </c>
      <c r="FW146" s="496" t="str">
        <f> IF(FW166&lt;&gt;"",TEXT(AUX!GA$1,"dd-MMM-aa"),"")</f>
      </c>
      <c r="FX146" s="496" t="str">
        <f> IF(FX166&lt;&gt;"",TEXT(AUX!GB$1,"dd-MMM-aa"),"")</f>
      </c>
      <c r="FY146" s="496" t="str">
        <f> IF(FY166&lt;&gt;"",TEXT(AUX!GC$1,"dd-MMM-aa"),"")</f>
      </c>
      <c r="FZ146" s="496" t="str">
        <f> IF(FZ166&lt;&gt;"",TEXT(AUX!GD$1,"dd-MMM-aa"),"")</f>
      </c>
      <c r="GA146" s="496" t="str">
        <f> IF(GA166&lt;&gt;"",TEXT(AUX!GE$1,"dd-MMM-aa"),"")</f>
      </c>
      <c r="GB146" s="496" t="str">
        <f> IF(GB166&lt;&gt;"",TEXT(AUX!GF$1,"dd-MMM-aa"),"")</f>
      </c>
      <c r="GC146" s="496" t="str">
        <f> IF(GC166&lt;&gt;"",TEXT(AUX!GG$1,"dd-MMM-aa"),"")</f>
      </c>
      <c r="GD146" s="496" t="str">
        <f> IF(GD166&lt;&gt;"",TEXT(AUX!GH$1,"dd-MMM-aa"),"")</f>
      </c>
      <c r="GE146" s="496" t="str">
        <f> IF(GE166&lt;&gt;"",TEXT(AUX!GI$1,"dd-MMM-aa"),"")</f>
      </c>
      <c r="GF146" s="496" t="str">
        <f> IF(GF166&lt;&gt;"",TEXT(AUX!GJ$1,"dd-MMM-aa"),"")</f>
      </c>
      <c r="GG146" s="496" t="str">
        <f> IF(GG166&lt;&gt;"",TEXT(AUX!GK$1,"dd-MMM-aa"),"")</f>
      </c>
      <c r="GH146" s="496" t="str">
        <f> IF(GH166&lt;&gt;"",TEXT(AUX!GL$1,"dd-MMM-aa"),"")</f>
      </c>
      <c r="GI146" s="496" t="str">
        <f> IF(GI166&lt;&gt;"",TEXT(AUX!GM$1,"dd-MMM-aa"),"")</f>
      </c>
      <c r="GJ146" s="496" t="str">
        <f> IF(GJ166&lt;&gt;"",TEXT(AUX!GN$1,"dd-MMM-aa"),"")</f>
      </c>
      <c r="GK146" s="496" t="str">
        <f> IF(GK166&lt;&gt;"",TEXT(AUX!GO$1,"dd-MMM-aa"),"")</f>
      </c>
      <c r="GL146" s="496" t="str">
        <f> IF(GL166&lt;&gt;"",TEXT(AUX!GP$1,"dd-MMM-aa"),"")</f>
      </c>
      <c r="GM146" s="496" t="str">
        <f> IF(GM166&lt;&gt;"",TEXT(AUX!GQ$1,"dd-MMM-aa"),"")</f>
      </c>
      <c r="GN146" s="496" t="str">
        <f> IF(GN166&lt;&gt;"",TEXT(AUX!GR$1,"dd-MMM-aa"),"")</f>
      </c>
      <c r="GO146" s="496" t="str">
        <f> IF(GO166&lt;&gt;"",TEXT(AUX!GS$1,"dd-MMM-aa"),"")</f>
      </c>
      <c r="GP146" s="496" t="str">
        <f> IF(GP166&lt;&gt;"",TEXT(AUX!GT$1,"dd-MMM-aa"),"")</f>
      </c>
      <c r="GQ146" s="496" t="str">
        <f> IF(GQ166&lt;&gt;"",TEXT(AUX!GU$1,"dd-MMM-aa"),"")</f>
      </c>
      <c r="GR146" s="496" t="str">
        <f> IF(GR166&lt;&gt;"",TEXT(AUX!GV$1,"dd-MMM-aa"),"")</f>
      </c>
      <c r="GS146" s="496" t="str">
        <f> IF(GS166&lt;&gt;"",TEXT(AUX!GW$1,"dd-MMM-aa"),"")</f>
      </c>
      <c r="GT146" s="496" t="str">
        <f> IF(GT166&lt;&gt;"",TEXT(AUX!GX$1,"dd-MMM-aa"),"")</f>
      </c>
      <c r="GU146" s="496" t="str">
        <f> IF(GU166&lt;&gt;"",TEXT(AUX!GY$1,"dd-MMM-aa"),"")</f>
      </c>
      <c r="GV146" s="496" t="str">
        <f> IF(GV166&lt;&gt;"",TEXT(AUX!GZ$1,"dd-MMM-aa"),"")</f>
      </c>
      <c r="GW146" s="496" t="str">
        <f> IF(GW166&lt;&gt;"",TEXT(AUX!HA$1,"dd-MMM-aa"),"")</f>
      </c>
      <c r="GX146" s="496" t="str">
        <f> IF(GX166&lt;&gt;"",TEXT(AUX!HB$1,"dd-MMM-aa"),"")</f>
      </c>
      <c r="GY146" s="496" t="str">
        <f> IF(GY166&lt;&gt;"",TEXT(AUX!HC$1,"dd-MMM-aa"),"")</f>
      </c>
      <c r="GZ146" s="496" t="str">
        <f> IF(GZ166&lt;&gt;"",TEXT(AUX!HD$1,"dd-MMM-aa"),"")</f>
      </c>
      <c r="HA146" s="496" t="str">
        <f> IF(HA166&lt;&gt;"",TEXT(AUX!HE$1,"dd-MMM-aa"),"")</f>
      </c>
      <c r="HB146" s="496" t="str">
        <f> IF(HB166&lt;&gt;"",TEXT(AUX!HF$1,"dd-MMM-aa"),"")</f>
      </c>
      <c r="HC146" s="496" t="str">
        <f> IF(HC166&lt;&gt;"",TEXT(AUX!HG$1,"dd-MMM-aa"),"")</f>
      </c>
      <c r="HD146" s="496" t="str">
        <f> IF(HD166&lt;&gt;"",TEXT(AUX!HH$1,"dd-MMM-aa"),"")</f>
      </c>
      <c r="HE146" s="496" t="str">
        <f> IF(HE166&lt;&gt;"",TEXT(AUX!HI$1,"dd-MMM-aa"),"")</f>
      </c>
      <c r="HF146" s="496" t="str">
        <f> IF(HF166&lt;&gt;"",TEXT(AUX!HJ$1,"dd-MMM-aa"),"")</f>
      </c>
      <c r="HG146" s="496" t="str">
        <f> IF(HG166&lt;&gt;"",TEXT(AUX!HK$1,"dd-MMM-aa"),"")</f>
      </c>
      <c r="HH146" s="496" t="str">
        <f> IF(HH166&lt;&gt;"",TEXT(AUX!HL$1,"dd-MMM-aa"),"")</f>
      </c>
      <c r="HI146" s="496" t="str">
        <f> IF(HI166&lt;&gt;"",TEXT(AUX!HM$1,"dd-MMM-aa"),"")</f>
      </c>
      <c r="HJ146" s="496" t="str">
        <f> IF(HJ166&lt;&gt;"",TEXT(AUX!HN$1,"dd-MMM-aa"),"")</f>
      </c>
      <c r="HK146" s="496" t="str">
        <f> IF(HK166&lt;&gt;"",TEXT(AUX!HO$1,"dd-MMM-aa"),"")</f>
      </c>
      <c r="HL146" s="496" t="str">
        <f> IF(HL166&lt;&gt;"",TEXT(AUX!HP$1,"dd-MMM-aa"),"")</f>
      </c>
      <c r="HM146" s="496" t="str">
        <f> IF(HM166&lt;&gt;"",TEXT(AUX!HQ$1,"dd-MMM-aa"),"")</f>
      </c>
      <c r="HN146" s="496" t="str">
        <f> IF(HN166&lt;&gt;"",TEXT(AUX!HR$1,"dd-MMM-aa"),"")</f>
      </c>
      <c r="HO146" s="496" t="str">
        <f> IF(HO166&lt;&gt;"",TEXT(AUX!HS$1,"dd-MMM-aa"),"")</f>
      </c>
      <c r="HP146" s="496" t="str">
        <f> IF(HP166&lt;&gt;"",TEXT(AUX!HT$1,"dd-MMM-aa"),"")</f>
      </c>
      <c r="HQ146" s="496" t="str">
        <f> IF(HQ166&lt;&gt;"",TEXT(AUX!HU$1,"dd-MMM-aa"),"")</f>
      </c>
      <c r="HR146" s="496" t="str">
        <f> IF(HR166&lt;&gt;"",TEXT(AUX!HV$1,"dd-MMM-aa"),"")</f>
      </c>
      <c r="HS146" s="496" t="str">
        <f> IF(HS166&lt;&gt;"",TEXT(AUX!HW$1,"dd-MMM-aa"),"")</f>
      </c>
      <c r="HT146" s="496" t="str">
        <f> IF(HT166&lt;&gt;"",TEXT(AUX!HX$1,"dd-MMM-aa"),"")</f>
      </c>
      <c r="HU146" s="496" t="str">
        <f> IF(HU166&lt;&gt;"",TEXT(AUX!HY$1,"dd-MMM-aa"),"")</f>
      </c>
      <c r="HV146" s="496" t="str">
        <f> IF(HV166&lt;&gt;"",TEXT(AUX!HZ$1,"dd-MMM-aa"),"")</f>
      </c>
      <c r="HW146" s="496" t="str">
        <f> IF(HW166&lt;&gt;"",TEXT(AUX!IA$1,"dd-MMM-aa"),"")</f>
      </c>
      <c r="HX146" s="496" t="str">
        <f> IF(HX166&lt;&gt;"",TEXT(AUX!IB$1,"dd-MMM-aa"),"")</f>
      </c>
      <c r="HY146" s="496" t="str">
        <f> IF(HY166&lt;&gt;"",TEXT(AUX!IC$1,"dd-MMM-aa"),"")</f>
      </c>
      <c r="HZ146" s="496" t="str">
        <f> IF(HZ166&lt;&gt;"",TEXT(AUX!ID$1,"dd-MMM-aa"),"")</f>
      </c>
      <c r="IA146" s="496" t="str">
        <f> IF(IA166&lt;&gt;"",TEXT(AUX!IE$1,"dd-MMM-aa"),"")</f>
      </c>
      <c r="IB146" s="496" t="str">
        <f> IF(IB166&lt;&gt;"",TEXT(AUX!IF$1,"dd-MMM-aa"),"")</f>
      </c>
      <c r="IC146" s="496" t="str">
        <f> IF(IC166&lt;&gt;"",TEXT(AUX!IG$1,"dd-MMM-aa"),"")</f>
      </c>
      <c r="ID146" s="496" t="str">
        <f> IF(ID166&lt;&gt;"",TEXT(AUX!IH$1,"dd-MMM-aa"),"")</f>
      </c>
      <c r="IE146" s="496" t="str">
        <f> IF(IE166&lt;&gt;"",TEXT(AUX!II$1,"dd-MMM-aa"),"")</f>
      </c>
      <c r="IF146" s="496" t="str">
        <f> IF(IF166&lt;&gt;"",TEXT(AUX!IJ$1,"dd-MMM-aa"),"")</f>
      </c>
      <c r="IG146" s="496" t="str">
        <f> IF(IG166&lt;&gt;"",TEXT(AUX!IK$1,"dd-MMM-aa"),"")</f>
      </c>
      <c r="IH146" s="496" t="str">
        <f> IF(IH166&lt;&gt;"",TEXT(AUX!IL$1,"dd-MMM-aa"),"")</f>
      </c>
      <c r="II146" s="496" t="str">
        <f> IF(II166&lt;&gt;"",TEXT(AUX!IM$1,"dd-MMM-aa"),"")</f>
      </c>
      <c r="IJ146" s="496" t="str">
        <f> IF(IJ166&lt;&gt;"",TEXT(AUX!IN$1,"dd-MMM-aa"),"")</f>
      </c>
      <c r="IK146" s="496" t="str">
        <f> IF(IK166&lt;&gt;"",TEXT(AUX!IO$1,"dd-MMM-aa"),"")</f>
      </c>
      <c r="IL146" s="496" t="str">
        <f> IF(IL166&lt;&gt;"",TEXT(AUX!IP$1,"dd-MMM-aa"),"")</f>
      </c>
      <c r="IM146" s="496" t="str">
        <f> IF(IM166&lt;&gt;"",TEXT(AUX!IQ$1,"dd-MMM-aa"),"")</f>
      </c>
      <c r="IN146" s="496" t="str">
        <f> IF(IN166&lt;&gt;"",TEXT(AUX!IR$1,"dd-MMM-aa"),"")</f>
      </c>
      <c r="IO146" s="496" t="str">
        <f> IF(IO166&lt;&gt;"",TEXT(AUX!IS$1,"dd-MMM-aa"),"")</f>
      </c>
      <c r="IP146" s="496" t="str">
        <f> IF(IP166&lt;&gt;"",TEXT(AUX!IT$1,"dd-MMM-aa"),"")</f>
      </c>
      <c r="IQ146" s="496" t="str">
        <f> IF(IQ166&lt;&gt;"",TEXT(AUX!IU$1,"dd-MMM-aa"),"")</f>
      </c>
      <c r="IR146" s="496" t="str">
        <f> IF(IR166&lt;&gt;"",TEXT(AUX!IV$1,"dd-MMM-aa"),"")</f>
      </c>
      <c r="IS146" s="496" t="str">
        <f> IF(IS166&lt;&gt;"",TEXT(AUX!#REF!,"dd-MMM-aa"),"")</f>
      </c>
      <c r="IT146" s="496" t="str">
        <f> IF(IT166&lt;&gt;"",TEXT(AUX!#REF!,"dd-MMM-aa"),"")</f>
      </c>
      <c r="IU146" s="496" t="str">
        <f> IF(IU166&lt;&gt;"",TEXT(AUX!#REF!,"dd-MMM-aa"),"")</f>
      </c>
      <c r="IV146" s="496" t="str">
        <f> IF(IV166&lt;&gt;"",TEXT(AUX!#REF!,"dd-MMM-aa"),"")</f>
      </c>
    </row>
    <row r="147" hidden="1" ht="12.75" customHeight="1">
      <c r="B147" s="833" t="s">
        <v>8</v>
      </c>
      <c r="C147" s="827">
        <v>26</v>
      </c>
      <c r="D147" s="827">
        <v>25</v>
      </c>
      <c r="E147" s="827">
        <v>20</v>
      </c>
      <c r="F147" s="827">
        <v>20</v>
      </c>
      <c r="G147" s="827">
        <v>17</v>
      </c>
      <c r="H147" s="827">
        <v>18</v>
      </c>
      <c r="I147" s="827">
        <v>16</v>
      </c>
      <c r="J147" s="827">
        <v>19</v>
      </c>
      <c r="K147" s="827">
        <v>17</v>
      </c>
      <c r="L147" s="827">
        <v>17</v>
      </c>
      <c r="M147" s="827">
        <v>17</v>
      </c>
      <c r="N147" s="827">
        <v>18</v>
      </c>
      <c r="O147" s="827">
        <v>20</v>
      </c>
      <c r="P147" s="827">
        <v>19</v>
      </c>
      <c r="Q147" s="827">
        <v>176</v>
      </c>
      <c r="R147" s="827">
        <v>167</v>
      </c>
      <c r="S147" s="827">
        <v>167</v>
      </c>
      <c r="T147" s="827">
        <v>167</v>
      </c>
      <c r="U147" s="827">
        <v>164</v>
      </c>
      <c r="V147" s="827">
        <v>159</v>
      </c>
      <c r="W147" s="827">
        <v>154</v>
      </c>
      <c r="X147" s="827">
        <v>132</v>
      </c>
      <c r="Y147" s="827">
        <v>152</v>
      </c>
      <c r="Z147" s="827">
        <v>151</v>
      </c>
      <c r="AA147" s="827">
        <v>144</v>
      </c>
      <c r="AB147" s="834">
        <v>144</v>
      </c>
      <c r="AC147" s="828">
        <v>144</v>
      </c>
      <c r="AD147" s="828">
        <v>147</v>
      </c>
      <c r="AE147" s="828">
        <v>149</v>
      </c>
      <c r="AF147" s="828">
        <v>141</v>
      </c>
      <c r="AG147" s="828">
        <v>139</v>
      </c>
      <c r="AH147" s="828">
        <v>137</v>
      </c>
      <c r="AI147" s="828">
        <v>138</v>
      </c>
      <c r="AJ147" s="828">
        <v>139</v>
      </c>
      <c r="AK147" s="828">
        <v>139</v>
      </c>
      <c r="AL147" s="828">
        <v>139</v>
      </c>
      <c r="AM147" s="828">
        <v>125</v>
      </c>
      <c r="AN147" s="828">
        <v>131</v>
      </c>
      <c r="AO147" s="828">
        <v>128</v>
      </c>
      <c r="AP147" s="828">
        <v>127</v>
      </c>
    </row>
    <row r="148" hidden="1" ht="12.75" customHeight="1">
      <c r="B148" s="829" t="s">
        <v>9</v>
      </c>
      <c r="C148" s="823">
        <v>1</v>
      </c>
      <c r="D148" s="823">
        <v>1</v>
      </c>
      <c r="E148" s="823">
        <v>1</v>
      </c>
      <c r="F148" s="823">
        <v>1</v>
      </c>
      <c r="G148" s="823">
        <v>1</v>
      </c>
      <c r="H148" s="823">
        <v>98</v>
      </c>
      <c r="I148" s="823">
        <v>96</v>
      </c>
      <c r="J148" s="823">
        <v>94</v>
      </c>
      <c r="K148" s="823">
        <v>80</v>
      </c>
      <c r="L148" s="823">
        <v>83</v>
      </c>
      <c r="M148" s="823">
        <v>80</v>
      </c>
      <c r="N148" s="823">
        <v>66</v>
      </c>
      <c r="O148" s="823">
        <v>60</v>
      </c>
      <c r="P148" s="823">
        <v>59</v>
      </c>
      <c r="Q148" s="823">
        <v>77</v>
      </c>
      <c r="R148" s="823">
        <v>78</v>
      </c>
      <c r="S148" s="823">
        <v>79</v>
      </c>
      <c r="T148" s="823">
        <v>79</v>
      </c>
      <c r="U148" s="823">
        <v>75</v>
      </c>
      <c r="V148" s="823">
        <v>77</v>
      </c>
      <c r="W148" s="823">
        <v>78</v>
      </c>
      <c r="X148" s="823">
        <v>77</v>
      </c>
      <c r="Y148" s="823">
        <v>76</v>
      </c>
      <c r="Z148" s="823">
        <v>78</v>
      </c>
      <c r="AA148" s="823">
        <v>82</v>
      </c>
      <c r="AB148" s="823">
        <v>83</v>
      </c>
      <c r="AC148" s="825">
        <v>81</v>
      </c>
      <c r="AD148" s="825">
        <v>78</v>
      </c>
      <c r="AE148" s="825">
        <v>80</v>
      </c>
      <c r="AF148" s="825">
        <v>80</v>
      </c>
      <c r="AG148" s="825">
        <v>80</v>
      </c>
      <c r="AH148" s="825">
        <v>79</v>
      </c>
      <c r="AI148" s="825">
        <v>88</v>
      </c>
      <c r="AJ148" s="825">
        <v>86</v>
      </c>
      <c r="AK148" s="825">
        <v>85</v>
      </c>
      <c r="AL148" s="825">
        <v>84</v>
      </c>
      <c r="AM148" s="825">
        <v>83</v>
      </c>
      <c r="AN148" s="825">
        <v>89</v>
      </c>
      <c r="AO148" s="825">
        <v>90</v>
      </c>
      <c r="AP148" s="825">
        <v>91</v>
      </c>
    </row>
    <row r="149" hidden="1" ht="12.75" customHeight="1">
      <c r="B149" s="826" t="s">
        <v>10</v>
      </c>
      <c r="C149" s="827">
        <v>7</v>
      </c>
      <c r="D149" s="827">
        <v>7</v>
      </c>
      <c r="E149" s="827">
        <v>8</v>
      </c>
      <c r="F149" s="827">
        <v>7</v>
      </c>
      <c r="G149" s="827">
        <v>6</v>
      </c>
      <c r="H149" s="827">
        <v>6</v>
      </c>
      <c r="I149" s="827">
        <v>6</v>
      </c>
      <c r="J149" s="827">
        <v>4</v>
      </c>
      <c r="K149" s="827">
        <v>4</v>
      </c>
      <c r="L149" s="827">
        <v>3</v>
      </c>
      <c r="M149" s="827">
        <v>2</v>
      </c>
      <c r="N149" s="827">
        <v>3</v>
      </c>
      <c r="O149" s="827">
        <v>4</v>
      </c>
      <c r="P149" s="827">
        <v>6</v>
      </c>
      <c r="Q149" s="827">
        <v>6</v>
      </c>
      <c r="R149" s="827">
        <v>6</v>
      </c>
      <c r="S149" s="827">
        <v>6</v>
      </c>
      <c r="T149" s="827">
        <v>6</v>
      </c>
      <c r="U149" s="827">
        <v>6</v>
      </c>
      <c r="V149" s="827">
        <v>6</v>
      </c>
      <c r="W149" s="827">
        <v>6</v>
      </c>
      <c r="X149" s="827">
        <v>6</v>
      </c>
      <c r="Y149" s="827">
        <v>6</v>
      </c>
      <c r="Z149" s="827">
        <v>5</v>
      </c>
      <c r="AA149" s="827">
        <v>5</v>
      </c>
      <c r="AB149" s="827">
        <v>5</v>
      </c>
      <c r="AC149" s="828">
        <v>5</v>
      </c>
      <c r="AD149" s="828">
        <v>5</v>
      </c>
      <c r="AE149" s="828">
        <v>4</v>
      </c>
      <c r="AF149" s="828">
        <v>5</v>
      </c>
      <c r="AG149" s="828">
        <v>5</v>
      </c>
      <c r="AH149" s="828">
        <v>3</v>
      </c>
      <c r="AI149" s="828">
        <v>4</v>
      </c>
      <c r="AJ149" s="828">
        <v>4</v>
      </c>
      <c r="AK149" s="828">
        <v>4</v>
      </c>
      <c r="AL149" s="828">
        <v>4</v>
      </c>
      <c r="AM149" s="828">
        <v>4</v>
      </c>
      <c r="AN149" s="828">
        <v>4</v>
      </c>
      <c r="AO149" s="828">
        <v>4</v>
      </c>
      <c r="AP149" s="828">
        <v>4</v>
      </c>
    </row>
    <row r="150" hidden="1" ht="12.75" customHeight="1">
      <c r="B150" s="829" t="s">
        <v>11</v>
      </c>
      <c r="C150" s="823">
        <v>10</v>
      </c>
      <c r="D150" s="823">
        <v>11</v>
      </c>
      <c r="E150" s="823">
        <v>11</v>
      </c>
      <c r="F150" s="823">
        <v>10</v>
      </c>
      <c r="G150" s="823">
        <v>10</v>
      </c>
      <c r="H150" s="823">
        <v>11</v>
      </c>
      <c r="I150" s="823">
        <v>8</v>
      </c>
      <c r="J150" s="823">
        <v>10</v>
      </c>
      <c r="K150" s="823">
        <v>9</v>
      </c>
      <c r="L150" s="823">
        <v>9</v>
      </c>
      <c r="M150" s="823">
        <v>8</v>
      </c>
      <c r="N150" s="823">
        <v>8</v>
      </c>
      <c r="O150" s="823">
        <v>8</v>
      </c>
      <c r="P150" s="823">
        <v>9</v>
      </c>
      <c r="Q150" s="823">
        <v>7</v>
      </c>
      <c r="R150" s="823">
        <v>9</v>
      </c>
      <c r="S150" s="823">
        <v>6</v>
      </c>
      <c r="T150" s="823">
        <v>7</v>
      </c>
      <c r="U150" s="823">
        <v>6</v>
      </c>
      <c r="V150" s="823">
        <v>6</v>
      </c>
      <c r="W150" s="823">
        <v>6</v>
      </c>
      <c r="X150" s="823">
        <v>6</v>
      </c>
      <c r="Y150" s="823">
        <v>4</v>
      </c>
      <c r="Z150" s="823">
        <v>4</v>
      </c>
      <c r="AA150" s="823">
        <v>4</v>
      </c>
      <c r="AB150" s="823">
        <v>4</v>
      </c>
      <c r="AC150" s="825">
        <v>5</v>
      </c>
      <c r="AD150" s="825">
        <v>5</v>
      </c>
      <c r="AE150" s="825">
        <v>6</v>
      </c>
      <c r="AF150" s="825">
        <v>6</v>
      </c>
      <c r="AG150" s="825">
        <v>3</v>
      </c>
      <c r="AH150" s="825">
        <v>4</v>
      </c>
      <c r="AI150" s="825">
        <v>5</v>
      </c>
      <c r="AJ150" s="825">
        <v>4</v>
      </c>
      <c r="AK150" s="825">
        <v>4</v>
      </c>
      <c r="AL150" s="825">
        <v>4</v>
      </c>
      <c r="AM150" s="825">
        <v>5</v>
      </c>
      <c r="AN150" s="825">
        <v>4</v>
      </c>
      <c r="AO150" s="825">
        <v>4</v>
      </c>
      <c r="AP150" s="825">
        <v>5</v>
      </c>
    </row>
    <row r="151" hidden="1" ht="12.75" customHeight="1">
      <c r="B151" s="826" t="s">
        <v>12</v>
      </c>
      <c r="C151" s="827">
        <v>3</v>
      </c>
      <c r="D151" s="827">
        <v>1</v>
      </c>
      <c r="E151" s="827">
        <v>1</v>
      </c>
      <c r="F151" s="827">
        <v>1</v>
      </c>
      <c r="G151" s="827">
        <v>1</v>
      </c>
      <c r="H151" s="827">
        <v>1</v>
      </c>
      <c r="I151" s="827">
        <v>3</v>
      </c>
      <c r="J151" s="827">
        <v>4</v>
      </c>
      <c r="K151" s="827">
        <v>8</v>
      </c>
      <c r="L151" s="827">
        <v>6</v>
      </c>
      <c r="M151" s="827">
        <v>6</v>
      </c>
      <c r="N151" s="827">
        <v>7</v>
      </c>
      <c r="O151" s="827">
        <v>12</v>
      </c>
      <c r="P151" s="827">
        <v>15</v>
      </c>
      <c r="Q151" s="827">
        <v>29</v>
      </c>
      <c r="R151" s="827">
        <v>38</v>
      </c>
      <c r="S151" s="827">
        <v>47</v>
      </c>
      <c r="T151" s="827">
        <v>55</v>
      </c>
      <c r="U151" s="827">
        <v>58</v>
      </c>
      <c r="V151" s="827">
        <v>57</v>
      </c>
      <c r="W151" s="827">
        <v>52</v>
      </c>
      <c r="X151" s="827">
        <v>58</v>
      </c>
      <c r="Y151" s="827">
        <v>52</v>
      </c>
      <c r="Z151" s="827">
        <v>51</v>
      </c>
      <c r="AA151" s="827">
        <v>48</v>
      </c>
      <c r="AB151" s="827">
        <v>44</v>
      </c>
      <c r="AC151" s="828">
        <v>42</v>
      </c>
      <c r="AD151" s="828">
        <v>42</v>
      </c>
      <c r="AE151" s="828">
        <v>33</v>
      </c>
      <c r="AF151" s="828">
        <v>38</v>
      </c>
      <c r="AG151" s="828">
        <v>38</v>
      </c>
      <c r="AH151" s="828">
        <v>39</v>
      </c>
      <c r="AI151" s="828">
        <v>39</v>
      </c>
      <c r="AJ151" s="828">
        <v>40</v>
      </c>
      <c r="AK151" s="828">
        <v>31</v>
      </c>
      <c r="AL151" s="828">
        <v>34</v>
      </c>
      <c r="AM151" s="828">
        <v>32</v>
      </c>
      <c r="AN151" s="828">
        <v>28</v>
      </c>
      <c r="AO151" s="828">
        <v>26</v>
      </c>
      <c r="AP151" s="828">
        <v>23</v>
      </c>
    </row>
    <row r="152" hidden="1" ht="12.75" customHeight="1">
      <c r="B152" s="829" t="s">
        <v>13</v>
      </c>
      <c r="C152" s="823">
        <v>1</v>
      </c>
      <c r="D152" s="823">
        <v>1</v>
      </c>
      <c r="E152" s="823">
        <v>1</v>
      </c>
      <c r="F152" s="823">
        <v>1</v>
      </c>
      <c r="G152" s="823">
        <v>1</v>
      </c>
      <c r="H152" s="823">
        <v>2</v>
      </c>
      <c r="I152" s="823">
        <v>2</v>
      </c>
      <c r="J152" s="823">
        <v>2</v>
      </c>
      <c r="K152" s="823">
        <v>1</v>
      </c>
      <c r="L152" s="823">
        <v>1</v>
      </c>
      <c r="M152" s="823">
        <v>2</v>
      </c>
      <c r="N152" s="823">
        <v>1</v>
      </c>
      <c r="O152" s="823">
        <v>1</v>
      </c>
      <c r="P152" s="823">
        <v>1</v>
      </c>
      <c r="Q152" s="823">
        <v>1</v>
      </c>
      <c r="R152" s="823">
        <v>1</v>
      </c>
      <c r="S152" s="823">
        <v>1</v>
      </c>
      <c r="T152" s="823">
        <v>1</v>
      </c>
      <c r="U152" s="823">
        <v>1</v>
      </c>
      <c r="V152" s="823">
        <v>1</v>
      </c>
      <c r="W152" s="823">
        <v>0</v>
      </c>
      <c r="X152" s="823">
        <v>0</v>
      </c>
      <c r="Y152" s="823">
        <v>0</v>
      </c>
      <c r="Z152" s="823">
        <v>0</v>
      </c>
      <c r="AA152" s="823">
        <v>0</v>
      </c>
      <c r="AB152" s="823">
        <v>0</v>
      </c>
      <c r="AC152" s="825">
        <v>0</v>
      </c>
      <c r="AD152" s="825">
        <v>0</v>
      </c>
      <c r="AE152" s="825">
        <v>0</v>
      </c>
      <c r="AF152" s="825">
        <v>0</v>
      </c>
      <c r="AG152" s="825">
        <v>0</v>
      </c>
      <c r="AH152" s="825">
        <v>0</v>
      </c>
      <c r="AI152" s="825">
        <v>0</v>
      </c>
      <c r="AJ152" s="825">
        <v>0</v>
      </c>
      <c r="AK152" s="825">
        <v>0</v>
      </c>
      <c r="AL152" s="825">
        <v>0</v>
      </c>
      <c r="AM152" s="825">
        <v>0</v>
      </c>
      <c r="AN152" s="825">
        <v>0</v>
      </c>
      <c r="AO152" s="825">
        <v>0</v>
      </c>
      <c r="AP152" s="825">
        <v>0</v>
      </c>
    </row>
    <row r="153" hidden="1" ht="12.75" customHeight="1">
      <c r="B153" s="826" t="s">
        <v>109</v>
      </c>
      <c r="C153" s="827">
        <v>112</v>
      </c>
      <c r="D153" s="827">
        <v>116</v>
      </c>
      <c r="E153" s="827">
        <v>103</v>
      </c>
      <c r="F153" s="827">
        <v>104</v>
      </c>
      <c r="G153" s="827">
        <v>98</v>
      </c>
      <c r="H153" s="827">
        <v>100</v>
      </c>
      <c r="I153" s="827">
        <v>100</v>
      </c>
      <c r="J153" s="827">
        <v>94</v>
      </c>
      <c r="K153" s="827">
        <v>90</v>
      </c>
      <c r="L153" s="827">
        <v>93</v>
      </c>
      <c r="M153" s="827">
        <v>89</v>
      </c>
      <c r="N153" s="827">
        <v>92</v>
      </c>
      <c r="O153" s="827">
        <v>93</v>
      </c>
      <c r="P153" s="827">
        <v>93</v>
      </c>
      <c r="Q153" s="827">
        <v>94</v>
      </c>
      <c r="R153" s="827">
        <v>86</v>
      </c>
      <c r="S153" s="827">
        <v>83</v>
      </c>
      <c r="T153" s="827">
        <v>83</v>
      </c>
      <c r="U153" s="827">
        <v>86</v>
      </c>
      <c r="V153" s="827">
        <v>85</v>
      </c>
      <c r="W153" s="827">
        <v>85</v>
      </c>
      <c r="X153" s="827">
        <v>80</v>
      </c>
      <c r="Y153" s="827">
        <v>81</v>
      </c>
      <c r="Z153" s="827">
        <v>80</v>
      </c>
      <c r="AA153" s="827">
        <v>76</v>
      </c>
      <c r="AB153" s="827">
        <v>76</v>
      </c>
      <c r="AC153" s="828">
        <v>73</v>
      </c>
      <c r="AD153" s="828">
        <v>72</v>
      </c>
      <c r="AE153" s="828">
        <v>68</v>
      </c>
      <c r="AF153" s="828">
        <v>68</v>
      </c>
      <c r="AG153" s="828">
        <v>65</v>
      </c>
      <c r="AH153" s="828">
        <v>65</v>
      </c>
      <c r="AI153" s="828">
        <v>64</v>
      </c>
      <c r="AJ153" s="828">
        <v>61</v>
      </c>
      <c r="AK153" s="828">
        <v>65</v>
      </c>
      <c r="AL153" s="828">
        <v>67</v>
      </c>
      <c r="AM153" s="828">
        <v>63</v>
      </c>
      <c r="AN153" s="828">
        <v>68</v>
      </c>
      <c r="AO153" s="828">
        <v>70</v>
      </c>
      <c r="AP153" s="828">
        <v>72</v>
      </c>
    </row>
    <row r="154" hidden="1" ht="12.75" customHeight="1">
      <c r="B154" s="829" t="s">
        <v>110</v>
      </c>
      <c r="C154" s="823">
        <v>28</v>
      </c>
      <c r="D154" s="823">
        <v>27</v>
      </c>
      <c r="E154" s="823">
        <v>28</v>
      </c>
      <c r="F154" s="823">
        <v>29</v>
      </c>
      <c r="G154" s="823">
        <v>21</v>
      </c>
      <c r="H154" s="823">
        <v>22</v>
      </c>
      <c r="I154" s="823">
        <v>20</v>
      </c>
      <c r="J154" s="823">
        <v>20</v>
      </c>
      <c r="K154" s="823">
        <v>10</v>
      </c>
      <c r="L154" s="823">
        <v>10</v>
      </c>
      <c r="M154" s="823">
        <v>13</v>
      </c>
      <c r="N154" s="823">
        <v>13</v>
      </c>
      <c r="O154" s="823">
        <v>13</v>
      </c>
      <c r="P154" s="823">
        <v>15</v>
      </c>
      <c r="Q154" s="823">
        <v>14</v>
      </c>
      <c r="R154" s="823">
        <v>14</v>
      </c>
      <c r="S154" s="823">
        <v>13</v>
      </c>
      <c r="T154" s="823">
        <v>14</v>
      </c>
      <c r="U154" s="823">
        <v>12</v>
      </c>
      <c r="V154" s="823">
        <v>12</v>
      </c>
      <c r="W154" s="823">
        <v>12</v>
      </c>
      <c r="X154" s="823">
        <v>17</v>
      </c>
      <c r="Y154" s="823">
        <v>12</v>
      </c>
      <c r="Z154" s="823">
        <v>13</v>
      </c>
      <c r="AA154" s="823">
        <v>10</v>
      </c>
      <c r="AB154" s="823">
        <v>11</v>
      </c>
      <c r="AC154" s="825">
        <v>11</v>
      </c>
      <c r="AD154" s="825">
        <v>12</v>
      </c>
      <c r="AE154" s="825">
        <v>12</v>
      </c>
      <c r="AF154" s="825">
        <v>15</v>
      </c>
      <c r="AG154" s="825">
        <v>15</v>
      </c>
      <c r="AH154" s="825">
        <v>14</v>
      </c>
      <c r="AI154" s="825">
        <v>15</v>
      </c>
      <c r="AJ154" s="825">
        <v>16</v>
      </c>
      <c r="AK154" s="825">
        <v>16</v>
      </c>
      <c r="AL154" s="825">
        <v>17</v>
      </c>
      <c r="AM154" s="825">
        <v>20</v>
      </c>
      <c r="AN154" s="825">
        <v>21</v>
      </c>
      <c r="AO154" s="825">
        <v>20</v>
      </c>
      <c r="AP154" s="825">
        <v>19</v>
      </c>
    </row>
    <row r="155" hidden="1" ht="12.75" customHeight="1">
      <c r="B155" s="826" t="s">
        <v>16</v>
      </c>
      <c r="C155" s="827">
        <v>161</v>
      </c>
      <c r="D155" s="827">
        <v>152</v>
      </c>
      <c r="E155" s="827">
        <v>148</v>
      </c>
      <c r="F155" s="827">
        <v>134</v>
      </c>
      <c r="G155" s="827">
        <v>125</v>
      </c>
      <c r="H155" s="827">
        <v>119</v>
      </c>
      <c r="I155" s="827">
        <v>117</v>
      </c>
      <c r="J155" s="827">
        <v>109</v>
      </c>
      <c r="K155" s="827">
        <v>102</v>
      </c>
      <c r="L155" s="827">
        <v>98</v>
      </c>
      <c r="M155" s="827">
        <v>96</v>
      </c>
      <c r="N155" s="827">
        <v>93</v>
      </c>
      <c r="O155" s="827">
        <v>88</v>
      </c>
      <c r="P155" s="827">
        <v>87</v>
      </c>
      <c r="Q155" s="827">
        <v>88</v>
      </c>
      <c r="R155" s="827">
        <v>79</v>
      </c>
      <c r="S155" s="827">
        <v>70</v>
      </c>
      <c r="T155" s="827">
        <v>67</v>
      </c>
      <c r="U155" s="827">
        <v>72</v>
      </c>
      <c r="V155" s="827">
        <v>73</v>
      </c>
      <c r="W155" s="827">
        <v>76</v>
      </c>
      <c r="X155" s="827">
        <v>74</v>
      </c>
      <c r="Y155" s="827">
        <v>74</v>
      </c>
      <c r="Z155" s="827">
        <v>75</v>
      </c>
      <c r="AA155" s="827">
        <v>79</v>
      </c>
      <c r="AB155" s="827">
        <v>69</v>
      </c>
      <c r="AC155" s="828">
        <v>65</v>
      </c>
      <c r="AD155" s="828">
        <v>69</v>
      </c>
      <c r="AE155" s="828">
        <v>72</v>
      </c>
      <c r="AF155" s="828">
        <v>80</v>
      </c>
      <c r="AG155" s="828">
        <v>90</v>
      </c>
      <c r="AH155" s="828">
        <v>94</v>
      </c>
      <c r="AI155" s="828">
        <v>98</v>
      </c>
      <c r="AJ155" s="828">
        <v>102</v>
      </c>
      <c r="AK155" s="828">
        <v>105</v>
      </c>
      <c r="AL155" s="828">
        <v>99</v>
      </c>
      <c r="AM155" s="828">
        <v>91</v>
      </c>
      <c r="AN155" s="828">
        <v>96</v>
      </c>
      <c r="AO155" s="828">
        <v>97</v>
      </c>
      <c r="AP155" s="828">
        <v>103</v>
      </c>
    </row>
    <row r="156" hidden="1" ht="12.75" customHeight="1">
      <c r="B156" s="829" t="s">
        <v>17</v>
      </c>
      <c r="C156" s="823">
        <v>457</v>
      </c>
      <c r="D156" s="823">
        <v>445</v>
      </c>
      <c r="E156" s="823">
        <v>434</v>
      </c>
      <c r="F156" s="823">
        <v>425</v>
      </c>
      <c r="G156" s="823">
        <v>224</v>
      </c>
      <c r="H156" s="823">
        <v>227</v>
      </c>
      <c r="I156" s="823">
        <v>227</v>
      </c>
      <c r="J156" s="823">
        <v>224</v>
      </c>
      <c r="K156" s="823">
        <v>226</v>
      </c>
      <c r="L156" s="823">
        <v>227</v>
      </c>
      <c r="M156" s="823">
        <v>230</v>
      </c>
      <c r="N156" s="823">
        <v>228</v>
      </c>
      <c r="O156" s="823">
        <v>226</v>
      </c>
      <c r="P156" s="823">
        <v>114</v>
      </c>
      <c r="Q156" s="823">
        <v>97</v>
      </c>
      <c r="R156" s="823">
        <v>102</v>
      </c>
      <c r="S156" s="823">
        <v>90</v>
      </c>
      <c r="T156" s="823">
        <v>91</v>
      </c>
      <c r="U156" s="823">
        <v>67</v>
      </c>
      <c r="V156" s="823">
        <v>67</v>
      </c>
      <c r="W156" s="823">
        <v>56</v>
      </c>
      <c r="X156" s="823">
        <v>54</v>
      </c>
      <c r="Y156" s="823">
        <v>57</v>
      </c>
      <c r="Z156" s="823">
        <v>58</v>
      </c>
      <c r="AA156" s="823">
        <v>62</v>
      </c>
      <c r="AB156" s="823">
        <v>59</v>
      </c>
      <c r="AC156" s="825">
        <v>57</v>
      </c>
      <c r="AD156" s="825">
        <v>57</v>
      </c>
      <c r="AE156" s="825">
        <v>60</v>
      </c>
      <c r="AF156" s="825">
        <v>59</v>
      </c>
      <c r="AG156" s="825">
        <v>60</v>
      </c>
      <c r="AH156" s="825">
        <v>60</v>
      </c>
      <c r="AI156" s="825">
        <v>63</v>
      </c>
      <c r="AJ156" s="825">
        <v>63</v>
      </c>
      <c r="AK156" s="825">
        <v>62</v>
      </c>
      <c r="AL156" s="825">
        <v>62</v>
      </c>
      <c r="AM156" s="825">
        <v>62</v>
      </c>
      <c r="AN156" s="825">
        <v>63</v>
      </c>
      <c r="AO156" s="825">
        <v>66</v>
      </c>
      <c r="AP156" s="825">
        <v>65</v>
      </c>
    </row>
    <row r="157" hidden="1" ht="12.75" customHeight="1">
      <c r="B157" s="826" t="s">
        <v>18</v>
      </c>
      <c r="C157" s="827">
        <v>8</v>
      </c>
      <c r="D157" s="827">
        <v>10</v>
      </c>
      <c r="E157" s="827">
        <v>11</v>
      </c>
      <c r="F157" s="827">
        <v>10</v>
      </c>
      <c r="G157" s="827">
        <v>11</v>
      </c>
      <c r="H157" s="827">
        <v>14</v>
      </c>
      <c r="I157" s="827">
        <v>13</v>
      </c>
      <c r="J157" s="827">
        <v>16</v>
      </c>
      <c r="K157" s="827">
        <v>21</v>
      </c>
      <c r="L157" s="827">
        <v>21</v>
      </c>
      <c r="M157" s="827">
        <v>13</v>
      </c>
      <c r="N157" s="827">
        <v>16</v>
      </c>
      <c r="O157" s="827">
        <v>29</v>
      </c>
      <c r="P157" s="827">
        <v>9</v>
      </c>
      <c r="Q157" s="827">
        <v>11</v>
      </c>
      <c r="R157" s="827">
        <v>7</v>
      </c>
      <c r="S157" s="827">
        <v>6</v>
      </c>
      <c r="T157" s="827">
        <v>5</v>
      </c>
      <c r="U157" s="827">
        <v>4</v>
      </c>
      <c r="V157" s="827">
        <v>2</v>
      </c>
      <c r="W157" s="827">
        <v>2</v>
      </c>
      <c r="X157" s="827">
        <v>3</v>
      </c>
      <c r="Y157" s="827">
        <v>2</v>
      </c>
      <c r="Z157" s="827">
        <v>2</v>
      </c>
      <c r="AA157" s="827">
        <v>2</v>
      </c>
      <c r="AB157" s="827">
        <v>2</v>
      </c>
      <c r="AC157" s="828">
        <v>4</v>
      </c>
      <c r="AD157" s="828">
        <v>8</v>
      </c>
      <c r="AE157" s="828">
        <v>9</v>
      </c>
      <c r="AF157" s="828">
        <v>14</v>
      </c>
      <c r="AG157" s="828">
        <v>15</v>
      </c>
      <c r="AH157" s="828">
        <v>12</v>
      </c>
      <c r="AI157" s="828">
        <v>6</v>
      </c>
      <c r="AJ157" s="828">
        <v>4</v>
      </c>
      <c r="AK157" s="828">
        <v>5</v>
      </c>
      <c r="AL157" s="828">
        <v>6</v>
      </c>
      <c r="AM157" s="828">
        <v>4</v>
      </c>
      <c r="AN157" s="828">
        <v>2</v>
      </c>
      <c r="AO157" s="828">
        <v>2</v>
      </c>
      <c r="AP157" s="828">
        <v>2</v>
      </c>
    </row>
    <row r="158" hidden="1" ht="12.75" customHeight="1">
      <c r="B158" s="829" t="s">
        <v>19</v>
      </c>
      <c r="C158" s="823">
        <v>5</v>
      </c>
      <c r="D158" s="823">
        <v>6</v>
      </c>
      <c r="E158" s="823">
        <v>5</v>
      </c>
      <c r="F158" s="823">
        <v>6</v>
      </c>
      <c r="G158" s="823">
        <v>5</v>
      </c>
      <c r="H158" s="823">
        <v>6</v>
      </c>
      <c r="I158" s="823">
        <v>6</v>
      </c>
      <c r="J158" s="823">
        <v>7</v>
      </c>
      <c r="K158" s="823">
        <v>7</v>
      </c>
      <c r="L158" s="823">
        <v>7</v>
      </c>
      <c r="M158" s="823">
        <v>7</v>
      </c>
      <c r="N158" s="823">
        <v>7</v>
      </c>
      <c r="O158" s="823">
        <v>7</v>
      </c>
      <c r="P158" s="823">
        <v>7</v>
      </c>
      <c r="Q158" s="823">
        <v>4</v>
      </c>
      <c r="R158" s="823">
        <v>5</v>
      </c>
      <c r="S158" s="823">
        <v>3</v>
      </c>
      <c r="T158" s="823">
        <v>3</v>
      </c>
      <c r="U158" s="823">
        <v>4</v>
      </c>
      <c r="V158" s="823">
        <v>5</v>
      </c>
      <c r="W158" s="823">
        <v>5</v>
      </c>
      <c r="X158" s="823">
        <v>5</v>
      </c>
      <c r="Y158" s="823">
        <v>6</v>
      </c>
      <c r="Z158" s="823">
        <v>6</v>
      </c>
      <c r="AA158" s="823">
        <v>6</v>
      </c>
      <c r="AB158" s="823">
        <v>6</v>
      </c>
      <c r="AC158" s="825">
        <v>6</v>
      </c>
      <c r="AD158" s="825">
        <v>6</v>
      </c>
      <c r="AE158" s="825">
        <v>6</v>
      </c>
      <c r="AF158" s="825">
        <v>6</v>
      </c>
      <c r="AG158" s="825">
        <v>6</v>
      </c>
      <c r="AH158" s="825">
        <v>6</v>
      </c>
      <c r="AI158" s="825">
        <v>4</v>
      </c>
      <c r="AJ158" s="825">
        <v>4</v>
      </c>
      <c r="AK158" s="825">
        <v>4</v>
      </c>
      <c r="AL158" s="825">
        <v>3</v>
      </c>
      <c r="AM158" s="825">
        <v>3</v>
      </c>
      <c r="AN158" s="825">
        <v>3</v>
      </c>
      <c r="AO158" s="825">
        <v>3</v>
      </c>
      <c r="AP158" s="825">
        <v>4</v>
      </c>
    </row>
    <row r="159" hidden="1" ht="12.75" customHeight="1">
      <c r="B159" s="826" t="s">
        <v>20</v>
      </c>
      <c r="C159" s="827">
        <v>194</v>
      </c>
      <c r="D159" s="827">
        <v>196</v>
      </c>
      <c r="E159" s="827">
        <v>200</v>
      </c>
      <c r="F159" s="827">
        <v>199</v>
      </c>
      <c r="G159" s="827">
        <v>119</v>
      </c>
      <c r="H159" s="827">
        <v>116</v>
      </c>
      <c r="I159" s="827">
        <v>115</v>
      </c>
      <c r="J159" s="827">
        <v>114</v>
      </c>
      <c r="K159" s="827">
        <v>113</v>
      </c>
      <c r="L159" s="827">
        <v>115</v>
      </c>
      <c r="M159" s="827">
        <v>38</v>
      </c>
      <c r="N159" s="827">
        <v>39</v>
      </c>
      <c r="O159" s="827">
        <v>43</v>
      </c>
      <c r="P159" s="827">
        <v>42</v>
      </c>
      <c r="Q159" s="827">
        <v>46</v>
      </c>
      <c r="R159" s="827">
        <v>49</v>
      </c>
      <c r="S159" s="827">
        <v>54</v>
      </c>
      <c r="T159" s="827">
        <v>60</v>
      </c>
      <c r="U159" s="827">
        <v>59</v>
      </c>
      <c r="V159" s="827">
        <v>63</v>
      </c>
      <c r="W159" s="827">
        <v>61</v>
      </c>
      <c r="X159" s="827">
        <v>64</v>
      </c>
      <c r="Y159" s="827">
        <v>56</v>
      </c>
      <c r="Z159" s="827">
        <v>60</v>
      </c>
      <c r="AA159" s="827">
        <v>65</v>
      </c>
      <c r="AB159" s="827">
        <v>66</v>
      </c>
      <c r="AC159" s="828">
        <v>59</v>
      </c>
      <c r="AD159" s="828">
        <v>60</v>
      </c>
      <c r="AE159" s="828">
        <v>64</v>
      </c>
      <c r="AF159" s="828">
        <v>63</v>
      </c>
      <c r="AG159" s="828">
        <v>58</v>
      </c>
      <c r="AH159" s="828">
        <v>57</v>
      </c>
      <c r="AI159" s="828">
        <v>58</v>
      </c>
      <c r="AJ159" s="828">
        <v>56</v>
      </c>
      <c r="AK159" s="828">
        <v>55</v>
      </c>
      <c r="AL159" s="828">
        <v>55</v>
      </c>
      <c r="AM159" s="828">
        <v>53</v>
      </c>
      <c r="AN159" s="828">
        <v>52</v>
      </c>
      <c r="AO159" s="828">
        <v>57</v>
      </c>
      <c r="AP159" s="828">
        <v>56</v>
      </c>
    </row>
    <row r="160" hidden="1" ht="12.75" customHeight="1">
      <c r="B160" s="829" t="s">
        <v>21</v>
      </c>
      <c r="C160" s="823">
        <v>2</v>
      </c>
      <c r="D160" s="823">
        <v>2</v>
      </c>
      <c r="E160" s="823">
        <v>3</v>
      </c>
      <c r="F160" s="823">
        <v>3</v>
      </c>
      <c r="G160" s="823">
        <v>4</v>
      </c>
      <c r="H160" s="823">
        <v>3</v>
      </c>
      <c r="I160" s="823">
        <v>5</v>
      </c>
      <c r="J160" s="823">
        <v>4</v>
      </c>
      <c r="K160" s="823">
        <v>5</v>
      </c>
      <c r="L160" s="823">
        <v>7</v>
      </c>
      <c r="M160" s="823">
        <v>6</v>
      </c>
      <c r="N160" s="823">
        <v>8</v>
      </c>
      <c r="O160" s="823">
        <v>9</v>
      </c>
      <c r="P160" s="823">
        <v>7</v>
      </c>
      <c r="Q160" s="823">
        <v>8</v>
      </c>
      <c r="R160" s="823">
        <v>7</v>
      </c>
      <c r="S160" s="823">
        <v>6</v>
      </c>
      <c r="T160" s="823">
        <v>11</v>
      </c>
      <c r="U160" s="823">
        <v>10</v>
      </c>
      <c r="V160" s="823">
        <v>10</v>
      </c>
      <c r="W160" s="823">
        <v>9</v>
      </c>
      <c r="X160" s="823">
        <v>8</v>
      </c>
      <c r="Y160" s="823">
        <v>6</v>
      </c>
      <c r="Z160" s="823">
        <v>6</v>
      </c>
      <c r="AA160" s="823">
        <v>6</v>
      </c>
      <c r="AB160" s="823">
        <v>7</v>
      </c>
      <c r="AC160" s="825">
        <v>4</v>
      </c>
      <c r="AD160" s="825">
        <v>4</v>
      </c>
      <c r="AE160" s="825">
        <v>4</v>
      </c>
      <c r="AF160" s="825">
        <v>3</v>
      </c>
      <c r="AG160" s="825">
        <v>3</v>
      </c>
      <c r="AH160" s="825">
        <v>3</v>
      </c>
      <c r="AI160" s="825">
        <v>3</v>
      </c>
      <c r="AJ160" s="825">
        <v>1</v>
      </c>
      <c r="AK160" s="825">
        <v>1</v>
      </c>
      <c r="AL160" s="825">
        <v>1</v>
      </c>
      <c r="AM160" s="825">
        <v>1</v>
      </c>
      <c r="AN160" s="825">
        <v>2</v>
      </c>
      <c r="AO160" s="825">
        <v>2</v>
      </c>
      <c r="AP160" s="825">
        <v>2</v>
      </c>
    </row>
    <row r="161" hidden="1" ht="12.75" customHeight="1">
      <c r="B161" s="826" t="s">
        <v>22</v>
      </c>
      <c r="C161" s="827">
        <v>43</v>
      </c>
      <c r="D161" s="827">
        <v>45</v>
      </c>
      <c r="E161" s="827">
        <v>57</v>
      </c>
      <c r="F161" s="827">
        <v>72</v>
      </c>
      <c r="G161" s="827">
        <v>76</v>
      </c>
      <c r="H161" s="827">
        <v>78</v>
      </c>
      <c r="I161" s="827">
        <v>61</v>
      </c>
      <c r="J161" s="827">
        <v>64</v>
      </c>
      <c r="K161" s="827">
        <v>19</v>
      </c>
      <c r="L161" s="827">
        <v>19</v>
      </c>
      <c r="M161" s="827">
        <v>13</v>
      </c>
      <c r="N161" s="827">
        <v>23</v>
      </c>
      <c r="O161" s="827">
        <v>43</v>
      </c>
      <c r="P161" s="827">
        <v>41</v>
      </c>
      <c r="Q161" s="827">
        <v>40</v>
      </c>
      <c r="R161" s="827">
        <v>40</v>
      </c>
      <c r="S161" s="827">
        <v>37</v>
      </c>
      <c r="T161" s="827">
        <v>39</v>
      </c>
      <c r="U161" s="827">
        <v>26</v>
      </c>
      <c r="V161" s="827">
        <v>23</v>
      </c>
      <c r="W161" s="827">
        <v>16</v>
      </c>
      <c r="X161" s="827">
        <v>14</v>
      </c>
      <c r="Y161" s="827">
        <v>12</v>
      </c>
      <c r="Z161" s="827">
        <v>12</v>
      </c>
      <c r="AA161" s="827">
        <v>12</v>
      </c>
      <c r="AB161" s="827">
        <v>14</v>
      </c>
      <c r="AC161" s="828">
        <v>11</v>
      </c>
      <c r="AD161" s="828">
        <v>7</v>
      </c>
      <c r="AE161" s="828">
        <v>5</v>
      </c>
      <c r="AF161" s="828">
        <v>6</v>
      </c>
      <c r="AG161" s="828">
        <v>5</v>
      </c>
      <c r="AH161" s="828">
        <v>6</v>
      </c>
      <c r="AI161" s="828">
        <v>3</v>
      </c>
      <c r="AJ161" s="828">
        <v>2</v>
      </c>
      <c r="AK161" s="828">
        <v>2</v>
      </c>
      <c r="AL161" s="828">
        <v>2</v>
      </c>
      <c r="AM161" s="828">
        <v>2</v>
      </c>
      <c r="AN161" s="828">
        <v>3</v>
      </c>
      <c r="AO161" s="828">
        <v>2</v>
      </c>
      <c r="AP161" s="828">
        <v>2</v>
      </c>
    </row>
    <row r="162" hidden="1" ht="12.75" customHeight="1">
      <c r="B162" s="829" t="s">
        <v>23</v>
      </c>
      <c r="C162" s="823">
        <v>3</v>
      </c>
      <c r="D162" s="823">
        <v>5</v>
      </c>
      <c r="E162" s="823">
        <v>5</v>
      </c>
      <c r="F162" s="823">
        <v>5</v>
      </c>
      <c r="G162" s="823">
        <v>5</v>
      </c>
      <c r="H162" s="823">
        <v>5</v>
      </c>
      <c r="I162" s="823">
        <v>5</v>
      </c>
      <c r="J162" s="823">
        <v>4</v>
      </c>
      <c r="K162" s="823">
        <v>3</v>
      </c>
      <c r="L162" s="823">
        <v>3</v>
      </c>
      <c r="M162" s="823">
        <v>4</v>
      </c>
      <c r="N162" s="823">
        <v>4</v>
      </c>
      <c r="O162" s="823">
        <v>4</v>
      </c>
      <c r="P162" s="823">
        <v>4</v>
      </c>
      <c r="Q162" s="823">
        <v>4</v>
      </c>
      <c r="R162" s="823">
        <v>4</v>
      </c>
      <c r="S162" s="823">
        <v>4</v>
      </c>
      <c r="T162" s="823">
        <v>4</v>
      </c>
      <c r="U162" s="823">
        <v>4</v>
      </c>
      <c r="V162" s="823">
        <v>4</v>
      </c>
      <c r="W162" s="823">
        <v>5</v>
      </c>
      <c r="X162" s="823">
        <v>5</v>
      </c>
      <c r="Y162" s="823">
        <v>4</v>
      </c>
      <c r="Z162" s="823">
        <v>2</v>
      </c>
      <c r="AA162" s="823">
        <v>2</v>
      </c>
      <c r="AB162" s="823">
        <v>2</v>
      </c>
      <c r="AC162" s="825">
        <v>2</v>
      </c>
      <c r="AD162" s="825">
        <v>1</v>
      </c>
      <c r="AE162" s="825">
        <v>1</v>
      </c>
      <c r="AF162" s="825">
        <v>1</v>
      </c>
      <c r="AG162" s="825">
        <v>1</v>
      </c>
      <c r="AH162" s="825">
        <v>1</v>
      </c>
      <c r="AI162" s="825">
        <v>1</v>
      </c>
      <c r="AJ162" s="825">
        <v>1</v>
      </c>
      <c r="AK162" s="825">
        <v>1</v>
      </c>
      <c r="AL162" s="825">
        <v>1</v>
      </c>
      <c r="AM162" s="825">
        <v>1</v>
      </c>
      <c r="AN162" s="825">
        <v>1</v>
      </c>
      <c r="AO162" s="825">
        <v>1</v>
      </c>
      <c r="AP162" s="825">
        <v>1</v>
      </c>
    </row>
    <row r="163" hidden="1" ht="12.75" customHeight="1">
      <c r="B163" s="835" t="s">
        <v>24</v>
      </c>
      <c r="C163" s="827">
        <v>19</v>
      </c>
      <c r="D163" s="827">
        <v>17</v>
      </c>
      <c r="E163" s="827">
        <v>19</v>
      </c>
      <c r="F163" s="827">
        <v>21</v>
      </c>
      <c r="G163" s="827">
        <v>18</v>
      </c>
      <c r="H163" s="827">
        <v>18</v>
      </c>
      <c r="I163" s="827">
        <v>20</v>
      </c>
      <c r="J163" s="827">
        <v>22</v>
      </c>
      <c r="K163" s="827">
        <v>23</v>
      </c>
      <c r="L163" s="827">
        <v>25</v>
      </c>
      <c r="M163" s="827">
        <v>27</v>
      </c>
      <c r="N163" s="827">
        <v>28</v>
      </c>
      <c r="O163" s="827">
        <v>29</v>
      </c>
      <c r="P163" s="827">
        <v>28</v>
      </c>
      <c r="Q163" s="827">
        <v>26</v>
      </c>
      <c r="R163" s="827">
        <v>27</v>
      </c>
      <c r="S163" s="827">
        <v>25</v>
      </c>
      <c r="T163" s="827">
        <v>28</v>
      </c>
      <c r="U163" s="827">
        <v>26</v>
      </c>
      <c r="V163" s="827">
        <v>26</v>
      </c>
      <c r="W163" s="827">
        <v>26</v>
      </c>
      <c r="X163" s="827">
        <v>25</v>
      </c>
      <c r="Y163" s="827">
        <v>27</v>
      </c>
      <c r="Z163" s="827">
        <v>28</v>
      </c>
      <c r="AA163" s="827">
        <v>30</v>
      </c>
      <c r="AB163" s="827">
        <v>30</v>
      </c>
      <c r="AC163" s="828">
        <v>36</v>
      </c>
      <c r="AD163" s="828">
        <v>35</v>
      </c>
      <c r="AE163" s="828">
        <v>35</v>
      </c>
      <c r="AF163" s="828">
        <v>34</v>
      </c>
      <c r="AG163" s="828">
        <v>34</v>
      </c>
      <c r="AH163" s="828">
        <v>33</v>
      </c>
      <c r="AI163" s="828">
        <v>28</v>
      </c>
      <c r="AJ163" s="828">
        <v>28</v>
      </c>
      <c r="AK163" s="828">
        <v>28</v>
      </c>
      <c r="AL163" s="828">
        <v>27</v>
      </c>
      <c r="AM163" s="828">
        <v>25</v>
      </c>
      <c r="AN163" s="828">
        <v>23</v>
      </c>
      <c r="AO163" s="828">
        <v>23</v>
      </c>
      <c r="AP163" s="828">
        <v>23</v>
      </c>
    </row>
    <row r="164" hidden="1" ht="12.75" customHeight="1">
      <c r="B164" s="829" t="s">
        <v>25</v>
      </c>
      <c r="C164" s="823">
        <v>0</v>
      </c>
      <c r="D164" s="823">
        <v>0</v>
      </c>
      <c r="E164" s="823">
        <v>0</v>
      </c>
      <c r="F164" s="823">
        <v>0</v>
      </c>
      <c r="G164" s="823">
        <v>0</v>
      </c>
      <c r="H164" s="823">
        <v>0</v>
      </c>
      <c r="I164" s="823">
        <v>0</v>
      </c>
      <c r="J164" s="823">
        <v>0</v>
      </c>
      <c r="K164" s="823">
        <v>0</v>
      </c>
      <c r="L164" s="823">
        <v>0</v>
      </c>
      <c r="M164" s="823">
        <v>0</v>
      </c>
      <c r="N164" s="823">
        <v>0</v>
      </c>
      <c r="O164" s="823">
        <v>0</v>
      </c>
      <c r="P164" s="823">
        <v>0</v>
      </c>
      <c r="Q164" s="823">
        <v>0</v>
      </c>
      <c r="R164" s="823">
        <v>4</v>
      </c>
      <c r="S164" s="823">
        <v>4</v>
      </c>
      <c r="T164" s="823">
        <v>4</v>
      </c>
      <c r="U164" s="823">
        <v>4</v>
      </c>
      <c r="V164" s="823">
        <v>4</v>
      </c>
      <c r="W164" s="823">
        <v>4</v>
      </c>
      <c r="X164" s="823">
        <v>4</v>
      </c>
      <c r="Y164" s="823">
        <v>4</v>
      </c>
      <c r="Z164" s="823">
        <v>4</v>
      </c>
      <c r="AA164" s="823">
        <v>4</v>
      </c>
      <c r="AB164" s="823">
        <v>4</v>
      </c>
      <c r="AC164" s="825">
        <v>4</v>
      </c>
      <c r="AD164" s="825">
        <v>4</v>
      </c>
      <c r="AE164" s="825">
        <v>4</v>
      </c>
      <c r="AF164" s="825">
        <v>4</v>
      </c>
      <c r="AG164" s="825">
        <v>4</v>
      </c>
      <c r="AH164" s="825">
        <v>4</v>
      </c>
      <c r="AI164" s="825">
        <v>4</v>
      </c>
      <c r="AJ164" s="825">
        <v>4</v>
      </c>
      <c r="AK164" s="825">
        <v>4</v>
      </c>
      <c r="AL164" s="825">
        <v>4</v>
      </c>
      <c r="AM164" s="825">
        <v>4</v>
      </c>
      <c r="AN164" s="825">
        <v>4</v>
      </c>
      <c r="AO164" s="825">
        <v>4</v>
      </c>
      <c r="AP164" s="825">
        <v>4</v>
      </c>
    </row>
    <row r="165" hidden="1" ht="13.5" customHeight="1">
      <c r="B165" s="836" t="s">
        <v>26</v>
      </c>
      <c r="C165" s="827">
        <v>0</v>
      </c>
      <c r="D165" s="827">
        <v>0</v>
      </c>
      <c r="E165" s="827">
        <v>0</v>
      </c>
      <c r="F165" s="827">
        <v>0</v>
      </c>
      <c r="G165" s="827">
        <v>0</v>
      </c>
      <c r="H165" s="827">
        <v>0</v>
      </c>
      <c r="I165" s="827">
        <v>0</v>
      </c>
      <c r="J165" s="827">
        <v>0</v>
      </c>
      <c r="K165" s="827">
        <v>0</v>
      </c>
      <c r="L165" s="827">
        <v>0</v>
      </c>
      <c r="M165" s="827">
        <v>0</v>
      </c>
      <c r="N165" s="827">
        <v>0</v>
      </c>
      <c r="O165" s="827">
        <v>0</v>
      </c>
      <c r="P165" s="827">
        <v>0</v>
      </c>
      <c r="Q165" s="827">
        <v>0</v>
      </c>
      <c r="R165" s="827">
        <v>0</v>
      </c>
      <c r="S165" s="827">
        <v>0</v>
      </c>
      <c r="T165" s="827">
        <v>0</v>
      </c>
      <c r="U165" s="827">
        <v>0</v>
      </c>
      <c r="V165" s="827">
        <v>0</v>
      </c>
      <c r="W165" s="827">
        <v>2</v>
      </c>
      <c r="X165" s="827">
        <v>2</v>
      </c>
      <c r="Y165" s="827">
        <v>2</v>
      </c>
      <c r="Z165" s="827">
        <v>2</v>
      </c>
      <c r="AA165" s="827">
        <v>3</v>
      </c>
      <c r="AB165" s="837">
        <v>4</v>
      </c>
      <c r="AC165" s="828">
        <v>4</v>
      </c>
      <c r="AD165" s="828">
        <v>4</v>
      </c>
      <c r="AE165" s="828">
        <v>4</v>
      </c>
      <c r="AF165" s="828">
        <v>4</v>
      </c>
      <c r="AG165" s="828">
        <v>5</v>
      </c>
      <c r="AH165" s="828">
        <v>5</v>
      </c>
      <c r="AI165" s="828">
        <v>7</v>
      </c>
      <c r="AJ165" s="828">
        <v>7</v>
      </c>
      <c r="AK165" s="828">
        <v>7</v>
      </c>
      <c r="AL165" s="828">
        <v>7</v>
      </c>
      <c r="AM165" s="828">
        <v>7</v>
      </c>
      <c r="AN165" s="828">
        <v>7</v>
      </c>
      <c r="AO165" s="828">
        <v>7</v>
      </c>
      <c r="AP165" s="828">
        <v>7</v>
      </c>
    </row>
    <row r="166" hidden="1" ht="13.5" customHeight="1">
      <c r="B166" s="128" t="s">
        <v>7</v>
      </c>
      <c r="C166" s="129" t="str">
        <f>IF(SUM(C147:C165)&lt;&gt;0,SUM(C147:C165),"")</f>
      </c>
      <c r="D166" s="129" t="str">
        <f ref="D166:AA166" t="shared" si="0">IF(SUM(D147:D165)&lt;&gt;0,SUM(D147:D165),"")</f>
      </c>
      <c r="E166" s="129" t="str">
        <f t="shared" si="0"/>
      </c>
      <c r="F166" s="129" t="str">
        <f t="shared" si="0"/>
      </c>
      <c r="G166" s="129" t="str">
        <f t="shared" si="0"/>
      </c>
      <c r="H166" s="129" t="str">
        <f t="shared" si="0"/>
      </c>
      <c r="I166" s="129" t="str">
        <f t="shared" si="0"/>
      </c>
      <c r="J166" s="129" t="str">
        <f t="shared" si="0"/>
      </c>
      <c r="K166" s="129" t="str">
        <f t="shared" si="0"/>
      </c>
      <c r="L166" s="129" t="str">
        <f t="shared" si="0"/>
      </c>
      <c r="M166" s="129" t="str">
        <f t="shared" si="0"/>
      </c>
      <c r="N166" s="129" t="str">
        <f t="shared" si="0"/>
      </c>
      <c r="O166" s="129" t="str">
        <f t="shared" si="0"/>
      </c>
      <c r="P166" s="129" t="str">
        <f t="shared" si="0"/>
      </c>
      <c r="Q166" s="129" t="str">
        <f t="shared" si="0"/>
      </c>
      <c r="R166" s="129" t="str">
        <f t="shared" si="0"/>
      </c>
      <c r="S166" s="129" t="str">
        <f t="shared" si="0"/>
      </c>
      <c r="T166" s="129" t="str">
        <f t="shared" si="0"/>
      </c>
      <c r="U166" s="129" t="str">
        <f t="shared" si="0"/>
      </c>
      <c r="V166" s="129" t="str">
        <f t="shared" si="0"/>
      </c>
      <c r="W166" s="129" t="str">
        <f t="shared" si="0"/>
      </c>
      <c r="X166" s="129" t="str">
        <f t="shared" si="0"/>
      </c>
      <c r="Y166" s="129" t="str">
        <f t="shared" si="0"/>
      </c>
      <c r="Z166" s="129" t="str">
        <f t="shared" si="0"/>
      </c>
      <c r="AA166" s="129" t="str">
        <f t="shared" si="0"/>
      </c>
      <c r="AB166" s="130" t="str">
        <f>IF(SUM(AB147:AB165)&lt;&gt;0,SUM(AB147:AB165),"")</f>
      </c>
      <c r="AC166" s="91" t="str">
        <f ref="AC166:CN166" t="shared" si="1">IF(SUM(AC147:AC165)&lt;&gt;0,SUM(AC147:AC165),"")</f>
      </c>
      <c r="AD166" s="91" t="str">
        <f t="shared" si="1"/>
      </c>
      <c r="AE166" s="91" t="str">
        <f t="shared" si="1"/>
      </c>
      <c r="AF166" s="91" t="str">
        <f t="shared" si="1"/>
      </c>
      <c r="AG166" s="91" t="str">
        <f t="shared" si="1"/>
      </c>
      <c r="AH166" s="91" t="str">
        <f t="shared" si="1"/>
      </c>
      <c r="AI166" s="91" t="str">
        <f t="shared" si="1"/>
      </c>
      <c r="AJ166" s="91" t="str">
        <f t="shared" si="1"/>
      </c>
      <c r="AK166" s="91" t="str">
        <f t="shared" si="1"/>
      </c>
      <c r="AL166" s="91" t="str">
        <f t="shared" si="1"/>
      </c>
      <c r="AM166" s="91" t="str">
        <f t="shared" si="1"/>
      </c>
      <c r="AN166" s="91" t="str">
        <f t="shared" si="1"/>
      </c>
      <c r="AO166" s="91" t="str">
        <f t="shared" si="1"/>
      </c>
      <c r="AP166" s="91" t="str">
        <f t="shared" si="1"/>
      </c>
      <c r="AQ166" s="91" t="str">
        <f t="shared" si="1"/>
      </c>
      <c r="AR166" s="91" t="str">
        <f t="shared" si="1"/>
      </c>
      <c r="AS166" s="91" t="str">
        <f t="shared" si="1"/>
      </c>
      <c r="AT166" s="91" t="str">
        <f t="shared" si="1"/>
      </c>
      <c r="AU166" s="91" t="str">
        <f t="shared" si="1"/>
      </c>
      <c r="AV166" s="91" t="str">
        <f t="shared" si="1"/>
      </c>
      <c r="AW166" s="91" t="str">
        <f t="shared" si="1"/>
      </c>
      <c r="AX166" s="91" t="str">
        <f t="shared" si="1"/>
      </c>
      <c r="AY166" s="91" t="str">
        <f t="shared" si="1"/>
      </c>
      <c r="AZ166" s="91" t="str">
        <f t="shared" si="1"/>
      </c>
      <c r="BA166" s="91" t="str">
        <f t="shared" si="1"/>
      </c>
      <c r="BB166" s="91" t="str">
        <f t="shared" si="1"/>
      </c>
      <c r="BC166" s="91" t="str">
        <f t="shared" si="1"/>
      </c>
      <c r="BD166" s="91" t="str">
        <f t="shared" si="1"/>
      </c>
      <c r="BE166" s="91" t="str">
        <f t="shared" si="1"/>
      </c>
      <c r="BF166" s="91" t="str">
        <f t="shared" si="1"/>
      </c>
      <c r="BG166" s="91" t="str">
        <f t="shared" si="1"/>
      </c>
      <c r="BH166" s="91" t="str">
        <f t="shared" si="1"/>
      </c>
      <c r="BI166" s="91" t="str">
        <f t="shared" si="1"/>
      </c>
      <c r="BJ166" s="91" t="str">
        <f t="shared" si="1"/>
      </c>
      <c r="BK166" s="91" t="str">
        <f t="shared" si="1"/>
      </c>
      <c r="BL166" s="91" t="str">
        <f t="shared" si="1"/>
      </c>
      <c r="BM166" s="91" t="str">
        <f t="shared" si="1"/>
      </c>
      <c r="BN166" s="91" t="str">
        <f t="shared" si="1"/>
      </c>
      <c r="BO166" s="91" t="str">
        <f t="shared" si="1"/>
      </c>
      <c r="BP166" s="91" t="str">
        <f t="shared" si="1"/>
      </c>
      <c r="BQ166" s="91" t="str">
        <f t="shared" si="1"/>
      </c>
      <c r="BR166" s="91" t="str">
        <f t="shared" si="1"/>
      </c>
      <c r="BS166" s="91" t="str">
        <f t="shared" si="1"/>
      </c>
      <c r="BT166" s="91" t="str">
        <f t="shared" si="1"/>
      </c>
      <c r="BU166" s="91" t="str">
        <f t="shared" si="1"/>
      </c>
      <c r="BV166" s="91" t="str">
        <f t="shared" si="1"/>
      </c>
      <c r="BW166" s="91" t="str">
        <f t="shared" si="1"/>
      </c>
      <c r="BX166" s="91" t="str">
        <f t="shared" si="1"/>
      </c>
      <c r="BY166" s="91" t="str">
        <f t="shared" si="1"/>
      </c>
      <c r="BZ166" s="91" t="str">
        <f t="shared" si="1"/>
      </c>
      <c r="CA166" s="91" t="str">
        <f t="shared" si="1"/>
      </c>
      <c r="CB166" s="91" t="str">
        <f t="shared" si="1"/>
      </c>
      <c r="CC166" s="91" t="str">
        <f t="shared" si="1"/>
      </c>
      <c r="CD166" s="91" t="str">
        <f t="shared" si="1"/>
      </c>
      <c r="CE166" s="91" t="str">
        <f t="shared" si="1"/>
      </c>
      <c r="CF166" s="91" t="str">
        <f t="shared" si="1"/>
      </c>
      <c r="CG166" s="91" t="str">
        <f t="shared" si="1"/>
      </c>
      <c r="CH166" s="91" t="str">
        <f t="shared" si="1"/>
      </c>
      <c r="CI166" s="91" t="str">
        <f t="shared" si="1"/>
      </c>
      <c r="CJ166" s="91" t="str">
        <f t="shared" si="1"/>
      </c>
      <c r="CK166" s="91" t="str">
        <f t="shared" si="1"/>
      </c>
      <c r="CL166" s="91" t="str">
        <f t="shared" si="1"/>
      </c>
      <c r="CM166" s="91" t="str">
        <f t="shared" si="1"/>
      </c>
      <c r="CN166" s="91" t="str">
        <f t="shared" si="1"/>
      </c>
      <c r="CO166" s="91" t="str">
        <f ref="CO166:EZ166" t="shared" si="2">IF(SUM(CO147:CO165)&lt;&gt;0,SUM(CO147:CO165),"")</f>
      </c>
      <c r="CP166" s="91" t="str">
        <f t="shared" si="2"/>
      </c>
      <c r="CQ166" s="91" t="str">
        <f t="shared" si="2"/>
      </c>
      <c r="CR166" s="91" t="str">
        <f t="shared" si="2"/>
      </c>
      <c r="CS166" s="91" t="str">
        <f t="shared" si="2"/>
      </c>
      <c r="CT166" s="91" t="str">
        <f t="shared" si="2"/>
      </c>
      <c r="CU166" s="91" t="str">
        <f t="shared" si="2"/>
      </c>
      <c r="CV166" s="91" t="str">
        <f t="shared" si="2"/>
      </c>
      <c r="CW166" s="91" t="str">
        <f t="shared" si="2"/>
      </c>
      <c r="CX166" s="91" t="str">
        <f t="shared" si="2"/>
      </c>
      <c r="CY166" s="91" t="str">
        <f t="shared" si="2"/>
      </c>
      <c r="CZ166" s="91" t="str">
        <f t="shared" si="2"/>
      </c>
      <c r="DA166" s="91" t="str">
        <f t="shared" si="2"/>
      </c>
      <c r="DB166" s="91" t="str">
        <f t="shared" si="2"/>
      </c>
      <c r="DC166" s="91" t="str">
        <f t="shared" si="2"/>
      </c>
      <c r="DD166" s="91" t="str">
        <f t="shared" si="2"/>
      </c>
      <c r="DE166" s="91" t="str">
        <f t="shared" si="2"/>
      </c>
      <c r="DF166" s="91" t="str">
        <f t="shared" si="2"/>
      </c>
      <c r="DG166" s="91" t="str">
        <f t="shared" si="2"/>
      </c>
      <c r="DH166" s="91" t="str">
        <f t="shared" si="2"/>
      </c>
      <c r="DI166" s="91" t="str">
        <f t="shared" si="2"/>
      </c>
      <c r="DJ166" s="91" t="str">
        <f t="shared" si="2"/>
      </c>
      <c r="DK166" s="91" t="str">
        <f t="shared" si="2"/>
      </c>
      <c r="DL166" s="91" t="str">
        <f t="shared" si="2"/>
      </c>
      <c r="DM166" s="91" t="str">
        <f t="shared" si="2"/>
      </c>
      <c r="DN166" s="91" t="str">
        <f t="shared" si="2"/>
      </c>
      <c r="DO166" s="91" t="str">
        <f t="shared" si="2"/>
      </c>
      <c r="DP166" s="91" t="str">
        <f t="shared" si="2"/>
      </c>
      <c r="DQ166" s="91" t="str">
        <f t="shared" si="2"/>
      </c>
      <c r="DR166" s="91" t="str">
        <f t="shared" si="2"/>
      </c>
      <c r="DS166" s="91" t="str">
        <f t="shared" si="2"/>
      </c>
      <c r="DT166" s="91" t="str">
        <f t="shared" si="2"/>
      </c>
      <c r="DU166" s="91" t="str">
        <f t="shared" si="2"/>
      </c>
      <c r="DV166" s="91" t="str">
        <f t="shared" si="2"/>
      </c>
      <c r="DW166" s="91" t="str">
        <f t="shared" si="2"/>
      </c>
      <c r="DX166" s="91" t="str">
        <f t="shared" si="2"/>
      </c>
      <c r="DY166" s="91" t="str">
        <f t="shared" si="2"/>
      </c>
      <c r="DZ166" s="91" t="str">
        <f t="shared" si="2"/>
      </c>
      <c r="EA166" s="91" t="str">
        <f t="shared" si="2"/>
      </c>
      <c r="EB166" s="91" t="str">
        <f t="shared" si="2"/>
      </c>
      <c r="EC166" s="91" t="str">
        <f t="shared" si="2"/>
      </c>
      <c r="ED166" s="91" t="str">
        <f t="shared" si="2"/>
      </c>
      <c r="EE166" s="91" t="str">
        <f t="shared" si="2"/>
      </c>
      <c r="EF166" s="91" t="str">
        <f t="shared" si="2"/>
      </c>
      <c r="EG166" s="91" t="str">
        <f t="shared" si="2"/>
      </c>
      <c r="EH166" s="91" t="str">
        <f t="shared" si="2"/>
      </c>
      <c r="EI166" s="91" t="str">
        <f t="shared" si="2"/>
      </c>
      <c r="EJ166" s="91" t="str">
        <f t="shared" si="2"/>
      </c>
      <c r="EK166" s="91" t="str">
        <f t="shared" si="2"/>
      </c>
      <c r="EL166" s="91" t="str">
        <f t="shared" si="2"/>
      </c>
      <c r="EM166" s="91" t="str">
        <f t="shared" si="2"/>
      </c>
      <c r="EN166" s="91" t="str">
        <f t="shared" si="2"/>
      </c>
      <c r="EO166" s="91" t="str">
        <f t="shared" si="2"/>
      </c>
      <c r="EP166" s="91" t="str">
        <f t="shared" si="2"/>
      </c>
      <c r="EQ166" s="91" t="str">
        <f t="shared" si="2"/>
      </c>
      <c r="ER166" s="91" t="str">
        <f t="shared" si="2"/>
      </c>
      <c r="ES166" s="91" t="str">
        <f t="shared" si="2"/>
      </c>
      <c r="ET166" s="91" t="str">
        <f t="shared" si="2"/>
      </c>
      <c r="EU166" s="91" t="str">
        <f t="shared" si="2"/>
      </c>
      <c r="EV166" s="91" t="str">
        <f t="shared" si="2"/>
      </c>
      <c r="EW166" s="91" t="str">
        <f t="shared" si="2"/>
      </c>
      <c r="EX166" s="91" t="str">
        <f t="shared" si="2"/>
      </c>
      <c r="EY166" s="91" t="str">
        <f t="shared" si="2"/>
      </c>
      <c r="EZ166" s="91" t="str">
        <f t="shared" si="2"/>
      </c>
      <c r="FA166" s="91" t="str">
        <f ref="FA166:HL166" t="shared" si="3">IF(SUM(FA147:FA165)&lt;&gt;0,SUM(FA147:FA165),"")</f>
      </c>
      <c r="FB166" s="91" t="str">
        <f t="shared" si="3"/>
      </c>
      <c r="FC166" s="91" t="str">
        <f t="shared" si="3"/>
      </c>
      <c r="FD166" s="91" t="str">
        <f t="shared" si="3"/>
      </c>
      <c r="FE166" s="91" t="str">
        <f t="shared" si="3"/>
      </c>
      <c r="FF166" s="91" t="str">
        <f t="shared" si="3"/>
      </c>
      <c r="FG166" s="91" t="str">
        <f t="shared" si="3"/>
      </c>
      <c r="FH166" s="91" t="str">
        <f t="shared" si="3"/>
      </c>
      <c r="FI166" s="91" t="str">
        <f t="shared" si="3"/>
      </c>
      <c r="FJ166" s="91" t="str">
        <f t="shared" si="3"/>
      </c>
      <c r="FK166" s="91" t="str">
        <f t="shared" si="3"/>
      </c>
      <c r="FL166" s="91" t="str">
        <f t="shared" si="3"/>
      </c>
      <c r="FM166" s="91" t="str">
        <f t="shared" si="3"/>
      </c>
      <c r="FN166" s="91" t="str">
        <f t="shared" si="3"/>
      </c>
      <c r="FO166" s="91" t="str">
        <f t="shared" si="3"/>
      </c>
      <c r="FP166" s="91" t="str">
        <f t="shared" si="3"/>
      </c>
      <c r="FQ166" s="91" t="str">
        <f t="shared" si="3"/>
      </c>
      <c r="FR166" s="91" t="str">
        <f t="shared" si="3"/>
      </c>
      <c r="FS166" s="91" t="str">
        <f t="shared" si="3"/>
      </c>
      <c r="FT166" s="91" t="str">
        <f t="shared" si="3"/>
      </c>
      <c r="FU166" s="91" t="str">
        <f t="shared" si="3"/>
      </c>
      <c r="FV166" s="91" t="str">
        <f t="shared" si="3"/>
      </c>
      <c r="FW166" s="91" t="str">
        <f t="shared" si="3"/>
      </c>
      <c r="FX166" s="91" t="str">
        <f t="shared" si="3"/>
      </c>
      <c r="FY166" s="91" t="str">
        <f t="shared" si="3"/>
      </c>
      <c r="FZ166" s="91" t="str">
        <f t="shared" si="3"/>
      </c>
      <c r="GA166" s="91" t="str">
        <f t="shared" si="3"/>
      </c>
      <c r="GB166" s="91" t="str">
        <f t="shared" si="3"/>
      </c>
      <c r="GC166" s="91" t="str">
        <f t="shared" si="3"/>
      </c>
      <c r="GD166" s="91" t="str">
        <f t="shared" si="3"/>
      </c>
      <c r="GE166" s="91" t="str">
        <f t="shared" si="3"/>
      </c>
      <c r="GF166" s="91" t="str">
        <f t="shared" si="3"/>
      </c>
      <c r="GG166" s="91" t="str">
        <f t="shared" si="3"/>
      </c>
      <c r="GH166" s="91" t="str">
        <f t="shared" si="3"/>
      </c>
      <c r="GI166" s="91" t="str">
        <f t="shared" si="3"/>
      </c>
      <c r="GJ166" s="91" t="str">
        <f t="shared" si="3"/>
      </c>
      <c r="GK166" s="91" t="str">
        <f t="shared" si="3"/>
      </c>
      <c r="GL166" s="91" t="str">
        <f t="shared" si="3"/>
      </c>
      <c r="GM166" s="91" t="str">
        <f t="shared" si="3"/>
      </c>
      <c r="GN166" s="91" t="str">
        <f t="shared" si="3"/>
      </c>
      <c r="GO166" s="91" t="str">
        <f t="shared" si="3"/>
      </c>
      <c r="GP166" s="91" t="str">
        <f t="shared" si="3"/>
      </c>
      <c r="GQ166" s="91" t="str">
        <f t="shared" si="3"/>
      </c>
      <c r="GR166" s="91" t="str">
        <f t="shared" si="3"/>
      </c>
      <c r="GS166" s="91" t="str">
        <f t="shared" si="3"/>
      </c>
      <c r="GT166" s="91" t="str">
        <f t="shared" si="3"/>
      </c>
      <c r="GU166" s="91" t="str">
        <f t="shared" si="3"/>
      </c>
      <c r="GV166" s="91" t="str">
        <f t="shared" si="3"/>
      </c>
      <c r="GW166" s="91" t="str">
        <f t="shared" si="3"/>
      </c>
      <c r="GX166" s="91" t="str">
        <f t="shared" si="3"/>
      </c>
      <c r="GY166" s="91" t="str">
        <f t="shared" si="3"/>
      </c>
      <c r="GZ166" s="91" t="str">
        <f t="shared" si="3"/>
      </c>
      <c r="HA166" s="91" t="str">
        <f t="shared" si="3"/>
      </c>
      <c r="HB166" s="91" t="str">
        <f t="shared" si="3"/>
      </c>
      <c r="HC166" s="91" t="str">
        <f t="shared" si="3"/>
      </c>
      <c r="HD166" s="91" t="str">
        <f t="shared" si="3"/>
      </c>
      <c r="HE166" s="91" t="str">
        <f t="shared" si="3"/>
      </c>
      <c r="HF166" s="91" t="str">
        <f t="shared" si="3"/>
      </c>
      <c r="HG166" s="91" t="str">
        <f t="shared" si="3"/>
      </c>
      <c r="HH166" s="91" t="str">
        <f t="shared" si="3"/>
      </c>
      <c r="HI166" s="91" t="str">
        <f t="shared" si="3"/>
      </c>
      <c r="HJ166" s="91" t="str">
        <f t="shared" si="3"/>
      </c>
      <c r="HK166" s="91" t="str">
        <f t="shared" si="3"/>
      </c>
      <c r="HL166" s="91" t="str">
        <f t="shared" si="3"/>
      </c>
      <c r="HM166" s="91" t="str">
        <f ref="HM166:IV166" t="shared" si="4">IF(SUM(HM147:HM165)&lt;&gt;0,SUM(HM147:HM165),"")</f>
      </c>
      <c r="HN166" s="91" t="str">
        <f t="shared" si="4"/>
      </c>
      <c r="HO166" s="91" t="str">
        <f t="shared" si="4"/>
      </c>
      <c r="HP166" s="91" t="str">
        <f t="shared" si="4"/>
      </c>
      <c r="HQ166" s="91" t="str">
        <f t="shared" si="4"/>
      </c>
      <c r="HR166" s="91" t="str">
        <f t="shared" si="4"/>
      </c>
      <c r="HS166" s="91" t="str">
        <f t="shared" si="4"/>
      </c>
      <c r="HT166" s="91" t="str">
        <f t="shared" si="4"/>
      </c>
      <c r="HU166" s="91" t="str">
        <f t="shared" si="4"/>
      </c>
      <c r="HV166" s="91" t="str">
        <f t="shared" si="4"/>
      </c>
      <c r="HW166" s="91" t="str">
        <f t="shared" si="4"/>
      </c>
      <c r="HX166" s="91" t="str">
        <f t="shared" si="4"/>
      </c>
      <c r="HY166" s="91" t="str">
        <f t="shared" si="4"/>
      </c>
      <c r="HZ166" s="91" t="str">
        <f t="shared" si="4"/>
      </c>
      <c r="IA166" s="91" t="str">
        <f t="shared" si="4"/>
      </c>
      <c r="IB166" s="91" t="str">
        <f t="shared" si="4"/>
      </c>
      <c r="IC166" s="91" t="str">
        <f t="shared" si="4"/>
      </c>
      <c r="ID166" s="91" t="str">
        <f t="shared" si="4"/>
      </c>
      <c r="IE166" s="91" t="str">
        <f t="shared" si="4"/>
      </c>
      <c r="IF166" s="91" t="str">
        <f t="shared" si="4"/>
      </c>
      <c r="IG166" s="91" t="str">
        <f t="shared" si="4"/>
      </c>
      <c r="IH166" s="91" t="str">
        <f t="shared" si="4"/>
      </c>
      <c r="II166" s="91" t="str">
        <f t="shared" si="4"/>
      </c>
      <c r="IJ166" s="91" t="str">
        <f t="shared" si="4"/>
      </c>
      <c r="IK166" s="91" t="str">
        <f t="shared" si="4"/>
      </c>
      <c r="IL166" s="91" t="str">
        <f t="shared" si="4"/>
      </c>
      <c r="IM166" s="91" t="str">
        <f t="shared" si="4"/>
      </c>
      <c r="IN166" s="91" t="str">
        <f t="shared" si="4"/>
      </c>
      <c r="IO166" s="91" t="str">
        <f t="shared" si="4"/>
      </c>
      <c r="IP166" s="91" t="str">
        <f t="shared" si="4"/>
      </c>
      <c r="IQ166" s="91" t="str">
        <f t="shared" si="4"/>
      </c>
      <c r="IR166" s="91" t="str">
        <f t="shared" si="4"/>
      </c>
      <c r="IS166" s="91" t="str">
        <f t="shared" si="4"/>
      </c>
      <c r="IT166" s="91" t="str">
        <f t="shared" si="4"/>
      </c>
      <c r="IU166" s="91" t="str">
        <f t="shared" si="4"/>
      </c>
      <c r="IV166" s="91" t="str">
        <f t="shared" si="4"/>
      </c>
    </row>
    <row r="167" hidden="1" ht="15" customHeight="1">
      <c r="B167" s="297"/>
      <c r="C167" s="171"/>
      <c r="D167" s="171"/>
      <c r="E167" s="171"/>
      <c r="F167" s="171"/>
      <c r="G167" s="171"/>
      <c r="H167" s="171"/>
      <c r="I167" s="171"/>
      <c r="J167" s="171"/>
      <c r="K167" s="171"/>
      <c r="L167" s="50"/>
    </row>
    <row r="168" hidden="1" ht="13.5" customHeight="1"/>
    <row r="169" hidden="1" ht="13.5" customHeight="1">
      <c r="C169" s="686" t="s">
        <v>239</v>
      </c>
      <c r="D169" s="687"/>
      <c r="E169" s="687"/>
      <c r="F169" s="687"/>
      <c r="G169" s="687"/>
      <c r="H169" s="687"/>
      <c r="I169" s="687"/>
      <c r="J169" s="687"/>
      <c r="K169" s="687"/>
      <c r="L169" s="687"/>
      <c r="M169" s="687"/>
      <c r="N169" s="687"/>
      <c r="O169" s="687"/>
      <c r="P169" s="687"/>
      <c r="Q169" s="687"/>
      <c r="R169" s="687"/>
      <c r="S169" s="687"/>
      <c r="T169" s="687"/>
      <c r="U169" s="687"/>
      <c r="V169" s="687"/>
      <c r="W169" s="687"/>
      <c r="X169" s="687"/>
      <c r="Y169" s="687"/>
      <c r="Z169" s="687"/>
      <c r="AA169" s="687"/>
      <c r="AB169" s="688"/>
    </row>
    <row r="170" hidden="1" ht="15" customHeight="1">
      <c r="C170" s="435" t="str">
        <f> IF(C190&lt;&gt;"",TEXT(AUX!G$1,"dd-MMM-aa"),"")</f>
      </c>
      <c r="D170" s="435" t="str">
        <f> IF(D190&lt;&gt;"",TEXT(AUX!H$1,"dd-MMM-aa"),"")</f>
      </c>
      <c r="E170" s="435" t="str">
        <f> IF(E190&lt;&gt;"",TEXT(AUX!I$1,"dd-MMM-aa"),"")</f>
      </c>
      <c r="F170" s="435" t="str">
        <f> IF(F190&lt;&gt;"",TEXT(AUX!J$1,"dd-MMM-aa"),"")</f>
      </c>
      <c r="G170" s="435" t="str">
        <f> IF(G190&lt;&gt;"",TEXT(AUX!K$1,"dd-MMM-aa"),"")</f>
      </c>
      <c r="H170" s="435" t="str">
        <f> IF(H190&lt;&gt;"",TEXT(AUX!L$1,"dd-MMM-aa"),"")</f>
      </c>
      <c r="I170" s="435" t="str">
        <f> IF(I190&lt;&gt;"",TEXT(AUX!M$1,"dd-MMM-aa"),"")</f>
      </c>
      <c r="J170" s="435" t="str">
        <f> IF(J190&lt;&gt;"",TEXT(AUX!N$1,"dd-MMM-aa"),"")</f>
      </c>
      <c r="K170" s="435" t="str">
        <f> IF(K190&lt;&gt;"",TEXT(AUX!O$1,"dd-MMM-aa"),"")</f>
      </c>
      <c r="L170" s="435" t="str">
        <f> IF(L190&lt;&gt;"",TEXT(AUX!P$1,"dd-MMM-aa"),"")</f>
      </c>
      <c r="M170" s="435" t="str">
        <f> IF(M190&lt;&gt;"",TEXT(AUX!Q$1,"dd-MMM-aa"),"")</f>
      </c>
      <c r="N170" s="435" t="str">
        <f> IF(N190&lt;&gt;"",TEXT(AUX!R$1,"dd-MMM-aa"),"")</f>
      </c>
      <c r="O170" s="435" t="str">
        <f> IF(O190&lt;&gt;"",TEXT(AUX!S$1,"dd-MMM-aa"),"")</f>
      </c>
      <c r="P170" s="435" t="str">
        <f> IF(P190&lt;&gt;"",TEXT(AUX!T$1,"dd-MMM-aa"),"")</f>
      </c>
      <c r="Q170" s="435" t="str">
        <f> IF(Q190&lt;&gt;"",TEXT(AUX!U$1,"dd-MMM-aa"),"")</f>
      </c>
      <c r="R170" s="435" t="str">
        <f> IF(R190&lt;&gt;"",TEXT(AUX!V$1,"dd-MMM-aa"),"")</f>
      </c>
      <c r="S170" s="435" t="str">
        <f> IF(S190&lt;&gt;"",TEXT(AUX!W$1,"dd-MMM-aa"),"")</f>
      </c>
      <c r="T170" s="435" t="str">
        <f> IF(T190&lt;&gt;"",TEXT(AUX!X$1,"dd-MMM-aa"),"")</f>
      </c>
      <c r="U170" s="435" t="str">
        <f> IF(U190&lt;&gt;"",TEXT(AUX!Y$1,"dd-MMM-aa"),"")</f>
      </c>
      <c r="V170" s="435" t="str">
        <f> IF(V190&lt;&gt;"",TEXT(AUX!Z$1,"dd-MMM-aa"),"")</f>
      </c>
      <c r="W170" s="435" t="str">
        <f> IF(W190&lt;&gt;"",TEXT(AUX!AA$1,"dd-MMM-aa"),"")</f>
      </c>
      <c r="X170" s="435" t="str">
        <f> IF(X190&lt;&gt;"",TEXT(AUX!AB$1,"dd-MMM-aa"),"")</f>
      </c>
      <c r="Y170" s="435" t="str">
        <f> IF(Y190&lt;&gt;"",TEXT(AUX!AC$1,"dd-MMM-aa"),"")</f>
      </c>
      <c r="Z170" s="435" t="str">
        <f> IF(Z190&lt;&gt;"",TEXT(AUX!AD$1,"dd-MMM-aa"),"")</f>
      </c>
      <c r="AA170" s="435" t="str">
        <f> IF(AA190&lt;&gt;"",TEXT(AUX!AE$1,"dd-MMM-aa"),"")</f>
      </c>
      <c r="AB170" s="497" t="str">
        <f> IF(AB190&lt;&gt;"",TEXT(AUX!AF$1,"dd-MMM-aa"),"")</f>
      </c>
      <c r="AC170" s="496" t="str">
        <f> IF(AC190&lt;&gt;"",TEXT(AUX!AG$1,"dd-MMM-aa"),"")</f>
      </c>
      <c r="AD170" s="496" t="str">
        <f> IF(AD190&lt;&gt;"",TEXT(AUX!AH$1,"dd-MMM-aa"),"")</f>
      </c>
      <c r="AE170" s="496" t="str">
        <f> IF(AE190&lt;&gt;"",TEXT(AUX!AI$1,"dd-MMM-aa"),"")</f>
      </c>
      <c r="AF170" s="496" t="str">
        <f> IF(AF190&lt;&gt;"",TEXT(AUX!AJ$1,"dd-MMM-aa"),"")</f>
      </c>
      <c r="AG170" s="496" t="str">
        <f> IF(AG190&lt;&gt;"",TEXT(AUX!AK$1,"dd-MMM-aa"),"")</f>
      </c>
      <c r="AH170" s="496" t="str">
        <f> IF(AH190&lt;&gt;"",TEXT(AUX!AL$1,"dd-MMM-aa"),"")</f>
      </c>
      <c r="AI170" s="496" t="str">
        <f> IF(AI190&lt;&gt;"",TEXT(AUX!AM$1,"dd-MMM-aa"),"")</f>
      </c>
      <c r="AJ170" s="496" t="str">
        <f> IF(AJ190&lt;&gt;"",TEXT(AUX!AN$1,"dd-MMM-aa"),"")</f>
      </c>
      <c r="AK170" s="496" t="str">
        <f> IF(AK190&lt;&gt;"",TEXT(AUX!AO$1,"dd-MMM-aa"),"")</f>
      </c>
      <c r="AL170" s="496" t="str">
        <f> IF(AL190&lt;&gt;"",TEXT(AUX!AP$1,"dd-MMM-aa"),"")</f>
      </c>
      <c r="AM170" s="496" t="str">
        <f> IF(AM190&lt;&gt;"",TEXT(AUX!AQ$1,"dd-MMM-aa"),"")</f>
      </c>
      <c r="AN170" s="496" t="str">
        <f> IF(AN190&lt;&gt;"",TEXT(AUX!AR$1,"dd-MMM-aa"),"")</f>
      </c>
      <c r="AO170" s="496" t="str">
        <f> IF(AO190&lt;&gt;"",TEXT(AUX!AS$1,"dd-MMM-aa"),"")</f>
      </c>
      <c r="AP170" s="496" t="str">
        <f> IF(AP190&lt;&gt;"",TEXT(AUX!AT$1,"dd-MMM-aa"),"")</f>
      </c>
      <c r="AQ170" s="496" t="str">
        <f> IF(AQ190&lt;&gt;"",TEXT(AUX!AU$1,"dd-MMM-aa"),"")</f>
      </c>
      <c r="AR170" s="496" t="str">
        <f> IF(AR190&lt;&gt;"",TEXT(AUX!AV$1,"dd-MMM-aa"),"")</f>
      </c>
      <c r="AS170" s="496" t="str">
        <f> IF(AS190&lt;&gt;"",TEXT(AUX!AW$1,"dd-MMM-aa"),"")</f>
      </c>
      <c r="AT170" s="496" t="str">
        <f> IF(AT190&lt;&gt;"",TEXT(AUX!AX$1,"dd-MMM-aa"),"")</f>
      </c>
      <c r="AU170" s="496" t="str">
        <f> IF(AU190&lt;&gt;"",TEXT(AUX!AY$1,"dd-MMM-aa"),"")</f>
      </c>
      <c r="AV170" s="496" t="str">
        <f> IF(AV190&lt;&gt;"",TEXT(AUX!AZ$1,"dd-MMM-aa"),"")</f>
      </c>
      <c r="AW170" s="496" t="str">
        <f> IF(AW190&lt;&gt;"",TEXT(AUX!BA$1,"dd-MMM-aa"),"")</f>
      </c>
      <c r="AX170" s="496" t="str">
        <f> IF(AX190&lt;&gt;"",TEXT(AUX!BB$1,"dd-MMM-aa"),"")</f>
      </c>
      <c r="AY170" s="496" t="str">
        <f> IF(AY190&lt;&gt;"",TEXT(AUX!BC$1,"dd-MMM-aa"),"")</f>
      </c>
      <c r="AZ170" s="496" t="str">
        <f> IF(AZ190&lt;&gt;"",TEXT(AUX!BD$1,"dd-MMM-aa"),"")</f>
      </c>
      <c r="BA170" s="496" t="str">
        <f> IF(BA190&lt;&gt;"",TEXT(AUX!BE$1,"dd-MMM-aa"),"")</f>
      </c>
      <c r="BB170" s="496" t="str">
        <f> IF(BB190&lt;&gt;"",TEXT(AUX!BF$1,"dd-MMM-aa"),"")</f>
      </c>
      <c r="BC170" s="496" t="str">
        <f> IF(BC190&lt;&gt;"",TEXT(AUX!BG$1,"dd-MMM-aa"),"")</f>
      </c>
      <c r="BD170" s="496" t="str">
        <f> IF(BD190&lt;&gt;"",TEXT(AUX!BH$1,"dd-MMM-aa"),"")</f>
      </c>
      <c r="BE170" s="496" t="str">
        <f> IF(BE190&lt;&gt;"",TEXT(AUX!BI$1,"dd-MMM-aa"),"")</f>
      </c>
      <c r="BF170" s="496" t="str">
        <f> IF(BF190&lt;&gt;"",TEXT(AUX!BJ$1,"dd-MMM-aa"),"")</f>
      </c>
      <c r="BG170" s="496" t="str">
        <f> IF(BG190&lt;&gt;"",TEXT(AUX!BK$1,"dd-MMM-aa"),"")</f>
      </c>
      <c r="BH170" s="496" t="str">
        <f> IF(BH190&lt;&gt;"",TEXT(AUX!BL$1,"dd-MMM-aa"),"")</f>
      </c>
      <c r="BI170" s="496" t="str">
        <f> IF(BI190&lt;&gt;"",TEXT(AUX!BM$1,"dd-MMM-aa"),"")</f>
      </c>
      <c r="BJ170" s="496" t="str">
        <f> IF(BJ190&lt;&gt;"",TEXT(AUX!BN$1,"dd-MMM-aa"),"")</f>
      </c>
      <c r="BK170" s="496" t="str">
        <f> IF(BK190&lt;&gt;"",TEXT(AUX!BO$1,"dd-MMM-aa"),"")</f>
      </c>
      <c r="BL170" s="496" t="str">
        <f> IF(BL190&lt;&gt;"",TEXT(AUX!BP$1,"dd-MMM-aa"),"")</f>
      </c>
      <c r="BM170" s="496" t="str">
        <f> IF(BM190&lt;&gt;"",TEXT(AUX!BQ$1,"dd-MMM-aa"),"")</f>
      </c>
      <c r="BN170" s="496" t="str">
        <f> IF(BN190&lt;&gt;"",TEXT(AUX!BR$1,"dd-MMM-aa"),"")</f>
      </c>
      <c r="BO170" s="496" t="str">
        <f> IF(BO190&lt;&gt;"",TEXT(AUX!BS$1,"dd-MMM-aa"),"")</f>
      </c>
      <c r="BP170" s="496" t="str">
        <f> IF(BP190&lt;&gt;"",TEXT(AUX!BT$1,"dd-MMM-aa"),"")</f>
      </c>
      <c r="BQ170" s="496" t="str">
        <f> IF(BQ190&lt;&gt;"",TEXT(AUX!BU$1,"dd-MMM-aa"),"")</f>
      </c>
      <c r="BR170" s="496" t="str">
        <f> IF(BR190&lt;&gt;"",TEXT(AUX!BV$1,"dd-MMM-aa"),"")</f>
      </c>
      <c r="BS170" s="496" t="str">
        <f> IF(BS190&lt;&gt;"",TEXT(AUX!BW$1,"dd-MMM-aa"),"")</f>
      </c>
      <c r="BT170" s="496" t="str">
        <f> IF(BT190&lt;&gt;"",TEXT(AUX!BX$1,"dd-MMM-aa"),"")</f>
      </c>
      <c r="BU170" s="496" t="str">
        <f> IF(BU190&lt;&gt;"",TEXT(AUX!BY$1,"dd-MMM-aa"),"")</f>
      </c>
      <c r="BV170" s="496" t="str">
        <f> IF(BV190&lt;&gt;"",TEXT(AUX!BZ$1,"dd-MMM-aa"),"")</f>
      </c>
      <c r="BW170" s="496" t="str">
        <f> IF(BW190&lt;&gt;"",TEXT(AUX!CA$1,"dd-MMM-aa"),"")</f>
      </c>
      <c r="BX170" s="496" t="str">
        <f> IF(BX190&lt;&gt;"",TEXT(AUX!CB$1,"dd-MMM-aa"),"")</f>
      </c>
      <c r="BY170" s="496" t="str">
        <f> IF(BY190&lt;&gt;"",TEXT(AUX!CC$1,"dd-MMM-aa"),"")</f>
      </c>
      <c r="BZ170" s="496" t="str">
        <f> IF(BZ190&lt;&gt;"",TEXT(AUX!CD$1,"dd-MMM-aa"),"")</f>
      </c>
      <c r="CA170" s="496" t="str">
        <f> IF(CA190&lt;&gt;"",TEXT(AUX!CE$1,"dd-MMM-aa"),"")</f>
      </c>
      <c r="CB170" s="496" t="str">
        <f> IF(CB190&lt;&gt;"",TEXT(AUX!CF$1,"dd-MMM-aa"),"")</f>
      </c>
      <c r="CC170" s="496" t="str">
        <f> IF(CC190&lt;&gt;"",TEXT(AUX!CG$1,"dd-MMM-aa"),"")</f>
      </c>
      <c r="CD170" s="496" t="str">
        <f> IF(CD190&lt;&gt;"",TEXT(AUX!CH$1,"dd-MMM-aa"),"")</f>
      </c>
      <c r="CE170" s="496" t="str">
        <f> IF(CE190&lt;&gt;"",TEXT(AUX!CI$1,"dd-MMM-aa"),"")</f>
      </c>
      <c r="CF170" s="496" t="str">
        <f> IF(CF190&lt;&gt;"",TEXT(AUX!CJ$1,"dd-MMM-aa"),"")</f>
      </c>
      <c r="CG170" s="496" t="str">
        <f> IF(CG190&lt;&gt;"",TEXT(AUX!CK$1,"dd-MMM-aa"),"")</f>
      </c>
      <c r="CH170" s="496" t="str">
        <f> IF(CH190&lt;&gt;"",TEXT(AUX!CL$1,"dd-MMM-aa"),"")</f>
      </c>
      <c r="CI170" s="496" t="str">
        <f> IF(CI190&lt;&gt;"",TEXT(AUX!CM$1,"dd-MMM-aa"),"")</f>
      </c>
      <c r="CJ170" s="496" t="str">
        <f> IF(CJ190&lt;&gt;"",TEXT(AUX!CN$1,"dd-MMM-aa"),"")</f>
      </c>
      <c r="CK170" s="496" t="str">
        <f> IF(CK190&lt;&gt;"",TEXT(AUX!CO$1,"dd-MMM-aa"),"")</f>
      </c>
      <c r="CL170" s="496" t="str">
        <f> IF(CL190&lt;&gt;"",TEXT(AUX!CP$1,"dd-MMM-aa"),"")</f>
      </c>
      <c r="CM170" s="496" t="str">
        <f> IF(CM190&lt;&gt;"",TEXT(AUX!CQ$1,"dd-MMM-aa"),"")</f>
      </c>
      <c r="CN170" s="496" t="str">
        <f> IF(CN190&lt;&gt;"",TEXT(AUX!CR$1,"dd-MMM-aa"),"")</f>
      </c>
      <c r="CO170" s="496" t="str">
        <f> IF(CO190&lt;&gt;"",TEXT(AUX!CS$1,"dd-MMM-aa"),"")</f>
      </c>
      <c r="CP170" s="496" t="str">
        <f> IF(CP190&lt;&gt;"",TEXT(AUX!CT$1,"dd-MMM-aa"),"")</f>
      </c>
      <c r="CQ170" s="496" t="str">
        <f> IF(CQ190&lt;&gt;"",TEXT(AUX!CU$1,"dd-MMM-aa"),"")</f>
      </c>
      <c r="CR170" s="496" t="str">
        <f> IF(CR190&lt;&gt;"",TEXT(AUX!CV$1,"dd-MMM-aa"),"")</f>
      </c>
      <c r="CS170" s="496" t="str">
        <f> IF(CS190&lt;&gt;"",TEXT(AUX!CW$1,"dd-MMM-aa"),"")</f>
      </c>
      <c r="CT170" s="496" t="str">
        <f> IF(CT190&lt;&gt;"",TEXT(AUX!CX$1,"dd-MMM-aa"),"")</f>
      </c>
      <c r="CU170" s="496" t="str">
        <f> IF(CU190&lt;&gt;"",TEXT(AUX!CY$1,"dd-MMM-aa"),"")</f>
      </c>
      <c r="CV170" s="496" t="str">
        <f> IF(CV190&lt;&gt;"",TEXT(AUX!CZ$1,"dd-MMM-aa"),"")</f>
      </c>
      <c r="CW170" s="496" t="str">
        <f> IF(CW190&lt;&gt;"",TEXT(AUX!DA$1,"dd-MMM-aa"),"")</f>
      </c>
      <c r="CX170" s="496" t="str">
        <f> IF(CX190&lt;&gt;"",TEXT(AUX!DB$1,"dd-MMM-aa"),"")</f>
      </c>
      <c r="CY170" s="496" t="str">
        <f> IF(CY190&lt;&gt;"",TEXT(AUX!DC$1,"dd-MMM-aa"),"")</f>
      </c>
      <c r="CZ170" s="496" t="str">
        <f> IF(CZ190&lt;&gt;"",TEXT(AUX!DD$1,"dd-MMM-aa"),"")</f>
      </c>
      <c r="DA170" s="496" t="str">
        <f> IF(DA190&lt;&gt;"",TEXT(AUX!DE$1,"dd-MMM-aa"),"")</f>
      </c>
      <c r="DB170" s="496" t="str">
        <f> IF(DB190&lt;&gt;"",TEXT(AUX!DF$1,"dd-MMM-aa"),"")</f>
      </c>
      <c r="DC170" s="496" t="str">
        <f> IF(DC190&lt;&gt;"",TEXT(AUX!DG$1,"dd-MMM-aa"),"")</f>
      </c>
      <c r="DD170" s="496" t="str">
        <f> IF(DD190&lt;&gt;"",TEXT(AUX!DH$1,"dd-MMM-aa"),"")</f>
      </c>
      <c r="DE170" s="496" t="str">
        <f> IF(DE190&lt;&gt;"",TEXT(AUX!DI$1,"dd-MMM-aa"),"")</f>
      </c>
      <c r="DF170" s="496" t="str">
        <f> IF(DF190&lt;&gt;"",TEXT(AUX!DJ$1,"dd-MMM-aa"),"")</f>
      </c>
      <c r="DG170" s="496" t="str">
        <f> IF(DG190&lt;&gt;"",TEXT(AUX!DK$1,"dd-MMM-aa"),"")</f>
      </c>
      <c r="DH170" s="496" t="str">
        <f> IF(DH190&lt;&gt;"",TEXT(AUX!DL$1,"dd-MMM-aa"),"")</f>
      </c>
      <c r="DI170" s="496" t="str">
        <f> IF(DI190&lt;&gt;"",TEXT(AUX!DM$1,"dd-MMM-aa"),"")</f>
      </c>
      <c r="DJ170" s="496" t="str">
        <f> IF(DJ190&lt;&gt;"",TEXT(AUX!DN$1,"dd-MMM-aa"),"")</f>
      </c>
      <c r="DK170" s="496" t="str">
        <f> IF(DK190&lt;&gt;"",TEXT(AUX!DO$1,"dd-MMM-aa"),"")</f>
      </c>
      <c r="DL170" s="496" t="str">
        <f> IF(DL190&lt;&gt;"",TEXT(AUX!DP$1,"dd-MMM-aa"),"")</f>
      </c>
      <c r="DM170" s="496" t="str">
        <f> IF(DM190&lt;&gt;"",TEXT(AUX!DQ$1,"dd-MMM-aa"),"")</f>
      </c>
      <c r="DN170" s="496" t="str">
        <f> IF(DN190&lt;&gt;"",TEXT(AUX!DR$1,"dd-MMM-aa"),"")</f>
      </c>
      <c r="DO170" s="496" t="str">
        <f> IF(DO190&lt;&gt;"",TEXT(AUX!DS$1,"dd-MMM-aa"),"")</f>
      </c>
      <c r="DP170" s="496" t="str">
        <f> IF(DP190&lt;&gt;"",TEXT(AUX!DT$1,"dd-MMM-aa"),"")</f>
      </c>
      <c r="DQ170" s="496" t="str">
        <f> IF(DQ190&lt;&gt;"",TEXT(AUX!DU$1,"dd-MMM-aa"),"")</f>
      </c>
      <c r="DR170" s="496" t="str">
        <f> IF(DR190&lt;&gt;"",TEXT(AUX!DV$1,"dd-MMM-aa"),"")</f>
      </c>
      <c r="DS170" s="496" t="str">
        <f> IF(DS190&lt;&gt;"",TEXT(AUX!DW$1,"dd-MMM-aa"),"")</f>
      </c>
      <c r="DT170" s="496" t="str">
        <f> IF(DT190&lt;&gt;"",TEXT(AUX!DX$1,"dd-MMM-aa"),"")</f>
      </c>
      <c r="DU170" s="496" t="str">
        <f> IF(DU190&lt;&gt;"",TEXT(AUX!DY$1,"dd-MMM-aa"),"")</f>
      </c>
      <c r="DV170" s="496" t="str">
        <f> IF(DV190&lt;&gt;"",TEXT(AUX!DZ$1,"dd-MMM-aa"),"")</f>
      </c>
      <c r="DW170" s="496" t="str">
        <f> IF(DW190&lt;&gt;"",TEXT(AUX!EA$1,"dd-MMM-aa"),"")</f>
      </c>
      <c r="DX170" s="496" t="str">
        <f> IF(DX190&lt;&gt;"",TEXT(AUX!EB$1,"dd-MMM-aa"),"")</f>
      </c>
      <c r="DY170" s="496" t="str">
        <f> IF(DY190&lt;&gt;"",TEXT(AUX!EC$1,"dd-MMM-aa"),"")</f>
      </c>
      <c r="DZ170" s="496" t="str">
        <f> IF(DZ190&lt;&gt;"",TEXT(AUX!ED$1,"dd-MMM-aa"),"")</f>
      </c>
      <c r="EA170" s="496" t="str">
        <f> IF(EA190&lt;&gt;"",TEXT(AUX!EE$1,"dd-MMM-aa"),"")</f>
      </c>
      <c r="EB170" s="496" t="str">
        <f> IF(EB190&lt;&gt;"",TEXT(AUX!EF$1,"dd-MMM-aa"),"")</f>
      </c>
      <c r="EC170" s="496" t="str">
        <f> IF(EC190&lt;&gt;"",TEXT(AUX!EG$1,"dd-MMM-aa"),"")</f>
      </c>
      <c r="ED170" s="496" t="str">
        <f> IF(ED190&lt;&gt;"",TEXT(AUX!EH$1,"dd-MMM-aa"),"")</f>
      </c>
      <c r="EE170" s="496" t="str">
        <f> IF(EE190&lt;&gt;"",TEXT(AUX!EI$1,"dd-MMM-aa"),"")</f>
      </c>
      <c r="EF170" s="496" t="str">
        <f> IF(EF190&lt;&gt;"",TEXT(AUX!EJ$1,"dd-MMM-aa"),"")</f>
      </c>
      <c r="EG170" s="496" t="str">
        <f> IF(EG190&lt;&gt;"",TEXT(AUX!EK$1,"dd-MMM-aa"),"")</f>
      </c>
      <c r="EH170" s="496" t="str">
        <f> IF(EH190&lt;&gt;"",TEXT(AUX!EL$1,"dd-MMM-aa"),"")</f>
      </c>
      <c r="EI170" s="496" t="str">
        <f> IF(EI190&lt;&gt;"",TEXT(AUX!EM$1,"dd-MMM-aa"),"")</f>
      </c>
      <c r="EJ170" s="496" t="str">
        <f> IF(EJ190&lt;&gt;"",TEXT(AUX!EN$1,"dd-MMM-aa"),"")</f>
      </c>
      <c r="EK170" s="496" t="str">
        <f> IF(EK190&lt;&gt;"",TEXT(AUX!EO$1,"dd-MMM-aa"),"")</f>
      </c>
      <c r="EL170" s="496" t="str">
        <f> IF(EL190&lt;&gt;"",TEXT(AUX!EP$1,"dd-MMM-aa"),"")</f>
      </c>
      <c r="EM170" s="496" t="str">
        <f> IF(EM190&lt;&gt;"",TEXT(AUX!EQ$1,"dd-MMM-aa"),"")</f>
      </c>
      <c r="EN170" s="496" t="str">
        <f> IF(EN190&lt;&gt;"",TEXT(AUX!ER$1,"dd-MMM-aa"),"")</f>
      </c>
      <c r="EO170" s="496" t="str">
        <f> IF(EO190&lt;&gt;"",TEXT(AUX!ES$1,"dd-MMM-aa"),"")</f>
      </c>
      <c r="EP170" s="496" t="str">
        <f> IF(EP190&lt;&gt;"",TEXT(AUX!ET$1,"dd-MMM-aa"),"")</f>
      </c>
      <c r="EQ170" s="496" t="str">
        <f> IF(EQ190&lt;&gt;"",TEXT(AUX!EU$1,"dd-MMM-aa"),"")</f>
      </c>
      <c r="ER170" s="496" t="str">
        <f> IF(ER190&lt;&gt;"",TEXT(AUX!EV$1,"dd-MMM-aa"),"")</f>
      </c>
      <c r="ES170" s="496" t="str">
        <f> IF(ES190&lt;&gt;"",TEXT(AUX!EW$1,"dd-MMM-aa"),"")</f>
      </c>
      <c r="ET170" s="496" t="str">
        <f> IF(ET190&lt;&gt;"",TEXT(AUX!EX$1,"dd-MMM-aa"),"")</f>
      </c>
      <c r="EU170" s="496" t="str">
        <f> IF(EU190&lt;&gt;"",TEXT(AUX!EY$1,"dd-MMM-aa"),"")</f>
      </c>
      <c r="EV170" s="496" t="str">
        <f> IF(EV190&lt;&gt;"",TEXT(AUX!EZ$1,"dd-MMM-aa"),"")</f>
      </c>
      <c r="EW170" s="496" t="str">
        <f> IF(EW190&lt;&gt;"",TEXT(AUX!FA$1,"dd-MMM-aa"),"")</f>
      </c>
      <c r="EX170" s="496" t="str">
        <f> IF(EX190&lt;&gt;"",TEXT(AUX!FB$1,"dd-MMM-aa"),"")</f>
      </c>
      <c r="EY170" s="496" t="str">
        <f> IF(EY190&lt;&gt;"",TEXT(AUX!FC$1,"dd-MMM-aa"),"")</f>
      </c>
      <c r="EZ170" s="496" t="str">
        <f> IF(EZ190&lt;&gt;"",TEXT(AUX!FD$1,"dd-MMM-aa"),"")</f>
      </c>
      <c r="FA170" s="496" t="str">
        <f> IF(FA190&lt;&gt;"",TEXT(AUX!FE$1,"dd-MMM-aa"),"")</f>
      </c>
      <c r="FB170" s="496" t="str">
        <f> IF(FB190&lt;&gt;"",TEXT(AUX!FF$1,"dd-MMM-aa"),"")</f>
      </c>
      <c r="FC170" s="496" t="str">
        <f> IF(FC190&lt;&gt;"",TEXT(AUX!FG$1,"dd-MMM-aa"),"")</f>
      </c>
      <c r="FD170" s="496" t="str">
        <f> IF(FD190&lt;&gt;"",TEXT(AUX!FH$1,"dd-MMM-aa"),"")</f>
      </c>
      <c r="FE170" s="496" t="str">
        <f> IF(FE190&lt;&gt;"",TEXT(AUX!FI$1,"dd-MMM-aa"),"")</f>
      </c>
      <c r="FF170" s="496" t="str">
        <f> IF(FF190&lt;&gt;"",TEXT(AUX!FJ$1,"dd-MMM-aa"),"")</f>
      </c>
      <c r="FG170" s="496" t="str">
        <f> IF(FG190&lt;&gt;"",TEXT(AUX!FK$1,"dd-MMM-aa"),"")</f>
      </c>
      <c r="FH170" s="496" t="str">
        <f> IF(FH190&lt;&gt;"",TEXT(AUX!FL$1,"dd-MMM-aa"),"")</f>
      </c>
      <c r="FI170" s="496" t="str">
        <f> IF(FI190&lt;&gt;"",TEXT(AUX!FM$1,"dd-MMM-aa"),"")</f>
      </c>
      <c r="FJ170" s="496" t="str">
        <f> IF(FJ190&lt;&gt;"",TEXT(AUX!FN$1,"dd-MMM-aa"),"")</f>
      </c>
      <c r="FK170" s="496" t="str">
        <f> IF(FK190&lt;&gt;"",TEXT(AUX!FO$1,"dd-MMM-aa"),"")</f>
      </c>
      <c r="FL170" s="496" t="str">
        <f> IF(FL190&lt;&gt;"",TEXT(AUX!FP$1,"dd-MMM-aa"),"")</f>
      </c>
      <c r="FM170" s="496" t="str">
        <f> IF(FM190&lt;&gt;"",TEXT(AUX!FQ$1,"dd-MMM-aa"),"")</f>
      </c>
      <c r="FN170" s="496" t="str">
        <f> IF(FN190&lt;&gt;"",TEXT(AUX!FR$1,"dd-MMM-aa"),"")</f>
      </c>
      <c r="FO170" s="496" t="str">
        <f> IF(FO190&lt;&gt;"",TEXT(AUX!FS$1,"dd-MMM-aa"),"")</f>
      </c>
      <c r="FP170" s="496" t="str">
        <f> IF(FP190&lt;&gt;"",TEXT(AUX!FT$1,"dd-MMM-aa"),"")</f>
      </c>
      <c r="FQ170" s="496" t="str">
        <f> IF(FQ190&lt;&gt;"",TEXT(AUX!FU$1,"dd-MMM-aa"),"")</f>
      </c>
      <c r="FR170" s="496" t="str">
        <f> IF(FR190&lt;&gt;"",TEXT(AUX!FV$1,"dd-MMM-aa"),"")</f>
      </c>
      <c r="FS170" s="496" t="str">
        <f> IF(FS190&lt;&gt;"",TEXT(AUX!FW$1,"dd-MMM-aa"),"")</f>
      </c>
      <c r="FT170" s="496" t="str">
        <f> IF(FT190&lt;&gt;"",TEXT(AUX!FX$1,"dd-MMM-aa"),"")</f>
      </c>
      <c r="FU170" s="496" t="str">
        <f> IF(FU190&lt;&gt;"",TEXT(AUX!FY$1,"dd-MMM-aa"),"")</f>
      </c>
      <c r="FV170" s="496" t="str">
        <f> IF(FV190&lt;&gt;"",TEXT(AUX!FZ$1,"dd-MMM-aa"),"")</f>
      </c>
      <c r="FW170" s="496" t="str">
        <f> IF(FW190&lt;&gt;"",TEXT(AUX!GA$1,"dd-MMM-aa"),"")</f>
      </c>
      <c r="FX170" s="496" t="str">
        <f> IF(FX190&lt;&gt;"",TEXT(AUX!GB$1,"dd-MMM-aa"),"")</f>
      </c>
      <c r="FY170" s="496" t="str">
        <f> IF(FY190&lt;&gt;"",TEXT(AUX!GC$1,"dd-MMM-aa"),"")</f>
      </c>
      <c r="FZ170" s="496" t="str">
        <f> IF(FZ190&lt;&gt;"",TEXT(AUX!GD$1,"dd-MMM-aa"),"")</f>
      </c>
      <c r="GA170" s="496" t="str">
        <f> IF(GA190&lt;&gt;"",TEXT(AUX!GE$1,"dd-MMM-aa"),"")</f>
      </c>
      <c r="GB170" s="496" t="str">
        <f> IF(GB190&lt;&gt;"",TEXT(AUX!GF$1,"dd-MMM-aa"),"")</f>
      </c>
      <c r="GC170" s="496" t="str">
        <f> IF(GC190&lt;&gt;"",TEXT(AUX!GG$1,"dd-MMM-aa"),"")</f>
      </c>
      <c r="GD170" s="496" t="str">
        <f> IF(GD190&lt;&gt;"",TEXT(AUX!GH$1,"dd-MMM-aa"),"")</f>
      </c>
      <c r="GE170" s="496" t="str">
        <f> IF(GE190&lt;&gt;"",TEXT(AUX!GI$1,"dd-MMM-aa"),"")</f>
      </c>
      <c r="GF170" s="496" t="str">
        <f> IF(GF190&lt;&gt;"",TEXT(AUX!GJ$1,"dd-MMM-aa"),"")</f>
      </c>
      <c r="GG170" s="496" t="str">
        <f> IF(GG190&lt;&gt;"",TEXT(AUX!GK$1,"dd-MMM-aa"),"")</f>
      </c>
      <c r="GH170" s="496" t="str">
        <f> IF(GH190&lt;&gt;"",TEXT(AUX!GL$1,"dd-MMM-aa"),"")</f>
      </c>
      <c r="GI170" s="496" t="str">
        <f> IF(GI190&lt;&gt;"",TEXT(AUX!GM$1,"dd-MMM-aa"),"")</f>
      </c>
      <c r="GJ170" s="496" t="str">
        <f> IF(GJ190&lt;&gt;"",TEXT(AUX!GN$1,"dd-MMM-aa"),"")</f>
      </c>
      <c r="GK170" s="496" t="str">
        <f> IF(GK190&lt;&gt;"",TEXT(AUX!GO$1,"dd-MMM-aa"),"")</f>
      </c>
      <c r="GL170" s="496" t="str">
        <f> IF(GL190&lt;&gt;"",TEXT(AUX!GP$1,"dd-MMM-aa"),"")</f>
      </c>
      <c r="GM170" s="496" t="str">
        <f> IF(GM190&lt;&gt;"",TEXT(AUX!GQ$1,"dd-MMM-aa"),"")</f>
      </c>
      <c r="GN170" s="496" t="str">
        <f> IF(GN190&lt;&gt;"",TEXT(AUX!GR$1,"dd-MMM-aa"),"")</f>
      </c>
      <c r="GO170" s="496" t="str">
        <f> IF(GO190&lt;&gt;"",TEXT(AUX!GS$1,"dd-MMM-aa"),"")</f>
      </c>
      <c r="GP170" s="496" t="str">
        <f> IF(GP190&lt;&gt;"",TEXT(AUX!GT$1,"dd-MMM-aa"),"")</f>
      </c>
      <c r="GQ170" s="496" t="str">
        <f> IF(GQ190&lt;&gt;"",TEXT(AUX!GU$1,"dd-MMM-aa"),"")</f>
      </c>
      <c r="GR170" s="496" t="str">
        <f> IF(GR190&lt;&gt;"",TEXT(AUX!GV$1,"dd-MMM-aa"),"")</f>
      </c>
      <c r="GS170" s="496" t="str">
        <f> IF(GS190&lt;&gt;"",TEXT(AUX!GW$1,"dd-MMM-aa"),"")</f>
      </c>
      <c r="GT170" s="496" t="str">
        <f> IF(GT190&lt;&gt;"",TEXT(AUX!GX$1,"dd-MMM-aa"),"")</f>
      </c>
      <c r="GU170" s="496" t="str">
        <f> IF(GU190&lt;&gt;"",TEXT(AUX!GY$1,"dd-MMM-aa"),"")</f>
      </c>
      <c r="GV170" s="496" t="str">
        <f> IF(GV190&lt;&gt;"",TEXT(AUX!GZ$1,"dd-MMM-aa"),"")</f>
      </c>
      <c r="GW170" s="496" t="str">
        <f> IF(GW190&lt;&gt;"",TEXT(AUX!HA$1,"dd-MMM-aa"),"")</f>
      </c>
      <c r="GX170" s="496" t="str">
        <f> IF(GX190&lt;&gt;"",TEXT(AUX!HB$1,"dd-MMM-aa"),"")</f>
      </c>
      <c r="GY170" s="496" t="str">
        <f> IF(GY190&lt;&gt;"",TEXT(AUX!HC$1,"dd-MMM-aa"),"")</f>
      </c>
      <c r="GZ170" s="496" t="str">
        <f> IF(GZ190&lt;&gt;"",TEXT(AUX!HD$1,"dd-MMM-aa"),"")</f>
      </c>
      <c r="HA170" s="496" t="str">
        <f> IF(HA190&lt;&gt;"",TEXT(AUX!HE$1,"dd-MMM-aa"),"")</f>
      </c>
      <c r="HB170" s="496" t="str">
        <f> IF(HB190&lt;&gt;"",TEXT(AUX!HF$1,"dd-MMM-aa"),"")</f>
      </c>
      <c r="HC170" s="496" t="str">
        <f> IF(HC190&lt;&gt;"",TEXT(AUX!HG$1,"dd-MMM-aa"),"")</f>
      </c>
      <c r="HD170" s="496" t="str">
        <f> IF(HD190&lt;&gt;"",TEXT(AUX!HH$1,"dd-MMM-aa"),"")</f>
      </c>
      <c r="HE170" s="496" t="str">
        <f> IF(HE190&lt;&gt;"",TEXT(AUX!HI$1,"dd-MMM-aa"),"")</f>
      </c>
      <c r="HF170" s="496" t="str">
        <f> IF(HF190&lt;&gt;"",TEXT(AUX!HJ$1,"dd-MMM-aa"),"")</f>
      </c>
      <c r="HG170" s="496" t="str">
        <f> IF(HG190&lt;&gt;"",TEXT(AUX!HK$1,"dd-MMM-aa"),"")</f>
      </c>
      <c r="HH170" s="496" t="str">
        <f> IF(HH190&lt;&gt;"",TEXT(AUX!HL$1,"dd-MMM-aa"),"")</f>
      </c>
      <c r="HI170" s="496" t="str">
        <f> IF(HI190&lt;&gt;"",TEXT(AUX!HM$1,"dd-MMM-aa"),"")</f>
      </c>
      <c r="HJ170" s="496" t="str">
        <f> IF(HJ190&lt;&gt;"",TEXT(AUX!HN$1,"dd-MMM-aa"),"")</f>
      </c>
      <c r="HK170" s="496" t="str">
        <f> IF(HK190&lt;&gt;"",TEXT(AUX!HO$1,"dd-MMM-aa"),"")</f>
      </c>
      <c r="HL170" s="496" t="str">
        <f> IF(HL190&lt;&gt;"",TEXT(AUX!HP$1,"dd-MMM-aa"),"")</f>
      </c>
      <c r="HM170" s="496" t="str">
        <f> IF(HM190&lt;&gt;"",TEXT(AUX!HQ$1,"dd-MMM-aa"),"")</f>
      </c>
      <c r="HN170" s="496" t="str">
        <f> IF(HN190&lt;&gt;"",TEXT(AUX!HR$1,"dd-MMM-aa"),"")</f>
      </c>
      <c r="HO170" s="496" t="str">
        <f> IF(HO190&lt;&gt;"",TEXT(AUX!HS$1,"dd-MMM-aa"),"")</f>
      </c>
      <c r="HP170" s="496" t="str">
        <f> IF(HP190&lt;&gt;"",TEXT(AUX!HT$1,"dd-MMM-aa"),"")</f>
      </c>
      <c r="HQ170" s="496" t="str">
        <f> IF(HQ190&lt;&gt;"",TEXT(AUX!HU$1,"dd-MMM-aa"),"")</f>
      </c>
      <c r="HR170" s="496" t="str">
        <f> IF(HR190&lt;&gt;"",TEXT(AUX!HV$1,"dd-MMM-aa"),"")</f>
      </c>
      <c r="HS170" s="496" t="str">
        <f> IF(HS190&lt;&gt;"",TEXT(AUX!HW$1,"dd-MMM-aa"),"")</f>
      </c>
      <c r="HT170" s="496" t="str">
        <f> IF(HT190&lt;&gt;"",TEXT(AUX!HX$1,"dd-MMM-aa"),"")</f>
      </c>
      <c r="HU170" s="496" t="str">
        <f> IF(HU190&lt;&gt;"",TEXT(AUX!HY$1,"dd-MMM-aa"),"")</f>
      </c>
      <c r="HV170" s="496" t="str">
        <f> IF(HV190&lt;&gt;"",TEXT(AUX!HZ$1,"dd-MMM-aa"),"")</f>
      </c>
      <c r="HW170" s="496" t="str">
        <f> IF(HW190&lt;&gt;"",TEXT(AUX!IA$1,"dd-MMM-aa"),"")</f>
      </c>
      <c r="HX170" s="496" t="str">
        <f> IF(HX190&lt;&gt;"",TEXT(AUX!IB$1,"dd-MMM-aa"),"")</f>
      </c>
      <c r="HY170" s="496" t="str">
        <f> IF(HY190&lt;&gt;"",TEXT(AUX!IC$1,"dd-MMM-aa"),"")</f>
      </c>
      <c r="HZ170" s="496" t="str">
        <f> IF(HZ190&lt;&gt;"",TEXT(AUX!ID$1,"dd-MMM-aa"),"")</f>
      </c>
      <c r="IA170" s="496" t="str">
        <f> IF(IA190&lt;&gt;"",TEXT(AUX!IE$1,"dd-MMM-aa"),"")</f>
      </c>
      <c r="IB170" s="496" t="str">
        <f> IF(IB190&lt;&gt;"",TEXT(AUX!IF$1,"dd-MMM-aa"),"")</f>
      </c>
      <c r="IC170" s="496" t="str">
        <f> IF(IC190&lt;&gt;"",TEXT(AUX!IG$1,"dd-MMM-aa"),"")</f>
      </c>
      <c r="ID170" s="496" t="str">
        <f> IF(ID190&lt;&gt;"",TEXT(AUX!IH$1,"dd-MMM-aa"),"")</f>
      </c>
      <c r="IE170" s="496" t="str">
        <f> IF(IE190&lt;&gt;"",TEXT(AUX!II$1,"dd-MMM-aa"),"")</f>
      </c>
      <c r="IF170" s="496" t="str">
        <f> IF(IF190&lt;&gt;"",TEXT(AUX!IJ$1,"dd-MMM-aa"),"")</f>
      </c>
      <c r="IG170" s="496" t="str">
        <f> IF(IG190&lt;&gt;"",TEXT(AUX!IK$1,"dd-MMM-aa"),"")</f>
      </c>
      <c r="IH170" s="496" t="str">
        <f> IF(IH190&lt;&gt;"",TEXT(AUX!IL$1,"dd-MMM-aa"),"")</f>
      </c>
      <c r="II170" s="496" t="str">
        <f> IF(II190&lt;&gt;"",TEXT(AUX!IM$1,"dd-MMM-aa"),"")</f>
      </c>
      <c r="IJ170" s="496" t="str">
        <f> IF(IJ190&lt;&gt;"",TEXT(AUX!IN$1,"dd-MMM-aa"),"")</f>
      </c>
      <c r="IK170" s="496" t="str">
        <f> IF(IK190&lt;&gt;"",TEXT(AUX!IO$1,"dd-MMM-aa"),"")</f>
      </c>
      <c r="IL170" s="496" t="str">
        <f> IF(IL190&lt;&gt;"",TEXT(AUX!IP$1,"dd-MMM-aa"),"")</f>
      </c>
      <c r="IM170" s="496" t="str">
        <f> IF(IM190&lt;&gt;"",TEXT(AUX!IQ$1,"dd-MMM-aa"),"")</f>
      </c>
      <c r="IN170" s="496" t="str">
        <f> IF(IN190&lt;&gt;"",TEXT(AUX!IR$1,"dd-MMM-aa"),"")</f>
      </c>
      <c r="IO170" s="496" t="str">
        <f> IF(IO190&lt;&gt;"",TEXT(AUX!IS$1,"dd-MMM-aa"),"")</f>
      </c>
      <c r="IP170" s="496" t="str">
        <f> IF(IP190&lt;&gt;"",TEXT(AUX!IT$1,"dd-MMM-aa"),"")</f>
      </c>
      <c r="IQ170" s="496" t="str">
        <f> IF(IQ190&lt;&gt;"",TEXT(AUX!IU$1,"dd-MMM-aa"),"")</f>
      </c>
      <c r="IR170" s="496" t="str">
        <f> IF(IR190&lt;&gt;"",TEXT(AUX!IV$1,"dd-MMM-aa"),"")</f>
      </c>
      <c r="IS170" s="496" t="str">
        <f> IF(IS190&lt;&gt;"",TEXT(AUX!#REF!,"dd-MMM-aa"),"")</f>
      </c>
      <c r="IT170" s="496" t="str">
        <f> IF(IT190&lt;&gt;"",TEXT(AUX!#REF!,"dd-MMM-aa"),"")</f>
      </c>
      <c r="IU170" s="496" t="str">
        <f> IF(IU190&lt;&gt;"",TEXT(AUX!#REF!,"dd-MMM-aa"),"")</f>
      </c>
      <c r="IV170" s="496" t="str">
        <f> IF(IV190&lt;&gt;"",TEXT(AUX!#REF!,"dd-MMM-aa"),"")</f>
      </c>
    </row>
    <row r="171" hidden="1" ht="12.75" customHeight="1">
      <c r="B171" s="833" t="s">
        <v>8</v>
      </c>
      <c r="C171" s="827">
        <v>3740</v>
      </c>
      <c r="D171" s="827">
        <v>3677</v>
      </c>
      <c r="E171" s="827">
        <v>3581</v>
      </c>
      <c r="F171" s="827">
        <v>3528</v>
      </c>
      <c r="G171" s="827">
        <v>3240</v>
      </c>
      <c r="H171" s="827">
        <v>3223</v>
      </c>
      <c r="I171" s="827">
        <v>3171</v>
      </c>
      <c r="J171" s="827">
        <v>3154</v>
      </c>
      <c r="K171" s="827">
        <v>3160</v>
      </c>
      <c r="L171" s="827">
        <v>3098</v>
      </c>
      <c r="M171" s="827">
        <v>3036</v>
      </c>
      <c r="N171" s="827">
        <v>3024</v>
      </c>
      <c r="O171" s="827">
        <v>3081</v>
      </c>
      <c r="P171" s="827">
        <v>3157</v>
      </c>
      <c r="Q171" s="827">
        <v>3395</v>
      </c>
      <c r="R171" s="827">
        <v>3462</v>
      </c>
      <c r="S171" s="827">
        <v>3583</v>
      </c>
      <c r="T171" s="827">
        <v>3617</v>
      </c>
      <c r="U171" s="827">
        <v>3597</v>
      </c>
      <c r="V171" s="827">
        <v>3613</v>
      </c>
      <c r="W171" s="827">
        <v>3599</v>
      </c>
      <c r="X171" s="827">
        <v>2490</v>
      </c>
      <c r="Y171" s="827">
        <v>3548</v>
      </c>
      <c r="Z171" s="827">
        <v>3491</v>
      </c>
      <c r="AA171" s="827">
        <v>3401</v>
      </c>
      <c r="AB171" s="834">
        <v>3360</v>
      </c>
      <c r="AC171" s="828">
        <v>3277</v>
      </c>
      <c r="AD171" s="828">
        <v>3231</v>
      </c>
      <c r="AE171" s="828">
        <v>3212</v>
      </c>
      <c r="AF171" s="828">
        <v>3195</v>
      </c>
      <c r="AG171" s="828">
        <v>3147</v>
      </c>
      <c r="AH171" s="828">
        <v>3109</v>
      </c>
      <c r="AI171" s="828">
        <v>3056</v>
      </c>
      <c r="AJ171" s="828">
        <v>3028</v>
      </c>
      <c r="AK171" s="828">
        <v>2949</v>
      </c>
      <c r="AL171" s="828">
        <v>2833</v>
      </c>
      <c r="AM171" s="828">
        <v>2413</v>
      </c>
      <c r="AN171" s="828">
        <v>2302</v>
      </c>
      <c r="AO171" s="828">
        <v>2246</v>
      </c>
      <c r="AP171" s="828">
        <v>2179</v>
      </c>
    </row>
    <row r="172" hidden="1" ht="12.75" customHeight="1">
      <c r="B172" s="829" t="s">
        <v>9</v>
      </c>
      <c r="C172" s="823">
        <v>16</v>
      </c>
      <c r="D172" s="823">
        <v>17</v>
      </c>
      <c r="E172" s="823">
        <v>17</v>
      </c>
      <c r="F172" s="823">
        <v>18</v>
      </c>
      <c r="G172" s="823">
        <v>20</v>
      </c>
      <c r="H172" s="823">
        <v>54</v>
      </c>
      <c r="I172" s="823">
        <v>55</v>
      </c>
      <c r="J172" s="823">
        <v>54</v>
      </c>
      <c r="K172" s="823">
        <v>50</v>
      </c>
      <c r="L172" s="823">
        <v>50</v>
      </c>
      <c r="M172" s="823">
        <v>50</v>
      </c>
      <c r="N172" s="823">
        <v>50</v>
      </c>
      <c r="O172" s="823">
        <v>47</v>
      </c>
      <c r="P172" s="823">
        <v>46</v>
      </c>
      <c r="Q172" s="823">
        <v>43</v>
      </c>
      <c r="R172" s="823">
        <v>42</v>
      </c>
      <c r="S172" s="823">
        <v>41</v>
      </c>
      <c r="T172" s="823">
        <v>36</v>
      </c>
      <c r="U172" s="823">
        <v>38</v>
      </c>
      <c r="V172" s="823">
        <v>39</v>
      </c>
      <c r="W172" s="823">
        <v>40</v>
      </c>
      <c r="X172" s="823">
        <v>39</v>
      </c>
      <c r="Y172" s="823">
        <v>41</v>
      </c>
      <c r="Z172" s="823">
        <v>41</v>
      </c>
      <c r="AA172" s="823">
        <v>41</v>
      </c>
      <c r="AB172" s="823">
        <v>41</v>
      </c>
      <c r="AC172" s="825">
        <v>41</v>
      </c>
      <c r="AD172" s="825">
        <v>41</v>
      </c>
      <c r="AE172" s="825">
        <v>41</v>
      </c>
      <c r="AF172" s="825">
        <v>43</v>
      </c>
      <c r="AG172" s="825">
        <v>45</v>
      </c>
      <c r="AH172" s="825">
        <v>45</v>
      </c>
      <c r="AI172" s="825">
        <v>50</v>
      </c>
      <c r="AJ172" s="825">
        <v>53</v>
      </c>
      <c r="AK172" s="825">
        <v>59</v>
      </c>
      <c r="AL172" s="825">
        <v>70</v>
      </c>
      <c r="AM172" s="825">
        <v>78</v>
      </c>
      <c r="AN172" s="825">
        <v>83</v>
      </c>
      <c r="AO172" s="825">
        <v>81</v>
      </c>
      <c r="AP172" s="825">
        <v>80</v>
      </c>
    </row>
    <row r="173" hidden="1" ht="12.75" customHeight="1">
      <c r="B173" s="826" t="s">
        <v>10</v>
      </c>
      <c r="C173" s="827">
        <v>14</v>
      </c>
      <c r="D173" s="827">
        <v>17</v>
      </c>
      <c r="E173" s="827">
        <v>17</v>
      </c>
      <c r="F173" s="827">
        <v>18</v>
      </c>
      <c r="G173" s="827">
        <v>19</v>
      </c>
      <c r="H173" s="827">
        <v>18</v>
      </c>
      <c r="I173" s="827">
        <v>18</v>
      </c>
      <c r="J173" s="827">
        <v>17</v>
      </c>
      <c r="K173" s="827">
        <v>20</v>
      </c>
      <c r="L173" s="827">
        <v>23</v>
      </c>
      <c r="M173" s="827">
        <v>20</v>
      </c>
      <c r="N173" s="827">
        <v>21</v>
      </c>
      <c r="O173" s="827">
        <v>21</v>
      </c>
      <c r="P173" s="827">
        <v>20</v>
      </c>
      <c r="Q173" s="827">
        <v>21</v>
      </c>
      <c r="R173" s="827">
        <v>22</v>
      </c>
      <c r="S173" s="827">
        <v>22</v>
      </c>
      <c r="T173" s="827">
        <v>22</v>
      </c>
      <c r="U173" s="827">
        <v>22</v>
      </c>
      <c r="V173" s="827">
        <v>23</v>
      </c>
      <c r="W173" s="827">
        <v>24</v>
      </c>
      <c r="X173" s="827">
        <v>22</v>
      </c>
      <c r="Y173" s="827">
        <v>23</v>
      </c>
      <c r="Z173" s="827">
        <v>23</v>
      </c>
      <c r="AA173" s="827">
        <v>23</v>
      </c>
      <c r="AB173" s="827">
        <v>24</v>
      </c>
      <c r="AC173" s="828">
        <v>24</v>
      </c>
      <c r="AD173" s="828">
        <v>25</v>
      </c>
      <c r="AE173" s="828">
        <v>26</v>
      </c>
      <c r="AF173" s="828">
        <v>23</v>
      </c>
      <c r="AG173" s="828">
        <v>25</v>
      </c>
      <c r="AH173" s="828">
        <v>24</v>
      </c>
      <c r="AI173" s="828">
        <v>24</v>
      </c>
      <c r="AJ173" s="828">
        <v>23</v>
      </c>
      <c r="AK173" s="828">
        <v>23</v>
      </c>
      <c r="AL173" s="828">
        <v>24</v>
      </c>
      <c r="AM173" s="828">
        <v>24</v>
      </c>
      <c r="AN173" s="828">
        <v>23</v>
      </c>
      <c r="AO173" s="828">
        <v>23</v>
      </c>
      <c r="AP173" s="828">
        <v>23</v>
      </c>
    </row>
    <row r="174" hidden="1" ht="12.75" customHeight="1">
      <c r="B174" s="829" t="s">
        <v>11</v>
      </c>
      <c r="C174" s="823">
        <v>6</v>
      </c>
      <c r="D174" s="823">
        <v>7</v>
      </c>
      <c r="E174" s="823">
        <v>8</v>
      </c>
      <c r="F174" s="823">
        <v>7</v>
      </c>
      <c r="G174" s="823">
        <v>8</v>
      </c>
      <c r="H174" s="823">
        <v>7</v>
      </c>
      <c r="I174" s="823">
        <v>8</v>
      </c>
      <c r="J174" s="823">
        <v>8</v>
      </c>
      <c r="K174" s="823">
        <v>9</v>
      </c>
      <c r="L174" s="823">
        <v>8</v>
      </c>
      <c r="M174" s="823">
        <v>9</v>
      </c>
      <c r="N174" s="823">
        <v>9</v>
      </c>
      <c r="O174" s="823">
        <v>10</v>
      </c>
      <c r="P174" s="823">
        <v>12</v>
      </c>
      <c r="Q174" s="823">
        <v>12</v>
      </c>
      <c r="R174" s="823">
        <v>16</v>
      </c>
      <c r="S174" s="823">
        <v>17</v>
      </c>
      <c r="T174" s="823">
        <v>17</v>
      </c>
      <c r="U174" s="823">
        <v>16</v>
      </c>
      <c r="V174" s="823">
        <v>16</v>
      </c>
      <c r="W174" s="823">
        <v>16</v>
      </c>
      <c r="X174" s="823">
        <v>16</v>
      </c>
      <c r="Y174" s="823">
        <v>15</v>
      </c>
      <c r="Z174" s="823">
        <v>17</v>
      </c>
      <c r="AA174" s="823">
        <v>17</v>
      </c>
      <c r="AB174" s="823">
        <v>17</v>
      </c>
      <c r="AC174" s="825">
        <v>18</v>
      </c>
      <c r="AD174" s="825">
        <v>19</v>
      </c>
      <c r="AE174" s="825">
        <v>18</v>
      </c>
      <c r="AF174" s="825">
        <v>16</v>
      </c>
      <c r="AG174" s="825">
        <v>17</v>
      </c>
      <c r="AH174" s="825">
        <v>17</v>
      </c>
      <c r="AI174" s="825">
        <v>15</v>
      </c>
      <c r="AJ174" s="825">
        <v>15</v>
      </c>
      <c r="AK174" s="825">
        <v>18</v>
      </c>
      <c r="AL174" s="825">
        <v>18</v>
      </c>
      <c r="AM174" s="825">
        <v>17</v>
      </c>
      <c r="AN174" s="825">
        <v>15</v>
      </c>
      <c r="AO174" s="825">
        <v>15</v>
      </c>
      <c r="AP174" s="825">
        <v>15</v>
      </c>
    </row>
    <row r="175" hidden="1" ht="12.75" customHeight="1">
      <c r="B175" s="826" t="s">
        <v>12</v>
      </c>
      <c r="C175" s="827">
        <v>1328</v>
      </c>
      <c r="D175" s="827">
        <v>1334</v>
      </c>
      <c r="E175" s="827">
        <v>1389</v>
      </c>
      <c r="F175" s="827">
        <v>1390</v>
      </c>
      <c r="G175" s="827">
        <v>1408</v>
      </c>
      <c r="H175" s="827">
        <v>1421</v>
      </c>
      <c r="I175" s="827">
        <v>1434</v>
      </c>
      <c r="J175" s="827">
        <v>1162</v>
      </c>
      <c r="K175" s="827">
        <v>1128</v>
      </c>
      <c r="L175" s="827">
        <v>1112</v>
      </c>
      <c r="M175" s="827">
        <v>1077</v>
      </c>
      <c r="N175" s="827">
        <v>1068</v>
      </c>
      <c r="O175" s="827">
        <v>990</v>
      </c>
      <c r="P175" s="827">
        <v>957</v>
      </c>
      <c r="Q175" s="827">
        <v>908</v>
      </c>
      <c r="R175" s="827">
        <v>900</v>
      </c>
      <c r="S175" s="827">
        <v>858</v>
      </c>
      <c r="T175" s="827">
        <v>827</v>
      </c>
      <c r="U175" s="827">
        <v>778</v>
      </c>
      <c r="V175" s="827">
        <v>767</v>
      </c>
      <c r="W175" s="827">
        <v>722</v>
      </c>
      <c r="X175" s="827">
        <v>725</v>
      </c>
      <c r="Y175" s="827">
        <v>683</v>
      </c>
      <c r="Z175" s="827">
        <v>670</v>
      </c>
      <c r="AA175" s="827">
        <v>635</v>
      </c>
      <c r="AB175" s="827">
        <v>628</v>
      </c>
      <c r="AC175" s="828">
        <v>620</v>
      </c>
      <c r="AD175" s="828">
        <v>617</v>
      </c>
      <c r="AE175" s="828">
        <v>583</v>
      </c>
      <c r="AF175" s="828">
        <v>573</v>
      </c>
      <c r="AG175" s="828">
        <v>560</v>
      </c>
      <c r="AH175" s="828">
        <v>541</v>
      </c>
      <c r="AI175" s="828">
        <v>532</v>
      </c>
      <c r="AJ175" s="828">
        <v>526</v>
      </c>
      <c r="AK175" s="828">
        <v>524</v>
      </c>
      <c r="AL175" s="828">
        <v>519</v>
      </c>
      <c r="AM175" s="828">
        <v>483</v>
      </c>
      <c r="AN175" s="828">
        <v>463</v>
      </c>
      <c r="AO175" s="828">
        <v>450</v>
      </c>
      <c r="AP175" s="828">
        <v>418</v>
      </c>
    </row>
    <row r="176" hidden="1" ht="12.75" customHeight="1">
      <c r="B176" s="829" t="s">
        <v>13</v>
      </c>
      <c r="C176" s="823">
        <v>2</v>
      </c>
      <c r="D176" s="823">
        <v>8</v>
      </c>
      <c r="E176" s="823">
        <v>10</v>
      </c>
      <c r="F176" s="823">
        <v>13</v>
      </c>
      <c r="G176" s="823">
        <v>15</v>
      </c>
      <c r="H176" s="823">
        <v>15</v>
      </c>
      <c r="I176" s="823">
        <v>17</v>
      </c>
      <c r="J176" s="823">
        <v>17</v>
      </c>
      <c r="K176" s="823">
        <v>16</v>
      </c>
      <c r="L176" s="823">
        <v>13</v>
      </c>
      <c r="M176" s="823">
        <v>16</v>
      </c>
      <c r="N176" s="823">
        <v>12</v>
      </c>
      <c r="O176" s="823">
        <v>12</v>
      </c>
      <c r="P176" s="823">
        <v>14</v>
      </c>
      <c r="Q176" s="823">
        <v>17</v>
      </c>
      <c r="R176" s="823">
        <v>18</v>
      </c>
      <c r="S176" s="823">
        <v>21</v>
      </c>
      <c r="T176" s="823">
        <v>21</v>
      </c>
      <c r="U176" s="823">
        <v>19</v>
      </c>
      <c r="V176" s="823">
        <v>22</v>
      </c>
      <c r="W176" s="823">
        <v>21</v>
      </c>
      <c r="X176" s="823">
        <v>21</v>
      </c>
      <c r="Y176" s="823">
        <v>20</v>
      </c>
      <c r="Z176" s="823">
        <v>19</v>
      </c>
      <c r="AA176" s="823">
        <v>18</v>
      </c>
      <c r="AB176" s="823">
        <v>17</v>
      </c>
      <c r="AC176" s="825">
        <v>15</v>
      </c>
      <c r="AD176" s="825">
        <v>15</v>
      </c>
      <c r="AE176" s="825">
        <v>13</v>
      </c>
      <c r="AF176" s="825">
        <v>14</v>
      </c>
      <c r="AG176" s="825">
        <v>15</v>
      </c>
      <c r="AH176" s="825">
        <v>11</v>
      </c>
      <c r="AI176" s="825">
        <v>11</v>
      </c>
      <c r="AJ176" s="825">
        <v>12</v>
      </c>
      <c r="AK176" s="825">
        <v>10</v>
      </c>
      <c r="AL176" s="825">
        <v>8</v>
      </c>
      <c r="AM176" s="825">
        <v>8</v>
      </c>
      <c r="AN176" s="825">
        <v>8</v>
      </c>
      <c r="AO176" s="825">
        <v>8</v>
      </c>
      <c r="AP176" s="825">
        <v>9</v>
      </c>
    </row>
    <row r="177" hidden="1" ht="12.75" customHeight="1">
      <c r="B177" s="826" t="s">
        <v>109</v>
      </c>
      <c r="C177" s="827">
        <v>124</v>
      </c>
      <c r="D177" s="827">
        <v>122</v>
      </c>
      <c r="E177" s="827">
        <v>124</v>
      </c>
      <c r="F177" s="827">
        <v>210</v>
      </c>
      <c r="G177" s="827">
        <v>477</v>
      </c>
      <c r="H177" s="827">
        <v>648</v>
      </c>
      <c r="I177" s="827">
        <v>678</v>
      </c>
      <c r="J177" s="827">
        <v>672</v>
      </c>
      <c r="K177" s="827">
        <v>659</v>
      </c>
      <c r="L177" s="827">
        <v>654</v>
      </c>
      <c r="M177" s="827">
        <v>700</v>
      </c>
      <c r="N177" s="827">
        <v>683</v>
      </c>
      <c r="O177" s="827">
        <v>655</v>
      </c>
      <c r="P177" s="827">
        <v>658</v>
      </c>
      <c r="Q177" s="827">
        <v>675</v>
      </c>
      <c r="R177" s="827">
        <v>686</v>
      </c>
      <c r="S177" s="827">
        <v>667</v>
      </c>
      <c r="T177" s="827">
        <v>698</v>
      </c>
      <c r="U177" s="827">
        <v>711</v>
      </c>
      <c r="V177" s="827">
        <v>729</v>
      </c>
      <c r="W177" s="827">
        <v>727</v>
      </c>
      <c r="X177" s="827">
        <v>726</v>
      </c>
      <c r="Y177" s="827">
        <v>757</v>
      </c>
      <c r="Z177" s="827">
        <v>759</v>
      </c>
      <c r="AA177" s="827">
        <v>712</v>
      </c>
      <c r="AB177" s="827">
        <v>719</v>
      </c>
      <c r="AC177" s="828">
        <v>696</v>
      </c>
      <c r="AD177" s="828">
        <v>696</v>
      </c>
      <c r="AE177" s="828">
        <v>671</v>
      </c>
      <c r="AF177" s="828">
        <v>664</v>
      </c>
      <c r="AG177" s="828">
        <v>654</v>
      </c>
      <c r="AH177" s="828">
        <v>657</v>
      </c>
      <c r="AI177" s="828">
        <v>645</v>
      </c>
      <c r="AJ177" s="828">
        <v>610</v>
      </c>
      <c r="AK177" s="828">
        <v>572</v>
      </c>
      <c r="AL177" s="828">
        <v>564</v>
      </c>
      <c r="AM177" s="828">
        <v>519</v>
      </c>
      <c r="AN177" s="828">
        <v>512</v>
      </c>
      <c r="AO177" s="828">
        <v>502</v>
      </c>
      <c r="AP177" s="828">
        <v>503</v>
      </c>
    </row>
    <row r="178" hidden="1" ht="12.75" customHeight="1">
      <c r="B178" s="829" t="s">
        <v>110</v>
      </c>
      <c r="C178" s="823">
        <v>301</v>
      </c>
      <c r="D178" s="823">
        <v>305</v>
      </c>
      <c r="E178" s="823">
        <v>392</v>
      </c>
      <c r="F178" s="823">
        <v>398</v>
      </c>
      <c r="G178" s="823">
        <v>412</v>
      </c>
      <c r="H178" s="823">
        <v>408</v>
      </c>
      <c r="I178" s="823">
        <v>387</v>
      </c>
      <c r="J178" s="823">
        <v>389</v>
      </c>
      <c r="K178" s="823">
        <v>380</v>
      </c>
      <c r="L178" s="823">
        <v>362</v>
      </c>
      <c r="M178" s="823">
        <v>360</v>
      </c>
      <c r="N178" s="823">
        <v>328</v>
      </c>
      <c r="O178" s="823">
        <v>317</v>
      </c>
      <c r="P178" s="823">
        <v>274</v>
      </c>
      <c r="Q178" s="823">
        <v>274</v>
      </c>
      <c r="R178" s="823">
        <v>270</v>
      </c>
      <c r="S178" s="823">
        <v>281</v>
      </c>
      <c r="T178" s="823">
        <v>280</v>
      </c>
      <c r="U178" s="823">
        <v>274</v>
      </c>
      <c r="V178" s="823">
        <v>272</v>
      </c>
      <c r="W178" s="823">
        <v>266</v>
      </c>
      <c r="X178" s="823">
        <v>262</v>
      </c>
      <c r="Y178" s="823">
        <v>253</v>
      </c>
      <c r="Z178" s="823">
        <v>245</v>
      </c>
      <c r="AA178" s="823">
        <v>236</v>
      </c>
      <c r="AB178" s="823">
        <v>239</v>
      </c>
      <c r="AC178" s="825">
        <v>241</v>
      </c>
      <c r="AD178" s="825">
        <v>237</v>
      </c>
      <c r="AE178" s="825">
        <v>233</v>
      </c>
      <c r="AF178" s="825">
        <v>218</v>
      </c>
      <c r="AG178" s="825">
        <v>221</v>
      </c>
      <c r="AH178" s="825">
        <v>209</v>
      </c>
      <c r="AI178" s="825">
        <v>201</v>
      </c>
      <c r="AJ178" s="825">
        <v>194</v>
      </c>
      <c r="AK178" s="825">
        <v>173</v>
      </c>
      <c r="AL178" s="825">
        <v>165</v>
      </c>
      <c r="AM178" s="825">
        <v>153</v>
      </c>
      <c r="AN178" s="825">
        <v>149</v>
      </c>
      <c r="AO178" s="825">
        <v>142</v>
      </c>
      <c r="AP178" s="825">
        <v>140</v>
      </c>
    </row>
    <row r="179" hidden="1" ht="12.75" customHeight="1">
      <c r="B179" s="826" t="s">
        <v>16</v>
      </c>
      <c r="C179" s="827">
        <v>66</v>
      </c>
      <c r="D179" s="827">
        <v>65</v>
      </c>
      <c r="E179" s="827">
        <v>67</v>
      </c>
      <c r="F179" s="827">
        <v>70</v>
      </c>
      <c r="G179" s="827">
        <v>71</v>
      </c>
      <c r="H179" s="827">
        <v>72</v>
      </c>
      <c r="I179" s="827">
        <v>76</v>
      </c>
      <c r="J179" s="827">
        <v>78</v>
      </c>
      <c r="K179" s="827">
        <v>81</v>
      </c>
      <c r="L179" s="827">
        <v>83</v>
      </c>
      <c r="M179" s="827">
        <v>82</v>
      </c>
      <c r="N179" s="827">
        <v>81</v>
      </c>
      <c r="O179" s="827">
        <v>79</v>
      </c>
      <c r="P179" s="827">
        <v>82</v>
      </c>
      <c r="Q179" s="827">
        <v>84</v>
      </c>
      <c r="R179" s="827">
        <v>86</v>
      </c>
      <c r="S179" s="827">
        <v>91</v>
      </c>
      <c r="T179" s="827">
        <v>90</v>
      </c>
      <c r="U179" s="827">
        <v>98</v>
      </c>
      <c r="V179" s="827">
        <v>108</v>
      </c>
      <c r="W179" s="827">
        <v>114</v>
      </c>
      <c r="X179" s="827">
        <v>114</v>
      </c>
      <c r="Y179" s="827">
        <v>119</v>
      </c>
      <c r="Z179" s="827">
        <v>121</v>
      </c>
      <c r="AA179" s="827">
        <v>125</v>
      </c>
      <c r="AB179" s="827">
        <v>121</v>
      </c>
      <c r="AC179" s="828">
        <v>117</v>
      </c>
      <c r="AD179" s="828">
        <v>117</v>
      </c>
      <c r="AE179" s="828">
        <v>116</v>
      </c>
      <c r="AF179" s="828">
        <v>124</v>
      </c>
      <c r="AG179" s="828">
        <v>127</v>
      </c>
      <c r="AH179" s="828">
        <v>126</v>
      </c>
      <c r="AI179" s="828">
        <v>120</v>
      </c>
      <c r="AJ179" s="828">
        <v>123</v>
      </c>
      <c r="AK179" s="828">
        <v>127</v>
      </c>
      <c r="AL179" s="828">
        <v>127</v>
      </c>
      <c r="AM179" s="828">
        <v>128</v>
      </c>
      <c r="AN179" s="828">
        <v>130</v>
      </c>
      <c r="AO179" s="828">
        <v>132</v>
      </c>
      <c r="AP179" s="828">
        <v>134</v>
      </c>
    </row>
    <row r="180" hidden="1" ht="12.75" customHeight="1">
      <c r="B180" s="829" t="s">
        <v>17</v>
      </c>
      <c r="C180" s="823">
        <v>994</v>
      </c>
      <c r="D180" s="823">
        <v>967</v>
      </c>
      <c r="E180" s="823">
        <v>945</v>
      </c>
      <c r="F180" s="823">
        <v>938</v>
      </c>
      <c r="G180" s="823">
        <v>658</v>
      </c>
      <c r="H180" s="823">
        <v>656</v>
      </c>
      <c r="I180" s="823">
        <v>651</v>
      </c>
      <c r="J180" s="823">
        <v>658</v>
      </c>
      <c r="K180" s="823">
        <v>653</v>
      </c>
      <c r="L180" s="823">
        <v>651</v>
      </c>
      <c r="M180" s="823">
        <v>645</v>
      </c>
      <c r="N180" s="823">
        <v>636</v>
      </c>
      <c r="O180" s="823">
        <v>622</v>
      </c>
      <c r="P180" s="823">
        <v>619</v>
      </c>
      <c r="Q180" s="823">
        <v>517</v>
      </c>
      <c r="R180" s="823">
        <v>519</v>
      </c>
      <c r="S180" s="823">
        <v>483</v>
      </c>
      <c r="T180" s="823">
        <v>484</v>
      </c>
      <c r="U180" s="823">
        <v>465</v>
      </c>
      <c r="V180" s="823">
        <v>466</v>
      </c>
      <c r="W180" s="823">
        <v>442</v>
      </c>
      <c r="X180" s="823">
        <v>437</v>
      </c>
      <c r="Y180" s="823">
        <v>433</v>
      </c>
      <c r="Z180" s="823">
        <v>433</v>
      </c>
      <c r="AA180" s="823">
        <v>429</v>
      </c>
      <c r="AB180" s="823">
        <v>401</v>
      </c>
      <c r="AC180" s="825">
        <v>401</v>
      </c>
      <c r="AD180" s="825">
        <v>397</v>
      </c>
      <c r="AE180" s="825">
        <v>396</v>
      </c>
      <c r="AF180" s="825">
        <v>395</v>
      </c>
      <c r="AG180" s="825">
        <v>388</v>
      </c>
      <c r="AH180" s="825">
        <v>377</v>
      </c>
      <c r="AI180" s="825">
        <v>373</v>
      </c>
      <c r="AJ180" s="825">
        <v>372</v>
      </c>
      <c r="AK180" s="825">
        <v>369</v>
      </c>
      <c r="AL180" s="825">
        <v>359</v>
      </c>
      <c r="AM180" s="825">
        <v>348</v>
      </c>
      <c r="AN180" s="825">
        <v>343</v>
      </c>
      <c r="AO180" s="825">
        <v>337</v>
      </c>
      <c r="AP180" s="825">
        <v>335</v>
      </c>
    </row>
    <row r="181" hidden="1" ht="12.75" customHeight="1">
      <c r="B181" s="826" t="s">
        <v>18</v>
      </c>
      <c r="C181" s="827">
        <v>26</v>
      </c>
      <c r="D181" s="827">
        <v>21</v>
      </c>
      <c r="E181" s="827">
        <v>23</v>
      </c>
      <c r="F181" s="827">
        <v>32</v>
      </c>
      <c r="G181" s="827">
        <v>32</v>
      </c>
      <c r="H181" s="827">
        <v>32</v>
      </c>
      <c r="I181" s="827">
        <v>30</v>
      </c>
      <c r="J181" s="827">
        <v>30</v>
      </c>
      <c r="K181" s="827">
        <v>28</v>
      </c>
      <c r="L181" s="827">
        <v>32</v>
      </c>
      <c r="M181" s="827">
        <v>23</v>
      </c>
      <c r="N181" s="827">
        <v>22</v>
      </c>
      <c r="O181" s="827">
        <v>20</v>
      </c>
      <c r="P181" s="827">
        <v>12</v>
      </c>
      <c r="Q181" s="827">
        <v>11</v>
      </c>
      <c r="R181" s="827">
        <v>12</v>
      </c>
      <c r="S181" s="827">
        <v>11</v>
      </c>
      <c r="T181" s="827">
        <v>13</v>
      </c>
      <c r="U181" s="827">
        <v>7</v>
      </c>
      <c r="V181" s="827">
        <v>9</v>
      </c>
      <c r="W181" s="827">
        <v>10</v>
      </c>
      <c r="X181" s="827">
        <v>11</v>
      </c>
      <c r="Y181" s="827">
        <v>7</v>
      </c>
      <c r="Z181" s="827">
        <v>8</v>
      </c>
      <c r="AA181" s="827">
        <v>9</v>
      </c>
      <c r="AB181" s="827">
        <v>9</v>
      </c>
      <c r="AC181" s="828">
        <v>7</v>
      </c>
      <c r="AD181" s="828">
        <v>6</v>
      </c>
      <c r="AE181" s="828">
        <v>7</v>
      </c>
      <c r="AF181" s="828">
        <v>6</v>
      </c>
      <c r="AG181" s="828">
        <v>6</v>
      </c>
      <c r="AH181" s="828">
        <v>6</v>
      </c>
      <c r="AI181" s="828">
        <v>5</v>
      </c>
      <c r="AJ181" s="828">
        <v>6</v>
      </c>
      <c r="AK181" s="828">
        <v>7</v>
      </c>
      <c r="AL181" s="828">
        <v>6</v>
      </c>
      <c r="AM181" s="828">
        <v>5</v>
      </c>
      <c r="AN181" s="828">
        <v>5</v>
      </c>
      <c r="AO181" s="828">
        <v>3</v>
      </c>
      <c r="AP181" s="828">
        <v>3</v>
      </c>
    </row>
    <row r="182" hidden="1" ht="12.75" customHeight="1">
      <c r="B182" s="829" t="s">
        <v>19</v>
      </c>
      <c r="C182" s="823">
        <v>176</v>
      </c>
      <c r="D182" s="823">
        <v>176</v>
      </c>
      <c r="E182" s="823">
        <v>175</v>
      </c>
      <c r="F182" s="823">
        <v>176</v>
      </c>
      <c r="G182" s="823">
        <v>177</v>
      </c>
      <c r="H182" s="823">
        <v>178</v>
      </c>
      <c r="I182" s="823">
        <v>173</v>
      </c>
      <c r="J182" s="823">
        <v>175</v>
      </c>
      <c r="K182" s="823">
        <v>167</v>
      </c>
      <c r="L182" s="823">
        <v>166</v>
      </c>
      <c r="M182" s="823">
        <v>151</v>
      </c>
      <c r="N182" s="823">
        <v>153</v>
      </c>
      <c r="O182" s="823">
        <v>157</v>
      </c>
      <c r="P182" s="823">
        <v>160</v>
      </c>
      <c r="Q182" s="823">
        <v>140</v>
      </c>
      <c r="R182" s="823">
        <v>143</v>
      </c>
      <c r="S182" s="823">
        <v>146</v>
      </c>
      <c r="T182" s="823">
        <v>149</v>
      </c>
      <c r="U182" s="823">
        <v>145</v>
      </c>
      <c r="V182" s="823">
        <v>148</v>
      </c>
      <c r="W182" s="823">
        <v>145</v>
      </c>
      <c r="X182" s="823">
        <v>145</v>
      </c>
      <c r="Y182" s="823">
        <v>148</v>
      </c>
      <c r="Z182" s="823">
        <v>151</v>
      </c>
      <c r="AA182" s="823">
        <v>153</v>
      </c>
      <c r="AB182" s="823">
        <v>151</v>
      </c>
      <c r="AC182" s="825">
        <v>150</v>
      </c>
      <c r="AD182" s="825">
        <v>151</v>
      </c>
      <c r="AE182" s="825">
        <v>141</v>
      </c>
      <c r="AF182" s="825">
        <v>141</v>
      </c>
      <c r="AG182" s="825">
        <v>140</v>
      </c>
      <c r="AH182" s="825">
        <v>139</v>
      </c>
      <c r="AI182" s="825">
        <v>135</v>
      </c>
      <c r="AJ182" s="825">
        <v>87</v>
      </c>
      <c r="AK182" s="825">
        <v>82</v>
      </c>
      <c r="AL182" s="825">
        <v>85</v>
      </c>
      <c r="AM182" s="825">
        <v>86</v>
      </c>
      <c r="AN182" s="825">
        <v>82</v>
      </c>
      <c r="AO182" s="825">
        <v>81</v>
      </c>
      <c r="AP182" s="825">
        <v>79</v>
      </c>
    </row>
    <row r="183" hidden="1" ht="12.75" customHeight="1">
      <c r="B183" s="826" t="s">
        <v>20</v>
      </c>
      <c r="C183" s="827">
        <v>590</v>
      </c>
      <c r="D183" s="827">
        <v>598</v>
      </c>
      <c r="E183" s="827">
        <v>746</v>
      </c>
      <c r="F183" s="827">
        <v>721</v>
      </c>
      <c r="G183" s="827">
        <v>648</v>
      </c>
      <c r="H183" s="827">
        <v>602</v>
      </c>
      <c r="I183" s="827">
        <v>598</v>
      </c>
      <c r="J183" s="827">
        <v>606</v>
      </c>
      <c r="K183" s="827">
        <v>578</v>
      </c>
      <c r="L183" s="827">
        <v>579</v>
      </c>
      <c r="M183" s="827">
        <v>569</v>
      </c>
      <c r="N183" s="827">
        <v>548</v>
      </c>
      <c r="O183" s="827">
        <v>556</v>
      </c>
      <c r="P183" s="827">
        <v>561</v>
      </c>
      <c r="Q183" s="827">
        <v>567</v>
      </c>
      <c r="R183" s="827">
        <v>573</v>
      </c>
      <c r="S183" s="827">
        <v>509</v>
      </c>
      <c r="T183" s="827">
        <v>518</v>
      </c>
      <c r="U183" s="827">
        <v>523</v>
      </c>
      <c r="V183" s="827">
        <v>534</v>
      </c>
      <c r="W183" s="827">
        <v>522</v>
      </c>
      <c r="X183" s="827">
        <v>524</v>
      </c>
      <c r="Y183" s="827">
        <v>526</v>
      </c>
      <c r="Z183" s="827">
        <v>532</v>
      </c>
      <c r="AA183" s="827">
        <v>536</v>
      </c>
      <c r="AB183" s="827">
        <v>539</v>
      </c>
      <c r="AC183" s="828">
        <v>535</v>
      </c>
      <c r="AD183" s="828">
        <v>537</v>
      </c>
      <c r="AE183" s="828">
        <v>543</v>
      </c>
      <c r="AF183" s="828">
        <v>544</v>
      </c>
      <c r="AG183" s="828">
        <v>464</v>
      </c>
      <c r="AH183" s="828">
        <v>458</v>
      </c>
      <c r="AI183" s="828">
        <v>451</v>
      </c>
      <c r="AJ183" s="828">
        <v>443</v>
      </c>
      <c r="AK183" s="828">
        <v>437</v>
      </c>
      <c r="AL183" s="828">
        <v>429</v>
      </c>
      <c r="AM183" s="828">
        <v>424</v>
      </c>
      <c r="AN183" s="828">
        <v>425</v>
      </c>
      <c r="AO183" s="828">
        <v>419</v>
      </c>
      <c r="AP183" s="828">
        <v>414</v>
      </c>
    </row>
    <row r="184" hidden="1" ht="12.75" customHeight="1">
      <c r="B184" s="829" t="s">
        <v>21</v>
      </c>
      <c r="C184" s="823">
        <v>88</v>
      </c>
      <c r="D184" s="823">
        <v>52</v>
      </c>
      <c r="E184" s="823">
        <v>50</v>
      </c>
      <c r="F184" s="823">
        <v>51</v>
      </c>
      <c r="G184" s="823">
        <v>36</v>
      </c>
      <c r="H184" s="823">
        <v>36</v>
      </c>
      <c r="I184" s="823">
        <v>28</v>
      </c>
      <c r="J184" s="823">
        <v>28</v>
      </c>
      <c r="K184" s="823">
        <v>30</v>
      </c>
      <c r="L184" s="823">
        <v>30</v>
      </c>
      <c r="M184" s="823">
        <v>27</v>
      </c>
      <c r="N184" s="823">
        <v>26</v>
      </c>
      <c r="O184" s="823">
        <v>23</v>
      </c>
      <c r="P184" s="823">
        <v>20</v>
      </c>
      <c r="Q184" s="823">
        <v>5</v>
      </c>
      <c r="R184" s="823">
        <v>6</v>
      </c>
      <c r="S184" s="823">
        <v>6</v>
      </c>
      <c r="T184" s="823">
        <v>6</v>
      </c>
      <c r="U184" s="823">
        <v>7</v>
      </c>
      <c r="V184" s="823">
        <v>8</v>
      </c>
      <c r="W184" s="823">
        <v>8</v>
      </c>
      <c r="X184" s="823">
        <v>7</v>
      </c>
      <c r="Y184" s="823">
        <v>9</v>
      </c>
      <c r="Z184" s="823">
        <v>9</v>
      </c>
      <c r="AA184" s="823">
        <v>10</v>
      </c>
      <c r="AB184" s="823">
        <v>10</v>
      </c>
      <c r="AC184" s="825">
        <v>11</v>
      </c>
      <c r="AD184" s="825">
        <v>9</v>
      </c>
      <c r="AE184" s="825">
        <v>9</v>
      </c>
      <c r="AF184" s="825">
        <v>9</v>
      </c>
      <c r="AG184" s="825">
        <v>9</v>
      </c>
      <c r="AH184" s="825">
        <v>11</v>
      </c>
      <c r="AI184" s="825">
        <v>12</v>
      </c>
      <c r="AJ184" s="825">
        <v>10</v>
      </c>
      <c r="AK184" s="825">
        <v>10</v>
      </c>
      <c r="AL184" s="825">
        <v>10</v>
      </c>
      <c r="AM184" s="825">
        <v>9</v>
      </c>
      <c r="AN184" s="825">
        <v>7</v>
      </c>
      <c r="AO184" s="825">
        <v>7</v>
      </c>
      <c r="AP184" s="825">
        <v>7</v>
      </c>
    </row>
    <row r="185" hidden="1" ht="12.75" customHeight="1">
      <c r="B185" s="826" t="s">
        <v>22</v>
      </c>
      <c r="C185" s="827">
        <v>1379</v>
      </c>
      <c r="D185" s="827">
        <v>1494</v>
      </c>
      <c r="E185" s="827">
        <v>1595</v>
      </c>
      <c r="F185" s="827">
        <v>1645</v>
      </c>
      <c r="G185" s="827">
        <v>1727</v>
      </c>
      <c r="H185" s="827">
        <v>1831</v>
      </c>
      <c r="I185" s="827">
        <v>1856</v>
      </c>
      <c r="J185" s="827">
        <v>1926</v>
      </c>
      <c r="K185" s="827">
        <v>1968</v>
      </c>
      <c r="L185" s="827">
        <v>1854</v>
      </c>
      <c r="M185" s="827">
        <v>882</v>
      </c>
      <c r="N185" s="827">
        <v>853</v>
      </c>
      <c r="O185" s="827">
        <v>818</v>
      </c>
      <c r="P185" s="827">
        <v>797</v>
      </c>
      <c r="Q185" s="827">
        <v>595</v>
      </c>
      <c r="R185" s="827">
        <v>588</v>
      </c>
      <c r="S185" s="827">
        <v>436</v>
      </c>
      <c r="T185" s="827">
        <v>305</v>
      </c>
      <c r="U185" s="827">
        <v>112</v>
      </c>
      <c r="V185" s="827">
        <v>111</v>
      </c>
      <c r="W185" s="827">
        <v>9</v>
      </c>
      <c r="X185" s="827">
        <v>9</v>
      </c>
      <c r="Y185" s="827">
        <v>11</v>
      </c>
      <c r="Z185" s="827">
        <v>13</v>
      </c>
      <c r="AA185" s="827">
        <v>15</v>
      </c>
      <c r="AB185" s="827">
        <v>14</v>
      </c>
      <c r="AC185" s="828">
        <v>13</v>
      </c>
      <c r="AD185" s="828">
        <v>14</v>
      </c>
      <c r="AE185" s="828">
        <v>13</v>
      </c>
      <c r="AF185" s="828">
        <v>14</v>
      </c>
      <c r="AG185" s="828">
        <v>16</v>
      </c>
      <c r="AH185" s="828">
        <v>16</v>
      </c>
      <c r="AI185" s="828">
        <v>17</v>
      </c>
      <c r="AJ185" s="828">
        <v>18</v>
      </c>
      <c r="AK185" s="828">
        <v>18</v>
      </c>
      <c r="AL185" s="828">
        <v>18</v>
      </c>
      <c r="AM185" s="828">
        <v>15</v>
      </c>
      <c r="AN185" s="828">
        <v>13</v>
      </c>
      <c r="AO185" s="828">
        <v>11</v>
      </c>
      <c r="AP185" s="828">
        <v>12</v>
      </c>
    </row>
    <row r="186" hidden="1" ht="12.75" customHeight="1">
      <c r="B186" s="829" t="s">
        <v>23</v>
      </c>
      <c r="C186" s="823">
        <v>23</v>
      </c>
      <c r="D186" s="823">
        <v>23</v>
      </c>
      <c r="E186" s="823">
        <v>22</v>
      </c>
      <c r="F186" s="823">
        <v>22</v>
      </c>
      <c r="G186" s="823">
        <v>23</v>
      </c>
      <c r="H186" s="823">
        <v>23</v>
      </c>
      <c r="I186" s="823">
        <v>25</v>
      </c>
      <c r="J186" s="823">
        <v>26</v>
      </c>
      <c r="K186" s="823">
        <v>23</v>
      </c>
      <c r="L186" s="823">
        <v>23</v>
      </c>
      <c r="M186" s="823">
        <v>26</v>
      </c>
      <c r="N186" s="823">
        <v>25</v>
      </c>
      <c r="O186" s="823">
        <v>23</v>
      </c>
      <c r="P186" s="823">
        <v>22</v>
      </c>
      <c r="Q186" s="823">
        <v>20</v>
      </c>
      <c r="R186" s="823">
        <v>20</v>
      </c>
      <c r="S186" s="823">
        <v>20</v>
      </c>
      <c r="T186" s="823">
        <v>20</v>
      </c>
      <c r="U186" s="823">
        <v>21</v>
      </c>
      <c r="V186" s="823">
        <v>20</v>
      </c>
      <c r="W186" s="823">
        <v>21</v>
      </c>
      <c r="X186" s="823">
        <v>18</v>
      </c>
      <c r="Y186" s="823">
        <v>18</v>
      </c>
      <c r="Z186" s="823">
        <v>16</v>
      </c>
      <c r="AA186" s="823">
        <v>16</v>
      </c>
      <c r="AB186" s="823">
        <v>22</v>
      </c>
      <c r="AC186" s="825">
        <v>22</v>
      </c>
      <c r="AD186" s="825">
        <v>21</v>
      </c>
      <c r="AE186" s="825">
        <v>22</v>
      </c>
      <c r="AF186" s="825">
        <v>22</v>
      </c>
      <c r="AG186" s="825">
        <v>24</v>
      </c>
      <c r="AH186" s="825">
        <v>23</v>
      </c>
      <c r="AI186" s="825">
        <v>24</v>
      </c>
      <c r="AJ186" s="825">
        <v>24</v>
      </c>
      <c r="AK186" s="825">
        <v>26</v>
      </c>
      <c r="AL186" s="825">
        <v>22</v>
      </c>
      <c r="AM186" s="825">
        <v>20</v>
      </c>
      <c r="AN186" s="825">
        <v>20</v>
      </c>
      <c r="AO186" s="825">
        <v>21</v>
      </c>
      <c r="AP186" s="825">
        <v>23</v>
      </c>
    </row>
    <row r="187" hidden="1" ht="12.75" customHeight="1">
      <c r="B187" s="835" t="s">
        <v>24</v>
      </c>
      <c r="C187" s="827">
        <v>220</v>
      </c>
      <c r="D187" s="827">
        <v>213</v>
      </c>
      <c r="E187" s="827">
        <v>213</v>
      </c>
      <c r="F187" s="827">
        <v>210</v>
      </c>
      <c r="G187" s="827">
        <v>201</v>
      </c>
      <c r="H187" s="827">
        <v>199</v>
      </c>
      <c r="I187" s="827">
        <v>195</v>
      </c>
      <c r="J187" s="827">
        <v>193</v>
      </c>
      <c r="K187" s="827">
        <v>198</v>
      </c>
      <c r="L187" s="827">
        <v>196</v>
      </c>
      <c r="M187" s="827">
        <v>198</v>
      </c>
      <c r="N187" s="827">
        <v>195</v>
      </c>
      <c r="O187" s="827">
        <v>198</v>
      </c>
      <c r="P187" s="827">
        <v>198</v>
      </c>
      <c r="Q187" s="827">
        <v>177</v>
      </c>
      <c r="R187" s="827">
        <v>156</v>
      </c>
      <c r="S187" s="827">
        <v>144</v>
      </c>
      <c r="T187" s="827">
        <v>146</v>
      </c>
      <c r="U187" s="827">
        <v>146</v>
      </c>
      <c r="V187" s="827">
        <v>150</v>
      </c>
      <c r="W187" s="827">
        <v>148</v>
      </c>
      <c r="X187" s="827">
        <v>139</v>
      </c>
      <c r="Y187" s="827">
        <v>134</v>
      </c>
      <c r="Z187" s="827">
        <v>132</v>
      </c>
      <c r="AA187" s="827">
        <v>131</v>
      </c>
      <c r="AB187" s="827">
        <v>134</v>
      </c>
      <c r="AC187" s="828">
        <v>129</v>
      </c>
      <c r="AD187" s="828">
        <v>129</v>
      </c>
      <c r="AE187" s="828">
        <v>131</v>
      </c>
      <c r="AF187" s="828">
        <v>132</v>
      </c>
      <c r="AG187" s="828">
        <v>128</v>
      </c>
      <c r="AH187" s="828">
        <v>115</v>
      </c>
      <c r="AI187" s="828">
        <v>106</v>
      </c>
      <c r="AJ187" s="828">
        <v>98</v>
      </c>
      <c r="AK187" s="828">
        <v>86</v>
      </c>
      <c r="AL187" s="828">
        <v>82</v>
      </c>
      <c r="AM187" s="828">
        <v>77</v>
      </c>
      <c r="AN187" s="828">
        <v>76</v>
      </c>
      <c r="AO187" s="828">
        <v>71</v>
      </c>
      <c r="AP187" s="828">
        <v>70</v>
      </c>
    </row>
    <row r="188" hidden="1" ht="12.75" customHeight="1">
      <c r="B188" s="829" t="s">
        <v>25</v>
      </c>
      <c r="C188" s="823">
        <v>0</v>
      </c>
      <c r="D188" s="823">
        <v>0</v>
      </c>
      <c r="E188" s="823">
        <v>0</v>
      </c>
      <c r="F188" s="823">
        <v>0</v>
      </c>
      <c r="G188" s="823">
        <v>0</v>
      </c>
      <c r="H188" s="823">
        <v>0</v>
      </c>
      <c r="I188" s="823">
        <v>0</v>
      </c>
      <c r="J188" s="823">
        <v>0</v>
      </c>
      <c r="K188" s="823">
        <v>0</v>
      </c>
      <c r="L188" s="823">
        <v>0</v>
      </c>
      <c r="M188" s="823">
        <v>0</v>
      </c>
      <c r="N188" s="823">
        <v>0</v>
      </c>
      <c r="O188" s="823">
        <v>0</v>
      </c>
      <c r="P188" s="823">
        <v>0</v>
      </c>
      <c r="Q188" s="823">
        <v>0</v>
      </c>
      <c r="R188" s="823">
        <v>0</v>
      </c>
      <c r="S188" s="823">
        <v>0</v>
      </c>
      <c r="T188" s="823">
        <v>0</v>
      </c>
      <c r="U188" s="823">
        <v>0</v>
      </c>
      <c r="V188" s="823">
        <v>0</v>
      </c>
      <c r="W188" s="823">
        <v>0</v>
      </c>
      <c r="X188" s="823">
        <v>0</v>
      </c>
      <c r="Y188" s="823">
        <v>0</v>
      </c>
      <c r="Z188" s="823">
        <v>0</v>
      </c>
      <c r="AA188" s="823">
        <v>0</v>
      </c>
      <c r="AB188" s="823">
        <v>0</v>
      </c>
      <c r="AC188" s="825">
        <v>0</v>
      </c>
      <c r="AD188" s="825">
        <v>0</v>
      </c>
      <c r="AE188" s="825">
        <v>0</v>
      </c>
      <c r="AF188" s="825">
        <v>0</v>
      </c>
      <c r="AG188" s="825">
        <v>0</v>
      </c>
      <c r="AH188" s="825">
        <v>0</v>
      </c>
      <c r="AI188" s="825">
        <v>0</v>
      </c>
      <c r="AJ188" s="825">
        <v>0</v>
      </c>
      <c r="AK188" s="825">
        <v>0</v>
      </c>
      <c r="AL188" s="825">
        <v>0</v>
      </c>
      <c r="AM188" s="825">
        <v>0</v>
      </c>
      <c r="AN188" s="825">
        <v>0</v>
      </c>
      <c r="AO188" s="825">
        <v>0</v>
      </c>
      <c r="AP188" s="825">
        <v>0</v>
      </c>
    </row>
    <row r="189" hidden="1" ht="13.5" customHeight="1">
      <c r="B189" s="836" t="s">
        <v>26</v>
      </c>
      <c r="C189" s="827">
        <v>0</v>
      </c>
      <c r="D189" s="827">
        <v>0</v>
      </c>
      <c r="E189" s="827">
        <v>0</v>
      </c>
      <c r="F189" s="827">
        <v>0</v>
      </c>
      <c r="G189" s="827">
        <v>0</v>
      </c>
      <c r="H189" s="827">
        <v>0</v>
      </c>
      <c r="I189" s="827">
        <v>0</v>
      </c>
      <c r="J189" s="827">
        <v>0</v>
      </c>
      <c r="K189" s="827">
        <v>0</v>
      </c>
      <c r="L189" s="827">
        <v>0</v>
      </c>
      <c r="M189" s="827">
        <v>0</v>
      </c>
      <c r="N189" s="827">
        <v>0</v>
      </c>
      <c r="O189" s="827">
        <v>0</v>
      </c>
      <c r="P189" s="827">
        <v>0</v>
      </c>
      <c r="Q189" s="827">
        <v>0</v>
      </c>
      <c r="R189" s="827">
        <v>0</v>
      </c>
      <c r="S189" s="827">
        <v>0</v>
      </c>
      <c r="T189" s="827">
        <v>0</v>
      </c>
      <c r="U189" s="827">
        <v>0</v>
      </c>
      <c r="V189" s="827">
        <v>0</v>
      </c>
      <c r="W189" s="827">
        <v>0</v>
      </c>
      <c r="X189" s="827">
        <v>0</v>
      </c>
      <c r="Y189" s="827">
        <v>0</v>
      </c>
      <c r="Z189" s="827">
        <v>0</v>
      </c>
      <c r="AA189" s="827">
        <v>0</v>
      </c>
      <c r="AB189" s="837">
        <v>0</v>
      </c>
      <c r="AC189" s="828">
        <v>0</v>
      </c>
      <c r="AD189" s="828">
        <v>0</v>
      </c>
      <c r="AE189" s="828">
        <v>0</v>
      </c>
      <c r="AF189" s="828">
        <v>0</v>
      </c>
      <c r="AG189" s="828">
        <v>0</v>
      </c>
      <c r="AH189" s="828">
        <v>0</v>
      </c>
      <c r="AI189" s="828">
        <v>0</v>
      </c>
      <c r="AJ189" s="828">
        <v>0</v>
      </c>
      <c r="AK189" s="828">
        <v>0</v>
      </c>
      <c r="AL189" s="828">
        <v>0</v>
      </c>
      <c r="AM189" s="828">
        <v>0</v>
      </c>
      <c r="AN189" s="828">
        <v>0</v>
      </c>
      <c r="AO189" s="828">
        <v>0</v>
      </c>
      <c r="AP189" s="828">
        <v>0</v>
      </c>
    </row>
    <row r="190" hidden="1" ht="13.5" customHeight="1">
      <c r="B190" s="128" t="s">
        <v>7</v>
      </c>
      <c r="C190" s="129" t="str">
        <f>IF(SUM(C171:C189)&lt;&gt;0,SUM(C171:C189),"")</f>
      </c>
      <c r="D190" s="129" t="str">
        <f ref="D190:AA190" t="shared" si="5">IF(SUM(D171:D189)&lt;&gt;0,SUM(D171:D189),"")</f>
      </c>
      <c r="E190" s="129" t="str">
        <f t="shared" si="5"/>
      </c>
      <c r="F190" s="129" t="str">
        <f t="shared" si="5"/>
      </c>
      <c r="G190" s="129" t="str">
        <f t="shared" si="5"/>
      </c>
      <c r="H190" s="129" t="str">
        <f t="shared" si="5"/>
      </c>
      <c r="I190" s="129" t="str">
        <f t="shared" si="5"/>
      </c>
      <c r="J190" s="129" t="str">
        <f t="shared" si="5"/>
      </c>
      <c r="K190" s="129" t="str">
        <f t="shared" si="5"/>
      </c>
      <c r="L190" s="129" t="str">
        <f t="shared" si="5"/>
      </c>
      <c r="M190" s="129" t="str">
        <f t="shared" si="5"/>
      </c>
      <c r="N190" s="129" t="str">
        <f t="shared" si="5"/>
      </c>
      <c r="O190" s="129" t="str">
        <f t="shared" si="5"/>
      </c>
      <c r="P190" s="129" t="str">
        <f t="shared" si="5"/>
      </c>
      <c r="Q190" s="129" t="str">
        <f t="shared" si="5"/>
      </c>
      <c r="R190" s="129" t="str">
        <f t="shared" si="5"/>
      </c>
      <c r="S190" s="129" t="str">
        <f t="shared" si="5"/>
      </c>
      <c r="T190" s="129" t="str">
        <f t="shared" si="5"/>
      </c>
      <c r="U190" s="129" t="str">
        <f t="shared" si="5"/>
      </c>
      <c r="V190" s="129" t="str">
        <f t="shared" si="5"/>
      </c>
      <c r="W190" s="129" t="str">
        <f t="shared" si="5"/>
      </c>
      <c r="X190" s="129" t="str">
        <f t="shared" si="5"/>
      </c>
      <c r="Y190" s="129" t="str">
        <f t="shared" si="5"/>
      </c>
      <c r="Z190" s="129" t="str">
        <f t="shared" si="5"/>
      </c>
      <c r="AA190" s="129" t="str">
        <f t="shared" si="5"/>
      </c>
      <c r="AB190" s="130" t="str">
        <f>IF(SUM(AB171:AB189)&lt;&gt;0,SUM(AB171:AB189),"")</f>
      </c>
      <c r="AC190" s="91" t="str">
        <f ref="AC190:CN190" t="shared" si="6">IF(SUM(AC171:AC189)&lt;&gt;0,SUM(AC171:AC189),"")</f>
      </c>
      <c r="AD190" s="91" t="str">
        <f t="shared" si="6"/>
      </c>
      <c r="AE190" s="91" t="str">
        <f t="shared" si="6"/>
      </c>
      <c r="AF190" s="91" t="str">
        <f t="shared" si="6"/>
      </c>
      <c r="AG190" s="91" t="str">
        <f t="shared" si="6"/>
      </c>
      <c r="AH190" s="91" t="str">
        <f t="shared" si="6"/>
      </c>
      <c r="AI190" s="91" t="str">
        <f t="shared" si="6"/>
      </c>
      <c r="AJ190" s="91" t="str">
        <f t="shared" si="6"/>
      </c>
      <c r="AK190" s="91" t="str">
        <f t="shared" si="6"/>
      </c>
      <c r="AL190" s="91" t="str">
        <f t="shared" si="6"/>
      </c>
      <c r="AM190" s="91" t="str">
        <f t="shared" si="6"/>
      </c>
      <c r="AN190" s="91" t="str">
        <f t="shared" si="6"/>
      </c>
      <c r="AO190" s="91" t="str">
        <f t="shared" si="6"/>
      </c>
      <c r="AP190" s="91" t="str">
        <f t="shared" si="6"/>
      </c>
      <c r="AQ190" s="91" t="str">
        <f t="shared" si="6"/>
      </c>
      <c r="AR190" s="91" t="str">
        <f t="shared" si="6"/>
      </c>
      <c r="AS190" s="91" t="str">
        <f t="shared" si="6"/>
      </c>
      <c r="AT190" s="91" t="str">
        <f t="shared" si="6"/>
      </c>
      <c r="AU190" s="91" t="str">
        <f t="shared" si="6"/>
      </c>
      <c r="AV190" s="91" t="str">
        <f t="shared" si="6"/>
      </c>
      <c r="AW190" s="91" t="str">
        <f t="shared" si="6"/>
      </c>
      <c r="AX190" s="91" t="str">
        <f t="shared" si="6"/>
      </c>
      <c r="AY190" s="91" t="str">
        <f t="shared" si="6"/>
      </c>
      <c r="AZ190" s="91" t="str">
        <f t="shared" si="6"/>
      </c>
      <c r="BA190" s="91" t="str">
        <f t="shared" si="6"/>
      </c>
      <c r="BB190" s="91" t="str">
        <f t="shared" si="6"/>
      </c>
      <c r="BC190" s="91" t="str">
        <f t="shared" si="6"/>
      </c>
      <c r="BD190" s="91" t="str">
        <f t="shared" si="6"/>
      </c>
      <c r="BE190" s="91" t="str">
        <f t="shared" si="6"/>
      </c>
      <c r="BF190" s="91" t="str">
        <f t="shared" si="6"/>
      </c>
      <c r="BG190" s="91" t="str">
        <f t="shared" si="6"/>
      </c>
      <c r="BH190" s="91" t="str">
        <f t="shared" si="6"/>
      </c>
      <c r="BI190" s="91" t="str">
        <f t="shared" si="6"/>
      </c>
      <c r="BJ190" s="91" t="str">
        <f t="shared" si="6"/>
      </c>
      <c r="BK190" s="91" t="str">
        <f t="shared" si="6"/>
      </c>
      <c r="BL190" s="91" t="str">
        <f t="shared" si="6"/>
      </c>
      <c r="BM190" s="91" t="str">
        <f t="shared" si="6"/>
      </c>
      <c r="BN190" s="91" t="str">
        <f t="shared" si="6"/>
      </c>
      <c r="BO190" s="91" t="str">
        <f t="shared" si="6"/>
      </c>
      <c r="BP190" s="91" t="str">
        <f t="shared" si="6"/>
      </c>
      <c r="BQ190" s="91" t="str">
        <f t="shared" si="6"/>
      </c>
      <c r="BR190" s="91" t="str">
        <f t="shared" si="6"/>
      </c>
      <c r="BS190" s="91" t="str">
        <f t="shared" si="6"/>
      </c>
      <c r="BT190" s="91" t="str">
        <f t="shared" si="6"/>
      </c>
      <c r="BU190" s="91" t="str">
        <f t="shared" si="6"/>
      </c>
      <c r="BV190" s="91" t="str">
        <f t="shared" si="6"/>
      </c>
      <c r="BW190" s="91" t="str">
        <f t="shared" si="6"/>
      </c>
      <c r="BX190" s="91" t="str">
        <f t="shared" si="6"/>
      </c>
      <c r="BY190" s="91" t="str">
        <f t="shared" si="6"/>
      </c>
      <c r="BZ190" s="91" t="str">
        <f t="shared" si="6"/>
      </c>
      <c r="CA190" s="91" t="str">
        <f t="shared" si="6"/>
      </c>
      <c r="CB190" s="91" t="str">
        <f t="shared" si="6"/>
      </c>
      <c r="CC190" s="91" t="str">
        <f t="shared" si="6"/>
      </c>
      <c r="CD190" s="91" t="str">
        <f t="shared" si="6"/>
      </c>
      <c r="CE190" s="91" t="str">
        <f t="shared" si="6"/>
      </c>
      <c r="CF190" s="91" t="str">
        <f t="shared" si="6"/>
      </c>
      <c r="CG190" s="91" t="str">
        <f t="shared" si="6"/>
      </c>
      <c r="CH190" s="91" t="str">
        <f t="shared" si="6"/>
      </c>
      <c r="CI190" s="91" t="str">
        <f t="shared" si="6"/>
      </c>
      <c r="CJ190" s="91" t="str">
        <f t="shared" si="6"/>
      </c>
      <c r="CK190" s="91" t="str">
        <f t="shared" si="6"/>
      </c>
      <c r="CL190" s="91" t="str">
        <f t="shared" si="6"/>
      </c>
      <c r="CM190" s="91" t="str">
        <f t="shared" si="6"/>
      </c>
      <c r="CN190" s="91" t="str">
        <f t="shared" si="6"/>
      </c>
      <c r="CO190" s="91" t="str">
        <f ref="CO190:EZ190" t="shared" si="7">IF(SUM(CO171:CO189)&lt;&gt;0,SUM(CO171:CO189),"")</f>
      </c>
      <c r="CP190" s="91" t="str">
        <f t="shared" si="7"/>
      </c>
      <c r="CQ190" s="91" t="str">
        <f t="shared" si="7"/>
      </c>
      <c r="CR190" s="91" t="str">
        <f t="shared" si="7"/>
      </c>
      <c r="CS190" s="91" t="str">
        <f t="shared" si="7"/>
      </c>
      <c r="CT190" s="91" t="str">
        <f t="shared" si="7"/>
      </c>
      <c r="CU190" s="91" t="str">
        <f t="shared" si="7"/>
      </c>
      <c r="CV190" s="91" t="str">
        <f t="shared" si="7"/>
      </c>
      <c r="CW190" s="91" t="str">
        <f t="shared" si="7"/>
      </c>
      <c r="CX190" s="91" t="str">
        <f t="shared" si="7"/>
      </c>
      <c r="CY190" s="91" t="str">
        <f t="shared" si="7"/>
      </c>
      <c r="CZ190" s="91" t="str">
        <f t="shared" si="7"/>
      </c>
      <c r="DA190" s="91" t="str">
        <f t="shared" si="7"/>
      </c>
      <c r="DB190" s="91" t="str">
        <f t="shared" si="7"/>
      </c>
      <c r="DC190" s="91" t="str">
        <f t="shared" si="7"/>
      </c>
      <c r="DD190" s="91" t="str">
        <f t="shared" si="7"/>
      </c>
      <c r="DE190" s="91" t="str">
        <f t="shared" si="7"/>
      </c>
      <c r="DF190" s="91" t="str">
        <f t="shared" si="7"/>
      </c>
      <c r="DG190" s="91" t="str">
        <f t="shared" si="7"/>
      </c>
      <c r="DH190" s="91" t="str">
        <f t="shared" si="7"/>
      </c>
      <c r="DI190" s="91" t="str">
        <f t="shared" si="7"/>
      </c>
      <c r="DJ190" s="91" t="str">
        <f t="shared" si="7"/>
      </c>
      <c r="DK190" s="91" t="str">
        <f t="shared" si="7"/>
      </c>
      <c r="DL190" s="91" t="str">
        <f t="shared" si="7"/>
      </c>
      <c r="DM190" s="91" t="str">
        <f t="shared" si="7"/>
      </c>
      <c r="DN190" s="91" t="str">
        <f t="shared" si="7"/>
      </c>
      <c r="DO190" s="91" t="str">
        <f t="shared" si="7"/>
      </c>
      <c r="DP190" s="91" t="str">
        <f t="shared" si="7"/>
      </c>
      <c r="DQ190" s="91" t="str">
        <f t="shared" si="7"/>
      </c>
      <c r="DR190" s="91" t="str">
        <f t="shared" si="7"/>
      </c>
      <c r="DS190" s="91" t="str">
        <f t="shared" si="7"/>
      </c>
      <c r="DT190" s="91" t="str">
        <f t="shared" si="7"/>
      </c>
      <c r="DU190" s="91" t="str">
        <f t="shared" si="7"/>
      </c>
      <c r="DV190" s="91" t="str">
        <f t="shared" si="7"/>
      </c>
      <c r="DW190" s="91" t="str">
        <f t="shared" si="7"/>
      </c>
      <c r="DX190" s="91" t="str">
        <f t="shared" si="7"/>
      </c>
      <c r="DY190" s="91" t="str">
        <f t="shared" si="7"/>
      </c>
      <c r="DZ190" s="91" t="str">
        <f t="shared" si="7"/>
      </c>
      <c r="EA190" s="91" t="str">
        <f t="shared" si="7"/>
      </c>
      <c r="EB190" s="91" t="str">
        <f t="shared" si="7"/>
      </c>
      <c r="EC190" s="91" t="str">
        <f t="shared" si="7"/>
      </c>
      <c r="ED190" s="91" t="str">
        <f t="shared" si="7"/>
      </c>
      <c r="EE190" s="91" t="str">
        <f t="shared" si="7"/>
      </c>
      <c r="EF190" s="91" t="str">
        <f t="shared" si="7"/>
      </c>
      <c r="EG190" s="91" t="str">
        <f t="shared" si="7"/>
      </c>
      <c r="EH190" s="91" t="str">
        <f t="shared" si="7"/>
      </c>
      <c r="EI190" s="91" t="str">
        <f t="shared" si="7"/>
      </c>
      <c r="EJ190" s="91" t="str">
        <f t="shared" si="7"/>
      </c>
      <c r="EK190" s="91" t="str">
        <f t="shared" si="7"/>
      </c>
      <c r="EL190" s="91" t="str">
        <f t="shared" si="7"/>
      </c>
      <c r="EM190" s="91" t="str">
        <f t="shared" si="7"/>
      </c>
      <c r="EN190" s="91" t="str">
        <f t="shared" si="7"/>
      </c>
      <c r="EO190" s="91" t="str">
        <f t="shared" si="7"/>
      </c>
      <c r="EP190" s="91" t="str">
        <f t="shared" si="7"/>
      </c>
      <c r="EQ190" s="91" t="str">
        <f t="shared" si="7"/>
      </c>
      <c r="ER190" s="91" t="str">
        <f t="shared" si="7"/>
      </c>
      <c r="ES190" s="91" t="str">
        <f t="shared" si="7"/>
      </c>
      <c r="ET190" s="91" t="str">
        <f t="shared" si="7"/>
      </c>
      <c r="EU190" s="91" t="str">
        <f t="shared" si="7"/>
      </c>
      <c r="EV190" s="91" t="str">
        <f t="shared" si="7"/>
      </c>
      <c r="EW190" s="91" t="str">
        <f t="shared" si="7"/>
      </c>
      <c r="EX190" s="91" t="str">
        <f t="shared" si="7"/>
      </c>
      <c r="EY190" s="91" t="str">
        <f t="shared" si="7"/>
      </c>
      <c r="EZ190" s="91" t="str">
        <f t="shared" si="7"/>
      </c>
      <c r="FA190" s="91" t="str">
        <f ref="FA190:HL190" t="shared" si="8">IF(SUM(FA171:FA189)&lt;&gt;0,SUM(FA171:FA189),"")</f>
      </c>
      <c r="FB190" s="91" t="str">
        <f t="shared" si="8"/>
      </c>
      <c r="FC190" s="91" t="str">
        <f t="shared" si="8"/>
      </c>
      <c r="FD190" s="91" t="str">
        <f t="shared" si="8"/>
      </c>
      <c r="FE190" s="91" t="str">
        <f t="shared" si="8"/>
      </c>
      <c r="FF190" s="91" t="str">
        <f t="shared" si="8"/>
      </c>
      <c r="FG190" s="91" t="str">
        <f t="shared" si="8"/>
      </c>
      <c r="FH190" s="91" t="str">
        <f t="shared" si="8"/>
      </c>
      <c r="FI190" s="91" t="str">
        <f t="shared" si="8"/>
      </c>
      <c r="FJ190" s="91" t="str">
        <f t="shared" si="8"/>
      </c>
      <c r="FK190" s="91" t="str">
        <f t="shared" si="8"/>
      </c>
      <c r="FL190" s="91" t="str">
        <f t="shared" si="8"/>
      </c>
      <c r="FM190" s="91" t="str">
        <f t="shared" si="8"/>
      </c>
      <c r="FN190" s="91" t="str">
        <f t="shared" si="8"/>
      </c>
      <c r="FO190" s="91" t="str">
        <f t="shared" si="8"/>
      </c>
      <c r="FP190" s="91" t="str">
        <f t="shared" si="8"/>
      </c>
      <c r="FQ190" s="91" t="str">
        <f t="shared" si="8"/>
      </c>
      <c r="FR190" s="91" t="str">
        <f t="shared" si="8"/>
      </c>
      <c r="FS190" s="91" t="str">
        <f t="shared" si="8"/>
      </c>
      <c r="FT190" s="91" t="str">
        <f t="shared" si="8"/>
      </c>
      <c r="FU190" s="91" t="str">
        <f t="shared" si="8"/>
      </c>
      <c r="FV190" s="91" t="str">
        <f t="shared" si="8"/>
      </c>
      <c r="FW190" s="91" t="str">
        <f t="shared" si="8"/>
      </c>
      <c r="FX190" s="91" t="str">
        <f t="shared" si="8"/>
      </c>
      <c r="FY190" s="91" t="str">
        <f t="shared" si="8"/>
      </c>
      <c r="FZ190" s="91" t="str">
        <f t="shared" si="8"/>
      </c>
      <c r="GA190" s="91" t="str">
        <f t="shared" si="8"/>
      </c>
      <c r="GB190" s="91" t="str">
        <f t="shared" si="8"/>
      </c>
      <c r="GC190" s="91" t="str">
        <f t="shared" si="8"/>
      </c>
      <c r="GD190" s="91" t="str">
        <f t="shared" si="8"/>
      </c>
      <c r="GE190" s="91" t="str">
        <f t="shared" si="8"/>
      </c>
      <c r="GF190" s="91" t="str">
        <f t="shared" si="8"/>
      </c>
      <c r="GG190" s="91" t="str">
        <f t="shared" si="8"/>
      </c>
      <c r="GH190" s="91" t="str">
        <f t="shared" si="8"/>
      </c>
      <c r="GI190" s="91" t="str">
        <f t="shared" si="8"/>
      </c>
      <c r="GJ190" s="91" t="str">
        <f t="shared" si="8"/>
      </c>
      <c r="GK190" s="91" t="str">
        <f t="shared" si="8"/>
      </c>
      <c r="GL190" s="91" t="str">
        <f t="shared" si="8"/>
      </c>
      <c r="GM190" s="91" t="str">
        <f t="shared" si="8"/>
      </c>
      <c r="GN190" s="91" t="str">
        <f t="shared" si="8"/>
      </c>
      <c r="GO190" s="91" t="str">
        <f t="shared" si="8"/>
      </c>
      <c r="GP190" s="91" t="str">
        <f t="shared" si="8"/>
      </c>
      <c r="GQ190" s="91" t="str">
        <f t="shared" si="8"/>
      </c>
      <c r="GR190" s="91" t="str">
        <f t="shared" si="8"/>
      </c>
      <c r="GS190" s="91" t="str">
        <f t="shared" si="8"/>
      </c>
      <c r="GT190" s="91" t="str">
        <f t="shared" si="8"/>
      </c>
      <c r="GU190" s="91" t="str">
        <f t="shared" si="8"/>
      </c>
      <c r="GV190" s="91" t="str">
        <f t="shared" si="8"/>
      </c>
      <c r="GW190" s="91" t="str">
        <f t="shared" si="8"/>
      </c>
      <c r="GX190" s="91" t="str">
        <f t="shared" si="8"/>
      </c>
      <c r="GY190" s="91" t="str">
        <f t="shared" si="8"/>
      </c>
      <c r="GZ190" s="91" t="str">
        <f t="shared" si="8"/>
      </c>
      <c r="HA190" s="91" t="str">
        <f t="shared" si="8"/>
      </c>
      <c r="HB190" s="91" t="str">
        <f t="shared" si="8"/>
      </c>
      <c r="HC190" s="91" t="str">
        <f t="shared" si="8"/>
      </c>
      <c r="HD190" s="91" t="str">
        <f t="shared" si="8"/>
      </c>
      <c r="HE190" s="91" t="str">
        <f t="shared" si="8"/>
      </c>
      <c r="HF190" s="91" t="str">
        <f t="shared" si="8"/>
      </c>
      <c r="HG190" s="91" t="str">
        <f t="shared" si="8"/>
      </c>
      <c r="HH190" s="91" t="str">
        <f t="shared" si="8"/>
      </c>
      <c r="HI190" s="91" t="str">
        <f t="shared" si="8"/>
      </c>
      <c r="HJ190" s="91" t="str">
        <f t="shared" si="8"/>
      </c>
      <c r="HK190" s="91" t="str">
        <f t="shared" si="8"/>
      </c>
      <c r="HL190" s="91" t="str">
        <f t="shared" si="8"/>
      </c>
      <c r="HM190" s="91" t="str">
        <f ref="HM190:IV190" t="shared" si="9">IF(SUM(HM171:HM189)&lt;&gt;0,SUM(HM171:HM189),"")</f>
      </c>
      <c r="HN190" s="91" t="str">
        <f t="shared" si="9"/>
      </c>
      <c r="HO190" s="91" t="str">
        <f t="shared" si="9"/>
      </c>
      <c r="HP190" s="91" t="str">
        <f t="shared" si="9"/>
      </c>
      <c r="HQ190" s="91" t="str">
        <f t="shared" si="9"/>
      </c>
      <c r="HR190" s="91" t="str">
        <f t="shared" si="9"/>
      </c>
      <c r="HS190" s="91" t="str">
        <f t="shared" si="9"/>
      </c>
      <c r="HT190" s="91" t="str">
        <f t="shared" si="9"/>
      </c>
      <c r="HU190" s="91" t="str">
        <f t="shared" si="9"/>
      </c>
      <c r="HV190" s="91" t="str">
        <f t="shared" si="9"/>
      </c>
      <c r="HW190" s="91" t="str">
        <f t="shared" si="9"/>
      </c>
      <c r="HX190" s="91" t="str">
        <f t="shared" si="9"/>
      </c>
      <c r="HY190" s="91" t="str">
        <f t="shared" si="9"/>
      </c>
      <c r="HZ190" s="91" t="str">
        <f t="shared" si="9"/>
      </c>
      <c r="IA190" s="91" t="str">
        <f t="shared" si="9"/>
      </c>
      <c r="IB190" s="91" t="str">
        <f t="shared" si="9"/>
      </c>
      <c r="IC190" s="91" t="str">
        <f t="shared" si="9"/>
      </c>
      <c r="ID190" s="91" t="str">
        <f t="shared" si="9"/>
      </c>
      <c r="IE190" s="91" t="str">
        <f t="shared" si="9"/>
      </c>
      <c r="IF190" s="91" t="str">
        <f t="shared" si="9"/>
      </c>
      <c r="IG190" s="91" t="str">
        <f t="shared" si="9"/>
      </c>
      <c r="IH190" s="91" t="str">
        <f t="shared" si="9"/>
      </c>
      <c r="II190" s="91" t="str">
        <f t="shared" si="9"/>
      </c>
      <c r="IJ190" s="91" t="str">
        <f t="shared" si="9"/>
      </c>
      <c r="IK190" s="91" t="str">
        <f t="shared" si="9"/>
      </c>
      <c r="IL190" s="91" t="str">
        <f t="shared" si="9"/>
      </c>
      <c r="IM190" s="91" t="str">
        <f t="shared" si="9"/>
      </c>
      <c r="IN190" s="91" t="str">
        <f t="shared" si="9"/>
      </c>
      <c r="IO190" s="91" t="str">
        <f t="shared" si="9"/>
      </c>
      <c r="IP190" s="91" t="str">
        <f t="shared" si="9"/>
      </c>
      <c r="IQ190" s="91" t="str">
        <f t="shared" si="9"/>
      </c>
      <c r="IR190" s="91" t="str">
        <f t="shared" si="9"/>
      </c>
      <c r="IS190" s="91" t="str">
        <f t="shared" si="9"/>
      </c>
      <c r="IT190" s="91" t="str">
        <f t="shared" si="9"/>
      </c>
      <c r="IU190" s="91" t="str">
        <f t="shared" si="9"/>
      </c>
      <c r="IV190" s="91" t="str">
        <f t="shared" si="9"/>
      </c>
    </row>
    <row r="191" hidden="1" ht="15" customHeight="1">
      <c r="B191" s="297"/>
      <c r="C191" s="219"/>
      <c r="D191" s="219"/>
      <c r="E191" s="219"/>
      <c r="F191" s="219"/>
      <c r="G191" s="219"/>
      <c r="H191" s="219"/>
      <c r="I191" s="219"/>
      <c r="J191" s="219"/>
      <c r="K191" s="219"/>
    </row>
    <row r="192" hidden="1" ht="13.5" customHeight="1"/>
    <row r="193" hidden="1" ht="13.5" customHeight="1">
      <c r="C193" s="686" t="s">
        <v>240</v>
      </c>
      <c r="D193" s="687"/>
      <c r="E193" s="687"/>
      <c r="F193" s="687"/>
      <c r="G193" s="687"/>
      <c r="H193" s="687"/>
      <c r="I193" s="687"/>
      <c r="J193" s="687"/>
      <c r="K193" s="687"/>
      <c r="L193" s="687"/>
      <c r="M193" s="687"/>
      <c r="N193" s="687"/>
      <c r="O193" s="687"/>
      <c r="P193" s="687"/>
      <c r="Q193" s="687"/>
      <c r="R193" s="687"/>
      <c r="S193" s="687"/>
      <c r="T193" s="687"/>
      <c r="U193" s="687"/>
      <c r="V193" s="687"/>
      <c r="W193" s="687"/>
      <c r="X193" s="687"/>
      <c r="Y193" s="687"/>
      <c r="Z193" s="687"/>
      <c r="AA193" s="687"/>
      <c r="AB193" s="688"/>
    </row>
    <row r="194" hidden="1" ht="15" customHeight="1">
      <c r="C194" s="435" t="str">
        <f> IF(C214&lt;&gt;"",TEXT(AUX!G$1,"dd-MMM-aa"),"")</f>
      </c>
      <c r="D194" s="435" t="str">
        <f> IF(D214&lt;&gt;"",TEXT(AUX!H$1,"dd-MMM-aa"),"")</f>
      </c>
      <c r="E194" s="435" t="str">
        <f> IF(E214&lt;&gt;"",TEXT(AUX!I$1,"dd-MMM-aa"),"")</f>
      </c>
      <c r="F194" s="435" t="str">
        <f> IF(F214&lt;&gt;"",TEXT(AUX!J$1,"dd-MMM-aa"),"")</f>
      </c>
      <c r="G194" s="435" t="str">
        <f> IF(G214&lt;&gt;"",TEXT(AUX!K$1,"dd-MMM-aa"),"")</f>
      </c>
      <c r="H194" s="435" t="str">
        <f> IF(H214&lt;&gt;"",TEXT(AUX!L$1,"dd-MMM-aa"),"")</f>
      </c>
      <c r="I194" s="435" t="str">
        <f> IF(I214&lt;&gt;"",TEXT(AUX!M$1,"dd-MMM-aa"),"")</f>
      </c>
      <c r="J194" s="435" t="str">
        <f> IF(J214&lt;&gt;"",TEXT(AUX!N$1,"dd-MMM-aa"),"")</f>
      </c>
      <c r="K194" s="435" t="str">
        <f> IF(K214&lt;&gt;"",TEXT(AUX!O$1,"dd-MMM-aa"),"")</f>
      </c>
      <c r="L194" s="435" t="str">
        <f> IF(L214&lt;&gt;"",TEXT(AUX!P$1,"dd-MMM-aa"),"")</f>
      </c>
      <c r="M194" s="435" t="str">
        <f> IF(M214&lt;&gt;"",TEXT(AUX!Q$1,"dd-MMM-aa"),"")</f>
      </c>
      <c r="N194" s="435" t="str">
        <f> IF(N214&lt;&gt;"",TEXT(AUX!R$1,"dd-MMM-aa"),"")</f>
      </c>
      <c r="O194" s="435" t="str">
        <f> IF(O214&lt;&gt;"",TEXT(AUX!S$1,"dd-MMM-aa"),"")</f>
      </c>
      <c r="P194" s="435" t="str">
        <f> IF(P214&lt;&gt;"",TEXT(AUX!T$1,"dd-MMM-aa"),"")</f>
      </c>
      <c r="Q194" s="435" t="str">
        <f> IF(Q214&lt;&gt;"",TEXT(AUX!U$1,"dd-MMM-aa"),"")</f>
      </c>
      <c r="R194" s="435" t="str">
        <f> IF(R214&lt;&gt;"",TEXT(AUX!V$1,"dd-MMM-aa"),"")</f>
      </c>
      <c r="S194" s="435" t="str">
        <f> IF(S214&lt;&gt;"",TEXT(AUX!W$1,"dd-MMM-aa"),"")</f>
      </c>
      <c r="T194" s="435" t="str">
        <f> IF(T214&lt;&gt;"",TEXT(AUX!X$1,"dd-MMM-aa"),"")</f>
      </c>
      <c r="U194" s="435" t="str">
        <f> IF(U214&lt;&gt;"",TEXT(AUX!Y$1,"dd-MMM-aa"),"")</f>
      </c>
      <c r="V194" s="435" t="str">
        <f> IF(V214&lt;&gt;"",TEXT(AUX!Z$1,"dd-MMM-aa"),"")</f>
      </c>
      <c r="W194" s="435" t="str">
        <f> IF(W214&lt;&gt;"",TEXT(AUX!AA$1,"dd-MMM-aa"),"")</f>
      </c>
      <c r="X194" s="435" t="str">
        <f> IF(X214&lt;&gt;"",TEXT(AUX!AB$1,"dd-MMM-aa"),"")</f>
      </c>
      <c r="Y194" s="435" t="str">
        <f> IF(Y214&lt;&gt;"",TEXT(AUX!AC$1,"dd-MMM-aa"),"")</f>
      </c>
      <c r="Z194" s="435" t="str">
        <f> IF(Z214&lt;&gt;"",TEXT(AUX!AD$1,"dd-MMM-aa"),"")</f>
      </c>
      <c r="AA194" s="435" t="str">
        <f> IF(AA214&lt;&gt;"",TEXT(AUX!AE$1,"dd-MMM-aa"),"")</f>
      </c>
      <c r="AB194" s="497" t="str">
        <f> IF(AB214&lt;&gt;"",TEXT(AUX!AF$1,"dd-MMM-aa"),"")</f>
      </c>
      <c r="AC194" s="496" t="str">
        <f> IF(AC214&lt;&gt;"",TEXT(AUX!AG$1,"dd-MMM-aa"),"")</f>
      </c>
      <c r="AD194" s="496" t="str">
        <f> IF(AD214&lt;&gt;"",TEXT(AUX!AH$1,"dd-MMM-aa"),"")</f>
      </c>
      <c r="AE194" s="496" t="str">
        <f> IF(AE214&lt;&gt;"",TEXT(AUX!AI$1,"dd-MMM-aa"),"")</f>
      </c>
      <c r="AF194" s="496" t="str">
        <f> IF(AF214&lt;&gt;"",TEXT(AUX!AJ$1,"dd-MMM-aa"),"")</f>
      </c>
      <c r="AG194" s="496" t="str">
        <f> IF(AG214&lt;&gt;"",TEXT(AUX!AK$1,"dd-MMM-aa"),"")</f>
      </c>
      <c r="AH194" s="496" t="str">
        <f> IF(AH214&lt;&gt;"",TEXT(AUX!AL$1,"dd-MMM-aa"),"")</f>
      </c>
      <c r="AI194" s="496" t="str">
        <f> IF(AI214&lt;&gt;"",TEXT(AUX!AM$1,"dd-MMM-aa"),"")</f>
      </c>
      <c r="AJ194" s="496" t="str">
        <f> IF(AJ214&lt;&gt;"",TEXT(AUX!AN$1,"dd-MMM-aa"),"")</f>
      </c>
      <c r="AK194" s="496" t="str">
        <f> IF(AK214&lt;&gt;"",TEXT(AUX!AO$1,"dd-MMM-aa"),"")</f>
      </c>
      <c r="AL194" s="496" t="str">
        <f> IF(AL214&lt;&gt;"",TEXT(AUX!AP$1,"dd-MMM-aa"),"")</f>
      </c>
      <c r="AM194" s="496" t="str">
        <f> IF(AM214&lt;&gt;"",TEXT(AUX!AQ$1,"dd-MMM-aa"),"")</f>
      </c>
      <c r="AN194" s="496" t="str">
        <f> IF(AN214&lt;&gt;"",TEXT(AUX!AR$1,"dd-MMM-aa"),"")</f>
      </c>
      <c r="AO194" s="496" t="str">
        <f> IF(AO214&lt;&gt;"",TEXT(AUX!AS$1,"dd-MMM-aa"),"")</f>
      </c>
      <c r="AP194" s="496" t="str">
        <f> IF(AP214&lt;&gt;"",TEXT(AUX!AT$1,"dd-MMM-aa"),"")</f>
      </c>
      <c r="AQ194" s="496" t="str">
        <f> IF(AQ214&lt;&gt;"",TEXT(AUX!AU$1,"dd-MMM-aa"),"")</f>
      </c>
      <c r="AR194" s="496" t="str">
        <f> IF(AR214&lt;&gt;"",TEXT(AUX!AV$1,"dd-MMM-aa"),"")</f>
      </c>
      <c r="AS194" s="496" t="str">
        <f> IF(AS214&lt;&gt;"",TEXT(AUX!AW$1,"dd-MMM-aa"),"")</f>
      </c>
      <c r="AT194" s="496" t="str">
        <f> IF(AT214&lt;&gt;"",TEXT(AUX!AX$1,"dd-MMM-aa"),"")</f>
      </c>
      <c r="AU194" s="496" t="str">
        <f> IF(AU214&lt;&gt;"",TEXT(AUX!AY$1,"dd-MMM-aa"),"")</f>
      </c>
      <c r="AV194" s="496" t="str">
        <f> IF(AV214&lt;&gt;"",TEXT(AUX!AZ$1,"dd-MMM-aa"),"")</f>
      </c>
      <c r="AW194" s="496" t="str">
        <f> IF(AW214&lt;&gt;"",TEXT(AUX!BA$1,"dd-MMM-aa"),"")</f>
      </c>
      <c r="AX194" s="496" t="str">
        <f> IF(AX214&lt;&gt;"",TEXT(AUX!BB$1,"dd-MMM-aa"),"")</f>
      </c>
      <c r="AY194" s="496" t="str">
        <f> IF(AY214&lt;&gt;"",TEXT(AUX!BC$1,"dd-MMM-aa"),"")</f>
      </c>
      <c r="AZ194" s="496" t="str">
        <f> IF(AZ214&lt;&gt;"",TEXT(AUX!BD$1,"dd-MMM-aa"),"")</f>
      </c>
      <c r="BA194" s="496" t="str">
        <f> IF(BA214&lt;&gt;"",TEXT(AUX!BE$1,"dd-MMM-aa"),"")</f>
      </c>
      <c r="BB194" s="496" t="str">
        <f> IF(BB214&lt;&gt;"",TEXT(AUX!BF$1,"dd-MMM-aa"),"")</f>
      </c>
      <c r="BC194" s="496" t="str">
        <f> IF(BC214&lt;&gt;"",TEXT(AUX!BG$1,"dd-MMM-aa"),"")</f>
      </c>
      <c r="BD194" s="496" t="str">
        <f> IF(BD214&lt;&gt;"",TEXT(AUX!BH$1,"dd-MMM-aa"),"")</f>
      </c>
      <c r="BE194" s="496" t="str">
        <f> IF(BE214&lt;&gt;"",TEXT(AUX!BI$1,"dd-MMM-aa"),"")</f>
      </c>
      <c r="BF194" s="496" t="str">
        <f> IF(BF214&lt;&gt;"",TEXT(AUX!BJ$1,"dd-MMM-aa"),"")</f>
      </c>
      <c r="BG194" s="496" t="str">
        <f> IF(BG214&lt;&gt;"",TEXT(AUX!BK$1,"dd-MMM-aa"),"")</f>
      </c>
      <c r="BH194" s="496" t="str">
        <f> IF(BH214&lt;&gt;"",TEXT(AUX!BL$1,"dd-MMM-aa"),"")</f>
      </c>
      <c r="BI194" s="496" t="str">
        <f> IF(BI214&lt;&gt;"",TEXT(AUX!BM$1,"dd-MMM-aa"),"")</f>
      </c>
      <c r="BJ194" s="496" t="str">
        <f> IF(BJ214&lt;&gt;"",TEXT(AUX!BN$1,"dd-MMM-aa"),"")</f>
      </c>
      <c r="BK194" s="496" t="str">
        <f> IF(BK214&lt;&gt;"",TEXT(AUX!BO$1,"dd-MMM-aa"),"")</f>
      </c>
      <c r="BL194" s="496" t="str">
        <f> IF(BL214&lt;&gt;"",TEXT(AUX!BP$1,"dd-MMM-aa"),"")</f>
      </c>
      <c r="BM194" s="496" t="str">
        <f> IF(BM214&lt;&gt;"",TEXT(AUX!BQ$1,"dd-MMM-aa"),"")</f>
      </c>
      <c r="BN194" s="496" t="str">
        <f> IF(BN214&lt;&gt;"",TEXT(AUX!BR$1,"dd-MMM-aa"),"")</f>
      </c>
      <c r="BO194" s="496" t="str">
        <f> IF(BO214&lt;&gt;"",TEXT(AUX!BS$1,"dd-MMM-aa"),"")</f>
      </c>
      <c r="BP194" s="496" t="str">
        <f> IF(BP214&lt;&gt;"",TEXT(AUX!BT$1,"dd-MMM-aa"),"")</f>
      </c>
      <c r="BQ194" s="496" t="str">
        <f> IF(BQ214&lt;&gt;"",TEXT(AUX!BU$1,"dd-MMM-aa"),"")</f>
      </c>
      <c r="BR194" s="496" t="str">
        <f> IF(BR214&lt;&gt;"",TEXT(AUX!BV$1,"dd-MMM-aa"),"")</f>
      </c>
      <c r="BS194" s="496" t="str">
        <f> IF(BS214&lt;&gt;"",TEXT(AUX!BW$1,"dd-MMM-aa"),"")</f>
      </c>
      <c r="BT194" s="496" t="str">
        <f> IF(BT214&lt;&gt;"",TEXT(AUX!BX$1,"dd-MMM-aa"),"")</f>
      </c>
      <c r="BU194" s="496" t="str">
        <f> IF(BU214&lt;&gt;"",TEXT(AUX!BY$1,"dd-MMM-aa"),"")</f>
      </c>
      <c r="BV194" s="496" t="str">
        <f> IF(BV214&lt;&gt;"",TEXT(AUX!BZ$1,"dd-MMM-aa"),"")</f>
      </c>
      <c r="BW194" s="496" t="str">
        <f> IF(BW214&lt;&gt;"",TEXT(AUX!CA$1,"dd-MMM-aa"),"")</f>
      </c>
      <c r="BX194" s="496" t="str">
        <f> IF(BX214&lt;&gt;"",TEXT(AUX!CB$1,"dd-MMM-aa"),"")</f>
      </c>
      <c r="BY194" s="496" t="str">
        <f> IF(BY214&lt;&gt;"",TEXT(AUX!CC$1,"dd-MMM-aa"),"")</f>
      </c>
      <c r="BZ194" s="496" t="str">
        <f> IF(BZ214&lt;&gt;"",TEXT(AUX!CD$1,"dd-MMM-aa"),"")</f>
      </c>
      <c r="CA194" s="496" t="str">
        <f> IF(CA214&lt;&gt;"",TEXT(AUX!CE$1,"dd-MMM-aa"),"")</f>
      </c>
      <c r="CB194" s="496" t="str">
        <f> IF(CB214&lt;&gt;"",TEXT(AUX!CF$1,"dd-MMM-aa"),"")</f>
      </c>
      <c r="CC194" s="496" t="str">
        <f> IF(CC214&lt;&gt;"",TEXT(AUX!CG$1,"dd-MMM-aa"),"")</f>
      </c>
      <c r="CD194" s="496" t="str">
        <f> IF(CD214&lt;&gt;"",TEXT(AUX!CH$1,"dd-MMM-aa"),"")</f>
      </c>
      <c r="CE194" s="496" t="str">
        <f> IF(CE214&lt;&gt;"",TEXT(AUX!CI$1,"dd-MMM-aa"),"")</f>
      </c>
      <c r="CF194" s="496" t="str">
        <f> IF(CF214&lt;&gt;"",TEXT(AUX!CJ$1,"dd-MMM-aa"),"")</f>
      </c>
      <c r="CG194" s="496" t="str">
        <f> IF(CG214&lt;&gt;"",TEXT(AUX!CK$1,"dd-MMM-aa"),"")</f>
      </c>
      <c r="CH194" s="496" t="str">
        <f> IF(CH214&lt;&gt;"",TEXT(AUX!CL$1,"dd-MMM-aa"),"")</f>
      </c>
      <c r="CI194" s="496" t="str">
        <f> IF(CI214&lt;&gt;"",TEXT(AUX!CM$1,"dd-MMM-aa"),"")</f>
      </c>
      <c r="CJ194" s="496" t="str">
        <f> IF(CJ214&lt;&gt;"",TEXT(AUX!CN$1,"dd-MMM-aa"),"")</f>
      </c>
      <c r="CK194" s="496" t="str">
        <f> IF(CK214&lt;&gt;"",TEXT(AUX!CO$1,"dd-MMM-aa"),"")</f>
      </c>
      <c r="CL194" s="496" t="str">
        <f> IF(CL214&lt;&gt;"",TEXT(AUX!CP$1,"dd-MMM-aa"),"")</f>
      </c>
      <c r="CM194" s="496" t="str">
        <f> IF(CM214&lt;&gt;"",TEXT(AUX!CQ$1,"dd-MMM-aa"),"")</f>
      </c>
      <c r="CN194" s="496" t="str">
        <f> IF(CN214&lt;&gt;"",TEXT(AUX!CR$1,"dd-MMM-aa"),"")</f>
      </c>
      <c r="CO194" s="496" t="str">
        <f> IF(CO214&lt;&gt;"",TEXT(AUX!CS$1,"dd-MMM-aa"),"")</f>
      </c>
      <c r="CP194" s="496" t="str">
        <f> IF(CP214&lt;&gt;"",TEXT(AUX!CT$1,"dd-MMM-aa"),"")</f>
      </c>
      <c r="CQ194" s="496" t="str">
        <f> IF(CQ214&lt;&gt;"",TEXT(AUX!CU$1,"dd-MMM-aa"),"")</f>
      </c>
      <c r="CR194" s="496" t="str">
        <f> IF(CR214&lt;&gt;"",TEXT(AUX!CV$1,"dd-MMM-aa"),"")</f>
      </c>
      <c r="CS194" s="496" t="str">
        <f> IF(CS214&lt;&gt;"",TEXT(AUX!CW$1,"dd-MMM-aa"),"")</f>
      </c>
      <c r="CT194" s="496" t="str">
        <f> IF(CT214&lt;&gt;"",TEXT(AUX!CX$1,"dd-MMM-aa"),"")</f>
      </c>
      <c r="CU194" s="496" t="str">
        <f> IF(CU214&lt;&gt;"",TEXT(AUX!CY$1,"dd-MMM-aa"),"")</f>
      </c>
      <c r="CV194" s="496" t="str">
        <f> IF(CV214&lt;&gt;"",TEXT(AUX!CZ$1,"dd-MMM-aa"),"")</f>
      </c>
      <c r="CW194" s="496" t="str">
        <f> IF(CW214&lt;&gt;"",TEXT(AUX!DA$1,"dd-MMM-aa"),"")</f>
      </c>
      <c r="CX194" s="496" t="str">
        <f> IF(CX214&lt;&gt;"",TEXT(AUX!DB$1,"dd-MMM-aa"),"")</f>
      </c>
      <c r="CY194" s="496" t="str">
        <f> IF(CY214&lt;&gt;"",TEXT(AUX!DC$1,"dd-MMM-aa"),"")</f>
      </c>
      <c r="CZ194" s="496" t="str">
        <f> IF(CZ214&lt;&gt;"",TEXT(AUX!DD$1,"dd-MMM-aa"),"")</f>
      </c>
      <c r="DA194" s="496" t="str">
        <f> IF(DA214&lt;&gt;"",TEXT(AUX!DE$1,"dd-MMM-aa"),"")</f>
      </c>
      <c r="DB194" s="496" t="str">
        <f> IF(DB214&lt;&gt;"",TEXT(AUX!DF$1,"dd-MMM-aa"),"")</f>
      </c>
      <c r="DC194" s="496" t="str">
        <f> IF(DC214&lt;&gt;"",TEXT(AUX!DG$1,"dd-MMM-aa"),"")</f>
      </c>
      <c r="DD194" s="496" t="str">
        <f> IF(DD214&lt;&gt;"",TEXT(AUX!DH$1,"dd-MMM-aa"),"")</f>
      </c>
      <c r="DE194" s="496" t="str">
        <f> IF(DE214&lt;&gt;"",TEXT(AUX!DI$1,"dd-MMM-aa"),"")</f>
      </c>
      <c r="DF194" s="496" t="str">
        <f> IF(DF214&lt;&gt;"",TEXT(AUX!DJ$1,"dd-MMM-aa"),"")</f>
      </c>
      <c r="DG194" s="496" t="str">
        <f> IF(DG214&lt;&gt;"",TEXT(AUX!DK$1,"dd-MMM-aa"),"")</f>
      </c>
      <c r="DH194" s="496" t="str">
        <f> IF(DH214&lt;&gt;"",TEXT(AUX!DL$1,"dd-MMM-aa"),"")</f>
      </c>
      <c r="DI194" s="496" t="str">
        <f> IF(DI214&lt;&gt;"",TEXT(AUX!DM$1,"dd-MMM-aa"),"")</f>
      </c>
      <c r="DJ194" s="496" t="str">
        <f> IF(DJ214&lt;&gt;"",TEXT(AUX!DN$1,"dd-MMM-aa"),"")</f>
      </c>
      <c r="DK194" s="496" t="str">
        <f> IF(DK214&lt;&gt;"",TEXT(AUX!DO$1,"dd-MMM-aa"),"")</f>
      </c>
      <c r="DL194" s="496" t="str">
        <f> IF(DL214&lt;&gt;"",TEXT(AUX!DP$1,"dd-MMM-aa"),"")</f>
      </c>
      <c r="DM194" s="496" t="str">
        <f> IF(DM214&lt;&gt;"",TEXT(AUX!DQ$1,"dd-MMM-aa"),"")</f>
      </c>
      <c r="DN194" s="496" t="str">
        <f> IF(DN214&lt;&gt;"",TEXT(AUX!DR$1,"dd-MMM-aa"),"")</f>
      </c>
      <c r="DO194" s="496" t="str">
        <f> IF(DO214&lt;&gt;"",TEXT(AUX!DS$1,"dd-MMM-aa"),"")</f>
      </c>
      <c r="DP194" s="496" t="str">
        <f> IF(DP214&lt;&gt;"",TEXT(AUX!DT$1,"dd-MMM-aa"),"")</f>
      </c>
      <c r="DQ194" s="496" t="str">
        <f> IF(DQ214&lt;&gt;"",TEXT(AUX!DU$1,"dd-MMM-aa"),"")</f>
      </c>
      <c r="DR194" s="496" t="str">
        <f> IF(DR214&lt;&gt;"",TEXT(AUX!DV$1,"dd-MMM-aa"),"")</f>
      </c>
      <c r="DS194" s="496" t="str">
        <f> IF(DS214&lt;&gt;"",TEXT(AUX!DW$1,"dd-MMM-aa"),"")</f>
      </c>
      <c r="DT194" s="496" t="str">
        <f> IF(DT214&lt;&gt;"",TEXT(AUX!DX$1,"dd-MMM-aa"),"")</f>
      </c>
      <c r="DU194" s="496" t="str">
        <f> IF(DU214&lt;&gt;"",TEXT(AUX!DY$1,"dd-MMM-aa"),"")</f>
      </c>
      <c r="DV194" s="496" t="str">
        <f> IF(DV214&lt;&gt;"",TEXT(AUX!DZ$1,"dd-MMM-aa"),"")</f>
      </c>
      <c r="DW194" s="496" t="str">
        <f> IF(DW214&lt;&gt;"",TEXT(AUX!EA$1,"dd-MMM-aa"),"")</f>
      </c>
      <c r="DX194" s="496" t="str">
        <f> IF(DX214&lt;&gt;"",TEXT(AUX!EB$1,"dd-MMM-aa"),"")</f>
      </c>
      <c r="DY194" s="496" t="str">
        <f> IF(DY214&lt;&gt;"",TEXT(AUX!EC$1,"dd-MMM-aa"),"")</f>
      </c>
      <c r="DZ194" s="496" t="str">
        <f> IF(DZ214&lt;&gt;"",TEXT(AUX!ED$1,"dd-MMM-aa"),"")</f>
      </c>
      <c r="EA194" s="496" t="str">
        <f> IF(EA214&lt;&gt;"",TEXT(AUX!EE$1,"dd-MMM-aa"),"")</f>
      </c>
      <c r="EB194" s="496" t="str">
        <f> IF(EB214&lt;&gt;"",TEXT(AUX!EF$1,"dd-MMM-aa"),"")</f>
      </c>
      <c r="EC194" s="496" t="str">
        <f> IF(EC214&lt;&gt;"",TEXT(AUX!EG$1,"dd-MMM-aa"),"")</f>
      </c>
      <c r="ED194" s="496" t="str">
        <f> IF(ED214&lt;&gt;"",TEXT(AUX!EH$1,"dd-MMM-aa"),"")</f>
      </c>
      <c r="EE194" s="496" t="str">
        <f> IF(EE214&lt;&gt;"",TEXT(AUX!EI$1,"dd-MMM-aa"),"")</f>
      </c>
      <c r="EF194" s="496" t="str">
        <f> IF(EF214&lt;&gt;"",TEXT(AUX!EJ$1,"dd-MMM-aa"),"")</f>
      </c>
      <c r="EG194" s="496" t="str">
        <f> IF(EG214&lt;&gt;"",TEXT(AUX!EK$1,"dd-MMM-aa"),"")</f>
      </c>
      <c r="EH194" s="496" t="str">
        <f> IF(EH214&lt;&gt;"",TEXT(AUX!EL$1,"dd-MMM-aa"),"")</f>
      </c>
      <c r="EI194" s="496" t="str">
        <f> IF(EI214&lt;&gt;"",TEXT(AUX!EM$1,"dd-MMM-aa"),"")</f>
      </c>
      <c r="EJ194" s="496" t="str">
        <f> IF(EJ214&lt;&gt;"",TEXT(AUX!EN$1,"dd-MMM-aa"),"")</f>
      </c>
      <c r="EK194" s="496" t="str">
        <f> IF(EK214&lt;&gt;"",TEXT(AUX!EO$1,"dd-MMM-aa"),"")</f>
      </c>
      <c r="EL194" s="496" t="str">
        <f> IF(EL214&lt;&gt;"",TEXT(AUX!EP$1,"dd-MMM-aa"),"")</f>
      </c>
      <c r="EM194" s="496" t="str">
        <f> IF(EM214&lt;&gt;"",TEXT(AUX!EQ$1,"dd-MMM-aa"),"")</f>
      </c>
      <c r="EN194" s="496" t="str">
        <f> IF(EN214&lt;&gt;"",TEXT(AUX!ER$1,"dd-MMM-aa"),"")</f>
      </c>
      <c r="EO194" s="496" t="str">
        <f> IF(EO214&lt;&gt;"",TEXT(AUX!ES$1,"dd-MMM-aa"),"")</f>
      </c>
      <c r="EP194" s="496" t="str">
        <f> IF(EP214&lt;&gt;"",TEXT(AUX!ET$1,"dd-MMM-aa"),"")</f>
      </c>
      <c r="EQ194" s="496" t="str">
        <f> IF(EQ214&lt;&gt;"",TEXT(AUX!EU$1,"dd-MMM-aa"),"")</f>
      </c>
      <c r="ER194" s="496" t="str">
        <f> IF(ER214&lt;&gt;"",TEXT(AUX!EV$1,"dd-MMM-aa"),"")</f>
      </c>
      <c r="ES194" s="496" t="str">
        <f> IF(ES214&lt;&gt;"",TEXT(AUX!EW$1,"dd-MMM-aa"),"")</f>
      </c>
      <c r="ET194" s="496" t="str">
        <f> IF(ET214&lt;&gt;"",TEXT(AUX!EX$1,"dd-MMM-aa"),"")</f>
      </c>
      <c r="EU194" s="496" t="str">
        <f> IF(EU214&lt;&gt;"",TEXT(AUX!EY$1,"dd-MMM-aa"),"")</f>
      </c>
      <c r="EV194" s="496" t="str">
        <f> IF(EV214&lt;&gt;"",TEXT(AUX!EZ$1,"dd-MMM-aa"),"")</f>
      </c>
      <c r="EW194" s="496" t="str">
        <f> IF(EW214&lt;&gt;"",TEXT(AUX!FA$1,"dd-MMM-aa"),"")</f>
      </c>
      <c r="EX194" s="496" t="str">
        <f> IF(EX214&lt;&gt;"",TEXT(AUX!FB$1,"dd-MMM-aa"),"")</f>
      </c>
      <c r="EY194" s="496" t="str">
        <f> IF(EY214&lt;&gt;"",TEXT(AUX!FC$1,"dd-MMM-aa"),"")</f>
      </c>
      <c r="EZ194" s="496" t="str">
        <f> IF(EZ214&lt;&gt;"",TEXT(AUX!FD$1,"dd-MMM-aa"),"")</f>
      </c>
      <c r="FA194" s="496" t="str">
        <f> IF(FA214&lt;&gt;"",TEXT(AUX!FE$1,"dd-MMM-aa"),"")</f>
      </c>
      <c r="FB194" s="496" t="str">
        <f> IF(FB214&lt;&gt;"",TEXT(AUX!FF$1,"dd-MMM-aa"),"")</f>
      </c>
      <c r="FC194" s="496" t="str">
        <f> IF(FC214&lt;&gt;"",TEXT(AUX!FG$1,"dd-MMM-aa"),"")</f>
      </c>
      <c r="FD194" s="496" t="str">
        <f> IF(FD214&lt;&gt;"",TEXT(AUX!FH$1,"dd-MMM-aa"),"")</f>
      </c>
      <c r="FE194" s="496" t="str">
        <f> IF(FE214&lt;&gt;"",TEXT(AUX!FI$1,"dd-MMM-aa"),"")</f>
      </c>
      <c r="FF194" s="496" t="str">
        <f> IF(FF214&lt;&gt;"",TEXT(AUX!FJ$1,"dd-MMM-aa"),"")</f>
      </c>
      <c r="FG194" s="496" t="str">
        <f> IF(FG214&lt;&gt;"",TEXT(AUX!FK$1,"dd-MMM-aa"),"")</f>
      </c>
      <c r="FH194" s="496" t="str">
        <f> IF(FH214&lt;&gt;"",TEXT(AUX!FL$1,"dd-MMM-aa"),"")</f>
      </c>
      <c r="FI194" s="496" t="str">
        <f> IF(FI214&lt;&gt;"",TEXT(AUX!FM$1,"dd-MMM-aa"),"")</f>
      </c>
      <c r="FJ194" s="496" t="str">
        <f> IF(FJ214&lt;&gt;"",TEXT(AUX!FN$1,"dd-MMM-aa"),"")</f>
      </c>
      <c r="FK194" s="496" t="str">
        <f> IF(FK214&lt;&gt;"",TEXT(AUX!FO$1,"dd-MMM-aa"),"")</f>
      </c>
      <c r="FL194" s="496" t="str">
        <f> IF(FL214&lt;&gt;"",TEXT(AUX!FP$1,"dd-MMM-aa"),"")</f>
      </c>
      <c r="FM194" s="496" t="str">
        <f> IF(FM214&lt;&gt;"",TEXT(AUX!FQ$1,"dd-MMM-aa"),"")</f>
      </c>
      <c r="FN194" s="496" t="str">
        <f> IF(FN214&lt;&gt;"",TEXT(AUX!FR$1,"dd-MMM-aa"),"")</f>
      </c>
      <c r="FO194" s="496" t="str">
        <f> IF(FO214&lt;&gt;"",TEXT(AUX!FS$1,"dd-MMM-aa"),"")</f>
      </c>
      <c r="FP194" s="496" t="str">
        <f> IF(FP214&lt;&gt;"",TEXT(AUX!FT$1,"dd-MMM-aa"),"")</f>
      </c>
      <c r="FQ194" s="496" t="str">
        <f> IF(FQ214&lt;&gt;"",TEXT(AUX!FU$1,"dd-MMM-aa"),"")</f>
      </c>
      <c r="FR194" s="496" t="str">
        <f> IF(FR214&lt;&gt;"",TEXT(AUX!FV$1,"dd-MMM-aa"),"")</f>
      </c>
      <c r="FS194" s="496" t="str">
        <f> IF(FS214&lt;&gt;"",TEXT(AUX!FW$1,"dd-MMM-aa"),"")</f>
      </c>
      <c r="FT194" s="496" t="str">
        <f> IF(FT214&lt;&gt;"",TEXT(AUX!FX$1,"dd-MMM-aa"),"")</f>
      </c>
      <c r="FU194" s="496" t="str">
        <f> IF(FU214&lt;&gt;"",TEXT(AUX!FY$1,"dd-MMM-aa"),"")</f>
      </c>
      <c r="FV194" s="496" t="str">
        <f> IF(FV214&lt;&gt;"",TEXT(AUX!FZ$1,"dd-MMM-aa"),"")</f>
      </c>
      <c r="FW194" s="496" t="str">
        <f> IF(FW214&lt;&gt;"",TEXT(AUX!GA$1,"dd-MMM-aa"),"")</f>
      </c>
      <c r="FX194" s="496" t="str">
        <f> IF(FX214&lt;&gt;"",TEXT(AUX!GB$1,"dd-MMM-aa"),"")</f>
      </c>
      <c r="FY194" s="496" t="str">
        <f> IF(FY214&lt;&gt;"",TEXT(AUX!GC$1,"dd-MMM-aa"),"")</f>
      </c>
      <c r="FZ194" s="496" t="str">
        <f> IF(FZ214&lt;&gt;"",TEXT(AUX!GD$1,"dd-MMM-aa"),"")</f>
      </c>
      <c r="GA194" s="496" t="str">
        <f> IF(GA214&lt;&gt;"",TEXT(AUX!GE$1,"dd-MMM-aa"),"")</f>
      </c>
      <c r="GB194" s="496" t="str">
        <f> IF(GB214&lt;&gt;"",TEXT(AUX!GF$1,"dd-MMM-aa"),"")</f>
      </c>
      <c r="GC194" s="496" t="str">
        <f> IF(GC214&lt;&gt;"",TEXT(AUX!GG$1,"dd-MMM-aa"),"")</f>
      </c>
      <c r="GD194" s="496" t="str">
        <f> IF(GD214&lt;&gt;"",TEXT(AUX!GH$1,"dd-MMM-aa"),"")</f>
      </c>
      <c r="GE194" s="496" t="str">
        <f> IF(GE214&lt;&gt;"",TEXT(AUX!GI$1,"dd-MMM-aa"),"")</f>
      </c>
      <c r="GF194" s="496" t="str">
        <f> IF(GF214&lt;&gt;"",TEXT(AUX!GJ$1,"dd-MMM-aa"),"")</f>
      </c>
      <c r="GG194" s="496" t="str">
        <f> IF(GG214&lt;&gt;"",TEXT(AUX!GK$1,"dd-MMM-aa"),"")</f>
      </c>
      <c r="GH194" s="496" t="str">
        <f> IF(GH214&lt;&gt;"",TEXT(AUX!GL$1,"dd-MMM-aa"),"")</f>
      </c>
      <c r="GI194" s="496" t="str">
        <f> IF(GI214&lt;&gt;"",TEXT(AUX!GM$1,"dd-MMM-aa"),"")</f>
      </c>
      <c r="GJ194" s="496" t="str">
        <f> IF(GJ214&lt;&gt;"",TEXT(AUX!GN$1,"dd-MMM-aa"),"")</f>
      </c>
      <c r="GK194" s="496" t="str">
        <f> IF(GK214&lt;&gt;"",TEXT(AUX!GO$1,"dd-MMM-aa"),"")</f>
      </c>
      <c r="GL194" s="496" t="str">
        <f> IF(GL214&lt;&gt;"",TEXT(AUX!GP$1,"dd-MMM-aa"),"")</f>
      </c>
      <c r="GM194" s="496" t="str">
        <f> IF(GM214&lt;&gt;"",TEXT(AUX!GQ$1,"dd-MMM-aa"),"")</f>
      </c>
      <c r="GN194" s="496" t="str">
        <f> IF(GN214&lt;&gt;"",TEXT(AUX!GR$1,"dd-MMM-aa"),"")</f>
      </c>
      <c r="GO194" s="496" t="str">
        <f> IF(GO214&lt;&gt;"",TEXT(AUX!GS$1,"dd-MMM-aa"),"")</f>
      </c>
      <c r="GP194" s="496" t="str">
        <f> IF(GP214&lt;&gt;"",TEXT(AUX!GT$1,"dd-MMM-aa"),"")</f>
      </c>
      <c r="GQ194" s="496" t="str">
        <f> IF(GQ214&lt;&gt;"",TEXT(AUX!GU$1,"dd-MMM-aa"),"")</f>
      </c>
      <c r="GR194" s="496" t="str">
        <f> IF(GR214&lt;&gt;"",TEXT(AUX!GV$1,"dd-MMM-aa"),"")</f>
      </c>
      <c r="GS194" s="496" t="str">
        <f> IF(GS214&lt;&gt;"",TEXT(AUX!GW$1,"dd-MMM-aa"),"")</f>
      </c>
      <c r="GT194" s="496" t="str">
        <f> IF(GT214&lt;&gt;"",TEXT(AUX!GX$1,"dd-MMM-aa"),"")</f>
      </c>
      <c r="GU194" s="496" t="str">
        <f> IF(GU214&lt;&gt;"",TEXT(AUX!GY$1,"dd-MMM-aa"),"")</f>
      </c>
      <c r="GV194" s="496" t="str">
        <f> IF(GV214&lt;&gt;"",TEXT(AUX!GZ$1,"dd-MMM-aa"),"")</f>
      </c>
      <c r="GW194" s="496" t="str">
        <f> IF(GW214&lt;&gt;"",TEXT(AUX!HA$1,"dd-MMM-aa"),"")</f>
      </c>
      <c r="GX194" s="496" t="str">
        <f> IF(GX214&lt;&gt;"",TEXT(AUX!HB$1,"dd-MMM-aa"),"")</f>
      </c>
      <c r="GY194" s="496" t="str">
        <f> IF(GY214&lt;&gt;"",TEXT(AUX!HC$1,"dd-MMM-aa"),"")</f>
      </c>
      <c r="GZ194" s="496" t="str">
        <f> IF(GZ214&lt;&gt;"",TEXT(AUX!HD$1,"dd-MMM-aa"),"")</f>
      </c>
      <c r="HA194" s="496" t="str">
        <f> IF(HA214&lt;&gt;"",TEXT(AUX!HE$1,"dd-MMM-aa"),"")</f>
      </c>
      <c r="HB194" s="496" t="str">
        <f> IF(HB214&lt;&gt;"",TEXT(AUX!HF$1,"dd-MMM-aa"),"")</f>
      </c>
      <c r="HC194" s="496" t="str">
        <f> IF(HC214&lt;&gt;"",TEXT(AUX!HG$1,"dd-MMM-aa"),"")</f>
      </c>
      <c r="HD194" s="496" t="str">
        <f> IF(HD214&lt;&gt;"",TEXT(AUX!HH$1,"dd-MMM-aa"),"")</f>
      </c>
      <c r="HE194" s="496" t="str">
        <f> IF(HE214&lt;&gt;"",TEXT(AUX!HI$1,"dd-MMM-aa"),"")</f>
      </c>
      <c r="HF194" s="496" t="str">
        <f> IF(HF214&lt;&gt;"",TEXT(AUX!HJ$1,"dd-MMM-aa"),"")</f>
      </c>
      <c r="HG194" s="496" t="str">
        <f> IF(HG214&lt;&gt;"",TEXT(AUX!HK$1,"dd-MMM-aa"),"")</f>
      </c>
      <c r="HH194" s="496" t="str">
        <f> IF(HH214&lt;&gt;"",TEXT(AUX!HL$1,"dd-MMM-aa"),"")</f>
      </c>
      <c r="HI194" s="496" t="str">
        <f> IF(HI214&lt;&gt;"",TEXT(AUX!HM$1,"dd-MMM-aa"),"")</f>
      </c>
      <c r="HJ194" s="496" t="str">
        <f> IF(HJ214&lt;&gt;"",TEXT(AUX!HN$1,"dd-MMM-aa"),"")</f>
      </c>
      <c r="HK194" s="496" t="str">
        <f> IF(HK214&lt;&gt;"",TEXT(AUX!HO$1,"dd-MMM-aa"),"")</f>
      </c>
      <c r="HL194" s="496" t="str">
        <f> IF(HL214&lt;&gt;"",TEXT(AUX!HP$1,"dd-MMM-aa"),"")</f>
      </c>
      <c r="HM194" s="496" t="str">
        <f> IF(HM214&lt;&gt;"",TEXT(AUX!HQ$1,"dd-MMM-aa"),"")</f>
      </c>
      <c r="HN194" s="496" t="str">
        <f> IF(HN214&lt;&gt;"",TEXT(AUX!HR$1,"dd-MMM-aa"),"")</f>
      </c>
      <c r="HO194" s="496" t="str">
        <f> IF(HO214&lt;&gt;"",TEXT(AUX!HS$1,"dd-MMM-aa"),"")</f>
      </c>
      <c r="HP194" s="496" t="str">
        <f> IF(HP214&lt;&gt;"",TEXT(AUX!HT$1,"dd-MMM-aa"),"")</f>
      </c>
      <c r="HQ194" s="496" t="str">
        <f> IF(HQ214&lt;&gt;"",TEXT(AUX!HU$1,"dd-MMM-aa"),"")</f>
      </c>
      <c r="HR194" s="496" t="str">
        <f> IF(HR214&lt;&gt;"",TEXT(AUX!HV$1,"dd-MMM-aa"),"")</f>
      </c>
      <c r="HS194" s="496" t="str">
        <f> IF(HS214&lt;&gt;"",TEXT(AUX!HW$1,"dd-MMM-aa"),"")</f>
      </c>
      <c r="HT194" s="496" t="str">
        <f> IF(HT214&lt;&gt;"",TEXT(AUX!HX$1,"dd-MMM-aa"),"")</f>
      </c>
      <c r="HU194" s="496" t="str">
        <f> IF(HU214&lt;&gt;"",TEXT(AUX!HY$1,"dd-MMM-aa"),"")</f>
      </c>
      <c r="HV194" s="496" t="str">
        <f> IF(HV214&lt;&gt;"",TEXT(AUX!HZ$1,"dd-MMM-aa"),"")</f>
      </c>
      <c r="HW194" s="496" t="str">
        <f> IF(HW214&lt;&gt;"",TEXT(AUX!IA$1,"dd-MMM-aa"),"")</f>
      </c>
      <c r="HX194" s="496" t="str">
        <f> IF(HX214&lt;&gt;"",TEXT(AUX!IB$1,"dd-MMM-aa"),"")</f>
      </c>
      <c r="HY194" s="496" t="str">
        <f> IF(HY214&lt;&gt;"",TEXT(AUX!IC$1,"dd-MMM-aa"),"")</f>
      </c>
      <c r="HZ194" s="496" t="str">
        <f> IF(HZ214&lt;&gt;"",TEXT(AUX!ID$1,"dd-MMM-aa"),"")</f>
      </c>
      <c r="IA194" s="496" t="str">
        <f> IF(IA214&lt;&gt;"",TEXT(AUX!IE$1,"dd-MMM-aa"),"")</f>
      </c>
      <c r="IB194" s="496" t="str">
        <f> IF(IB214&lt;&gt;"",TEXT(AUX!IF$1,"dd-MMM-aa"),"")</f>
      </c>
      <c r="IC194" s="496" t="str">
        <f> IF(IC214&lt;&gt;"",TEXT(AUX!IG$1,"dd-MMM-aa"),"")</f>
      </c>
      <c r="ID194" s="496" t="str">
        <f> IF(ID214&lt;&gt;"",TEXT(AUX!IH$1,"dd-MMM-aa"),"")</f>
      </c>
      <c r="IE194" s="496" t="str">
        <f> IF(IE214&lt;&gt;"",TEXT(AUX!II$1,"dd-MMM-aa"),"")</f>
      </c>
      <c r="IF194" s="496" t="str">
        <f> IF(IF214&lt;&gt;"",TEXT(AUX!IJ$1,"dd-MMM-aa"),"")</f>
      </c>
      <c r="IG194" s="496" t="str">
        <f> IF(IG214&lt;&gt;"",TEXT(AUX!IK$1,"dd-MMM-aa"),"")</f>
      </c>
      <c r="IH194" s="496" t="str">
        <f> IF(IH214&lt;&gt;"",TEXT(AUX!IL$1,"dd-MMM-aa"),"")</f>
      </c>
      <c r="II194" s="496" t="str">
        <f> IF(II214&lt;&gt;"",TEXT(AUX!IM$1,"dd-MMM-aa"),"")</f>
      </c>
      <c r="IJ194" s="496" t="str">
        <f> IF(IJ214&lt;&gt;"",TEXT(AUX!IN$1,"dd-MMM-aa"),"")</f>
      </c>
      <c r="IK194" s="496" t="str">
        <f> IF(IK214&lt;&gt;"",TEXT(AUX!IO$1,"dd-MMM-aa"),"")</f>
      </c>
      <c r="IL194" s="496" t="str">
        <f> IF(IL214&lt;&gt;"",TEXT(AUX!IP$1,"dd-MMM-aa"),"")</f>
      </c>
      <c r="IM194" s="496" t="str">
        <f> IF(IM214&lt;&gt;"",TEXT(AUX!IQ$1,"dd-MMM-aa"),"")</f>
      </c>
      <c r="IN194" s="496" t="str">
        <f> IF(IN214&lt;&gt;"",TEXT(AUX!IR$1,"dd-MMM-aa"),"")</f>
      </c>
      <c r="IO194" s="496" t="str">
        <f> IF(IO214&lt;&gt;"",TEXT(AUX!IS$1,"dd-MMM-aa"),"")</f>
      </c>
      <c r="IP194" s="496" t="str">
        <f> IF(IP214&lt;&gt;"",TEXT(AUX!IT$1,"dd-MMM-aa"),"")</f>
      </c>
      <c r="IQ194" s="496" t="str">
        <f> IF(IQ214&lt;&gt;"",TEXT(AUX!IU$1,"dd-MMM-aa"),"")</f>
      </c>
      <c r="IR194" s="496" t="str">
        <f> IF(IR214&lt;&gt;"",TEXT(AUX!IV$1,"dd-MMM-aa"),"")</f>
      </c>
      <c r="IS194" s="496" t="str">
        <f> IF(IS214&lt;&gt;"",TEXT(AUX!#REF!,"dd-MMM-aa"),"")</f>
      </c>
      <c r="IT194" s="496" t="str">
        <f> IF(IT214&lt;&gt;"",TEXT(AUX!#REF!,"dd-MMM-aa"),"")</f>
      </c>
      <c r="IU194" s="496" t="str">
        <f> IF(IU214&lt;&gt;"",TEXT(AUX!#REF!,"dd-MMM-aa"),"")</f>
      </c>
      <c r="IV194" s="496" t="str">
        <f> IF(IV214&lt;&gt;"",TEXT(AUX!#REF!,"dd-MMM-aa"),"")</f>
      </c>
    </row>
    <row r="195" hidden="1" ht="12.75" customHeight="1">
      <c r="B195" s="833" t="s">
        <v>8</v>
      </c>
      <c r="C195" s="827">
        <v>2666</v>
      </c>
      <c r="D195" s="827">
        <v>2600</v>
      </c>
      <c r="E195" s="827">
        <v>2479</v>
      </c>
      <c r="F195" s="827">
        <v>2414</v>
      </c>
      <c r="G195" s="827">
        <v>2194</v>
      </c>
      <c r="H195" s="827">
        <v>2169</v>
      </c>
      <c r="I195" s="827">
        <v>2102</v>
      </c>
      <c r="J195" s="827">
        <v>2089</v>
      </c>
      <c r="K195" s="827">
        <v>1963</v>
      </c>
      <c r="L195" s="827">
        <v>1965</v>
      </c>
      <c r="M195" s="827">
        <v>1954</v>
      </c>
      <c r="N195" s="827">
        <v>1983</v>
      </c>
      <c r="O195" s="827">
        <v>1873</v>
      </c>
      <c r="P195" s="827">
        <v>1680</v>
      </c>
      <c r="Q195" s="827">
        <v>7627</v>
      </c>
      <c r="R195" s="827">
        <v>7681</v>
      </c>
      <c r="S195" s="827">
        <v>7755</v>
      </c>
      <c r="T195" s="827">
        <v>7861</v>
      </c>
      <c r="U195" s="827">
        <v>7963</v>
      </c>
      <c r="V195" s="827">
        <v>8044</v>
      </c>
      <c r="W195" s="827">
        <v>8115</v>
      </c>
      <c r="X195" s="827">
        <v>5543</v>
      </c>
      <c r="Y195" s="827">
        <v>8219</v>
      </c>
      <c r="Z195" s="827">
        <v>8216</v>
      </c>
      <c r="AA195" s="827">
        <v>8160</v>
      </c>
      <c r="AB195" s="834">
        <v>8098</v>
      </c>
      <c r="AC195" s="828">
        <v>8031</v>
      </c>
      <c r="AD195" s="828">
        <v>8076</v>
      </c>
      <c r="AE195" s="828">
        <v>8121</v>
      </c>
      <c r="AF195" s="828">
        <v>8088</v>
      </c>
      <c r="AG195" s="828">
        <v>8120</v>
      </c>
      <c r="AH195" s="828">
        <v>8095</v>
      </c>
      <c r="AI195" s="828">
        <v>8002</v>
      </c>
      <c r="AJ195" s="828">
        <v>7930</v>
      </c>
      <c r="AK195" s="828">
        <v>7910</v>
      </c>
      <c r="AL195" s="828">
        <v>7953</v>
      </c>
      <c r="AM195" s="828">
        <v>7343</v>
      </c>
      <c r="AN195" s="828">
        <v>7290</v>
      </c>
      <c r="AO195" s="828">
        <v>7241</v>
      </c>
      <c r="AP195" s="828">
        <v>7202</v>
      </c>
    </row>
    <row r="196" hidden="1" ht="12.75" customHeight="1">
      <c r="B196" s="829" t="s">
        <v>9</v>
      </c>
      <c r="C196" s="823">
        <v>26</v>
      </c>
      <c r="D196" s="823">
        <v>26</v>
      </c>
      <c r="E196" s="823">
        <v>30</v>
      </c>
      <c r="F196" s="823">
        <v>33</v>
      </c>
      <c r="G196" s="823">
        <v>48</v>
      </c>
      <c r="H196" s="823">
        <v>5076</v>
      </c>
      <c r="I196" s="823">
        <v>4947</v>
      </c>
      <c r="J196" s="823">
        <v>4901</v>
      </c>
      <c r="K196" s="823">
        <v>4451</v>
      </c>
      <c r="L196" s="823">
        <v>4427</v>
      </c>
      <c r="M196" s="823">
        <v>4343</v>
      </c>
      <c r="N196" s="823">
        <v>4311</v>
      </c>
      <c r="O196" s="823">
        <v>3744</v>
      </c>
      <c r="P196" s="823">
        <v>3729</v>
      </c>
      <c r="Q196" s="823">
        <v>3648</v>
      </c>
      <c r="R196" s="823">
        <v>3597</v>
      </c>
      <c r="S196" s="823">
        <v>3563</v>
      </c>
      <c r="T196" s="823">
        <v>3567</v>
      </c>
      <c r="U196" s="823">
        <v>3485</v>
      </c>
      <c r="V196" s="823">
        <v>3297</v>
      </c>
      <c r="W196" s="823">
        <v>3177</v>
      </c>
      <c r="X196" s="823">
        <v>3122</v>
      </c>
      <c r="Y196" s="823">
        <v>3053</v>
      </c>
      <c r="Z196" s="823">
        <v>2994</v>
      </c>
      <c r="AA196" s="823">
        <v>2962</v>
      </c>
      <c r="AB196" s="823">
        <v>2921</v>
      </c>
      <c r="AC196" s="825">
        <v>2883</v>
      </c>
      <c r="AD196" s="825">
        <v>2839</v>
      </c>
      <c r="AE196" s="825">
        <v>2838</v>
      </c>
      <c r="AF196" s="825">
        <v>2820</v>
      </c>
      <c r="AG196" s="825">
        <v>2808</v>
      </c>
      <c r="AH196" s="825">
        <v>2792</v>
      </c>
      <c r="AI196" s="825">
        <v>2806</v>
      </c>
      <c r="AJ196" s="825">
        <v>2792</v>
      </c>
      <c r="AK196" s="825">
        <v>2793</v>
      </c>
      <c r="AL196" s="825">
        <v>2809</v>
      </c>
      <c r="AM196" s="825">
        <v>2735</v>
      </c>
      <c r="AN196" s="825">
        <v>2666</v>
      </c>
      <c r="AO196" s="825">
        <v>2643</v>
      </c>
      <c r="AP196" s="825">
        <v>2625</v>
      </c>
    </row>
    <row r="197" hidden="1" ht="12.75" customHeight="1">
      <c r="B197" s="826" t="s">
        <v>10</v>
      </c>
      <c r="C197" s="827">
        <v>1952</v>
      </c>
      <c r="D197" s="827">
        <v>1956</v>
      </c>
      <c r="E197" s="827">
        <v>1963</v>
      </c>
      <c r="F197" s="827">
        <v>1439</v>
      </c>
      <c r="G197" s="827">
        <v>1410</v>
      </c>
      <c r="H197" s="827">
        <v>1507</v>
      </c>
      <c r="I197" s="827">
        <v>1595</v>
      </c>
      <c r="J197" s="827">
        <v>1167</v>
      </c>
      <c r="K197" s="827">
        <v>1209</v>
      </c>
      <c r="L197" s="827">
        <v>1165</v>
      </c>
      <c r="M197" s="827">
        <v>1174</v>
      </c>
      <c r="N197" s="827">
        <v>1260</v>
      </c>
      <c r="O197" s="827">
        <v>1260</v>
      </c>
      <c r="P197" s="827">
        <v>1378</v>
      </c>
      <c r="Q197" s="827">
        <v>1430</v>
      </c>
      <c r="R197" s="827">
        <v>1543</v>
      </c>
      <c r="S197" s="827">
        <v>1594</v>
      </c>
      <c r="T197" s="827">
        <v>1660</v>
      </c>
      <c r="U197" s="827">
        <v>1666</v>
      </c>
      <c r="V197" s="827">
        <v>1658</v>
      </c>
      <c r="W197" s="827">
        <v>1761</v>
      </c>
      <c r="X197" s="827">
        <v>1725</v>
      </c>
      <c r="Y197" s="827">
        <v>1837</v>
      </c>
      <c r="Z197" s="827">
        <v>1792</v>
      </c>
      <c r="AA197" s="827">
        <v>1892</v>
      </c>
      <c r="AB197" s="827">
        <v>1891</v>
      </c>
      <c r="AC197" s="828">
        <v>1969</v>
      </c>
      <c r="AD197" s="828">
        <v>1959</v>
      </c>
      <c r="AE197" s="828">
        <v>2074</v>
      </c>
      <c r="AF197" s="828">
        <v>1992</v>
      </c>
      <c r="AG197" s="828">
        <v>2131</v>
      </c>
      <c r="AH197" s="828">
        <v>2040</v>
      </c>
      <c r="AI197" s="828">
        <v>2176</v>
      </c>
      <c r="AJ197" s="828">
        <v>2139</v>
      </c>
      <c r="AK197" s="828">
        <v>2250</v>
      </c>
      <c r="AL197" s="828">
        <v>2169</v>
      </c>
      <c r="AM197" s="828">
        <v>2292</v>
      </c>
      <c r="AN197" s="828">
        <v>2243</v>
      </c>
      <c r="AO197" s="828">
        <v>2333</v>
      </c>
      <c r="AP197" s="828">
        <v>2322</v>
      </c>
    </row>
    <row r="198" hidden="1" ht="12.75" customHeight="1">
      <c r="B198" s="829" t="s">
        <v>11</v>
      </c>
      <c r="C198" s="823">
        <v>1537</v>
      </c>
      <c r="D198" s="823">
        <v>1452</v>
      </c>
      <c r="E198" s="823">
        <v>1461</v>
      </c>
      <c r="F198" s="823">
        <v>1443</v>
      </c>
      <c r="G198" s="823">
        <v>1385</v>
      </c>
      <c r="H198" s="823">
        <v>1327</v>
      </c>
      <c r="I198" s="823">
        <v>1307</v>
      </c>
      <c r="J198" s="823">
        <v>1278</v>
      </c>
      <c r="K198" s="823">
        <v>1254</v>
      </c>
      <c r="L198" s="823">
        <v>1253</v>
      </c>
      <c r="M198" s="823">
        <v>1297</v>
      </c>
      <c r="N198" s="823">
        <v>1323</v>
      </c>
      <c r="O198" s="823">
        <v>1351</v>
      </c>
      <c r="P198" s="823">
        <v>1374</v>
      </c>
      <c r="Q198" s="823">
        <v>1392</v>
      </c>
      <c r="R198" s="823">
        <v>1399</v>
      </c>
      <c r="S198" s="823">
        <v>1422</v>
      </c>
      <c r="T198" s="823">
        <v>1444</v>
      </c>
      <c r="U198" s="823">
        <v>1376</v>
      </c>
      <c r="V198" s="823">
        <v>1407</v>
      </c>
      <c r="W198" s="823">
        <v>1371</v>
      </c>
      <c r="X198" s="823">
        <v>1395</v>
      </c>
      <c r="Y198" s="823">
        <v>1365</v>
      </c>
      <c r="Z198" s="823">
        <v>1393</v>
      </c>
      <c r="AA198" s="823">
        <v>1330</v>
      </c>
      <c r="AB198" s="823">
        <v>1351</v>
      </c>
      <c r="AC198" s="825">
        <v>1387</v>
      </c>
      <c r="AD198" s="825">
        <v>1401</v>
      </c>
      <c r="AE198" s="825">
        <v>1437</v>
      </c>
      <c r="AF198" s="825">
        <v>1494</v>
      </c>
      <c r="AG198" s="825">
        <v>1356</v>
      </c>
      <c r="AH198" s="825">
        <v>1408</v>
      </c>
      <c r="AI198" s="825">
        <v>1453</v>
      </c>
      <c r="AJ198" s="825">
        <v>1494</v>
      </c>
      <c r="AK198" s="825">
        <v>1549</v>
      </c>
      <c r="AL198" s="825">
        <v>1592</v>
      </c>
      <c r="AM198" s="825">
        <v>1496</v>
      </c>
      <c r="AN198" s="825">
        <v>1495</v>
      </c>
      <c r="AO198" s="825">
        <v>1488</v>
      </c>
      <c r="AP198" s="825">
        <v>1476</v>
      </c>
    </row>
    <row r="199" hidden="1" ht="12.75" customHeight="1">
      <c r="B199" s="826" t="s">
        <v>12</v>
      </c>
      <c r="C199" s="827">
        <v>92</v>
      </c>
      <c r="D199" s="827">
        <v>96</v>
      </c>
      <c r="E199" s="827">
        <v>99</v>
      </c>
      <c r="F199" s="827">
        <v>96</v>
      </c>
      <c r="G199" s="827">
        <v>93</v>
      </c>
      <c r="H199" s="827">
        <v>98</v>
      </c>
      <c r="I199" s="827">
        <v>96</v>
      </c>
      <c r="J199" s="827">
        <v>74</v>
      </c>
      <c r="K199" s="827">
        <v>68</v>
      </c>
      <c r="L199" s="827">
        <v>67</v>
      </c>
      <c r="M199" s="827">
        <v>69</v>
      </c>
      <c r="N199" s="827">
        <v>67</v>
      </c>
      <c r="O199" s="827">
        <v>66</v>
      </c>
      <c r="P199" s="827">
        <v>66</v>
      </c>
      <c r="Q199" s="827">
        <v>63</v>
      </c>
      <c r="R199" s="827">
        <v>63</v>
      </c>
      <c r="S199" s="827">
        <v>58</v>
      </c>
      <c r="T199" s="827">
        <v>54</v>
      </c>
      <c r="U199" s="827">
        <v>49</v>
      </c>
      <c r="V199" s="827">
        <v>52</v>
      </c>
      <c r="W199" s="827">
        <v>50</v>
      </c>
      <c r="X199" s="827">
        <v>51</v>
      </c>
      <c r="Y199" s="827">
        <v>46</v>
      </c>
      <c r="Z199" s="827">
        <v>44</v>
      </c>
      <c r="AA199" s="827">
        <v>41</v>
      </c>
      <c r="AB199" s="827">
        <v>68</v>
      </c>
      <c r="AC199" s="828">
        <v>64</v>
      </c>
      <c r="AD199" s="828">
        <v>61</v>
      </c>
      <c r="AE199" s="828">
        <v>76</v>
      </c>
      <c r="AF199" s="828">
        <v>91</v>
      </c>
      <c r="AG199" s="828">
        <v>90</v>
      </c>
      <c r="AH199" s="828">
        <v>105</v>
      </c>
      <c r="AI199" s="828">
        <v>127</v>
      </c>
      <c r="AJ199" s="828">
        <v>140</v>
      </c>
      <c r="AK199" s="828">
        <v>155</v>
      </c>
      <c r="AL199" s="828">
        <v>195</v>
      </c>
      <c r="AM199" s="828">
        <v>234</v>
      </c>
      <c r="AN199" s="828">
        <v>269</v>
      </c>
      <c r="AO199" s="828">
        <v>295</v>
      </c>
      <c r="AP199" s="828">
        <v>348</v>
      </c>
    </row>
    <row r="200" hidden="1" ht="12.75" customHeight="1">
      <c r="B200" s="829" t="s">
        <v>13</v>
      </c>
      <c r="C200" s="823">
        <v>1713</v>
      </c>
      <c r="D200" s="823">
        <v>1257</v>
      </c>
      <c r="E200" s="823">
        <v>1340</v>
      </c>
      <c r="F200" s="823">
        <v>1236</v>
      </c>
      <c r="G200" s="823">
        <v>1513</v>
      </c>
      <c r="H200" s="823">
        <v>1624</v>
      </c>
      <c r="I200" s="823">
        <v>1743</v>
      </c>
      <c r="J200" s="823">
        <v>1821</v>
      </c>
      <c r="K200" s="823">
        <v>1950</v>
      </c>
      <c r="L200" s="823">
        <v>1724</v>
      </c>
      <c r="M200" s="823">
        <v>1948</v>
      </c>
      <c r="N200" s="823">
        <v>1576</v>
      </c>
      <c r="O200" s="823">
        <v>1566</v>
      </c>
      <c r="P200" s="823">
        <v>1539</v>
      </c>
      <c r="Q200" s="823">
        <v>1593</v>
      </c>
      <c r="R200" s="823">
        <v>1543</v>
      </c>
      <c r="S200" s="823">
        <v>1644</v>
      </c>
      <c r="T200" s="823">
        <v>1742</v>
      </c>
      <c r="U200" s="823">
        <v>1859</v>
      </c>
      <c r="V200" s="823">
        <v>1910</v>
      </c>
      <c r="W200" s="823">
        <v>1704</v>
      </c>
      <c r="X200" s="823">
        <v>1730</v>
      </c>
      <c r="Y200" s="823">
        <v>1442</v>
      </c>
      <c r="Z200" s="823">
        <v>1318</v>
      </c>
      <c r="AA200" s="823">
        <v>1396</v>
      </c>
      <c r="AB200" s="823">
        <v>1300</v>
      </c>
      <c r="AC200" s="825">
        <v>1378</v>
      </c>
      <c r="AD200" s="825">
        <v>1264</v>
      </c>
      <c r="AE200" s="825">
        <v>1324</v>
      </c>
      <c r="AF200" s="825">
        <v>1185</v>
      </c>
      <c r="AG200" s="825">
        <v>1310</v>
      </c>
      <c r="AH200" s="825">
        <v>1224</v>
      </c>
      <c r="AI200" s="825">
        <v>1332</v>
      </c>
      <c r="AJ200" s="825">
        <v>1242</v>
      </c>
      <c r="AK200" s="825">
        <v>1303</v>
      </c>
      <c r="AL200" s="825">
        <v>1213</v>
      </c>
      <c r="AM200" s="825">
        <v>1179</v>
      </c>
      <c r="AN200" s="825">
        <v>1162</v>
      </c>
      <c r="AO200" s="825">
        <v>1198</v>
      </c>
      <c r="AP200" s="825">
        <v>1283</v>
      </c>
    </row>
    <row r="201" hidden="1" ht="12.75" customHeight="1">
      <c r="B201" s="826" t="s">
        <v>109</v>
      </c>
      <c r="C201" s="827">
        <v>265</v>
      </c>
      <c r="D201" s="827">
        <v>255</v>
      </c>
      <c r="E201" s="827">
        <v>567</v>
      </c>
      <c r="F201" s="827">
        <v>604</v>
      </c>
      <c r="G201" s="827">
        <v>765</v>
      </c>
      <c r="H201" s="827">
        <v>830</v>
      </c>
      <c r="I201" s="827">
        <v>802</v>
      </c>
      <c r="J201" s="827">
        <v>774</v>
      </c>
      <c r="K201" s="827">
        <v>773</v>
      </c>
      <c r="L201" s="827">
        <v>762</v>
      </c>
      <c r="M201" s="827">
        <v>785</v>
      </c>
      <c r="N201" s="827">
        <v>1164</v>
      </c>
      <c r="O201" s="827">
        <v>1111</v>
      </c>
      <c r="P201" s="827">
        <v>1054</v>
      </c>
      <c r="Q201" s="827">
        <v>1031</v>
      </c>
      <c r="R201" s="827">
        <v>1014</v>
      </c>
      <c r="S201" s="827">
        <v>974</v>
      </c>
      <c r="T201" s="827">
        <v>1013</v>
      </c>
      <c r="U201" s="827">
        <v>1069</v>
      </c>
      <c r="V201" s="827">
        <v>1089</v>
      </c>
      <c r="W201" s="827">
        <v>1078</v>
      </c>
      <c r="X201" s="827">
        <v>1101</v>
      </c>
      <c r="Y201" s="827">
        <v>1167</v>
      </c>
      <c r="Z201" s="827">
        <v>1142</v>
      </c>
      <c r="AA201" s="827">
        <v>1082</v>
      </c>
      <c r="AB201" s="827">
        <v>1071</v>
      </c>
      <c r="AC201" s="828">
        <v>1045</v>
      </c>
      <c r="AD201" s="828">
        <v>1045</v>
      </c>
      <c r="AE201" s="828">
        <v>1042</v>
      </c>
      <c r="AF201" s="828">
        <v>1031</v>
      </c>
      <c r="AG201" s="828">
        <v>1009</v>
      </c>
      <c r="AH201" s="828">
        <v>1016</v>
      </c>
      <c r="AI201" s="828">
        <v>1031</v>
      </c>
      <c r="AJ201" s="828">
        <v>994</v>
      </c>
      <c r="AK201" s="828">
        <v>977</v>
      </c>
      <c r="AL201" s="828">
        <v>982</v>
      </c>
      <c r="AM201" s="828">
        <v>898</v>
      </c>
      <c r="AN201" s="828">
        <v>906</v>
      </c>
      <c r="AO201" s="828">
        <v>903</v>
      </c>
      <c r="AP201" s="828">
        <v>915</v>
      </c>
    </row>
    <row r="202" hidden="1" ht="12.75" customHeight="1">
      <c r="B202" s="829" t="s">
        <v>110</v>
      </c>
      <c r="C202" s="823">
        <v>575</v>
      </c>
      <c r="D202" s="823">
        <v>593</v>
      </c>
      <c r="E202" s="823">
        <v>1082</v>
      </c>
      <c r="F202" s="823">
        <v>1136</v>
      </c>
      <c r="G202" s="823">
        <v>1250</v>
      </c>
      <c r="H202" s="823">
        <v>1275</v>
      </c>
      <c r="I202" s="823">
        <v>1306</v>
      </c>
      <c r="J202" s="823">
        <v>1346</v>
      </c>
      <c r="K202" s="823">
        <v>1411</v>
      </c>
      <c r="L202" s="823">
        <v>1416</v>
      </c>
      <c r="M202" s="823">
        <v>1465</v>
      </c>
      <c r="N202" s="823">
        <v>1465</v>
      </c>
      <c r="O202" s="823">
        <v>1486</v>
      </c>
      <c r="P202" s="823">
        <v>1453</v>
      </c>
      <c r="Q202" s="823">
        <v>1572</v>
      </c>
      <c r="R202" s="823">
        <v>1595</v>
      </c>
      <c r="S202" s="823">
        <v>1674</v>
      </c>
      <c r="T202" s="823">
        <v>1658</v>
      </c>
      <c r="U202" s="823">
        <v>1703</v>
      </c>
      <c r="V202" s="823">
        <v>1738</v>
      </c>
      <c r="W202" s="823">
        <v>1760</v>
      </c>
      <c r="X202" s="823">
        <v>1795</v>
      </c>
      <c r="Y202" s="823">
        <v>1818</v>
      </c>
      <c r="Z202" s="823">
        <v>1798</v>
      </c>
      <c r="AA202" s="823">
        <v>1780</v>
      </c>
      <c r="AB202" s="823">
        <v>1828</v>
      </c>
      <c r="AC202" s="825">
        <v>1851</v>
      </c>
      <c r="AD202" s="825">
        <v>1898</v>
      </c>
      <c r="AE202" s="825">
        <v>1911</v>
      </c>
      <c r="AF202" s="825">
        <v>1850</v>
      </c>
      <c r="AG202" s="825">
        <v>1890</v>
      </c>
      <c r="AH202" s="825">
        <v>1884</v>
      </c>
      <c r="AI202" s="825">
        <v>1860</v>
      </c>
      <c r="AJ202" s="825">
        <v>1869</v>
      </c>
      <c r="AK202" s="825">
        <v>1916</v>
      </c>
      <c r="AL202" s="825">
        <v>1886</v>
      </c>
      <c r="AM202" s="825">
        <v>1836</v>
      </c>
      <c r="AN202" s="825">
        <v>1847</v>
      </c>
      <c r="AO202" s="825">
        <v>1831</v>
      </c>
      <c r="AP202" s="825">
        <v>1859</v>
      </c>
    </row>
    <row r="203" hidden="1" ht="12.75" customHeight="1">
      <c r="B203" s="826" t="s">
        <v>16</v>
      </c>
      <c r="C203" s="827">
        <v>2326</v>
      </c>
      <c r="D203" s="827">
        <v>2365</v>
      </c>
      <c r="E203" s="827">
        <v>2348</v>
      </c>
      <c r="F203" s="827">
        <v>2356</v>
      </c>
      <c r="G203" s="827">
        <v>2366</v>
      </c>
      <c r="H203" s="827">
        <v>2367</v>
      </c>
      <c r="I203" s="827">
        <v>2352</v>
      </c>
      <c r="J203" s="827">
        <v>2356</v>
      </c>
      <c r="K203" s="827">
        <v>2374</v>
      </c>
      <c r="L203" s="827">
        <v>2393</v>
      </c>
      <c r="M203" s="827">
        <v>2397</v>
      </c>
      <c r="N203" s="827">
        <v>2386</v>
      </c>
      <c r="O203" s="827">
        <v>2386</v>
      </c>
      <c r="P203" s="827">
        <v>2369</v>
      </c>
      <c r="Q203" s="827">
        <v>2380</v>
      </c>
      <c r="R203" s="827">
        <v>2384</v>
      </c>
      <c r="S203" s="827">
        <v>2351</v>
      </c>
      <c r="T203" s="827">
        <v>2351</v>
      </c>
      <c r="U203" s="827">
        <v>2324</v>
      </c>
      <c r="V203" s="827">
        <v>2327</v>
      </c>
      <c r="W203" s="827">
        <v>2321</v>
      </c>
      <c r="X203" s="827">
        <v>2310</v>
      </c>
      <c r="Y203" s="827">
        <v>2332</v>
      </c>
      <c r="Z203" s="827">
        <v>2303</v>
      </c>
      <c r="AA203" s="827">
        <v>2278</v>
      </c>
      <c r="AB203" s="827">
        <v>2264</v>
      </c>
      <c r="AC203" s="828">
        <v>2226</v>
      </c>
      <c r="AD203" s="828">
        <v>2222</v>
      </c>
      <c r="AE203" s="828">
        <v>2208</v>
      </c>
      <c r="AF203" s="828">
        <v>2250</v>
      </c>
      <c r="AG203" s="828">
        <v>2236</v>
      </c>
      <c r="AH203" s="828">
        <v>2218</v>
      </c>
      <c r="AI203" s="828">
        <v>2198</v>
      </c>
      <c r="AJ203" s="828">
        <v>2217</v>
      </c>
      <c r="AK203" s="828">
        <v>2186</v>
      </c>
      <c r="AL203" s="828">
        <v>2129</v>
      </c>
      <c r="AM203" s="828">
        <v>2145</v>
      </c>
      <c r="AN203" s="828">
        <v>2218</v>
      </c>
      <c r="AO203" s="828">
        <v>2280</v>
      </c>
      <c r="AP203" s="828">
        <v>2332</v>
      </c>
    </row>
    <row r="204" hidden="1" ht="12.75" customHeight="1">
      <c r="B204" s="829" t="s">
        <v>17</v>
      </c>
      <c r="C204" s="823">
        <v>6739</v>
      </c>
      <c r="D204" s="823">
        <v>6682</v>
      </c>
      <c r="E204" s="823">
        <v>6839</v>
      </c>
      <c r="F204" s="823">
        <v>6988</v>
      </c>
      <c r="G204" s="823">
        <v>4456</v>
      </c>
      <c r="H204" s="823">
        <v>4651</v>
      </c>
      <c r="I204" s="823">
        <v>4849</v>
      </c>
      <c r="J204" s="823">
        <v>5036</v>
      </c>
      <c r="K204" s="823">
        <v>5233</v>
      </c>
      <c r="L204" s="823">
        <v>5394</v>
      </c>
      <c r="M204" s="823">
        <v>5534</v>
      </c>
      <c r="N204" s="823">
        <v>5618</v>
      </c>
      <c r="O204" s="823">
        <v>5728</v>
      </c>
      <c r="P204" s="823">
        <v>5935</v>
      </c>
      <c r="Q204" s="823">
        <v>5671</v>
      </c>
      <c r="R204" s="823">
        <v>5829</v>
      </c>
      <c r="S204" s="823">
        <v>5414</v>
      </c>
      <c r="T204" s="823">
        <v>5627</v>
      </c>
      <c r="U204" s="823">
        <v>5738</v>
      </c>
      <c r="V204" s="823">
        <v>5927</v>
      </c>
      <c r="W204" s="823">
        <v>5523</v>
      </c>
      <c r="X204" s="823">
        <v>5601</v>
      </c>
      <c r="Y204" s="823">
        <v>5802</v>
      </c>
      <c r="Z204" s="823">
        <v>5932</v>
      </c>
      <c r="AA204" s="823">
        <v>5905</v>
      </c>
      <c r="AB204" s="823">
        <v>5591</v>
      </c>
      <c r="AC204" s="825">
        <v>5726</v>
      </c>
      <c r="AD204" s="825">
        <v>5776</v>
      </c>
      <c r="AE204" s="825">
        <v>5920</v>
      </c>
      <c r="AF204" s="825">
        <v>6012</v>
      </c>
      <c r="AG204" s="825">
        <v>6124</v>
      </c>
      <c r="AH204" s="825">
        <v>6202</v>
      </c>
      <c r="AI204" s="825">
        <v>6309</v>
      </c>
      <c r="AJ204" s="825">
        <v>6390</v>
      </c>
      <c r="AK204" s="825">
        <v>6492</v>
      </c>
      <c r="AL204" s="825">
        <v>6542</v>
      </c>
      <c r="AM204" s="825">
        <v>6674</v>
      </c>
      <c r="AN204" s="825">
        <v>6786</v>
      </c>
      <c r="AO204" s="825">
        <v>7015</v>
      </c>
      <c r="AP204" s="825">
        <v>7186</v>
      </c>
    </row>
    <row r="205" hidden="1" ht="12.75" customHeight="1">
      <c r="B205" s="826" t="s">
        <v>18</v>
      </c>
      <c r="C205" s="827">
        <v>29629</v>
      </c>
      <c r="D205" s="827">
        <v>28549</v>
      </c>
      <c r="E205" s="827">
        <v>28898</v>
      </c>
      <c r="F205" s="827">
        <v>29414</v>
      </c>
      <c r="G205" s="827">
        <v>27077</v>
      </c>
      <c r="H205" s="827">
        <v>27666</v>
      </c>
      <c r="I205" s="827">
        <v>26049</v>
      </c>
      <c r="J205" s="827">
        <v>25880</v>
      </c>
      <c r="K205" s="827">
        <v>25375</v>
      </c>
      <c r="L205" s="827">
        <v>24530</v>
      </c>
      <c r="M205" s="827">
        <v>24147</v>
      </c>
      <c r="N205" s="827">
        <v>23924</v>
      </c>
      <c r="O205" s="827">
        <v>23791</v>
      </c>
      <c r="P205" s="827">
        <v>23328</v>
      </c>
      <c r="Q205" s="827">
        <v>23571</v>
      </c>
      <c r="R205" s="827">
        <v>23400</v>
      </c>
      <c r="S205" s="827">
        <v>23492</v>
      </c>
      <c r="T205" s="827">
        <v>23220</v>
      </c>
      <c r="U205" s="827">
        <v>23361</v>
      </c>
      <c r="V205" s="827">
        <v>23021</v>
      </c>
      <c r="W205" s="827">
        <v>22309</v>
      </c>
      <c r="X205" s="827">
        <v>22199</v>
      </c>
      <c r="Y205" s="827">
        <v>22323</v>
      </c>
      <c r="Z205" s="827">
        <v>22398</v>
      </c>
      <c r="AA205" s="827">
        <v>21618</v>
      </c>
      <c r="AB205" s="827">
        <v>21567</v>
      </c>
      <c r="AC205" s="828">
        <v>21477</v>
      </c>
      <c r="AD205" s="828">
        <v>21411</v>
      </c>
      <c r="AE205" s="828">
        <v>21555</v>
      </c>
      <c r="AF205" s="828">
        <v>21406</v>
      </c>
      <c r="AG205" s="828">
        <v>20606</v>
      </c>
      <c r="AH205" s="828">
        <v>20286</v>
      </c>
      <c r="AI205" s="828">
        <v>18387</v>
      </c>
      <c r="AJ205" s="828">
        <v>17930</v>
      </c>
      <c r="AK205" s="828">
        <v>17159</v>
      </c>
      <c r="AL205" s="828">
        <v>16998</v>
      </c>
      <c r="AM205" s="828">
        <v>16988</v>
      </c>
      <c r="AN205" s="828">
        <v>17004</v>
      </c>
      <c r="AO205" s="828">
        <v>16629</v>
      </c>
      <c r="AP205" s="828">
        <v>16394</v>
      </c>
    </row>
    <row r="206" hidden="1" ht="12.75" customHeight="1">
      <c r="B206" s="829" t="s">
        <v>19</v>
      </c>
      <c r="C206" s="823">
        <v>142</v>
      </c>
      <c r="D206" s="823">
        <v>137</v>
      </c>
      <c r="E206" s="823">
        <v>138</v>
      </c>
      <c r="F206" s="823">
        <v>138</v>
      </c>
      <c r="G206" s="823">
        <v>144</v>
      </c>
      <c r="H206" s="823">
        <v>148</v>
      </c>
      <c r="I206" s="823">
        <v>162</v>
      </c>
      <c r="J206" s="823">
        <v>175</v>
      </c>
      <c r="K206" s="823">
        <v>180</v>
      </c>
      <c r="L206" s="823">
        <v>188</v>
      </c>
      <c r="M206" s="823">
        <v>183</v>
      </c>
      <c r="N206" s="823">
        <v>194</v>
      </c>
      <c r="O206" s="823">
        <v>204</v>
      </c>
      <c r="P206" s="823">
        <v>216</v>
      </c>
      <c r="Q206" s="823">
        <v>179</v>
      </c>
      <c r="R206" s="823">
        <v>184</v>
      </c>
      <c r="S206" s="823">
        <v>198</v>
      </c>
      <c r="T206" s="823">
        <v>207</v>
      </c>
      <c r="U206" s="823">
        <v>208</v>
      </c>
      <c r="V206" s="823">
        <v>222</v>
      </c>
      <c r="W206" s="823">
        <v>216</v>
      </c>
      <c r="X206" s="823">
        <v>224</v>
      </c>
      <c r="Y206" s="823">
        <v>223</v>
      </c>
      <c r="Z206" s="823">
        <v>224</v>
      </c>
      <c r="AA206" s="823">
        <v>222</v>
      </c>
      <c r="AB206" s="823">
        <v>227</v>
      </c>
      <c r="AC206" s="825">
        <v>231</v>
      </c>
      <c r="AD206" s="825">
        <v>237</v>
      </c>
      <c r="AE206" s="825">
        <v>229</v>
      </c>
      <c r="AF206" s="825">
        <v>234</v>
      </c>
      <c r="AG206" s="825">
        <v>238</v>
      </c>
      <c r="AH206" s="825">
        <v>245</v>
      </c>
      <c r="AI206" s="825">
        <v>249</v>
      </c>
      <c r="AJ206" s="825">
        <v>180</v>
      </c>
      <c r="AK206" s="825">
        <v>197</v>
      </c>
      <c r="AL206" s="825">
        <v>217</v>
      </c>
      <c r="AM206" s="825">
        <v>224</v>
      </c>
      <c r="AN206" s="825">
        <v>235</v>
      </c>
      <c r="AO206" s="825">
        <v>242</v>
      </c>
      <c r="AP206" s="825">
        <v>264</v>
      </c>
    </row>
    <row r="207" hidden="1" ht="12.75" customHeight="1">
      <c r="B207" s="826" t="s">
        <v>20</v>
      </c>
      <c r="C207" s="827">
        <v>1722</v>
      </c>
      <c r="D207" s="827">
        <v>1734</v>
      </c>
      <c r="E207" s="827">
        <v>1970</v>
      </c>
      <c r="F207" s="827">
        <v>1999</v>
      </c>
      <c r="G207" s="827">
        <v>1830</v>
      </c>
      <c r="H207" s="827">
        <v>1914</v>
      </c>
      <c r="I207" s="827">
        <v>1897</v>
      </c>
      <c r="J207" s="827">
        <v>1937</v>
      </c>
      <c r="K207" s="827">
        <v>1821</v>
      </c>
      <c r="L207" s="827">
        <v>1837</v>
      </c>
      <c r="M207" s="827">
        <v>1643</v>
      </c>
      <c r="N207" s="827">
        <v>1638</v>
      </c>
      <c r="O207" s="827">
        <v>1691</v>
      </c>
      <c r="P207" s="827">
        <v>1706</v>
      </c>
      <c r="Q207" s="827">
        <v>1731</v>
      </c>
      <c r="R207" s="827">
        <v>1754</v>
      </c>
      <c r="S207" s="827">
        <v>1518</v>
      </c>
      <c r="T207" s="827">
        <v>1543</v>
      </c>
      <c r="U207" s="827">
        <v>1531</v>
      </c>
      <c r="V207" s="827">
        <v>1565</v>
      </c>
      <c r="W207" s="827">
        <v>1451</v>
      </c>
      <c r="X207" s="827">
        <v>1464</v>
      </c>
      <c r="Y207" s="827">
        <v>1485</v>
      </c>
      <c r="Z207" s="827">
        <v>1495</v>
      </c>
      <c r="AA207" s="827">
        <v>1519</v>
      </c>
      <c r="AB207" s="827">
        <v>1531</v>
      </c>
      <c r="AC207" s="828">
        <v>1549</v>
      </c>
      <c r="AD207" s="828">
        <v>1572</v>
      </c>
      <c r="AE207" s="828">
        <v>1594</v>
      </c>
      <c r="AF207" s="828">
        <v>1613</v>
      </c>
      <c r="AG207" s="828">
        <v>1263</v>
      </c>
      <c r="AH207" s="828">
        <v>1252</v>
      </c>
      <c r="AI207" s="828">
        <v>1255</v>
      </c>
      <c r="AJ207" s="828">
        <v>1248</v>
      </c>
      <c r="AK207" s="828">
        <v>1249</v>
      </c>
      <c r="AL207" s="828">
        <v>1231</v>
      </c>
      <c r="AM207" s="828">
        <v>1201</v>
      </c>
      <c r="AN207" s="828">
        <v>1206</v>
      </c>
      <c r="AO207" s="828">
        <v>1199</v>
      </c>
      <c r="AP207" s="828">
        <v>1182</v>
      </c>
    </row>
    <row r="208" hidden="1" ht="12.75" customHeight="1">
      <c r="B208" s="829" t="s">
        <v>21</v>
      </c>
      <c r="C208" s="823">
        <v>598</v>
      </c>
      <c r="D208" s="823">
        <v>528</v>
      </c>
      <c r="E208" s="823">
        <v>503</v>
      </c>
      <c r="F208" s="823">
        <v>516</v>
      </c>
      <c r="G208" s="823">
        <v>473</v>
      </c>
      <c r="H208" s="823">
        <v>490</v>
      </c>
      <c r="I208" s="823">
        <v>501</v>
      </c>
      <c r="J208" s="823">
        <v>538</v>
      </c>
      <c r="K208" s="823">
        <v>562</v>
      </c>
      <c r="L208" s="823">
        <v>571</v>
      </c>
      <c r="M208" s="823">
        <v>602</v>
      </c>
      <c r="N208" s="823">
        <v>587</v>
      </c>
      <c r="O208" s="823">
        <v>633</v>
      </c>
      <c r="P208" s="823">
        <v>639</v>
      </c>
      <c r="Q208" s="823">
        <v>676</v>
      </c>
      <c r="R208" s="823">
        <v>688</v>
      </c>
      <c r="S208" s="823">
        <v>702</v>
      </c>
      <c r="T208" s="823">
        <v>721</v>
      </c>
      <c r="U208" s="823">
        <v>733</v>
      </c>
      <c r="V208" s="823">
        <v>732</v>
      </c>
      <c r="W208" s="823">
        <v>668</v>
      </c>
      <c r="X208" s="823">
        <v>692</v>
      </c>
      <c r="Y208" s="823">
        <v>695</v>
      </c>
      <c r="Z208" s="823">
        <v>676</v>
      </c>
      <c r="AA208" s="823">
        <v>629</v>
      </c>
      <c r="AB208" s="823">
        <v>656</v>
      </c>
      <c r="AC208" s="825">
        <v>651</v>
      </c>
      <c r="AD208" s="825">
        <v>679</v>
      </c>
      <c r="AE208" s="825">
        <v>748</v>
      </c>
      <c r="AF208" s="825">
        <v>780</v>
      </c>
      <c r="AG208" s="825">
        <v>800</v>
      </c>
      <c r="AH208" s="825">
        <v>800</v>
      </c>
      <c r="AI208" s="825">
        <v>811</v>
      </c>
      <c r="AJ208" s="825">
        <v>818</v>
      </c>
      <c r="AK208" s="825">
        <v>789</v>
      </c>
      <c r="AL208" s="825">
        <v>803</v>
      </c>
      <c r="AM208" s="825">
        <v>809</v>
      </c>
      <c r="AN208" s="825">
        <v>830</v>
      </c>
      <c r="AO208" s="825">
        <v>852</v>
      </c>
      <c r="AP208" s="825">
        <v>878</v>
      </c>
    </row>
    <row r="209" hidden="1" ht="12.75" customHeight="1">
      <c r="B209" s="826" t="s">
        <v>22</v>
      </c>
      <c r="C209" s="827">
        <v>282</v>
      </c>
      <c r="D209" s="827">
        <v>299</v>
      </c>
      <c r="E209" s="827">
        <v>332</v>
      </c>
      <c r="F209" s="827">
        <v>359</v>
      </c>
      <c r="G209" s="827">
        <v>411</v>
      </c>
      <c r="H209" s="827">
        <v>437</v>
      </c>
      <c r="I209" s="827">
        <v>419</v>
      </c>
      <c r="J209" s="827">
        <v>440</v>
      </c>
      <c r="K209" s="827">
        <v>520</v>
      </c>
      <c r="L209" s="827">
        <v>729</v>
      </c>
      <c r="M209" s="827">
        <v>1436</v>
      </c>
      <c r="N209" s="827">
        <v>1554</v>
      </c>
      <c r="O209" s="827">
        <v>1800</v>
      </c>
      <c r="P209" s="827">
        <v>1928</v>
      </c>
      <c r="Q209" s="827">
        <v>2077</v>
      </c>
      <c r="R209" s="827">
        <v>2182</v>
      </c>
      <c r="S209" s="827">
        <v>2471</v>
      </c>
      <c r="T209" s="827">
        <v>2683</v>
      </c>
      <c r="U209" s="827">
        <v>2630</v>
      </c>
      <c r="V209" s="827">
        <v>2753</v>
      </c>
      <c r="W209" s="827">
        <v>3020</v>
      </c>
      <c r="X209" s="827">
        <v>3026</v>
      </c>
      <c r="Y209" s="827">
        <v>3005</v>
      </c>
      <c r="Z209" s="827">
        <v>3128</v>
      </c>
      <c r="AA209" s="827">
        <v>3075</v>
      </c>
      <c r="AB209" s="827">
        <v>3116</v>
      </c>
      <c r="AC209" s="828">
        <v>3038</v>
      </c>
      <c r="AD209" s="828">
        <v>3056</v>
      </c>
      <c r="AE209" s="828">
        <v>3140</v>
      </c>
      <c r="AF209" s="828">
        <v>3284</v>
      </c>
      <c r="AG209" s="828">
        <v>3495</v>
      </c>
      <c r="AH209" s="828">
        <v>3526</v>
      </c>
      <c r="AI209" s="828">
        <v>3526</v>
      </c>
      <c r="AJ209" s="828">
        <v>3501</v>
      </c>
      <c r="AK209" s="828">
        <v>3439</v>
      </c>
      <c r="AL209" s="828">
        <v>3451</v>
      </c>
      <c r="AM209" s="828">
        <v>3455</v>
      </c>
      <c r="AN209" s="828">
        <v>3604</v>
      </c>
      <c r="AO209" s="828">
        <v>3683</v>
      </c>
      <c r="AP209" s="828">
        <v>3789</v>
      </c>
    </row>
    <row r="210" hidden="1" ht="12.75" customHeight="1">
      <c r="B210" s="829" t="s">
        <v>23</v>
      </c>
      <c r="C210" s="823">
        <v>252</v>
      </c>
      <c r="D210" s="823">
        <v>253</v>
      </c>
      <c r="E210" s="823">
        <v>250</v>
      </c>
      <c r="F210" s="823">
        <v>233</v>
      </c>
      <c r="G210" s="823">
        <v>237</v>
      </c>
      <c r="H210" s="823">
        <v>246</v>
      </c>
      <c r="I210" s="823">
        <v>238</v>
      </c>
      <c r="J210" s="823">
        <v>218</v>
      </c>
      <c r="K210" s="823">
        <v>221</v>
      </c>
      <c r="L210" s="823">
        <v>223</v>
      </c>
      <c r="M210" s="823">
        <v>225</v>
      </c>
      <c r="N210" s="823">
        <v>233</v>
      </c>
      <c r="O210" s="823">
        <v>238</v>
      </c>
      <c r="P210" s="823">
        <v>239</v>
      </c>
      <c r="Q210" s="823">
        <v>225</v>
      </c>
      <c r="R210" s="823">
        <v>235</v>
      </c>
      <c r="S210" s="823">
        <v>243</v>
      </c>
      <c r="T210" s="823">
        <v>219</v>
      </c>
      <c r="U210" s="823">
        <v>229</v>
      </c>
      <c r="V210" s="823">
        <v>224</v>
      </c>
      <c r="W210" s="823">
        <v>231</v>
      </c>
      <c r="X210" s="823">
        <v>218</v>
      </c>
      <c r="Y210" s="823">
        <v>226</v>
      </c>
      <c r="Z210" s="823">
        <v>217</v>
      </c>
      <c r="AA210" s="823">
        <v>218</v>
      </c>
      <c r="AB210" s="823">
        <v>208</v>
      </c>
      <c r="AC210" s="825">
        <v>218</v>
      </c>
      <c r="AD210" s="825">
        <v>216</v>
      </c>
      <c r="AE210" s="825">
        <v>216</v>
      </c>
      <c r="AF210" s="825">
        <v>202</v>
      </c>
      <c r="AG210" s="825">
        <v>214</v>
      </c>
      <c r="AH210" s="825">
        <v>219</v>
      </c>
      <c r="AI210" s="825">
        <v>233</v>
      </c>
      <c r="AJ210" s="825">
        <v>218</v>
      </c>
      <c r="AK210" s="825">
        <v>221</v>
      </c>
      <c r="AL210" s="825">
        <v>199</v>
      </c>
      <c r="AM210" s="825">
        <v>213</v>
      </c>
      <c r="AN210" s="825">
        <v>201</v>
      </c>
      <c r="AO210" s="825">
        <v>208</v>
      </c>
      <c r="AP210" s="825">
        <v>222</v>
      </c>
    </row>
    <row r="211" hidden="1" ht="12.75" customHeight="1">
      <c r="B211" s="835" t="s">
        <v>24</v>
      </c>
      <c r="C211" s="827">
        <v>1056</v>
      </c>
      <c r="D211" s="827">
        <v>1023</v>
      </c>
      <c r="E211" s="827">
        <v>947</v>
      </c>
      <c r="F211" s="827">
        <v>907</v>
      </c>
      <c r="G211" s="827">
        <v>879</v>
      </c>
      <c r="H211" s="827">
        <v>856</v>
      </c>
      <c r="I211" s="827">
        <v>862</v>
      </c>
      <c r="J211" s="827">
        <v>856</v>
      </c>
      <c r="K211" s="827">
        <v>852</v>
      </c>
      <c r="L211" s="827">
        <v>837</v>
      </c>
      <c r="M211" s="827">
        <v>833</v>
      </c>
      <c r="N211" s="827">
        <v>829</v>
      </c>
      <c r="O211" s="827">
        <v>816</v>
      </c>
      <c r="P211" s="827">
        <v>813</v>
      </c>
      <c r="Q211" s="827">
        <v>807</v>
      </c>
      <c r="R211" s="827">
        <v>838</v>
      </c>
      <c r="S211" s="827">
        <v>840</v>
      </c>
      <c r="T211" s="827">
        <v>843</v>
      </c>
      <c r="U211" s="827">
        <v>841</v>
      </c>
      <c r="V211" s="827">
        <v>863</v>
      </c>
      <c r="W211" s="827">
        <v>896</v>
      </c>
      <c r="X211" s="827">
        <v>934</v>
      </c>
      <c r="Y211" s="827">
        <v>927</v>
      </c>
      <c r="Z211" s="827">
        <v>943</v>
      </c>
      <c r="AA211" s="827">
        <v>929</v>
      </c>
      <c r="AB211" s="827">
        <v>921</v>
      </c>
      <c r="AC211" s="828">
        <v>915</v>
      </c>
      <c r="AD211" s="828">
        <v>918</v>
      </c>
      <c r="AE211" s="828">
        <v>918</v>
      </c>
      <c r="AF211" s="828">
        <v>925</v>
      </c>
      <c r="AG211" s="828">
        <v>918</v>
      </c>
      <c r="AH211" s="828">
        <v>942</v>
      </c>
      <c r="AI211" s="828">
        <v>966</v>
      </c>
      <c r="AJ211" s="828">
        <v>980</v>
      </c>
      <c r="AK211" s="828">
        <v>949</v>
      </c>
      <c r="AL211" s="828">
        <v>966</v>
      </c>
      <c r="AM211" s="828">
        <v>932</v>
      </c>
      <c r="AN211" s="828">
        <v>943</v>
      </c>
      <c r="AO211" s="828">
        <v>969</v>
      </c>
      <c r="AP211" s="828">
        <v>1003</v>
      </c>
    </row>
    <row r="212" hidden="1" ht="12.75" customHeight="1">
      <c r="B212" s="829" t="s">
        <v>25</v>
      </c>
      <c r="C212" s="823">
        <v>0</v>
      </c>
      <c r="D212" s="823">
        <v>0</v>
      </c>
      <c r="E212" s="823">
        <v>0</v>
      </c>
      <c r="F212" s="823">
        <v>0</v>
      </c>
      <c r="G212" s="823">
        <v>0</v>
      </c>
      <c r="H212" s="823">
        <v>4</v>
      </c>
      <c r="I212" s="823">
        <v>4</v>
      </c>
      <c r="J212" s="823">
        <v>4</v>
      </c>
      <c r="K212" s="823">
        <v>4</v>
      </c>
      <c r="L212" s="823">
        <v>4</v>
      </c>
      <c r="M212" s="823">
        <v>4</v>
      </c>
      <c r="N212" s="823">
        <v>4</v>
      </c>
      <c r="O212" s="823">
        <v>4</v>
      </c>
      <c r="P212" s="823">
        <v>4</v>
      </c>
      <c r="Q212" s="823">
        <v>4</v>
      </c>
      <c r="R212" s="823">
        <v>0</v>
      </c>
      <c r="S212" s="823">
        <v>0</v>
      </c>
      <c r="T212" s="823">
        <v>0</v>
      </c>
      <c r="U212" s="823">
        <v>0</v>
      </c>
      <c r="V212" s="823">
        <v>0</v>
      </c>
      <c r="W212" s="823">
        <v>0</v>
      </c>
      <c r="X212" s="823">
        <v>0</v>
      </c>
      <c r="Y212" s="823">
        <v>0</v>
      </c>
      <c r="Z212" s="823">
        <v>0</v>
      </c>
      <c r="AA212" s="823">
        <v>0</v>
      </c>
      <c r="AB212" s="823">
        <v>0</v>
      </c>
      <c r="AC212" s="825">
        <v>0</v>
      </c>
      <c r="AD212" s="825">
        <v>0</v>
      </c>
      <c r="AE212" s="825">
        <v>0</v>
      </c>
      <c r="AF212" s="825">
        <v>0</v>
      </c>
      <c r="AG212" s="825">
        <v>0</v>
      </c>
      <c r="AH212" s="825">
        <v>0</v>
      </c>
      <c r="AI212" s="825">
        <v>0</v>
      </c>
      <c r="AJ212" s="825">
        <v>0</v>
      </c>
      <c r="AK212" s="825">
        <v>0</v>
      </c>
      <c r="AL212" s="825">
        <v>0</v>
      </c>
      <c r="AM212" s="825">
        <v>0</v>
      </c>
      <c r="AN212" s="825">
        <v>0</v>
      </c>
      <c r="AO212" s="825">
        <v>0</v>
      </c>
      <c r="AP212" s="825">
        <v>0</v>
      </c>
    </row>
    <row r="213" hidden="1" ht="13.5" customHeight="1">
      <c r="B213" s="836" t="s">
        <v>26</v>
      </c>
      <c r="C213" s="827">
        <v>0</v>
      </c>
      <c r="D213" s="827">
        <v>0</v>
      </c>
      <c r="E213" s="827">
        <v>0</v>
      </c>
      <c r="F213" s="827">
        <v>0</v>
      </c>
      <c r="G213" s="827">
        <v>0</v>
      </c>
      <c r="H213" s="827">
        <v>0</v>
      </c>
      <c r="I213" s="827">
        <v>0</v>
      </c>
      <c r="J213" s="827">
        <v>0</v>
      </c>
      <c r="K213" s="827">
        <v>0</v>
      </c>
      <c r="L213" s="827">
        <v>0</v>
      </c>
      <c r="M213" s="827">
        <v>0</v>
      </c>
      <c r="N213" s="827">
        <v>0</v>
      </c>
      <c r="O213" s="827">
        <v>0</v>
      </c>
      <c r="P213" s="827">
        <v>0</v>
      </c>
      <c r="Q213" s="827">
        <v>0</v>
      </c>
      <c r="R213" s="827">
        <v>0</v>
      </c>
      <c r="S213" s="827">
        <v>0</v>
      </c>
      <c r="T213" s="827">
        <v>0</v>
      </c>
      <c r="U213" s="827">
        <v>0</v>
      </c>
      <c r="V213" s="827">
        <v>0</v>
      </c>
      <c r="W213" s="827">
        <v>0</v>
      </c>
      <c r="X213" s="827">
        <v>0</v>
      </c>
      <c r="Y213" s="827">
        <v>0</v>
      </c>
      <c r="Z213" s="827">
        <v>0</v>
      </c>
      <c r="AA213" s="827">
        <v>0</v>
      </c>
      <c r="AB213" s="837">
        <v>0</v>
      </c>
      <c r="AC213" s="828">
        <v>0</v>
      </c>
      <c r="AD213" s="828">
        <v>0</v>
      </c>
      <c r="AE213" s="828">
        <v>0</v>
      </c>
      <c r="AF213" s="828">
        <v>0</v>
      </c>
      <c r="AG213" s="828">
        <v>0</v>
      </c>
      <c r="AH213" s="828">
        <v>0</v>
      </c>
      <c r="AI213" s="828">
        <v>0</v>
      </c>
      <c r="AJ213" s="828">
        <v>0</v>
      </c>
      <c r="AK213" s="828">
        <v>0</v>
      </c>
      <c r="AL213" s="828">
        <v>0</v>
      </c>
      <c r="AM213" s="828">
        <v>0</v>
      </c>
      <c r="AN213" s="828">
        <v>0</v>
      </c>
      <c r="AO213" s="828">
        <v>0</v>
      </c>
      <c r="AP213" s="828">
        <v>0</v>
      </c>
    </row>
    <row r="214" hidden="1" ht="13.5" customHeight="1">
      <c r="B214" s="128" t="s">
        <v>7</v>
      </c>
      <c r="C214" s="129" t="str">
        <f>IF(SUM(C195:C213)&lt;&gt;0,SUM(C195:C213),"")</f>
      </c>
      <c r="D214" s="129" t="str">
        <f ref="D214:AA214" t="shared" si="10">IF(SUM(D195:D213)&lt;&gt;0,SUM(D195:D213),"")</f>
      </c>
      <c r="E214" s="129" t="str">
        <f t="shared" si="10"/>
      </c>
      <c r="F214" s="129" t="str">
        <f t="shared" si="10"/>
      </c>
      <c r="G214" s="129" t="str">
        <f t="shared" si="10"/>
      </c>
      <c r="H214" s="129" t="str">
        <f t="shared" si="10"/>
      </c>
      <c r="I214" s="129" t="str">
        <f t="shared" si="10"/>
      </c>
      <c r="J214" s="129" t="str">
        <f t="shared" si="10"/>
      </c>
      <c r="K214" s="129" t="str">
        <f t="shared" si="10"/>
      </c>
      <c r="L214" s="129" t="str">
        <f t="shared" si="10"/>
      </c>
      <c r="M214" s="129" t="str">
        <f t="shared" si="10"/>
      </c>
      <c r="N214" s="129" t="str">
        <f t="shared" si="10"/>
      </c>
      <c r="O214" s="129" t="str">
        <f t="shared" si="10"/>
      </c>
      <c r="P214" s="129" t="str">
        <f t="shared" si="10"/>
      </c>
      <c r="Q214" s="129" t="str">
        <f t="shared" si="10"/>
      </c>
      <c r="R214" s="129" t="str">
        <f t="shared" si="10"/>
      </c>
      <c r="S214" s="129" t="str">
        <f t="shared" si="10"/>
      </c>
      <c r="T214" s="129" t="str">
        <f t="shared" si="10"/>
      </c>
      <c r="U214" s="129" t="str">
        <f t="shared" si="10"/>
      </c>
      <c r="V214" s="129" t="str">
        <f t="shared" si="10"/>
      </c>
      <c r="W214" s="129" t="str">
        <f t="shared" si="10"/>
      </c>
      <c r="X214" s="129" t="str">
        <f t="shared" si="10"/>
      </c>
      <c r="Y214" s="129" t="str">
        <f t="shared" si="10"/>
      </c>
      <c r="Z214" s="129" t="str">
        <f t="shared" si="10"/>
      </c>
      <c r="AA214" s="129" t="str">
        <f t="shared" si="10"/>
      </c>
      <c r="AB214" s="130" t="str">
        <f>IF(SUM(AB195:AB213)&lt;&gt;0,SUM(AB195:AB213),"")</f>
      </c>
      <c r="AC214" s="91" t="str">
        <f ref="AC214:CN214" t="shared" si="11">IF(SUM(AC195:AC213)&lt;&gt;0,SUM(AC195:AC213),"")</f>
      </c>
      <c r="AD214" s="91" t="str">
        <f t="shared" si="11"/>
      </c>
      <c r="AE214" s="91" t="str">
        <f t="shared" si="11"/>
      </c>
      <c r="AF214" s="91" t="str">
        <f t="shared" si="11"/>
      </c>
      <c r="AG214" s="91" t="str">
        <f t="shared" si="11"/>
      </c>
      <c r="AH214" s="91" t="str">
        <f t="shared" si="11"/>
      </c>
      <c r="AI214" s="91" t="str">
        <f t="shared" si="11"/>
      </c>
      <c r="AJ214" s="91" t="str">
        <f t="shared" si="11"/>
      </c>
      <c r="AK214" s="91" t="str">
        <f t="shared" si="11"/>
      </c>
      <c r="AL214" s="91" t="str">
        <f t="shared" si="11"/>
      </c>
      <c r="AM214" s="91" t="str">
        <f t="shared" si="11"/>
      </c>
      <c r="AN214" s="91" t="str">
        <f t="shared" si="11"/>
      </c>
      <c r="AO214" s="91" t="str">
        <f t="shared" si="11"/>
      </c>
      <c r="AP214" s="91" t="str">
        <f t="shared" si="11"/>
      </c>
      <c r="AQ214" s="91" t="str">
        <f t="shared" si="11"/>
      </c>
      <c r="AR214" s="91" t="str">
        <f t="shared" si="11"/>
      </c>
      <c r="AS214" s="91" t="str">
        <f t="shared" si="11"/>
      </c>
      <c r="AT214" s="91" t="str">
        <f t="shared" si="11"/>
      </c>
      <c r="AU214" s="91" t="str">
        <f t="shared" si="11"/>
      </c>
      <c r="AV214" s="91" t="str">
        <f t="shared" si="11"/>
      </c>
      <c r="AW214" s="91" t="str">
        <f t="shared" si="11"/>
      </c>
      <c r="AX214" s="91" t="str">
        <f t="shared" si="11"/>
      </c>
      <c r="AY214" s="91" t="str">
        <f t="shared" si="11"/>
      </c>
      <c r="AZ214" s="91" t="str">
        <f t="shared" si="11"/>
      </c>
      <c r="BA214" s="91" t="str">
        <f t="shared" si="11"/>
      </c>
      <c r="BB214" s="91" t="str">
        <f t="shared" si="11"/>
      </c>
      <c r="BC214" s="91" t="str">
        <f t="shared" si="11"/>
      </c>
      <c r="BD214" s="91" t="str">
        <f t="shared" si="11"/>
      </c>
      <c r="BE214" s="91" t="str">
        <f t="shared" si="11"/>
      </c>
      <c r="BF214" s="91" t="str">
        <f t="shared" si="11"/>
      </c>
      <c r="BG214" s="91" t="str">
        <f t="shared" si="11"/>
      </c>
      <c r="BH214" s="91" t="str">
        <f t="shared" si="11"/>
      </c>
      <c r="BI214" s="91" t="str">
        <f t="shared" si="11"/>
      </c>
      <c r="BJ214" s="91" t="str">
        <f t="shared" si="11"/>
      </c>
      <c r="BK214" s="91" t="str">
        <f t="shared" si="11"/>
      </c>
      <c r="BL214" s="91" t="str">
        <f t="shared" si="11"/>
      </c>
      <c r="BM214" s="91" t="str">
        <f t="shared" si="11"/>
      </c>
      <c r="BN214" s="91" t="str">
        <f t="shared" si="11"/>
      </c>
      <c r="BO214" s="91" t="str">
        <f t="shared" si="11"/>
      </c>
      <c r="BP214" s="91" t="str">
        <f t="shared" si="11"/>
      </c>
      <c r="BQ214" s="91" t="str">
        <f t="shared" si="11"/>
      </c>
      <c r="BR214" s="91" t="str">
        <f t="shared" si="11"/>
      </c>
      <c r="BS214" s="91" t="str">
        <f t="shared" si="11"/>
      </c>
      <c r="BT214" s="91" t="str">
        <f t="shared" si="11"/>
      </c>
      <c r="BU214" s="91" t="str">
        <f t="shared" si="11"/>
      </c>
      <c r="BV214" s="91" t="str">
        <f t="shared" si="11"/>
      </c>
      <c r="BW214" s="91" t="str">
        <f t="shared" si="11"/>
      </c>
      <c r="BX214" s="91" t="str">
        <f t="shared" si="11"/>
      </c>
      <c r="BY214" s="91" t="str">
        <f t="shared" si="11"/>
      </c>
      <c r="BZ214" s="91" t="str">
        <f t="shared" si="11"/>
      </c>
      <c r="CA214" s="91" t="str">
        <f t="shared" si="11"/>
      </c>
      <c r="CB214" s="91" t="str">
        <f t="shared" si="11"/>
      </c>
      <c r="CC214" s="91" t="str">
        <f t="shared" si="11"/>
      </c>
      <c r="CD214" s="91" t="str">
        <f t="shared" si="11"/>
      </c>
      <c r="CE214" s="91" t="str">
        <f t="shared" si="11"/>
      </c>
      <c r="CF214" s="91" t="str">
        <f t="shared" si="11"/>
      </c>
      <c r="CG214" s="91" t="str">
        <f t="shared" si="11"/>
      </c>
      <c r="CH214" s="91" t="str">
        <f t="shared" si="11"/>
      </c>
      <c r="CI214" s="91" t="str">
        <f t="shared" si="11"/>
      </c>
      <c r="CJ214" s="91" t="str">
        <f t="shared" si="11"/>
      </c>
      <c r="CK214" s="91" t="str">
        <f t="shared" si="11"/>
      </c>
      <c r="CL214" s="91" t="str">
        <f t="shared" si="11"/>
      </c>
      <c r="CM214" s="91" t="str">
        <f t="shared" si="11"/>
      </c>
      <c r="CN214" s="91" t="str">
        <f t="shared" si="11"/>
      </c>
      <c r="CO214" s="91" t="str">
        <f ref="CO214:EZ214" t="shared" si="12">IF(SUM(CO195:CO213)&lt;&gt;0,SUM(CO195:CO213),"")</f>
      </c>
      <c r="CP214" s="91" t="str">
        <f t="shared" si="12"/>
      </c>
      <c r="CQ214" s="91" t="str">
        <f t="shared" si="12"/>
      </c>
      <c r="CR214" s="91" t="str">
        <f t="shared" si="12"/>
      </c>
      <c r="CS214" s="91" t="str">
        <f t="shared" si="12"/>
      </c>
      <c r="CT214" s="91" t="str">
        <f t="shared" si="12"/>
      </c>
      <c r="CU214" s="91" t="str">
        <f t="shared" si="12"/>
      </c>
      <c r="CV214" s="91" t="str">
        <f t="shared" si="12"/>
      </c>
      <c r="CW214" s="91" t="str">
        <f t="shared" si="12"/>
      </c>
      <c r="CX214" s="91" t="str">
        <f t="shared" si="12"/>
      </c>
      <c r="CY214" s="91" t="str">
        <f t="shared" si="12"/>
      </c>
      <c r="CZ214" s="91" t="str">
        <f t="shared" si="12"/>
      </c>
      <c r="DA214" s="91" t="str">
        <f t="shared" si="12"/>
      </c>
      <c r="DB214" s="91" t="str">
        <f t="shared" si="12"/>
      </c>
      <c r="DC214" s="91" t="str">
        <f t="shared" si="12"/>
      </c>
      <c r="DD214" s="91" t="str">
        <f t="shared" si="12"/>
      </c>
      <c r="DE214" s="91" t="str">
        <f t="shared" si="12"/>
      </c>
      <c r="DF214" s="91" t="str">
        <f t="shared" si="12"/>
      </c>
      <c r="DG214" s="91" t="str">
        <f t="shared" si="12"/>
      </c>
      <c r="DH214" s="91" t="str">
        <f t="shared" si="12"/>
      </c>
      <c r="DI214" s="91" t="str">
        <f t="shared" si="12"/>
      </c>
      <c r="DJ214" s="91" t="str">
        <f t="shared" si="12"/>
      </c>
      <c r="DK214" s="91" t="str">
        <f t="shared" si="12"/>
      </c>
      <c r="DL214" s="91" t="str">
        <f t="shared" si="12"/>
      </c>
      <c r="DM214" s="91" t="str">
        <f t="shared" si="12"/>
      </c>
      <c r="DN214" s="91" t="str">
        <f t="shared" si="12"/>
      </c>
      <c r="DO214" s="91" t="str">
        <f t="shared" si="12"/>
      </c>
      <c r="DP214" s="91" t="str">
        <f t="shared" si="12"/>
      </c>
      <c r="DQ214" s="91" t="str">
        <f t="shared" si="12"/>
      </c>
      <c r="DR214" s="91" t="str">
        <f t="shared" si="12"/>
      </c>
      <c r="DS214" s="91" t="str">
        <f t="shared" si="12"/>
      </c>
      <c r="DT214" s="91" t="str">
        <f t="shared" si="12"/>
      </c>
      <c r="DU214" s="91" t="str">
        <f t="shared" si="12"/>
      </c>
      <c r="DV214" s="91" t="str">
        <f t="shared" si="12"/>
      </c>
      <c r="DW214" s="91" t="str">
        <f t="shared" si="12"/>
      </c>
      <c r="DX214" s="91" t="str">
        <f t="shared" si="12"/>
      </c>
      <c r="DY214" s="91" t="str">
        <f t="shared" si="12"/>
      </c>
      <c r="DZ214" s="91" t="str">
        <f t="shared" si="12"/>
      </c>
      <c r="EA214" s="91" t="str">
        <f t="shared" si="12"/>
      </c>
      <c r="EB214" s="91" t="str">
        <f t="shared" si="12"/>
      </c>
      <c r="EC214" s="91" t="str">
        <f t="shared" si="12"/>
      </c>
      <c r="ED214" s="91" t="str">
        <f t="shared" si="12"/>
      </c>
      <c r="EE214" s="91" t="str">
        <f t="shared" si="12"/>
      </c>
      <c r="EF214" s="91" t="str">
        <f t="shared" si="12"/>
      </c>
      <c r="EG214" s="91" t="str">
        <f t="shared" si="12"/>
      </c>
      <c r="EH214" s="91" t="str">
        <f t="shared" si="12"/>
      </c>
      <c r="EI214" s="91" t="str">
        <f t="shared" si="12"/>
      </c>
      <c r="EJ214" s="91" t="str">
        <f t="shared" si="12"/>
      </c>
      <c r="EK214" s="91" t="str">
        <f t="shared" si="12"/>
      </c>
      <c r="EL214" s="91" t="str">
        <f t="shared" si="12"/>
      </c>
      <c r="EM214" s="91" t="str">
        <f t="shared" si="12"/>
      </c>
      <c r="EN214" s="91" t="str">
        <f t="shared" si="12"/>
      </c>
      <c r="EO214" s="91" t="str">
        <f t="shared" si="12"/>
      </c>
      <c r="EP214" s="91" t="str">
        <f t="shared" si="12"/>
      </c>
      <c r="EQ214" s="91" t="str">
        <f t="shared" si="12"/>
      </c>
      <c r="ER214" s="91" t="str">
        <f t="shared" si="12"/>
      </c>
      <c r="ES214" s="91" t="str">
        <f t="shared" si="12"/>
      </c>
      <c r="ET214" s="91" t="str">
        <f t="shared" si="12"/>
      </c>
      <c r="EU214" s="91" t="str">
        <f t="shared" si="12"/>
      </c>
      <c r="EV214" s="91" t="str">
        <f t="shared" si="12"/>
      </c>
      <c r="EW214" s="91" t="str">
        <f t="shared" si="12"/>
      </c>
      <c r="EX214" s="91" t="str">
        <f t="shared" si="12"/>
      </c>
      <c r="EY214" s="91" t="str">
        <f t="shared" si="12"/>
      </c>
      <c r="EZ214" s="91" t="str">
        <f t="shared" si="12"/>
      </c>
      <c r="FA214" s="91" t="str">
        <f ref="FA214:HL214" t="shared" si="13">IF(SUM(FA195:FA213)&lt;&gt;0,SUM(FA195:FA213),"")</f>
      </c>
      <c r="FB214" s="91" t="str">
        <f t="shared" si="13"/>
      </c>
      <c r="FC214" s="91" t="str">
        <f t="shared" si="13"/>
      </c>
      <c r="FD214" s="91" t="str">
        <f t="shared" si="13"/>
      </c>
      <c r="FE214" s="91" t="str">
        <f t="shared" si="13"/>
      </c>
      <c r="FF214" s="91" t="str">
        <f t="shared" si="13"/>
      </c>
      <c r="FG214" s="91" t="str">
        <f t="shared" si="13"/>
      </c>
      <c r="FH214" s="91" t="str">
        <f t="shared" si="13"/>
      </c>
      <c r="FI214" s="91" t="str">
        <f t="shared" si="13"/>
      </c>
      <c r="FJ214" s="91" t="str">
        <f t="shared" si="13"/>
      </c>
      <c r="FK214" s="91" t="str">
        <f t="shared" si="13"/>
      </c>
      <c r="FL214" s="91" t="str">
        <f t="shared" si="13"/>
      </c>
      <c r="FM214" s="91" t="str">
        <f t="shared" si="13"/>
      </c>
      <c r="FN214" s="91" t="str">
        <f t="shared" si="13"/>
      </c>
      <c r="FO214" s="91" t="str">
        <f t="shared" si="13"/>
      </c>
      <c r="FP214" s="91" t="str">
        <f t="shared" si="13"/>
      </c>
      <c r="FQ214" s="91" t="str">
        <f t="shared" si="13"/>
      </c>
      <c r="FR214" s="91" t="str">
        <f t="shared" si="13"/>
      </c>
      <c r="FS214" s="91" t="str">
        <f t="shared" si="13"/>
      </c>
      <c r="FT214" s="91" t="str">
        <f t="shared" si="13"/>
      </c>
      <c r="FU214" s="91" t="str">
        <f t="shared" si="13"/>
      </c>
      <c r="FV214" s="91" t="str">
        <f t="shared" si="13"/>
      </c>
      <c r="FW214" s="91" t="str">
        <f t="shared" si="13"/>
      </c>
      <c r="FX214" s="91" t="str">
        <f t="shared" si="13"/>
      </c>
      <c r="FY214" s="91" t="str">
        <f t="shared" si="13"/>
      </c>
      <c r="FZ214" s="91" t="str">
        <f t="shared" si="13"/>
      </c>
      <c r="GA214" s="91" t="str">
        <f t="shared" si="13"/>
      </c>
      <c r="GB214" s="91" t="str">
        <f t="shared" si="13"/>
      </c>
      <c r="GC214" s="91" t="str">
        <f t="shared" si="13"/>
      </c>
      <c r="GD214" s="91" t="str">
        <f t="shared" si="13"/>
      </c>
      <c r="GE214" s="91" t="str">
        <f t="shared" si="13"/>
      </c>
      <c r="GF214" s="91" t="str">
        <f t="shared" si="13"/>
      </c>
      <c r="GG214" s="91" t="str">
        <f t="shared" si="13"/>
      </c>
      <c r="GH214" s="91" t="str">
        <f t="shared" si="13"/>
      </c>
      <c r="GI214" s="91" t="str">
        <f t="shared" si="13"/>
      </c>
      <c r="GJ214" s="91" t="str">
        <f t="shared" si="13"/>
      </c>
      <c r="GK214" s="91" t="str">
        <f t="shared" si="13"/>
      </c>
      <c r="GL214" s="91" t="str">
        <f t="shared" si="13"/>
      </c>
      <c r="GM214" s="91" t="str">
        <f t="shared" si="13"/>
      </c>
      <c r="GN214" s="91" t="str">
        <f t="shared" si="13"/>
      </c>
      <c r="GO214" s="91" t="str">
        <f t="shared" si="13"/>
      </c>
      <c r="GP214" s="91" t="str">
        <f t="shared" si="13"/>
      </c>
      <c r="GQ214" s="91" t="str">
        <f t="shared" si="13"/>
      </c>
      <c r="GR214" s="91" t="str">
        <f t="shared" si="13"/>
      </c>
      <c r="GS214" s="91" t="str">
        <f t="shared" si="13"/>
      </c>
      <c r="GT214" s="91" t="str">
        <f t="shared" si="13"/>
      </c>
      <c r="GU214" s="91" t="str">
        <f t="shared" si="13"/>
      </c>
      <c r="GV214" s="91" t="str">
        <f t="shared" si="13"/>
      </c>
      <c r="GW214" s="91" t="str">
        <f t="shared" si="13"/>
      </c>
      <c r="GX214" s="91" t="str">
        <f t="shared" si="13"/>
      </c>
      <c r="GY214" s="91" t="str">
        <f t="shared" si="13"/>
      </c>
      <c r="GZ214" s="91" t="str">
        <f t="shared" si="13"/>
      </c>
      <c r="HA214" s="91" t="str">
        <f t="shared" si="13"/>
      </c>
      <c r="HB214" s="91" t="str">
        <f t="shared" si="13"/>
      </c>
      <c r="HC214" s="91" t="str">
        <f t="shared" si="13"/>
      </c>
      <c r="HD214" s="91" t="str">
        <f t="shared" si="13"/>
      </c>
      <c r="HE214" s="91" t="str">
        <f t="shared" si="13"/>
      </c>
      <c r="HF214" s="91" t="str">
        <f t="shared" si="13"/>
      </c>
      <c r="HG214" s="91" t="str">
        <f t="shared" si="13"/>
      </c>
      <c r="HH214" s="91" t="str">
        <f t="shared" si="13"/>
      </c>
      <c r="HI214" s="91" t="str">
        <f t="shared" si="13"/>
      </c>
      <c r="HJ214" s="91" t="str">
        <f t="shared" si="13"/>
      </c>
      <c r="HK214" s="91" t="str">
        <f t="shared" si="13"/>
      </c>
      <c r="HL214" s="91" t="str">
        <f t="shared" si="13"/>
      </c>
      <c r="HM214" s="91" t="str">
        <f ref="HM214:IV214" t="shared" si="14">IF(SUM(HM195:HM213)&lt;&gt;0,SUM(HM195:HM213),"")</f>
      </c>
      <c r="HN214" s="91" t="str">
        <f t="shared" si="14"/>
      </c>
      <c r="HO214" s="91" t="str">
        <f t="shared" si="14"/>
      </c>
      <c r="HP214" s="91" t="str">
        <f t="shared" si="14"/>
      </c>
      <c r="HQ214" s="91" t="str">
        <f t="shared" si="14"/>
      </c>
      <c r="HR214" s="91" t="str">
        <f t="shared" si="14"/>
      </c>
      <c r="HS214" s="91" t="str">
        <f t="shared" si="14"/>
      </c>
      <c r="HT214" s="91" t="str">
        <f t="shared" si="14"/>
      </c>
      <c r="HU214" s="91" t="str">
        <f t="shared" si="14"/>
      </c>
      <c r="HV214" s="91" t="str">
        <f t="shared" si="14"/>
      </c>
      <c r="HW214" s="91" t="str">
        <f t="shared" si="14"/>
      </c>
      <c r="HX214" s="91" t="str">
        <f t="shared" si="14"/>
      </c>
      <c r="HY214" s="91" t="str">
        <f t="shared" si="14"/>
      </c>
      <c r="HZ214" s="91" t="str">
        <f t="shared" si="14"/>
      </c>
      <c r="IA214" s="91" t="str">
        <f t="shared" si="14"/>
      </c>
      <c r="IB214" s="91" t="str">
        <f t="shared" si="14"/>
      </c>
      <c r="IC214" s="91" t="str">
        <f t="shared" si="14"/>
      </c>
      <c r="ID214" s="91" t="str">
        <f t="shared" si="14"/>
      </c>
      <c r="IE214" s="91" t="str">
        <f t="shared" si="14"/>
      </c>
      <c r="IF214" s="91" t="str">
        <f t="shared" si="14"/>
      </c>
      <c r="IG214" s="91" t="str">
        <f t="shared" si="14"/>
      </c>
      <c r="IH214" s="91" t="str">
        <f t="shared" si="14"/>
      </c>
      <c r="II214" s="91" t="str">
        <f t="shared" si="14"/>
      </c>
      <c r="IJ214" s="91" t="str">
        <f t="shared" si="14"/>
      </c>
      <c r="IK214" s="91" t="str">
        <f t="shared" si="14"/>
      </c>
      <c r="IL214" s="91" t="str">
        <f t="shared" si="14"/>
      </c>
      <c r="IM214" s="91" t="str">
        <f t="shared" si="14"/>
      </c>
      <c r="IN214" s="91" t="str">
        <f t="shared" si="14"/>
      </c>
      <c r="IO214" s="91" t="str">
        <f t="shared" si="14"/>
      </c>
      <c r="IP214" s="91" t="str">
        <f t="shared" si="14"/>
      </c>
      <c r="IQ214" s="91" t="str">
        <f t="shared" si="14"/>
      </c>
      <c r="IR214" s="91" t="str">
        <f t="shared" si="14"/>
      </c>
      <c r="IS214" s="91" t="str">
        <f t="shared" si="14"/>
      </c>
      <c r="IT214" s="91" t="str">
        <f t="shared" si="14"/>
      </c>
      <c r="IU214" s="91" t="str">
        <f t="shared" si="14"/>
      </c>
      <c r="IV214" s="91" t="str">
        <f t="shared" si="14"/>
      </c>
    </row>
    <row r="215" hidden="1" ht="15" customHeight="1">
      <c r="B215" s="297"/>
      <c r="C215" s="219"/>
      <c r="D215" s="219"/>
      <c r="E215" s="219"/>
      <c r="F215" s="219"/>
      <c r="G215" s="219"/>
      <c r="H215" s="219"/>
      <c r="I215" s="219"/>
      <c r="J215" s="219"/>
      <c r="K215" s="219"/>
    </row>
    <row r="216" hidden="1" ht="13.5" customHeight="1"/>
    <row r="217" hidden="1" ht="13.5" customHeight="1">
      <c r="C217" s="686" t="s">
        <v>242</v>
      </c>
      <c r="D217" s="687"/>
      <c r="E217" s="687"/>
      <c r="F217" s="687"/>
      <c r="G217" s="687"/>
      <c r="H217" s="687"/>
      <c r="I217" s="687"/>
      <c r="J217" s="687"/>
      <c r="K217" s="687"/>
      <c r="L217" s="687"/>
      <c r="M217" s="687"/>
      <c r="N217" s="687"/>
      <c r="O217" s="687"/>
      <c r="P217" s="687"/>
      <c r="Q217" s="687"/>
      <c r="R217" s="687"/>
      <c r="S217" s="687"/>
      <c r="T217" s="687"/>
      <c r="U217" s="687"/>
      <c r="V217" s="687"/>
      <c r="W217" s="687"/>
      <c r="X217" s="687"/>
      <c r="Y217" s="687"/>
      <c r="Z217" s="687"/>
      <c r="AA217" s="687"/>
      <c r="AB217" s="688"/>
    </row>
    <row r="218" hidden="1" ht="15" customHeight="1">
      <c r="C218" s="435" t="str">
        <f> IF(C238&lt;&gt;"",TEXT(AUX!G$1,"dd-MMM-aa"),"")</f>
      </c>
      <c r="D218" s="435" t="str">
        <f> IF(D238&lt;&gt;"",TEXT(AUX!H$1,"dd-MMM-aa"),"")</f>
      </c>
      <c r="E218" s="435" t="str">
        <f> IF(E238&lt;&gt;"",TEXT(AUX!I$1,"dd-MMM-aa"),"")</f>
      </c>
      <c r="F218" s="435" t="str">
        <f> IF(F238&lt;&gt;"",TEXT(AUX!J$1,"dd-MMM-aa"),"")</f>
      </c>
      <c r="G218" s="435" t="str">
        <f> IF(G238&lt;&gt;"",TEXT(AUX!K$1,"dd-MMM-aa"),"")</f>
      </c>
      <c r="H218" s="435" t="str">
        <f> IF(H238&lt;&gt;"",TEXT(AUX!L$1,"dd-MMM-aa"),"")</f>
      </c>
      <c r="I218" s="435" t="str">
        <f> IF(I238&lt;&gt;"",TEXT(AUX!M$1,"dd-MMM-aa"),"")</f>
      </c>
      <c r="J218" s="435" t="str">
        <f> IF(J238&lt;&gt;"",TEXT(AUX!N$1,"dd-MMM-aa"),"")</f>
      </c>
      <c r="K218" s="435" t="str">
        <f> IF(K238&lt;&gt;"",TEXT(AUX!O$1,"dd-MMM-aa"),"")</f>
      </c>
      <c r="L218" s="435" t="str">
        <f> IF(L238&lt;&gt;"",TEXT(AUX!P$1,"dd-MMM-aa"),"")</f>
      </c>
      <c r="M218" s="435" t="str">
        <f> IF(M238&lt;&gt;"",TEXT(AUX!Q$1,"dd-MMM-aa"),"")</f>
      </c>
      <c r="N218" s="435" t="str">
        <f> IF(N238&lt;&gt;"",TEXT(AUX!R$1,"dd-MMM-aa"),"")</f>
      </c>
      <c r="O218" s="435" t="str">
        <f> IF(O238&lt;&gt;"",TEXT(AUX!S$1,"dd-MMM-aa"),"")</f>
      </c>
      <c r="P218" s="435" t="str">
        <f> IF(P238&lt;&gt;"",TEXT(AUX!T$1,"dd-MMM-aa"),"")</f>
      </c>
      <c r="Q218" s="435" t="str">
        <f> IF(Q238&lt;&gt;"",TEXT(AUX!U$1,"dd-MMM-aa"),"")</f>
      </c>
      <c r="R218" s="435" t="str">
        <f> IF(R238&lt;&gt;"",TEXT(AUX!V$1,"dd-MMM-aa"),"")</f>
      </c>
      <c r="S218" s="435" t="str">
        <f> IF(S238&lt;&gt;"",TEXT(AUX!W$1,"dd-MMM-aa"),"")</f>
      </c>
      <c r="T218" s="435" t="str">
        <f> IF(T238&lt;&gt;"",TEXT(AUX!X$1,"dd-MMM-aa"),"")</f>
      </c>
      <c r="U218" s="435" t="str">
        <f> IF(U238&lt;&gt;"",TEXT(AUX!Y$1,"dd-MMM-aa"),"")</f>
      </c>
      <c r="V218" s="435" t="str">
        <f> IF(V238&lt;&gt;"",TEXT(AUX!Z$1,"dd-MMM-aa"),"")</f>
      </c>
      <c r="W218" s="435" t="str">
        <f> IF(W238&lt;&gt;"",TEXT(AUX!AA$1,"dd-MMM-aa"),"")</f>
      </c>
      <c r="X218" s="435" t="str">
        <f> IF(X238&lt;&gt;"",TEXT(AUX!AB$1,"dd-MMM-aa"),"")</f>
      </c>
      <c r="Y218" s="435" t="str">
        <f> IF(Y238&lt;&gt;"",TEXT(AUX!AC$1,"dd-MMM-aa"),"")</f>
      </c>
      <c r="Z218" s="435" t="str">
        <f> IF(Z238&lt;&gt;"",TEXT(AUX!AD$1,"dd-MMM-aa"),"")</f>
      </c>
      <c r="AA218" s="435" t="str">
        <f> IF(AA238&lt;&gt;"",TEXT(AUX!AE$1,"dd-MMM-aa"),"")</f>
      </c>
      <c r="AB218" s="497" t="str">
        <f> IF(AB238&lt;&gt;"",TEXT(AUX!AF$1,"dd-MMM-aa"),"")</f>
      </c>
      <c r="AC218" s="496" t="str">
        <f> IF(AC238&lt;&gt;"",TEXT(AUX!AG$1,"dd-MMM-aa"),"")</f>
      </c>
      <c r="AD218" s="496" t="str">
        <f> IF(AD238&lt;&gt;"",TEXT(AUX!AH$1,"dd-MMM-aa"),"")</f>
      </c>
      <c r="AE218" s="496" t="str">
        <f> IF(AE238&lt;&gt;"",TEXT(AUX!AI$1,"dd-MMM-aa"),"")</f>
      </c>
      <c r="AF218" s="496" t="str">
        <f> IF(AF238&lt;&gt;"",TEXT(AUX!AJ$1,"dd-MMM-aa"),"")</f>
      </c>
      <c r="AG218" s="496" t="str">
        <f> IF(AG238&lt;&gt;"",TEXT(AUX!AK$1,"dd-MMM-aa"),"")</f>
      </c>
      <c r="AH218" s="496" t="str">
        <f> IF(AH238&lt;&gt;"",TEXT(AUX!AL$1,"dd-MMM-aa"),"")</f>
      </c>
      <c r="AI218" s="496" t="str">
        <f> IF(AI238&lt;&gt;"",TEXT(AUX!AM$1,"dd-MMM-aa"),"")</f>
      </c>
      <c r="AJ218" s="496" t="str">
        <f> IF(AJ238&lt;&gt;"",TEXT(AUX!AN$1,"dd-MMM-aa"),"")</f>
      </c>
      <c r="AK218" s="496" t="str">
        <f> IF(AK238&lt;&gt;"",TEXT(AUX!AO$1,"dd-MMM-aa"),"")</f>
      </c>
      <c r="AL218" s="496" t="str">
        <f> IF(AL238&lt;&gt;"",TEXT(AUX!AP$1,"dd-MMM-aa"),"")</f>
      </c>
      <c r="AM218" s="496" t="str">
        <f> IF(AM238&lt;&gt;"",TEXT(AUX!AQ$1,"dd-MMM-aa"),"")</f>
      </c>
      <c r="AN218" s="496" t="str">
        <f> IF(AN238&lt;&gt;"",TEXT(AUX!AR$1,"dd-MMM-aa"),"")</f>
      </c>
      <c r="AO218" s="496" t="str">
        <f> IF(AO238&lt;&gt;"",TEXT(AUX!AS$1,"dd-MMM-aa"),"")</f>
      </c>
      <c r="AP218" s="496" t="str">
        <f> IF(AP238&lt;&gt;"",TEXT(AUX!AT$1,"dd-MMM-aa"),"")</f>
      </c>
      <c r="AQ218" s="496" t="str">
        <f> IF(AQ238&lt;&gt;"",TEXT(AUX!AU$1,"dd-MMM-aa"),"")</f>
      </c>
      <c r="AR218" s="496" t="str">
        <f> IF(AR238&lt;&gt;"",TEXT(AUX!AV$1,"dd-MMM-aa"),"")</f>
      </c>
      <c r="AS218" s="496" t="str">
        <f> IF(AS238&lt;&gt;"",TEXT(AUX!AW$1,"dd-MMM-aa"),"")</f>
      </c>
      <c r="AT218" s="496" t="str">
        <f> IF(AT238&lt;&gt;"",TEXT(AUX!AX$1,"dd-MMM-aa"),"")</f>
      </c>
      <c r="AU218" s="496" t="str">
        <f> IF(AU238&lt;&gt;"",TEXT(AUX!AY$1,"dd-MMM-aa"),"")</f>
      </c>
      <c r="AV218" s="496" t="str">
        <f> IF(AV238&lt;&gt;"",TEXT(AUX!AZ$1,"dd-MMM-aa"),"")</f>
      </c>
      <c r="AW218" s="496" t="str">
        <f> IF(AW238&lt;&gt;"",TEXT(AUX!BA$1,"dd-MMM-aa"),"")</f>
      </c>
      <c r="AX218" s="496" t="str">
        <f> IF(AX238&lt;&gt;"",TEXT(AUX!BB$1,"dd-MMM-aa"),"")</f>
      </c>
      <c r="AY218" s="496" t="str">
        <f> IF(AY238&lt;&gt;"",TEXT(AUX!BC$1,"dd-MMM-aa"),"")</f>
      </c>
      <c r="AZ218" s="496" t="str">
        <f> IF(AZ238&lt;&gt;"",TEXT(AUX!BD$1,"dd-MMM-aa"),"")</f>
      </c>
      <c r="BA218" s="496" t="str">
        <f> IF(BA238&lt;&gt;"",TEXT(AUX!BE$1,"dd-MMM-aa"),"")</f>
      </c>
      <c r="BB218" s="496" t="str">
        <f> IF(BB238&lt;&gt;"",TEXT(AUX!BF$1,"dd-MMM-aa"),"")</f>
      </c>
      <c r="BC218" s="496" t="str">
        <f> IF(BC238&lt;&gt;"",TEXT(AUX!BG$1,"dd-MMM-aa"),"")</f>
      </c>
      <c r="BD218" s="496" t="str">
        <f> IF(BD238&lt;&gt;"",TEXT(AUX!BH$1,"dd-MMM-aa"),"")</f>
      </c>
      <c r="BE218" s="496" t="str">
        <f> IF(BE238&lt;&gt;"",TEXT(AUX!BI$1,"dd-MMM-aa"),"")</f>
      </c>
      <c r="BF218" s="496" t="str">
        <f> IF(BF238&lt;&gt;"",TEXT(AUX!BJ$1,"dd-MMM-aa"),"")</f>
      </c>
      <c r="BG218" s="496" t="str">
        <f> IF(BG238&lt;&gt;"",TEXT(AUX!BK$1,"dd-MMM-aa"),"")</f>
      </c>
      <c r="BH218" s="496" t="str">
        <f> IF(BH238&lt;&gt;"",TEXT(AUX!BL$1,"dd-MMM-aa"),"")</f>
      </c>
      <c r="BI218" s="496" t="str">
        <f> IF(BI238&lt;&gt;"",TEXT(AUX!BM$1,"dd-MMM-aa"),"")</f>
      </c>
      <c r="BJ218" s="496" t="str">
        <f> IF(BJ238&lt;&gt;"",TEXT(AUX!BN$1,"dd-MMM-aa"),"")</f>
      </c>
      <c r="BK218" s="496" t="str">
        <f> IF(BK238&lt;&gt;"",TEXT(AUX!BO$1,"dd-MMM-aa"),"")</f>
      </c>
      <c r="BL218" s="496" t="str">
        <f> IF(BL238&lt;&gt;"",TEXT(AUX!BP$1,"dd-MMM-aa"),"")</f>
      </c>
      <c r="BM218" s="496" t="str">
        <f> IF(BM238&lt;&gt;"",TEXT(AUX!BQ$1,"dd-MMM-aa"),"")</f>
      </c>
      <c r="BN218" s="496" t="str">
        <f> IF(BN238&lt;&gt;"",TEXT(AUX!BR$1,"dd-MMM-aa"),"")</f>
      </c>
      <c r="BO218" s="496" t="str">
        <f> IF(BO238&lt;&gt;"",TEXT(AUX!BS$1,"dd-MMM-aa"),"")</f>
      </c>
      <c r="BP218" s="496" t="str">
        <f> IF(BP238&lt;&gt;"",TEXT(AUX!BT$1,"dd-MMM-aa"),"")</f>
      </c>
      <c r="BQ218" s="496" t="str">
        <f> IF(BQ238&lt;&gt;"",TEXT(AUX!BU$1,"dd-MMM-aa"),"")</f>
      </c>
      <c r="BR218" s="496" t="str">
        <f> IF(BR238&lt;&gt;"",TEXT(AUX!BV$1,"dd-MMM-aa"),"")</f>
      </c>
      <c r="BS218" s="496" t="str">
        <f> IF(BS238&lt;&gt;"",TEXT(AUX!BW$1,"dd-MMM-aa"),"")</f>
      </c>
      <c r="BT218" s="496" t="str">
        <f> IF(BT238&lt;&gt;"",TEXT(AUX!BX$1,"dd-MMM-aa"),"")</f>
      </c>
      <c r="BU218" s="496" t="str">
        <f> IF(BU238&lt;&gt;"",TEXT(AUX!BY$1,"dd-MMM-aa"),"")</f>
      </c>
      <c r="BV218" s="496" t="str">
        <f> IF(BV238&lt;&gt;"",TEXT(AUX!BZ$1,"dd-MMM-aa"),"")</f>
      </c>
      <c r="BW218" s="496" t="str">
        <f> IF(BW238&lt;&gt;"",TEXT(AUX!CA$1,"dd-MMM-aa"),"")</f>
      </c>
      <c r="BX218" s="496" t="str">
        <f> IF(BX238&lt;&gt;"",TEXT(AUX!CB$1,"dd-MMM-aa"),"")</f>
      </c>
      <c r="BY218" s="496" t="str">
        <f> IF(BY238&lt;&gt;"",TEXT(AUX!CC$1,"dd-MMM-aa"),"")</f>
      </c>
      <c r="BZ218" s="496" t="str">
        <f> IF(BZ238&lt;&gt;"",TEXT(AUX!CD$1,"dd-MMM-aa"),"")</f>
      </c>
      <c r="CA218" s="496" t="str">
        <f> IF(CA238&lt;&gt;"",TEXT(AUX!CE$1,"dd-MMM-aa"),"")</f>
      </c>
      <c r="CB218" s="496" t="str">
        <f> IF(CB238&lt;&gt;"",TEXT(AUX!CF$1,"dd-MMM-aa"),"")</f>
      </c>
      <c r="CC218" s="496" t="str">
        <f> IF(CC238&lt;&gt;"",TEXT(AUX!CG$1,"dd-MMM-aa"),"")</f>
      </c>
      <c r="CD218" s="496" t="str">
        <f> IF(CD238&lt;&gt;"",TEXT(AUX!CH$1,"dd-MMM-aa"),"")</f>
      </c>
      <c r="CE218" s="496" t="str">
        <f> IF(CE238&lt;&gt;"",TEXT(AUX!CI$1,"dd-MMM-aa"),"")</f>
      </c>
      <c r="CF218" s="496" t="str">
        <f> IF(CF238&lt;&gt;"",TEXT(AUX!CJ$1,"dd-MMM-aa"),"")</f>
      </c>
      <c r="CG218" s="496" t="str">
        <f> IF(CG238&lt;&gt;"",TEXT(AUX!CK$1,"dd-MMM-aa"),"")</f>
      </c>
      <c r="CH218" s="496" t="str">
        <f> IF(CH238&lt;&gt;"",TEXT(AUX!CL$1,"dd-MMM-aa"),"")</f>
      </c>
      <c r="CI218" s="496" t="str">
        <f> IF(CI238&lt;&gt;"",TEXT(AUX!CM$1,"dd-MMM-aa"),"")</f>
      </c>
      <c r="CJ218" s="496" t="str">
        <f> IF(CJ238&lt;&gt;"",TEXT(AUX!CN$1,"dd-MMM-aa"),"")</f>
      </c>
      <c r="CK218" s="496" t="str">
        <f> IF(CK238&lt;&gt;"",TEXT(AUX!CO$1,"dd-MMM-aa"),"")</f>
      </c>
      <c r="CL218" s="496" t="str">
        <f> IF(CL238&lt;&gt;"",TEXT(AUX!CP$1,"dd-MMM-aa"),"")</f>
      </c>
      <c r="CM218" s="496" t="str">
        <f> IF(CM238&lt;&gt;"",TEXT(AUX!CQ$1,"dd-MMM-aa"),"")</f>
      </c>
      <c r="CN218" s="496" t="str">
        <f> IF(CN238&lt;&gt;"",TEXT(AUX!CR$1,"dd-MMM-aa"),"")</f>
      </c>
      <c r="CO218" s="496" t="str">
        <f> IF(CO238&lt;&gt;"",TEXT(AUX!CS$1,"dd-MMM-aa"),"")</f>
      </c>
      <c r="CP218" s="496" t="str">
        <f> IF(CP238&lt;&gt;"",TEXT(AUX!CT$1,"dd-MMM-aa"),"")</f>
      </c>
      <c r="CQ218" s="496" t="str">
        <f> IF(CQ238&lt;&gt;"",TEXT(AUX!CU$1,"dd-MMM-aa"),"")</f>
      </c>
      <c r="CR218" s="496" t="str">
        <f> IF(CR238&lt;&gt;"",TEXT(AUX!CV$1,"dd-MMM-aa"),"")</f>
      </c>
      <c r="CS218" s="496" t="str">
        <f> IF(CS238&lt;&gt;"",TEXT(AUX!CW$1,"dd-MMM-aa"),"")</f>
      </c>
      <c r="CT218" s="496" t="str">
        <f> IF(CT238&lt;&gt;"",TEXT(AUX!CX$1,"dd-MMM-aa"),"")</f>
      </c>
      <c r="CU218" s="496" t="str">
        <f> IF(CU238&lt;&gt;"",TEXT(AUX!CY$1,"dd-MMM-aa"),"")</f>
      </c>
      <c r="CV218" s="496" t="str">
        <f> IF(CV238&lt;&gt;"",TEXT(AUX!CZ$1,"dd-MMM-aa"),"")</f>
      </c>
      <c r="CW218" s="496" t="str">
        <f> IF(CW238&lt;&gt;"",TEXT(AUX!DA$1,"dd-MMM-aa"),"")</f>
      </c>
      <c r="CX218" s="496" t="str">
        <f> IF(CX238&lt;&gt;"",TEXT(AUX!DB$1,"dd-MMM-aa"),"")</f>
      </c>
      <c r="CY218" s="496" t="str">
        <f> IF(CY238&lt;&gt;"",TEXT(AUX!DC$1,"dd-MMM-aa"),"")</f>
      </c>
      <c r="CZ218" s="496" t="str">
        <f> IF(CZ238&lt;&gt;"",TEXT(AUX!DD$1,"dd-MMM-aa"),"")</f>
      </c>
      <c r="DA218" s="496" t="str">
        <f> IF(DA238&lt;&gt;"",TEXT(AUX!DE$1,"dd-MMM-aa"),"")</f>
      </c>
      <c r="DB218" s="496" t="str">
        <f> IF(DB238&lt;&gt;"",TEXT(AUX!DF$1,"dd-MMM-aa"),"")</f>
      </c>
      <c r="DC218" s="496" t="str">
        <f> IF(DC238&lt;&gt;"",TEXT(AUX!DG$1,"dd-MMM-aa"),"")</f>
      </c>
      <c r="DD218" s="496" t="str">
        <f> IF(DD238&lt;&gt;"",TEXT(AUX!DH$1,"dd-MMM-aa"),"")</f>
      </c>
      <c r="DE218" s="496" t="str">
        <f> IF(DE238&lt;&gt;"",TEXT(AUX!DI$1,"dd-MMM-aa"),"")</f>
      </c>
      <c r="DF218" s="496" t="str">
        <f> IF(DF238&lt;&gt;"",TEXT(AUX!DJ$1,"dd-MMM-aa"),"")</f>
      </c>
      <c r="DG218" s="496" t="str">
        <f> IF(DG238&lt;&gt;"",TEXT(AUX!DK$1,"dd-MMM-aa"),"")</f>
      </c>
      <c r="DH218" s="496" t="str">
        <f> IF(DH238&lt;&gt;"",TEXT(AUX!DL$1,"dd-MMM-aa"),"")</f>
      </c>
      <c r="DI218" s="496" t="str">
        <f> IF(DI238&lt;&gt;"",TEXT(AUX!DM$1,"dd-MMM-aa"),"")</f>
      </c>
      <c r="DJ218" s="496" t="str">
        <f> IF(DJ238&lt;&gt;"",TEXT(AUX!DN$1,"dd-MMM-aa"),"")</f>
      </c>
      <c r="DK218" s="496" t="str">
        <f> IF(DK238&lt;&gt;"",TEXT(AUX!DO$1,"dd-MMM-aa"),"")</f>
      </c>
      <c r="DL218" s="496" t="str">
        <f> IF(DL238&lt;&gt;"",TEXT(AUX!DP$1,"dd-MMM-aa"),"")</f>
      </c>
      <c r="DM218" s="496" t="str">
        <f> IF(DM238&lt;&gt;"",TEXT(AUX!DQ$1,"dd-MMM-aa"),"")</f>
      </c>
      <c r="DN218" s="496" t="str">
        <f> IF(DN238&lt;&gt;"",TEXT(AUX!DR$1,"dd-MMM-aa"),"")</f>
      </c>
      <c r="DO218" s="496" t="str">
        <f> IF(DO238&lt;&gt;"",TEXT(AUX!DS$1,"dd-MMM-aa"),"")</f>
      </c>
      <c r="DP218" s="496" t="str">
        <f> IF(DP238&lt;&gt;"",TEXT(AUX!DT$1,"dd-MMM-aa"),"")</f>
      </c>
      <c r="DQ218" s="496" t="str">
        <f> IF(DQ238&lt;&gt;"",TEXT(AUX!DU$1,"dd-MMM-aa"),"")</f>
      </c>
      <c r="DR218" s="496" t="str">
        <f> IF(DR238&lt;&gt;"",TEXT(AUX!DV$1,"dd-MMM-aa"),"")</f>
      </c>
      <c r="DS218" s="496" t="str">
        <f> IF(DS238&lt;&gt;"",TEXT(AUX!DW$1,"dd-MMM-aa"),"")</f>
      </c>
      <c r="DT218" s="496" t="str">
        <f> IF(DT238&lt;&gt;"",TEXT(AUX!DX$1,"dd-MMM-aa"),"")</f>
      </c>
      <c r="DU218" s="496" t="str">
        <f> IF(DU238&lt;&gt;"",TEXT(AUX!DY$1,"dd-MMM-aa"),"")</f>
      </c>
      <c r="DV218" s="496" t="str">
        <f> IF(DV238&lt;&gt;"",TEXT(AUX!DZ$1,"dd-MMM-aa"),"")</f>
      </c>
      <c r="DW218" s="496" t="str">
        <f> IF(DW238&lt;&gt;"",TEXT(AUX!EA$1,"dd-MMM-aa"),"")</f>
      </c>
      <c r="DX218" s="496" t="str">
        <f> IF(DX238&lt;&gt;"",TEXT(AUX!EB$1,"dd-MMM-aa"),"")</f>
      </c>
      <c r="DY218" s="496" t="str">
        <f> IF(DY238&lt;&gt;"",TEXT(AUX!EC$1,"dd-MMM-aa"),"")</f>
      </c>
      <c r="DZ218" s="496" t="str">
        <f> IF(DZ238&lt;&gt;"",TEXT(AUX!ED$1,"dd-MMM-aa"),"")</f>
      </c>
      <c r="EA218" s="496" t="str">
        <f> IF(EA238&lt;&gt;"",TEXT(AUX!EE$1,"dd-MMM-aa"),"")</f>
      </c>
      <c r="EB218" s="496" t="str">
        <f> IF(EB238&lt;&gt;"",TEXT(AUX!EF$1,"dd-MMM-aa"),"")</f>
      </c>
      <c r="EC218" s="496" t="str">
        <f> IF(EC238&lt;&gt;"",TEXT(AUX!EG$1,"dd-MMM-aa"),"")</f>
      </c>
      <c r="ED218" s="496" t="str">
        <f> IF(ED238&lt;&gt;"",TEXT(AUX!EH$1,"dd-MMM-aa"),"")</f>
      </c>
      <c r="EE218" s="496" t="str">
        <f> IF(EE238&lt;&gt;"",TEXT(AUX!EI$1,"dd-MMM-aa"),"")</f>
      </c>
      <c r="EF218" s="496" t="str">
        <f> IF(EF238&lt;&gt;"",TEXT(AUX!EJ$1,"dd-MMM-aa"),"")</f>
      </c>
      <c r="EG218" s="496" t="str">
        <f> IF(EG238&lt;&gt;"",TEXT(AUX!EK$1,"dd-MMM-aa"),"")</f>
      </c>
      <c r="EH218" s="496" t="str">
        <f> IF(EH238&lt;&gt;"",TEXT(AUX!EL$1,"dd-MMM-aa"),"")</f>
      </c>
      <c r="EI218" s="496" t="str">
        <f> IF(EI238&lt;&gt;"",TEXT(AUX!EM$1,"dd-MMM-aa"),"")</f>
      </c>
      <c r="EJ218" s="496" t="str">
        <f> IF(EJ238&lt;&gt;"",TEXT(AUX!EN$1,"dd-MMM-aa"),"")</f>
      </c>
      <c r="EK218" s="496" t="str">
        <f> IF(EK238&lt;&gt;"",TEXT(AUX!EO$1,"dd-MMM-aa"),"")</f>
      </c>
      <c r="EL218" s="496" t="str">
        <f> IF(EL238&lt;&gt;"",TEXT(AUX!EP$1,"dd-MMM-aa"),"")</f>
      </c>
      <c r="EM218" s="496" t="str">
        <f> IF(EM238&lt;&gt;"",TEXT(AUX!EQ$1,"dd-MMM-aa"),"")</f>
      </c>
      <c r="EN218" s="496" t="str">
        <f> IF(EN238&lt;&gt;"",TEXT(AUX!ER$1,"dd-MMM-aa"),"")</f>
      </c>
      <c r="EO218" s="496" t="str">
        <f> IF(EO238&lt;&gt;"",TEXT(AUX!ES$1,"dd-MMM-aa"),"")</f>
      </c>
      <c r="EP218" s="496" t="str">
        <f> IF(EP238&lt;&gt;"",TEXT(AUX!ET$1,"dd-MMM-aa"),"")</f>
      </c>
      <c r="EQ218" s="496" t="str">
        <f> IF(EQ238&lt;&gt;"",TEXT(AUX!EU$1,"dd-MMM-aa"),"")</f>
      </c>
      <c r="ER218" s="496" t="str">
        <f> IF(ER238&lt;&gt;"",TEXT(AUX!EV$1,"dd-MMM-aa"),"")</f>
      </c>
      <c r="ES218" s="496" t="str">
        <f> IF(ES238&lt;&gt;"",TEXT(AUX!EW$1,"dd-MMM-aa"),"")</f>
      </c>
      <c r="ET218" s="496" t="str">
        <f> IF(ET238&lt;&gt;"",TEXT(AUX!EX$1,"dd-MMM-aa"),"")</f>
      </c>
      <c r="EU218" s="496" t="str">
        <f> IF(EU238&lt;&gt;"",TEXT(AUX!EY$1,"dd-MMM-aa"),"")</f>
      </c>
      <c r="EV218" s="496" t="str">
        <f> IF(EV238&lt;&gt;"",TEXT(AUX!EZ$1,"dd-MMM-aa"),"")</f>
      </c>
      <c r="EW218" s="496" t="str">
        <f> IF(EW238&lt;&gt;"",TEXT(AUX!FA$1,"dd-MMM-aa"),"")</f>
      </c>
      <c r="EX218" s="496" t="str">
        <f> IF(EX238&lt;&gt;"",TEXT(AUX!FB$1,"dd-MMM-aa"),"")</f>
      </c>
      <c r="EY218" s="496" t="str">
        <f> IF(EY238&lt;&gt;"",TEXT(AUX!FC$1,"dd-MMM-aa"),"")</f>
      </c>
      <c r="EZ218" s="496" t="str">
        <f> IF(EZ238&lt;&gt;"",TEXT(AUX!FD$1,"dd-MMM-aa"),"")</f>
      </c>
      <c r="FA218" s="496" t="str">
        <f> IF(FA238&lt;&gt;"",TEXT(AUX!FE$1,"dd-MMM-aa"),"")</f>
      </c>
      <c r="FB218" s="496" t="str">
        <f> IF(FB238&lt;&gt;"",TEXT(AUX!FF$1,"dd-MMM-aa"),"")</f>
      </c>
      <c r="FC218" s="496" t="str">
        <f> IF(FC238&lt;&gt;"",TEXT(AUX!FG$1,"dd-MMM-aa"),"")</f>
      </c>
      <c r="FD218" s="496" t="str">
        <f> IF(FD238&lt;&gt;"",TEXT(AUX!FH$1,"dd-MMM-aa"),"")</f>
      </c>
      <c r="FE218" s="496" t="str">
        <f> IF(FE238&lt;&gt;"",TEXT(AUX!FI$1,"dd-MMM-aa"),"")</f>
      </c>
      <c r="FF218" s="496" t="str">
        <f> IF(FF238&lt;&gt;"",TEXT(AUX!FJ$1,"dd-MMM-aa"),"")</f>
      </c>
      <c r="FG218" s="496" t="str">
        <f> IF(FG238&lt;&gt;"",TEXT(AUX!FK$1,"dd-MMM-aa"),"")</f>
      </c>
      <c r="FH218" s="496" t="str">
        <f> IF(FH238&lt;&gt;"",TEXT(AUX!FL$1,"dd-MMM-aa"),"")</f>
      </c>
      <c r="FI218" s="496" t="str">
        <f> IF(FI238&lt;&gt;"",TEXT(AUX!FM$1,"dd-MMM-aa"),"")</f>
      </c>
      <c r="FJ218" s="496" t="str">
        <f> IF(FJ238&lt;&gt;"",TEXT(AUX!FN$1,"dd-MMM-aa"),"")</f>
      </c>
      <c r="FK218" s="496" t="str">
        <f> IF(FK238&lt;&gt;"",TEXT(AUX!FO$1,"dd-MMM-aa"),"")</f>
      </c>
      <c r="FL218" s="496" t="str">
        <f> IF(FL238&lt;&gt;"",TEXT(AUX!FP$1,"dd-MMM-aa"),"")</f>
      </c>
      <c r="FM218" s="496" t="str">
        <f> IF(FM238&lt;&gt;"",TEXT(AUX!FQ$1,"dd-MMM-aa"),"")</f>
      </c>
      <c r="FN218" s="496" t="str">
        <f> IF(FN238&lt;&gt;"",TEXT(AUX!FR$1,"dd-MMM-aa"),"")</f>
      </c>
      <c r="FO218" s="496" t="str">
        <f> IF(FO238&lt;&gt;"",TEXT(AUX!FS$1,"dd-MMM-aa"),"")</f>
      </c>
      <c r="FP218" s="496" t="str">
        <f> IF(FP238&lt;&gt;"",TEXT(AUX!FT$1,"dd-MMM-aa"),"")</f>
      </c>
      <c r="FQ218" s="496" t="str">
        <f> IF(FQ238&lt;&gt;"",TEXT(AUX!FU$1,"dd-MMM-aa"),"")</f>
      </c>
      <c r="FR218" s="496" t="str">
        <f> IF(FR238&lt;&gt;"",TEXT(AUX!FV$1,"dd-MMM-aa"),"")</f>
      </c>
      <c r="FS218" s="496" t="str">
        <f> IF(FS238&lt;&gt;"",TEXT(AUX!FW$1,"dd-MMM-aa"),"")</f>
      </c>
      <c r="FT218" s="496" t="str">
        <f> IF(FT238&lt;&gt;"",TEXT(AUX!FX$1,"dd-MMM-aa"),"")</f>
      </c>
      <c r="FU218" s="496" t="str">
        <f> IF(FU238&lt;&gt;"",TEXT(AUX!FY$1,"dd-MMM-aa"),"")</f>
      </c>
      <c r="FV218" s="496" t="str">
        <f> IF(FV238&lt;&gt;"",TEXT(AUX!FZ$1,"dd-MMM-aa"),"")</f>
      </c>
      <c r="FW218" s="496" t="str">
        <f> IF(FW238&lt;&gt;"",TEXT(AUX!GA$1,"dd-MMM-aa"),"")</f>
      </c>
      <c r="FX218" s="496" t="str">
        <f> IF(FX238&lt;&gt;"",TEXT(AUX!GB$1,"dd-MMM-aa"),"")</f>
      </c>
      <c r="FY218" s="496" t="str">
        <f> IF(FY238&lt;&gt;"",TEXT(AUX!GC$1,"dd-MMM-aa"),"")</f>
      </c>
      <c r="FZ218" s="496" t="str">
        <f> IF(FZ238&lt;&gt;"",TEXT(AUX!GD$1,"dd-MMM-aa"),"")</f>
      </c>
      <c r="GA218" s="496" t="str">
        <f> IF(GA238&lt;&gt;"",TEXT(AUX!GE$1,"dd-MMM-aa"),"")</f>
      </c>
      <c r="GB218" s="496" t="str">
        <f> IF(GB238&lt;&gt;"",TEXT(AUX!GF$1,"dd-MMM-aa"),"")</f>
      </c>
      <c r="GC218" s="496" t="str">
        <f> IF(GC238&lt;&gt;"",TEXT(AUX!GG$1,"dd-MMM-aa"),"")</f>
      </c>
      <c r="GD218" s="496" t="str">
        <f> IF(GD238&lt;&gt;"",TEXT(AUX!GH$1,"dd-MMM-aa"),"")</f>
      </c>
      <c r="GE218" s="496" t="str">
        <f> IF(GE238&lt;&gt;"",TEXT(AUX!GI$1,"dd-MMM-aa"),"")</f>
      </c>
      <c r="GF218" s="496" t="str">
        <f> IF(GF238&lt;&gt;"",TEXT(AUX!GJ$1,"dd-MMM-aa"),"")</f>
      </c>
      <c r="GG218" s="496" t="str">
        <f> IF(GG238&lt;&gt;"",TEXT(AUX!GK$1,"dd-MMM-aa"),"")</f>
      </c>
      <c r="GH218" s="496" t="str">
        <f> IF(GH238&lt;&gt;"",TEXT(AUX!GL$1,"dd-MMM-aa"),"")</f>
      </c>
      <c r="GI218" s="496" t="str">
        <f> IF(GI238&lt;&gt;"",TEXT(AUX!GM$1,"dd-MMM-aa"),"")</f>
      </c>
      <c r="GJ218" s="496" t="str">
        <f> IF(GJ238&lt;&gt;"",TEXT(AUX!GN$1,"dd-MMM-aa"),"")</f>
      </c>
      <c r="GK218" s="496" t="str">
        <f> IF(GK238&lt;&gt;"",TEXT(AUX!GO$1,"dd-MMM-aa"),"")</f>
      </c>
      <c r="GL218" s="496" t="str">
        <f> IF(GL238&lt;&gt;"",TEXT(AUX!GP$1,"dd-MMM-aa"),"")</f>
      </c>
      <c r="GM218" s="496" t="str">
        <f> IF(GM238&lt;&gt;"",TEXT(AUX!GQ$1,"dd-MMM-aa"),"")</f>
      </c>
      <c r="GN218" s="496" t="str">
        <f> IF(GN238&lt;&gt;"",TEXT(AUX!GR$1,"dd-MMM-aa"),"")</f>
      </c>
      <c r="GO218" s="496" t="str">
        <f> IF(GO238&lt;&gt;"",TEXT(AUX!GS$1,"dd-MMM-aa"),"")</f>
      </c>
      <c r="GP218" s="496" t="str">
        <f> IF(GP238&lt;&gt;"",TEXT(AUX!GT$1,"dd-MMM-aa"),"")</f>
      </c>
      <c r="GQ218" s="496" t="str">
        <f> IF(GQ238&lt;&gt;"",TEXT(AUX!GU$1,"dd-MMM-aa"),"")</f>
      </c>
      <c r="GR218" s="496" t="str">
        <f> IF(GR238&lt;&gt;"",TEXT(AUX!GV$1,"dd-MMM-aa"),"")</f>
      </c>
      <c r="GS218" s="496" t="str">
        <f> IF(GS238&lt;&gt;"",TEXT(AUX!GW$1,"dd-MMM-aa"),"")</f>
      </c>
      <c r="GT218" s="496" t="str">
        <f> IF(GT238&lt;&gt;"",TEXT(AUX!GX$1,"dd-MMM-aa"),"")</f>
      </c>
      <c r="GU218" s="496" t="str">
        <f> IF(GU238&lt;&gt;"",TEXT(AUX!GY$1,"dd-MMM-aa"),"")</f>
      </c>
      <c r="GV218" s="496" t="str">
        <f> IF(GV238&lt;&gt;"",TEXT(AUX!GZ$1,"dd-MMM-aa"),"")</f>
      </c>
      <c r="GW218" s="496" t="str">
        <f> IF(GW238&lt;&gt;"",TEXT(AUX!HA$1,"dd-MMM-aa"),"")</f>
      </c>
      <c r="GX218" s="496" t="str">
        <f> IF(GX238&lt;&gt;"",TEXT(AUX!HB$1,"dd-MMM-aa"),"")</f>
      </c>
      <c r="GY218" s="496" t="str">
        <f> IF(GY238&lt;&gt;"",TEXT(AUX!HC$1,"dd-MMM-aa"),"")</f>
      </c>
      <c r="GZ218" s="496" t="str">
        <f> IF(GZ238&lt;&gt;"",TEXT(AUX!HD$1,"dd-MMM-aa"),"")</f>
      </c>
      <c r="HA218" s="496" t="str">
        <f> IF(HA238&lt;&gt;"",TEXT(AUX!HE$1,"dd-MMM-aa"),"")</f>
      </c>
      <c r="HB218" s="496" t="str">
        <f> IF(HB238&lt;&gt;"",TEXT(AUX!HF$1,"dd-MMM-aa"),"")</f>
      </c>
      <c r="HC218" s="496" t="str">
        <f> IF(HC238&lt;&gt;"",TEXT(AUX!HG$1,"dd-MMM-aa"),"")</f>
      </c>
      <c r="HD218" s="496" t="str">
        <f> IF(HD238&lt;&gt;"",TEXT(AUX!HH$1,"dd-MMM-aa"),"")</f>
      </c>
      <c r="HE218" s="496" t="str">
        <f> IF(HE238&lt;&gt;"",TEXT(AUX!HI$1,"dd-MMM-aa"),"")</f>
      </c>
      <c r="HF218" s="496" t="str">
        <f> IF(HF238&lt;&gt;"",TEXT(AUX!HJ$1,"dd-MMM-aa"),"")</f>
      </c>
      <c r="HG218" s="496" t="str">
        <f> IF(HG238&lt;&gt;"",TEXT(AUX!HK$1,"dd-MMM-aa"),"")</f>
      </c>
      <c r="HH218" s="496" t="str">
        <f> IF(HH238&lt;&gt;"",TEXT(AUX!HL$1,"dd-MMM-aa"),"")</f>
      </c>
      <c r="HI218" s="496" t="str">
        <f> IF(HI238&lt;&gt;"",TEXT(AUX!HM$1,"dd-MMM-aa"),"")</f>
      </c>
      <c r="HJ218" s="496" t="str">
        <f> IF(HJ238&lt;&gt;"",TEXT(AUX!HN$1,"dd-MMM-aa"),"")</f>
      </c>
      <c r="HK218" s="496" t="str">
        <f> IF(HK238&lt;&gt;"",TEXT(AUX!HO$1,"dd-MMM-aa"),"")</f>
      </c>
      <c r="HL218" s="496" t="str">
        <f> IF(HL238&lt;&gt;"",TEXT(AUX!HP$1,"dd-MMM-aa"),"")</f>
      </c>
      <c r="HM218" s="496" t="str">
        <f> IF(HM238&lt;&gt;"",TEXT(AUX!HQ$1,"dd-MMM-aa"),"")</f>
      </c>
      <c r="HN218" s="496" t="str">
        <f> IF(HN238&lt;&gt;"",TEXT(AUX!HR$1,"dd-MMM-aa"),"")</f>
      </c>
      <c r="HO218" s="496" t="str">
        <f> IF(HO238&lt;&gt;"",TEXT(AUX!HS$1,"dd-MMM-aa"),"")</f>
      </c>
      <c r="HP218" s="496" t="str">
        <f> IF(HP238&lt;&gt;"",TEXT(AUX!HT$1,"dd-MMM-aa"),"")</f>
      </c>
      <c r="HQ218" s="496" t="str">
        <f> IF(HQ238&lt;&gt;"",TEXT(AUX!HU$1,"dd-MMM-aa"),"")</f>
      </c>
      <c r="HR218" s="496" t="str">
        <f> IF(HR238&lt;&gt;"",TEXT(AUX!HV$1,"dd-MMM-aa"),"")</f>
      </c>
      <c r="HS218" s="496" t="str">
        <f> IF(HS238&lt;&gt;"",TEXT(AUX!HW$1,"dd-MMM-aa"),"")</f>
      </c>
      <c r="HT218" s="496" t="str">
        <f> IF(HT238&lt;&gt;"",TEXT(AUX!HX$1,"dd-MMM-aa"),"")</f>
      </c>
      <c r="HU218" s="496" t="str">
        <f> IF(HU238&lt;&gt;"",TEXT(AUX!HY$1,"dd-MMM-aa"),"")</f>
      </c>
      <c r="HV218" s="496" t="str">
        <f> IF(HV238&lt;&gt;"",TEXT(AUX!HZ$1,"dd-MMM-aa"),"")</f>
      </c>
      <c r="HW218" s="496" t="str">
        <f> IF(HW238&lt;&gt;"",TEXT(AUX!IA$1,"dd-MMM-aa"),"")</f>
      </c>
      <c r="HX218" s="496" t="str">
        <f> IF(HX238&lt;&gt;"",TEXT(AUX!IB$1,"dd-MMM-aa"),"")</f>
      </c>
      <c r="HY218" s="496" t="str">
        <f> IF(HY238&lt;&gt;"",TEXT(AUX!IC$1,"dd-MMM-aa"),"")</f>
      </c>
      <c r="HZ218" s="496" t="str">
        <f> IF(HZ238&lt;&gt;"",TEXT(AUX!ID$1,"dd-MMM-aa"),"")</f>
      </c>
      <c r="IA218" s="496" t="str">
        <f> IF(IA238&lt;&gt;"",TEXT(AUX!IE$1,"dd-MMM-aa"),"")</f>
      </c>
      <c r="IB218" s="496" t="str">
        <f> IF(IB238&lt;&gt;"",TEXT(AUX!IF$1,"dd-MMM-aa"),"")</f>
      </c>
      <c r="IC218" s="496" t="str">
        <f> IF(IC238&lt;&gt;"",TEXT(AUX!IG$1,"dd-MMM-aa"),"")</f>
      </c>
      <c r="ID218" s="496" t="str">
        <f> IF(ID238&lt;&gt;"",TEXT(AUX!IH$1,"dd-MMM-aa"),"")</f>
      </c>
      <c r="IE218" s="496" t="str">
        <f> IF(IE238&lt;&gt;"",TEXT(AUX!II$1,"dd-MMM-aa"),"")</f>
      </c>
      <c r="IF218" s="496" t="str">
        <f> IF(IF238&lt;&gt;"",TEXT(AUX!IJ$1,"dd-MMM-aa"),"")</f>
      </c>
      <c r="IG218" s="496" t="str">
        <f> IF(IG238&lt;&gt;"",TEXT(AUX!IK$1,"dd-MMM-aa"),"")</f>
      </c>
      <c r="IH218" s="496" t="str">
        <f> IF(IH238&lt;&gt;"",TEXT(AUX!IL$1,"dd-MMM-aa"),"")</f>
      </c>
      <c r="II218" s="496" t="str">
        <f> IF(II238&lt;&gt;"",TEXT(AUX!IM$1,"dd-MMM-aa"),"")</f>
      </c>
      <c r="IJ218" s="496" t="str">
        <f> IF(IJ238&lt;&gt;"",TEXT(AUX!IN$1,"dd-MMM-aa"),"")</f>
      </c>
      <c r="IK218" s="496" t="str">
        <f> IF(IK238&lt;&gt;"",TEXT(AUX!IO$1,"dd-MMM-aa"),"")</f>
      </c>
      <c r="IL218" s="496" t="str">
        <f> IF(IL238&lt;&gt;"",TEXT(AUX!IP$1,"dd-MMM-aa"),"")</f>
      </c>
      <c r="IM218" s="496" t="str">
        <f> IF(IM238&lt;&gt;"",TEXT(AUX!IQ$1,"dd-MMM-aa"),"")</f>
      </c>
      <c r="IN218" s="496" t="str">
        <f> IF(IN238&lt;&gt;"",TEXT(AUX!IR$1,"dd-MMM-aa"),"")</f>
      </c>
      <c r="IO218" s="496" t="str">
        <f> IF(IO238&lt;&gt;"",TEXT(AUX!IS$1,"dd-MMM-aa"),"")</f>
      </c>
      <c r="IP218" s="496" t="str">
        <f> IF(IP238&lt;&gt;"",TEXT(AUX!IT$1,"dd-MMM-aa"),"")</f>
      </c>
      <c r="IQ218" s="496" t="str">
        <f> IF(IQ238&lt;&gt;"",TEXT(AUX!IU$1,"dd-MMM-aa"),"")</f>
      </c>
      <c r="IR218" s="496" t="str">
        <f> IF(IR238&lt;&gt;"",TEXT(AUX!IV$1,"dd-MMM-aa"),"")</f>
      </c>
      <c r="IS218" s="496" t="str">
        <f> IF(IS238&lt;&gt;"",TEXT(AUX!#REF!,"dd-MMM-aa"),"")</f>
      </c>
      <c r="IT218" s="496" t="str">
        <f> IF(IT238&lt;&gt;"",TEXT(AUX!#REF!,"dd-MMM-aa"),"")</f>
      </c>
      <c r="IU218" s="496" t="str">
        <f> IF(IU238&lt;&gt;"",TEXT(AUX!#REF!,"dd-MMM-aa"),"")</f>
      </c>
      <c r="IV218" s="496" t="str">
        <f> IF(IV238&lt;&gt;"",TEXT(AUX!#REF!,"dd-MMM-aa"),"")</f>
      </c>
    </row>
    <row r="219" hidden="1" ht="12.75" customHeight="1">
      <c r="B219" s="833" t="s">
        <v>8</v>
      </c>
      <c r="C219" s="827">
        <v>1549</v>
      </c>
      <c r="D219" s="827">
        <v>1581</v>
      </c>
      <c r="E219" s="827">
        <v>1585</v>
      </c>
      <c r="F219" s="827">
        <v>1597</v>
      </c>
      <c r="G219" s="827">
        <v>1518</v>
      </c>
      <c r="H219" s="827">
        <v>1534</v>
      </c>
      <c r="I219" s="827">
        <v>1550</v>
      </c>
      <c r="J219" s="827">
        <v>1566</v>
      </c>
      <c r="K219" s="827">
        <v>1627</v>
      </c>
      <c r="L219" s="827">
        <v>1620</v>
      </c>
      <c r="M219" s="827">
        <v>1540</v>
      </c>
      <c r="N219" s="827">
        <v>1554</v>
      </c>
      <c r="O219" s="827">
        <v>1589</v>
      </c>
      <c r="P219" s="827">
        <v>1810</v>
      </c>
      <c r="Q219" s="827">
        <v>3305</v>
      </c>
      <c r="R219" s="827">
        <v>3680</v>
      </c>
      <c r="S219" s="827">
        <v>4017</v>
      </c>
      <c r="T219" s="827">
        <v>4206</v>
      </c>
      <c r="U219" s="827">
        <v>4449</v>
      </c>
      <c r="V219" s="827">
        <v>4599</v>
      </c>
      <c r="W219" s="827">
        <v>4708</v>
      </c>
      <c r="X219" s="827">
        <v>3287</v>
      </c>
      <c r="Y219" s="827">
        <v>4788</v>
      </c>
      <c r="Z219" s="827">
        <v>4791</v>
      </c>
      <c r="AA219" s="827">
        <v>4749</v>
      </c>
      <c r="AB219" s="834">
        <v>4765</v>
      </c>
      <c r="AC219" s="828">
        <v>4724</v>
      </c>
      <c r="AD219" s="828">
        <v>4755</v>
      </c>
      <c r="AE219" s="828">
        <v>4791</v>
      </c>
      <c r="AF219" s="828">
        <v>4784</v>
      </c>
      <c r="AG219" s="828">
        <v>4738</v>
      </c>
      <c r="AH219" s="828">
        <v>4718</v>
      </c>
      <c r="AI219" s="828">
        <v>4682</v>
      </c>
      <c r="AJ219" s="828">
        <v>4649</v>
      </c>
      <c r="AK219" s="828">
        <v>4657</v>
      </c>
      <c r="AL219" s="828">
        <v>4718</v>
      </c>
      <c r="AM219" s="828">
        <v>4504</v>
      </c>
      <c r="AN219" s="828">
        <v>4465</v>
      </c>
      <c r="AO219" s="828">
        <v>4482</v>
      </c>
      <c r="AP219" s="828">
        <v>4434</v>
      </c>
    </row>
    <row r="220" hidden="1" ht="12.75" customHeight="1">
      <c r="B220" s="829" t="s">
        <v>9</v>
      </c>
      <c r="C220" s="823">
        <v>2</v>
      </c>
      <c r="D220" s="823">
        <v>2</v>
      </c>
      <c r="E220" s="823">
        <v>2</v>
      </c>
      <c r="F220" s="823">
        <v>2</v>
      </c>
      <c r="G220" s="823">
        <v>2</v>
      </c>
      <c r="H220" s="823">
        <v>3</v>
      </c>
      <c r="I220" s="823">
        <v>6</v>
      </c>
      <c r="J220" s="823">
        <v>6</v>
      </c>
      <c r="K220" s="823">
        <v>4</v>
      </c>
      <c r="L220" s="823">
        <v>6</v>
      </c>
      <c r="M220" s="823">
        <v>5</v>
      </c>
      <c r="N220" s="823">
        <v>6</v>
      </c>
      <c r="O220" s="823">
        <v>5</v>
      </c>
      <c r="P220" s="823">
        <v>6</v>
      </c>
      <c r="Q220" s="823">
        <v>10</v>
      </c>
      <c r="R220" s="823">
        <v>19</v>
      </c>
      <c r="S220" s="823">
        <v>21</v>
      </c>
      <c r="T220" s="823">
        <v>24</v>
      </c>
      <c r="U220" s="823">
        <v>27</v>
      </c>
      <c r="V220" s="823">
        <v>28</v>
      </c>
      <c r="W220" s="823">
        <v>35</v>
      </c>
      <c r="X220" s="823">
        <v>39</v>
      </c>
      <c r="Y220" s="823">
        <v>40</v>
      </c>
      <c r="Z220" s="823">
        <v>43</v>
      </c>
      <c r="AA220" s="823">
        <v>44</v>
      </c>
      <c r="AB220" s="823">
        <v>44</v>
      </c>
      <c r="AC220" s="825">
        <v>44</v>
      </c>
      <c r="AD220" s="825">
        <v>44</v>
      </c>
      <c r="AE220" s="825">
        <v>43</v>
      </c>
      <c r="AF220" s="825">
        <v>43</v>
      </c>
      <c r="AG220" s="825">
        <v>46</v>
      </c>
      <c r="AH220" s="825">
        <v>52</v>
      </c>
      <c r="AI220" s="825">
        <v>60</v>
      </c>
      <c r="AJ220" s="825">
        <v>65</v>
      </c>
      <c r="AK220" s="825">
        <v>68</v>
      </c>
      <c r="AL220" s="825">
        <v>71</v>
      </c>
      <c r="AM220" s="825">
        <v>72</v>
      </c>
      <c r="AN220" s="825">
        <v>72</v>
      </c>
      <c r="AO220" s="825">
        <v>73</v>
      </c>
      <c r="AP220" s="825">
        <v>74</v>
      </c>
    </row>
    <row r="221" hidden="1" ht="12.75" customHeight="1">
      <c r="B221" s="826" t="s">
        <v>10</v>
      </c>
      <c r="C221" s="827">
        <v>1174</v>
      </c>
      <c r="D221" s="827">
        <v>1157</v>
      </c>
      <c r="E221" s="827">
        <v>1141</v>
      </c>
      <c r="F221" s="827">
        <v>1016</v>
      </c>
      <c r="G221" s="827">
        <v>969</v>
      </c>
      <c r="H221" s="827">
        <v>972</v>
      </c>
      <c r="I221" s="827">
        <v>974</v>
      </c>
      <c r="J221" s="827">
        <v>687</v>
      </c>
      <c r="K221" s="827">
        <v>673</v>
      </c>
      <c r="L221" s="827">
        <v>632</v>
      </c>
      <c r="M221" s="827">
        <v>603</v>
      </c>
      <c r="N221" s="827">
        <v>609</v>
      </c>
      <c r="O221" s="827">
        <v>599</v>
      </c>
      <c r="P221" s="827">
        <v>610</v>
      </c>
      <c r="Q221" s="827">
        <v>593</v>
      </c>
      <c r="R221" s="827">
        <v>597</v>
      </c>
      <c r="S221" s="827">
        <v>595</v>
      </c>
      <c r="T221" s="827">
        <v>601</v>
      </c>
      <c r="U221" s="827">
        <v>594</v>
      </c>
      <c r="V221" s="827">
        <v>587</v>
      </c>
      <c r="W221" s="827">
        <v>598</v>
      </c>
      <c r="X221" s="827">
        <v>585</v>
      </c>
      <c r="Y221" s="827">
        <v>592</v>
      </c>
      <c r="Z221" s="827">
        <v>591</v>
      </c>
      <c r="AA221" s="827">
        <v>599</v>
      </c>
      <c r="AB221" s="827">
        <v>599</v>
      </c>
      <c r="AC221" s="828">
        <v>609</v>
      </c>
      <c r="AD221" s="828">
        <v>609</v>
      </c>
      <c r="AE221" s="828">
        <v>610</v>
      </c>
      <c r="AF221" s="828">
        <v>543</v>
      </c>
      <c r="AG221" s="828">
        <v>547</v>
      </c>
      <c r="AH221" s="828">
        <v>495</v>
      </c>
      <c r="AI221" s="828">
        <v>508</v>
      </c>
      <c r="AJ221" s="828">
        <v>493</v>
      </c>
      <c r="AK221" s="828">
        <v>498</v>
      </c>
      <c r="AL221" s="828">
        <v>463</v>
      </c>
      <c r="AM221" s="828">
        <v>475</v>
      </c>
      <c r="AN221" s="828">
        <v>437</v>
      </c>
      <c r="AO221" s="828">
        <v>450</v>
      </c>
      <c r="AP221" s="828">
        <v>422</v>
      </c>
    </row>
    <row r="222" hidden="1" ht="12.75" customHeight="1">
      <c r="B222" s="829" t="s">
        <v>11</v>
      </c>
      <c r="C222" s="823">
        <v>82</v>
      </c>
      <c r="D222" s="823">
        <v>84</v>
      </c>
      <c r="E222" s="823">
        <v>82</v>
      </c>
      <c r="F222" s="823">
        <v>66</v>
      </c>
      <c r="G222" s="823">
        <v>59</v>
      </c>
      <c r="H222" s="823">
        <v>56</v>
      </c>
      <c r="I222" s="823">
        <v>54</v>
      </c>
      <c r="J222" s="823">
        <v>51</v>
      </c>
      <c r="K222" s="823">
        <v>48</v>
      </c>
      <c r="L222" s="823">
        <v>46</v>
      </c>
      <c r="M222" s="823">
        <v>46</v>
      </c>
      <c r="N222" s="823">
        <v>48</v>
      </c>
      <c r="O222" s="823">
        <v>43</v>
      </c>
      <c r="P222" s="823">
        <v>45</v>
      </c>
      <c r="Q222" s="823">
        <v>46</v>
      </c>
      <c r="R222" s="823">
        <v>43</v>
      </c>
      <c r="S222" s="823">
        <v>45</v>
      </c>
      <c r="T222" s="823">
        <v>50</v>
      </c>
      <c r="U222" s="823">
        <v>49</v>
      </c>
      <c r="V222" s="823">
        <v>53</v>
      </c>
      <c r="W222" s="823">
        <v>53</v>
      </c>
      <c r="X222" s="823">
        <v>54</v>
      </c>
      <c r="Y222" s="823">
        <v>52</v>
      </c>
      <c r="Z222" s="823">
        <v>46</v>
      </c>
      <c r="AA222" s="823">
        <v>42</v>
      </c>
      <c r="AB222" s="823">
        <v>44</v>
      </c>
      <c r="AC222" s="825">
        <v>44</v>
      </c>
      <c r="AD222" s="825">
        <v>43</v>
      </c>
      <c r="AE222" s="825">
        <v>27</v>
      </c>
      <c r="AF222" s="825">
        <v>18</v>
      </c>
      <c r="AG222" s="825">
        <v>17</v>
      </c>
      <c r="AH222" s="825">
        <v>19</v>
      </c>
      <c r="AI222" s="825">
        <v>20</v>
      </c>
      <c r="AJ222" s="825">
        <v>23</v>
      </c>
      <c r="AK222" s="825">
        <v>20</v>
      </c>
      <c r="AL222" s="825">
        <v>23</v>
      </c>
      <c r="AM222" s="825">
        <v>22</v>
      </c>
      <c r="AN222" s="825">
        <v>14</v>
      </c>
      <c r="AO222" s="825">
        <v>7</v>
      </c>
      <c r="AP222" s="825">
        <v>7</v>
      </c>
    </row>
    <row r="223" hidden="1" ht="12.75" customHeight="1">
      <c r="B223" s="826" t="s">
        <v>12</v>
      </c>
      <c r="C223" s="827">
        <v>1680</v>
      </c>
      <c r="D223" s="827">
        <v>1787</v>
      </c>
      <c r="E223" s="827">
        <v>1940</v>
      </c>
      <c r="F223" s="827">
        <v>2020</v>
      </c>
      <c r="G223" s="827">
        <v>2077</v>
      </c>
      <c r="H223" s="827">
        <v>2167</v>
      </c>
      <c r="I223" s="827">
        <v>2269</v>
      </c>
      <c r="J223" s="827">
        <v>1730</v>
      </c>
      <c r="K223" s="827">
        <v>1669</v>
      </c>
      <c r="L223" s="827">
        <v>1664</v>
      </c>
      <c r="M223" s="827">
        <v>1605</v>
      </c>
      <c r="N223" s="827">
        <v>1615</v>
      </c>
      <c r="O223" s="827">
        <v>1581</v>
      </c>
      <c r="P223" s="827">
        <v>1569</v>
      </c>
      <c r="Q223" s="827">
        <v>1536</v>
      </c>
      <c r="R223" s="827">
        <v>1541</v>
      </c>
      <c r="S223" s="827">
        <v>1441</v>
      </c>
      <c r="T223" s="827">
        <v>1394</v>
      </c>
      <c r="U223" s="827">
        <v>1258</v>
      </c>
      <c r="V223" s="827">
        <v>1225</v>
      </c>
      <c r="W223" s="827">
        <v>1158</v>
      </c>
      <c r="X223" s="827">
        <v>1169</v>
      </c>
      <c r="Y223" s="827">
        <v>1086</v>
      </c>
      <c r="Z223" s="827">
        <v>1056</v>
      </c>
      <c r="AA223" s="827">
        <v>978</v>
      </c>
      <c r="AB223" s="827">
        <v>962</v>
      </c>
      <c r="AC223" s="828">
        <v>919</v>
      </c>
      <c r="AD223" s="828">
        <v>902</v>
      </c>
      <c r="AE223" s="828">
        <v>822</v>
      </c>
      <c r="AF223" s="828">
        <v>792</v>
      </c>
      <c r="AG223" s="828">
        <v>766</v>
      </c>
      <c r="AH223" s="828">
        <v>747</v>
      </c>
      <c r="AI223" s="828">
        <v>729</v>
      </c>
      <c r="AJ223" s="828">
        <v>715</v>
      </c>
      <c r="AK223" s="828">
        <v>679</v>
      </c>
      <c r="AL223" s="828">
        <v>664</v>
      </c>
      <c r="AM223" s="828">
        <v>609</v>
      </c>
      <c r="AN223" s="828">
        <v>577</v>
      </c>
      <c r="AO223" s="828">
        <v>546</v>
      </c>
      <c r="AP223" s="828">
        <v>507</v>
      </c>
    </row>
    <row r="224" hidden="1" ht="12.75" customHeight="1">
      <c r="B224" s="829" t="s">
        <v>13</v>
      </c>
      <c r="C224" s="823">
        <v>87</v>
      </c>
      <c r="D224" s="823">
        <v>111</v>
      </c>
      <c r="E224" s="823">
        <v>138</v>
      </c>
      <c r="F224" s="823">
        <v>128</v>
      </c>
      <c r="G224" s="823">
        <v>155</v>
      </c>
      <c r="H224" s="823">
        <v>178</v>
      </c>
      <c r="I224" s="823">
        <v>203</v>
      </c>
      <c r="J224" s="823">
        <v>222</v>
      </c>
      <c r="K224" s="823">
        <v>238</v>
      </c>
      <c r="L224" s="823">
        <v>199</v>
      </c>
      <c r="M224" s="823">
        <v>212</v>
      </c>
      <c r="N224" s="823">
        <v>154</v>
      </c>
      <c r="O224" s="823">
        <v>153</v>
      </c>
      <c r="P224" s="823">
        <v>147</v>
      </c>
      <c r="Q224" s="823">
        <v>162</v>
      </c>
      <c r="R224" s="823">
        <v>146</v>
      </c>
      <c r="S224" s="823">
        <v>164</v>
      </c>
      <c r="T224" s="823">
        <v>179</v>
      </c>
      <c r="U224" s="823">
        <v>184</v>
      </c>
      <c r="V224" s="823">
        <v>197</v>
      </c>
      <c r="W224" s="823">
        <v>169</v>
      </c>
      <c r="X224" s="823">
        <v>174</v>
      </c>
      <c r="Y224" s="823">
        <v>151</v>
      </c>
      <c r="Z224" s="823">
        <v>131</v>
      </c>
      <c r="AA224" s="823">
        <v>130</v>
      </c>
      <c r="AB224" s="823">
        <v>124</v>
      </c>
      <c r="AC224" s="825">
        <v>130</v>
      </c>
      <c r="AD224" s="825">
        <v>120</v>
      </c>
      <c r="AE224" s="825">
        <v>123</v>
      </c>
      <c r="AF224" s="825">
        <v>111</v>
      </c>
      <c r="AG224" s="825">
        <v>118</v>
      </c>
      <c r="AH224" s="825">
        <v>110</v>
      </c>
      <c r="AI224" s="825">
        <v>113</v>
      </c>
      <c r="AJ224" s="825">
        <v>103</v>
      </c>
      <c r="AK224" s="825">
        <v>102</v>
      </c>
      <c r="AL224" s="825">
        <v>90</v>
      </c>
      <c r="AM224" s="825">
        <v>94</v>
      </c>
      <c r="AN224" s="825">
        <v>88</v>
      </c>
      <c r="AO224" s="825">
        <v>88</v>
      </c>
      <c r="AP224" s="825">
        <v>84</v>
      </c>
    </row>
    <row r="225" hidden="1" ht="12.75" customHeight="1">
      <c r="B225" s="826" t="s">
        <v>109</v>
      </c>
      <c r="C225" s="827">
        <v>5165</v>
      </c>
      <c r="D225" s="827">
        <v>4874</v>
      </c>
      <c r="E225" s="827">
        <v>3804</v>
      </c>
      <c r="F225" s="827">
        <v>3598</v>
      </c>
      <c r="G225" s="827">
        <v>2867</v>
      </c>
      <c r="H225" s="827">
        <v>2562</v>
      </c>
      <c r="I225" s="827">
        <v>2411</v>
      </c>
      <c r="J225" s="827">
        <v>2306</v>
      </c>
      <c r="K225" s="827">
        <v>2222</v>
      </c>
      <c r="L225" s="827">
        <v>2166</v>
      </c>
      <c r="M225" s="827">
        <v>2035</v>
      </c>
      <c r="N225" s="827">
        <v>1656</v>
      </c>
      <c r="O225" s="827">
        <v>1637</v>
      </c>
      <c r="P225" s="827">
        <v>1701</v>
      </c>
      <c r="Q225" s="827">
        <v>1677</v>
      </c>
      <c r="R225" s="827">
        <v>1667</v>
      </c>
      <c r="S225" s="827">
        <v>1584</v>
      </c>
      <c r="T225" s="827">
        <v>1599</v>
      </c>
      <c r="U225" s="827">
        <v>1572</v>
      </c>
      <c r="V225" s="827">
        <v>1552</v>
      </c>
      <c r="W225" s="827">
        <v>1527</v>
      </c>
      <c r="X225" s="827">
        <v>1419</v>
      </c>
      <c r="Y225" s="827">
        <v>1287</v>
      </c>
      <c r="Z225" s="827">
        <v>1245</v>
      </c>
      <c r="AA225" s="827">
        <v>1187</v>
      </c>
      <c r="AB225" s="827">
        <v>1176</v>
      </c>
      <c r="AC225" s="828">
        <v>1142</v>
      </c>
      <c r="AD225" s="828">
        <v>1132</v>
      </c>
      <c r="AE225" s="828">
        <v>1012</v>
      </c>
      <c r="AF225" s="828">
        <v>989</v>
      </c>
      <c r="AG225" s="828">
        <v>966</v>
      </c>
      <c r="AH225" s="828">
        <v>952</v>
      </c>
      <c r="AI225" s="828">
        <v>937</v>
      </c>
      <c r="AJ225" s="828">
        <v>882</v>
      </c>
      <c r="AK225" s="828">
        <v>840</v>
      </c>
      <c r="AL225" s="828">
        <v>826</v>
      </c>
      <c r="AM225" s="828">
        <v>743</v>
      </c>
      <c r="AN225" s="828">
        <v>735</v>
      </c>
      <c r="AO225" s="828">
        <v>695</v>
      </c>
      <c r="AP225" s="828">
        <v>685</v>
      </c>
    </row>
    <row r="226" hidden="1" ht="12.75" customHeight="1">
      <c r="B226" s="829" t="s">
        <v>110</v>
      </c>
      <c r="C226" s="823">
        <v>233</v>
      </c>
      <c r="D226" s="823">
        <v>245</v>
      </c>
      <c r="E226" s="823">
        <v>386</v>
      </c>
      <c r="F226" s="823">
        <v>408</v>
      </c>
      <c r="G226" s="823">
        <v>435</v>
      </c>
      <c r="H226" s="823">
        <v>440</v>
      </c>
      <c r="I226" s="823">
        <v>438</v>
      </c>
      <c r="J226" s="823">
        <v>439</v>
      </c>
      <c r="K226" s="823">
        <v>441</v>
      </c>
      <c r="L226" s="823">
        <v>441</v>
      </c>
      <c r="M226" s="823">
        <v>446</v>
      </c>
      <c r="N226" s="823">
        <v>423</v>
      </c>
      <c r="O226" s="823">
        <v>409</v>
      </c>
      <c r="P226" s="823">
        <v>319</v>
      </c>
      <c r="Q226" s="823">
        <v>330</v>
      </c>
      <c r="R226" s="823">
        <v>328</v>
      </c>
      <c r="S226" s="823">
        <v>340</v>
      </c>
      <c r="T226" s="823">
        <v>332</v>
      </c>
      <c r="U226" s="823">
        <v>340</v>
      </c>
      <c r="V226" s="823">
        <v>348</v>
      </c>
      <c r="W226" s="823">
        <v>334</v>
      </c>
      <c r="X226" s="823">
        <v>337</v>
      </c>
      <c r="Y226" s="823">
        <v>330</v>
      </c>
      <c r="Z226" s="823">
        <v>309</v>
      </c>
      <c r="AA226" s="823">
        <v>301</v>
      </c>
      <c r="AB226" s="823">
        <v>300</v>
      </c>
      <c r="AC226" s="825">
        <v>296</v>
      </c>
      <c r="AD226" s="825">
        <v>287</v>
      </c>
      <c r="AE226" s="825">
        <v>276</v>
      </c>
      <c r="AF226" s="825">
        <v>263</v>
      </c>
      <c r="AG226" s="825">
        <v>265</v>
      </c>
      <c r="AH226" s="825">
        <v>247</v>
      </c>
      <c r="AI226" s="825">
        <v>242</v>
      </c>
      <c r="AJ226" s="825">
        <v>242</v>
      </c>
      <c r="AK226" s="825">
        <v>259</v>
      </c>
      <c r="AL226" s="825">
        <v>251</v>
      </c>
      <c r="AM226" s="825">
        <v>245</v>
      </c>
      <c r="AN226" s="825">
        <v>243</v>
      </c>
      <c r="AO226" s="825">
        <v>238</v>
      </c>
      <c r="AP226" s="825">
        <v>239</v>
      </c>
    </row>
    <row r="227" hidden="1" ht="12.75" customHeight="1">
      <c r="B227" s="826" t="s">
        <v>16</v>
      </c>
      <c r="C227" s="827">
        <v>52</v>
      </c>
      <c r="D227" s="827">
        <v>46</v>
      </c>
      <c r="E227" s="827">
        <v>48</v>
      </c>
      <c r="F227" s="827">
        <v>51</v>
      </c>
      <c r="G227" s="827">
        <v>53</v>
      </c>
      <c r="H227" s="827">
        <v>57</v>
      </c>
      <c r="I227" s="827">
        <v>68</v>
      </c>
      <c r="J227" s="827">
        <v>73</v>
      </c>
      <c r="K227" s="827">
        <v>76</v>
      </c>
      <c r="L227" s="827">
        <v>83</v>
      </c>
      <c r="M227" s="827">
        <v>82</v>
      </c>
      <c r="N227" s="827">
        <v>84</v>
      </c>
      <c r="O227" s="827">
        <v>85</v>
      </c>
      <c r="P227" s="827">
        <v>85</v>
      </c>
      <c r="Q227" s="827">
        <v>89</v>
      </c>
      <c r="R227" s="827">
        <v>93</v>
      </c>
      <c r="S227" s="827">
        <v>99</v>
      </c>
      <c r="T227" s="827">
        <v>107</v>
      </c>
      <c r="U227" s="827">
        <v>99</v>
      </c>
      <c r="V227" s="827">
        <v>100</v>
      </c>
      <c r="W227" s="827">
        <v>101</v>
      </c>
      <c r="X227" s="827">
        <v>100</v>
      </c>
      <c r="Y227" s="827">
        <v>98</v>
      </c>
      <c r="Z227" s="827">
        <v>99</v>
      </c>
      <c r="AA227" s="827">
        <v>91</v>
      </c>
      <c r="AB227" s="827">
        <v>87</v>
      </c>
      <c r="AC227" s="828">
        <v>86</v>
      </c>
      <c r="AD227" s="828">
        <v>86</v>
      </c>
      <c r="AE227" s="828">
        <v>81</v>
      </c>
      <c r="AF227" s="828">
        <v>86</v>
      </c>
      <c r="AG227" s="828">
        <v>95</v>
      </c>
      <c r="AH227" s="828">
        <v>99</v>
      </c>
      <c r="AI227" s="828">
        <v>99</v>
      </c>
      <c r="AJ227" s="828">
        <v>114</v>
      </c>
      <c r="AK227" s="828">
        <v>114</v>
      </c>
      <c r="AL227" s="828">
        <v>111</v>
      </c>
      <c r="AM227" s="828">
        <v>125</v>
      </c>
      <c r="AN227" s="828">
        <v>131</v>
      </c>
      <c r="AO227" s="828">
        <v>146</v>
      </c>
      <c r="AP227" s="828">
        <v>150</v>
      </c>
    </row>
    <row r="228" hidden="1" ht="12.75" customHeight="1">
      <c r="B228" s="829" t="s">
        <v>17</v>
      </c>
      <c r="C228" s="823">
        <v>439</v>
      </c>
      <c r="D228" s="823">
        <v>453</v>
      </c>
      <c r="E228" s="823">
        <v>457</v>
      </c>
      <c r="F228" s="823">
        <v>464</v>
      </c>
      <c r="G228" s="823">
        <v>340</v>
      </c>
      <c r="H228" s="823">
        <v>357</v>
      </c>
      <c r="I228" s="823">
        <v>358</v>
      </c>
      <c r="J228" s="823">
        <v>368</v>
      </c>
      <c r="K228" s="823">
        <v>381</v>
      </c>
      <c r="L228" s="823">
        <v>407</v>
      </c>
      <c r="M228" s="823">
        <v>435</v>
      </c>
      <c r="N228" s="823">
        <v>501</v>
      </c>
      <c r="O228" s="823">
        <v>639</v>
      </c>
      <c r="P228" s="823">
        <v>847</v>
      </c>
      <c r="Q228" s="823">
        <v>964</v>
      </c>
      <c r="R228" s="823">
        <v>1061</v>
      </c>
      <c r="S228" s="823">
        <v>1175</v>
      </c>
      <c r="T228" s="823">
        <v>1259</v>
      </c>
      <c r="U228" s="823">
        <v>1349</v>
      </c>
      <c r="V228" s="823">
        <v>1422</v>
      </c>
      <c r="W228" s="823">
        <v>1457</v>
      </c>
      <c r="X228" s="823">
        <v>1485</v>
      </c>
      <c r="Y228" s="823">
        <v>1538</v>
      </c>
      <c r="Z228" s="823">
        <v>1579</v>
      </c>
      <c r="AA228" s="823">
        <v>1788</v>
      </c>
      <c r="AB228" s="823">
        <v>1743</v>
      </c>
      <c r="AC228" s="825">
        <v>1761</v>
      </c>
      <c r="AD228" s="825">
        <v>1801</v>
      </c>
      <c r="AE228" s="825">
        <v>1825</v>
      </c>
      <c r="AF228" s="825">
        <v>1854</v>
      </c>
      <c r="AG228" s="825">
        <v>1887</v>
      </c>
      <c r="AH228" s="825">
        <v>1893</v>
      </c>
      <c r="AI228" s="825">
        <v>1893</v>
      </c>
      <c r="AJ228" s="825">
        <v>1903</v>
      </c>
      <c r="AK228" s="825">
        <v>1923</v>
      </c>
      <c r="AL228" s="825">
        <v>1944</v>
      </c>
      <c r="AM228" s="825">
        <v>1971</v>
      </c>
      <c r="AN228" s="825">
        <v>1987</v>
      </c>
      <c r="AO228" s="825">
        <v>1985</v>
      </c>
      <c r="AP228" s="825">
        <v>1978</v>
      </c>
    </row>
    <row r="229" hidden="1" ht="12.75" customHeight="1">
      <c r="B229" s="826" t="s">
        <v>18</v>
      </c>
      <c r="C229" s="827">
        <v>144</v>
      </c>
      <c r="D229" s="827">
        <v>171</v>
      </c>
      <c r="E229" s="827">
        <v>259</v>
      </c>
      <c r="F229" s="827">
        <v>317</v>
      </c>
      <c r="G229" s="827">
        <v>336</v>
      </c>
      <c r="H229" s="827">
        <v>364</v>
      </c>
      <c r="I229" s="827">
        <v>355</v>
      </c>
      <c r="J229" s="827">
        <v>341</v>
      </c>
      <c r="K229" s="827">
        <v>325</v>
      </c>
      <c r="L229" s="827">
        <v>330</v>
      </c>
      <c r="M229" s="827">
        <v>323</v>
      </c>
      <c r="N229" s="827">
        <v>319</v>
      </c>
      <c r="O229" s="827">
        <v>324</v>
      </c>
      <c r="P229" s="827">
        <v>320</v>
      </c>
      <c r="Q229" s="827">
        <v>6</v>
      </c>
      <c r="R229" s="827">
        <v>16</v>
      </c>
      <c r="S229" s="827">
        <v>15</v>
      </c>
      <c r="T229" s="827">
        <v>21</v>
      </c>
      <c r="U229" s="827">
        <v>5</v>
      </c>
      <c r="V229" s="827">
        <v>14</v>
      </c>
      <c r="W229" s="827">
        <v>22</v>
      </c>
      <c r="X229" s="827">
        <v>31</v>
      </c>
      <c r="Y229" s="827">
        <v>4</v>
      </c>
      <c r="Z229" s="827">
        <v>9</v>
      </c>
      <c r="AA229" s="827">
        <v>4</v>
      </c>
      <c r="AB229" s="827">
        <v>7</v>
      </c>
      <c r="AC229" s="828">
        <v>10</v>
      </c>
      <c r="AD229" s="828">
        <v>9</v>
      </c>
      <c r="AE229" s="828">
        <v>11</v>
      </c>
      <c r="AF229" s="828">
        <v>15</v>
      </c>
      <c r="AG229" s="828">
        <v>21</v>
      </c>
      <c r="AH229" s="828">
        <v>26</v>
      </c>
      <c r="AI229" s="828">
        <v>6</v>
      </c>
      <c r="AJ229" s="828">
        <v>9</v>
      </c>
      <c r="AK229" s="828">
        <v>4</v>
      </c>
      <c r="AL229" s="828">
        <v>2</v>
      </c>
      <c r="AM229" s="828">
        <v>15</v>
      </c>
      <c r="AN229" s="828">
        <v>22</v>
      </c>
      <c r="AO229" s="828">
        <v>23</v>
      </c>
      <c r="AP229" s="828">
        <v>13</v>
      </c>
    </row>
    <row r="230" hidden="1" ht="12.75" customHeight="1">
      <c r="B230" s="829" t="s">
        <v>19</v>
      </c>
      <c r="C230" s="823">
        <v>7</v>
      </c>
      <c r="D230" s="823">
        <v>7</v>
      </c>
      <c r="E230" s="823">
        <v>7</v>
      </c>
      <c r="F230" s="823">
        <v>9</v>
      </c>
      <c r="G230" s="823">
        <v>9</v>
      </c>
      <c r="H230" s="823">
        <v>8</v>
      </c>
      <c r="I230" s="823">
        <v>9</v>
      </c>
      <c r="J230" s="823">
        <v>13</v>
      </c>
      <c r="K230" s="823">
        <v>14</v>
      </c>
      <c r="L230" s="823">
        <v>18</v>
      </c>
      <c r="M230" s="823">
        <v>18</v>
      </c>
      <c r="N230" s="823">
        <v>20</v>
      </c>
      <c r="O230" s="823">
        <v>23</v>
      </c>
      <c r="P230" s="823">
        <v>24</v>
      </c>
      <c r="Q230" s="823">
        <v>22</v>
      </c>
      <c r="R230" s="823">
        <v>28</v>
      </c>
      <c r="S230" s="823">
        <v>28</v>
      </c>
      <c r="T230" s="823">
        <v>30</v>
      </c>
      <c r="U230" s="823">
        <v>35</v>
      </c>
      <c r="V230" s="823">
        <v>36</v>
      </c>
      <c r="W230" s="823">
        <v>38</v>
      </c>
      <c r="X230" s="823">
        <v>41</v>
      </c>
      <c r="Y230" s="823">
        <v>42</v>
      </c>
      <c r="Z230" s="823">
        <v>43</v>
      </c>
      <c r="AA230" s="823">
        <v>43</v>
      </c>
      <c r="AB230" s="823">
        <v>45</v>
      </c>
      <c r="AC230" s="825">
        <v>46</v>
      </c>
      <c r="AD230" s="825">
        <v>46</v>
      </c>
      <c r="AE230" s="825">
        <v>45</v>
      </c>
      <c r="AF230" s="825">
        <v>46</v>
      </c>
      <c r="AG230" s="825">
        <v>47</v>
      </c>
      <c r="AH230" s="825">
        <v>46</v>
      </c>
      <c r="AI230" s="825">
        <v>45</v>
      </c>
      <c r="AJ230" s="825">
        <v>29</v>
      </c>
      <c r="AK230" s="825">
        <v>32</v>
      </c>
      <c r="AL230" s="825">
        <v>32</v>
      </c>
      <c r="AM230" s="825">
        <v>32</v>
      </c>
      <c r="AN230" s="825">
        <v>36</v>
      </c>
      <c r="AO230" s="825">
        <v>36</v>
      </c>
      <c r="AP230" s="825">
        <v>36</v>
      </c>
    </row>
    <row r="231" hidden="1" ht="12.75" customHeight="1">
      <c r="B231" s="826" t="s">
        <v>20</v>
      </c>
      <c r="C231" s="827">
        <v>342</v>
      </c>
      <c r="D231" s="827">
        <v>346</v>
      </c>
      <c r="E231" s="827">
        <v>14</v>
      </c>
      <c r="F231" s="827">
        <v>23</v>
      </c>
      <c r="G231" s="827">
        <v>26</v>
      </c>
      <c r="H231" s="827">
        <v>21</v>
      </c>
      <c r="I231" s="827">
        <v>21</v>
      </c>
      <c r="J231" s="827">
        <v>22</v>
      </c>
      <c r="K231" s="827">
        <v>22</v>
      </c>
      <c r="L231" s="827">
        <v>23</v>
      </c>
      <c r="M231" s="827">
        <v>21</v>
      </c>
      <c r="N231" s="827">
        <v>23</v>
      </c>
      <c r="O231" s="827">
        <v>26</v>
      </c>
      <c r="P231" s="827">
        <v>31</v>
      </c>
      <c r="Q231" s="827">
        <v>33</v>
      </c>
      <c r="R231" s="827">
        <v>35</v>
      </c>
      <c r="S231" s="827">
        <v>32</v>
      </c>
      <c r="T231" s="827">
        <v>33</v>
      </c>
      <c r="U231" s="827">
        <v>34</v>
      </c>
      <c r="V231" s="827">
        <v>34</v>
      </c>
      <c r="W231" s="827">
        <v>31</v>
      </c>
      <c r="X231" s="827">
        <v>32</v>
      </c>
      <c r="Y231" s="827">
        <v>33</v>
      </c>
      <c r="Z231" s="827">
        <v>34</v>
      </c>
      <c r="AA231" s="827">
        <v>35</v>
      </c>
      <c r="AB231" s="827">
        <v>35</v>
      </c>
      <c r="AC231" s="828">
        <v>36</v>
      </c>
      <c r="AD231" s="828">
        <v>36</v>
      </c>
      <c r="AE231" s="828">
        <v>38</v>
      </c>
      <c r="AF231" s="828">
        <v>38</v>
      </c>
      <c r="AG231" s="828">
        <v>33</v>
      </c>
      <c r="AH231" s="828">
        <v>34</v>
      </c>
      <c r="AI231" s="828">
        <v>32</v>
      </c>
      <c r="AJ231" s="828">
        <v>32</v>
      </c>
      <c r="AK231" s="828">
        <v>30</v>
      </c>
      <c r="AL231" s="828">
        <v>29</v>
      </c>
      <c r="AM231" s="828">
        <v>29</v>
      </c>
      <c r="AN231" s="828">
        <v>29</v>
      </c>
      <c r="AO231" s="828">
        <v>29</v>
      </c>
      <c r="AP231" s="828">
        <v>29</v>
      </c>
    </row>
    <row r="232" hidden="1" ht="12.75" customHeight="1">
      <c r="B232" s="829" t="s">
        <v>21</v>
      </c>
      <c r="C232" s="823">
        <v>3</v>
      </c>
      <c r="D232" s="823">
        <v>3</v>
      </c>
      <c r="E232" s="823">
        <v>6</v>
      </c>
      <c r="F232" s="823">
        <v>7</v>
      </c>
      <c r="G232" s="823">
        <v>7</v>
      </c>
      <c r="H232" s="823">
        <v>6</v>
      </c>
      <c r="I232" s="823">
        <v>4</v>
      </c>
      <c r="J232" s="823">
        <v>0</v>
      </c>
      <c r="K232" s="823">
        <v>0</v>
      </c>
      <c r="L232" s="823">
        <v>1</v>
      </c>
      <c r="M232" s="823">
        <v>2</v>
      </c>
      <c r="N232" s="823">
        <v>5</v>
      </c>
      <c r="O232" s="823">
        <v>6</v>
      </c>
      <c r="P232" s="823">
        <v>8</v>
      </c>
      <c r="Q232" s="823">
        <v>0</v>
      </c>
      <c r="R232" s="823">
        <v>2</v>
      </c>
      <c r="S232" s="823">
        <v>2</v>
      </c>
      <c r="T232" s="823">
        <v>2</v>
      </c>
      <c r="U232" s="823">
        <v>0</v>
      </c>
      <c r="V232" s="823">
        <v>0</v>
      </c>
      <c r="W232" s="823">
        <v>0</v>
      </c>
      <c r="X232" s="823">
        <v>0</v>
      </c>
      <c r="Y232" s="823">
        <v>0</v>
      </c>
      <c r="Z232" s="823">
        <v>0</v>
      </c>
      <c r="AA232" s="823">
        <v>0</v>
      </c>
      <c r="AB232" s="823">
        <v>0</v>
      </c>
      <c r="AC232" s="825">
        <v>0</v>
      </c>
      <c r="AD232" s="825">
        <v>0</v>
      </c>
      <c r="AE232" s="825">
        <v>0</v>
      </c>
      <c r="AF232" s="825">
        <v>0</v>
      </c>
      <c r="AG232" s="825">
        <v>0</v>
      </c>
      <c r="AH232" s="825">
        <v>0</v>
      </c>
      <c r="AI232" s="825">
        <v>0</v>
      </c>
      <c r="AJ232" s="825">
        <v>0</v>
      </c>
      <c r="AK232" s="825">
        <v>0</v>
      </c>
      <c r="AL232" s="825">
        <v>1</v>
      </c>
      <c r="AM232" s="825">
        <v>2</v>
      </c>
      <c r="AN232" s="825">
        <v>3</v>
      </c>
      <c r="AO232" s="825">
        <v>6</v>
      </c>
      <c r="AP232" s="825">
        <v>6</v>
      </c>
    </row>
    <row r="233" hidden="1" ht="12.75" customHeight="1">
      <c r="B233" s="826" t="s">
        <v>22</v>
      </c>
      <c r="C233" s="827">
        <v>623</v>
      </c>
      <c r="D233" s="827">
        <v>644</v>
      </c>
      <c r="E233" s="827">
        <v>666</v>
      </c>
      <c r="F233" s="827">
        <v>677</v>
      </c>
      <c r="G233" s="827">
        <v>708</v>
      </c>
      <c r="H233" s="827">
        <v>730</v>
      </c>
      <c r="I233" s="827">
        <v>762</v>
      </c>
      <c r="J233" s="827">
        <v>778</v>
      </c>
      <c r="K233" s="827">
        <v>698</v>
      </c>
      <c r="L233" s="827">
        <v>689</v>
      </c>
      <c r="M233" s="827">
        <v>419</v>
      </c>
      <c r="N233" s="827">
        <v>430</v>
      </c>
      <c r="O233" s="827">
        <v>475</v>
      </c>
      <c r="P233" s="827">
        <v>485</v>
      </c>
      <c r="Q233" s="827">
        <v>444</v>
      </c>
      <c r="R233" s="827">
        <v>448</v>
      </c>
      <c r="S233" s="827">
        <v>393</v>
      </c>
      <c r="T233" s="827">
        <v>392</v>
      </c>
      <c r="U233" s="827">
        <v>285</v>
      </c>
      <c r="V233" s="827">
        <v>297</v>
      </c>
      <c r="W233" s="827">
        <v>8</v>
      </c>
      <c r="X233" s="827">
        <v>18</v>
      </c>
      <c r="Y233" s="827">
        <v>7</v>
      </c>
      <c r="Z233" s="827">
        <v>12</v>
      </c>
      <c r="AA233" s="827">
        <v>17</v>
      </c>
      <c r="AB233" s="827">
        <v>29</v>
      </c>
      <c r="AC233" s="828">
        <v>39</v>
      </c>
      <c r="AD233" s="828">
        <v>43</v>
      </c>
      <c r="AE233" s="828">
        <v>12</v>
      </c>
      <c r="AF233" s="828">
        <v>10</v>
      </c>
      <c r="AG233" s="828">
        <v>9</v>
      </c>
      <c r="AH233" s="828">
        <v>12</v>
      </c>
      <c r="AI233" s="828">
        <v>3</v>
      </c>
      <c r="AJ233" s="828">
        <v>6</v>
      </c>
      <c r="AK233" s="828">
        <v>5</v>
      </c>
      <c r="AL233" s="828">
        <v>4</v>
      </c>
      <c r="AM233" s="828">
        <v>6</v>
      </c>
      <c r="AN233" s="828">
        <v>9</v>
      </c>
      <c r="AO233" s="828">
        <v>6</v>
      </c>
      <c r="AP233" s="828">
        <v>11</v>
      </c>
    </row>
    <row r="234" hidden="1" ht="12.75" customHeight="1">
      <c r="B234" s="829" t="s">
        <v>23</v>
      </c>
      <c r="C234" s="823">
        <v>1</v>
      </c>
      <c r="D234" s="823">
        <v>4</v>
      </c>
      <c r="E234" s="823">
        <v>5</v>
      </c>
      <c r="F234" s="823">
        <v>4</v>
      </c>
      <c r="G234" s="823">
        <v>6</v>
      </c>
      <c r="H234" s="823">
        <v>6</v>
      </c>
      <c r="I234" s="823">
        <v>8</v>
      </c>
      <c r="J234" s="823">
        <v>9</v>
      </c>
      <c r="K234" s="823">
        <v>11</v>
      </c>
      <c r="L234" s="823">
        <v>13</v>
      </c>
      <c r="M234" s="823">
        <v>18</v>
      </c>
      <c r="N234" s="823">
        <v>18</v>
      </c>
      <c r="O234" s="823">
        <v>18</v>
      </c>
      <c r="P234" s="823">
        <v>21</v>
      </c>
      <c r="Q234" s="823">
        <v>19</v>
      </c>
      <c r="R234" s="823">
        <v>21</v>
      </c>
      <c r="S234" s="823">
        <v>22</v>
      </c>
      <c r="T234" s="823">
        <v>23</v>
      </c>
      <c r="U234" s="823">
        <v>24</v>
      </c>
      <c r="V234" s="823">
        <v>20</v>
      </c>
      <c r="W234" s="823">
        <v>21</v>
      </c>
      <c r="X234" s="823">
        <v>21</v>
      </c>
      <c r="Y234" s="823">
        <v>19</v>
      </c>
      <c r="Z234" s="823">
        <v>15</v>
      </c>
      <c r="AA234" s="823">
        <v>16</v>
      </c>
      <c r="AB234" s="823">
        <v>9</v>
      </c>
      <c r="AC234" s="825">
        <v>10</v>
      </c>
      <c r="AD234" s="825">
        <v>9</v>
      </c>
      <c r="AE234" s="825">
        <v>8</v>
      </c>
      <c r="AF234" s="825">
        <v>6</v>
      </c>
      <c r="AG234" s="825">
        <v>6</v>
      </c>
      <c r="AH234" s="825">
        <v>7</v>
      </c>
      <c r="AI234" s="825">
        <v>7</v>
      </c>
      <c r="AJ234" s="825">
        <v>5</v>
      </c>
      <c r="AK234" s="825">
        <v>6</v>
      </c>
      <c r="AL234" s="825">
        <v>6</v>
      </c>
      <c r="AM234" s="825">
        <v>8</v>
      </c>
      <c r="AN234" s="825">
        <v>9</v>
      </c>
      <c r="AO234" s="825">
        <v>10</v>
      </c>
      <c r="AP234" s="825">
        <v>12</v>
      </c>
    </row>
    <row r="235" hidden="1" ht="12.75" customHeight="1">
      <c r="B235" s="835" t="s">
        <v>24</v>
      </c>
      <c r="C235" s="827">
        <v>9</v>
      </c>
      <c r="D235" s="827">
        <v>11</v>
      </c>
      <c r="E235" s="827">
        <v>12</v>
      </c>
      <c r="F235" s="827">
        <v>13</v>
      </c>
      <c r="G235" s="827">
        <v>13</v>
      </c>
      <c r="H235" s="827">
        <v>13</v>
      </c>
      <c r="I235" s="827">
        <v>10</v>
      </c>
      <c r="J235" s="827">
        <v>10</v>
      </c>
      <c r="K235" s="827">
        <v>12</v>
      </c>
      <c r="L235" s="827">
        <v>12</v>
      </c>
      <c r="M235" s="827">
        <v>12</v>
      </c>
      <c r="N235" s="827">
        <v>12</v>
      </c>
      <c r="O235" s="827">
        <v>13</v>
      </c>
      <c r="P235" s="827">
        <v>13</v>
      </c>
      <c r="Q235" s="827">
        <v>14</v>
      </c>
      <c r="R235" s="827">
        <v>8</v>
      </c>
      <c r="S235" s="827">
        <v>7</v>
      </c>
      <c r="T235" s="827">
        <v>7</v>
      </c>
      <c r="U235" s="827">
        <v>8</v>
      </c>
      <c r="V235" s="827">
        <v>9</v>
      </c>
      <c r="W235" s="827">
        <v>10</v>
      </c>
      <c r="X235" s="827">
        <v>7</v>
      </c>
      <c r="Y235" s="827">
        <v>7</v>
      </c>
      <c r="Z235" s="827">
        <v>7</v>
      </c>
      <c r="AA235" s="827">
        <v>8</v>
      </c>
      <c r="AB235" s="827">
        <v>7</v>
      </c>
      <c r="AC235" s="828">
        <v>7</v>
      </c>
      <c r="AD235" s="828">
        <v>7</v>
      </c>
      <c r="AE235" s="828">
        <v>7</v>
      </c>
      <c r="AF235" s="828">
        <v>9</v>
      </c>
      <c r="AG235" s="828">
        <v>10</v>
      </c>
      <c r="AH235" s="828">
        <v>6</v>
      </c>
      <c r="AI235" s="828">
        <v>6</v>
      </c>
      <c r="AJ235" s="828">
        <v>7</v>
      </c>
      <c r="AK235" s="828">
        <v>5</v>
      </c>
      <c r="AL235" s="828">
        <v>5</v>
      </c>
      <c r="AM235" s="828">
        <v>6</v>
      </c>
      <c r="AN235" s="828">
        <v>9</v>
      </c>
      <c r="AO235" s="828">
        <v>13</v>
      </c>
      <c r="AP235" s="828">
        <v>12</v>
      </c>
    </row>
    <row r="236" hidden="1" ht="12.75" customHeight="1">
      <c r="B236" s="829" t="s">
        <v>25</v>
      </c>
      <c r="C236" s="823">
        <v>0</v>
      </c>
      <c r="D236" s="823">
        <v>0</v>
      </c>
      <c r="E236" s="823">
        <v>0</v>
      </c>
      <c r="F236" s="823">
        <v>0</v>
      </c>
      <c r="G236" s="823">
        <v>0</v>
      </c>
      <c r="H236" s="823">
        <v>0</v>
      </c>
      <c r="I236" s="823">
        <v>0</v>
      </c>
      <c r="J236" s="823">
        <v>0</v>
      </c>
      <c r="K236" s="823">
        <v>0</v>
      </c>
      <c r="L236" s="823">
        <v>0</v>
      </c>
      <c r="M236" s="823">
        <v>0</v>
      </c>
      <c r="N236" s="823">
        <v>0</v>
      </c>
      <c r="O236" s="823">
        <v>0</v>
      </c>
      <c r="P236" s="823">
        <v>0</v>
      </c>
      <c r="Q236" s="823">
        <v>0</v>
      </c>
      <c r="R236" s="823">
        <v>0</v>
      </c>
      <c r="S236" s="823">
        <v>0</v>
      </c>
      <c r="T236" s="823">
        <v>0</v>
      </c>
      <c r="U236" s="823">
        <v>0</v>
      </c>
      <c r="V236" s="823">
        <v>0</v>
      </c>
      <c r="W236" s="823">
        <v>0</v>
      </c>
      <c r="X236" s="823">
        <v>0</v>
      </c>
      <c r="Y236" s="823">
        <v>0</v>
      </c>
      <c r="Z236" s="823">
        <v>0</v>
      </c>
      <c r="AA236" s="823">
        <v>0</v>
      </c>
      <c r="AB236" s="823">
        <v>0</v>
      </c>
      <c r="AC236" s="825">
        <v>0</v>
      </c>
      <c r="AD236" s="825">
        <v>0</v>
      </c>
      <c r="AE236" s="825">
        <v>0</v>
      </c>
      <c r="AF236" s="825">
        <v>0</v>
      </c>
      <c r="AG236" s="825">
        <v>0</v>
      </c>
      <c r="AH236" s="825">
        <v>0</v>
      </c>
      <c r="AI236" s="825">
        <v>0</v>
      </c>
      <c r="AJ236" s="825">
        <v>0</v>
      </c>
      <c r="AK236" s="825">
        <v>0</v>
      </c>
      <c r="AL236" s="825">
        <v>0</v>
      </c>
      <c r="AM236" s="825">
        <v>0</v>
      </c>
      <c r="AN236" s="825">
        <v>0</v>
      </c>
      <c r="AO236" s="825">
        <v>0</v>
      </c>
      <c r="AP236" s="825">
        <v>0</v>
      </c>
    </row>
    <row r="237" hidden="1" ht="13.5" customHeight="1">
      <c r="B237" s="836" t="s">
        <v>26</v>
      </c>
      <c r="C237" s="827">
        <v>0</v>
      </c>
      <c r="D237" s="827">
        <v>0</v>
      </c>
      <c r="E237" s="827">
        <v>0</v>
      </c>
      <c r="F237" s="827">
        <v>0</v>
      </c>
      <c r="G237" s="827">
        <v>0</v>
      </c>
      <c r="H237" s="827">
        <v>0</v>
      </c>
      <c r="I237" s="827">
        <v>0</v>
      </c>
      <c r="J237" s="827">
        <v>0</v>
      </c>
      <c r="K237" s="827">
        <v>0</v>
      </c>
      <c r="L237" s="827">
        <v>0</v>
      </c>
      <c r="M237" s="827">
        <v>0</v>
      </c>
      <c r="N237" s="827">
        <v>0</v>
      </c>
      <c r="O237" s="827">
        <v>0</v>
      </c>
      <c r="P237" s="827">
        <v>0</v>
      </c>
      <c r="Q237" s="827">
        <v>0</v>
      </c>
      <c r="R237" s="827">
        <v>0</v>
      </c>
      <c r="S237" s="827">
        <v>0</v>
      </c>
      <c r="T237" s="827">
        <v>0</v>
      </c>
      <c r="U237" s="827">
        <v>0</v>
      </c>
      <c r="V237" s="827">
        <v>0</v>
      </c>
      <c r="W237" s="827">
        <v>0</v>
      </c>
      <c r="X237" s="827">
        <v>0</v>
      </c>
      <c r="Y237" s="827">
        <v>0</v>
      </c>
      <c r="Z237" s="827">
        <v>0</v>
      </c>
      <c r="AA237" s="827">
        <v>0</v>
      </c>
      <c r="AB237" s="837">
        <v>0</v>
      </c>
      <c r="AC237" s="828">
        <v>0</v>
      </c>
      <c r="AD237" s="828">
        <v>0</v>
      </c>
      <c r="AE237" s="828">
        <v>0</v>
      </c>
      <c r="AF237" s="828">
        <v>0</v>
      </c>
      <c r="AG237" s="828">
        <v>0</v>
      </c>
      <c r="AH237" s="828">
        <v>0</v>
      </c>
      <c r="AI237" s="828">
        <v>0</v>
      </c>
      <c r="AJ237" s="828">
        <v>0</v>
      </c>
      <c r="AK237" s="828">
        <v>0</v>
      </c>
      <c r="AL237" s="828">
        <v>0</v>
      </c>
      <c r="AM237" s="828">
        <v>0</v>
      </c>
      <c r="AN237" s="828">
        <v>0</v>
      </c>
      <c r="AO237" s="828">
        <v>0</v>
      </c>
      <c r="AP237" s="828">
        <v>0</v>
      </c>
    </row>
    <row r="238" hidden="1" ht="13.5" customHeight="1">
      <c r="B238" s="128" t="s">
        <v>7</v>
      </c>
      <c r="C238" s="129" t="str">
        <f>IF(SUM(C219:C237)&lt;&gt;0,SUM(C219:C237),"")</f>
      </c>
      <c r="D238" s="129" t="str">
        <f ref="D238:AA238" t="shared" si="15">IF(SUM(D219:D237)&lt;&gt;0,SUM(D219:D237),"")</f>
      </c>
      <c r="E238" s="129" t="str">
        <f t="shared" si="15"/>
      </c>
      <c r="F238" s="129" t="str">
        <f t="shared" si="15"/>
      </c>
      <c r="G238" s="129" t="str">
        <f t="shared" si="15"/>
      </c>
      <c r="H238" s="129" t="str">
        <f t="shared" si="15"/>
      </c>
      <c r="I238" s="129" t="str">
        <f t="shared" si="15"/>
      </c>
      <c r="J238" s="129" t="str">
        <f t="shared" si="15"/>
      </c>
      <c r="K238" s="129" t="str">
        <f t="shared" si="15"/>
      </c>
      <c r="L238" s="129" t="str">
        <f t="shared" si="15"/>
      </c>
      <c r="M238" s="129" t="str">
        <f t="shared" si="15"/>
      </c>
      <c r="N238" s="129" t="str">
        <f t="shared" si="15"/>
      </c>
      <c r="O238" s="129" t="str">
        <f t="shared" si="15"/>
      </c>
      <c r="P238" s="129" t="str">
        <f t="shared" si="15"/>
      </c>
      <c r="Q238" s="129" t="str">
        <f t="shared" si="15"/>
      </c>
      <c r="R238" s="129" t="str">
        <f t="shared" si="15"/>
      </c>
      <c r="S238" s="129" t="str">
        <f t="shared" si="15"/>
      </c>
      <c r="T238" s="129" t="str">
        <f t="shared" si="15"/>
      </c>
      <c r="U238" s="129" t="str">
        <f t="shared" si="15"/>
      </c>
      <c r="V238" s="129" t="str">
        <f t="shared" si="15"/>
      </c>
      <c r="W238" s="129" t="str">
        <f t="shared" si="15"/>
      </c>
      <c r="X238" s="129" t="str">
        <f t="shared" si="15"/>
      </c>
      <c r="Y238" s="129" t="str">
        <f t="shared" si="15"/>
      </c>
      <c r="Z238" s="129" t="str">
        <f t="shared" si="15"/>
      </c>
      <c r="AA238" s="129" t="str">
        <f t="shared" si="15"/>
      </c>
      <c r="AB238" s="130" t="str">
        <f>IF(SUM(AB219:AB237)&lt;&gt;0,SUM(AB219:AB237),"")</f>
      </c>
      <c r="AC238" s="91" t="str">
        <f ref="AC238:CN238" t="shared" si="16">IF(SUM(AC219:AC237)&lt;&gt;0,SUM(AC219:AC237),"")</f>
      </c>
      <c r="AD238" s="91" t="str">
        <f t="shared" si="16"/>
      </c>
      <c r="AE238" s="91" t="str">
        <f t="shared" si="16"/>
      </c>
      <c r="AF238" s="91" t="str">
        <f t="shared" si="16"/>
      </c>
      <c r="AG238" s="91" t="str">
        <f t="shared" si="16"/>
      </c>
      <c r="AH238" s="91" t="str">
        <f t="shared" si="16"/>
      </c>
      <c r="AI238" s="91" t="str">
        <f t="shared" si="16"/>
      </c>
      <c r="AJ238" s="91" t="str">
        <f t="shared" si="16"/>
      </c>
      <c r="AK238" s="91" t="str">
        <f t="shared" si="16"/>
      </c>
      <c r="AL238" s="91" t="str">
        <f t="shared" si="16"/>
      </c>
      <c r="AM238" s="91" t="str">
        <f t="shared" si="16"/>
      </c>
      <c r="AN238" s="91" t="str">
        <f t="shared" si="16"/>
      </c>
      <c r="AO238" s="91" t="str">
        <f t="shared" si="16"/>
      </c>
      <c r="AP238" s="91" t="str">
        <f t="shared" si="16"/>
      </c>
      <c r="AQ238" s="91" t="str">
        <f t="shared" si="16"/>
      </c>
      <c r="AR238" s="91" t="str">
        <f t="shared" si="16"/>
      </c>
      <c r="AS238" s="91" t="str">
        <f t="shared" si="16"/>
      </c>
      <c r="AT238" s="91" t="str">
        <f t="shared" si="16"/>
      </c>
      <c r="AU238" s="91" t="str">
        <f t="shared" si="16"/>
      </c>
      <c r="AV238" s="91" t="str">
        <f t="shared" si="16"/>
      </c>
      <c r="AW238" s="91" t="str">
        <f t="shared" si="16"/>
      </c>
      <c r="AX238" s="91" t="str">
        <f t="shared" si="16"/>
      </c>
      <c r="AY238" s="91" t="str">
        <f t="shared" si="16"/>
      </c>
      <c r="AZ238" s="91" t="str">
        <f t="shared" si="16"/>
      </c>
      <c r="BA238" s="91" t="str">
        <f t="shared" si="16"/>
      </c>
      <c r="BB238" s="91" t="str">
        <f t="shared" si="16"/>
      </c>
      <c r="BC238" s="91" t="str">
        <f t="shared" si="16"/>
      </c>
      <c r="BD238" s="91" t="str">
        <f t="shared" si="16"/>
      </c>
      <c r="BE238" s="91" t="str">
        <f t="shared" si="16"/>
      </c>
      <c r="BF238" s="91" t="str">
        <f t="shared" si="16"/>
      </c>
      <c r="BG238" s="91" t="str">
        <f t="shared" si="16"/>
      </c>
      <c r="BH238" s="91" t="str">
        <f t="shared" si="16"/>
      </c>
      <c r="BI238" s="91" t="str">
        <f t="shared" si="16"/>
      </c>
      <c r="BJ238" s="91" t="str">
        <f t="shared" si="16"/>
      </c>
      <c r="BK238" s="91" t="str">
        <f t="shared" si="16"/>
      </c>
      <c r="BL238" s="91" t="str">
        <f t="shared" si="16"/>
      </c>
      <c r="BM238" s="91" t="str">
        <f t="shared" si="16"/>
      </c>
      <c r="BN238" s="91" t="str">
        <f t="shared" si="16"/>
      </c>
      <c r="BO238" s="91" t="str">
        <f t="shared" si="16"/>
      </c>
      <c r="BP238" s="91" t="str">
        <f t="shared" si="16"/>
      </c>
      <c r="BQ238" s="91" t="str">
        <f t="shared" si="16"/>
      </c>
      <c r="BR238" s="91" t="str">
        <f t="shared" si="16"/>
      </c>
      <c r="BS238" s="91" t="str">
        <f t="shared" si="16"/>
      </c>
      <c r="BT238" s="91" t="str">
        <f t="shared" si="16"/>
      </c>
      <c r="BU238" s="91" t="str">
        <f t="shared" si="16"/>
      </c>
      <c r="BV238" s="91" t="str">
        <f t="shared" si="16"/>
      </c>
      <c r="BW238" s="91" t="str">
        <f t="shared" si="16"/>
      </c>
      <c r="BX238" s="91" t="str">
        <f t="shared" si="16"/>
      </c>
      <c r="BY238" s="91" t="str">
        <f t="shared" si="16"/>
      </c>
      <c r="BZ238" s="91" t="str">
        <f t="shared" si="16"/>
      </c>
      <c r="CA238" s="91" t="str">
        <f t="shared" si="16"/>
      </c>
      <c r="CB238" s="91" t="str">
        <f t="shared" si="16"/>
      </c>
      <c r="CC238" s="91" t="str">
        <f t="shared" si="16"/>
      </c>
      <c r="CD238" s="91" t="str">
        <f t="shared" si="16"/>
      </c>
      <c r="CE238" s="91" t="str">
        <f t="shared" si="16"/>
      </c>
      <c r="CF238" s="91" t="str">
        <f t="shared" si="16"/>
      </c>
      <c r="CG238" s="91" t="str">
        <f t="shared" si="16"/>
      </c>
      <c r="CH238" s="91" t="str">
        <f t="shared" si="16"/>
      </c>
      <c r="CI238" s="91" t="str">
        <f t="shared" si="16"/>
      </c>
      <c r="CJ238" s="91" t="str">
        <f t="shared" si="16"/>
      </c>
      <c r="CK238" s="91" t="str">
        <f t="shared" si="16"/>
      </c>
      <c r="CL238" s="91" t="str">
        <f t="shared" si="16"/>
      </c>
      <c r="CM238" s="91" t="str">
        <f t="shared" si="16"/>
      </c>
      <c r="CN238" s="91" t="str">
        <f t="shared" si="16"/>
      </c>
      <c r="CO238" s="91" t="str">
        <f ref="CO238:EZ238" t="shared" si="17">IF(SUM(CO219:CO237)&lt;&gt;0,SUM(CO219:CO237),"")</f>
      </c>
      <c r="CP238" s="91" t="str">
        <f t="shared" si="17"/>
      </c>
      <c r="CQ238" s="91" t="str">
        <f t="shared" si="17"/>
      </c>
      <c r="CR238" s="91" t="str">
        <f t="shared" si="17"/>
      </c>
      <c r="CS238" s="91" t="str">
        <f t="shared" si="17"/>
      </c>
      <c r="CT238" s="91" t="str">
        <f t="shared" si="17"/>
      </c>
      <c r="CU238" s="91" t="str">
        <f t="shared" si="17"/>
      </c>
      <c r="CV238" s="91" t="str">
        <f t="shared" si="17"/>
      </c>
      <c r="CW238" s="91" t="str">
        <f t="shared" si="17"/>
      </c>
      <c r="CX238" s="91" t="str">
        <f t="shared" si="17"/>
      </c>
      <c r="CY238" s="91" t="str">
        <f t="shared" si="17"/>
      </c>
      <c r="CZ238" s="91" t="str">
        <f t="shared" si="17"/>
      </c>
      <c r="DA238" s="91" t="str">
        <f t="shared" si="17"/>
      </c>
      <c r="DB238" s="91" t="str">
        <f t="shared" si="17"/>
      </c>
      <c r="DC238" s="91" t="str">
        <f t="shared" si="17"/>
      </c>
      <c r="DD238" s="91" t="str">
        <f t="shared" si="17"/>
      </c>
      <c r="DE238" s="91" t="str">
        <f t="shared" si="17"/>
      </c>
      <c r="DF238" s="91" t="str">
        <f t="shared" si="17"/>
      </c>
      <c r="DG238" s="91" t="str">
        <f t="shared" si="17"/>
      </c>
      <c r="DH238" s="91" t="str">
        <f t="shared" si="17"/>
      </c>
      <c r="DI238" s="91" t="str">
        <f t="shared" si="17"/>
      </c>
      <c r="DJ238" s="91" t="str">
        <f t="shared" si="17"/>
      </c>
      <c r="DK238" s="91" t="str">
        <f t="shared" si="17"/>
      </c>
      <c r="DL238" s="91" t="str">
        <f t="shared" si="17"/>
      </c>
      <c r="DM238" s="91" t="str">
        <f t="shared" si="17"/>
      </c>
      <c r="DN238" s="91" t="str">
        <f t="shared" si="17"/>
      </c>
      <c r="DO238" s="91" t="str">
        <f t="shared" si="17"/>
      </c>
      <c r="DP238" s="91" t="str">
        <f t="shared" si="17"/>
      </c>
      <c r="DQ238" s="91" t="str">
        <f t="shared" si="17"/>
      </c>
      <c r="DR238" s="91" t="str">
        <f t="shared" si="17"/>
      </c>
      <c r="DS238" s="91" t="str">
        <f t="shared" si="17"/>
      </c>
      <c r="DT238" s="91" t="str">
        <f t="shared" si="17"/>
      </c>
      <c r="DU238" s="91" t="str">
        <f t="shared" si="17"/>
      </c>
      <c r="DV238" s="91" t="str">
        <f t="shared" si="17"/>
      </c>
      <c r="DW238" s="91" t="str">
        <f t="shared" si="17"/>
      </c>
      <c r="DX238" s="91" t="str">
        <f t="shared" si="17"/>
      </c>
      <c r="DY238" s="91" t="str">
        <f t="shared" si="17"/>
      </c>
      <c r="DZ238" s="91" t="str">
        <f t="shared" si="17"/>
      </c>
      <c r="EA238" s="91" t="str">
        <f t="shared" si="17"/>
      </c>
      <c r="EB238" s="91" t="str">
        <f t="shared" si="17"/>
      </c>
      <c r="EC238" s="91" t="str">
        <f t="shared" si="17"/>
      </c>
      <c r="ED238" s="91" t="str">
        <f t="shared" si="17"/>
      </c>
      <c r="EE238" s="91" t="str">
        <f t="shared" si="17"/>
      </c>
      <c r="EF238" s="91" t="str">
        <f t="shared" si="17"/>
      </c>
      <c r="EG238" s="91" t="str">
        <f t="shared" si="17"/>
      </c>
      <c r="EH238" s="91" t="str">
        <f t="shared" si="17"/>
      </c>
      <c r="EI238" s="91" t="str">
        <f t="shared" si="17"/>
      </c>
      <c r="EJ238" s="91" t="str">
        <f t="shared" si="17"/>
      </c>
      <c r="EK238" s="91" t="str">
        <f t="shared" si="17"/>
      </c>
      <c r="EL238" s="91" t="str">
        <f t="shared" si="17"/>
      </c>
      <c r="EM238" s="91" t="str">
        <f t="shared" si="17"/>
      </c>
      <c r="EN238" s="91" t="str">
        <f t="shared" si="17"/>
      </c>
      <c r="EO238" s="91" t="str">
        <f t="shared" si="17"/>
      </c>
      <c r="EP238" s="91" t="str">
        <f t="shared" si="17"/>
      </c>
      <c r="EQ238" s="91" t="str">
        <f t="shared" si="17"/>
      </c>
      <c r="ER238" s="91" t="str">
        <f t="shared" si="17"/>
      </c>
      <c r="ES238" s="91" t="str">
        <f t="shared" si="17"/>
      </c>
      <c r="ET238" s="91" t="str">
        <f t="shared" si="17"/>
      </c>
      <c r="EU238" s="91" t="str">
        <f t="shared" si="17"/>
      </c>
      <c r="EV238" s="91" t="str">
        <f t="shared" si="17"/>
      </c>
      <c r="EW238" s="91" t="str">
        <f t="shared" si="17"/>
      </c>
      <c r="EX238" s="91" t="str">
        <f t="shared" si="17"/>
      </c>
      <c r="EY238" s="91" t="str">
        <f t="shared" si="17"/>
      </c>
      <c r="EZ238" s="91" t="str">
        <f t="shared" si="17"/>
      </c>
      <c r="FA238" s="91" t="str">
        <f ref="FA238:HL238" t="shared" si="18">IF(SUM(FA219:FA237)&lt;&gt;0,SUM(FA219:FA237),"")</f>
      </c>
      <c r="FB238" s="91" t="str">
        <f t="shared" si="18"/>
      </c>
      <c r="FC238" s="91" t="str">
        <f t="shared" si="18"/>
      </c>
      <c r="FD238" s="91" t="str">
        <f t="shared" si="18"/>
      </c>
      <c r="FE238" s="91" t="str">
        <f t="shared" si="18"/>
      </c>
      <c r="FF238" s="91" t="str">
        <f t="shared" si="18"/>
      </c>
      <c r="FG238" s="91" t="str">
        <f t="shared" si="18"/>
      </c>
      <c r="FH238" s="91" t="str">
        <f t="shared" si="18"/>
      </c>
      <c r="FI238" s="91" t="str">
        <f t="shared" si="18"/>
      </c>
      <c r="FJ238" s="91" t="str">
        <f t="shared" si="18"/>
      </c>
      <c r="FK238" s="91" t="str">
        <f t="shared" si="18"/>
      </c>
      <c r="FL238" s="91" t="str">
        <f t="shared" si="18"/>
      </c>
      <c r="FM238" s="91" t="str">
        <f t="shared" si="18"/>
      </c>
      <c r="FN238" s="91" t="str">
        <f t="shared" si="18"/>
      </c>
      <c r="FO238" s="91" t="str">
        <f t="shared" si="18"/>
      </c>
      <c r="FP238" s="91" t="str">
        <f t="shared" si="18"/>
      </c>
      <c r="FQ238" s="91" t="str">
        <f t="shared" si="18"/>
      </c>
      <c r="FR238" s="91" t="str">
        <f t="shared" si="18"/>
      </c>
      <c r="FS238" s="91" t="str">
        <f t="shared" si="18"/>
      </c>
      <c r="FT238" s="91" t="str">
        <f t="shared" si="18"/>
      </c>
      <c r="FU238" s="91" t="str">
        <f t="shared" si="18"/>
      </c>
      <c r="FV238" s="91" t="str">
        <f t="shared" si="18"/>
      </c>
      <c r="FW238" s="91" t="str">
        <f t="shared" si="18"/>
      </c>
      <c r="FX238" s="91" t="str">
        <f t="shared" si="18"/>
      </c>
      <c r="FY238" s="91" t="str">
        <f t="shared" si="18"/>
      </c>
      <c r="FZ238" s="91" t="str">
        <f t="shared" si="18"/>
      </c>
      <c r="GA238" s="91" t="str">
        <f t="shared" si="18"/>
      </c>
      <c r="GB238" s="91" t="str">
        <f t="shared" si="18"/>
      </c>
      <c r="GC238" s="91" t="str">
        <f t="shared" si="18"/>
      </c>
      <c r="GD238" s="91" t="str">
        <f t="shared" si="18"/>
      </c>
      <c r="GE238" s="91" t="str">
        <f t="shared" si="18"/>
      </c>
      <c r="GF238" s="91" t="str">
        <f t="shared" si="18"/>
      </c>
      <c r="GG238" s="91" t="str">
        <f t="shared" si="18"/>
      </c>
      <c r="GH238" s="91" t="str">
        <f t="shared" si="18"/>
      </c>
      <c r="GI238" s="91" t="str">
        <f t="shared" si="18"/>
      </c>
      <c r="GJ238" s="91" t="str">
        <f t="shared" si="18"/>
      </c>
      <c r="GK238" s="91" t="str">
        <f t="shared" si="18"/>
      </c>
      <c r="GL238" s="91" t="str">
        <f t="shared" si="18"/>
      </c>
      <c r="GM238" s="91" t="str">
        <f t="shared" si="18"/>
      </c>
      <c r="GN238" s="91" t="str">
        <f t="shared" si="18"/>
      </c>
      <c r="GO238" s="91" t="str">
        <f t="shared" si="18"/>
      </c>
      <c r="GP238" s="91" t="str">
        <f t="shared" si="18"/>
      </c>
      <c r="GQ238" s="91" t="str">
        <f t="shared" si="18"/>
      </c>
      <c r="GR238" s="91" t="str">
        <f t="shared" si="18"/>
      </c>
      <c r="GS238" s="91" t="str">
        <f t="shared" si="18"/>
      </c>
      <c r="GT238" s="91" t="str">
        <f t="shared" si="18"/>
      </c>
      <c r="GU238" s="91" t="str">
        <f t="shared" si="18"/>
      </c>
      <c r="GV238" s="91" t="str">
        <f t="shared" si="18"/>
      </c>
      <c r="GW238" s="91" t="str">
        <f t="shared" si="18"/>
      </c>
      <c r="GX238" s="91" t="str">
        <f t="shared" si="18"/>
      </c>
      <c r="GY238" s="91" t="str">
        <f t="shared" si="18"/>
      </c>
      <c r="GZ238" s="91" t="str">
        <f t="shared" si="18"/>
      </c>
      <c r="HA238" s="91" t="str">
        <f t="shared" si="18"/>
      </c>
      <c r="HB238" s="91" t="str">
        <f t="shared" si="18"/>
      </c>
      <c r="HC238" s="91" t="str">
        <f t="shared" si="18"/>
      </c>
      <c r="HD238" s="91" t="str">
        <f t="shared" si="18"/>
      </c>
      <c r="HE238" s="91" t="str">
        <f t="shared" si="18"/>
      </c>
      <c r="HF238" s="91" t="str">
        <f t="shared" si="18"/>
      </c>
      <c r="HG238" s="91" t="str">
        <f t="shared" si="18"/>
      </c>
      <c r="HH238" s="91" t="str">
        <f t="shared" si="18"/>
      </c>
      <c r="HI238" s="91" t="str">
        <f t="shared" si="18"/>
      </c>
      <c r="HJ238" s="91" t="str">
        <f t="shared" si="18"/>
      </c>
      <c r="HK238" s="91" t="str">
        <f t="shared" si="18"/>
      </c>
      <c r="HL238" s="91" t="str">
        <f t="shared" si="18"/>
      </c>
      <c r="HM238" s="91" t="str">
        <f ref="HM238:IV238" t="shared" si="19">IF(SUM(HM219:HM237)&lt;&gt;0,SUM(HM219:HM237),"")</f>
      </c>
      <c r="HN238" s="91" t="str">
        <f t="shared" si="19"/>
      </c>
      <c r="HO238" s="91" t="str">
        <f t="shared" si="19"/>
      </c>
      <c r="HP238" s="91" t="str">
        <f t="shared" si="19"/>
      </c>
      <c r="HQ238" s="91" t="str">
        <f t="shared" si="19"/>
      </c>
      <c r="HR238" s="91" t="str">
        <f t="shared" si="19"/>
      </c>
      <c r="HS238" s="91" t="str">
        <f t="shared" si="19"/>
      </c>
      <c r="HT238" s="91" t="str">
        <f t="shared" si="19"/>
      </c>
      <c r="HU238" s="91" t="str">
        <f t="shared" si="19"/>
      </c>
      <c r="HV238" s="91" t="str">
        <f t="shared" si="19"/>
      </c>
      <c r="HW238" s="91" t="str">
        <f t="shared" si="19"/>
      </c>
      <c r="HX238" s="91" t="str">
        <f t="shared" si="19"/>
      </c>
      <c r="HY238" s="91" t="str">
        <f t="shared" si="19"/>
      </c>
      <c r="HZ238" s="91" t="str">
        <f t="shared" si="19"/>
      </c>
      <c r="IA238" s="91" t="str">
        <f t="shared" si="19"/>
      </c>
      <c r="IB238" s="91" t="str">
        <f t="shared" si="19"/>
      </c>
      <c r="IC238" s="91" t="str">
        <f t="shared" si="19"/>
      </c>
      <c r="ID238" s="91" t="str">
        <f t="shared" si="19"/>
      </c>
      <c r="IE238" s="91" t="str">
        <f t="shared" si="19"/>
      </c>
      <c r="IF238" s="91" t="str">
        <f t="shared" si="19"/>
      </c>
      <c r="IG238" s="91" t="str">
        <f t="shared" si="19"/>
      </c>
      <c r="IH238" s="91" t="str">
        <f t="shared" si="19"/>
      </c>
      <c r="II238" s="91" t="str">
        <f t="shared" si="19"/>
      </c>
      <c r="IJ238" s="91" t="str">
        <f t="shared" si="19"/>
      </c>
      <c r="IK238" s="91" t="str">
        <f t="shared" si="19"/>
      </c>
      <c r="IL238" s="91" t="str">
        <f t="shared" si="19"/>
      </c>
      <c r="IM238" s="91" t="str">
        <f t="shared" si="19"/>
      </c>
      <c r="IN238" s="91" t="str">
        <f t="shared" si="19"/>
      </c>
      <c r="IO238" s="91" t="str">
        <f t="shared" si="19"/>
      </c>
      <c r="IP238" s="91" t="str">
        <f t="shared" si="19"/>
      </c>
      <c r="IQ238" s="91" t="str">
        <f t="shared" si="19"/>
      </c>
      <c r="IR238" s="91" t="str">
        <f t="shared" si="19"/>
      </c>
      <c r="IS238" s="91" t="str">
        <f t="shared" si="19"/>
      </c>
      <c r="IT238" s="91" t="str">
        <f t="shared" si="19"/>
      </c>
      <c r="IU238" s="91" t="str">
        <f t="shared" si="19"/>
      </c>
      <c r="IV238" s="91" t="str">
        <f t="shared" si="19"/>
      </c>
    </row>
    <row r="239" hidden="1" ht="15" customHeight="1">
      <c r="B239" s="297"/>
      <c r="C239" s="219"/>
      <c r="D239" s="219"/>
      <c r="E239" s="219"/>
      <c r="F239" s="219"/>
      <c r="G239" s="219"/>
      <c r="H239" s="219"/>
      <c r="I239" s="219"/>
      <c r="J239" s="219"/>
      <c r="K239" s="219"/>
    </row>
    <row r="240" hidden="1" ht="13.5" customHeight="1"/>
    <row r="241" hidden="1" ht="13.5" customHeight="1">
      <c r="C241" s="686" t="s">
        <v>253</v>
      </c>
      <c r="D241" s="687"/>
      <c r="E241" s="687"/>
      <c r="F241" s="687"/>
      <c r="G241" s="687"/>
      <c r="H241" s="687"/>
      <c r="I241" s="687"/>
      <c r="J241" s="687"/>
      <c r="K241" s="687"/>
      <c r="L241" s="687"/>
      <c r="M241" s="687"/>
      <c r="N241" s="687"/>
      <c r="O241" s="687"/>
      <c r="P241" s="687"/>
      <c r="Q241" s="687"/>
      <c r="R241" s="687"/>
      <c r="S241" s="687"/>
      <c r="T241" s="687"/>
      <c r="U241" s="687"/>
      <c r="V241" s="687"/>
      <c r="W241" s="687"/>
      <c r="X241" s="687"/>
      <c r="Y241" s="687"/>
      <c r="Z241" s="687"/>
      <c r="AA241" s="687"/>
      <c r="AB241" s="688"/>
    </row>
    <row r="242" hidden="1" ht="15" customHeight="1">
      <c r="C242" s="435" t="str">
        <f> IF(C262&lt;&gt;"",TEXT(AUX!G$1,"dd-MMM-aa"),"")</f>
      </c>
      <c r="D242" s="435" t="str">
        <f> IF(D262&lt;&gt;"",TEXT(AUX!H$1,"dd-MMM-aa"),"")</f>
      </c>
      <c r="E242" s="435" t="str">
        <f> IF(E262&lt;&gt;"",TEXT(AUX!I$1,"dd-MMM-aa"),"")</f>
      </c>
      <c r="F242" s="435" t="str">
        <f> IF(F262&lt;&gt;"",TEXT(AUX!J$1,"dd-MMM-aa"),"")</f>
      </c>
      <c r="G242" s="435" t="str">
        <f> IF(G262&lt;&gt;"",TEXT(AUX!K$1,"dd-MMM-aa"),"")</f>
      </c>
      <c r="H242" s="435" t="str">
        <f> IF(H262&lt;&gt;"",TEXT(AUX!L$1,"dd-MMM-aa"),"")</f>
      </c>
      <c r="I242" s="435" t="str">
        <f> IF(I262&lt;&gt;"",TEXT(AUX!M$1,"dd-MMM-aa"),"")</f>
      </c>
      <c r="J242" s="435" t="str">
        <f> IF(J262&lt;&gt;"",TEXT(AUX!N$1,"dd-MMM-aa"),"")</f>
      </c>
      <c r="K242" s="435" t="str">
        <f> IF(K262&lt;&gt;"",TEXT(AUX!O$1,"dd-MMM-aa"),"")</f>
      </c>
      <c r="L242" s="435" t="str">
        <f> IF(L262&lt;&gt;"",TEXT(AUX!P$1,"dd-MMM-aa"),"")</f>
      </c>
      <c r="M242" s="435" t="str">
        <f> IF(M262&lt;&gt;"",TEXT(AUX!Q$1,"dd-MMM-aa"),"")</f>
      </c>
      <c r="N242" s="435" t="str">
        <f> IF(N262&lt;&gt;"",TEXT(AUX!R$1,"dd-MMM-aa"),"")</f>
      </c>
      <c r="O242" s="435" t="str">
        <f> IF(O262&lt;&gt;"",TEXT(AUX!S$1,"dd-MMM-aa"),"")</f>
      </c>
      <c r="P242" s="435" t="str">
        <f> IF(P262&lt;&gt;"",TEXT(AUX!T$1,"dd-MMM-aa"),"")</f>
      </c>
      <c r="Q242" s="435" t="str">
        <f> IF(Q262&lt;&gt;"",TEXT(AUX!U$1,"dd-MMM-aa"),"")</f>
      </c>
      <c r="R242" s="435" t="str">
        <f> IF(R262&lt;&gt;"",TEXT(AUX!V$1,"dd-MMM-aa"),"")</f>
      </c>
      <c r="S242" s="435" t="str">
        <f> IF(S262&lt;&gt;"",TEXT(AUX!W$1,"dd-MMM-aa"),"")</f>
      </c>
      <c r="T242" s="435" t="str">
        <f> IF(T262&lt;&gt;"",TEXT(AUX!X$1,"dd-MMM-aa"),"")</f>
      </c>
      <c r="U242" s="435" t="str">
        <f> IF(U262&lt;&gt;"",TEXT(AUX!Y$1,"dd-MMM-aa"),"")</f>
      </c>
      <c r="V242" s="435" t="str">
        <f> IF(V262&lt;&gt;"",TEXT(AUX!Z$1,"dd-MMM-aa"),"")</f>
      </c>
      <c r="W242" s="435" t="str">
        <f> IF(W262&lt;&gt;"",TEXT(AUX!AA$1,"dd-MMM-aa"),"")</f>
      </c>
      <c r="X242" s="435" t="str">
        <f> IF(X262&lt;&gt;"",TEXT(AUX!AB$1,"dd-MMM-aa"),"")</f>
      </c>
      <c r="Y242" s="435" t="str">
        <f> IF(Y262&lt;&gt;"",TEXT(AUX!AC$1,"dd-MMM-aa"),"")</f>
      </c>
      <c r="Z242" s="435" t="str">
        <f> IF(Z262&lt;&gt;"",TEXT(AUX!AD$1,"dd-MMM-aa"),"")</f>
      </c>
      <c r="AA242" s="435" t="str">
        <f> IF(AA262&lt;&gt;"",TEXT(AUX!AE$1,"dd-MMM-aa"),"")</f>
      </c>
      <c r="AB242" s="497" t="str">
        <f> IF(AB262&lt;&gt;"",TEXT(AUX!AF$1,"dd-MMM-aa"),"")</f>
      </c>
      <c r="AC242" s="496" t="str">
        <f> IF(AC262&lt;&gt;"",TEXT(AUX!AG$1,"dd-MMM-aa"),"")</f>
      </c>
      <c r="AD242" s="496" t="str">
        <f> IF(AD262&lt;&gt;"",TEXT(AUX!AH$1,"dd-MMM-aa"),"")</f>
      </c>
      <c r="AE242" s="496" t="str">
        <f> IF(AE262&lt;&gt;"",TEXT(AUX!AI$1,"dd-MMM-aa"),"")</f>
      </c>
      <c r="AF242" s="496" t="str">
        <f> IF(AF262&lt;&gt;"",TEXT(AUX!AJ$1,"dd-MMM-aa"),"")</f>
      </c>
      <c r="AG242" s="496" t="str">
        <f> IF(AG262&lt;&gt;"",TEXT(AUX!AK$1,"dd-MMM-aa"),"")</f>
      </c>
      <c r="AH242" s="496" t="str">
        <f> IF(AH262&lt;&gt;"",TEXT(AUX!AL$1,"dd-MMM-aa"),"")</f>
      </c>
      <c r="AI242" s="496" t="str">
        <f> IF(AI262&lt;&gt;"",TEXT(AUX!AM$1,"dd-MMM-aa"),"")</f>
      </c>
      <c r="AJ242" s="496" t="str">
        <f> IF(AJ262&lt;&gt;"",TEXT(AUX!AN$1,"dd-MMM-aa"),"")</f>
      </c>
      <c r="AK242" s="496" t="str">
        <f> IF(AK262&lt;&gt;"",TEXT(AUX!AO$1,"dd-MMM-aa"),"")</f>
      </c>
      <c r="AL242" s="496" t="str">
        <f> IF(AL262&lt;&gt;"",TEXT(AUX!AP$1,"dd-MMM-aa"),"")</f>
      </c>
      <c r="AM242" s="496" t="str">
        <f> IF(AM262&lt;&gt;"",TEXT(AUX!AQ$1,"dd-MMM-aa"),"")</f>
      </c>
      <c r="AN242" s="496" t="str">
        <f> IF(AN262&lt;&gt;"",TEXT(AUX!AR$1,"dd-MMM-aa"),"")</f>
      </c>
      <c r="AO242" s="496" t="str">
        <f> IF(AO262&lt;&gt;"",TEXT(AUX!AS$1,"dd-MMM-aa"),"")</f>
      </c>
      <c r="AP242" s="496" t="str">
        <f> IF(AP262&lt;&gt;"",TEXT(AUX!AT$1,"dd-MMM-aa"),"")</f>
      </c>
      <c r="AQ242" s="496" t="str">
        <f> IF(AQ262&lt;&gt;"",TEXT(AUX!AU$1,"dd-MMM-aa"),"")</f>
      </c>
      <c r="AR242" s="496" t="str">
        <f> IF(AR262&lt;&gt;"",TEXT(AUX!AV$1,"dd-MMM-aa"),"")</f>
      </c>
      <c r="AS242" s="496" t="str">
        <f> IF(AS262&lt;&gt;"",TEXT(AUX!AW$1,"dd-MMM-aa"),"")</f>
      </c>
      <c r="AT242" s="496" t="str">
        <f> IF(AT262&lt;&gt;"",TEXT(AUX!AX$1,"dd-MMM-aa"),"")</f>
      </c>
      <c r="AU242" s="496" t="str">
        <f> IF(AU262&lt;&gt;"",TEXT(AUX!AY$1,"dd-MMM-aa"),"")</f>
      </c>
      <c r="AV242" s="496" t="str">
        <f> IF(AV262&lt;&gt;"",TEXT(AUX!AZ$1,"dd-MMM-aa"),"")</f>
      </c>
      <c r="AW242" s="496" t="str">
        <f> IF(AW262&lt;&gt;"",TEXT(AUX!BA$1,"dd-MMM-aa"),"")</f>
      </c>
      <c r="AX242" s="496" t="str">
        <f> IF(AX262&lt;&gt;"",TEXT(AUX!BB$1,"dd-MMM-aa"),"")</f>
      </c>
      <c r="AY242" s="496" t="str">
        <f> IF(AY262&lt;&gt;"",TEXT(AUX!BC$1,"dd-MMM-aa"),"")</f>
      </c>
      <c r="AZ242" s="496" t="str">
        <f> IF(AZ262&lt;&gt;"",TEXT(AUX!BD$1,"dd-MMM-aa"),"")</f>
      </c>
      <c r="BA242" s="496" t="str">
        <f> IF(BA262&lt;&gt;"",TEXT(AUX!BE$1,"dd-MMM-aa"),"")</f>
      </c>
      <c r="BB242" s="496" t="str">
        <f> IF(BB262&lt;&gt;"",TEXT(AUX!BF$1,"dd-MMM-aa"),"")</f>
      </c>
      <c r="BC242" s="496" t="str">
        <f> IF(BC262&lt;&gt;"",TEXT(AUX!BG$1,"dd-MMM-aa"),"")</f>
      </c>
      <c r="BD242" s="496" t="str">
        <f> IF(BD262&lt;&gt;"",TEXT(AUX!BH$1,"dd-MMM-aa"),"")</f>
      </c>
      <c r="BE242" s="496" t="str">
        <f> IF(BE262&lt;&gt;"",TEXT(AUX!BI$1,"dd-MMM-aa"),"")</f>
      </c>
      <c r="BF242" s="496" t="str">
        <f> IF(BF262&lt;&gt;"",TEXT(AUX!BJ$1,"dd-MMM-aa"),"")</f>
      </c>
      <c r="BG242" s="496" t="str">
        <f> IF(BG262&lt;&gt;"",TEXT(AUX!BK$1,"dd-MMM-aa"),"")</f>
      </c>
      <c r="BH242" s="496" t="str">
        <f> IF(BH262&lt;&gt;"",TEXT(AUX!BL$1,"dd-MMM-aa"),"")</f>
      </c>
      <c r="BI242" s="496" t="str">
        <f> IF(BI262&lt;&gt;"",TEXT(AUX!BM$1,"dd-MMM-aa"),"")</f>
      </c>
      <c r="BJ242" s="496" t="str">
        <f> IF(BJ262&lt;&gt;"",TEXT(AUX!BN$1,"dd-MMM-aa"),"")</f>
      </c>
      <c r="BK242" s="496" t="str">
        <f> IF(BK262&lt;&gt;"",TEXT(AUX!BO$1,"dd-MMM-aa"),"")</f>
      </c>
      <c r="BL242" s="496" t="str">
        <f> IF(BL262&lt;&gt;"",TEXT(AUX!BP$1,"dd-MMM-aa"),"")</f>
      </c>
      <c r="BM242" s="496" t="str">
        <f> IF(BM262&lt;&gt;"",TEXT(AUX!BQ$1,"dd-MMM-aa"),"")</f>
      </c>
      <c r="BN242" s="496" t="str">
        <f> IF(BN262&lt;&gt;"",TEXT(AUX!BR$1,"dd-MMM-aa"),"")</f>
      </c>
      <c r="BO242" s="496" t="str">
        <f> IF(BO262&lt;&gt;"",TEXT(AUX!BS$1,"dd-MMM-aa"),"")</f>
      </c>
      <c r="BP242" s="496" t="str">
        <f> IF(BP262&lt;&gt;"",TEXT(AUX!BT$1,"dd-MMM-aa"),"")</f>
      </c>
      <c r="BQ242" s="496" t="str">
        <f> IF(BQ262&lt;&gt;"",TEXT(AUX!BU$1,"dd-MMM-aa"),"")</f>
      </c>
      <c r="BR242" s="496" t="str">
        <f> IF(BR262&lt;&gt;"",TEXT(AUX!BV$1,"dd-MMM-aa"),"")</f>
      </c>
      <c r="BS242" s="496" t="str">
        <f> IF(BS262&lt;&gt;"",TEXT(AUX!BW$1,"dd-MMM-aa"),"")</f>
      </c>
      <c r="BT242" s="496" t="str">
        <f> IF(BT262&lt;&gt;"",TEXT(AUX!BX$1,"dd-MMM-aa"),"")</f>
      </c>
      <c r="BU242" s="496" t="str">
        <f> IF(BU262&lt;&gt;"",TEXT(AUX!BY$1,"dd-MMM-aa"),"")</f>
      </c>
      <c r="BV242" s="496" t="str">
        <f> IF(BV262&lt;&gt;"",TEXT(AUX!BZ$1,"dd-MMM-aa"),"")</f>
      </c>
      <c r="BW242" s="496" t="str">
        <f> IF(BW262&lt;&gt;"",TEXT(AUX!CA$1,"dd-MMM-aa"),"")</f>
      </c>
      <c r="BX242" s="496" t="str">
        <f> IF(BX262&lt;&gt;"",TEXT(AUX!CB$1,"dd-MMM-aa"),"")</f>
      </c>
      <c r="BY242" s="496" t="str">
        <f> IF(BY262&lt;&gt;"",TEXT(AUX!CC$1,"dd-MMM-aa"),"")</f>
      </c>
      <c r="BZ242" s="496" t="str">
        <f> IF(BZ262&lt;&gt;"",TEXT(AUX!CD$1,"dd-MMM-aa"),"")</f>
      </c>
      <c r="CA242" s="496" t="str">
        <f> IF(CA262&lt;&gt;"",TEXT(AUX!CE$1,"dd-MMM-aa"),"")</f>
      </c>
      <c r="CB242" s="496" t="str">
        <f> IF(CB262&lt;&gt;"",TEXT(AUX!CF$1,"dd-MMM-aa"),"")</f>
      </c>
      <c r="CC242" s="496" t="str">
        <f> IF(CC262&lt;&gt;"",TEXT(AUX!CG$1,"dd-MMM-aa"),"")</f>
      </c>
      <c r="CD242" s="496" t="str">
        <f> IF(CD262&lt;&gt;"",TEXT(AUX!CH$1,"dd-MMM-aa"),"")</f>
      </c>
      <c r="CE242" s="496" t="str">
        <f> IF(CE262&lt;&gt;"",TEXT(AUX!CI$1,"dd-MMM-aa"),"")</f>
      </c>
      <c r="CF242" s="496" t="str">
        <f> IF(CF262&lt;&gt;"",TEXT(AUX!CJ$1,"dd-MMM-aa"),"")</f>
      </c>
      <c r="CG242" s="496" t="str">
        <f> IF(CG262&lt;&gt;"",TEXT(AUX!CK$1,"dd-MMM-aa"),"")</f>
      </c>
      <c r="CH242" s="496" t="str">
        <f> IF(CH262&lt;&gt;"",TEXT(AUX!CL$1,"dd-MMM-aa"),"")</f>
      </c>
      <c r="CI242" s="496" t="str">
        <f> IF(CI262&lt;&gt;"",TEXT(AUX!CM$1,"dd-MMM-aa"),"")</f>
      </c>
      <c r="CJ242" s="496" t="str">
        <f> IF(CJ262&lt;&gt;"",TEXT(AUX!CN$1,"dd-MMM-aa"),"")</f>
      </c>
      <c r="CK242" s="496" t="str">
        <f> IF(CK262&lt;&gt;"",TEXT(AUX!CO$1,"dd-MMM-aa"),"")</f>
      </c>
      <c r="CL242" s="496" t="str">
        <f> IF(CL262&lt;&gt;"",TEXT(AUX!CP$1,"dd-MMM-aa"),"")</f>
      </c>
      <c r="CM242" s="496" t="str">
        <f> IF(CM262&lt;&gt;"",TEXT(AUX!CQ$1,"dd-MMM-aa"),"")</f>
      </c>
      <c r="CN242" s="496" t="str">
        <f> IF(CN262&lt;&gt;"",TEXT(AUX!CR$1,"dd-MMM-aa"),"")</f>
      </c>
      <c r="CO242" s="496" t="str">
        <f> IF(CO262&lt;&gt;"",TEXT(AUX!CS$1,"dd-MMM-aa"),"")</f>
      </c>
      <c r="CP242" s="496" t="str">
        <f> IF(CP262&lt;&gt;"",TEXT(AUX!CT$1,"dd-MMM-aa"),"")</f>
      </c>
      <c r="CQ242" s="496" t="str">
        <f> IF(CQ262&lt;&gt;"",TEXT(AUX!CU$1,"dd-MMM-aa"),"")</f>
      </c>
      <c r="CR242" s="496" t="str">
        <f> IF(CR262&lt;&gt;"",TEXT(AUX!CV$1,"dd-MMM-aa"),"")</f>
      </c>
      <c r="CS242" s="496" t="str">
        <f> IF(CS262&lt;&gt;"",TEXT(AUX!CW$1,"dd-MMM-aa"),"")</f>
      </c>
      <c r="CT242" s="496" t="str">
        <f> IF(CT262&lt;&gt;"",TEXT(AUX!CX$1,"dd-MMM-aa"),"")</f>
      </c>
      <c r="CU242" s="496" t="str">
        <f> IF(CU262&lt;&gt;"",TEXT(AUX!CY$1,"dd-MMM-aa"),"")</f>
      </c>
      <c r="CV242" s="496" t="str">
        <f> IF(CV262&lt;&gt;"",TEXT(AUX!CZ$1,"dd-MMM-aa"),"")</f>
      </c>
      <c r="CW242" s="496" t="str">
        <f> IF(CW262&lt;&gt;"",TEXT(AUX!DA$1,"dd-MMM-aa"),"")</f>
      </c>
      <c r="CX242" s="496" t="str">
        <f> IF(CX262&lt;&gt;"",TEXT(AUX!DB$1,"dd-MMM-aa"),"")</f>
      </c>
      <c r="CY242" s="496" t="str">
        <f> IF(CY262&lt;&gt;"",TEXT(AUX!DC$1,"dd-MMM-aa"),"")</f>
      </c>
      <c r="CZ242" s="496" t="str">
        <f> IF(CZ262&lt;&gt;"",TEXT(AUX!DD$1,"dd-MMM-aa"),"")</f>
      </c>
      <c r="DA242" s="496" t="str">
        <f> IF(DA262&lt;&gt;"",TEXT(AUX!DE$1,"dd-MMM-aa"),"")</f>
      </c>
      <c r="DB242" s="496" t="str">
        <f> IF(DB262&lt;&gt;"",TEXT(AUX!DF$1,"dd-MMM-aa"),"")</f>
      </c>
      <c r="DC242" s="496" t="str">
        <f> IF(DC262&lt;&gt;"",TEXT(AUX!DG$1,"dd-MMM-aa"),"")</f>
      </c>
      <c r="DD242" s="496" t="str">
        <f> IF(DD262&lt;&gt;"",TEXT(AUX!DH$1,"dd-MMM-aa"),"")</f>
      </c>
      <c r="DE242" s="496" t="str">
        <f> IF(DE262&lt;&gt;"",TEXT(AUX!DI$1,"dd-MMM-aa"),"")</f>
      </c>
      <c r="DF242" s="496" t="str">
        <f> IF(DF262&lt;&gt;"",TEXT(AUX!DJ$1,"dd-MMM-aa"),"")</f>
      </c>
      <c r="DG242" s="496" t="str">
        <f> IF(DG262&lt;&gt;"",TEXT(AUX!DK$1,"dd-MMM-aa"),"")</f>
      </c>
      <c r="DH242" s="496" t="str">
        <f> IF(DH262&lt;&gt;"",TEXT(AUX!DL$1,"dd-MMM-aa"),"")</f>
      </c>
      <c r="DI242" s="496" t="str">
        <f> IF(DI262&lt;&gt;"",TEXT(AUX!DM$1,"dd-MMM-aa"),"")</f>
      </c>
      <c r="DJ242" s="496" t="str">
        <f> IF(DJ262&lt;&gt;"",TEXT(AUX!DN$1,"dd-MMM-aa"),"")</f>
      </c>
      <c r="DK242" s="496" t="str">
        <f> IF(DK262&lt;&gt;"",TEXT(AUX!DO$1,"dd-MMM-aa"),"")</f>
      </c>
      <c r="DL242" s="496" t="str">
        <f> IF(DL262&lt;&gt;"",TEXT(AUX!DP$1,"dd-MMM-aa"),"")</f>
      </c>
      <c r="DM242" s="496" t="str">
        <f> IF(DM262&lt;&gt;"",TEXT(AUX!DQ$1,"dd-MMM-aa"),"")</f>
      </c>
      <c r="DN242" s="496" t="str">
        <f> IF(DN262&lt;&gt;"",TEXT(AUX!DR$1,"dd-MMM-aa"),"")</f>
      </c>
      <c r="DO242" s="496" t="str">
        <f> IF(DO262&lt;&gt;"",TEXT(AUX!DS$1,"dd-MMM-aa"),"")</f>
      </c>
      <c r="DP242" s="496" t="str">
        <f> IF(DP262&lt;&gt;"",TEXT(AUX!DT$1,"dd-MMM-aa"),"")</f>
      </c>
      <c r="DQ242" s="496" t="str">
        <f> IF(DQ262&lt;&gt;"",TEXT(AUX!DU$1,"dd-MMM-aa"),"")</f>
      </c>
      <c r="DR242" s="496" t="str">
        <f> IF(DR262&lt;&gt;"",TEXT(AUX!DV$1,"dd-MMM-aa"),"")</f>
      </c>
      <c r="DS242" s="496" t="str">
        <f> IF(DS262&lt;&gt;"",TEXT(AUX!DW$1,"dd-MMM-aa"),"")</f>
      </c>
      <c r="DT242" s="496" t="str">
        <f> IF(DT262&lt;&gt;"",TEXT(AUX!DX$1,"dd-MMM-aa"),"")</f>
      </c>
      <c r="DU242" s="496" t="str">
        <f> IF(DU262&lt;&gt;"",TEXT(AUX!DY$1,"dd-MMM-aa"),"")</f>
      </c>
      <c r="DV242" s="496" t="str">
        <f> IF(DV262&lt;&gt;"",TEXT(AUX!DZ$1,"dd-MMM-aa"),"")</f>
      </c>
      <c r="DW242" s="496" t="str">
        <f> IF(DW262&lt;&gt;"",TEXT(AUX!EA$1,"dd-MMM-aa"),"")</f>
      </c>
      <c r="DX242" s="496" t="str">
        <f> IF(DX262&lt;&gt;"",TEXT(AUX!EB$1,"dd-MMM-aa"),"")</f>
      </c>
      <c r="DY242" s="496" t="str">
        <f> IF(DY262&lt;&gt;"",TEXT(AUX!EC$1,"dd-MMM-aa"),"")</f>
      </c>
      <c r="DZ242" s="496" t="str">
        <f> IF(DZ262&lt;&gt;"",TEXT(AUX!ED$1,"dd-MMM-aa"),"")</f>
      </c>
      <c r="EA242" s="496" t="str">
        <f> IF(EA262&lt;&gt;"",TEXT(AUX!EE$1,"dd-MMM-aa"),"")</f>
      </c>
      <c r="EB242" s="496" t="str">
        <f> IF(EB262&lt;&gt;"",TEXT(AUX!EF$1,"dd-MMM-aa"),"")</f>
      </c>
      <c r="EC242" s="496" t="str">
        <f> IF(EC262&lt;&gt;"",TEXT(AUX!EG$1,"dd-MMM-aa"),"")</f>
      </c>
      <c r="ED242" s="496" t="str">
        <f> IF(ED262&lt;&gt;"",TEXT(AUX!EH$1,"dd-MMM-aa"),"")</f>
      </c>
      <c r="EE242" s="496" t="str">
        <f> IF(EE262&lt;&gt;"",TEXT(AUX!EI$1,"dd-MMM-aa"),"")</f>
      </c>
      <c r="EF242" s="496" t="str">
        <f> IF(EF262&lt;&gt;"",TEXT(AUX!EJ$1,"dd-MMM-aa"),"")</f>
      </c>
      <c r="EG242" s="496" t="str">
        <f> IF(EG262&lt;&gt;"",TEXT(AUX!EK$1,"dd-MMM-aa"),"")</f>
      </c>
      <c r="EH242" s="496" t="str">
        <f> IF(EH262&lt;&gt;"",TEXT(AUX!EL$1,"dd-MMM-aa"),"")</f>
      </c>
      <c r="EI242" s="496" t="str">
        <f> IF(EI262&lt;&gt;"",TEXT(AUX!EM$1,"dd-MMM-aa"),"")</f>
      </c>
      <c r="EJ242" s="496" t="str">
        <f> IF(EJ262&lt;&gt;"",TEXT(AUX!EN$1,"dd-MMM-aa"),"")</f>
      </c>
      <c r="EK242" s="496" t="str">
        <f> IF(EK262&lt;&gt;"",TEXT(AUX!EO$1,"dd-MMM-aa"),"")</f>
      </c>
      <c r="EL242" s="496" t="str">
        <f> IF(EL262&lt;&gt;"",TEXT(AUX!EP$1,"dd-MMM-aa"),"")</f>
      </c>
      <c r="EM242" s="496" t="str">
        <f> IF(EM262&lt;&gt;"",TEXT(AUX!EQ$1,"dd-MMM-aa"),"")</f>
      </c>
      <c r="EN242" s="496" t="str">
        <f> IF(EN262&lt;&gt;"",TEXT(AUX!ER$1,"dd-MMM-aa"),"")</f>
      </c>
      <c r="EO242" s="496" t="str">
        <f> IF(EO262&lt;&gt;"",TEXT(AUX!ES$1,"dd-MMM-aa"),"")</f>
      </c>
      <c r="EP242" s="496" t="str">
        <f> IF(EP262&lt;&gt;"",TEXT(AUX!ET$1,"dd-MMM-aa"),"")</f>
      </c>
      <c r="EQ242" s="496" t="str">
        <f> IF(EQ262&lt;&gt;"",TEXT(AUX!EU$1,"dd-MMM-aa"),"")</f>
      </c>
      <c r="ER242" s="496" t="str">
        <f> IF(ER262&lt;&gt;"",TEXT(AUX!EV$1,"dd-MMM-aa"),"")</f>
      </c>
      <c r="ES242" s="496" t="str">
        <f> IF(ES262&lt;&gt;"",TEXT(AUX!EW$1,"dd-MMM-aa"),"")</f>
      </c>
      <c r="ET242" s="496" t="str">
        <f> IF(ET262&lt;&gt;"",TEXT(AUX!EX$1,"dd-MMM-aa"),"")</f>
      </c>
      <c r="EU242" s="496" t="str">
        <f> IF(EU262&lt;&gt;"",TEXT(AUX!EY$1,"dd-MMM-aa"),"")</f>
      </c>
      <c r="EV242" s="496" t="str">
        <f> IF(EV262&lt;&gt;"",TEXT(AUX!EZ$1,"dd-MMM-aa"),"")</f>
      </c>
      <c r="EW242" s="496" t="str">
        <f> IF(EW262&lt;&gt;"",TEXT(AUX!FA$1,"dd-MMM-aa"),"")</f>
      </c>
      <c r="EX242" s="496" t="str">
        <f> IF(EX262&lt;&gt;"",TEXT(AUX!FB$1,"dd-MMM-aa"),"")</f>
      </c>
      <c r="EY242" s="496" t="str">
        <f> IF(EY262&lt;&gt;"",TEXT(AUX!FC$1,"dd-MMM-aa"),"")</f>
      </c>
      <c r="EZ242" s="496" t="str">
        <f> IF(EZ262&lt;&gt;"",TEXT(AUX!FD$1,"dd-MMM-aa"),"")</f>
      </c>
      <c r="FA242" s="496" t="str">
        <f> IF(FA262&lt;&gt;"",TEXT(AUX!FE$1,"dd-MMM-aa"),"")</f>
      </c>
      <c r="FB242" s="496" t="str">
        <f> IF(FB262&lt;&gt;"",TEXT(AUX!FF$1,"dd-MMM-aa"),"")</f>
      </c>
      <c r="FC242" s="496" t="str">
        <f> IF(FC262&lt;&gt;"",TEXT(AUX!FG$1,"dd-MMM-aa"),"")</f>
      </c>
      <c r="FD242" s="496" t="str">
        <f> IF(FD262&lt;&gt;"",TEXT(AUX!FH$1,"dd-MMM-aa"),"")</f>
      </c>
      <c r="FE242" s="496" t="str">
        <f> IF(FE262&lt;&gt;"",TEXT(AUX!FI$1,"dd-MMM-aa"),"")</f>
      </c>
      <c r="FF242" s="496" t="str">
        <f> IF(FF262&lt;&gt;"",TEXT(AUX!FJ$1,"dd-MMM-aa"),"")</f>
      </c>
      <c r="FG242" s="496" t="str">
        <f> IF(FG262&lt;&gt;"",TEXT(AUX!FK$1,"dd-MMM-aa"),"")</f>
      </c>
      <c r="FH242" s="496" t="str">
        <f> IF(FH262&lt;&gt;"",TEXT(AUX!FL$1,"dd-MMM-aa"),"")</f>
      </c>
      <c r="FI242" s="496" t="str">
        <f> IF(FI262&lt;&gt;"",TEXT(AUX!FM$1,"dd-MMM-aa"),"")</f>
      </c>
      <c r="FJ242" s="496" t="str">
        <f> IF(FJ262&lt;&gt;"",TEXT(AUX!FN$1,"dd-MMM-aa"),"")</f>
      </c>
      <c r="FK242" s="496" t="str">
        <f> IF(FK262&lt;&gt;"",TEXT(AUX!FO$1,"dd-MMM-aa"),"")</f>
      </c>
      <c r="FL242" s="496" t="str">
        <f> IF(FL262&lt;&gt;"",TEXT(AUX!FP$1,"dd-MMM-aa"),"")</f>
      </c>
      <c r="FM242" s="496" t="str">
        <f> IF(FM262&lt;&gt;"",TEXT(AUX!FQ$1,"dd-MMM-aa"),"")</f>
      </c>
      <c r="FN242" s="496" t="str">
        <f> IF(FN262&lt;&gt;"",TEXT(AUX!FR$1,"dd-MMM-aa"),"")</f>
      </c>
      <c r="FO242" s="496" t="str">
        <f> IF(FO262&lt;&gt;"",TEXT(AUX!FS$1,"dd-MMM-aa"),"")</f>
      </c>
      <c r="FP242" s="496" t="str">
        <f> IF(FP262&lt;&gt;"",TEXT(AUX!FT$1,"dd-MMM-aa"),"")</f>
      </c>
      <c r="FQ242" s="496" t="str">
        <f> IF(FQ262&lt;&gt;"",TEXT(AUX!FU$1,"dd-MMM-aa"),"")</f>
      </c>
      <c r="FR242" s="496" t="str">
        <f> IF(FR262&lt;&gt;"",TEXT(AUX!FV$1,"dd-MMM-aa"),"")</f>
      </c>
      <c r="FS242" s="496" t="str">
        <f> IF(FS262&lt;&gt;"",TEXT(AUX!FW$1,"dd-MMM-aa"),"")</f>
      </c>
      <c r="FT242" s="496" t="str">
        <f> IF(FT262&lt;&gt;"",TEXT(AUX!FX$1,"dd-MMM-aa"),"")</f>
      </c>
      <c r="FU242" s="496" t="str">
        <f> IF(FU262&lt;&gt;"",TEXT(AUX!FY$1,"dd-MMM-aa"),"")</f>
      </c>
      <c r="FV242" s="496" t="str">
        <f> IF(FV262&lt;&gt;"",TEXT(AUX!FZ$1,"dd-MMM-aa"),"")</f>
      </c>
      <c r="FW242" s="496" t="str">
        <f> IF(FW262&lt;&gt;"",TEXT(AUX!GA$1,"dd-MMM-aa"),"")</f>
      </c>
      <c r="FX242" s="496" t="str">
        <f> IF(FX262&lt;&gt;"",TEXT(AUX!GB$1,"dd-MMM-aa"),"")</f>
      </c>
      <c r="FY242" s="496" t="str">
        <f> IF(FY262&lt;&gt;"",TEXT(AUX!GC$1,"dd-MMM-aa"),"")</f>
      </c>
      <c r="FZ242" s="496" t="str">
        <f> IF(FZ262&lt;&gt;"",TEXT(AUX!GD$1,"dd-MMM-aa"),"")</f>
      </c>
      <c r="GA242" s="496" t="str">
        <f> IF(GA262&lt;&gt;"",TEXT(AUX!GE$1,"dd-MMM-aa"),"")</f>
      </c>
      <c r="GB242" s="496" t="str">
        <f> IF(GB262&lt;&gt;"",TEXT(AUX!GF$1,"dd-MMM-aa"),"")</f>
      </c>
      <c r="GC242" s="496" t="str">
        <f> IF(GC262&lt;&gt;"",TEXT(AUX!GG$1,"dd-MMM-aa"),"")</f>
      </c>
      <c r="GD242" s="496" t="str">
        <f> IF(GD262&lt;&gt;"",TEXT(AUX!GH$1,"dd-MMM-aa"),"")</f>
      </c>
      <c r="GE242" s="496" t="str">
        <f> IF(GE262&lt;&gt;"",TEXT(AUX!GI$1,"dd-MMM-aa"),"")</f>
      </c>
      <c r="GF242" s="496" t="str">
        <f> IF(GF262&lt;&gt;"",TEXT(AUX!GJ$1,"dd-MMM-aa"),"")</f>
      </c>
      <c r="GG242" s="496" t="str">
        <f> IF(GG262&lt;&gt;"",TEXT(AUX!GK$1,"dd-MMM-aa"),"")</f>
      </c>
      <c r="GH242" s="496" t="str">
        <f> IF(GH262&lt;&gt;"",TEXT(AUX!GL$1,"dd-MMM-aa"),"")</f>
      </c>
      <c r="GI242" s="496" t="str">
        <f> IF(GI262&lt;&gt;"",TEXT(AUX!GM$1,"dd-MMM-aa"),"")</f>
      </c>
      <c r="GJ242" s="496" t="str">
        <f> IF(GJ262&lt;&gt;"",TEXT(AUX!GN$1,"dd-MMM-aa"),"")</f>
      </c>
      <c r="GK242" s="496" t="str">
        <f> IF(GK262&lt;&gt;"",TEXT(AUX!GO$1,"dd-MMM-aa"),"")</f>
      </c>
      <c r="GL242" s="496" t="str">
        <f> IF(GL262&lt;&gt;"",TEXT(AUX!GP$1,"dd-MMM-aa"),"")</f>
      </c>
      <c r="GM242" s="496" t="str">
        <f> IF(GM262&lt;&gt;"",TEXT(AUX!GQ$1,"dd-MMM-aa"),"")</f>
      </c>
      <c r="GN242" s="496" t="str">
        <f> IF(GN262&lt;&gt;"",TEXT(AUX!GR$1,"dd-MMM-aa"),"")</f>
      </c>
      <c r="GO242" s="496" t="str">
        <f> IF(GO262&lt;&gt;"",TEXT(AUX!GS$1,"dd-MMM-aa"),"")</f>
      </c>
      <c r="GP242" s="496" t="str">
        <f> IF(GP262&lt;&gt;"",TEXT(AUX!GT$1,"dd-MMM-aa"),"")</f>
      </c>
      <c r="GQ242" s="496" t="str">
        <f> IF(GQ262&lt;&gt;"",TEXT(AUX!GU$1,"dd-MMM-aa"),"")</f>
      </c>
      <c r="GR242" s="496" t="str">
        <f> IF(GR262&lt;&gt;"",TEXT(AUX!GV$1,"dd-MMM-aa"),"")</f>
      </c>
      <c r="GS242" s="496" t="str">
        <f> IF(GS262&lt;&gt;"",TEXT(AUX!GW$1,"dd-MMM-aa"),"")</f>
      </c>
      <c r="GT242" s="496" t="str">
        <f> IF(GT262&lt;&gt;"",TEXT(AUX!GX$1,"dd-MMM-aa"),"")</f>
      </c>
      <c r="GU242" s="496" t="str">
        <f> IF(GU262&lt;&gt;"",TEXT(AUX!GY$1,"dd-MMM-aa"),"")</f>
      </c>
      <c r="GV242" s="496" t="str">
        <f> IF(GV262&lt;&gt;"",TEXT(AUX!GZ$1,"dd-MMM-aa"),"")</f>
      </c>
      <c r="GW242" s="496" t="str">
        <f> IF(GW262&lt;&gt;"",TEXT(AUX!HA$1,"dd-MMM-aa"),"")</f>
      </c>
      <c r="GX242" s="496" t="str">
        <f> IF(GX262&lt;&gt;"",TEXT(AUX!HB$1,"dd-MMM-aa"),"")</f>
      </c>
      <c r="GY242" s="496" t="str">
        <f> IF(GY262&lt;&gt;"",TEXT(AUX!HC$1,"dd-MMM-aa"),"")</f>
      </c>
      <c r="GZ242" s="496" t="str">
        <f> IF(GZ262&lt;&gt;"",TEXT(AUX!HD$1,"dd-MMM-aa"),"")</f>
      </c>
      <c r="HA242" s="496" t="str">
        <f> IF(HA262&lt;&gt;"",TEXT(AUX!HE$1,"dd-MMM-aa"),"")</f>
      </c>
      <c r="HB242" s="496" t="str">
        <f> IF(HB262&lt;&gt;"",TEXT(AUX!HF$1,"dd-MMM-aa"),"")</f>
      </c>
      <c r="HC242" s="496" t="str">
        <f> IF(HC262&lt;&gt;"",TEXT(AUX!HG$1,"dd-MMM-aa"),"")</f>
      </c>
      <c r="HD242" s="496" t="str">
        <f> IF(HD262&lt;&gt;"",TEXT(AUX!HH$1,"dd-MMM-aa"),"")</f>
      </c>
      <c r="HE242" s="496" t="str">
        <f> IF(HE262&lt;&gt;"",TEXT(AUX!HI$1,"dd-MMM-aa"),"")</f>
      </c>
      <c r="HF242" s="496" t="str">
        <f> IF(HF262&lt;&gt;"",TEXT(AUX!HJ$1,"dd-MMM-aa"),"")</f>
      </c>
      <c r="HG242" s="496" t="str">
        <f> IF(HG262&lt;&gt;"",TEXT(AUX!HK$1,"dd-MMM-aa"),"")</f>
      </c>
      <c r="HH242" s="496" t="str">
        <f> IF(HH262&lt;&gt;"",TEXT(AUX!HL$1,"dd-MMM-aa"),"")</f>
      </c>
      <c r="HI242" s="496" t="str">
        <f> IF(HI262&lt;&gt;"",TEXT(AUX!HM$1,"dd-MMM-aa"),"")</f>
      </c>
      <c r="HJ242" s="496" t="str">
        <f> IF(HJ262&lt;&gt;"",TEXT(AUX!HN$1,"dd-MMM-aa"),"")</f>
      </c>
      <c r="HK242" s="496" t="str">
        <f> IF(HK262&lt;&gt;"",TEXT(AUX!HO$1,"dd-MMM-aa"),"")</f>
      </c>
      <c r="HL242" s="496" t="str">
        <f> IF(HL262&lt;&gt;"",TEXT(AUX!HP$1,"dd-MMM-aa"),"")</f>
      </c>
      <c r="HM242" s="496" t="str">
        <f> IF(HM262&lt;&gt;"",TEXT(AUX!HQ$1,"dd-MMM-aa"),"")</f>
      </c>
      <c r="HN242" s="496" t="str">
        <f> IF(HN262&lt;&gt;"",TEXT(AUX!HR$1,"dd-MMM-aa"),"")</f>
      </c>
      <c r="HO242" s="496" t="str">
        <f> IF(HO262&lt;&gt;"",TEXT(AUX!HS$1,"dd-MMM-aa"),"")</f>
      </c>
      <c r="HP242" s="496" t="str">
        <f> IF(HP262&lt;&gt;"",TEXT(AUX!HT$1,"dd-MMM-aa"),"")</f>
      </c>
      <c r="HQ242" s="496" t="str">
        <f> IF(HQ262&lt;&gt;"",TEXT(AUX!HU$1,"dd-MMM-aa"),"")</f>
      </c>
      <c r="HR242" s="496" t="str">
        <f> IF(HR262&lt;&gt;"",TEXT(AUX!HV$1,"dd-MMM-aa"),"")</f>
      </c>
      <c r="HS242" s="496" t="str">
        <f> IF(HS262&lt;&gt;"",TEXT(AUX!HW$1,"dd-MMM-aa"),"")</f>
      </c>
      <c r="HT242" s="496" t="str">
        <f> IF(HT262&lt;&gt;"",TEXT(AUX!HX$1,"dd-MMM-aa"),"")</f>
      </c>
      <c r="HU242" s="496" t="str">
        <f> IF(HU262&lt;&gt;"",TEXT(AUX!HY$1,"dd-MMM-aa"),"")</f>
      </c>
      <c r="HV242" s="496" t="str">
        <f> IF(HV262&lt;&gt;"",TEXT(AUX!HZ$1,"dd-MMM-aa"),"")</f>
      </c>
      <c r="HW242" s="496" t="str">
        <f> IF(HW262&lt;&gt;"",TEXT(AUX!IA$1,"dd-MMM-aa"),"")</f>
      </c>
      <c r="HX242" s="496" t="str">
        <f> IF(HX262&lt;&gt;"",TEXT(AUX!IB$1,"dd-MMM-aa"),"")</f>
      </c>
      <c r="HY242" s="496" t="str">
        <f> IF(HY262&lt;&gt;"",TEXT(AUX!IC$1,"dd-MMM-aa"),"")</f>
      </c>
      <c r="HZ242" s="496" t="str">
        <f> IF(HZ262&lt;&gt;"",TEXT(AUX!ID$1,"dd-MMM-aa"),"")</f>
      </c>
      <c r="IA242" s="496" t="str">
        <f> IF(IA262&lt;&gt;"",TEXT(AUX!IE$1,"dd-MMM-aa"),"")</f>
      </c>
      <c r="IB242" s="496" t="str">
        <f> IF(IB262&lt;&gt;"",TEXT(AUX!IF$1,"dd-MMM-aa"),"")</f>
      </c>
      <c r="IC242" s="496" t="str">
        <f> IF(IC262&lt;&gt;"",TEXT(AUX!IG$1,"dd-MMM-aa"),"")</f>
      </c>
      <c r="ID242" s="496" t="str">
        <f> IF(ID262&lt;&gt;"",TEXT(AUX!IH$1,"dd-MMM-aa"),"")</f>
      </c>
      <c r="IE242" s="496" t="str">
        <f> IF(IE262&lt;&gt;"",TEXT(AUX!II$1,"dd-MMM-aa"),"")</f>
      </c>
      <c r="IF242" s="496" t="str">
        <f> IF(IF262&lt;&gt;"",TEXT(AUX!IJ$1,"dd-MMM-aa"),"")</f>
      </c>
      <c r="IG242" s="496" t="str">
        <f> IF(IG262&lt;&gt;"",TEXT(AUX!IK$1,"dd-MMM-aa"),"")</f>
      </c>
      <c r="IH242" s="496" t="str">
        <f> IF(IH262&lt;&gt;"",TEXT(AUX!IL$1,"dd-MMM-aa"),"")</f>
      </c>
      <c r="II242" s="496" t="str">
        <f> IF(II262&lt;&gt;"",TEXT(AUX!IM$1,"dd-MMM-aa"),"")</f>
      </c>
      <c r="IJ242" s="496" t="str">
        <f> IF(IJ262&lt;&gt;"",TEXT(AUX!IN$1,"dd-MMM-aa"),"")</f>
      </c>
      <c r="IK242" s="496" t="str">
        <f> IF(IK262&lt;&gt;"",TEXT(AUX!IO$1,"dd-MMM-aa"),"")</f>
      </c>
      <c r="IL242" s="496" t="str">
        <f> IF(IL262&lt;&gt;"",TEXT(AUX!IP$1,"dd-MMM-aa"),"")</f>
      </c>
      <c r="IM242" s="496" t="str">
        <f> IF(IM262&lt;&gt;"",TEXT(AUX!IQ$1,"dd-MMM-aa"),"")</f>
      </c>
      <c r="IN242" s="496" t="str">
        <f> IF(IN262&lt;&gt;"",TEXT(AUX!IR$1,"dd-MMM-aa"),"")</f>
      </c>
      <c r="IO242" s="496" t="str">
        <f> IF(IO262&lt;&gt;"",TEXT(AUX!IS$1,"dd-MMM-aa"),"")</f>
      </c>
      <c r="IP242" s="496" t="str">
        <f> IF(IP262&lt;&gt;"",TEXT(AUX!IT$1,"dd-MMM-aa"),"")</f>
      </c>
      <c r="IQ242" s="496" t="str">
        <f> IF(IQ262&lt;&gt;"",TEXT(AUX!IU$1,"dd-MMM-aa"),"")</f>
      </c>
      <c r="IR242" s="496" t="str">
        <f> IF(IR262&lt;&gt;"",TEXT(AUX!IV$1,"dd-MMM-aa"),"")</f>
      </c>
      <c r="IS242" s="496" t="str">
        <f> IF(IS262&lt;&gt;"",TEXT(AUX!#REF!,"dd-MMM-aa"),"")</f>
      </c>
      <c r="IT242" s="496" t="str">
        <f> IF(IT262&lt;&gt;"",TEXT(AUX!#REF!,"dd-MMM-aa"),"")</f>
      </c>
      <c r="IU242" s="496" t="str">
        <f> IF(IU262&lt;&gt;"",TEXT(AUX!#REF!,"dd-MMM-aa"),"")</f>
      </c>
      <c r="IV242" s="496" t="str">
        <f> IF(IV262&lt;&gt;"",TEXT(AUX!#REF!,"dd-MMM-aa"),"")</f>
      </c>
    </row>
    <row r="243" hidden="1" ht="12.75" customHeight="1">
      <c r="B243" s="833" t="s">
        <v>8</v>
      </c>
      <c r="C243" s="827">
        <v>59</v>
      </c>
      <c r="D243" s="827">
        <v>74</v>
      </c>
      <c r="E243" s="827">
        <v>72</v>
      </c>
      <c r="F243" s="827">
        <v>160</v>
      </c>
      <c r="G243" s="827">
        <v>151</v>
      </c>
      <c r="H243" s="827">
        <v>152</v>
      </c>
      <c r="I243" s="827">
        <v>157</v>
      </c>
      <c r="J243" s="827">
        <v>175</v>
      </c>
      <c r="K243" s="827">
        <v>185</v>
      </c>
      <c r="L243" s="827">
        <v>185</v>
      </c>
      <c r="M243" s="827">
        <v>180</v>
      </c>
      <c r="N243" s="827">
        <v>173</v>
      </c>
      <c r="O243" s="827">
        <v>173</v>
      </c>
      <c r="P243" s="827">
        <v>182</v>
      </c>
      <c r="Q243" s="827">
        <v>500</v>
      </c>
      <c r="R243" s="827">
        <v>341</v>
      </c>
      <c r="S243" s="827">
        <v>258</v>
      </c>
      <c r="T243" s="827">
        <v>236</v>
      </c>
      <c r="U243" s="827">
        <v>191</v>
      </c>
      <c r="V243" s="827">
        <v>195</v>
      </c>
      <c r="W243" s="827">
        <v>188</v>
      </c>
      <c r="X243" s="827">
        <v>5390</v>
      </c>
      <c r="Y243" s="827">
        <v>201</v>
      </c>
      <c r="Z243" s="827">
        <v>201</v>
      </c>
      <c r="AA243" s="827">
        <v>197</v>
      </c>
      <c r="AB243" s="834">
        <v>198</v>
      </c>
      <c r="AC243" s="828">
        <v>202</v>
      </c>
      <c r="AD243" s="828">
        <v>202</v>
      </c>
      <c r="AE243" s="828">
        <v>197</v>
      </c>
      <c r="AF243" s="828">
        <v>194</v>
      </c>
      <c r="AG243" s="828">
        <v>194</v>
      </c>
      <c r="AH243" s="828">
        <v>193</v>
      </c>
      <c r="AI243" s="828">
        <v>185</v>
      </c>
      <c r="AJ243" s="828">
        <v>187</v>
      </c>
      <c r="AK243" s="828">
        <v>187</v>
      </c>
      <c r="AL243" s="828">
        <v>187</v>
      </c>
      <c r="AM243" s="828">
        <v>181</v>
      </c>
      <c r="AN243" s="828">
        <v>176</v>
      </c>
      <c r="AO243" s="828">
        <v>178</v>
      </c>
      <c r="AP243" s="828">
        <v>175</v>
      </c>
    </row>
    <row r="244" hidden="1" ht="12.75" customHeight="1">
      <c r="B244" s="829" t="s">
        <v>9</v>
      </c>
      <c r="C244" s="823">
        <v>7</v>
      </c>
      <c r="D244" s="823">
        <v>8</v>
      </c>
      <c r="E244" s="823">
        <v>10</v>
      </c>
      <c r="F244" s="823">
        <v>11</v>
      </c>
      <c r="G244" s="823">
        <v>13</v>
      </c>
      <c r="H244" s="823">
        <v>1038</v>
      </c>
      <c r="I244" s="823">
        <v>1037</v>
      </c>
      <c r="J244" s="823">
        <v>1034</v>
      </c>
      <c r="K244" s="823">
        <v>1035</v>
      </c>
      <c r="L244" s="823">
        <v>1035</v>
      </c>
      <c r="M244" s="823">
        <v>1024</v>
      </c>
      <c r="N244" s="823">
        <v>1010</v>
      </c>
      <c r="O244" s="823">
        <v>983</v>
      </c>
      <c r="P244" s="823">
        <v>965</v>
      </c>
      <c r="Q244" s="823">
        <v>947</v>
      </c>
      <c r="R244" s="823">
        <v>927</v>
      </c>
      <c r="S244" s="823">
        <v>932</v>
      </c>
      <c r="T244" s="823">
        <v>931</v>
      </c>
      <c r="U244" s="823">
        <v>925</v>
      </c>
      <c r="V244" s="823">
        <v>923</v>
      </c>
      <c r="W244" s="823">
        <v>924</v>
      </c>
      <c r="X244" s="823">
        <v>926</v>
      </c>
      <c r="Y244" s="823">
        <v>926</v>
      </c>
      <c r="Z244" s="823">
        <v>930</v>
      </c>
      <c r="AA244" s="823">
        <v>926</v>
      </c>
      <c r="AB244" s="823">
        <v>928</v>
      </c>
      <c r="AC244" s="825">
        <v>936</v>
      </c>
      <c r="AD244" s="825">
        <v>943</v>
      </c>
      <c r="AE244" s="825">
        <v>948</v>
      </c>
      <c r="AF244" s="825">
        <v>947</v>
      </c>
      <c r="AG244" s="825">
        <v>947</v>
      </c>
      <c r="AH244" s="825">
        <v>946</v>
      </c>
      <c r="AI244" s="825">
        <v>928</v>
      </c>
      <c r="AJ244" s="825">
        <v>939</v>
      </c>
      <c r="AK244" s="825">
        <v>944</v>
      </c>
      <c r="AL244" s="825">
        <v>950</v>
      </c>
      <c r="AM244" s="825">
        <v>954</v>
      </c>
      <c r="AN244" s="825">
        <v>950</v>
      </c>
      <c r="AO244" s="825">
        <v>954</v>
      </c>
      <c r="AP244" s="825">
        <v>948</v>
      </c>
    </row>
    <row r="245" hidden="1" ht="12.75" customHeight="1">
      <c r="B245" s="826" t="s">
        <v>10</v>
      </c>
      <c r="C245" s="827">
        <v>2</v>
      </c>
      <c r="D245" s="827">
        <v>16</v>
      </c>
      <c r="E245" s="827">
        <v>72</v>
      </c>
      <c r="F245" s="827">
        <v>71</v>
      </c>
      <c r="G245" s="827">
        <v>71</v>
      </c>
      <c r="H245" s="827">
        <v>72</v>
      </c>
      <c r="I245" s="827">
        <v>73</v>
      </c>
      <c r="J245" s="827">
        <v>73</v>
      </c>
      <c r="K245" s="827">
        <v>73</v>
      </c>
      <c r="L245" s="827">
        <v>76</v>
      </c>
      <c r="M245" s="827">
        <v>78</v>
      </c>
      <c r="N245" s="827">
        <v>167</v>
      </c>
      <c r="O245" s="827">
        <v>168</v>
      </c>
      <c r="P245" s="827">
        <v>168</v>
      </c>
      <c r="Q245" s="827">
        <v>167</v>
      </c>
      <c r="R245" s="827">
        <v>168</v>
      </c>
      <c r="S245" s="827">
        <v>168</v>
      </c>
      <c r="T245" s="827">
        <v>169</v>
      </c>
      <c r="U245" s="827">
        <v>171</v>
      </c>
      <c r="V245" s="827">
        <v>171</v>
      </c>
      <c r="W245" s="827">
        <v>170</v>
      </c>
      <c r="X245" s="827">
        <v>170</v>
      </c>
      <c r="Y245" s="827">
        <v>170</v>
      </c>
      <c r="Z245" s="827">
        <v>170</v>
      </c>
      <c r="AA245" s="827">
        <v>170</v>
      </c>
      <c r="AB245" s="827">
        <v>170</v>
      </c>
      <c r="AC245" s="828">
        <v>170</v>
      </c>
      <c r="AD245" s="828">
        <v>170</v>
      </c>
      <c r="AE245" s="828">
        <v>170</v>
      </c>
      <c r="AF245" s="828">
        <v>170</v>
      </c>
      <c r="AG245" s="828">
        <v>170</v>
      </c>
      <c r="AH245" s="828">
        <v>169</v>
      </c>
      <c r="AI245" s="828">
        <v>170</v>
      </c>
      <c r="AJ245" s="828">
        <v>170</v>
      </c>
      <c r="AK245" s="828">
        <v>432</v>
      </c>
      <c r="AL245" s="828">
        <v>433</v>
      </c>
      <c r="AM245" s="828">
        <v>430</v>
      </c>
      <c r="AN245" s="828">
        <v>431</v>
      </c>
      <c r="AO245" s="828">
        <v>431</v>
      </c>
      <c r="AP245" s="828">
        <v>431</v>
      </c>
    </row>
    <row r="246" hidden="1" ht="12.75" customHeight="1">
      <c r="B246" s="829" t="s">
        <v>11</v>
      </c>
      <c r="C246" s="823">
        <v>23</v>
      </c>
      <c r="D246" s="823">
        <v>23</v>
      </c>
      <c r="E246" s="823">
        <v>24</v>
      </c>
      <c r="F246" s="823">
        <v>24</v>
      </c>
      <c r="G246" s="823">
        <v>24</v>
      </c>
      <c r="H246" s="823">
        <v>26</v>
      </c>
      <c r="I246" s="823">
        <v>27</v>
      </c>
      <c r="J246" s="823">
        <v>30</v>
      </c>
      <c r="K246" s="823">
        <v>55</v>
      </c>
      <c r="L246" s="823">
        <v>57</v>
      </c>
      <c r="M246" s="823">
        <v>69</v>
      </c>
      <c r="N246" s="823">
        <v>69</v>
      </c>
      <c r="O246" s="823">
        <v>72</v>
      </c>
      <c r="P246" s="823">
        <v>72</v>
      </c>
      <c r="Q246" s="823">
        <v>71</v>
      </c>
      <c r="R246" s="823">
        <v>73</v>
      </c>
      <c r="S246" s="823">
        <v>73</v>
      </c>
      <c r="T246" s="823">
        <v>73</v>
      </c>
      <c r="U246" s="823">
        <v>70</v>
      </c>
      <c r="V246" s="823">
        <v>73</v>
      </c>
      <c r="W246" s="823">
        <v>72</v>
      </c>
      <c r="X246" s="823">
        <v>74</v>
      </c>
      <c r="Y246" s="823">
        <v>68</v>
      </c>
      <c r="Z246" s="823">
        <v>80</v>
      </c>
      <c r="AA246" s="823">
        <v>79</v>
      </c>
      <c r="AB246" s="823">
        <v>87</v>
      </c>
      <c r="AC246" s="825">
        <v>94</v>
      </c>
      <c r="AD246" s="825">
        <v>97</v>
      </c>
      <c r="AE246" s="825">
        <v>99</v>
      </c>
      <c r="AF246" s="825">
        <v>101</v>
      </c>
      <c r="AG246" s="825">
        <v>94</v>
      </c>
      <c r="AH246" s="825">
        <v>101</v>
      </c>
      <c r="AI246" s="825">
        <v>107</v>
      </c>
      <c r="AJ246" s="825">
        <v>112</v>
      </c>
      <c r="AK246" s="825">
        <v>120</v>
      </c>
      <c r="AL246" s="825">
        <v>131</v>
      </c>
      <c r="AM246" s="825">
        <v>131</v>
      </c>
      <c r="AN246" s="825">
        <v>132</v>
      </c>
      <c r="AO246" s="825">
        <v>141</v>
      </c>
      <c r="AP246" s="825">
        <v>135</v>
      </c>
    </row>
    <row r="247" hidden="1" ht="12.75" customHeight="1">
      <c r="B247" s="826" t="s">
        <v>12</v>
      </c>
      <c r="C247" s="827">
        <v>4</v>
      </c>
      <c r="D247" s="827">
        <v>3</v>
      </c>
      <c r="E247" s="827">
        <v>5</v>
      </c>
      <c r="F247" s="827">
        <v>5</v>
      </c>
      <c r="G247" s="827">
        <v>6</v>
      </c>
      <c r="H247" s="827">
        <v>9</v>
      </c>
      <c r="I247" s="827">
        <v>12</v>
      </c>
      <c r="J247" s="827">
        <v>14</v>
      </c>
      <c r="K247" s="827">
        <v>14</v>
      </c>
      <c r="L247" s="827">
        <v>15</v>
      </c>
      <c r="M247" s="827">
        <v>16</v>
      </c>
      <c r="N247" s="827">
        <v>20</v>
      </c>
      <c r="O247" s="827">
        <v>15</v>
      </c>
      <c r="P247" s="827">
        <v>16</v>
      </c>
      <c r="Q247" s="827">
        <v>16</v>
      </c>
      <c r="R247" s="827">
        <v>16</v>
      </c>
      <c r="S247" s="827">
        <v>16</v>
      </c>
      <c r="T247" s="827">
        <v>16</v>
      </c>
      <c r="U247" s="827">
        <v>15</v>
      </c>
      <c r="V247" s="827">
        <v>14</v>
      </c>
      <c r="W247" s="827">
        <v>12</v>
      </c>
      <c r="X247" s="827">
        <v>12</v>
      </c>
      <c r="Y247" s="827">
        <v>12</v>
      </c>
      <c r="Z247" s="827">
        <v>10</v>
      </c>
      <c r="AA247" s="827">
        <v>10</v>
      </c>
      <c r="AB247" s="827">
        <v>10</v>
      </c>
      <c r="AC247" s="828">
        <v>10</v>
      </c>
      <c r="AD247" s="828">
        <v>10</v>
      </c>
      <c r="AE247" s="828">
        <v>10</v>
      </c>
      <c r="AF247" s="828">
        <v>10</v>
      </c>
      <c r="AG247" s="828">
        <v>10</v>
      </c>
      <c r="AH247" s="828">
        <v>10</v>
      </c>
      <c r="AI247" s="828">
        <v>10</v>
      </c>
      <c r="AJ247" s="828">
        <v>10</v>
      </c>
      <c r="AK247" s="828">
        <v>15</v>
      </c>
      <c r="AL247" s="828">
        <v>15</v>
      </c>
      <c r="AM247" s="828">
        <v>15</v>
      </c>
      <c r="AN247" s="828">
        <v>15</v>
      </c>
      <c r="AO247" s="828">
        <v>17</v>
      </c>
      <c r="AP247" s="828">
        <v>17</v>
      </c>
    </row>
    <row r="248" hidden="1" ht="12.75" customHeight="1">
      <c r="B248" s="829" t="s">
        <v>13</v>
      </c>
      <c r="C248" s="823">
        <v>11</v>
      </c>
      <c r="D248" s="823">
        <v>11</v>
      </c>
      <c r="E248" s="823">
        <v>2</v>
      </c>
      <c r="F248" s="823">
        <v>176</v>
      </c>
      <c r="G248" s="823">
        <v>313</v>
      </c>
      <c r="H248" s="823">
        <v>368</v>
      </c>
      <c r="I248" s="823">
        <v>378</v>
      </c>
      <c r="J248" s="823">
        <v>390</v>
      </c>
      <c r="K248" s="823">
        <v>400</v>
      </c>
      <c r="L248" s="823">
        <v>405</v>
      </c>
      <c r="M248" s="823">
        <v>419</v>
      </c>
      <c r="N248" s="823">
        <v>424</v>
      </c>
      <c r="O248" s="823">
        <v>425</v>
      </c>
      <c r="P248" s="823">
        <v>431</v>
      </c>
      <c r="Q248" s="823">
        <v>431</v>
      </c>
      <c r="R248" s="823">
        <v>434</v>
      </c>
      <c r="S248" s="823">
        <v>435</v>
      </c>
      <c r="T248" s="823">
        <v>438</v>
      </c>
      <c r="U248" s="823">
        <v>440</v>
      </c>
      <c r="V248" s="823">
        <v>443</v>
      </c>
      <c r="W248" s="823">
        <v>448</v>
      </c>
      <c r="X248" s="823">
        <v>450</v>
      </c>
      <c r="Y248" s="823">
        <v>451</v>
      </c>
      <c r="Z248" s="823">
        <v>456</v>
      </c>
      <c r="AA248" s="823">
        <v>489</v>
      </c>
      <c r="AB248" s="823">
        <v>498</v>
      </c>
      <c r="AC248" s="825">
        <v>500</v>
      </c>
      <c r="AD248" s="825">
        <v>505</v>
      </c>
      <c r="AE248" s="825">
        <v>506</v>
      </c>
      <c r="AF248" s="825">
        <v>519</v>
      </c>
      <c r="AG248" s="825">
        <v>526</v>
      </c>
      <c r="AH248" s="825">
        <v>529</v>
      </c>
      <c r="AI248" s="825">
        <v>535</v>
      </c>
      <c r="AJ248" s="825">
        <v>540</v>
      </c>
      <c r="AK248" s="825">
        <v>613</v>
      </c>
      <c r="AL248" s="825">
        <v>618</v>
      </c>
      <c r="AM248" s="825">
        <v>622</v>
      </c>
      <c r="AN248" s="825">
        <v>627</v>
      </c>
      <c r="AO248" s="825">
        <v>627</v>
      </c>
      <c r="AP248" s="825">
        <v>629</v>
      </c>
    </row>
    <row r="249" hidden="1" ht="12.75" customHeight="1">
      <c r="B249" s="826" t="s">
        <v>109</v>
      </c>
      <c r="C249" s="827">
        <v>427</v>
      </c>
      <c r="D249" s="827">
        <v>382</v>
      </c>
      <c r="E249" s="827">
        <v>374</v>
      </c>
      <c r="F249" s="827">
        <v>375</v>
      </c>
      <c r="G249" s="827">
        <v>361</v>
      </c>
      <c r="H249" s="827">
        <v>363</v>
      </c>
      <c r="I249" s="827">
        <v>360</v>
      </c>
      <c r="J249" s="827">
        <v>335</v>
      </c>
      <c r="K249" s="827">
        <v>350</v>
      </c>
      <c r="L249" s="827">
        <v>360</v>
      </c>
      <c r="M249" s="827">
        <v>358</v>
      </c>
      <c r="N249" s="827">
        <v>336</v>
      </c>
      <c r="O249" s="827">
        <v>349</v>
      </c>
      <c r="P249" s="827">
        <v>358</v>
      </c>
      <c r="Q249" s="827">
        <v>368</v>
      </c>
      <c r="R249" s="827">
        <v>363</v>
      </c>
      <c r="S249" s="827">
        <v>360</v>
      </c>
      <c r="T249" s="827">
        <v>385</v>
      </c>
      <c r="U249" s="827">
        <v>385</v>
      </c>
      <c r="V249" s="827">
        <v>406</v>
      </c>
      <c r="W249" s="827">
        <v>407</v>
      </c>
      <c r="X249" s="827">
        <v>407</v>
      </c>
      <c r="Y249" s="827">
        <v>420</v>
      </c>
      <c r="Z249" s="827">
        <v>393</v>
      </c>
      <c r="AA249" s="827">
        <v>357</v>
      </c>
      <c r="AB249" s="827">
        <v>349</v>
      </c>
      <c r="AC249" s="828">
        <v>341</v>
      </c>
      <c r="AD249" s="828">
        <v>349</v>
      </c>
      <c r="AE249" s="828">
        <v>326</v>
      </c>
      <c r="AF249" s="828">
        <v>329</v>
      </c>
      <c r="AG249" s="828">
        <v>328</v>
      </c>
      <c r="AH249" s="828">
        <v>343</v>
      </c>
      <c r="AI249" s="828">
        <v>352</v>
      </c>
      <c r="AJ249" s="828">
        <v>348</v>
      </c>
      <c r="AK249" s="828">
        <v>336</v>
      </c>
      <c r="AL249" s="828">
        <v>338</v>
      </c>
      <c r="AM249" s="828">
        <v>344</v>
      </c>
      <c r="AN249" s="828">
        <v>337</v>
      </c>
      <c r="AO249" s="828">
        <v>343</v>
      </c>
      <c r="AP249" s="828">
        <v>346</v>
      </c>
    </row>
    <row r="250" hidden="1" ht="12.75" customHeight="1">
      <c r="B250" s="829" t="s">
        <v>110</v>
      </c>
      <c r="C250" s="823">
        <v>45</v>
      </c>
      <c r="D250" s="823">
        <v>49</v>
      </c>
      <c r="E250" s="823">
        <v>90</v>
      </c>
      <c r="F250" s="823">
        <v>141</v>
      </c>
      <c r="G250" s="823">
        <v>169</v>
      </c>
      <c r="H250" s="823">
        <v>185</v>
      </c>
      <c r="I250" s="823">
        <v>227</v>
      </c>
      <c r="J250" s="823">
        <v>251</v>
      </c>
      <c r="K250" s="823">
        <v>273</v>
      </c>
      <c r="L250" s="823">
        <v>308</v>
      </c>
      <c r="M250" s="823">
        <v>314</v>
      </c>
      <c r="N250" s="823">
        <v>326</v>
      </c>
      <c r="O250" s="823">
        <v>357</v>
      </c>
      <c r="P250" s="823">
        <v>351</v>
      </c>
      <c r="Q250" s="823">
        <v>360</v>
      </c>
      <c r="R250" s="823">
        <v>371</v>
      </c>
      <c r="S250" s="823">
        <v>388</v>
      </c>
      <c r="T250" s="823">
        <v>423</v>
      </c>
      <c r="U250" s="823">
        <v>436</v>
      </c>
      <c r="V250" s="823">
        <v>451</v>
      </c>
      <c r="W250" s="823">
        <v>500</v>
      </c>
      <c r="X250" s="823">
        <v>529</v>
      </c>
      <c r="Y250" s="823">
        <v>551</v>
      </c>
      <c r="Z250" s="823">
        <v>556</v>
      </c>
      <c r="AA250" s="823">
        <v>574</v>
      </c>
      <c r="AB250" s="823">
        <v>584</v>
      </c>
      <c r="AC250" s="825">
        <v>592</v>
      </c>
      <c r="AD250" s="825">
        <v>614</v>
      </c>
      <c r="AE250" s="825">
        <v>623</v>
      </c>
      <c r="AF250" s="825">
        <v>643</v>
      </c>
      <c r="AG250" s="825">
        <v>677</v>
      </c>
      <c r="AH250" s="825">
        <v>690</v>
      </c>
      <c r="AI250" s="825">
        <v>747</v>
      </c>
      <c r="AJ250" s="825">
        <v>797</v>
      </c>
      <c r="AK250" s="825">
        <v>852</v>
      </c>
      <c r="AL250" s="825">
        <v>878</v>
      </c>
      <c r="AM250" s="825">
        <v>933</v>
      </c>
      <c r="AN250" s="825">
        <v>954</v>
      </c>
      <c r="AO250" s="825">
        <v>985</v>
      </c>
      <c r="AP250" s="825">
        <v>998</v>
      </c>
    </row>
    <row r="251" hidden="1" ht="12.75" customHeight="1">
      <c r="B251" s="826" t="s">
        <v>16</v>
      </c>
      <c r="C251" s="827">
        <v>99</v>
      </c>
      <c r="D251" s="827">
        <v>111</v>
      </c>
      <c r="E251" s="827">
        <v>124</v>
      </c>
      <c r="F251" s="827">
        <v>131</v>
      </c>
      <c r="G251" s="827">
        <v>146</v>
      </c>
      <c r="H251" s="827">
        <v>160</v>
      </c>
      <c r="I251" s="827">
        <v>174</v>
      </c>
      <c r="J251" s="827">
        <v>195</v>
      </c>
      <c r="K251" s="827">
        <v>207</v>
      </c>
      <c r="L251" s="827">
        <v>216</v>
      </c>
      <c r="M251" s="827">
        <v>230</v>
      </c>
      <c r="N251" s="827">
        <v>234</v>
      </c>
      <c r="O251" s="827">
        <v>267</v>
      </c>
      <c r="P251" s="827">
        <v>290</v>
      </c>
      <c r="Q251" s="827">
        <v>311</v>
      </c>
      <c r="R251" s="827">
        <v>333</v>
      </c>
      <c r="S251" s="827">
        <v>344</v>
      </c>
      <c r="T251" s="827">
        <v>352</v>
      </c>
      <c r="U251" s="827">
        <v>359</v>
      </c>
      <c r="V251" s="827">
        <v>366</v>
      </c>
      <c r="W251" s="827">
        <v>374</v>
      </c>
      <c r="X251" s="827">
        <v>404</v>
      </c>
      <c r="Y251" s="827">
        <v>419</v>
      </c>
      <c r="Z251" s="827">
        <v>441</v>
      </c>
      <c r="AA251" s="827">
        <v>456</v>
      </c>
      <c r="AB251" s="827">
        <v>474</v>
      </c>
      <c r="AC251" s="828">
        <v>480</v>
      </c>
      <c r="AD251" s="828">
        <v>489</v>
      </c>
      <c r="AE251" s="828">
        <v>492</v>
      </c>
      <c r="AF251" s="828">
        <v>494</v>
      </c>
      <c r="AG251" s="828">
        <v>510</v>
      </c>
      <c r="AH251" s="828">
        <v>560</v>
      </c>
      <c r="AI251" s="828">
        <v>585</v>
      </c>
      <c r="AJ251" s="828">
        <v>607</v>
      </c>
      <c r="AK251" s="828">
        <v>688</v>
      </c>
      <c r="AL251" s="828">
        <v>714</v>
      </c>
      <c r="AM251" s="828">
        <v>721</v>
      </c>
      <c r="AN251" s="828">
        <v>737</v>
      </c>
      <c r="AO251" s="828">
        <v>732</v>
      </c>
      <c r="AP251" s="828">
        <v>734</v>
      </c>
    </row>
    <row r="252" hidden="1" ht="12.75" customHeight="1">
      <c r="B252" s="829" t="s">
        <v>17</v>
      </c>
      <c r="C252" s="823">
        <v>1</v>
      </c>
      <c r="D252" s="823">
        <v>1</v>
      </c>
      <c r="E252" s="823">
        <v>1</v>
      </c>
      <c r="F252" s="823">
        <v>1</v>
      </c>
      <c r="G252" s="823">
        <v>1</v>
      </c>
      <c r="H252" s="823">
        <v>1</v>
      </c>
      <c r="I252" s="823">
        <v>1</v>
      </c>
      <c r="J252" s="823">
        <v>1</v>
      </c>
      <c r="K252" s="823">
        <v>0</v>
      </c>
      <c r="L252" s="823">
        <v>1</v>
      </c>
      <c r="M252" s="823">
        <v>1</v>
      </c>
      <c r="N252" s="823">
        <v>2</v>
      </c>
      <c r="O252" s="823">
        <v>50</v>
      </c>
      <c r="P252" s="823">
        <v>50</v>
      </c>
      <c r="Q252" s="823">
        <v>54</v>
      </c>
      <c r="R252" s="823">
        <v>57</v>
      </c>
      <c r="S252" s="823">
        <v>58</v>
      </c>
      <c r="T252" s="823">
        <v>53</v>
      </c>
      <c r="U252" s="823">
        <v>50</v>
      </c>
      <c r="V252" s="823">
        <v>51</v>
      </c>
      <c r="W252" s="823">
        <v>66</v>
      </c>
      <c r="X252" s="823">
        <v>56</v>
      </c>
      <c r="Y252" s="823">
        <v>58</v>
      </c>
      <c r="Z252" s="823">
        <v>58</v>
      </c>
      <c r="AA252" s="823">
        <v>59</v>
      </c>
      <c r="AB252" s="823">
        <v>61</v>
      </c>
      <c r="AC252" s="825">
        <v>62</v>
      </c>
      <c r="AD252" s="825">
        <v>59</v>
      </c>
      <c r="AE252" s="825">
        <v>59</v>
      </c>
      <c r="AF252" s="825">
        <v>57</v>
      </c>
      <c r="AG252" s="825">
        <v>55</v>
      </c>
      <c r="AH252" s="825">
        <v>55</v>
      </c>
      <c r="AI252" s="825">
        <v>54</v>
      </c>
      <c r="AJ252" s="825">
        <v>55</v>
      </c>
      <c r="AK252" s="825">
        <v>55</v>
      </c>
      <c r="AL252" s="825">
        <v>55</v>
      </c>
      <c r="AM252" s="825">
        <v>56</v>
      </c>
      <c r="AN252" s="825">
        <v>56</v>
      </c>
      <c r="AO252" s="825">
        <v>57</v>
      </c>
      <c r="AP252" s="825">
        <v>57</v>
      </c>
    </row>
    <row r="253" hidden="1" ht="12.75" customHeight="1">
      <c r="B253" s="826" t="s">
        <v>18</v>
      </c>
      <c r="C253" s="827">
        <v>97</v>
      </c>
      <c r="D253" s="827">
        <v>109</v>
      </c>
      <c r="E253" s="827">
        <v>121</v>
      </c>
      <c r="F253" s="827">
        <v>128</v>
      </c>
      <c r="G253" s="827">
        <v>141</v>
      </c>
      <c r="H253" s="827">
        <v>148</v>
      </c>
      <c r="I253" s="827">
        <v>150</v>
      </c>
      <c r="J253" s="827">
        <v>160</v>
      </c>
      <c r="K253" s="827">
        <v>163</v>
      </c>
      <c r="L253" s="827">
        <v>165</v>
      </c>
      <c r="M253" s="827">
        <v>166</v>
      </c>
      <c r="N253" s="827">
        <v>172</v>
      </c>
      <c r="O253" s="827">
        <v>173</v>
      </c>
      <c r="P253" s="827">
        <v>179</v>
      </c>
      <c r="Q253" s="827">
        <v>182</v>
      </c>
      <c r="R253" s="827">
        <v>183</v>
      </c>
      <c r="S253" s="827">
        <v>179</v>
      </c>
      <c r="T253" s="827">
        <v>181</v>
      </c>
      <c r="U253" s="827">
        <v>184</v>
      </c>
      <c r="V253" s="827">
        <v>185</v>
      </c>
      <c r="W253" s="827">
        <v>184</v>
      </c>
      <c r="X253" s="827">
        <v>185</v>
      </c>
      <c r="Y253" s="827">
        <v>184</v>
      </c>
      <c r="Z253" s="827">
        <v>182</v>
      </c>
      <c r="AA253" s="827">
        <v>186</v>
      </c>
      <c r="AB253" s="827">
        <v>182</v>
      </c>
      <c r="AC253" s="828">
        <v>168</v>
      </c>
      <c r="AD253" s="828">
        <v>163</v>
      </c>
      <c r="AE253" s="828">
        <v>159</v>
      </c>
      <c r="AF253" s="828">
        <v>159</v>
      </c>
      <c r="AG253" s="828">
        <v>147</v>
      </c>
      <c r="AH253" s="828">
        <v>145</v>
      </c>
      <c r="AI253" s="828">
        <v>115</v>
      </c>
      <c r="AJ253" s="828">
        <v>111</v>
      </c>
      <c r="AK253" s="828">
        <v>104</v>
      </c>
      <c r="AL253" s="828">
        <v>104</v>
      </c>
      <c r="AM253" s="828">
        <v>109</v>
      </c>
      <c r="AN253" s="828">
        <v>111</v>
      </c>
      <c r="AO253" s="828">
        <v>113</v>
      </c>
      <c r="AP253" s="828">
        <v>115</v>
      </c>
    </row>
    <row r="254" hidden="1" ht="12.75" customHeight="1">
      <c r="B254" s="829" t="s">
        <v>19</v>
      </c>
      <c r="C254" s="823">
        <v>24</v>
      </c>
      <c r="D254" s="823">
        <v>26</v>
      </c>
      <c r="E254" s="823">
        <v>28</v>
      </c>
      <c r="F254" s="823">
        <v>32</v>
      </c>
      <c r="G254" s="823">
        <v>36</v>
      </c>
      <c r="H254" s="823">
        <v>38</v>
      </c>
      <c r="I254" s="823">
        <v>42</v>
      </c>
      <c r="J254" s="823">
        <v>43</v>
      </c>
      <c r="K254" s="823">
        <v>42</v>
      </c>
      <c r="L254" s="823">
        <v>42</v>
      </c>
      <c r="M254" s="823">
        <v>44</v>
      </c>
      <c r="N254" s="823">
        <v>46</v>
      </c>
      <c r="O254" s="823">
        <v>51</v>
      </c>
      <c r="P254" s="823">
        <v>53</v>
      </c>
      <c r="Q254" s="823">
        <v>48</v>
      </c>
      <c r="R254" s="823">
        <v>55</v>
      </c>
      <c r="S254" s="823">
        <v>59</v>
      </c>
      <c r="T254" s="823">
        <v>57</v>
      </c>
      <c r="U254" s="823">
        <v>58</v>
      </c>
      <c r="V254" s="823">
        <v>63</v>
      </c>
      <c r="W254" s="823">
        <v>62</v>
      </c>
      <c r="X254" s="823">
        <v>63</v>
      </c>
      <c r="Y254" s="823">
        <v>58</v>
      </c>
      <c r="Z254" s="823">
        <v>59</v>
      </c>
      <c r="AA254" s="823">
        <v>52</v>
      </c>
      <c r="AB254" s="823">
        <v>54</v>
      </c>
      <c r="AC254" s="825">
        <v>59</v>
      </c>
      <c r="AD254" s="825">
        <v>60</v>
      </c>
      <c r="AE254" s="825">
        <v>59</v>
      </c>
      <c r="AF254" s="825">
        <v>56</v>
      </c>
      <c r="AG254" s="825">
        <v>53</v>
      </c>
      <c r="AH254" s="825">
        <v>53</v>
      </c>
      <c r="AI254" s="825">
        <v>60</v>
      </c>
      <c r="AJ254" s="825">
        <v>57</v>
      </c>
      <c r="AK254" s="825">
        <v>67</v>
      </c>
      <c r="AL254" s="825">
        <v>175</v>
      </c>
      <c r="AM254" s="825">
        <v>194</v>
      </c>
      <c r="AN254" s="825">
        <v>205</v>
      </c>
      <c r="AO254" s="825">
        <v>213</v>
      </c>
      <c r="AP254" s="825">
        <v>219</v>
      </c>
    </row>
    <row r="255" hidden="1" ht="12.75" customHeight="1">
      <c r="B255" s="826" t="s">
        <v>20</v>
      </c>
      <c r="C255" s="827">
        <v>15</v>
      </c>
      <c r="D255" s="827">
        <v>15</v>
      </c>
      <c r="E255" s="827">
        <v>17</v>
      </c>
      <c r="F255" s="827">
        <v>16</v>
      </c>
      <c r="G255" s="827">
        <v>17</v>
      </c>
      <c r="H255" s="827">
        <v>17</v>
      </c>
      <c r="I255" s="827">
        <v>23</v>
      </c>
      <c r="J255" s="827">
        <v>27</v>
      </c>
      <c r="K255" s="827">
        <v>28</v>
      </c>
      <c r="L255" s="827">
        <v>27</v>
      </c>
      <c r="M255" s="827">
        <v>28</v>
      </c>
      <c r="N255" s="827">
        <v>30</v>
      </c>
      <c r="O255" s="827">
        <v>30</v>
      </c>
      <c r="P255" s="827">
        <v>31</v>
      </c>
      <c r="Q255" s="827">
        <v>32</v>
      </c>
      <c r="R255" s="827">
        <v>32</v>
      </c>
      <c r="S255" s="827">
        <v>31</v>
      </c>
      <c r="T255" s="827">
        <v>32</v>
      </c>
      <c r="U255" s="827">
        <v>32</v>
      </c>
      <c r="V255" s="827">
        <v>32</v>
      </c>
      <c r="W255" s="827">
        <v>32</v>
      </c>
      <c r="X255" s="827">
        <v>31</v>
      </c>
      <c r="Y255" s="827">
        <v>31</v>
      </c>
      <c r="Z255" s="827">
        <v>31</v>
      </c>
      <c r="AA255" s="827">
        <v>31</v>
      </c>
      <c r="AB255" s="827">
        <v>32</v>
      </c>
      <c r="AC255" s="828">
        <v>32</v>
      </c>
      <c r="AD255" s="828">
        <v>36</v>
      </c>
      <c r="AE255" s="828">
        <v>35</v>
      </c>
      <c r="AF255" s="828">
        <v>35</v>
      </c>
      <c r="AG255" s="828">
        <v>36</v>
      </c>
      <c r="AH255" s="828">
        <v>37</v>
      </c>
      <c r="AI255" s="828">
        <v>37</v>
      </c>
      <c r="AJ255" s="828">
        <v>37</v>
      </c>
      <c r="AK255" s="828">
        <v>39</v>
      </c>
      <c r="AL255" s="828">
        <v>42</v>
      </c>
      <c r="AM255" s="828">
        <v>41</v>
      </c>
      <c r="AN255" s="828">
        <v>40</v>
      </c>
      <c r="AO255" s="828">
        <v>41</v>
      </c>
      <c r="AP255" s="828">
        <v>40</v>
      </c>
    </row>
    <row r="256" hidden="1" ht="12.75" customHeight="1">
      <c r="B256" s="829" t="s">
        <v>21</v>
      </c>
      <c r="C256" s="823">
        <v>3</v>
      </c>
      <c r="D256" s="823">
        <v>6</v>
      </c>
      <c r="E256" s="823">
        <v>6</v>
      </c>
      <c r="F256" s="823">
        <v>11</v>
      </c>
      <c r="G256" s="823">
        <v>14</v>
      </c>
      <c r="H256" s="823">
        <v>14</v>
      </c>
      <c r="I256" s="823">
        <v>14</v>
      </c>
      <c r="J256" s="823">
        <v>18</v>
      </c>
      <c r="K256" s="823">
        <v>18</v>
      </c>
      <c r="L256" s="823">
        <v>20</v>
      </c>
      <c r="M256" s="823">
        <v>20</v>
      </c>
      <c r="N256" s="823">
        <v>20</v>
      </c>
      <c r="O256" s="823">
        <v>25</v>
      </c>
      <c r="P256" s="823">
        <v>27</v>
      </c>
      <c r="Q256" s="823">
        <v>27</v>
      </c>
      <c r="R256" s="823">
        <v>29</v>
      </c>
      <c r="S256" s="823">
        <v>30</v>
      </c>
      <c r="T256" s="823">
        <v>29</v>
      </c>
      <c r="U256" s="823">
        <v>29</v>
      </c>
      <c r="V256" s="823">
        <v>29</v>
      </c>
      <c r="W256" s="823">
        <v>29</v>
      </c>
      <c r="X256" s="823">
        <v>30</v>
      </c>
      <c r="Y256" s="823">
        <v>30</v>
      </c>
      <c r="Z256" s="823">
        <v>30</v>
      </c>
      <c r="AA256" s="823">
        <v>30</v>
      </c>
      <c r="AB256" s="823">
        <v>30</v>
      </c>
      <c r="AC256" s="825">
        <v>33</v>
      </c>
      <c r="AD256" s="825">
        <v>36</v>
      </c>
      <c r="AE256" s="825">
        <v>37</v>
      </c>
      <c r="AF256" s="825">
        <v>38</v>
      </c>
      <c r="AG256" s="825">
        <v>39</v>
      </c>
      <c r="AH256" s="825">
        <v>41</v>
      </c>
      <c r="AI256" s="825">
        <v>42</v>
      </c>
      <c r="AJ256" s="825">
        <v>49</v>
      </c>
      <c r="AK256" s="825">
        <v>49</v>
      </c>
      <c r="AL256" s="825">
        <v>53</v>
      </c>
      <c r="AM256" s="825">
        <v>53</v>
      </c>
      <c r="AN256" s="825">
        <v>55</v>
      </c>
      <c r="AO256" s="825">
        <v>57</v>
      </c>
      <c r="AP256" s="825">
        <v>60</v>
      </c>
    </row>
    <row r="257" hidden="1" ht="12.75" customHeight="1">
      <c r="B257" s="826" t="s">
        <v>22</v>
      </c>
      <c r="C257" s="827">
        <v>23</v>
      </c>
      <c r="D257" s="827">
        <v>19</v>
      </c>
      <c r="E257" s="827">
        <v>24</v>
      </c>
      <c r="F257" s="827">
        <v>29</v>
      </c>
      <c r="G257" s="827">
        <v>30</v>
      </c>
      <c r="H257" s="827">
        <v>33</v>
      </c>
      <c r="I257" s="827">
        <v>32</v>
      </c>
      <c r="J257" s="827">
        <v>32</v>
      </c>
      <c r="K257" s="827">
        <v>32</v>
      </c>
      <c r="L257" s="827">
        <v>32</v>
      </c>
      <c r="M257" s="827">
        <v>20</v>
      </c>
      <c r="N257" s="827">
        <v>21</v>
      </c>
      <c r="O257" s="827">
        <v>20</v>
      </c>
      <c r="P257" s="827">
        <v>37</v>
      </c>
      <c r="Q257" s="827">
        <v>48</v>
      </c>
      <c r="R257" s="827">
        <v>52</v>
      </c>
      <c r="S257" s="827">
        <v>56</v>
      </c>
      <c r="T257" s="827">
        <v>56</v>
      </c>
      <c r="U257" s="827">
        <v>35</v>
      </c>
      <c r="V257" s="827">
        <v>58</v>
      </c>
      <c r="W257" s="827">
        <v>62</v>
      </c>
      <c r="X257" s="827">
        <v>58</v>
      </c>
      <c r="Y257" s="827">
        <v>66</v>
      </c>
      <c r="Z257" s="827">
        <v>68</v>
      </c>
      <c r="AA257" s="827">
        <v>71</v>
      </c>
      <c r="AB257" s="827">
        <v>78</v>
      </c>
      <c r="AC257" s="828">
        <v>88</v>
      </c>
      <c r="AD257" s="828">
        <v>84</v>
      </c>
      <c r="AE257" s="828">
        <v>81</v>
      </c>
      <c r="AF257" s="828">
        <v>79</v>
      </c>
      <c r="AG257" s="828">
        <v>81</v>
      </c>
      <c r="AH257" s="828">
        <v>84</v>
      </c>
      <c r="AI257" s="828">
        <v>92</v>
      </c>
      <c r="AJ257" s="828">
        <v>94</v>
      </c>
      <c r="AK257" s="828">
        <v>51</v>
      </c>
      <c r="AL257" s="828">
        <v>59</v>
      </c>
      <c r="AM257" s="828">
        <v>60</v>
      </c>
      <c r="AN257" s="828">
        <v>78</v>
      </c>
      <c r="AO257" s="828">
        <v>80</v>
      </c>
      <c r="AP257" s="828">
        <v>79</v>
      </c>
    </row>
    <row r="258" hidden="1" ht="12.75" customHeight="1">
      <c r="B258" s="829" t="s">
        <v>23</v>
      </c>
      <c r="C258" s="823">
        <v>9</v>
      </c>
      <c r="D258" s="823">
        <v>9</v>
      </c>
      <c r="E258" s="823">
        <v>9</v>
      </c>
      <c r="F258" s="823">
        <v>11</v>
      </c>
      <c r="G258" s="823">
        <v>11</v>
      </c>
      <c r="H258" s="823">
        <v>12</v>
      </c>
      <c r="I258" s="823">
        <v>12</v>
      </c>
      <c r="J258" s="823">
        <v>13</v>
      </c>
      <c r="K258" s="823">
        <v>15</v>
      </c>
      <c r="L258" s="823">
        <v>16</v>
      </c>
      <c r="M258" s="823">
        <v>15</v>
      </c>
      <c r="N258" s="823">
        <v>16</v>
      </c>
      <c r="O258" s="823">
        <v>16</v>
      </c>
      <c r="P258" s="823">
        <v>17</v>
      </c>
      <c r="Q258" s="823">
        <v>19</v>
      </c>
      <c r="R258" s="823">
        <v>20</v>
      </c>
      <c r="S258" s="823">
        <v>22</v>
      </c>
      <c r="T258" s="823">
        <v>23</v>
      </c>
      <c r="U258" s="823">
        <v>23</v>
      </c>
      <c r="V258" s="823">
        <v>23</v>
      </c>
      <c r="W258" s="823">
        <v>23</v>
      </c>
      <c r="X258" s="823">
        <v>24</v>
      </c>
      <c r="Y258" s="823">
        <v>25</v>
      </c>
      <c r="Z258" s="823">
        <v>25</v>
      </c>
      <c r="AA258" s="823">
        <v>25</v>
      </c>
      <c r="AB258" s="823">
        <v>25</v>
      </c>
      <c r="AC258" s="825">
        <v>25</v>
      </c>
      <c r="AD258" s="825">
        <v>25</v>
      </c>
      <c r="AE258" s="825">
        <v>24</v>
      </c>
      <c r="AF258" s="825">
        <v>26</v>
      </c>
      <c r="AG258" s="825">
        <v>33</v>
      </c>
      <c r="AH258" s="825">
        <v>21</v>
      </c>
      <c r="AI258" s="825">
        <v>20</v>
      </c>
      <c r="AJ258" s="825">
        <v>20</v>
      </c>
      <c r="AK258" s="825">
        <v>18</v>
      </c>
      <c r="AL258" s="825">
        <v>17</v>
      </c>
      <c r="AM258" s="825">
        <v>16</v>
      </c>
      <c r="AN258" s="825">
        <v>15</v>
      </c>
      <c r="AO258" s="825">
        <v>15</v>
      </c>
      <c r="AP258" s="825">
        <v>15</v>
      </c>
    </row>
    <row r="259" hidden="1" ht="12.75" customHeight="1">
      <c r="B259" s="835" t="s">
        <v>24</v>
      </c>
      <c r="C259" s="827">
        <v>42</v>
      </c>
      <c r="D259" s="827">
        <v>43</v>
      </c>
      <c r="E259" s="827">
        <v>67</v>
      </c>
      <c r="F259" s="827">
        <v>69</v>
      </c>
      <c r="G259" s="827">
        <v>75</v>
      </c>
      <c r="H259" s="827">
        <v>77</v>
      </c>
      <c r="I259" s="827">
        <v>84</v>
      </c>
      <c r="J259" s="827">
        <v>86</v>
      </c>
      <c r="K259" s="827">
        <v>86</v>
      </c>
      <c r="L259" s="827">
        <v>90</v>
      </c>
      <c r="M259" s="827">
        <v>90</v>
      </c>
      <c r="N259" s="827">
        <v>93</v>
      </c>
      <c r="O259" s="827">
        <v>95</v>
      </c>
      <c r="P259" s="827">
        <v>104</v>
      </c>
      <c r="Q259" s="827">
        <v>108</v>
      </c>
      <c r="R259" s="827">
        <v>118</v>
      </c>
      <c r="S259" s="827">
        <v>121</v>
      </c>
      <c r="T259" s="827">
        <v>126</v>
      </c>
      <c r="U259" s="827">
        <v>123</v>
      </c>
      <c r="V259" s="827">
        <v>135</v>
      </c>
      <c r="W259" s="827">
        <v>130</v>
      </c>
      <c r="X259" s="827">
        <v>127</v>
      </c>
      <c r="Y259" s="827">
        <v>129</v>
      </c>
      <c r="Z259" s="827">
        <v>127</v>
      </c>
      <c r="AA259" s="827">
        <v>124</v>
      </c>
      <c r="AB259" s="827">
        <v>120</v>
      </c>
      <c r="AC259" s="828">
        <v>115</v>
      </c>
      <c r="AD259" s="828">
        <v>121</v>
      </c>
      <c r="AE259" s="828">
        <v>123</v>
      </c>
      <c r="AF259" s="828">
        <v>124</v>
      </c>
      <c r="AG259" s="828">
        <v>125</v>
      </c>
      <c r="AH259" s="828">
        <v>131</v>
      </c>
      <c r="AI259" s="828">
        <v>132</v>
      </c>
      <c r="AJ259" s="828">
        <v>137</v>
      </c>
      <c r="AK259" s="828">
        <v>133</v>
      </c>
      <c r="AL259" s="828">
        <v>117</v>
      </c>
      <c r="AM259" s="828">
        <v>111</v>
      </c>
      <c r="AN259" s="828">
        <v>118</v>
      </c>
      <c r="AO259" s="828">
        <v>121</v>
      </c>
      <c r="AP259" s="828">
        <v>132</v>
      </c>
    </row>
    <row r="260" hidden="1" ht="12.75" customHeight="1">
      <c r="B260" s="829" t="s">
        <v>25</v>
      </c>
      <c r="C260" s="823">
        <v>0</v>
      </c>
      <c r="D260" s="823">
        <v>0</v>
      </c>
      <c r="E260" s="823">
        <v>0</v>
      </c>
      <c r="F260" s="823">
        <v>0</v>
      </c>
      <c r="G260" s="823">
        <v>0</v>
      </c>
      <c r="H260" s="823">
        <v>1</v>
      </c>
      <c r="I260" s="823">
        <v>1</v>
      </c>
      <c r="J260" s="823">
        <v>1</v>
      </c>
      <c r="K260" s="823">
        <v>1</v>
      </c>
      <c r="L260" s="823">
        <v>1</v>
      </c>
      <c r="M260" s="823">
        <v>1</v>
      </c>
      <c r="N260" s="823">
        <v>1</v>
      </c>
      <c r="O260" s="823">
        <v>1</v>
      </c>
      <c r="P260" s="823">
        <v>1</v>
      </c>
      <c r="Q260" s="823">
        <v>1</v>
      </c>
      <c r="R260" s="823">
        <v>1</v>
      </c>
      <c r="S260" s="823">
        <v>1</v>
      </c>
      <c r="T260" s="823">
        <v>1</v>
      </c>
      <c r="U260" s="823">
        <v>1</v>
      </c>
      <c r="V260" s="823">
        <v>1</v>
      </c>
      <c r="W260" s="823">
        <v>1</v>
      </c>
      <c r="X260" s="823">
        <v>1</v>
      </c>
      <c r="Y260" s="823">
        <v>1</v>
      </c>
      <c r="Z260" s="823">
        <v>1</v>
      </c>
      <c r="AA260" s="823">
        <v>1</v>
      </c>
      <c r="AB260" s="823">
        <v>1</v>
      </c>
      <c r="AC260" s="825">
        <v>1</v>
      </c>
      <c r="AD260" s="825">
        <v>1</v>
      </c>
      <c r="AE260" s="825">
        <v>1</v>
      </c>
      <c r="AF260" s="825">
        <v>1</v>
      </c>
      <c r="AG260" s="825">
        <v>1</v>
      </c>
      <c r="AH260" s="825">
        <v>1</v>
      </c>
      <c r="AI260" s="825">
        <v>1</v>
      </c>
      <c r="AJ260" s="825">
        <v>1</v>
      </c>
      <c r="AK260" s="825">
        <v>1</v>
      </c>
      <c r="AL260" s="825">
        <v>1</v>
      </c>
      <c r="AM260" s="825">
        <v>1</v>
      </c>
      <c r="AN260" s="825">
        <v>1</v>
      </c>
      <c r="AO260" s="825">
        <v>1</v>
      </c>
      <c r="AP260" s="825">
        <v>1</v>
      </c>
    </row>
    <row r="261" hidden="1" ht="13.5" customHeight="1">
      <c r="B261" s="836" t="s">
        <v>26</v>
      </c>
      <c r="C261" s="827">
        <v>0</v>
      </c>
      <c r="D261" s="827">
        <v>0</v>
      </c>
      <c r="E261" s="827">
        <v>0</v>
      </c>
      <c r="F261" s="827">
        <v>0</v>
      </c>
      <c r="G261" s="827">
        <v>0</v>
      </c>
      <c r="H261" s="827">
        <v>0</v>
      </c>
      <c r="I261" s="827">
        <v>0</v>
      </c>
      <c r="J261" s="827">
        <v>0</v>
      </c>
      <c r="K261" s="827">
        <v>0</v>
      </c>
      <c r="L261" s="827">
        <v>0</v>
      </c>
      <c r="M261" s="827">
        <v>1</v>
      </c>
      <c r="N261" s="827">
        <v>1</v>
      </c>
      <c r="O261" s="827">
        <v>1</v>
      </c>
      <c r="P261" s="827">
        <v>1</v>
      </c>
      <c r="Q261" s="827">
        <v>1</v>
      </c>
      <c r="R261" s="827">
        <v>1</v>
      </c>
      <c r="S261" s="827">
        <v>1</v>
      </c>
      <c r="T261" s="827">
        <v>1</v>
      </c>
      <c r="U261" s="827">
        <v>1</v>
      </c>
      <c r="V261" s="827">
        <v>1</v>
      </c>
      <c r="W261" s="827">
        <v>1</v>
      </c>
      <c r="X261" s="827">
        <v>1</v>
      </c>
      <c r="Y261" s="827">
        <v>1</v>
      </c>
      <c r="Z261" s="827">
        <v>2</v>
      </c>
      <c r="AA261" s="827">
        <v>2</v>
      </c>
      <c r="AB261" s="837">
        <v>2</v>
      </c>
      <c r="AC261" s="828">
        <v>2</v>
      </c>
      <c r="AD261" s="828">
        <v>2</v>
      </c>
      <c r="AE261" s="828">
        <v>2</v>
      </c>
      <c r="AF261" s="828">
        <v>2</v>
      </c>
      <c r="AG261" s="828">
        <v>2</v>
      </c>
      <c r="AH261" s="828">
        <v>2</v>
      </c>
      <c r="AI261" s="828">
        <v>2</v>
      </c>
      <c r="AJ261" s="828">
        <v>2</v>
      </c>
      <c r="AK261" s="828">
        <v>2</v>
      </c>
      <c r="AL261" s="828">
        <v>2</v>
      </c>
      <c r="AM261" s="828">
        <v>2</v>
      </c>
      <c r="AN261" s="828">
        <v>2</v>
      </c>
      <c r="AO261" s="828">
        <v>2</v>
      </c>
      <c r="AP261" s="828">
        <v>2</v>
      </c>
    </row>
    <row r="262" hidden="1" ht="13.5" customHeight="1">
      <c r="B262" s="128" t="s">
        <v>7</v>
      </c>
      <c r="C262" s="129" t="str">
        <f>IF(SUM(C243:C261)&lt;&gt;0,SUM(C243:C261),"")</f>
      </c>
      <c r="D262" s="129" t="str">
        <f ref="D262:AA262" t="shared" si="20">IF(SUM(D243:D261)&lt;&gt;0,SUM(D243:D261),"")</f>
      </c>
      <c r="E262" s="129" t="str">
        <f t="shared" si="20"/>
      </c>
      <c r="F262" s="129" t="str">
        <f t="shared" si="20"/>
      </c>
      <c r="G262" s="129" t="str">
        <f t="shared" si="20"/>
      </c>
      <c r="H262" s="129" t="str">
        <f t="shared" si="20"/>
      </c>
      <c r="I262" s="129" t="str">
        <f t="shared" si="20"/>
      </c>
      <c r="J262" s="129" t="str">
        <f t="shared" si="20"/>
      </c>
      <c r="K262" s="129" t="str">
        <f t="shared" si="20"/>
      </c>
      <c r="L262" s="129" t="str">
        <f t="shared" si="20"/>
      </c>
      <c r="M262" s="129" t="str">
        <f t="shared" si="20"/>
      </c>
      <c r="N262" s="129" t="str">
        <f t="shared" si="20"/>
      </c>
      <c r="O262" s="129" t="str">
        <f t="shared" si="20"/>
      </c>
      <c r="P262" s="129" t="str">
        <f t="shared" si="20"/>
      </c>
      <c r="Q262" s="129" t="str">
        <f t="shared" si="20"/>
      </c>
      <c r="R262" s="129" t="str">
        <f t="shared" si="20"/>
      </c>
      <c r="S262" s="129" t="str">
        <f t="shared" si="20"/>
      </c>
      <c r="T262" s="129" t="str">
        <f t="shared" si="20"/>
      </c>
      <c r="U262" s="129" t="str">
        <f t="shared" si="20"/>
      </c>
      <c r="V262" s="129" t="str">
        <f t="shared" si="20"/>
      </c>
      <c r="W262" s="129" t="str">
        <f t="shared" si="20"/>
      </c>
      <c r="X262" s="129" t="str">
        <f t="shared" si="20"/>
      </c>
      <c r="Y262" s="129" t="str">
        <f t="shared" si="20"/>
      </c>
      <c r="Z262" s="129" t="str">
        <f t="shared" si="20"/>
      </c>
      <c r="AA262" s="129" t="str">
        <f t="shared" si="20"/>
      </c>
      <c r="AB262" s="130" t="str">
        <f>IF(SUM(AB243:AB261)&lt;&gt;0,SUM(AB243:AB261),"")</f>
      </c>
      <c r="AC262" s="91" t="str">
        <f ref="AC262:CN262" t="shared" si="21">IF(SUM(AC243:AC261)&lt;&gt;0,SUM(AC243:AC261),"")</f>
      </c>
      <c r="AD262" s="91" t="str">
        <f t="shared" si="21"/>
      </c>
      <c r="AE262" s="91" t="str">
        <f t="shared" si="21"/>
      </c>
      <c r="AF262" s="91" t="str">
        <f t="shared" si="21"/>
      </c>
      <c r="AG262" s="91" t="str">
        <f t="shared" si="21"/>
      </c>
      <c r="AH262" s="91" t="str">
        <f t="shared" si="21"/>
      </c>
      <c r="AI262" s="91" t="str">
        <f t="shared" si="21"/>
      </c>
      <c r="AJ262" s="91" t="str">
        <f t="shared" si="21"/>
      </c>
      <c r="AK262" s="91" t="str">
        <f t="shared" si="21"/>
      </c>
      <c r="AL262" s="91" t="str">
        <f t="shared" si="21"/>
      </c>
      <c r="AM262" s="91" t="str">
        <f t="shared" si="21"/>
      </c>
      <c r="AN262" s="91" t="str">
        <f t="shared" si="21"/>
      </c>
      <c r="AO262" s="91" t="str">
        <f t="shared" si="21"/>
      </c>
      <c r="AP262" s="91" t="str">
        <f t="shared" si="21"/>
      </c>
      <c r="AQ262" s="91" t="str">
        <f t="shared" si="21"/>
      </c>
      <c r="AR262" s="91" t="str">
        <f t="shared" si="21"/>
      </c>
      <c r="AS262" s="91" t="str">
        <f t="shared" si="21"/>
      </c>
      <c r="AT262" s="91" t="str">
        <f t="shared" si="21"/>
      </c>
      <c r="AU262" s="91" t="str">
        <f t="shared" si="21"/>
      </c>
      <c r="AV262" s="91" t="str">
        <f t="shared" si="21"/>
      </c>
      <c r="AW262" s="91" t="str">
        <f t="shared" si="21"/>
      </c>
      <c r="AX262" s="91" t="str">
        <f t="shared" si="21"/>
      </c>
      <c r="AY262" s="91" t="str">
        <f t="shared" si="21"/>
      </c>
      <c r="AZ262" s="91" t="str">
        <f t="shared" si="21"/>
      </c>
      <c r="BA262" s="91" t="str">
        <f t="shared" si="21"/>
      </c>
      <c r="BB262" s="91" t="str">
        <f t="shared" si="21"/>
      </c>
      <c r="BC262" s="91" t="str">
        <f t="shared" si="21"/>
      </c>
      <c r="BD262" s="91" t="str">
        <f t="shared" si="21"/>
      </c>
      <c r="BE262" s="91" t="str">
        <f t="shared" si="21"/>
      </c>
      <c r="BF262" s="91" t="str">
        <f t="shared" si="21"/>
      </c>
      <c r="BG262" s="91" t="str">
        <f t="shared" si="21"/>
      </c>
      <c r="BH262" s="91" t="str">
        <f t="shared" si="21"/>
      </c>
      <c r="BI262" s="91" t="str">
        <f t="shared" si="21"/>
      </c>
      <c r="BJ262" s="91" t="str">
        <f t="shared" si="21"/>
      </c>
      <c r="BK262" s="91" t="str">
        <f t="shared" si="21"/>
      </c>
      <c r="BL262" s="91" t="str">
        <f t="shared" si="21"/>
      </c>
      <c r="BM262" s="91" t="str">
        <f t="shared" si="21"/>
      </c>
      <c r="BN262" s="91" t="str">
        <f t="shared" si="21"/>
      </c>
      <c r="BO262" s="91" t="str">
        <f t="shared" si="21"/>
      </c>
      <c r="BP262" s="91" t="str">
        <f t="shared" si="21"/>
      </c>
      <c r="BQ262" s="91" t="str">
        <f t="shared" si="21"/>
      </c>
      <c r="BR262" s="91" t="str">
        <f t="shared" si="21"/>
      </c>
      <c r="BS262" s="91" t="str">
        <f t="shared" si="21"/>
      </c>
      <c r="BT262" s="91" t="str">
        <f t="shared" si="21"/>
      </c>
      <c r="BU262" s="91" t="str">
        <f t="shared" si="21"/>
      </c>
      <c r="BV262" s="91" t="str">
        <f t="shared" si="21"/>
      </c>
      <c r="BW262" s="91" t="str">
        <f t="shared" si="21"/>
      </c>
      <c r="BX262" s="91" t="str">
        <f t="shared" si="21"/>
      </c>
      <c r="BY262" s="91" t="str">
        <f t="shared" si="21"/>
      </c>
      <c r="BZ262" s="91" t="str">
        <f t="shared" si="21"/>
      </c>
      <c r="CA262" s="91" t="str">
        <f t="shared" si="21"/>
      </c>
      <c r="CB262" s="91" t="str">
        <f t="shared" si="21"/>
      </c>
      <c r="CC262" s="91" t="str">
        <f t="shared" si="21"/>
      </c>
      <c r="CD262" s="91" t="str">
        <f t="shared" si="21"/>
      </c>
      <c r="CE262" s="91" t="str">
        <f t="shared" si="21"/>
      </c>
      <c r="CF262" s="91" t="str">
        <f t="shared" si="21"/>
      </c>
      <c r="CG262" s="91" t="str">
        <f t="shared" si="21"/>
      </c>
      <c r="CH262" s="91" t="str">
        <f t="shared" si="21"/>
      </c>
      <c r="CI262" s="91" t="str">
        <f t="shared" si="21"/>
      </c>
      <c r="CJ262" s="91" t="str">
        <f t="shared" si="21"/>
      </c>
      <c r="CK262" s="91" t="str">
        <f t="shared" si="21"/>
      </c>
      <c r="CL262" s="91" t="str">
        <f t="shared" si="21"/>
      </c>
      <c r="CM262" s="91" t="str">
        <f t="shared" si="21"/>
      </c>
      <c r="CN262" s="91" t="str">
        <f t="shared" si="21"/>
      </c>
      <c r="CO262" s="91" t="str">
        <f ref="CO262:EZ262" t="shared" si="22">IF(SUM(CO243:CO261)&lt;&gt;0,SUM(CO243:CO261),"")</f>
      </c>
      <c r="CP262" s="91" t="str">
        <f t="shared" si="22"/>
      </c>
      <c r="CQ262" s="91" t="str">
        <f t="shared" si="22"/>
      </c>
      <c r="CR262" s="91" t="str">
        <f t="shared" si="22"/>
      </c>
      <c r="CS262" s="91" t="str">
        <f t="shared" si="22"/>
      </c>
      <c r="CT262" s="91" t="str">
        <f t="shared" si="22"/>
      </c>
      <c r="CU262" s="91" t="str">
        <f t="shared" si="22"/>
      </c>
      <c r="CV262" s="91" t="str">
        <f t="shared" si="22"/>
      </c>
      <c r="CW262" s="91" t="str">
        <f t="shared" si="22"/>
      </c>
      <c r="CX262" s="91" t="str">
        <f t="shared" si="22"/>
      </c>
      <c r="CY262" s="91" t="str">
        <f t="shared" si="22"/>
      </c>
      <c r="CZ262" s="91" t="str">
        <f t="shared" si="22"/>
      </c>
      <c r="DA262" s="91" t="str">
        <f t="shared" si="22"/>
      </c>
      <c r="DB262" s="91" t="str">
        <f t="shared" si="22"/>
      </c>
      <c r="DC262" s="91" t="str">
        <f t="shared" si="22"/>
      </c>
      <c r="DD262" s="91" t="str">
        <f t="shared" si="22"/>
      </c>
      <c r="DE262" s="91" t="str">
        <f t="shared" si="22"/>
      </c>
      <c r="DF262" s="91" t="str">
        <f t="shared" si="22"/>
      </c>
      <c r="DG262" s="91" t="str">
        <f t="shared" si="22"/>
      </c>
      <c r="DH262" s="91" t="str">
        <f t="shared" si="22"/>
      </c>
      <c r="DI262" s="91" t="str">
        <f t="shared" si="22"/>
      </c>
      <c r="DJ262" s="91" t="str">
        <f t="shared" si="22"/>
      </c>
      <c r="DK262" s="91" t="str">
        <f t="shared" si="22"/>
      </c>
      <c r="DL262" s="91" t="str">
        <f t="shared" si="22"/>
      </c>
      <c r="DM262" s="91" t="str">
        <f t="shared" si="22"/>
      </c>
      <c r="DN262" s="91" t="str">
        <f t="shared" si="22"/>
      </c>
      <c r="DO262" s="91" t="str">
        <f t="shared" si="22"/>
      </c>
      <c r="DP262" s="91" t="str">
        <f t="shared" si="22"/>
      </c>
      <c r="DQ262" s="91" t="str">
        <f t="shared" si="22"/>
      </c>
      <c r="DR262" s="91" t="str">
        <f t="shared" si="22"/>
      </c>
      <c r="DS262" s="91" t="str">
        <f t="shared" si="22"/>
      </c>
      <c r="DT262" s="91" t="str">
        <f t="shared" si="22"/>
      </c>
      <c r="DU262" s="91" t="str">
        <f t="shared" si="22"/>
      </c>
      <c r="DV262" s="91" t="str">
        <f t="shared" si="22"/>
      </c>
      <c r="DW262" s="91" t="str">
        <f t="shared" si="22"/>
      </c>
      <c r="DX262" s="91" t="str">
        <f t="shared" si="22"/>
      </c>
      <c r="DY262" s="91" t="str">
        <f t="shared" si="22"/>
      </c>
      <c r="DZ262" s="91" t="str">
        <f t="shared" si="22"/>
      </c>
      <c r="EA262" s="91" t="str">
        <f t="shared" si="22"/>
      </c>
      <c r="EB262" s="91" t="str">
        <f t="shared" si="22"/>
      </c>
      <c r="EC262" s="91" t="str">
        <f t="shared" si="22"/>
      </c>
      <c r="ED262" s="91" t="str">
        <f t="shared" si="22"/>
      </c>
      <c r="EE262" s="91" t="str">
        <f t="shared" si="22"/>
      </c>
      <c r="EF262" s="91" t="str">
        <f t="shared" si="22"/>
      </c>
      <c r="EG262" s="91" t="str">
        <f t="shared" si="22"/>
      </c>
      <c r="EH262" s="91" t="str">
        <f t="shared" si="22"/>
      </c>
      <c r="EI262" s="91" t="str">
        <f t="shared" si="22"/>
      </c>
      <c r="EJ262" s="91" t="str">
        <f t="shared" si="22"/>
      </c>
      <c r="EK262" s="91" t="str">
        <f t="shared" si="22"/>
      </c>
      <c r="EL262" s="91" t="str">
        <f t="shared" si="22"/>
      </c>
      <c r="EM262" s="91" t="str">
        <f t="shared" si="22"/>
      </c>
      <c r="EN262" s="91" t="str">
        <f t="shared" si="22"/>
      </c>
      <c r="EO262" s="91" t="str">
        <f t="shared" si="22"/>
      </c>
      <c r="EP262" s="91" t="str">
        <f t="shared" si="22"/>
      </c>
      <c r="EQ262" s="91" t="str">
        <f t="shared" si="22"/>
      </c>
      <c r="ER262" s="91" t="str">
        <f t="shared" si="22"/>
      </c>
      <c r="ES262" s="91" t="str">
        <f t="shared" si="22"/>
      </c>
      <c r="ET262" s="91" t="str">
        <f t="shared" si="22"/>
      </c>
      <c r="EU262" s="91" t="str">
        <f t="shared" si="22"/>
      </c>
      <c r="EV262" s="91" t="str">
        <f t="shared" si="22"/>
      </c>
      <c r="EW262" s="91" t="str">
        <f t="shared" si="22"/>
      </c>
      <c r="EX262" s="91" t="str">
        <f t="shared" si="22"/>
      </c>
      <c r="EY262" s="91" t="str">
        <f t="shared" si="22"/>
      </c>
      <c r="EZ262" s="91" t="str">
        <f t="shared" si="22"/>
      </c>
      <c r="FA262" s="91" t="str">
        <f ref="FA262:HL262" t="shared" si="23">IF(SUM(FA243:FA261)&lt;&gt;0,SUM(FA243:FA261),"")</f>
      </c>
      <c r="FB262" s="91" t="str">
        <f t="shared" si="23"/>
      </c>
      <c r="FC262" s="91" t="str">
        <f t="shared" si="23"/>
      </c>
      <c r="FD262" s="91" t="str">
        <f t="shared" si="23"/>
      </c>
      <c r="FE262" s="91" t="str">
        <f t="shared" si="23"/>
      </c>
      <c r="FF262" s="91" t="str">
        <f t="shared" si="23"/>
      </c>
      <c r="FG262" s="91" t="str">
        <f t="shared" si="23"/>
      </c>
      <c r="FH262" s="91" t="str">
        <f t="shared" si="23"/>
      </c>
      <c r="FI262" s="91" t="str">
        <f t="shared" si="23"/>
      </c>
      <c r="FJ262" s="91" t="str">
        <f t="shared" si="23"/>
      </c>
      <c r="FK262" s="91" t="str">
        <f t="shared" si="23"/>
      </c>
      <c r="FL262" s="91" t="str">
        <f t="shared" si="23"/>
      </c>
      <c r="FM262" s="91" t="str">
        <f t="shared" si="23"/>
      </c>
      <c r="FN262" s="91" t="str">
        <f t="shared" si="23"/>
      </c>
      <c r="FO262" s="91" t="str">
        <f t="shared" si="23"/>
      </c>
      <c r="FP262" s="91" t="str">
        <f t="shared" si="23"/>
      </c>
      <c r="FQ262" s="91" t="str">
        <f t="shared" si="23"/>
      </c>
      <c r="FR262" s="91" t="str">
        <f t="shared" si="23"/>
      </c>
      <c r="FS262" s="91" t="str">
        <f t="shared" si="23"/>
      </c>
      <c r="FT262" s="91" t="str">
        <f t="shared" si="23"/>
      </c>
      <c r="FU262" s="91" t="str">
        <f t="shared" si="23"/>
      </c>
      <c r="FV262" s="91" t="str">
        <f t="shared" si="23"/>
      </c>
      <c r="FW262" s="91" t="str">
        <f t="shared" si="23"/>
      </c>
      <c r="FX262" s="91" t="str">
        <f t="shared" si="23"/>
      </c>
      <c r="FY262" s="91" t="str">
        <f t="shared" si="23"/>
      </c>
      <c r="FZ262" s="91" t="str">
        <f t="shared" si="23"/>
      </c>
      <c r="GA262" s="91" t="str">
        <f t="shared" si="23"/>
      </c>
      <c r="GB262" s="91" t="str">
        <f t="shared" si="23"/>
      </c>
      <c r="GC262" s="91" t="str">
        <f t="shared" si="23"/>
      </c>
      <c r="GD262" s="91" t="str">
        <f t="shared" si="23"/>
      </c>
      <c r="GE262" s="91" t="str">
        <f t="shared" si="23"/>
      </c>
      <c r="GF262" s="91" t="str">
        <f t="shared" si="23"/>
      </c>
      <c r="GG262" s="91" t="str">
        <f t="shared" si="23"/>
      </c>
      <c r="GH262" s="91" t="str">
        <f t="shared" si="23"/>
      </c>
      <c r="GI262" s="91" t="str">
        <f t="shared" si="23"/>
      </c>
      <c r="GJ262" s="91" t="str">
        <f t="shared" si="23"/>
      </c>
      <c r="GK262" s="91" t="str">
        <f t="shared" si="23"/>
      </c>
      <c r="GL262" s="91" t="str">
        <f t="shared" si="23"/>
      </c>
      <c r="GM262" s="91" t="str">
        <f t="shared" si="23"/>
      </c>
      <c r="GN262" s="91" t="str">
        <f t="shared" si="23"/>
      </c>
      <c r="GO262" s="91" t="str">
        <f t="shared" si="23"/>
      </c>
      <c r="GP262" s="91" t="str">
        <f t="shared" si="23"/>
      </c>
      <c r="GQ262" s="91" t="str">
        <f t="shared" si="23"/>
      </c>
      <c r="GR262" s="91" t="str">
        <f t="shared" si="23"/>
      </c>
      <c r="GS262" s="91" t="str">
        <f t="shared" si="23"/>
      </c>
      <c r="GT262" s="91" t="str">
        <f t="shared" si="23"/>
      </c>
      <c r="GU262" s="91" t="str">
        <f t="shared" si="23"/>
      </c>
      <c r="GV262" s="91" t="str">
        <f t="shared" si="23"/>
      </c>
      <c r="GW262" s="91" t="str">
        <f t="shared" si="23"/>
      </c>
      <c r="GX262" s="91" t="str">
        <f t="shared" si="23"/>
      </c>
      <c r="GY262" s="91" t="str">
        <f t="shared" si="23"/>
      </c>
      <c r="GZ262" s="91" t="str">
        <f t="shared" si="23"/>
      </c>
      <c r="HA262" s="91" t="str">
        <f t="shared" si="23"/>
      </c>
      <c r="HB262" s="91" t="str">
        <f t="shared" si="23"/>
      </c>
      <c r="HC262" s="91" t="str">
        <f t="shared" si="23"/>
      </c>
      <c r="HD262" s="91" t="str">
        <f t="shared" si="23"/>
      </c>
      <c r="HE262" s="91" t="str">
        <f t="shared" si="23"/>
      </c>
      <c r="HF262" s="91" t="str">
        <f t="shared" si="23"/>
      </c>
      <c r="HG262" s="91" t="str">
        <f t="shared" si="23"/>
      </c>
      <c r="HH262" s="91" t="str">
        <f t="shared" si="23"/>
      </c>
      <c r="HI262" s="91" t="str">
        <f t="shared" si="23"/>
      </c>
      <c r="HJ262" s="91" t="str">
        <f t="shared" si="23"/>
      </c>
      <c r="HK262" s="91" t="str">
        <f t="shared" si="23"/>
      </c>
      <c r="HL262" s="91" t="str">
        <f t="shared" si="23"/>
      </c>
      <c r="HM262" s="91" t="str">
        <f ref="HM262:IV262" t="shared" si="24">IF(SUM(HM243:HM261)&lt;&gt;0,SUM(HM243:HM261),"")</f>
      </c>
      <c r="HN262" s="91" t="str">
        <f t="shared" si="24"/>
      </c>
      <c r="HO262" s="91" t="str">
        <f t="shared" si="24"/>
      </c>
      <c r="HP262" s="91" t="str">
        <f t="shared" si="24"/>
      </c>
      <c r="HQ262" s="91" t="str">
        <f t="shared" si="24"/>
      </c>
      <c r="HR262" s="91" t="str">
        <f t="shared" si="24"/>
      </c>
      <c r="HS262" s="91" t="str">
        <f t="shared" si="24"/>
      </c>
      <c r="HT262" s="91" t="str">
        <f t="shared" si="24"/>
      </c>
      <c r="HU262" s="91" t="str">
        <f t="shared" si="24"/>
      </c>
      <c r="HV262" s="91" t="str">
        <f t="shared" si="24"/>
      </c>
      <c r="HW262" s="91" t="str">
        <f t="shared" si="24"/>
      </c>
      <c r="HX262" s="91" t="str">
        <f t="shared" si="24"/>
      </c>
      <c r="HY262" s="91" t="str">
        <f t="shared" si="24"/>
      </c>
      <c r="HZ262" s="91" t="str">
        <f t="shared" si="24"/>
      </c>
      <c r="IA262" s="91" t="str">
        <f t="shared" si="24"/>
      </c>
      <c r="IB262" s="91" t="str">
        <f t="shared" si="24"/>
      </c>
      <c r="IC262" s="91" t="str">
        <f t="shared" si="24"/>
      </c>
      <c r="ID262" s="91" t="str">
        <f t="shared" si="24"/>
      </c>
      <c r="IE262" s="91" t="str">
        <f t="shared" si="24"/>
      </c>
      <c r="IF262" s="91" t="str">
        <f t="shared" si="24"/>
      </c>
      <c r="IG262" s="91" t="str">
        <f t="shared" si="24"/>
      </c>
      <c r="IH262" s="91" t="str">
        <f t="shared" si="24"/>
      </c>
      <c r="II262" s="91" t="str">
        <f t="shared" si="24"/>
      </c>
      <c r="IJ262" s="91" t="str">
        <f t="shared" si="24"/>
      </c>
      <c r="IK262" s="91" t="str">
        <f t="shared" si="24"/>
      </c>
      <c r="IL262" s="91" t="str">
        <f t="shared" si="24"/>
      </c>
      <c r="IM262" s="91" t="str">
        <f t="shared" si="24"/>
      </c>
      <c r="IN262" s="91" t="str">
        <f t="shared" si="24"/>
      </c>
      <c r="IO262" s="91" t="str">
        <f t="shared" si="24"/>
      </c>
      <c r="IP262" s="91" t="str">
        <f t="shared" si="24"/>
      </c>
      <c r="IQ262" s="91" t="str">
        <f t="shared" si="24"/>
      </c>
      <c r="IR262" s="91" t="str">
        <f t="shared" si="24"/>
      </c>
      <c r="IS262" s="91" t="str">
        <f t="shared" si="24"/>
      </c>
      <c r="IT262" s="91" t="str">
        <f t="shared" si="24"/>
      </c>
      <c r="IU262" s="91" t="str">
        <f t="shared" si="24"/>
      </c>
      <c r="IV262" s="91" t="str">
        <f t="shared" si="24"/>
      </c>
    </row>
    <row r="263" hidden="1" ht="15" customHeight="1">
      <c r="B263" s="297"/>
      <c r="C263" s="219"/>
      <c r="D263" s="219"/>
      <c r="E263" s="219"/>
      <c r="F263" s="219"/>
      <c r="G263" s="219"/>
      <c r="H263" s="219"/>
      <c r="I263" s="219"/>
      <c r="J263" s="219"/>
      <c r="K263" s="219"/>
    </row>
    <row r="264" hidden="1" ht="13.5" customHeight="1"/>
    <row r="265" hidden="1" ht="13.5" customHeight="1">
      <c r="C265" s="686" t="s">
        <v>108</v>
      </c>
      <c r="D265" s="687"/>
      <c r="E265" s="687"/>
      <c r="F265" s="687"/>
      <c r="G265" s="687"/>
      <c r="H265" s="687"/>
      <c r="I265" s="687"/>
      <c r="J265" s="687"/>
      <c r="K265" s="687"/>
      <c r="L265" s="687"/>
      <c r="M265" s="687"/>
      <c r="N265" s="687"/>
      <c r="O265" s="687"/>
      <c r="P265" s="687"/>
      <c r="Q265" s="687"/>
      <c r="R265" s="687"/>
      <c r="S265" s="687"/>
      <c r="T265" s="687"/>
      <c r="U265" s="687"/>
      <c r="V265" s="687"/>
      <c r="W265" s="687"/>
      <c r="X265" s="687"/>
      <c r="Y265" s="687"/>
      <c r="Z265" s="687"/>
      <c r="AA265" s="687"/>
      <c r="AB265" s="688"/>
    </row>
    <row r="266" hidden="1" ht="13.5" customHeight="1">
      <c r="C266" s="435" t="str">
        <f> IF(C286&lt;&gt;"",TEXT(AUX!G$1,"dd-MMM-aa"),"")</f>
      </c>
      <c r="D266" s="435" t="str">
        <f> IF(D286&lt;&gt;"",TEXT(AUX!H$1,"dd-MMM-aa"),"")</f>
      </c>
      <c r="E266" s="435" t="str">
        <f> IF(E286&lt;&gt;"",TEXT(AUX!I$1,"dd-MMM-aa"),"")</f>
      </c>
      <c r="F266" s="435" t="str">
        <f> IF(F286&lt;&gt;"",TEXT(AUX!J$1,"dd-MMM-aa"),"")</f>
      </c>
      <c r="G266" s="435" t="str">
        <f> IF(G286&lt;&gt;"",TEXT(AUX!K$1,"dd-MMM-aa"),"")</f>
      </c>
      <c r="H266" s="435" t="str">
        <f> IF(H286&lt;&gt;"",TEXT(AUX!L$1,"dd-MMM-aa"),"")</f>
      </c>
      <c r="I266" s="435" t="str">
        <f> IF(I286&lt;&gt;"",TEXT(AUX!M$1,"dd-MMM-aa"),"")</f>
      </c>
      <c r="J266" s="435" t="str">
        <f> IF(J286&lt;&gt;"",TEXT(AUX!N$1,"dd-MMM-aa"),"")</f>
      </c>
      <c r="K266" s="435" t="str">
        <f> IF(K286&lt;&gt;"",TEXT(AUX!O$1,"dd-MMM-aa"),"")</f>
      </c>
      <c r="L266" s="435" t="str">
        <f> IF(L286&lt;&gt;"",TEXT(AUX!P$1,"dd-MMM-aa"),"")</f>
      </c>
      <c r="M266" s="435" t="str">
        <f> IF(M286&lt;&gt;"",TEXT(AUX!Q$1,"dd-MMM-aa"),"")</f>
      </c>
      <c r="N266" s="435" t="str">
        <f> IF(N286&lt;&gt;"",TEXT(AUX!R$1,"dd-MMM-aa"),"")</f>
      </c>
      <c r="O266" s="435" t="str">
        <f> IF(O286&lt;&gt;"",TEXT(AUX!S$1,"dd-MMM-aa"),"")</f>
      </c>
      <c r="P266" s="435" t="str">
        <f> IF(P286&lt;&gt;"",TEXT(AUX!T$1,"dd-MMM-aa"),"")</f>
      </c>
      <c r="Q266" s="435" t="str">
        <f> IF(Q286&lt;&gt;"",TEXT(AUX!U$1,"dd-MMM-aa"),"")</f>
      </c>
      <c r="R266" s="435" t="str">
        <f> IF(R286&lt;&gt;"",TEXT(AUX!V$1,"dd-MMM-aa"),"")</f>
      </c>
      <c r="S266" s="435" t="str">
        <f> IF(S286&lt;&gt;"",TEXT(AUX!W$1,"dd-MMM-aa"),"")</f>
      </c>
      <c r="T266" s="435" t="str">
        <f> IF(T286&lt;&gt;"",TEXT(AUX!X$1,"dd-MMM-aa"),"")</f>
      </c>
      <c r="U266" s="435" t="str">
        <f> IF(U286&lt;&gt;"",TEXT(AUX!Y$1,"dd-MMM-aa"),"")</f>
      </c>
      <c r="V266" s="435" t="str">
        <f> IF(V286&lt;&gt;"",TEXT(AUX!Z$1,"dd-MMM-aa"),"")</f>
      </c>
      <c r="W266" s="435" t="str">
        <f> IF(W286&lt;&gt;"",TEXT(AUX!AA$1,"dd-MMM-aa"),"")</f>
      </c>
      <c r="X266" s="435" t="str">
        <f> IF(X286&lt;&gt;"",TEXT(AUX!AB$1,"dd-MMM-aa"),"")</f>
      </c>
      <c r="Y266" s="435" t="str">
        <f> IF(Y286&lt;&gt;"",TEXT(AUX!AC$1,"dd-MMM-aa"),"")</f>
      </c>
      <c r="Z266" s="435" t="str">
        <f> IF(Z286&lt;&gt;"",TEXT(AUX!AD$1,"dd-MMM-aa"),"")</f>
      </c>
      <c r="AA266" s="435" t="str">
        <f> IF(AA286&lt;&gt;"",TEXT(AUX!AE$1,"dd-MMM-aa"),"")</f>
      </c>
      <c r="AB266" s="497" t="str">
        <f> IF(AB286&lt;&gt;"",TEXT(AUX!AF$1,"dd-MMM-aa"),"")</f>
      </c>
      <c r="AC266" s="496" t="str">
        <f> IF(AC286&lt;&gt;"",TEXT(AUX!AG$1,"dd-MMM-aa"),"")</f>
      </c>
      <c r="AD266" s="496" t="str">
        <f> IF(AD286&lt;&gt;"",TEXT(AUX!AH$1,"dd-MMM-aa"),"")</f>
      </c>
      <c r="AE266" s="496" t="str">
        <f> IF(AE286&lt;&gt;"",TEXT(AUX!AI$1,"dd-MMM-aa"),"")</f>
      </c>
      <c r="AF266" s="496" t="str">
        <f> IF(AF286&lt;&gt;"",TEXT(AUX!AJ$1,"dd-MMM-aa"),"")</f>
      </c>
      <c r="AG266" s="496" t="str">
        <f> IF(AG286&lt;&gt;"",TEXT(AUX!AK$1,"dd-MMM-aa"),"")</f>
      </c>
      <c r="AH266" s="496" t="str">
        <f> IF(AH286&lt;&gt;"",TEXT(AUX!AL$1,"dd-MMM-aa"),"")</f>
      </c>
      <c r="AI266" s="496" t="str">
        <f> IF(AI286&lt;&gt;"",TEXT(AUX!AM$1,"dd-MMM-aa"),"")</f>
      </c>
      <c r="AJ266" s="496" t="str">
        <f> IF(AJ286&lt;&gt;"",TEXT(AUX!AN$1,"dd-MMM-aa"),"")</f>
      </c>
      <c r="AK266" s="496" t="str">
        <f> IF(AK286&lt;&gt;"",TEXT(AUX!AO$1,"dd-MMM-aa"),"")</f>
      </c>
      <c r="AL266" s="496" t="str">
        <f> IF(AL286&lt;&gt;"",TEXT(AUX!AP$1,"dd-MMM-aa"),"")</f>
      </c>
      <c r="AM266" s="496" t="str">
        <f> IF(AM286&lt;&gt;"",TEXT(AUX!AQ$1,"dd-MMM-aa"),"")</f>
      </c>
      <c r="AN266" s="496" t="str">
        <f> IF(AN286&lt;&gt;"",TEXT(AUX!AR$1,"dd-MMM-aa"),"")</f>
      </c>
      <c r="AO266" s="496" t="str">
        <f> IF(AO286&lt;&gt;"",TEXT(AUX!AS$1,"dd-MMM-aa"),"")</f>
      </c>
      <c r="AP266" s="496" t="str">
        <f> IF(AP286&lt;&gt;"",TEXT(AUX!AT$1,"dd-MMM-aa"),"")</f>
      </c>
      <c r="AQ266" s="496" t="str">
        <f> IF(AQ286&lt;&gt;"",TEXT(AUX!AU$1,"dd-MMM-aa"),"")</f>
      </c>
      <c r="AR266" s="496" t="str">
        <f> IF(AR286&lt;&gt;"",TEXT(AUX!AV$1,"dd-MMM-aa"),"")</f>
      </c>
      <c r="AS266" s="496" t="str">
        <f> IF(AS286&lt;&gt;"",TEXT(AUX!AW$1,"dd-MMM-aa"),"")</f>
      </c>
      <c r="AT266" s="496" t="str">
        <f> IF(AT286&lt;&gt;"",TEXT(AUX!AX$1,"dd-MMM-aa"),"")</f>
      </c>
      <c r="AU266" s="496" t="str">
        <f> IF(AU286&lt;&gt;"",TEXT(AUX!AY$1,"dd-MMM-aa"),"")</f>
      </c>
      <c r="AV266" s="496" t="str">
        <f> IF(AV286&lt;&gt;"",TEXT(AUX!AZ$1,"dd-MMM-aa"),"")</f>
      </c>
      <c r="AW266" s="496" t="str">
        <f> IF(AW286&lt;&gt;"",TEXT(AUX!BA$1,"dd-MMM-aa"),"")</f>
      </c>
      <c r="AX266" s="496" t="str">
        <f> IF(AX286&lt;&gt;"",TEXT(AUX!BB$1,"dd-MMM-aa"),"")</f>
      </c>
      <c r="AY266" s="496" t="str">
        <f> IF(AY286&lt;&gt;"",TEXT(AUX!BC$1,"dd-MMM-aa"),"")</f>
      </c>
      <c r="AZ266" s="496" t="str">
        <f> IF(AZ286&lt;&gt;"",TEXT(AUX!BD$1,"dd-MMM-aa"),"")</f>
      </c>
      <c r="BA266" s="496" t="str">
        <f> IF(BA286&lt;&gt;"",TEXT(AUX!BE$1,"dd-MMM-aa"),"")</f>
      </c>
      <c r="BB266" s="496" t="str">
        <f> IF(BB286&lt;&gt;"",TEXT(AUX!BF$1,"dd-MMM-aa"),"")</f>
      </c>
      <c r="BC266" s="496" t="str">
        <f> IF(BC286&lt;&gt;"",TEXT(AUX!BG$1,"dd-MMM-aa"),"")</f>
      </c>
      <c r="BD266" s="496" t="str">
        <f> IF(BD286&lt;&gt;"",TEXT(AUX!BH$1,"dd-MMM-aa"),"")</f>
      </c>
      <c r="BE266" s="496" t="str">
        <f> IF(BE286&lt;&gt;"",TEXT(AUX!BI$1,"dd-MMM-aa"),"")</f>
      </c>
      <c r="BF266" s="496" t="str">
        <f> IF(BF286&lt;&gt;"",TEXT(AUX!BJ$1,"dd-MMM-aa"),"")</f>
      </c>
      <c r="BG266" s="496" t="str">
        <f> IF(BG286&lt;&gt;"",TEXT(AUX!BK$1,"dd-MMM-aa"),"")</f>
      </c>
      <c r="BH266" s="496" t="str">
        <f> IF(BH286&lt;&gt;"",TEXT(AUX!BL$1,"dd-MMM-aa"),"")</f>
      </c>
      <c r="BI266" s="496" t="str">
        <f> IF(BI286&lt;&gt;"",TEXT(AUX!BM$1,"dd-MMM-aa"),"")</f>
      </c>
      <c r="BJ266" s="496" t="str">
        <f> IF(BJ286&lt;&gt;"",TEXT(AUX!BN$1,"dd-MMM-aa"),"")</f>
      </c>
      <c r="BK266" s="496" t="str">
        <f> IF(BK286&lt;&gt;"",TEXT(AUX!BO$1,"dd-MMM-aa"),"")</f>
      </c>
      <c r="BL266" s="496" t="str">
        <f> IF(BL286&lt;&gt;"",TEXT(AUX!BP$1,"dd-MMM-aa"),"")</f>
      </c>
      <c r="BM266" s="496" t="str">
        <f> IF(BM286&lt;&gt;"",TEXT(AUX!BQ$1,"dd-MMM-aa"),"")</f>
      </c>
      <c r="BN266" s="496" t="str">
        <f> IF(BN286&lt;&gt;"",TEXT(AUX!BR$1,"dd-MMM-aa"),"")</f>
      </c>
      <c r="BO266" s="496" t="str">
        <f> IF(BO286&lt;&gt;"",TEXT(AUX!BS$1,"dd-MMM-aa"),"")</f>
      </c>
      <c r="BP266" s="496" t="str">
        <f> IF(BP286&lt;&gt;"",TEXT(AUX!BT$1,"dd-MMM-aa"),"")</f>
      </c>
      <c r="BQ266" s="496" t="str">
        <f> IF(BQ286&lt;&gt;"",TEXT(AUX!BU$1,"dd-MMM-aa"),"")</f>
      </c>
      <c r="BR266" s="496" t="str">
        <f> IF(BR286&lt;&gt;"",TEXT(AUX!BV$1,"dd-MMM-aa"),"")</f>
      </c>
      <c r="BS266" s="496" t="str">
        <f> IF(BS286&lt;&gt;"",TEXT(AUX!BW$1,"dd-MMM-aa"),"")</f>
      </c>
      <c r="BT266" s="496" t="str">
        <f> IF(BT286&lt;&gt;"",TEXT(AUX!BX$1,"dd-MMM-aa"),"")</f>
      </c>
      <c r="BU266" s="496" t="str">
        <f> IF(BU286&lt;&gt;"",TEXT(AUX!BY$1,"dd-MMM-aa"),"")</f>
      </c>
      <c r="BV266" s="496" t="str">
        <f> IF(BV286&lt;&gt;"",TEXT(AUX!BZ$1,"dd-MMM-aa"),"")</f>
      </c>
      <c r="BW266" s="496" t="str">
        <f> IF(BW286&lt;&gt;"",TEXT(AUX!CA$1,"dd-MMM-aa"),"")</f>
      </c>
      <c r="BX266" s="496" t="str">
        <f> IF(BX286&lt;&gt;"",TEXT(AUX!CB$1,"dd-MMM-aa"),"")</f>
      </c>
      <c r="BY266" s="496" t="str">
        <f> IF(BY286&lt;&gt;"",TEXT(AUX!CC$1,"dd-MMM-aa"),"")</f>
      </c>
      <c r="BZ266" s="496" t="str">
        <f> IF(BZ286&lt;&gt;"",TEXT(AUX!CD$1,"dd-MMM-aa"),"")</f>
      </c>
      <c r="CA266" s="496" t="str">
        <f> IF(CA286&lt;&gt;"",TEXT(AUX!CE$1,"dd-MMM-aa"),"")</f>
      </c>
      <c r="CB266" s="496" t="str">
        <f> IF(CB286&lt;&gt;"",TEXT(AUX!CF$1,"dd-MMM-aa"),"")</f>
      </c>
      <c r="CC266" s="496" t="str">
        <f> IF(CC286&lt;&gt;"",TEXT(AUX!CG$1,"dd-MMM-aa"),"")</f>
      </c>
      <c r="CD266" s="496" t="str">
        <f> IF(CD286&lt;&gt;"",TEXT(AUX!CH$1,"dd-MMM-aa"),"")</f>
      </c>
      <c r="CE266" s="496" t="str">
        <f> IF(CE286&lt;&gt;"",TEXT(AUX!CI$1,"dd-MMM-aa"),"")</f>
      </c>
      <c r="CF266" s="496" t="str">
        <f> IF(CF286&lt;&gt;"",TEXT(AUX!CJ$1,"dd-MMM-aa"),"")</f>
      </c>
      <c r="CG266" s="496" t="str">
        <f> IF(CG286&lt;&gt;"",TEXT(AUX!CK$1,"dd-MMM-aa"),"")</f>
      </c>
      <c r="CH266" s="496" t="str">
        <f> IF(CH286&lt;&gt;"",TEXT(AUX!CL$1,"dd-MMM-aa"),"")</f>
      </c>
      <c r="CI266" s="496" t="str">
        <f> IF(CI286&lt;&gt;"",TEXT(AUX!CM$1,"dd-MMM-aa"),"")</f>
      </c>
      <c r="CJ266" s="496" t="str">
        <f> IF(CJ286&lt;&gt;"",TEXT(AUX!CN$1,"dd-MMM-aa"),"")</f>
      </c>
      <c r="CK266" s="496" t="str">
        <f> IF(CK286&lt;&gt;"",TEXT(AUX!CO$1,"dd-MMM-aa"),"")</f>
      </c>
      <c r="CL266" s="496" t="str">
        <f> IF(CL286&lt;&gt;"",TEXT(AUX!CP$1,"dd-MMM-aa"),"")</f>
      </c>
      <c r="CM266" s="496" t="str">
        <f> IF(CM286&lt;&gt;"",TEXT(AUX!CQ$1,"dd-MMM-aa"),"")</f>
      </c>
      <c r="CN266" s="496" t="str">
        <f> IF(CN286&lt;&gt;"",TEXT(AUX!CR$1,"dd-MMM-aa"),"")</f>
      </c>
      <c r="CO266" s="496" t="str">
        <f> IF(CO286&lt;&gt;"",TEXT(AUX!CS$1,"dd-MMM-aa"),"")</f>
      </c>
      <c r="CP266" s="496" t="str">
        <f> IF(CP286&lt;&gt;"",TEXT(AUX!CT$1,"dd-MMM-aa"),"")</f>
      </c>
      <c r="CQ266" s="496" t="str">
        <f> IF(CQ286&lt;&gt;"",TEXT(AUX!CU$1,"dd-MMM-aa"),"")</f>
      </c>
      <c r="CR266" s="496" t="str">
        <f> IF(CR286&lt;&gt;"",TEXT(AUX!CV$1,"dd-MMM-aa"),"")</f>
      </c>
      <c r="CS266" s="496" t="str">
        <f> IF(CS286&lt;&gt;"",TEXT(AUX!CW$1,"dd-MMM-aa"),"")</f>
      </c>
      <c r="CT266" s="496" t="str">
        <f> IF(CT286&lt;&gt;"",TEXT(AUX!CX$1,"dd-MMM-aa"),"")</f>
      </c>
      <c r="CU266" s="496" t="str">
        <f> IF(CU286&lt;&gt;"",TEXT(AUX!CY$1,"dd-MMM-aa"),"")</f>
      </c>
      <c r="CV266" s="496" t="str">
        <f> IF(CV286&lt;&gt;"",TEXT(AUX!CZ$1,"dd-MMM-aa"),"")</f>
      </c>
      <c r="CW266" s="496" t="str">
        <f> IF(CW286&lt;&gt;"",TEXT(AUX!DA$1,"dd-MMM-aa"),"")</f>
      </c>
      <c r="CX266" s="496" t="str">
        <f> IF(CX286&lt;&gt;"",TEXT(AUX!DB$1,"dd-MMM-aa"),"")</f>
      </c>
      <c r="CY266" s="496" t="str">
        <f> IF(CY286&lt;&gt;"",TEXT(AUX!DC$1,"dd-MMM-aa"),"")</f>
      </c>
      <c r="CZ266" s="496" t="str">
        <f> IF(CZ286&lt;&gt;"",TEXT(AUX!DD$1,"dd-MMM-aa"),"")</f>
      </c>
      <c r="DA266" s="496" t="str">
        <f> IF(DA286&lt;&gt;"",TEXT(AUX!DE$1,"dd-MMM-aa"),"")</f>
      </c>
      <c r="DB266" s="496" t="str">
        <f> IF(DB286&lt;&gt;"",TEXT(AUX!DF$1,"dd-MMM-aa"),"")</f>
      </c>
      <c r="DC266" s="496" t="str">
        <f> IF(DC286&lt;&gt;"",TEXT(AUX!DG$1,"dd-MMM-aa"),"")</f>
      </c>
      <c r="DD266" s="496" t="str">
        <f> IF(DD286&lt;&gt;"",TEXT(AUX!DH$1,"dd-MMM-aa"),"")</f>
      </c>
      <c r="DE266" s="496" t="str">
        <f> IF(DE286&lt;&gt;"",TEXT(AUX!DI$1,"dd-MMM-aa"),"")</f>
      </c>
      <c r="DF266" s="496" t="str">
        <f> IF(DF286&lt;&gt;"",TEXT(AUX!DJ$1,"dd-MMM-aa"),"")</f>
      </c>
      <c r="DG266" s="496" t="str">
        <f> IF(DG286&lt;&gt;"",TEXT(AUX!DK$1,"dd-MMM-aa"),"")</f>
      </c>
      <c r="DH266" s="496" t="str">
        <f> IF(DH286&lt;&gt;"",TEXT(AUX!DL$1,"dd-MMM-aa"),"")</f>
      </c>
      <c r="DI266" s="496" t="str">
        <f> IF(DI286&lt;&gt;"",TEXT(AUX!DM$1,"dd-MMM-aa"),"")</f>
      </c>
      <c r="DJ266" s="496" t="str">
        <f> IF(DJ286&lt;&gt;"",TEXT(AUX!DN$1,"dd-MMM-aa"),"")</f>
      </c>
      <c r="DK266" s="496" t="str">
        <f> IF(DK286&lt;&gt;"",TEXT(AUX!DO$1,"dd-MMM-aa"),"")</f>
      </c>
      <c r="DL266" s="496" t="str">
        <f> IF(DL286&lt;&gt;"",TEXT(AUX!DP$1,"dd-MMM-aa"),"")</f>
      </c>
      <c r="DM266" s="496" t="str">
        <f> IF(DM286&lt;&gt;"",TEXT(AUX!DQ$1,"dd-MMM-aa"),"")</f>
      </c>
      <c r="DN266" s="496" t="str">
        <f> IF(DN286&lt;&gt;"",TEXT(AUX!DR$1,"dd-MMM-aa"),"")</f>
      </c>
      <c r="DO266" s="496" t="str">
        <f> IF(DO286&lt;&gt;"",TEXT(AUX!DS$1,"dd-MMM-aa"),"")</f>
      </c>
      <c r="DP266" s="496" t="str">
        <f> IF(DP286&lt;&gt;"",TEXT(AUX!DT$1,"dd-MMM-aa"),"")</f>
      </c>
      <c r="DQ266" s="496" t="str">
        <f> IF(DQ286&lt;&gt;"",TEXT(AUX!DU$1,"dd-MMM-aa"),"")</f>
      </c>
      <c r="DR266" s="496" t="str">
        <f> IF(DR286&lt;&gt;"",TEXT(AUX!DV$1,"dd-MMM-aa"),"")</f>
      </c>
      <c r="DS266" s="496" t="str">
        <f> IF(DS286&lt;&gt;"",TEXT(AUX!DW$1,"dd-MMM-aa"),"")</f>
      </c>
      <c r="DT266" s="496" t="str">
        <f> IF(DT286&lt;&gt;"",TEXT(AUX!DX$1,"dd-MMM-aa"),"")</f>
      </c>
      <c r="DU266" s="496" t="str">
        <f> IF(DU286&lt;&gt;"",TEXT(AUX!DY$1,"dd-MMM-aa"),"")</f>
      </c>
      <c r="DV266" s="496" t="str">
        <f> IF(DV286&lt;&gt;"",TEXT(AUX!DZ$1,"dd-MMM-aa"),"")</f>
      </c>
      <c r="DW266" s="496" t="str">
        <f> IF(DW286&lt;&gt;"",TEXT(AUX!EA$1,"dd-MMM-aa"),"")</f>
      </c>
      <c r="DX266" s="496" t="str">
        <f> IF(DX286&lt;&gt;"",TEXT(AUX!EB$1,"dd-MMM-aa"),"")</f>
      </c>
      <c r="DY266" s="496" t="str">
        <f> IF(DY286&lt;&gt;"",TEXT(AUX!EC$1,"dd-MMM-aa"),"")</f>
      </c>
      <c r="DZ266" s="496" t="str">
        <f> IF(DZ286&lt;&gt;"",TEXT(AUX!ED$1,"dd-MMM-aa"),"")</f>
      </c>
      <c r="EA266" s="496" t="str">
        <f> IF(EA286&lt;&gt;"",TEXT(AUX!EE$1,"dd-MMM-aa"),"")</f>
      </c>
      <c r="EB266" s="496" t="str">
        <f> IF(EB286&lt;&gt;"",TEXT(AUX!EF$1,"dd-MMM-aa"),"")</f>
      </c>
      <c r="EC266" s="496" t="str">
        <f> IF(EC286&lt;&gt;"",TEXT(AUX!EG$1,"dd-MMM-aa"),"")</f>
      </c>
      <c r="ED266" s="496" t="str">
        <f> IF(ED286&lt;&gt;"",TEXT(AUX!EH$1,"dd-MMM-aa"),"")</f>
      </c>
      <c r="EE266" s="496" t="str">
        <f> IF(EE286&lt;&gt;"",TEXT(AUX!EI$1,"dd-MMM-aa"),"")</f>
      </c>
      <c r="EF266" s="496" t="str">
        <f> IF(EF286&lt;&gt;"",TEXT(AUX!EJ$1,"dd-MMM-aa"),"")</f>
      </c>
      <c r="EG266" s="496" t="str">
        <f> IF(EG286&lt;&gt;"",TEXT(AUX!EK$1,"dd-MMM-aa"),"")</f>
      </c>
      <c r="EH266" s="496" t="str">
        <f> IF(EH286&lt;&gt;"",TEXT(AUX!EL$1,"dd-MMM-aa"),"")</f>
      </c>
      <c r="EI266" s="496" t="str">
        <f> IF(EI286&lt;&gt;"",TEXT(AUX!EM$1,"dd-MMM-aa"),"")</f>
      </c>
      <c r="EJ266" s="496" t="str">
        <f> IF(EJ286&lt;&gt;"",TEXT(AUX!EN$1,"dd-MMM-aa"),"")</f>
      </c>
      <c r="EK266" s="496" t="str">
        <f> IF(EK286&lt;&gt;"",TEXT(AUX!EO$1,"dd-MMM-aa"),"")</f>
      </c>
      <c r="EL266" s="496" t="str">
        <f> IF(EL286&lt;&gt;"",TEXT(AUX!EP$1,"dd-MMM-aa"),"")</f>
      </c>
      <c r="EM266" s="496" t="str">
        <f> IF(EM286&lt;&gt;"",TEXT(AUX!EQ$1,"dd-MMM-aa"),"")</f>
      </c>
      <c r="EN266" s="496" t="str">
        <f> IF(EN286&lt;&gt;"",TEXT(AUX!ER$1,"dd-MMM-aa"),"")</f>
      </c>
      <c r="EO266" s="496" t="str">
        <f> IF(EO286&lt;&gt;"",TEXT(AUX!ES$1,"dd-MMM-aa"),"")</f>
      </c>
      <c r="EP266" s="496" t="str">
        <f> IF(EP286&lt;&gt;"",TEXT(AUX!ET$1,"dd-MMM-aa"),"")</f>
      </c>
      <c r="EQ266" s="496" t="str">
        <f> IF(EQ286&lt;&gt;"",TEXT(AUX!EU$1,"dd-MMM-aa"),"")</f>
      </c>
      <c r="ER266" s="496" t="str">
        <f> IF(ER286&lt;&gt;"",TEXT(AUX!EV$1,"dd-MMM-aa"),"")</f>
      </c>
      <c r="ES266" s="496" t="str">
        <f> IF(ES286&lt;&gt;"",TEXT(AUX!EW$1,"dd-MMM-aa"),"")</f>
      </c>
      <c r="ET266" s="496" t="str">
        <f> IF(ET286&lt;&gt;"",TEXT(AUX!EX$1,"dd-MMM-aa"),"")</f>
      </c>
      <c r="EU266" s="496" t="str">
        <f> IF(EU286&lt;&gt;"",TEXT(AUX!EY$1,"dd-MMM-aa"),"")</f>
      </c>
      <c r="EV266" s="496" t="str">
        <f> IF(EV286&lt;&gt;"",TEXT(AUX!EZ$1,"dd-MMM-aa"),"")</f>
      </c>
      <c r="EW266" s="496" t="str">
        <f> IF(EW286&lt;&gt;"",TEXT(AUX!FA$1,"dd-MMM-aa"),"")</f>
      </c>
      <c r="EX266" s="496" t="str">
        <f> IF(EX286&lt;&gt;"",TEXT(AUX!FB$1,"dd-MMM-aa"),"")</f>
      </c>
      <c r="EY266" s="496" t="str">
        <f> IF(EY286&lt;&gt;"",TEXT(AUX!FC$1,"dd-MMM-aa"),"")</f>
      </c>
      <c r="EZ266" s="496" t="str">
        <f> IF(EZ286&lt;&gt;"",TEXT(AUX!FD$1,"dd-MMM-aa"),"")</f>
      </c>
      <c r="FA266" s="496" t="str">
        <f> IF(FA286&lt;&gt;"",TEXT(AUX!FE$1,"dd-MMM-aa"),"")</f>
      </c>
      <c r="FB266" s="496" t="str">
        <f> IF(FB286&lt;&gt;"",TEXT(AUX!FF$1,"dd-MMM-aa"),"")</f>
      </c>
      <c r="FC266" s="496" t="str">
        <f> IF(FC286&lt;&gt;"",TEXT(AUX!FG$1,"dd-MMM-aa"),"")</f>
      </c>
      <c r="FD266" s="496" t="str">
        <f> IF(FD286&lt;&gt;"",TEXT(AUX!FH$1,"dd-MMM-aa"),"")</f>
      </c>
      <c r="FE266" s="496" t="str">
        <f> IF(FE286&lt;&gt;"",TEXT(AUX!FI$1,"dd-MMM-aa"),"")</f>
      </c>
      <c r="FF266" s="496" t="str">
        <f> IF(FF286&lt;&gt;"",TEXT(AUX!FJ$1,"dd-MMM-aa"),"")</f>
      </c>
      <c r="FG266" s="496" t="str">
        <f> IF(FG286&lt;&gt;"",TEXT(AUX!FK$1,"dd-MMM-aa"),"")</f>
      </c>
      <c r="FH266" s="496" t="str">
        <f> IF(FH286&lt;&gt;"",TEXT(AUX!FL$1,"dd-MMM-aa"),"")</f>
      </c>
      <c r="FI266" s="496" t="str">
        <f> IF(FI286&lt;&gt;"",TEXT(AUX!FM$1,"dd-MMM-aa"),"")</f>
      </c>
      <c r="FJ266" s="496" t="str">
        <f> IF(FJ286&lt;&gt;"",TEXT(AUX!FN$1,"dd-MMM-aa"),"")</f>
      </c>
      <c r="FK266" s="496" t="str">
        <f> IF(FK286&lt;&gt;"",TEXT(AUX!FO$1,"dd-MMM-aa"),"")</f>
      </c>
      <c r="FL266" s="496" t="str">
        <f> IF(FL286&lt;&gt;"",TEXT(AUX!FP$1,"dd-MMM-aa"),"")</f>
      </c>
      <c r="FM266" s="496" t="str">
        <f> IF(FM286&lt;&gt;"",TEXT(AUX!FQ$1,"dd-MMM-aa"),"")</f>
      </c>
      <c r="FN266" s="496" t="str">
        <f> IF(FN286&lt;&gt;"",TEXT(AUX!FR$1,"dd-MMM-aa"),"")</f>
      </c>
      <c r="FO266" s="496" t="str">
        <f> IF(FO286&lt;&gt;"",TEXT(AUX!FS$1,"dd-MMM-aa"),"")</f>
      </c>
      <c r="FP266" s="496" t="str">
        <f> IF(FP286&lt;&gt;"",TEXT(AUX!FT$1,"dd-MMM-aa"),"")</f>
      </c>
      <c r="FQ266" s="496" t="str">
        <f> IF(FQ286&lt;&gt;"",TEXT(AUX!FU$1,"dd-MMM-aa"),"")</f>
      </c>
      <c r="FR266" s="496" t="str">
        <f> IF(FR286&lt;&gt;"",TEXT(AUX!FV$1,"dd-MMM-aa"),"")</f>
      </c>
      <c r="FS266" s="496" t="str">
        <f> IF(FS286&lt;&gt;"",TEXT(AUX!FW$1,"dd-MMM-aa"),"")</f>
      </c>
      <c r="FT266" s="496" t="str">
        <f> IF(FT286&lt;&gt;"",TEXT(AUX!FX$1,"dd-MMM-aa"),"")</f>
      </c>
      <c r="FU266" s="496" t="str">
        <f> IF(FU286&lt;&gt;"",TEXT(AUX!FY$1,"dd-MMM-aa"),"")</f>
      </c>
      <c r="FV266" s="496" t="str">
        <f> IF(FV286&lt;&gt;"",TEXT(AUX!FZ$1,"dd-MMM-aa"),"")</f>
      </c>
      <c r="FW266" s="496" t="str">
        <f> IF(FW286&lt;&gt;"",TEXT(AUX!GA$1,"dd-MMM-aa"),"")</f>
      </c>
      <c r="FX266" s="496" t="str">
        <f> IF(FX286&lt;&gt;"",TEXT(AUX!GB$1,"dd-MMM-aa"),"")</f>
      </c>
      <c r="FY266" s="496" t="str">
        <f> IF(FY286&lt;&gt;"",TEXT(AUX!GC$1,"dd-MMM-aa"),"")</f>
      </c>
      <c r="FZ266" s="496" t="str">
        <f> IF(FZ286&lt;&gt;"",TEXT(AUX!GD$1,"dd-MMM-aa"),"")</f>
      </c>
      <c r="GA266" s="496" t="str">
        <f> IF(GA286&lt;&gt;"",TEXT(AUX!GE$1,"dd-MMM-aa"),"")</f>
      </c>
      <c r="GB266" s="496" t="str">
        <f> IF(GB286&lt;&gt;"",TEXT(AUX!GF$1,"dd-MMM-aa"),"")</f>
      </c>
      <c r="GC266" s="496" t="str">
        <f> IF(GC286&lt;&gt;"",TEXT(AUX!GG$1,"dd-MMM-aa"),"")</f>
      </c>
      <c r="GD266" s="496" t="str">
        <f> IF(GD286&lt;&gt;"",TEXT(AUX!GH$1,"dd-MMM-aa"),"")</f>
      </c>
      <c r="GE266" s="496" t="str">
        <f> IF(GE286&lt;&gt;"",TEXT(AUX!GI$1,"dd-MMM-aa"),"")</f>
      </c>
      <c r="GF266" s="496" t="str">
        <f> IF(GF286&lt;&gt;"",TEXT(AUX!GJ$1,"dd-MMM-aa"),"")</f>
      </c>
      <c r="GG266" s="496" t="str">
        <f> IF(GG286&lt;&gt;"",TEXT(AUX!GK$1,"dd-MMM-aa"),"")</f>
      </c>
      <c r="GH266" s="496" t="str">
        <f> IF(GH286&lt;&gt;"",TEXT(AUX!GL$1,"dd-MMM-aa"),"")</f>
      </c>
      <c r="GI266" s="496" t="str">
        <f> IF(GI286&lt;&gt;"",TEXT(AUX!GM$1,"dd-MMM-aa"),"")</f>
      </c>
      <c r="GJ266" s="496" t="str">
        <f> IF(GJ286&lt;&gt;"",TEXT(AUX!GN$1,"dd-MMM-aa"),"")</f>
      </c>
      <c r="GK266" s="496" t="str">
        <f> IF(GK286&lt;&gt;"",TEXT(AUX!GO$1,"dd-MMM-aa"),"")</f>
      </c>
      <c r="GL266" s="496" t="str">
        <f> IF(GL286&lt;&gt;"",TEXT(AUX!GP$1,"dd-MMM-aa"),"")</f>
      </c>
      <c r="GM266" s="496" t="str">
        <f> IF(GM286&lt;&gt;"",TEXT(AUX!GQ$1,"dd-MMM-aa"),"")</f>
      </c>
      <c r="GN266" s="496" t="str">
        <f> IF(GN286&lt;&gt;"",TEXT(AUX!GR$1,"dd-MMM-aa"),"")</f>
      </c>
      <c r="GO266" s="496" t="str">
        <f> IF(GO286&lt;&gt;"",TEXT(AUX!GS$1,"dd-MMM-aa"),"")</f>
      </c>
      <c r="GP266" s="496" t="str">
        <f> IF(GP286&lt;&gt;"",TEXT(AUX!GT$1,"dd-MMM-aa"),"")</f>
      </c>
      <c r="GQ266" s="496" t="str">
        <f> IF(GQ286&lt;&gt;"",TEXT(AUX!GU$1,"dd-MMM-aa"),"")</f>
      </c>
      <c r="GR266" s="496" t="str">
        <f> IF(GR286&lt;&gt;"",TEXT(AUX!GV$1,"dd-MMM-aa"),"")</f>
      </c>
      <c r="GS266" s="496" t="str">
        <f> IF(GS286&lt;&gt;"",TEXT(AUX!GW$1,"dd-MMM-aa"),"")</f>
      </c>
      <c r="GT266" s="496" t="str">
        <f> IF(GT286&lt;&gt;"",TEXT(AUX!GX$1,"dd-MMM-aa"),"")</f>
      </c>
      <c r="GU266" s="496" t="str">
        <f> IF(GU286&lt;&gt;"",TEXT(AUX!GY$1,"dd-MMM-aa"),"")</f>
      </c>
      <c r="GV266" s="496" t="str">
        <f> IF(GV286&lt;&gt;"",TEXT(AUX!GZ$1,"dd-MMM-aa"),"")</f>
      </c>
      <c r="GW266" s="496" t="str">
        <f> IF(GW286&lt;&gt;"",TEXT(AUX!HA$1,"dd-MMM-aa"),"")</f>
      </c>
      <c r="GX266" s="496" t="str">
        <f> IF(GX286&lt;&gt;"",TEXT(AUX!HB$1,"dd-MMM-aa"),"")</f>
      </c>
      <c r="GY266" s="496" t="str">
        <f> IF(GY286&lt;&gt;"",TEXT(AUX!HC$1,"dd-MMM-aa"),"")</f>
      </c>
      <c r="GZ266" s="496" t="str">
        <f> IF(GZ286&lt;&gt;"",TEXT(AUX!HD$1,"dd-MMM-aa"),"")</f>
      </c>
      <c r="HA266" s="496" t="str">
        <f> IF(HA286&lt;&gt;"",TEXT(AUX!HE$1,"dd-MMM-aa"),"")</f>
      </c>
      <c r="HB266" s="496" t="str">
        <f> IF(HB286&lt;&gt;"",TEXT(AUX!HF$1,"dd-MMM-aa"),"")</f>
      </c>
      <c r="HC266" s="496" t="str">
        <f> IF(HC286&lt;&gt;"",TEXT(AUX!HG$1,"dd-MMM-aa"),"")</f>
      </c>
      <c r="HD266" s="496" t="str">
        <f> IF(HD286&lt;&gt;"",TEXT(AUX!HH$1,"dd-MMM-aa"),"")</f>
      </c>
      <c r="HE266" s="496" t="str">
        <f> IF(HE286&lt;&gt;"",TEXT(AUX!HI$1,"dd-MMM-aa"),"")</f>
      </c>
      <c r="HF266" s="496" t="str">
        <f> IF(HF286&lt;&gt;"",TEXT(AUX!HJ$1,"dd-MMM-aa"),"")</f>
      </c>
      <c r="HG266" s="496" t="str">
        <f> IF(HG286&lt;&gt;"",TEXT(AUX!HK$1,"dd-MMM-aa"),"")</f>
      </c>
      <c r="HH266" s="496" t="str">
        <f> IF(HH286&lt;&gt;"",TEXT(AUX!HL$1,"dd-MMM-aa"),"")</f>
      </c>
      <c r="HI266" s="496" t="str">
        <f> IF(HI286&lt;&gt;"",TEXT(AUX!HM$1,"dd-MMM-aa"),"")</f>
      </c>
      <c r="HJ266" s="496" t="str">
        <f> IF(HJ286&lt;&gt;"",TEXT(AUX!HN$1,"dd-MMM-aa"),"")</f>
      </c>
      <c r="HK266" s="496" t="str">
        <f> IF(HK286&lt;&gt;"",TEXT(AUX!HO$1,"dd-MMM-aa"),"")</f>
      </c>
      <c r="HL266" s="496" t="str">
        <f> IF(HL286&lt;&gt;"",TEXT(AUX!HP$1,"dd-MMM-aa"),"")</f>
      </c>
      <c r="HM266" s="496" t="str">
        <f> IF(HM286&lt;&gt;"",TEXT(AUX!HQ$1,"dd-MMM-aa"),"")</f>
      </c>
      <c r="HN266" s="496" t="str">
        <f> IF(HN286&lt;&gt;"",TEXT(AUX!HR$1,"dd-MMM-aa"),"")</f>
      </c>
      <c r="HO266" s="496" t="str">
        <f> IF(HO286&lt;&gt;"",TEXT(AUX!HS$1,"dd-MMM-aa"),"")</f>
      </c>
      <c r="HP266" s="496" t="str">
        <f> IF(HP286&lt;&gt;"",TEXT(AUX!HT$1,"dd-MMM-aa"),"")</f>
      </c>
      <c r="HQ266" s="496" t="str">
        <f> IF(HQ286&lt;&gt;"",TEXT(AUX!HU$1,"dd-MMM-aa"),"")</f>
      </c>
      <c r="HR266" s="496" t="str">
        <f> IF(HR286&lt;&gt;"",TEXT(AUX!HV$1,"dd-MMM-aa"),"")</f>
      </c>
      <c r="HS266" s="496" t="str">
        <f> IF(HS286&lt;&gt;"",TEXT(AUX!HW$1,"dd-MMM-aa"),"")</f>
      </c>
      <c r="HT266" s="496" t="str">
        <f> IF(HT286&lt;&gt;"",TEXT(AUX!HX$1,"dd-MMM-aa"),"")</f>
      </c>
      <c r="HU266" s="496" t="str">
        <f> IF(HU286&lt;&gt;"",TEXT(AUX!HY$1,"dd-MMM-aa"),"")</f>
      </c>
      <c r="HV266" s="496" t="str">
        <f> IF(HV286&lt;&gt;"",TEXT(AUX!HZ$1,"dd-MMM-aa"),"")</f>
      </c>
      <c r="HW266" s="496" t="str">
        <f> IF(HW286&lt;&gt;"",TEXT(AUX!IA$1,"dd-MMM-aa"),"")</f>
      </c>
      <c r="HX266" s="496" t="str">
        <f> IF(HX286&lt;&gt;"",TEXT(AUX!IB$1,"dd-MMM-aa"),"")</f>
      </c>
      <c r="HY266" s="496" t="str">
        <f> IF(HY286&lt;&gt;"",TEXT(AUX!IC$1,"dd-MMM-aa"),"")</f>
      </c>
      <c r="HZ266" s="496" t="str">
        <f> IF(HZ286&lt;&gt;"",TEXT(AUX!ID$1,"dd-MMM-aa"),"")</f>
      </c>
      <c r="IA266" s="496" t="str">
        <f> IF(IA286&lt;&gt;"",TEXT(AUX!IE$1,"dd-MMM-aa"),"")</f>
      </c>
      <c r="IB266" s="496" t="str">
        <f> IF(IB286&lt;&gt;"",TEXT(AUX!IF$1,"dd-MMM-aa"),"")</f>
      </c>
      <c r="IC266" s="496" t="str">
        <f> IF(IC286&lt;&gt;"",TEXT(AUX!IG$1,"dd-MMM-aa"),"")</f>
      </c>
      <c r="ID266" s="496" t="str">
        <f> IF(ID286&lt;&gt;"",TEXT(AUX!IH$1,"dd-MMM-aa"),"")</f>
      </c>
      <c r="IE266" s="496" t="str">
        <f> IF(IE286&lt;&gt;"",TEXT(AUX!II$1,"dd-MMM-aa"),"")</f>
      </c>
      <c r="IF266" s="496" t="str">
        <f> IF(IF286&lt;&gt;"",TEXT(AUX!IJ$1,"dd-MMM-aa"),"")</f>
      </c>
      <c r="IG266" s="496" t="str">
        <f> IF(IG286&lt;&gt;"",TEXT(AUX!IK$1,"dd-MMM-aa"),"")</f>
      </c>
      <c r="IH266" s="496" t="str">
        <f> IF(IH286&lt;&gt;"",TEXT(AUX!IL$1,"dd-MMM-aa"),"")</f>
      </c>
      <c r="II266" s="496" t="str">
        <f> IF(II286&lt;&gt;"",TEXT(AUX!IM$1,"dd-MMM-aa"),"")</f>
      </c>
      <c r="IJ266" s="496" t="str">
        <f> IF(IJ286&lt;&gt;"",TEXT(AUX!IN$1,"dd-MMM-aa"),"")</f>
      </c>
      <c r="IK266" s="496" t="str">
        <f> IF(IK286&lt;&gt;"",TEXT(AUX!IO$1,"dd-MMM-aa"),"")</f>
      </c>
      <c r="IL266" s="496" t="str">
        <f> IF(IL286&lt;&gt;"",TEXT(AUX!IP$1,"dd-MMM-aa"),"")</f>
      </c>
      <c r="IM266" s="496" t="str">
        <f> IF(IM286&lt;&gt;"",TEXT(AUX!IQ$1,"dd-MMM-aa"),"")</f>
      </c>
      <c r="IN266" s="496" t="str">
        <f> IF(IN286&lt;&gt;"",TEXT(AUX!IR$1,"dd-MMM-aa"),"")</f>
      </c>
      <c r="IO266" s="496" t="str">
        <f> IF(IO286&lt;&gt;"",TEXT(AUX!IS$1,"dd-MMM-aa"),"")</f>
      </c>
      <c r="IP266" s="496" t="str">
        <f> IF(IP286&lt;&gt;"",TEXT(AUX!IT$1,"dd-MMM-aa"),"")</f>
      </c>
      <c r="IQ266" s="496" t="str">
        <f> IF(IQ286&lt;&gt;"",TEXT(AUX!IU$1,"dd-MMM-aa"),"")</f>
      </c>
      <c r="IR266" s="496" t="str">
        <f> IF(IR286&lt;&gt;"",TEXT(AUX!IV$1,"dd-MMM-aa"),"")</f>
      </c>
      <c r="IS266" s="496" t="str">
        <f> IF(IS286&lt;&gt;"",TEXT(AUX!#REF!,"dd-MMM-aa"),"")</f>
      </c>
      <c r="IT266" s="496" t="str">
        <f> IF(IT286&lt;&gt;"",TEXT(AUX!#REF!,"dd-MMM-aa"),"")</f>
      </c>
      <c r="IU266" s="496" t="str">
        <f> IF(IU286&lt;&gt;"",TEXT(AUX!#REF!,"dd-MMM-aa"),"")</f>
      </c>
      <c r="IV266" s="496" t="str">
        <f> IF(IV286&lt;&gt;"",TEXT(AUX!#REF!,"dd-MMM-aa"),"")</f>
      </c>
    </row>
    <row r="267" hidden="1" ht="12.75" customHeight="1">
      <c r="B267" s="833" t="s">
        <v>8</v>
      </c>
      <c r="C267" s="827">
        <v>8040</v>
      </c>
      <c r="D267" s="827">
        <v>7957</v>
      </c>
      <c r="E267" s="827">
        <v>7737</v>
      </c>
      <c r="F267" s="827">
        <v>7719</v>
      </c>
      <c r="G267" s="827">
        <v>7120</v>
      </c>
      <c r="H267" s="827">
        <v>7096</v>
      </c>
      <c r="I267" s="827">
        <v>6996</v>
      </c>
      <c r="J267" s="827">
        <v>7003</v>
      </c>
      <c r="K267" s="827">
        <v>6952</v>
      </c>
      <c r="L267" s="827">
        <v>6885</v>
      </c>
      <c r="M267" s="827">
        <v>6727</v>
      </c>
      <c r="N267" s="827">
        <v>6752</v>
      </c>
      <c r="O267" s="827">
        <v>6736</v>
      </c>
      <c r="P267" s="827">
        <v>6848</v>
      </c>
      <c r="Q267" s="827">
        <v>15003</v>
      </c>
      <c r="R267" s="827">
        <v>15331</v>
      </c>
      <c r="S267" s="827">
        <v>15780</v>
      </c>
      <c r="T267" s="827">
        <v>16087</v>
      </c>
      <c r="U267" s="827">
        <v>16364</v>
      </c>
      <c r="V267" s="827">
        <v>16610</v>
      </c>
      <c r="W267" s="827">
        <v>16764</v>
      </c>
      <c r="X267" s="827">
        <v>16842</v>
      </c>
      <c r="Y267" s="827">
        <v>16908</v>
      </c>
      <c r="Z267" s="827">
        <v>16850</v>
      </c>
      <c r="AA267" s="827">
        <v>16651</v>
      </c>
      <c r="AB267" s="834">
        <v>16565</v>
      </c>
      <c r="AC267" s="828">
        <v>16378</v>
      </c>
      <c r="AD267" s="828">
        <v>16411</v>
      </c>
      <c r="AE267" s="828">
        <v>16470</v>
      </c>
      <c r="AF267" s="828">
        <v>16402</v>
      </c>
      <c r="AG267" s="828">
        <v>16338</v>
      </c>
      <c r="AH267" s="828">
        <v>16252</v>
      </c>
      <c r="AI267" s="828">
        <v>16063</v>
      </c>
      <c r="AJ267" s="828">
        <v>15933</v>
      </c>
      <c r="AK267" s="828">
        <v>15842</v>
      </c>
      <c r="AL267" s="828">
        <v>15830</v>
      </c>
      <c r="AM267" s="828">
        <v>14566</v>
      </c>
      <c r="AN267" s="828">
        <v>14364</v>
      </c>
      <c r="AO267" s="828">
        <v>14275</v>
      </c>
      <c r="AP267" s="828">
        <v>14117</v>
      </c>
    </row>
    <row r="268" hidden="1" ht="12.75" customHeight="1">
      <c r="B268" s="829" t="s">
        <v>9</v>
      </c>
      <c r="C268" s="823">
        <v>52</v>
      </c>
      <c r="D268" s="823">
        <v>54</v>
      </c>
      <c r="E268" s="823">
        <v>60</v>
      </c>
      <c r="F268" s="823">
        <v>65</v>
      </c>
      <c r="G268" s="823">
        <v>84</v>
      </c>
      <c r="H268" s="823">
        <v>6269</v>
      </c>
      <c r="I268" s="823">
        <v>6141</v>
      </c>
      <c r="J268" s="823">
        <v>6089</v>
      </c>
      <c r="K268" s="823">
        <v>5620</v>
      </c>
      <c r="L268" s="823">
        <v>5591</v>
      </c>
      <c r="M268" s="823">
        <v>5502</v>
      </c>
      <c r="N268" s="823">
        <v>5443</v>
      </c>
      <c r="O268" s="823">
        <v>4839</v>
      </c>
      <c r="P268" s="823">
        <v>4805</v>
      </c>
      <c r="Q268" s="823">
        <v>4725</v>
      </c>
      <c r="R268" s="823">
        <v>4663</v>
      </c>
      <c r="S268" s="823">
        <v>4636</v>
      </c>
      <c r="T268" s="823">
        <v>4637</v>
      </c>
      <c r="U268" s="823">
        <v>4550</v>
      </c>
      <c r="V268" s="823">
        <v>4364</v>
      </c>
      <c r="W268" s="823">
        <v>4254</v>
      </c>
      <c r="X268" s="823">
        <v>4203</v>
      </c>
      <c r="Y268" s="823">
        <v>4136</v>
      </c>
      <c r="Z268" s="823">
        <v>4086</v>
      </c>
      <c r="AA268" s="823">
        <v>4055</v>
      </c>
      <c r="AB268" s="823">
        <v>4017</v>
      </c>
      <c r="AC268" s="825">
        <v>3985</v>
      </c>
      <c r="AD268" s="825">
        <v>3945</v>
      </c>
      <c r="AE268" s="825">
        <v>3950</v>
      </c>
      <c r="AF268" s="825">
        <v>3933</v>
      </c>
      <c r="AG268" s="825">
        <v>3926</v>
      </c>
      <c r="AH268" s="825">
        <v>3914</v>
      </c>
      <c r="AI268" s="825">
        <v>3932</v>
      </c>
      <c r="AJ268" s="825">
        <v>3935</v>
      </c>
      <c r="AK268" s="825">
        <v>3949</v>
      </c>
      <c r="AL268" s="825">
        <v>3984</v>
      </c>
      <c r="AM268" s="825">
        <v>3922</v>
      </c>
      <c r="AN268" s="825">
        <v>3860</v>
      </c>
      <c r="AO268" s="825">
        <v>3841</v>
      </c>
      <c r="AP268" s="825">
        <v>3818</v>
      </c>
    </row>
    <row r="269" hidden="1" ht="12.75" customHeight="1">
      <c r="B269" s="826" t="s">
        <v>10</v>
      </c>
      <c r="C269" s="827">
        <v>3149</v>
      </c>
      <c r="D269" s="827">
        <v>3153</v>
      </c>
      <c r="E269" s="827">
        <v>3201</v>
      </c>
      <c r="F269" s="827">
        <v>2551</v>
      </c>
      <c r="G269" s="827">
        <v>2475</v>
      </c>
      <c r="H269" s="827">
        <v>2575</v>
      </c>
      <c r="I269" s="827">
        <v>2666</v>
      </c>
      <c r="J269" s="827">
        <v>1948</v>
      </c>
      <c r="K269" s="827">
        <v>1979</v>
      </c>
      <c r="L269" s="827">
        <v>1899</v>
      </c>
      <c r="M269" s="827">
        <v>1877</v>
      </c>
      <c r="N269" s="827">
        <v>2060</v>
      </c>
      <c r="O269" s="827">
        <v>2052</v>
      </c>
      <c r="P269" s="827">
        <v>2182</v>
      </c>
      <c r="Q269" s="827">
        <v>2217</v>
      </c>
      <c r="R269" s="827">
        <v>2336</v>
      </c>
      <c r="S269" s="827">
        <v>2385</v>
      </c>
      <c r="T269" s="827">
        <v>2458</v>
      </c>
      <c r="U269" s="827">
        <v>2459</v>
      </c>
      <c r="V269" s="827">
        <v>2445</v>
      </c>
      <c r="W269" s="827">
        <v>2559</v>
      </c>
      <c r="X269" s="827">
        <v>2508</v>
      </c>
      <c r="Y269" s="827">
        <v>2628</v>
      </c>
      <c r="Z269" s="827">
        <v>2581</v>
      </c>
      <c r="AA269" s="827">
        <v>2689</v>
      </c>
      <c r="AB269" s="827">
        <v>2689</v>
      </c>
      <c r="AC269" s="828">
        <v>2777</v>
      </c>
      <c r="AD269" s="828">
        <v>2768</v>
      </c>
      <c r="AE269" s="828">
        <v>2884</v>
      </c>
      <c r="AF269" s="828">
        <v>2733</v>
      </c>
      <c r="AG269" s="828">
        <v>2878</v>
      </c>
      <c r="AH269" s="828">
        <v>2731</v>
      </c>
      <c r="AI269" s="828">
        <v>2882</v>
      </c>
      <c r="AJ269" s="828">
        <v>2829</v>
      </c>
      <c r="AK269" s="828">
        <v>3207</v>
      </c>
      <c r="AL269" s="828">
        <v>3093</v>
      </c>
      <c r="AM269" s="828">
        <v>3225</v>
      </c>
      <c r="AN269" s="828">
        <v>3138</v>
      </c>
      <c r="AO269" s="828">
        <v>3241</v>
      </c>
      <c r="AP269" s="828">
        <v>3202</v>
      </c>
    </row>
    <row r="270" hidden="1" ht="12.75" customHeight="1">
      <c r="B270" s="829" t="s">
        <v>11</v>
      </c>
      <c r="C270" s="823">
        <v>1658</v>
      </c>
      <c r="D270" s="823">
        <v>1577</v>
      </c>
      <c r="E270" s="823">
        <v>1586</v>
      </c>
      <c r="F270" s="823">
        <v>1550</v>
      </c>
      <c r="G270" s="823">
        <v>1486</v>
      </c>
      <c r="H270" s="823">
        <v>1427</v>
      </c>
      <c r="I270" s="823">
        <v>1404</v>
      </c>
      <c r="J270" s="823">
        <v>1377</v>
      </c>
      <c r="K270" s="823">
        <v>1375</v>
      </c>
      <c r="L270" s="823">
        <v>1373</v>
      </c>
      <c r="M270" s="823">
        <v>1429</v>
      </c>
      <c r="N270" s="823">
        <v>1457</v>
      </c>
      <c r="O270" s="823">
        <v>1484</v>
      </c>
      <c r="P270" s="823">
        <v>1512</v>
      </c>
      <c r="Q270" s="823">
        <v>1528</v>
      </c>
      <c r="R270" s="823">
        <v>1540</v>
      </c>
      <c r="S270" s="823">
        <v>1563</v>
      </c>
      <c r="T270" s="823">
        <v>1591</v>
      </c>
      <c r="U270" s="823">
        <v>1517</v>
      </c>
      <c r="V270" s="823">
        <v>1555</v>
      </c>
      <c r="W270" s="823">
        <v>1518</v>
      </c>
      <c r="X270" s="823">
        <v>1545</v>
      </c>
      <c r="Y270" s="823">
        <v>1504</v>
      </c>
      <c r="Z270" s="823">
        <v>1540</v>
      </c>
      <c r="AA270" s="823">
        <v>1472</v>
      </c>
      <c r="AB270" s="823">
        <v>1503</v>
      </c>
      <c r="AC270" s="825">
        <v>1548</v>
      </c>
      <c r="AD270" s="825">
        <v>1565</v>
      </c>
      <c r="AE270" s="825">
        <v>1587</v>
      </c>
      <c r="AF270" s="825">
        <v>1635</v>
      </c>
      <c r="AG270" s="825">
        <v>1487</v>
      </c>
      <c r="AH270" s="825">
        <v>1549</v>
      </c>
      <c r="AI270" s="825">
        <v>1600</v>
      </c>
      <c r="AJ270" s="825">
        <v>1648</v>
      </c>
      <c r="AK270" s="825">
        <v>1711</v>
      </c>
      <c r="AL270" s="825">
        <v>1768</v>
      </c>
      <c r="AM270" s="825">
        <v>1671</v>
      </c>
      <c r="AN270" s="825">
        <v>1660</v>
      </c>
      <c r="AO270" s="825">
        <v>1655</v>
      </c>
      <c r="AP270" s="825">
        <v>1638</v>
      </c>
    </row>
    <row r="271" hidden="1" ht="12.75" customHeight="1">
      <c r="B271" s="826" t="s">
        <v>12</v>
      </c>
      <c r="C271" s="827">
        <v>3107</v>
      </c>
      <c r="D271" s="827">
        <v>3221</v>
      </c>
      <c r="E271" s="827">
        <v>3434</v>
      </c>
      <c r="F271" s="827">
        <v>3512</v>
      </c>
      <c r="G271" s="827">
        <v>3585</v>
      </c>
      <c r="H271" s="827">
        <v>3696</v>
      </c>
      <c r="I271" s="827">
        <v>3814</v>
      </c>
      <c r="J271" s="827">
        <v>2984</v>
      </c>
      <c r="K271" s="827">
        <v>2887</v>
      </c>
      <c r="L271" s="827">
        <v>2864</v>
      </c>
      <c r="M271" s="827">
        <v>2773</v>
      </c>
      <c r="N271" s="827">
        <v>2777</v>
      </c>
      <c r="O271" s="827">
        <v>2664</v>
      </c>
      <c r="P271" s="827">
        <v>2623</v>
      </c>
      <c r="Q271" s="827">
        <v>2552</v>
      </c>
      <c r="R271" s="827">
        <v>2558</v>
      </c>
      <c r="S271" s="827">
        <v>2420</v>
      </c>
      <c r="T271" s="827">
        <v>2346</v>
      </c>
      <c r="U271" s="827">
        <v>2158</v>
      </c>
      <c r="V271" s="827">
        <v>2115</v>
      </c>
      <c r="W271" s="827">
        <v>1994</v>
      </c>
      <c r="X271" s="827">
        <v>2015</v>
      </c>
      <c r="Y271" s="827">
        <v>1879</v>
      </c>
      <c r="Z271" s="827">
        <v>1831</v>
      </c>
      <c r="AA271" s="827">
        <v>1712</v>
      </c>
      <c r="AB271" s="827">
        <v>1712</v>
      </c>
      <c r="AC271" s="828">
        <v>1655</v>
      </c>
      <c r="AD271" s="828">
        <v>1632</v>
      </c>
      <c r="AE271" s="828">
        <v>1524</v>
      </c>
      <c r="AF271" s="828">
        <v>1504</v>
      </c>
      <c r="AG271" s="828">
        <v>1464</v>
      </c>
      <c r="AH271" s="828">
        <v>1442</v>
      </c>
      <c r="AI271" s="828">
        <v>1437</v>
      </c>
      <c r="AJ271" s="828">
        <v>1431</v>
      </c>
      <c r="AK271" s="828">
        <v>1404</v>
      </c>
      <c r="AL271" s="828">
        <v>1427</v>
      </c>
      <c r="AM271" s="828">
        <v>1373</v>
      </c>
      <c r="AN271" s="828">
        <v>1352</v>
      </c>
      <c r="AO271" s="828">
        <v>1334</v>
      </c>
      <c r="AP271" s="828">
        <v>1313</v>
      </c>
    </row>
    <row r="272" hidden="1" ht="12.75" customHeight="1">
      <c r="B272" s="829" t="s">
        <v>13</v>
      </c>
      <c r="C272" s="823">
        <v>1814</v>
      </c>
      <c r="D272" s="823">
        <v>1388</v>
      </c>
      <c r="E272" s="823">
        <v>1491</v>
      </c>
      <c r="F272" s="823">
        <v>1554</v>
      </c>
      <c r="G272" s="823">
        <v>1997</v>
      </c>
      <c r="H272" s="823">
        <v>2187</v>
      </c>
      <c r="I272" s="823">
        <v>2343</v>
      </c>
      <c r="J272" s="823">
        <v>2452</v>
      </c>
      <c r="K272" s="823">
        <v>2605</v>
      </c>
      <c r="L272" s="823">
        <v>2311</v>
      </c>
      <c r="M272" s="823">
        <v>2597</v>
      </c>
      <c r="N272" s="823">
        <v>2167</v>
      </c>
      <c r="O272" s="823">
        <v>2157</v>
      </c>
      <c r="P272" s="823">
        <v>2132</v>
      </c>
      <c r="Q272" s="823">
        <v>2204</v>
      </c>
      <c r="R272" s="823">
        <v>2142</v>
      </c>
      <c r="S272" s="823">
        <v>2265</v>
      </c>
      <c r="T272" s="823">
        <v>2381</v>
      </c>
      <c r="U272" s="823">
        <v>2503</v>
      </c>
      <c r="V272" s="823">
        <v>2573</v>
      </c>
      <c r="W272" s="823">
        <v>2342</v>
      </c>
      <c r="X272" s="823">
        <v>2375</v>
      </c>
      <c r="Y272" s="823">
        <v>2064</v>
      </c>
      <c r="Z272" s="823">
        <v>1924</v>
      </c>
      <c r="AA272" s="823">
        <v>2033</v>
      </c>
      <c r="AB272" s="823">
        <v>1939</v>
      </c>
      <c r="AC272" s="825">
        <v>2023</v>
      </c>
      <c r="AD272" s="825">
        <v>1904</v>
      </c>
      <c r="AE272" s="825">
        <v>1966</v>
      </c>
      <c r="AF272" s="825">
        <v>1829</v>
      </c>
      <c r="AG272" s="825">
        <v>1969</v>
      </c>
      <c r="AH272" s="825">
        <v>1874</v>
      </c>
      <c r="AI272" s="825">
        <v>1991</v>
      </c>
      <c r="AJ272" s="825">
        <v>1897</v>
      </c>
      <c r="AK272" s="825">
        <v>2028</v>
      </c>
      <c r="AL272" s="825">
        <v>1929</v>
      </c>
      <c r="AM272" s="825">
        <v>1903</v>
      </c>
      <c r="AN272" s="825">
        <v>1885</v>
      </c>
      <c r="AO272" s="825">
        <v>1921</v>
      </c>
      <c r="AP272" s="825">
        <v>2005</v>
      </c>
    </row>
    <row r="273" hidden="1" ht="12.75" customHeight="1">
      <c r="B273" s="826" t="s">
        <v>109</v>
      </c>
      <c r="C273" s="827">
        <v>6093</v>
      </c>
      <c r="D273" s="827">
        <v>5749</v>
      </c>
      <c r="E273" s="827">
        <v>4972</v>
      </c>
      <c r="F273" s="827">
        <v>4891</v>
      </c>
      <c r="G273" s="827">
        <v>4568</v>
      </c>
      <c r="H273" s="827">
        <v>4503</v>
      </c>
      <c r="I273" s="827">
        <v>4351</v>
      </c>
      <c r="J273" s="827">
        <v>4181</v>
      </c>
      <c r="K273" s="827">
        <v>4094</v>
      </c>
      <c r="L273" s="827">
        <v>4035</v>
      </c>
      <c r="M273" s="827">
        <v>3967</v>
      </c>
      <c r="N273" s="827">
        <v>3931</v>
      </c>
      <c r="O273" s="827">
        <v>3845</v>
      </c>
      <c r="P273" s="827">
        <v>3864</v>
      </c>
      <c r="Q273" s="827">
        <v>3845</v>
      </c>
      <c r="R273" s="827">
        <v>3816</v>
      </c>
      <c r="S273" s="827">
        <v>3668</v>
      </c>
      <c r="T273" s="827">
        <v>3778</v>
      </c>
      <c r="U273" s="827">
        <v>3823</v>
      </c>
      <c r="V273" s="827">
        <v>3861</v>
      </c>
      <c r="W273" s="827">
        <v>3824</v>
      </c>
      <c r="X273" s="827">
        <v>3733</v>
      </c>
      <c r="Y273" s="827">
        <v>3712</v>
      </c>
      <c r="Z273" s="827">
        <v>3619</v>
      </c>
      <c r="AA273" s="827">
        <v>3414</v>
      </c>
      <c r="AB273" s="827">
        <v>3391</v>
      </c>
      <c r="AC273" s="828">
        <v>3297</v>
      </c>
      <c r="AD273" s="828">
        <v>3294</v>
      </c>
      <c r="AE273" s="828">
        <v>3119</v>
      </c>
      <c r="AF273" s="828">
        <v>3081</v>
      </c>
      <c r="AG273" s="828">
        <v>3022</v>
      </c>
      <c r="AH273" s="828">
        <v>3033</v>
      </c>
      <c r="AI273" s="828">
        <v>3029</v>
      </c>
      <c r="AJ273" s="828">
        <v>2895</v>
      </c>
      <c r="AK273" s="828">
        <v>2790</v>
      </c>
      <c r="AL273" s="828">
        <v>2777</v>
      </c>
      <c r="AM273" s="828">
        <v>2567</v>
      </c>
      <c r="AN273" s="828">
        <v>2558</v>
      </c>
      <c r="AO273" s="828">
        <v>2513</v>
      </c>
      <c r="AP273" s="828">
        <v>2521</v>
      </c>
    </row>
    <row r="274" hidden="1" ht="12.75" customHeight="1">
      <c r="B274" s="829" t="s">
        <v>110</v>
      </c>
      <c r="C274" s="823">
        <v>1182</v>
      </c>
      <c r="D274" s="823">
        <v>1219</v>
      </c>
      <c r="E274" s="823">
        <v>1978</v>
      </c>
      <c r="F274" s="823">
        <v>2112</v>
      </c>
      <c r="G274" s="823">
        <v>2287</v>
      </c>
      <c r="H274" s="823">
        <v>2330</v>
      </c>
      <c r="I274" s="823">
        <v>2378</v>
      </c>
      <c r="J274" s="823">
        <v>2445</v>
      </c>
      <c r="K274" s="823">
        <v>2515</v>
      </c>
      <c r="L274" s="823">
        <v>2537</v>
      </c>
      <c r="M274" s="823">
        <v>2598</v>
      </c>
      <c r="N274" s="823">
        <v>2555</v>
      </c>
      <c r="O274" s="823">
        <v>2582</v>
      </c>
      <c r="P274" s="823">
        <v>2412</v>
      </c>
      <c r="Q274" s="823">
        <v>2550</v>
      </c>
      <c r="R274" s="823">
        <v>2578</v>
      </c>
      <c r="S274" s="823">
        <v>2696</v>
      </c>
      <c r="T274" s="823">
        <v>2707</v>
      </c>
      <c r="U274" s="823">
        <v>2765</v>
      </c>
      <c r="V274" s="823">
        <v>2821</v>
      </c>
      <c r="W274" s="823">
        <v>2872</v>
      </c>
      <c r="X274" s="823">
        <v>2940</v>
      </c>
      <c r="Y274" s="823">
        <v>2964</v>
      </c>
      <c r="Z274" s="823">
        <v>2921</v>
      </c>
      <c r="AA274" s="823">
        <v>2901</v>
      </c>
      <c r="AB274" s="823">
        <v>2962</v>
      </c>
      <c r="AC274" s="825">
        <v>2991</v>
      </c>
      <c r="AD274" s="825">
        <v>3048</v>
      </c>
      <c r="AE274" s="825">
        <v>3055</v>
      </c>
      <c r="AF274" s="825">
        <v>2989</v>
      </c>
      <c r="AG274" s="825">
        <v>3068</v>
      </c>
      <c r="AH274" s="825">
        <v>3044</v>
      </c>
      <c r="AI274" s="825">
        <v>3065</v>
      </c>
      <c r="AJ274" s="825">
        <v>3118</v>
      </c>
      <c r="AK274" s="825">
        <v>3216</v>
      </c>
      <c r="AL274" s="825">
        <v>3197</v>
      </c>
      <c r="AM274" s="825">
        <v>3187</v>
      </c>
      <c r="AN274" s="825">
        <v>3214</v>
      </c>
      <c r="AO274" s="825">
        <v>3216</v>
      </c>
      <c r="AP274" s="825">
        <v>3255</v>
      </c>
    </row>
    <row r="275" hidden="1" ht="12.75" customHeight="1">
      <c r="B275" s="826" t="s">
        <v>16</v>
      </c>
      <c r="C275" s="827">
        <v>2704</v>
      </c>
      <c r="D275" s="827">
        <v>2739</v>
      </c>
      <c r="E275" s="827">
        <v>2735</v>
      </c>
      <c r="F275" s="827">
        <v>2742</v>
      </c>
      <c r="G275" s="827">
        <v>2761</v>
      </c>
      <c r="H275" s="827">
        <v>2775</v>
      </c>
      <c r="I275" s="827">
        <v>2787</v>
      </c>
      <c r="J275" s="827">
        <v>2811</v>
      </c>
      <c r="K275" s="827">
        <v>2840</v>
      </c>
      <c r="L275" s="827">
        <v>2873</v>
      </c>
      <c r="M275" s="827">
        <v>2887</v>
      </c>
      <c r="N275" s="827">
        <v>2878</v>
      </c>
      <c r="O275" s="827">
        <v>2905</v>
      </c>
      <c r="P275" s="827">
        <v>2913</v>
      </c>
      <c r="Q275" s="827">
        <v>2952</v>
      </c>
      <c r="R275" s="827">
        <v>2975</v>
      </c>
      <c r="S275" s="827">
        <v>2955</v>
      </c>
      <c r="T275" s="827">
        <v>2967</v>
      </c>
      <c r="U275" s="827">
        <v>2952</v>
      </c>
      <c r="V275" s="827">
        <v>2974</v>
      </c>
      <c r="W275" s="827">
        <v>2986</v>
      </c>
      <c r="X275" s="827">
        <v>3002</v>
      </c>
      <c r="Y275" s="827">
        <v>3042</v>
      </c>
      <c r="Z275" s="827">
        <v>3039</v>
      </c>
      <c r="AA275" s="827">
        <v>3029</v>
      </c>
      <c r="AB275" s="827">
        <v>3015</v>
      </c>
      <c r="AC275" s="828">
        <v>2974</v>
      </c>
      <c r="AD275" s="828">
        <v>2983</v>
      </c>
      <c r="AE275" s="828">
        <v>2969</v>
      </c>
      <c r="AF275" s="828">
        <v>3034</v>
      </c>
      <c r="AG275" s="828">
        <v>3058</v>
      </c>
      <c r="AH275" s="828">
        <v>3097</v>
      </c>
      <c r="AI275" s="828">
        <v>3100</v>
      </c>
      <c r="AJ275" s="828">
        <v>3163</v>
      </c>
      <c r="AK275" s="828">
        <v>3220</v>
      </c>
      <c r="AL275" s="828">
        <v>3180</v>
      </c>
      <c r="AM275" s="828">
        <v>3210</v>
      </c>
      <c r="AN275" s="828">
        <v>3312</v>
      </c>
      <c r="AO275" s="828">
        <v>3387</v>
      </c>
      <c r="AP275" s="828">
        <v>3453</v>
      </c>
    </row>
    <row r="276" hidden="1" ht="12.75" customHeight="1">
      <c r="B276" s="829" t="s">
        <v>17</v>
      </c>
      <c r="C276" s="823">
        <v>8630</v>
      </c>
      <c r="D276" s="823">
        <v>8548</v>
      </c>
      <c r="E276" s="823">
        <v>8676</v>
      </c>
      <c r="F276" s="823">
        <v>8816</v>
      </c>
      <c r="G276" s="823">
        <v>5679</v>
      </c>
      <c r="H276" s="823">
        <v>5892</v>
      </c>
      <c r="I276" s="823">
        <v>6086</v>
      </c>
      <c r="J276" s="823">
        <v>6287</v>
      </c>
      <c r="K276" s="823">
        <v>6493</v>
      </c>
      <c r="L276" s="823">
        <v>6680</v>
      </c>
      <c r="M276" s="823">
        <v>6845</v>
      </c>
      <c r="N276" s="823">
        <v>6985</v>
      </c>
      <c r="O276" s="823">
        <v>7265</v>
      </c>
      <c r="P276" s="823">
        <v>7565</v>
      </c>
      <c r="Q276" s="823">
        <v>7303</v>
      </c>
      <c r="R276" s="823">
        <v>7568</v>
      </c>
      <c r="S276" s="823">
        <v>7220</v>
      </c>
      <c r="T276" s="823">
        <v>7514</v>
      </c>
      <c r="U276" s="823">
        <v>7669</v>
      </c>
      <c r="V276" s="823">
        <v>7933</v>
      </c>
      <c r="W276" s="823">
        <v>7544</v>
      </c>
      <c r="X276" s="823">
        <v>7633</v>
      </c>
      <c r="Y276" s="823">
        <v>7888</v>
      </c>
      <c r="Z276" s="823">
        <v>8060</v>
      </c>
      <c r="AA276" s="823">
        <v>8243</v>
      </c>
      <c r="AB276" s="823">
        <v>7855</v>
      </c>
      <c r="AC276" s="825">
        <v>8007</v>
      </c>
      <c r="AD276" s="825">
        <v>8090</v>
      </c>
      <c r="AE276" s="825">
        <v>8260</v>
      </c>
      <c r="AF276" s="825">
        <v>8377</v>
      </c>
      <c r="AG276" s="825">
        <v>8514</v>
      </c>
      <c r="AH276" s="825">
        <v>8587</v>
      </c>
      <c r="AI276" s="825">
        <v>8692</v>
      </c>
      <c r="AJ276" s="825">
        <v>8783</v>
      </c>
      <c r="AK276" s="825">
        <v>8901</v>
      </c>
      <c r="AL276" s="825">
        <v>8962</v>
      </c>
      <c r="AM276" s="825">
        <v>9111</v>
      </c>
      <c r="AN276" s="825">
        <v>9235</v>
      </c>
      <c r="AO276" s="825">
        <v>9460</v>
      </c>
      <c r="AP276" s="825">
        <v>9621</v>
      </c>
    </row>
    <row r="277" hidden="1" ht="12.75" customHeight="1">
      <c r="B277" s="826" t="s">
        <v>18</v>
      </c>
      <c r="C277" s="827">
        <v>29904</v>
      </c>
      <c r="D277" s="827">
        <v>28860</v>
      </c>
      <c r="E277" s="827">
        <v>29312</v>
      </c>
      <c r="F277" s="827">
        <v>29901</v>
      </c>
      <c r="G277" s="827">
        <v>27597</v>
      </c>
      <c r="H277" s="827">
        <v>28224</v>
      </c>
      <c r="I277" s="827">
        <v>26597</v>
      </c>
      <c r="J277" s="827">
        <v>26427</v>
      </c>
      <c r="K277" s="827">
        <v>25912</v>
      </c>
      <c r="L277" s="827">
        <v>25078</v>
      </c>
      <c r="M277" s="827">
        <v>24672</v>
      </c>
      <c r="N277" s="827">
        <v>24453</v>
      </c>
      <c r="O277" s="827">
        <v>24337</v>
      </c>
      <c r="P277" s="827">
        <v>23848</v>
      </c>
      <c r="Q277" s="827">
        <v>23781</v>
      </c>
      <c r="R277" s="827">
        <v>23618</v>
      </c>
      <c r="S277" s="827">
        <v>23703</v>
      </c>
      <c r="T277" s="827">
        <v>23440</v>
      </c>
      <c r="U277" s="827">
        <v>23561</v>
      </c>
      <c r="V277" s="827">
        <v>23231</v>
      </c>
      <c r="W277" s="827">
        <v>22527</v>
      </c>
      <c r="X277" s="827">
        <v>22429</v>
      </c>
      <c r="Y277" s="827">
        <v>22520</v>
      </c>
      <c r="Z277" s="827">
        <v>22599</v>
      </c>
      <c r="AA277" s="827">
        <v>21819</v>
      </c>
      <c r="AB277" s="827">
        <v>21767</v>
      </c>
      <c r="AC277" s="828">
        <v>21666</v>
      </c>
      <c r="AD277" s="828">
        <v>21597</v>
      </c>
      <c r="AE277" s="828">
        <v>21741</v>
      </c>
      <c r="AF277" s="828">
        <v>21600</v>
      </c>
      <c r="AG277" s="828">
        <v>20795</v>
      </c>
      <c r="AH277" s="828">
        <v>20475</v>
      </c>
      <c r="AI277" s="828">
        <v>18519</v>
      </c>
      <c r="AJ277" s="828">
        <v>18060</v>
      </c>
      <c r="AK277" s="828">
        <v>17279</v>
      </c>
      <c r="AL277" s="828">
        <v>17116</v>
      </c>
      <c r="AM277" s="828">
        <v>17121</v>
      </c>
      <c r="AN277" s="828">
        <v>17144</v>
      </c>
      <c r="AO277" s="828">
        <v>16770</v>
      </c>
      <c r="AP277" s="828">
        <v>16527</v>
      </c>
    </row>
    <row r="278" hidden="1" ht="12.75" customHeight="1">
      <c r="B278" s="829" t="s">
        <v>19</v>
      </c>
      <c r="C278" s="823">
        <v>354</v>
      </c>
      <c r="D278" s="823">
        <v>352</v>
      </c>
      <c r="E278" s="823">
        <v>353</v>
      </c>
      <c r="F278" s="823">
        <v>361</v>
      </c>
      <c r="G278" s="823">
        <v>371</v>
      </c>
      <c r="H278" s="823">
        <v>378</v>
      </c>
      <c r="I278" s="823">
        <v>392</v>
      </c>
      <c r="J278" s="823">
        <v>413</v>
      </c>
      <c r="K278" s="823">
        <v>410</v>
      </c>
      <c r="L278" s="823">
        <v>421</v>
      </c>
      <c r="M278" s="823">
        <v>403</v>
      </c>
      <c r="N278" s="823">
        <v>420</v>
      </c>
      <c r="O278" s="823">
        <v>442</v>
      </c>
      <c r="P278" s="823">
        <v>460</v>
      </c>
      <c r="Q278" s="823">
        <v>393</v>
      </c>
      <c r="R278" s="823">
        <v>415</v>
      </c>
      <c r="S278" s="823">
        <v>434</v>
      </c>
      <c r="T278" s="823">
        <v>446</v>
      </c>
      <c r="U278" s="823">
        <v>450</v>
      </c>
      <c r="V278" s="823">
        <v>474</v>
      </c>
      <c r="W278" s="823">
        <v>466</v>
      </c>
      <c r="X278" s="823">
        <v>478</v>
      </c>
      <c r="Y278" s="823">
        <v>477</v>
      </c>
      <c r="Z278" s="823">
        <v>483</v>
      </c>
      <c r="AA278" s="823">
        <v>476</v>
      </c>
      <c r="AB278" s="823">
        <v>483</v>
      </c>
      <c r="AC278" s="825">
        <v>492</v>
      </c>
      <c r="AD278" s="825">
        <v>500</v>
      </c>
      <c r="AE278" s="825">
        <v>480</v>
      </c>
      <c r="AF278" s="825">
        <v>483</v>
      </c>
      <c r="AG278" s="825">
        <v>484</v>
      </c>
      <c r="AH278" s="825">
        <v>489</v>
      </c>
      <c r="AI278" s="825">
        <v>493</v>
      </c>
      <c r="AJ278" s="825">
        <v>357</v>
      </c>
      <c r="AK278" s="825">
        <v>382</v>
      </c>
      <c r="AL278" s="825">
        <v>512</v>
      </c>
      <c r="AM278" s="825">
        <v>539</v>
      </c>
      <c r="AN278" s="825">
        <v>561</v>
      </c>
      <c r="AO278" s="825">
        <v>575</v>
      </c>
      <c r="AP278" s="825">
        <v>602</v>
      </c>
    </row>
    <row r="279" hidden="1" ht="12.75" customHeight="1">
      <c r="B279" s="826" t="s">
        <v>20</v>
      </c>
      <c r="C279" s="827">
        <v>2863</v>
      </c>
      <c r="D279" s="827">
        <v>2889</v>
      </c>
      <c r="E279" s="827">
        <v>2947</v>
      </c>
      <c r="F279" s="827">
        <v>2958</v>
      </c>
      <c r="G279" s="827">
        <v>2640</v>
      </c>
      <c r="H279" s="827">
        <v>2670</v>
      </c>
      <c r="I279" s="827">
        <v>2654</v>
      </c>
      <c r="J279" s="827">
        <v>2706</v>
      </c>
      <c r="K279" s="827">
        <v>2562</v>
      </c>
      <c r="L279" s="827">
        <v>2581</v>
      </c>
      <c r="M279" s="827">
        <v>2299</v>
      </c>
      <c r="N279" s="827">
        <v>2278</v>
      </c>
      <c r="O279" s="827">
        <v>2346</v>
      </c>
      <c r="P279" s="827">
        <v>2371</v>
      </c>
      <c r="Q279" s="827">
        <v>2409</v>
      </c>
      <c r="R279" s="827">
        <v>2443</v>
      </c>
      <c r="S279" s="827">
        <v>2144</v>
      </c>
      <c r="T279" s="827">
        <v>2186</v>
      </c>
      <c r="U279" s="827">
        <v>2179</v>
      </c>
      <c r="V279" s="827">
        <v>2228</v>
      </c>
      <c r="W279" s="827">
        <v>2097</v>
      </c>
      <c r="X279" s="827">
        <v>2115</v>
      </c>
      <c r="Y279" s="827">
        <v>2131</v>
      </c>
      <c r="Z279" s="827">
        <v>2152</v>
      </c>
      <c r="AA279" s="827">
        <v>2186</v>
      </c>
      <c r="AB279" s="827">
        <v>2203</v>
      </c>
      <c r="AC279" s="828">
        <v>2211</v>
      </c>
      <c r="AD279" s="828">
        <v>2241</v>
      </c>
      <c r="AE279" s="828">
        <v>2274</v>
      </c>
      <c r="AF279" s="828">
        <v>2293</v>
      </c>
      <c r="AG279" s="828">
        <v>1854</v>
      </c>
      <c r="AH279" s="828">
        <v>1838</v>
      </c>
      <c r="AI279" s="828">
        <v>1833</v>
      </c>
      <c r="AJ279" s="828">
        <v>1816</v>
      </c>
      <c r="AK279" s="828">
        <v>1810</v>
      </c>
      <c r="AL279" s="828">
        <v>1786</v>
      </c>
      <c r="AM279" s="828">
        <v>1748</v>
      </c>
      <c r="AN279" s="828">
        <v>1752</v>
      </c>
      <c r="AO279" s="828">
        <v>1745</v>
      </c>
      <c r="AP279" s="828">
        <v>1721</v>
      </c>
    </row>
    <row r="280" hidden="1" ht="12.75" customHeight="1">
      <c r="B280" s="829" t="s">
        <v>21</v>
      </c>
      <c r="C280" s="823">
        <v>694</v>
      </c>
      <c r="D280" s="823">
        <v>591</v>
      </c>
      <c r="E280" s="823">
        <v>568</v>
      </c>
      <c r="F280" s="823">
        <v>588</v>
      </c>
      <c r="G280" s="823">
        <v>534</v>
      </c>
      <c r="H280" s="823">
        <v>549</v>
      </c>
      <c r="I280" s="823">
        <v>552</v>
      </c>
      <c r="J280" s="823">
        <v>588</v>
      </c>
      <c r="K280" s="823">
        <v>615</v>
      </c>
      <c r="L280" s="823">
        <v>629</v>
      </c>
      <c r="M280" s="823">
        <v>657</v>
      </c>
      <c r="N280" s="823">
        <v>646</v>
      </c>
      <c r="O280" s="823">
        <v>696</v>
      </c>
      <c r="P280" s="823">
        <v>701</v>
      </c>
      <c r="Q280" s="823">
        <v>716</v>
      </c>
      <c r="R280" s="823">
        <v>732</v>
      </c>
      <c r="S280" s="823">
        <v>746</v>
      </c>
      <c r="T280" s="823">
        <v>769</v>
      </c>
      <c r="U280" s="823">
        <v>779</v>
      </c>
      <c r="V280" s="823">
        <v>779</v>
      </c>
      <c r="W280" s="823">
        <v>714</v>
      </c>
      <c r="X280" s="823">
        <v>737</v>
      </c>
      <c r="Y280" s="823">
        <v>740</v>
      </c>
      <c r="Z280" s="823">
        <v>721</v>
      </c>
      <c r="AA280" s="823">
        <v>675</v>
      </c>
      <c r="AB280" s="823">
        <v>703</v>
      </c>
      <c r="AC280" s="825">
        <v>699</v>
      </c>
      <c r="AD280" s="825">
        <v>728</v>
      </c>
      <c r="AE280" s="825">
        <v>798</v>
      </c>
      <c r="AF280" s="825">
        <v>830</v>
      </c>
      <c r="AG280" s="825">
        <v>851</v>
      </c>
      <c r="AH280" s="825">
        <v>855</v>
      </c>
      <c r="AI280" s="825">
        <v>868</v>
      </c>
      <c r="AJ280" s="825">
        <v>878</v>
      </c>
      <c r="AK280" s="825">
        <v>849</v>
      </c>
      <c r="AL280" s="825">
        <v>868</v>
      </c>
      <c r="AM280" s="825">
        <v>874</v>
      </c>
      <c r="AN280" s="825">
        <v>897</v>
      </c>
      <c r="AO280" s="825">
        <v>924</v>
      </c>
      <c r="AP280" s="825">
        <v>953</v>
      </c>
    </row>
    <row r="281" hidden="1" ht="12.75" customHeight="1">
      <c r="B281" s="826" t="s">
        <v>22</v>
      </c>
      <c r="C281" s="827">
        <v>2350</v>
      </c>
      <c r="D281" s="827">
        <v>2501</v>
      </c>
      <c r="E281" s="827">
        <v>2674</v>
      </c>
      <c r="F281" s="827">
        <v>2782</v>
      </c>
      <c r="G281" s="827">
        <v>2952</v>
      </c>
      <c r="H281" s="827">
        <v>3109</v>
      </c>
      <c r="I281" s="827">
        <v>3130</v>
      </c>
      <c r="J281" s="827">
        <v>3240</v>
      </c>
      <c r="K281" s="827">
        <v>3237</v>
      </c>
      <c r="L281" s="827">
        <v>3323</v>
      </c>
      <c r="M281" s="827">
        <v>2770</v>
      </c>
      <c r="N281" s="827">
        <v>2881</v>
      </c>
      <c r="O281" s="827">
        <v>3156</v>
      </c>
      <c r="P281" s="827">
        <v>3288</v>
      </c>
      <c r="Q281" s="827">
        <v>3204</v>
      </c>
      <c r="R281" s="827">
        <v>3310</v>
      </c>
      <c r="S281" s="827">
        <v>3393</v>
      </c>
      <c r="T281" s="827">
        <v>3475</v>
      </c>
      <c r="U281" s="827">
        <v>3088</v>
      </c>
      <c r="V281" s="827">
        <v>3242</v>
      </c>
      <c r="W281" s="827">
        <v>3115</v>
      </c>
      <c r="X281" s="827">
        <v>3125</v>
      </c>
      <c r="Y281" s="827">
        <v>3101</v>
      </c>
      <c r="Z281" s="827">
        <v>3233</v>
      </c>
      <c r="AA281" s="827">
        <v>3190</v>
      </c>
      <c r="AB281" s="827">
        <v>3251</v>
      </c>
      <c r="AC281" s="828">
        <v>3189</v>
      </c>
      <c r="AD281" s="828">
        <v>3204</v>
      </c>
      <c r="AE281" s="828">
        <v>3251</v>
      </c>
      <c r="AF281" s="828">
        <v>3393</v>
      </c>
      <c r="AG281" s="828">
        <v>3606</v>
      </c>
      <c r="AH281" s="828">
        <v>3644</v>
      </c>
      <c r="AI281" s="828">
        <v>3641</v>
      </c>
      <c r="AJ281" s="828">
        <v>3621</v>
      </c>
      <c r="AK281" s="828">
        <v>3515</v>
      </c>
      <c r="AL281" s="828">
        <v>3534</v>
      </c>
      <c r="AM281" s="828">
        <v>3538</v>
      </c>
      <c r="AN281" s="828">
        <v>3707</v>
      </c>
      <c r="AO281" s="828">
        <v>3782</v>
      </c>
      <c r="AP281" s="828">
        <v>3893</v>
      </c>
    </row>
    <row r="282" hidden="1" ht="12.75" customHeight="1">
      <c r="B282" s="829" t="s">
        <v>23</v>
      </c>
      <c r="C282" s="823">
        <v>288</v>
      </c>
      <c r="D282" s="823">
        <v>294</v>
      </c>
      <c r="E282" s="823">
        <v>291</v>
      </c>
      <c r="F282" s="823">
        <v>275</v>
      </c>
      <c r="G282" s="823">
        <v>282</v>
      </c>
      <c r="H282" s="823">
        <v>292</v>
      </c>
      <c r="I282" s="823">
        <v>288</v>
      </c>
      <c r="J282" s="823">
        <v>270</v>
      </c>
      <c r="K282" s="823">
        <v>273</v>
      </c>
      <c r="L282" s="823">
        <v>278</v>
      </c>
      <c r="M282" s="823">
        <v>288</v>
      </c>
      <c r="N282" s="823">
        <v>296</v>
      </c>
      <c r="O282" s="823">
        <v>299</v>
      </c>
      <c r="P282" s="823">
        <v>303</v>
      </c>
      <c r="Q282" s="823">
        <v>287</v>
      </c>
      <c r="R282" s="823">
        <v>300</v>
      </c>
      <c r="S282" s="823">
        <v>311</v>
      </c>
      <c r="T282" s="823">
        <v>289</v>
      </c>
      <c r="U282" s="823">
        <v>301</v>
      </c>
      <c r="V282" s="823">
        <v>291</v>
      </c>
      <c r="W282" s="823">
        <v>301</v>
      </c>
      <c r="X282" s="823">
        <v>286</v>
      </c>
      <c r="Y282" s="823">
        <v>292</v>
      </c>
      <c r="Z282" s="823">
        <v>275</v>
      </c>
      <c r="AA282" s="823">
        <v>277</v>
      </c>
      <c r="AB282" s="823">
        <v>266</v>
      </c>
      <c r="AC282" s="825">
        <v>277</v>
      </c>
      <c r="AD282" s="825">
        <v>272</v>
      </c>
      <c r="AE282" s="825">
        <v>271</v>
      </c>
      <c r="AF282" s="825">
        <v>257</v>
      </c>
      <c r="AG282" s="825">
        <v>278</v>
      </c>
      <c r="AH282" s="825">
        <v>271</v>
      </c>
      <c r="AI282" s="825">
        <v>285</v>
      </c>
      <c r="AJ282" s="825">
        <v>268</v>
      </c>
      <c r="AK282" s="825">
        <v>272</v>
      </c>
      <c r="AL282" s="825">
        <v>245</v>
      </c>
      <c r="AM282" s="825">
        <v>258</v>
      </c>
      <c r="AN282" s="825">
        <v>246</v>
      </c>
      <c r="AO282" s="825">
        <v>255</v>
      </c>
      <c r="AP282" s="825">
        <v>273</v>
      </c>
    </row>
    <row r="283" hidden="1" ht="12.75" customHeight="1">
      <c r="B283" s="835" t="s">
        <v>24</v>
      </c>
      <c r="C283" s="827">
        <v>1346</v>
      </c>
      <c r="D283" s="827">
        <v>1307</v>
      </c>
      <c r="E283" s="827">
        <v>1258</v>
      </c>
      <c r="F283" s="827">
        <v>1220</v>
      </c>
      <c r="G283" s="827">
        <v>1186</v>
      </c>
      <c r="H283" s="827">
        <v>1163</v>
      </c>
      <c r="I283" s="827">
        <v>1171</v>
      </c>
      <c r="J283" s="827">
        <v>1167</v>
      </c>
      <c r="K283" s="827">
        <v>1171</v>
      </c>
      <c r="L283" s="827">
        <v>1160</v>
      </c>
      <c r="M283" s="827">
        <v>1160</v>
      </c>
      <c r="N283" s="827">
        <v>1157</v>
      </c>
      <c r="O283" s="827">
        <v>1151</v>
      </c>
      <c r="P283" s="827">
        <v>1156</v>
      </c>
      <c r="Q283" s="827">
        <v>1132</v>
      </c>
      <c r="R283" s="827">
        <v>1147</v>
      </c>
      <c r="S283" s="827">
        <v>1137</v>
      </c>
      <c r="T283" s="827">
        <v>1150</v>
      </c>
      <c r="U283" s="827">
        <v>1144</v>
      </c>
      <c r="V283" s="827">
        <v>1183</v>
      </c>
      <c r="W283" s="827">
        <v>1210</v>
      </c>
      <c r="X283" s="827">
        <v>1232</v>
      </c>
      <c r="Y283" s="827">
        <v>1224</v>
      </c>
      <c r="Z283" s="827">
        <v>1237</v>
      </c>
      <c r="AA283" s="827">
        <v>1222</v>
      </c>
      <c r="AB283" s="827">
        <v>1212</v>
      </c>
      <c r="AC283" s="828">
        <v>1202</v>
      </c>
      <c r="AD283" s="828">
        <v>1210</v>
      </c>
      <c r="AE283" s="828">
        <v>1214</v>
      </c>
      <c r="AF283" s="828">
        <v>1224</v>
      </c>
      <c r="AG283" s="828">
        <v>1215</v>
      </c>
      <c r="AH283" s="828">
        <v>1227</v>
      </c>
      <c r="AI283" s="828">
        <v>1238</v>
      </c>
      <c r="AJ283" s="828">
        <v>1250</v>
      </c>
      <c r="AK283" s="828">
        <v>1201</v>
      </c>
      <c r="AL283" s="828">
        <v>1197</v>
      </c>
      <c r="AM283" s="828">
        <v>1151</v>
      </c>
      <c r="AN283" s="828">
        <v>1169</v>
      </c>
      <c r="AO283" s="828">
        <v>1197</v>
      </c>
      <c r="AP283" s="828">
        <v>1240</v>
      </c>
    </row>
    <row r="284" hidden="1" ht="12.75" customHeight="1">
      <c r="B284" s="829" t="s">
        <v>25</v>
      </c>
      <c r="C284" s="823">
        <v>0</v>
      </c>
      <c r="D284" s="823">
        <v>0</v>
      </c>
      <c r="E284" s="823">
        <v>0</v>
      </c>
      <c r="F284" s="823">
        <v>0</v>
      </c>
      <c r="G284" s="823">
        <v>0</v>
      </c>
      <c r="H284" s="823">
        <v>5</v>
      </c>
      <c r="I284" s="823">
        <v>5</v>
      </c>
      <c r="J284" s="823">
        <v>5</v>
      </c>
      <c r="K284" s="823">
        <v>5</v>
      </c>
      <c r="L284" s="823">
        <v>5</v>
      </c>
      <c r="M284" s="823">
        <v>5</v>
      </c>
      <c r="N284" s="823">
        <v>5</v>
      </c>
      <c r="O284" s="823">
        <v>5</v>
      </c>
      <c r="P284" s="823">
        <v>5</v>
      </c>
      <c r="Q284" s="823">
        <v>5</v>
      </c>
      <c r="R284" s="823">
        <v>5</v>
      </c>
      <c r="S284" s="823">
        <v>5</v>
      </c>
      <c r="T284" s="823">
        <v>5</v>
      </c>
      <c r="U284" s="823">
        <v>5</v>
      </c>
      <c r="V284" s="823">
        <v>5</v>
      </c>
      <c r="W284" s="823">
        <v>5</v>
      </c>
      <c r="X284" s="823">
        <v>5</v>
      </c>
      <c r="Y284" s="823">
        <v>5</v>
      </c>
      <c r="Z284" s="823">
        <v>5</v>
      </c>
      <c r="AA284" s="823">
        <v>5</v>
      </c>
      <c r="AB284" s="823">
        <v>5</v>
      </c>
      <c r="AC284" s="825">
        <v>5</v>
      </c>
      <c r="AD284" s="825">
        <v>5</v>
      </c>
      <c r="AE284" s="825">
        <v>5</v>
      </c>
      <c r="AF284" s="825">
        <v>5</v>
      </c>
      <c r="AG284" s="825">
        <v>5</v>
      </c>
      <c r="AH284" s="825">
        <v>5</v>
      </c>
      <c r="AI284" s="825">
        <v>5</v>
      </c>
      <c r="AJ284" s="825">
        <v>5</v>
      </c>
      <c r="AK284" s="825">
        <v>5</v>
      </c>
      <c r="AL284" s="825">
        <v>5</v>
      </c>
      <c r="AM284" s="825">
        <v>5</v>
      </c>
      <c r="AN284" s="825">
        <v>5</v>
      </c>
      <c r="AO284" s="825">
        <v>5</v>
      </c>
      <c r="AP284" s="825">
        <v>5</v>
      </c>
    </row>
    <row r="285" hidden="1" ht="12.75" customHeight="1">
      <c r="B285" s="836" t="s">
        <v>26</v>
      </c>
      <c r="C285" s="827">
        <v>0</v>
      </c>
      <c r="D285" s="827">
        <v>0</v>
      </c>
      <c r="E285" s="827">
        <v>0</v>
      </c>
      <c r="F285" s="827">
        <v>0</v>
      </c>
      <c r="G285" s="827">
        <v>0</v>
      </c>
      <c r="H285" s="827">
        <v>0</v>
      </c>
      <c r="I285" s="827">
        <v>0</v>
      </c>
      <c r="J285" s="827">
        <v>0</v>
      </c>
      <c r="K285" s="827">
        <v>0</v>
      </c>
      <c r="L285" s="827">
        <v>0</v>
      </c>
      <c r="M285" s="827">
        <v>1</v>
      </c>
      <c r="N285" s="827">
        <v>1</v>
      </c>
      <c r="O285" s="827">
        <v>1</v>
      </c>
      <c r="P285" s="827">
        <v>1</v>
      </c>
      <c r="Q285" s="827">
        <v>1</v>
      </c>
      <c r="R285" s="827">
        <v>1</v>
      </c>
      <c r="S285" s="827">
        <v>1</v>
      </c>
      <c r="T285" s="827">
        <v>1</v>
      </c>
      <c r="U285" s="827">
        <v>1</v>
      </c>
      <c r="V285" s="827">
        <v>1</v>
      </c>
      <c r="W285" s="827">
        <v>3</v>
      </c>
      <c r="X285" s="827">
        <v>3</v>
      </c>
      <c r="Y285" s="827">
        <v>3</v>
      </c>
      <c r="Z285" s="827">
        <v>4</v>
      </c>
      <c r="AA285" s="827">
        <v>5</v>
      </c>
      <c r="AB285" s="837">
        <v>6</v>
      </c>
      <c r="AC285" s="828">
        <v>6</v>
      </c>
      <c r="AD285" s="828">
        <v>6</v>
      </c>
      <c r="AE285" s="828">
        <v>6</v>
      </c>
      <c r="AF285" s="828">
        <v>6</v>
      </c>
      <c r="AG285" s="828">
        <v>7</v>
      </c>
      <c r="AH285" s="828">
        <v>7</v>
      </c>
      <c r="AI285" s="828">
        <v>9</v>
      </c>
      <c r="AJ285" s="828">
        <v>9</v>
      </c>
      <c r="AK285" s="828">
        <v>9</v>
      </c>
      <c r="AL285" s="828">
        <v>9</v>
      </c>
      <c r="AM285" s="828">
        <v>9</v>
      </c>
      <c r="AN285" s="828">
        <v>9</v>
      </c>
      <c r="AO285" s="828">
        <v>9</v>
      </c>
      <c r="AP285" s="828">
        <v>9</v>
      </c>
    </row>
    <row r="286" hidden="1" ht="12.75" customHeight="1">
      <c r="B286" s="128" t="s">
        <v>7</v>
      </c>
      <c r="C286" s="129" t="str">
        <f>IF(SUM(C267:C285)&lt;&gt;0,SUM(C267:C285),"")</f>
      </c>
      <c r="D286" s="129" t="str">
        <f ref="D286:AA286" t="shared" si="25">IF(SUM(D267:D285)&lt;&gt;0,SUM(D267:D285),"")</f>
      </c>
      <c r="E286" s="129" t="str">
        <f t="shared" si="25"/>
      </c>
      <c r="F286" s="129" t="str">
        <f t="shared" si="25"/>
      </c>
      <c r="G286" s="129" t="str">
        <f t="shared" si="25"/>
      </c>
      <c r="H286" s="129" t="str">
        <f t="shared" si="25"/>
      </c>
      <c r="I286" s="129" t="str">
        <f t="shared" si="25"/>
      </c>
      <c r="J286" s="129" t="str">
        <f t="shared" si="25"/>
      </c>
      <c r="K286" s="129" t="str">
        <f t="shared" si="25"/>
      </c>
      <c r="L286" s="129" t="str">
        <f t="shared" si="25"/>
      </c>
      <c r="M286" s="129" t="str">
        <f t="shared" si="25"/>
      </c>
      <c r="N286" s="129" t="str">
        <f t="shared" si="25"/>
      </c>
      <c r="O286" s="129" t="str">
        <f t="shared" si="25"/>
      </c>
      <c r="P286" s="129" t="str">
        <f t="shared" si="25"/>
      </c>
      <c r="Q286" s="129" t="str">
        <f t="shared" si="25"/>
      </c>
      <c r="R286" s="129" t="str">
        <f t="shared" si="25"/>
      </c>
      <c r="S286" s="129" t="str">
        <f t="shared" si="25"/>
      </c>
      <c r="T286" s="129" t="str">
        <f t="shared" si="25"/>
      </c>
      <c r="U286" s="129" t="str">
        <f t="shared" si="25"/>
      </c>
      <c r="V286" s="129" t="str">
        <f t="shared" si="25"/>
      </c>
      <c r="W286" s="129" t="str">
        <f t="shared" si="25"/>
      </c>
      <c r="X286" s="129" t="str">
        <f t="shared" si="25"/>
      </c>
      <c r="Y286" s="129" t="str">
        <f t="shared" si="25"/>
      </c>
      <c r="Z286" s="129" t="str">
        <f t="shared" si="25"/>
      </c>
      <c r="AA286" s="129" t="str">
        <f t="shared" si="25"/>
      </c>
      <c r="AB286" s="130" t="str">
        <f>IF(SUM(AB267:AB285)&lt;&gt;0,SUM(AB267:AB285),"")</f>
      </c>
      <c r="AC286" s="91" t="str">
        <f ref="AC286:CN286" t="shared" si="26">IF(SUM(AC267:AC285)&lt;&gt;0,SUM(AC267:AC285),"")</f>
      </c>
      <c r="AD286" s="91" t="str">
        <f t="shared" si="26"/>
      </c>
      <c r="AE286" s="91" t="str">
        <f t="shared" si="26"/>
      </c>
      <c r="AF286" s="91" t="str">
        <f t="shared" si="26"/>
      </c>
      <c r="AG286" s="91" t="str">
        <f t="shared" si="26"/>
      </c>
      <c r="AH286" s="91" t="str">
        <f t="shared" si="26"/>
      </c>
      <c r="AI286" s="91" t="str">
        <f t="shared" si="26"/>
      </c>
      <c r="AJ286" s="91" t="str">
        <f t="shared" si="26"/>
      </c>
      <c r="AK286" s="91" t="str">
        <f t="shared" si="26"/>
      </c>
      <c r="AL286" s="91" t="str">
        <f t="shared" si="26"/>
      </c>
      <c r="AM286" s="91" t="str">
        <f t="shared" si="26"/>
      </c>
      <c r="AN286" s="91" t="str">
        <f t="shared" si="26"/>
      </c>
      <c r="AO286" s="91" t="str">
        <f t="shared" si="26"/>
      </c>
      <c r="AP286" s="91" t="str">
        <f t="shared" si="26"/>
      </c>
      <c r="AQ286" s="91" t="str">
        <f t="shared" si="26"/>
      </c>
      <c r="AR286" s="91" t="str">
        <f t="shared" si="26"/>
      </c>
      <c r="AS286" s="91" t="str">
        <f t="shared" si="26"/>
      </c>
      <c r="AT286" s="91" t="str">
        <f t="shared" si="26"/>
      </c>
      <c r="AU286" s="91" t="str">
        <f t="shared" si="26"/>
      </c>
      <c r="AV286" s="91" t="str">
        <f t="shared" si="26"/>
      </c>
      <c r="AW286" s="91" t="str">
        <f t="shared" si="26"/>
      </c>
      <c r="AX286" s="91" t="str">
        <f t="shared" si="26"/>
      </c>
      <c r="AY286" s="91" t="str">
        <f t="shared" si="26"/>
      </c>
      <c r="AZ286" s="91" t="str">
        <f t="shared" si="26"/>
      </c>
      <c r="BA286" s="91" t="str">
        <f t="shared" si="26"/>
      </c>
      <c r="BB286" s="91" t="str">
        <f t="shared" si="26"/>
      </c>
      <c r="BC286" s="91" t="str">
        <f t="shared" si="26"/>
      </c>
      <c r="BD286" s="91" t="str">
        <f t="shared" si="26"/>
      </c>
      <c r="BE286" s="91" t="str">
        <f t="shared" si="26"/>
      </c>
      <c r="BF286" s="91" t="str">
        <f t="shared" si="26"/>
      </c>
      <c r="BG286" s="91" t="str">
        <f t="shared" si="26"/>
      </c>
      <c r="BH286" s="91" t="str">
        <f t="shared" si="26"/>
      </c>
      <c r="BI286" s="91" t="str">
        <f t="shared" si="26"/>
      </c>
      <c r="BJ286" s="91" t="str">
        <f t="shared" si="26"/>
      </c>
      <c r="BK286" s="91" t="str">
        <f t="shared" si="26"/>
      </c>
      <c r="BL286" s="91" t="str">
        <f t="shared" si="26"/>
      </c>
      <c r="BM286" s="91" t="str">
        <f t="shared" si="26"/>
      </c>
      <c r="BN286" s="91" t="str">
        <f t="shared" si="26"/>
      </c>
      <c r="BO286" s="91" t="str">
        <f t="shared" si="26"/>
      </c>
      <c r="BP286" s="91" t="str">
        <f t="shared" si="26"/>
      </c>
      <c r="BQ286" s="91" t="str">
        <f t="shared" si="26"/>
      </c>
      <c r="BR286" s="91" t="str">
        <f t="shared" si="26"/>
      </c>
      <c r="BS286" s="91" t="str">
        <f t="shared" si="26"/>
      </c>
      <c r="BT286" s="91" t="str">
        <f t="shared" si="26"/>
      </c>
      <c r="BU286" s="91" t="str">
        <f t="shared" si="26"/>
      </c>
      <c r="BV286" s="91" t="str">
        <f t="shared" si="26"/>
      </c>
      <c r="BW286" s="91" t="str">
        <f t="shared" si="26"/>
      </c>
      <c r="BX286" s="91" t="str">
        <f t="shared" si="26"/>
      </c>
      <c r="BY286" s="91" t="str">
        <f t="shared" si="26"/>
      </c>
      <c r="BZ286" s="91" t="str">
        <f t="shared" si="26"/>
      </c>
      <c r="CA286" s="91" t="str">
        <f t="shared" si="26"/>
      </c>
      <c r="CB286" s="91" t="str">
        <f t="shared" si="26"/>
      </c>
      <c r="CC286" s="91" t="str">
        <f t="shared" si="26"/>
      </c>
      <c r="CD286" s="91" t="str">
        <f t="shared" si="26"/>
      </c>
      <c r="CE286" s="91" t="str">
        <f t="shared" si="26"/>
      </c>
      <c r="CF286" s="91" t="str">
        <f t="shared" si="26"/>
      </c>
      <c r="CG286" s="91" t="str">
        <f t="shared" si="26"/>
      </c>
      <c r="CH286" s="91" t="str">
        <f t="shared" si="26"/>
      </c>
      <c r="CI286" s="91" t="str">
        <f t="shared" si="26"/>
      </c>
      <c r="CJ286" s="91" t="str">
        <f t="shared" si="26"/>
      </c>
      <c r="CK286" s="91" t="str">
        <f t="shared" si="26"/>
      </c>
      <c r="CL286" s="91" t="str">
        <f t="shared" si="26"/>
      </c>
      <c r="CM286" s="91" t="str">
        <f t="shared" si="26"/>
      </c>
      <c r="CN286" s="91" t="str">
        <f t="shared" si="26"/>
      </c>
      <c r="CO286" s="91" t="str">
        <f ref="CO286:EZ286" t="shared" si="27">IF(SUM(CO267:CO285)&lt;&gt;0,SUM(CO267:CO285),"")</f>
      </c>
      <c r="CP286" s="91" t="str">
        <f t="shared" si="27"/>
      </c>
      <c r="CQ286" s="91" t="str">
        <f t="shared" si="27"/>
      </c>
      <c r="CR286" s="91" t="str">
        <f t="shared" si="27"/>
      </c>
      <c r="CS286" s="91" t="str">
        <f t="shared" si="27"/>
      </c>
      <c r="CT286" s="91" t="str">
        <f t="shared" si="27"/>
      </c>
      <c r="CU286" s="91" t="str">
        <f t="shared" si="27"/>
      </c>
      <c r="CV286" s="91" t="str">
        <f t="shared" si="27"/>
      </c>
      <c r="CW286" s="91" t="str">
        <f t="shared" si="27"/>
      </c>
      <c r="CX286" s="91" t="str">
        <f t="shared" si="27"/>
      </c>
      <c r="CY286" s="91" t="str">
        <f t="shared" si="27"/>
      </c>
      <c r="CZ286" s="91" t="str">
        <f t="shared" si="27"/>
      </c>
      <c r="DA286" s="91" t="str">
        <f t="shared" si="27"/>
      </c>
      <c r="DB286" s="91" t="str">
        <f t="shared" si="27"/>
      </c>
      <c r="DC286" s="91" t="str">
        <f t="shared" si="27"/>
      </c>
      <c r="DD286" s="91" t="str">
        <f t="shared" si="27"/>
      </c>
      <c r="DE286" s="91" t="str">
        <f t="shared" si="27"/>
      </c>
      <c r="DF286" s="91" t="str">
        <f t="shared" si="27"/>
      </c>
      <c r="DG286" s="91" t="str">
        <f t="shared" si="27"/>
      </c>
      <c r="DH286" s="91" t="str">
        <f t="shared" si="27"/>
      </c>
      <c r="DI286" s="91" t="str">
        <f t="shared" si="27"/>
      </c>
      <c r="DJ286" s="91" t="str">
        <f t="shared" si="27"/>
      </c>
      <c r="DK286" s="91" t="str">
        <f t="shared" si="27"/>
      </c>
      <c r="DL286" s="91" t="str">
        <f t="shared" si="27"/>
      </c>
      <c r="DM286" s="91" t="str">
        <f t="shared" si="27"/>
      </c>
      <c r="DN286" s="91" t="str">
        <f t="shared" si="27"/>
      </c>
      <c r="DO286" s="91" t="str">
        <f t="shared" si="27"/>
      </c>
      <c r="DP286" s="91" t="str">
        <f t="shared" si="27"/>
      </c>
      <c r="DQ286" s="91" t="str">
        <f t="shared" si="27"/>
      </c>
      <c r="DR286" s="91" t="str">
        <f t="shared" si="27"/>
      </c>
      <c r="DS286" s="91" t="str">
        <f t="shared" si="27"/>
      </c>
      <c r="DT286" s="91" t="str">
        <f t="shared" si="27"/>
      </c>
      <c r="DU286" s="91" t="str">
        <f t="shared" si="27"/>
      </c>
      <c r="DV286" s="91" t="str">
        <f t="shared" si="27"/>
      </c>
      <c r="DW286" s="91" t="str">
        <f t="shared" si="27"/>
      </c>
      <c r="DX286" s="91" t="str">
        <f t="shared" si="27"/>
      </c>
      <c r="DY286" s="91" t="str">
        <f t="shared" si="27"/>
      </c>
      <c r="DZ286" s="91" t="str">
        <f t="shared" si="27"/>
      </c>
      <c r="EA286" s="91" t="str">
        <f t="shared" si="27"/>
      </c>
      <c r="EB286" s="91" t="str">
        <f t="shared" si="27"/>
      </c>
      <c r="EC286" s="91" t="str">
        <f t="shared" si="27"/>
      </c>
      <c r="ED286" s="91" t="str">
        <f t="shared" si="27"/>
      </c>
      <c r="EE286" s="91" t="str">
        <f t="shared" si="27"/>
      </c>
      <c r="EF286" s="91" t="str">
        <f t="shared" si="27"/>
      </c>
      <c r="EG286" s="91" t="str">
        <f t="shared" si="27"/>
      </c>
      <c r="EH286" s="91" t="str">
        <f t="shared" si="27"/>
      </c>
      <c r="EI286" s="91" t="str">
        <f t="shared" si="27"/>
      </c>
      <c r="EJ286" s="91" t="str">
        <f t="shared" si="27"/>
      </c>
      <c r="EK286" s="91" t="str">
        <f t="shared" si="27"/>
      </c>
      <c r="EL286" s="91" t="str">
        <f t="shared" si="27"/>
      </c>
      <c r="EM286" s="91" t="str">
        <f t="shared" si="27"/>
      </c>
      <c r="EN286" s="91" t="str">
        <f t="shared" si="27"/>
      </c>
      <c r="EO286" s="91" t="str">
        <f t="shared" si="27"/>
      </c>
      <c r="EP286" s="91" t="str">
        <f t="shared" si="27"/>
      </c>
      <c r="EQ286" s="91" t="str">
        <f t="shared" si="27"/>
      </c>
      <c r="ER286" s="91" t="str">
        <f t="shared" si="27"/>
      </c>
      <c r="ES286" s="91" t="str">
        <f t="shared" si="27"/>
      </c>
      <c r="ET286" s="91" t="str">
        <f t="shared" si="27"/>
      </c>
      <c r="EU286" s="91" t="str">
        <f t="shared" si="27"/>
      </c>
      <c r="EV286" s="91" t="str">
        <f t="shared" si="27"/>
      </c>
      <c r="EW286" s="91" t="str">
        <f t="shared" si="27"/>
      </c>
      <c r="EX286" s="91" t="str">
        <f t="shared" si="27"/>
      </c>
      <c r="EY286" s="91" t="str">
        <f t="shared" si="27"/>
      </c>
      <c r="EZ286" s="91" t="str">
        <f t="shared" si="27"/>
      </c>
      <c r="FA286" s="91" t="str">
        <f ref="FA286:HL286" t="shared" si="28">IF(SUM(FA267:FA285)&lt;&gt;0,SUM(FA267:FA285),"")</f>
      </c>
      <c r="FB286" s="91" t="str">
        <f t="shared" si="28"/>
      </c>
      <c r="FC286" s="91" t="str">
        <f t="shared" si="28"/>
      </c>
      <c r="FD286" s="91" t="str">
        <f t="shared" si="28"/>
      </c>
      <c r="FE286" s="91" t="str">
        <f t="shared" si="28"/>
      </c>
      <c r="FF286" s="91" t="str">
        <f t="shared" si="28"/>
      </c>
      <c r="FG286" s="91" t="str">
        <f t="shared" si="28"/>
      </c>
      <c r="FH286" s="91" t="str">
        <f t="shared" si="28"/>
      </c>
      <c r="FI286" s="91" t="str">
        <f t="shared" si="28"/>
      </c>
      <c r="FJ286" s="91" t="str">
        <f t="shared" si="28"/>
      </c>
      <c r="FK286" s="91" t="str">
        <f t="shared" si="28"/>
      </c>
      <c r="FL286" s="91" t="str">
        <f t="shared" si="28"/>
      </c>
      <c r="FM286" s="91" t="str">
        <f t="shared" si="28"/>
      </c>
      <c r="FN286" s="91" t="str">
        <f t="shared" si="28"/>
      </c>
      <c r="FO286" s="91" t="str">
        <f t="shared" si="28"/>
      </c>
      <c r="FP286" s="91" t="str">
        <f t="shared" si="28"/>
      </c>
      <c r="FQ286" s="91" t="str">
        <f t="shared" si="28"/>
      </c>
      <c r="FR286" s="91" t="str">
        <f t="shared" si="28"/>
      </c>
      <c r="FS286" s="91" t="str">
        <f t="shared" si="28"/>
      </c>
      <c r="FT286" s="91" t="str">
        <f t="shared" si="28"/>
      </c>
      <c r="FU286" s="91" t="str">
        <f t="shared" si="28"/>
      </c>
      <c r="FV286" s="91" t="str">
        <f t="shared" si="28"/>
      </c>
      <c r="FW286" s="91" t="str">
        <f t="shared" si="28"/>
      </c>
      <c r="FX286" s="91" t="str">
        <f t="shared" si="28"/>
      </c>
      <c r="FY286" s="91" t="str">
        <f t="shared" si="28"/>
      </c>
      <c r="FZ286" s="91" t="str">
        <f t="shared" si="28"/>
      </c>
      <c r="GA286" s="91" t="str">
        <f t="shared" si="28"/>
      </c>
      <c r="GB286" s="91" t="str">
        <f t="shared" si="28"/>
      </c>
      <c r="GC286" s="91" t="str">
        <f t="shared" si="28"/>
      </c>
      <c r="GD286" s="91" t="str">
        <f t="shared" si="28"/>
      </c>
      <c r="GE286" s="91" t="str">
        <f t="shared" si="28"/>
      </c>
      <c r="GF286" s="91" t="str">
        <f t="shared" si="28"/>
      </c>
      <c r="GG286" s="91" t="str">
        <f t="shared" si="28"/>
      </c>
      <c r="GH286" s="91" t="str">
        <f t="shared" si="28"/>
      </c>
      <c r="GI286" s="91" t="str">
        <f t="shared" si="28"/>
      </c>
      <c r="GJ286" s="91" t="str">
        <f t="shared" si="28"/>
      </c>
      <c r="GK286" s="91" t="str">
        <f t="shared" si="28"/>
      </c>
      <c r="GL286" s="91" t="str">
        <f t="shared" si="28"/>
      </c>
      <c r="GM286" s="91" t="str">
        <f t="shared" si="28"/>
      </c>
      <c r="GN286" s="91" t="str">
        <f t="shared" si="28"/>
      </c>
      <c r="GO286" s="91" t="str">
        <f t="shared" si="28"/>
      </c>
      <c r="GP286" s="91" t="str">
        <f t="shared" si="28"/>
      </c>
      <c r="GQ286" s="91" t="str">
        <f t="shared" si="28"/>
      </c>
      <c r="GR286" s="91" t="str">
        <f t="shared" si="28"/>
      </c>
      <c r="GS286" s="91" t="str">
        <f t="shared" si="28"/>
      </c>
      <c r="GT286" s="91" t="str">
        <f t="shared" si="28"/>
      </c>
      <c r="GU286" s="91" t="str">
        <f t="shared" si="28"/>
      </c>
      <c r="GV286" s="91" t="str">
        <f t="shared" si="28"/>
      </c>
      <c r="GW286" s="91" t="str">
        <f t="shared" si="28"/>
      </c>
      <c r="GX286" s="91" t="str">
        <f t="shared" si="28"/>
      </c>
      <c r="GY286" s="91" t="str">
        <f t="shared" si="28"/>
      </c>
      <c r="GZ286" s="91" t="str">
        <f t="shared" si="28"/>
      </c>
      <c r="HA286" s="91" t="str">
        <f t="shared" si="28"/>
      </c>
      <c r="HB286" s="91" t="str">
        <f t="shared" si="28"/>
      </c>
      <c r="HC286" s="91" t="str">
        <f t="shared" si="28"/>
      </c>
      <c r="HD286" s="91" t="str">
        <f t="shared" si="28"/>
      </c>
      <c r="HE286" s="91" t="str">
        <f t="shared" si="28"/>
      </c>
      <c r="HF286" s="91" t="str">
        <f t="shared" si="28"/>
      </c>
      <c r="HG286" s="91" t="str">
        <f t="shared" si="28"/>
      </c>
      <c r="HH286" s="91" t="str">
        <f t="shared" si="28"/>
      </c>
      <c r="HI286" s="91" t="str">
        <f t="shared" si="28"/>
      </c>
      <c r="HJ286" s="91" t="str">
        <f t="shared" si="28"/>
      </c>
      <c r="HK286" s="91" t="str">
        <f t="shared" si="28"/>
      </c>
      <c r="HL286" s="91" t="str">
        <f t="shared" si="28"/>
      </c>
      <c r="HM286" s="91" t="str">
        <f ref="HM286:IV286" t="shared" si="29">IF(SUM(HM267:HM285)&lt;&gt;0,SUM(HM267:HM285),"")</f>
      </c>
      <c r="HN286" s="91" t="str">
        <f t="shared" si="29"/>
      </c>
      <c r="HO286" s="91" t="str">
        <f t="shared" si="29"/>
      </c>
      <c r="HP286" s="91" t="str">
        <f t="shared" si="29"/>
      </c>
      <c r="HQ286" s="91" t="str">
        <f t="shared" si="29"/>
      </c>
      <c r="HR286" s="91" t="str">
        <f t="shared" si="29"/>
      </c>
      <c r="HS286" s="91" t="str">
        <f t="shared" si="29"/>
      </c>
      <c r="HT286" s="91" t="str">
        <f t="shared" si="29"/>
      </c>
      <c r="HU286" s="91" t="str">
        <f t="shared" si="29"/>
      </c>
      <c r="HV286" s="91" t="str">
        <f t="shared" si="29"/>
      </c>
      <c r="HW286" s="91" t="str">
        <f t="shared" si="29"/>
      </c>
      <c r="HX286" s="91" t="str">
        <f t="shared" si="29"/>
      </c>
      <c r="HY286" s="91" t="str">
        <f t="shared" si="29"/>
      </c>
      <c r="HZ286" s="91" t="str">
        <f t="shared" si="29"/>
      </c>
      <c r="IA286" s="91" t="str">
        <f t="shared" si="29"/>
      </c>
      <c r="IB286" s="91" t="str">
        <f t="shared" si="29"/>
      </c>
      <c r="IC286" s="91" t="str">
        <f t="shared" si="29"/>
      </c>
      <c r="ID286" s="91" t="str">
        <f t="shared" si="29"/>
      </c>
      <c r="IE286" s="91" t="str">
        <f t="shared" si="29"/>
      </c>
      <c r="IF286" s="91" t="str">
        <f t="shared" si="29"/>
      </c>
      <c r="IG286" s="91" t="str">
        <f t="shared" si="29"/>
      </c>
      <c r="IH286" s="91" t="str">
        <f t="shared" si="29"/>
      </c>
      <c r="II286" s="91" t="str">
        <f t="shared" si="29"/>
      </c>
      <c r="IJ286" s="91" t="str">
        <f t="shared" si="29"/>
      </c>
      <c r="IK286" s="91" t="str">
        <f t="shared" si="29"/>
      </c>
      <c r="IL286" s="91" t="str">
        <f t="shared" si="29"/>
      </c>
      <c r="IM286" s="91" t="str">
        <f t="shared" si="29"/>
      </c>
      <c r="IN286" s="91" t="str">
        <f t="shared" si="29"/>
      </c>
      <c r="IO286" s="91" t="str">
        <f t="shared" si="29"/>
      </c>
      <c r="IP286" s="91" t="str">
        <f t="shared" si="29"/>
      </c>
      <c r="IQ286" s="91" t="str">
        <f t="shared" si="29"/>
      </c>
      <c r="IR286" s="91" t="str">
        <f t="shared" si="29"/>
      </c>
      <c r="IS286" s="91" t="str">
        <f t="shared" si="29"/>
      </c>
      <c r="IT286" s="91" t="str">
        <f t="shared" si="29"/>
      </c>
      <c r="IU286" s="91" t="str">
        <f t="shared" si="29"/>
      </c>
      <c r="IV286" s="91" t="str">
        <f t="shared" si="29"/>
      </c>
    </row>
    <row r="287" hidden="1" ht="12.75" customHeight="1"/>
    <row r="288" hidden="1" ht="12.75" customHeight="1"/>
    <row r="289" hidden="1" ht="12.75" customHeight="1"/>
    <row r="290" hidden="1" ht="13.5" customHeight="1"/>
    <row r="291" hidden="1" ht="12.75" customHeight="1">
      <c r="B291" s="300" t="s">
        <v>194</v>
      </c>
      <c r="C291" s="167" t="str">
        <f>INDEX($C147:$II$166,$F$8,38)</f>
      </c>
    </row>
    <row r="292" hidden="1" ht="18" customHeight="1">
      <c r="B292" s="301" t="s">
        <v>254</v>
      </c>
      <c r="C292" s="169" t="str">
        <f>INDEX($C171:$II$190,$F$8,38)</f>
      </c>
    </row>
    <row r="293" hidden="1" ht="18" customHeight="1">
      <c r="B293" s="301" t="s">
        <v>255</v>
      </c>
      <c r="C293" s="169" t="str">
        <f>INDEX($C195:$II$214,$F$8,38)</f>
      </c>
    </row>
    <row r="294" hidden="1" ht="12.75" customHeight="1">
      <c r="B294" s="301" t="s">
        <v>256</v>
      </c>
      <c r="C294" s="169" t="str">
        <f>INDEX($C219:$II$238,$F$8,38)</f>
      </c>
    </row>
    <row r="295" hidden="1" ht="13.5" customHeight="1">
      <c r="B295" s="302" t="s">
        <v>204</v>
      </c>
      <c r="C295" s="254" t="str">
        <f>INDEX($C243:$II$262,$F$8,38)</f>
      </c>
    </row>
    <row r="296" hidden="1"/>
  </sheetData>
  <sheetProtection sheet="1" autoFilter="0" objects="1" scenarios="1" sort="0" password="ed66"/>
  <mergeCells>
    <mergeCell ref="C19:M19"/>
    <mergeCell ref="C27:M27"/>
    <mergeCell ref="C25:M25"/>
    <mergeCell ref="C145:AB145"/>
    <mergeCell ref="B9:E9"/>
    <mergeCell ref="C13:M13"/>
    <mergeCell ref="C14:M14"/>
    <mergeCell ref="C17:M17"/>
    <mergeCell ref="C21:M21"/>
    <mergeCell ref="C23:M23"/>
    <mergeCell ref="C169:AB169"/>
    <mergeCell ref="C193:AB193"/>
    <mergeCell ref="C217:AB217"/>
    <mergeCell ref="C241:AB241"/>
    <mergeCell ref="C265:AB265"/>
  </mergeCells>
  <phoneticPr fontId="2" type="noConversion"/>
  <printOptions horizontalCentered="1"/>
  <pageMargins left="0.23622047244094491" right="0.23622047244094491" top="0.98425196850393704" bottom="0.98425196850393704" header="0" footer="0"/>
  <pageSetup paperSize="9" scale="52" orientation="portrait"/>
  <headerFooter alignWithMargins="0"/>
  <rowBreaks count="1" manualBreakCount="1">
    <brk id="96" max="1048575" man="1"/>
  </rowBreaks>
  <drawing r:id="rId2"/>
  <legacyDrawing r:id="rId3"/>
  <mc:AlternateContent xmlns:mc="http://schemas.openxmlformats.org/markup-compatibility/2006">
    <mc:Choice Requires="x14">
      <controls>
        <mc:AlternateContent xmlns:mc="http://schemas.openxmlformats.org/markup-compatibility/2006">
          <mc:Choice Requires="x14">
            <control shapeId="48129" r:id="rId4" name="Drop Down 1">
              <controlPr defaultSize="0" autoLine="0" autoPict="0">
                <anchor moveWithCells="1">
                  <from>
                    <xdr:col>5</xdr:col>
                    <xdr:colOff>9525</xdr:colOff>
                    <xdr:row>7</xdr:row>
                    <xdr:rowOff>9525</xdr:rowOff>
                  </from>
                  <to>
                    <xdr:col>7</xdr:col>
                    <xdr:colOff>209550</xdr:colOff>
                    <xdr:row>9</xdr:row>
                    <xdr:rowOff>9525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ontainsText" priority="20" operator="containsText" id="{EDAAE1C2-B871-475D-82C8-525472A9D4E8}">
            <xm:f>NOT(ISERROR(SEARCH("",AC262)))</xm:f>
            <xm:f>""</xm:f>
            <x14:dxf>
              <numFmt numFmtId="3" formatCode="#,##0"/>
              <border>
                <left style="thin">
                  <color auto="1"/>
                </left>
                <right style="thin">
                  <color auto="1"/>
                </right>
                <top style="thin">
                  <color auto="1"/>
                </top>
                <bottom style="thin">
                  <color auto="1"/>
                </bottom>
                <vertical/>
                <horizontal/>
              </border>
            </x14:dxf>
          </x14:cfRule>
          <xm:sqref>AC262:IV262</xm:sqref>
        </x14:conditionalFormatting>
        <x14:conditionalFormatting xmlns:xm="http://schemas.microsoft.com/office/excel/2006/main">
          <x14:cfRule type="containsText" priority="19" operator="containsText" id="{4AFCA38B-DD27-4F0C-BE26-90B6901F66B6}">
            <xm:f>NOT(ISERROR(SEARCH("",C243)))</xm:f>
            <xm:f>""</xm:f>
            <x14:dxf>
              <numFmt numFmtId="3" formatCode="#,##0"/>
              <border>
                <right style="thin">
                  <color auto="1"/>
                </right>
                <top style="thin">
                  <color auto="1"/>
                </top>
                <bottom style="thin">
                  <color auto="1"/>
                </bottom>
                <vertical/>
                <horizontal/>
              </border>
            </x14:dxf>
          </x14:cfRule>
          <xm:sqref>C243:IV261</xm:sqref>
        </x14:conditionalFormatting>
        <x14:conditionalFormatting xmlns:xm="http://schemas.microsoft.com/office/excel/2006/main">
          <x14:cfRule type="containsText" priority="14" operator="containsText" id="{584A78F0-DBD3-43DE-BFD9-E8DCD1AAF11A}">
            <xm:f>NOT(ISERROR(SEARCH("",AD218)))</xm:f>
            <xm:f>""</xm:f>
            <x14:dxf>
              <numFmt numFmtId="3" formatCode="#,##0"/>
              <border>
                <left style="thin">
                  <color auto="1"/>
                </left>
                <right style="thin">
                  <color auto="1"/>
                </right>
                <top style="thin">
                  <color auto="1"/>
                </top>
                <bottom style="thin">
                  <color auto="1"/>
                </bottom>
                <vertical/>
                <horizontal/>
              </border>
            </x14:dxf>
          </x14:cfRule>
          <xm:sqref>AD218:AG218 AI218:AL218 AN218:AQ218 AS218:AV218 AX218:BA218 BC218:BF218 BH218:BK218 BM218:BP218 BR218:BU218 BW218:BZ218 CB218:CE218 CG218:CJ218 CL218:CO218 CQ218:CT218 CV218:CY218 DA218:DD218 DF218:DI218 DK218:DN218 DP218:DS218 DU218:DX218 DZ218:EC218 EE218:EH218 EJ218:EM218 EO218:ER218 ET218:EW218 EY218:FB218 FD218:FG218 FI218:FL218 FN218:FQ218 FS218:FV218 FX218:GA218 GC218:GF218 GH218:GK218 GM218:GP218 GR218:GU218 GW218:GZ218 HB218:HE218 HG218:HJ218 HL218:HO218 HQ218:HT218 HV218:HY218 IA218:ID218 IF218:II218 IK218:IN218 IP218:IS218 IU218:IV218</xm:sqref>
        </x14:conditionalFormatting>
        <x14:conditionalFormatting xmlns:xm="http://schemas.microsoft.com/office/excel/2006/main">
          <x14:cfRule type="containsText" priority="8" operator="containsText" id="{42B6E39C-8410-400B-840F-10E4626F776D}">
            <xm:f>NOT(ISERROR(SEARCH("",AC190)))</xm:f>
            <xm:f>""</xm:f>
            <x14:dxf>
              <numFmt numFmtId="3" formatCode="#,##0"/>
              <border>
                <left style="thin">
                  <color auto="1"/>
                </left>
                <right style="thin">
                  <color auto="1"/>
                </right>
                <top style="thin">
                  <color auto="1"/>
                </top>
                <bottom style="thin">
                  <color auto="1"/>
                </bottom>
                <vertical/>
                <horizontal/>
              </border>
            </x14:dxf>
          </x14:cfRule>
          <xm:sqref>AC190:IV190</xm:sqref>
        </x14:conditionalFormatting>
        <x14:conditionalFormatting xmlns:xm="http://schemas.microsoft.com/office/excel/2006/main">
          <x14:cfRule type="containsText" priority="7" operator="containsText" id="{662E3F04-E1EE-4B3C-AD7F-8FFB8D5BE275}">
            <xm:f>NOT(ISERROR(SEARCH("",C171)))</xm:f>
            <xm:f>""</xm:f>
            <x14:dxf>
              <numFmt numFmtId="3" formatCode="#,##0"/>
              <border>
                <right style="thin">
                  <color auto="1"/>
                </right>
                <top style="thin">
                  <color auto="1"/>
                </top>
                <bottom style="thin">
                  <color auto="1"/>
                </bottom>
                <vertical/>
                <horizontal/>
              </border>
            </x14:dxf>
          </x14:cfRule>
          <xm:sqref>C171:IV189</xm:sqref>
        </x14:conditionalFormatting>
        <x14:conditionalFormatting xmlns:xm="http://schemas.microsoft.com/office/excel/2006/main">
          <x14:cfRule type="containsText" priority="2" operator="containsText" id="{BD60D49E-F3CB-4E47-88B8-F8D99CACF536}">
            <xm:f>NOT(ISERROR(SEARCH("",AD146)))</xm:f>
            <xm:f>""</xm:f>
            <x14:dxf>
              <numFmt numFmtId="3" formatCode="#,##0"/>
              <border>
                <left style="thin">
                  <color auto="1"/>
                </left>
                <right style="thin">
                  <color auto="1"/>
                </right>
                <top style="thin">
                  <color auto="1"/>
                </top>
                <bottom style="thin">
                  <color auto="1"/>
                </bottom>
                <vertical/>
                <horizontal/>
              </border>
            </x14:dxf>
          </x14:cfRule>
          <xm:sqref>AD146:AG146 AI146:AL146 AN146:AQ146 AS146:AV146 AX146:BA146 BC146:BF146 BH146:BK146 BM146:BP146 BR146:BU146 BW146:BZ146 CB146:CE146 CG146:CJ146 CL146:CO146 CQ146:CT146 CV146:CY146 DA146:DD146 DF146:DI146 DK146:DN146 DP146:DS146 DU146:DX146 DZ146:EC146 EE146:EH146 EJ146:EM146 EO146:ER146 ET146:EW146 EY146:FB146 FD146:FG146 FI146:FL146 FN146:FQ146 FS146:FV146 FX146:GA146 GC146:GF146 GH146:GK146 GM146:GP146 GR146:GU146 GW146:GZ146 HB146:HE146 HG146:HJ146 HL146:HO146 HQ146:HT146 HV146:HY146 IA146:ID146 IF146:II146 IK146:IN146 IP146:IS146 IU146:IV146</xm:sqref>
        </x14:conditionalFormatting>
        <x14:conditionalFormatting xmlns:xm="http://schemas.microsoft.com/office/excel/2006/main">
          <x14:cfRule type="containsText" priority="24" operator="containsText" id="{7E791939-1DF5-443B-91DE-68FD04E2C751}">
            <xm:f>NOT(ISERROR(SEARCH("",AC286)))</xm:f>
            <xm:f>""</xm:f>
            <x14:dxf>
              <numFmt numFmtId="3" formatCode="#,##0"/>
              <border>
                <left style="thin">
                  <color auto="1"/>
                </left>
                <right style="thin">
                  <color auto="1"/>
                </right>
                <top style="thin">
                  <color auto="1"/>
                </top>
                <bottom style="thin">
                  <color auto="1"/>
                </bottom>
                <vertical/>
                <horizontal/>
              </border>
            </x14:dxf>
          </x14:cfRule>
          <xm:sqref>AC286:IV286</xm:sqref>
        </x14:conditionalFormatting>
        <x14:conditionalFormatting xmlns:xm="http://schemas.microsoft.com/office/excel/2006/main">
          <x14:cfRule type="containsText" priority="23" operator="containsText" id="{38E5A5EC-5507-4653-BBBA-70ED1848C6CB}">
            <xm:f>NOT(ISERROR(SEARCH("",C267)))</xm:f>
            <xm:f>""</xm:f>
            <x14:dxf>
              <numFmt numFmtId="3" formatCode="#,##0"/>
              <border>
                <right style="thin">
                  <color auto="1"/>
                </right>
                <top style="thin">
                  <color auto="1"/>
                </top>
                <bottom style="thin">
                  <color auto="1"/>
                </bottom>
                <vertical/>
                <horizontal/>
              </border>
            </x14:dxf>
          </x14:cfRule>
          <xm:sqref>C267:IV285</xm:sqref>
        </x14:conditionalFormatting>
        <x14:conditionalFormatting xmlns:xm="http://schemas.microsoft.com/office/excel/2006/main">
          <x14:cfRule type="containsText" priority="22" operator="containsText" id="{9C47E825-D4C9-4338-9DDC-B83BA94B0C38}">
            <xm:f>NOT(ISERROR(SEARCH("",AD266)))</xm:f>
            <xm:f>""</xm:f>
            <x14:dxf>
              <numFmt numFmtId="3" formatCode="#,##0"/>
              <border>
                <left style="thin">
                  <color auto="1"/>
                </left>
                <right style="thin">
                  <color auto="1"/>
                </right>
                <top style="thin">
                  <color auto="1"/>
                </top>
                <bottom style="thin">
                  <color auto="1"/>
                </bottom>
                <vertical/>
                <horizontal/>
              </border>
            </x14:dxf>
          </x14:cfRule>
          <xm:sqref>AD266:AG266 AI266:AL266 AN266:AQ266 AS266:AV266 AX266:BA266 BC266:BF266 BH266:BK266 BM266:BP266 BR266:BU266 BW266:BZ266 CB266:CE266 CG266:CJ266 CL266:CO266 CQ266:CT266 CV266:CY266 DA266:DD266 DF266:DI266 DK266:DN266 DP266:DS266 DU266:DX266 DZ266:EC266 EE266:EH266 EJ266:EM266 EO266:ER266 ET266:EW266 EY266:FB266 FD266:FG266 FI266:FL266 FN266:FQ266 FS266:FV266 FX266:GA266 GC266:GF266 GH266:GK266 GM266:GP266 GR266:GU266 GW266:GZ266 HB266:HE266 HG266:HJ266 HL266:HO266 HQ266:HT266 HV266:HY266 IA266:ID266 IF266:II266 IK266:IN266 IP266:IS266 IU266:IV266</xm:sqref>
        </x14:conditionalFormatting>
        <x14:conditionalFormatting xmlns:xm="http://schemas.microsoft.com/office/excel/2006/main">
          <x14:cfRule type="containsText" priority="21" operator="containsText" id="{818CAE70-5F04-4446-B5B2-F628DE9234B0}">
            <xm:f>NOT(ISERROR(SEARCH("",AC266)))</xm:f>
            <xm:f>""</xm:f>
            <x14:dxf>
              <numFmt numFmtId="3" formatCode="#,##0"/>
              <border>
                <left style="thin">
                  <color auto="1"/>
                </left>
                <right style="thin">
                  <color auto="1"/>
                </right>
                <top style="thin">
                  <color auto="1"/>
                </top>
                <bottom style="thin">
                  <color auto="1"/>
                </bottom>
                <vertical/>
                <horizontal/>
              </border>
            </x14:dxf>
          </x14:cfRule>
          <xm:sqref>AC266 AH266 AM266 AR266 AW266 BB266 BG266 BL266 BQ266 BV266 CA266 CF266 CK266 CP266 CU266 CZ266 DE266 DJ266 DO266 DT266 DY266 ED266 EI266 EN266 ES266 EX266 FC266 FH266 FM266 FR266 FW266 GB266 GG266 GL266 GQ266 GV266 HA266 HF266 HK266 HP266 HU266 HZ266 IE266 IJ266 IO266 IT266</xm:sqref>
        </x14:conditionalFormatting>
        <x14:conditionalFormatting xmlns:xm="http://schemas.microsoft.com/office/excel/2006/main">
          <x14:cfRule type="containsText" priority="18" operator="containsText" id="{0C0C9EEB-A070-4A02-82EB-894748E209BF}">
            <xm:f>NOT(ISERROR(SEARCH("",AD242)))</xm:f>
            <xm:f>""</xm:f>
            <x14:dxf>
              <numFmt numFmtId="3" formatCode="#,##0"/>
              <border>
                <left style="thin">
                  <color auto="1"/>
                </left>
                <right style="thin">
                  <color auto="1"/>
                </right>
                <top style="thin">
                  <color auto="1"/>
                </top>
                <bottom style="thin">
                  <color auto="1"/>
                </bottom>
                <vertical/>
                <horizontal/>
              </border>
            </x14:dxf>
          </x14:cfRule>
          <xm:sqref>AD242:AG242 AI242:AL242 AN242:AQ242 AS242:AV242 AX242:BA242 BC242:BF242 BH242:BK242 BM242:BP242 BR242:BU242 BW242:BZ242 CB242:CE242 CG242:CJ242 CL242:CO242 CQ242:CT242 CV242:CY242 DA242:DD242 DF242:DI242 DK242:DN242 DP242:DS242 DU242:DX242 DZ242:EC242 EE242:EH242 EJ242:EM242 EO242:ER242 ET242:EW242 EY242:FB242 FD242:FG242 FI242:FL242 FN242:FQ242 FS242:FV242 FX242:GA242 GC242:GF242 GH242:GK242 GM242:GP242 GR242:GU242 GW242:GZ242 HB242:HE242 HG242:HJ242 HL242:HO242 HQ242:HT242 HV242:HY242 IA242:ID242 IF242:II242 IK242:IN242 IP242:IS242 IU242:IV242</xm:sqref>
        </x14:conditionalFormatting>
        <x14:conditionalFormatting xmlns:xm="http://schemas.microsoft.com/office/excel/2006/main">
          <x14:cfRule type="containsText" priority="17" operator="containsText" id="{DA694768-D9E8-457B-96DD-024FD71FF8E9}">
            <xm:f>NOT(ISERROR(SEARCH("",AC242)))</xm:f>
            <xm:f>""</xm:f>
            <x14:dxf>
              <numFmt numFmtId="3" formatCode="#,##0"/>
              <border>
                <left style="thin">
                  <color auto="1"/>
                </left>
                <right style="thin">
                  <color auto="1"/>
                </right>
                <top style="thin">
                  <color auto="1"/>
                </top>
                <bottom style="thin">
                  <color auto="1"/>
                </bottom>
                <vertical/>
                <horizontal/>
              </border>
            </x14:dxf>
          </x14:cfRule>
          <xm:sqref>AC242 AH242 AM242 AR242 AW242 BB242 BG242 BL242 BQ242 BV242 CA242 CF242 CK242 CP242 CU242 CZ242 DE242 DJ242 DO242 DT242 DY242 ED242 EI242 EN242 ES242 EX242 FC242 FH242 FM242 FR242 FW242 GB242 GG242 GL242 GQ242 GV242 HA242 HF242 HK242 HP242 HU242 HZ242 IE242 IJ242 IO242 IT242</xm:sqref>
        </x14:conditionalFormatting>
        <x14:conditionalFormatting xmlns:xm="http://schemas.microsoft.com/office/excel/2006/main">
          <x14:cfRule type="containsText" priority="16" operator="containsText" id="{E94B9230-0ED5-4C61-B76E-6074DC375708}">
            <xm:f>NOT(ISERROR(SEARCH("",AC238)))</xm:f>
            <xm:f>""</xm:f>
            <x14:dxf>
              <numFmt numFmtId="3" formatCode="#,##0"/>
              <border>
                <left style="thin">
                  <color auto="1"/>
                </left>
                <right style="thin">
                  <color auto="1"/>
                </right>
                <top style="thin">
                  <color auto="1"/>
                </top>
                <bottom style="thin">
                  <color auto="1"/>
                </bottom>
                <vertical/>
                <horizontal/>
              </border>
            </x14:dxf>
          </x14:cfRule>
          <xm:sqref>AC238:IV238</xm:sqref>
        </x14:conditionalFormatting>
        <x14:conditionalFormatting xmlns:xm="http://schemas.microsoft.com/office/excel/2006/main">
          <x14:cfRule type="containsText" priority="15" operator="containsText" id="{2E97A0BF-07FA-45C4-B6A4-A0BD3302A74D}">
            <xm:f>NOT(ISERROR(SEARCH("",C219)))</xm:f>
            <xm:f>""</xm:f>
            <x14:dxf>
              <numFmt numFmtId="3" formatCode="#,##0"/>
              <border>
                <right style="thin">
                  <color auto="1"/>
                </right>
                <top style="thin">
                  <color auto="1"/>
                </top>
                <bottom style="thin">
                  <color auto="1"/>
                </bottom>
                <vertical/>
                <horizontal/>
              </border>
            </x14:dxf>
          </x14:cfRule>
          <xm:sqref>C219:IV237</xm:sqref>
        </x14:conditionalFormatting>
        <x14:conditionalFormatting xmlns:xm="http://schemas.microsoft.com/office/excel/2006/main">
          <x14:cfRule type="containsText" priority="13" operator="containsText" id="{1F16A04F-D273-4E09-BB67-F2B7FF50FB7A}">
            <xm:f>NOT(ISERROR(SEARCH("",AC218)))</xm:f>
            <xm:f>""</xm:f>
            <x14:dxf>
              <numFmt numFmtId="3" formatCode="#,##0"/>
              <border>
                <left style="thin">
                  <color auto="1"/>
                </left>
                <right style="thin">
                  <color auto="1"/>
                </right>
                <top style="thin">
                  <color auto="1"/>
                </top>
                <bottom style="thin">
                  <color auto="1"/>
                </bottom>
                <vertical/>
                <horizontal/>
              </border>
            </x14:dxf>
          </x14:cfRule>
          <xm:sqref>AC218 AH218 AM218 AR218 AW218 BB218 BG218 BL218 BQ218 BV218 CA218 CF218 CK218 CP218 CU218 CZ218 DE218 DJ218 DO218 DT218 DY218 ED218 EI218 EN218 ES218 EX218 FC218 FH218 FM218 FR218 FW218 GB218 GG218 GL218 GQ218 GV218 HA218 HF218 HK218 HP218 HU218 HZ218 IE218 IJ218 IO218 IT218</xm:sqref>
        </x14:conditionalFormatting>
        <x14:conditionalFormatting xmlns:xm="http://schemas.microsoft.com/office/excel/2006/main">
          <x14:cfRule type="containsText" priority="12" operator="containsText" id="{423C17DE-52A0-4112-ADAC-6271DA8BE274}">
            <xm:f>NOT(ISERROR(SEARCH("",AC214)))</xm:f>
            <xm:f>""</xm:f>
            <x14:dxf>
              <numFmt numFmtId="3" formatCode="#,##0"/>
              <border>
                <left style="thin">
                  <color auto="1"/>
                </left>
                <right style="thin">
                  <color auto="1"/>
                </right>
                <top style="thin">
                  <color auto="1"/>
                </top>
                <bottom style="thin">
                  <color auto="1"/>
                </bottom>
                <vertical/>
                <horizontal/>
              </border>
            </x14:dxf>
          </x14:cfRule>
          <xm:sqref>AC214:IV214</xm:sqref>
        </x14:conditionalFormatting>
        <x14:conditionalFormatting xmlns:xm="http://schemas.microsoft.com/office/excel/2006/main">
          <x14:cfRule type="containsText" priority="11" operator="containsText" id="{6352189F-96DD-4DA9-A9DD-61493ABBCC1B}">
            <xm:f>NOT(ISERROR(SEARCH("",C195)))</xm:f>
            <xm:f>""</xm:f>
            <x14:dxf>
              <numFmt numFmtId="3" formatCode="#,##0"/>
              <border>
                <right style="thin">
                  <color auto="1"/>
                </right>
                <top style="thin">
                  <color auto="1"/>
                </top>
                <bottom style="thin">
                  <color auto="1"/>
                </bottom>
                <vertical/>
                <horizontal/>
              </border>
            </x14:dxf>
          </x14:cfRule>
          <xm:sqref>C195:IV213</xm:sqref>
        </x14:conditionalFormatting>
        <x14:conditionalFormatting xmlns:xm="http://schemas.microsoft.com/office/excel/2006/main">
          <x14:cfRule type="containsText" priority="10" operator="containsText" id="{CA93FCE6-B5C3-48F6-BF55-1230CA96CA60}">
            <xm:f>NOT(ISERROR(SEARCH("",AD194)))</xm:f>
            <xm:f>""</xm:f>
            <x14:dxf>
              <numFmt numFmtId="3" formatCode="#,##0"/>
              <border>
                <left style="thin">
                  <color auto="1"/>
                </left>
                <right style="thin">
                  <color auto="1"/>
                </right>
                <top style="thin">
                  <color auto="1"/>
                </top>
                <bottom style="thin">
                  <color auto="1"/>
                </bottom>
                <vertical/>
                <horizontal/>
              </border>
            </x14:dxf>
          </x14:cfRule>
          <xm:sqref>AD194:AG194 AI194:AL194 AN194:AQ194 AS194:AV194 AX194:BA194 BC194:BF194 BH194:BK194 BM194:BP194 BR194:BU194 BW194:BZ194 CB194:CE194 CG194:CJ194 CL194:CO194 CQ194:CT194 CV194:CY194 DA194:DD194 DF194:DI194 DK194:DN194 DP194:DS194 DU194:DX194 DZ194:EC194 EE194:EH194 EJ194:EM194 EO194:ER194 ET194:EW194 EY194:FB194 FD194:FG194 FI194:FL194 FN194:FQ194 FS194:FV194 FX194:GA194 GC194:GF194 GH194:GK194 GM194:GP194 GR194:GU194 GW194:GZ194 HB194:HE194 HG194:HJ194 HL194:HO194 HQ194:HT194 HV194:HY194 IA194:ID194 IF194:II194 IK194:IN194 IP194:IS194 IU194:IV194</xm:sqref>
        </x14:conditionalFormatting>
        <x14:conditionalFormatting xmlns:xm="http://schemas.microsoft.com/office/excel/2006/main">
          <x14:cfRule type="containsText" priority="9" operator="containsText" id="{51AED261-95EF-48CF-AF57-89BD9EDD452F}">
            <xm:f>NOT(ISERROR(SEARCH("",AC194)))</xm:f>
            <xm:f>""</xm:f>
            <x14:dxf>
              <numFmt numFmtId="3" formatCode="#,##0"/>
              <border>
                <left style="thin">
                  <color auto="1"/>
                </left>
                <right style="thin">
                  <color auto="1"/>
                </right>
                <top style="thin">
                  <color auto="1"/>
                </top>
                <bottom style="thin">
                  <color auto="1"/>
                </bottom>
                <vertical/>
                <horizontal/>
              </border>
            </x14:dxf>
          </x14:cfRule>
          <xm:sqref>AC194 AH194 AM194 AR194 AW194 BB194 BG194 BL194 BQ194 BV194 CA194 CF194 CK194 CP194 CU194 CZ194 DE194 DJ194 DO194 DT194 DY194 ED194 EI194 EN194 ES194 EX194 FC194 FH194 FM194 FR194 FW194 GB194 GG194 GL194 GQ194 GV194 HA194 HF194 HK194 HP194 HU194 HZ194 IE194 IJ194 IO194 IT194</xm:sqref>
        </x14:conditionalFormatting>
        <x14:conditionalFormatting xmlns:xm="http://schemas.microsoft.com/office/excel/2006/main">
          <x14:cfRule type="containsText" priority="6" operator="containsText" id="{D13CCB84-8C92-4991-BC5E-5DF9D7A58ED6}">
            <xm:f>NOT(ISERROR(SEARCH("",AD170)))</xm:f>
            <xm:f>""</xm:f>
            <x14:dxf>
              <numFmt numFmtId="3" formatCode="#,##0"/>
              <border>
                <left style="thin">
                  <color auto="1"/>
                </left>
                <right style="thin">
                  <color auto="1"/>
                </right>
                <top style="thin">
                  <color auto="1"/>
                </top>
                <bottom style="thin">
                  <color auto="1"/>
                </bottom>
                <vertical/>
                <horizontal/>
              </border>
            </x14:dxf>
          </x14:cfRule>
          <xm:sqref>AD170:AG170 AI170:AL170 AN170:AQ170 AS170:AV170 AX170:BA170 BC170:BF170 BH170:BK170 BM170:BP170 BR170:BU170 BW170:BZ170 CB170:CE170 CG170:CJ170 CL170:CO170 CQ170:CT170 CV170:CY170 DA170:DD170 DF170:DI170 DK170:DN170 DP170:DS170 DU170:DX170 DZ170:EC170 EE170:EH170 EJ170:EM170 EO170:ER170 ET170:EW170 EY170:FB170 FD170:FG170 FI170:FL170 FN170:FQ170 FS170:FV170 FX170:GA170 GC170:GF170 GH170:GK170 GM170:GP170 GR170:GU170 GW170:GZ170 HB170:HE170 HG170:HJ170 HL170:HO170 HQ170:HT170 HV170:HY170 IA170:ID170 IF170:II170 IK170:IN170 IP170:IS170 IU170:IV170</xm:sqref>
        </x14:conditionalFormatting>
        <x14:conditionalFormatting xmlns:xm="http://schemas.microsoft.com/office/excel/2006/main">
          <x14:cfRule type="containsText" priority="5" operator="containsText" id="{5F2BACEF-547E-4845-AB1E-7B72B374A870}">
            <xm:f>NOT(ISERROR(SEARCH("",AC170)))</xm:f>
            <xm:f>""</xm:f>
            <x14:dxf>
              <numFmt numFmtId="3" formatCode="#,##0"/>
              <border>
                <left style="thin">
                  <color auto="1"/>
                </left>
                <right style="thin">
                  <color auto="1"/>
                </right>
                <top style="thin">
                  <color auto="1"/>
                </top>
                <bottom style="thin">
                  <color auto="1"/>
                </bottom>
                <vertical/>
                <horizontal/>
              </border>
            </x14:dxf>
          </x14:cfRule>
          <xm:sqref>AC170 AH170 AM170 AR170 AW170 BB170 BG170 BL170 BQ170 BV170 CA170 CF170 CK170 CP170 CU170 CZ170 DE170 DJ170 DO170 DT170 DY170 ED170 EI170 EN170 ES170 EX170 FC170 FH170 FM170 FR170 FW170 GB170 GG170 GL170 GQ170 GV170 HA170 HF170 HK170 HP170 HU170 HZ170 IE170 IJ170 IO170 IT170</xm:sqref>
        </x14:conditionalFormatting>
        <x14:conditionalFormatting xmlns:xm="http://schemas.microsoft.com/office/excel/2006/main">
          <x14:cfRule type="containsText" priority="4" operator="containsText" id="{C9371BB0-429B-4074-8FD0-B00A90CBFE45}">
            <xm:f>NOT(ISERROR(SEARCH("",AC166)))</xm:f>
            <xm:f>""</xm:f>
            <x14:dxf>
              <numFmt numFmtId="3" formatCode="#,##0"/>
              <border>
                <left style="thin">
                  <color auto="1"/>
                </left>
                <right style="thin">
                  <color auto="1"/>
                </right>
                <top style="thin">
                  <color auto="1"/>
                </top>
                <bottom style="thin">
                  <color auto="1"/>
                </bottom>
                <vertical/>
                <horizontal/>
              </border>
            </x14:dxf>
          </x14:cfRule>
          <xm:sqref>AC166:IV166</xm:sqref>
        </x14:conditionalFormatting>
        <x14:conditionalFormatting xmlns:xm="http://schemas.microsoft.com/office/excel/2006/main">
          <x14:cfRule type="containsText" priority="3" operator="containsText" id="{BA57CCCC-AC6C-4B64-A86B-D875D066273C}">
            <xm:f>NOT(ISERROR(SEARCH("",C147)))</xm:f>
            <xm:f>""</xm:f>
            <x14:dxf>
              <numFmt numFmtId="3" formatCode="#,##0"/>
              <border>
                <right style="thin">
                  <color auto="1"/>
                </right>
                <top style="thin">
                  <color auto="1"/>
                </top>
                <bottom style="thin">
                  <color auto="1"/>
                </bottom>
                <vertical/>
                <horizontal/>
              </border>
            </x14:dxf>
          </x14:cfRule>
          <xm:sqref>C147:IV165</xm:sqref>
        </x14:conditionalFormatting>
        <x14:conditionalFormatting xmlns:xm="http://schemas.microsoft.com/office/excel/2006/main">
          <x14:cfRule type="containsText" priority="1" operator="containsText" id="{3AE22C75-DB0E-4BDC-BA55-669E6E3779AC}">
            <xm:f>NOT(ISERROR(SEARCH("",AC146)))</xm:f>
            <xm:f>""</xm:f>
            <x14:dxf>
              <numFmt numFmtId="3" formatCode="#,##0"/>
              <border>
                <left style="thin">
                  <color auto="1"/>
                </left>
                <right style="thin">
                  <color auto="1"/>
                </right>
                <top style="thin">
                  <color auto="1"/>
                </top>
                <bottom style="thin">
                  <color auto="1"/>
                </bottom>
                <vertical/>
                <horizontal/>
              </border>
            </x14:dxf>
          </x14:cfRule>
          <xm:sqref>AC146 AH146 AM146 AR146 AW146 BB146 BG146 BL146 BQ146 BV146 CA146 CF146 CK146 CP146 CU146 CZ146 DE146 DJ146 DO146 DT146 DY146 ED146 EI146 EN146 ES146 EX146 FC146 FH146 FM146 FR146 FW146 GB146 GG146 GL146 GQ146 GV146 HA146 HF146 HK146 HP146 HU146 HZ146 IE146 IJ146 IO146 IT146</xm:sqref>
        </x14:conditionalFormatting>
      </x14:conditionalFormatting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mc:Ignorable="x14ac xr">
  <sheetPr codeName="Hoja14">
    <tabColor indexed="47"/>
  </sheetPr>
  <dimension ref="A1:IV271"/>
  <sheetViews>
    <sheetView showGridLines="0" view="pageBreakPreview" zoomScaleNormal="100" workbookViewId="0">
      <pane ySplit="9" topLeftCell="A10" activePane="bottomLeft" state="frozen"/>
      <selection pane="bottomLeft" activeCell="A7" sqref="A7"/>
    </sheetView>
  </sheetViews>
  <sheetFormatPr baseColWidth="10" defaultRowHeight="12.75"/>
  <cols>
    <col min="1" max="1" width="10.5703125" customWidth="1" style="51"/>
    <col min="2" max="2" width="18" customWidth="1" style="51"/>
    <col min="3" max="11" width="11.7109375" customWidth="1" style="51"/>
    <col min="12" max="12" width="11.42578125" customWidth="1" style="51"/>
    <col min="13" max="13" width="12.5703125" customWidth="1" style="51"/>
    <col min="14" max="14" width="15.140625" customWidth="1" style="51"/>
    <col min="15" max="15" width="14.140625" customWidth="1" style="51"/>
    <col min="16" max="16384" width="11.42578125" customWidth="1" style="51"/>
  </cols>
  <sheetData>
    <row r="1">
      <c r="A1" s="46"/>
      <c r="B1" s="47"/>
      <c r="C1" s="47"/>
      <c r="D1" s="47"/>
      <c r="E1" s="47"/>
      <c r="F1" s="47"/>
      <c r="G1" s="47"/>
      <c r="H1" s="47"/>
      <c r="I1" s="47"/>
      <c r="J1" s="47"/>
      <c r="K1" s="47"/>
      <c r="L1" s="47"/>
      <c r="M1" s="47"/>
      <c r="N1" s="47"/>
      <c r="O1" s="49"/>
      <c r="P1" s="50"/>
      <c r="Q1" s="50"/>
    </row>
    <row r="2">
      <c r="A2" s="52"/>
      <c r="B2" s="49"/>
      <c r="C2" s="49"/>
      <c r="D2" s="49"/>
      <c r="E2" s="49"/>
      <c r="F2" s="49"/>
      <c r="G2" s="49"/>
      <c r="H2" s="49"/>
      <c r="I2" s="49"/>
      <c r="J2" s="49"/>
      <c r="K2" s="49"/>
      <c r="L2" s="49"/>
      <c r="M2" s="49"/>
      <c r="N2" s="49"/>
      <c r="O2" s="49"/>
      <c r="P2" s="50"/>
      <c r="Q2" s="50"/>
    </row>
    <row r="3">
      <c r="A3" s="52"/>
      <c r="B3" s="49"/>
      <c r="C3" s="49"/>
      <c r="D3" s="49"/>
      <c r="E3" s="49"/>
      <c r="F3" s="49"/>
      <c r="G3" s="49"/>
      <c r="H3" s="49"/>
      <c r="I3" s="49"/>
      <c r="J3" s="49"/>
      <c r="K3" s="49"/>
      <c r="L3" s="49"/>
      <c r="M3" s="49"/>
      <c r="N3" s="49"/>
      <c r="O3" s="49"/>
      <c r="P3" s="50"/>
      <c r="Q3" s="50"/>
    </row>
    <row r="4">
      <c r="A4" s="52"/>
      <c r="B4" s="49"/>
      <c r="C4" s="49"/>
      <c r="D4" s="49"/>
      <c r="E4" s="49"/>
      <c r="F4" s="49"/>
      <c r="G4" s="49"/>
      <c r="H4" s="49"/>
      <c r="I4" s="49"/>
      <c r="J4" s="49"/>
      <c r="K4" s="49"/>
      <c r="L4" s="49"/>
      <c r="M4" s="49"/>
      <c r="N4" s="49"/>
      <c r="O4" s="49"/>
      <c r="P4" s="50"/>
      <c r="Q4" s="50"/>
    </row>
    <row r="5">
      <c r="A5" s="52"/>
      <c r="B5" s="49"/>
      <c r="C5" s="49"/>
      <c r="D5" s="49"/>
      <c r="E5" s="49"/>
      <c r="F5" s="49"/>
      <c r="G5" s="49"/>
      <c r="H5" s="49"/>
      <c r="I5" s="49"/>
      <c r="J5" s="49"/>
      <c r="K5" s="49"/>
      <c r="L5" s="49"/>
      <c r="M5" s="49"/>
      <c r="N5" s="49"/>
      <c r="O5" s="49"/>
      <c r="P5" s="50"/>
      <c r="Q5" s="50"/>
    </row>
    <row r="6" ht="13.5">
      <c r="A6" s="54"/>
      <c r="B6" s="55"/>
      <c r="C6" s="55"/>
      <c r="D6" s="55"/>
      <c r="E6" s="55"/>
      <c r="F6" s="55"/>
      <c r="G6" s="55"/>
      <c r="H6" s="55"/>
      <c r="I6" s="55"/>
      <c r="J6" s="55"/>
      <c r="K6" s="55"/>
      <c r="L6" s="55"/>
      <c r="M6" s="55"/>
      <c r="N6" s="55"/>
      <c r="O6" s="49"/>
      <c r="P6" s="50"/>
      <c r="Q6" s="50"/>
    </row>
    <row r="7" s="57" customFormat="1">
      <c r="N7" s="58"/>
      <c r="O7" s="58"/>
      <c r="P7" s="58"/>
      <c r="Q7" s="58"/>
    </row>
    <row r="8">
      <c r="E8" s="131">
        <v>20</v>
      </c>
      <c r="F8" s="131"/>
      <c r="I8" s="51" t="s">
        <v>100</v>
      </c>
      <c r="J8" s="51" t="e">
        <f>LOOKUP(AUX!$E$10,AUX!$B:$B,AUX!$A:$A)</f>
        <v>#N/A</v>
      </c>
      <c r="N8" s="50"/>
      <c r="O8" s="50"/>
      <c r="P8" s="50"/>
      <c r="Q8" s="50"/>
    </row>
    <row r="9">
      <c r="A9" s="597" t="s">
        <v>101</v>
      </c>
      <c r="B9" s="597"/>
      <c r="C9" s="597"/>
      <c r="D9" s="597"/>
      <c r="I9" s="51" t="s">
        <v>1</v>
      </c>
      <c r="J9" s="51" t="str">
        <f>LOOKUP(AUX!$E$11,AUX!$E1:$E5,AUX!$D1:$D5)</f>
        <v>6 meses</v>
      </c>
      <c r="N9" s="50"/>
      <c r="O9" s="50"/>
    </row>
    <row r="12" ht="13.5"/>
    <row r="13" ht="16.5" customHeight="1">
      <c r="C13" s="695" t="s">
        <v>96</v>
      </c>
      <c r="D13" s="696"/>
      <c r="E13" s="696"/>
      <c r="F13" s="696"/>
      <c r="G13" s="696"/>
      <c r="H13" s="696"/>
      <c r="I13" s="696"/>
      <c r="J13" s="696"/>
      <c r="K13" s="696"/>
      <c r="L13" s="696"/>
      <c r="M13" s="697"/>
    </row>
    <row r="14" ht="15.75">
      <c r="C14" s="698" t="s">
        <v>251</v>
      </c>
      <c r="D14" s="699"/>
      <c r="E14" s="699"/>
      <c r="F14" s="699"/>
      <c r="G14" s="699"/>
      <c r="H14" s="699"/>
      <c r="I14" s="699"/>
      <c r="J14" s="699"/>
      <c r="K14" s="699"/>
      <c r="L14" s="699"/>
      <c r="M14" s="700"/>
    </row>
    <row r="15">
      <c r="B15" s="50"/>
      <c r="C15" s="303"/>
      <c r="D15" s="304"/>
      <c r="E15" s="304"/>
      <c r="F15" s="304"/>
      <c r="G15" s="304"/>
      <c r="H15" s="304"/>
      <c r="I15" s="304"/>
      <c r="J15" s="304"/>
      <c r="K15" s="304"/>
      <c r="L15" s="142"/>
      <c r="M15" s="143"/>
    </row>
    <row r="16" ht="15.75" customHeight="1">
      <c r="A16" s="58"/>
      <c r="B16" s="305"/>
      <c r="C16" s="145" t="e">
        <f>INDEX(AUX!$G$1:$IV$1,1,AUX!$E$10+(AUX!$E$11*AUX!G$2))</f>
        <v>#VALUE!</v>
      </c>
      <c r="D16" s="146">
        <f>INDEX(AUX!$G$1:$IV$1,1,AUX!$E$10+(AUX!$E$11*AUX!H$2))</f>
        <v>38899</v>
      </c>
      <c r="E16" s="146">
        <f>INDEX(AUX!$G$1:$IV$1,1,AUX!$E$10+(AUX!$E$11*AUX!I$2))</f>
        <v>39083</v>
      </c>
      <c r="F16" s="146">
        <f>INDEX(AUX!$G$1:$IV$1,1,AUX!$E$10+(AUX!$E$11*AUX!J$2))</f>
        <v>39264</v>
      </c>
      <c r="G16" s="146">
        <f>INDEX(AUX!$G$1:$IV$1,1,AUX!$E$10+(AUX!$E$11*AUX!K$2))</f>
        <v>39448</v>
      </c>
      <c r="H16" s="146">
        <f>INDEX(AUX!$G$1:$IV$1,1,AUX!$E$10+(AUX!$E$11*AUX!L$2))</f>
        <v>39630</v>
      </c>
      <c r="I16" s="146">
        <f>INDEX(AUX!$G$1:$IV$1,1,AUX!$E$10+(AUX!$E$11*AUX!M$2))</f>
        <v>39814</v>
      </c>
      <c r="J16" s="146">
        <f>INDEX(AUX!$G$1:$IV$1,1,AUX!$E$10+(AUX!$E$11*AUX!N$2))</f>
        <v>39995</v>
      </c>
      <c r="K16" s="146">
        <f>INDEX(AUX!$G$1:$IV$1,1,AUX!$E$10+(AUX!$E$11*AUX!O$2))</f>
        <v>40179</v>
      </c>
      <c r="L16" s="146">
        <f>INDEX(AUX!$G$1:$IV$1,1,AUX!$E$10+(AUX!$E$11*AUX!P$2))</f>
        <v>40360</v>
      </c>
      <c r="M16" s="147">
        <f>INDEX(AUX!$G$1:$IV$1,1,AUX!$E$10+(AUX!$E$11*AUX!Q$2))</f>
        <v>40544</v>
      </c>
    </row>
    <row r="17" ht="15.75" customHeight="1">
      <c r="A17" s="154"/>
      <c r="B17" s="207"/>
      <c r="C17" s="624" t="s">
        <v>235</v>
      </c>
      <c r="D17" s="625"/>
      <c r="E17" s="625"/>
      <c r="F17" s="625"/>
      <c r="G17" s="625"/>
      <c r="H17" s="625"/>
      <c r="I17" s="625"/>
      <c r="J17" s="625"/>
      <c r="K17" s="625"/>
      <c r="L17" s="625"/>
      <c r="M17" s="626"/>
    </row>
    <row r="18" ht="15.75" customHeight="1">
      <c r="A18" s="58"/>
      <c r="B18" s="306" t="str">
        <f>INDEX($B$140:$I$159,$E$8,1)</f>
        <v>Total</v>
      </c>
      <c r="C18" s="234" t="str">
        <f>IF(INDEX($C$140:$II$159,$E$8,AUX!$E$10+(AUX!$E$11*AUX!G$2))="","--",IF(INDEX($C$140:$II$159,$E$8,AUX!$E$10+(AUX!$E$11*AUX!G$2))=0,"-",INDEX($C$140:$II$159,$E$8,AUX!$E$10+(AUX!$E$11*AUX!G$2))))</f>
        <v>--</v>
      </c>
      <c r="D18" s="235" t="str">
        <f>IF(INDEX($C$140:$II$159,$E$8,AUX!$E$10+(AUX!$E$11*AUX!H$2))="","--",IF(INDEX($C$140:$II$159,$E$8,AUX!$E$10+(AUX!$E$11*AUX!H$2))=0,"-",INDEX($C$140:$II$159,$E$8,AUX!$E$10+(AUX!$E$11*AUX!H$2))))</f>
        <v>--</v>
      </c>
      <c r="E18" s="235" t="str">
        <f>IF(INDEX($C$140:$II$159,$E$8,AUX!$E$10+(AUX!$E$11*AUX!I$2))="","--",IF(INDEX($C$140:$II$159,$E$8,AUX!$E$10+(AUX!$E$11*AUX!I$2))=0,"-",INDEX($C$140:$II$159,$E$8,AUX!$E$10+(AUX!$E$11*AUX!I$2))))</f>
        <v>--</v>
      </c>
      <c r="F18" s="235" t="str">
        <f>IF(INDEX($C$140:$II$159,$E$8,AUX!$E$10+(AUX!$E$11*AUX!J$2))="","--",IF(INDEX($C$140:$II$159,$E$8,AUX!$E$10+(AUX!$E$11*AUX!J$2))=0,"-",INDEX($C$140:$II$159,$E$8,AUX!$E$10+(AUX!$E$11*AUX!J$2))))</f>
        <v>--</v>
      </c>
      <c r="G18" s="235" t="str">
        <f>IF(INDEX($C$140:$II$159,$E$8,AUX!$E$10+(AUX!$E$11*AUX!K$2))="","--",IF(INDEX($C$140:$II$159,$E$8,AUX!$E$10+(AUX!$E$11*AUX!K$2))=0,"-",INDEX($C$140:$II$159,$E$8,AUX!$E$10+(AUX!$E$11*AUX!K$2))))</f>
        <v>--</v>
      </c>
      <c r="H18" s="235" t="str">
        <f>IF(INDEX($C$140:$II$159,$E$8,AUX!$E$10+(AUX!$E$11*AUX!L$2))="","--",IF(INDEX($C$140:$II$159,$E$8,AUX!$E$10+(AUX!$E$11*AUX!L$2))=0,"-",INDEX($C$140:$II$159,$E$8,AUX!$E$10+(AUX!$E$11*AUX!L$2))))</f>
        <v>--</v>
      </c>
      <c r="I18" s="235" t="str">
        <f>IF(INDEX($C$140:$II$159,$E$8,AUX!$E$10+(AUX!$E$11*AUX!M$2))="","--",IF(INDEX($C$140:$II$159,$E$8,AUX!$E$10+(AUX!$E$11*AUX!M$2))=0,"-",INDEX($C$140:$II$159,$E$8,AUX!$E$10+(AUX!$E$11*AUX!M$2))))</f>
        <v>--</v>
      </c>
      <c r="J18" s="235" t="str">
        <f>IF(INDEX($C$140:$II$159,$E$8,AUX!$E$10+(AUX!$E$11*AUX!N$2))="","--",IF(INDEX($C$140:$II$159,$E$8,AUX!$E$10+(AUX!$E$11*AUX!N$2))=0,"-",INDEX($C$140:$II$159,$E$8,AUX!$E$10+(AUX!$E$11*AUX!N$2))))</f>
        <v>--</v>
      </c>
      <c r="K18" s="235" t="str">
        <f>IF(INDEX($C$140:$II$159,$E$8,AUX!$E$10+(AUX!$E$11*AUX!O$2))="","--",IF(INDEX($C$140:$II$159,$E$8,AUX!$E$10+(AUX!$E$11*AUX!O$2))=0,"-",INDEX($C$140:$II$159,$E$8,AUX!$E$10+(AUX!$E$11*AUX!O$2))))</f>
        <v>--</v>
      </c>
      <c r="L18" s="235" t="str">
        <f>IF(INDEX($C$140:$II$159,$E$8,AUX!$E$10+(AUX!$E$11*AUX!P$2))="","--",IF(INDEX($C$140:$II$159,$E$8,AUX!$E$10+(AUX!$E$11*AUX!P$2))=0,"-",INDEX($C$140:$II$159,$E$8,AUX!$E$10+(AUX!$E$11*AUX!P$2))))</f>
        <v>--</v>
      </c>
      <c r="M18" s="236" t="str">
        <f>IF(INDEX($C$140:$II$159,$E$8,AUX!$E$10+(AUX!$E$11*AUX!Q$2))="","--",IF(INDEX($C$140:$II$159,$E$8,AUX!$E$10+(AUX!$E$11*AUX!Q$2))=0,"-",INDEX($C$140:$II$159,$E$8,AUX!$E$10+(AUX!$E$11*AUX!Q$2))))</f>
        <v>--</v>
      </c>
    </row>
    <row r="19" ht="15.75" customHeight="1">
      <c r="A19" s="154"/>
      <c r="B19" s="281"/>
      <c r="C19" s="624" t="s">
        <v>236</v>
      </c>
      <c r="D19" s="625"/>
      <c r="E19" s="625"/>
      <c r="F19" s="625"/>
      <c r="G19" s="625"/>
      <c r="H19" s="625"/>
      <c r="I19" s="625"/>
      <c r="J19" s="625"/>
      <c r="K19" s="625"/>
      <c r="L19" s="625"/>
      <c r="M19" s="626"/>
    </row>
    <row r="20" ht="15.75" customHeight="1">
      <c r="A20" s="282"/>
      <c r="B20" s="206"/>
      <c r="C20" s="234" t="str">
        <f>IF(INDEX($C$163:$II$182,$E$8,AUX!$E$10+(AUX!$E$11*AUX!G$2))="","--",IF(INDEX($C$163:$II$182,$E$8,AUX!$E$10+(AUX!$E$11*AUX!G$2))=0,"-",INDEX($C$163:$II$182,$E$8,AUX!$E$10+(AUX!$E$11*AUX!G$2))))</f>
        <v>--</v>
      </c>
      <c r="D20" s="235" t="str">
        <f>IF(INDEX($C$163:$II$182,$E$8,AUX!$E$10+(AUX!$E$11*AUX!H$2))="","--",IF(INDEX($C$163:$II$182,$E$8,AUX!$E$10+(AUX!$E$11*AUX!H$2))=0,"-",INDEX($C$163:$II$182,$E$8,AUX!$E$10+(AUX!$E$11*AUX!H$2))))</f>
        <v>--</v>
      </c>
      <c r="E20" s="235" t="str">
        <f>IF(INDEX($C$163:$II$182,$E$8,AUX!$E$10+(AUX!$E$11*AUX!I$2))="","--",IF(INDEX($C$163:$II$182,$E$8,AUX!$E$10+(AUX!$E$11*AUX!I$2))=0,"-",INDEX($C$163:$II$182,$E$8,AUX!$E$10+(AUX!$E$11*AUX!I$2))))</f>
        <v>--</v>
      </c>
      <c r="F20" s="235" t="str">
        <f>IF(INDEX($C$163:$II$182,$E$8,AUX!$E$10+(AUX!$E$11*AUX!J$2))="","--",IF(INDEX($C$163:$II$182,$E$8,AUX!$E$10+(AUX!$E$11*AUX!J$2))=0,"-",INDEX($C$163:$II$182,$E$8,AUX!$E$10+(AUX!$E$11*AUX!J$2))))</f>
        <v>--</v>
      </c>
      <c r="G20" s="235" t="str">
        <f>IF(INDEX($C$163:$II$182,$E$8,AUX!$E$10+(AUX!$E$11*AUX!K$2))="","--",IF(INDEX($C$163:$II$182,$E$8,AUX!$E$10+(AUX!$E$11*AUX!K$2))=0,"-",INDEX($C$163:$II$182,$E$8,AUX!$E$10+(AUX!$E$11*AUX!K$2))))</f>
        <v>--</v>
      </c>
      <c r="H20" s="235" t="str">
        <f>IF(INDEX($C$163:$II$182,$E$8,AUX!$E$10+(AUX!$E$11*AUX!L$2))="","--",IF(INDEX($C$163:$II$182,$E$8,AUX!$E$10+(AUX!$E$11*AUX!L$2))=0,"-",INDEX($C$163:$II$182,$E$8,AUX!$E$10+(AUX!$E$11*AUX!L$2))))</f>
        <v>--</v>
      </c>
      <c r="I20" s="235" t="str">
        <f>IF(INDEX($C$163:$II$182,$E$8,AUX!$E$10+(AUX!$E$11*AUX!M$2))="","--",IF(INDEX($C$163:$II$182,$E$8,AUX!$E$10+(AUX!$E$11*AUX!M$2))=0,"-",INDEX($C$163:$II$182,$E$8,AUX!$E$10+(AUX!$E$11*AUX!M$2))))</f>
        <v>--</v>
      </c>
      <c r="J20" s="235" t="str">
        <f>IF(INDEX($C$163:$II$182,$E$8,AUX!$E$10+(AUX!$E$11*AUX!N$2))="","--",IF(INDEX($C$163:$II$182,$E$8,AUX!$E$10+(AUX!$E$11*AUX!N$2))=0,"-",INDEX($C$163:$II$182,$E$8,AUX!$E$10+(AUX!$E$11*AUX!N$2))))</f>
        <v>--</v>
      </c>
      <c r="K20" s="235" t="str">
        <f>IF(INDEX($C$163:$II$182,$E$8,AUX!$E$10+(AUX!$E$11*AUX!O$2))="","--",IF(INDEX($C$163:$II$182,$E$8,AUX!$E$10+(AUX!$E$11*AUX!O$2))=0,"-",INDEX($C$163:$II$182,$E$8,AUX!$E$10+(AUX!$E$11*AUX!O$2))))</f>
        <v>--</v>
      </c>
      <c r="L20" s="235" t="str">
        <f>IF(INDEX($C$163:$II$182,$E$8,AUX!$E$10+(AUX!$E$11*AUX!P$2))="","--",IF(INDEX($C$163:$II$182,$E$8,AUX!$E$10+(AUX!$E$11*AUX!P$2))=0,"-",INDEX($C$163:$II$182,$E$8,AUX!$E$10+(AUX!$E$11*AUX!P$2))))</f>
        <v>--</v>
      </c>
      <c r="M20" s="236" t="str">
        <f>IF(INDEX($C$163:$II$182,$E$8,AUX!$E$10+(AUX!$E$11*AUX!Q$2))="","--",IF(INDEX($C$163:$II$182,$E$8,AUX!$E$10+(AUX!$E$11*AUX!Q$2))=0,"-",INDEX($C$163:$II$182,$E$8,AUX!$E$10+(AUX!$E$11*AUX!Q$2))))</f>
        <v>--</v>
      </c>
    </row>
    <row r="21" ht="15.75" customHeight="1">
      <c r="A21" s="154"/>
      <c r="B21" s="281"/>
      <c r="C21" s="624" t="s">
        <v>237</v>
      </c>
      <c r="D21" s="625"/>
      <c r="E21" s="625"/>
      <c r="F21" s="625"/>
      <c r="G21" s="625"/>
      <c r="H21" s="625"/>
      <c r="I21" s="625"/>
      <c r="J21" s="625"/>
      <c r="K21" s="625"/>
      <c r="L21" s="625"/>
      <c r="M21" s="626"/>
    </row>
    <row r="22" ht="15.75" customHeight="1">
      <c r="A22" s="282"/>
      <c r="B22" s="206"/>
      <c r="C22" s="234" t="str">
        <f>IF(INDEX($C$186:$II$205,$E$8,AUX!$E$10+(AUX!$E$11*AUX!G$2))="","--",IF(INDEX($C$186:$II$205,$E$8,AUX!$E$10+(AUX!$E$11*AUX!G$2))=0,"-",INDEX($C$186:$II$205,$E$8,AUX!$E$10+(AUX!$E$11*AUX!G$2))))</f>
        <v>--</v>
      </c>
      <c r="D22" s="235" t="str">
        <f>IF(INDEX($C$186:$II$205,$E$8,AUX!$E$10+(AUX!$E$11*AUX!H$2))="","--",IF(INDEX($C$186:$II$205,$E$8,AUX!$E$10+(AUX!$E$11*AUX!H$2))=0,"-",INDEX($C$186:$II$205,$E$8,AUX!$E$10+(AUX!$E$11*AUX!H$2))))</f>
        <v>--</v>
      </c>
      <c r="E22" s="235" t="str">
        <f>IF(INDEX($C$186:$II$205,$E$8,AUX!$E$10+(AUX!$E$11*AUX!I$2))="","--",IF(INDEX($C$186:$II$205,$E$8,AUX!$E$10+(AUX!$E$11*AUX!I$2))=0,"-",INDEX($C$186:$II$205,$E$8,AUX!$E$10+(AUX!$E$11*AUX!I$2))))</f>
        <v>--</v>
      </c>
      <c r="F22" s="235" t="str">
        <f>IF(INDEX($C$186:$II$205,$E$8,AUX!$E$10+(AUX!$E$11*AUX!J$2))="","--",IF(INDEX($C$186:$II$205,$E$8,AUX!$E$10+(AUX!$E$11*AUX!J$2))=0,"-",INDEX($C$186:$II$205,$E$8,AUX!$E$10+(AUX!$E$11*AUX!J$2))))</f>
        <v>--</v>
      </c>
      <c r="G22" s="235" t="str">
        <f>IF(INDEX($C$186:$II$205,$E$8,AUX!$E$10+(AUX!$E$11*AUX!K$2))="","--",IF(INDEX($C$186:$II$205,$E$8,AUX!$E$10+(AUX!$E$11*AUX!K$2))=0,"-",INDEX($C$186:$II$205,$E$8,AUX!$E$10+(AUX!$E$11*AUX!K$2))))</f>
        <v>--</v>
      </c>
      <c r="H22" s="235" t="str">
        <f>IF(INDEX($C$186:$II$205,$E$8,AUX!$E$10+(AUX!$E$11*AUX!L$2))="","--",IF(INDEX($C$186:$II$205,$E$8,AUX!$E$10+(AUX!$E$11*AUX!L$2))=0,"-",INDEX($C$186:$II$205,$E$8,AUX!$E$10+(AUX!$E$11*AUX!L$2))))</f>
        <v>--</v>
      </c>
      <c r="I22" s="235" t="str">
        <f>IF(INDEX($C$186:$II$205,$E$8,AUX!$E$10+(AUX!$E$11*AUX!M$2))="","--",IF(INDEX($C$186:$II$205,$E$8,AUX!$E$10+(AUX!$E$11*AUX!M$2))=0,"-",INDEX($C$186:$II$205,$E$8,AUX!$E$10+(AUX!$E$11*AUX!M$2))))</f>
        <v>--</v>
      </c>
      <c r="J22" s="235" t="str">
        <f>IF(INDEX($C$186:$II$205,$E$8,AUX!$E$10+(AUX!$E$11*AUX!N$2))="","--",IF(INDEX($C$186:$II$205,$E$8,AUX!$E$10+(AUX!$E$11*AUX!N$2))=0,"-",INDEX($C$186:$II$205,$E$8,AUX!$E$10+(AUX!$E$11*AUX!N$2))))</f>
        <v>--</v>
      </c>
      <c r="K22" s="235" t="str">
        <f>IF(INDEX($C$186:$II$205,$E$8,AUX!$E$10+(AUX!$E$11*AUX!O$2))="","--",IF(INDEX($C$186:$II$205,$E$8,AUX!$E$10+(AUX!$E$11*AUX!O$2))=0,"-",INDEX($C$186:$II$205,$E$8,AUX!$E$10+(AUX!$E$11*AUX!O$2))))</f>
        <v>--</v>
      </c>
      <c r="L22" s="235" t="str">
        <f>IF(INDEX($C$186:$II$205,$E$8,AUX!$E$10+(AUX!$E$11*AUX!P$2))="","--",IF(INDEX($C$186:$II$205,$E$8,AUX!$E$10+(AUX!$E$11*AUX!P$2))=0,"-",INDEX($C$186:$II$205,$E$8,AUX!$E$10+(AUX!$E$11*AUX!P$2))))</f>
        <v>--</v>
      </c>
      <c r="M22" s="236" t="str">
        <f>IF(INDEX($C$186:$II$205,$E$8,AUX!$E$10+(AUX!$E$11*AUX!Q$2))="","--",IF(INDEX($C$186:$II$205,$E$8,AUX!$E$10+(AUX!$E$11*AUX!Q$2))=0,"-",INDEX($C$186:$II$205,$E$8,AUX!$E$10+(AUX!$E$11*AUX!Q$2))))</f>
        <v>--</v>
      </c>
    </row>
    <row r="23" ht="15.75" customHeight="1">
      <c r="A23" s="154"/>
      <c r="B23" s="281"/>
      <c r="C23" s="624" t="s">
        <v>238</v>
      </c>
      <c r="D23" s="625"/>
      <c r="E23" s="625"/>
      <c r="F23" s="625"/>
      <c r="G23" s="625"/>
      <c r="H23" s="625"/>
      <c r="I23" s="625"/>
      <c r="J23" s="625"/>
      <c r="K23" s="625"/>
      <c r="L23" s="625"/>
      <c r="M23" s="626"/>
    </row>
    <row r="24" ht="15.75" customHeight="1">
      <c r="A24" s="282"/>
      <c r="B24" s="206"/>
      <c r="C24" s="234" t="str">
        <f>IF(INDEX($C$209:$II$228,$E$8,AUX!$E$10+(AUX!$E$11*AUX!G$2))="","--",IF(INDEX($C$209:$II$228,$E$8,AUX!$E$10+(AUX!$E$11*AUX!G$2))=0,"-",INDEX($C$209:$II$228,$E$8,AUX!$E$10+(AUX!$E$11*AUX!G$2))))</f>
        <v>--</v>
      </c>
      <c r="D24" s="235" t="str">
        <f>IF(INDEX($C$209:$II$228,$E$8,AUX!$E$10+(AUX!$E$11*AUX!H$2))="","--",IF(INDEX($C$209:$II$228,$E$8,AUX!$E$10+(AUX!$E$11*AUX!H$2))=0,"-",INDEX($C$209:$II$228,$E$8,AUX!$E$10+(AUX!$E$11*AUX!H$2))))</f>
        <v>--</v>
      </c>
      <c r="E24" s="235" t="str">
        <f>IF(INDEX($C$209:$II$228,$E$8,AUX!$E$10+(AUX!$E$11*AUX!I$2))="","--",IF(INDEX($C$209:$II$228,$E$8,AUX!$E$10+(AUX!$E$11*AUX!I$2))=0,"-",INDEX($C$209:$II$228,$E$8,AUX!$E$10+(AUX!$E$11*AUX!I$2))))</f>
        <v>--</v>
      </c>
      <c r="F24" s="235" t="str">
        <f>IF(INDEX($C$209:$II$228,$E$8,AUX!$E$10+(AUX!$E$11*AUX!J$2))="","--",IF(INDEX($C$209:$II$228,$E$8,AUX!$E$10+(AUX!$E$11*AUX!J$2))=0,"-",INDEX($C$209:$II$228,$E$8,AUX!$E$10+(AUX!$E$11*AUX!J$2))))</f>
        <v>--</v>
      </c>
      <c r="G24" s="235" t="str">
        <f>IF(INDEX($C$209:$II$228,$E$8,AUX!$E$10+(AUX!$E$11*AUX!K$2))="","--",IF(INDEX($C$209:$II$228,$E$8,AUX!$E$10+(AUX!$E$11*AUX!K$2))=0,"-",INDEX($C$209:$II$228,$E$8,AUX!$E$10+(AUX!$E$11*AUX!K$2))))</f>
        <v>--</v>
      </c>
      <c r="H24" s="235" t="str">
        <f>IF(INDEX($C$209:$II$228,$E$8,AUX!$E$10+(AUX!$E$11*AUX!L$2))="","--",IF(INDEX($C$209:$II$228,$E$8,AUX!$E$10+(AUX!$E$11*AUX!L$2))=0,"-",INDEX($C$209:$II$228,$E$8,AUX!$E$10+(AUX!$E$11*AUX!L$2))))</f>
        <v>--</v>
      </c>
      <c r="I24" s="235" t="str">
        <f>IF(INDEX($C$209:$II$228,$E$8,AUX!$E$10+(AUX!$E$11*AUX!M$2))="","--",IF(INDEX($C$209:$II$228,$E$8,AUX!$E$10+(AUX!$E$11*AUX!M$2))=0,"-",INDEX($C$209:$II$228,$E$8,AUX!$E$10+(AUX!$E$11*AUX!M$2))))</f>
        <v>--</v>
      </c>
      <c r="J24" s="235" t="str">
        <f>IF(INDEX($C$209:$II$228,$E$8,AUX!$E$10+(AUX!$E$11*AUX!N$2))="","--",IF(INDEX($C$209:$II$228,$E$8,AUX!$E$10+(AUX!$E$11*AUX!N$2))=0,"-",INDEX($C$209:$II$228,$E$8,AUX!$E$10+(AUX!$E$11*AUX!N$2))))</f>
        <v>--</v>
      </c>
      <c r="K24" s="235" t="str">
        <f>IF(INDEX($C$209:$II$228,$E$8,AUX!$E$10+(AUX!$E$11*AUX!O$2))="","--",IF(INDEX($C$209:$II$228,$E$8,AUX!$E$10+(AUX!$E$11*AUX!O$2))=0,"-",INDEX($C$209:$II$228,$E$8,AUX!$E$10+(AUX!$E$11*AUX!O$2))))</f>
        <v>--</v>
      </c>
      <c r="L24" s="235" t="str">
        <f>IF(INDEX($C$209:$II$228,$E$8,AUX!$E$10+(AUX!$E$11*AUX!P$2))="","--",IF(INDEX($C$209:$II$228,$E$8,AUX!$E$10+(AUX!$E$11*AUX!P$2))=0,"-",INDEX($C$209:$II$228,$E$8,AUX!$E$10+(AUX!$E$11*AUX!P$2))))</f>
        <v>--</v>
      </c>
      <c r="M24" s="236" t="str">
        <f>IF(INDEX($C$209:$II$228,$E$8,AUX!$E$10+(AUX!$E$11*AUX!Q$2))="","--",IF(INDEX($C$209:$II$228,$E$8,AUX!$E$10+(AUX!$E$11*AUX!Q$2))=0,"-",INDEX($C$209:$II$228,$E$8,AUX!$E$10+(AUX!$E$11*AUX!Q$2))))</f>
        <v>--</v>
      </c>
    </row>
    <row r="25" ht="15.75" customHeight="1">
      <c r="A25" s="154"/>
      <c r="B25" s="281"/>
      <c r="C25" s="624" t="s">
        <v>7</v>
      </c>
      <c r="D25" s="625"/>
      <c r="E25" s="625"/>
      <c r="F25" s="625"/>
      <c r="G25" s="625"/>
      <c r="H25" s="625"/>
      <c r="I25" s="625"/>
      <c r="J25" s="625"/>
      <c r="K25" s="625"/>
      <c r="L25" s="625"/>
      <c r="M25" s="626"/>
    </row>
    <row r="26" ht="15.75" customHeight="1">
      <c r="A26" s="282"/>
      <c r="B26" s="206"/>
      <c r="C26" s="240" t="str">
        <f>IF(INDEX($C$232:$II$251,$E$8,AUX!$E$10+(AUX!$E$11*AUX!G$2))="","--",IF(INDEX($C$232:$II$251,$E$8,AUX!$E$10+(AUX!$E$11*AUX!G$2))=0,"-",INDEX($C$232:$II$251,$E$8,AUX!$E$10+(AUX!$E$11*AUX!G$2))))</f>
        <v>--</v>
      </c>
      <c r="D26" s="241" t="str">
        <f>IF(INDEX($C$232:$II$251,$E$8,AUX!$E$10+(AUX!$E$11*AUX!H$2))="","--",IF(INDEX($C$232:$II$251,$E$8,AUX!$E$10+(AUX!$E$11*AUX!H$2))=0,"-",INDEX($C$232:$II$251,$E$8,AUX!$E$10+(AUX!$E$11*AUX!H$2))))</f>
        <v>--</v>
      </c>
      <c r="E26" s="241" t="str">
        <f>IF(INDEX($C$232:$II$251,$E$8,AUX!$E$10+(AUX!$E$11*AUX!I$2))="","--",IF(INDEX($C$232:$II$251,$E$8,AUX!$E$10+(AUX!$E$11*AUX!I$2))=0,"-",INDEX($C$232:$II$251,$E$8,AUX!$E$10+(AUX!$E$11*AUX!I$2))))</f>
        <v>--</v>
      </c>
      <c r="F26" s="241" t="str">
        <f>IF(INDEX($C$232:$II$251,$E$8,AUX!$E$10+(AUX!$E$11*AUX!J$2))="","--",IF(INDEX($C$232:$II$251,$E$8,AUX!$E$10+(AUX!$E$11*AUX!J$2))=0,"-",INDEX($C$232:$II$251,$E$8,AUX!$E$10+(AUX!$E$11*AUX!J$2))))</f>
        <v>--</v>
      </c>
      <c r="G26" s="241" t="str">
        <f>IF(INDEX($C$232:$II$251,$E$8,AUX!$E$10+(AUX!$E$11*AUX!K$2))="","--",IF(INDEX($C$232:$II$251,$E$8,AUX!$E$10+(AUX!$E$11*AUX!K$2))=0,"-",INDEX($C$232:$II$251,$E$8,AUX!$E$10+(AUX!$E$11*AUX!K$2))))</f>
        <v>--</v>
      </c>
      <c r="H26" s="241" t="str">
        <f>IF(INDEX($C$232:$II$251,$E$8,AUX!$E$10+(AUX!$E$11*AUX!L$2))="","--",IF(INDEX($C$232:$II$251,$E$8,AUX!$E$10+(AUX!$E$11*AUX!L$2))=0,"-",INDEX($C$232:$II$251,$E$8,AUX!$E$10+(AUX!$E$11*AUX!L$2))))</f>
        <v>--</v>
      </c>
      <c r="I26" s="241" t="str">
        <f>IF(INDEX($C$232:$II$251,$E$8,AUX!$E$10+(AUX!$E$11*AUX!M$2))="","--",IF(INDEX($C$232:$II$251,$E$8,AUX!$E$10+(AUX!$E$11*AUX!M$2))=0,"-",INDEX($C$232:$II$251,$E$8,AUX!$E$10+(AUX!$E$11*AUX!M$2))))</f>
        <v>--</v>
      </c>
      <c r="J26" s="241" t="str">
        <f>IF(INDEX($C$232:$II$251,$E$8,AUX!$E$10+(AUX!$E$11*AUX!N$2))="","--",IF(INDEX($C$232:$II$251,$E$8,AUX!$E$10+(AUX!$E$11*AUX!N$2))=0,"-",INDEX($C$232:$II$251,$E$8,AUX!$E$10+(AUX!$E$11*AUX!N$2))))</f>
        <v>--</v>
      </c>
      <c r="K26" s="241" t="str">
        <f>IF(INDEX($C$232:$II$251,$E$8,AUX!$E$10+(AUX!$E$11*AUX!O$2))="","--",IF(INDEX($C$232:$II$251,$E$8,AUX!$E$10+(AUX!$E$11*AUX!O$2))=0,"-",INDEX($C$232:$II$251,$E$8,AUX!$E$10+(AUX!$E$11*AUX!O$2))))</f>
        <v>--</v>
      </c>
      <c r="L26" s="241" t="str">
        <f>IF(INDEX($C$232:$II$251,$E$8,AUX!$E$10+(AUX!$E$11*AUX!P$2))="","--",IF(INDEX($C$232:$II$251,$E$8,AUX!$E$10+(AUX!$E$11*AUX!P$2))=0,"-",INDEX($C$232:$II$251,$E$8,AUX!$E$10+(AUX!$E$11*AUX!P$2))))</f>
        <v>--</v>
      </c>
      <c r="M26" s="242" t="str">
        <f>IF(INDEX($C$232:$II$251,$E$8,AUX!$E$10+(AUX!$E$11*AUX!Q$2))="","--",IF(INDEX($C$232:$II$251,$E$8,AUX!$E$10+(AUX!$E$11*AUX!Q$2))=0,"-",INDEX($C$232:$II$251,$E$8,AUX!$E$10+(AUX!$E$11*AUX!Q$2))))</f>
        <v>--</v>
      </c>
    </row>
    <row r="27" ht="12.75" customHeight="1">
      <c r="A27" s="282"/>
      <c r="B27" s="153"/>
      <c r="C27" s="701" t="s">
        <v>252</v>
      </c>
      <c r="D27" s="701"/>
      <c r="E27" s="701"/>
      <c r="F27" s="701"/>
      <c r="G27" s="701"/>
      <c r="H27" s="701"/>
      <c r="I27" s="701"/>
      <c r="J27" s="701"/>
      <c r="K27" s="701"/>
      <c r="L27" s="701"/>
      <c r="M27" s="701"/>
    </row>
    <row r="28">
      <c r="A28" s="282"/>
      <c r="B28" s="153"/>
      <c r="C28" s="702"/>
      <c r="D28" s="702"/>
      <c r="E28" s="702"/>
      <c r="F28" s="702"/>
      <c r="G28" s="702"/>
      <c r="H28" s="702"/>
      <c r="I28" s="702"/>
      <c r="J28" s="702"/>
      <c r="K28" s="702"/>
      <c r="L28" s="702"/>
      <c r="M28" s="702"/>
    </row>
    <row r="29">
      <c r="C29" s="702"/>
      <c r="D29" s="702"/>
      <c r="E29" s="702"/>
      <c r="F29" s="702"/>
      <c r="G29" s="702"/>
      <c r="H29" s="702"/>
      <c r="I29" s="702"/>
      <c r="J29" s="702"/>
      <c r="K29" s="702"/>
      <c r="L29" s="702"/>
      <c r="M29" s="702"/>
    </row>
    <row r="30">
      <c r="C30" s="702"/>
      <c r="D30" s="702"/>
      <c r="E30" s="702"/>
      <c r="F30" s="702"/>
      <c r="G30" s="702"/>
      <c r="H30" s="702"/>
      <c r="I30" s="702"/>
      <c r="J30" s="702"/>
      <c r="K30" s="702"/>
      <c r="L30" s="702"/>
      <c r="M30" s="702"/>
    </row>
    <row r="31">
      <c r="A31" s="162"/>
      <c r="B31" s="162"/>
      <c r="C31" s="307"/>
      <c r="D31" s="307"/>
      <c r="E31" s="307"/>
      <c r="F31" s="307"/>
      <c r="G31" s="307"/>
      <c r="H31" s="307"/>
      <c r="I31" s="58"/>
      <c r="J31" s="58"/>
      <c r="K31" s="58"/>
    </row>
    <row r="32">
      <c r="A32" s="162"/>
      <c r="B32" s="162"/>
      <c r="C32" s="307"/>
      <c r="D32" s="307"/>
      <c r="E32" s="307"/>
      <c r="F32" s="307"/>
      <c r="G32" s="308"/>
      <c r="H32" s="308"/>
      <c r="I32" s="58"/>
      <c r="J32" s="58"/>
      <c r="K32" s="58"/>
    </row>
    <row r="33">
      <c r="A33" s="162"/>
      <c r="B33" s="162"/>
      <c r="C33" s="307"/>
      <c r="D33" s="307"/>
      <c r="E33" s="307"/>
      <c r="F33" s="307"/>
      <c r="G33" s="307"/>
      <c r="H33" s="307"/>
      <c r="I33" s="58"/>
      <c r="J33" s="58"/>
      <c r="K33" s="58"/>
    </row>
    <row r="34">
      <c r="A34" s="162"/>
      <c r="B34" s="162"/>
      <c r="C34" s="307"/>
      <c r="D34" s="307"/>
      <c r="E34" s="307"/>
      <c r="F34" s="307"/>
      <c r="G34" s="308"/>
      <c r="H34" s="308"/>
      <c r="I34" s="58"/>
      <c r="J34" s="58"/>
      <c r="K34" s="58"/>
    </row>
    <row r="35">
      <c r="A35" s="162"/>
      <c r="B35" s="162"/>
      <c r="C35" s="307"/>
      <c r="D35" s="307"/>
      <c r="E35" s="307"/>
      <c r="F35" s="307"/>
      <c r="G35" s="307"/>
      <c r="H35" s="307"/>
      <c r="I35" s="58"/>
      <c r="J35" s="58"/>
      <c r="K35" s="58"/>
    </row>
    <row r="36">
      <c r="A36" s="162"/>
      <c r="B36" s="162"/>
      <c r="C36" s="308"/>
      <c r="D36" s="308"/>
      <c r="E36" s="308"/>
      <c r="F36" s="308"/>
      <c r="G36" s="308"/>
      <c r="H36" s="308"/>
      <c r="I36" s="58"/>
      <c r="J36" s="58"/>
      <c r="K36" s="58"/>
    </row>
    <row r="37">
      <c r="A37" s="162"/>
      <c r="B37" s="162"/>
      <c r="C37" s="307"/>
      <c r="D37" s="307"/>
      <c r="E37" s="307"/>
      <c r="F37" s="307"/>
      <c r="G37" s="307"/>
      <c r="H37" s="307"/>
      <c r="I37" s="58"/>
      <c r="J37" s="58"/>
      <c r="K37" s="58"/>
    </row>
    <row r="38">
      <c r="A38" s="162"/>
      <c r="B38" s="162"/>
      <c r="C38" s="308"/>
      <c r="D38" s="307"/>
      <c r="E38" s="307"/>
      <c r="F38" s="307"/>
      <c r="G38" s="308"/>
      <c r="H38" s="308"/>
      <c r="I38" s="58"/>
      <c r="J38" s="58"/>
      <c r="K38" s="58"/>
    </row>
    <row r="39">
      <c r="A39" s="162"/>
      <c r="B39" s="162"/>
      <c r="C39" s="307"/>
      <c r="D39" s="308"/>
      <c r="E39" s="307"/>
      <c r="F39" s="307"/>
      <c r="G39" s="307"/>
      <c r="H39" s="307"/>
      <c r="I39" s="58"/>
      <c r="J39" s="58"/>
      <c r="K39" s="58"/>
    </row>
    <row r="40">
      <c r="A40" s="162"/>
      <c r="B40" s="162"/>
      <c r="C40" s="307"/>
      <c r="D40" s="308"/>
      <c r="E40" s="307"/>
      <c r="F40" s="307"/>
      <c r="G40" s="308"/>
      <c r="H40" s="308"/>
      <c r="I40" s="58"/>
      <c r="J40" s="58"/>
      <c r="K40" s="58"/>
    </row>
    <row r="41">
      <c r="A41" s="162"/>
      <c r="B41" s="162"/>
      <c r="C41" s="308"/>
      <c r="D41" s="307"/>
      <c r="E41" s="307"/>
      <c r="F41" s="307"/>
      <c r="G41" s="307"/>
      <c r="H41" s="307"/>
      <c r="I41" s="58"/>
      <c r="J41" s="58"/>
      <c r="K41" s="58"/>
    </row>
    <row r="42">
      <c r="A42" s="162"/>
      <c r="B42" s="162"/>
      <c r="C42" s="308"/>
      <c r="D42" s="308"/>
      <c r="E42" s="307"/>
      <c r="F42" s="307"/>
      <c r="G42" s="308"/>
      <c r="H42" s="308"/>
      <c r="I42" s="58"/>
      <c r="J42" s="58"/>
      <c r="K42" s="58"/>
    </row>
    <row r="43">
      <c r="A43" s="162"/>
      <c r="B43" s="162"/>
      <c r="C43" s="307"/>
      <c r="D43" s="307"/>
      <c r="E43" s="307"/>
      <c r="F43" s="307"/>
      <c r="G43" s="307"/>
      <c r="H43" s="307"/>
      <c r="I43" s="58"/>
      <c r="J43" s="58"/>
      <c r="K43" s="58"/>
    </row>
    <row r="44">
      <c r="A44" s="162"/>
      <c r="B44" s="162"/>
      <c r="C44" s="308"/>
      <c r="D44" s="308"/>
      <c r="E44" s="308"/>
      <c r="F44" s="308"/>
      <c r="G44" s="308"/>
      <c r="H44" s="308"/>
      <c r="I44" s="58"/>
      <c r="J44" s="58"/>
      <c r="K44" s="58"/>
    </row>
    <row r="45">
      <c r="A45" s="162"/>
      <c r="B45" s="162"/>
      <c r="C45" s="307"/>
      <c r="D45" s="307"/>
      <c r="E45" s="307"/>
      <c r="F45" s="307"/>
      <c r="G45" s="307"/>
      <c r="H45" s="307"/>
      <c r="I45" s="58"/>
      <c r="J45" s="58"/>
      <c r="K45" s="58"/>
    </row>
    <row r="46">
      <c r="A46" s="162"/>
      <c r="B46" s="162"/>
      <c r="C46" s="308"/>
      <c r="D46" s="308"/>
      <c r="E46" s="307"/>
      <c r="F46" s="307"/>
      <c r="G46" s="308"/>
      <c r="H46" s="308"/>
      <c r="I46" s="58"/>
      <c r="J46" s="58"/>
      <c r="K46" s="58"/>
    </row>
    <row r="47">
      <c r="A47" s="162"/>
      <c r="B47" s="162"/>
      <c r="C47" s="307"/>
      <c r="D47" s="307"/>
      <c r="E47" s="307"/>
      <c r="F47" s="307"/>
      <c r="G47" s="307"/>
      <c r="H47" s="307"/>
      <c r="I47" s="58"/>
      <c r="J47" s="58"/>
      <c r="K47" s="58"/>
    </row>
    <row r="48">
      <c r="A48" s="162"/>
      <c r="B48" s="162"/>
      <c r="C48" s="307"/>
      <c r="D48" s="307"/>
      <c r="E48" s="307"/>
      <c r="F48" s="307"/>
      <c r="G48" s="308"/>
      <c r="H48" s="308"/>
      <c r="I48" s="58"/>
      <c r="J48" s="58"/>
      <c r="K48" s="58"/>
    </row>
    <row r="49">
      <c r="A49" s="58"/>
      <c r="B49" s="58"/>
      <c r="C49" s="58"/>
      <c r="D49" s="58"/>
      <c r="E49" s="58"/>
      <c r="F49" s="58"/>
      <c r="G49" s="58"/>
      <c r="H49" s="58"/>
      <c r="I49" s="58"/>
      <c r="J49" s="58"/>
      <c r="K49" s="58"/>
    </row>
    <row r="50">
      <c r="A50" s="58"/>
      <c r="B50" s="58"/>
      <c r="C50" s="58"/>
      <c r="D50" s="58"/>
      <c r="E50" s="58"/>
      <c r="F50" s="58"/>
      <c r="G50" s="58"/>
      <c r="H50" s="58"/>
      <c r="I50" s="58"/>
      <c r="J50" s="58"/>
      <c r="K50" s="58"/>
    </row>
    <row r="76"/>
    <row r="92">
      <c r="C92" s="51" t="s">
        <v>235</v>
      </c>
    </row>
    <row r="93">
      <c r="C93" s="51" t="s">
        <v>236</v>
      </c>
    </row>
    <row r="94">
      <c r="C94" s="51" t="s">
        <v>237</v>
      </c>
    </row>
    <row r="95">
      <c r="C95" s="51" t="s">
        <v>238</v>
      </c>
    </row>
    <row r="96">
      <c r="C96" s="51" t="s">
        <v>7</v>
      </c>
    </row>
    <row r="138" hidden="1" ht="13.5" customHeight="1">
      <c r="A138" s="50"/>
      <c r="B138" s="50"/>
      <c r="C138" s="686" t="s">
        <v>235</v>
      </c>
      <c r="D138" s="687"/>
      <c r="E138" s="687"/>
      <c r="F138" s="687"/>
      <c r="G138" s="687"/>
      <c r="H138" s="687"/>
      <c r="I138" s="687"/>
      <c r="J138" s="687"/>
      <c r="K138" s="687"/>
      <c r="L138" s="687"/>
      <c r="M138" s="687"/>
      <c r="N138" s="687"/>
      <c r="O138" s="687"/>
      <c r="P138" s="687"/>
      <c r="Q138" s="687"/>
      <c r="R138" s="687"/>
      <c r="S138" s="687"/>
      <c r="T138" s="687"/>
      <c r="U138" s="687"/>
      <c r="V138" s="687"/>
      <c r="W138" s="687"/>
      <c r="X138" s="687"/>
      <c r="Y138" s="687"/>
      <c r="Z138" s="687"/>
      <c r="AA138" s="687"/>
      <c r="AB138" s="688"/>
    </row>
    <row r="139" hidden="1" ht="12.75" customHeight="1">
      <c r="A139" s="216"/>
      <c r="C139" s="435" t="str">
        <f> IF(C159&lt;&gt;"",TEXT(AUX!G$1,"dd-MMM-aa"),"")</f>
      </c>
      <c r="D139" s="435" t="str">
        <f> IF(D159&lt;&gt;"",TEXT(AUX!H$1,"dd-MMM-aa"),"")</f>
      </c>
      <c r="E139" s="435" t="str">
        <f> IF(E159&lt;&gt;"",TEXT(AUX!I$1,"dd-MMM-aa"),"")</f>
      </c>
      <c r="F139" s="435" t="str">
        <f> IF(F159&lt;&gt;"",TEXT(AUX!J$1,"dd-MMM-aa"),"")</f>
      </c>
      <c r="G139" s="435" t="str">
        <f> IF(G159&lt;&gt;"",TEXT(AUX!K$1,"dd-MMM-aa"),"")</f>
      </c>
      <c r="H139" s="435" t="str">
        <f> IF(H159&lt;&gt;"",TEXT(AUX!L$1,"dd-MMM-aa"),"")</f>
      </c>
      <c r="I139" s="435" t="str">
        <f> IF(I159&lt;&gt;"",TEXT(AUX!M$1,"dd-MMM-aa"),"")</f>
      </c>
      <c r="J139" s="435" t="str">
        <f> IF(J159&lt;&gt;"",TEXT(AUX!N$1,"dd-MMM-aa"),"")</f>
      </c>
      <c r="K139" s="435" t="str">
        <f> IF(K159&lt;&gt;"",TEXT(AUX!O$1,"dd-MMM-aa"),"")</f>
      </c>
      <c r="L139" s="435" t="str">
        <f> IF(L159&lt;&gt;"",TEXT(AUX!P$1,"dd-MMM-aa"),"")</f>
      </c>
      <c r="M139" s="435" t="str">
        <f> IF(M159&lt;&gt;"",TEXT(AUX!Q$1,"dd-MMM-aa"),"")</f>
      </c>
      <c r="N139" s="435" t="str">
        <f> IF(N159&lt;&gt;"",TEXT(AUX!R$1,"dd-MMM-aa"),"")</f>
      </c>
      <c r="O139" s="435" t="str">
        <f> IF(O159&lt;&gt;"",TEXT(AUX!S$1,"dd-MMM-aa"),"")</f>
      </c>
      <c r="P139" s="435" t="str">
        <f> IF(P159&lt;&gt;"",TEXT(AUX!T$1,"dd-MMM-aa"),"")</f>
      </c>
      <c r="Q139" s="435" t="str">
        <f> IF(Q159&lt;&gt;"",TEXT(AUX!U$1,"dd-MMM-aa"),"")</f>
      </c>
      <c r="R139" s="435" t="str">
        <f> IF(R159&lt;&gt;"",TEXT(AUX!V$1,"dd-MMM-aa"),"")</f>
      </c>
      <c r="S139" s="435" t="str">
        <f> IF(S159&lt;&gt;"",TEXT(AUX!W$1,"dd-MMM-aa"),"")</f>
      </c>
      <c r="T139" s="435" t="str">
        <f> IF(T159&lt;&gt;"",TEXT(AUX!X$1,"dd-MMM-aa"),"")</f>
      </c>
      <c r="U139" s="435" t="str">
        <f> IF(U159&lt;&gt;"",TEXT(AUX!Y$1,"dd-MMM-aa"),"")</f>
      </c>
      <c r="V139" s="435" t="str">
        <f> IF(V159&lt;&gt;"",TEXT(AUX!Z$1,"dd-MMM-aa"),"")</f>
      </c>
      <c r="W139" s="435" t="str">
        <f> IF(W159&lt;&gt;"",TEXT(AUX!AA$1,"dd-MMM-aa"),"")</f>
      </c>
      <c r="X139" s="435" t="str">
        <f> IF(X159&lt;&gt;"",TEXT(AUX!AB$1,"dd-MMM-aa"),"")</f>
      </c>
      <c r="Y139" s="435" t="str">
        <f> IF(Y159&lt;&gt;"",TEXT(AUX!AC$1,"dd-MMM-aa"),"")</f>
      </c>
      <c r="Z139" s="435" t="str">
        <f> IF(Z159&lt;&gt;"",TEXT(AUX!AD$1,"dd-MMM-aa"),"")</f>
      </c>
      <c r="AA139" s="435" t="str">
        <f> IF(AA159&lt;&gt;"",TEXT(AUX!AE$1,"dd-MMM-aa"),"")</f>
      </c>
      <c r="AB139" s="497" t="str">
        <f> IF(AB159&lt;&gt;"",TEXT(AUX!AF$1,"dd-MMM-aa"),"")</f>
      </c>
      <c r="AC139" s="496" t="str">
        <f> IF(AC159&lt;&gt;"",TEXT(AUX!AG$1,"dd-MMM-aa"),"")</f>
      </c>
      <c r="AD139" s="496" t="str">
        <f> IF(AD159&lt;&gt;"",TEXT(AUX!AH$1,"dd-MMM-aa"),"")</f>
      </c>
      <c r="AE139" s="496" t="str">
        <f> IF(AE159&lt;&gt;"",TEXT(AUX!AI$1,"dd-MMM-aa"),"")</f>
      </c>
      <c r="AF139" s="496" t="str">
        <f> IF(AF159&lt;&gt;"",TEXT(AUX!AJ$1,"dd-MMM-aa"),"")</f>
      </c>
      <c r="AG139" s="496" t="str">
        <f> IF(AG159&lt;&gt;"",TEXT(AUX!AK$1,"dd-MMM-aa"),"")</f>
      </c>
      <c r="AH139" s="496" t="str">
        <f> IF(AH159&lt;&gt;"",TEXT(AUX!AL$1,"dd-MMM-aa"),"")</f>
      </c>
      <c r="AI139" s="496" t="str">
        <f> IF(AI159&lt;&gt;"",TEXT(AUX!AM$1,"dd-MMM-aa"),"")</f>
      </c>
      <c r="AJ139" s="496" t="str">
        <f> IF(AJ159&lt;&gt;"",TEXT(AUX!AN$1,"dd-MMM-aa"),"")</f>
      </c>
      <c r="AK139" s="496" t="str">
        <f> IF(AK159&lt;&gt;"",TEXT(AUX!AO$1,"dd-MMM-aa"),"")</f>
      </c>
      <c r="AL139" s="496" t="str">
        <f> IF(AL159&lt;&gt;"",TEXT(AUX!AP$1,"dd-MMM-aa"),"")</f>
      </c>
      <c r="AM139" s="496" t="str">
        <f> IF(AM159&lt;&gt;"",TEXT(AUX!AQ$1,"dd-MMM-aa"),"")</f>
      </c>
      <c r="AN139" s="496" t="str">
        <f> IF(AN159&lt;&gt;"",TEXT(AUX!AR$1,"dd-MMM-aa"),"")</f>
      </c>
      <c r="AO139" s="496" t="str">
        <f> IF(AO159&lt;&gt;"",TEXT(AUX!AS$1,"dd-MMM-aa"),"")</f>
      </c>
      <c r="AP139" s="496" t="str">
        <f> IF(AP159&lt;&gt;"",TEXT(AUX!AT$1,"dd-MMM-aa"),"")</f>
      </c>
      <c r="AQ139" s="496" t="str">
        <f> IF(AQ159&lt;&gt;"",TEXT(AUX!AU$1,"dd-MMM-aa"),"")</f>
      </c>
      <c r="AR139" s="496" t="str">
        <f> IF(AR159&lt;&gt;"",TEXT(AUX!AV$1,"dd-MMM-aa"),"")</f>
      </c>
      <c r="AS139" s="496" t="str">
        <f> IF(AS159&lt;&gt;"",TEXT(AUX!AW$1,"dd-MMM-aa"),"")</f>
      </c>
      <c r="AT139" s="496" t="str">
        <f> IF(AT159&lt;&gt;"",TEXT(AUX!AX$1,"dd-MMM-aa"),"")</f>
      </c>
      <c r="AU139" s="496" t="str">
        <f> IF(AU159&lt;&gt;"",TEXT(AUX!AY$1,"dd-MMM-aa"),"")</f>
      </c>
      <c r="AV139" s="496" t="str">
        <f> IF(AV159&lt;&gt;"",TEXT(AUX!AZ$1,"dd-MMM-aa"),"")</f>
      </c>
      <c r="AW139" s="496" t="str">
        <f> IF(AW159&lt;&gt;"",TEXT(AUX!BA$1,"dd-MMM-aa"),"")</f>
      </c>
      <c r="AX139" s="496" t="str">
        <f> IF(AX159&lt;&gt;"",TEXT(AUX!BB$1,"dd-MMM-aa"),"")</f>
      </c>
      <c r="AY139" s="496" t="str">
        <f> IF(AY159&lt;&gt;"",TEXT(AUX!BC$1,"dd-MMM-aa"),"")</f>
      </c>
      <c r="AZ139" s="496" t="str">
        <f> IF(AZ159&lt;&gt;"",TEXT(AUX!BD$1,"dd-MMM-aa"),"")</f>
      </c>
      <c r="BA139" s="496" t="str">
        <f> IF(BA159&lt;&gt;"",TEXT(AUX!BE$1,"dd-MMM-aa"),"")</f>
      </c>
      <c r="BB139" s="496" t="str">
        <f> IF(BB159&lt;&gt;"",TEXT(AUX!BF$1,"dd-MMM-aa"),"")</f>
      </c>
      <c r="BC139" s="496" t="str">
        <f> IF(BC159&lt;&gt;"",TEXT(AUX!BG$1,"dd-MMM-aa"),"")</f>
      </c>
      <c r="BD139" s="496" t="str">
        <f> IF(BD159&lt;&gt;"",TEXT(AUX!BH$1,"dd-MMM-aa"),"")</f>
      </c>
      <c r="BE139" s="496" t="str">
        <f> IF(BE159&lt;&gt;"",TEXT(AUX!BI$1,"dd-MMM-aa"),"")</f>
      </c>
      <c r="BF139" s="496" t="str">
        <f> IF(BF159&lt;&gt;"",TEXT(AUX!BJ$1,"dd-MMM-aa"),"")</f>
      </c>
      <c r="BG139" s="496" t="str">
        <f> IF(BG159&lt;&gt;"",TEXT(AUX!BK$1,"dd-MMM-aa"),"")</f>
      </c>
      <c r="BH139" s="496" t="str">
        <f> IF(BH159&lt;&gt;"",TEXT(AUX!BL$1,"dd-MMM-aa"),"")</f>
      </c>
      <c r="BI139" s="496" t="str">
        <f> IF(BI159&lt;&gt;"",TEXT(AUX!BM$1,"dd-MMM-aa"),"")</f>
      </c>
      <c r="BJ139" s="496" t="str">
        <f> IF(BJ159&lt;&gt;"",TEXT(AUX!BN$1,"dd-MMM-aa"),"")</f>
      </c>
      <c r="BK139" s="496" t="str">
        <f> IF(BK159&lt;&gt;"",TEXT(AUX!BO$1,"dd-MMM-aa"),"")</f>
      </c>
      <c r="BL139" s="496" t="str">
        <f> IF(BL159&lt;&gt;"",TEXT(AUX!BP$1,"dd-MMM-aa"),"")</f>
      </c>
      <c r="BM139" s="496" t="str">
        <f> IF(BM159&lt;&gt;"",TEXT(AUX!BQ$1,"dd-MMM-aa"),"")</f>
      </c>
      <c r="BN139" s="496" t="str">
        <f> IF(BN159&lt;&gt;"",TEXT(AUX!BR$1,"dd-MMM-aa"),"")</f>
      </c>
      <c r="BO139" s="496" t="str">
        <f> IF(BO159&lt;&gt;"",TEXT(AUX!BS$1,"dd-MMM-aa"),"")</f>
      </c>
      <c r="BP139" s="496" t="str">
        <f> IF(BP159&lt;&gt;"",TEXT(AUX!BT$1,"dd-MMM-aa"),"")</f>
      </c>
      <c r="BQ139" s="496" t="str">
        <f> IF(BQ159&lt;&gt;"",TEXT(AUX!BU$1,"dd-MMM-aa"),"")</f>
      </c>
      <c r="BR139" s="496" t="str">
        <f> IF(BR159&lt;&gt;"",TEXT(AUX!BV$1,"dd-MMM-aa"),"")</f>
      </c>
      <c r="BS139" s="496" t="str">
        <f> IF(BS159&lt;&gt;"",TEXT(AUX!BW$1,"dd-MMM-aa"),"")</f>
      </c>
      <c r="BT139" s="496" t="str">
        <f> IF(BT159&lt;&gt;"",TEXT(AUX!BX$1,"dd-MMM-aa"),"")</f>
      </c>
      <c r="BU139" s="496" t="str">
        <f> IF(BU159&lt;&gt;"",TEXT(AUX!BY$1,"dd-MMM-aa"),"")</f>
      </c>
      <c r="BV139" s="496" t="str">
        <f> IF(BV159&lt;&gt;"",TEXT(AUX!BZ$1,"dd-MMM-aa"),"")</f>
      </c>
      <c r="BW139" s="496" t="str">
        <f> IF(BW159&lt;&gt;"",TEXT(AUX!CA$1,"dd-MMM-aa"),"")</f>
      </c>
      <c r="BX139" s="496" t="str">
        <f> IF(BX159&lt;&gt;"",TEXT(AUX!CB$1,"dd-MMM-aa"),"")</f>
      </c>
      <c r="BY139" s="496" t="str">
        <f> IF(BY159&lt;&gt;"",TEXT(AUX!CC$1,"dd-MMM-aa"),"")</f>
      </c>
      <c r="BZ139" s="496" t="str">
        <f> IF(BZ159&lt;&gt;"",TEXT(AUX!CD$1,"dd-MMM-aa"),"")</f>
      </c>
      <c r="CA139" s="496" t="str">
        <f> IF(CA159&lt;&gt;"",TEXT(AUX!CE$1,"dd-MMM-aa"),"")</f>
      </c>
      <c r="CB139" s="496" t="str">
        <f> IF(CB159&lt;&gt;"",TEXT(AUX!CF$1,"dd-MMM-aa"),"")</f>
      </c>
      <c r="CC139" s="496" t="str">
        <f> IF(CC159&lt;&gt;"",TEXT(AUX!CG$1,"dd-MMM-aa"),"")</f>
      </c>
      <c r="CD139" s="496" t="str">
        <f> IF(CD159&lt;&gt;"",TEXT(AUX!CH$1,"dd-MMM-aa"),"")</f>
      </c>
      <c r="CE139" s="496" t="str">
        <f> IF(CE159&lt;&gt;"",TEXT(AUX!CI$1,"dd-MMM-aa"),"")</f>
      </c>
      <c r="CF139" s="496" t="str">
        <f> IF(CF159&lt;&gt;"",TEXT(AUX!CJ$1,"dd-MMM-aa"),"")</f>
      </c>
      <c r="CG139" s="496" t="str">
        <f> IF(CG159&lt;&gt;"",TEXT(AUX!CK$1,"dd-MMM-aa"),"")</f>
      </c>
      <c r="CH139" s="496" t="str">
        <f> IF(CH159&lt;&gt;"",TEXT(AUX!CL$1,"dd-MMM-aa"),"")</f>
      </c>
      <c r="CI139" s="496" t="str">
        <f> IF(CI159&lt;&gt;"",TEXT(AUX!CM$1,"dd-MMM-aa"),"")</f>
      </c>
      <c r="CJ139" s="496" t="str">
        <f> IF(CJ159&lt;&gt;"",TEXT(AUX!CN$1,"dd-MMM-aa"),"")</f>
      </c>
      <c r="CK139" s="496" t="str">
        <f> IF(CK159&lt;&gt;"",TEXT(AUX!CO$1,"dd-MMM-aa"),"")</f>
      </c>
      <c r="CL139" s="496" t="str">
        <f> IF(CL159&lt;&gt;"",TEXT(AUX!CP$1,"dd-MMM-aa"),"")</f>
      </c>
      <c r="CM139" s="496" t="str">
        <f> IF(CM159&lt;&gt;"",TEXT(AUX!CQ$1,"dd-MMM-aa"),"")</f>
      </c>
      <c r="CN139" s="496" t="str">
        <f> IF(CN159&lt;&gt;"",TEXT(AUX!CR$1,"dd-MMM-aa"),"")</f>
      </c>
      <c r="CO139" s="496" t="str">
        <f> IF(CO159&lt;&gt;"",TEXT(AUX!CS$1,"dd-MMM-aa"),"")</f>
      </c>
      <c r="CP139" s="496" t="str">
        <f> IF(CP159&lt;&gt;"",TEXT(AUX!CT$1,"dd-MMM-aa"),"")</f>
      </c>
      <c r="CQ139" s="496" t="str">
        <f> IF(CQ159&lt;&gt;"",TEXT(AUX!CU$1,"dd-MMM-aa"),"")</f>
      </c>
      <c r="CR139" s="496" t="str">
        <f> IF(CR159&lt;&gt;"",TEXT(AUX!CV$1,"dd-MMM-aa"),"")</f>
      </c>
      <c r="CS139" s="496" t="str">
        <f> IF(CS159&lt;&gt;"",TEXT(AUX!CW$1,"dd-MMM-aa"),"")</f>
      </c>
      <c r="CT139" s="496" t="str">
        <f> IF(CT159&lt;&gt;"",TEXT(AUX!CX$1,"dd-MMM-aa"),"")</f>
      </c>
      <c r="CU139" s="496" t="str">
        <f> IF(CU159&lt;&gt;"",TEXT(AUX!CY$1,"dd-MMM-aa"),"")</f>
      </c>
      <c r="CV139" s="496" t="str">
        <f> IF(CV159&lt;&gt;"",TEXT(AUX!CZ$1,"dd-MMM-aa"),"")</f>
      </c>
      <c r="CW139" s="496" t="str">
        <f> IF(CW159&lt;&gt;"",TEXT(AUX!DA$1,"dd-MMM-aa"),"")</f>
      </c>
      <c r="CX139" s="496" t="str">
        <f> IF(CX159&lt;&gt;"",TEXT(AUX!DB$1,"dd-MMM-aa"),"")</f>
      </c>
      <c r="CY139" s="496" t="str">
        <f> IF(CY159&lt;&gt;"",TEXT(AUX!DC$1,"dd-MMM-aa"),"")</f>
      </c>
      <c r="CZ139" s="496" t="str">
        <f> IF(CZ159&lt;&gt;"",TEXT(AUX!DD$1,"dd-MMM-aa"),"")</f>
      </c>
      <c r="DA139" s="496" t="str">
        <f> IF(DA159&lt;&gt;"",TEXT(AUX!DE$1,"dd-MMM-aa"),"")</f>
      </c>
      <c r="DB139" s="496" t="str">
        <f> IF(DB159&lt;&gt;"",TEXT(AUX!DF$1,"dd-MMM-aa"),"")</f>
      </c>
      <c r="DC139" s="496" t="str">
        <f> IF(DC159&lt;&gt;"",TEXT(AUX!DG$1,"dd-MMM-aa"),"")</f>
      </c>
      <c r="DD139" s="496" t="str">
        <f> IF(DD159&lt;&gt;"",TEXT(AUX!DH$1,"dd-MMM-aa"),"")</f>
      </c>
      <c r="DE139" s="496" t="str">
        <f> IF(DE159&lt;&gt;"",TEXT(AUX!DI$1,"dd-MMM-aa"),"")</f>
      </c>
      <c r="DF139" s="496" t="str">
        <f> IF(DF159&lt;&gt;"",TEXT(AUX!DJ$1,"dd-MMM-aa"),"")</f>
      </c>
      <c r="DG139" s="496" t="str">
        <f> IF(DG159&lt;&gt;"",TEXT(AUX!DK$1,"dd-MMM-aa"),"")</f>
      </c>
      <c r="DH139" s="496" t="str">
        <f> IF(DH159&lt;&gt;"",TEXT(AUX!DL$1,"dd-MMM-aa"),"")</f>
      </c>
      <c r="DI139" s="496" t="str">
        <f> IF(DI159&lt;&gt;"",TEXT(AUX!DM$1,"dd-MMM-aa"),"")</f>
      </c>
      <c r="DJ139" s="496" t="str">
        <f> IF(DJ159&lt;&gt;"",TEXT(AUX!DN$1,"dd-MMM-aa"),"")</f>
      </c>
      <c r="DK139" s="496" t="str">
        <f> IF(DK159&lt;&gt;"",TEXT(AUX!DO$1,"dd-MMM-aa"),"")</f>
      </c>
      <c r="DL139" s="496" t="str">
        <f> IF(DL159&lt;&gt;"",TEXT(AUX!DP$1,"dd-MMM-aa"),"")</f>
      </c>
      <c r="DM139" s="496" t="str">
        <f> IF(DM159&lt;&gt;"",TEXT(AUX!DQ$1,"dd-MMM-aa"),"")</f>
      </c>
      <c r="DN139" s="496" t="str">
        <f> IF(DN159&lt;&gt;"",TEXT(AUX!DR$1,"dd-MMM-aa"),"")</f>
      </c>
      <c r="DO139" s="496" t="str">
        <f> IF(DO159&lt;&gt;"",TEXT(AUX!DS$1,"dd-MMM-aa"),"")</f>
      </c>
      <c r="DP139" s="496" t="str">
        <f> IF(DP159&lt;&gt;"",TEXT(AUX!DT$1,"dd-MMM-aa"),"")</f>
      </c>
      <c r="DQ139" s="496" t="str">
        <f> IF(DQ159&lt;&gt;"",TEXT(AUX!DU$1,"dd-MMM-aa"),"")</f>
      </c>
      <c r="DR139" s="496" t="str">
        <f> IF(DR159&lt;&gt;"",TEXT(AUX!DV$1,"dd-MMM-aa"),"")</f>
      </c>
      <c r="DS139" s="496" t="str">
        <f> IF(DS159&lt;&gt;"",TEXT(AUX!DW$1,"dd-MMM-aa"),"")</f>
      </c>
      <c r="DT139" s="496" t="str">
        <f> IF(DT159&lt;&gt;"",TEXT(AUX!DX$1,"dd-MMM-aa"),"")</f>
      </c>
      <c r="DU139" s="496" t="str">
        <f> IF(DU159&lt;&gt;"",TEXT(AUX!DY$1,"dd-MMM-aa"),"")</f>
      </c>
      <c r="DV139" s="496" t="str">
        <f> IF(DV159&lt;&gt;"",TEXT(AUX!DZ$1,"dd-MMM-aa"),"")</f>
      </c>
      <c r="DW139" s="496" t="str">
        <f> IF(DW159&lt;&gt;"",TEXT(AUX!EA$1,"dd-MMM-aa"),"")</f>
      </c>
      <c r="DX139" s="496" t="str">
        <f> IF(DX159&lt;&gt;"",TEXT(AUX!EB$1,"dd-MMM-aa"),"")</f>
      </c>
      <c r="DY139" s="496" t="str">
        <f> IF(DY159&lt;&gt;"",TEXT(AUX!EC$1,"dd-MMM-aa"),"")</f>
      </c>
      <c r="DZ139" s="496" t="str">
        <f> IF(DZ159&lt;&gt;"",TEXT(AUX!ED$1,"dd-MMM-aa"),"")</f>
      </c>
      <c r="EA139" s="496" t="str">
        <f> IF(EA159&lt;&gt;"",TEXT(AUX!EE$1,"dd-MMM-aa"),"")</f>
      </c>
      <c r="EB139" s="496" t="str">
        <f> IF(EB159&lt;&gt;"",TEXT(AUX!EF$1,"dd-MMM-aa"),"")</f>
      </c>
      <c r="EC139" s="496" t="str">
        <f> IF(EC159&lt;&gt;"",TEXT(AUX!EG$1,"dd-MMM-aa"),"")</f>
      </c>
      <c r="ED139" s="496" t="str">
        <f> IF(ED159&lt;&gt;"",TEXT(AUX!EH$1,"dd-MMM-aa"),"")</f>
      </c>
      <c r="EE139" s="496" t="str">
        <f> IF(EE159&lt;&gt;"",TEXT(AUX!EI$1,"dd-MMM-aa"),"")</f>
      </c>
      <c r="EF139" s="496" t="str">
        <f> IF(EF159&lt;&gt;"",TEXT(AUX!EJ$1,"dd-MMM-aa"),"")</f>
      </c>
      <c r="EG139" s="496" t="str">
        <f> IF(EG159&lt;&gt;"",TEXT(AUX!EK$1,"dd-MMM-aa"),"")</f>
      </c>
      <c r="EH139" s="496" t="str">
        <f> IF(EH159&lt;&gt;"",TEXT(AUX!EL$1,"dd-MMM-aa"),"")</f>
      </c>
      <c r="EI139" s="496" t="str">
        <f> IF(EI159&lt;&gt;"",TEXT(AUX!EM$1,"dd-MMM-aa"),"")</f>
      </c>
      <c r="EJ139" s="496" t="str">
        <f> IF(EJ159&lt;&gt;"",TEXT(AUX!EN$1,"dd-MMM-aa"),"")</f>
      </c>
      <c r="EK139" s="496" t="str">
        <f> IF(EK159&lt;&gt;"",TEXT(AUX!EO$1,"dd-MMM-aa"),"")</f>
      </c>
      <c r="EL139" s="496" t="str">
        <f> IF(EL159&lt;&gt;"",TEXT(AUX!EP$1,"dd-MMM-aa"),"")</f>
      </c>
      <c r="EM139" s="496" t="str">
        <f> IF(EM159&lt;&gt;"",TEXT(AUX!EQ$1,"dd-MMM-aa"),"")</f>
      </c>
      <c r="EN139" s="496" t="str">
        <f> IF(EN159&lt;&gt;"",TEXT(AUX!ER$1,"dd-MMM-aa"),"")</f>
      </c>
      <c r="EO139" s="496" t="str">
        <f> IF(EO159&lt;&gt;"",TEXT(AUX!ES$1,"dd-MMM-aa"),"")</f>
      </c>
      <c r="EP139" s="496" t="str">
        <f> IF(EP159&lt;&gt;"",TEXT(AUX!ET$1,"dd-MMM-aa"),"")</f>
      </c>
      <c r="EQ139" s="496" t="str">
        <f> IF(EQ159&lt;&gt;"",TEXT(AUX!EU$1,"dd-MMM-aa"),"")</f>
      </c>
      <c r="ER139" s="496" t="str">
        <f> IF(ER159&lt;&gt;"",TEXT(AUX!EV$1,"dd-MMM-aa"),"")</f>
      </c>
      <c r="ES139" s="496" t="str">
        <f> IF(ES159&lt;&gt;"",TEXT(AUX!EW$1,"dd-MMM-aa"),"")</f>
      </c>
      <c r="ET139" s="496" t="str">
        <f> IF(ET159&lt;&gt;"",TEXT(AUX!EX$1,"dd-MMM-aa"),"")</f>
      </c>
      <c r="EU139" s="496" t="str">
        <f> IF(EU159&lt;&gt;"",TEXT(AUX!EY$1,"dd-MMM-aa"),"")</f>
      </c>
      <c r="EV139" s="496" t="str">
        <f> IF(EV159&lt;&gt;"",TEXT(AUX!EZ$1,"dd-MMM-aa"),"")</f>
      </c>
      <c r="EW139" s="496" t="str">
        <f> IF(EW159&lt;&gt;"",TEXT(AUX!FA$1,"dd-MMM-aa"),"")</f>
      </c>
      <c r="EX139" s="496" t="str">
        <f> IF(EX159&lt;&gt;"",TEXT(AUX!FB$1,"dd-MMM-aa"),"")</f>
      </c>
      <c r="EY139" s="496" t="str">
        <f> IF(EY159&lt;&gt;"",TEXT(AUX!FC$1,"dd-MMM-aa"),"")</f>
      </c>
      <c r="EZ139" s="496" t="str">
        <f> IF(EZ159&lt;&gt;"",TEXT(AUX!FD$1,"dd-MMM-aa"),"")</f>
      </c>
      <c r="FA139" s="496" t="str">
        <f> IF(FA159&lt;&gt;"",TEXT(AUX!FE$1,"dd-MMM-aa"),"")</f>
      </c>
      <c r="FB139" s="496" t="str">
        <f> IF(FB159&lt;&gt;"",TEXT(AUX!FF$1,"dd-MMM-aa"),"")</f>
      </c>
      <c r="FC139" s="496" t="str">
        <f> IF(FC159&lt;&gt;"",TEXT(AUX!FG$1,"dd-MMM-aa"),"")</f>
      </c>
      <c r="FD139" s="496" t="str">
        <f> IF(FD159&lt;&gt;"",TEXT(AUX!FH$1,"dd-MMM-aa"),"")</f>
      </c>
      <c r="FE139" s="496" t="str">
        <f> IF(FE159&lt;&gt;"",TEXT(AUX!FI$1,"dd-MMM-aa"),"")</f>
      </c>
      <c r="FF139" s="496" t="str">
        <f> IF(FF159&lt;&gt;"",TEXT(AUX!FJ$1,"dd-MMM-aa"),"")</f>
      </c>
      <c r="FG139" s="496" t="str">
        <f> IF(FG159&lt;&gt;"",TEXT(AUX!FK$1,"dd-MMM-aa"),"")</f>
      </c>
      <c r="FH139" s="496" t="str">
        <f> IF(FH159&lt;&gt;"",TEXT(AUX!FL$1,"dd-MMM-aa"),"")</f>
      </c>
      <c r="FI139" s="496" t="str">
        <f> IF(FI159&lt;&gt;"",TEXT(AUX!FM$1,"dd-MMM-aa"),"")</f>
      </c>
      <c r="FJ139" s="496" t="str">
        <f> IF(FJ159&lt;&gt;"",TEXT(AUX!FN$1,"dd-MMM-aa"),"")</f>
      </c>
      <c r="FK139" s="496" t="str">
        <f> IF(FK159&lt;&gt;"",TEXT(AUX!FO$1,"dd-MMM-aa"),"")</f>
      </c>
      <c r="FL139" s="496" t="str">
        <f> IF(FL159&lt;&gt;"",TEXT(AUX!FP$1,"dd-MMM-aa"),"")</f>
      </c>
      <c r="FM139" s="496" t="str">
        <f> IF(FM159&lt;&gt;"",TEXT(AUX!FQ$1,"dd-MMM-aa"),"")</f>
      </c>
      <c r="FN139" s="496" t="str">
        <f> IF(FN159&lt;&gt;"",TEXT(AUX!FR$1,"dd-MMM-aa"),"")</f>
      </c>
      <c r="FO139" s="496" t="str">
        <f> IF(FO159&lt;&gt;"",TEXT(AUX!FS$1,"dd-MMM-aa"),"")</f>
      </c>
      <c r="FP139" s="496" t="str">
        <f> IF(FP159&lt;&gt;"",TEXT(AUX!FT$1,"dd-MMM-aa"),"")</f>
      </c>
      <c r="FQ139" s="496" t="str">
        <f> IF(FQ159&lt;&gt;"",TEXT(AUX!FU$1,"dd-MMM-aa"),"")</f>
      </c>
      <c r="FR139" s="496" t="str">
        <f> IF(FR159&lt;&gt;"",TEXT(AUX!FV$1,"dd-MMM-aa"),"")</f>
      </c>
      <c r="FS139" s="496" t="str">
        <f> IF(FS159&lt;&gt;"",TEXT(AUX!FW$1,"dd-MMM-aa"),"")</f>
      </c>
      <c r="FT139" s="496" t="str">
        <f> IF(FT159&lt;&gt;"",TEXT(AUX!FX$1,"dd-MMM-aa"),"")</f>
      </c>
      <c r="FU139" s="496" t="str">
        <f> IF(FU159&lt;&gt;"",TEXT(AUX!FY$1,"dd-MMM-aa"),"")</f>
      </c>
      <c r="FV139" s="496" t="str">
        <f> IF(FV159&lt;&gt;"",TEXT(AUX!FZ$1,"dd-MMM-aa"),"")</f>
      </c>
      <c r="FW139" s="496" t="str">
        <f> IF(FW159&lt;&gt;"",TEXT(AUX!GA$1,"dd-MMM-aa"),"")</f>
      </c>
      <c r="FX139" s="496" t="str">
        <f> IF(FX159&lt;&gt;"",TEXT(AUX!GB$1,"dd-MMM-aa"),"")</f>
      </c>
      <c r="FY139" s="496" t="str">
        <f> IF(FY159&lt;&gt;"",TEXT(AUX!GC$1,"dd-MMM-aa"),"")</f>
      </c>
      <c r="FZ139" s="496" t="str">
        <f> IF(FZ159&lt;&gt;"",TEXT(AUX!GD$1,"dd-MMM-aa"),"")</f>
      </c>
      <c r="GA139" s="496" t="str">
        <f> IF(GA159&lt;&gt;"",TEXT(AUX!GE$1,"dd-MMM-aa"),"")</f>
      </c>
      <c r="GB139" s="496" t="str">
        <f> IF(GB159&lt;&gt;"",TEXT(AUX!GF$1,"dd-MMM-aa"),"")</f>
      </c>
      <c r="GC139" s="496" t="str">
        <f> IF(GC159&lt;&gt;"",TEXT(AUX!GG$1,"dd-MMM-aa"),"")</f>
      </c>
      <c r="GD139" s="496" t="str">
        <f> IF(GD159&lt;&gt;"",TEXT(AUX!GH$1,"dd-MMM-aa"),"")</f>
      </c>
      <c r="GE139" s="496" t="str">
        <f> IF(GE159&lt;&gt;"",TEXT(AUX!GI$1,"dd-MMM-aa"),"")</f>
      </c>
      <c r="GF139" s="496" t="str">
        <f> IF(GF159&lt;&gt;"",TEXT(AUX!GJ$1,"dd-MMM-aa"),"")</f>
      </c>
      <c r="GG139" s="496" t="str">
        <f> IF(GG159&lt;&gt;"",TEXT(AUX!GK$1,"dd-MMM-aa"),"")</f>
      </c>
      <c r="GH139" s="496" t="str">
        <f> IF(GH159&lt;&gt;"",TEXT(AUX!GL$1,"dd-MMM-aa"),"")</f>
      </c>
      <c r="GI139" s="496" t="str">
        <f> IF(GI159&lt;&gt;"",TEXT(AUX!GM$1,"dd-MMM-aa"),"")</f>
      </c>
      <c r="GJ139" s="496" t="str">
        <f> IF(GJ159&lt;&gt;"",TEXT(AUX!GN$1,"dd-MMM-aa"),"")</f>
      </c>
      <c r="GK139" s="496" t="str">
        <f> IF(GK159&lt;&gt;"",TEXT(AUX!GO$1,"dd-MMM-aa"),"")</f>
      </c>
      <c r="GL139" s="496" t="str">
        <f> IF(GL159&lt;&gt;"",TEXT(AUX!GP$1,"dd-MMM-aa"),"")</f>
      </c>
      <c r="GM139" s="496" t="str">
        <f> IF(GM159&lt;&gt;"",TEXT(AUX!GQ$1,"dd-MMM-aa"),"")</f>
      </c>
      <c r="GN139" s="496" t="str">
        <f> IF(GN159&lt;&gt;"",TEXT(AUX!GR$1,"dd-MMM-aa"),"")</f>
      </c>
      <c r="GO139" s="496" t="str">
        <f> IF(GO159&lt;&gt;"",TEXT(AUX!GS$1,"dd-MMM-aa"),"")</f>
      </c>
      <c r="GP139" s="496" t="str">
        <f> IF(GP159&lt;&gt;"",TEXT(AUX!GT$1,"dd-MMM-aa"),"")</f>
      </c>
      <c r="GQ139" s="496" t="str">
        <f> IF(GQ159&lt;&gt;"",TEXT(AUX!GU$1,"dd-MMM-aa"),"")</f>
      </c>
      <c r="GR139" s="496" t="str">
        <f> IF(GR159&lt;&gt;"",TEXT(AUX!GV$1,"dd-MMM-aa"),"")</f>
      </c>
      <c r="GS139" s="496" t="str">
        <f> IF(GS159&lt;&gt;"",TEXT(AUX!GW$1,"dd-MMM-aa"),"")</f>
      </c>
      <c r="GT139" s="496" t="str">
        <f> IF(GT159&lt;&gt;"",TEXT(AUX!GX$1,"dd-MMM-aa"),"")</f>
      </c>
      <c r="GU139" s="496" t="str">
        <f> IF(GU159&lt;&gt;"",TEXT(AUX!GY$1,"dd-MMM-aa"),"")</f>
      </c>
      <c r="GV139" s="496" t="str">
        <f> IF(GV159&lt;&gt;"",TEXT(AUX!GZ$1,"dd-MMM-aa"),"")</f>
      </c>
      <c r="GW139" s="496" t="str">
        <f> IF(GW159&lt;&gt;"",TEXT(AUX!HA$1,"dd-MMM-aa"),"")</f>
      </c>
      <c r="GX139" s="496" t="str">
        <f> IF(GX159&lt;&gt;"",TEXT(AUX!HB$1,"dd-MMM-aa"),"")</f>
      </c>
      <c r="GY139" s="496" t="str">
        <f> IF(GY159&lt;&gt;"",TEXT(AUX!HC$1,"dd-MMM-aa"),"")</f>
      </c>
      <c r="GZ139" s="496" t="str">
        <f> IF(GZ159&lt;&gt;"",TEXT(AUX!HD$1,"dd-MMM-aa"),"")</f>
      </c>
      <c r="HA139" s="496" t="str">
        <f> IF(HA159&lt;&gt;"",TEXT(AUX!HE$1,"dd-MMM-aa"),"")</f>
      </c>
      <c r="HB139" s="496" t="str">
        <f> IF(HB159&lt;&gt;"",TEXT(AUX!HF$1,"dd-MMM-aa"),"")</f>
      </c>
      <c r="HC139" s="496" t="str">
        <f> IF(HC159&lt;&gt;"",TEXT(AUX!HG$1,"dd-MMM-aa"),"")</f>
      </c>
      <c r="HD139" s="496" t="str">
        <f> IF(HD159&lt;&gt;"",TEXT(AUX!HH$1,"dd-MMM-aa"),"")</f>
      </c>
      <c r="HE139" s="496" t="str">
        <f> IF(HE159&lt;&gt;"",TEXT(AUX!HI$1,"dd-MMM-aa"),"")</f>
      </c>
      <c r="HF139" s="496" t="str">
        <f> IF(HF159&lt;&gt;"",TEXT(AUX!HJ$1,"dd-MMM-aa"),"")</f>
      </c>
      <c r="HG139" s="496" t="str">
        <f> IF(HG159&lt;&gt;"",TEXT(AUX!HK$1,"dd-MMM-aa"),"")</f>
      </c>
      <c r="HH139" s="496" t="str">
        <f> IF(HH159&lt;&gt;"",TEXT(AUX!HL$1,"dd-MMM-aa"),"")</f>
      </c>
      <c r="HI139" s="496" t="str">
        <f> IF(HI159&lt;&gt;"",TEXT(AUX!HM$1,"dd-MMM-aa"),"")</f>
      </c>
      <c r="HJ139" s="496" t="str">
        <f> IF(HJ159&lt;&gt;"",TEXT(AUX!HN$1,"dd-MMM-aa"),"")</f>
      </c>
      <c r="HK139" s="496" t="str">
        <f> IF(HK159&lt;&gt;"",TEXT(AUX!HO$1,"dd-MMM-aa"),"")</f>
      </c>
      <c r="HL139" s="496" t="str">
        <f> IF(HL159&lt;&gt;"",TEXT(AUX!HP$1,"dd-MMM-aa"),"")</f>
      </c>
      <c r="HM139" s="496" t="str">
        <f> IF(HM159&lt;&gt;"",TEXT(AUX!HQ$1,"dd-MMM-aa"),"")</f>
      </c>
      <c r="HN139" s="496" t="str">
        <f> IF(HN159&lt;&gt;"",TEXT(AUX!HR$1,"dd-MMM-aa"),"")</f>
      </c>
      <c r="HO139" s="496" t="str">
        <f> IF(HO159&lt;&gt;"",TEXT(AUX!HS$1,"dd-MMM-aa"),"")</f>
      </c>
      <c r="HP139" s="496" t="str">
        <f> IF(HP159&lt;&gt;"",TEXT(AUX!HT$1,"dd-MMM-aa"),"")</f>
      </c>
      <c r="HQ139" s="496" t="str">
        <f> IF(HQ159&lt;&gt;"",TEXT(AUX!HU$1,"dd-MMM-aa"),"")</f>
      </c>
      <c r="HR139" s="496" t="str">
        <f> IF(HR159&lt;&gt;"",TEXT(AUX!HV$1,"dd-MMM-aa"),"")</f>
      </c>
      <c r="HS139" s="496" t="str">
        <f> IF(HS159&lt;&gt;"",TEXT(AUX!HW$1,"dd-MMM-aa"),"")</f>
      </c>
      <c r="HT139" s="496" t="str">
        <f> IF(HT159&lt;&gt;"",TEXT(AUX!HX$1,"dd-MMM-aa"),"")</f>
      </c>
      <c r="HU139" s="496" t="str">
        <f> IF(HU159&lt;&gt;"",TEXT(AUX!HY$1,"dd-MMM-aa"),"")</f>
      </c>
      <c r="HV139" s="496" t="str">
        <f> IF(HV159&lt;&gt;"",TEXT(AUX!HZ$1,"dd-MMM-aa"),"")</f>
      </c>
      <c r="HW139" s="496" t="str">
        <f> IF(HW159&lt;&gt;"",TEXT(AUX!IA$1,"dd-MMM-aa"),"")</f>
      </c>
      <c r="HX139" s="496" t="str">
        <f> IF(HX159&lt;&gt;"",TEXT(AUX!IB$1,"dd-MMM-aa"),"")</f>
      </c>
      <c r="HY139" s="496" t="str">
        <f> IF(HY159&lt;&gt;"",TEXT(AUX!IC$1,"dd-MMM-aa"),"")</f>
      </c>
      <c r="HZ139" s="496" t="str">
        <f> IF(HZ159&lt;&gt;"",TEXT(AUX!ID$1,"dd-MMM-aa"),"")</f>
      </c>
      <c r="IA139" s="496" t="str">
        <f> IF(IA159&lt;&gt;"",TEXT(AUX!IE$1,"dd-MMM-aa"),"")</f>
      </c>
      <c r="IB139" s="496" t="str">
        <f> IF(IB159&lt;&gt;"",TEXT(AUX!IF$1,"dd-MMM-aa"),"")</f>
      </c>
      <c r="IC139" s="496" t="str">
        <f> IF(IC159&lt;&gt;"",TEXT(AUX!IG$1,"dd-MMM-aa"),"")</f>
      </c>
      <c r="ID139" s="496" t="str">
        <f> IF(ID159&lt;&gt;"",TEXT(AUX!IH$1,"dd-MMM-aa"),"")</f>
      </c>
      <c r="IE139" s="496" t="str">
        <f> IF(IE159&lt;&gt;"",TEXT(AUX!II$1,"dd-MMM-aa"),"")</f>
      </c>
      <c r="IF139" s="496" t="str">
        <f> IF(IF159&lt;&gt;"",TEXT(AUX!IJ$1,"dd-MMM-aa"),"")</f>
      </c>
      <c r="IG139" s="496" t="str">
        <f> IF(IG159&lt;&gt;"",TEXT(AUX!IK$1,"dd-MMM-aa"),"")</f>
      </c>
      <c r="IH139" s="496" t="str">
        <f> IF(IH159&lt;&gt;"",TEXT(AUX!IL$1,"dd-MMM-aa"),"")</f>
      </c>
      <c r="II139" s="496" t="str">
        <f> IF(II159&lt;&gt;"",TEXT(AUX!IM$1,"dd-MMM-aa"),"")</f>
      </c>
      <c r="IJ139" s="496" t="str">
        <f> IF(IJ159&lt;&gt;"",TEXT(AUX!IN$1,"dd-MMM-aa"),"")</f>
      </c>
      <c r="IK139" s="496" t="str">
        <f> IF(IK159&lt;&gt;"",TEXT(AUX!IO$1,"dd-MMM-aa"),"")</f>
      </c>
      <c r="IL139" s="496" t="str">
        <f> IF(IL159&lt;&gt;"",TEXT(AUX!IP$1,"dd-MMM-aa"),"")</f>
      </c>
      <c r="IM139" s="496" t="str">
        <f> IF(IM159&lt;&gt;"",TEXT(AUX!IQ$1,"dd-MMM-aa"),"")</f>
      </c>
      <c r="IN139" s="496" t="str">
        <f> IF(IN159&lt;&gt;"",TEXT(AUX!IR$1,"dd-MMM-aa"),"")</f>
      </c>
      <c r="IO139" s="496" t="str">
        <f> IF(IO159&lt;&gt;"",TEXT(AUX!IS$1,"dd-MMM-aa"),"")</f>
      </c>
      <c r="IP139" s="496" t="str">
        <f> IF(IP159&lt;&gt;"",TEXT(AUX!IT$1,"dd-MMM-aa"),"")</f>
      </c>
      <c r="IQ139" s="496" t="str">
        <f> IF(IQ159&lt;&gt;"",TEXT(AUX!IU$1,"dd-MMM-aa"),"")</f>
      </c>
      <c r="IR139" s="496" t="str">
        <f> IF(IR159&lt;&gt;"",TEXT(AUX!IV$1,"dd-MMM-aa"),"")</f>
      </c>
      <c r="IS139" s="496" t="str">
        <f> IF(IS159&lt;&gt;"",TEXT(AUX!#REF!,"dd-MMM-aa"),"")</f>
      </c>
      <c r="IT139" s="496" t="str">
        <f> IF(IT159&lt;&gt;"",TEXT(AUX!#REF!,"dd-MMM-aa"),"")</f>
      </c>
      <c r="IU139" s="496" t="str">
        <f> IF(IU159&lt;&gt;"",TEXT(AUX!#REF!,"dd-MMM-aa"),"")</f>
      </c>
      <c r="IV139" s="496" t="str">
        <f> IF(IV159&lt;&gt;"",TEXT(AUX!#REF!,"dd-MMM-aa"),"")</f>
      </c>
    </row>
    <row r="140" hidden="1">
      <c r="A140" s="309"/>
      <c r="B140" s="822" t="s">
        <v>8</v>
      </c>
      <c r="C140" s="823">
        <v>132741</v>
      </c>
      <c r="D140" s="823">
        <v>159864</v>
      </c>
      <c r="E140" s="823">
        <v>120534</v>
      </c>
      <c r="F140" s="823">
        <v>143958</v>
      </c>
      <c r="G140" s="823">
        <v>116372</v>
      </c>
      <c r="H140" s="823">
        <v>127937</v>
      </c>
      <c r="I140" s="823">
        <v>100935</v>
      </c>
      <c r="J140" s="823">
        <v>135400</v>
      </c>
      <c r="K140" s="823">
        <v>102760</v>
      </c>
      <c r="L140" s="823">
        <v>124209</v>
      </c>
      <c r="M140" s="823">
        <v>106348</v>
      </c>
      <c r="N140" s="823">
        <v>129581</v>
      </c>
      <c r="O140" s="823">
        <v>129970</v>
      </c>
      <c r="P140" s="823">
        <v>145972</v>
      </c>
      <c r="Q140" s="823">
        <v>152564</v>
      </c>
      <c r="R140" s="823">
        <v>177780</v>
      </c>
      <c r="S140" s="823">
        <v>170408</v>
      </c>
      <c r="T140" s="823">
        <v>191137</v>
      </c>
      <c r="U140" s="823">
        <v>176398</v>
      </c>
      <c r="V140" s="823">
        <v>208111</v>
      </c>
      <c r="W140" s="823">
        <v>161920</v>
      </c>
      <c r="X140" s="823">
        <v>223657</v>
      </c>
      <c r="Y140" s="823">
        <v>189691</v>
      </c>
      <c r="Z140" s="823">
        <v>213329</v>
      </c>
      <c r="AA140" s="823">
        <v>163534</v>
      </c>
      <c r="AB140" s="824">
        <v>198773</v>
      </c>
      <c r="AC140" s="825">
        <v>187455</v>
      </c>
      <c r="AD140" s="825">
        <v>212008</v>
      </c>
      <c r="AE140" s="825">
        <v>161992</v>
      </c>
      <c r="AF140" s="825">
        <v>212305</v>
      </c>
      <c r="AG140" s="825">
        <v>203292</v>
      </c>
      <c r="AH140" s="825">
        <v>231793</v>
      </c>
      <c r="AI140" s="825">
        <v>167808</v>
      </c>
      <c r="AJ140" s="825">
        <v>196976</v>
      </c>
      <c r="AK140" s="825">
        <v>144983</v>
      </c>
      <c r="AL140" s="825">
        <v>161346</v>
      </c>
      <c r="AM140" s="825">
        <v>141297</v>
      </c>
      <c r="AN140" s="825">
        <v>194104</v>
      </c>
      <c r="AO140" s="825">
        <v>308922</v>
      </c>
      <c r="AP140" s="825">
        <v>311590</v>
      </c>
    </row>
    <row r="141" hidden="1">
      <c r="A141" s="50"/>
      <c r="B141" s="826" t="s">
        <v>9</v>
      </c>
      <c r="C141" s="827">
        <v>0</v>
      </c>
      <c r="D141" s="827">
        <v>0</v>
      </c>
      <c r="E141" s="827">
        <v>0</v>
      </c>
      <c r="F141" s="827">
        <v>284</v>
      </c>
      <c r="G141" s="827">
        <v>10701</v>
      </c>
      <c r="H141" s="827">
        <v>10701</v>
      </c>
      <c r="I141" s="827">
        <v>29819</v>
      </c>
      <c r="J141" s="827">
        <v>31095</v>
      </c>
      <c r="K141" s="827">
        <v>51159</v>
      </c>
      <c r="L141" s="827">
        <v>50860</v>
      </c>
      <c r="M141" s="827">
        <v>84721</v>
      </c>
      <c r="N141" s="827">
        <v>104972</v>
      </c>
      <c r="O141" s="827">
        <v>104972</v>
      </c>
      <c r="P141" s="827">
        <v>129880</v>
      </c>
      <c r="Q141" s="827">
        <v>101264</v>
      </c>
      <c r="R141" s="827">
        <v>121635</v>
      </c>
      <c r="S141" s="827">
        <v>93692</v>
      </c>
      <c r="T141" s="827">
        <v>112957</v>
      </c>
      <c r="U141" s="827">
        <v>95974</v>
      </c>
      <c r="V141" s="827">
        <v>118018</v>
      </c>
      <c r="W141" s="827">
        <v>99266</v>
      </c>
      <c r="X141" s="827">
        <v>119687</v>
      </c>
      <c r="Y141" s="827">
        <v>90977</v>
      </c>
      <c r="Z141" s="827">
        <v>110048</v>
      </c>
      <c r="AA141" s="827">
        <v>87282</v>
      </c>
      <c r="AB141" s="827">
        <v>111065</v>
      </c>
      <c r="AC141" s="828">
        <v>79116</v>
      </c>
      <c r="AD141" s="828">
        <v>106413</v>
      </c>
      <c r="AE141" s="828">
        <v>63973</v>
      </c>
      <c r="AF141" s="828">
        <v>103193</v>
      </c>
      <c r="AG141" s="828">
        <v>63348</v>
      </c>
      <c r="AH141" s="828">
        <v>84221</v>
      </c>
      <c r="AI141" s="828">
        <v>54876</v>
      </c>
      <c r="AJ141" s="828">
        <v>70656</v>
      </c>
      <c r="AK141" s="828">
        <v>57102</v>
      </c>
      <c r="AL141" s="828">
        <v>66797</v>
      </c>
      <c r="AM141" s="828">
        <v>58288</v>
      </c>
      <c r="AN141" s="828">
        <v>72667</v>
      </c>
      <c r="AO141" s="828">
        <v>93020</v>
      </c>
      <c r="AP141" s="828">
        <v>94830</v>
      </c>
    </row>
    <row r="142" hidden="1">
      <c r="A142" s="50"/>
      <c r="B142" s="829" t="s">
        <v>10</v>
      </c>
      <c r="C142" s="823">
        <v>5109</v>
      </c>
      <c r="D142" s="823">
        <v>5654</v>
      </c>
      <c r="E142" s="823">
        <v>5654</v>
      </c>
      <c r="F142" s="823">
        <v>5653</v>
      </c>
      <c r="G142" s="823">
        <v>5510</v>
      </c>
      <c r="H142" s="823">
        <v>5474</v>
      </c>
      <c r="I142" s="823">
        <v>5229</v>
      </c>
      <c r="J142" s="823">
        <v>5024</v>
      </c>
      <c r="K142" s="823">
        <v>5071</v>
      </c>
      <c r="L142" s="823">
        <v>4872</v>
      </c>
      <c r="M142" s="823">
        <v>5181</v>
      </c>
      <c r="N142" s="823">
        <v>5178</v>
      </c>
      <c r="O142" s="823">
        <v>4906</v>
      </c>
      <c r="P142" s="823">
        <v>4923</v>
      </c>
      <c r="Q142" s="823">
        <v>5239</v>
      </c>
      <c r="R142" s="823">
        <v>5230</v>
      </c>
      <c r="S142" s="823">
        <v>6061</v>
      </c>
      <c r="T142" s="823">
        <v>6036</v>
      </c>
      <c r="U142" s="823">
        <v>5680</v>
      </c>
      <c r="V142" s="823">
        <v>5509</v>
      </c>
      <c r="W142" s="823">
        <v>5524</v>
      </c>
      <c r="X142" s="823">
        <v>5371</v>
      </c>
      <c r="Y142" s="823">
        <v>5627</v>
      </c>
      <c r="Z142" s="823">
        <v>5592</v>
      </c>
      <c r="AA142" s="823">
        <v>5808</v>
      </c>
      <c r="AB142" s="823">
        <v>6659</v>
      </c>
      <c r="AC142" s="825">
        <v>5789</v>
      </c>
      <c r="AD142" s="825">
        <v>5777</v>
      </c>
      <c r="AE142" s="825">
        <v>5884</v>
      </c>
      <c r="AF142" s="825">
        <v>5591</v>
      </c>
      <c r="AG142" s="825">
        <v>5744</v>
      </c>
      <c r="AH142" s="825">
        <v>5564</v>
      </c>
      <c r="AI142" s="825">
        <v>5670</v>
      </c>
      <c r="AJ142" s="825">
        <v>5537</v>
      </c>
      <c r="AK142" s="825">
        <v>5239</v>
      </c>
      <c r="AL142" s="825">
        <v>5157</v>
      </c>
      <c r="AM142" s="825">
        <v>5388</v>
      </c>
      <c r="AN142" s="825">
        <v>5269</v>
      </c>
      <c r="AO142" s="825">
        <v>9565</v>
      </c>
      <c r="AP142" s="825">
        <v>9789</v>
      </c>
    </row>
    <row r="143" hidden="1">
      <c r="A143" s="50"/>
      <c r="B143" s="826" t="s">
        <v>11</v>
      </c>
      <c r="C143" s="827">
        <v>19414</v>
      </c>
      <c r="D143" s="827">
        <v>17906</v>
      </c>
      <c r="E143" s="827">
        <v>15718</v>
      </c>
      <c r="F143" s="827">
        <v>15711</v>
      </c>
      <c r="G143" s="827">
        <v>18022</v>
      </c>
      <c r="H143" s="827">
        <v>17245</v>
      </c>
      <c r="I143" s="827">
        <v>16399</v>
      </c>
      <c r="J143" s="827">
        <v>46713</v>
      </c>
      <c r="K143" s="827">
        <v>23446</v>
      </c>
      <c r="L143" s="827">
        <v>25198</v>
      </c>
      <c r="M143" s="827">
        <v>17410</v>
      </c>
      <c r="N143" s="827">
        <v>18162</v>
      </c>
      <c r="O143" s="827">
        <v>12763</v>
      </c>
      <c r="P143" s="827">
        <v>13513</v>
      </c>
      <c r="Q143" s="827">
        <v>11989</v>
      </c>
      <c r="R143" s="827">
        <v>12329</v>
      </c>
      <c r="S143" s="827">
        <v>12255</v>
      </c>
      <c r="T143" s="827">
        <v>12441</v>
      </c>
      <c r="U143" s="827">
        <v>12930</v>
      </c>
      <c r="V143" s="827">
        <v>12694</v>
      </c>
      <c r="W143" s="827">
        <v>12735</v>
      </c>
      <c r="X143" s="827">
        <v>12476</v>
      </c>
      <c r="Y143" s="827">
        <v>11232</v>
      </c>
      <c r="Z143" s="827">
        <v>10870</v>
      </c>
      <c r="AA143" s="827">
        <v>9376</v>
      </c>
      <c r="AB143" s="827">
        <v>9264</v>
      </c>
      <c r="AC143" s="828">
        <v>12365</v>
      </c>
      <c r="AD143" s="828">
        <v>11501</v>
      </c>
      <c r="AE143" s="828">
        <v>12158</v>
      </c>
      <c r="AF143" s="828">
        <v>11115</v>
      </c>
      <c r="AG143" s="828">
        <v>10508</v>
      </c>
      <c r="AH143" s="828">
        <v>10051</v>
      </c>
      <c r="AI143" s="828">
        <v>8860</v>
      </c>
      <c r="AJ143" s="828">
        <v>8382</v>
      </c>
      <c r="AK143" s="828">
        <v>8127</v>
      </c>
      <c r="AL143" s="828">
        <v>7654</v>
      </c>
      <c r="AM143" s="828">
        <v>8444</v>
      </c>
      <c r="AN143" s="828">
        <v>8571</v>
      </c>
      <c r="AO143" s="828">
        <v>24167</v>
      </c>
      <c r="AP143" s="828">
        <v>16517</v>
      </c>
    </row>
    <row r="144" hidden="1">
      <c r="A144" s="309"/>
      <c r="B144" s="829" t="s">
        <v>12</v>
      </c>
      <c r="C144" s="823">
        <v>7705</v>
      </c>
      <c r="D144" s="823">
        <v>9002</v>
      </c>
      <c r="E144" s="823">
        <v>7812</v>
      </c>
      <c r="F144" s="823">
        <v>8432</v>
      </c>
      <c r="G144" s="823">
        <v>9122</v>
      </c>
      <c r="H144" s="823">
        <v>9095</v>
      </c>
      <c r="I144" s="823">
        <v>9077</v>
      </c>
      <c r="J144" s="823">
        <v>7906</v>
      </c>
      <c r="K144" s="823">
        <v>6780</v>
      </c>
      <c r="L144" s="823">
        <v>7201</v>
      </c>
      <c r="M144" s="823">
        <v>7287</v>
      </c>
      <c r="N144" s="823">
        <v>7141</v>
      </c>
      <c r="O144" s="823">
        <v>6280</v>
      </c>
      <c r="P144" s="823">
        <v>6249</v>
      </c>
      <c r="Q144" s="823">
        <v>5198</v>
      </c>
      <c r="R144" s="823">
        <v>5337</v>
      </c>
      <c r="S144" s="823">
        <v>4589</v>
      </c>
      <c r="T144" s="823">
        <v>4790</v>
      </c>
      <c r="U144" s="823">
        <v>3895</v>
      </c>
      <c r="V144" s="823">
        <v>3708</v>
      </c>
      <c r="W144" s="823">
        <v>4077</v>
      </c>
      <c r="X144" s="823">
        <v>4482</v>
      </c>
      <c r="Y144" s="823">
        <v>4198</v>
      </c>
      <c r="Z144" s="823">
        <v>4436</v>
      </c>
      <c r="AA144" s="823">
        <v>3802</v>
      </c>
      <c r="AB144" s="823">
        <v>3929</v>
      </c>
      <c r="AC144" s="825">
        <v>4372</v>
      </c>
      <c r="AD144" s="825">
        <v>4388</v>
      </c>
      <c r="AE144" s="825">
        <v>4364</v>
      </c>
      <c r="AF144" s="825">
        <v>4271</v>
      </c>
      <c r="AG144" s="825">
        <v>3842</v>
      </c>
      <c r="AH144" s="825">
        <v>3779</v>
      </c>
      <c r="AI144" s="825">
        <v>3719</v>
      </c>
      <c r="AJ144" s="825">
        <v>3754</v>
      </c>
      <c r="AK144" s="825">
        <v>3843</v>
      </c>
      <c r="AL144" s="825">
        <v>3612</v>
      </c>
      <c r="AM144" s="825">
        <v>3835</v>
      </c>
      <c r="AN144" s="825">
        <v>3952</v>
      </c>
      <c r="AO144" s="825">
        <v>8059</v>
      </c>
      <c r="AP144" s="825">
        <v>8397</v>
      </c>
    </row>
    <row r="145" hidden="1">
      <c r="B145" s="826" t="s">
        <v>13</v>
      </c>
      <c r="C145" s="827">
        <v>4749</v>
      </c>
      <c r="D145" s="827">
        <v>5424</v>
      </c>
      <c r="E145" s="827">
        <v>6508</v>
      </c>
      <c r="F145" s="827">
        <v>6931</v>
      </c>
      <c r="G145" s="827">
        <v>5569</v>
      </c>
      <c r="H145" s="827">
        <v>5468</v>
      </c>
      <c r="I145" s="827">
        <v>6612</v>
      </c>
      <c r="J145" s="827">
        <v>7868</v>
      </c>
      <c r="K145" s="827">
        <v>6522</v>
      </c>
      <c r="L145" s="827">
        <v>6501</v>
      </c>
      <c r="M145" s="827">
        <v>6633</v>
      </c>
      <c r="N145" s="827">
        <v>9382</v>
      </c>
      <c r="O145" s="827">
        <v>8182</v>
      </c>
      <c r="P145" s="827">
        <v>10833</v>
      </c>
      <c r="Q145" s="827">
        <v>10022</v>
      </c>
      <c r="R145" s="827">
        <v>6552</v>
      </c>
      <c r="S145" s="827">
        <v>3661</v>
      </c>
      <c r="T145" s="827">
        <v>4532</v>
      </c>
      <c r="U145" s="827">
        <v>6488</v>
      </c>
      <c r="V145" s="827">
        <v>5077</v>
      </c>
      <c r="W145" s="827">
        <v>3109</v>
      </c>
      <c r="X145" s="827">
        <v>4182</v>
      </c>
      <c r="Y145" s="827">
        <v>3364</v>
      </c>
      <c r="Z145" s="827">
        <v>3918</v>
      </c>
      <c r="AA145" s="827">
        <v>3439</v>
      </c>
      <c r="AB145" s="827">
        <v>4119</v>
      </c>
      <c r="AC145" s="828">
        <v>2791</v>
      </c>
      <c r="AD145" s="828">
        <v>3581</v>
      </c>
      <c r="AE145" s="828">
        <v>3253</v>
      </c>
      <c r="AF145" s="828">
        <v>3738</v>
      </c>
      <c r="AG145" s="828">
        <v>3459</v>
      </c>
      <c r="AH145" s="828">
        <v>3405</v>
      </c>
      <c r="AI145" s="828">
        <v>3394</v>
      </c>
      <c r="AJ145" s="828">
        <v>3416</v>
      </c>
      <c r="AK145" s="828">
        <v>2787</v>
      </c>
      <c r="AL145" s="828">
        <v>2864</v>
      </c>
      <c r="AM145" s="828">
        <v>2927</v>
      </c>
      <c r="AN145" s="828">
        <v>3165</v>
      </c>
      <c r="AO145" s="828">
        <v>4508</v>
      </c>
      <c r="AP145" s="828">
        <v>6335</v>
      </c>
    </row>
    <row r="146" hidden="1" ht="14.25" customHeight="1">
      <c r="B146" s="829" t="s">
        <v>109</v>
      </c>
      <c r="C146" s="823">
        <v>142959</v>
      </c>
      <c r="D146" s="823">
        <v>144103</v>
      </c>
      <c r="E146" s="823">
        <v>157011</v>
      </c>
      <c r="F146" s="823">
        <v>156802</v>
      </c>
      <c r="G146" s="823">
        <v>149604</v>
      </c>
      <c r="H146" s="823">
        <v>148082</v>
      </c>
      <c r="I146" s="823">
        <v>126794</v>
      </c>
      <c r="J146" s="823">
        <v>128725</v>
      </c>
      <c r="K146" s="823">
        <v>128666</v>
      </c>
      <c r="L146" s="823">
        <v>129101</v>
      </c>
      <c r="M146" s="823">
        <v>131512</v>
      </c>
      <c r="N146" s="823">
        <v>134707</v>
      </c>
      <c r="O146" s="823">
        <v>129961</v>
      </c>
      <c r="P146" s="823">
        <v>130268</v>
      </c>
      <c r="Q146" s="823">
        <v>137482</v>
      </c>
      <c r="R146" s="823">
        <v>135396</v>
      </c>
      <c r="S146" s="823">
        <v>145150</v>
      </c>
      <c r="T146" s="823">
        <v>145036</v>
      </c>
      <c r="U146" s="823">
        <v>144354</v>
      </c>
      <c r="V146" s="823">
        <v>144858</v>
      </c>
      <c r="W146" s="823">
        <v>183804</v>
      </c>
      <c r="X146" s="823">
        <v>180832</v>
      </c>
      <c r="Y146" s="823">
        <v>192770</v>
      </c>
      <c r="Z146" s="823">
        <v>186258</v>
      </c>
      <c r="AA146" s="823">
        <v>166635</v>
      </c>
      <c r="AB146" s="823">
        <v>166807</v>
      </c>
      <c r="AC146" s="825">
        <v>159177</v>
      </c>
      <c r="AD146" s="825">
        <v>155883</v>
      </c>
      <c r="AE146" s="825">
        <v>19844</v>
      </c>
      <c r="AF146" s="825">
        <v>18776</v>
      </c>
      <c r="AG146" s="825">
        <v>18297</v>
      </c>
      <c r="AH146" s="825">
        <v>17973</v>
      </c>
      <c r="AI146" s="825">
        <v>19772</v>
      </c>
      <c r="AJ146" s="825">
        <v>18873</v>
      </c>
      <c r="AK146" s="825">
        <v>27083</v>
      </c>
      <c r="AL146" s="825">
        <v>27355</v>
      </c>
      <c r="AM146" s="825">
        <v>25104</v>
      </c>
      <c r="AN146" s="825">
        <v>24999</v>
      </c>
      <c r="AO146" s="825">
        <v>253325</v>
      </c>
      <c r="AP146" s="825">
        <v>302889</v>
      </c>
    </row>
    <row r="147" hidden="1">
      <c r="B147" s="826" t="s">
        <v>110</v>
      </c>
      <c r="C147" s="827">
        <v>274511</v>
      </c>
      <c r="D147" s="827">
        <v>275716</v>
      </c>
      <c r="E147" s="827">
        <v>183152</v>
      </c>
      <c r="F147" s="827">
        <v>185918</v>
      </c>
      <c r="G147" s="827">
        <v>145860</v>
      </c>
      <c r="H147" s="827">
        <v>145412</v>
      </c>
      <c r="I147" s="827">
        <v>115654</v>
      </c>
      <c r="J147" s="827">
        <v>101980</v>
      </c>
      <c r="K147" s="827">
        <v>131176</v>
      </c>
      <c r="L147" s="827">
        <v>140718</v>
      </c>
      <c r="M147" s="827">
        <v>146757</v>
      </c>
      <c r="N147" s="827">
        <v>144188</v>
      </c>
      <c r="O147" s="827">
        <v>121993</v>
      </c>
      <c r="P147" s="827">
        <v>124455</v>
      </c>
      <c r="Q147" s="827">
        <v>119678</v>
      </c>
      <c r="R147" s="827">
        <v>121981</v>
      </c>
      <c r="S147" s="827">
        <v>155704</v>
      </c>
      <c r="T147" s="827">
        <v>157872</v>
      </c>
      <c r="U147" s="827">
        <v>188639</v>
      </c>
      <c r="V147" s="827">
        <v>191517</v>
      </c>
      <c r="W147" s="827">
        <v>196637</v>
      </c>
      <c r="X147" s="827">
        <v>195559</v>
      </c>
      <c r="Y147" s="827">
        <v>213682</v>
      </c>
      <c r="Z147" s="827">
        <v>214250</v>
      </c>
      <c r="AA147" s="827">
        <v>205303</v>
      </c>
      <c r="AB147" s="827">
        <v>204328</v>
      </c>
      <c r="AC147" s="828">
        <v>36872</v>
      </c>
      <c r="AD147" s="828">
        <v>36847</v>
      </c>
      <c r="AE147" s="828">
        <v>22892</v>
      </c>
      <c r="AF147" s="828">
        <v>23277</v>
      </c>
      <c r="AG147" s="828">
        <v>31205</v>
      </c>
      <c r="AH147" s="828">
        <v>34653</v>
      </c>
      <c r="AI147" s="828">
        <v>33423</v>
      </c>
      <c r="AJ147" s="828">
        <v>33423</v>
      </c>
      <c r="AK147" s="828">
        <v>31800</v>
      </c>
      <c r="AL147" s="828">
        <v>32270</v>
      </c>
      <c r="AM147" s="828">
        <v>30751</v>
      </c>
      <c r="AN147" s="828">
        <v>30399</v>
      </c>
      <c r="AO147" s="828">
        <v>215339</v>
      </c>
      <c r="AP147" s="828">
        <v>287169</v>
      </c>
    </row>
    <row r="148" hidden="1">
      <c r="B148" s="829" t="s">
        <v>16</v>
      </c>
      <c r="C148" s="823">
        <v>39334</v>
      </c>
      <c r="D148" s="823">
        <v>46501</v>
      </c>
      <c r="E148" s="823">
        <v>44524</v>
      </c>
      <c r="F148" s="823">
        <v>44095</v>
      </c>
      <c r="G148" s="823">
        <v>40395</v>
      </c>
      <c r="H148" s="823">
        <v>38074</v>
      </c>
      <c r="I148" s="823">
        <v>36553</v>
      </c>
      <c r="J148" s="823">
        <v>34724</v>
      </c>
      <c r="K148" s="823">
        <v>30904</v>
      </c>
      <c r="L148" s="823">
        <v>30226</v>
      </c>
      <c r="M148" s="823">
        <v>27507</v>
      </c>
      <c r="N148" s="823">
        <v>27998</v>
      </c>
      <c r="O148" s="823">
        <v>29452</v>
      </c>
      <c r="P148" s="823">
        <v>26810</v>
      </c>
      <c r="Q148" s="823">
        <v>26710</v>
      </c>
      <c r="R148" s="823">
        <v>24179</v>
      </c>
      <c r="S148" s="823">
        <v>25431</v>
      </c>
      <c r="T148" s="823">
        <v>25090</v>
      </c>
      <c r="U148" s="823">
        <v>31907</v>
      </c>
      <c r="V148" s="823">
        <v>32050</v>
      </c>
      <c r="W148" s="823">
        <v>32050</v>
      </c>
      <c r="X148" s="823">
        <v>32050</v>
      </c>
      <c r="Y148" s="823">
        <v>32050</v>
      </c>
      <c r="Z148" s="823">
        <v>32050</v>
      </c>
      <c r="AA148" s="823">
        <v>26690</v>
      </c>
      <c r="AB148" s="823">
        <v>26540</v>
      </c>
      <c r="AC148" s="825">
        <v>25408</v>
      </c>
      <c r="AD148" s="825">
        <v>25055</v>
      </c>
      <c r="AE148" s="825">
        <v>23763</v>
      </c>
      <c r="AF148" s="825">
        <v>30083</v>
      </c>
      <c r="AG148" s="825">
        <v>21718</v>
      </c>
      <c r="AH148" s="825">
        <v>20500</v>
      </c>
      <c r="AI148" s="825">
        <v>21093</v>
      </c>
      <c r="AJ148" s="825">
        <v>20686</v>
      </c>
      <c r="AK148" s="825">
        <v>19477</v>
      </c>
      <c r="AL148" s="825">
        <v>19115</v>
      </c>
      <c r="AM148" s="825">
        <v>18526</v>
      </c>
      <c r="AN148" s="825">
        <v>18070</v>
      </c>
      <c r="AO148" s="825">
        <v>28928</v>
      </c>
      <c r="AP148" s="825">
        <v>84529</v>
      </c>
    </row>
    <row r="149" hidden="1">
      <c r="B149" s="826" t="s">
        <v>17</v>
      </c>
      <c r="C149" s="827">
        <v>185956</v>
      </c>
      <c r="D149" s="827">
        <v>175328</v>
      </c>
      <c r="E149" s="827">
        <v>123112</v>
      </c>
      <c r="F149" s="827">
        <v>208494</v>
      </c>
      <c r="G149" s="827">
        <v>130224</v>
      </c>
      <c r="H149" s="827">
        <v>184496</v>
      </c>
      <c r="I149" s="827">
        <v>102016</v>
      </c>
      <c r="J149" s="827">
        <v>161841</v>
      </c>
      <c r="K149" s="827">
        <v>100466</v>
      </c>
      <c r="L149" s="827">
        <v>145125</v>
      </c>
      <c r="M149" s="827">
        <v>101111</v>
      </c>
      <c r="N149" s="827">
        <v>174049</v>
      </c>
      <c r="O149" s="827">
        <v>118366</v>
      </c>
      <c r="P149" s="827">
        <v>203189</v>
      </c>
      <c r="Q149" s="827">
        <v>105170</v>
      </c>
      <c r="R149" s="827">
        <v>112259</v>
      </c>
      <c r="S149" s="827">
        <v>113541</v>
      </c>
      <c r="T149" s="827">
        <v>116180</v>
      </c>
      <c r="U149" s="827">
        <v>110300</v>
      </c>
      <c r="V149" s="827">
        <v>116452</v>
      </c>
      <c r="W149" s="827">
        <v>122283</v>
      </c>
      <c r="X149" s="827">
        <v>123617</v>
      </c>
      <c r="Y149" s="827">
        <v>122707</v>
      </c>
      <c r="Z149" s="827">
        <v>125109</v>
      </c>
      <c r="AA149" s="827">
        <v>91374</v>
      </c>
      <c r="AB149" s="827">
        <v>92060</v>
      </c>
      <c r="AC149" s="828">
        <v>104720</v>
      </c>
      <c r="AD149" s="828">
        <v>106149</v>
      </c>
      <c r="AE149" s="828">
        <v>87844</v>
      </c>
      <c r="AF149" s="828">
        <v>89657</v>
      </c>
      <c r="AG149" s="828">
        <v>92747</v>
      </c>
      <c r="AH149" s="828">
        <v>93946</v>
      </c>
      <c r="AI149" s="828">
        <v>80568</v>
      </c>
      <c r="AJ149" s="828">
        <v>80645</v>
      </c>
      <c r="AK149" s="828">
        <v>80358</v>
      </c>
      <c r="AL149" s="828">
        <v>80477</v>
      </c>
      <c r="AM149" s="828">
        <v>68599</v>
      </c>
      <c r="AN149" s="828">
        <v>70197</v>
      </c>
      <c r="AO149" s="828">
        <v>293959</v>
      </c>
      <c r="AP149" s="828">
        <v>205697</v>
      </c>
    </row>
    <row r="150" hidden="1" ht="12.75" customHeight="1">
      <c r="B150" s="829" t="s">
        <v>18</v>
      </c>
      <c r="C150" s="823">
        <v>7625</v>
      </c>
      <c r="D150" s="823">
        <v>10810</v>
      </c>
      <c r="E150" s="823">
        <v>9264</v>
      </c>
      <c r="F150" s="823">
        <v>8850</v>
      </c>
      <c r="G150" s="823">
        <v>8053</v>
      </c>
      <c r="H150" s="823">
        <v>10302</v>
      </c>
      <c r="I150" s="823">
        <v>9746</v>
      </c>
      <c r="J150" s="823">
        <v>10354</v>
      </c>
      <c r="K150" s="823">
        <v>31131</v>
      </c>
      <c r="L150" s="823">
        <v>9772</v>
      </c>
      <c r="M150" s="823">
        <v>8585</v>
      </c>
      <c r="N150" s="823">
        <v>8514</v>
      </c>
      <c r="O150" s="823">
        <v>6639</v>
      </c>
      <c r="P150" s="823">
        <v>2691</v>
      </c>
      <c r="Q150" s="823">
        <v>789</v>
      </c>
      <c r="R150" s="823">
        <v>3836</v>
      </c>
      <c r="S150" s="823">
        <v>10116</v>
      </c>
      <c r="T150" s="823">
        <v>9996</v>
      </c>
      <c r="U150" s="823">
        <v>11349</v>
      </c>
      <c r="V150" s="823">
        <v>13223</v>
      </c>
      <c r="W150" s="823">
        <v>14298</v>
      </c>
      <c r="X150" s="823">
        <v>15833</v>
      </c>
      <c r="Y150" s="823">
        <v>14984</v>
      </c>
      <c r="Z150" s="823">
        <v>15009</v>
      </c>
      <c r="AA150" s="823">
        <v>13742</v>
      </c>
      <c r="AB150" s="823">
        <v>13359</v>
      </c>
      <c r="AC150" s="825">
        <v>12714</v>
      </c>
      <c r="AD150" s="825">
        <v>11897</v>
      </c>
      <c r="AE150" s="825">
        <v>12124</v>
      </c>
      <c r="AF150" s="825">
        <v>10601</v>
      </c>
      <c r="AG150" s="825">
        <v>13098</v>
      </c>
      <c r="AH150" s="825">
        <v>13002</v>
      </c>
      <c r="AI150" s="825">
        <v>11663</v>
      </c>
      <c r="AJ150" s="825">
        <v>11532</v>
      </c>
      <c r="AK150" s="825">
        <v>10591</v>
      </c>
      <c r="AL150" s="825">
        <v>10712</v>
      </c>
      <c r="AM150" s="825">
        <v>9618</v>
      </c>
      <c r="AN150" s="825">
        <v>9605</v>
      </c>
      <c r="AO150" s="825">
        <v>17294</v>
      </c>
      <c r="AP150" s="825">
        <v>18556</v>
      </c>
    </row>
    <row r="151" hidden="1" ht="12.75" customHeight="1">
      <c r="B151" s="826" t="s">
        <v>19</v>
      </c>
      <c r="C151" s="827">
        <v>4315</v>
      </c>
      <c r="D151" s="827">
        <v>4976</v>
      </c>
      <c r="E151" s="827">
        <v>6552</v>
      </c>
      <c r="F151" s="827">
        <v>7420</v>
      </c>
      <c r="G151" s="827">
        <v>7402</v>
      </c>
      <c r="H151" s="827">
        <v>7992</v>
      </c>
      <c r="I151" s="827">
        <v>8615</v>
      </c>
      <c r="J151" s="827">
        <v>9001</v>
      </c>
      <c r="K151" s="827">
        <v>9402</v>
      </c>
      <c r="L151" s="827">
        <v>9365</v>
      </c>
      <c r="M151" s="827">
        <v>7722</v>
      </c>
      <c r="N151" s="827">
        <v>7679</v>
      </c>
      <c r="O151" s="827">
        <v>6738</v>
      </c>
      <c r="P151" s="827">
        <v>6972</v>
      </c>
      <c r="Q151" s="827">
        <v>6289</v>
      </c>
      <c r="R151" s="827">
        <v>6439</v>
      </c>
      <c r="S151" s="827">
        <v>6982</v>
      </c>
      <c r="T151" s="827">
        <v>7266</v>
      </c>
      <c r="U151" s="827">
        <v>6957</v>
      </c>
      <c r="V151" s="827">
        <v>7184</v>
      </c>
      <c r="W151" s="827">
        <v>7323</v>
      </c>
      <c r="X151" s="827">
        <v>7384</v>
      </c>
      <c r="Y151" s="827">
        <v>6168</v>
      </c>
      <c r="Z151" s="827">
        <v>6721</v>
      </c>
      <c r="AA151" s="827">
        <v>5248</v>
      </c>
      <c r="AB151" s="827">
        <v>5338</v>
      </c>
      <c r="AC151" s="828">
        <v>6546</v>
      </c>
      <c r="AD151" s="828">
        <v>6537</v>
      </c>
      <c r="AE151" s="828">
        <v>5733</v>
      </c>
      <c r="AF151" s="828">
        <v>5830</v>
      </c>
      <c r="AG151" s="828">
        <v>6167</v>
      </c>
      <c r="AH151" s="828">
        <v>6126</v>
      </c>
      <c r="AI151" s="828">
        <v>6360</v>
      </c>
      <c r="AJ151" s="828">
        <v>4963</v>
      </c>
      <c r="AK151" s="828">
        <v>4572</v>
      </c>
      <c r="AL151" s="828">
        <v>4628</v>
      </c>
      <c r="AM151" s="828">
        <v>4200</v>
      </c>
      <c r="AN151" s="828">
        <v>4179</v>
      </c>
      <c r="AO151" s="828">
        <v>7978</v>
      </c>
      <c r="AP151" s="828">
        <v>10164</v>
      </c>
    </row>
    <row r="152" hidden="1" ht="12.75" customHeight="1">
      <c r="B152" s="829" t="s">
        <v>20</v>
      </c>
      <c r="C152" s="823">
        <v>105605</v>
      </c>
      <c r="D152" s="823">
        <v>38380</v>
      </c>
      <c r="E152" s="823">
        <v>40874</v>
      </c>
      <c r="F152" s="823">
        <v>34655</v>
      </c>
      <c r="G152" s="823">
        <v>70130</v>
      </c>
      <c r="H152" s="823">
        <v>59077</v>
      </c>
      <c r="I152" s="823">
        <v>25905</v>
      </c>
      <c r="J152" s="823">
        <v>44294</v>
      </c>
      <c r="K152" s="823">
        <v>24757</v>
      </c>
      <c r="L152" s="823">
        <v>42618</v>
      </c>
      <c r="M152" s="823">
        <v>32724</v>
      </c>
      <c r="N152" s="823">
        <v>30255</v>
      </c>
      <c r="O152" s="823">
        <v>20456</v>
      </c>
      <c r="P152" s="823">
        <v>34554</v>
      </c>
      <c r="Q152" s="823">
        <v>29484</v>
      </c>
      <c r="R152" s="823">
        <v>41487</v>
      </c>
      <c r="S152" s="823">
        <v>51652</v>
      </c>
      <c r="T152" s="823">
        <v>56241</v>
      </c>
      <c r="U152" s="823">
        <v>28728</v>
      </c>
      <c r="V152" s="823">
        <v>118715</v>
      </c>
      <c r="W152" s="823">
        <v>29834</v>
      </c>
      <c r="X152" s="823">
        <v>43623</v>
      </c>
      <c r="Y152" s="823">
        <v>18608</v>
      </c>
      <c r="Z152" s="823">
        <v>18868</v>
      </c>
      <c r="AA152" s="823">
        <v>17765</v>
      </c>
      <c r="AB152" s="823">
        <v>16134</v>
      </c>
      <c r="AC152" s="825">
        <v>16269</v>
      </c>
      <c r="AD152" s="825">
        <v>16434</v>
      </c>
      <c r="AE152" s="825">
        <v>13395</v>
      </c>
      <c r="AF152" s="825">
        <v>13322</v>
      </c>
      <c r="AG152" s="825">
        <v>14930</v>
      </c>
      <c r="AH152" s="825">
        <v>14947</v>
      </c>
      <c r="AI152" s="825">
        <v>15317</v>
      </c>
      <c r="AJ152" s="825">
        <v>15756</v>
      </c>
      <c r="AK152" s="825">
        <v>10717</v>
      </c>
      <c r="AL152" s="825">
        <v>10564</v>
      </c>
      <c r="AM152" s="825">
        <v>9779</v>
      </c>
      <c r="AN152" s="825">
        <v>9574</v>
      </c>
      <c r="AO152" s="825">
        <v>123946</v>
      </c>
      <c r="AP152" s="825">
        <v>123897</v>
      </c>
    </row>
    <row r="153" hidden="1" ht="12.75" customHeight="1">
      <c r="B153" s="826" t="s">
        <v>21</v>
      </c>
      <c r="C153" s="827">
        <v>71174</v>
      </c>
      <c r="D153" s="827">
        <v>62117</v>
      </c>
      <c r="E153" s="827">
        <v>65571</v>
      </c>
      <c r="F153" s="827">
        <v>60954</v>
      </c>
      <c r="G153" s="827">
        <v>59788</v>
      </c>
      <c r="H153" s="827">
        <v>58471</v>
      </c>
      <c r="I153" s="827">
        <v>54096</v>
      </c>
      <c r="J153" s="827">
        <v>53688</v>
      </c>
      <c r="K153" s="827">
        <v>51908</v>
      </c>
      <c r="L153" s="827">
        <v>52930</v>
      </c>
      <c r="M153" s="827">
        <v>51642</v>
      </c>
      <c r="N153" s="827">
        <v>50202</v>
      </c>
      <c r="O153" s="827">
        <v>50901</v>
      </c>
      <c r="P153" s="827">
        <v>50164</v>
      </c>
      <c r="Q153" s="827">
        <v>49326</v>
      </c>
      <c r="R153" s="827">
        <v>49640</v>
      </c>
      <c r="S153" s="827">
        <v>47596</v>
      </c>
      <c r="T153" s="827">
        <v>47878</v>
      </c>
      <c r="U153" s="827">
        <v>44771</v>
      </c>
      <c r="V153" s="827">
        <v>34681</v>
      </c>
      <c r="W153" s="827">
        <v>19964</v>
      </c>
      <c r="X153" s="827">
        <v>19890</v>
      </c>
      <c r="Y153" s="827">
        <v>16047</v>
      </c>
      <c r="Z153" s="827">
        <v>16181</v>
      </c>
      <c r="AA153" s="827">
        <v>12769</v>
      </c>
      <c r="AB153" s="827">
        <v>12794</v>
      </c>
      <c r="AC153" s="828">
        <v>12782</v>
      </c>
      <c r="AD153" s="828">
        <v>12860</v>
      </c>
      <c r="AE153" s="828">
        <v>10634</v>
      </c>
      <c r="AF153" s="828">
        <v>10611</v>
      </c>
      <c r="AG153" s="828">
        <v>9325</v>
      </c>
      <c r="AH153" s="828">
        <v>0</v>
      </c>
      <c r="AI153" s="828">
        <v>0</v>
      </c>
      <c r="AJ153" s="828">
        <v>0</v>
      </c>
      <c r="AK153" s="828">
        <v>0</v>
      </c>
      <c r="AL153" s="828">
        <v>0</v>
      </c>
      <c r="AM153" s="828">
        <v>0</v>
      </c>
      <c r="AN153" s="828">
        <v>0</v>
      </c>
      <c r="AO153" s="828">
        <v>61806</v>
      </c>
      <c r="AP153" s="828">
        <v>76691</v>
      </c>
    </row>
    <row r="154" hidden="1">
      <c r="B154" s="829" t="s">
        <v>22</v>
      </c>
      <c r="C154" s="823">
        <v>2964</v>
      </c>
      <c r="D154" s="823">
        <v>2196</v>
      </c>
      <c r="E154" s="823">
        <v>496</v>
      </c>
      <c r="F154" s="823">
        <v>211</v>
      </c>
      <c r="G154" s="823">
        <v>884</v>
      </c>
      <c r="H154" s="823">
        <v>1308</v>
      </c>
      <c r="I154" s="823">
        <v>482</v>
      </c>
      <c r="J154" s="823">
        <v>1649</v>
      </c>
      <c r="K154" s="823">
        <v>6500</v>
      </c>
      <c r="L154" s="823">
        <v>5248</v>
      </c>
      <c r="M154" s="823">
        <v>6025</v>
      </c>
      <c r="N154" s="823">
        <v>15492</v>
      </c>
      <c r="O154" s="823">
        <v>13923</v>
      </c>
      <c r="P154" s="823">
        <v>13927</v>
      </c>
      <c r="Q154" s="823">
        <v>13868</v>
      </c>
      <c r="R154" s="823">
        <v>11869</v>
      </c>
      <c r="S154" s="823">
        <v>12360</v>
      </c>
      <c r="T154" s="823">
        <v>12339</v>
      </c>
      <c r="U154" s="823">
        <v>11740</v>
      </c>
      <c r="V154" s="823">
        <v>11754</v>
      </c>
      <c r="W154" s="823">
        <v>8327</v>
      </c>
      <c r="X154" s="823">
        <v>8323</v>
      </c>
      <c r="Y154" s="823">
        <v>13625</v>
      </c>
      <c r="Z154" s="823">
        <v>13656</v>
      </c>
      <c r="AA154" s="823">
        <v>15131</v>
      </c>
      <c r="AB154" s="823">
        <v>13097</v>
      </c>
      <c r="AC154" s="825">
        <v>15641</v>
      </c>
      <c r="AD154" s="825">
        <v>15586</v>
      </c>
      <c r="AE154" s="825">
        <v>16539</v>
      </c>
      <c r="AF154" s="825">
        <v>16552</v>
      </c>
      <c r="AG154" s="825">
        <v>17098</v>
      </c>
      <c r="AH154" s="825">
        <v>17112</v>
      </c>
      <c r="AI154" s="825">
        <v>15018</v>
      </c>
      <c r="AJ154" s="825">
        <v>14900</v>
      </c>
      <c r="AK154" s="825">
        <v>14879</v>
      </c>
      <c r="AL154" s="825">
        <v>14824</v>
      </c>
      <c r="AM154" s="825">
        <v>12095</v>
      </c>
      <c r="AN154" s="825">
        <v>12047</v>
      </c>
      <c r="AO154" s="825">
        <v>20734</v>
      </c>
      <c r="AP154" s="825">
        <v>40422</v>
      </c>
    </row>
    <row r="155" hidden="1">
      <c r="B155" s="826" t="s">
        <v>23</v>
      </c>
      <c r="C155" s="827">
        <v>8190</v>
      </c>
      <c r="D155" s="827">
        <v>8290</v>
      </c>
      <c r="E155" s="827">
        <v>9819</v>
      </c>
      <c r="F155" s="827">
        <v>9767</v>
      </c>
      <c r="G155" s="827">
        <v>10964</v>
      </c>
      <c r="H155" s="827">
        <v>10877</v>
      </c>
      <c r="I155" s="827">
        <v>9044</v>
      </c>
      <c r="J155" s="827">
        <v>9028</v>
      </c>
      <c r="K155" s="827">
        <v>7249</v>
      </c>
      <c r="L155" s="827">
        <v>7246</v>
      </c>
      <c r="M155" s="827">
        <v>6929</v>
      </c>
      <c r="N155" s="827">
        <v>6867</v>
      </c>
      <c r="O155" s="827">
        <v>6134</v>
      </c>
      <c r="P155" s="827">
        <v>6121</v>
      </c>
      <c r="Q155" s="827">
        <v>7618</v>
      </c>
      <c r="R155" s="827">
        <v>8044</v>
      </c>
      <c r="S155" s="827">
        <v>6465</v>
      </c>
      <c r="T155" s="827">
        <v>6755</v>
      </c>
      <c r="U155" s="827">
        <v>4643</v>
      </c>
      <c r="V155" s="827">
        <v>4640</v>
      </c>
      <c r="W155" s="827">
        <v>2584</v>
      </c>
      <c r="X155" s="827">
        <v>2575</v>
      </c>
      <c r="Y155" s="827">
        <v>3539</v>
      </c>
      <c r="Z155" s="827">
        <v>3538</v>
      </c>
      <c r="AA155" s="827">
        <v>2774</v>
      </c>
      <c r="AB155" s="827">
        <v>2775</v>
      </c>
      <c r="AC155" s="828">
        <v>2395</v>
      </c>
      <c r="AD155" s="828">
        <v>2387</v>
      </c>
      <c r="AE155" s="828">
        <v>2112</v>
      </c>
      <c r="AF155" s="828">
        <v>2067</v>
      </c>
      <c r="AG155" s="828">
        <v>2616</v>
      </c>
      <c r="AH155" s="828">
        <v>2586</v>
      </c>
      <c r="AI155" s="828">
        <v>2308</v>
      </c>
      <c r="AJ155" s="828">
        <v>2308</v>
      </c>
      <c r="AK155" s="828">
        <v>1504</v>
      </c>
      <c r="AL155" s="828">
        <v>1503</v>
      </c>
      <c r="AM155" s="828">
        <v>1983</v>
      </c>
      <c r="AN155" s="828">
        <v>1983</v>
      </c>
      <c r="AO155" s="828">
        <v>1339</v>
      </c>
      <c r="AP155" s="828">
        <v>313</v>
      </c>
    </row>
    <row r="156" hidden="1">
      <c r="B156" s="830" t="s">
        <v>24</v>
      </c>
      <c r="C156" s="823">
        <v>16820</v>
      </c>
      <c r="D156" s="823">
        <v>17261</v>
      </c>
      <c r="E156" s="823">
        <v>16469</v>
      </c>
      <c r="F156" s="823">
        <v>16090</v>
      </c>
      <c r="G156" s="823">
        <v>15242</v>
      </c>
      <c r="H156" s="823">
        <v>15384</v>
      </c>
      <c r="I156" s="823">
        <v>14793</v>
      </c>
      <c r="J156" s="823">
        <v>14564</v>
      </c>
      <c r="K156" s="823">
        <v>13781</v>
      </c>
      <c r="L156" s="823">
        <v>14136</v>
      </c>
      <c r="M156" s="823">
        <v>13766</v>
      </c>
      <c r="N156" s="823">
        <v>14922</v>
      </c>
      <c r="O156" s="823">
        <v>13365</v>
      </c>
      <c r="P156" s="823">
        <v>13936</v>
      </c>
      <c r="Q156" s="823">
        <v>15372</v>
      </c>
      <c r="R156" s="823">
        <v>15578</v>
      </c>
      <c r="S156" s="823">
        <v>13921</v>
      </c>
      <c r="T156" s="823">
        <v>14088</v>
      </c>
      <c r="U156" s="823">
        <v>14744</v>
      </c>
      <c r="V156" s="823">
        <v>15797</v>
      </c>
      <c r="W156" s="823">
        <v>17118</v>
      </c>
      <c r="X156" s="823">
        <v>17264</v>
      </c>
      <c r="Y156" s="823">
        <v>15278</v>
      </c>
      <c r="Z156" s="823">
        <v>15193</v>
      </c>
      <c r="AA156" s="823">
        <v>13770</v>
      </c>
      <c r="AB156" s="823">
        <v>13780</v>
      </c>
      <c r="AC156" s="825">
        <v>12071</v>
      </c>
      <c r="AD156" s="825">
        <v>12061</v>
      </c>
      <c r="AE156" s="825">
        <v>12519</v>
      </c>
      <c r="AF156" s="825">
        <v>12155</v>
      </c>
      <c r="AG156" s="825">
        <v>11382</v>
      </c>
      <c r="AH156" s="825">
        <v>11195</v>
      </c>
      <c r="AI156" s="825">
        <v>10818</v>
      </c>
      <c r="AJ156" s="825">
        <v>10910</v>
      </c>
      <c r="AK156" s="825">
        <v>10631</v>
      </c>
      <c r="AL156" s="825">
        <v>10232</v>
      </c>
      <c r="AM156" s="825">
        <v>8470</v>
      </c>
      <c r="AN156" s="825">
        <v>8165</v>
      </c>
      <c r="AO156" s="825">
        <v>26552</v>
      </c>
      <c r="AP156" s="825">
        <v>30396</v>
      </c>
    </row>
    <row r="157" hidden="1">
      <c r="B157" s="826" t="s">
        <v>25</v>
      </c>
      <c r="C157" s="827">
        <v>0</v>
      </c>
      <c r="D157" s="827">
        <v>0</v>
      </c>
      <c r="E157" s="827">
        <v>0</v>
      </c>
      <c r="F157" s="827">
        <v>0</v>
      </c>
      <c r="G157" s="827">
        <v>0</v>
      </c>
      <c r="H157" s="827">
        <v>0</v>
      </c>
      <c r="I157" s="827">
        <v>0</v>
      </c>
      <c r="J157" s="827">
        <v>0</v>
      </c>
      <c r="K157" s="827">
        <v>0</v>
      </c>
      <c r="L157" s="827">
        <v>0</v>
      </c>
      <c r="M157" s="827">
        <v>0</v>
      </c>
      <c r="N157" s="827">
        <v>0</v>
      </c>
      <c r="O157" s="827">
        <v>0</v>
      </c>
      <c r="P157" s="827">
        <v>0</v>
      </c>
      <c r="Q157" s="827">
        <v>0</v>
      </c>
      <c r="R157" s="827">
        <v>0</v>
      </c>
      <c r="S157" s="827">
        <v>0</v>
      </c>
      <c r="T157" s="827">
        <v>0</v>
      </c>
      <c r="U157" s="827">
        <v>0</v>
      </c>
      <c r="V157" s="827">
        <v>0</v>
      </c>
      <c r="W157" s="827">
        <v>0</v>
      </c>
      <c r="X157" s="827">
        <v>0</v>
      </c>
      <c r="Y157" s="827">
        <v>0</v>
      </c>
      <c r="Z157" s="827">
        <v>0</v>
      </c>
      <c r="AA157" s="827">
        <v>0</v>
      </c>
      <c r="AB157" s="827">
        <v>0</v>
      </c>
      <c r="AC157" s="828">
        <v>0</v>
      </c>
      <c r="AD157" s="828">
        <v>0</v>
      </c>
      <c r="AE157" s="828">
        <v>0</v>
      </c>
      <c r="AF157" s="828">
        <v>0</v>
      </c>
      <c r="AG157" s="828">
        <v>0</v>
      </c>
      <c r="AH157" s="828">
        <v>0</v>
      </c>
      <c r="AI157" s="828">
        <v>0</v>
      </c>
      <c r="AJ157" s="828">
        <v>0</v>
      </c>
      <c r="AK157" s="828">
        <v>0</v>
      </c>
      <c r="AL157" s="828">
        <v>0</v>
      </c>
      <c r="AM157" s="828">
        <v>0</v>
      </c>
      <c r="AN157" s="828">
        <v>0</v>
      </c>
      <c r="AO157" s="828">
        <v>1542</v>
      </c>
      <c r="AP157" s="828">
        <v>519</v>
      </c>
    </row>
    <row r="158" hidden="1" ht="13.5">
      <c r="B158" s="831" t="s">
        <v>26</v>
      </c>
      <c r="C158" s="823">
        <v>0</v>
      </c>
      <c r="D158" s="823">
        <v>0</v>
      </c>
      <c r="E158" s="823">
        <v>0</v>
      </c>
      <c r="F158" s="823">
        <v>0</v>
      </c>
      <c r="G158" s="823">
        <v>0</v>
      </c>
      <c r="H158" s="823">
        <v>0</v>
      </c>
      <c r="I158" s="823">
        <v>0</v>
      </c>
      <c r="J158" s="823">
        <v>0</v>
      </c>
      <c r="K158" s="823">
        <v>0</v>
      </c>
      <c r="L158" s="823">
        <v>0</v>
      </c>
      <c r="M158" s="823">
        <v>0</v>
      </c>
      <c r="N158" s="823">
        <v>0</v>
      </c>
      <c r="O158" s="823">
        <v>0</v>
      </c>
      <c r="P158" s="823">
        <v>0</v>
      </c>
      <c r="Q158" s="823">
        <v>0</v>
      </c>
      <c r="R158" s="823">
        <v>0</v>
      </c>
      <c r="S158" s="823">
        <v>0</v>
      </c>
      <c r="T158" s="823">
        <v>0</v>
      </c>
      <c r="U158" s="823">
        <v>0</v>
      </c>
      <c r="V158" s="823">
        <v>0</v>
      </c>
      <c r="W158" s="823">
        <v>0</v>
      </c>
      <c r="X158" s="823">
        <v>0</v>
      </c>
      <c r="Y158" s="823">
        <v>0</v>
      </c>
      <c r="Z158" s="823">
        <v>0</v>
      </c>
      <c r="AA158" s="823">
        <v>0</v>
      </c>
      <c r="AB158" s="832">
        <v>0</v>
      </c>
      <c r="AC158" s="825">
        <v>0</v>
      </c>
      <c r="AD158" s="825">
        <v>0</v>
      </c>
      <c r="AE158" s="825">
        <v>0</v>
      </c>
      <c r="AF158" s="825">
        <v>0</v>
      </c>
      <c r="AG158" s="825">
        <v>0</v>
      </c>
      <c r="AH158" s="825">
        <v>0</v>
      </c>
      <c r="AI158" s="825">
        <v>0</v>
      </c>
      <c r="AJ158" s="825">
        <v>0</v>
      </c>
      <c r="AK158" s="825">
        <v>0</v>
      </c>
      <c r="AL158" s="825">
        <v>0</v>
      </c>
      <c r="AM158" s="825">
        <v>0</v>
      </c>
      <c r="AN158" s="825">
        <v>0</v>
      </c>
      <c r="AO158" s="825">
        <v>1449</v>
      </c>
      <c r="AP158" s="825">
        <v>739</v>
      </c>
    </row>
    <row r="159" hidden="1" ht="13.5">
      <c r="B159" s="128" t="s">
        <v>7</v>
      </c>
      <c r="C159" s="129" t="str">
        <f>IF(SUM(C140:C158)&lt;&gt;0,SUM(C140:C158),"")</f>
      </c>
      <c r="D159" s="129" t="str">
        <f ref="D159:AA159" t="shared" si="0">IF(SUM(D140:D158)&lt;&gt;0,SUM(D140:D158),"")</f>
      </c>
      <c r="E159" s="129" t="str">
        <f t="shared" si="0"/>
      </c>
      <c r="F159" s="129" t="str">
        <f t="shared" si="0"/>
      </c>
      <c r="G159" s="129" t="str">
        <f t="shared" si="0"/>
      </c>
      <c r="H159" s="129" t="str">
        <f t="shared" si="0"/>
      </c>
      <c r="I159" s="129" t="str">
        <f t="shared" si="0"/>
      </c>
      <c r="J159" s="129" t="str">
        <f t="shared" si="0"/>
      </c>
      <c r="K159" s="129" t="str">
        <f t="shared" si="0"/>
      </c>
      <c r="L159" s="129" t="str">
        <f t="shared" si="0"/>
      </c>
      <c r="M159" s="129" t="str">
        <f t="shared" si="0"/>
      </c>
      <c r="N159" s="129" t="str">
        <f t="shared" si="0"/>
      </c>
      <c r="O159" s="129" t="str">
        <f t="shared" si="0"/>
      </c>
      <c r="P159" s="129" t="str">
        <f t="shared" si="0"/>
      </c>
      <c r="Q159" s="129" t="str">
        <f t="shared" si="0"/>
      </c>
      <c r="R159" s="129" t="str">
        <f t="shared" si="0"/>
      </c>
      <c r="S159" s="129" t="str">
        <f t="shared" si="0"/>
      </c>
      <c r="T159" s="129" t="str">
        <f t="shared" si="0"/>
      </c>
      <c r="U159" s="129" t="str">
        <f t="shared" si="0"/>
      </c>
      <c r="V159" s="129" t="str">
        <f t="shared" si="0"/>
      </c>
      <c r="W159" s="129" t="str">
        <f t="shared" si="0"/>
      </c>
      <c r="X159" s="129" t="str">
        <f t="shared" si="0"/>
      </c>
      <c r="Y159" s="129" t="str">
        <f t="shared" si="0"/>
      </c>
      <c r="Z159" s="129" t="str">
        <f t="shared" si="0"/>
      </c>
      <c r="AA159" s="129" t="str">
        <f t="shared" si="0"/>
      </c>
      <c r="AB159" s="130" t="str">
        <f>IF(SUM(AB140:AB158)&lt;&gt;0,SUM(AB140:AB158),"")</f>
      </c>
      <c r="AC159" s="91" t="str">
        <f ref="AC159:CN159" t="shared" si="1">IF(SUM(AC140:AC158)&lt;&gt;0,SUM(AC140:AC158),"")</f>
      </c>
      <c r="AD159" s="91" t="str">
        <f t="shared" si="1"/>
      </c>
      <c r="AE159" s="91" t="str">
        <f t="shared" si="1"/>
      </c>
      <c r="AF159" s="91" t="str">
        <f t="shared" si="1"/>
      </c>
      <c r="AG159" s="91" t="str">
        <f t="shared" si="1"/>
      </c>
      <c r="AH159" s="91" t="str">
        <f t="shared" si="1"/>
      </c>
      <c r="AI159" s="91" t="str">
        <f t="shared" si="1"/>
      </c>
      <c r="AJ159" s="91" t="str">
        <f t="shared" si="1"/>
      </c>
      <c r="AK159" s="91" t="str">
        <f t="shared" si="1"/>
      </c>
      <c r="AL159" s="91" t="str">
        <f t="shared" si="1"/>
      </c>
      <c r="AM159" s="91" t="str">
        <f t="shared" si="1"/>
      </c>
      <c r="AN159" s="91" t="str">
        <f t="shared" si="1"/>
      </c>
      <c r="AO159" s="91" t="str">
        <f t="shared" si="1"/>
      </c>
      <c r="AP159" s="91" t="str">
        <f t="shared" si="1"/>
      </c>
      <c r="AQ159" s="91" t="str">
        <f t="shared" si="1"/>
      </c>
      <c r="AR159" s="91" t="str">
        <f t="shared" si="1"/>
      </c>
      <c r="AS159" s="91" t="str">
        <f t="shared" si="1"/>
      </c>
      <c r="AT159" s="91" t="str">
        <f t="shared" si="1"/>
      </c>
      <c r="AU159" s="91" t="str">
        <f t="shared" si="1"/>
      </c>
      <c r="AV159" s="91" t="str">
        <f t="shared" si="1"/>
      </c>
      <c r="AW159" s="91" t="str">
        <f t="shared" si="1"/>
      </c>
      <c r="AX159" s="91" t="str">
        <f t="shared" si="1"/>
      </c>
      <c r="AY159" s="91" t="str">
        <f t="shared" si="1"/>
      </c>
      <c r="AZ159" s="91" t="str">
        <f t="shared" si="1"/>
      </c>
      <c r="BA159" s="91" t="str">
        <f t="shared" si="1"/>
      </c>
      <c r="BB159" s="91" t="str">
        <f t="shared" si="1"/>
      </c>
      <c r="BC159" s="91" t="str">
        <f t="shared" si="1"/>
      </c>
      <c r="BD159" s="91" t="str">
        <f t="shared" si="1"/>
      </c>
      <c r="BE159" s="91" t="str">
        <f t="shared" si="1"/>
      </c>
      <c r="BF159" s="91" t="str">
        <f t="shared" si="1"/>
      </c>
      <c r="BG159" s="91" t="str">
        <f t="shared" si="1"/>
      </c>
      <c r="BH159" s="91" t="str">
        <f t="shared" si="1"/>
      </c>
      <c r="BI159" s="91" t="str">
        <f t="shared" si="1"/>
      </c>
      <c r="BJ159" s="91" t="str">
        <f t="shared" si="1"/>
      </c>
      <c r="BK159" s="91" t="str">
        <f t="shared" si="1"/>
      </c>
      <c r="BL159" s="91" t="str">
        <f t="shared" si="1"/>
      </c>
      <c r="BM159" s="91" t="str">
        <f t="shared" si="1"/>
      </c>
      <c r="BN159" s="91" t="str">
        <f t="shared" si="1"/>
      </c>
      <c r="BO159" s="91" t="str">
        <f t="shared" si="1"/>
      </c>
      <c r="BP159" s="91" t="str">
        <f t="shared" si="1"/>
      </c>
      <c r="BQ159" s="91" t="str">
        <f t="shared" si="1"/>
      </c>
      <c r="BR159" s="91" t="str">
        <f t="shared" si="1"/>
      </c>
      <c r="BS159" s="91" t="str">
        <f t="shared" si="1"/>
      </c>
      <c r="BT159" s="91" t="str">
        <f t="shared" si="1"/>
      </c>
      <c r="BU159" s="91" t="str">
        <f t="shared" si="1"/>
      </c>
      <c r="BV159" s="91" t="str">
        <f t="shared" si="1"/>
      </c>
      <c r="BW159" s="91" t="str">
        <f t="shared" si="1"/>
      </c>
      <c r="BX159" s="91" t="str">
        <f t="shared" si="1"/>
      </c>
      <c r="BY159" s="91" t="str">
        <f t="shared" si="1"/>
      </c>
      <c r="BZ159" s="91" t="str">
        <f t="shared" si="1"/>
      </c>
      <c r="CA159" s="91" t="str">
        <f t="shared" si="1"/>
      </c>
      <c r="CB159" s="91" t="str">
        <f t="shared" si="1"/>
      </c>
      <c r="CC159" s="91" t="str">
        <f t="shared" si="1"/>
      </c>
      <c r="CD159" s="91" t="str">
        <f t="shared" si="1"/>
      </c>
      <c r="CE159" s="91" t="str">
        <f t="shared" si="1"/>
      </c>
      <c r="CF159" s="91" t="str">
        <f t="shared" si="1"/>
      </c>
      <c r="CG159" s="91" t="str">
        <f t="shared" si="1"/>
      </c>
      <c r="CH159" s="91" t="str">
        <f t="shared" si="1"/>
      </c>
      <c r="CI159" s="91" t="str">
        <f t="shared" si="1"/>
      </c>
      <c r="CJ159" s="91" t="str">
        <f t="shared" si="1"/>
      </c>
      <c r="CK159" s="91" t="str">
        <f t="shared" si="1"/>
      </c>
      <c r="CL159" s="91" t="str">
        <f t="shared" si="1"/>
      </c>
      <c r="CM159" s="91" t="str">
        <f t="shared" si="1"/>
      </c>
      <c r="CN159" s="91" t="str">
        <f t="shared" si="1"/>
      </c>
      <c r="CO159" s="91" t="str">
        <f ref="CO159:EZ159" t="shared" si="2">IF(SUM(CO140:CO158)&lt;&gt;0,SUM(CO140:CO158),"")</f>
      </c>
      <c r="CP159" s="91" t="str">
        <f t="shared" si="2"/>
      </c>
      <c r="CQ159" s="91" t="str">
        <f t="shared" si="2"/>
      </c>
      <c r="CR159" s="91" t="str">
        <f t="shared" si="2"/>
      </c>
      <c r="CS159" s="91" t="str">
        <f t="shared" si="2"/>
      </c>
      <c r="CT159" s="91" t="str">
        <f t="shared" si="2"/>
      </c>
      <c r="CU159" s="91" t="str">
        <f t="shared" si="2"/>
      </c>
      <c r="CV159" s="91" t="str">
        <f t="shared" si="2"/>
      </c>
      <c r="CW159" s="91" t="str">
        <f t="shared" si="2"/>
      </c>
      <c r="CX159" s="91" t="str">
        <f t="shared" si="2"/>
      </c>
      <c r="CY159" s="91" t="str">
        <f t="shared" si="2"/>
      </c>
      <c r="CZ159" s="91" t="str">
        <f t="shared" si="2"/>
      </c>
      <c r="DA159" s="91" t="str">
        <f t="shared" si="2"/>
      </c>
      <c r="DB159" s="91" t="str">
        <f t="shared" si="2"/>
      </c>
      <c r="DC159" s="91" t="str">
        <f t="shared" si="2"/>
      </c>
      <c r="DD159" s="91" t="str">
        <f t="shared" si="2"/>
      </c>
      <c r="DE159" s="91" t="str">
        <f t="shared" si="2"/>
      </c>
      <c r="DF159" s="91" t="str">
        <f t="shared" si="2"/>
      </c>
      <c r="DG159" s="91" t="str">
        <f t="shared" si="2"/>
      </c>
      <c r="DH159" s="91" t="str">
        <f t="shared" si="2"/>
      </c>
      <c r="DI159" s="91" t="str">
        <f t="shared" si="2"/>
      </c>
      <c r="DJ159" s="91" t="str">
        <f t="shared" si="2"/>
      </c>
      <c r="DK159" s="91" t="str">
        <f t="shared" si="2"/>
      </c>
      <c r="DL159" s="91" t="str">
        <f t="shared" si="2"/>
      </c>
      <c r="DM159" s="91" t="str">
        <f t="shared" si="2"/>
      </c>
      <c r="DN159" s="91" t="str">
        <f t="shared" si="2"/>
      </c>
      <c r="DO159" s="91" t="str">
        <f t="shared" si="2"/>
      </c>
      <c r="DP159" s="91" t="str">
        <f t="shared" si="2"/>
      </c>
      <c r="DQ159" s="91" t="str">
        <f t="shared" si="2"/>
      </c>
      <c r="DR159" s="91" t="str">
        <f t="shared" si="2"/>
      </c>
      <c r="DS159" s="91" t="str">
        <f t="shared" si="2"/>
      </c>
      <c r="DT159" s="91" t="str">
        <f t="shared" si="2"/>
      </c>
      <c r="DU159" s="91" t="str">
        <f t="shared" si="2"/>
      </c>
      <c r="DV159" s="91" t="str">
        <f t="shared" si="2"/>
      </c>
      <c r="DW159" s="91" t="str">
        <f t="shared" si="2"/>
      </c>
      <c r="DX159" s="91" t="str">
        <f t="shared" si="2"/>
      </c>
      <c r="DY159" s="91" t="str">
        <f t="shared" si="2"/>
      </c>
      <c r="DZ159" s="91" t="str">
        <f t="shared" si="2"/>
      </c>
      <c r="EA159" s="91" t="str">
        <f t="shared" si="2"/>
      </c>
      <c r="EB159" s="91" t="str">
        <f t="shared" si="2"/>
      </c>
      <c r="EC159" s="91" t="str">
        <f t="shared" si="2"/>
      </c>
      <c r="ED159" s="91" t="str">
        <f t="shared" si="2"/>
      </c>
      <c r="EE159" s="91" t="str">
        <f t="shared" si="2"/>
      </c>
      <c r="EF159" s="91" t="str">
        <f t="shared" si="2"/>
      </c>
      <c r="EG159" s="91" t="str">
        <f t="shared" si="2"/>
      </c>
      <c r="EH159" s="91" t="str">
        <f t="shared" si="2"/>
      </c>
      <c r="EI159" s="91" t="str">
        <f t="shared" si="2"/>
      </c>
      <c r="EJ159" s="91" t="str">
        <f t="shared" si="2"/>
      </c>
      <c r="EK159" s="91" t="str">
        <f t="shared" si="2"/>
      </c>
      <c r="EL159" s="91" t="str">
        <f t="shared" si="2"/>
      </c>
      <c r="EM159" s="91" t="str">
        <f t="shared" si="2"/>
      </c>
      <c r="EN159" s="91" t="str">
        <f t="shared" si="2"/>
      </c>
      <c r="EO159" s="91" t="str">
        <f t="shared" si="2"/>
      </c>
      <c r="EP159" s="91" t="str">
        <f t="shared" si="2"/>
      </c>
      <c r="EQ159" s="91" t="str">
        <f t="shared" si="2"/>
      </c>
      <c r="ER159" s="91" t="str">
        <f t="shared" si="2"/>
      </c>
      <c r="ES159" s="91" t="str">
        <f t="shared" si="2"/>
      </c>
      <c r="ET159" s="91" t="str">
        <f t="shared" si="2"/>
      </c>
      <c r="EU159" s="91" t="str">
        <f t="shared" si="2"/>
      </c>
      <c r="EV159" s="91" t="str">
        <f t="shared" si="2"/>
      </c>
      <c r="EW159" s="91" t="str">
        <f t="shared" si="2"/>
      </c>
      <c r="EX159" s="91" t="str">
        <f t="shared" si="2"/>
      </c>
      <c r="EY159" s="91" t="str">
        <f t="shared" si="2"/>
      </c>
      <c r="EZ159" s="91" t="str">
        <f t="shared" si="2"/>
      </c>
      <c r="FA159" s="91" t="str">
        <f ref="FA159:HL159" t="shared" si="3">IF(SUM(FA140:FA158)&lt;&gt;0,SUM(FA140:FA158),"")</f>
      </c>
      <c r="FB159" s="91" t="str">
        <f t="shared" si="3"/>
      </c>
      <c r="FC159" s="91" t="str">
        <f t="shared" si="3"/>
      </c>
      <c r="FD159" s="91" t="str">
        <f t="shared" si="3"/>
      </c>
      <c r="FE159" s="91" t="str">
        <f t="shared" si="3"/>
      </c>
      <c r="FF159" s="91" t="str">
        <f t="shared" si="3"/>
      </c>
      <c r="FG159" s="91" t="str">
        <f t="shared" si="3"/>
      </c>
      <c r="FH159" s="91" t="str">
        <f t="shared" si="3"/>
      </c>
      <c r="FI159" s="91" t="str">
        <f t="shared" si="3"/>
      </c>
      <c r="FJ159" s="91" t="str">
        <f t="shared" si="3"/>
      </c>
      <c r="FK159" s="91" t="str">
        <f t="shared" si="3"/>
      </c>
      <c r="FL159" s="91" t="str">
        <f t="shared" si="3"/>
      </c>
      <c r="FM159" s="91" t="str">
        <f t="shared" si="3"/>
      </c>
      <c r="FN159" s="91" t="str">
        <f t="shared" si="3"/>
      </c>
      <c r="FO159" s="91" t="str">
        <f t="shared" si="3"/>
      </c>
      <c r="FP159" s="91" t="str">
        <f t="shared" si="3"/>
      </c>
      <c r="FQ159" s="91" t="str">
        <f t="shared" si="3"/>
      </c>
      <c r="FR159" s="91" t="str">
        <f t="shared" si="3"/>
      </c>
      <c r="FS159" s="91" t="str">
        <f t="shared" si="3"/>
      </c>
      <c r="FT159" s="91" t="str">
        <f t="shared" si="3"/>
      </c>
      <c r="FU159" s="91" t="str">
        <f t="shared" si="3"/>
      </c>
      <c r="FV159" s="91" t="str">
        <f t="shared" si="3"/>
      </c>
      <c r="FW159" s="91" t="str">
        <f t="shared" si="3"/>
      </c>
      <c r="FX159" s="91" t="str">
        <f t="shared" si="3"/>
      </c>
      <c r="FY159" s="91" t="str">
        <f t="shared" si="3"/>
      </c>
      <c r="FZ159" s="91" t="str">
        <f t="shared" si="3"/>
      </c>
      <c r="GA159" s="91" t="str">
        <f t="shared" si="3"/>
      </c>
      <c r="GB159" s="91" t="str">
        <f t="shared" si="3"/>
      </c>
      <c r="GC159" s="91" t="str">
        <f t="shared" si="3"/>
      </c>
      <c r="GD159" s="91" t="str">
        <f t="shared" si="3"/>
      </c>
      <c r="GE159" s="91" t="str">
        <f t="shared" si="3"/>
      </c>
      <c r="GF159" s="91" t="str">
        <f t="shared" si="3"/>
      </c>
      <c r="GG159" s="91" t="str">
        <f t="shared" si="3"/>
      </c>
      <c r="GH159" s="91" t="str">
        <f t="shared" si="3"/>
      </c>
      <c r="GI159" s="91" t="str">
        <f t="shared" si="3"/>
      </c>
      <c r="GJ159" s="91" t="str">
        <f t="shared" si="3"/>
      </c>
      <c r="GK159" s="91" t="str">
        <f t="shared" si="3"/>
      </c>
      <c r="GL159" s="91" t="str">
        <f t="shared" si="3"/>
      </c>
      <c r="GM159" s="91" t="str">
        <f t="shared" si="3"/>
      </c>
      <c r="GN159" s="91" t="str">
        <f t="shared" si="3"/>
      </c>
      <c r="GO159" s="91" t="str">
        <f t="shared" si="3"/>
      </c>
      <c r="GP159" s="91" t="str">
        <f t="shared" si="3"/>
      </c>
      <c r="GQ159" s="91" t="str">
        <f t="shared" si="3"/>
      </c>
      <c r="GR159" s="91" t="str">
        <f t="shared" si="3"/>
      </c>
      <c r="GS159" s="91" t="str">
        <f t="shared" si="3"/>
      </c>
      <c r="GT159" s="91" t="str">
        <f t="shared" si="3"/>
      </c>
      <c r="GU159" s="91" t="str">
        <f t="shared" si="3"/>
      </c>
      <c r="GV159" s="91" t="str">
        <f t="shared" si="3"/>
      </c>
      <c r="GW159" s="91" t="str">
        <f t="shared" si="3"/>
      </c>
      <c r="GX159" s="91" t="str">
        <f t="shared" si="3"/>
      </c>
      <c r="GY159" s="91" t="str">
        <f t="shared" si="3"/>
      </c>
      <c r="GZ159" s="91" t="str">
        <f t="shared" si="3"/>
      </c>
      <c r="HA159" s="91" t="str">
        <f t="shared" si="3"/>
      </c>
      <c r="HB159" s="91" t="str">
        <f t="shared" si="3"/>
      </c>
      <c r="HC159" s="91" t="str">
        <f t="shared" si="3"/>
      </c>
      <c r="HD159" s="91" t="str">
        <f t="shared" si="3"/>
      </c>
      <c r="HE159" s="91" t="str">
        <f t="shared" si="3"/>
      </c>
      <c r="HF159" s="91" t="str">
        <f t="shared" si="3"/>
      </c>
      <c r="HG159" s="91" t="str">
        <f t="shared" si="3"/>
      </c>
      <c r="HH159" s="91" t="str">
        <f t="shared" si="3"/>
      </c>
      <c r="HI159" s="91" t="str">
        <f t="shared" si="3"/>
      </c>
      <c r="HJ159" s="91" t="str">
        <f t="shared" si="3"/>
      </c>
      <c r="HK159" s="91" t="str">
        <f t="shared" si="3"/>
      </c>
      <c r="HL159" s="91" t="str">
        <f t="shared" si="3"/>
      </c>
      <c r="HM159" s="91" t="str">
        <f ref="HM159:IV159" t="shared" si="4">IF(SUM(HM140:HM158)&lt;&gt;0,SUM(HM140:HM158),"")</f>
      </c>
      <c r="HN159" s="91" t="str">
        <f t="shared" si="4"/>
      </c>
      <c r="HO159" s="91" t="str">
        <f t="shared" si="4"/>
      </c>
      <c r="HP159" s="91" t="str">
        <f t="shared" si="4"/>
      </c>
      <c r="HQ159" s="91" t="str">
        <f t="shared" si="4"/>
      </c>
      <c r="HR159" s="91" t="str">
        <f t="shared" si="4"/>
      </c>
      <c r="HS159" s="91" t="str">
        <f t="shared" si="4"/>
      </c>
      <c r="HT159" s="91" t="str">
        <f t="shared" si="4"/>
      </c>
      <c r="HU159" s="91" t="str">
        <f t="shared" si="4"/>
      </c>
      <c r="HV159" s="91" t="str">
        <f t="shared" si="4"/>
      </c>
      <c r="HW159" s="91" t="str">
        <f t="shared" si="4"/>
      </c>
      <c r="HX159" s="91" t="str">
        <f t="shared" si="4"/>
      </c>
      <c r="HY159" s="91" t="str">
        <f t="shared" si="4"/>
      </c>
      <c r="HZ159" s="91" t="str">
        <f t="shared" si="4"/>
      </c>
      <c r="IA159" s="91" t="str">
        <f t="shared" si="4"/>
      </c>
      <c r="IB159" s="91" t="str">
        <f t="shared" si="4"/>
      </c>
      <c r="IC159" s="91" t="str">
        <f t="shared" si="4"/>
      </c>
      <c r="ID159" s="91" t="str">
        <f t="shared" si="4"/>
      </c>
      <c r="IE159" s="91" t="str">
        <f t="shared" si="4"/>
      </c>
      <c r="IF159" s="91" t="str">
        <f t="shared" si="4"/>
      </c>
      <c r="IG159" s="91" t="str">
        <f t="shared" si="4"/>
      </c>
      <c r="IH159" s="91" t="str">
        <f t="shared" si="4"/>
      </c>
      <c r="II159" s="91" t="str">
        <f t="shared" si="4"/>
      </c>
      <c r="IJ159" s="91" t="str">
        <f t="shared" si="4"/>
      </c>
      <c r="IK159" s="91" t="str">
        <f t="shared" si="4"/>
      </c>
      <c r="IL159" s="91" t="str">
        <f t="shared" si="4"/>
      </c>
      <c r="IM159" s="91" t="str">
        <f t="shared" si="4"/>
      </c>
      <c r="IN159" s="91" t="str">
        <f t="shared" si="4"/>
      </c>
      <c r="IO159" s="91" t="str">
        <f t="shared" si="4"/>
      </c>
      <c r="IP159" s="91" t="str">
        <f t="shared" si="4"/>
      </c>
      <c r="IQ159" s="91" t="str">
        <f t="shared" si="4"/>
      </c>
      <c r="IR159" s="91" t="str">
        <f t="shared" si="4"/>
      </c>
      <c r="IS159" s="91" t="str">
        <f t="shared" si="4"/>
      </c>
      <c r="IT159" s="91" t="str">
        <f t="shared" si="4"/>
      </c>
      <c r="IU159" s="91" t="str">
        <f t="shared" si="4"/>
      </c>
      <c r="IV159" s="91" t="str">
        <f t="shared" si="4"/>
      </c>
    </row>
    <row r="160" hidden="1" ht="13.5">
      <c r="N160" s="284"/>
    </row>
    <row r="161" hidden="1" ht="13.5" customHeight="1">
      <c r="A161" s="50"/>
      <c r="B161" s="50"/>
      <c r="C161" s="686" t="s">
        <v>236</v>
      </c>
      <c r="D161" s="687"/>
      <c r="E161" s="687"/>
      <c r="F161" s="687"/>
      <c r="G161" s="687"/>
      <c r="H161" s="687"/>
      <c r="I161" s="687"/>
      <c r="J161" s="687"/>
      <c r="K161" s="687"/>
      <c r="L161" s="687"/>
      <c r="M161" s="687"/>
      <c r="N161" s="687"/>
      <c r="O161" s="687"/>
      <c r="P161" s="687"/>
      <c r="Q161" s="687"/>
      <c r="R161" s="687"/>
      <c r="S161" s="687"/>
      <c r="T161" s="687"/>
      <c r="U161" s="687"/>
      <c r="V161" s="687"/>
      <c r="W161" s="687"/>
      <c r="X161" s="687"/>
      <c r="Y161" s="687"/>
      <c r="Z161" s="687"/>
      <c r="AA161" s="687"/>
      <c r="AB161" s="688"/>
    </row>
    <row r="162" hidden="1" ht="12.75" customHeight="1">
      <c r="A162" s="91"/>
      <c r="C162" s="435" t="str">
        <f> IF(C182&lt;&gt;"",TEXT(AUX!G$1,"dd-MMM-aa"),"")</f>
      </c>
      <c r="D162" s="435" t="str">
        <f> IF(D182&lt;&gt;"",TEXT(AUX!H$1,"dd-MMM-aa"),"")</f>
      </c>
      <c r="E162" s="435" t="str">
        <f> IF(E182&lt;&gt;"",TEXT(AUX!I$1,"dd-MMM-aa"),"")</f>
      </c>
      <c r="F162" s="435" t="str">
        <f> IF(F182&lt;&gt;"",TEXT(AUX!J$1,"dd-MMM-aa"),"")</f>
      </c>
      <c r="G162" s="435" t="str">
        <f> IF(G182&lt;&gt;"",TEXT(AUX!K$1,"dd-MMM-aa"),"")</f>
      </c>
      <c r="H162" s="435" t="str">
        <f> IF(H182&lt;&gt;"",TEXT(AUX!L$1,"dd-MMM-aa"),"")</f>
      </c>
      <c r="I162" s="435" t="str">
        <f> IF(I182&lt;&gt;"",TEXT(AUX!M$1,"dd-MMM-aa"),"")</f>
      </c>
      <c r="J162" s="435" t="str">
        <f> IF(J182&lt;&gt;"",TEXT(AUX!N$1,"dd-MMM-aa"),"")</f>
      </c>
      <c r="K162" s="435" t="str">
        <f> IF(K182&lt;&gt;"",TEXT(AUX!O$1,"dd-MMM-aa"),"")</f>
      </c>
      <c r="L162" s="435" t="str">
        <f> IF(L182&lt;&gt;"",TEXT(AUX!P$1,"dd-MMM-aa"),"")</f>
      </c>
      <c r="M162" s="435" t="str">
        <f> IF(M182&lt;&gt;"",TEXT(AUX!Q$1,"dd-MMM-aa"),"")</f>
      </c>
      <c r="N162" s="435" t="str">
        <f> IF(N182&lt;&gt;"",TEXT(AUX!R$1,"dd-MMM-aa"),"")</f>
      </c>
      <c r="O162" s="435" t="str">
        <f> IF(O182&lt;&gt;"",TEXT(AUX!S$1,"dd-MMM-aa"),"")</f>
      </c>
      <c r="P162" s="435" t="str">
        <f> IF(P182&lt;&gt;"",TEXT(AUX!T$1,"dd-MMM-aa"),"")</f>
      </c>
      <c r="Q162" s="435" t="str">
        <f> IF(Q182&lt;&gt;"",TEXT(AUX!U$1,"dd-MMM-aa"),"")</f>
      </c>
      <c r="R162" s="435" t="str">
        <f> IF(R182&lt;&gt;"",TEXT(AUX!V$1,"dd-MMM-aa"),"")</f>
      </c>
      <c r="S162" s="435" t="str">
        <f> IF(S182&lt;&gt;"",TEXT(AUX!W$1,"dd-MMM-aa"),"")</f>
      </c>
      <c r="T162" s="435" t="str">
        <f> IF(T182&lt;&gt;"",TEXT(AUX!X$1,"dd-MMM-aa"),"")</f>
      </c>
      <c r="U162" s="435" t="str">
        <f> IF(U182&lt;&gt;"",TEXT(AUX!Y$1,"dd-MMM-aa"),"")</f>
      </c>
      <c r="V162" s="435" t="str">
        <f> IF(V182&lt;&gt;"",TEXT(AUX!Z$1,"dd-MMM-aa"),"")</f>
      </c>
      <c r="W162" s="435" t="str">
        <f> IF(W182&lt;&gt;"",TEXT(AUX!AA$1,"dd-MMM-aa"),"")</f>
      </c>
      <c r="X162" s="435" t="str">
        <f> IF(X182&lt;&gt;"",TEXT(AUX!AB$1,"dd-MMM-aa"),"")</f>
      </c>
      <c r="Y162" s="435" t="str">
        <f> IF(Y182&lt;&gt;"",TEXT(AUX!AC$1,"dd-MMM-aa"),"")</f>
      </c>
      <c r="Z162" s="435" t="str">
        <f> IF(Z182&lt;&gt;"",TEXT(AUX!AD$1,"dd-MMM-aa"),"")</f>
      </c>
      <c r="AA162" s="435" t="str">
        <f> IF(AA182&lt;&gt;"",TEXT(AUX!AE$1,"dd-MMM-aa"),"")</f>
      </c>
      <c r="AB162" s="497" t="str">
        <f> IF(AB182&lt;&gt;"",TEXT(AUX!AF$1,"dd-MMM-aa"),"")</f>
      </c>
      <c r="AC162" s="496" t="str">
        <f> IF(AC182&lt;&gt;"",TEXT(AUX!AG$1,"dd-MMM-aa"),"")</f>
      </c>
      <c r="AD162" s="496" t="str">
        <f> IF(AD182&lt;&gt;"",TEXT(AUX!AH$1,"dd-MMM-aa"),"")</f>
      </c>
      <c r="AE162" s="496" t="str">
        <f> IF(AE182&lt;&gt;"",TEXT(AUX!AI$1,"dd-MMM-aa"),"")</f>
      </c>
      <c r="AF162" s="496" t="str">
        <f> IF(AF182&lt;&gt;"",TEXT(AUX!AJ$1,"dd-MMM-aa"),"")</f>
      </c>
      <c r="AG162" s="496" t="str">
        <f> IF(AG182&lt;&gt;"",TEXT(AUX!AK$1,"dd-MMM-aa"),"")</f>
      </c>
      <c r="AH162" s="496" t="str">
        <f> IF(AH182&lt;&gt;"",TEXT(AUX!AL$1,"dd-MMM-aa"),"")</f>
      </c>
      <c r="AI162" s="496" t="str">
        <f> IF(AI182&lt;&gt;"",TEXT(AUX!AM$1,"dd-MMM-aa"),"")</f>
      </c>
      <c r="AJ162" s="496" t="str">
        <f> IF(AJ182&lt;&gt;"",TEXT(AUX!AN$1,"dd-MMM-aa"),"")</f>
      </c>
      <c r="AK162" s="496" t="str">
        <f> IF(AK182&lt;&gt;"",TEXT(AUX!AO$1,"dd-MMM-aa"),"")</f>
      </c>
      <c r="AL162" s="496" t="str">
        <f> IF(AL182&lt;&gt;"",TEXT(AUX!AP$1,"dd-MMM-aa"),"")</f>
      </c>
      <c r="AM162" s="496" t="str">
        <f> IF(AM182&lt;&gt;"",TEXT(AUX!AQ$1,"dd-MMM-aa"),"")</f>
      </c>
      <c r="AN162" s="496" t="str">
        <f> IF(AN182&lt;&gt;"",TEXT(AUX!AR$1,"dd-MMM-aa"),"")</f>
      </c>
      <c r="AO162" s="496" t="str">
        <f> IF(AO182&lt;&gt;"",TEXT(AUX!AS$1,"dd-MMM-aa"),"")</f>
      </c>
      <c r="AP162" s="496" t="str">
        <f> IF(AP182&lt;&gt;"",TEXT(AUX!AT$1,"dd-MMM-aa"),"")</f>
      </c>
      <c r="AQ162" s="496" t="str">
        <f> IF(AQ182&lt;&gt;"",TEXT(AUX!AU$1,"dd-MMM-aa"),"")</f>
      </c>
      <c r="AR162" s="496" t="str">
        <f> IF(AR182&lt;&gt;"",TEXT(AUX!AV$1,"dd-MMM-aa"),"")</f>
      </c>
      <c r="AS162" s="496" t="str">
        <f> IF(AS182&lt;&gt;"",TEXT(AUX!AW$1,"dd-MMM-aa"),"")</f>
      </c>
      <c r="AT162" s="496" t="str">
        <f> IF(AT182&lt;&gt;"",TEXT(AUX!AX$1,"dd-MMM-aa"),"")</f>
      </c>
      <c r="AU162" s="496" t="str">
        <f> IF(AU182&lt;&gt;"",TEXT(AUX!AY$1,"dd-MMM-aa"),"")</f>
      </c>
      <c r="AV162" s="496" t="str">
        <f> IF(AV182&lt;&gt;"",TEXT(AUX!AZ$1,"dd-MMM-aa"),"")</f>
      </c>
      <c r="AW162" s="496" t="str">
        <f> IF(AW182&lt;&gt;"",TEXT(AUX!BA$1,"dd-MMM-aa"),"")</f>
      </c>
      <c r="AX162" s="496" t="str">
        <f> IF(AX182&lt;&gt;"",TEXT(AUX!BB$1,"dd-MMM-aa"),"")</f>
      </c>
      <c r="AY162" s="496" t="str">
        <f> IF(AY182&lt;&gt;"",TEXT(AUX!BC$1,"dd-MMM-aa"),"")</f>
      </c>
      <c r="AZ162" s="496" t="str">
        <f> IF(AZ182&lt;&gt;"",TEXT(AUX!BD$1,"dd-MMM-aa"),"")</f>
      </c>
      <c r="BA162" s="496" t="str">
        <f> IF(BA182&lt;&gt;"",TEXT(AUX!BE$1,"dd-MMM-aa"),"")</f>
      </c>
      <c r="BB162" s="496" t="str">
        <f> IF(BB182&lt;&gt;"",TEXT(AUX!BF$1,"dd-MMM-aa"),"")</f>
      </c>
      <c r="BC162" s="496" t="str">
        <f> IF(BC182&lt;&gt;"",TEXT(AUX!BG$1,"dd-MMM-aa"),"")</f>
      </c>
      <c r="BD162" s="496" t="str">
        <f> IF(BD182&lt;&gt;"",TEXT(AUX!BH$1,"dd-MMM-aa"),"")</f>
      </c>
      <c r="BE162" s="496" t="str">
        <f> IF(BE182&lt;&gt;"",TEXT(AUX!BI$1,"dd-MMM-aa"),"")</f>
      </c>
      <c r="BF162" s="496" t="str">
        <f> IF(BF182&lt;&gt;"",TEXT(AUX!BJ$1,"dd-MMM-aa"),"")</f>
      </c>
      <c r="BG162" s="496" t="str">
        <f> IF(BG182&lt;&gt;"",TEXT(AUX!BK$1,"dd-MMM-aa"),"")</f>
      </c>
      <c r="BH162" s="496" t="str">
        <f> IF(BH182&lt;&gt;"",TEXT(AUX!BL$1,"dd-MMM-aa"),"")</f>
      </c>
      <c r="BI162" s="496" t="str">
        <f> IF(BI182&lt;&gt;"",TEXT(AUX!BM$1,"dd-MMM-aa"),"")</f>
      </c>
      <c r="BJ162" s="496" t="str">
        <f> IF(BJ182&lt;&gt;"",TEXT(AUX!BN$1,"dd-MMM-aa"),"")</f>
      </c>
      <c r="BK162" s="496" t="str">
        <f> IF(BK182&lt;&gt;"",TEXT(AUX!BO$1,"dd-MMM-aa"),"")</f>
      </c>
      <c r="BL162" s="496" t="str">
        <f> IF(BL182&lt;&gt;"",TEXT(AUX!BP$1,"dd-MMM-aa"),"")</f>
      </c>
      <c r="BM162" s="496" t="str">
        <f> IF(BM182&lt;&gt;"",TEXT(AUX!BQ$1,"dd-MMM-aa"),"")</f>
      </c>
      <c r="BN162" s="496" t="str">
        <f> IF(BN182&lt;&gt;"",TEXT(AUX!BR$1,"dd-MMM-aa"),"")</f>
      </c>
      <c r="BO162" s="496" t="str">
        <f> IF(BO182&lt;&gt;"",TEXT(AUX!BS$1,"dd-MMM-aa"),"")</f>
      </c>
      <c r="BP162" s="496" t="str">
        <f> IF(BP182&lt;&gt;"",TEXT(AUX!BT$1,"dd-MMM-aa"),"")</f>
      </c>
      <c r="BQ162" s="496" t="str">
        <f> IF(BQ182&lt;&gt;"",TEXT(AUX!BU$1,"dd-MMM-aa"),"")</f>
      </c>
      <c r="BR162" s="496" t="str">
        <f> IF(BR182&lt;&gt;"",TEXT(AUX!BV$1,"dd-MMM-aa"),"")</f>
      </c>
      <c r="BS162" s="496" t="str">
        <f> IF(BS182&lt;&gt;"",TEXT(AUX!BW$1,"dd-MMM-aa"),"")</f>
      </c>
      <c r="BT162" s="496" t="str">
        <f> IF(BT182&lt;&gt;"",TEXT(AUX!BX$1,"dd-MMM-aa"),"")</f>
      </c>
      <c r="BU162" s="496" t="str">
        <f> IF(BU182&lt;&gt;"",TEXT(AUX!BY$1,"dd-MMM-aa"),"")</f>
      </c>
      <c r="BV162" s="496" t="str">
        <f> IF(BV182&lt;&gt;"",TEXT(AUX!BZ$1,"dd-MMM-aa"),"")</f>
      </c>
      <c r="BW162" s="496" t="str">
        <f> IF(BW182&lt;&gt;"",TEXT(AUX!CA$1,"dd-MMM-aa"),"")</f>
      </c>
      <c r="BX162" s="496" t="str">
        <f> IF(BX182&lt;&gt;"",TEXT(AUX!CB$1,"dd-MMM-aa"),"")</f>
      </c>
      <c r="BY162" s="496" t="str">
        <f> IF(BY182&lt;&gt;"",TEXT(AUX!CC$1,"dd-MMM-aa"),"")</f>
      </c>
      <c r="BZ162" s="496" t="str">
        <f> IF(BZ182&lt;&gt;"",TEXT(AUX!CD$1,"dd-MMM-aa"),"")</f>
      </c>
      <c r="CA162" s="496" t="str">
        <f> IF(CA182&lt;&gt;"",TEXT(AUX!CE$1,"dd-MMM-aa"),"")</f>
      </c>
      <c r="CB162" s="496" t="str">
        <f> IF(CB182&lt;&gt;"",TEXT(AUX!CF$1,"dd-MMM-aa"),"")</f>
      </c>
      <c r="CC162" s="496" t="str">
        <f> IF(CC182&lt;&gt;"",TEXT(AUX!CG$1,"dd-MMM-aa"),"")</f>
      </c>
      <c r="CD162" s="496" t="str">
        <f> IF(CD182&lt;&gt;"",TEXT(AUX!CH$1,"dd-MMM-aa"),"")</f>
      </c>
      <c r="CE162" s="496" t="str">
        <f> IF(CE182&lt;&gt;"",TEXT(AUX!CI$1,"dd-MMM-aa"),"")</f>
      </c>
      <c r="CF162" s="496" t="str">
        <f> IF(CF182&lt;&gt;"",TEXT(AUX!CJ$1,"dd-MMM-aa"),"")</f>
      </c>
      <c r="CG162" s="496" t="str">
        <f> IF(CG182&lt;&gt;"",TEXT(AUX!CK$1,"dd-MMM-aa"),"")</f>
      </c>
      <c r="CH162" s="496" t="str">
        <f> IF(CH182&lt;&gt;"",TEXT(AUX!CL$1,"dd-MMM-aa"),"")</f>
      </c>
      <c r="CI162" s="496" t="str">
        <f> IF(CI182&lt;&gt;"",TEXT(AUX!CM$1,"dd-MMM-aa"),"")</f>
      </c>
      <c r="CJ162" s="496" t="str">
        <f> IF(CJ182&lt;&gt;"",TEXT(AUX!CN$1,"dd-MMM-aa"),"")</f>
      </c>
      <c r="CK162" s="496" t="str">
        <f> IF(CK182&lt;&gt;"",TEXT(AUX!CO$1,"dd-MMM-aa"),"")</f>
      </c>
      <c r="CL162" s="496" t="str">
        <f> IF(CL182&lt;&gt;"",TEXT(AUX!CP$1,"dd-MMM-aa"),"")</f>
      </c>
      <c r="CM162" s="496" t="str">
        <f> IF(CM182&lt;&gt;"",TEXT(AUX!CQ$1,"dd-MMM-aa"),"")</f>
      </c>
      <c r="CN162" s="496" t="str">
        <f> IF(CN182&lt;&gt;"",TEXT(AUX!CR$1,"dd-MMM-aa"),"")</f>
      </c>
      <c r="CO162" s="496" t="str">
        <f> IF(CO182&lt;&gt;"",TEXT(AUX!CS$1,"dd-MMM-aa"),"")</f>
      </c>
      <c r="CP162" s="496" t="str">
        <f> IF(CP182&lt;&gt;"",TEXT(AUX!CT$1,"dd-MMM-aa"),"")</f>
      </c>
      <c r="CQ162" s="496" t="str">
        <f> IF(CQ182&lt;&gt;"",TEXT(AUX!CU$1,"dd-MMM-aa"),"")</f>
      </c>
      <c r="CR162" s="496" t="str">
        <f> IF(CR182&lt;&gt;"",TEXT(AUX!CV$1,"dd-MMM-aa"),"")</f>
      </c>
      <c r="CS162" s="496" t="str">
        <f> IF(CS182&lt;&gt;"",TEXT(AUX!CW$1,"dd-MMM-aa"),"")</f>
      </c>
      <c r="CT162" s="496" t="str">
        <f> IF(CT182&lt;&gt;"",TEXT(AUX!CX$1,"dd-MMM-aa"),"")</f>
      </c>
      <c r="CU162" s="496" t="str">
        <f> IF(CU182&lt;&gt;"",TEXT(AUX!CY$1,"dd-MMM-aa"),"")</f>
      </c>
      <c r="CV162" s="496" t="str">
        <f> IF(CV182&lt;&gt;"",TEXT(AUX!CZ$1,"dd-MMM-aa"),"")</f>
      </c>
      <c r="CW162" s="496" t="str">
        <f> IF(CW182&lt;&gt;"",TEXT(AUX!DA$1,"dd-MMM-aa"),"")</f>
      </c>
      <c r="CX162" s="496" t="str">
        <f> IF(CX182&lt;&gt;"",TEXT(AUX!DB$1,"dd-MMM-aa"),"")</f>
      </c>
      <c r="CY162" s="496" t="str">
        <f> IF(CY182&lt;&gt;"",TEXT(AUX!DC$1,"dd-MMM-aa"),"")</f>
      </c>
      <c r="CZ162" s="496" t="str">
        <f> IF(CZ182&lt;&gt;"",TEXT(AUX!DD$1,"dd-MMM-aa"),"")</f>
      </c>
      <c r="DA162" s="496" t="str">
        <f> IF(DA182&lt;&gt;"",TEXT(AUX!DE$1,"dd-MMM-aa"),"")</f>
      </c>
      <c r="DB162" s="496" t="str">
        <f> IF(DB182&lt;&gt;"",TEXT(AUX!DF$1,"dd-MMM-aa"),"")</f>
      </c>
      <c r="DC162" s="496" t="str">
        <f> IF(DC182&lt;&gt;"",TEXT(AUX!DG$1,"dd-MMM-aa"),"")</f>
      </c>
      <c r="DD162" s="496" t="str">
        <f> IF(DD182&lt;&gt;"",TEXT(AUX!DH$1,"dd-MMM-aa"),"")</f>
      </c>
      <c r="DE162" s="496" t="str">
        <f> IF(DE182&lt;&gt;"",TEXT(AUX!DI$1,"dd-MMM-aa"),"")</f>
      </c>
      <c r="DF162" s="496" t="str">
        <f> IF(DF182&lt;&gt;"",TEXT(AUX!DJ$1,"dd-MMM-aa"),"")</f>
      </c>
      <c r="DG162" s="496" t="str">
        <f> IF(DG182&lt;&gt;"",TEXT(AUX!DK$1,"dd-MMM-aa"),"")</f>
      </c>
      <c r="DH162" s="496" t="str">
        <f> IF(DH182&lt;&gt;"",TEXT(AUX!DL$1,"dd-MMM-aa"),"")</f>
      </c>
      <c r="DI162" s="496" t="str">
        <f> IF(DI182&lt;&gt;"",TEXT(AUX!DM$1,"dd-MMM-aa"),"")</f>
      </c>
      <c r="DJ162" s="496" t="str">
        <f> IF(DJ182&lt;&gt;"",TEXT(AUX!DN$1,"dd-MMM-aa"),"")</f>
      </c>
      <c r="DK162" s="496" t="str">
        <f> IF(DK182&lt;&gt;"",TEXT(AUX!DO$1,"dd-MMM-aa"),"")</f>
      </c>
      <c r="DL162" s="496" t="str">
        <f> IF(DL182&lt;&gt;"",TEXT(AUX!DP$1,"dd-MMM-aa"),"")</f>
      </c>
      <c r="DM162" s="496" t="str">
        <f> IF(DM182&lt;&gt;"",TEXT(AUX!DQ$1,"dd-MMM-aa"),"")</f>
      </c>
      <c r="DN162" s="496" t="str">
        <f> IF(DN182&lt;&gt;"",TEXT(AUX!DR$1,"dd-MMM-aa"),"")</f>
      </c>
      <c r="DO162" s="496" t="str">
        <f> IF(DO182&lt;&gt;"",TEXT(AUX!DS$1,"dd-MMM-aa"),"")</f>
      </c>
      <c r="DP162" s="496" t="str">
        <f> IF(DP182&lt;&gt;"",TEXT(AUX!DT$1,"dd-MMM-aa"),"")</f>
      </c>
      <c r="DQ162" s="496" t="str">
        <f> IF(DQ182&lt;&gt;"",TEXT(AUX!DU$1,"dd-MMM-aa"),"")</f>
      </c>
      <c r="DR162" s="496" t="str">
        <f> IF(DR182&lt;&gt;"",TEXT(AUX!DV$1,"dd-MMM-aa"),"")</f>
      </c>
      <c r="DS162" s="496" t="str">
        <f> IF(DS182&lt;&gt;"",TEXT(AUX!DW$1,"dd-MMM-aa"),"")</f>
      </c>
      <c r="DT162" s="496" t="str">
        <f> IF(DT182&lt;&gt;"",TEXT(AUX!DX$1,"dd-MMM-aa"),"")</f>
      </c>
      <c r="DU162" s="496" t="str">
        <f> IF(DU182&lt;&gt;"",TEXT(AUX!DY$1,"dd-MMM-aa"),"")</f>
      </c>
      <c r="DV162" s="496" t="str">
        <f> IF(DV182&lt;&gt;"",TEXT(AUX!DZ$1,"dd-MMM-aa"),"")</f>
      </c>
      <c r="DW162" s="496" t="str">
        <f> IF(DW182&lt;&gt;"",TEXT(AUX!EA$1,"dd-MMM-aa"),"")</f>
      </c>
      <c r="DX162" s="496" t="str">
        <f> IF(DX182&lt;&gt;"",TEXT(AUX!EB$1,"dd-MMM-aa"),"")</f>
      </c>
      <c r="DY162" s="496" t="str">
        <f> IF(DY182&lt;&gt;"",TEXT(AUX!EC$1,"dd-MMM-aa"),"")</f>
      </c>
      <c r="DZ162" s="496" t="str">
        <f> IF(DZ182&lt;&gt;"",TEXT(AUX!ED$1,"dd-MMM-aa"),"")</f>
      </c>
      <c r="EA162" s="496" t="str">
        <f> IF(EA182&lt;&gt;"",TEXT(AUX!EE$1,"dd-MMM-aa"),"")</f>
      </c>
      <c r="EB162" s="496" t="str">
        <f> IF(EB182&lt;&gt;"",TEXT(AUX!EF$1,"dd-MMM-aa"),"")</f>
      </c>
      <c r="EC162" s="496" t="str">
        <f> IF(EC182&lt;&gt;"",TEXT(AUX!EG$1,"dd-MMM-aa"),"")</f>
      </c>
      <c r="ED162" s="496" t="str">
        <f> IF(ED182&lt;&gt;"",TEXT(AUX!EH$1,"dd-MMM-aa"),"")</f>
      </c>
      <c r="EE162" s="496" t="str">
        <f> IF(EE182&lt;&gt;"",TEXT(AUX!EI$1,"dd-MMM-aa"),"")</f>
      </c>
      <c r="EF162" s="496" t="str">
        <f> IF(EF182&lt;&gt;"",TEXT(AUX!EJ$1,"dd-MMM-aa"),"")</f>
      </c>
      <c r="EG162" s="496" t="str">
        <f> IF(EG182&lt;&gt;"",TEXT(AUX!EK$1,"dd-MMM-aa"),"")</f>
      </c>
      <c r="EH162" s="496" t="str">
        <f> IF(EH182&lt;&gt;"",TEXT(AUX!EL$1,"dd-MMM-aa"),"")</f>
      </c>
      <c r="EI162" s="496" t="str">
        <f> IF(EI182&lt;&gt;"",TEXT(AUX!EM$1,"dd-MMM-aa"),"")</f>
      </c>
      <c r="EJ162" s="496" t="str">
        <f> IF(EJ182&lt;&gt;"",TEXT(AUX!EN$1,"dd-MMM-aa"),"")</f>
      </c>
      <c r="EK162" s="496" t="str">
        <f> IF(EK182&lt;&gt;"",TEXT(AUX!EO$1,"dd-MMM-aa"),"")</f>
      </c>
      <c r="EL162" s="496" t="str">
        <f> IF(EL182&lt;&gt;"",TEXT(AUX!EP$1,"dd-MMM-aa"),"")</f>
      </c>
      <c r="EM162" s="496" t="str">
        <f> IF(EM182&lt;&gt;"",TEXT(AUX!EQ$1,"dd-MMM-aa"),"")</f>
      </c>
      <c r="EN162" s="496" t="str">
        <f> IF(EN182&lt;&gt;"",TEXT(AUX!ER$1,"dd-MMM-aa"),"")</f>
      </c>
      <c r="EO162" s="496" t="str">
        <f> IF(EO182&lt;&gt;"",TEXT(AUX!ES$1,"dd-MMM-aa"),"")</f>
      </c>
      <c r="EP162" s="496" t="str">
        <f> IF(EP182&lt;&gt;"",TEXT(AUX!ET$1,"dd-MMM-aa"),"")</f>
      </c>
      <c r="EQ162" s="496" t="str">
        <f> IF(EQ182&lt;&gt;"",TEXT(AUX!EU$1,"dd-MMM-aa"),"")</f>
      </c>
      <c r="ER162" s="496" t="str">
        <f> IF(ER182&lt;&gt;"",TEXT(AUX!EV$1,"dd-MMM-aa"),"")</f>
      </c>
      <c r="ES162" s="496" t="str">
        <f> IF(ES182&lt;&gt;"",TEXT(AUX!EW$1,"dd-MMM-aa"),"")</f>
      </c>
      <c r="ET162" s="496" t="str">
        <f> IF(ET182&lt;&gt;"",TEXT(AUX!EX$1,"dd-MMM-aa"),"")</f>
      </c>
      <c r="EU162" s="496" t="str">
        <f> IF(EU182&lt;&gt;"",TEXT(AUX!EY$1,"dd-MMM-aa"),"")</f>
      </c>
      <c r="EV162" s="496" t="str">
        <f> IF(EV182&lt;&gt;"",TEXT(AUX!EZ$1,"dd-MMM-aa"),"")</f>
      </c>
      <c r="EW162" s="496" t="str">
        <f> IF(EW182&lt;&gt;"",TEXT(AUX!FA$1,"dd-MMM-aa"),"")</f>
      </c>
      <c r="EX162" s="496" t="str">
        <f> IF(EX182&lt;&gt;"",TEXT(AUX!FB$1,"dd-MMM-aa"),"")</f>
      </c>
      <c r="EY162" s="496" t="str">
        <f> IF(EY182&lt;&gt;"",TEXT(AUX!FC$1,"dd-MMM-aa"),"")</f>
      </c>
      <c r="EZ162" s="496" t="str">
        <f> IF(EZ182&lt;&gt;"",TEXT(AUX!FD$1,"dd-MMM-aa"),"")</f>
      </c>
      <c r="FA162" s="496" t="str">
        <f> IF(FA182&lt;&gt;"",TEXT(AUX!FE$1,"dd-MMM-aa"),"")</f>
      </c>
      <c r="FB162" s="496" t="str">
        <f> IF(FB182&lt;&gt;"",TEXT(AUX!FF$1,"dd-MMM-aa"),"")</f>
      </c>
      <c r="FC162" s="496" t="str">
        <f> IF(FC182&lt;&gt;"",TEXT(AUX!FG$1,"dd-MMM-aa"),"")</f>
      </c>
      <c r="FD162" s="496" t="str">
        <f> IF(FD182&lt;&gt;"",TEXT(AUX!FH$1,"dd-MMM-aa"),"")</f>
      </c>
      <c r="FE162" s="496" t="str">
        <f> IF(FE182&lt;&gt;"",TEXT(AUX!FI$1,"dd-MMM-aa"),"")</f>
      </c>
      <c r="FF162" s="496" t="str">
        <f> IF(FF182&lt;&gt;"",TEXT(AUX!FJ$1,"dd-MMM-aa"),"")</f>
      </c>
      <c r="FG162" s="496" t="str">
        <f> IF(FG182&lt;&gt;"",TEXT(AUX!FK$1,"dd-MMM-aa"),"")</f>
      </c>
      <c r="FH162" s="496" t="str">
        <f> IF(FH182&lt;&gt;"",TEXT(AUX!FL$1,"dd-MMM-aa"),"")</f>
      </c>
      <c r="FI162" s="496" t="str">
        <f> IF(FI182&lt;&gt;"",TEXT(AUX!FM$1,"dd-MMM-aa"),"")</f>
      </c>
      <c r="FJ162" s="496" t="str">
        <f> IF(FJ182&lt;&gt;"",TEXT(AUX!FN$1,"dd-MMM-aa"),"")</f>
      </c>
      <c r="FK162" s="496" t="str">
        <f> IF(FK182&lt;&gt;"",TEXT(AUX!FO$1,"dd-MMM-aa"),"")</f>
      </c>
      <c r="FL162" s="496" t="str">
        <f> IF(FL182&lt;&gt;"",TEXT(AUX!FP$1,"dd-MMM-aa"),"")</f>
      </c>
      <c r="FM162" s="496" t="str">
        <f> IF(FM182&lt;&gt;"",TEXT(AUX!FQ$1,"dd-MMM-aa"),"")</f>
      </c>
      <c r="FN162" s="496" t="str">
        <f> IF(FN182&lt;&gt;"",TEXT(AUX!FR$1,"dd-MMM-aa"),"")</f>
      </c>
      <c r="FO162" s="496" t="str">
        <f> IF(FO182&lt;&gt;"",TEXT(AUX!FS$1,"dd-MMM-aa"),"")</f>
      </c>
      <c r="FP162" s="496" t="str">
        <f> IF(FP182&lt;&gt;"",TEXT(AUX!FT$1,"dd-MMM-aa"),"")</f>
      </c>
      <c r="FQ162" s="496" t="str">
        <f> IF(FQ182&lt;&gt;"",TEXT(AUX!FU$1,"dd-MMM-aa"),"")</f>
      </c>
      <c r="FR162" s="496" t="str">
        <f> IF(FR182&lt;&gt;"",TEXT(AUX!FV$1,"dd-MMM-aa"),"")</f>
      </c>
      <c r="FS162" s="496" t="str">
        <f> IF(FS182&lt;&gt;"",TEXT(AUX!FW$1,"dd-MMM-aa"),"")</f>
      </c>
      <c r="FT162" s="496" t="str">
        <f> IF(FT182&lt;&gt;"",TEXT(AUX!FX$1,"dd-MMM-aa"),"")</f>
      </c>
      <c r="FU162" s="496" t="str">
        <f> IF(FU182&lt;&gt;"",TEXT(AUX!FY$1,"dd-MMM-aa"),"")</f>
      </c>
      <c r="FV162" s="496" t="str">
        <f> IF(FV182&lt;&gt;"",TEXT(AUX!FZ$1,"dd-MMM-aa"),"")</f>
      </c>
      <c r="FW162" s="496" t="str">
        <f> IF(FW182&lt;&gt;"",TEXT(AUX!GA$1,"dd-MMM-aa"),"")</f>
      </c>
      <c r="FX162" s="496" t="str">
        <f> IF(FX182&lt;&gt;"",TEXT(AUX!GB$1,"dd-MMM-aa"),"")</f>
      </c>
      <c r="FY162" s="496" t="str">
        <f> IF(FY182&lt;&gt;"",TEXT(AUX!GC$1,"dd-MMM-aa"),"")</f>
      </c>
      <c r="FZ162" s="496" t="str">
        <f> IF(FZ182&lt;&gt;"",TEXT(AUX!GD$1,"dd-MMM-aa"),"")</f>
      </c>
      <c r="GA162" s="496" t="str">
        <f> IF(GA182&lt;&gt;"",TEXT(AUX!GE$1,"dd-MMM-aa"),"")</f>
      </c>
      <c r="GB162" s="496" t="str">
        <f> IF(GB182&lt;&gt;"",TEXT(AUX!GF$1,"dd-MMM-aa"),"")</f>
      </c>
      <c r="GC162" s="496" t="str">
        <f> IF(GC182&lt;&gt;"",TEXT(AUX!GG$1,"dd-MMM-aa"),"")</f>
      </c>
      <c r="GD162" s="496" t="str">
        <f> IF(GD182&lt;&gt;"",TEXT(AUX!GH$1,"dd-MMM-aa"),"")</f>
      </c>
      <c r="GE162" s="496" t="str">
        <f> IF(GE182&lt;&gt;"",TEXT(AUX!GI$1,"dd-MMM-aa"),"")</f>
      </c>
      <c r="GF162" s="496" t="str">
        <f> IF(GF182&lt;&gt;"",TEXT(AUX!GJ$1,"dd-MMM-aa"),"")</f>
      </c>
      <c r="GG162" s="496" t="str">
        <f> IF(GG182&lt;&gt;"",TEXT(AUX!GK$1,"dd-MMM-aa"),"")</f>
      </c>
      <c r="GH162" s="496" t="str">
        <f> IF(GH182&lt;&gt;"",TEXT(AUX!GL$1,"dd-MMM-aa"),"")</f>
      </c>
      <c r="GI162" s="496" t="str">
        <f> IF(GI182&lt;&gt;"",TEXT(AUX!GM$1,"dd-MMM-aa"),"")</f>
      </c>
      <c r="GJ162" s="496" t="str">
        <f> IF(GJ182&lt;&gt;"",TEXT(AUX!GN$1,"dd-MMM-aa"),"")</f>
      </c>
      <c r="GK162" s="496" t="str">
        <f> IF(GK182&lt;&gt;"",TEXT(AUX!GO$1,"dd-MMM-aa"),"")</f>
      </c>
      <c r="GL162" s="496" t="str">
        <f> IF(GL182&lt;&gt;"",TEXT(AUX!GP$1,"dd-MMM-aa"),"")</f>
      </c>
      <c r="GM162" s="496" t="str">
        <f> IF(GM182&lt;&gt;"",TEXT(AUX!GQ$1,"dd-MMM-aa"),"")</f>
      </c>
      <c r="GN162" s="496" t="str">
        <f> IF(GN182&lt;&gt;"",TEXT(AUX!GR$1,"dd-MMM-aa"),"")</f>
      </c>
      <c r="GO162" s="496" t="str">
        <f> IF(GO182&lt;&gt;"",TEXT(AUX!GS$1,"dd-MMM-aa"),"")</f>
      </c>
      <c r="GP162" s="496" t="str">
        <f> IF(GP182&lt;&gt;"",TEXT(AUX!GT$1,"dd-MMM-aa"),"")</f>
      </c>
      <c r="GQ162" s="496" t="str">
        <f> IF(GQ182&lt;&gt;"",TEXT(AUX!GU$1,"dd-MMM-aa"),"")</f>
      </c>
      <c r="GR162" s="496" t="str">
        <f> IF(GR182&lt;&gt;"",TEXT(AUX!GV$1,"dd-MMM-aa"),"")</f>
      </c>
      <c r="GS162" s="496" t="str">
        <f> IF(GS182&lt;&gt;"",TEXT(AUX!GW$1,"dd-MMM-aa"),"")</f>
      </c>
      <c r="GT162" s="496" t="str">
        <f> IF(GT182&lt;&gt;"",TEXT(AUX!GX$1,"dd-MMM-aa"),"")</f>
      </c>
      <c r="GU162" s="496" t="str">
        <f> IF(GU182&lt;&gt;"",TEXT(AUX!GY$1,"dd-MMM-aa"),"")</f>
      </c>
      <c r="GV162" s="496" t="str">
        <f> IF(GV182&lt;&gt;"",TEXT(AUX!GZ$1,"dd-MMM-aa"),"")</f>
      </c>
      <c r="GW162" s="496" t="str">
        <f> IF(GW182&lt;&gt;"",TEXT(AUX!HA$1,"dd-MMM-aa"),"")</f>
      </c>
      <c r="GX162" s="496" t="str">
        <f> IF(GX182&lt;&gt;"",TEXT(AUX!HB$1,"dd-MMM-aa"),"")</f>
      </c>
      <c r="GY162" s="496" t="str">
        <f> IF(GY182&lt;&gt;"",TEXT(AUX!HC$1,"dd-MMM-aa"),"")</f>
      </c>
      <c r="GZ162" s="496" t="str">
        <f> IF(GZ182&lt;&gt;"",TEXT(AUX!HD$1,"dd-MMM-aa"),"")</f>
      </c>
      <c r="HA162" s="496" t="str">
        <f> IF(HA182&lt;&gt;"",TEXT(AUX!HE$1,"dd-MMM-aa"),"")</f>
      </c>
      <c r="HB162" s="496" t="str">
        <f> IF(HB182&lt;&gt;"",TEXT(AUX!HF$1,"dd-MMM-aa"),"")</f>
      </c>
      <c r="HC162" s="496" t="str">
        <f> IF(HC182&lt;&gt;"",TEXT(AUX!HG$1,"dd-MMM-aa"),"")</f>
      </c>
      <c r="HD162" s="496" t="str">
        <f> IF(HD182&lt;&gt;"",TEXT(AUX!HH$1,"dd-MMM-aa"),"")</f>
      </c>
      <c r="HE162" s="496" t="str">
        <f> IF(HE182&lt;&gt;"",TEXT(AUX!HI$1,"dd-MMM-aa"),"")</f>
      </c>
      <c r="HF162" s="496" t="str">
        <f> IF(HF182&lt;&gt;"",TEXT(AUX!HJ$1,"dd-MMM-aa"),"")</f>
      </c>
      <c r="HG162" s="496" t="str">
        <f> IF(HG182&lt;&gt;"",TEXT(AUX!HK$1,"dd-MMM-aa"),"")</f>
      </c>
      <c r="HH162" s="496" t="str">
        <f> IF(HH182&lt;&gt;"",TEXT(AUX!HL$1,"dd-MMM-aa"),"")</f>
      </c>
      <c r="HI162" s="496" t="str">
        <f> IF(HI182&lt;&gt;"",TEXT(AUX!HM$1,"dd-MMM-aa"),"")</f>
      </c>
      <c r="HJ162" s="496" t="str">
        <f> IF(HJ182&lt;&gt;"",TEXT(AUX!HN$1,"dd-MMM-aa"),"")</f>
      </c>
      <c r="HK162" s="496" t="str">
        <f> IF(HK182&lt;&gt;"",TEXT(AUX!HO$1,"dd-MMM-aa"),"")</f>
      </c>
      <c r="HL162" s="496" t="str">
        <f> IF(HL182&lt;&gt;"",TEXT(AUX!HP$1,"dd-MMM-aa"),"")</f>
      </c>
      <c r="HM162" s="496" t="str">
        <f> IF(HM182&lt;&gt;"",TEXT(AUX!HQ$1,"dd-MMM-aa"),"")</f>
      </c>
      <c r="HN162" s="496" t="str">
        <f> IF(HN182&lt;&gt;"",TEXT(AUX!HR$1,"dd-MMM-aa"),"")</f>
      </c>
      <c r="HO162" s="496" t="str">
        <f> IF(HO182&lt;&gt;"",TEXT(AUX!HS$1,"dd-MMM-aa"),"")</f>
      </c>
      <c r="HP162" s="496" t="str">
        <f> IF(HP182&lt;&gt;"",TEXT(AUX!HT$1,"dd-MMM-aa"),"")</f>
      </c>
      <c r="HQ162" s="496" t="str">
        <f> IF(HQ182&lt;&gt;"",TEXT(AUX!HU$1,"dd-MMM-aa"),"")</f>
      </c>
      <c r="HR162" s="496" t="str">
        <f> IF(HR182&lt;&gt;"",TEXT(AUX!HV$1,"dd-MMM-aa"),"")</f>
      </c>
      <c r="HS162" s="496" t="str">
        <f> IF(HS182&lt;&gt;"",TEXT(AUX!HW$1,"dd-MMM-aa"),"")</f>
      </c>
      <c r="HT162" s="496" t="str">
        <f> IF(HT182&lt;&gt;"",TEXT(AUX!HX$1,"dd-MMM-aa"),"")</f>
      </c>
      <c r="HU162" s="496" t="str">
        <f> IF(HU182&lt;&gt;"",TEXT(AUX!HY$1,"dd-MMM-aa"),"")</f>
      </c>
      <c r="HV162" s="496" t="str">
        <f> IF(HV182&lt;&gt;"",TEXT(AUX!HZ$1,"dd-MMM-aa"),"")</f>
      </c>
      <c r="HW162" s="496" t="str">
        <f> IF(HW182&lt;&gt;"",TEXT(AUX!IA$1,"dd-MMM-aa"),"")</f>
      </c>
      <c r="HX162" s="496" t="str">
        <f> IF(HX182&lt;&gt;"",TEXT(AUX!IB$1,"dd-MMM-aa"),"")</f>
      </c>
      <c r="HY162" s="496" t="str">
        <f> IF(HY182&lt;&gt;"",TEXT(AUX!IC$1,"dd-MMM-aa"),"")</f>
      </c>
      <c r="HZ162" s="496" t="str">
        <f> IF(HZ182&lt;&gt;"",TEXT(AUX!ID$1,"dd-MMM-aa"),"")</f>
      </c>
      <c r="IA162" s="496" t="str">
        <f> IF(IA182&lt;&gt;"",TEXT(AUX!IE$1,"dd-MMM-aa"),"")</f>
      </c>
      <c r="IB162" s="496" t="str">
        <f> IF(IB182&lt;&gt;"",TEXT(AUX!IF$1,"dd-MMM-aa"),"")</f>
      </c>
      <c r="IC162" s="496" t="str">
        <f> IF(IC182&lt;&gt;"",TEXT(AUX!IG$1,"dd-MMM-aa"),"")</f>
      </c>
      <c r="ID162" s="496" t="str">
        <f> IF(ID182&lt;&gt;"",TEXT(AUX!IH$1,"dd-MMM-aa"),"")</f>
      </c>
      <c r="IE162" s="496" t="str">
        <f> IF(IE182&lt;&gt;"",TEXT(AUX!II$1,"dd-MMM-aa"),"")</f>
      </c>
      <c r="IF162" s="496" t="str">
        <f> IF(IF182&lt;&gt;"",TEXT(AUX!IJ$1,"dd-MMM-aa"),"")</f>
      </c>
      <c r="IG162" s="496" t="str">
        <f> IF(IG182&lt;&gt;"",TEXT(AUX!IK$1,"dd-MMM-aa"),"")</f>
      </c>
      <c r="IH162" s="496" t="str">
        <f> IF(IH182&lt;&gt;"",TEXT(AUX!IL$1,"dd-MMM-aa"),"")</f>
      </c>
      <c r="II162" s="496" t="str">
        <f> IF(II182&lt;&gt;"",TEXT(AUX!IM$1,"dd-MMM-aa"),"")</f>
      </c>
      <c r="IJ162" s="496" t="str">
        <f> IF(IJ182&lt;&gt;"",TEXT(AUX!IN$1,"dd-MMM-aa"),"")</f>
      </c>
      <c r="IK162" s="496" t="str">
        <f> IF(IK182&lt;&gt;"",TEXT(AUX!IO$1,"dd-MMM-aa"),"")</f>
      </c>
      <c r="IL162" s="496" t="str">
        <f> IF(IL182&lt;&gt;"",TEXT(AUX!IP$1,"dd-MMM-aa"),"")</f>
      </c>
      <c r="IM162" s="496" t="str">
        <f> IF(IM182&lt;&gt;"",TEXT(AUX!IQ$1,"dd-MMM-aa"),"")</f>
      </c>
      <c r="IN162" s="496" t="str">
        <f> IF(IN182&lt;&gt;"",TEXT(AUX!IR$1,"dd-MMM-aa"),"")</f>
      </c>
      <c r="IO162" s="496" t="str">
        <f> IF(IO182&lt;&gt;"",TEXT(AUX!IS$1,"dd-MMM-aa"),"")</f>
      </c>
      <c r="IP162" s="496" t="str">
        <f> IF(IP182&lt;&gt;"",TEXT(AUX!IT$1,"dd-MMM-aa"),"")</f>
      </c>
      <c r="IQ162" s="496" t="str">
        <f> IF(IQ182&lt;&gt;"",TEXT(AUX!IU$1,"dd-MMM-aa"),"")</f>
      </c>
      <c r="IR162" s="496" t="str">
        <f> IF(IR182&lt;&gt;"",TEXT(AUX!IV$1,"dd-MMM-aa"),"")</f>
      </c>
      <c r="IS162" s="496" t="str">
        <f> IF(IS182&lt;&gt;"",TEXT(AUX!#REF!,"dd-MMM-aa"),"")</f>
      </c>
      <c r="IT162" s="496" t="str">
        <f> IF(IT182&lt;&gt;"",TEXT(AUX!#REF!,"dd-MMM-aa"),"")</f>
      </c>
      <c r="IU162" s="496" t="str">
        <f> IF(IU182&lt;&gt;"",TEXT(AUX!#REF!,"dd-MMM-aa"),"")</f>
      </c>
      <c r="IV162" s="496" t="str">
        <f> IF(IV182&lt;&gt;"",TEXT(AUX!#REF!,"dd-MMM-aa"),"")</f>
      </c>
    </row>
    <row r="163" hidden="1">
      <c r="B163" s="833" t="s">
        <v>8</v>
      </c>
      <c r="C163" s="827">
        <v>324469</v>
      </c>
      <c r="D163" s="827">
        <v>242377</v>
      </c>
      <c r="E163" s="827">
        <v>259237</v>
      </c>
      <c r="F163" s="827">
        <v>212378</v>
      </c>
      <c r="G163" s="827">
        <v>245615</v>
      </c>
      <c r="H163" s="827">
        <v>193140</v>
      </c>
      <c r="I163" s="827">
        <v>227207</v>
      </c>
      <c r="J163" s="827">
        <v>191713</v>
      </c>
      <c r="K163" s="827">
        <v>231772</v>
      </c>
      <c r="L163" s="827">
        <v>169702</v>
      </c>
      <c r="M163" s="827">
        <v>240148</v>
      </c>
      <c r="N163" s="827">
        <v>173622</v>
      </c>
      <c r="O163" s="827">
        <v>233545</v>
      </c>
      <c r="P163" s="827">
        <v>178764</v>
      </c>
      <c r="Q163" s="827">
        <v>261734</v>
      </c>
      <c r="R163" s="827">
        <v>246940</v>
      </c>
      <c r="S163" s="827">
        <v>291595</v>
      </c>
      <c r="T163" s="827">
        <v>185941</v>
      </c>
      <c r="U163" s="827">
        <v>298879</v>
      </c>
      <c r="V163" s="827">
        <v>247897</v>
      </c>
      <c r="W163" s="827">
        <v>318667</v>
      </c>
      <c r="X163" s="827">
        <v>287472</v>
      </c>
      <c r="Y163" s="827">
        <v>335313</v>
      </c>
      <c r="Z163" s="827">
        <v>299867</v>
      </c>
      <c r="AA163" s="827">
        <v>352112</v>
      </c>
      <c r="AB163" s="834">
        <v>318925</v>
      </c>
      <c r="AC163" s="828">
        <v>373960</v>
      </c>
      <c r="AD163" s="828">
        <v>321023</v>
      </c>
      <c r="AE163" s="828">
        <v>375795</v>
      </c>
      <c r="AF163" s="828">
        <v>324796</v>
      </c>
      <c r="AG163" s="828">
        <v>324918</v>
      </c>
      <c r="AH163" s="828">
        <v>258468</v>
      </c>
      <c r="AI163" s="828">
        <v>360830</v>
      </c>
      <c r="AJ163" s="828">
        <v>248692</v>
      </c>
      <c r="AK163" s="828">
        <v>263644</v>
      </c>
      <c r="AL163" s="828">
        <v>162997</v>
      </c>
      <c r="AM163" s="828">
        <v>273870</v>
      </c>
      <c r="AN163" s="828">
        <v>278938</v>
      </c>
      <c r="AO163" s="828">
        <v>311192</v>
      </c>
      <c r="AP163" s="828">
        <v>234078</v>
      </c>
    </row>
    <row r="164" hidden="1">
      <c r="B164" s="829" t="s">
        <v>9</v>
      </c>
      <c r="C164" s="823">
        <v>0</v>
      </c>
      <c r="D164" s="823">
        <v>0</v>
      </c>
      <c r="E164" s="823">
        <v>0</v>
      </c>
      <c r="F164" s="823">
        <v>228</v>
      </c>
      <c r="G164" s="823">
        <v>25294</v>
      </c>
      <c r="H164" s="823">
        <v>25294</v>
      </c>
      <c r="I164" s="823">
        <v>55986</v>
      </c>
      <c r="J164" s="823">
        <v>77433</v>
      </c>
      <c r="K164" s="823">
        <v>325346</v>
      </c>
      <c r="L164" s="823">
        <v>352350</v>
      </c>
      <c r="M164" s="823">
        <v>335727</v>
      </c>
      <c r="N164" s="823">
        <v>324553</v>
      </c>
      <c r="O164" s="823">
        <v>324553</v>
      </c>
      <c r="P164" s="823">
        <v>305553</v>
      </c>
      <c r="Q164" s="823">
        <v>319797</v>
      </c>
      <c r="R164" s="823">
        <v>311281</v>
      </c>
      <c r="S164" s="823">
        <v>312381</v>
      </c>
      <c r="T164" s="823">
        <v>287359</v>
      </c>
      <c r="U164" s="823">
        <v>337615</v>
      </c>
      <c r="V164" s="823">
        <v>317440</v>
      </c>
      <c r="W164" s="823">
        <v>331155</v>
      </c>
      <c r="X164" s="823">
        <v>313574</v>
      </c>
      <c r="Y164" s="823">
        <v>334596</v>
      </c>
      <c r="Z164" s="823">
        <v>314244</v>
      </c>
      <c r="AA164" s="823">
        <v>345766</v>
      </c>
      <c r="AB164" s="823">
        <v>308632</v>
      </c>
      <c r="AC164" s="825">
        <v>346956</v>
      </c>
      <c r="AD164" s="825">
        <v>317290</v>
      </c>
      <c r="AE164" s="825">
        <v>331885</v>
      </c>
      <c r="AF164" s="825">
        <v>329001</v>
      </c>
      <c r="AG164" s="825">
        <v>341695</v>
      </c>
      <c r="AH164" s="825">
        <v>299873</v>
      </c>
      <c r="AI164" s="825">
        <v>333339</v>
      </c>
      <c r="AJ164" s="825">
        <v>292146</v>
      </c>
      <c r="AK164" s="825">
        <v>310268</v>
      </c>
      <c r="AL164" s="825">
        <v>297228</v>
      </c>
      <c r="AM164" s="825">
        <v>313088</v>
      </c>
      <c r="AN164" s="825">
        <v>289839</v>
      </c>
      <c r="AO164" s="825">
        <v>277794</v>
      </c>
      <c r="AP164" s="825">
        <v>262941</v>
      </c>
    </row>
    <row r="165" hidden="1">
      <c r="B165" s="826" t="s">
        <v>10</v>
      </c>
      <c r="C165" s="827">
        <v>4707</v>
      </c>
      <c r="D165" s="827">
        <v>5085</v>
      </c>
      <c r="E165" s="827">
        <v>5661</v>
      </c>
      <c r="F165" s="827">
        <v>5686</v>
      </c>
      <c r="G165" s="827">
        <v>5117</v>
      </c>
      <c r="H165" s="827">
        <v>5065</v>
      </c>
      <c r="I165" s="827">
        <v>4420</v>
      </c>
      <c r="J165" s="827">
        <v>4223</v>
      </c>
      <c r="K165" s="827">
        <v>4618</v>
      </c>
      <c r="L165" s="827">
        <v>4415</v>
      </c>
      <c r="M165" s="827">
        <v>4423</v>
      </c>
      <c r="N165" s="827">
        <v>4365</v>
      </c>
      <c r="O165" s="827">
        <v>3679</v>
      </c>
      <c r="P165" s="827">
        <v>3688</v>
      </c>
      <c r="Q165" s="827">
        <v>3275</v>
      </c>
      <c r="R165" s="827">
        <v>3246</v>
      </c>
      <c r="S165" s="827">
        <v>3368</v>
      </c>
      <c r="T165" s="827">
        <v>3327</v>
      </c>
      <c r="U165" s="827">
        <v>3416</v>
      </c>
      <c r="V165" s="827">
        <v>3333</v>
      </c>
      <c r="W165" s="827">
        <v>4073</v>
      </c>
      <c r="X165" s="827">
        <v>3915</v>
      </c>
      <c r="Y165" s="827">
        <v>3421</v>
      </c>
      <c r="Z165" s="827">
        <v>3399</v>
      </c>
      <c r="AA165" s="827">
        <v>3100</v>
      </c>
      <c r="AB165" s="827">
        <v>562</v>
      </c>
      <c r="AC165" s="828">
        <v>2033</v>
      </c>
      <c r="AD165" s="828">
        <v>2052</v>
      </c>
      <c r="AE165" s="828">
        <v>2557</v>
      </c>
      <c r="AF165" s="828">
        <v>2335</v>
      </c>
      <c r="AG165" s="828">
        <v>2512</v>
      </c>
      <c r="AH165" s="828">
        <v>2477</v>
      </c>
      <c r="AI165" s="828">
        <v>2537</v>
      </c>
      <c r="AJ165" s="828">
        <v>2511</v>
      </c>
      <c r="AK165" s="828">
        <v>2551</v>
      </c>
      <c r="AL165" s="828">
        <v>2530</v>
      </c>
      <c r="AM165" s="828">
        <v>2457</v>
      </c>
      <c r="AN165" s="828">
        <v>2434</v>
      </c>
      <c r="AO165" s="828">
        <v>2918</v>
      </c>
      <c r="AP165" s="828">
        <v>2664</v>
      </c>
    </row>
    <row r="166" hidden="1">
      <c r="B166" s="829" t="s">
        <v>11</v>
      </c>
      <c r="C166" s="823">
        <v>72553</v>
      </c>
      <c r="D166" s="823">
        <v>70438</v>
      </c>
      <c r="E166" s="823">
        <v>74991</v>
      </c>
      <c r="F166" s="823">
        <v>73833</v>
      </c>
      <c r="G166" s="823">
        <v>70808</v>
      </c>
      <c r="H166" s="823">
        <v>65061</v>
      </c>
      <c r="I166" s="823">
        <v>58256</v>
      </c>
      <c r="J166" s="823">
        <v>33761</v>
      </c>
      <c r="K166" s="823">
        <v>69123</v>
      </c>
      <c r="L166" s="823">
        <v>58249</v>
      </c>
      <c r="M166" s="823">
        <v>74308</v>
      </c>
      <c r="N166" s="823">
        <v>70190</v>
      </c>
      <c r="O166" s="823">
        <v>76297</v>
      </c>
      <c r="P166" s="823">
        <v>68326</v>
      </c>
      <c r="Q166" s="823">
        <v>78298</v>
      </c>
      <c r="R166" s="823">
        <v>72921</v>
      </c>
      <c r="S166" s="823">
        <v>72855</v>
      </c>
      <c r="T166" s="823">
        <v>67812</v>
      </c>
      <c r="U166" s="823">
        <v>74071</v>
      </c>
      <c r="V166" s="823">
        <v>70317</v>
      </c>
      <c r="W166" s="823">
        <v>73728</v>
      </c>
      <c r="X166" s="823">
        <v>69358</v>
      </c>
      <c r="Y166" s="823">
        <v>70219</v>
      </c>
      <c r="Z166" s="823">
        <v>64445</v>
      </c>
      <c r="AA166" s="823">
        <v>69812</v>
      </c>
      <c r="AB166" s="823">
        <v>65959</v>
      </c>
      <c r="AC166" s="825">
        <v>67078</v>
      </c>
      <c r="AD166" s="825">
        <v>61954</v>
      </c>
      <c r="AE166" s="825">
        <v>70190</v>
      </c>
      <c r="AF166" s="825">
        <v>65441</v>
      </c>
      <c r="AG166" s="825">
        <v>65866</v>
      </c>
      <c r="AH166" s="825">
        <v>64058</v>
      </c>
      <c r="AI166" s="825">
        <v>63711</v>
      </c>
      <c r="AJ166" s="825">
        <v>60229</v>
      </c>
      <c r="AK166" s="825">
        <v>62100</v>
      </c>
      <c r="AL166" s="825">
        <v>59864</v>
      </c>
      <c r="AM166" s="825">
        <v>61714</v>
      </c>
      <c r="AN166" s="825">
        <v>57686</v>
      </c>
      <c r="AO166" s="825">
        <v>55069</v>
      </c>
      <c r="AP166" s="825">
        <v>54539</v>
      </c>
    </row>
    <row r="167" hidden="1">
      <c r="B167" s="826" t="s">
        <v>12</v>
      </c>
      <c r="C167" s="827">
        <v>9323</v>
      </c>
      <c r="D167" s="827">
        <v>8799</v>
      </c>
      <c r="E167" s="827">
        <v>12074</v>
      </c>
      <c r="F167" s="827">
        <v>11329</v>
      </c>
      <c r="G167" s="827">
        <v>11117</v>
      </c>
      <c r="H167" s="827">
        <v>10806</v>
      </c>
      <c r="I167" s="827">
        <v>9982</v>
      </c>
      <c r="J167" s="827">
        <v>9934</v>
      </c>
      <c r="K167" s="827">
        <v>12480</v>
      </c>
      <c r="L167" s="827">
        <v>10760</v>
      </c>
      <c r="M167" s="827">
        <v>10539</v>
      </c>
      <c r="N167" s="827">
        <v>9997</v>
      </c>
      <c r="O167" s="827">
        <v>10667</v>
      </c>
      <c r="P167" s="827">
        <v>10103</v>
      </c>
      <c r="Q167" s="827">
        <v>8081</v>
      </c>
      <c r="R167" s="827">
        <v>7866</v>
      </c>
      <c r="S167" s="827">
        <v>7550</v>
      </c>
      <c r="T167" s="827">
        <v>7258</v>
      </c>
      <c r="U167" s="827">
        <v>7413</v>
      </c>
      <c r="V167" s="827">
        <v>7040</v>
      </c>
      <c r="W167" s="827">
        <v>7245</v>
      </c>
      <c r="X167" s="827">
        <v>6931</v>
      </c>
      <c r="Y167" s="827">
        <v>7761</v>
      </c>
      <c r="Z167" s="827">
        <v>7712</v>
      </c>
      <c r="AA167" s="827">
        <v>6983</v>
      </c>
      <c r="AB167" s="827">
        <v>6872</v>
      </c>
      <c r="AC167" s="828">
        <v>6963</v>
      </c>
      <c r="AD167" s="828">
        <v>6772</v>
      </c>
      <c r="AE167" s="828">
        <v>6050</v>
      </c>
      <c r="AF167" s="828">
        <v>5709</v>
      </c>
      <c r="AG167" s="828">
        <v>6718</v>
      </c>
      <c r="AH167" s="828">
        <v>6484</v>
      </c>
      <c r="AI167" s="828">
        <v>5786</v>
      </c>
      <c r="AJ167" s="828">
        <v>5780</v>
      </c>
      <c r="AK167" s="828">
        <v>6373</v>
      </c>
      <c r="AL167" s="828">
        <v>6106</v>
      </c>
      <c r="AM167" s="828">
        <v>6365</v>
      </c>
      <c r="AN167" s="828">
        <v>5870</v>
      </c>
      <c r="AO167" s="828">
        <v>6752</v>
      </c>
      <c r="AP167" s="828">
        <v>7528</v>
      </c>
    </row>
    <row r="168" hidden="1">
      <c r="B168" s="829" t="s">
        <v>13</v>
      </c>
      <c r="C168" s="823">
        <v>5586</v>
      </c>
      <c r="D168" s="823">
        <v>6123</v>
      </c>
      <c r="E168" s="823">
        <v>6498</v>
      </c>
      <c r="F168" s="823">
        <v>7034</v>
      </c>
      <c r="G168" s="823">
        <v>5529</v>
      </c>
      <c r="H168" s="823">
        <v>5394</v>
      </c>
      <c r="I168" s="823">
        <v>5221</v>
      </c>
      <c r="J168" s="823">
        <v>6749</v>
      </c>
      <c r="K168" s="823">
        <v>4218</v>
      </c>
      <c r="L168" s="823">
        <v>4300</v>
      </c>
      <c r="M168" s="823">
        <v>5599</v>
      </c>
      <c r="N168" s="823">
        <v>831</v>
      </c>
      <c r="O168" s="823">
        <v>1464</v>
      </c>
      <c r="P168" s="823">
        <v>413</v>
      </c>
      <c r="Q168" s="823">
        <v>2049</v>
      </c>
      <c r="R168" s="823">
        <v>1286</v>
      </c>
      <c r="S168" s="823">
        <v>1263</v>
      </c>
      <c r="T168" s="823">
        <v>682</v>
      </c>
      <c r="U168" s="823">
        <v>3286</v>
      </c>
      <c r="V168" s="823">
        <v>51</v>
      </c>
      <c r="W168" s="823">
        <v>1708</v>
      </c>
      <c r="X168" s="823">
        <v>999</v>
      </c>
      <c r="Y168" s="823">
        <v>1961</v>
      </c>
      <c r="Z168" s="823">
        <v>1329</v>
      </c>
      <c r="AA168" s="823">
        <v>2484</v>
      </c>
      <c r="AB168" s="823">
        <v>2147</v>
      </c>
      <c r="AC168" s="825">
        <v>1880</v>
      </c>
      <c r="AD168" s="825">
        <v>1325</v>
      </c>
      <c r="AE168" s="825">
        <v>2104</v>
      </c>
      <c r="AF168" s="825">
        <v>1678</v>
      </c>
      <c r="AG168" s="825">
        <v>2405</v>
      </c>
      <c r="AH168" s="825">
        <v>2178</v>
      </c>
      <c r="AI168" s="825">
        <v>1418</v>
      </c>
      <c r="AJ168" s="825">
        <v>1310</v>
      </c>
      <c r="AK168" s="825">
        <v>1653</v>
      </c>
      <c r="AL168" s="825">
        <v>1648</v>
      </c>
      <c r="AM168" s="825">
        <v>1752</v>
      </c>
      <c r="AN168" s="825">
        <v>1465</v>
      </c>
      <c r="AO168" s="825">
        <v>1598</v>
      </c>
      <c r="AP168" s="825">
        <v>1433</v>
      </c>
    </row>
    <row r="169" hidden="1">
      <c r="B169" s="826" t="s">
        <v>109</v>
      </c>
      <c r="C169" s="827">
        <v>355374</v>
      </c>
      <c r="D169" s="827">
        <v>344430</v>
      </c>
      <c r="E169" s="827">
        <v>265409</v>
      </c>
      <c r="F169" s="827">
        <v>259848</v>
      </c>
      <c r="G169" s="827">
        <v>254393</v>
      </c>
      <c r="H169" s="827">
        <v>248718</v>
      </c>
      <c r="I169" s="827">
        <v>254989</v>
      </c>
      <c r="J169" s="827">
        <v>353896</v>
      </c>
      <c r="K169" s="827">
        <v>363450</v>
      </c>
      <c r="L169" s="827">
        <v>360979</v>
      </c>
      <c r="M169" s="827">
        <v>324288</v>
      </c>
      <c r="N169" s="827">
        <v>322274</v>
      </c>
      <c r="O169" s="827">
        <v>341185</v>
      </c>
      <c r="P169" s="827">
        <v>340622</v>
      </c>
      <c r="Q169" s="827">
        <v>336658</v>
      </c>
      <c r="R169" s="827">
        <v>332970</v>
      </c>
      <c r="S169" s="827">
        <v>335452</v>
      </c>
      <c r="T169" s="827">
        <v>333517</v>
      </c>
      <c r="U169" s="827">
        <v>360385</v>
      </c>
      <c r="V169" s="827">
        <v>383882</v>
      </c>
      <c r="W169" s="827">
        <v>377410</v>
      </c>
      <c r="X169" s="827">
        <v>376065</v>
      </c>
      <c r="Y169" s="827">
        <v>382042</v>
      </c>
      <c r="Z169" s="827">
        <v>384699</v>
      </c>
      <c r="AA169" s="827">
        <v>372854</v>
      </c>
      <c r="AB169" s="827">
        <v>373340</v>
      </c>
      <c r="AC169" s="828">
        <v>373641</v>
      </c>
      <c r="AD169" s="828">
        <v>376106</v>
      </c>
      <c r="AE169" s="828">
        <v>368719</v>
      </c>
      <c r="AF169" s="828">
        <v>368328</v>
      </c>
      <c r="AG169" s="828">
        <v>353937</v>
      </c>
      <c r="AH169" s="828">
        <v>356145</v>
      </c>
      <c r="AI169" s="828">
        <v>351833</v>
      </c>
      <c r="AJ169" s="828">
        <v>346353</v>
      </c>
      <c r="AK169" s="828">
        <v>291953</v>
      </c>
      <c r="AL169" s="828">
        <v>281763</v>
      </c>
      <c r="AM169" s="828">
        <v>311608</v>
      </c>
      <c r="AN169" s="828">
        <v>313671</v>
      </c>
      <c r="AO169" s="828">
        <v>407347</v>
      </c>
      <c r="AP169" s="828">
        <v>387459</v>
      </c>
    </row>
    <row r="170" hidden="1">
      <c r="B170" s="829" t="s">
        <v>110</v>
      </c>
      <c r="C170" s="823">
        <v>186407</v>
      </c>
      <c r="D170" s="823">
        <v>186118</v>
      </c>
      <c r="E170" s="823">
        <v>264707</v>
      </c>
      <c r="F170" s="823">
        <v>382937</v>
      </c>
      <c r="G170" s="823">
        <v>343538</v>
      </c>
      <c r="H170" s="823">
        <v>334045</v>
      </c>
      <c r="I170" s="823">
        <v>334060</v>
      </c>
      <c r="J170" s="823">
        <v>108611</v>
      </c>
      <c r="K170" s="823">
        <v>277427</v>
      </c>
      <c r="L170" s="823">
        <v>266699</v>
      </c>
      <c r="M170" s="823">
        <v>267003</v>
      </c>
      <c r="N170" s="823">
        <v>258538</v>
      </c>
      <c r="O170" s="823">
        <v>295249</v>
      </c>
      <c r="P170" s="823">
        <v>287969</v>
      </c>
      <c r="Q170" s="823">
        <v>272888</v>
      </c>
      <c r="R170" s="823">
        <v>271897</v>
      </c>
      <c r="S170" s="823">
        <v>303507</v>
      </c>
      <c r="T170" s="823">
        <v>303656</v>
      </c>
      <c r="U170" s="823">
        <v>370939</v>
      </c>
      <c r="V170" s="823">
        <v>368456</v>
      </c>
      <c r="W170" s="823">
        <v>375826</v>
      </c>
      <c r="X170" s="823">
        <v>377514</v>
      </c>
      <c r="Y170" s="823">
        <v>362944</v>
      </c>
      <c r="Z170" s="823">
        <v>356558</v>
      </c>
      <c r="AA170" s="823">
        <v>335005</v>
      </c>
      <c r="AB170" s="823">
        <v>331219</v>
      </c>
      <c r="AC170" s="825">
        <v>234678</v>
      </c>
      <c r="AD170" s="825">
        <v>233841</v>
      </c>
      <c r="AE170" s="825">
        <v>205664</v>
      </c>
      <c r="AF170" s="825">
        <v>202852</v>
      </c>
      <c r="AG170" s="825">
        <v>208260</v>
      </c>
      <c r="AH170" s="825">
        <v>206998</v>
      </c>
      <c r="AI170" s="825">
        <v>205106</v>
      </c>
      <c r="AJ170" s="825">
        <v>204580</v>
      </c>
      <c r="AK170" s="825">
        <v>170114</v>
      </c>
      <c r="AL170" s="825">
        <v>169824</v>
      </c>
      <c r="AM170" s="825">
        <v>150010</v>
      </c>
      <c r="AN170" s="825">
        <v>162870</v>
      </c>
      <c r="AO170" s="825">
        <v>239588</v>
      </c>
      <c r="AP170" s="825">
        <v>240028</v>
      </c>
    </row>
    <row r="171" hidden="1">
      <c r="B171" s="826" t="s">
        <v>16</v>
      </c>
      <c r="C171" s="827">
        <v>45685</v>
      </c>
      <c r="D171" s="827">
        <v>170829</v>
      </c>
      <c r="E171" s="827">
        <v>171988</v>
      </c>
      <c r="F171" s="827">
        <v>167169</v>
      </c>
      <c r="G171" s="827">
        <v>168767</v>
      </c>
      <c r="H171" s="827">
        <v>165479</v>
      </c>
      <c r="I171" s="827">
        <v>166040</v>
      </c>
      <c r="J171" s="827">
        <v>161839</v>
      </c>
      <c r="K171" s="827">
        <v>163641</v>
      </c>
      <c r="L171" s="827">
        <v>155407</v>
      </c>
      <c r="M171" s="827">
        <v>151664</v>
      </c>
      <c r="N171" s="827">
        <v>150397</v>
      </c>
      <c r="O171" s="827">
        <v>153488</v>
      </c>
      <c r="P171" s="827">
        <v>135763</v>
      </c>
      <c r="Q171" s="827">
        <v>134256</v>
      </c>
      <c r="R171" s="827">
        <v>125413</v>
      </c>
      <c r="S171" s="827">
        <v>131879</v>
      </c>
      <c r="T171" s="827">
        <v>134272</v>
      </c>
      <c r="U171" s="827">
        <v>156738</v>
      </c>
      <c r="V171" s="827">
        <v>156628</v>
      </c>
      <c r="W171" s="827">
        <v>156628</v>
      </c>
      <c r="X171" s="827">
        <v>156628</v>
      </c>
      <c r="Y171" s="827">
        <v>156628</v>
      </c>
      <c r="Z171" s="827">
        <v>156628</v>
      </c>
      <c r="AA171" s="827">
        <v>156841</v>
      </c>
      <c r="AB171" s="827">
        <v>154392</v>
      </c>
      <c r="AC171" s="828">
        <v>156158</v>
      </c>
      <c r="AD171" s="828">
        <v>154446</v>
      </c>
      <c r="AE171" s="828">
        <v>146942</v>
      </c>
      <c r="AF171" s="828">
        <v>157111</v>
      </c>
      <c r="AG171" s="828">
        <v>142221</v>
      </c>
      <c r="AH171" s="828">
        <v>141610</v>
      </c>
      <c r="AI171" s="828">
        <v>141358</v>
      </c>
      <c r="AJ171" s="828">
        <v>137268</v>
      </c>
      <c r="AK171" s="828">
        <v>128398</v>
      </c>
      <c r="AL171" s="828">
        <v>125161</v>
      </c>
      <c r="AM171" s="828">
        <v>120142</v>
      </c>
      <c r="AN171" s="828">
        <v>117713</v>
      </c>
      <c r="AO171" s="828">
        <v>128461</v>
      </c>
      <c r="AP171" s="828">
        <v>124328</v>
      </c>
    </row>
    <row r="172" hidden="1">
      <c r="B172" s="829" t="s">
        <v>17</v>
      </c>
      <c r="C172" s="823">
        <v>1114156</v>
      </c>
      <c r="D172" s="823">
        <v>990442</v>
      </c>
      <c r="E172" s="823">
        <v>880851</v>
      </c>
      <c r="F172" s="823">
        <v>772429</v>
      </c>
      <c r="G172" s="823">
        <v>760945</v>
      </c>
      <c r="H172" s="823">
        <v>626303</v>
      </c>
      <c r="I172" s="823">
        <v>764412</v>
      </c>
      <c r="J172" s="823">
        <v>589705</v>
      </c>
      <c r="K172" s="823">
        <v>751363</v>
      </c>
      <c r="L172" s="823">
        <v>553941</v>
      </c>
      <c r="M172" s="823">
        <v>651860</v>
      </c>
      <c r="N172" s="823">
        <v>583718</v>
      </c>
      <c r="O172" s="823">
        <v>661674</v>
      </c>
      <c r="P172" s="823">
        <v>511564</v>
      </c>
      <c r="Q172" s="823">
        <v>709628</v>
      </c>
      <c r="R172" s="823">
        <v>698405</v>
      </c>
      <c r="S172" s="823">
        <v>647762</v>
      </c>
      <c r="T172" s="823">
        <v>641404</v>
      </c>
      <c r="U172" s="823">
        <v>705385</v>
      </c>
      <c r="V172" s="823">
        <v>703252</v>
      </c>
      <c r="W172" s="823">
        <v>710758</v>
      </c>
      <c r="X172" s="823">
        <v>704081</v>
      </c>
      <c r="Y172" s="823">
        <v>788055</v>
      </c>
      <c r="Z172" s="823">
        <v>794782</v>
      </c>
      <c r="AA172" s="823">
        <v>840846</v>
      </c>
      <c r="AB172" s="823">
        <v>833520</v>
      </c>
      <c r="AC172" s="825">
        <v>847661</v>
      </c>
      <c r="AD172" s="825">
        <v>837145</v>
      </c>
      <c r="AE172" s="825">
        <v>870529</v>
      </c>
      <c r="AF172" s="825">
        <v>862448</v>
      </c>
      <c r="AG172" s="825">
        <v>876802</v>
      </c>
      <c r="AH172" s="825">
        <v>870926</v>
      </c>
      <c r="AI172" s="825">
        <v>898079</v>
      </c>
      <c r="AJ172" s="825">
        <v>893584</v>
      </c>
      <c r="AK172" s="825">
        <v>843832</v>
      </c>
      <c r="AL172" s="825">
        <v>835892</v>
      </c>
      <c r="AM172" s="825">
        <v>838111</v>
      </c>
      <c r="AN172" s="825">
        <v>834244</v>
      </c>
      <c r="AO172" s="825">
        <v>850290</v>
      </c>
      <c r="AP172" s="825">
        <v>849209</v>
      </c>
    </row>
    <row r="173" hidden="1" ht="12.75" customHeight="1">
      <c r="B173" s="826" t="s">
        <v>18</v>
      </c>
      <c r="C173" s="827">
        <v>352</v>
      </c>
      <c r="D173" s="827">
        <v>464</v>
      </c>
      <c r="E173" s="827">
        <v>2613</v>
      </c>
      <c r="F173" s="827">
        <v>15078</v>
      </c>
      <c r="G173" s="827">
        <v>41995</v>
      </c>
      <c r="H173" s="827">
        <v>60353</v>
      </c>
      <c r="I173" s="827">
        <v>81596</v>
      </c>
      <c r="J173" s="827">
        <v>74930</v>
      </c>
      <c r="K173" s="827">
        <v>73404</v>
      </c>
      <c r="L173" s="827">
        <v>72991</v>
      </c>
      <c r="M173" s="827">
        <v>76510</v>
      </c>
      <c r="N173" s="827">
        <v>74313</v>
      </c>
      <c r="O173" s="827">
        <v>50907</v>
      </c>
      <c r="P173" s="827">
        <v>28401</v>
      </c>
      <c r="Q173" s="827">
        <v>3757</v>
      </c>
      <c r="R173" s="827">
        <v>10402</v>
      </c>
      <c r="S173" s="827">
        <v>32769</v>
      </c>
      <c r="T173" s="827">
        <v>28431</v>
      </c>
      <c r="U173" s="827">
        <v>25392</v>
      </c>
      <c r="V173" s="827">
        <v>28695</v>
      </c>
      <c r="W173" s="827">
        <v>34842</v>
      </c>
      <c r="X173" s="827">
        <v>35895</v>
      </c>
      <c r="Y173" s="827">
        <v>40135</v>
      </c>
      <c r="Z173" s="827">
        <v>39984</v>
      </c>
      <c r="AA173" s="827">
        <v>37605</v>
      </c>
      <c r="AB173" s="827">
        <v>35158</v>
      </c>
      <c r="AC173" s="828">
        <v>31114</v>
      </c>
      <c r="AD173" s="828">
        <v>28006</v>
      </c>
      <c r="AE173" s="828">
        <v>29538</v>
      </c>
      <c r="AF173" s="828">
        <v>26041</v>
      </c>
      <c r="AG173" s="828">
        <v>27360</v>
      </c>
      <c r="AH173" s="828">
        <v>27615</v>
      </c>
      <c r="AI173" s="828">
        <v>21568</v>
      </c>
      <c r="AJ173" s="828">
        <v>20535</v>
      </c>
      <c r="AK173" s="828">
        <v>17762</v>
      </c>
      <c r="AL173" s="828">
        <v>17074</v>
      </c>
      <c r="AM173" s="828">
        <v>16200</v>
      </c>
      <c r="AN173" s="828">
        <v>16097</v>
      </c>
      <c r="AO173" s="828">
        <v>15870</v>
      </c>
      <c r="AP173" s="828">
        <v>15448</v>
      </c>
    </row>
    <row r="174" hidden="1">
      <c r="B174" s="829" t="s">
        <v>19</v>
      </c>
      <c r="C174" s="823">
        <v>17418</v>
      </c>
      <c r="D174" s="823">
        <v>17367</v>
      </c>
      <c r="E174" s="823">
        <v>14823</v>
      </c>
      <c r="F174" s="823">
        <v>15077</v>
      </c>
      <c r="G174" s="823">
        <v>18372</v>
      </c>
      <c r="H174" s="823">
        <v>20264</v>
      </c>
      <c r="I174" s="823">
        <v>20980</v>
      </c>
      <c r="J174" s="823">
        <v>22653</v>
      </c>
      <c r="K174" s="823">
        <v>26523</v>
      </c>
      <c r="L174" s="823">
        <v>28152</v>
      </c>
      <c r="M174" s="823">
        <v>18110</v>
      </c>
      <c r="N174" s="823">
        <v>18104</v>
      </c>
      <c r="O174" s="823">
        <v>14953</v>
      </c>
      <c r="P174" s="823">
        <v>14006</v>
      </c>
      <c r="Q174" s="823">
        <v>14792</v>
      </c>
      <c r="R174" s="823">
        <v>14922</v>
      </c>
      <c r="S174" s="823">
        <v>13328</v>
      </c>
      <c r="T174" s="823">
        <v>13249</v>
      </c>
      <c r="U174" s="823">
        <v>13899</v>
      </c>
      <c r="V174" s="823">
        <v>14001</v>
      </c>
      <c r="W174" s="823">
        <v>13516</v>
      </c>
      <c r="X174" s="823">
        <v>13521</v>
      </c>
      <c r="Y174" s="823">
        <v>12990</v>
      </c>
      <c r="Z174" s="823">
        <v>12285</v>
      </c>
      <c r="AA174" s="823">
        <v>13543</v>
      </c>
      <c r="AB174" s="823">
        <v>14091</v>
      </c>
      <c r="AC174" s="825">
        <v>12843</v>
      </c>
      <c r="AD174" s="825">
        <v>13088</v>
      </c>
      <c r="AE174" s="825">
        <v>11350</v>
      </c>
      <c r="AF174" s="825">
        <v>11331</v>
      </c>
      <c r="AG174" s="825">
        <v>12010</v>
      </c>
      <c r="AH174" s="825">
        <v>12098</v>
      </c>
      <c r="AI174" s="825">
        <v>10859</v>
      </c>
      <c r="AJ174" s="825">
        <v>9107</v>
      </c>
      <c r="AK174" s="825">
        <v>8703</v>
      </c>
      <c r="AL174" s="825">
        <v>8735</v>
      </c>
      <c r="AM174" s="825">
        <v>8571</v>
      </c>
      <c r="AN174" s="825">
        <v>8658</v>
      </c>
      <c r="AO174" s="825">
        <v>7781</v>
      </c>
      <c r="AP174" s="825">
        <v>10233</v>
      </c>
    </row>
    <row r="175" hidden="1" ht="12.75" customHeight="1">
      <c r="B175" s="826" t="s">
        <v>20</v>
      </c>
      <c r="C175" s="827">
        <v>59288</v>
      </c>
      <c r="D175" s="827">
        <v>279632</v>
      </c>
      <c r="E175" s="827">
        <v>243684</v>
      </c>
      <c r="F175" s="827">
        <v>273614</v>
      </c>
      <c r="G175" s="827">
        <v>257385</v>
      </c>
      <c r="H175" s="827">
        <v>384140</v>
      </c>
      <c r="I175" s="827">
        <v>496060</v>
      </c>
      <c r="J175" s="827">
        <v>536846</v>
      </c>
      <c r="K175" s="827">
        <v>516557</v>
      </c>
      <c r="L175" s="827">
        <v>512328</v>
      </c>
      <c r="M175" s="827">
        <v>137098</v>
      </c>
      <c r="N175" s="827">
        <v>452123</v>
      </c>
      <c r="O175" s="827">
        <v>467638</v>
      </c>
      <c r="P175" s="827">
        <v>464992</v>
      </c>
      <c r="Q175" s="827">
        <v>462394</v>
      </c>
      <c r="R175" s="827">
        <v>461937</v>
      </c>
      <c r="S175" s="827">
        <v>466981</v>
      </c>
      <c r="T175" s="827">
        <v>467495</v>
      </c>
      <c r="U175" s="827">
        <v>519057</v>
      </c>
      <c r="V175" s="827">
        <v>497967</v>
      </c>
      <c r="W175" s="827">
        <v>548804</v>
      </c>
      <c r="X175" s="827">
        <v>553637</v>
      </c>
      <c r="Y175" s="827">
        <v>250704</v>
      </c>
      <c r="Z175" s="827">
        <v>248425</v>
      </c>
      <c r="AA175" s="827">
        <v>222533</v>
      </c>
      <c r="AB175" s="827">
        <v>220818</v>
      </c>
      <c r="AC175" s="828">
        <v>213087</v>
      </c>
      <c r="AD175" s="828">
        <v>212466</v>
      </c>
      <c r="AE175" s="828">
        <v>222307</v>
      </c>
      <c r="AF175" s="828">
        <v>221901</v>
      </c>
      <c r="AG175" s="828">
        <v>270835</v>
      </c>
      <c r="AH175" s="828">
        <v>273048</v>
      </c>
      <c r="AI175" s="828">
        <v>202872</v>
      </c>
      <c r="AJ175" s="828">
        <v>202977</v>
      </c>
      <c r="AK175" s="828">
        <v>192612</v>
      </c>
      <c r="AL175" s="828">
        <v>191893</v>
      </c>
      <c r="AM175" s="828">
        <v>143886</v>
      </c>
      <c r="AN175" s="828">
        <v>144415</v>
      </c>
      <c r="AO175" s="828">
        <v>202168</v>
      </c>
      <c r="AP175" s="828">
        <v>258145</v>
      </c>
    </row>
    <row r="176" hidden="1">
      <c r="B176" s="829" t="s">
        <v>21</v>
      </c>
      <c r="C176" s="823">
        <v>0</v>
      </c>
      <c r="D176" s="823">
        <v>0</v>
      </c>
      <c r="E176" s="823">
        <v>0</v>
      </c>
      <c r="F176" s="823">
        <v>0</v>
      </c>
      <c r="G176" s="823">
        <v>0</v>
      </c>
      <c r="H176" s="823">
        <v>0</v>
      </c>
      <c r="I176" s="823">
        <v>0</v>
      </c>
      <c r="J176" s="823">
        <v>15945</v>
      </c>
      <c r="K176" s="823">
        <v>16570</v>
      </c>
      <c r="L176" s="823">
        <v>17123</v>
      </c>
      <c r="M176" s="823">
        <v>14227</v>
      </c>
      <c r="N176" s="823">
        <v>18425</v>
      </c>
      <c r="O176" s="823">
        <v>21001</v>
      </c>
      <c r="P176" s="823">
        <v>21508</v>
      </c>
      <c r="Q176" s="823">
        <v>21989</v>
      </c>
      <c r="R176" s="823">
        <v>21690</v>
      </c>
      <c r="S176" s="823">
        <v>20973</v>
      </c>
      <c r="T176" s="823">
        <v>20340</v>
      </c>
      <c r="U176" s="823">
        <v>20286</v>
      </c>
      <c r="V176" s="823">
        <v>20239</v>
      </c>
      <c r="W176" s="823">
        <v>20753</v>
      </c>
      <c r="X176" s="823">
        <v>20740</v>
      </c>
      <c r="Y176" s="823">
        <v>23628</v>
      </c>
      <c r="Z176" s="823">
        <v>23614</v>
      </c>
      <c r="AA176" s="823">
        <v>18552</v>
      </c>
      <c r="AB176" s="823">
        <v>18505</v>
      </c>
      <c r="AC176" s="825">
        <v>18135</v>
      </c>
      <c r="AD176" s="825">
        <v>16984</v>
      </c>
      <c r="AE176" s="825">
        <v>19921</v>
      </c>
      <c r="AF176" s="825">
        <v>19279</v>
      </c>
      <c r="AG176" s="825">
        <v>18170</v>
      </c>
      <c r="AH176" s="825">
        <v>0</v>
      </c>
      <c r="AI176" s="825">
        <v>0</v>
      </c>
      <c r="AJ176" s="825">
        <v>0</v>
      </c>
      <c r="AK176" s="825">
        <v>0</v>
      </c>
      <c r="AL176" s="825">
        <v>0</v>
      </c>
      <c r="AM176" s="825">
        <v>0</v>
      </c>
      <c r="AN176" s="825">
        <v>0</v>
      </c>
      <c r="AO176" s="825">
        <v>3678</v>
      </c>
      <c r="AP176" s="825">
        <v>8585</v>
      </c>
    </row>
    <row r="177" hidden="1" ht="12.75" customHeight="1">
      <c r="B177" s="826" t="s">
        <v>22</v>
      </c>
      <c r="C177" s="827">
        <v>574</v>
      </c>
      <c r="D177" s="827">
        <v>966</v>
      </c>
      <c r="E177" s="827">
        <v>160</v>
      </c>
      <c r="F177" s="827">
        <v>139</v>
      </c>
      <c r="G177" s="827">
        <v>1652</v>
      </c>
      <c r="H177" s="827">
        <v>1897</v>
      </c>
      <c r="I177" s="827">
        <v>1837</v>
      </c>
      <c r="J177" s="827">
        <v>2088</v>
      </c>
      <c r="K177" s="827">
        <v>2387</v>
      </c>
      <c r="L177" s="827">
        <v>1910</v>
      </c>
      <c r="M177" s="827">
        <v>4278</v>
      </c>
      <c r="N177" s="827">
        <v>22477</v>
      </c>
      <c r="O177" s="827">
        <v>20921</v>
      </c>
      <c r="P177" s="827">
        <v>20930</v>
      </c>
      <c r="Q177" s="827">
        <v>18562</v>
      </c>
      <c r="R177" s="827">
        <v>16627</v>
      </c>
      <c r="S177" s="827">
        <v>15993</v>
      </c>
      <c r="T177" s="827">
        <v>15885</v>
      </c>
      <c r="U177" s="827">
        <v>17250</v>
      </c>
      <c r="V177" s="827">
        <v>17262</v>
      </c>
      <c r="W177" s="827">
        <v>16803</v>
      </c>
      <c r="X177" s="827">
        <v>16788</v>
      </c>
      <c r="Y177" s="827">
        <v>15220</v>
      </c>
      <c r="Z177" s="827">
        <v>15197</v>
      </c>
      <c r="AA177" s="827">
        <v>13868</v>
      </c>
      <c r="AB177" s="827">
        <v>11109</v>
      </c>
      <c r="AC177" s="828">
        <v>11449</v>
      </c>
      <c r="AD177" s="828">
        <v>11418</v>
      </c>
      <c r="AE177" s="828">
        <v>14212</v>
      </c>
      <c r="AF177" s="828">
        <v>14161</v>
      </c>
      <c r="AG177" s="828">
        <v>11691</v>
      </c>
      <c r="AH177" s="828">
        <v>11684</v>
      </c>
      <c r="AI177" s="828">
        <v>14517</v>
      </c>
      <c r="AJ177" s="828">
        <v>14516</v>
      </c>
      <c r="AK177" s="828">
        <v>12452</v>
      </c>
      <c r="AL177" s="828">
        <v>12441</v>
      </c>
      <c r="AM177" s="828">
        <v>11977</v>
      </c>
      <c r="AN177" s="828">
        <v>11952</v>
      </c>
      <c r="AO177" s="828">
        <v>16885</v>
      </c>
      <c r="AP177" s="828">
        <v>16792</v>
      </c>
    </row>
    <row r="178" hidden="1">
      <c r="B178" s="829" t="s">
        <v>23</v>
      </c>
      <c r="C178" s="823">
        <v>15973</v>
      </c>
      <c r="D178" s="823">
        <v>15624</v>
      </c>
      <c r="E178" s="823">
        <v>21830</v>
      </c>
      <c r="F178" s="823">
        <v>21524</v>
      </c>
      <c r="G178" s="823">
        <v>23637</v>
      </c>
      <c r="H178" s="823">
        <v>23394</v>
      </c>
      <c r="I178" s="823">
        <v>18396</v>
      </c>
      <c r="J178" s="823">
        <v>18380</v>
      </c>
      <c r="K178" s="823">
        <v>17632</v>
      </c>
      <c r="L178" s="823">
        <v>17507</v>
      </c>
      <c r="M178" s="823">
        <v>16993</v>
      </c>
      <c r="N178" s="823">
        <v>16812</v>
      </c>
      <c r="O178" s="823">
        <v>14578</v>
      </c>
      <c r="P178" s="823">
        <v>14212</v>
      </c>
      <c r="Q178" s="823">
        <v>15223</v>
      </c>
      <c r="R178" s="823">
        <v>14546</v>
      </c>
      <c r="S178" s="823">
        <v>18042</v>
      </c>
      <c r="T178" s="823">
        <v>17202</v>
      </c>
      <c r="U178" s="823">
        <v>16573</v>
      </c>
      <c r="V178" s="823">
        <v>16573</v>
      </c>
      <c r="W178" s="823">
        <v>18155</v>
      </c>
      <c r="X178" s="823">
        <v>18126</v>
      </c>
      <c r="Y178" s="823">
        <v>20858</v>
      </c>
      <c r="Z178" s="823">
        <v>20733</v>
      </c>
      <c r="AA178" s="823">
        <v>21107</v>
      </c>
      <c r="AB178" s="823">
        <v>20885</v>
      </c>
      <c r="AC178" s="825">
        <v>18475</v>
      </c>
      <c r="AD178" s="825">
        <v>18371</v>
      </c>
      <c r="AE178" s="825">
        <v>16324</v>
      </c>
      <c r="AF178" s="825">
        <v>16222</v>
      </c>
      <c r="AG178" s="825">
        <v>16804</v>
      </c>
      <c r="AH178" s="825">
        <v>16744</v>
      </c>
      <c r="AI178" s="825">
        <v>17279</v>
      </c>
      <c r="AJ178" s="825">
        <v>17229</v>
      </c>
      <c r="AK178" s="825">
        <v>14872</v>
      </c>
      <c r="AL178" s="825">
        <v>14861</v>
      </c>
      <c r="AM178" s="825">
        <v>13128</v>
      </c>
      <c r="AN178" s="825">
        <v>13048</v>
      </c>
      <c r="AO178" s="825">
        <v>0</v>
      </c>
      <c r="AP178" s="825">
        <v>0</v>
      </c>
    </row>
    <row r="179" hidden="1">
      <c r="B179" s="835" t="s">
        <v>24</v>
      </c>
      <c r="C179" s="827">
        <v>49531</v>
      </c>
      <c r="D179" s="827">
        <v>47679</v>
      </c>
      <c r="E179" s="827">
        <v>46138</v>
      </c>
      <c r="F179" s="827">
        <v>44073</v>
      </c>
      <c r="G179" s="827">
        <v>44034</v>
      </c>
      <c r="H179" s="827">
        <v>42975</v>
      </c>
      <c r="I179" s="827">
        <v>38382</v>
      </c>
      <c r="J179" s="827">
        <v>37297</v>
      </c>
      <c r="K179" s="827">
        <v>41848</v>
      </c>
      <c r="L179" s="827">
        <v>42768</v>
      </c>
      <c r="M179" s="827">
        <v>41848</v>
      </c>
      <c r="N179" s="827">
        <v>39457</v>
      </c>
      <c r="O179" s="827">
        <v>44527</v>
      </c>
      <c r="P179" s="827">
        <v>41917</v>
      </c>
      <c r="Q179" s="827">
        <v>53608</v>
      </c>
      <c r="R179" s="827">
        <v>52765</v>
      </c>
      <c r="S179" s="827">
        <v>42162</v>
      </c>
      <c r="T179" s="827">
        <v>37156</v>
      </c>
      <c r="U179" s="827">
        <v>43990</v>
      </c>
      <c r="V179" s="827">
        <v>41397</v>
      </c>
      <c r="W179" s="827">
        <v>40259</v>
      </c>
      <c r="X179" s="827">
        <v>39625</v>
      </c>
      <c r="Y179" s="827">
        <v>42697</v>
      </c>
      <c r="Z179" s="827">
        <v>40550</v>
      </c>
      <c r="AA179" s="827">
        <v>41424</v>
      </c>
      <c r="AB179" s="827">
        <v>40971</v>
      </c>
      <c r="AC179" s="828">
        <v>42385</v>
      </c>
      <c r="AD179" s="828">
        <v>40704</v>
      </c>
      <c r="AE179" s="828">
        <v>39285</v>
      </c>
      <c r="AF179" s="828">
        <v>38393</v>
      </c>
      <c r="AG179" s="828">
        <v>38871</v>
      </c>
      <c r="AH179" s="828">
        <v>36734</v>
      </c>
      <c r="AI179" s="828">
        <v>37743</v>
      </c>
      <c r="AJ179" s="828">
        <v>36610</v>
      </c>
      <c r="AK179" s="828">
        <v>36673</v>
      </c>
      <c r="AL179" s="828">
        <v>35288</v>
      </c>
      <c r="AM179" s="828">
        <v>35222</v>
      </c>
      <c r="AN179" s="828">
        <v>33718</v>
      </c>
      <c r="AO179" s="828">
        <v>36086</v>
      </c>
      <c r="AP179" s="828">
        <v>55470</v>
      </c>
    </row>
    <row r="180" hidden="1">
      <c r="B180" s="829" t="s">
        <v>25</v>
      </c>
      <c r="C180" s="823">
        <v>0</v>
      </c>
      <c r="D180" s="823">
        <v>0</v>
      </c>
      <c r="E180" s="823">
        <v>0</v>
      </c>
      <c r="F180" s="823">
        <v>0</v>
      </c>
      <c r="G180" s="823">
        <v>0</v>
      </c>
      <c r="H180" s="823">
        <v>0</v>
      </c>
      <c r="I180" s="823">
        <v>0</v>
      </c>
      <c r="J180" s="823">
        <v>0</v>
      </c>
      <c r="K180" s="823">
        <v>0</v>
      </c>
      <c r="L180" s="823">
        <v>0</v>
      </c>
      <c r="M180" s="823">
        <v>0</v>
      </c>
      <c r="N180" s="823">
        <v>0</v>
      </c>
      <c r="O180" s="823">
        <v>0</v>
      </c>
      <c r="P180" s="823">
        <v>0</v>
      </c>
      <c r="Q180" s="823">
        <v>0</v>
      </c>
      <c r="R180" s="823">
        <v>0</v>
      </c>
      <c r="S180" s="823">
        <v>0</v>
      </c>
      <c r="T180" s="823">
        <v>0</v>
      </c>
      <c r="U180" s="823">
        <v>0</v>
      </c>
      <c r="V180" s="823">
        <v>0</v>
      </c>
      <c r="W180" s="823">
        <v>0</v>
      </c>
      <c r="X180" s="823">
        <v>0</v>
      </c>
      <c r="Y180" s="823">
        <v>0</v>
      </c>
      <c r="Z180" s="823">
        <v>0</v>
      </c>
      <c r="AA180" s="823">
        <v>0</v>
      </c>
      <c r="AB180" s="823">
        <v>0</v>
      </c>
      <c r="AC180" s="825">
        <v>0</v>
      </c>
      <c r="AD180" s="825">
        <v>0</v>
      </c>
      <c r="AE180" s="825">
        <v>0</v>
      </c>
      <c r="AF180" s="825">
        <v>0</v>
      </c>
      <c r="AG180" s="825">
        <v>0</v>
      </c>
      <c r="AH180" s="825">
        <v>0</v>
      </c>
      <c r="AI180" s="825">
        <v>0</v>
      </c>
      <c r="AJ180" s="825">
        <v>0</v>
      </c>
      <c r="AK180" s="825">
        <v>0</v>
      </c>
      <c r="AL180" s="825">
        <v>0</v>
      </c>
      <c r="AM180" s="825">
        <v>0</v>
      </c>
      <c r="AN180" s="825">
        <v>0</v>
      </c>
      <c r="AO180" s="825">
        <v>0</v>
      </c>
      <c r="AP180" s="825">
        <v>0</v>
      </c>
    </row>
    <row r="181" hidden="1" ht="13.5">
      <c r="B181" s="836" t="s">
        <v>26</v>
      </c>
      <c r="C181" s="827">
        <v>0</v>
      </c>
      <c r="D181" s="827">
        <v>0</v>
      </c>
      <c r="E181" s="827">
        <v>0</v>
      </c>
      <c r="F181" s="827">
        <v>0</v>
      </c>
      <c r="G181" s="827">
        <v>0</v>
      </c>
      <c r="H181" s="827">
        <v>0</v>
      </c>
      <c r="I181" s="827">
        <v>0</v>
      </c>
      <c r="J181" s="827">
        <v>0</v>
      </c>
      <c r="K181" s="827">
        <v>0</v>
      </c>
      <c r="L181" s="827">
        <v>0</v>
      </c>
      <c r="M181" s="827">
        <v>0</v>
      </c>
      <c r="N181" s="827">
        <v>0</v>
      </c>
      <c r="O181" s="827">
        <v>0</v>
      </c>
      <c r="P181" s="827">
        <v>0</v>
      </c>
      <c r="Q181" s="827">
        <v>0</v>
      </c>
      <c r="R181" s="827">
        <v>0</v>
      </c>
      <c r="S181" s="827">
        <v>0</v>
      </c>
      <c r="T181" s="827">
        <v>0</v>
      </c>
      <c r="U181" s="827">
        <v>0</v>
      </c>
      <c r="V181" s="827">
        <v>0</v>
      </c>
      <c r="W181" s="827">
        <v>0</v>
      </c>
      <c r="X181" s="827">
        <v>0</v>
      </c>
      <c r="Y181" s="827">
        <v>0</v>
      </c>
      <c r="Z181" s="827">
        <v>0</v>
      </c>
      <c r="AA181" s="827">
        <v>0</v>
      </c>
      <c r="AB181" s="837">
        <v>0</v>
      </c>
      <c r="AC181" s="828">
        <v>0</v>
      </c>
      <c r="AD181" s="828">
        <v>0</v>
      </c>
      <c r="AE181" s="828">
        <v>0</v>
      </c>
      <c r="AF181" s="828">
        <v>0</v>
      </c>
      <c r="AG181" s="828">
        <v>0</v>
      </c>
      <c r="AH181" s="828">
        <v>0</v>
      </c>
      <c r="AI181" s="828">
        <v>0</v>
      </c>
      <c r="AJ181" s="828">
        <v>0</v>
      </c>
      <c r="AK181" s="828">
        <v>0</v>
      </c>
      <c r="AL181" s="828">
        <v>0</v>
      </c>
      <c r="AM181" s="828">
        <v>0</v>
      </c>
      <c r="AN181" s="828">
        <v>0</v>
      </c>
      <c r="AO181" s="828">
        <v>0</v>
      </c>
      <c r="AP181" s="828">
        <v>0</v>
      </c>
    </row>
    <row r="182" hidden="1" ht="13.5">
      <c r="B182" s="128" t="s">
        <v>7</v>
      </c>
      <c r="C182" s="129" t="str">
        <f>IF(SUM(C163:C181)&lt;&gt;0,SUM(C163:C181),"")</f>
      </c>
      <c r="D182" s="129" t="str">
        <f ref="D182:AA182" t="shared" si="5">IF(SUM(D163:D181)&lt;&gt;0,SUM(D163:D181),"")</f>
      </c>
      <c r="E182" s="129" t="str">
        <f t="shared" si="5"/>
      </c>
      <c r="F182" s="129" t="str">
        <f t="shared" si="5"/>
      </c>
      <c r="G182" s="129" t="str">
        <f t="shared" si="5"/>
      </c>
      <c r="H182" s="129" t="str">
        <f t="shared" si="5"/>
      </c>
      <c r="I182" s="129" t="str">
        <f t="shared" si="5"/>
      </c>
      <c r="J182" s="129" t="str">
        <f t="shared" si="5"/>
      </c>
      <c r="K182" s="129" t="str">
        <f t="shared" si="5"/>
      </c>
      <c r="L182" s="129" t="str">
        <f t="shared" si="5"/>
      </c>
      <c r="M182" s="129" t="str">
        <f t="shared" si="5"/>
      </c>
      <c r="N182" s="129" t="str">
        <f t="shared" si="5"/>
      </c>
      <c r="O182" s="129" t="str">
        <f t="shared" si="5"/>
      </c>
      <c r="P182" s="129" t="str">
        <f t="shared" si="5"/>
      </c>
      <c r="Q182" s="129" t="str">
        <f t="shared" si="5"/>
      </c>
      <c r="R182" s="129" t="str">
        <f t="shared" si="5"/>
      </c>
      <c r="S182" s="129" t="str">
        <f t="shared" si="5"/>
      </c>
      <c r="T182" s="129" t="str">
        <f t="shared" si="5"/>
      </c>
      <c r="U182" s="129" t="str">
        <f t="shared" si="5"/>
      </c>
      <c r="V182" s="129" t="str">
        <f t="shared" si="5"/>
      </c>
      <c r="W182" s="129" t="str">
        <f t="shared" si="5"/>
      </c>
      <c r="X182" s="129" t="str">
        <f t="shared" si="5"/>
      </c>
      <c r="Y182" s="129" t="str">
        <f t="shared" si="5"/>
      </c>
      <c r="Z182" s="129" t="str">
        <f t="shared" si="5"/>
      </c>
      <c r="AA182" s="129" t="str">
        <f t="shared" si="5"/>
      </c>
      <c r="AB182" s="130" t="str">
        <f>IF(SUM(AB163:AB181)&lt;&gt;0,SUM(AB163:AB181),"")</f>
      </c>
      <c r="AC182" s="91" t="str">
        <f ref="AC182:CN182" t="shared" si="6">IF(SUM(AC163:AC181)&lt;&gt;0,SUM(AC163:AC181),"")</f>
      </c>
      <c r="AD182" s="91" t="str">
        <f t="shared" si="6"/>
      </c>
      <c r="AE182" s="91" t="str">
        <f t="shared" si="6"/>
      </c>
      <c r="AF182" s="91" t="str">
        <f t="shared" si="6"/>
      </c>
      <c r="AG182" s="91" t="str">
        <f t="shared" si="6"/>
      </c>
      <c r="AH182" s="91" t="str">
        <f t="shared" si="6"/>
      </c>
      <c r="AI182" s="91" t="str">
        <f t="shared" si="6"/>
      </c>
      <c r="AJ182" s="91" t="str">
        <f t="shared" si="6"/>
      </c>
      <c r="AK182" s="91" t="str">
        <f t="shared" si="6"/>
      </c>
      <c r="AL182" s="91" t="str">
        <f t="shared" si="6"/>
      </c>
      <c r="AM182" s="91" t="str">
        <f t="shared" si="6"/>
      </c>
      <c r="AN182" s="91" t="str">
        <f t="shared" si="6"/>
      </c>
      <c r="AO182" s="91" t="str">
        <f t="shared" si="6"/>
      </c>
      <c r="AP182" s="91" t="str">
        <f t="shared" si="6"/>
      </c>
      <c r="AQ182" s="91" t="str">
        <f t="shared" si="6"/>
      </c>
      <c r="AR182" s="91" t="str">
        <f t="shared" si="6"/>
      </c>
      <c r="AS182" s="91" t="str">
        <f t="shared" si="6"/>
      </c>
      <c r="AT182" s="91" t="str">
        <f t="shared" si="6"/>
      </c>
      <c r="AU182" s="91" t="str">
        <f t="shared" si="6"/>
      </c>
      <c r="AV182" s="91" t="str">
        <f t="shared" si="6"/>
      </c>
      <c r="AW182" s="91" t="str">
        <f t="shared" si="6"/>
      </c>
      <c r="AX182" s="91" t="str">
        <f t="shared" si="6"/>
      </c>
      <c r="AY182" s="91" t="str">
        <f t="shared" si="6"/>
      </c>
      <c r="AZ182" s="91" t="str">
        <f t="shared" si="6"/>
      </c>
      <c r="BA182" s="91" t="str">
        <f t="shared" si="6"/>
      </c>
      <c r="BB182" s="91" t="str">
        <f t="shared" si="6"/>
      </c>
      <c r="BC182" s="91" t="str">
        <f t="shared" si="6"/>
      </c>
      <c r="BD182" s="91" t="str">
        <f t="shared" si="6"/>
      </c>
      <c r="BE182" s="91" t="str">
        <f t="shared" si="6"/>
      </c>
      <c r="BF182" s="91" t="str">
        <f t="shared" si="6"/>
      </c>
      <c r="BG182" s="91" t="str">
        <f t="shared" si="6"/>
      </c>
      <c r="BH182" s="91" t="str">
        <f t="shared" si="6"/>
      </c>
      <c r="BI182" s="91" t="str">
        <f t="shared" si="6"/>
      </c>
      <c r="BJ182" s="91" t="str">
        <f t="shared" si="6"/>
      </c>
      <c r="BK182" s="91" t="str">
        <f t="shared" si="6"/>
      </c>
      <c r="BL182" s="91" t="str">
        <f t="shared" si="6"/>
      </c>
      <c r="BM182" s="91" t="str">
        <f t="shared" si="6"/>
      </c>
      <c r="BN182" s="91" t="str">
        <f t="shared" si="6"/>
      </c>
      <c r="BO182" s="91" t="str">
        <f t="shared" si="6"/>
      </c>
      <c r="BP182" s="91" t="str">
        <f t="shared" si="6"/>
      </c>
      <c r="BQ182" s="91" t="str">
        <f t="shared" si="6"/>
      </c>
      <c r="BR182" s="91" t="str">
        <f t="shared" si="6"/>
      </c>
      <c r="BS182" s="91" t="str">
        <f t="shared" si="6"/>
      </c>
      <c r="BT182" s="91" t="str">
        <f t="shared" si="6"/>
      </c>
      <c r="BU182" s="91" t="str">
        <f t="shared" si="6"/>
      </c>
      <c r="BV182" s="91" t="str">
        <f t="shared" si="6"/>
      </c>
      <c r="BW182" s="91" t="str">
        <f t="shared" si="6"/>
      </c>
      <c r="BX182" s="91" t="str">
        <f t="shared" si="6"/>
      </c>
      <c r="BY182" s="91" t="str">
        <f t="shared" si="6"/>
      </c>
      <c r="BZ182" s="91" t="str">
        <f t="shared" si="6"/>
      </c>
      <c r="CA182" s="91" t="str">
        <f t="shared" si="6"/>
      </c>
      <c r="CB182" s="91" t="str">
        <f t="shared" si="6"/>
      </c>
      <c r="CC182" s="91" t="str">
        <f t="shared" si="6"/>
      </c>
      <c r="CD182" s="91" t="str">
        <f t="shared" si="6"/>
      </c>
      <c r="CE182" s="91" t="str">
        <f t="shared" si="6"/>
      </c>
      <c r="CF182" s="91" t="str">
        <f t="shared" si="6"/>
      </c>
      <c r="CG182" s="91" t="str">
        <f t="shared" si="6"/>
      </c>
      <c r="CH182" s="91" t="str">
        <f t="shared" si="6"/>
      </c>
      <c r="CI182" s="91" t="str">
        <f t="shared" si="6"/>
      </c>
      <c r="CJ182" s="91" t="str">
        <f t="shared" si="6"/>
      </c>
      <c r="CK182" s="91" t="str">
        <f t="shared" si="6"/>
      </c>
      <c r="CL182" s="91" t="str">
        <f t="shared" si="6"/>
      </c>
      <c r="CM182" s="91" t="str">
        <f t="shared" si="6"/>
      </c>
      <c r="CN182" s="91" t="str">
        <f t="shared" si="6"/>
      </c>
      <c r="CO182" s="91" t="str">
        <f ref="CO182:EZ182" t="shared" si="7">IF(SUM(CO163:CO181)&lt;&gt;0,SUM(CO163:CO181),"")</f>
      </c>
      <c r="CP182" s="91" t="str">
        <f t="shared" si="7"/>
      </c>
      <c r="CQ182" s="91" t="str">
        <f t="shared" si="7"/>
      </c>
      <c r="CR182" s="91" t="str">
        <f t="shared" si="7"/>
      </c>
      <c r="CS182" s="91" t="str">
        <f t="shared" si="7"/>
      </c>
      <c r="CT182" s="91" t="str">
        <f t="shared" si="7"/>
      </c>
      <c r="CU182" s="91" t="str">
        <f t="shared" si="7"/>
      </c>
      <c r="CV182" s="91" t="str">
        <f t="shared" si="7"/>
      </c>
      <c r="CW182" s="91" t="str">
        <f t="shared" si="7"/>
      </c>
      <c r="CX182" s="91" t="str">
        <f t="shared" si="7"/>
      </c>
      <c r="CY182" s="91" t="str">
        <f t="shared" si="7"/>
      </c>
      <c r="CZ182" s="91" t="str">
        <f t="shared" si="7"/>
      </c>
      <c r="DA182" s="91" t="str">
        <f t="shared" si="7"/>
      </c>
      <c r="DB182" s="91" t="str">
        <f t="shared" si="7"/>
      </c>
      <c r="DC182" s="91" t="str">
        <f t="shared" si="7"/>
      </c>
      <c r="DD182" s="91" t="str">
        <f t="shared" si="7"/>
      </c>
      <c r="DE182" s="91" t="str">
        <f t="shared" si="7"/>
      </c>
      <c r="DF182" s="91" t="str">
        <f t="shared" si="7"/>
      </c>
      <c r="DG182" s="91" t="str">
        <f t="shared" si="7"/>
      </c>
      <c r="DH182" s="91" t="str">
        <f t="shared" si="7"/>
      </c>
      <c r="DI182" s="91" t="str">
        <f t="shared" si="7"/>
      </c>
      <c r="DJ182" s="91" t="str">
        <f t="shared" si="7"/>
      </c>
      <c r="DK182" s="91" t="str">
        <f t="shared" si="7"/>
      </c>
      <c r="DL182" s="91" t="str">
        <f t="shared" si="7"/>
      </c>
      <c r="DM182" s="91" t="str">
        <f t="shared" si="7"/>
      </c>
      <c r="DN182" s="91" t="str">
        <f t="shared" si="7"/>
      </c>
      <c r="DO182" s="91" t="str">
        <f t="shared" si="7"/>
      </c>
      <c r="DP182" s="91" t="str">
        <f t="shared" si="7"/>
      </c>
      <c r="DQ182" s="91" t="str">
        <f t="shared" si="7"/>
      </c>
      <c r="DR182" s="91" t="str">
        <f t="shared" si="7"/>
      </c>
      <c r="DS182" s="91" t="str">
        <f t="shared" si="7"/>
      </c>
      <c r="DT182" s="91" t="str">
        <f t="shared" si="7"/>
      </c>
      <c r="DU182" s="91" t="str">
        <f t="shared" si="7"/>
      </c>
      <c r="DV182" s="91" t="str">
        <f t="shared" si="7"/>
      </c>
      <c r="DW182" s="91" t="str">
        <f t="shared" si="7"/>
      </c>
      <c r="DX182" s="91" t="str">
        <f t="shared" si="7"/>
      </c>
      <c r="DY182" s="91" t="str">
        <f t="shared" si="7"/>
      </c>
      <c r="DZ182" s="91" t="str">
        <f t="shared" si="7"/>
      </c>
      <c r="EA182" s="91" t="str">
        <f t="shared" si="7"/>
      </c>
      <c r="EB182" s="91" t="str">
        <f t="shared" si="7"/>
      </c>
      <c r="EC182" s="91" t="str">
        <f t="shared" si="7"/>
      </c>
      <c r="ED182" s="91" t="str">
        <f t="shared" si="7"/>
      </c>
      <c r="EE182" s="91" t="str">
        <f t="shared" si="7"/>
      </c>
      <c r="EF182" s="91" t="str">
        <f t="shared" si="7"/>
      </c>
      <c r="EG182" s="91" t="str">
        <f t="shared" si="7"/>
      </c>
      <c r="EH182" s="91" t="str">
        <f t="shared" si="7"/>
      </c>
      <c r="EI182" s="91" t="str">
        <f t="shared" si="7"/>
      </c>
      <c r="EJ182" s="91" t="str">
        <f t="shared" si="7"/>
      </c>
      <c r="EK182" s="91" t="str">
        <f t="shared" si="7"/>
      </c>
      <c r="EL182" s="91" t="str">
        <f t="shared" si="7"/>
      </c>
      <c r="EM182" s="91" t="str">
        <f t="shared" si="7"/>
      </c>
      <c r="EN182" s="91" t="str">
        <f t="shared" si="7"/>
      </c>
      <c r="EO182" s="91" t="str">
        <f t="shared" si="7"/>
      </c>
      <c r="EP182" s="91" t="str">
        <f t="shared" si="7"/>
      </c>
      <c r="EQ182" s="91" t="str">
        <f t="shared" si="7"/>
      </c>
      <c r="ER182" s="91" t="str">
        <f t="shared" si="7"/>
      </c>
      <c r="ES182" s="91" t="str">
        <f t="shared" si="7"/>
      </c>
      <c r="ET182" s="91" t="str">
        <f t="shared" si="7"/>
      </c>
      <c r="EU182" s="91" t="str">
        <f t="shared" si="7"/>
      </c>
      <c r="EV182" s="91" t="str">
        <f t="shared" si="7"/>
      </c>
      <c r="EW182" s="91" t="str">
        <f t="shared" si="7"/>
      </c>
      <c r="EX182" s="91" t="str">
        <f t="shared" si="7"/>
      </c>
      <c r="EY182" s="91" t="str">
        <f t="shared" si="7"/>
      </c>
      <c r="EZ182" s="91" t="str">
        <f t="shared" si="7"/>
      </c>
      <c r="FA182" s="91" t="str">
        <f ref="FA182:HL182" t="shared" si="8">IF(SUM(FA163:FA181)&lt;&gt;0,SUM(FA163:FA181),"")</f>
      </c>
      <c r="FB182" s="91" t="str">
        <f t="shared" si="8"/>
      </c>
      <c r="FC182" s="91" t="str">
        <f t="shared" si="8"/>
      </c>
      <c r="FD182" s="91" t="str">
        <f t="shared" si="8"/>
      </c>
      <c r="FE182" s="91" t="str">
        <f t="shared" si="8"/>
      </c>
      <c r="FF182" s="91" t="str">
        <f t="shared" si="8"/>
      </c>
      <c r="FG182" s="91" t="str">
        <f t="shared" si="8"/>
      </c>
      <c r="FH182" s="91" t="str">
        <f t="shared" si="8"/>
      </c>
      <c r="FI182" s="91" t="str">
        <f t="shared" si="8"/>
      </c>
      <c r="FJ182" s="91" t="str">
        <f t="shared" si="8"/>
      </c>
      <c r="FK182" s="91" t="str">
        <f t="shared" si="8"/>
      </c>
      <c r="FL182" s="91" t="str">
        <f t="shared" si="8"/>
      </c>
      <c r="FM182" s="91" t="str">
        <f t="shared" si="8"/>
      </c>
      <c r="FN182" s="91" t="str">
        <f t="shared" si="8"/>
      </c>
      <c r="FO182" s="91" t="str">
        <f t="shared" si="8"/>
      </c>
      <c r="FP182" s="91" t="str">
        <f t="shared" si="8"/>
      </c>
      <c r="FQ182" s="91" t="str">
        <f t="shared" si="8"/>
      </c>
      <c r="FR182" s="91" t="str">
        <f t="shared" si="8"/>
      </c>
      <c r="FS182" s="91" t="str">
        <f t="shared" si="8"/>
      </c>
      <c r="FT182" s="91" t="str">
        <f t="shared" si="8"/>
      </c>
      <c r="FU182" s="91" t="str">
        <f t="shared" si="8"/>
      </c>
      <c r="FV182" s="91" t="str">
        <f t="shared" si="8"/>
      </c>
      <c r="FW182" s="91" t="str">
        <f t="shared" si="8"/>
      </c>
      <c r="FX182" s="91" t="str">
        <f t="shared" si="8"/>
      </c>
      <c r="FY182" s="91" t="str">
        <f t="shared" si="8"/>
      </c>
      <c r="FZ182" s="91" t="str">
        <f t="shared" si="8"/>
      </c>
      <c r="GA182" s="91" t="str">
        <f t="shared" si="8"/>
      </c>
      <c r="GB182" s="91" t="str">
        <f t="shared" si="8"/>
      </c>
      <c r="GC182" s="91" t="str">
        <f t="shared" si="8"/>
      </c>
      <c r="GD182" s="91" t="str">
        <f t="shared" si="8"/>
      </c>
      <c r="GE182" s="91" t="str">
        <f t="shared" si="8"/>
      </c>
      <c r="GF182" s="91" t="str">
        <f t="shared" si="8"/>
      </c>
      <c r="GG182" s="91" t="str">
        <f t="shared" si="8"/>
      </c>
      <c r="GH182" s="91" t="str">
        <f t="shared" si="8"/>
      </c>
      <c r="GI182" s="91" t="str">
        <f t="shared" si="8"/>
      </c>
      <c r="GJ182" s="91" t="str">
        <f t="shared" si="8"/>
      </c>
      <c r="GK182" s="91" t="str">
        <f t="shared" si="8"/>
      </c>
      <c r="GL182" s="91" t="str">
        <f t="shared" si="8"/>
      </c>
      <c r="GM182" s="91" t="str">
        <f t="shared" si="8"/>
      </c>
      <c r="GN182" s="91" t="str">
        <f t="shared" si="8"/>
      </c>
      <c r="GO182" s="91" t="str">
        <f t="shared" si="8"/>
      </c>
      <c r="GP182" s="91" t="str">
        <f t="shared" si="8"/>
      </c>
      <c r="GQ182" s="91" t="str">
        <f t="shared" si="8"/>
      </c>
      <c r="GR182" s="91" t="str">
        <f t="shared" si="8"/>
      </c>
      <c r="GS182" s="91" t="str">
        <f t="shared" si="8"/>
      </c>
      <c r="GT182" s="91" t="str">
        <f t="shared" si="8"/>
      </c>
      <c r="GU182" s="91" t="str">
        <f t="shared" si="8"/>
      </c>
      <c r="GV182" s="91" t="str">
        <f t="shared" si="8"/>
      </c>
      <c r="GW182" s="91" t="str">
        <f t="shared" si="8"/>
      </c>
      <c r="GX182" s="91" t="str">
        <f t="shared" si="8"/>
      </c>
      <c r="GY182" s="91" t="str">
        <f t="shared" si="8"/>
      </c>
      <c r="GZ182" s="91" t="str">
        <f t="shared" si="8"/>
      </c>
      <c r="HA182" s="91" t="str">
        <f t="shared" si="8"/>
      </c>
      <c r="HB182" s="91" t="str">
        <f t="shared" si="8"/>
      </c>
      <c r="HC182" s="91" t="str">
        <f t="shared" si="8"/>
      </c>
      <c r="HD182" s="91" t="str">
        <f t="shared" si="8"/>
      </c>
      <c r="HE182" s="91" t="str">
        <f t="shared" si="8"/>
      </c>
      <c r="HF182" s="91" t="str">
        <f t="shared" si="8"/>
      </c>
      <c r="HG182" s="91" t="str">
        <f t="shared" si="8"/>
      </c>
      <c r="HH182" s="91" t="str">
        <f t="shared" si="8"/>
      </c>
      <c r="HI182" s="91" t="str">
        <f t="shared" si="8"/>
      </c>
      <c r="HJ182" s="91" t="str">
        <f t="shared" si="8"/>
      </c>
      <c r="HK182" s="91" t="str">
        <f t="shared" si="8"/>
      </c>
      <c r="HL182" s="91" t="str">
        <f t="shared" si="8"/>
      </c>
      <c r="HM182" s="91" t="str">
        <f ref="HM182:IV182" t="shared" si="9">IF(SUM(HM163:HM181)&lt;&gt;0,SUM(HM163:HM181),"")</f>
      </c>
      <c r="HN182" s="91" t="str">
        <f t="shared" si="9"/>
      </c>
      <c r="HO182" s="91" t="str">
        <f t="shared" si="9"/>
      </c>
      <c r="HP182" s="91" t="str">
        <f t="shared" si="9"/>
      </c>
      <c r="HQ182" s="91" t="str">
        <f t="shared" si="9"/>
      </c>
      <c r="HR182" s="91" t="str">
        <f t="shared" si="9"/>
      </c>
      <c r="HS182" s="91" t="str">
        <f t="shared" si="9"/>
      </c>
      <c r="HT182" s="91" t="str">
        <f t="shared" si="9"/>
      </c>
      <c r="HU182" s="91" t="str">
        <f t="shared" si="9"/>
      </c>
      <c r="HV182" s="91" t="str">
        <f t="shared" si="9"/>
      </c>
      <c r="HW182" s="91" t="str">
        <f t="shared" si="9"/>
      </c>
      <c r="HX182" s="91" t="str">
        <f t="shared" si="9"/>
      </c>
      <c r="HY182" s="91" t="str">
        <f t="shared" si="9"/>
      </c>
      <c r="HZ182" s="91" t="str">
        <f t="shared" si="9"/>
      </c>
      <c r="IA182" s="91" t="str">
        <f t="shared" si="9"/>
      </c>
      <c r="IB182" s="91" t="str">
        <f t="shared" si="9"/>
      </c>
      <c r="IC182" s="91" t="str">
        <f t="shared" si="9"/>
      </c>
      <c r="ID182" s="91" t="str">
        <f t="shared" si="9"/>
      </c>
      <c r="IE182" s="91" t="str">
        <f t="shared" si="9"/>
      </c>
      <c r="IF182" s="91" t="str">
        <f t="shared" si="9"/>
      </c>
      <c r="IG182" s="91" t="str">
        <f t="shared" si="9"/>
      </c>
      <c r="IH182" s="91" t="str">
        <f t="shared" si="9"/>
      </c>
      <c r="II182" s="91" t="str">
        <f t="shared" si="9"/>
      </c>
      <c r="IJ182" s="91" t="str">
        <f t="shared" si="9"/>
      </c>
      <c r="IK182" s="91" t="str">
        <f t="shared" si="9"/>
      </c>
      <c r="IL182" s="91" t="str">
        <f t="shared" si="9"/>
      </c>
      <c r="IM182" s="91" t="str">
        <f t="shared" si="9"/>
      </c>
      <c r="IN182" s="91" t="str">
        <f t="shared" si="9"/>
      </c>
      <c r="IO182" s="91" t="str">
        <f t="shared" si="9"/>
      </c>
      <c r="IP182" s="91" t="str">
        <f t="shared" si="9"/>
      </c>
      <c r="IQ182" s="91" t="str">
        <f t="shared" si="9"/>
      </c>
      <c r="IR182" s="91" t="str">
        <f t="shared" si="9"/>
      </c>
      <c r="IS182" s="91" t="str">
        <f t="shared" si="9"/>
      </c>
      <c r="IT182" s="91" t="str">
        <f t="shared" si="9"/>
      </c>
      <c r="IU182" s="91" t="str">
        <f t="shared" si="9"/>
      </c>
      <c r="IV182" s="91" t="str">
        <f t="shared" si="9"/>
      </c>
    </row>
    <row r="183" hidden="1" ht="13.5">
      <c r="N183" s="284"/>
    </row>
    <row r="184" hidden="1" ht="13.5" customHeight="1">
      <c r="A184" s="50"/>
      <c r="B184" s="50"/>
      <c r="C184" s="686" t="s">
        <v>237</v>
      </c>
      <c r="D184" s="687"/>
      <c r="E184" s="687"/>
      <c r="F184" s="687"/>
      <c r="G184" s="687"/>
      <c r="H184" s="687"/>
      <c r="I184" s="687"/>
      <c r="J184" s="687"/>
      <c r="K184" s="687"/>
      <c r="L184" s="687"/>
      <c r="M184" s="687"/>
      <c r="N184" s="687"/>
      <c r="O184" s="687"/>
      <c r="P184" s="687"/>
      <c r="Q184" s="687"/>
      <c r="R184" s="687"/>
      <c r="S184" s="687"/>
      <c r="T184" s="687"/>
      <c r="U184" s="687"/>
      <c r="V184" s="687"/>
      <c r="W184" s="687"/>
      <c r="X184" s="687"/>
      <c r="Y184" s="687"/>
      <c r="Z184" s="687"/>
      <c r="AA184" s="687"/>
      <c r="AB184" s="688"/>
    </row>
    <row r="185" hidden="1" ht="12.75" customHeight="1">
      <c r="A185" s="91"/>
      <c r="C185" s="435" t="str">
        <f> IF(C205&lt;&gt;"",TEXT(AUX!G$1,"dd-MMM-aa"),"")</f>
      </c>
      <c r="D185" s="435" t="str">
        <f> IF(D205&lt;&gt;"",TEXT(AUX!H$1,"dd-MMM-aa"),"")</f>
      </c>
      <c r="E185" s="435" t="str">
        <f> IF(E205&lt;&gt;"",TEXT(AUX!I$1,"dd-MMM-aa"),"")</f>
      </c>
      <c r="F185" s="435" t="str">
        <f> IF(F205&lt;&gt;"",TEXT(AUX!J$1,"dd-MMM-aa"),"")</f>
      </c>
      <c r="G185" s="435" t="str">
        <f> IF(G205&lt;&gt;"",TEXT(AUX!K$1,"dd-MMM-aa"),"")</f>
      </c>
      <c r="H185" s="435" t="str">
        <f> IF(H205&lt;&gt;"",TEXT(AUX!L$1,"dd-MMM-aa"),"")</f>
      </c>
      <c r="I185" s="435" t="str">
        <f> IF(I205&lt;&gt;"",TEXT(AUX!M$1,"dd-MMM-aa"),"")</f>
      </c>
      <c r="J185" s="435" t="str">
        <f> IF(J205&lt;&gt;"",TEXT(AUX!N$1,"dd-MMM-aa"),"")</f>
      </c>
      <c r="K185" s="435" t="str">
        <f> IF(K205&lt;&gt;"",TEXT(AUX!O$1,"dd-MMM-aa"),"")</f>
      </c>
      <c r="L185" s="435" t="str">
        <f> IF(L205&lt;&gt;"",TEXT(AUX!P$1,"dd-MMM-aa"),"")</f>
      </c>
      <c r="M185" s="435" t="str">
        <f> IF(M205&lt;&gt;"",TEXT(AUX!Q$1,"dd-MMM-aa"),"")</f>
      </c>
      <c r="N185" s="435" t="str">
        <f> IF(N205&lt;&gt;"",TEXT(AUX!R$1,"dd-MMM-aa"),"")</f>
      </c>
      <c r="O185" s="435" t="str">
        <f> IF(O205&lt;&gt;"",TEXT(AUX!S$1,"dd-MMM-aa"),"")</f>
      </c>
      <c r="P185" s="435" t="str">
        <f> IF(P205&lt;&gt;"",TEXT(AUX!T$1,"dd-MMM-aa"),"")</f>
      </c>
      <c r="Q185" s="435" t="str">
        <f> IF(Q205&lt;&gt;"",TEXT(AUX!U$1,"dd-MMM-aa"),"")</f>
      </c>
      <c r="R185" s="435" t="str">
        <f> IF(R205&lt;&gt;"",TEXT(AUX!V$1,"dd-MMM-aa"),"")</f>
      </c>
      <c r="S185" s="435" t="str">
        <f> IF(S205&lt;&gt;"",TEXT(AUX!W$1,"dd-MMM-aa"),"")</f>
      </c>
      <c r="T185" s="435" t="str">
        <f> IF(T205&lt;&gt;"",TEXT(AUX!X$1,"dd-MMM-aa"),"")</f>
      </c>
      <c r="U185" s="435" t="str">
        <f> IF(U205&lt;&gt;"",TEXT(AUX!Y$1,"dd-MMM-aa"),"")</f>
      </c>
      <c r="V185" s="435" t="str">
        <f> IF(V205&lt;&gt;"",TEXT(AUX!Z$1,"dd-MMM-aa"),"")</f>
      </c>
      <c r="W185" s="435" t="str">
        <f> IF(W205&lt;&gt;"",TEXT(AUX!AA$1,"dd-MMM-aa"),"")</f>
      </c>
      <c r="X185" s="435" t="str">
        <f> IF(X205&lt;&gt;"",TEXT(AUX!AB$1,"dd-MMM-aa"),"")</f>
      </c>
      <c r="Y185" s="435" t="str">
        <f> IF(Y205&lt;&gt;"",TEXT(AUX!AC$1,"dd-MMM-aa"),"")</f>
      </c>
      <c r="Z185" s="435" t="str">
        <f> IF(Z205&lt;&gt;"",TEXT(AUX!AD$1,"dd-MMM-aa"),"")</f>
      </c>
      <c r="AA185" s="435" t="str">
        <f> IF(AA205&lt;&gt;"",TEXT(AUX!AE$1,"dd-MMM-aa"),"")</f>
      </c>
      <c r="AB185" s="497" t="str">
        <f> IF(AB205&lt;&gt;"",TEXT(AUX!AF$1,"dd-MMM-aa"),"")</f>
      </c>
      <c r="AC185" s="496" t="str">
        <f> IF(AC205&lt;&gt;"",TEXT(AUX!AG$1,"dd-MMM-aa"),"")</f>
      </c>
      <c r="AD185" s="496" t="str">
        <f> IF(AD205&lt;&gt;"",TEXT(AUX!AH$1,"dd-MMM-aa"),"")</f>
      </c>
      <c r="AE185" s="496" t="str">
        <f> IF(AE205&lt;&gt;"",TEXT(AUX!AI$1,"dd-MMM-aa"),"")</f>
      </c>
      <c r="AF185" s="496" t="str">
        <f> IF(AF205&lt;&gt;"",TEXT(AUX!AJ$1,"dd-MMM-aa"),"")</f>
      </c>
      <c r="AG185" s="496" t="str">
        <f> IF(AG205&lt;&gt;"",TEXT(AUX!AK$1,"dd-MMM-aa"),"")</f>
      </c>
      <c r="AH185" s="496" t="str">
        <f> IF(AH205&lt;&gt;"",TEXT(AUX!AL$1,"dd-MMM-aa"),"")</f>
      </c>
      <c r="AI185" s="496" t="str">
        <f> IF(AI205&lt;&gt;"",TEXT(AUX!AM$1,"dd-MMM-aa"),"")</f>
      </c>
      <c r="AJ185" s="496" t="str">
        <f> IF(AJ205&lt;&gt;"",TEXT(AUX!AN$1,"dd-MMM-aa"),"")</f>
      </c>
      <c r="AK185" s="496" t="str">
        <f> IF(AK205&lt;&gt;"",TEXT(AUX!AO$1,"dd-MMM-aa"),"")</f>
      </c>
      <c r="AL185" s="496" t="str">
        <f> IF(AL205&lt;&gt;"",TEXT(AUX!AP$1,"dd-MMM-aa"),"")</f>
      </c>
      <c r="AM185" s="496" t="str">
        <f> IF(AM205&lt;&gt;"",TEXT(AUX!AQ$1,"dd-MMM-aa"),"")</f>
      </c>
      <c r="AN185" s="496" t="str">
        <f> IF(AN205&lt;&gt;"",TEXT(AUX!AR$1,"dd-MMM-aa"),"")</f>
      </c>
      <c r="AO185" s="496" t="str">
        <f> IF(AO205&lt;&gt;"",TEXT(AUX!AS$1,"dd-MMM-aa"),"")</f>
      </c>
      <c r="AP185" s="496" t="str">
        <f> IF(AP205&lt;&gt;"",TEXT(AUX!AT$1,"dd-MMM-aa"),"")</f>
      </c>
      <c r="AQ185" s="496" t="str">
        <f> IF(AQ205&lt;&gt;"",TEXT(AUX!AU$1,"dd-MMM-aa"),"")</f>
      </c>
      <c r="AR185" s="496" t="str">
        <f> IF(AR205&lt;&gt;"",TEXT(AUX!AV$1,"dd-MMM-aa"),"")</f>
      </c>
      <c r="AS185" s="496" t="str">
        <f> IF(AS205&lt;&gt;"",TEXT(AUX!AW$1,"dd-MMM-aa"),"")</f>
      </c>
      <c r="AT185" s="496" t="str">
        <f> IF(AT205&lt;&gt;"",TEXT(AUX!AX$1,"dd-MMM-aa"),"")</f>
      </c>
      <c r="AU185" s="496" t="str">
        <f> IF(AU205&lt;&gt;"",TEXT(AUX!AY$1,"dd-MMM-aa"),"")</f>
      </c>
      <c r="AV185" s="496" t="str">
        <f> IF(AV205&lt;&gt;"",TEXT(AUX!AZ$1,"dd-MMM-aa"),"")</f>
      </c>
      <c r="AW185" s="496" t="str">
        <f> IF(AW205&lt;&gt;"",TEXT(AUX!BA$1,"dd-MMM-aa"),"")</f>
      </c>
      <c r="AX185" s="496" t="str">
        <f> IF(AX205&lt;&gt;"",TEXT(AUX!BB$1,"dd-MMM-aa"),"")</f>
      </c>
      <c r="AY185" s="496" t="str">
        <f> IF(AY205&lt;&gt;"",TEXT(AUX!BC$1,"dd-MMM-aa"),"")</f>
      </c>
      <c r="AZ185" s="496" t="str">
        <f> IF(AZ205&lt;&gt;"",TEXT(AUX!BD$1,"dd-MMM-aa"),"")</f>
      </c>
      <c r="BA185" s="496" t="str">
        <f> IF(BA205&lt;&gt;"",TEXT(AUX!BE$1,"dd-MMM-aa"),"")</f>
      </c>
      <c r="BB185" s="496" t="str">
        <f> IF(BB205&lt;&gt;"",TEXT(AUX!BF$1,"dd-MMM-aa"),"")</f>
      </c>
      <c r="BC185" s="496" t="str">
        <f> IF(BC205&lt;&gt;"",TEXT(AUX!BG$1,"dd-MMM-aa"),"")</f>
      </c>
      <c r="BD185" s="496" t="str">
        <f> IF(BD205&lt;&gt;"",TEXT(AUX!BH$1,"dd-MMM-aa"),"")</f>
      </c>
      <c r="BE185" s="496" t="str">
        <f> IF(BE205&lt;&gt;"",TEXT(AUX!BI$1,"dd-MMM-aa"),"")</f>
      </c>
      <c r="BF185" s="496" t="str">
        <f> IF(BF205&lt;&gt;"",TEXT(AUX!BJ$1,"dd-MMM-aa"),"")</f>
      </c>
      <c r="BG185" s="496" t="str">
        <f> IF(BG205&lt;&gt;"",TEXT(AUX!BK$1,"dd-MMM-aa"),"")</f>
      </c>
      <c r="BH185" s="496" t="str">
        <f> IF(BH205&lt;&gt;"",TEXT(AUX!BL$1,"dd-MMM-aa"),"")</f>
      </c>
      <c r="BI185" s="496" t="str">
        <f> IF(BI205&lt;&gt;"",TEXT(AUX!BM$1,"dd-MMM-aa"),"")</f>
      </c>
      <c r="BJ185" s="496" t="str">
        <f> IF(BJ205&lt;&gt;"",TEXT(AUX!BN$1,"dd-MMM-aa"),"")</f>
      </c>
      <c r="BK185" s="496" t="str">
        <f> IF(BK205&lt;&gt;"",TEXT(AUX!BO$1,"dd-MMM-aa"),"")</f>
      </c>
      <c r="BL185" s="496" t="str">
        <f> IF(BL205&lt;&gt;"",TEXT(AUX!BP$1,"dd-MMM-aa"),"")</f>
      </c>
      <c r="BM185" s="496" t="str">
        <f> IF(BM205&lt;&gt;"",TEXT(AUX!BQ$1,"dd-MMM-aa"),"")</f>
      </c>
      <c r="BN185" s="496" t="str">
        <f> IF(BN205&lt;&gt;"",TEXT(AUX!BR$1,"dd-MMM-aa"),"")</f>
      </c>
      <c r="BO185" s="496" t="str">
        <f> IF(BO205&lt;&gt;"",TEXT(AUX!BS$1,"dd-MMM-aa"),"")</f>
      </c>
      <c r="BP185" s="496" t="str">
        <f> IF(BP205&lt;&gt;"",TEXT(AUX!BT$1,"dd-MMM-aa"),"")</f>
      </c>
      <c r="BQ185" s="496" t="str">
        <f> IF(BQ205&lt;&gt;"",TEXT(AUX!BU$1,"dd-MMM-aa"),"")</f>
      </c>
      <c r="BR185" s="496" t="str">
        <f> IF(BR205&lt;&gt;"",TEXT(AUX!BV$1,"dd-MMM-aa"),"")</f>
      </c>
      <c r="BS185" s="496" t="str">
        <f> IF(BS205&lt;&gt;"",TEXT(AUX!BW$1,"dd-MMM-aa"),"")</f>
      </c>
      <c r="BT185" s="496" t="str">
        <f> IF(BT205&lt;&gt;"",TEXT(AUX!BX$1,"dd-MMM-aa"),"")</f>
      </c>
      <c r="BU185" s="496" t="str">
        <f> IF(BU205&lt;&gt;"",TEXT(AUX!BY$1,"dd-MMM-aa"),"")</f>
      </c>
      <c r="BV185" s="496" t="str">
        <f> IF(BV205&lt;&gt;"",TEXT(AUX!BZ$1,"dd-MMM-aa"),"")</f>
      </c>
      <c r="BW185" s="496" t="str">
        <f> IF(BW205&lt;&gt;"",TEXT(AUX!CA$1,"dd-MMM-aa"),"")</f>
      </c>
      <c r="BX185" s="496" t="str">
        <f> IF(BX205&lt;&gt;"",TEXT(AUX!CB$1,"dd-MMM-aa"),"")</f>
      </c>
      <c r="BY185" s="496" t="str">
        <f> IF(BY205&lt;&gt;"",TEXT(AUX!CC$1,"dd-MMM-aa"),"")</f>
      </c>
      <c r="BZ185" s="496" t="str">
        <f> IF(BZ205&lt;&gt;"",TEXT(AUX!CD$1,"dd-MMM-aa"),"")</f>
      </c>
      <c r="CA185" s="496" t="str">
        <f> IF(CA205&lt;&gt;"",TEXT(AUX!CE$1,"dd-MMM-aa"),"")</f>
      </c>
      <c r="CB185" s="496" t="str">
        <f> IF(CB205&lt;&gt;"",TEXT(AUX!CF$1,"dd-MMM-aa"),"")</f>
      </c>
      <c r="CC185" s="496" t="str">
        <f> IF(CC205&lt;&gt;"",TEXT(AUX!CG$1,"dd-MMM-aa"),"")</f>
      </c>
      <c r="CD185" s="496" t="str">
        <f> IF(CD205&lt;&gt;"",TEXT(AUX!CH$1,"dd-MMM-aa"),"")</f>
      </c>
      <c r="CE185" s="496" t="str">
        <f> IF(CE205&lt;&gt;"",TEXT(AUX!CI$1,"dd-MMM-aa"),"")</f>
      </c>
      <c r="CF185" s="496" t="str">
        <f> IF(CF205&lt;&gt;"",TEXT(AUX!CJ$1,"dd-MMM-aa"),"")</f>
      </c>
      <c r="CG185" s="496" t="str">
        <f> IF(CG205&lt;&gt;"",TEXT(AUX!CK$1,"dd-MMM-aa"),"")</f>
      </c>
      <c r="CH185" s="496" t="str">
        <f> IF(CH205&lt;&gt;"",TEXT(AUX!CL$1,"dd-MMM-aa"),"")</f>
      </c>
      <c r="CI185" s="496" t="str">
        <f> IF(CI205&lt;&gt;"",TEXT(AUX!CM$1,"dd-MMM-aa"),"")</f>
      </c>
      <c r="CJ185" s="496" t="str">
        <f> IF(CJ205&lt;&gt;"",TEXT(AUX!CN$1,"dd-MMM-aa"),"")</f>
      </c>
      <c r="CK185" s="496" t="str">
        <f> IF(CK205&lt;&gt;"",TEXT(AUX!CO$1,"dd-MMM-aa"),"")</f>
      </c>
      <c r="CL185" s="496" t="str">
        <f> IF(CL205&lt;&gt;"",TEXT(AUX!CP$1,"dd-MMM-aa"),"")</f>
      </c>
      <c r="CM185" s="496" t="str">
        <f> IF(CM205&lt;&gt;"",TEXT(AUX!CQ$1,"dd-MMM-aa"),"")</f>
      </c>
      <c r="CN185" s="496" t="str">
        <f> IF(CN205&lt;&gt;"",TEXT(AUX!CR$1,"dd-MMM-aa"),"")</f>
      </c>
      <c r="CO185" s="496" t="str">
        <f> IF(CO205&lt;&gt;"",TEXT(AUX!CS$1,"dd-MMM-aa"),"")</f>
      </c>
      <c r="CP185" s="496" t="str">
        <f> IF(CP205&lt;&gt;"",TEXT(AUX!CT$1,"dd-MMM-aa"),"")</f>
      </c>
      <c r="CQ185" s="496" t="str">
        <f> IF(CQ205&lt;&gt;"",TEXT(AUX!CU$1,"dd-MMM-aa"),"")</f>
      </c>
      <c r="CR185" s="496" t="str">
        <f> IF(CR205&lt;&gt;"",TEXT(AUX!CV$1,"dd-MMM-aa"),"")</f>
      </c>
      <c r="CS185" s="496" t="str">
        <f> IF(CS205&lt;&gt;"",TEXT(AUX!CW$1,"dd-MMM-aa"),"")</f>
      </c>
      <c r="CT185" s="496" t="str">
        <f> IF(CT205&lt;&gt;"",TEXT(AUX!CX$1,"dd-MMM-aa"),"")</f>
      </c>
      <c r="CU185" s="496" t="str">
        <f> IF(CU205&lt;&gt;"",TEXT(AUX!CY$1,"dd-MMM-aa"),"")</f>
      </c>
      <c r="CV185" s="496" t="str">
        <f> IF(CV205&lt;&gt;"",TEXT(AUX!CZ$1,"dd-MMM-aa"),"")</f>
      </c>
      <c r="CW185" s="496" t="str">
        <f> IF(CW205&lt;&gt;"",TEXT(AUX!DA$1,"dd-MMM-aa"),"")</f>
      </c>
      <c r="CX185" s="496" t="str">
        <f> IF(CX205&lt;&gt;"",TEXT(AUX!DB$1,"dd-MMM-aa"),"")</f>
      </c>
      <c r="CY185" s="496" t="str">
        <f> IF(CY205&lt;&gt;"",TEXT(AUX!DC$1,"dd-MMM-aa"),"")</f>
      </c>
      <c r="CZ185" s="496" t="str">
        <f> IF(CZ205&lt;&gt;"",TEXT(AUX!DD$1,"dd-MMM-aa"),"")</f>
      </c>
      <c r="DA185" s="496" t="str">
        <f> IF(DA205&lt;&gt;"",TEXT(AUX!DE$1,"dd-MMM-aa"),"")</f>
      </c>
      <c r="DB185" s="496" t="str">
        <f> IF(DB205&lt;&gt;"",TEXT(AUX!DF$1,"dd-MMM-aa"),"")</f>
      </c>
      <c r="DC185" s="496" t="str">
        <f> IF(DC205&lt;&gt;"",TEXT(AUX!DG$1,"dd-MMM-aa"),"")</f>
      </c>
      <c r="DD185" s="496" t="str">
        <f> IF(DD205&lt;&gt;"",TEXT(AUX!DH$1,"dd-MMM-aa"),"")</f>
      </c>
      <c r="DE185" s="496" t="str">
        <f> IF(DE205&lt;&gt;"",TEXT(AUX!DI$1,"dd-MMM-aa"),"")</f>
      </c>
      <c r="DF185" s="496" t="str">
        <f> IF(DF205&lt;&gt;"",TEXT(AUX!DJ$1,"dd-MMM-aa"),"")</f>
      </c>
      <c r="DG185" s="496" t="str">
        <f> IF(DG205&lt;&gt;"",TEXT(AUX!DK$1,"dd-MMM-aa"),"")</f>
      </c>
      <c r="DH185" s="496" t="str">
        <f> IF(DH205&lt;&gt;"",TEXT(AUX!DL$1,"dd-MMM-aa"),"")</f>
      </c>
      <c r="DI185" s="496" t="str">
        <f> IF(DI205&lt;&gt;"",TEXT(AUX!DM$1,"dd-MMM-aa"),"")</f>
      </c>
      <c r="DJ185" s="496" t="str">
        <f> IF(DJ205&lt;&gt;"",TEXT(AUX!DN$1,"dd-MMM-aa"),"")</f>
      </c>
      <c r="DK185" s="496" t="str">
        <f> IF(DK205&lt;&gt;"",TEXT(AUX!DO$1,"dd-MMM-aa"),"")</f>
      </c>
      <c r="DL185" s="496" t="str">
        <f> IF(DL205&lt;&gt;"",TEXT(AUX!DP$1,"dd-MMM-aa"),"")</f>
      </c>
      <c r="DM185" s="496" t="str">
        <f> IF(DM205&lt;&gt;"",TEXT(AUX!DQ$1,"dd-MMM-aa"),"")</f>
      </c>
      <c r="DN185" s="496" t="str">
        <f> IF(DN205&lt;&gt;"",TEXT(AUX!DR$1,"dd-MMM-aa"),"")</f>
      </c>
      <c r="DO185" s="496" t="str">
        <f> IF(DO205&lt;&gt;"",TEXT(AUX!DS$1,"dd-MMM-aa"),"")</f>
      </c>
      <c r="DP185" s="496" t="str">
        <f> IF(DP205&lt;&gt;"",TEXT(AUX!DT$1,"dd-MMM-aa"),"")</f>
      </c>
      <c r="DQ185" s="496" t="str">
        <f> IF(DQ205&lt;&gt;"",TEXT(AUX!DU$1,"dd-MMM-aa"),"")</f>
      </c>
      <c r="DR185" s="496" t="str">
        <f> IF(DR205&lt;&gt;"",TEXT(AUX!DV$1,"dd-MMM-aa"),"")</f>
      </c>
      <c r="DS185" s="496" t="str">
        <f> IF(DS205&lt;&gt;"",TEXT(AUX!DW$1,"dd-MMM-aa"),"")</f>
      </c>
      <c r="DT185" s="496" t="str">
        <f> IF(DT205&lt;&gt;"",TEXT(AUX!DX$1,"dd-MMM-aa"),"")</f>
      </c>
      <c r="DU185" s="496" t="str">
        <f> IF(DU205&lt;&gt;"",TEXT(AUX!DY$1,"dd-MMM-aa"),"")</f>
      </c>
      <c r="DV185" s="496" t="str">
        <f> IF(DV205&lt;&gt;"",TEXT(AUX!DZ$1,"dd-MMM-aa"),"")</f>
      </c>
      <c r="DW185" s="496" t="str">
        <f> IF(DW205&lt;&gt;"",TEXT(AUX!EA$1,"dd-MMM-aa"),"")</f>
      </c>
      <c r="DX185" s="496" t="str">
        <f> IF(DX205&lt;&gt;"",TEXT(AUX!EB$1,"dd-MMM-aa"),"")</f>
      </c>
      <c r="DY185" s="496" t="str">
        <f> IF(DY205&lt;&gt;"",TEXT(AUX!EC$1,"dd-MMM-aa"),"")</f>
      </c>
      <c r="DZ185" s="496" t="str">
        <f> IF(DZ205&lt;&gt;"",TEXT(AUX!ED$1,"dd-MMM-aa"),"")</f>
      </c>
      <c r="EA185" s="496" t="str">
        <f> IF(EA205&lt;&gt;"",TEXT(AUX!EE$1,"dd-MMM-aa"),"")</f>
      </c>
      <c r="EB185" s="496" t="str">
        <f> IF(EB205&lt;&gt;"",TEXT(AUX!EF$1,"dd-MMM-aa"),"")</f>
      </c>
      <c r="EC185" s="496" t="str">
        <f> IF(EC205&lt;&gt;"",TEXT(AUX!EG$1,"dd-MMM-aa"),"")</f>
      </c>
      <c r="ED185" s="496" t="str">
        <f> IF(ED205&lt;&gt;"",TEXT(AUX!EH$1,"dd-MMM-aa"),"")</f>
      </c>
      <c r="EE185" s="496" t="str">
        <f> IF(EE205&lt;&gt;"",TEXT(AUX!EI$1,"dd-MMM-aa"),"")</f>
      </c>
      <c r="EF185" s="496" t="str">
        <f> IF(EF205&lt;&gt;"",TEXT(AUX!EJ$1,"dd-MMM-aa"),"")</f>
      </c>
      <c r="EG185" s="496" t="str">
        <f> IF(EG205&lt;&gt;"",TEXT(AUX!EK$1,"dd-MMM-aa"),"")</f>
      </c>
      <c r="EH185" s="496" t="str">
        <f> IF(EH205&lt;&gt;"",TEXT(AUX!EL$1,"dd-MMM-aa"),"")</f>
      </c>
      <c r="EI185" s="496" t="str">
        <f> IF(EI205&lt;&gt;"",TEXT(AUX!EM$1,"dd-MMM-aa"),"")</f>
      </c>
      <c r="EJ185" s="496" t="str">
        <f> IF(EJ205&lt;&gt;"",TEXT(AUX!EN$1,"dd-MMM-aa"),"")</f>
      </c>
      <c r="EK185" s="496" t="str">
        <f> IF(EK205&lt;&gt;"",TEXT(AUX!EO$1,"dd-MMM-aa"),"")</f>
      </c>
      <c r="EL185" s="496" t="str">
        <f> IF(EL205&lt;&gt;"",TEXT(AUX!EP$1,"dd-MMM-aa"),"")</f>
      </c>
      <c r="EM185" s="496" t="str">
        <f> IF(EM205&lt;&gt;"",TEXT(AUX!EQ$1,"dd-MMM-aa"),"")</f>
      </c>
      <c r="EN185" s="496" t="str">
        <f> IF(EN205&lt;&gt;"",TEXT(AUX!ER$1,"dd-MMM-aa"),"")</f>
      </c>
      <c r="EO185" s="496" t="str">
        <f> IF(EO205&lt;&gt;"",TEXT(AUX!ES$1,"dd-MMM-aa"),"")</f>
      </c>
      <c r="EP185" s="496" t="str">
        <f> IF(EP205&lt;&gt;"",TEXT(AUX!ET$1,"dd-MMM-aa"),"")</f>
      </c>
      <c r="EQ185" s="496" t="str">
        <f> IF(EQ205&lt;&gt;"",TEXT(AUX!EU$1,"dd-MMM-aa"),"")</f>
      </c>
      <c r="ER185" s="496" t="str">
        <f> IF(ER205&lt;&gt;"",TEXT(AUX!EV$1,"dd-MMM-aa"),"")</f>
      </c>
      <c r="ES185" s="496" t="str">
        <f> IF(ES205&lt;&gt;"",TEXT(AUX!EW$1,"dd-MMM-aa"),"")</f>
      </c>
      <c r="ET185" s="496" t="str">
        <f> IF(ET205&lt;&gt;"",TEXT(AUX!EX$1,"dd-MMM-aa"),"")</f>
      </c>
      <c r="EU185" s="496" t="str">
        <f> IF(EU205&lt;&gt;"",TEXT(AUX!EY$1,"dd-MMM-aa"),"")</f>
      </c>
      <c r="EV185" s="496" t="str">
        <f> IF(EV205&lt;&gt;"",TEXT(AUX!EZ$1,"dd-MMM-aa"),"")</f>
      </c>
      <c r="EW185" s="496" t="str">
        <f> IF(EW205&lt;&gt;"",TEXT(AUX!FA$1,"dd-MMM-aa"),"")</f>
      </c>
      <c r="EX185" s="496" t="str">
        <f> IF(EX205&lt;&gt;"",TEXT(AUX!FB$1,"dd-MMM-aa"),"")</f>
      </c>
      <c r="EY185" s="496" t="str">
        <f> IF(EY205&lt;&gt;"",TEXT(AUX!FC$1,"dd-MMM-aa"),"")</f>
      </c>
      <c r="EZ185" s="496" t="str">
        <f> IF(EZ205&lt;&gt;"",TEXT(AUX!FD$1,"dd-MMM-aa"),"")</f>
      </c>
      <c r="FA185" s="496" t="str">
        <f> IF(FA205&lt;&gt;"",TEXT(AUX!FE$1,"dd-MMM-aa"),"")</f>
      </c>
      <c r="FB185" s="496" t="str">
        <f> IF(FB205&lt;&gt;"",TEXT(AUX!FF$1,"dd-MMM-aa"),"")</f>
      </c>
      <c r="FC185" s="496" t="str">
        <f> IF(FC205&lt;&gt;"",TEXT(AUX!FG$1,"dd-MMM-aa"),"")</f>
      </c>
      <c r="FD185" s="496" t="str">
        <f> IF(FD205&lt;&gt;"",TEXT(AUX!FH$1,"dd-MMM-aa"),"")</f>
      </c>
      <c r="FE185" s="496" t="str">
        <f> IF(FE205&lt;&gt;"",TEXT(AUX!FI$1,"dd-MMM-aa"),"")</f>
      </c>
      <c r="FF185" s="496" t="str">
        <f> IF(FF205&lt;&gt;"",TEXT(AUX!FJ$1,"dd-MMM-aa"),"")</f>
      </c>
      <c r="FG185" s="496" t="str">
        <f> IF(FG205&lt;&gt;"",TEXT(AUX!FK$1,"dd-MMM-aa"),"")</f>
      </c>
      <c r="FH185" s="496" t="str">
        <f> IF(FH205&lt;&gt;"",TEXT(AUX!FL$1,"dd-MMM-aa"),"")</f>
      </c>
      <c r="FI185" s="496" t="str">
        <f> IF(FI205&lt;&gt;"",TEXT(AUX!FM$1,"dd-MMM-aa"),"")</f>
      </c>
      <c r="FJ185" s="496" t="str">
        <f> IF(FJ205&lt;&gt;"",TEXT(AUX!FN$1,"dd-MMM-aa"),"")</f>
      </c>
      <c r="FK185" s="496" t="str">
        <f> IF(FK205&lt;&gt;"",TEXT(AUX!FO$1,"dd-MMM-aa"),"")</f>
      </c>
      <c r="FL185" s="496" t="str">
        <f> IF(FL205&lt;&gt;"",TEXT(AUX!FP$1,"dd-MMM-aa"),"")</f>
      </c>
      <c r="FM185" s="496" t="str">
        <f> IF(FM205&lt;&gt;"",TEXT(AUX!FQ$1,"dd-MMM-aa"),"")</f>
      </c>
      <c r="FN185" s="496" t="str">
        <f> IF(FN205&lt;&gt;"",TEXT(AUX!FR$1,"dd-MMM-aa"),"")</f>
      </c>
      <c r="FO185" s="496" t="str">
        <f> IF(FO205&lt;&gt;"",TEXT(AUX!FS$1,"dd-MMM-aa"),"")</f>
      </c>
      <c r="FP185" s="496" t="str">
        <f> IF(FP205&lt;&gt;"",TEXT(AUX!FT$1,"dd-MMM-aa"),"")</f>
      </c>
      <c r="FQ185" s="496" t="str">
        <f> IF(FQ205&lt;&gt;"",TEXT(AUX!FU$1,"dd-MMM-aa"),"")</f>
      </c>
      <c r="FR185" s="496" t="str">
        <f> IF(FR205&lt;&gt;"",TEXT(AUX!FV$1,"dd-MMM-aa"),"")</f>
      </c>
      <c r="FS185" s="496" t="str">
        <f> IF(FS205&lt;&gt;"",TEXT(AUX!FW$1,"dd-MMM-aa"),"")</f>
      </c>
      <c r="FT185" s="496" t="str">
        <f> IF(FT205&lt;&gt;"",TEXT(AUX!FX$1,"dd-MMM-aa"),"")</f>
      </c>
      <c r="FU185" s="496" t="str">
        <f> IF(FU205&lt;&gt;"",TEXT(AUX!FY$1,"dd-MMM-aa"),"")</f>
      </c>
      <c r="FV185" s="496" t="str">
        <f> IF(FV205&lt;&gt;"",TEXT(AUX!FZ$1,"dd-MMM-aa"),"")</f>
      </c>
      <c r="FW185" s="496" t="str">
        <f> IF(FW205&lt;&gt;"",TEXT(AUX!GA$1,"dd-MMM-aa"),"")</f>
      </c>
      <c r="FX185" s="496" t="str">
        <f> IF(FX205&lt;&gt;"",TEXT(AUX!GB$1,"dd-MMM-aa"),"")</f>
      </c>
      <c r="FY185" s="496" t="str">
        <f> IF(FY205&lt;&gt;"",TEXT(AUX!GC$1,"dd-MMM-aa"),"")</f>
      </c>
      <c r="FZ185" s="496" t="str">
        <f> IF(FZ205&lt;&gt;"",TEXT(AUX!GD$1,"dd-MMM-aa"),"")</f>
      </c>
      <c r="GA185" s="496" t="str">
        <f> IF(GA205&lt;&gt;"",TEXT(AUX!GE$1,"dd-MMM-aa"),"")</f>
      </c>
      <c r="GB185" s="496" t="str">
        <f> IF(GB205&lt;&gt;"",TEXT(AUX!GF$1,"dd-MMM-aa"),"")</f>
      </c>
      <c r="GC185" s="496" t="str">
        <f> IF(GC205&lt;&gt;"",TEXT(AUX!GG$1,"dd-MMM-aa"),"")</f>
      </c>
      <c r="GD185" s="496" t="str">
        <f> IF(GD205&lt;&gt;"",TEXT(AUX!GH$1,"dd-MMM-aa"),"")</f>
      </c>
      <c r="GE185" s="496" t="str">
        <f> IF(GE205&lt;&gt;"",TEXT(AUX!GI$1,"dd-MMM-aa"),"")</f>
      </c>
      <c r="GF185" s="496" t="str">
        <f> IF(GF205&lt;&gt;"",TEXT(AUX!GJ$1,"dd-MMM-aa"),"")</f>
      </c>
      <c r="GG185" s="496" t="str">
        <f> IF(GG205&lt;&gt;"",TEXT(AUX!GK$1,"dd-MMM-aa"),"")</f>
      </c>
      <c r="GH185" s="496" t="str">
        <f> IF(GH205&lt;&gt;"",TEXT(AUX!GL$1,"dd-MMM-aa"),"")</f>
      </c>
      <c r="GI185" s="496" t="str">
        <f> IF(GI205&lt;&gt;"",TEXT(AUX!GM$1,"dd-MMM-aa"),"")</f>
      </c>
      <c r="GJ185" s="496" t="str">
        <f> IF(GJ205&lt;&gt;"",TEXT(AUX!GN$1,"dd-MMM-aa"),"")</f>
      </c>
      <c r="GK185" s="496" t="str">
        <f> IF(GK205&lt;&gt;"",TEXT(AUX!GO$1,"dd-MMM-aa"),"")</f>
      </c>
      <c r="GL185" s="496" t="str">
        <f> IF(GL205&lt;&gt;"",TEXT(AUX!GP$1,"dd-MMM-aa"),"")</f>
      </c>
      <c r="GM185" s="496" t="str">
        <f> IF(GM205&lt;&gt;"",TEXT(AUX!GQ$1,"dd-MMM-aa"),"")</f>
      </c>
      <c r="GN185" s="496" t="str">
        <f> IF(GN205&lt;&gt;"",TEXT(AUX!GR$1,"dd-MMM-aa"),"")</f>
      </c>
      <c r="GO185" s="496" t="str">
        <f> IF(GO205&lt;&gt;"",TEXT(AUX!GS$1,"dd-MMM-aa"),"")</f>
      </c>
      <c r="GP185" s="496" t="str">
        <f> IF(GP205&lt;&gt;"",TEXT(AUX!GT$1,"dd-MMM-aa"),"")</f>
      </c>
      <c r="GQ185" s="496" t="str">
        <f> IF(GQ205&lt;&gt;"",TEXT(AUX!GU$1,"dd-MMM-aa"),"")</f>
      </c>
      <c r="GR185" s="496" t="str">
        <f> IF(GR205&lt;&gt;"",TEXT(AUX!GV$1,"dd-MMM-aa"),"")</f>
      </c>
      <c r="GS185" s="496" t="str">
        <f> IF(GS205&lt;&gt;"",TEXT(AUX!GW$1,"dd-MMM-aa"),"")</f>
      </c>
      <c r="GT185" s="496" t="str">
        <f> IF(GT205&lt;&gt;"",TEXT(AUX!GX$1,"dd-MMM-aa"),"")</f>
      </c>
      <c r="GU185" s="496" t="str">
        <f> IF(GU205&lt;&gt;"",TEXT(AUX!GY$1,"dd-MMM-aa"),"")</f>
      </c>
      <c r="GV185" s="496" t="str">
        <f> IF(GV205&lt;&gt;"",TEXT(AUX!GZ$1,"dd-MMM-aa"),"")</f>
      </c>
      <c r="GW185" s="496" t="str">
        <f> IF(GW205&lt;&gt;"",TEXT(AUX!HA$1,"dd-MMM-aa"),"")</f>
      </c>
      <c r="GX185" s="496" t="str">
        <f> IF(GX205&lt;&gt;"",TEXT(AUX!HB$1,"dd-MMM-aa"),"")</f>
      </c>
      <c r="GY185" s="496" t="str">
        <f> IF(GY205&lt;&gt;"",TEXT(AUX!HC$1,"dd-MMM-aa"),"")</f>
      </c>
      <c r="GZ185" s="496" t="str">
        <f> IF(GZ205&lt;&gt;"",TEXT(AUX!HD$1,"dd-MMM-aa"),"")</f>
      </c>
      <c r="HA185" s="496" t="str">
        <f> IF(HA205&lt;&gt;"",TEXT(AUX!HE$1,"dd-MMM-aa"),"")</f>
      </c>
      <c r="HB185" s="496" t="str">
        <f> IF(HB205&lt;&gt;"",TEXT(AUX!HF$1,"dd-MMM-aa"),"")</f>
      </c>
      <c r="HC185" s="496" t="str">
        <f> IF(HC205&lt;&gt;"",TEXT(AUX!HG$1,"dd-MMM-aa"),"")</f>
      </c>
      <c r="HD185" s="496" t="str">
        <f> IF(HD205&lt;&gt;"",TEXT(AUX!HH$1,"dd-MMM-aa"),"")</f>
      </c>
      <c r="HE185" s="496" t="str">
        <f> IF(HE205&lt;&gt;"",TEXT(AUX!HI$1,"dd-MMM-aa"),"")</f>
      </c>
      <c r="HF185" s="496" t="str">
        <f> IF(HF205&lt;&gt;"",TEXT(AUX!HJ$1,"dd-MMM-aa"),"")</f>
      </c>
      <c r="HG185" s="496" t="str">
        <f> IF(HG205&lt;&gt;"",TEXT(AUX!HK$1,"dd-MMM-aa"),"")</f>
      </c>
      <c r="HH185" s="496" t="str">
        <f> IF(HH205&lt;&gt;"",TEXT(AUX!HL$1,"dd-MMM-aa"),"")</f>
      </c>
      <c r="HI185" s="496" t="str">
        <f> IF(HI205&lt;&gt;"",TEXT(AUX!HM$1,"dd-MMM-aa"),"")</f>
      </c>
      <c r="HJ185" s="496" t="str">
        <f> IF(HJ205&lt;&gt;"",TEXT(AUX!HN$1,"dd-MMM-aa"),"")</f>
      </c>
      <c r="HK185" s="496" t="str">
        <f> IF(HK205&lt;&gt;"",TEXT(AUX!HO$1,"dd-MMM-aa"),"")</f>
      </c>
      <c r="HL185" s="496" t="str">
        <f> IF(HL205&lt;&gt;"",TEXT(AUX!HP$1,"dd-MMM-aa"),"")</f>
      </c>
      <c r="HM185" s="496" t="str">
        <f> IF(HM205&lt;&gt;"",TEXT(AUX!HQ$1,"dd-MMM-aa"),"")</f>
      </c>
      <c r="HN185" s="496" t="str">
        <f> IF(HN205&lt;&gt;"",TEXT(AUX!HR$1,"dd-MMM-aa"),"")</f>
      </c>
      <c r="HO185" s="496" t="str">
        <f> IF(HO205&lt;&gt;"",TEXT(AUX!HS$1,"dd-MMM-aa"),"")</f>
      </c>
      <c r="HP185" s="496" t="str">
        <f> IF(HP205&lt;&gt;"",TEXT(AUX!HT$1,"dd-MMM-aa"),"")</f>
      </c>
      <c r="HQ185" s="496" t="str">
        <f> IF(HQ205&lt;&gt;"",TEXT(AUX!HU$1,"dd-MMM-aa"),"")</f>
      </c>
      <c r="HR185" s="496" t="str">
        <f> IF(HR205&lt;&gt;"",TEXT(AUX!HV$1,"dd-MMM-aa"),"")</f>
      </c>
      <c r="HS185" s="496" t="str">
        <f> IF(HS205&lt;&gt;"",TEXT(AUX!HW$1,"dd-MMM-aa"),"")</f>
      </c>
      <c r="HT185" s="496" t="str">
        <f> IF(HT205&lt;&gt;"",TEXT(AUX!HX$1,"dd-MMM-aa"),"")</f>
      </c>
      <c r="HU185" s="496" t="str">
        <f> IF(HU205&lt;&gt;"",TEXT(AUX!HY$1,"dd-MMM-aa"),"")</f>
      </c>
      <c r="HV185" s="496" t="str">
        <f> IF(HV205&lt;&gt;"",TEXT(AUX!HZ$1,"dd-MMM-aa"),"")</f>
      </c>
      <c r="HW185" s="496" t="str">
        <f> IF(HW205&lt;&gt;"",TEXT(AUX!IA$1,"dd-MMM-aa"),"")</f>
      </c>
      <c r="HX185" s="496" t="str">
        <f> IF(HX205&lt;&gt;"",TEXT(AUX!IB$1,"dd-MMM-aa"),"")</f>
      </c>
      <c r="HY185" s="496" t="str">
        <f> IF(HY205&lt;&gt;"",TEXT(AUX!IC$1,"dd-MMM-aa"),"")</f>
      </c>
      <c r="HZ185" s="496" t="str">
        <f> IF(HZ205&lt;&gt;"",TEXT(AUX!ID$1,"dd-MMM-aa"),"")</f>
      </c>
      <c r="IA185" s="496" t="str">
        <f> IF(IA205&lt;&gt;"",TEXT(AUX!IE$1,"dd-MMM-aa"),"")</f>
      </c>
      <c r="IB185" s="496" t="str">
        <f> IF(IB205&lt;&gt;"",TEXT(AUX!IF$1,"dd-MMM-aa"),"")</f>
      </c>
      <c r="IC185" s="496" t="str">
        <f> IF(IC205&lt;&gt;"",TEXT(AUX!IG$1,"dd-MMM-aa"),"")</f>
      </c>
      <c r="ID185" s="496" t="str">
        <f> IF(ID205&lt;&gt;"",TEXT(AUX!IH$1,"dd-MMM-aa"),"")</f>
      </c>
      <c r="IE185" s="496" t="str">
        <f> IF(IE205&lt;&gt;"",TEXT(AUX!II$1,"dd-MMM-aa"),"")</f>
      </c>
      <c r="IF185" s="496" t="str">
        <f> IF(IF205&lt;&gt;"",TEXT(AUX!IJ$1,"dd-MMM-aa"),"")</f>
      </c>
      <c r="IG185" s="496" t="str">
        <f> IF(IG205&lt;&gt;"",TEXT(AUX!IK$1,"dd-MMM-aa"),"")</f>
      </c>
      <c r="IH185" s="496" t="str">
        <f> IF(IH205&lt;&gt;"",TEXT(AUX!IL$1,"dd-MMM-aa"),"")</f>
      </c>
      <c r="II185" s="496" t="str">
        <f> IF(II205&lt;&gt;"",TEXT(AUX!IM$1,"dd-MMM-aa"),"")</f>
      </c>
      <c r="IJ185" s="496" t="str">
        <f> IF(IJ205&lt;&gt;"",TEXT(AUX!IN$1,"dd-MMM-aa"),"")</f>
      </c>
      <c r="IK185" s="496" t="str">
        <f> IF(IK205&lt;&gt;"",TEXT(AUX!IO$1,"dd-MMM-aa"),"")</f>
      </c>
      <c r="IL185" s="496" t="str">
        <f> IF(IL205&lt;&gt;"",TEXT(AUX!IP$1,"dd-MMM-aa"),"")</f>
      </c>
      <c r="IM185" s="496" t="str">
        <f> IF(IM205&lt;&gt;"",TEXT(AUX!IQ$1,"dd-MMM-aa"),"")</f>
      </c>
      <c r="IN185" s="496" t="str">
        <f> IF(IN205&lt;&gt;"",TEXT(AUX!IR$1,"dd-MMM-aa"),"")</f>
      </c>
      <c r="IO185" s="496" t="str">
        <f> IF(IO205&lt;&gt;"",TEXT(AUX!IS$1,"dd-MMM-aa"),"")</f>
      </c>
      <c r="IP185" s="496" t="str">
        <f> IF(IP205&lt;&gt;"",TEXT(AUX!IT$1,"dd-MMM-aa"),"")</f>
      </c>
      <c r="IQ185" s="496" t="str">
        <f> IF(IQ205&lt;&gt;"",TEXT(AUX!IU$1,"dd-MMM-aa"),"")</f>
      </c>
      <c r="IR185" s="496" t="str">
        <f> IF(IR205&lt;&gt;"",TEXT(AUX!IV$1,"dd-MMM-aa"),"")</f>
      </c>
      <c r="IS185" s="496" t="str">
        <f> IF(IS205&lt;&gt;"",TEXT(AUX!#REF!,"dd-MMM-aa"),"")</f>
      </c>
      <c r="IT185" s="496" t="str">
        <f> IF(IT205&lt;&gt;"",TEXT(AUX!#REF!,"dd-MMM-aa"),"")</f>
      </c>
      <c r="IU185" s="496" t="str">
        <f> IF(IU205&lt;&gt;"",TEXT(AUX!#REF!,"dd-MMM-aa"),"")</f>
      </c>
      <c r="IV185" s="496" t="str">
        <f> IF(IV205&lt;&gt;"",TEXT(AUX!#REF!,"dd-MMM-aa"),"")</f>
      </c>
    </row>
    <row r="186" hidden="1">
      <c r="B186" s="822" t="s">
        <v>8</v>
      </c>
      <c r="C186" s="823">
        <v>2780308</v>
      </c>
      <c r="D186" s="823">
        <v>2446110</v>
      </c>
      <c r="E186" s="823">
        <v>2418174</v>
      </c>
      <c r="F186" s="823">
        <v>2283523</v>
      </c>
      <c r="G186" s="823">
        <v>2203558</v>
      </c>
      <c r="H186" s="823">
        <v>2113753</v>
      </c>
      <c r="I186" s="823">
        <v>2062354</v>
      </c>
      <c r="J186" s="823">
        <v>1982353</v>
      </c>
      <c r="K186" s="823">
        <v>1919475</v>
      </c>
      <c r="L186" s="823">
        <v>1831172</v>
      </c>
      <c r="M186" s="823">
        <v>1780653</v>
      </c>
      <c r="N186" s="823">
        <v>1696956</v>
      </c>
      <c r="O186" s="823">
        <v>1663332</v>
      </c>
      <c r="P186" s="823">
        <v>1624764</v>
      </c>
      <c r="Q186" s="823">
        <v>1745847</v>
      </c>
      <c r="R186" s="823">
        <v>1716174</v>
      </c>
      <c r="S186" s="823">
        <v>1729230</v>
      </c>
      <c r="T186" s="823">
        <v>1697647</v>
      </c>
      <c r="U186" s="823">
        <v>1759470</v>
      </c>
      <c r="V186" s="823">
        <v>1715241</v>
      </c>
      <c r="W186" s="823">
        <v>1808546</v>
      </c>
      <c r="X186" s="823">
        <v>1801318</v>
      </c>
      <c r="Y186" s="823">
        <v>1831914</v>
      </c>
      <c r="Z186" s="823">
        <v>1833304</v>
      </c>
      <c r="AA186" s="823">
        <v>1867028</v>
      </c>
      <c r="AB186" s="824">
        <v>1844067</v>
      </c>
      <c r="AC186" s="825">
        <v>1848197</v>
      </c>
      <c r="AD186" s="825">
        <v>1876825</v>
      </c>
      <c r="AE186" s="825">
        <v>1868696</v>
      </c>
      <c r="AF186" s="825">
        <v>1876106</v>
      </c>
      <c r="AG186" s="825">
        <v>1825526</v>
      </c>
      <c r="AH186" s="825">
        <v>1774283</v>
      </c>
      <c r="AI186" s="825">
        <v>1762524</v>
      </c>
      <c r="AJ186" s="825">
        <v>1678816</v>
      </c>
      <c r="AK186" s="825">
        <v>1649164</v>
      </c>
      <c r="AL186" s="825">
        <v>1580203</v>
      </c>
      <c r="AM186" s="825">
        <v>1582273</v>
      </c>
      <c r="AN186" s="825">
        <v>1527420</v>
      </c>
      <c r="AO186" s="825">
        <v>1451438</v>
      </c>
      <c r="AP186" s="825">
        <v>1475196</v>
      </c>
    </row>
    <row r="187" hidden="1">
      <c r="B187" s="826" t="s">
        <v>9</v>
      </c>
      <c r="C187" s="827">
        <v>3940914</v>
      </c>
      <c r="D187" s="827">
        <v>3963724</v>
      </c>
      <c r="E187" s="827">
        <v>3950744</v>
      </c>
      <c r="F187" s="827">
        <v>3925975</v>
      </c>
      <c r="G187" s="827">
        <v>3841579</v>
      </c>
      <c r="H187" s="827">
        <v>3841579</v>
      </c>
      <c r="I187" s="827">
        <v>3735828</v>
      </c>
      <c r="J187" s="827">
        <v>3709950</v>
      </c>
      <c r="K187" s="827">
        <v>3390142</v>
      </c>
      <c r="L187" s="827">
        <v>1693065</v>
      </c>
      <c r="M187" s="827">
        <v>1577780</v>
      </c>
      <c r="N187" s="827">
        <v>1552037</v>
      </c>
      <c r="O187" s="827">
        <v>1552037</v>
      </c>
      <c r="P187" s="827">
        <v>1436310</v>
      </c>
      <c r="Q187" s="827">
        <v>1449047</v>
      </c>
      <c r="R187" s="827">
        <v>1408415</v>
      </c>
      <c r="S187" s="827">
        <v>1409132</v>
      </c>
      <c r="T187" s="827">
        <v>1366656</v>
      </c>
      <c r="U187" s="827">
        <v>1368453</v>
      </c>
      <c r="V187" s="827">
        <v>1319973</v>
      </c>
      <c r="W187" s="827">
        <v>1348406</v>
      </c>
      <c r="X187" s="827">
        <v>1298121</v>
      </c>
      <c r="Y187" s="827">
        <v>1327242</v>
      </c>
      <c r="Z187" s="827">
        <v>1286803</v>
      </c>
      <c r="AA187" s="827">
        <v>1305570</v>
      </c>
      <c r="AB187" s="827">
        <v>1251490</v>
      </c>
      <c r="AC187" s="828">
        <v>1279929</v>
      </c>
      <c r="AD187" s="828">
        <v>1223753</v>
      </c>
      <c r="AE187" s="828">
        <v>1263642</v>
      </c>
      <c r="AF187" s="828">
        <v>1191921</v>
      </c>
      <c r="AG187" s="828">
        <v>1207980</v>
      </c>
      <c r="AH187" s="828">
        <v>1154773</v>
      </c>
      <c r="AI187" s="828">
        <v>1158972</v>
      </c>
      <c r="AJ187" s="828">
        <v>1097143</v>
      </c>
      <c r="AK187" s="828">
        <v>1089983</v>
      </c>
      <c r="AL187" s="828">
        <v>1067069</v>
      </c>
      <c r="AM187" s="828">
        <v>1037010</v>
      </c>
      <c r="AN187" s="828">
        <v>1009235</v>
      </c>
      <c r="AO187" s="828">
        <v>903624</v>
      </c>
      <c r="AP187" s="828">
        <v>884291</v>
      </c>
    </row>
    <row r="188" hidden="1">
      <c r="B188" s="829" t="s">
        <v>10</v>
      </c>
      <c r="C188" s="823">
        <v>45588</v>
      </c>
      <c r="D188" s="823">
        <v>45857</v>
      </c>
      <c r="E188" s="823">
        <v>51022</v>
      </c>
      <c r="F188" s="823">
        <v>51021</v>
      </c>
      <c r="G188" s="823">
        <v>52057</v>
      </c>
      <c r="H188" s="823">
        <v>52039</v>
      </c>
      <c r="I188" s="823">
        <v>50641</v>
      </c>
      <c r="J188" s="823">
        <v>48629</v>
      </c>
      <c r="K188" s="823">
        <v>50201</v>
      </c>
      <c r="L188" s="823">
        <v>48415</v>
      </c>
      <c r="M188" s="823">
        <v>90717</v>
      </c>
      <c r="N188" s="823">
        <v>90744</v>
      </c>
      <c r="O188" s="823">
        <v>48781</v>
      </c>
      <c r="P188" s="823">
        <v>49547</v>
      </c>
      <c r="Q188" s="823">
        <v>55915</v>
      </c>
      <c r="R188" s="823">
        <v>50374</v>
      </c>
      <c r="S188" s="823">
        <v>50374</v>
      </c>
      <c r="T188" s="823">
        <v>50361</v>
      </c>
      <c r="U188" s="823">
        <v>48274</v>
      </c>
      <c r="V188" s="823">
        <v>46681</v>
      </c>
      <c r="W188" s="823">
        <v>47243</v>
      </c>
      <c r="X188" s="823">
        <v>45980</v>
      </c>
      <c r="Y188" s="823">
        <v>46726</v>
      </c>
      <c r="Z188" s="823">
        <v>46586</v>
      </c>
      <c r="AA188" s="823">
        <v>46738</v>
      </c>
      <c r="AB188" s="823">
        <v>56134</v>
      </c>
      <c r="AC188" s="825">
        <v>48969</v>
      </c>
      <c r="AD188" s="825">
        <v>48760</v>
      </c>
      <c r="AE188" s="825">
        <v>47433</v>
      </c>
      <c r="AF188" s="825">
        <v>44288</v>
      </c>
      <c r="AG188" s="825">
        <v>44288</v>
      </c>
      <c r="AH188" s="825">
        <v>43117</v>
      </c>
      <c r="AI188" s="825">
        <v>43596</v>
      </c>
      <c r="AJ188" s="825">
        <v>42816</v>
      </c>
      <c r="AK188" s="825">
        <v>43338</v>
      </c>
      <c r="AL188" s="825">
        <v>42585</v>
      </c>
      <c r="AM188" s="825">
        <v>42408</v>
      </c>
      <c r="AN188" s="825">
        <v>41610</v>
      </c>
      <c r="AO188" s="825">
        <v>36531</v>
      </c>
      <c r="AP188" s="825">
        <v>35162</v>
      </c>
    </row>
    <row r="189" hidden="1">
      <c r="B189" s="826" t="s">
        <v>11</v>
      </c>
      <c r="C189" s="827">
        <v>279590</v>
      </c>
      <c r="D189" s="827">
        <v>279573</v>
      </c>
      <c r="E189" s="827">
        <v>276962</v>
      </c>
      <c r="F189" s="827">
        <v>274715</v>
      </c>
      <c r="G189" s="827">
        <v>266951</v>
      </c>
      <c r="H189" s="827">
        <v>263114</v>
      </c>
      <c r="I189" s="827">
        <v>256241</v>
      </c>
      <c r="J189" s="827">
        <v>250865</v>
      </c>
      <c r="K189" s="827">
        <v>248368</v>
      </c>
      <c r="L189" s="827">
        <v>244539</v>
      </c>
      <c r="M189" s="827">
        <v>240667</v>
      </c>
      <c r="N189" s="827">
        <v>240593</v>
      </c>
      <c r="O189" s="827">
        <v>233132</v>
      </c>
      <c r="P189" s="827">
        <v>229983</v>
      </c>
      <c r="Q189" s="827">
        <v>225220</v>
      </c>
      <c r="R189" s="827">
        <v>223153</v>
      </c>
      <c r="S189" s="827">
        <v>218755</v>
      </c>
      <c r="T189" s="827">
        <v>217619</v>
      </c>
      <c r="U189" s="827">
        <v>211064</v>
      </c>
      <c r="V189" s="827">
        <v>210771</v>
      </c>
      <c r="W189" s="827">
        <v>209319</v>
      </c>
      <c r="X189" s="827">
        <v>208828</v>
      </c>
      <c r="Y189" s="827">
        <v>204138</v>
      </c>
      <c r="Z189" s="827">
        <v>202814</v>
      </c>
      <c r="AA189" s="827">
        <v>200784</v>
      </c>
      <c r="AB189" s="827">
        <v>199919</v>
      </c>
      <c r="AC189" s="828">
        <v>200140</v>
      </c>
      <c r="AD189" s="828">
        <v>199653</v>
      </c>
      <c r="AE189" s="828">
        <v>197124</v>
      </c>
      <c r="AF189" s="828">
        <v>196493</v>
      </c>
      <c r="AG189" s="828">
        <v>190195</v>
      </c>
      <c r="AH189" s="828">
        <v>191844</v>
      </c>
      <c r="AI189" s="828">
        <v>182157</v>
      </c>
      <c r="AJ189" s="828">
        <v>181976</v>
      </c>
      <c r="AK189" s="828">
        <v>174110</v>
      </c>
      <c r="AL189" s="828">
        <v>174108</v>
      </c>
      <c r="AM189" s="828">
        <v>171963</v>
      </c>
      <c r="AN189" s="828">
        <v>170397</v>
      </c>
      <c r="AO189" s="828">
        <v>154000</v>
      </c>
      <c r="AP189" s="828">
        <v>139273</v>
      </c>
    </row>
    <row r="190" hidden="1">
      <c r="B190" s="829" t="s">
        <v>12</v>
      </c>
      <c r="C190" s="823">
        <v>60070</v>
      </c>
      <c r="D190" s="823">
        <v>61103</v>
      </c>
      <c r="E190" s="823">
        <v>69844</v>
      </c>
      <c r="F190" s="823">
        <v>70659</v>
      </c>
      <c r="G190" s="823">
        <v>72558</v>
      </c>
      <c r="H190" s="823">
        <v>73906</v>
      </c>
      <c r="I190" s="823">
        <v>73511</v>
      </c>
      <c r="J190" s="823">
        <v>65323</v>
      </c>
      <c r="K190" s="823">
        <v>65128</v>
      </c>
      <c r="L190" s="823">
        <v>61711</v>
      </c>
      <c r="M190" s="823">
        <v>63833</v>
      </c>
      <c r="N190" s="823">
        <v>63064</v>
      </c>
      <c r="O190" s="823">
        <v>62158</v>
      </c>
      <c r="P190" s="823">
        <v>60954</v>
      </c>
      <c r="Q190" s="823">
        <v>52662</v>
      </c>
      <c r="R190" s="823">
        <v>51601</v>
      </c>
      <c r="S190" s="823">
        <v>46173</v>
      </c>
      <c r="T190" s="823">
        <v>45795</v>
      </c>
      <c r="U190" s="823">
        <v>43676</v>
      </c>
      <c r="V190" s="823">
        <v>42085</v>
      </c>
      <c r="W190" s="823">
        <v>41589</v>
      </c>
      <c r="X190" s="823">
        <v>41706</v>
      </c>
      <c r="Y190" s="823">
        <v>41361</v>
      </c>
      <c r="Z190" s="823">
        <v>40552</v>
      </c>
      <c r="AA190" s="823">
        <v>41224</v>
      </c>
      <c r="AB190" s="823">
        <v>39986</v>
      </c>
      <c r="AC190" s="825">
        <v>38060</v>
      </c>
      <c r="AD190" s="825">
        <v>37803</v>
      </c>
      <c r="AE190" s="825">
        <v>35602</v>
      </c>
      <c r="AF190" s="825">
        <v>33536</v>
      </c>
      <c r="AG190" s="825">
        <v>33091</v>
      </c>
      <c r="AH190" s="825">
        <v>32040</v>
      </c>
      <c r="AI190" s="825">
        <v>32687</v>
      </c>
      <c r="AJ190" s="825">
        <v>31885</v>
      </c>
      <c r="AK190" s="825">
        <v>30666</v>
      </c>
      <c r="AL190" s="825">
        <v>29439</v>
      </c>
      <c r="AM190" s="825">
        <v>28202</v>
      </c>
      <c r="AN190" s="825">
        <v>27033</v>
      </c>
      <c r="AO190" s="825">
        <v>13591</v>
      </c>
      <c r="AP190" s="825">
        <v>15306</v>
      </c>
    </row>
    <row r="191" hidden="1">
      <c r="B191" s="826" t="s">
        <v>13</v>
      </c>
      <c r="C191" s="827">
        <v>68326</v>
      </c>
      <c r="D191" s="827">
        <v>72002</v>
      </c>
      <c r="E191" s="827">
        <v>71569</v>
      </c>
      <c r="F191" s="827">
        <v>74272</v>
      </c>
      <c r="G191" s="827">
        <v>80187</v>
      </c>
      <c r="H191" s="827">
        <v>76752</v>
      </c>
      <c r="I191" s="827">
        <v>72995</v>
      </c>
      <c r="J191" s="827">
        <v>67091</v>
      </c>
      <c r="K191" s="827">
        <v>59927</v>
      </c>
      <c r="L191" s="827">
        <v>58980</v>
      </c>
      <c r="M191" s="827">
        <v>64450</v>
      </c>
      <c r="N191" s="827">
        <v>48472</v>
      </c>
      <c r="O191" s="827">
        <v>44707</v>
      </c>
      <c r="P191" s="827">
        <v>42776</v>
      </c>
      <c r="Q191" s="827">
        <v>43566</v>
      </c>
      <c r="R191" s="827">
        <v>39395</v>
      </c>
      <c r="S191" s="827">
        <v>27691</v>
      </c>
      <c r="T191" s="827">
        <v>27545</v>
      </c>
      <c r="U191" s="827">
        <v>52207</v>
      </c>
      <c r="V191" s="827">
        <v>66818</v>
      </c>
      <c r="W191" s="827">
        <v>55948</v>
      </c>
      <c r="X191" s="827">
        <v>53151</v>
      </c>
      <c r="Y191" s="827">
        <v>42007</v>
      </c>
      <c r="Z191" s="827">
        <v>38746</v>
      </c>
      <c r="AA191" s="827">
        <v>39931</v>
      </c>
      <c r="AB191" s="827">
        <v>37287</v>
      </c>
      <c r="AC191" s="828">
        <v>36834</v>
      </c>
      <c r="AD191" s="828">
        <v>32905</v>
      </c>
      <c r="AE191" s="828">
        <v>34036</v>
      </c>
      <c r="AF191" s="828">
        <v>31789</v>
      </c>
      <c r="AG191" s="828">
        <v>33718</v>
      </c>
      <c r="AH191" s="828">
        <v>32158</v>
      </c>
      <c r="AI191" s="828">
        <v>33308</v>
      </c>
      <c r="AJ191" s="828">
        <v>31525</v>
      </c>
      <c r="AK191" s="828">
        <v>33059</v>
      </c>
      <c r="AL191" s="828">
        <v>31801</v>
      </c>
      <c r="AM191" s="828">
        <v>30343</v>
      </c>
      <c r="AN191" s="828">
        <v>30440</v>
      </c>
      <c r="AO191" s="828">
        <v>34644</v>
      </c>
      <c r="AP191" s="828">
        <v>32221</v>
      </c>
    </row>
    <row r="192" hidden="1">
      <c r="B192" s="829" t="s">
        <v>109</v>
      </c>
      <c r="C192" s="823">
        <v>2654659</v>
      </c>
      <c r="D192" s="823">
        <v>2635464</v>
      </c>
      <c r="E192" s="823">
        <v>2575792</v>
      </c>
      <c r="F192" s="823">
        <v>2555474</v>
      </c>
      <c r="G192" s="823">
        <v>2493146</v>
      </c>
      <c r="H192" s="823">
        <v>2468335</v>
      </c>
      <c r="I192" s="823">
        <v>2325241</v>
      </c>
      <c r="J192" s="823">
        <v>2302534</v>
      </c>
      <c r="K192" s="823">
        <v>2203289</v>
      </c>
      <c r="L192" s="823">
        <v>2190299</v>
      </c>
      <c r="M192" s="823">
        <v>2081780</v>
      </c>
      <c r="N192" s="823">
        <v>2071204</v>
      </c>
      <c r="O192" s="823">
        <v>1976151</v>
      </c>
      <c r="P192" s="823">
        <v>1977814</v>
      </c>
      <c r="Q192" s="823">
        <v>1940429</v>
      </c>
      <c r="R192" s="823">
        <v>1926994</v>
      </c>
      <c r="S192" s="823">
        <v>1957585</v>
      </c>
      <c r="T192" s="823">
        <v>1965227</v>
      </c>
      <c r="U192" s="823">
        <v>1991244</v>
      </c>
      <c r="V192" s="823">
        <v>1994556</v>
      </c>
      <c r="W192" s="823">
        <v>2026338</v>
      </c>
      <c r="X192" s="823">
        <v>2008228</v>
      </c>
      <c r="Y192" s="823">
        <v>2042730</v>
      </c>
      <c r="Z192" s="823">
        <v>2033346</v>
      </c>
      <c r="AA192" s="823">
        <v>2021146</v>
      </c>
      <c r="AB192" s="823">
        <v>2018774</v>
      </c>
      <c r="AC192" s="825">
        <v>1975211</v>
      </c>
      <c r="AD192" s="825">
        <v>1970859</v>
      </c>
      <c r="AE192" s="825">
        <v>2041219</v>
      </c>
      <c r="AF192" s="825">
        <v>2032282</v>
      </c>
      <c r="AG192" s="825">
        <v>2012852</v>
      </c>
      <c r="AH192" s="825">
        <v>2003051</v>
      </c>
      <c r="AI192" s="825">
        <v>1972800</v>
      </c>
      <c r="AJ192" s="825">
        <v>1938525</v>
      </c>
      <c r="AK192" s="825">
        <v>1857492</v>
      </c>
      <c r="AL192" s="825">
        <v>1855103</v>
      </c>
      <c r="AM192" s="825">
        <v>1785462</v>
      </c>
      <c r="AN192" s="825">
        <v>1777421</v>
      </c>
      <c r="AO192" s="825">
        <v>1469305</v>
      </c>
      <c r="AP192" s="825">
        <v>1430949</v>
      </c>
    </row>
    <row r="193" hidden="1">
      <c r="B193" s="826" t="s">
        <v>110</v>
      </c>
      <c r="C193" s="827">
        <v>3686928</v>
      </c>
      <c r="D193" s="827">
        <v>3689258</v>
      </c>
      <c r="E193" s="827">
        <v>3702760</v>
      </c>
      <c r="F193" s="827">
        <v>3661014</v>
      </c>
      <c r="G193" s="827">
        <v>3615149</v>
      </c>
      <c r="H193" s="827">
        <v>3577692</v>
      </c>
      <c r="I193" s="827">
        <v>3467718</v>
      </c>
      <c r="J193" s="827">
        <v>3154736</v>
      </c>
      <c r="K193" s="827">
        <v>3217663</v>
      </c>
      <c r="L193" s="827">
        <v>3143309</v>
      </c>
      <c r="M193" s="827">
        <v>2966850</v>
      </c>
      <c r="N193" s="827">
        <v>2913621</v>
      </c>
      <c r="O193" s="827">
        <v>2787762</v>
      </c>
      <c r="P193" s="827">
        <v>2766917</v>
      </c>
      <c r="Q193" s="827">
        <v>2664773</v>
      </c>
      <c r="R193" s="827">
        <v>2653941</v>
      </c>
      <c r="S193" s="827">
        <v>2547733</v>
      </c>
      <c r="T193" s="827">
        <v>2537897</v>
      </c>
      <c r="U193" s="827">
        <v>2494791</v>
      </c>
      <c r="V193" s="827">
        <v>2479960</v>
      </c>
      <c r="W193" s="827">
        <v>2479746</v>
      </c>
      <c r="X193" s="827">
        <v>2478450</v>
      </c>
      <c r="Y193" s="827">
        <v>2459220</v>
      </c>
      <c r="Z193" s="827">
        <v>2437913</v>
      </c>
      <c r="AA193" s="827">
        <v>2354655</v>
      </c>
      <c r="AB193" s="827">
        <v>2338247</v>
      </c>
      <c r="AC193" s="828">
        <v>2381550</v>
      </c>
      <c r="AD193" s="828">
        <v>2365008</v>
      </c>
      <c r="AE193" s="828">
        <v>2331712</v>
      </c>
      <c r="AF193" s="828">
        <v>2312635</v>
      </c>
      <c r="AG193" s="828">
        <v>2242706</v>
      </c>
      <c r="AH193" s="828">
        <v>2227417</v>
      </c>
      <c r="AI193" s="828">
        <v>2148816</v>
      </c>
      <c r="AJ193" s="828">
        <v>2135053</v>
      </c>
      <c r="AK193" s="828">
        <v>2020597</v>
      </c>
      <c r="AL193" s="828">
        <v>2008893</v>
      </c>
      <c r="AM193" s="828">
        <v>1914230</v>
      </c>
      <c r="AN193" s="828">
        <v>1902148</v>
      </c>
      <c r="AO193" s="828">
        <v>1534387</v>
      </c>
      <c r="AP193" s="828">
        <v>1450268</v>
      </c>
    </row>
    <row r="194" hidden="1" ht="12.75" customHeight="1">
      <c r="B194" s="829" t="s">
        <v>16</v>
      </c>
      <c r="C194" s="823">
        <v>513576</v>
      </c>
      <c r="D194" s="823">
        <v>579857</v>
      </c>
      <c r="E194" s="823">
        <v>565869</v>
      </c>
      <c r="F194" s="823">
        <v>552805</v>
      </c>
      <c r="G194" s="823">
        <v>527352</v>
      </c>
      <c r="H194" s="823">
        <v>510883</v>
      </c>
      <c r="I194" s="823">
        <v>478077</v>
      </c>
      <c r="J194" s="823">
        <v>464417</v>
      </c>
      <c r="K194" s="823">
        <v>441300</v>
      </c>
      <c r="L194" s="823">
        <v>435090</v>
      </c>
      <c r="M194" s="823">
        <v>413145</v>
      </c>
      <c r="N194" s="823">
        <v>407050</v>
      </c>
      <c r="O194" s="823">
        <v>395368</v>
      </c>
      <c r="P194" s="823">
        <v>352320</v>
      </c>
      <c r="Q194" s="823">
        <v>359419</v>
      </c>
      <c r="R194" s="823">
        <v>329266</v>
      </c>
      <c r="S194" s="823">
        <v>327288</v>
      </c>
      <c r="T194" s="823">
        <v>325520</v>
      </c>
      <c r="U194" s="823">
        <v>364841</v>
      </c>
      <c r="V194" s="823">
        <v>363985</v>
      </c>
      <c r="W194" s="823">
        <v>363985</v>
      </c>
      <c r="X194" s="823">
        <v>363985</v>
      </c>
      <c r="Y194" s="823">
        <v>363985</v>
      </c>
      <c r="Z194" s="823">
        <v>363985</v>
      </c>
      <c r="AA194" s="823">
        <v>345065</v>
      </c>
      <c r="AB194" s="823">
        <v>343106</v>
      </c>
      <c r="AC194" s="825">
        <v>334194</v>
      </c>
      <c r="AD194" s="825">
        <v>329072</v>
      </c>
      <c r="AE194" s="825">
        <v>323866</v>
      </c>
      <c r="AF194" s="825">
        <v>291693</v>
      </c>
      <c r="AG194" s="825">
        <v>313453</v>
      </c>
      <c r="AH194" s="825">
        <v>311843</v>
      </c>
      <c r="AI194" s="825">
        <v>302929</v>
      </c>
      <c r="AJ194" s="825">
        <v>300096</v>
      </c>
      <c r="AK194" s="825">
        <v>286361</v>
      </c>
      <c r="AL194" s="825">
        <v>283284</v>
      </c>
      <c r="AM194" s="825">
        <v>268153</v>
      </c>
      <c r="AN194" s="825">
        <v>265756</v>
      </c>
      <c r="AO194" s="825">
        <v>122940</v>
      </c>
      <c r="AP194" s="825">
        <v>131919</v>
      </c>
    </row>
    <row r="195" hidden="1" ht="12.75" customHeight="1">
      <c r="B195" s="826" t="s">
        <v>17</v>
      </c>
      <c r="C195" s="827">
        <v>3526946</v>
      </c>
      <c r="D195" s="827">
        <v>3457406</v>
      </c>
      <c r="E195" s="827">
        <v>3616529</v>
      </c>
      <c r="F195" s="827">
        <v>3631835</v>
      </c>
      <c r="G195" s="827">
        <v>3506849</v>
      </c>
      <c r="H195" s="827">
        <v>3911924</v>
      </c>
      <c r="I195" s="827">
        <v>3337459</v>
      </c>
      <c r="J195" s="827">
        <v>3268635</v>
      </c>
      <c r="K195" s="827">
        <v>3081635</v>
      </c>
      <c r="L195" s="827">
        <v>2952562</v>
      </c>
      <c r="M195" s="827">
        <v>2833084</v>
      </c>
      <c r="N195" s="827">
        <v>2729692</v>
      </c>
      <c r="O195" s="827">
        <v>2649161</v>
      </c>
      <c r="P195" s="827">
        <v>2565588</v>
      </c>
      <c r="Q195" s="827">
        <v>2555331</v>
      </c>
      <c r="R195" s="827">
        <v>2556793</v>
      </c>
      <c r="S195" s="827">
        <v>2550695</v>
      </c>
      <c r="T195" s="827">
        <v>2544575</v>
      </c>
      <c r="U195" s="827">
        <v>2585603</v>
      </c>
      <c r="V195" s="827">
        <v>2609173</v>
      </c>
      <c r="W195" s="827">
        <v>2637276</v>
      </c>
      <c r="X195" s="827">
        <v>2625891</v>
      </c>
      <c r="Y195" s="827">
        <v>2686730</v>
      </c>
      <c r="Z195" s="827">
        <v>2683890</v>
      </c>
      <c r="AA195" s="827">
        <v>2805194</v>
      </c>
      <c r="AB195" s="827">
        <v>2790353</v>
      </c>
      <c r="AC195" s="828">
        <v>2732425</v>
      </c>
      <c r="AD195" s="828">
        <v>2715081</v>
      </c>
      <c r="AE195" s="828">
        <v>2748058</v>
      </c>
      <c r="AF195" s="828">
        <v>2734648</v>
      </c>
      <c r="AG195" s="828">
        <v>2727398</v>
      </c>
      <c r="AH195" s="828">
        <v>2722797</v>
      </c>
      <c r="AI195" s="828">
        <v>2670274</v>
      </c>
      <c r="AJ195" s="828">
        <v>2663173</v>
      </c>
      <c r="AK195" s="828">
        <v>2593396</v>
      </c>
      <c r="AL195" s="828">
        <v>2583472</v>
      </c>
      <c r="AM195" s="828">
        <v>2481309</v>
      </c>
      <c r="AN195" s="828">
        <v>2467760</v>
      </c>
      <c r="AO195" s="828">
        <v>1837449</v>
      </c>
      <c r="AP195" s="828">
        <v>1864148</v>
      </c>
    </row>
    <row r="196" hidden="1" ht="12.75" customHeight="1">
      <c r="B196" s="829" t="s">
        <v>18</v>
      </c>
      <c r="C196" s="823">
        <v>252665</v>
      </c>
      <c r="D196" s="823">
        <v>249741</v>
      </c>
      <c r="E196" s="823">
        <v>247750</v>
      </c>
      <c r="F196" s="823">
        <v>248828</v>
      </c>
      <c r="G196" s="823">
        <v>240270</v>
      </c>
      <c r="H196" s="823">
        <v>237630</v>
      </c>
      <c r="I196" s="823">
        <v>219324</v>
      </c>
      <c r="J196" s="823">
        <v>214842</v>
      </c>
      <c r="K196" s="823">
        <v>210000</v>
      </c>
      <c r="L196" s="823">
        <v>208965</v>
      </c>
      <c r="M196" s="823">
        <v>201958</v>
      </c>
      <c r="N196" s="823">
        <v>198260</v>
      </c>
      <c r="O196" s="823">
        <v>189552</v>
      </c>
      <c r="P196" s="823">
        <v>184000</v>
      </c>
      <c r="Q196" s="823">
        <v>179600</v>
      </c>
      <c r="R196" s="823">
        <v>178570</v>
      </c>
      <c r="S196" s="823">
        <v>177958</v>
      </c>
      <c r="T196" s="823">
        <v>174331</v>
      </c>
      <c r="U196" s="823">
        <v>177604</v>
      </c>
      <c r="V196" s="823">
        <v>176279</v>
      </c>
      <c r="W196" s="823">
        <v>170428</v>
      </c>
      <c r="X196" s="823">
        <v>165859</v>
      </c>
      <c r="Y196" s="823">
        <v>161444</v>
      </c>
      <c r="Z196" s="823">
        <v>158139</v>
      </c>
      <c r="AA196" s="823">
        <v>149738</v>
      </c>
      <c r="AB196" s="823">
        <v>146583</v>
      </c>
      <c r="AC196" s="825">
        <v>142928</v>
      </c>
      <c r="AD196" s="825">
        <v>140267</v>
      </c>
      <c r="AE196" s="825">
        <v>140549</v>
      </c>
      <c r="AF196" s="825">
        <v>139362</v>
      </c>
      <c r="AG196" s="825">
        <v>143937</v>
      </c>
      <c r="AH196" s="825">
        <v>143342</v>
      </c>
      <c r="AI196" s="825">
        <v>126130</v>
      </c>
      <c r="AJ196" s="825">
        <v>122061</v>
      </c>
      <c r="AK196" s="825">
        <v>114231</v>
      </c>
      <c r="AL196" s="825">
        <v>112556</v>
      </c>
      <c r="AM196" s="825">
        <v>110479</v>
      </c>
      <c r="AN196" s="825">
        <v>108839</v>
      </c>
      <c r="AO196" s="825">
        <v>92018</v>
      </c>
      <c r="AP196" s="825">
        <v>84968</v>
      </c>
    </row>
    <row r="197" hidden="1">
      <c r="B197" s="826" t="s">
        <v>19</v>
      </c>
      <c r="C197" s="827">
        <v>86592</v>
      </c>
      <c r="D197" s="827">
        <v>87699</v>
      </c>
      <c r="E197" s="827">
        <v>91460</v>
      </c>
      <c r="F197" s="827">
        <v>95797</v>
      </c>
      <c r="G197" s="827">
        <v>104458</v>
      </c>
      <c r="H197" s="827">
        <v>109498</v>
      </c>
      <c r="I197" s="827">
        <v>105874</v>
      </c>
      <c r="J197" s="827">
        <v>104722</v>
      </c>
      <c r="K197" s="827">
        <v>94217</v>
      </c>
      <c r="L197" s="827">
        <v>87982</v>
      </c>
      <c r="M197" s="827">
        <v>75320</v>
      </c>
      <c r="N197" s="827">
        <v>75416</v>
      </c>
      <c r="O197" s="827">
        <v>76126</v>
      </c>
      <c r="P197" s="827">
        <v>77799</v>
      </c>
      <c r="Q197" s="827">
        <v>77260</v>
      </c>
      <c r="R197" s="827">
        <v>77622</v>
      </c>
      <c r="S197" s="827">
        <v>78133</v>
      </c>
      <c r="T197" s="827">
        <v>78039</v>
      </c>
      <c r="U197" s="827">
        <v>77901</v>
      </c>
      <c r="V197" s="827">
        <v>79792</v>
      </c>
      <c r="W197" s="827">
        <v>83197</v>
      </c>
      <c r="X197" s="827">
        <v>82810</v>
      </c>
      <c r="Y197" s="827">
        <v>84413</v>
      </c>
      <c r="Z197" s="827">
        <v>83538</v>
      </c>
      <c r="AA197" s="827">
        <v>84750</v>
      </c>
      <c r="AB197" s="827">
        <v>84897</v>
      </c>
      <c r="AC197" s="828">
        <v>82004</v>
      </c>
      <c r="AD197" s="828">
        <v>81904</v>
      </c>
      <c r="AE197" s="828">
        <v>81771</v>
      </c>
      <c r="AF197" s="828">
        <v>82445</v>
      </c>
      <c r="AG197" s="828">
        <v>80332</v>
      </c>
      <c r="AH197" s="828">
        <v>80521</v>
      </c>
      <c r="AI197" s="828">
        <v>79536</v>
      </c>
      <c r="AJ197" s="828">
        <v>69820</v>
      </c>
      <c r="AK197" s="828">
        <v>66914</v>
      </c>
      <c r="AL197" s="828">
        <v>67828</v>
      </c>
      <c r="AM197" s="828">
        <v>64675</v>
      </c>
      <c r="AN197" s="828">
        <v>65827</v>
      </c>
      <c r="AO197" s="828">
        <v>49829</v>
      </c>
      <c r="AP197" s="828">
        <v>48784</v>
      </c>
    </row>
    <row r="198" hidden="1">
      <c r="B198" s="829" t="s">
        <v>20</v>
      </c>
      <c r="C198" s="823">
        <v>413840</v>
      </c>
      <c r="D198" s="823">
        <v>277645</v>
      </c>
      <c r="E198" s="823">
        <v>374113</v>
      </c>
      <c r="F198" s="823">
        <v>289673</v>
      </c>
      <c r="G198" s="823">
        <v>429325</v>
      </c>
      <c r="H198" s="823">
        <v>438252</v>
      </c>
      <c r="I198" s="823">
        <v>468227</v>
      </c>
      <c r="J198" s="823">
        <v>508991</v>
      </c>
      <c r="K198" s="823">
        <v>453768</v>
      </c>
      <c r="L198" s="823">
        <v>446750</v>
      </c>
      <c r="M198" s="823">
        <v>380083</v>
      </c>
      <c r="N198" s="823">
        <v>385194</v>
      </c>
      <c r="O198" s="823">
        <v>394418</v>
      </c>
      <c r="P198" s="823">
        <v>393000</v>
      </c>
      <c r="Q198" s="823">
        <v>416628</v>
      </c>
      <c r="R198" s="823">
        <v>415991</v>
      </c>
      <c r="S198" s="823">
        <v>430985</v>
      </c>
      <c r="T198" s="823">
        <v>431348</v>
      </c>
      <c r="U198" s="823">
        <v>442557</v>
      </c>
      <c r="V198" s="823">
        <v>445718</v>
      </c>
      <c r="W198" s="823">
        <v>477805</v>
      </c>
      <c r="X198" s="823">
        <v>481627</v>
      </c>
      <c r="Y198" s="823">
        <v>404898</v>
      </c>
      <c r="Z198" s="823">
        <v>403710</v>
      </c>
      <c r="AA198" s="823">
        <v>396865</v>
      </c>
      <c r="AB198" s="823">
        <v>386384</v>
      </c>
      <c r="AC198" s="825">
        <v>398121</v>
      </c>
      <c r="AD198" s="825">
        <v>397040</v>
      </c>
      <c r="AE198" s="825">
        <v>399705</v>
      </c>
      <c r="AF198" s="825">
        <v>393513</v>
      </c>
      <c r="AG198" s="825">
        <v>378227</v>
      </c>
      <c r="AH198" s="825">
        <v>377189</v>
      </c>
      <c r="AI198" s="825">
        <v>377006</v>
      </c>
      <c r="AJ198" s="825">
        <v>376695</v>
      </c>
      <c r="AK198" s="825">
        <v>343674</v>
      </c>
      <c r="AL198" s="825">
        <v>340641</v>
      </c>
      <c r="AM198" s="825">
        <v>314083</v>
      </c>
      <c r="AN198" s="825">
        <v>313148</v>
      </c>
      <c r="AO198" s="825">
        <v>264197</v>
      </c>
      <c r="AP198" s="825">
        <v>281593</v>
      </c>
    </row>
    <row r="199" hidden="1">
      <c r="B199" s="826" t="s">
        <v>21</v>
      </c>
      <c r="C199" s="827">
        <v>623437</v>
      </c>
      <c r="D199" s="827">
        <v>615026</v>
      </c>
      <c r="E199" s="827">
        <v>591359</v>
      </c>
      <c r="F199" s="827">
        <v>592530</v>
      </c>
      <c r="G199" s="827">
        <v>579808</v>
      </c>
      <c r="H199" s="827">
        <v>570107</v>
      </c>
      <c r="I199" s="827">
        <v>534775</v>
      </c>
      <c r="J199" s="827">
        <v>528030</v>
      </c>
      <c r="K199" s="827">
        <v>504525</v>
      </c>
      <c r="L199" s="827">
        <v>502747</v>
      </c>
      <c r="M199" s="827">
        <v>476309</v>
      </c>
      <c r="N199" s="827">
        <v>479606</v>
      </c>
      <c r="O199" s="827">
        <v>466461</v>
      </c>
      <c r="P199" s="827">
        <v>465158</v>
      </c>
      <c r="Q199" s="827">
        <v>460690</v>
      </c>
      <c r="R199" s="827">
        <v>458652</v>
      </c>
      <c r="S199" s="827">
        <v>449574</v>
      </c>
      <c r="T199" s="827">
        <v>446858</v>
      </c>
      <c r="U199" s="827">
        <v>434921</v>
      </c>
      <c r="V199" s="827">
        <v>442127</v>
      </c>
      <c r="W199" s="827">
        <v>445533</v>
      </c>
      <c r="X199" s="827">
        <v>446279</v>
      </c>
      <c r="Y199" s="827">
        <v>438974</v>
      </c>
      <c r="Z199" s="827">
        <v>439580</v>
      </c>
      <c r="AA199" s="827">
        <v>427514</v>
      </c>
      <c r="AB199" s="827">
        <v>427112</v>
      </c>
      <c r="AC199" s="828">
        <v>422294</v>
      </c>
      <c r="AD199" s="828">
        <v>423342</v>
      </c>
      <c r="AE199" s="828">
        <v>420094</v>
      </c>
      <c r="AF199" s="828">
        <v>419548</v>
      </c>
      <c r="AG199" s="828">
        <v>410003</v>
      </c>
      <c r="AH199" s="828">
        <v>414673</v>
      </c>
      <c r="AI199" s="828">
        <v>395600</v>
      </c>
      <c r="AJ199" s="828">
        <v>388269</v>
      </c>
      <c r="AK199" s="828">
        <v>375133</v>
      </c>
      <c r="AL199" s="828">
        <v>369584</v>
      </c>
      <c r="AM199" s="828">
        <v>363216</v>
      </c>
      <c r="AN199" s="828">
        <v>359786</v>
      </c>
      <c r="AO199" s="828">
        <v>306823</v>
      </c>
      <c r="AP199" s="828">
        <v>296119</v>
      </c>
    </row>
    <row r="200" hidden="1">
      <c r="B200" s="829" t="s">
        <v>22</v>
      </c>
      <c r="C200" s="823">
        <v>269712</v>
      </c>
      <c r="D200" s="823">
        <v>252583</v>
      </c>
      <c r="E200" s="823">
        <v>270924</v>
      </c>
      <c r="F200" s="823">
        <v>277938</v>
      </c>
      <c r="G200" s="823">
        <v>251000</v>
      </c>
      <c r="H200" s="823">
        <v>244742</v>
      </c>
      <c r="I200" s="823">
        <v>244506</v>
      </c>
      <c r="J200" s="823">
        <v>240965</v>
      </c>
      <c r="K200" s="823">
        <v>283794</v>
      </c>
      <c r="L200" s="823">
        <v>220550</v>
      </c>
      <c r="M200" s="823">
        <v>270204</v>
      </c>
      <c r="N200" s="823">
        <v>262678</v>
      </c>
      <c r="O200" s="823">
        <v>253503</v>
      </c>
      <c r="P200" s="823">
        <v>255547</v>
      </c>
      <c r="Q200" s="823">
        <v>246605</v>
      </c>
      <c r="R200" s="823">
        <v>225260</v>
      </c>
      <c r="S200" s="823">
        <v>241167</v>
      </c>
      <c r="T200" s="823">
        <v>240743</v>
      </c>
      <c r="U200" s="823">
        <v>232521</v>
      </c>
      <c r="V200" s="823">
        <v>232730</v>
      </c>
      <c r="W200" s="823">
        <v>245800</v>
      </c>
      <c r="X200" s="823">
        <v>244583</v>
      </c>
      <c r="Y200" s="823">
        <v>225505</v>
      </c>
      <c r="Z200" s="823">
        <v>225560</v>
      </c>
      <c r="AA200" s="823">
        <v>254305</v>
      </c>
      <c r="AB200" s="823">
        <v>262444</v>
      </c>
      <c r="AC200" s="825">
        <v>202682</v>
      </c>
      <c r="AD200" s="825">
        <v>202046</v>
      </c>
      <c r="AE200" s="825">
        <v>199310</v>
      </c>
      <c r="AF200" s="825">
        <v>199074</v>
      </c>
      <c r="AG200" s="825">
        <v>196748</v>
      </c>
      <c r="AH200" s="825">
        <v>196377</v>
      </c>
      <c r="AI200" s="825">
        <v>195668</v>
      </c>
      <c r="AJ200" s="825">
        <v>194677</v>
      </c>
      <c r="AK200" s="825">
        <v>188269</v>
      </c>
      <c r="AL200" s="825">
        <v>187851</v>
      </c>
      <c r="AM200" s="825">
        <v>182143</v>
      </c>
      <c r="AN200" s="825">
        <v>181633</v>
      </c>
      <c r="AO200" s="825">
        <v>171630</v>
      </c>
      <c r="AP200" s="825">
        <v>163520</v>
      </c>
    </row>
    <row r="201" hidden="1">
      <c r="B201" s="826" t="s">
        <v>23</v>
      </c>
      <c r="C201" s="827">
        <v>131671</v>
      </c>
      <c r="D201" s="827">
        <v>129067</v>
      </c>
      <c r="E201" s="827">
        <v>128019</v>
      </c>
      <c r="F201" s="827">
        <v>127722</v>
      </c>
      <c r="G201" s="827">
        <v>126053</v>
      </c>
      <c r="H201" s="827">
        <v>125437</v>
      </c>
      <c r="I201" s="827">
        <v>117759</v>
      </c>
      <c r="J201" s="827">
        <v>119212</v>
      </c>
      <c r="K201" s="827">
        <v>110637</v>
      </c>
      <c r="L201" s="827">
        <v>110258</v>
      </c>
      <c r="M201" s="827">
        <v>101933</v>
      </c>
      <c r="N201" s="827">
        <v>100836</v>
      </c>
      <c r="O201" s="827">
        <v>93697</v>
      </c>
      <c r="P201" s="827">
        <v>91389</v>
      </c>
      <c r="Q201" s="827">
        <v>91765</v>
      </c>
      <c r="R201" s="827">
        <v>91009</v>
      </c>
      <c r="S201" s="827">
        <v>89160</v>
      </c>
      <c r="T201" s="827">
        <v>88443</v>
      </c>
      <c r="U201" s="827">
        <v>96468</v>
      </c>
      <c r="V201" s="827">
        <v>96420</v>
      </c>
      <c r="W201" s="827">
        <v>94458</v>
      </c>
      <c r="X201" s="827">
        <v>92389</v>
      </c>
      <c r="Y201" s="827">
        <v>91333</v>
      </c>
      <c r="Z201" s="827">
        <v>90879</v>
      </c>
      <c r="AA201" s="827">
        <v>86781</v>
      </c>
      <c r="AB201" s="827">
        <v>86219</v>
      </c>
      <c r="AC201" s="828">
        <v>84762</v>
      </c>
      <c r="AD201" s="828">
        <v>84700</v>
      </c>
      <c r="AE201" s="828">
        <v>81065</v>
      </c>
      <c r="AF201" s="828">
        <v>80673</v>
      </c>
      <c r="AG201" s="828">
        <v>80824</v>
      </c>
      <c r="AH201" s="828">
        <v>80452</v>
      </c>
      <c r="AI201" s="828">
        <v>73122</v>
      </c>
      <c r="AJ201" s="828">
        <v>73599</v>
      </c>
      <c r="AK201" s="828">
        <v>65496</v>
      </c>
      <c r="AL201" s="828">
        <v>65471</v>
      </c>
      <c r="AM201" s="828">
        <v>60592</v>
      </c>
      <c r="AN201" s="828">
        <v>60202</v>
      </c>
      <c r="AO201" s="828">
        <v>56343</v>
      </c>
      <c r="AP201" s="828">
        <v>49172</v>
      </c>
    </row>
    <row r="202" hidden="1">
      <c r="B202" s="830" t="s">
        <v>24</v>
      </c>
      <c r="C202" s="823">
        <v>357269</v>
      </c>
      <c r="D202" s="823">
        <v>349596</v>
      </c>
      <c r="E202" s="823">
        <v>346363</v>
      </c>
      <c r="F202" s="823">
        <v>339991</v>
      </c>
      <c r="G202" s="823">
        <v>331028</v>
      </c>
      <c r="H202" s="823">
        <v>324577</v>
      </c>
      <c r="I202" s="823">
        <v>309098</v>
      </c>
      <c r="J202" s="823">
        <v>309265</v>
      </c>
      <c r="K202" s="823">
        <v>290774</v>
      </c>
      <c r="L202" s="823">
        <v>289370</v>
      </c>
      <c r="M202" s="823">
        <v>283505</v>
      </c>
      <c r="N202" s="823">
        <v>277823</v>
      </c>
      <c r="O202" s="823">
        <v>266191</v>
      </c>
      <c r="P202" s="823">
        <v>262754</v>
      </c>
      <c r="Q202" s="823">
        <v>250560</v>
      </c>
      <c r="R202" s="823">
        <v>250264</v>
      </c>
      <c r="S202" s="823">
        <v>236668</v>
      </c>
      <c r="T202" s="823">
        <v>236680</v>
      </c>
      <c r="U202" s="823">
        <v>231035</v>
      </c>
      <c r="V202" s="823">
        <v>228489</v>
      </c>
      <c r="W202" s="823">
        <v>233212</v>
      </c>
      <c r="X202" s="823">
        <v>233073</v>
      </c>
      <c r="Y202" s="823">
        <v>233035</v>
      </c>
      <c r="Z202" s="823">
        <v>226179</v>
      </c>
      <c r="AA202" s="823">
        <v>224262</v>
      </c>
      <c r="AB202" s="823">
        <v>222814</v>
      </c>
      <c r="AC202" s="825">
        <v>221702</v>
      </c>
      <c r="AD202" s="825">
        <v>219765</v>
      </c>
      <c r="AE202" s="825">
        <v>222375</v>
      </c>
      <c r="AF202" s="825">
        <v>217956</v>
      </c>
      <c r="AG202" s="825">
        <v>218172</v>
      </c>
      <c r="AH202" s="825">
        <v>209244</v>
      </c>
      <c r="AI202" s="825">
        <v>204971</v>
      </c>
      <c r="AJ202" s="825">
        <v>201870</v>
      </c>
      <c r="AK202" s="825">
        <v>184440</v>
      </c>
      <c r="AL202" s="825">
        <v>178450</v>
      </c>
      <c r="AM202" s="825">
        <v>168152</v>
      </c>
      <c r="AN202" s="825">
        <v>163727</v>
      </c>
      <c r="AO202" s="825">
        <v>129594</v>
      </c>
      <c r="AP202" s="825">
        <v>139068</v>
      </c>
    </row>
    <row r="203" hidden="1">
      <c r="B203" s="826" t="s">
        <v>25</v>
      </c>
      <c r="C203" s="827">
        <v>0</v>
      </c>
      <c r="D203" s="827">
        <v>0</v>
      </c>
      <c r="E203" s="827">
        <v>0</v>
      </c>
      <c r="F203" s="827">
        <v>0</v>
      </c>
      <c r="G203" s="827">
        <v>0</v>
      </c>
      <c r="H203" s="827">
        <v>0</v>
      </c>
      <c r="I203" s="827">
        <v>0</v>
      </c>
      <c r="J203" s="827">
        <v>0</v>
      </c>
      <c r="K203" s="827">
        <v>0</v>
      </c>
      <c r="L203" s="827">
        <v>0</v>
      </c>
      <c r="M203" s="827">
        <v>0</v>
      </c>
      <c r="N203" s="827">
        <v>0</v>
      </c>
      <c r="O203" s="827">
        <v>0</v>
      </c>
      <c r="P203" s="827">
        <v>0</v>
      </c>
      <c r="Q203" s="827">
        <v>0</v>
      </c>
      <c r="R203" s="827">
        <v>0</v>
      </c>
      <c r="S203" s="827">
        <v>0</v>
      </c>
      <c r="T203" s="827">
        <v>0</v>
      </c>
      <c r="U203" s="827">
        <v>0</v>
      </c>
      <c r="V203" s="827">
        <v>0</v>
      </c>
      <c r="W203" s="827">
        <v>0</v>
      </c>
      <c r="X203" s="827">
        <v>0</v>
      </c>
      <c r="Y203" s="827">
        <v>0</v>
      </c>
      <c r="Z203" s="827">
        <v>0</v>
      </c>
      <c r="AA203" s="827">
        <v>0</v>
      </c>
      <c r="AB203" s="827">
        <v>0</v>
      </c>
      <c r="AC203" s="828">
        <v>0</v>
      </c>
      <c r="AD203" s="828">
        <v>0</v>
      </c>
      <c r="AE203" s="828">
        <v>0</v>
      </c>
      <c r="AF203" s="828">
        <v>0</v>
      </c>
      <c r="AG203" s="828">
        <v>0</v>
      </c>
      <c r="AH203" s="828">
        <v>0</v>
      </c>
      <c r="AI203" s="828">
        <v>0</v>
      </c>
      <c r="AJ203" s="828">
        <v>0</v>
      </c>
      <c r="AK203" s="828">
        <v>0</v>
      </c>
      <c r="AL203" s="828">
        <v>0</v>
      </c>
      <c r="AM203" s="828">
        <v>0</v>
      </c>
      <c r="AN203" s="828">
        <v>0</v>
      </c>
      <c r="AO203" s="828">
        <v>1</v>
      </c>
      <c r="AP203" s="828">
        <v>39</v>
      </c>
    </row>
    <row r="204" hidden="1" ht="13.5">
      <c r="B204" s="831" t="s">
        <v>26</v>
      </c>
      <c r="C204" s="823">
        <v>0</v>
      </c>
      <c r="D204" s="823">
        <v>0</v>
      </c>
      <c r="E204" s="823">
        <v>0</v>
      </c>
      <c r="F204" s="823">
        <v>0</v>
      </c>
      <c r="G204" s="823">
        <v>0</v>
      </c>
      <c r="H204" s="823">
        <v>0</v>
      </c>
      <c r="I204" s="823">
        <v>0</v>
      </c>
      <c r="J204" s="823">
        <v>0</v>
      </c>
      <c r="K204" s="823">
        <v>0</v>
      </c>
      <c r="L204" s="823">
        <v>0</v>
      </c>
      <c r="M204" s="823">
        <v>0</v>
      </c>
      <c r="N204" s="823">
        <v>0</v>
      </c>
      <c r="O204" s="823">
        <v>0</v>
      </c>
      <c r="P204" s="823">
        <v>0</v>
      </c>
      <c r="Q204" s="823">
        <v>0</v>
      </c>
      <c r="R204" s="823">
        <v>0</v>
      </c>
      <c r="S204" s="823">
        <v>0</v>
      </c>
      <c r="T204" s="823">
        <v>0</v>
      </c>
      <c r="U204" s="823">
        <v>0</v>
      </c>
      <c r="V204" s="823">
        <v>0</v>
      </c>
      <c r="W204" s="823">
        <v>0</v>
      </c>
      <c r="X204" s="823">
        <v>0</v>
      </c>
      <c r="Y204" s="823">
        <v>0</v>
      </c>
      <c r="Z204" s="823">
        <v>0</v>
      </c>
      <c r="AA204" s="823">
        <v>0</v>
      </c>
      <c r="AB204" s="832">
        <v>0</v>
      </c>
      <c r="AC204" s="825">
        <v>0</v>
      </c>
      <c r="AD204" s="825">
        <v>0</v>
      </c>
      <c r="AE204" s="825">
        <v>0</v>
      </c>
      <c r="AF204" s="825">
        <v>0</v>
      </c>
      <c r="AG204" s="825">
        <v>0</v>
      </c>
      <c r="AH204" s="825">
        <v>0</v>
      </c>
      <c r="AI204" s="825">
        <v>0</v>
      </c>
      <c r="AJ204" s="825">
        <v>0</v>
      </c>
      <c r="AK204" s="825">
        <v>0</v>
      </c>
      <c r="AL204" s="825">
        <v>0</v>
      </c>
      <c r="AM204" s="825">
        <v>0</v>
      </c>
      <c r="AN204" s="825">
        <v>0</v>
      </c>
      <c r="AO204" s="825">
        <v>0</v>
      </c>
      <c r="AP204" s="825">
        <v>147</v>
      </c>
    </row>
    <row r="205" hidden="1" ht="13.5">
      <c r="B205" s="128" t="s">
        <v>7</v>
      </c>
      <c r="C205" s="129" t="str">
        <f>IF(SUM(C186:C204)&lt;&gt;0,SUM(C186:C204),"")</f>
      </c>
      <c r="D205" s="129" t="str">
        <f ref="D205:AA205" t="shared" si="10">IF(SUM(D186:D204)&lt;&gt;0,SUM(D186:D204),"")</f>
      </c>
      <c r="E205" s="129" t="str">
        <f t="shared" si="10"/>
      </c>
      <c r="F205" s="129" t="str">
        <f t="shared" si="10"/>
      </c>
      <c r="G205" s="129" t="str">
        <f t="shared" si="10"/>
      </c>
      <c r="H205" s="129" t="str">
        <f t="shared" si="10"/>
      </c>
      <c r="I205" s="129" t="str">
        <f t="shared" si="10"/>
      </c>
      <c r="J205" s="129" t="str">
        <f t="shared" si="10"/>
      </c>
      <c r="K205" s="129" t="str">
        <f t="shared" si="10"/>
      </c>
      <c r="L205" s="129" t="str">
        <f t="shared" si="10"/>
      </c>
      <c r="M205" s="129" t="str">
        <f t="shared" si="10"/>
      </c>
      <c r="N205" s="129" t="str">
        <f t="shared" si="10"/>
      </c>
      <c r="O205" s="129" t="str">
        <f t="shared" si="10"/>
      </c>
      <c r="P205" s="129" t="str">
        <f t="shared" si="10"/>
      </c>
      <c r="Q205" s="129" t="str">
        <f t="shared" si="10"/>
      </c>
      <c r="R205" s="129" t="str">
        <f t="shared" si="10"/>
      </c>
      <c r="S205" s="129" t="str">
        <f t="shared" si="10"/>
      </c>
      <c r="T205" s="129" t="str">
        <f t="shared" si="10"/>
      </c>
      <c r="U205" s="129" t="str">
        <f t="shared" si="10"/>
      </c>
      <c r="V205" s="129" t="str">
        <f t="shared" si="10"/>
      </c>
      <c r="W205" s="129" t="str">
        <f t="shared" si="10"/>
      </c>
      <c r="X205" s="129" t="str">
        <f t="shared" si="10"/>
      </c>
      <c r="Y205" s="129" t="str">
        <f t="shared" si="10"/>
      </c>
      <c r="Z205" s="129" t="str">
        <f t="shared" si="10"/>
      </c>
      <c r="AA205" s="129" t="str">
        <f t="shared" si="10"/>
      </c>
      <c r="AB205" s="130" t="str">
        <f>IF(SUM(AB186:AB204)&lt;&gt;0,SUM(AB186:AB204),"")</f>
      </c>
      <c r="AC205" s="91" t="str">
        <f ref="AC205:CN205" t="shared" si="11">IF(SUM(AC186:AC204)&lt;&gt;0,SUM(AC186:AC204),"")</f>
      </c>
      <c r="AD205" s="91" t="str">
        <f t="shared" si="11"/>
      </c>
      <c r="AE205" s="91" t="str">
        <f t="shared" si="11"/>
      </c>
      <c r="AF205" s="91" t="str">
        <f t="shared" si="11"/>
      </c>
      <c r="AG205" s="91" t="str">
        <f t="shared" si="11"/>
      </c>
      <c r="AH205" s="91" t="str">
        <f t="shared" si="11"/>
      </c>
      <c r="AI205" s="91" t="str">
        <f t="shared" si="11"/>
      </c>
      <c r="AJ205" s="91" t="str">
        <f t="shared" si="11"/>
      </c>
      <c r="AK205" s="91" t="str">
        <f t="shared" si="11"/>
      </c>
      <c r="AL205" s="91" t="str">
        <f t="shared" si="11"/>
      </c>
      <c r="AM205" s="91" t="str">
        <f t="shared" si="11"/>
      </c>
      <c r="AN205" s="91" t="str">
        <f t="shared" si="11"/>
      </c>
      <c r="AO205" s="91" t="str">
        <f t="shared" si="11"/>
      </c>
      <c r="AP205" s="91" t="str">
        <f t="shared" si="11"/>
      </c>
      <c r="AQ205" s="91" t="str">
        <f t="shared" si="11"/>
      </c>
      <c r="AR205" s="91" t="str">
        <f t="shared" si="11"/>
      </c>
      <c r="AS205" s="91" t="str">
        <f t="shared" si="11"/>
      </c>
      <c r="AT205" s="91" t="str">
        <f t="shared" si="11"/>
      </c>
      <c r="AU205" s="91" t="str">
        <f t="shared" si="11"/>
      </c>
      <c r="AV205" s="91" t="str">
        <f t="shared" si="11"/>
      </c>
      <c r="AW205" s="91" t="str">
        <f t="shared" si="11"/>
      </c>
      <c r="AX205" s="91" t="str">
        <f t="shared" si="11"/>
      </c>
      <c r="AY205" s="91" t="str">
        <f t="shared" si="11"/>
      </c>
      <c r="AZ205" s="91" t="str">
        <f t="shared" si="11"/>
      </c>
      <c r="BA205" s="91" t="str">
        <f t="shared" si="11"/>
      </c>
      <c r="BB205" s="91" t="str">
        <f t="shared" si="11"/>
      </c>
      <c r="BC205" s="91" t="str">
        <f t="shared" si="11"/>
      </c>
      <c r="BD205" s="91" t="str">
        <f t="shared" si="11"/>
      </c>
      <c r="BE205" s="91" t="str">
        <f t="shared" si="11"/>
      </c>
      <c r="BF205" s="91" t="str">
        <f t="shared" si="11"/>
      </c>
      <c r="BG205" s="91" t="str">
        <f t="shared" si="11"/>
      </c>
      <c r="BH205" s="91" t="str">
        <f t="shared" si="11"/>
      </c>
      <c r="BI205" s="91" t="str">
        <f t="shared" si="11"/>
      </c>
      <c r="BJ205" s="91" t="str">
        <f t="shared" si="11"/>
      </c>
      <c r="BK205" s="91" t="str">
        <f t="shared" si="11"/>
      </c>
      <c r="BL205" s="91" t="str">
        <f t="shared" si="11"/>
      </c>
      <c r="BM205" s="91" t="str">
        <f t="shared" si="11"/>
      </c>
      <c r="BN205" s="91" t="str">
        <f t="shared" si="11"/>
      </c>
      <c r="BO205" s="91" t="str">
        <f t="shared" si="11"/>
      </c>
      <c r="BP205" s="91" t="str">
        <f t="shared" si="11"/>
      </c>
      <c r="BQ205" s="91" t="str">
        <f t="shared" si="11"/>
      </c>
      <c r="BR205" s="91" t="str">
        <f t="shared" si="11"/>
      </c>
      <c r="BS205" s="91" t="str">
        <f t="shared" si="11"/>
      </c>
      <c r="BT205" s="91" t="str">
        <f t="shared" si="11"/>
      </c>
      <c r="BU205" s="91" t="str">
        <f t="shared" si="11"/>
      </c>
      <c r="BV205" s="91" t="str">
        <f t="shared" si="11"/>
      </c>
      <c r="BW205" s="91" t="str">
        <f t="shared" si="11"/>
      </c>
      <c r="BX205" s="91" t="str">
        <f t="shared" si="11"/>
      </c>
      <c r="BY205" s="91" t="str">
        <f t="shared" si="11"/>
      </c>
      <c r="BZ205" s="91" t="str">
        <f t="shared" si="11"/>
      </c>
      <c r="CA205" s="91" t="str">
        <f t="shared" si="11"/>
      </c>
      <c r="CB205" s="91" t="str">
        <f t="shared" si="11"/>
      </c>
      <c r="CC205" s="91" t="str">
        <f t="shared" si="11"/>
      </c>
      <c r="CD205" s="91" t="str">
        <f t="shared" si="11"/>
      </c>
      <c r="CE205" s="91" t="str">
        <f t="shared" si="11"/>
      </c>
      <c r="CF205" s="91" t="str">
        <f t="shared" si="11"/>
      </c>
      <c r="CG205" s="91" t="str">
        <f t="shared" si="11"/>
      </c>
      <c r="CH205" s="91" t="str">
        <f t="shared" si="11"/>
      </c>
      <c r="CI205" s="91" t="str">
        <f t="shared" si="11"/>
      </c>
      <c r="CJ205" s="91" t="str">
        <f t="shared" si="11"/>
      </c>
      <c r="CK205" s="91" t="str">
        <f t="shared" si="11"/>
      </c>
      <c r="CL205" s="91" t="str">
        <f t="shared" si="11"/>
      </c>
      <c r="CM205" s="91" t="str">
        <f t="shared" si="11"/>
      </c>
      <c r="CN205" s="91" t="str">
        <f t="shared" si="11"/>
      </c>
      <c r="CO205" s="91" t="str">
        <f ref="CO205:EZ205" t="shared" si="12">IF(SUM(CO186:CO204)&lt;&gt;0,SUM(CO186:CO204),"")</f>
      </c>
      <c r="CP205" s="91" t="str">
        <f t="shared" si="12"/>
      </c>
      <c r="CQ205" s="91" t="str">
        <f t="shared" si="12"/>
      </c>
      <c r="CR205" s="91" t="str">
        <f t="shared" si="12"/>
      </c>
      <c r="CS205" s="91" t="str">
        <f t="shared" si="12"/>
      </c>
      <c r="CT205" s="91" t="str">
        <f t="shared" si="12"/>
      </c>
      <c r="CU205" s="91" t="str">
        <f t="shared" si="12"/>
      </c>
      <c r="CV205" s="91" t="str">
        <f t="shared" si="12"/>
      </c>
      <c r="CW205" s="91" t="str">
        <f t="shared" si="12"/>
      </c>
      <c r="CX205" s="91" t="str">
        <f t="shared" si="12"/>
      </c>
      <c r="CY205" s="91" t="str">
        <f t="shared" si="12"/>
      </c>
      <c r="CZ205" s="91" t="str">
        <f t="shared" si="12"/>
      </c>
      <c r="DA205" s="91" t="str">
        <f t="shared" si="12"/>
      </c>
      <c r="DB205" s="91" t="str">
        <f t="shared" si="12"/>
      </c>
      <c r="DC205" s="91" t="str">
        <f t="shared" si="12"/>
      </c>
      <c r="DD205" s="91" t="str">
        <f t="shared" si="12"/>
      </c>
      <c r="DE205" s="91" t="str">
        <f t="shared" si="12"/>
      </c>
      <c r="DF205" s="91" t="str">
        <f t="shared" si="12"/>
      </c>
      <c r="DG205" s="91" t="str">
        <f t="shared" si="12"/>
      </c>
      <c r="DH205" s="91" t="str">
        <f t="shared" si="12"/>
      </c>
      <c r="DI205" s="91" t="str">
        <f t="shared" si="12"/>
      </c>
      <c r="DJ205" s="91" t="str">
        <f t="shared" si="12"/>
      </c>
      <c r="DK205" s="91" t="str">
        <f t="shared" si="12"/>
      </c>
      <c r="DL205" s="91" t="str">
        <f t="shared" si="12"/>
      </c>
      <c r="DM205" s="91" t="str">
        <f t="shared" si="12"/>
      </c>
      <c r="DN205" s="91" t="str">
        <f t="shared" si="12"/>
      </c>
      <c r="DO205" s="91" t="str">
        <f t="shared" si="12"/>
      </c>
      <c r="DP205" s="91" t="str">
        <f t="shared" si="12"/>
      </c>
      <c r="DQ205" s="91" t="str">
        <f t="shared" si="12"/>
      </c>
      <c r="DR205" s="91" t="str">
        <f t="shared" si="12"/>
      </c>
      <c r="DS205" s="91" t="str">
        <f t="shared" si="12"/>
      </c>
      <c r="DT205" s="91" t="str">
        <f t="shared" si="12"/>
      </c>
      <c r="DU205" s="91" t="str">
        <f t="shared" si="12"/>
      </c>
      <c r="DV205" s="91" t="str">
        <f t="shared" si="12"/>
      </c>
      <c r="DW205" s="91" t="str">
        <f t="shared" si="12"/>
      </c>
      <c r="DX205" s="91" t="str">
        <f t="shared" si="12"/>
      </c>
      <c r="DY205" s="91" t="str">
        <f t="shared" si="12"/>
      </c>
      <c r="DZ205" s="91" t="str">
        <f t="shared" si="12"/>
      </c>
      <c r="EA205" s="91" t="str">
        <f t="shared" si="12"/>
      </c>
      <c r="EB205" s="91" t="str">
        <f t="shared" si="12"/>
      </c>
      <c r="EC205" s="91" t="str">
        <f t="shared" si="12"/>
      </c>
      <c r="ED205" s="91" t="str">
        <f t="shared" si="12"/>
      </c>
      <c r="EE205" s="91" t="str">
        <f t="shared" si="12"/>
      </c>
      <c r="EF205" s="91" t="str">
        <f t="shared" si="12"/>
      </c>
      <c r="EG205" s="91" t="str">
        <f t="shared" si="12"/>
      </c>
      <c r="EH205" s="91" t="str">
        <f t="shared" si="12"/>
      </c>
      <c r="EI205" s="91" t="str">
        <f t="shared" si="12"/>
      </c>
      <c r="EJ205" s="91" t="str">
        <f t="shared" si="12"/>
      </c>
      <c r="EK205" s="91" t="str">
        <f t="shared" si="12"/>
      </c>
      <c r="EL205" s="91" t="str">
        <f t="shared" si="12"/>
      </c>
      <c r="EM205" s="91" t="str">
        <f t="shared" si="12"/>
      </c>
      <c r="EN205" s="91" t="str">
        <f t="shared" si="12"/>
      </c>
      <c r="EO205" s="91" t="str">
        <f t="shared" si="12"/>
      </c>
      <c r="EP205" s="91" t="str">
        <f t="shared" si="12"/>
      </c>
      <c r="EQ205" s="91" t="str">
        <f t="shared" si="12"/>
      </c>
      <c r="ER205" s="91" t="str">
        <f t="shared" si="12"/>
      </c>
      <c r="ES205" s="91" t="str">
        <f t="shared" si="12"/>
      </c>
      <c r="ET205" s="91" t="str">
        <f t="shared" si="12"/>
      </c>
      <c r="EU205" s="91" t="str">
        <f t="shared" si="12"/>
      </c>
      <c r="EV205" s="91" t="str">
        <f t="shared" si="12"/>
      </c>
      <c r="EW205" s="91" t="str">
        <f t="shared" si="12"/>
      </c>
      <c r="EX205" s="91" t="str">
        <f t="shared" si="12"/>
      </c>
      <c r="EY205" s="91" t="str">
        <f t="shared" si="12"/>
      </c>
      <c r="EZ205" s="91" t="str">
        <f t="shared" si="12"/>
      </c>
      <c r="FA205" s="91" t="str">
        <f ref="FA205:HL205" t="shared" si="13">IF(SUM(FA186:FA204)&lt;&gt;0,SUM(FA186:FA204),"")</f>
      </c>
      <c r="FB205" s="91" t="str">
        <f t="shared" si="13"/>
      </c>
      <c r="FC205" s="91" t="str">
        <f t="shared" si="13"/>
      </c>
      <c r="FD205" s="91" t="str">
        <f t="shared" si="13"/>
      </c>
      <c r="FE205" s="91" t="str">
        <f t="shared" si="13"/>
      </c>
      <c r="FF205" s="91" t="str">
        <f t="shared" si="13"/>
      </c>
      <c r="FG205" s="91" t="str">
        <f t="shared" si="13"/>
      </c>
      <c r="FH205" s="91" t="str">
        <f t="shared" si="13"/>
      </c>
      <c r="FI205" s="91" t="str">
        <f t="shared" si="13"/>
      </c>
      <c r="FJ205" s="91" t="str">
        <f t="shared" si="13"/>
      </c>
      <c r="FK205" s="91" t="str">
        <f t="shared" si="13"/>
      </c>
      <c r="FL205" s="91" t="str">
        <f t="shared" si="13"/>
      </c>
      <c r="FM205" s="91" t="str">
        <f t="shared" si="13"/>
      </c>
      <c r="FN205" s="91" t="str">
        <f t="shared" si="13"/>
      </c>
      <c r="FO205" s="91" t="str">
        <f t="shared" si="13"/>
      </c>
      <c r="FP205" s="91" t="str">
        <f t="shared" si="13"/>
      </c>
      <c r="FQ205" s="91" t="str">
        <f t="shared" si="13"/>
      </c>
      <c r="FR205" s="91" t="str">
        <f t="shared" si="13"/>
      </c>
      <c r="FS205" s="91" t="str">
        <f t="shared" si="13"/>
      </c>
      <c r="FT205" s="91" t="str">
        <f t="shared" si="13"/>
      </c>
      <c r="FU205" s="91" t="str">
        <f t="shared" si="13"/>
      </c>
      <c r="FV205" s="91" t="str">
        <f t="shared" si="13"/>
      </c>
      <c r="FW205" s="91" t="str">
        <f t="shared" si="13"/>
      </c>
      <c r="FX205" s="91" t="str">
        <f t="shared" si="13"/>
      </c>
      <c r="FY205" s="91" t="str">
        <f t="shared" si="13"/>
      </c>
      <c r="FZ205" s="91" t="str">
        <f t="shared" si="13"/>
      </c>
      <c r="GA205" s="91" t="str">
        <f t="shared" si="13"/>
      </c>
      <c r="GB205" s="91" t="str">
        <f t="shared" si="13"/>
      </c>
      <c r="GC205" s="91" t="str">
        <f t="shared" si="13"/>
      </c>
      <c r="GD205" s="91" t="str">
        <f t="shared" si="13"/>
      </c>
      <c r="GE205" s="91" t="str">
        <f t="shared" si="13"/>
      </c>
      <c r="GF205" s="91" t="str">
        <f t="shared" si="13"/>
      </c>
      <c r="GG205" s="91" t="str">
        <f t="shared" si="13"/>
      </c>
      <c r="GH205" s="91" t="str">
        <f t="shared" si="13"/>
      </c>
      <c r="GI205" s="91" t="str">
        <f t="shared" si="13"/>
      </c>
      <c r="GJ205" s="91" t="str">
        <f t="shared" si="13"/>
      </c>
      <c r="GK205" s="91" t="str">
        <f t="shared" si="13"/>
      </c>
      <c r="GL205" s="91" t="str">
        <f t="shared" si="13"/>
      </c>
      <c r="GM205" s="91" t="str">
        <f t="shared" si="13"/>
      </c>
      <c r="GN205" s="91" t="str">
        <f t="shared" si="13"/>
      </c>
      <c r="GO205" s="91" t="str">
        <f t="shared" si="13"/>
      </c>
      <c r="GP205" s="91" t="str">
        <f t="shared" si="13"/>
      </c>
      <c r="GQ205" s="91" t="str">
        <f t="shared" si="13"/>
      </c>
      <c r="GR205" s="91" t="str">
        <f t="shared" si="13"/>
      </c>
      <c r="GS205" s="91" t="str">
        <f t="shared" si="13"/>
      </c>
      <c r="GT205" s="91" t="str">
        <f t="shared" si="13"/>
      </c>
      <c r="GU205" s="91" t="str">
        <f t="shared" si="13"/>
      </c>
      <c r="GV205" s="91" t="str">
        <f t="shared" si="13"/>
      </c>
      <c r="GW205" s="91" t="str">
        <f t="shared" si="13"/>
      </c>
      <c r="GX205" s="91" t="str">
        <f t="shared" si="13"/>
      </c>
      <c r="GY205" s="91" t="str">
        <f t="shared" si="13"/>
      </c>
      <c r="GZ205" s="91" t="str">
        <f t="shared" si="13"/>
      </c>
      <c r="HA205" s="91" t="str">
        <f t="shared" si="13"/>
      </c>
      <c r="HB205" s="91" t="str">
        <f t="shared" si="13"/>
      </c>
      <c r="HC205" s="91" t="str">
        <f t="shared" si="13"/>
      </c>
      <c r="HD205" s="91" t="str">
        <f t="shared" si="13"/>
      </c>
      <c r="HE205" s="91" t="str">
        <f t="shared" si="13"/>
      </c>
      <c r="HF205" s="91" t="str">
        <f t="shared" si="13"/>
      </c>
      <c r="HG205" s="91" t="str">
        <f t="shared" si="13"/>
      </c>
      <c r="HH205" s="91" t="str">
        <f t="shared" si="13"/>
      </c>
      <c r="HI205" s="91" t="str">
        <f t="shared" si="13"/>
      </c>
      <c r="HJ205" s="91" t="str">
        <f t="shared" si="13"/>
      </c>
      <c r="HK205" s="91" t="str">
        <f t="shared" si="13"/>
      </c>
      <c r="HL205" s="91" t="str">
        <f t="shared" si="13"/>
      </c>
      <c r="HM205" s="91" t="str">
        <f ref="HM205:IV205" t="shared" si="14">IF(SUM(HM186:HM204)&lt;&gt;0,SUM(HM186:HM204),"")</f>
      </c>
      <c r="HN205" s="91" t="str">
        <f t="shared" si="14"/>
      </c>
      <c r="HO205" s="91" t="str">
        <f t="shared" si="14"/>
      </c>
      <c r="HP205" s="91" t="str">
        <f t="shared" si="14"/>
      </c>
      <c r="HQ205" s="91" t="str">
        <f t="shared" si="14"/>
      </c>
      <c r="HR205" s="91" t="str">
        <f t="shared" si="14"/>
      </c>
      <c r="HS205" s="91" t="str">
        <f t="shared" si="14"/>
      </c>
      <c r="HT205" s="91" t="str">
        <f t="shared" si="14"/>
      </c>
      <c r="HU205" s="91" t="str">
        <f t="shared" si="14"/>
      </c>
      <c r="HV205" s="91" t="str">
        <f t="shared" si="14"/>
      </c>
      <c r="HW205" s="91" t="str">
        <f t="shared" si="14"/>
      </c>
      <c r="HX205" s="91" t="str">
        <f t="shared" si="14"/>
      </c>
      <c r="HY205" s="91" t="str">
        <f t="shared" si="14"/>
      </c>
      <c r="HZ205" s="91" t="str">
        <f t="shared" si="14"/>
      </c>
      <c r="IA205" s="91" t="str">
        <f t="shared" si="14"/>
      </c>
      <c r="IB205" s="91" t="str">
        <f t="shared" si="14"/>
      </c>
      <c r="IC205" s="91" t="str">
        <f t="shared" si="14"/>
      </c>
      <c r="ID205" s="91" t="str">
        <f t="shared" si="14"/>
      </c>
      <c r="IE205" s="91" t="str">
        <f t="shared" si="14"/>
      </c>
      <c r="IF205" s="91" t="str">
        <f t="shared" si="14"/>
      </c>
      <c r="IG205" s="91" t="str">
        <f t="shared" si="14"/>
      </c>
      <c r="IH205" s="91" t="str">
        <f t="shared" si="14"/>
      </c>
      <c r="II205" s="91" t="str">
        <f t="shared" si="14"/>
      </c>
      <c r="IJ205" s="91" t="str">
        <f t="shared" si="14"/>
      </c>
      <c r="IK205" s="91" t="str">
        <f t="shared" si="14"/>
      </c>
      <c r="IL205" s="91" t="str">
        <f t="shared" si="14"/>
      </c>
      <c r="IM205" s="91" t="str">
        <f t="shared" si="14"/>
      </c>
      <c r="IN205" s="91" t="str">
        <f t="shared" si="14"/>
      </c>
      <c r="IO205" s="91" t="str">
        <f t="shared" si="14"/>
      </c>
      <c r="IP205" s="91" t="str">
        <f t="shared" si="14"/>
      </c>
      <c r="IQ205" s="91" t="str">
        <f t="shared" si="14"/>
      </c>
      <c r="IR205" s="91" t="str">
        <f t="shared" si="14"/>
      </c>
      <c r="IS205" s="91" t="str">
        <f t="shared" si="14"/>
      </c>
      <c r="IT205" s="91" t="str">
        <f t="shared" si="14"/>
      </c>
      <c r="IU205" s="91" t="str">
        <f t="shared" si="14"/>
      </c>
      <c r="IV205" s="91" t="str">
        <f t="shared" si="14"/>
      </c>
    </row>
    <row r="206" hidden="1" ht="13.5">
      <c r="N206" s="284"/>
      <c r="O206" s="50"/>
    </row>
    <row r="207" hidden="1" ht="13.5" customHeight="1">
      <c r="A207" s="50"/>
      <c r="B207" s="50"/>
      <c r="C207" s="686" t="s">
        <v>238</v>
      </c>
      <c r="D207" s="687"/>
      <c r="E207" s="687"/>
      <c r="F207" s="687"/>
      <c r="G207" s="687"/>
      <c r="H207" s="687"/>
      <c r="I207" s="687"/>
      <c r="J207" s="687"/>
      <c r="K207" s="687"/>
      <c r="L207" s="687"/>
      <c r="M207" s="687"/>
      <c r="N207" s="687"/>
      <c r="O207" s="687"/>
      <c r="P207" s="687"/>
      <c r="Q207" s="687"/>
      <c r="R207" s="687"/>
      <c r="S207" s="687"/>
      <c r="T207" s="687"/>
      <c r="U207" s="687"/>
      <c r="V207" s="687"/>
      <c r="W207" s="687"/>
      <c r="X207" s="687"/>
      <c r="Y207" s="687"/>
      <c r="Z207" s="687"/>
      <c r="AA207" s="687"/>
      <c r="AB207" s="688"/>
    </row>
    <row r="208" hidden="1" ht="12.75" customHeight="1">
      <c r="A208" s="91"/>
      <c r="C208" s="435" t="str">
        <f> IF(C228&lt;&gt;"",TEXT(AUX!G$1,"dd-MMM-aa"),"")</f>
      </c>
      <c r="D208" s="435" t="str">
        <f> IF(D228&lt;&gt;"",TEXT(AUX!H$1,"dd-MMM-aa"),"")</f>
      </c>
      <c r="E208" s="435" t="str">
        <f> IF(E228&lt;&gt;"",TEXT(AUX!I$1,"dd-MMM-aa"),"")</f>
      </c>
      <c r="F208" s="435" t="str">
        <f> IF(F228&lt;&gt;"",TEXT(AUX!J$1,"dd-MMM-aa"),"")</f>
      </c>
      <c r="G208" s="435" t="str">
        <f> IF(G228&lt;&gt;"",TEXT(AUX!K$1,"dd-MMM-aa"),"")</f>
      </c>
      <c r="H208" s="435" t="str">
        <f> IF(H228&lt;&gt;"",TEXT(AUX!L$1,"dd-MMM-aa"),"")</f>
      </c>
      <c r="I208" s="435" t="str">
        <f> IF(I228&lt;&gt;"",TEXT(AUX!M$1,"dd-MMM-aa"),"")</f>
      </c>
      <c r="J208" s="435" t="str">
        <f> IF(J228&lt;&gt;"",TEXT(AUX!N$1,"dd-MMM-aa"),"")</f>
      </c>
      <c r="K208" s="435" t="str">
        <f> IF(K228&lt;&gt;"",TEXT(AUX!O$1,"dd-MMM-aa"),"")</f>
      </c>
      <c r="L208" s="435" t="str">
        <f> IF(L228&lt;&gt;"",TEXT(AUX!P$1,"dd-MMM-aa"),"")</f>
      </c>
      <c r="M208" s="435" t="str">
        <f> IF(M228&lt;&gt;"",TEXT(AUX!Q$1,"dd-MMM-aa"),"")</f>
      </c>
      <c r="N208" s="435" t="str">
        <f> IF(N228&lt;&gt;"",TEXT(AUX!R$1,"dd-MMM-aa"),"")</f>
      </c>
      <c r="O208" s="435" t="str">
        <f> IF(O228&lt;&gt;"",TEXT(AUX!S$1,"dd-MMM-aa"),"")</f>
      </c>
      <c r="P208" s="435" t="str">
        <f> IF(P228&lt;&gt;"",TEXT(AUX!T$1,"dd-MMM-aa"),"")</f>
      </c>
      <c r="Q208" s="435" t="str">
        <f> IF(Q228&lt;&gt;"",TEXT(AUX!U$1,"dd-MMM-aa"),"")</f>
      </c>
      <c r="R208" s="435" t="str">
        <f> IF(R228&lt;&gt;"",TEXT(AUX!V$1,"dd-MMM-aa"),"")</f>
      </c>
      <c r="S208" s="435" t="str">
        <f> IF(S228&lt;&gt;"",TEXT(AUX!W$1,"dd-MMM-aa"),"")</f>
      </c>
      <c r="T208" s="435" t="str">
        <f> IF(T228&lt;&gt;"",TEXT(AUX!X$1,"dd-MMM-aa"),"")</f>
      </c>
      <c r="U208" s="435" t="str">
        <f> IF(U228&lt;&gt;"",TEXT(AUX!Y$1,"dd-MMM-aa"),"")</f>
      </c>
      <c r="V208" s="435" t="str">
        <f> IF(V228&lt;&gt;"",TEXT(AUX!Z$1,"dd-MMM-aa"),"")</f>
      </c>
      <c r="W208" s="435" t="str">
        <f> IF(W228&lt;&gt;"",TEXT(AUX!AA$1,"dd-MMM-aa"),"")</f>
      </c>
      <c r="X208" s="435" t="str">
        <f> IF(X228&lt;&gt;"",TEXT(AUX!AB$1,"dd-MMM-aa"),"")</f>
      </c>
      <c r="Y208" s="435" t="str">
        <f> IF(Y228&lt;&gt;"",TEXT(AUX!AC$1,"dd-MMM-aa"),"")</f>
      </c>
      <c r="Z208" s="435" t="str">
        <f> IF(Z228&lt;&gt;"",TEXT(AUX!AD$1,"dd-MMM-aa"),"")</f>
      </c>
      <c r="AA208" s="435" t="str">
        <f> IF(AA228&lt;&gt;"",TEXT(AUX!AE$1,"dd-MMM-aa"),"")</f>
      </c>
      <c r="AB208" s="497" t="str">
        <f> IF(AB228&lt;&gt;"",TEXT(AUX!AF$1,"dd-MMM-aa"),"")</f>
      </c>
      <c r="AC208" s="496" t="str">
        <f> IF(AC228&lt;&gt;"",TEXT(AUX!AG$1,"dd-MMM-aa"),"")</f>
      </c>
      <c r="AD208" s="496" t="str">
        <f> IF(AD228&lt;&gt;"",TEXT(AUX!AH$1,"dd-MMM-aa"),"")</f>
      </c>
      <c r="AE208" s="496" t="str">
        <f> IF(AE228&lt;&gt;"",TEXT(AUX!AI$1,"dd-MMM-aa"),"")</f>
      </c>
      <c r="AF208" s="496" t="str">
        <f> IF(AF228&lt;&gt;"",TEXT(AUX!AJ$1,"dd-MMM-aa"),"")</f>
      </c>
      <c r="AG208" s="496" t="str">
        <f> IF(AG228&lt;&gt;"",TEXT(AUX!AK$1,"dd-MMM-aa"),"")</f>
      </c>
      <c r="AH208" s="496" t="str">
        <f> IF(AH228&lt;&gt;"",TEXT(AUX!AL$1,"dd-MMM-aa"),"")</f>
      </c>
      <c r="AI208" s="496" t="str">
        <f> IF(AI228&lt;&gt;"",TEXT(AUX!AM$1,"dd-MMM-aa"),"")</f>
      </c>
      <c r="AJ208" s="496" t="str">
        <f> IF(AJ228&lt;&gt;"",TEXT(AUX!AN$1,"dd-MMM-aa"),"")</f>
      </c>
      <c r="AK208" s="496" t="str">
        <f> IF(AK228&lt;&gt;"",TEXT(AUX!AO$1,"dd-MMM-aa"),"")</f>
      </c>
      <c r="AL208" s="496" t="str">
        <f> IF(AL228&lt;&gt;"",TEXT(AUX!AP$1,"dd-MMM-aa"),"")</f>
      </c>
      <c r="AM208" s="496" t="str">
        <f> IF(AM228&lt;&gt;"",TEXT(AUX!AQ$1,"dd-MMM-aa"),"")</f>
      </c>
      <c r="AN208" s="496" t="str">
        <f> IF(AN228&lt;&gt;"",TEXT(AUX!AR$1,"dd-MMM-aa"),"")</f>
      </c>
      <c r="AO208" s="496" t="str">
        <f> IF(AO228&lt;&gt;"",TEXT(AUX!AS$1,"dd-MMM-aa"),"")</f>
      </c>
      <c r="AP208" s="496" t="str">
        <f> IF(AP228&lt;&gt;"",TEXT(AUX!AT$1,"dd-MMM-aa"),"")</f>
      </c>
      <c r="AQ208" s="496" t="str">
        <f> IF(AQ228&lt;&gt;"",TEXT(AUX!AU$1,"dd-MMM-aa"),"")</f>
      </c>
      <c r="AR208" s="496" t="str">
        <f> IF(AR228&lt;&gt;"",TEXT(AUX!AV$1,"dd-MMM-aa"),"")</f>
      </c>
      <c r="AS208" s="496" t="str">
        <f> IF(AS228&lt;&gt;"",TEXT(AUX!AW$1,"dd-MMM-aa"),"")</f>
      </c>
      <c r="AT208" s="496" t="str">
        <f> IF(AT228&lt;&gt;"",TEXT(AUX!AX$1,"dd-MMM-aa"),"")</f>
      </c>
      <c r="AU208" s="496" t="str">
        <f> IF(AU228&lt;&gt;"",TEXT(AUX!AY$1,"dd-MMM-aa"),"")</f>
      </c>
      <c r="AV208" s="496" t="str">
        <f> IF(AV228&lt;&gt;"",TEXT(AUX!AZ$1,"dd-MMM-aa"),"")</f>
      </c>
      <c r="AW208" s="496" t="str">
        <f> IF(AW228&lt;&gt;"",TEXT(AUX!BA$1,"dd-MMM-aa"),"")</f>
      </c>
      <c r="AX208" s="496" t="str">
        <f> IF(AX228&lt;&gt;"",TEXT(AUX!BB$1,"dd-MMM-aa"),"")</f>
      </c>
      <c r="AY208" s="496" t="str">
        <f> IF(AY228&lt;&gt;"",TEXT(AUX!BC$1,"dd-MMM-aa"),"")</f>
      </c>
      <c r="AZ208" s="496" t="str">
        <f> IF(AZ228&lt;&gt;"",TEXT(AUX!BD$1,"dd-MMM-aa"),"")</f>
      </c>
      <c r="BA208" s="496" t="str">
        <f> IF(BA228&lt;&gt;"",TEXT(AUX!BE$1,"dd-MMM-aa"),"")</f>
      </c>
      <c r="BB208" s="496" t="str">
        <f> IF(BB228&lt;&gt;"",TEXT(AUX!BF$1,"dd-MMM-aa"),"")</f>
      </c>
      <c r="BC208" s="496" t="str">
        <f> IF(BC228&lt;&gt;"",TEXT(AUX!BG$1,"dd-MMM-aa"),"")</f>
      </c>
      <c r="BD208" s="496" t="str">
        <f> IF(BD228&lt;&gt;"",TEXT(AUX!BH$1,"dd-MMM-aa"),"")</f>
      </c>
      <c r="BE208" s="496" t="str">
        <f> IF(BE228&lt;&gt;"",TEXT(AUX!BI$1,"dd-MMM-aa"),"")</f>
      </c>
      <c r="BF208" s="496" t="str">
        <f> IF(BF228&lt;&gt;"",TEXT(AUX!BJ$1,"dd-MMM-aa"),"")</f>
      </c>
      <c r="BG208" s="496" t="str">
        <f> IF(BG228&lt;&gt;"",TEXT(AUX!BK$1,"dd-MMM-aa"),"")</f>
      </c>
      <c r="BH208" s="496" t="str">
        <f> IF(BH228&lt;&gt;"",TEXT(AUX!BL$1,"dd-MMM-aa"),"")</f>
      </c>
      <c r="BI208" s="496" t="str">
        <f> IF(BI228&lt;&gt;"",TEXT(AUX!BM$1,"dd-MMM-aa"),"")</f>
      </c>
      <c r="BJ208" s="496" t="str">
        <f> IF(BJ228&lt;&gt;"",TEXT(AUX!BN$1,"dd-MMM-aa"),"")</f>
      </c>
      <c r="BK208" s="496" t="str">
        <f> IF(BK228&lt;&gt;"",TEXT(AUX!BO$1,"dd-MMM-aa"),"")</f>
      </c>
      <c r="BL208" s="496" t="str">
        <f> IF(BL228&lt;&gt;"",TEXT(AUX!BP$1,"dd-MMM-aa"),"")</f>
      </c>
      <c r="BM208" s="496" t="str">
        <f> IF(BM228&lt;&gt;"",TEXT(AUX!BQ$1,"dd-MMM-aa"),"")</f>
      </c>
      <c r="BN208" s="496" t="str">
        <f> IF(BN228&lt;&gt;"",TEXT(AUX!BR$1,"dd-MMM-aa"),"")</f>
      </c>
      <c r="BO208" s="496" t="str">
        <f> IF(BO228&lt;&gt;"",TEXT(AUX!BS$1,"dd-MMM-aa"),"")</f>
      </c>
      <c r="BP208" s="496" t="str">
        <f> IF(BP228&lt;&gt;"",TEXT(AUX!BT$1,"dd-MMM-aa"),"")</f>
      </c>
      <c r="BQ208" s="496" t="str">
        <f> IF(BQ228&lt;&gt;"",TEXT(AUX!BU$1,"dd-MMM-aa"),"")</f>
      </c>
      <c r="BR208" s="496" t="str">
        <f> IF(BR228&lt;&gt;"",TEXT(AUX!BV$1,"dd-MMM-aa"),"")</f>
      </c>
      <c r="BS208" s="496" t="str">
        <f> IF(BS228&lt;&gt;"",TEXT(AUX!BW$1,"dd-MMM-aa"),"")</f>
      </c>
      <c r="BT208" s="496" t="str">
        <f> IF(BT228&lt;&gt;"",TEXT(AUX!BX$1,"dd-MMM-aa"),"")</f>
      </c>
      <c r="BU208" s="496" t="str">
        <f> IF(BU228&lt;&gt;"",TEXT(AUX!BY$1,"dd-MMM-aa"),"")</f>
      </c>
      <c r="BV208" s="496" t="str">
        <f> IF(BV228&lt;&gt;"",TEXT(AUX!BZ$1,"dd-MMM-aa"),"")</f>
      </c>
      <c r="BW208" s="496" t="str">
        <f> IF(BW228&lt;&gt;"",TEXT(AUX!CA$1,"dd-MMM-aa"),"")</f>
      </c>
      <c r="BX208" s="496" t="str">
        <f> IF(BX228&lt;&gt;"",TEXT(AUX!CB$1,"dd-MMM-aa"),"")</f>
      </c>
      <c r="BY208" s="496" t="str">
        <f> IF(BY228&lt;&gt;"",TEXT(AUX!CC$1,"dd-MMM-aa"),"")</f>
      </c>
      <c r="BZ208" s="496" t="str">
        <f> IF(BZ228&lt;&gt;"",TEXT(AUX!CD$1,"dd-MMM-aa"),"")</f>
      </c>
      <c r="CA208" s="496" t="str">
        <f> IF(CA228&lt;&gt;"",TEXT(AUX!CE$1,"dd-MMM-aa"),"")</f>
      </c>
      <c r="CB208" s="496" t="str">
        <f> IF(CB228&lt;&gt;"",TEXT(AUX!CF$1,"dd-MMM-aa"),"")</f>
      </c>
      <c r="CC208" s="496" t="str">
        <f> IF(CC228&lt;&gt;"",TEXT(AUX!CG$1,"dd-MMM-aa"),"")</f>
      </c>
      <c r="CD208" s="496" t="str">
        <f> IF(CD228&lt;&gt;"",TEXT(AUX!CH$1,"dd-MMM-aa"),"")</f>
      </c>
      <c r="CE208" s="496" t="str">
        <f> IF(CE228&lt;&gt;"",TEXT(AUX!CI$1,"dd-MMM-aa"),"")</f>
      </c>
      <c r="CF208" s="496" t="str">
        <f> IF(CF228&lt;&gt;"",TEXT(AUX!CJ$1,"dd-MMM-aa"),"")</f>
      </c>
      <c r="CG208" s="496" t="str">
        <f> IF(CG228&lt;&gt;"",TEXT(AUX!CK$1,"dd-MMM-aa"),"")</f>
      </c>
      <c r="CH208" s="496" t="str">
        <f> IF(CH228&lt;&gt;"",TEXT(AUX!CL$1,"dd-MMM-aa"),"")</f>
      </c>
      <c r="CI208" s="496" t="str">
        <f> IF(CI228&lt;&gt;"",TEXT(AUX!CM$1,"dd-MMM-aa"),"")</f>
      </c>
      <c r="CJ208" s="496" t="str">
        <f> IF(CJ228&lt;&gt;"",TEXT(AUX!CN$1,"dd-MMM-aa"),"")</f>
      </c>
      <c r="CK208" s="496" t="str">
        <f> IF(CK228&lt;&gt;"",TEXT(AUX!CO$1,"dd-MMM-aa"),"")</f>
      </c>
      <c r="CL208" s="496" t="str">
        <f> IF(CL228&lt;&gt;"",TEXT(AUX!CP$1,"dd-MMM-aa"),"")</f>
      </c>
      <c r="CM208" s="496" t="str">
        <f> IF(CM228&lt;&gt;"",TEXT(AUX!CQ$1,"dd-MMM-aa"),"")</f>
      </c>
      <c r="CN208" s="496" t="str">
        <f> IF(CN228&lt;&gt;"",TEXT(AUX!CR$1,"dd-MMM-aa"),"")</f>
      </c>
      <c r="CO208" s="496" t="str">
        <f> IF(CO228&lt;&gt;"",TEXT(AUX!CS$1,"dd-MMM-aa"),"")</f>
      </c>
      <c r="CP208" s="496" t="str">
        <f> IF(CP228&lt;&gt;"",TEXT(AUX!CT$1,"dd-MMM-aa"),"")</f>
      </c>
      <c r="CQ208" s="496" t="str">
        <f> IF(CQ228&lt;&gt;"",TEXT(AUX!CU$1,"dd-MMM-aa"),"")</f>
      </c>
      <c r="CR208" s="496" t="str">
        <f> IF(CR228&lt;&gt;"",TEXT(AUX!CV$1,"dd-MMM-aa"),"")</f>
      </c>
      <c r="CS208" s="496" t="str">
        <f> IF(CS228&lt;&gt;"",TEXT(AUX!CW$1,"dd-MMM-aa"),"")</f>
      </c>
      <c r="CT208" s="496" t="str">
        <f> IF(CT228&lt;&gt;"",TEXT(AUX!CX$1,"dd-MMM-aa"),"")</f>
      </c>
      <c r="CU208" s="496" t="str">
        <f> IF(CU228&lt;&gt;"",TEXT(AUX!CY$1,"dd-MMM-aa"),"")</f>
      </c>
      <c r="CV208" s="496" t="str">
        <f> IF(CV228&lt;&gt;"",TEXT(AUX!CZ$1,"dd-MMM-aa"),"")</f>
      </c>
      <c r="CW208" s="496" t="str">
        <f> IF(CW228&lt;&gt;"",TEXT(AUX!DA$1,"dd-MMM-aa"),"")</f>
      </c>
      <c r="CX208" s="496" t="str">
        <f> IF(CX228&lt;&gt;"",TEXT(AUX!DB$1,"dd-MMM-aa"),"")</f>
      </c>
      <c r="CY208" s="496" t="str">
        <f> IF(CY228&lt;&gt;"",TEXT(AUX!DC$1,"dd-MMM-aa"),"")</f>
      </c>
      <c r="CZ208" s="496" t="str">
        <f> IF(CZ228&lt;&gt;"",TEXT(AUX!DD$1,"dd-MMM-aa"),"")</f>
      </c>
      <c r="DA208" s="496" t="str">
        <f> IF(DA228&lt;&gt;"",TEXT(AUX!DE$1,"dd-MMM-aa"),"")</f>
      </c>
      <c r="DB208" s="496" t="str">
        <f> IF(DB228&lt;&gt;"",TEXT(AUX!DF$1,"dd-MMM-aa"),"")</f>
      </c>
      <c r="DC208" s="496" t="str">
        <f> IF(DC228&lt;&gt;"",TEXT(AUX!DG$1,"dd-MMM-aa"),"")</f>
      </c>
      <c r="DD208" s="496" t="str">
        <f> IF(DD228&lt;&gt;"",TEXT(AUX!DH$1,"dd-MMM-aa"),"")</f>
      </c>
      <c r="DE208" s="496" t="str">
        <f> IF(DE228&lt;&gt;"",TEXT(AUX!DI$1,"dd-MMM-aa"),"")</f>
      </c>
      <c r="DF208" s="496" t="str">
        <f> IF(DF228&lt;&gt;"",TEXT(AUX!DJ$1,"dd-MMM-aa"),"")</f>
      </c>
      <c r="DG208" s="496" t="str">
        <f> IF(DG228&lt;&gt;"",TEXT(AUX!DK$1,"dd-MMM-aa"),"")</f>
      </c>
      <c r="DH208" s="496" t="str">
        <f> IF(DH228&lt;&gt;"",TEXT(AUX!DL$1,"dd-MMM-aa"),"")</f>
      </c>
      <c r="DI208" s="496" t="str">
        <f> IF(DI228&lt;&gt;"",TEXT(AUX!DM$1,"dd-MMM-aa"),"")</f>
      </c>
      <c r="DJ208" s="496" t="str">
        <f> IF(DJ228&lt;&gt;"",TEXT(AUX!DN$1,"dd-MMM-aa"),"")</f>
      </c>
      <c r="DK208" s="496" t="str">
        <f> IF(DK228&lt;&gt;"",TEXT(AUX!DO$1,"dd-MMM-aa"),"")</f>
      </c>
      <c r="DL208" s="496" t="str">
        <f> IF(DL228&lt;&gt;"",TEXT(AUX!DP$1,"dd-MMM-aa"),"")</f>
      </c>
      <c r="DM208" s="496" t="str">
        <f> IF(DM228&lt;&gt;"",TEXT(AUX!DQ$1,"dd-MMM-aa"),"")</f>
      </c>
      <c r="DN208" s="496" t="str">
        <f> IF(DN228&lt;&gt;"",TEXT(AUX!DR$1,"dd-MMM-aa"),"")</f>
      </c>
      <c r="DO208" s="496" t="str">
        <f> IF(DO228&lt;&gt;"",TEXT(AUX!DS$1,"dd-MMM-aa"),"")</f>
      </c>
      <c r="DP208" s="496" t="str">
        <f> IF(DP228&lt;&gt;"",TEXT(AUX!DT$1,"dd-MMM-aa"),"")</f>
      </c>
      <c r="DQ208" s="496" t="str">
        <f> IF(DQ228&lt;&gt;"",TEXT(AUX!DU$1,"dd-MMM-aa"),"")</f>
      </c>
      <c r="DR208" s="496" t="str">
        <f> IF(DR228&lt;&gt;"",TEXT(AUX!DV$1,"dd-MMM-aa"),"")</f>
      </c>
      <c r="DS208" s="496" t="str">
        <f> IF(DS228&lt;&gt;"",TEXT(AUX!DW$1,"dd-MMM-aa"),"")</f>
      </c>
      <c r="DT208" s="496" t="str">
        <f> IF(DT228&lt;&gt;"",TEXT(AUX!DX$1,"dd-MMM-aa"),"")</f>
      </c>
      <c r="DU208" s="496" t="str">
        <f> IF(DU228&lt;&gt;"",TEXT(AUX!DY$1,"dd-MMM-aa"),"")</f>
      </c>
      <c r="DV208" s="496" t="str">
        <f> IF(DV228&lt;&gt;"",TEXT(AUX!DZ$1,"dd-MMM-aa"),"")</f>
      </c>
      <c r="DW208" s="496" t="str">
        <f> IF(DW228&lt;&gt;"",TEXT(AUX!EA$1,"dd-MMM-aa"),"")</f>
      </c>
      <c r="DX208" s="496" t="str">
        <f> IF(DX228&lt;&gt;"",TEXT(AUX!EB$1,"dd-MMM-aa"),"")</f>
      </c>
      <c r="DY208" s="496" t="str">
        <f> IF(DY228&lt;&gt;"",TEXT(AUX!EC$1,"dd-MMM-aa"),"")</f>
      </c>
      <c r="DZ208" s="496" t="str">
        <f> IF(DZ228&lt;&gt;"",TEXT(AUX!ED$1,"dd-MMM-aa"),"")</f>
      </c>
      <c r="EA208" s="496" t="str">
        <f> IF(EA228&lt;&gt;"",TEXT(AUX!EE$1,"dd-MMM-aa"),"")</f>
      </c>
      <c r="EB208" s="496" t="str">
        <f> IF(EB228&lt;&gt;"",TEXT(AUX!EF$1,"dd-MMM-aa"),"")</f>
      </c>
      <c r="EC208" s="496" t="str">
        <f> IF(EC228&lt;&gt;"",TEXT(AUX!EG$1,"dd-MMM-aa"),"")</f>
      </c>
      <c r="ED208" s="496" t="str">
        <f> IF(ED228&lt;&gt;"",TEXT(AUX!EH$1,"dd-MMM-aa"),"")</f>
      </c>
      <c r="EE208" s="496" t="str">
        <f> IF(EE228&lt;&gt;"",TEXT(AUX!EI$1,"dd-MMM-aa"),"")</f>
      </c>
      <c r="EF208" s="496" t="str">
        <f> IF(EF228&lt;&gt;"",TEXT(AUX!EJ$1,"dd-MMM-aa"),"")</f>
      </c>
      <c r="EG208" s="496" t="str">
        <f> IF(EG228&lt;&gt;"",TEXT(AUX!EK$1,"dd-MMM-aa"),"")</f>
      </c>
      <c r="EH208" s="496" t="str">
        <f> IF(EH228&lt;&gt;"",TEXT(AUX!EL$1,"dd-MMM-aa"),"")</f>
      </c>
      <c r="EI208" s="496" t="str">
        <f> IF(EI228&lt;&gt;"",TEXT(AUX!EM$1,"dd-MMM-aa"),"")</f>
      </c>
      <c r="EJ208" s="496" t="str">
        <f> IF(EJ228&lt;&gt;"",TEXT(AUX!EN$1,"dd-MMM-aa"),"")</f>
      </c>
      <c r="EK208" s="496" t="str">
        <f> IF(EK228&lt;&gt;"",TEXT(AUX!EO$1,"dd-MMM-aa"),"")</f>
      </c>
      <c r="EL208" s="496" t="str">
        <f> IF(EL228&lt;&gt;"",TEXT(AUX!EP$1,"dd-MMM-aa"),"")</f>
      </c>
      <c r="EM208" s="496" t="str">
        <f> IF(EM228&lt;&gt;"",TEXT(AUX!EQ$1,"dd-MMM-aa"),"")</f>
      </c>
      <c r="EN208" s="496" t="str">
        <f> IF(EN228&lt;&gt;"",TEXT(AUX!ER$1,"dd-MMM-aa"),"")</f>
      </c>
      <c r="EO208" s="496" t="str">
        <f> IF(EO228&lt;&gt;"",TEXT(AUX!ES$1,"dd-MMM-aa"),"")</f>
      </c>
      <c r="EP208" s="496" t="str">
        <f> IF(EP228&lt;&gt;"",TEXT(AUX!ET$1,"dd-MMM-aa"),"")</f>
      </c>
      <c r="EQ208" s="496" t="str">
        <f> IF(EQ228&lt;&gt;"",TEXT(AUX!EU$1,"dd-MMM-aa"),"")</f>
      </c>
      <c r="ER208" s="496" t="str">
        <f> IF(ER228&lt;&gt;"",TEXT(AUX!EV$1,"dd-MMM-aa"),"")</f>
      </c>
      <c r="ES208" s="496" t="str">
        <f> IF(ES228&lt;&gt;"",TEXT(AUX!EW$1,"dd-MMM-aa"),"")</f>
      </c>
      <c r="ET208" s="496" t="str">
        <f> IF(ET228&lt;&gt;"",TEXT(AUX!EX$1,"dd-MMM-aa"),"")</f>
      </c>
      <c r="EU208" s="496" t="str">
        <f> IF(EU228&lt;&gt;"",TEXT(AUX!EY$1,"dd-MMM-aa"),"")</f>
      </c>
      <c r="EV208" s="496" t="str">
        <f> IF(EV228&lt;&gt;"",TEXT(AUX!EZ$1,"dd-MMM-aa"),"")</f>
      </c>
      <c r="EW208" s="496" t="str">
        <f> IF(EW228&lt;&gt;"",TEXT(AUX!FA$1,"dd-MMM-aa"),"")</f>
      </c>
      <c r="EX208" s="496" t="str">
        <f> IF(EX228&lt;&gt;"",TEXT(AUX!FB$1,"dd-MMM-aa"),"")</f>
      </c>
      <c r="EY208" s="496" t="str">
        <f> IF(EY228&lt;&gt;"",TEXT(AUX!FC$1,"dd-MMM-aa"),"")</f>
      </c>
      <c r="EZ208" s="496" t="str">
        <f> IF(EZ228&lt;&gt;"",TEXT(AUX!FD$1,"dd-MMM-aa"),"")</f>
      </c>
      <c r="FA208" s="496" t="str">
        <f> IF(FA228&lt;&gt;"",TEXT(AUX!FE$1,"dd-MMM-aa"),"")</f>
      </c>
      <c r="FB208" s="496" t="str">
        <f> IF(FB228&lt;&gt;"",TEXT(AUX!FF$1,"dd-MMM-aa"),"")</f>
      </c>
      <c r="FC208" s="496" t="str">
        <f> IF(FC228&lt;&gt;"",TEXT(AUX!FG$1,"dd-MMM-aa"),"")</f>
      </c>
      <c r="FD208" s="496" t="str">
        <f> IF(FD228&lt;&gt;"",TEXT(AUX!FH$1,"dd-MMM-aa"),"")</f>
      </c>
      <c r="FE208" s="496" t="str">
        <f> IF(FE228&lt;&gt;"",TEXT(AUX!FI$1,"dd-MMM-aa"),"")</f>
      </c>
      <c r="FF208" s="496" t="str">
        <f> IF(FF228&lt;&gt;"",TEXT(AUX!FJ$1,"dd-MMM-aa"),"")</f>
      </c>
      <c r="FG208" s="496" t="str">
        <f> IF(FG228&lt;&gt;"",TEXT(AUX!FK$1,"dd-MMM-aa"),"")</f>
      </c>
      <c r="FH208" s="496" t="str">
        <f> IF(FH228&lt;&gt;"",TEXT(AUX!FL$1,"dd-MMM-aa"),"")</f>
      </c>
      <c r="FI208" s="496" t="str">
        <f> IF(FI228&lt;&gt;"",TEXT(AUX!FM$1,"dd-MMM-aa"),"")</f>
      </c>
      <c r="FJ208" s="496" t="str">
        <f> IF(FJ228&lt;&gt;"",TEXT(AUX!FN$1,"dd-MMM-aa"),"")</f>
      </c>
      <c r="FK208" s="496" t="str">
        <f> IF(FK228&lt;&gt;"",TEXT(AUX!FO$1,"dd-MMM-aa"),"")</f>
      </c>
      <c r="FL208" s="496" t="str">
        <f> IF(FL228&lt;&gt;"",TEXT(AUX!FP$1,"dd-MMM-aa"),"")</f>
      </c>
      <c r="FM208" s="496" t="str">
        <f> IF(FM228&lt;&gt;"",TEXT(AUX!FQ$1,"dd-MMM-aa"),"")</f>
      </c>
      <c r="FN208" s="496" t="str">
        <f> IF(FN228&lt;&gt;"",TEXT(AUX!FR$1,"dd-MMM-aa"),"")</f>
      </c>
      <c r="FO208" s="496" t="str">
        <f> IF(FO228&lt;&gt;"",TEXT(AUX!FS$1,"dd-MMM-aa"),"")</f>
      </c>
      <c r="FP208" s="496" t="str">
        <f> IF(FP228&lt;&gt;"",TEXT(AUX!FT$1,"dd-MMM-aa"),"")</f>
      </c>
      <c r="FQ208" s="496" t="str">
        <f> IF(FQ228&lt;&gt;"",TEXT(AUX!FU$1,"dd-MMM-aa"),"")</f>
      </c>
      <c r="FR208" s="496" t="str">
        <f> IF(FR228&lt;&gt;"",TEXT(AUX!FV$1,"dd-MMM-aa"),"")</f>
      </c>
      <c r="FS208" s="496" t="str">
        <f> IF(FS228&lt;&gt;"",TEXT(AUX!FW$1,"dd-MMM-aa"),"")</f>
      </c>
      <c r="FT208" s="496" t="str">
        <f> IF(FT228&lt;&gt;"",TEXT(AUX!FX$1,"dd-MMM-aa"),"")</f>
      </c>
      <c r="FU208" s="496" t="str">
        <f> IF(FU228&lt;&gt;"",TEXT(AUX!FY$1,"dd-MMM-aa"),"")</f>
      </c>
      <c r="FV208" s="496" t="str">
        <f> IF(FV228&lt;&gt;"",TEXT(AUX!FZ$1,"dd-MMM-aa"),"")</f>
      </c>
      <c r="FW208" s="496" t="str">
        <f> IF(FW228&lt;&gt;"",TEXT(AUX!GA$1,"dd-MMM-aa"),"")</f>
      </c>
      <c r="FX208" s="496" t="str">
        <f> IF(FX228&lt;&gt;"",TEXT(AUX!GB$1,"dd-MMM-aa"),"")</f>
      </c>
      <c r="FY208" s="496" t="str">
        <f> IF(FY228&lt;&gt;"",TEXT(AUX!GC$1,"dd-MMM-aa"),"")</f>
      </c>
      <c r="FZ208" s="496" t="str">
        <f> IF(FZ228&lt;&gt;"",TEXT(AUX!GD$1,"dd-MMM-aa"),"")</f>
      </c>
      <c r="GA208" s="496" t="str">
        <f> IF(GA228&lt;&gt;"",TEXT(AUX!GE$1,"dd-MMM-aa"),"")</f>
      </c>
      <c r="GB208" s="496" t="str">
        <f> IF(GB228&lt;&gt;"",TEXT(AUX!GF$1,"dd-MMM-aa"),"")</f>
      </c>
      <c r="GC208" s="496" t="str">
        <f> IF(GC228&lt;&gt;"",TEXT(AUX!GG$1,"dd-MMM-aa"),"")</f>
      </c>
      <c r="GD208" s="496" t="str">
        <f> IF(GD228&lt;&gt;"",TEXT(AUX!GH$1,"dd-MMM-aa"),"")</f>
      </c>
      <c r="GE208" s="496" t="str">
        <f> IF(GE228&lt;&gt;"",TEXT(AUX!GI$1,"dd-MMM-aa"),"")</f>
      </c>
      <c r="GF208" s="496" t="str">
        <f> IF(GF228&lt;&gt;"",TEXT(AUX!GJ$1,"dd-MMM-aa"),"")</f>
      </c>
      <c r="GG208" s="496" t="str">
        <f> IF(GG228&lt;&gt;"",TEXT(AUX!GK$1,"dd-MMM-aa"),"")</f>
      </c>
      <c r="GH208" s="496" t="str">
        <f> IF(GH228&lt;&gt;"",TEXT(AUX!GL$1,"dd-MMM-aa"),"")</f>
      </c>
      <c r="GI208" s="496" t="str">
        <f> IF(GI228&lt;&gt;"",TEXT(AUX!GM$1,"dd-MMM-aa"),"")</f>
      </c>
      <c r="GJ208" s="496" t="str">
        <f> IF(GJ228&lt;&gt;"",TEXT(AUX!GN$1,"dd-MMM-aa"),"")</f>
      </c>
      <c r="GK208" s="496" t="str">
        <f> IF(GK228&lt;&gt;"",TEXT(AUX!GO$1,"dd-MMM-aa"),"")</f>
      </c>
      <c r="GL208" s="496" t="str">
        <f> IF(GL228&lt;&gt;"",TEXT(AUX!GP$1,"dd-MMM-aa"),"")</f>
      </c>
      <c r="GM208" s="496" t="str">
        <f> IF(GM228&lt;&gt;"",TEXT(AUX!GQ$1,"dd-MMM-aa"),"")</f>
      </c>
      <c r="GN208" s="496" t="str">
        <f> IF(GN228&lt;&gt;"",TEXT(AUX!GR$1,"dd-MMM-aa"),"")</f>
      </c>
      <c r="GO208" s="496" t="str">
        <f> IF(GO228&lt;&gt;"",TEXT(AUX!GS$1,"dd-MMM-aa"),"")</f>
      </c>
      <c r="GP208" s="496" t="str">
        <f> IF(GP228&lt;&gt;"",TEXT(AUX!GT$1,"dd-MMM-aa"),"")</f>
      </c>
      <c r="GQ208" s="496" t="str">
        <f> IF(GQ228&lt;&gt;"",TEXT(AUX!GU$1,"dd-MMM-aa"),"")</f>
      </c>
      <c r="GR208" s="496" t="str">
        <f> IF(GR228&lt;&gt;"",TEXT(AUX!GV$1,"dd-MMM-aa"),"")</f>
      </c>
      <c r="GS208" s="496" t="str">
        <f> IF(GS228&lt;&gt;"",TEXT(AUX!GW$1,"dd-MMM-aa"),"")</f>
      </c>
      <c r="GT208" s="496" t="str">
        <f> IF(GT228&lt;&gt;"",TEXT(AUX!GX$1,"dd-MMM-aa"),"")</f>
      </c>
      <c r="GU208" s="496" t="str">
        <f> IF(GU228&lt;&gt;"",TEXT(AUX!GY$1,"dd-MMM-aa"),"")</f>
      </c>
      <c r="GV208" s="496" t="str">
        <f> IF(GV228&lt;&gt;"",TEXT(AUX!GZ$1,"dd-MMM-aa"),"")</f>
      </c>
      <c r="GW208" s="496" t="str">
        <f> IF(GW228&lt;&gt;"",TEXT(AUX!HA$1,"dd-MMM-aa"),"")</f>
      </c>
      <c r="GX208" s="496" t="str">
        <f> IF(GX228&lt;&gt;"",TEXT(AUX!HB$1,"dd-MMM-aa"),"")</f>
      </c>
      <c r="GY208" s="496" t="str">
        <f> IF(GY228&lt;&gt;"",TEXT(AUX!HC$1,"dd-MMM-aa"),"")</f>
      </c>
      <c r="GZ208" s="496" t="str">
        <f> IF(GZ228&lt;&gt;"",TEXT(AUX!HD$1,"dd-MMM-aa"),"")</f>
      </c>
      <c r="HA208" s="496" t="str">
        <f> IF(HA228&lt;&gt;"",TEXT(AUX!HE$1,"dd-MMM-aa"),"")</f>
      </c>
      <c r="HB208" s="496" t="str">
        <f> IF(HB228&lt;&gt;"",TEXT(AUX!HF$1,"dd-MMM-aa"),"")</f>
      </c>
      <c r="HC208" s="496" t="str">
        <f> IF(HC228&lt;&gt;"",TEXT(AUX!HG$1,"dd-MMM-aa"),"")</f>
      </c>
      <c r="HD208" s="496" t="str">
        <f> IF(HD228&lt;&gt;"",TEXT(AUX!HH$1,"dd-MMM-aa"),"")</f>
      </c>
      <c r="HE208" s="496" t="str">
        <f> IF(HE228&lt;&gt;"",TEXT(AUX!HI$1,"dd-MMM-aa"),"")</f>
      </c>
      <c r="HF208" s="496" t="str">
        <f> IF(HF228&lt;&gt;"",TEXT(AUX!HJ$1,"dd-MMM-aa"),"")</f>
      </c>
      <c r="HG208" s="496" t="str">
        <f> IF(HG228&lt;&gt;"",TEXT(AUX!HK$1,"dd-MMM-aa"),"")</f>
      </c>
      <c r="HH208" s="496" t="str">
        <f> IF(HH228&lt;&gt;"",TEXT(AUX!HL$1,"dd-MMM-aa"),"")</f>
      </c>
      <c r="HI208" s="496" t="str">
        <f> IF(HI228&lt;&gt;"",TEXT(AUX!HM$1,"dd-MMM-aa"),"")</f>
      </c>
      <c r="HJ208" s="496" t="str">
        <f> IF(HJ228&lt;&gt;"",TEXT(AUX!HN$1,"dd-MMM-aa"),"")</f>
      </c>
      <c r="HK208" s="496" t="str">
        <f> IF(HK228&lt;&gt;"",TEXT(AUX!HO$1,"dd-MMM-aa"),"")</f>
      </c>
      <c r="HL208" s="496" t="str">
        <f> IF(HL228&lt;&gt;"",TEXT(AUX!HP$1,"dd-MMM-aa"),"")</f>
      </c>
      <c r="HM208" s="496" t="str">
        <f> IF(HM228&lt;&gt;"",TEXT(AUX!HQ$1,"dd-MMM-aa"),"")</f>
      </c>
      <c r="HN208" s="496" t="str">
        <f> IF(HN228&lt;&gt;"",TEXT(AUX!HR$1,"dd-MMM-aa"),"")</f>
      </c>
      <c r="HO208" s="496" t="str">
        <f> IF(HO228&lt;&gt;"",TEXT(AUX!HS$1,"dd-MMM-aa"),"")</f>
      </c>
      <c r="HP208" s="496" t="str">
        <f> IF(HP228&lt;&gt;"",TEXT(AUX!HT$1,"dd-MMM-aa"),"")</f>
      </c>
      <c r="HQ208" s="496" t="str">
        <f> IF(HQ228&lt;&gt;"",TEXT(AUX!HU$1,"dd-MMM-aa"),"")</f>
      </c>
      <c r="HR208" s="496" t="str">
        <f> IF(HR228&lt;&gt;"",TEXT(AUX!HV$1,"dd-MMM-aa"),"")</f>
      </c>
      <c r="HS208" s="496" t="str">
        <f> IF(HS228&lt;&gt;"",TEXT(AUX!HW$1,"dd-MMM-aa"),"")</f>
      </c>
      <c r="HT208" s="496" t="str">
        <f> IF(HT228&lt;&gt;"",TEXT(AUX!HX$1,"dd-MMM-aa"),"")</f>
      </c>
      <c r="HU208" s="496" t="str">
        <f> IF(HU228&lt;&gt;"",TEXT(AUX!HY$1,"dd-MMM-aa"),"")</f>
      </c>
      <c r="HV208" s="496" t="str">
        <f> IF(HV228&lt;&gt;"",TEXT(AUX!HZ$1,"dd-MMM-aa"),"")</f>
      </c>
      <c r="HW208" s="496" t="str">
        <f> IF(HW228&lt;&gt;"",TEXT(AUX!IA$1,"dd-MMM-aa"),"")</f>
      </c>
      <c r="HX208" s="496" t="str">
        <f> IF(HX228&lt;&gt;"",TEXT(AUX!IB$1,"dd-MMM-aa"),"")</f>
      </c>
      <c r="HY208" s="496" t="str">
        <f> IF(HY228&lt;&gt;"",TEXT(AUX!IC$1,"dd-MMM-aa"),"")</f>
      </c>
      <c r="HZ208" s="496" t="str">
        <f> IF(HZ228&lt;&gt;"",TEXT(AUX!ID$1,"dd-MMM-aa"),"")</f>
      </c>
      <c r="IA208" s="496" t="str">
        <f> IF(IA228&lt;&gt;"",TEXT(AUX!IE$1,"dd-MMM-aa"),"")</f>
      </c>
      <c r="IB208" s="496" t="str">
        <f> IF(IB228&lt;&gt;"",TEXT(AUX!IF$1,"dd-MMM-aa"),"")</f>
      </c>
      <c r="IC208" s="496" t="str">
        <f> IF(IC228&lt;&gt;"",TEXT(AUX!IG$1,"dd-MMM-aa"),"")</f>
      </c>
      <c r="ID208" s="496" t="str">
        <f> IF(ID228&lt;&gt;"",TEXT(AUX!IH$1,"dd-MMM-aa"),"")</f>
      </c>
      <c r="IE208" s="496" t="str">
        <f> IF(IE228&lt;&gt;"",TEXT(AUX!II$1,"dd-MMM-aa"),"")</f>
      </c>
      <c r="IF208" s="496" t="str">
        <f> IF(IF228&lt;&gt;"",TEXT(AUX!IJ$1,"dd-MMM-aa"),"")</f>
      </c>
      <c r="IG208" s="496" t="str">
        <f> IF(IG228&lt;&gt;"",TEXT(AUX!IK$1,"dd-MMM-aa"),"")</f>
      </c>
      <c r="IH208" s="496" t="str">
        <f> IF(IH228&lt;&gt;"",TEXT(AUX!IL$1,"dd-MMM-aa"),"")</f>
      </c>
      <c r="II208" s="496" t="str">
        <f> IF(II228&lt;&gt;"",TEXT(AUX!IM$1,"dd-MMM-aa"),"")</f>
      </c>
      <c r="IJ208" s="496" t="str">
        <f> IF(IJ228&lt;&gt;"",TEXT(AUX!IN$1,"dd-MMM-aa"),"")</f>
      </c>
      <c r="IK208" s="496" t="str">
        <f> IF(IK228&lt;&gt;"",TEXT(AUX!IO$1,"dd-MMM-aa"),"")</f>
      </c>
      <c r="IL208" s="496" t="str">
        <f> IF(IL228&lt;&gt;"",TEXT(AUX!IP$1,"dd-MMM-aa"),"")</f>
      </c>
      <c r="IM208" s="496" t="str">
        <f> IF(IM228&lt;&gt;"",TEXT(AUX!IQ$1,"dd-MMM-aa"),"")</f>
      </c>
      <c r="IN208" s="496" t="str">
        <f> IF(IN228&lt;&gt;"",TEXT(AUX!IR$1,"dd-MMM-aa"),"")</f>
      </c>
      <c r="IO208" s="496" t="str">
        <f> IF(IO228&lt;&gt;"",TEXT(AUX!IS$1,"dd-MMM-aa"),"")</f>
      </c>
      <c r="IP208" s="496" t="str">
        <f> IF(IP228&lt;&gt;"",TEXT(AUX!IT$1,"dd-MMM-aa"),"")</f>
      </c>
      <c r="IQ208" s="496" t="str">
        <f> IF(IQ228&lt;&gt;"",TEXT(AUX!IU$1,"dd-MMM-aa"),"")</f>
      </c>
      <c r="IR208" s="496" t="str">
        <f> IF(IR228&lt;&gt;"",TEXT(AUX!IV$1,"dd-MMM-aa"),"")</f>
      </c>
      <c r="IS208" s="496" t="str">
        <f> IF(IS228&lt;&gt;"",TEXT(AUX!#REF!,"dd-MMM-aa"),"")</f>
      </c>
      <c r="IT208" s="496" t="str">
        <f> IF(IT228&lt;&gt;"",TEXT(AUX!#REF!,"dd-MMM-aa"),"")</f>
      </c>
      <c r="IU208" s="496" t="str">
        <f> IF(IU228&lt;&gt;"",TEXT(AUX!#REF!,"dd-MMM-aa"),"")</f>
      </c>
      <c r="IV208" s="496" t="str">
        <f> IF(IV228&lt;&gt;"",TEXT(AUX!#REF!,"dd-MMM-aa"),"")</f>
      </c>
    </row>
    <row r="209" hidden="1">
      <c r="B209" s="833" t="s">
        <v>8</v>
      </c>
      <c r="C209" s="827">
        <v>92619</v>
      </c>
      <c r="D209" s="827">
        <v>85590</v>
      </c>
      <c r="E209" s="827">
        <v>82592</v>
      </c>
      <c r="F209" s="827">
        <v>79438</v>
      </c>
      <c r="G209" s="827">
        <v>75797</v>
      </c>
      <c r="H209" s="827">
        <v>73259</v>
      </c>
      <c r="I209" s="827">
        <v>69686</v>
      </c>
      <c r="J209" s="827">
        <v>67112</v>
      </c>
      <c r="K209" s="827">
        <v>65962</v>
      </c>
      <c r="L209" s="827">
        <v>62998</v>
      </c>
      <c r="M209" s="827">
        <v>62170</v>
      </c>
      <c r="N209" s="827">
        <v>59356</v>
      </c>
      <c r="O209" s="827">
        <v>59237</v>
      </c>
      <c r="P209" s="827">
        <v>57609</v>
      </c>
      <c r="Q209" s="827">
        <v>63474</v>
      </c>
      <c r="R209" s="827">
        <v>62516</v>
      </c>
      <c r="S209" s="827">
        <v>64042</v>
      </c>
      <c r="T209" s="827">
        <v>62608</v>
      </c>
      <c r="U209" s="827">
        <v>65143</v>
      </c>
      <c r="V209" s="827">
        <v>63258</v>
      </c>
      <c r="W209" s="827">
        <v>67015</v>
      </c>
      <c r="X209" s="827">
        <v>67019</v>
      </c>
      <c r="Y209" s="827">
        <v>68313</v>
      </c>
      <c r="Z209" s="827">
        <v>67668</v>
      </c>
      <c r="AA209" s="827">
        <v>69093</v>
      </c>
      <c r="AB209" s="834">
        <v>67142</v>
      </c>
      <c r="AC209" s="828">
        <v>67594</v>
      </c>
      <c r="AD209" s="828">
        <v>68186</v>
      </c>
      <c r="AE209" s="828">
        <v>69617</v>
      </c>
      <c r="AF209" s="828">
        <v>68274</v>
      </c>
      <c r="AG209" s="828">
        <v>69073</v>
      </c>
      <c r="AH209" s="828">
        <v>63551</v>
      </c>
      <c r="AI209" s="828">
        <v>64730</v>
      </c>
      <c r="AJ209" s="828">
        <v>61286</v>
      </c>
      <c r="AK209" s="828">
        <v>61483</v>
      </c>
      <c r="AL209" s="828">
        <v>57355</v>
      </c>
      <c r="AM209" s="828">
        <v>57731</v>
      </c>
      <c r="AN209" s="828">
        <v>54716</v>
      </c>
      <c r="AO209" s="828">
        <v>56639</v>
      </c>
      <c r="AP209" s="828">
        <v>58272</v>
      </c>
    </row>
    <row r="210" hidden="1">
      <c r="B210" s="829" t="s">
        <v>9</v>
      </c>
      <c r="C210" s="823">
        <v>53</v>
      </c>
      <c r="D210" s="823">
        <v>53</v>
      </c>
      <c r="E210" s="823">
        <v>831</v>
      </c>
      <c r="F210" s="823">
        <v>1186</v>
      </c>
      <c r="G210" s="823">
        <v>9057</v>
      </c>
      <c r="H210" s="823">
        <v>9057</v>
      </c>
      <c r="I210" s="823">
        <v>28969</v>
      </c>
      <c r="J210" s="823">
        <v>28455</v>
      </c>
      <c r="K210" s="823">
        <v>36230</v>
      </c>
      <c r="L210" s="823">
        <v>36578</v>
      </c>
      <c r="M210" s="823">
        <v>37064</v>
      </c>
      <c r="N210" s="823">
        <v>36573</v>
      </c>
      <c r="O210" s="823">
        <v>36573</v>
      </c>
      <c r="P210" s="823">
        <v>34912</v>
      </c>
      <c r="Q210" s="823">
        <v>36946</v>
      </c>
      <c r="R210" s="823">
        <v>36220</v>
      </c>
      <c r="S210" s="823">
        <v>35329</v>
      </c>
      <c r="T210" s="823">
        <v>35993</v>
      </c>
      <c r="U210" s="823">
        <v>35883</v>
      </c>
      <c r="V210" s="823">
        <v>34045</v>
      </c>
      <c r="W210" s="823">
        <v>33329</v>
      </c>
      <c r="X210" s="823">
        <v>32915</v>
      </c>
      <c r="Y210" s="823">
        <v>33133</v>
      </c>
      <c r="Z210" s="823">
        <v>32209</v>
      </c>
      <c r="AA210" s="823">
        <v>33837</v>
      </c>
      <c r="AB210" s="823">
        <v>31522</v>
      </c>
      <c r="AC210" s="825">
        <v>32328</v>
      </c>
      <c r="AD210" s="825">
        <v>35003</v>
      </c>
      <c r="AE210" s="825">
        <v>31910</v>
      </c>
      <c r="AF210" s="825">
        <v>30281</v>
      </c>
      <c r="AG210" s="825">
        <v>31001</v>
      </c>
      <c r="AH210" s="825">
        <v>30488</v>
      </c>
      <c r="AI210" s="825">
        <v>31469</v>
      </c>
      <c r="AJ210" s="825">
        <v>32197</v>
      </c>
      <c r="AK210" s="825">
        <v>32163</v>
      </c>
      <c r="AL210" s="825">
        <v>29531</v>
      </c>
      <c r="AM210" s="825">
        <v>28302</v>
      </c>
      <c r="AN210" s="825">
        <v>26501</v>
      </c>
      <c r="AO210" s="825">
        <v>31335</v>
      </c>
      <c r="AP210" s="825">
        <v>38033</v>
      </c>
    </row>
    <row r="211" hidden="1">
      <c r="B211" s="826" t="s">
        <v>10</v>
      </c>
      <c r="C211" s="827">
        <v>4204</v>
      </c>
      <c r="D211" s="827">
        <v>4059</v>
      </c>
      <c r="E211" s="827">
        <v>4512</v>
      </c>
      <c r="F211" s="827">
        <v>4514</v>
      </c>
      <c r="G211" s="827">
        <v>4523</v>
      </c>
      <c r="H211" s="827">
        <v>4516</v>
      </c>
      <c r="I211" s="827">
        <v>4599</v>
      </c>
      <c r="J211" s="827">
        <v>4385</v>
      </c>
      <c r="K211" s="827">
        <v>4533</v>
      </c>
      <c r="L211" s="827">
        <v>4323</v>
      </c>
      <c r="M211" s="827">
        <v>4494</v>
      </c>
      <c r="N211" s="827">
        <v>4508</v>
      </c>
      <c r="O211" s="827">
        <v>4455</v>
      </c>
      <c r="P211" s="827">
        <v>4484</v>
      </c>
      <c r="Q211" s="827">
        <v>4457</v>
      </c>
      <c r="R211" s="827">
        <v>4465</v>
      </c>
      <c r="S211" s="827">
        <v>4513</v>
      </c>
      <c r="T211" s="827">
        <v>4514</v>
      </c>
      <c r="U211" s="827">
        <v>4254</v>
      </c>
      <c r="V211" s="827">
        <v>4039</v>
      </c>
      <c r="W211" s="827">
        <v>3986</v>
      </c>
      <c r="X211" s="827">
        <v>3829</v>
      </c>
      <c r="Y211" s="827">
        <v>3969</v>
      </c>
      <c r="Z211" s="827">
        <v>3951</v>
      </c>
      <c r="AA211" s="827">
        <v>4006</v>
      </c>
      <c r="AB211" s="827">
        <v>4932</v>
      </c>
      <c r="AC211" s="828">
        <v>4250</v>
      </c>
      <c r="AD211" s="828">
        <v>4223</v>
      </c>
      <c r="AE211" s="828">
        <v>5316</v>
      </c>
      <c r="AF211" s="828">
        <v>4973</v>
      </c>
      <c r="AG211" s="828">
        <v>4007</v>
      </c>
      <c r="AH211" s="828">
        <v>3901</v>
      </c>
      <c r="AI211" s="828">
        <v>3935</v>
      </c>
      <c r="AJ211" s="828">
        <v>3883</v>
      </c>
      <c r="AK211" s="828">
        <v>3903</v>
      </c>
      <c r="AL211" s="828">
        <v>3812</v>
      </c>
      <c r="AM211" s="828">
        <v>3840</v>
      </c>
      <c r="AN211" s="828">
        <v>3755</v>
      </c>
      <c r="AO211" s="828">
        <v>3993</v>
      </c>
      <c r="AP211" s="828">
        <v>3887</v>
      </c>
    </row>
    <row r="212" hidden="1">
      <c r="B212" s="829" t="s">
        <v>11</v>
      </c>
      <c r="C212" s="823">
        <v>10178</v>
      </c>
      <c r="D212" s="823">
        <v>10095</v>
      </c>
      <c r="E212" s="823">
        <v>9875</v>
      </c>
      <c r="F212" s="823">
        <v>9827</v>
      </c>
      <c r="G212" s="823">
        <v>9998</v>
      </c>
      <c r="H212" s="823">
        <v>9498</v>
      </c>
      <c r="I212" s="823">
        <v>9136</v>
      </c>
      <c r="J212" s="823">
        <v>9035</v>
      </c>
      <c r="K212" s="823">
        <v>8889</v>
      </c>
      <c r="L212" s="823">
        <v>8778</v>
      </c>
      <c r="M212" s="823">
        <v>8861</v>
      </c>
      <c r="N212" s="823">
        <v>8899</v>
      </c>
      <c r="O212" s="823">
        <v>8993</v>
      </c>
      <c r="P212" s="823">
        <v>8858</v>
      </c>
      <c r="Q212" s="823">
        <v>8450</v>
      </c>
      <c r="R212" s="823">
        <v>8325</v>
      </c>
      <c r="S212" s="823">
        <v>8135</v>
      </c>
      <c r="T212" s="823">
        <v>8123</v>
      </c>
      <c r="U212" s="823">
        <v>7948</v>
      </c>
      <c r="V212" s="823">
        <v>7944</v>
      </c>
      <c r="W212" s="823">
        <v>8407</v>
      </c>
      <c r="X212" s="823">
        <v>8037</v>
      </c>
      <c r="Y212" s="823">
        <v>7816</v>
      </c>
      <c r="Z212" s="823">
        <v>7840</v>
      </c>
      <c r="AA212" s="823">
        <v>7794</v>
      </c>
      <c r="AB212" s="823">
        <v>7774</v>
      </c>
      <c r="AC212" s="825">
        <v>7900</v>
      </c>
      <c r="AD212" s="825">
        <v>7889</v>
      </c>
      <c r="AE212" s="825">
        <v>7903</v>
      </c>
      <c r="AF212" s="825">
        <v>7920</v>
      </c>
      <c r="AG212" s="825">
        <v>7572</v>
      </c>
      <c r="AH212" s="825">
        <v>7735</v>
      </c>
      <c r="AI212" s="825">
        <v>7635</v>
      </c>
      <c r="AJ212" s="825">
        <v>7522</v>
      </c>
      <c r="AK212" s="825">
        <v>7426</v>
      </c>
      <c r="AL212" s="825">
        <v>7427</v>
      </c>
      <c r="AM212" s="825">
        <v>7459</v>
      </c>
      <c r="AN212" s="825">
        <v>7430</v>
      </c>
      <c r="AO212" s="825">
        <v>7262</v>
      </c>
      <c r="AP212" s="825">
        <v>6019</v>
      </c>
    </row>
    <row r="213" hidden="1">
      <c r="B213" s="826" t="s">
        <v>12</v>
      </c>
      <c r="C213" s="827">
        <v>3643</v>
      </c>
      <c r="D213" s="827">
        <v>4038</v>
      </c>
      <c r="E213" s="827">
        <v>4333</v>
      </c>
      <c r="F213" s="827">
        <v>4486</v>
      </c>
      <c r="G213" s="827">
        <v>4507</v>
      </c>
      <c r="H213" s="827">
        <v>4618</v>
      </c>
      <c r="I213" s="827">
        <v>4374</v>
      </c>
      <c r="J213" s="827">
        <v>3642</v>
      </c>
      <c r="K213" s="827">
        <v>3740</v>
      </c>
      <c r="L213" s="827">
        <v>3829</v>
      </c>
      <c r="M213" s="827">
        <v>3599</v>
      </c>
      <c r="N213" s="827">
        <v>3669</v>
      </c>
      <c r="O213" s="827">
        <v>3089</v>
      </c>
      <c r="P213" s="827">
        <v>3042</v>
      </c>
      <c r="Q213" s="827">
        <v>2824</v>
      </c>
      <c r="R213" s="827">
        <v>2731</v>
      </c>
      <c r="S213" s="827">
        <v>2261</v>
      </c>
      <c r="T213" s="827">
        <v>2177</v>
      </c>
      <c r="U213" s="827">
        <v>2108</v>
      </c>
      <c r="V213" s="827">
        <v>2029</v>
      </c>
      <c r="W213" s="827">
        <v>1868</v>
      </c>
      <c r="X213" s="827">
        <v>1926</v>
      </c>
      <c r="Y213" s="827">
        <v>1920</v>
      </c>
      <c r="Z213" s="827">
        <v>1918</v>
      </c>
      <c r="AA213" s="827">
        <v>1878</v>
      </c>
      <c r="AB213" s="827">
        <v>1924</v>
      </c>
      <c r="AC213" s="828">
        <v>1829</v>
      </c>
      <c r="AD213" s="828">
        <v>1844</v>
      </c>
      <c r="AE213" s="828">
        <v>1852</v>
      </c>
      <c r="AF213" s="828">
        <v>1744</v>
      </c>
      <c r="AG213" s="828">
        <v>1704</v>
      </c>
      <c r="AH213" s="828">
        <v>1650</v>
      </c>
      <c r="AI213" s="828">
        <v>1552</v>
      </c>
      <c r="AJ213" s="828">
        <v>1543</v>
      </c>
      <c r="AK213" s="828">
        <v>1452</v>
      </c>
      <c r="AL213" s="828">
        <v>1401</v>
      </c>
      <c r="AM213" s="828">
        <v>1358</v>
      </c>
      <c r="AN213" s="828">
        <v>1324</v>
      </c>
      <c r="AO213" s="828">
        <v>969</v>
      </c>
      <c r="AP213" s="828">
        <v>1173</v>
      </c>
    </row>
    <row r="214" hidden="1">
      <c r="B214" s="829" t="s">
        <v>13</v>
      </c>
      <c r="C214" s="823">
        <v>3163</v>
      </c>
      <c r="D214" s="823">
        <v>3438</v>
      </c>
      <c r="E214" s="823">
        <v>3688</v>
      </c>
      <c r="F214" s="823">
        <v>4032</v>
      </c>
      <c r="G214" s="823">
        <v>3499</v>
      </c>
      <c r="H214" s="823">
        <v>3426</v>
      </c>
      <c r="I214" s="823">
        <v>3723</v>
      </c>
      <c r="J214" s="823">
        <v>5066</v>
      </c>
      <c r="K214" s="823">
        <v>4214</v>
      </c>
      <c r="L214" s="823">
        <v>4213</v>
      </c>
      <c r="M214" s="823">
        <v>4617</v>
      </c>
      <c r="N214" s="823">
        <v>4060</v>
      </c>
      <c r="O214" s="823">
        <v>3889</v>
      </c>
      <c r="P214" s="823">
        <v>3916</v>
      </c>
      <c r="Q214" s="823">
        <v>3549</v>
      </c>
      <c r="R214" s="823">
        <v>2917</v>
      </c>
      <c r="S214" s="823">
        <v>2219</v>
      </c>
      <c r="T214" s="823">
        <v>2463</v>
      </c>
      <c r="U214" s="823">
        <v>3586</v>
      </c>
      <c r="V214" s="823">
        <v>4291</v>
      </c>
      <c r="W214" s="823">
        <v>4296</v>
      </c>
      <c r="X214" s="823">
        <v>4470</v>
      </c>
      <c r="Y214" s="823">
        <v>2921</v>
      </c>
      <c r="Z214" s="823">
        <v>2995</v>
      </c>
      <c r="AA214" s="823">
        <v>2881</v>
      </c>
      <c r="AB214" s="823">
        <v>2911</v>
      </c>
      <c r="AC214" s="825">
        <v>2765</v>
      </c>
      <c r="AD214" s="825">
        <v>2863</v>
      </c>
      <c r="AE214" s="825">
        <v>2689</v>
      </c>
      <c r="AF214" s="825">
        <v>2701</v>
      </c>
      <c r="AG214" s="825">
        <v>2645</v>
      </c>
      <c r="AH214" s="825">
        <v>2565</v>
      </c>
      <c r="AI214" s="825">
        <v>2764</v>
      </c>
      <c r="AJ214" s="825">
        <v>2723</v>
      </c>
      <c r="AK214" s="825">
        <v>2617</v>
      </c>
      <c r="AL214" s="825">
        <v>2505</v>
      </c>
      <c r="AM214" s="825">
        <v>2291</v>
      </c>
      <c r="AN214" s="825">
        <v>2527</v>
      </c>
      <c r="AO214" s="825">
        <v>3056</v>
      </c>
      <c r="AP214" s="825">
        <v>2881</v>
      </c>
    </row>
    <row r="215" hidden="1">
      <c r="B215" s="826" t="s">
        <v>109</v>
      </c>
      <c r="C215" s="827">
        <v>67733</v>
      </c>
      <c r="D215" s="827">
        <v>66852</v>
      </c>
      <c r="E215" s="827">
        <v>66053</v>
      </c>
      <c r="F215" s="827">
        <v>64934</v>
      </c>
      <c r="G215" s="827">
        <v>61564</v>
      </c>
      <c r="H215" s="827">
        <v>59395</v>
      </c>
      <c r="I215" s="827">
        <v>58232</v>
      </c>
      <c r="J215" s="827">
        <v>56179</v>
      </c>
      <c r="K215" s="827">
        <v>57568</v>
      </c>
      <c r="L215" s="827">
        <v>57246</v>
      </c>
      <c r="M215" s="827">
        <v>53970</v>
      </c>
      <c r="N215" s="827">
        <v>53053</v>
      </c>
      <c r="O215" s="827">
        <v>50793</v>
      </c>
      <c r="P215" s="827">
        <v>50780</v>
      </c>
      <c r="Q215" s="827">
        <v>52527</v>
      </c>
      <c r="R215" s="827">
        <v>52225</v>
      </c>
      <c r="S215" s="827">
        <v>50553</v>
      </c>
      <c r="T215" s="827">
        <v>50786</v>
      </c>
      <c r="U215" s="827">
        <v>51379</v>
      </c>
      <c r="V215" s="827">
        <v>51521</v>
      </c>
      <c r="W215" s="827">
        <v>52456</v>
      </c>
      <c r="X215" s="827">
        <v>51965</v>
      </c>
      <c r="Y215" s="827">
        <v>55031</v>
      </c>
      <c r="Z215" s="827">
        <v>54834</v>
      </c>
      <c r="AA215" s="827">
        <v>54216</v>
      </c>
      <c r="AB215" s="827">
        <v>54048</v>
      </c>
      <c r="AC215" s="828">
        <v>54812</v>
      </c>
      <c r="AD215" s="828">
        <v>54034</v>
      </c>
      <c r="AE215" s="828">
        <v>54145</v>
      </c>
      <c r="AF215" s="828">
        <v>53869</v>
      </c>
      <c r="AG215" s="828">
        <v>53793</v>
      </c>
      <c r="AH215" s="828">
        <v>53520</v>
      </c>
      <c r="AI215" s="828">
        <v>53923</v>
      </c>
      <c r="AJ215" s="828">
        <v>53078</v>
      </c>
      <c r="AK215" s="828">
        <v>51552</v>
      </c>
      <c r="AL215" s="828">
        <v>51378</v>
      </c>
      <c r="AM215" s="828">
        <v>49710</v>
      </c>
      <c r="AN215" s="828">
        <v>49371</v>
      </c>
      <c r="AO215" s="828">
        <v>49424</v>
      </c>
      <c r="AP215" s="828">
        <v>48721</v>
      </c>
    </row>
    <row r="216" hidden="1">
      <c r="B216" s="829" t="s">
        <v>110</v>
      </c>
      <c r="C216" s="823">
        <v>80202</v>
      </c>
      <c r="D216" s="823">
        <v>80318</v>
      </c>
      <c r="E216" s="823">
        <v>105178</v>
      </c>
      <c r="F216" s="823">
        <v>103709</v>
      </c>
      <c r="G216" s="823">
        <v>80451</v>
      </c>
      <c r="H216" s="823">
        <v>78488</v>
      </c>
      <c r="I216" s="823">
        <v>73307</v>
      </c>
      <c r="J216" s="823">
        <v>64492</v>
      </c>
      <c r="K216" s="823">
        <v>69518</v>
      </c>
      <c r="L216" s="823">
        <v>67313</v>
      </c>
      <c r="M216" s="823">
        <v>69180</v>
      </c>
      <c r="N216" s="823">
        <v>67084</v>
      </c>
      <c r="O216" s="823">
        <v>63154</v>
      </c>
      <c r="P216" s="823">
        <v>62157</v>
      </c>
      <c r="Q216" s="823">
        <v>61126</v>
      </c>
      <c r="R216" s="823">
        <v>60861</v>
      </c>
      <c r="S216" s="823">
        <v>60972</v>
      </c>
      <c r="T216" s="823">
        <v>60805</v>
      </c>
      <c r="U216" s="823">
        <v>59563</v>
      </c>
      <c r="V216" s="823">
        <v>59215</v>
      </c>
      <c r="W216" s="823">
        <v>59488</v>
      </c>
      <c r="X216" s="823">
        <v>59549</v>
      </c>
      <c r="Y216" s="823">
        <v>59034</v>
      </c>
      <c r="Z216" s="823">
        <v>58543</v>
      </c>
      <c r="AA216" s="823">
        <v>57760</v>
      </c>
      <c r="AB216" s="823">
        <v>57155</v>
      </c>
      <c r="AC216" s="825">
        <v>64357</v>
      </c>
      <c r="AD216" s="825">
        <v>63934</v>
      </c>
      <c r="AE216" s="825">
        <v>64306</v>
      </c>
      <c r="AF216" s="825">
        <v>63964</v>
      </c>
      <c r="AG216" s="825">
        <v>64245</v>
      </c>
      <c r="AH216" s="825">
        <v>63792</v>
      </c>
      <c r="AI216" s="825">
        <v>62273</v>
      </c>
      <c r="AJ216" s="825">
        <v>62051</v>
      </c>
      <c r="AK216" s="825">
        <v>60382</v>
      </c>
      <c r="AL216" s="825">
        <v>59456</v>
      </c>
      <c r="AM216" s="825">
        <v>57995</v>
      </c>
      <c r="AN216" s="825">
        <v>57693</v>
      </c>
      <c r="AO216" s="825">
        <v>48696</v>
      </c>
      <c r="AP216" s="825">
        <v>53341</v>
      </c>
    </row>
    <row r="217" hidden="1">
      <c r="B217" s="826" t="s">
        <v>16</v>
      </c>
      <c r="C217" s="827">
        <v>12445</v>
      </c>
      <c r="D217" s="827">
        <v>14115</v>
      </c>
      <c r="E217" s="827">
        <v>13795</v>
      </c>
      <c r="F217" s="827">
        <v>13498</v>
      </c>
      <c r="G217" s="827">
        <v>13015</v>
      </c>
      <c r="H217" s="827">
        <v>12658</v>
      </c>
      <c r="I217" s="827">
        <v>11855</v>
      </c>
      <c r="J217" s="827">
        <v>11489</v>
      </c>
      <c r="K217" s="827">
        <v>11200</v>
      </c>
      <c r="L217" s="827">
        <v>10978</v>
      </c>
      <c r="M217" s="827">
        <v>10777</v>
      </c>
      <c r="N217" s="827">
        <v>10654</v>
      </c>
      <c r="O217" s="827">
        <v>10445</v>
      </c>
      <c r="P217" s="827">
        <v>9270</v>
      </c>
      <c r="Q217" s="827">
        <v>9742</v>
      </c>
      <c r="R217" s="827">
        <v>8873</v>
      </c>
      <c r="S217" s="827">
        <v>9268</v>
      </c>
      <c r="T217" s="827">
        <v>9234</v>
      </c>
      <c r="U217" s="827">
        <v>10519</v>
      </c>
      <c r="V217" s="827">
        <v>10516</v>
      </c>
      <c r="W217" s="827">
        <v>10516</v>
      </c>
      <c r="X217" s="827">
        <v>10516</v>
      </c>
      <c r="Y217" s="827">
        <v>10516</v>
      </c>
      <c r="Z217" s="827">
        <v>10516</v>
      </c>
      <c r="AA217" s="827">
        <v>10544</v>
      </c>
      <c r="AB217" s="827">
        <v>10250</v>
      </c>
      <c r="AC217" s="828">
        <v>9867</v>
      </c>
      <c r="AD217" s="828">
        <v>9726</v>
      </c>
      <c r="AE217" s="828">
        <v>9554</v>
      </c>
      <c r="AF217" s="828">
        <v>12436</v>
      </c>
      <c r="AG217" s="828">
        <v>10964</v>
      </c>
      <c r="AH217" s="828">
        <v>10733</v>
      </c>
      <c r="AI217" s="828">
        <v>10602</v>
      </c>
      <c r="AJ217" s="828">
        <v>10490</v>
      </c>
      <c r="AK217" s="828">
        <v>10265</v>
      </c>
      <c r="AL217" s="828">
        <v>10118</v>
      </c>
      <c r="AM217" s="828">
        <v>10357</v>
      </c>
      <c r="AN217" s="828">
        <v>9313</v>
      </c>
      <c r="AO217" s="828">
        <v>21565</v>
      </c>
      <c r="AP217" s="828">
        <v>39030</v>
      </c>
    </row>
    <row r="218" hidden="1">
      <c r="B218" s="829" t="s">
        <v>17</v>
      </c>
      <c r="C218" s="823">
        <v>126813</v>
      </c>
      <c r="D218" s="823">
        <v>128666</v>
      </c>
      <c r="E218" s="823">
        <v>116901</v>
      </c>
      <c r="F218" s="823">
        <v>136575</v>
      </c>
      <c r="G218" s="823">
        <v>108546</v>
      </c>
      <c r="H218" s="823">
        <v>107236</v>
      </c>
      <c r="I218" s="823">
        <v>106566</v>
      </c>
      <c r="J218" s="823">
        <v>101464</v>
      </c>
      <c r="K218" s="823">
        <v>97469</v>
      </c>
      <c r="L218" s="823">
        <v>95861</v>
      </c>
      <c r="M218" s="823">
        <v>94566</v>
      </c>
      <c r="N218" s="823">
        <v>101836</v>
      </c>
      <c r="O218" s="823">
        <v>88875</v>
      </c>
      <c r="P218" s="823">
        <v>100256</v>
      </c>
      <c r="Q218" s="823">
        <v>91365</v>
      </c>
      <c r="R218" s="823">
        <v>91170</v>
      </c>
      <c r="S218" s="823">
        <v>87945</v>
      </c>
      <c r="T218" s="823">
        <v>87862</v>
      </c>
      <c r="U218" s="823">
        <v>91613</v>
      </c>
      <c r="V218" s="823">
        <v>92560</v>
      </c>
      <c r="W218" s="823">
        <v>92654</v>
      </c>
      <c r="X218" s="823">
        <v>92222</v>
      </c>
      <c r="Y218" s="823">
        <v>96449</v>
      </c>
      <c r="Z218" s="823">
        <v>96399</v>
      </c>
      <c r="AA218" s="823">
        <v>95315</v>
      </c>
      <c r="AB218" s="823">
        <v>94722</v>
      </c>
      <c r="AC218" s="825">
        <v>100008</v>
      </c>
      <c r="AD218" s="825">
        <v>99470</v>
      </c>
      <c r="AE218" s="825">
        <v>96534</v>
      </c>
      <c r="AF218" s="825">
        <v>96044</v>
      </c>
      <c r="AG218" s="825">
        <v>96490</v>
      </c>
      <c r="AH218" s="825">
        <v>96714</v>
      </c>
      <c r="AI218" s="825">
        <v>95191</v>
      </c>
      <c r="AJ218" s="825">
        <v>94804</v>
      </c>
      <c r="AK218" s="825">
        <v>92721</v>
      </c>
      <c r="AL218" s="825">
        <v>92290</v>
      </c>
      <c r="AM218" s="825">
        <v>90478</v>
      </c>
      <c r="AN218" s="825">
        <v>89993</v>
      </c>
      <c r="AO218" s="825">
        <v>83019</v>
      </c>
      <c r="AP218" s="825">
        <v>79606</v>
      </c>
    </row>
    <row r="219" hidden="1">
      <c r="B219" s="826" t="s">
        <v>18</v>
      </c>
      <c r="C219" s="827">
        <v>15788</v>
      </c>
      <c r="D219" s="827">
        <v>15498</v>
      </c>
      <c r="E219" s="827">
        <v>15419</v>
      </c>
      <c r="F219" s="827">
        <v>15497</v>
      </c>
      <c r="G219" s="827">
        <v>14755</v>
      </c>
      <c r="H219" s="827">
        <v>14511</v>
      </c>
      <c r="I219" s="827">
        <v>13149</v>
      </c>
      <c r="J219" s="827">
        <v>12647</v>
      </c>
      <c r="K219" s="827">
        <v>12307</v>
      </c>
      <c r="L219" s="827">
        <v>12761</v>
      </c>
      <c r="M219" s="827">
        <v>12783</v>
      </c>
      <c r="N219" s="827">
        <v>12692</v>
      </c>
      <c r="O219" s="827">
        <v>12250</v>
      </c>
      <c r="P219" s="827">
        <v>11965</v>
      </c>
      <c r="Q219" s="827">
        <v>11719</v>
      </c>
      <c r="R219" s="827">
        <v>11684</v>
      </c>
      <c r="S219" s="827">
        <v>11590</v>
      </c>
      <c r="T219" s="827">
        <v>11425</v>
      </c>
      <c r="U219" s="827">
        <v>11618</v>
      </c>
      <c r="V219" s="827">
        <v>11659</v>
      </c>
      <c r="W219" s="827">
        <v>11771</v>
      </c>
      <c r="X219" s="827">
        <v>11173</v>
      </c>
      <c r="Y219" s="827">
        <v>10969</v>
      </c>
      <c r="Z219" s="827">
        <v>10715</v>
      </c>
      <c r="AA219" s="827">
        <v>10064</v>
      </c>
      <c r="AB219" s="827">
        <v>9893</v>
      </c>
      <c r="AC219" s="828">
        <v>10115</v>
      </c>
      <c r="AD219" s="828">
        <v>9912</v>
      </c>
      <c r="AE219" s="828">
        <v>10045</v>
      </c>
      <c r="AF219" s="828">
        <v>9933</v>
      </c>
      <c r="AG219" s="828">
        <v>9579</v>
      </c>
      <c r="AH219" s="828">
        <v>9440</v>
      </c>
      <c r="AI219" s="828">
        <v>8824</v>
      </c>
      <c r="AJ219" s="828">
        <v>8523</v>
      </c>
      <c r="AK219" s="828">
        <v>8306</v>
      </c>
      <c r="AL219" s="828">
        <v>8137</v>
      </c>
      <c r="AM219" s="828">
        <v>8252</v>
      </c>
      <c r="AN219" s="828">
        <v>8109</v>
      </c>
      <c r="AO219" s="828">
        <v>7803</v>
      </c>
      <c r="AP219" s="828">
        <v>7132</v>
      </c>
    </row>
    <row r="220" hidden="1">
      <c r="B220" s="829" t="s">
        <v>19</v>
      </c>
      <c r="C220" s="823">
        <v>2100</v>
      </c>
      <c r="D220" s="823">
        <v>2166</v>
      </c>
      <c r="E220" s="823">
        <v>2484</v>
      </c>
      <c r="F220" s="823">
        <v>2543</v>
      </c>
      <c r="G220" s="823">
        <v>3152</v>
      </c>
      <c r="H220" s="823">
        <v>3184</v>
      </c>
      <c r="I220" s="823">
        <v>3215</v>
      </c>
      <c r="J220" s="823">
        <v>3235</v>
      </c>
      <c r="K220" s="823">
        <v>2947</v>
      </c>
      <c r="L220" s="823">
        <v>2776</v>
      </c>
      <c r="M220" s="823">
        <v>2500</v>
      </c>
      <c r="N220" s="823">
        <v>2529</v>
      </c>
      <c r="O220" s="823">
        <v>2531</v>
      </c>
      <c r="P220" s="823">
        <v>2632</v>
      </c>
      <c r="Q220" s="823">
        <v>2937</v>
      </c>
      <c r="R220" s="823">
        <v>2986</v>
      </c>
      <c r="S220" s="823">
        <v>3098</v>
      </c>
      <c r="T220" s="823">
        <v>3094</v>
      </c>
      <c r="U220" s="823">
        <v>2673</v>
      </c>
      <c r="V220" s="823">
        <v>2715</v>
      </c>
      <c r="W220" s="823">
        <v>2648</v>
      </c>
      <c r="X220" s="823">
        <v>2628</v>
      </c>
      <c r="Y220" s="823">
        <v>2757</v>
      </c>
      <c r="Z220" s="823">
        <v>2743</v>
      </c>
      <c r="AA220" s="823">
        <v>3226</v>
      </c>
      <c r="AB220" s="823">
        <v>3231</v>
      </c>
      <c r="AC220" s="825">
        <v>2795</v>
      </c>
      <c r="AD220" s="825">
        <v>2792</v>
      </c>
      <c r="AE220" s="825">
        <v>3116</v>
      </c>
      <c r="AF220" s="825">
        <v>3425</v>
      </c>
      <c r="AG220" s="825">
        <v>2792</v>
      </c>
      <c r="AH220" s="825">
        <v>2772</v>
      </c>
      <c r="AI220" s="825">
        <v>2626</v>
      </c>
      <c r="AJ220" s="825">
        <v>2219</v>
      </c>
      <c r="AK220" s="825">
        <v>2273</v>
      </c>
      <c r="AL220" s="825">
        <v>2290</v>
      </c>
      <c r="AM220" s="825">
        <v>2807</v>
      </c>
      <c r="AN220" s="825">
        <v>2372</v>
      </c>
      <c r="AO220" s="825">
        <v>2589</v>
      </c>
      <c r="AP220" s="825">
        <v>2625</v>
      </c>
    </row>
    <row r="221" hidden="1">
      <c r="B221" s="826" t="s">
        <v>20</v>
      </c>
      <c r="C221" s="827">
        <v>21915</v>
      </c>
      <c r="D221" s="827">
        <v>10274</v>
      </c>
      <c r="E221" s="827">
        <v>13006</v>
      </c>
      <c r="F221" s="827">
        <v>9465</v>
      </c>
      <c r="G221" s="827">
        <v>13296</v>
      </c>
      <c r="H221" s="827">
        <v>14504</v>
      </c>
      <c r="I221" s="827">
        <v>16210</v>
      </c>
      <c r="J221" s="827">
        <v>17504</v>
      </c>
      <c r="K221" s="827">
        <v>15601</v>
      </c>
      <c r="L221" s="827">
        <v>15183</v>
      </c>
      <c r="M221" s="827">
        <v>13559</v>
      </c>
      <c r="N221" s="827">
        <v>13697</v>
      </c>
      <c r="O221" s="827">
        <v>14567</v>
      </c>
      <c r="P221" s="827">
        <v>14679</v>
      </c>
      <c r="Q221" s="827">
        <v>18207</v>
      </c>
      <c r="R221" s="827">
        <v>18189</v>
      </c>
      <c r="S221" s="827">
        <v>18648</v>
      </c>
      <c r="T221" s="827">
        <v>18694</v>
      </c>
      <c r="U221" s="827">
        <v>17493</v>
      </c>
      <c r="V221" s="827">
        <v>17613</v>
      </c>
      <c r="W221" s="827">
        <v>84554</v>
      </c>
      <c r="X221" s="827">
        <v>85413</v>
      </c>
      <c r="Y221" s="827">
        <v>15116</v>
      </c>
      <c r="Z221" s="827">
        <v>15059</v>
      </c>
      <c r="AA221" s="827">
        <v>14767</v>
      </c>
      <c r="AB221" s="827">
        <v>14503</v>
      </c>
      <c r="AC221" s="828">
        <v>15473</v>
      </c>
      <c r="AD221" s="828">
        <v>15451</v>
      </c>
      <c r="AE221" s="828">
        <v>15119</v>
      </c>
      <c r="AF221" s="828">
        <v>14893</v>
      </c>
      <c r="AG221" s="828">
        <v>14122</v>
      </c>
      <c r="AH221" s="828">
        <v>14094</v>
      </c>
      <c r="AI221" s="828">
        <v>14403</v>
      </c>
      <c r="AJ221" s="828">
        <v>14429</v>
      </c>
      <c r="AK221" s="828">
        <v>13231</v>
      </c>
      <c r="AL221" s="828">
        <v>13064</v>
      </c>
      <c r="AM221" s="828">
        <v>11696</v>
      </c>
      <c r="AN221" s="828">
        <v>11634</v>
      </c>
      <c r="AO221" s="828">
        <v>32249</v>
      </c>
      <c r="AP221" s="828">
        <v>65702</v>
      </c>
    </row>
    <row r="222" hidden="1">
      <c r="B222" s="829" t="s">
        <v>21</v>
      </c>
      <c r="C222" s="823">
        <v>16995</v>
      </c>
      <c r="D222" s="823">
        <v>18529</v>
      </c>
      <c r="E222" s="823">
        <v>16146</v>
      </c>
      <c r="F222" s="823">
        <v>17889</v>
      </c>
      <c r="G222" s="823">
        <v>15532</v>
      </c>
      <c r="H222" s="823">
        <v>15298</v>
      </c>
      <c r="I222" s="823">
        <v>14198</v>
      </c>
      <c r="J222" s="823">
        <v>13926</v>
      </c>
      <c r="K222" s="823">
        <v>12778</v>
      </c>
      <c r="L222" s="823">
        <v>12786</v>
      </c>
      <c r="M222" s="823">
        <v>12371</v>
      </c>
      <c r="N222" s="823">
        <v>12485</v>
      </c>
      <c r="O222" s="823">
        <v>12334</v>
      </c>
      <c r="P222" s="823">
        <v>12322</v>
      </c>
      <c r="Q222" s="823">
        <v>12548</v>
      </c>
      <c r="R222" s="823">
        <v>12579</v>
      </c>
      <c r="S222" s="823">
        <v>12284</v>
      </c>
      <c r="T222" s="823">
        <v>12260</v>
      </c>
      <c r="U222" s="823">
        <v>12125</v>
      </c>
      <c r="V222" s="823">
        <v>12249</v>
      </c>
      <c r="W222" s="823">
        <v>12313</v>
      </c>
      <c r="X222" s="823">
        <v>12324</v>
      </c>
      <c r="Y222" s="823">
        <v>12966</v>
      </c>
      <c r="Z222" s="823">
        <v>12969</v>
      </c>
      <c r="AA222" s="823">
        <v>12756</v>
      </c>
      <c r="AB222" s="823">
        <v>12751</v>
      </c>
      <c r="AC222" s="825">
        <v>12760</v>
      </c>
      <c r="AD222" s="825">
        <v>12617</v>
      </c>
      <c r="AE222" s="825">
        <v>12806</v>
      </c>
      <c r="AF222" s="825">
        <v>12783</v>
      </c>
      <c r="AG222" s="825">
        <v>12590</v>
      </c>
      <c r="AH222" s="825">
        <v>12922</v>
      </c>
      <c r="AI222" s="825">
        <v>12620</v>
      </c>
      <c r="AJ222" s="825">
        <v>12392</v>
      </c>
      <c r="AK222" s="825">
        <v>12279</v>
      </c>
      <c r="AL222" s="825">
        <v>11936</v>
      </c>
      <c r="AM222" s="825">
        <v>11966</v>
      </c>
      <c r="AN222" s="825">
        <v>13304</v>
      </c>
      <c r="AO222" s="825">
        <v>11102</v>
      </c>
      <c r="AP222" s="825">
        <v>10566</v>
      </c>
    </row>
    <row r="223" hidden="1">
      <c r="B223" s="826" t="s">
        <v>22</v>
      </c>
      <c r="C223" s="827">
        <v>10907</v>
      </c>
      <c r="D223" s="827">
        <v>10606</v>
      </c>
      <c r="E223" s="827">
        <v>11230</v>
      </c>
      <c r="F223" s="827">
        <v>11087</v>
      </c>
      <c r="G223" s="827">
        <v>10779</v>
      </c>
      <c r="H223" s="827">
        <v>11196</v>
      </c>
      <c r="I223" s="827">
        <v>10288</v>
      </c>
      <c r="J223" s="827">
        <v>9977</v>
      </c>
      <c r="K223" s="827">
        <v>11929</v>
      </c>
      <c r="L223" s="827">
        <v>9129</v>
      </c>
      <c r="M223" s="827">
        <v>14018</v>
      </c>
      <c r="N223" s="827">
        <v>13593</v>
      </c>
      <c r="O223" s="827">
        <v>12981</v>
      </c>
      <c r="P223" s="827">
        <v>12976</v>
      </c>
      <c r="Q223" s="827">
        <v>10974</v>
      </c>
      <c r="R223" s="827">
        <v>10289</v>
      </c>
      <c r="S223" s="827">
        <v>11009</v>
      </c>
      <c r="T223" s="827">
        <v>10989</v>
      </c>
      <c r="U223" s="827">
        <v>10631</v>
      </c>
      <c r="V223" s="827">
        <v>10629</v>
      </c>
      <c r="W223" s="827">
        <v>22481</v>
      </c>
      <c r="X223" s="827">
        <v>22398</v>
      </c>
      <c r="Y223" s="827">
        <v>10166</v>
      </c>
      <c r="Z223" s="827">
        <v>10158</v>
      </c>
      <c r="AA223" s="827">
        <v>10171</v>
      </c>
      <c r="AB223" s="827">
        <v>10589</v>
      </c>
      <c r="AC223" s="828">
        <v>9583</v>
      </c>
      <c r="AD223" s="828">
        <v>9517</v>
      </c>
      <c r="AE223" s="828">
        <v>9669</v>
      </c>
      <c r="AF223" s="828">
        <v>9653</v>
      </c>
      <c r="AG223" s="828">
        <v>9592</v>
      </c>
      <c r="AH223" s="828">
        <v>9560</v>
      </c>
      <c r="AI223" s="828">
        <v>9446</v>
      </c>
      <c r="AJ223" s="828">
        <v>9361</v>
      </c>
      <c r="AK223" s="828">
        <v>9242</v>
      </c>
      <c r="AL223" s="828">
        <v>9194</v>
      </c>
      <c r="AM223" s="828">
        <v>8784</v>
      </c>
      <c r="AN223" s="828">
        <v>8739</v>
      </c>
      <c r="AO223" s="828">
        <v>9258</v>
      </c>
      <c r="AP223" s="828">
        <v>9597</v>
      </c>
    </row>
    <row r="224" hidden="1">
      <c r="B224" s="829" t="s">
        <v>23</v>
      </c>
      <c r="C224" s="823">
        <v>2701</v>
      </c>
      <c r="D224" s="823">
        <v>2663</v>
      </c>
      <c r="E224" s="823">
        <v>2619</v>
      </c>
      <c r="F224" s="823">
        <v>2571</v>
      </c>
      <c r="G224" s="823">
        <v>2642</v>
      </c>
      <c r="H224" s="823">
        <v>2627</v>
      </c>
      <c r="I224" s="823">
        <v>2408</v>
      </c>
      <c r="J224" s="823">
        <v>2436</v>
      </c>
      <c r="K224" s="823">
        <v>2328</v>
      </c>
      <c r="L224" s="823">
        <v>2319</v>
      </c>
      <c r="M224" s="823">
        <v>2091</v>
      </c>
      <c r="N224" s="823">
        <v>2068</v>
      </c>
      <c r="O224" s="823">
        <v>2006</v>
      </c>
      <c r="P224" s="823">
        <v>1954</v>
      </c>
      <c r="Q224" s="823">
        <v>2062</v>
      </c>
      <c r="R224" s="823">
        <v>2062</v>
      </c>
      <c r="S224" s="823">
        <v>2090</v>
      </c>
      <c r="T224" s="823">
        <v>2036</v>
      </c>
      <c r="U224" s="823">
        <v>2160</v>
      </c>
      <c r="V224" s="823">
        <v>2159</v>
      </c>
      <c r="W224" s="823">
        <v>2010</v>
      </c>
      <c r="X224" s="823">
        <v>1972</v>
      </c>
      <c r="Y224" s="823">
        <v>2033</v>
      </c>
      <c r="Z224" s="823">
        <v>2020</v>
      </c>
      <c r="AA224" s="823">
        <v>1992</v>
      </c>
      <c r="AB224" s="823">
        <v>1977</v>
      </c>
      <c r="AC224" s="825">
        <v>1919</v>
      </c>
      <c r="AD224" s="825">
        <v>1916</v>
      </c>
      <c r="AE224" s="825">
        <v>1837</v>
      </c>
      <c r="AF224" s="825">
        <v>1833</v>
      </c>
      <c r="AG224" s="825">
        <v>1872</v>
      </c>
      <c r="AH224" s="825">
        <v>1862</v>
      </c>
      <c r="AI224" s="825">
        <v>2740</v>
      </c>
      <c r="AJ224" s="825">
        <v>1783</v>
      </c>
      <c r="AK224" s="825">
        <v>1593</v>
      </c>
      <c r="AL224" s="825">
        <v>1591</v>
      </c>
      <c r="AM224" s="825">
        <v>1475</v>
      </c>
      <c r="AN224" s="825">
        <v>1465</v>
      </c>
      <c r="AO224" s="825">
        <v>2117</v>
      </c>
      <c r="AP224" s="825">
        <v>2658</v>
      </c>
    </row>
    <row r="225" hidden="1">
      <c r="B225" s="835" t="s">
        <v>24</v>
      </c>
      <c r="C225" s="827">
        <v>11209</v>
      </c>
      <c r="D225" s="827">
        <v>11245</v>
      </c>
      <c r="E225" s="827">
        <v>9126</v>
      </c>
      <c r="F225" s="827">
        <v>8918</v>
      </c>
      <c r="G225" s="827">
        <v>8390</v>
      </c>
      <c r="H225" s="827">
        <v>8313</v>
      </c>
      <c r="I225" s="827">
        <v>7808</v>
      </c>
      <c r="J225" s="827">
        <v>7704</v>
      </c>
      <c r="K225" s="827">
        <v>7902</v>
      </c>
      <c r="L225" s="827">
        <v>7722</v>
      </c>
      <c r="M225" s="827">
        <v>7639</v>
      </c>
      <c r="N225" s="827">
        <v>7469</v>
      </c>
      <c r="O225" s="827">
        <v>7426</v>
      </c>
      <c r="P225" s="827">
        <v>7620</v>
      </c>
      <c r="Q225" s="827">
        <v>7846</v>
      </c>
      <c r="R225" s="827">
        <v>7497</v>
      </c>
      <c r="S225" s="827">
        <v>7454</v>
      </c>
      <c r="T225" s="827">
        <v>7421</v>
      </c>
      <c r="U225" s="827">
        <v>7536</v>
      </c>
      <c r="V225" s="827">
        <v>7230</v>
      </c>
      <c r="W225" s="827">
        <v>7344</v>
      </c>
      <c r="X225" s="827">
        <v>7343</v>
      </c>
      <c r="Y225" s="827">
        <v>7619</v>
      </c>
      <c r="Z225" s="827">
        <v>7405</v>
      </c>
      <c r="AA225" s="827">
        <v>7150</v>
      </c>
      <c r="AB225" s="827">
        <v>7151</v>
      </c>
      <c r="AC225" s="828">
        <v>7187</v>
      </c>
      <c r="AD225" s="828">
        <v>7028</v>
      </c>
      <c r="AE225" s="828">
        <v>7257</v>
      </c>
      <c r="AF225" s="828">
        <v>7101</v>
      </c>
      <c r="AG225" s="828">
        <v>7193</v>
      </c>
      <c r="AH225" s="828">
        <v>6934</v>
      </c>
      <c r="AI225" s="828">
        <v>6782</v>
      </c>
      <c r="AJ225" s="828">
        <v>6649</v>
      </c>
      <c r="AK225" s="828">
        <v>5982</v>
      </c>
      <c r="AL225" s="828">
        <v>5762</v>
      </c>
      <c r="AM225" s="828">
        <v>5473</v>
      </c>
      <c r="AN225" s="828">
        <v>5377</v>
      </c>
      <c r="AO225" s="828">
        <v>5355</v>
      </c>
      <c r="AP225" s="828">
        <v>12316</v>
      </c>
    </row>
    <row r="226" hidden="1">
      <c r="B226" s="829" t="s">
        <v>25</v>
      </c>
      <c r="C226" s="823">
        <v>0</v>
      </c>
      <c r="D226" s="823">
        <v>0</v>
      </c>
      <c r="E226" s="823">
        <v>0</v>
      </c>
      <c r="F226" s="823">
        <v>0</v>
      </c>
      <c r="G226" s="823">
        <v>0</v>
      </c>
      <c r="H226" s="823">
        <v>0</v>
      </c>
      <c r="I226" s="823">
        <v>0</v>
      </c>
      <c r="J226" s="823">
        <v>0</v>
      </c>
      <c r="K226" s="823">
        <v>0</v>
      </c>
      <c r="L226" s="823">
        <v>0</v>
      </c>
      <c r="M226" s="823">
        <v>0</v>
      </c>
      <c r="N226" s="823">
        <v>0</v>
      </c>
      <c r="O226" s="823">
        <v>0</v>
      </c>
      <c r="P226" s="823">
        <v>0</v>
      </c>
      <c r="Q226" s="823">
        <v>0</v>
      </c>
      <c r="R226" s="823">
        <v>0</v>
      </c>
      <c r="S226" s="823">
        <v>0</v>
      </c>
      <c r="T226" s="823">
        <v>0</v>
      </c>
      <c r="U226" s="823">
        <v>0</v>
      </c>
      <c r="V226" s="823">
        <v>0</v>
      </c>
      <c r="W226" s="823">
        <v>0</v>
      </c>
      <c r="X226" s="823">
        <v>0</v>
      </c>
      <c r="Y226" s="823">
        <v>0</v>
      </c>
      <c r="Z226" s="823">
        <v>0</v>
      </c>
      <c r="AA226" s="823">
        <v>0</v>
      </c>
      <c r="AB226" s="823">
        <v>0</v>
      </c>
      <c r="AC226" s="825">
        <v>0</v>
      </c>
      <c r="AD226" s="825">
        <v>0</v>
      </c>
      <c r="AE226" s="825">
        <v>0</v>
      </c>
      <c r="AF226" s="825">
        <v>0</v>
      </c>
      <c r="AG226" s="825">
        <v>0</v>
      </c>
      <c r="AH226" s="825">
        <v>0</v>
      </c>
      <c r="AI226" s="825">
        <v>0</v>
      </c>
      <c r="AJ226" s="825">
        <v>0</v>
      </c>
      <c r="AK226" s="825">
        <v>0</v>
      </c>
      <c r="AL226" s="825">
        <v>0</v>
      </c>
      <c r="AM226" s="825">
        <v>0</v>
      </c>
      <c r="AN226" s="825">
        <v>0</v>
      </c>
      <c r="AO226" s="825">
        <v>13</v>
      </c>
      <c r="AP226" s="825">
        <v>1345</v>
      </c>
    </row>
    <row r="227" hidden="1" ht="13.5">
      <c r="B227" s="836" t="s">
        <v>26</v>
      </c>
      <c r="C227" s="827">
        <v>0</v>
      </c>
      <c r="D227" s="827">
        <v>0</v>
      </c>
      <c r="E227" s="827">
        <v>0</v>
      </c>
      <c r="F227" s="827">
        <v>0</v>
      </c>
      <c r="G227" s="827">
        <v>0</v>
      </c>
      <c r="H227" s="827">
        <v>0</v>
      </c>
      <c r="I227" s="827">
        <v>0</v>
      </c>
      <c r="J227" s="827">
        <v>0</v>
      </c>
      <c r="K227" s="827">
        <v>0</v>
      </c>
      <c r="L227" s="827">
        <v>0</v>
      </c>
      <c r="M227" s="827">
        <v>0</v>
      </c>
      <c r="N227" s="827">
        <v>0</v>
      </c>
      <c r="O227" s="827">
        <v>0</v>
      </c>
      <c r="P227" s="827">
        <v>0</v>
      </c>
      <c r="Q227" s="827">
        <v>0</v>
      </c>
      <c r="R227" s="827">
        <v>0</v>
      </c>
      <c r="S227" s="827">
        <v>0</v>
      </c>
      <c r="T227" s="827">
        <v>0</v>
      </c>
      <c r="U227" s="827">
        <v>0</v>
      </c>
      <c r="V227" s="827">
        <v>0</v>
      </c>
      <c r="W227" s="827">
        <v>0</v>
      </c>
      <c r="X227" s="827">
        <v>0</v>
      </c>
      <c r="Y227" s="827">
        <v>0</v>
      </c>
      <c r="Z227" s="827">
        <v>0</v>
      </c>
      <c r="AA227" s="827">
        <v>0</v>
      </c>
      <c r="AB227" s="837">
        <v>0</v>
      </c>
      <c r="AC227" s="828">
        <v>0</v>
      </c>
      <c r="AD227" s="828">
        <v>0</v>
      </c>
      <c r="AE227" s="828">
        <v>0</v>
      </c>
      <c r="AF227" s="828">
        <v>0</v>
      </c>
      <c r="AG227" s="828">
        <v>0</v>
      </c>
      <c r="AH227" s="828">
        <v>0</v>
      </c>
      <c r="AI227" s="828">
        <v>0</v>
      </c>
      <c r="AJ227" s="828">
        <v>0</v>
      </c>
      <c r="AK227" s="828">
        <v>0</v>
      </c>
      <c r="AL227" s="828">
        <v>0</v>
      </c>
      <c r="AM227" s="828">
        <v>0</v>
      </c>
      <c r="AN227" s="828">
        <v>0</v>
      </c>
      <c r="AO227" s="828">
        <v>206</v>
      </c>
      <c r="AP227" s="828">
        <v>914</v>
      </c>
    </row>
    <row r="228" hidden="1" ht="13.5">
      <c r="B228" s="128" t="s">
        <v>7</v>
      </c>
      <c r="C228" s="129" t="str">
        <f>IF(SUM(C209:C227)&lt;&gt;0,SUM(C209:C227),"")</f>
      </c>
      <c r="D228" s="129" t="str">
        <f ref="D228:AA228" t="shared" si="15">IF(SUM(D209:D227)&lt;&gt;0,SUM(D209:D227),"")</f>
      </c>
      <c r="E228" s="129" t="str">
        <f t="shared" si="15"/>
      </c>
      <c r="F228" s="129" t="str">
        <f t="shared" si="15"/>
      </c>
      <c r="G228" s="129" t="str">
        <f t="shared" si="15"/>
      </c>
      <c r="H228" s="129" t="str">
        <f t="shared" si="15"/>
      </c>
      <c r="I228" s="129" t="str">
        <f t="shared" si="15"/>
      </c>
      <c r="J228" s="129" t="str">
        <f t="shared" si="15"/>
      </c>
      <c r="K228" s="129" t="str">
        <f t="shared" si="15"/>
      </c>
      <c r="L228" s="129" t="str">
        <f t="shared" si="15"/>
      </c>
      <c r="M228" s="129" t="str">
        <f t="shared" si="15"/>
      </c>
      <c r="N228" s="129" t="str">
        <f t="shared" si="15"/>
      </c>
      <c r="O228" s="129" t="str">
        <f t="shared" si="15"/>
      </c>
      <c r="P228" s="129" t="str">
        <f t="shared" si="15"/>
      </c>
      <c r="Q228" s="129" t="str">
        <f t="shared" si="15"/>
      </c>
      <c r="R228" s="129" t="str">
        <f t="shared" si="15"/>
      </c>
      <c r="S228" s="129" t="str">
        <f t="shared" si="15"/>
      </c>
      <c r="T228" s="129" t="str">
        <f t="shared" si="15"/>
      </c>
      <c r="U228" s="129" t="str">
        <f t="shared" si="15"/>
      </c>
      <c r="V228" s="129" t="str">
        <f t="shared" si="15"/>
      </c>
      <c r="W228" s="129" t="str">
        <f t="shared" si="15"/>
      </c>
      <c r="X228" s="129" t="str">
        <f t="shared" si="15"/>
      </c>
      <c r="Y228" s="129" t="str">
        <f t="shared" si="15"/>
      </c>
      <c r="Z228" s="129" t="str">
        <f t="shared" si="15"/>
      </c>
      <c r="AA228" s="129" t="str">
        <f t="shared" si="15"/>
      </c>
      <c r="AB228" s="130" t="str">
        <f>IF(SUM(AB209:AB227)&lt;&gt;0,SUM(AB209:AB227),"")</f>
      </c>
      <c r="AC228" s="91" t="str">
        <f ref="AC228:CN228" t="shared" si="16">IF(SUM(AC209:AC227)&lt;&gt;0,SUM(AC209:AC227),"")</f>
      </c>
      <c r="AD228" s="91" t="str">
        <f t="shared" si="16"/>
      </c>
      <c r="AE228" s="91" t="str">
        <f t="shared" si="16"/>
      </c>
      <c r="AF228" s="91" t="str">
        <f t="shared" si="16"/>
      </c>
      <c r="AG228" s="91" t="str">
        <f t="shared" si="16"/>
      </c>
      <c r="AH228" s="91" t="str">
        <f t="shared" si="16"/>
      </c>
      <c r="AI228" s="91" t="str">
        <f t="shared" si="16"/>
      </c>
      <c r="AJ228" s="91" t="str">
        <f t="shared" si="16"/>
      </c>
      <c r="AK228" s="91" t="str">
        <f t="shared" si="16"/>
      </c>
      <c r="AL228" s="91" t="str">
        <f t="shared" si="16"/>
      </c>
      <c r="AM228" s="91" t="str">
        <f t="shared" si="16"/>
      </c>
      <c r="AN228" s="91" t="str">
        <f t="shared" si="16"/>
      </c>
      <c r="AO228" s="91" t="str">
        <f t="shared" si="16"/>
      </c>
      <c r="AP228" s="91" t="str">
        <f t="shared" si="16"/>
      </c>
      <c r="AQ228" s="91" t="str">
        <f t="shared" si="16"/>
      </c>
      <c r="AR228" s="91" t="str">
        <f t="shared" si="16"/>
      </c>
      <c r="AS228" s="91" t="str">
        <f t="shared" si="16"/>
      </c>
      <c r="AT228" s="91" t="str">
        <f t="shared" si="16"/>
      </c>
      <c r="AU228" s="91" t="str">
        <f t="shared" si="16"/>
      </c>
      <c r="AV228" s="91" t="str">
        <f t="shared" si="16"/>
      </c>
      <c r="AW228" s="91" t="str">
        <f t="shared" si="16"/>
      </c>
      <c r="AX228" s="91" t="str">
        <f t="shared" si="16"/>
      </c>
      <c r="AY228" s="91" t="str">
        <f t="shared" si="16"/>
      </c>
      <c r="AZ228" s="91" t="str">
        <f t="shared" si="16"/>
      </c>
      <c r="BA228" s="91" t="str">
        <f t="shared" si="16"/>
      </c>
      <c r="BB228" s="91" t="str">
        <f t="shared" si="16"/>
      </c>
      <c r="BC228" s="91" t="str">
        <f t="shared" si="16"/>
      </c>
      <c r="BD228" s="91" t="str">
        <f t="shared" si="16"/>
      </c>
      <c r="BE228" s="91" t="str">
        <f t="shared" si="16"/>
      </c>
      <c r="BF228" s="91" t="str">
        <f t="shared" si="16"/>
      </c>
      <c r="BG228" s="91" t="str">
        <f t="shared" si="16"/>
      </c>
      <c r="BH228" s="91" t="str">
        <f t="shared" si="16"/>
      </c>
      <c r="BI228" s="91" t="str">
        <f t="shared" si="16"/>
      </c>
      <c r="BJ228" s="91" t="str">
        <f t="shared" si="16"/>
      </c>
      <c r="BK228" s="91" t="str">
        <f t="shared" si="16"/>
      </c>
      <c r="BL228" s="91" t="str">
        <f t="shared" si="16"/>
      </c>
      <c r="BM228" s="91" t="str">
        <f t="shared" si="16"/>
      </c>
      <c r="BN228" s="91" t="str">
        <f t="shared" si="16"/>
      </c>
      <c r="BO228" s="91" t="str">
        <f t="shared" si="16"/>
      </c>
      <c r="BP228" s="91" t="str">
        <f t="shared" si="16"/>
      </c>
      <c r="BQ228" s="91" t="str">
        <f t="shared" si="16"/>
      </c>
      <c r="BR228" s="91" t="str">
        <f t="shared" si="16"/>
      </c>
      <c r="BS228" s="91" t="str">
        <f t="shared" si="16"/>
      </c>
      <c r="BT228" s="91" t="str">
        <f t="shared" si="16"/>
      </c>
      <c r="BU228" s="91" t="str">
        <f t="shared" si="16"/>
      </c>
      <c r="BV228" s="91" t="str">
        <f t="shared" si="16"/>
      </c>
      <c r="BW228" s="91" t="str">
        <f t="shared" si="16"/>
      </c>
      <c r="BX228" s="91" t="str">
        <f t="shared" si="16"/>
      </c>
      <c r="BY228" s="91" t="str">
        <f t="shared" si="16"/>
      </c>
      <c r="BZ228" s="91" t="str">
        <f t="shared" si="16"/>
      </c>
      <c r="CA228" s="91" t="str">
        <f t="shared" si="16"/>
      </c>
      <c r="CB228" s="91" t="str">
        <f t="shared" si="16"/>
      </c>
      <c r="CC228" s="91" t="str">
        <f t="shared" si="16"/>
      </c>
      <c r="CD228" s="91" t="str">
        <f t="shared" si="16"/>
      </c>
      <c r="CE228" s="91" t="str">
        <f t="shared" si="16"/>
      </c>
      <c r="CF228" s="91" t="str">
        <f t="shared" si="16"/>
      </c>
      <c r="CG228" s="91" t="str">
        <f t="shared" si="16"/>
      </c>
      <c r="CH228" s="91" t="str">
        <f t="shared" si="16"/>
      </c>
      <c r="CI228" s="91" t="str">
        <f t="shared" si="16"/>
      </c>
      <c r="CJ228" s="91" t="str">
        <f t="shared" si="16"/>
      </c>
      <c r="CK228" s="91" t="str">
        <f t="shared" si="16"/>
      </c>
      <c r="CL228" s="91" t="str">
        <f t="shared" si="16"/>
      </c>
      <c r="CM228" s="91" t="str">
        <f t="shared" si="16"/>
      </c>
      <c r="CN228" s="91" t="str">
        <f t="shared" si="16"/>
      </c>
      <c r="CO228" s="91" t="str">
        <f ref="CO228:EZ228" t="shared" si="17">IF(SUM(CO209:CO227)&lt;&gt;0,SUM(CO209:CO227),"")</f>
      </c>
      <c r="CP228" s="91" t="str">
        <f t="shared" si="17"/>
      </c>
      <c r="CQ228" s="91" t="str">
        <f t="shared" si="17"/>
      </c>
      <c r="CR228" s="91" t="str">
        <f t="shared" si="17"/>
      </c>
      <c r="CS228" s="91" t="str">
        <f t="shared" si="17"/>
      </c>
      <c r="CT228" s="91" t="str">
        <f t="shared" si="17"/>
      </c>
      <c r="CU228" s="91" t="str">
        <f t="shared" si="17"/>
      </c>
      <c r="CV228" s="91" t="str">
        <f t="shared" si="17"/>
      </c>
      <c r="CW228" s="91" t="str">
        <f t="shared" si="17"/>
      </c>
      <c r="CX228" s="91" t="str">
        <f t="shared" si="17"/>
      </c>
      <c r="CY228" s="91" t="str">
        <f t="shared" si="17"/>
      </c>
      <c r="CZ228" s="91" t="str">
        <f t="shared" si="17"/>
      </c>
      <c r="DA228" s="91" t="str">
        <f t="shared" si="17"/>
      </c>
      <c r="DB228" s="91" t="str">
        <f t="shared" si="17"/>
      </c>
      <c r="DC228" s="91" t="str">
        <f t="shared" si="17"/>
      </c>
      <c r="DD228" s="91" t="str">
        <f t="shared" si="17"/>
      </c>
      <c r="DE228" s="91" t="str">
        <f t="shared" si="17"/>
      </c>
      <c r="DF228" s="91" t="str">
        <f t="shared" si="17"/>
      </c>
      <c r="DG228" s="91" t="str">
        <f t="shared" si="17"/>
      </c>
      <c r="DH228" s="91" t="str">
        <f t="shared" si="17"/>
      </c>
      <c r="DI228" s="91" t="str">
        <f t="shared" si="17"/>
      </c>
      <c r="DJ228" s="91" t="str">
        <f t="shared" si="17"/>
      </c>
      <c r="DK228" s="91" t="str">
        <f t="shared" si="17"/>
      </c>
      <c r="DL228" s="91" t="str">
        <f t="shared" si="17"/>
      </c>
      <c r="DM228" s="91" t="str">
        <f t="shared" si="17"/>
      </c>
      <c r="DN228" s="91" t="str">
        <f t="shared" si="17"/>
      </c>
      <c r="DO228" s="91" t="str">
        <f t="shared" si="17"/>
      </c>
      <c r="DP228" s="91" t="str">
        <f t="shared" si="17"/>
      </c>
      <c r="DQ228" s="91" t="str">
        <f t="shared" si="17"/>
      </c>
      <c r="DR228" s="91" t="str">
        <f t="shared" si="17"/>
      </c>
      <c r="DS228" s="91" t="str">
        <f t="shared" si="17"/>
      </c>
      <c r="DT228" s="91" t="str">
        <f t="shared" si="17"/>
      </c>
      <c r="DU228" s="91" t="str">
        <f t="shared" si="17"/>
      </c>
      <c r="DV228" s="91" t="str">
        <f t="shared" si="17"/>
      </c>
      <c r="DW228" s="91" t="str">
        <f t="shared" si="17"/>
      </c>
      <c r="DX228" s="91" t="str">
        <f t="shared" si="17"/>
      </c>
      <c r="DY228" s="91" t="str">
        <f t="shared" si="17"/>
      </c>
      <c r="DZ228" s="91" t="str">
        <f t="shared" si="17"/>
      </c>
      <c r="EA228" s="91" t="str">
        <f t="shared" si="17"/>
      </c>
      <c r="EB228" s="91" t="str">
        <f t="shared" si="17"/>
      </c>
      <c r="EC228" s="91" t="str">
        <f t="shared" si="17"/>
      </c>
      <c r="ED228" s="91" t="str">
        <f t="shared" si="17"/>
      </c>
      <c r="EE228" s="91" t="str">
        <f t="shared" si="17"/>
      </c>
      <c r="EF228" s="91" t="str">
        <f t="shared" si="17"/>
      </c>
      <c r="EG228" s="91" t="str">
        <f t="shared" si="17"/>
      </c>
      <c r="EH228" s="91" t="str">
        <f t="shared" si="17"/>
      </c>
      <c r="EI228" s="91" t="str">
        <f t="shared" si="17"/>
      </c>
      <c r="EJ228" s="91" t="str">
        <f t="shared" si="17"/>
      </c>
      <c r="EK228" s="91" t="str">
        <f t="shared" si="17"/>
      </c>
      <c r="EL228" s="91" t="str">
        <f t="shared" si="17"/>
      </c>
      <c r="EM228" s="91" t="str">
        <f t="shared" si="17"/>
      </c>
      <c r="EN228" s="91" t="str">
        <f t="shared" si="17"/>
      </c>
      <c r="EO228" s="91" t="str">
        <f t="shared" si="17"/>
      </c>
      <c r="EP228" s="91" t="str">
        <f t="shared" si="17"/>
      </c>
      <c r="EQ228" s="91" t="str">
        <f t="shared" si="17"/>
      </c>
      <c r="ER228" s="91" t="str">
        <f t="shared" si="17"/>
      </c>
      <c r="ES228" s="91" t="str">
        <f t="shared" si="17"/>
      </c>
      <c r="ET228" s="91" t="str">
        <f t="shared" si="17"/>
      </c>
      <c r="EU228" s="91" t="str">
        <f t="shared" si="17"/>
      </c>
      <c r="EV228" s="91" t="str">
        <f t="shared" si="17"/>
      </c>
      <c r="EW228" s="91" t="str">
        <f t="shared" si="17"/>
      </c>
      <c r="EX228" s="91" t="str">
        <f t="shared" si="17"/>
      </c>
      <c r="EY228" s="91" t="str">
        <f t="shared" si="17"/>
      </c>
      <c r="EZ228" s="91" t="str">
        <f t="shared" si="17"/>
      </c>
      <c r="FA228" s="91" t="str">
        <f ref="FA228:HL228" t="shared" si="18">IF(SUM(FA209:FA227)&lt;&gt;0,SUM(FA209:FA227),"")</f>
      </c>
      <c r="FB228" s="91" t="str">
        <f t="shared" si="18"/>
      </c>
      <c r="FC228" s="91" t="str">
        <f t="shared" si="18"/>
      </c>
      <c r="FD228" s="91" t="str">
        <f t="shared" si="18"/>
      </c>
      <c r="FE228" s="91" t="str">
        <f t="shared" si="18"/>
      </c>
      <c r="FF228" s="91" t="str">
        <f t="shared" si="18"/>
      </c>
      <c r="FG228" s="91" t="str">
        <f t="shared" si="18"/>
      </c>
      <c r="FH228" s="91" t="str">
        <f t="shared" si="18"/>
      </c>
      <c r="FI228" s="91" t="str">
        <f t="shared" si="18"/>
      </c>
      <c r="FJ228" s="91" t="str">
        <f t="shared" si="18"/>
      </c>
      <c r="FK228" s="91" t="str">
        <f t="shared" si="18"/>
      </c>
      <c r="FL228" s="91" t="str">
        <f t="shared" si="18"/>
      </c>
      <c r="FM228" s="91" t="str">
        <f t="shared" si="18"/>
      </c>
      <c r="FN228" s="91" t="str">
        <f t="shared" si="18"/>
      </c>
      <c r="FO228" s="91" t="str">
        <f t="shared" si="18"/>
      </c>
      <c r="FP228" s="91" t="str">
        <f t="shared" si="18"/>
      </c>
      <c r="FQ228" s="91" t="str">
        <f t="shared" si="18"/>
      </c>
      <c r="FR228" s="91" t="str">
        <f t="shared" si="18"/>
      </c>
      <c r="FS228" s="91" t="str">
        <f t="shared" si="18"/>
      </c>
      <c r="FT228" s="91" t="str">
        <f t="shared" si="18"/>
      </c>
      <c r="FU228" s="91" t="str">
        <f t="shared" si="18"/>
      </c>
      <c r="FV228" s="91" t="str">
        <f t="shared" si="18"/>
      </c>
      <c r="FW228" s="91" t="str">
        <f t="shared" si="18"/>
      </c>
      <c r="FX228" s="91" t="str">
        <f t="shared" si="18"/>
      </c>
      <c r="FY228" s="91" t="str">
        <f t="shared" si="18"/>
      </c>
      <c r="FZ228" s="91" t="str">
        <f t="shared" si="18"/>
      </c>
      <c r="GA228" s="91" t="str">
        <f t="shared" si="18"/>
      </c>
      <c r="GB228" s="91" t="str">
        <f t="shared" si="18"/>
      </c>
      <c r="GC228" s="91" t="str">
        <f t="shared" si="18"/>
      </c>
      <c r="GD228" s="91" t="str">
        <f t="shared" si="18"/>
      </c>
      <c r="GE228" s="91" t="str">
        <f t="shared" si="18"/>
      </c>
      <c r="GF228" s="91" t="str">
        <f t="shared" si="18"/>
      </c>
      <c r="GG228" s="91" t="str">
        <f t="shared" si="18"/>
      </c>
      <c r="GH228" s="91" t="str">
        <f t="shared" si="18"/>
      </c>
      <c r="GI228" s="91" t="str">
        <f t="shared" si="18"/>
      </c>
      <c r="GJ228" s="91" t="str">
        <f t="shared" si="18"/>
      </c>
      <c r="GK228" s="91" t="str">
        <f t="shared" si="18"/>
      </c>
      <c r="GL228" s="91" t="str">
        <f t="shared" si="18"/>
      </c>
      <c r="GM228" s="91" t="str">
        <f t="shared" si="18"/>
      </c>
      <c r="GN228" s="91" t="str">
        <f t="shared" si="18"/>
      </c>
      <c r="GO228" s="91" t="str">
        <f t="shared" si="18"/>
      </c>
      <c r="GP228" s="91" t="str">
        <f t="shared" si="18"/>
      </c>
      <c r="GQ228" s="91" t="str">
        <f t="shared" si="18"/>
      </c>
      <c r="GR228" s="91" t="str">
        <f t="shared" si="18"/>
      </c>
      <c r="GS228" s="91" t="str">
        <f t="shared" si="18"/>
      </c>
      <c r="GT228" s="91" t="str">
        <f t="shared" si="18"/>
      </c>
      <c r="GU228" s="91" t="str">
        <f t="shared" si="18"/>
      </c>
      <c r="GV228" s="91" t="str">
        <f t="shared" si="18"/>
      </c>
      <c r="GW228" s="91" t="str">
        <f t="shared" si="18"/>
      </c>
      <c r="GX228" s="91" t="str">
        <f t="shared" si="18"/>
      </c>
      <c r="GY228" s="91" t="str">
        <f t="shared" si="18"/>
      </c>
      <c r="GZ228" s="91" t="str">
        <f t="shared" si="18"/>
      </c>
      <c r="HA228" s="91" t="str">
        <f t="shared" si="18"/>
      </c>
      <c r="HB228" s="91" t="str">
        <f t="shared" si="18"/>
      </c>
      <c r="HC228" s="91" t="str">
        <f t="shared" si="18"/>
      </c>
      <c r="HD228" s="91" t="str">
        <f t="shared" si="18"/>
      </c>
      <c r="HE228" s="91" t="str">
        <f t="shared" si="18"/>
      </c>
      <c r="HF228" s="91" t="str">
        <f t="shared" si="18"/>
      </c>
      <c r="HG228" s="91" t="str">
        <f t="shared" si="18"/>
      </c>
      <c r="HH228" s="91" t="str">
        <f t="shared" si="18"/>
      </c>
      <c r="HI228" s="91" t="str">
        <f t="shared" si="18"/>
      </c>
      <c r="HJ228" s="91" t="str">
        <f t="shared" si="18"/>
      </c>
      <c r="HK228" s="91" t="str">
        <f t="shared" si="18"/>
      </c>
      <c r="HL228" s="91" t="str">
        <f t="shared" si="18"/>
      </c>
      <c r="HM228" s="91" t="str">
        <f ref="HM228:IV228" t="shared" si="19">IF(SUM(HM209:HM227)&lt;&gt;0,SUM(HM209:HM227),"")</f>
      </c>
      <c r="HN228" s="91" t="str">
        <f t="shared" si="19"/>
      </c>
      <c r="HO228" s="91" t="str">
        <f t="shared" si="19"/>
      </c>
      <c r="HP228" s="91" t="str">
        <f t="shared" si="19"/>
      </c>
      <c r="HQ228" s="91" t="str">
        <f t="shared" si="19"/>
      </c>
      <c r="HR228" s="91" t="str">
        <f t="shared" si="19"/>
      </c>
      <c r="HS228" s="91" t="str">
        <f t="shared" si="19"/>
      </c>
      <c r="HT228" s="91" t="str">
        <f t="shared" si="19"/>
      </c>
      <c r="HU228" s="91" t="str">
        <f t="shared" si="19"/>
      </c>
      <c r="HV228" s="91" t="str">
        <f t="shared" si="19"/>
      </c>
      <c r="HW228" s="91" t="str">
        <f t="shared" si="19"/>
      </c>
      <c r="HX228" s="91" t="str">
        <f t="shared" si="19"/>
      </c>
      <c r="HY228" s="91" t="str">
        <f t="shared" si="19"/>
      </c>
      <c r="HZ228" s="91" t="str">
        <f t="shared" si="19"/>
      </c>
      <c r="IA228" s="91" t="str">
        <f t="shared" si="19"/>
      </c>
      <c r="IB228" s="91" t="str">
        <f t="shared" si="19"/>
      </c>
      <c r="IC228" s="91" t="str">
        <f t="shared" si="19"/>
      </c>
      <c r="ID228" s="91" t="str">
        <f t="shared" si="19"/>
      </c>
      <c r="IE228" s="91" t="str">
        <f t="shared" si="19"/>
      </c>
      <c r="IF228" s="91" t="str">
        <f t="shared" si="19"/>
      </c>
      <c r="IG228" s="91" t="str">
        <f t="shared" si="19"/>
      </c>
      <c r="IH228" s="91" t="str">
        <f t="shared" si="19"/>
      </c>
      <c r="II228" s="91" t="str">
        <f t="shared" si="19"/>
      </c>
      <c r="IJ228" s="91" t="str">
        <f t="shared" si="19"/>
      </c>
      <c r="IK228" s="91" t="str">
        <f t="shared" si="19"/>
      </c>
      <c r="IL228" s="91" t="str">
        <f t="shared" si="19"/>
      </c>
      <c r="IM228" s="91" t="str">
        <f t="shared" si="19"/>
      </c>
      <c r="IN228" s="91" t="str">
        <f t="shared" si="19"/>
      </c>
      <c r="IO228" s="91" t="str">
        <f t="shared" si="19"/>
      </c>
      <c r="IP228" s="91" t="str">
        <f t="shared" si="19"/>
      </c>
      <c r="IQ228" s="91" t="str">
        <f t="shared" si="19"/>
      </c>
      <c r="IR228" s="91" t="str">
        <f t="shared" si="19"/>
      </c>
      <c r="IS228" s="91" t="str">
        <f t="shared" si="19"/>
      </c>
      <c r="IT228" s="91" t="str">
        <f t="shared" si="19"/>
      </c>
      <c r="IU228" s="91" t="str">
        <f t="shared" si="19"/>
      </c>
      <c r="IV228" s="91" t="str">
        <f t="shared" si="19"/>
      </c>
    </row>
    <row r="229" hidden="1" ht="13.5">
      <c r="N229" s="284"/>
      <c r="O229" s="50"/>
    </row>
    <row r="230" hidden="1" ht="13.5">
      <c r="A230" s="50"/>
      <c r="B230" s="50"/>
      <c r="C230" s="686" t="s">
        <v>7</v>
      </c>
      <c r="D230" s="687"/>
      <c r="E230" s="687"/>
      <c r="F230" s="687"/>
      <c r="G230" s="687"/>
      <c r="H230" s="687"/>
      <c r="I230" s="687"/>
      <c r="J230" s="687"/>
      <c r="K230" s="687"/>
      <c r="L230" s="687"/>
      <c r="M230" s="687"/>
      <c r="N230" s="687"/>
      <c r="O230" s="687"/>
      <c r="P230" s="687"/>
      <c r="Q230" s="687"/>
      <c r="R230" s="687"/>
      <c r="S230" s="687"/>
      <c r="T230" s="687"/>
      <c r="U230" s="687"/>
      <c r="V230" s="687"/>
      <c r="W230" s="687"/>
      <c r="X230" s="687"/>
      <c r="Y230" s="687"/>
      <c r="Z230" s="687"/>
      <c r="AA230" s="687"/>
      <c r="AB230" s="688"/>
    </row>
    <row r="231" hidden="1" ht="13.5">
      <c r="A231" s="91"/>
      <c r="C231" s="435" t="str">
        <f> IF(C251&lt;&gt;"",TEXT(AUX!G$1,"dd-MMM-aa"),"")</f>
      </c>
      <c r="D231" s="435" t="str">
        <f> IF(D251&lt;&gt;"",TEXT(AUX!H$1,"dd-MMM-aa"),"")</f>
      </c>
      <c r="E231" s="435" t="str">
        <f> IF(E251&lt;&gt;"",TEXT(AUX!I$1,"dd-MMM-aa"),"")</f>
      </c>
      <c r="F231" s="435" t="str">
        <f> IF(F251&lt;&gt;"",TEXT(AUX!J$1,"dd-MMM-aa"),"")</f>
      </c>
      <c r="G231" s="435" t="str">
        <f> IF(G251&lt;&gt;"",TEXT(AUX!K$1,"dd-MMM-aa"),"")</f>
      </c>
      <c r="H231" s="435" t="str">
        <f> IF(H251&lt;&gt;"",TEXT(AUX!L$1,"dd-MMM-aa"),"")</f>
      </c>
      <c r="I231" s="435" t="str">
        <f> IF(I251&lt;&gt;"",TEXT(AUX!M$1,"dd-MMM-aa"),"")</f>
      </c>
      <c r="J231" s="435" t="str">
        <f> IF(J251&lt;&gt;"",TEXT(AUX!N$1,"dd-MMM-aa"),"")</f>
      </c>
      <c r="K231" s="435" t="str">
        <f> IF(K251&lt;&gt;"",TEXT(AUX!O$1,"dd-MMM-aa"),"")</f>
      </c>
      <c r="L231" s="435" t="str">
        <f> IF(L251&lt;&gt;"",TEXT(AUX!P$1,"dd-MMM-aa"),"")</f>
      </c>
      <c r="M231" s="435" t="str">
        <f> IF(M251&lt;&gt;"",TEXT(AUX!Q$1,"dd-MMM-aa"),"")</f>
      </c>
      <c r="N231" s="435" t="str">
        <f> IF(N251&lt;&gt;"",TEXT(AUX!R$1,"dd-MMM-aa"),"")</f>
      </c>
      <c r="O231" s="435" t="str">
        <f> IF(O251&lt;&gt;"",TEXT(AUX!S$1,"dd-MMM-aa"),"")</f>
      </c>
      <c r="P231" s="435" t="str">
        <f> IF(P251&lt;&gt;"",TEXT(AUX!T$1,"dd-MMM-aa"),"")</f>
      </c>
      <c r="Q231" s="435" t="str">
        <f> IF(Q251&lt;&gt;"",TEXT(AUX!U$1,"dd-MMM-aa"),"")</f>
      </c>
      <c r="R231" s="435" t="str">
        <f> IF(R251&lt;&gt;"",TEXT(AUX!V$1,"dd-MMM-aa"),"")</f>
      </c>
      <c r="S231" s="435" t="str">
        <f> IF(S251&lt;&gt;"",TEXT(AUX!W$1,"dd-MMM-aa"),"")</f>
      </c>
      <c r="T231" s="435" t="str">
        <f> IF(T251&lt;&gt;"",TEXT(AUX!X$1,"dd-MMM-aa"),"")</f>
      </c>
      <c r="U231" s="435" t="str">
        <f> IF(U251&lt;&gt;"",TEXT(AUX!Y$1,"dd-MMM-aa"),"")</f>
      </c>
      <c r="V231" s="435" t="str">
        <f> IF(V251&lt;&gt;"",TEXT(AUX!Z$1,"dd-MMM-aa"),"")</f>
      </c>
      <c r="W231" s="435" t="str">
        <f> IF(W251&lt;&gt;"",TEXT(AUX!AA$1,"dd-MMM-aa"),"")</f>
      </c>
      <c r="X231" s="435" t="str">
        <f> IF(X251&lt;&gt;"",TEXT(AUX!AB$1,"dd-MMM-aa"),"")</f>
      </c>
      <c r="Y231" s="435" t="str">
        <f> IF(Y251&lt;&gt;"",TEXT(AUX!AC$1,"dd-MMM-aa"),"")</f>
      </c>
      <c r="Z231" s="435" t="str">
        <f> IF(Z251&lt;&gt;"",TEXT(AUX!AD$1,"dd-MMM-aa"),"")</f>
      </c>
      <c r="AA231" s="435" t="str">
        <f> IF(AA251&lt;&gt;"",TEXT(AUX!AE$1,"dd-MMM-aa"),"")</f>
      </c>
      <c r="AB231" s="497" t="str">
        <f> IF(AB251&lt;&gt;"",TEXT(AUX!AF$1,"dd-MMM-aa"),"")</f>
      </c>
      <c r="AC231" s="496" t="str">
        <f> IF(AC251&lt;&gt;"",TEXT(AUX!AG$1,"dd-MMM-aa"),"")</f>
      </c>
      <c r="AD231" s="496" t="str">
        <f> IF(AD251&lt;&gt;"",TEXT(AUX!AH$1,"dd-MMM-aa"),"")</f>
      </c>
      <c r="AE231" s="496" t="str">
        <f> IF(AE251&lt;&gt;"",TEXT(AUX!AI$1,"dd-MMM-aa"),"")</f>
      </c>
      <c r="AF231" s="496" t="str">
        <f> IF(AF251&lt;&gt;"",TEXT(AUX!AJ$1,"dd-MMM-aa"),"")</f>
      </c>
      <c r="AG231" s="496" t="str">
        <f> IF(AG251&lt;&gt;"",TEXT(AUX!AK$1,"dd-MMM-aa"),"")</f>
      </c>
      <c r="AH231" s="496" t="str">
        <f> IF(AH251&lt;&gt;"",TEXT(AUX!AL$1,"dd-MMM-aa"),"")</f>
      </c>
      <c r="AI231" s="496" t="str">
        <f> IF(AI251&lt;&gt;"",TEXT(AUX!AM$1,"dd-MMM-aa"),"")</f>
      </c>
      <c r="AJ231" s="496" t="str">
        <f> IF(AJ251&lt;&gt;"",TEXT(AUX!AN$1,"dd-MMM-aa"),"")</f>
      </c>
      <c r="AK231" s="496" t="str">
        <f> IF(AK251&lt;&gt;"",TEXT(AUX!AO$1,"dd-MMM-aa"),"")</f>
      </c>
      <c r="AL231" s="496" t="str">
        <f> IF(AL251&lt;&gt;"",TEXT(AUX!AP$1,"dd-MMM-aa"),"")</f>
      </c>
      <c r="AM231" s="496" t="str">
        <f> IF(AM251&lt;&gt;"",TEXT(AUX!AQ$1,"dd-MMM-aa"),"")</f>
      </c>
      <c r="AN231" s="496" t="str">
        <f> IF(AN251&lt;&gt;"",TEXT(AUX!AR$1,"dd-MMM-aa"),"")</f>
      </c>
      <c r="AO231" s="496" t="str">
        <f> IF(AO251&lt;&gt;"",TEXT(AUX!AS$1,"dd-MMM-aa"),"")</f>
      </c>
      <c r="AP231" s="496" t="str">
        <f> IF(AP251&lt;&gt;"",TEXT(AUX!AT$1,"dd-MMM-aa"),"")</f>
      </c>
      <c r="AQ231" s="496" t="str">
        <f> IF(AQ251&lt;&gt;"",TEXT(AUX!AU$1,"dd-MMM-aa"),"")</f>
      </c>
      <c r="AR231" s="496" t="str">
        <f> IF(AR251&lt;&gt;"",TEXT(AUX!AV$1,"dd-MMM-aa"),"")</f>
      </c>
      <c r="AS231" s="496" t="str">
        <f> IF(AS251&lt;&gt;"",TEXT(AUX!AW$1,"dd-MMM-aa"),"")</f>
      </c>
      <c r="AT231" s="496" t="str">
        <f> IF(AT251&lt;&gt;"",TEXT(AUX!AX$1,"dd-MMM-aa"),"")</f>
      </c>
      <c r="AU231" s="496" t="str">
        <f> IF(AU251&lt;&gt;"",TEXT(AUX!AY$1,"dd-MMM-aa"),"")</f>
      </c>
      <c r="AV231" s="496" t="str">
        <f> IF(AV251&lt;&gt;"",TEXT(AUX!AZ$1,"dd-MMM-aa"),"")</f>
      </c>
      <c r="AW231" s="496" t="str">
        <f> IF(AW251&lt;&gt;"",TEXT(AUX!BA$1,"dd-MMM-aa"),"")</f>
      </c>
      <c r="AX231" s="496" t="str">
        <f> IF(AX251&lt;&gt;"",TEXT(AUX!BB$1,"dd-MMM-aa"),"")</f>
      </c>
      <c r="AY231" s="496" t="str">
        <f> IF(AY251&lt;&gt;"",TEXT(AUX!BC$1,"dd-MMM-aa"),"")</f>
      </c>
      <c r="AZ231" s="496" t="str">
        <f> IF(AZ251&lt;&gt;"",TEXT(AUX!BD$1,"dd-MMM-aa"),"")</f>
      </c>
      <c r="BA231" s="496" t="str">
        <f> IF(BA251&lt;&gt;"",TEXT(AUX!BE$1,"dd-MMM-aa"),"")</f>
      </c>
      <c r="BB231" s="496" t="str">
        <f> IF(BB251&lt;&gt;"",TEXT(AUX!BF$1,"dd-MMM-aa"),"")</f>
      </c>
      <c r="BC231" s="496" t="str">
        <f> IF(BC251&lt;&gt;"",TEXT(AUX!BG$1,"dd-MMM-aa"),"")</f>
      </c>
      <c r="BD231" s="496" t="str">
        <f> IF(BD251&lt;&gt;"",TEXT(AUX!BH$1,"dd-MMM-aa"),"")</f>
      </c>
      <c r="BE231" s="496" t="str">
        <f> IF(BE251&lt;&gt;"",TEXT(AUX!BI$1,"dd-MMM-aa"),"")</f>
      </c>
      <c r="BF231" s="496" t="str">
        <f> IF(BF251&lt;&gt;"",TEXT(AUX!BJ$1,"dd-MMM-aa"),"")</f>
      </c>
      <c r="BG231" s="496" t="str">
        <f> IF(BG251&lt;&gt;"",TEXT(AUX!BK$1,"dd-MMM-aa"),"")</f>
      </c>
      <c r="BH231" s="496" t="str">
        <f> IF(BH251&lt;&gt;"",TEXT(AUX!BL$1,"dd-MMM-aa"),"")</f>
      </c>
      <c r="BI231" s="496" t="str">
        <f> IF(BI251&lt;&gt;"",TEXT(AUX!BM$1,"dd-MMM-aa"),"")</f>
      </c>
      <c r="BJ231" s="496" t="str">
        <f> IF(BJ251&lt;&gt;"",TEXT(AUX!BN$1,"dd-MMM-aa"),"")</f>
      </c>
      <c r="BK231" s="496" t="str">
        <f> IF(BK251&lt;&gt;"",TEXT(AUX!BO$1,"dd-MMM-aa"),"")</f>
      </c>
      <c r="BL231" s="496" t="str">
        <f> IF(BL251&lt;&gt;"",TEXT(AUX!BP$1,"dd-MMM-aa"),"")</f>
      </c>
      <c r="BM231" s="496" t="str">
        <f> IF(BM251&lt;&gt;"",TEXT(AUX!BQ$1,"dd-MMM-aa"),"")</f>
      </c>
      <c r="BN231" s="496" t="str">
        <f> IF(BN251&lt;&gt;"",TEXT(AUX!BR$1,"dd-MMM-aa"),"")</f>
      </c>
      <c r="BO231" s="496" t="str">
        <f> IF(BO251&lt;&gt;"",TEXT(AUX!BS$1,"dd-MMM-aa"),"")</f>
      </c>
      <c r="BP231" s="496" t="str">
        <f> IF(BP251&lt;&gt;"",TEXT(AUX!BT$1,"dd-MMM-aa"),"")</f>
      </c>
      <c r="BQ231" s="496" t="str">
        <f> IF(BQ251&lt;&gt;"",TEXT(AUX!BU$1,"dd-MMM-aa"),"")</f>
      </c>
      <c r="BR231" s="496" t="str">
        <f> IF(BR251&lt;&gt;"",TEXT(AUX!BV$1,"dd-MMM-aa"),"")</f>
      </c>
      <c r="BS231" s="496" t="str">
        <f> IF(BS251&lt;&gt;"",TEXT(AUX!BW$1,"dd-MMM-aa"),"")</f>
      </c>
      <c r="BT231" s="496" t="str">
        <f> IF(BT251&lt;&gt;"",TEXT(AUX!BX$1,"dd-MMM-aa"),"")</f>
      </c>
      <c r="BU231" s="496" t="str">
        <f> IF(BU251&lt;&gt;"",TEXT(AUX!BY$1,"dd-MMM-aa"),"")</f>
      </c>
      <c r="BV231" s="496" t="str">
        <f> IF(BV251&lt;&gt;"",TEXT(AUX!BZ$1,"dd-MMM-aa"),"")</f>
      </c>
      <c r="BW231" s="496" t="str">
        <f> IF(BW251&lt;&gt;"",TEXT(AUX!CA$1,"dd-MMM-aa"),"")</f>
      </c>
      <c r="BX231" s="496" t="str">
        <f> IF(BX251&lt;&gt;"",TEXT(AUX!CB$1,"dd-MMM-aa"),"")</f>
      </c>
      <c r="BY231" s="496" t="str">
        <f> IF(BY251&lt;&gt;"",TEXT(AUX!CC$1,"dd-MMM-aa"),"")</f>
      </c>
      <c r="BZ231" s="496" t="str">
        <f> IF(BZ251&lt;&gt;"",TEXT(AUX!CD$1,"dd-MMM-aa"),"")</f>
      </c>
      <c r="CA231" s="496" t="str">
        <f> IF(CA251&lt;&gt;"",TEXT(AUX!CE$1,"dd-MMM-aa"),"")</f>
      </c>
      <c r="CB231" s="496" t="str">
        <f> IF(CB251&lt;&gt;"",TEXT(AUX!CF$1,"dd-MMM-aa"),"")</f>
      </c>
      <c r="CC231" s="496" t="str">
        <f> IF(CC251&lt;&gt;"",TEXT(AUX!CG$1,"dd-MMM-aa"),"")</f>
      </c>
      <c r="CD231" s="496" t="str">
        <f> IF(CD251&lt;&gt;"",TEXT(AUX!CH$1,"dd-MMM-aa"),"")</f>
      </c>
      <c r="CE231" s="496" t="str">
        <f> IF(CE251&lt;&gt;"",TEXT(AUX!CI$1,"dd-MMM-aa"),"")</f>
      </c>
      <c r="CF231" s="496" t="str">
        <f> IF(CF251&lt;&gt;"",TEXT(AUX!CJ$1,"dd-MMM-aa"),"")</f>
      </c>
      <c r="CG231" s="496" t="str">
        <f> IF(CG251&lt;&gt;"",TEXT(AUX!CK$1,"dd-MMM-aa"),"")</f>
      </c>
      <c r="CH231" s="496" t="str">
        <f> IF(CH251&lt;&gt;"",TEXT(AUX!CL$1,"dd-MMM-aa"),"")</f>
      </c>
      <c r="CI231" s="496" t="str">
        <f> IF(CI251&lt;&gt;"",TEXT(AUX!CM$1,"dd-MMM-aa"),"")</f>
      </c>
      <c r="CJ231" s="496" t="str">
        <f> IF(CJ251&lt;&gt;"",TEXT(AUX!CN$1,"dd-MMM-aa"),"")</f>
      </c>
      <c r="CK231" s="496" t="str">
        <f> IF(CK251&lt;&gt;"",TEXT(AUX!CO$1,"dd-MMM-aa"),"")</f>
      </c>
      <c r="CL231" s="496" t="str">
        <f> IF(CL251&lt;&gt;"",TEXT(AUX!CP$1,"dd-MMM-aa"),"")</f>
      </c>
      <c r="CM231" s="496" t="str">
        <f> IF(CM251&lt;&gt;"",TEXT(AUX!CQ$1,"dd-MMM-aa"),"")</f>
      </c>
      <c r="CN231" s="496" t="str">
        <f> IF(CN251&lt;&gt;"",TEXT(AUX!CR$1,"dd-MMM-aa"),"")</f>
      </c>
      <c r="CO231" s="496" t="str">
        <f> IF(CO251&lt;&gt;"",TEXT(AUX!CS$1,"dd-MMM-aa"),"")</f>
      </c>
      <c r="CP231" s="496" t="str">
        <f> IF(CP251&lt;&gt;"",TEXT(AUX!CT$1,"dd-MMM-aa"),"")</f>
      </c>
      <c r="CQ231" s="496" t="str">
        <f> IF(CQ251&lt;&gt;"",TEXT(AUX!CU$1,"dd-MMM-aa"),"")</f>
      </c>
      <c r="CR231" s="496" t="str">
        <f> IF(CR251&lt;&gt;"",TEXT(AUX!CV$1,"dd-MMM-aa"),"")</f>
      </c>
      <c r="CS231" s="496" t="str">
        <f> IF(CS251&lt;&gt;"",TEXT(AUX!CW$1,"dd-MMM-aa"),"")</f>
      </c>
      <c r="CT231" s="496" t="str">
        <f> IF(CT251&lt;&gt;"",TEXT(AUX!CX$1,"dd-MMM-aa"),"")</f>
      </c>
      <c r="CU231" s="496" t="str">
        <f> IF(CU251&lt;&gt;"",TEXT(AUX!CY$1,"dd-MMM-aa"),"")</f>
      </c>
      <c r="CV231" s="496" t="str">
        <f> IF(CV251&lt;&gt;"",TEXT(AUX!CZ$1,"dd-MMM-aa"),"")</f>
      </c>
      <c r="CW231" s="496" t="str">
        <f> IF(CW251&lt;&gt;"",TEXT(AUX!DA$1,"dd-MMM-aa"),"")</f>
      </c>
      <c r="CX231" s="496" t="str">
        <f> IF(CX251&lt;&gt;"",TEXT(AUX!DB$1,"dd-MMM-aa"),"")</f>
      </c>
      <c r="CY231" s="496" t="str">
        <f> IF(CY251&lt;&gt;"",TEXT(AUX!DC$1,"dd-MMM-aa"),"")</f>
      </c>
      <c r="CZ231" s="496" t="str">
        <f> IF(CZ251&lt;&gt;"",TEXT(AUX!DD$1,"dd-MMM-aa"),"")</f>
      </c>
      <c r="DA231" s="496" t="str">
        <f> IF(DA251&lt;&gt;"",TEXT(AUX!DE$1,"dd-MMM-aa"),"")</f>
      </c>
      <c r="DB231" s="496" t="str">
        <f> IF(DB251&lt;&gt;"",TEXT(AUX!DF$1,"dd-MMM-aa"),"")</f>
      </c>
      <c r="DC231" s="496" t="str">
        <f> IF(DC251&lt;&gt;"",TEXT(AUX!DG$1,"dd-MMM-aa"),"")</f>
      </c>
      <c r="DD231" s="496" t="str">
        <f> IF(DD251&lt;&gt;"",TEXT(AUX!DH$1,"dd-MMM-aa"),"")</f>
      </c>
      <c r="DE231" s="496" t="str">
        <f> IF(DE251&lt;&gt;"",TEXT(AUX!DI$1,"dd-MMM-aa"),"")</f>
      </c>
      <c r="DF231" s="496" t="str">
        <f> IF(DF251&lt;&gt;"",TEXT(AUX!DJ$1,"dd-MMM-aa"),"")</f>
      </c>
      <c r="DG231" s="496" t="str">
        <f> IF(DG251&lt;&gt;"",TEXT(AUX!DK$1,"dd-MMM-aa"),"")</f>
      </c>
      <c r="DH231" s="496" t="str">
        <f> IF(DH251&lt;&gt;"",TEXT(AUX!DL$1,"dd-MMM-aa"),"")</f>
      </c>
      <c r="DI231" s="496" t="str">
        <f> IF(DI251&lt;&gt;"",TEXT(AUX!DM$1,"dd-MMM-aa"),"")</f>
      </c>
      <c r="DJ231" s="496" t="str">
        <f> IF(DJ251&lt;&gt;"",TEXT(AUX!DN$1,"dd-MMM-aa"),"")</f>
      </c>
      <c r="DK231" s="496" t="str">
        <f> IF(DK251&lt;&gt;"",TEXT(AUX!DO$1,"dd-MMM-aa"),"")</f>
      </c>
      <c r="DL231" s="496" t="str">
        <f> IF(DL251&lt;&gt;"",TEXT(AUX!DP$1,"dd-MMM-aa"),"")</f>
      </c>
      <c r="DM231" s="496" t="str">
        <f> IF(DM251&lt;&gt;"",TEXT(AUX!DQ$1,"dd-MMM-aa"),"")</f>
      </c>
      <c r="DN231" s="496" t="str">
        <f> IF(DN251&lt;&gt;"",TEXT(AUX!DR$1,"dd-MMM-aa"),"")</f>
      </c>
      <c r="DO231" s="496" t="str">
        <f> IF(DO251&lt;&gt;"",TEXT(AUX!DS$1,"dd-MMM-aa"),"")</f>
      </c>
      <c r="DP231" s="496" t="str">
        <f> IF(DP251&lt;&gt;"",TEXT(AUX!DT$1,"dd-MMM-aa"),"")</f>
      </c>
      <c r="DQ231" s="496" t="str">
        <f> IF(DQ251&lt;&gt;"",TEXT(AUX!DU$1,"dd-MMM-aa"),"")</f>
      </c>
      <c r="DR231" s="496" t="str">
        <f> IF(DR251&lt;&gt;"",TEXT(AUX!DV$1,"dd-MMM-aa"),"")</f>
      </c>
      <c r="DS231" s="496" t="str">
        <f> IF(DS251&lt;&gt;"",TEXT(AUX!DW$1,"dd-MMM-aa"),"")</f>
      </c>
      <c r="DT231" s="496" t="str">
        <f> IF(DT251&lt;&gt;"",TEXT(AUX!DX$1,"dd-MMM-aa"),"")</f>
      </c>
      <c r="DU231" s="496" t="str">
        <f> IF(DU251&lt;&gt;"",TEXT(AUX!DY$1,"dd-MMM-aa"),"")</f>
      </c>
      <c r="DV231" s="496" t="str">
        <f> IF(DV251&lt;&gt;"",TEXT(AUX!DZ$1,"dd-MMM-aa"),"")</f>
      </c>
      <c r="DW231" s="496" t="str">
        <f> IF(DW251&lt;&gt;"",TEXT(AUX!EA$1,"dd-MMM-aa"),"")</f>
      </c>
      <c r="DX231" s="496" t="str">
        <f> IF(DX251&lt;&gt;"",TEXT(AUX!EB$1,"dd-MMM-aa"),"")</f>
      </c>
      <c r="DY231" s="496" t="str">
        <f> IF(DY251&lt;&gt;"",TEXT(AUX!EC$1,"dd-MMM-aa"),"")</f>
      </c>
      <c r="DZ231" s="496" t="str">
        <f> IF(DZ251&lt;&gt;"",TEXT(AUX!ED$1,"dd-MMM-aa"),"")</f>
      </c>
      <c r="EA231" s="496" t="str">
        <f> IF(EA251&lt;&gt;"",TEXT(AUX!EE$1,"dd-MMM-aa"),"")</f>
      </c>
      <c r="EB231" s="496" t="str">
        <f> IF(EB251&lt;&gt;"",TEXT(AUX!EF$1,"dd-MMM-aa"),"")</f>
      </c>
      <c r="EC231" s="496" t="str">
        <f> IF(EC251&lt;&gt;"",TEXT(AUX!EG$1,"dd-MMM-aa"),"")</f>
      </c>
      <c r="ED231" s="496" t="str">
        <f> IF(ED251&lt;&gt;"",TEXT(AUX!EH$1,"dd-MMM-aa"),"")</f>
      </c>
      <c r="EE231" s="496" t="str">
        <f> IF(EE251&lt;&gt;"",TEXT(AUX!EI$1,"dd-MMM-aa"),"")</f>
      </c>
      <c r="EF231" s="496" t="str">
        <f> IF(EF251&lt;&gt;"",TEXT(AUX!EJ$1,"dd-MMM-aa"),"")</f>
      </c>
      <c r="EG231" s="496" t="str">
        <f> IF(EG251&lt;&gt;"",TEXT(AUX!EK$1,"dd-MMM-aa"),"")</f>
      </c>
      <c r="EH231" s="496" t="str">
        <f> IF(EH251&lt;&gt;"",TEXT(AUX!EL$1,"dd-MMM-aa"),"")</f>
      </c>
      <c r="EI231" s="496" t="str">
        <f> IF(EI251&lt;&gt;"",TEXT(AUX!EM$1,"dd-MMM-aa"),"")</f>
      </c>
      <c r="EJ231" s="496" t="str">
        <f> IF(EJ251&lt;&gt;"",TEXT(AUX!EN$1,"dd-MMM-aa"),"")</f>
      </c>
      <c r="EK231" s="496" t="str">
        <f> IF(EK251&lt;&gt;"",TEXT(AUX!EO$1,"dd-MMM-aa"),"")</f>
      </c>
      <c r="EL231" s="496" t="str">
        <f> IF(EL251&lt;&gt;"",TEXT(AUX!EP$1,"dd-MMM-aa"),"")</f>
      </c>
      <c r="EM231" s="496" t="str">
        <f> IF(EM251&lt;&gt;"",TEXT(AUX!EQ$1,"dd-MMM-aa"),"")</f>
      </c>
      <c r="EN231" s="496" t="str">
        <f> IF(EN251&lt;&gt;"",TEXT(AUX!ER$1,"dd-MMM-aa"),"")</f>
      </c>
      <c r="EO231" s="496" t="str">
        <f> IF(EO251&lt;&gt;"",TEXT(AUX!ES$1,"dd-MMM-aa"),"")</f>
      </c>
      <c r="EP231" s="496" t="str">
        <f> IF(EP251&lt;&gt;"",TEXT(AUX!ET$1,"dd-MMM-aa"),"")</f>
      </c>
      <c r="EQ231" s="496" t="str">
        <f> IF(EQ251&lt;&gt;"",TEXT(AUX!EU$1,"dd-MMM-aa"),"")</f>
      </c>
      <c r="ER231" s="496" t="str">
        <f> IF(ER251&lt;&gt;"",TEXT(AUX!EV$1,"dd-MMM-aa"),"")</f>
      </c>
      <c r="ES231" s="496" t="str">
        <f> IF(ES251&lt;&gt;"",TEXT(AUX!EW$1,"dd-MMM-aa"),"")</f>
      </c>
      <c r="ET231" s="496" t="str">
        <f> IF(ET251&lt;&gt;"",TEXT(AUX!EX$1,"dd-MMM-aa"),"")</f>
      </c>
      <c r="EU231" s="496" t="str">
        <f> IF(EU251&lt;&gt;"",TEXT(AUX!EY$1,"dd-MMM-aa"),"")</f>
      </c>
      <c r="EV231" s="496" t="str">
        <f> IF(EV251&lt;&gt;"",TEXT(AUX!EZ$1,"dd-MMM-aa"),"")</f>
      </c>
      <c r="EW231" s="496" t="str">
        <f> IF(EW251&lt;&gt;"",TEXT(AUX!FA$1,"dd-MMM-aa"),"")</f>
      </c>
      <c r="EX231" s="496" t="str">
        <f> IF(EX251&lt;&gt;"",TEXT(AUX!FB$1,"dd-MMM-aa"),"")</f>
      </c>
      <c r="EY231" s="496" t="str">
        <f> IF(EY251&lt;&gt;"",TEXT(AUX!FC$1,"dd-MMM-aa"),"")</f>
      </c>
      <c r="EZ231" s="496" t="str">
        <f> IF(EZ251&lt;&gt;"",TEXT(AUX!FD$1,"dd-MMM-aa"),"")</f>
      </c>
      <c r="FA231" s="496" t="str">
        <f> IF(FA251&lt;&gt;"",TEXT(AUX!FE$1,"dd-MMM-aa"),"")</f>
      </c>
      <c r="FB231" s="496" t="str">
        <f> IF(FB251&lt;&gt;"",TEXT(AUX!FF$1,"dd-MMM-aa"),"")</f>
      </c>
      <c r="FC231" s="496" t="str">
        <f> IF(FC251&lt;&gt;"",TEXT(AUX!FG$1,"dd-MMM-aa"),"")</f>
      </c>
      <c r="FD231" s="496" t="str">
        <f> IF(FD251&lt;&gt;"",TEXT(AUX!FH$1,"dd-MMM-aa"),"")</f>
      </c>
      <c r="FE231" s="496" t="str">
        <f> IF(FE251&lt;&gt;"",TEXT(AUX!FI$1,"dd-MMM-aa"),"")</f>
      </c>
      <c r="FF231" s="496" t="str">
        <f> IF(FF251&lt;&gt;"",TEXT(AUX!FJ$1,"dd-MMM-aa"),"")</f>
      </c>
      <c r="FG231" s="496" t="str">
        <f> IF(FG251&lt;&gt;"",TEXT(AUX!FK$1,"dd-MMM-aa"),"")</f>
      </c>
      <c r="FH231" s="496" t="str">
        <f> IF(FH251&lt;&gt;"",TEXT(AUX!FL$1,"dd-MMM-aa"),"")</f>
      </c>
      <c r="FI231" s="496" t="str">
        <f> IF(FI251&lt;&gt;"",TEXT(AUX!FM$1,"dd-MMM-aa"),"")</f>
      </c>
      <c r="FJ231" s="496" t="str">
        <f> IF(FJ251&lt;&gt;"",TEXT(AUX!FN$1,"dd-MMM-aa"),"")</f>
      </c>
      <c r="FK231" s="496" t="str">
        <f> IF(FK251&lt;&gt;"",TEXT(AUX!FO$1,"dd-MMM-aa"),"")</f>
      </c>
      <c r="FL231" s="496" t="str">
        <f> IF(FL251&lt;&gt;"",TEXT(AUX!FP$1,"dd-MMM-aa"),"")</f>
      </c>
      <c r="FM231" s="496" t="str">
        <f> IF(FM251&lt;&gt;"",TEXT(AUX!FQ$1,"dd-MMM-aa"),"")</f>
      </c>
      <c r="FN231" s="496" t="str">
        <f> IF(FN251&lt;&gt;"",TEXT(AUX!FR$1,"dd-MMM-aa"),"")</f>
      </c>
      <c r="FO231" s="496" t="str">
        <f> IF(FO251&lt;&gt;"",TEXT(AUX!FS$1,"dd-MMM-aa"),"")</f>
      </c>
      <c r="FP231" s="496" t="str">
        <f> IF(FP251&lt;&gt;"",TEXT(AUX!FT$1,"dd-MMM-aa"),"")</f>
      </c>
      <c r="FQ231" s="496" t="str">
        <f> IF(FQ251&lt;&gt;"",TEXT(AUX!FU$1,"dd-MMM-aa"),"")</f>
      </c>
      <c r="FR231" s="496" t="str">
        <f> IF(FR251&lt;&gt;"",TEXT(AUX!FV$1,"dd-MMM-aa"),"")</f>
      </c>
      <c r="FS231" s="496" t="str">
        <f> IF(FS251&lt;&gt;"",TEXT(AUX!FW$1,"dd-MMM-aa"),"")</f>
      </c>
      <c r="FT231" s="496" t="str">
        <f> IF(FT251&lt;&gt;"",TEXT(AUX!FX$1,"dd-MMM-aa"),"")</f>
      </c>
      <c r="FU231" s="496" t="str">
        <f> IF(FU251&lt;&gt;"",TEXT(AUX!FY$1,"dd-MMM-aa"),"")</f>
      </c>
      <c r="FV231" s="496" t="str">
        <f> IF(FV251&lt;&gt;"",TEXT(AUX!FZ$1,"dd-MMM-aa"),"")</f>
      </c>
      <c r="FW231" s="496" t="str">
        <f> IF(FW251&lt;&gt;"",TEXT(AUX!GA$1,"dd-MMM-aa"),"")</f>
      </c>
      <c r="FX231" s="496" t="str">
        <f> IF(FX251&lt;&gt;"",TEXT(AUX!GB$1,"dd-MMM-aa"),"")</f>
      </c>
      <c r="FY231" s="496" t="str">
        <f> IF(FY251&lt;&gt;"",TEXT(AUX!GC$1,"dd-MMM-aa"),"")</f>
      </c>
      <c r="FZ231" s="496" t="str">
        <f> IF(FZ251&lt;&gt;"",TEXT(AUX!GD$1,"dd-MMM-aa"),"")</f>
      </c>
      <c r="GA231" s="496" t="str">
        <f> IF(GA251&lt;&gt;"",TEXT(AUX!GE$1,"dd-MMM-aa"),"")</f>
      </c>
      <c r="GB231" s="496" t="str">
        <f> IF(GB251&lt;&gt;"",TEXT(AUX!GF$1,"dd-MMM-aa"),"")</f>
      </c>
      <c r="GC231" s="496" t="str">
        <f> IF(GC251&lt;&gt;"",TEXT(AUX!GG$1,"dd-MMM-aa"),"")</f>
      </c>
      <c r="GD231" s="496" t="str">
        <f> IF(GD251&lt;&gt;"",TEXT(AUX!GH$1,"dd-MMM-aa"),"")</f>
      </c>
      <c r="GE231" s="496" t="str">
        <f> IF(GE251&lt;&gt;"",TEXT(AUX!GI$1,"dd-MMM-aa"),"")</f>
      </c>
      <c r="GF231" s="496" t="str">
        <f> IF(GF251&lt;&gt;"",TEXT(AUX!GJ$1,"dd-MMM-aa"),"")</f>
      </c>
      <c r="GG231" s="496" t="str">
        <f> IF(GG251&lt;&gt;"",TEXT(AUX!GK$1,"dd-MMM-aa"),"")</f>
      </c>
      <c r="GH231" s="496" t="str">
        <f> IF(GH251&lt;&gt;"",TEXT(AUX!GL$1,"dd-MMM-aa"),"")</f>
      </c>
      <c r="GI231" s="496" t="str">
        <f> IF(GI251&lt;&gt;"",TEXT(AUX!GM$1,"dd-MMM-aa"),"")</f>
      </c>
      <c r="GJ231" s="496" t="str">
        <f> IF(GJ251&lt;&gt;"",TEXT(AUX!GN$1,"dd-MMM-aa"),"")</f>
      </c>
      <c r="GK231" s="496" t="str">
        <f> IF(GK251&lt;&gt;"",TEXT(AUX!GO$1,"dd-MMM-aa"),"")</f>
      </c>
      <c r="GL231" s="496" t="str">
        <f> IF(GL251&lt;&gt;"",TEXT(AUX!GP$1,"dd-MMM-aa"),"")</f>
      </c>
      <c r="GM231" s="496" t="str">
        <f> IF(GM251&lt;&gt;"",TEXT(AUX!GQ$1,"dd-MMM-aa"),"")</f>
      </c>
      <c r="GN231" s="496" t="str">
        <f> IF(GN251&lt;&gt;"",TEXT(AUX!GR$1,"dd-MMM-aa"),"")</f>
      </c>
      <c r="GO231" s="496" t="str">
        <f> IF(GO251&lt;&gt;"",TEXT(AUX!GS$1,"dd-MMM-aa"),"")</f>
      </c>
      <c r="GP231" s="496" t="str">
        <f> IF(GP251&lt;&gt;"",TEXT(AUX!GT$1,"dd-MMM-aa"),"")</f>
      </c>
      <c r="GQ231" s="496" t="str">
        <f> IF(GQ251&lt;&gt;"",TEXT(AUX!GU$1,"dd-MMM-aa"),"")</f>
      </c>
      <c r="GR231" s="496" t="str">
        <f> IF(GR251&lt;&gt;"",TEXT(AUX!GV$1,"dd-MMM-aa"),"")</f>
      </c>
      <c r="GS231" s="496" t="str">
        <f> IF(GS251&lt;&gt;"",TEXT(AUX!GW$1,"dd-MMM-aa"),"")</f>
      </c>
      <c r="GT231" s="496" t="str">
        <f> IF(GT251&lt;&gt;"",TEXT(AUX!GX$1,"dd-MMM-aa"),"")</f>
      </c>
      <c r="GU231" s="496" t="str">
        <f> IF(GU251&lt;&gt;"",TEXT(AUX!GY$1,"dd-MMM-aa"),"")</f>
      </c>
      <c r="GV231" s="496" t="str">
        <f> IF(GV251&lt;&gt;"",TEXT(AUX!GZ$1,"dd-MMM-aa"),"")</f>
      </c>
      <c r="GW231" s="496" t="str">
        <f> IF(GW251&lt;&gt;"",TEXT(AUX!HA$1,"dd-MMM-aa"),"")</f>
      </c>
      <c r="GX231" s="496" t="str">
        <f> IF(GX251&lt;&gt;"",TEXT(AUX!HB$1,"dd-MMM-aa"),"")</f>
      </c>
      <c r="GY231" s="496" t="str">
        <f> IF(GY251&lt;&gt;"",TEXT(AUX!HC$1,"dd-MMM-aa"),"")</f>
      </c>
      <c r="GZ231" s="496" t="str">
        <f> IF(GZ251&lt;&gt;"",TEXT(AUX!HD$1,"dd-MMM-aa"),"")</f>
      </c>
      <c r="HA231" s="496" t="str">
        <f> IF(HA251&lt;&gt;"",TEXT(AUX!HE$1,"dd-MMM-aa"),"")</f>
      </c>
      <c r="HB231" s="496" t="str">
        <f> IF(HB251&lt;&gt;"",TEXT(AUX!HF$1,"dd-MMM-aa"),"")</f>
      </c>
      <c r="HC231" s="496" t="str">
        <f> IF(HC251&lt;&gt;"",TEXT(AUX!HG$1,"dd-MMM-aa"),"")</f>
      </c>
      <c r="HD231" s="496" t="str">
        <f> IF(HD251&lt;&gt;"",TEXT(AUX!HH$1,"dd-MMM-aa"),"")</f>
      </c>
      <c r="HE231" s="496" t="str">
        <f> IF(HE251&lt;&gt;"",TEXT(AUX!HI$1,"dd-MMM-aa"),"")</f>
      </c>
      <c r="HF231" s="496" t="str">
        <f> IF(HF251&lt;&gt;"",TEXT(AUX!HJ$1,"dd-MMM-aa"),"")</f>
      </c>
      <c r="HG231" s="496" t="str">
        <f> IF(HG251&lt;&gt;"",TEXT(AUX!HK$1,"dd-MMM-aa"),"")</f>
      </c>
      <c r="HH231" s="496" t="str">
        <f> IF(HH251&lt;&gt;"",TEXT(AUX!HL$1,"dd-MMM-aa"),"")</f>
      </c>
      <c r="HI231" s="496" t="str">
        <f> IF(HI251&lt;&gt;"",TEXT(AUX!HM$1,"dd-MMM-aa"),"")</f>
      </c>
      <c r="HJ231" s="496" t="str">
        <f> IF(HJ251&lt;&gt;"",TEXT(AUX!HN$1,"dd-MMM-aa"),"")</f>
      </c>
      <c r="HK231" s="496" t="str">
        <f> IF(HK251&lt;&gt;"",TEXT(AUX!HO$1,"dd-MMM-aa"),"")</f>
      </c>
      <c r="HL231" s="496" t="str">
        <f> IF(HL251&lt;&gt;"",TEXT(AUX!HP$1,"dd-MMM-aa"),"")</f>
      </c>
      <c r="HM231" s="496" t="str">
        <f> IF(HM251&lt;&gt;"",TEXT(AUX!HQ$1,"dd-MMM-aa"),"")</f>
      </c>
      <c r="HN231" s="496" t="str">
        <f> IF(HN251&lt;&gt;"",TEXT(AUX!HR$1,"dd-MMM-aa"),"")</f>
      </c>
      <c r="HO231" s="496" t="str">
        <f> IF(HO251&lt;&gt;"",TEXT(AUX!HS$1,"dd-MMM-aa"),"")</f>
      </c>
      <c r="HP231" s="496" t="str">
        <f> IF(HP251&lt;&gt;"",TEXT(AUX!HT$1,"dd-MMM-aa"),"")</f>
      </c>
      <c r="HQ231" s="496" t="str">
        <f> IF(HQ251&lt;&gt;"",TEXT(AUX!HU$1,"dd-MMM-aa"),"")</f>
      </c>
      <c r="HR231" s="496" t="str">
        <f> IF(HR251&lt;&gt;"",TEXT(AUX!HV$1,"dd-MMM-aa"),"")</f>
      </c>
      <c r="HS231" s="496" t="str">
        <f> IF(HS251&lt;&gt;"",TEXT(AUX!HW$1,"dd-MMM-aa"),"")</f>
      </c>
      <c r="HT231" s="496" t="str">
        <f> IF(HT251&lt;&gt;"",TEXT(AUX!HX$1,"dd-MMM-aa"),"")</f>
      </c>
      <c r="HU231" s="496" t="str">
        <f> IF(HU251&lt;&gt;"",TEXT(AUX!HY$1,"dd-MMM-aa"),"")</f>
      </c>
      <c r="HV231" s="496" t="str">
        <f> IF(HV251&lt;&gt;"",TEXT(AUX!HZ$1,"dd-MMM-aa"),"")</f>
      </c>
      <c r="HW231" s="496" t="str">
        <f> IF(HW251&lt;&gt;"",TEXT(AUX!IA$1,"dd-MMM-aa"),"")</f>
      </c>
      <c r="HX231" s="496" t="str">
        <f> IF(HX251&lt;&gt;"",TEXT(AUX!IB$1,"dd-MMM-aa"),"")</f>
      </c>
      <c r="HY231" s="496" t="str">
        <f> IF(HY251&lt;&gt;"",TEXT(AUX!IC$1,"dd-MMM-aa"),"")</f>
      </c>
      <c r="HZ231" s="496" t="str">
        <f> IF(HZ251&lt;&gt;"",TEXT(AUX!ID$1,"dd-MMM-aa"),"")</f>
      </c>
      <c r="IA231" s="496" t="str">
        <f> IF(IA251&lt;&gt;"",TEXT(AUX!IE$1,"dd-MMM-aa"),"")</f>
      </c>
      <c r="IB231" s="496" t="str">
        <f> IF(IB251&lt;&gt;"",TEXT(AUX!IF$1,"dd-MMM-aa"),"")</f>
      </c>
      <c r="IC231" s="496" t="str">
        <f> IF(IC251&lt;&gt;"",TEXT(AUX!IG$1,"dd-MMM-aa"),"")</f>
      </c>
      <c r="ID231" s="496" t="str">
        <f> IF(ID251&lt;&gt;"",TEXT(AUX!IH$1,"dd-MMM-aa"),"")</f>
      </c>
      <c r="IE231" s="496" t="str">
        <f> IF(IE251&lt;&gt;"",TEXT(AUX!II$1,"dd-MMM-aa"),"")</f>
      </c>
      <c r="IF231" s="496" t="str">
        <f> IF(IF251&lt;&gt;"",TEXT(AUX!IJ$1,"dd-MMM-aa"),"")</f>
      </c>
      <c r="IG231" s="496" t="str">
        <f> IF(IG251&lt;&gt;"",TEXT(AUX!IK$1,"dd-MMM-aa"),"")</f>
      </c>
      <c r="IH231" s="496" t="str">
        <f> IF(IH251&lt;&gt;"",TEXT(AUX!IL$1,"dd-MMM-aa"),"")</f>
      </c>
      <c r="II231" s="496" t="str">
        <f> IF(II251&lt;&gt;"",TEXT(AUX!IM$1,"dd-MMM-aa"),"")</f>
      </c>
      <c r="IJ231" s="496" t="str">
        <f> IF(IJ251&lt;&gt;"",TEXT(AUX!IN$1,"dd-MMM-aa"),"")</f>
      </c>
      <c r="IK231" s="496" t="str">
        <f> IF(IK251&lt;&gt;"",TEXT(AUX!IO$1,"dd-MMM-aa"),"")</f>
      </c>
      <c r="IL231" s="496" t="str">
        <f> IF(IL251&lt;&gt;"",TEXT(AUX!IP$1,"dd-MMM-aa"),"")</f>
      </c>
      <c r="IM231" s="496" t="str">
        <f> IF(IM251&lt;&gt;"",TEXT(AUX!IQ$1,"dd-MMM-aa"),"")</f>
      </c>
      <c r="IN231" s="496" t="str">
        <f> IF(IN251&lt;&gt;"",TEXT(AUX!IR$1,"dd-MMM-aa"),"")</f>
      </c>
      <c r="IO231" s="496" t="str">
        <f> IF(IO251&lt;&gt;"",TEXT(AUX!IS$1,"dd-MMM-aa"),"")</f>
      </c>
      <c r="IP231" s="496" t="str">
        <f> IF(IP251&lt;&gt;"",TEXT(AUX!IT$1,"dd-MMM-aa"),"")</f>
      </c>
      <c r="IQ231" s="496" t="str">
        <f> IF(IQ251&lt;&gt;"",TEXT(AUX!IU$1,"dd-MMM-aa"),"")</f>
      </c>
      <c r="IR231" s="496" t="str">
        <f> IF(IR251&lt;&gt;"",TEXT(AUX!IV$1,"dd-MMM-aa"),"")</f>
      </c>
      <c r="IS231" s="496" t="str">
        <f> IF(IS251&lt;&gt;"",TEXT(AUX!#REF!,"dd-MMM-aa"),"")</f>
      </c>
      <c r="IT231" s="496" t="str">
        <f> IF(IT251&lt;&gt;"",TEXT(AUX!#REF!,"dd-MMM-aa"),"")</f>
      </c>
      <c r="IU231" s="496" t="str">
        <f> IF(IU251&lt;&gt;"",TEXT(AUX!#REF!,"dd-MMM-aa"),"")</f>
      </c>
      <c r="IV231" s="496" t="str">
        <f> IF(IV251&lt;&gt;"",TEXT(AUX!#REF!,"dd-MMM-aa"),"")</f>
      </c>
    </row>
    <row r="232" hidden="1">
      <c r="B232" s="838" t="s">
        <v>8</v>
      </c>
      <c r="C232" s="839">
        <f>C209 + C186 + C163 + C140</f>
        <v>3330137</v>
      </c>
      <c r="D232" s="839">
        <f>D209 + D186 + D163 + D140</f>
        <v>2933941</v>
      </c>
      <c r="E232" s="839">
        <f>E209 + E186 + E163 + E140</f>
        <v>2880537</v>
      </c>
      <c r="F232" s="839">
        <f>F209 + F186 + F163 + F140</f>
        <v>2719297</v>
      </c>
      <c r="G232" s="839">
        <f>G209 + G186 + G163 + G140</f>
        <v>2641342</v>
      </c>
      <c r="H232" s="839">
        <f>H209 + H186 + H163 + H140</f>
        <v>2508089</v>
      </c>
      <c r="I232" s="839">
        <f>I209 + I186 + I163 + I140</f>
        <v>2460182</v>
      </c>
      <c r="J232" s="839">
        <f>J209 + J186 + J163 + J140</f>
        <v>2376578</v>
      </c>
      <c r="K232" s="839">
        <f>K209 + K186 + K163 + K140</f>
        <v>2319969</v>
      </c>
      <c r="L232" s="839">
        <f>L209 + L186 + L163 + L140</f>
        <v>2188081</v>
      </c>
      <c r="M232" s="839">
        <f>M209 + M186 + M163 + M140</f>
        <v>2189319</v>
      </c>
      <c r="N232" s="839">
        <f>N209 + N186 + N163 + N140</f>
        <v>2059515</v>
      </c>
      <c r="O232" s="839">
        <f>O209 + O186 + O163 + O140</f>
        <v>2086084</v>
      </c>
      <c r="P232" s="839">
        <f>P209 + P186 + P163 + P140</f>
        <v>2007109</v>
      </c>
      <c r="Q232" s="839">
        <f>Q209 + Q186 + Q163 + Q140</f>
        <v>2223619</v>
      </c>
      <c r="R232" s="839">
        <f>R209 + R186 + R163 + R140</f>
        <v>2203410</v>
      </c>
      <c r="S232" s="839">
        <f>S209 + S186 + S163 + S140</f>
        <v>2255275</v>
      </c>
      <c r="T232" s="839">
        <f>T209 + T186 + T163 + T140</f>
        <v>2137333</v>
      </c>
      <c r="U232" s="839">
        <f>U209 + U186 + U163 + U140</f>
        <v>2299890</v>
      </c>
      <c r="V232" s="839">
        <f>V209 + V186 + V163 + V140</f>
        <v>2234507</v>
      </c>
      <c r="W232" s="839">
        <f>W209 + W186 + W163 + W140</f>
        <v>2356148</v>
      </c>
      <c r="X232" s="839">
        <f>X209 + X186 + X163 + X140</f>
        <v>2379466</v>
      </c>
      <c r="Y232" s="839">
        <f>Y209 + Y186 + Y163 + Y140</f>
        <v>2425231</v>
      </c>
      <c r="Z232" s="839">
        <f>Z209 + Z186 + Z163 + Z140</f>
        <v>2414168</v>
      </c>
      <c r="AA232" s="839">
        <f>AA209 + AA186 + AA163 + AA140</f>
        <v>2451767</v>
      </c>
      <c r="AB232" s="840">
        <f>AB209 + AB186 + AB163 + AB140</f>
        <v>2428907</v>
      </c>
      <c r="AC232" s="841">
        <f>AC209 + AC186 + AC163 + AC140</f>
        <v>2477206</v>
      </c>
      <c r="AD232" s="841">
        <f>AD209 + AD186 + AD163 + AD140</f>
        <v>2478042</v>
      </c>
      <c r="AE232" s="841">
        <f>AE209 + AE186 + AE163 + AE140</f>
        <v>2476100</v>
      </c>
      <c r="AF232" s="841">
        <f>AF209 + AF186 + AF163 + AF140</f>
        <v>2481481</v>
      </c>
      <c r="AG232" s="841">
        <f>AG209 + AG186 + AG163 + AG140</f>
        <v>2422809</v>
      </c>
      <c r="AH232" s="841">
        <f>AH209 + AH186 + AH163 + AH140</f>
        <v>2328095</v>
      </c>
      <c r="AI232" s="841">
        <f>AI209 + AI186 + AI163 + AI140</f>
        <v>2355892</v>
      </c>
      <c r="AJ232" s="841">
        <f>AJ209 + AJ186 + AJ163 + AJ140</f>
        <v>2185770</v>
      </c>
      <c r="AK232" s="841">
        <f>AK209 + AK186 + AK163 + AK140</f>
        <v>2119274</v>
      </c>
      <c r="AL232" s="841">
        <f>AL209 + AL186 + AL163 + AL140</f>
        <v>1961901</v>
      </c>
      <c r="AM232" s="841">
        <f>AM209 + AM186 + AM163 + AM140</f>
        <v>2055171</v>
      </c>
      <c r="AN232" s="841">
        <f>AN209 + AN186 + AN163 + AN140</f>
        <v>2055178</v>
      </c>
      <c r="AO232" s="841">
        <f>AO209 + AO186 + AO163 + AO140</f>
        <v>2128191</v>
      </c>
      <c r="AP232" s="841">
        <f>AP209 + AP186 + AP163 + AP140</f>
        <v>2079136</v>
      </c>
    </row>
    <row r="233" hidden="1">
      <c r="B233" s="842" t="s">
        <v>9</v>
      </c>
      <c r="C233" s="839">
        <f>C210 + C187 + C164 + C141</f>
        <v>3940967</v>
      </c>
      <c r="D233" s="839">
        <f>D210 + D187 + D164 + D141</f>
        <v>3963777</v>
      </c>
      <c r="E233" s="839">
        <f>E210 + E187 + E164 + E141</f>
        <v>3951575</v>
      </c>
      <c r="F233" s="839">
        <f>F210 + F187 + F164 + F141</f>
        <v>3927673</v>
      </c>
      <c r="G233" s="839">
        <f>G210 + G187 + G164 + G141</f>
        <v>3886631</v>
      </c>
      <c r="H233" s="839">
        <f>H210 + H187 + H164 + H141</f>
        <v>3886631</v>
      </c>
      <c r="I233" s="839">
        <f>I210 + I187 + I164 + I141</f>
        <v>3850602</v>
      </c>
      <c r="J233" s="839">
        <f>J210 + J187 + J164 + J141</f>
        <v>3846933</v>
      </c>
      <c r="K233" s="839">
        <f>K210 + K187 + K164 + K141</f>
        <v>3802877</v>
      </c>
      <c r="L233" s="839">
        <f>L210 + L187 + L164 + L141</f>
        <v>2132853</v>
      </c>
      <c r="M233" s="839">
        <f>M210 + M187 + M164 + M141</f>
        <v>2035292</v>
      </c>
      <c r="N233" s="839">
        <f>N210 + N187 + N164 + N141</f>
        <v>2018135</v>
      </c>
      <c r="O233" s="839">
        <f>O210 + O187 + O164 + O141</f>
        <v>2018135</v>
      </c>
      <c r="P233" s="839">
        <f>P210 + P187 + P164 + P141</f>
        <v>1906655</v>
      </c>
      <c r="Q233" s="839">
        <f>Q210 + Q187 + Q164 + Q141</f>
        <v>1907054</v>
      </c>
      <c r="R233" s="839">
        <f>R210 + R187 + R164 + R141</f>
        <v>1877551</v>
      </c>
      <c r="S233" s="839">
        <f>S210 + S187 + S164 + S141</f>
        <v>1850534</v>
      </c>
      <c r="T233" s="839">
        <f>T210 + T187 + T164 + T141</f>
        <v>1802965</v>
      </c>
      <c r="U233" s="839">
        <f>U210 + U187 + U164 + U141</f>
        <v>1837925</v>
      </c>
      <c r="V233" s="839">
        <f>V210 + V187 + V164 + V141</f>
        <v>1789476</v>
      </c>
      <c r="W233" s="839">
        <f>W210 + W187 + W164 + W141</f>
        <v>1812156</v>
      </c>
      <c r="X233" s="839">
        <f>X210 + X187 + X164 + X141</f>
        <v>1764297</v>
      </c>
      <c r="Y233" s="839">
        <f>Y210 + Y187 + Y164 + Y141</f>
        <v>1785948</v>
      </c>
      <c r="Z233" s="839">
        <f>Z210 + Z187 + Z164 + Z141</f>
        <v>1743304</v>
      </c>
      <c r="AA233" s="839">
        <f>AA210 + AA187 + AA164 + AA141</f>
        <v>1772455</v>
      </c>
      <c r="AB233" s="839">
        <f>AB210 + AB187 + AB164 + AB141</f>
        <v>1702709</v>
      </c>
      <c r="AC233" s="841">
        <f>AC210 + AC187 + AC164 + AC141</f>
        <v>1738329</v>
      </c>
      <c r="AD233" s="841">
        <f>AD210 + AD187 + AD164 + AD141</f>
        <v>1682459</v>
      </c>
      <c r="AE233" s="841">
        <f>AE210 + AE187 + AE164 + AE141</f>
        <v>1691410</v>
      </c>
      <c r="AF233" s="841">
        <f>AF210 + AF187 + AF164 + AF141</f>
        <v>1654396</v>
      </c>
      <c r="AG233" s="841">
        <f>AG210 + AG187 + AG164 + AG141</f>
        <v>1644024</v>
      </c>
      <c r="AH233" s="841">
        <f>AH210 + AH187 + AH164 + AH141</f>
        <v>1569355</v>
      </c>
      <c r="AI233" s="841">
        <f>AI210 + AI187 + AI164 + AI141</f>
        <v>1578656</v>
      </c>
      <c r="AJ233" s="841">
        <f>AJ210 + AJ187 + AJ164 + AJ141</f>
        <v>1492142</v>
      </c>
      <c r="AK233" s="841">
        <f>AK210 + AK187 + AK164 + AK141</f>
        <v>1489516</v>
      </c>
      <c r="AL233" s="841">
        <f>AL210 + AL187 + AL164 + AL141</f>
        <v>1460625</v>
      </c>
      <c r="AM233" s="841">
        <f>AM210 + AM187 + AM164 + AM141</f>
        <v>1436688</v>
      </c>
      <c r="AN233" s="841">
        <f>AN210 + AN187 + AN164 + AN141</f>
        <v>1398242</v>
      </c>
      <c r="AO233" s="841">
        <f>AO210 + AO187 + AO164 + AO141</f>
        <v>1305773</v>
      </c>
      <c r="AP233" s="841">
        <f>AP210 + AP187 + AP164 + AP141</f>
        <v>1280095</v>
      </c>
    </row>
    <row r="234" hidden="1">
      <c r="B234" s="842" t="s">
        <v>10</v>
      </c>
      <c r="C234" s="839">
        <f>C211 + C188 + C165 + C142</f>
        <v>59608</v>
      </c>
      <c r="D234" s="839">
        <f>D211 + D188 + D165 + D142</f>
        <v>60655</v>
      </c>
      <c r="E234" s="839">
        <f>E211 + E188 + E165 + E142</f>
        <v>66849</v>
      </c>
      <c r="F234" s="839">
        <f>F211 + F188 + F165 + F142</f>
        <v>66874</v>
      </c>
      <c r="G234" s="839">
        <f>G211 + G188 + G165 + G142</f>
        <v>67207</v>
      </c>
      <c r="H234" s="839">
        <f>H211 + H188 + H165 + H142</f>
        <v>67094</v>
      </c>
      <c r="I234" s="839">
        <f>I211 + I188 + I165 + I142</f>
        <v>64889</v>
      </c>
      <c r="J234" s="839">
        <f>J211 + J188 + J165 + J142</f>
        <v>62261</v>
      </c>
      <c r="K234" s="839">
        <f>K211 + K188 + K165 + K142</f>
        <v>64423</v>
      </c>
      <c r="L234" s="839">
        <f>L211 + L188 + L165 + L142</f>
        <v>62025</v>
      </c>
      <c r="M234" s="839">
        <f>M211 + M188 + M165 + M142</f>
        <v>104815</v>
      </c>
      <c r="N234" s="839">
        <f>N211 + N188 + N165 + N142</f>
        <v>104795</v>
      </c>
      <c r="O234" s="839">
        <f>O211 + O188 + O165 + O142</f>
        <v>61821</v>
      </c>
      <c r="P234" s="839">
        <f>P211 + P188 + P165 + P142</f>
        <v>62642</v>
      </c>
      <c r="Q234" s="839">
        <f>Q211 + Q188 + Q165 + Q142</f>
        <v>68886</v>
      </c>
      <c r="R234" s="839">
        <f>R211 + R188 + R165 + R142</f>
        <v>63315</v>
      </c>
      <c r="S234" s="839">
        <f>S211 + S188 + S165 + S142</f>
        <v>64316</v>
      </c>
      <c r="T234" s="839">
        <f>T211 + T188 + T165 + T142</f>
        <v>64238</v>
      </c>
      <c r="U234" s="839">
        <f>U211 + U188 + U165 + U142</f>
        <v>61624</v>
      </c>
      <c r="V234" s="839">
        <f>V211 + V188 + V165 + V142</f>
        <v>59562</v>
      </c>
      <c r="W234" s="839">
        <f>W211 + W188 + W165 + W142</f>
        <v>60826</v>
      </c>
      <c r="X234" s="839">
        <f>X211 + X188 + X165 + X142</f>
        <v>59095</v>
      </c>
      <c r="Y234" s="839">
        <f>Y211 + Y188 + Y165 + Y142</f>
        <v>59743</v>
      </c>
      <c r="Z234" s="839">
        <f>Z211 + Z188 + Z165 + Z142</f>
        <v>59528</v>
      </c>
      <c r="AA234" s="839">
        <f>AA211 + AA188 + AA165 + AA142</f>
        <v>59652</v>
      </c>
      <c r="AB234" s="839">
        <f>AB211 + AB188 + AB165 + AB142</f>
        <v>68287</v>
      </c>
      <c r="AC234" s="841">
        <f>AC211 + AC188 + AC165 + AC142</f>
        <v>61041</v>
      </c>
      <c r="AD234" s="841">
        <f>AD211 + AD188 + AD165 + AD142</f>
        <v>60812</v>
      </c>
      <c r="AE234" s="841">
        <f>AE211 + AE188 + AE165 + AE142</f>
        <v>61190</v>
      </c>
      <c r="AF234" s="841">
        <f>AF211 + AF188 + AF165 + AF142</f>
        <v>57187</v>
      </c>
      <c r="AG234" s="841">
        <f>AG211 + AG188 + AG165 + AG142</f>
        <v>56551</v>
      </c>
      <c r="AH234" s="841">
        <f>AH211 + AH188 + AH165 + AH142</f>
        <v>55059</v>
      </c>
      <c r="AI234" s="841">
        <f>AI211 + AI188 + AI165 + AI142</f>
        <v>55738</v>
      </c>
      <c r="AJ234" s="841">
        <f>AJ211 + AJ188 + AJ165 + AJ142</f>
        <v>54747</v>
      </c>
      <c r="AK234" s="841">
        <f>AK211 + AK188 + AK165 + AK142</f>
        <v>55031</v>
      </c>
      <c r="AL234" s="841">
        <f>AL211 + AL188 + AL165 + AL142</f>
        <v>54084</v>
      </c>
      <c r="AM234" s="841">
        <f>AM211 + AM188 + AM165 + AM142</f>
        <v>54093</v>
      </c>
      <c r="AN234" s="841">
        <f>AN211 + AN188 + AN165 + AN142</f>
        <v>53068</v>
      </c>
      <c r="AO234" s="841">
        <f>AO211 + AO188 + AO165 + AO142</f>
        <v>53007</v>
      </c>
      <c r="AP234" s="841">
        <f>AP211 + AP188 + AP165 + AP142</f>
        <v>51502</v>
      </c>
    </row>
    <row r="235" hidden="1">
      <c r="B235" s="842" t="s">
        <v>11</v>
      </c>
      <c r="C235" s="839">
        <f>C212 + C189 + C166 + C143</f>
        <v>381735</v>
      </c>
      <c r="D235" s="839">
        <f>D212 + D189 + D166 + D143</f>
        <v>378012</v>
      </c>
      <c r="E235" s="839">
        <f>E212 + E189 + E166 + E143</f>
        <v>377546</v>
      </c>
      <c r="F235" s="839">
        <f>F212 + F189 + F166 + F143</f>
        <v>374086</v>
      </c>
      <c r="G235" s="839">
        <f>G212 + G189 + G166 + G143</f>
        <v>365779</v>
      </c>
      <c r="H235" s="839">
        <f>H212 + H189 + H166 + H143</f>
        <v>354918</v>
      </c>
      <c r="I235" s="839">
        <f>I212 + I189 + I166 + I143</f>
        <v>340032</v>
      </c>
      <c r="J235" s="839">
        <f>J212 + J189 + J166 + J143</f>
        <v>340374</v>
      </c>
      <c r="K235" s="839">
        <f>K212 + K189 + K166 + K143</f>
        <v>349826</v>
      </c>
      <c r="L235" s="839">
        <f>L212 + L189 + L166 + L143</f>
        <v>336764</v>
      </c>
      <c r="M235" s="839">
        <f>M212 + M189 + M166 + M143</f>
        <v>341246</v>
      </c>
      <c r="N235" s="839">
        <f>N212 + N189 + N166 + N143</f>
        <v>337844</v>
      </c>
      <c r="O235" s="839">
        <f>O212 + O189 + O166 + O143</f>
        <v>331185</v>
      </c>
      <c r="P235" s="839">
        <f>P212 + P189 + P166 + P143</f>
        <v>320680</v>
      </c>
      <c r="Q235" s="839">
        <f>Q212 + Q189 + Q166 + Q143</f>
        <v>323957</v>
      </c>
      <c r="R235" s="839">
        <f>R212 + R189 + R166 + R143</f>
        <v>316728</v>
      </c>
      <c r="S235" s="839">
        <f>S212 + S189 + S166 + S143</f>
        <v>312000</v>
      </c>
      <c r="T235" s="839">
        <f>T212 + T189 + T166 + T143</f>
        <v>305995</v>
      </c>
      <c r="U235" s="839">
        <f>U212 + U189 + U166 + U143</f>
        <v>306013</v>
      </c>
      <c r="V235" s="839">
        <f>V212 + V189 + V166 + V143</f>
        <v>301726</v>
      </c>
      <c r="W235" s="839">
        <f>W212 + W189 + W166 + W143</f>
        <v>304189</v>
      </c>
      <c r="X235" s="839">
        <f>X212 + X189 + X166 + X143</f>
        <v>298699</v>
      </c>
      <c r="Y235" s="839">
        <f>Y212 + Y189 + Y166 + Y143</f>
        <v>293405</v>
      </c>
      <c r="Z235" s="839">
        <f>Z212 + Z189 + Z166 + Z143</f>
        <v>285969</v>
      </c>
      <c r="AA235" s="839">
        <f>AA212 + AA189 + AA166 + AA143</f>
        <v>287766</v>
      </c>
      <c r="AB235" s="839">
        <f>AB212 + AB189 + AB166 + AB143</f>
        <v>282916</v>
      </c>
      <c r="AC235" s="841">
        <f>AC212 + AC189 + AC166 + AC143</f>
        <v>287483</v>
      </c>
      <c r="AD235" s="841">
        <f>AD212 + AD189 + AD166 + AD143</f>
        <v>280997</v>
      </c>
      <c r="AE235" s="841">
        <f>AE212 + AE189 + AE166 + AE143</f>
        <v>287375</v>
      </c>
      <c r="AF235" s="841">
        <f>AF212 + AF189 + AF166 + AF143</f>
        <v>280969</v>
      </c>
      <c r="AG235" s="841">
        <f>AG212 + AG189 + AG166 + AG143</f>
        <v>274141</v>
      </c>
      <c r="AH235" s="841">
        <f>AH212 + AH189 + AH166 + AH143</f>
        <v>273688</v>
      </c>
      <c r="AI235" s="841">
        <f>AI212 + AI189 + AI166 + AI143</f>
        <v>262363</v>
      </c>
      <c r="AJ235" s="841">
        <f>AJ212 + AJ189 + AJ166 + AJ143</f>
        <v>258109</v>
      </c>
      <c r="AK235" s="841">
        <f>AK212 + AK189 + AK166 + AK143</f>
        <v>251763</v>
      </c>
      <c r="AL235" s="841">
        <f>AL212 + AL189 + AL166 + AL143</f>
        <v>249053</v>
      </c>
      <c r="AM235" s="841">
        <f>AM212 + AM189 + AM166 + AM143</f>
        <v>249580</v>
      </c>
      <c r="AN235" s="841">
        <f>AN212 + AN189 + AN166 + AN143</f>
        <v>244084</v>
      </c>
      <c r="AO235" s="841">
        <f>AO212 + AO189 + AO166 + AO143</f>
        <v>240498</v>
      </c>
      <c r="AP235" s="841">
        <f>AP212 + AP189 + AP166 + AP143</f>
        <v>216348</v>
      </c>
    </row>
    <row r="236" hidden="1" ht="12.75" customHeight="1">
      <c r="B236" s="842" t="s">
        <v>12</v>
      </c>
      <c r="C236" s="839">
        <f>C213 + C190 + C167 + C144</f>
        <v>80741</v>
      </c>
      <c r="D236" s="839">
        <f>D213 + D190 + D167 + D144</f>
        <v>82942</v>
      </c>
      <c r="E236" s="839">
        <f>E213 + E190 + E167 + E144</f>
        <v>94063</v>
      </c>
      <c r="F236" s="839">
        <f>F213 + F190 + F167 + F144</f>
        <v>94906</v>
      </c>
      <c r="G236" s="839">
        <f>G213 + G190 + G167 + G144</f>
        <v>97304</v>
      </c>
      <c r="H236" s="839">
        <f>H213 + H190 + H167 + H144</f>
        <v>98425</v>
      </c>
      <c r="I236" s="839">
        <f>I213 + I190 + I167 + I144</f>
        <v>96944</v>
      </c>
      <c r="J236" s="839">
        <f>J213 + J190 + J167 + J144</f>
        <v>86805</v>
      </c>
      <c r="K236" s="839">
        <f>K213 + K190 + K167 + K144</f>
        <v>88128</v>
      </c>
      <c r="L236" s="839">
        <f>L213 + L190 + L167 + L144</f>
        <v>83501</v>
      </c>
      <c r="M236" s="839">
        <f>M213 + M190 + M167 + M144</f>
        <v>85258</v>
      </c>
      <c r="N236" s="839">
        <f>N213 + N190 + N167 + N144</f>
        <v>83871</v>
      </c>
      <c r="O236" s="839">
        <f>O213 + O190 + O167 + O144</f>
        <v>82194</v>
      </c>
      <c r="P236" s="839">
        <f>P213 + P190 + P167 + P144</f>
        <v>80348</v>
      </c>
      <c r="Q236" s="839">
        <f>Q213 + Q190 + Q167 + Q144</f>
        <v>68765</v>
      </c>
      <c r="R236" s="839">
        <f>R213 + R190 + R167 + R144</f>
        <v>67535</v>
      </c>
      <c r="S236" s="839">
        <f>S213 + S190 + S167 + S144</f>
        <v>60573</v>
      </c>
      <c r="T236" s="839">
        <f>T213 + T190 + T167 + T144</f>
        <v>60020</v>
      </c>
      <c r="U236" s="839">
        <f>U213 + U190 + U167 + U144</f>
        <v>57092</v>
      </c>
      <c r="V236" s="839">
        <f>V213 + V190 + V167 + V144</f>
        <v>54862</v>
      </c>
      <c r="W236" s="839">
        <f>W213 + W190 + W167 + W144</f>
        <v>54779</v>
      </c>
      <c r="X236" s="839">
        <f>X213 + X190 + X167 + X144</f>
        <v>55045</v>
      </c>
      <c r="Y236" s="839">
        <f>Y213 + Y190 + Y167 + Y144</f>
        <v>55240</v>
      </c>
      <c r="Z236" s="839">
        <f>Z213 + Z190 + Z167 + Z144</f>
        <v>54618</v>
      </c>
      <c r="AA236" s="839">
        <f>AA213 + AA190 + AA167 + AA144</f>
        <v>53887</v>
      </c>
      <c r="AB236" s="839">
        <f>AB213 + AB190 + AB167 + AB144</f>
        <v>52711</v>
      </c>
      <c r="AC236" s="841">
        <f>AC213 + AC190 + AC167 + AC144</f>
        <v>51224</v>
      </c>
      <c r="AD236" s="841">
        <f>AD213 + AD190 + AD167 + AD144</f>
        <v>50807</v>
      </c>
      <c r="AE236" s="841">
        <f>AE213 + AE190 + AE167 + AE144</f>
        <v>47868</v>
      </c>
      <c r="AF236" s="841">
        <f>AF213 + AF190 + AF167 + AF144</f>
        <v>45260</v>
      </c>
      <c r="AG236" s="841">
        <f>AG213 + AG190 + AG167 + AG144</f>
        <v>45355</v>
      </c>
      <c r="AH236" s="841">
        <f>AH213 + AH190 + AH167 + AH144</f>
        <v>43953</v>
      </c>
      <c r="AI236" s="841">
        <f>AI213 + AI190 + AI167 + AI144</f>
        <v>43744</v>
      </c>
      <c r="AJ236" s="841">
        <f>AJ213 + AJ190 + AJ167 + AJ144</f>
        <v>42962</v>
      </c>
      <c r="AK236" s="841">
        <f>AK213 + AK190 + AK167 + AK144</f>
        <v>42334</v>
      </c>
      <c r="AL236" s="841">
        <f>AL213 + AL190 + AL167 + AL144</f>
        <v>40558</v>
      </c>
      <c r="AM236" s="841">
        <f>AM213 + AM190 + AM167 + AM144</f>
        <v>39760</v>
      </c>
      <c r="AN236" s="841">
        <f>AN213 + AN190 + AN167 + AN144</f>
        <v>38179</v>
      </c>
      <c r="AO236" s="841">
        <f>AO213 + AO190 + AO167 + AO144</f>
        <v>29371</v>
      </c>
      <c r="AP236" s="841">
        <f>AP213 + AP190 + AP167 + AP144</f>
        <v>32404</v>
      </c>
    </row>
    <row r="237" hidden="1" ht="12.75" customHeight="1">
      <c r="B237" s="842" t="s">
        <v>13</v>
      </c>
      <c r="C237" s="839">
        <f>C214 + C191 + C168 + C145</f>
        <v>81824</v>
      </c>
      <c r="D237" s="839">
        <f>D214 + D191 + D168 + D145</f>
        <v>86987</v>
      </c>
      <c r="E237" s="839">
        <f>E214 + E191 + E168 + E145</f>
        <v>88263</v>
      </c>
      <c r="F237" s="839">
        <f>F214 + F191 + F168 + F145</f>
        <v>92269</v>
      </c>
      <c r="G237" s="839">
        <f>G214 + G191 + G168 + G145</f>
        <v>94784</v>
      </c>
      <c r="H237" s="839">
        <f>H214 + H191 + H168 + H145</f>
        <v>91040</v>
      </c>
      <c r="I237" s="839">
        <f>I214 + I191 + I168 + I145</f>
        <v>88551</v>
      </c>
      <c r="J237" s="839">
        <f>J214 + J191 + J168 + J145</f>
        <v>86774</v>
      </c>
      <c r="K237" s="839">
        <f>K214 + K191 + K168 + K145</f>
        <v>74881</v>
      </c>
      <c r="L237" s="839">
        <f>L214 + L191 + L168 + L145</f>
        <v>73994</v>
      </c>
      <c r="M237" s="839">
        <f>M214 + M191 + M168 + M145</f>
        <v>81299</v>
      </c>
      <c r="N237" s="839">
        <f>N214 + N191 + N168 + N145</f>
        <v>62745</v>
      </c>
      <c r="O237" s="839">
        <f>O214 + O191 + O168 + O145</f>
        <v>58242</v>
      </c>
      <c r="P237" s="839">
        <f>P214 + P191 + P168 + P145</f>
        <v>57938</v>
      </c>
      <c r="Q237" s="839">
        <f>Q214 + Q191 + Q168 + Q145</f>
        <v>59186</v>
      </c>
      <c r="R237" s="839">
        <f>R214 + R191 + R168 + R145</f>
        <v>50150</v>
      </c>
      <c r="S237" s="839">
        <f>S214 + S191 + S168 + S145</f>
        <v>34834</v>
      </c>
      <c r="T237" s="839">
        <f>T214 + T191 + T168 + T145</f>
        <v>35222</v>
      </c>
      <c r="U237" s="839">
        <f>U214 + U191 + U168 + U145</f>
        <v>65567</v>
      </c>
      <c r="V237" s="839">
        <f>V214 + V191 + V168 + V145</f>
        <v>76237</v>
      </c>
      <c r="W237" s="839">
        <f>W214 + W191 + W168 + W145</f>
        <v>65061</v>
      </c>
      <c r="X237" s="839">
        <f>X214 + X191 + X168 + X145</f>
        <v>62802</v>
      </c>
      <c r="Y237" s="839">
        <f>Y214 + Y191 + Y168 + Y145</f>
        <v>50253</v>
      </c>
      <c r="Z237" s="839">
        <f>Z214 + Z191 + Z168 + Z145</f>
        <v>46988</v>
      </c>
      <c r="AA237" s="839">
        <f>AA214 + AA191 + AA168 + AA145</f>
        <v>48735</v>
      </c>
      <c r="AB237" s="839">
        <f>AB214 + AB191 + AB168 + AB145</f>
        <v>46464</v>
      </c>
      <c r="AC237" s="841">
        <f>AC214 + AC191 + AC168 + AC145</f>
        <v>44270</v>
      </c>
      <c r="AD237" s="841">
        <f>AD214 + AD191 + AD168 + AD145</f>
        <v>40674</v>
      </c>
      <c r="AE237" s="841">
        <f>AE214 + AE191 + AE168 + AE145</f>
        <v>42082</v>
      </c>
      <c r="AF237" s="841">
        <f>AF214 + AF191 + AF168 + AF145</f>
        <v>39906</v>
      </c>
      <c r="AG237" s="841">
        <f>AG214 + AG191 + AG168 + AG145</f>
        <v>42227</v>
      </c>
      <c r="AH237" s="841">
        <f>AH214 + AH191 + AH168 + AH145</f>
        <v>40306</v>
      </c>
      <c r="AI237" s="841">
        <f>AI214 + AI191 + AI168 + AI145</f>
        <v>40884</v>
      </c>
      <c r="AJ237" s="841">
        <f>AJ214 + AJ191 + AJ168 + AJ145</f>
        <v>38974</v>
      </c>
      <c r="AK237" s="841">
        <f>AK214 + AK191 + AK168 + AK145</f>
        <v>40116</v>
      </c>
      <c r="AL237" s="841">
        <f>AL214 + AL191 + AL168 + AL145</f>
        <v>38818</v>
      </c>
      <c r="AM237" s="841">
        <f>AM214 + AM191 + AM168 + AM145</f>
        <v>37313</v>
      </c>
      <c r="AN237" s="841">
        <f>AN214 + AN191 + AN168 + AN145</f>
        <v>37597</v>
      </c>
      <c r="AO237" s="841">
        <f>AO214 + AO191 + AO168 + AO145</f>
        <v>43806</v>
      </c>
      <c r="AP237" s="841">
        <f>AP214 + AP191 + AP168 + AP145</f>
        <v>42870</v>
      </c>
    </row>
    <row r="238" hidden="1">
      <c r="B238" s="842" t="s">
        <v>109</v>
      </c>
      <c r="C238" s="839">
        <f>C215 + C192 + C169 + C146</f>
        <v>3220725</v>
      </c>
      <c r="D238" s="839">
        <f>D215 + D192 + D169 + D146</f>
        <v>3190849</v>
      </c>
      <c r="E238" s="839">
        <f>E215 + E192 + E169 + E146</f>
        <v>3064265</v>
      </c>
      <c r="F238" s="839">
        <f>F215 + F192 + F169 + F146</f>
        <v>3037058</v>
      </c>
      <c r="G238" s="839">
        <f>G215 + G192 + G169 + G146</f>
        <v>2958707</v>
      </c>
      <c r="H238" s="839">
        <f>H215 + H192 + H169 + H146</f>
        <v>2924530</v>
      </c>
      <c r="I238" s="839">
        <f>I215 + I192 + I169 + I146</f>
        <v>2765256</v>
      </c>
      <c r="J238" s="839">
        <f>J215 + J192 + J169 + J146</f>
        <v>2841334</v>
      </c>
      <c r="K238" s="839">
        <f>K215 + K192 + K169 + K146</f>
        <v>2752973</v>
      </c>
      <c r="L238" s="839">
        <f>L215 + L192 + L169 + L146</f>
        <v>2737625</v>
      </c>
      <c r="M238" s="839">
        <f>M215 + M192 + M169 + M146</f>
        <v>2591550</v>
      </c>
      <c r="N238" s="839">
        <f>N215 + N192 + N169 + N146</f>
        <v>2581238</v>
      </c>
      <c r="O238" s="839">
        <f>O215 + O192 + O169 + O146</f>
        <v>2498090</v>
      </c>
      <c r="P238" s="839">
        <f>P215 + P192 + P169 + P146</f>
        <v>2499484</v>
      </c>
      <c r="Q238" s="839">
        <f>Q215 + Q192 + Q169 + Q146</f>
        <v>2467096</v>
      </c>
      <c r="R238" s="839">
        <f>R215 + R192 + R169 + R146</f>
        <v>2447585</v>
      </c>
      <c r="S238" s="839">
        <f>S215 + S192 + S169 + S146</f>
        <v>2488740</v>
      </c>
      <c r="T238" s="839">
        <f>T215 + T192 + T169 + T146</f>
        <v>2494566</v>
      </c>
      <c r="U238" s="839">
        <f>U215 + U192 + U169 + U146</f>
        <v>2547362</v>
      </c>
      <c r="V238" s="839">
        <f>V215 + V192 + V169 + V146</f>
        <v>2574817</v>
      </c>
      <c r="W238" s="839">
        <f>W215 + W192 + W169 + W146</f>
        <v>2640008</v>
      </c>
      <c r="X238" s="839">
        <f>X215 + X192 + X169 + X146</f>
        <v>2617090</v>
      </c>
      <c r="Y238" s="839">
        <f>Y215 + Y192 + Y169 + Y146</f>
        <v>2672573</v>
      </c>
      <c r="Z238" s="839">
        <f>Z215 + Z192 + Z169 + Z146</f>
        <v>2659137</v>
      </c>
      <c r="AA238" s="839">
        <f>AA215 + AA192 + AA169 + AA146</f>
        <v>2614851</v>
      </c>
      <c r="AB238" s="839">
        <f>AB215 + AB192 + AB169 + AB146</f>
        <v>2612969</v>
      </c>
      <c r="AC238" s="841">
        <f>AC215 + AC192 + AC169 + AC146</f>
        <v>2562841</v>
      </c>
      <c r="AD238" s="841">
        <f>AD215 + AD192 + AD169 + AD146</f>
        <v>2556882</v>
      </c>
      <c r="AE238" s="841">
        <f>AE215 + AE192 + AE169 + AE146</f>
        <v>2483927</v>
      </c>
      <c r="AF238" s="841">
        <f>AF215 + AF192 + AF169 + AF146</f>
        <v>2473255</v>
      </c>
      <c r="AG238" s="841">
        <f>AG215 + AG192 + AG169 + AG146</f>
        <v>2438879</v>
      </c>
      <c r="AH238" s="841">
        <f>AH215 + AH192 + AH169 + AH146</f>
        <v>2430689</v>
      </c>
      <c r="AI238" s="841">
        <f>AI215 + AI192 + AI169 + AI146</f>
        <v>2398328</v>
      </c>
      <c r="AJ238" s="841">
        <f>AJ215 + AJ192 + AJ169 + AJ146</f>
        <v>2356829</v>
      </c>
      <c r="AK238" s="841">
        <f>AK215 + AK192 + AK169 + AK146</f>
        <v>2228080</v>
      </c>
      <c r="AL238" s="841">
        <f>AL215 + AL192 + AL169 + AL146</f>
        <v>2215599</v>
      </c>
      <c r="AM238" s="841">
        <f>AM215 + AM192 + AM169 + AM146</f>
        <v>2171884</v>
      </c>
      <c r="AN238" s="841">
        <f>AN215 + AN192 + AN169 + AN146</f>
        <v>2165462</v>
      </c>
      <c r="AO238" s="841">
        <f>AO215 + AO192 + AO169 + AO146</f>
        <v>2179401</v>
      </c>
      <c r="AP238" s="841">
        <f>AP215 + AP192 + AP169 + AP146</f>
        <v>2170018</v>
      </c>
    </row>
    <row r="239" hidden="1">
      <c r="B239" s="842" t="s">
        <v>110</v>
      </c>
      <c r="C239" s="839">
        <f>C216 + C193 + C170 + C147</f>
        <v>4228048</v>
      </c>
      <c r="D239" s="839">
        <f>D216 + D193 + D170 + D147</f>
        <v>4231410</v>
      </c>
      <c r="E239" s="839">
        <f>E216 + E193 + E170 + E147</f>
        <v>4255797</v>
      </c>
      <c r="F239" s="839">
        <f>F216 + F193 + F170 + F147</f>
        <v>4333578</v>
      </c>
      <c r="G239" s="839">
        <f>G216 + G193 + G170 + G147</f>
        <v>4184998</v>
      </c>
      <c r="H239" s="839">
        <f>H216 + H193 + H170 + H147</f>
        <v>4135637</v>
      </c>
      <c r="I239" s="839">
        <f>I216 + I193 + I170 + I147</f>
        <v>3990739</v>
      </c>
      <c r="J239" s="839">
        <f>J216 + J193 + J170 + J147</f>
        <v>3429819</v>
      </c>
      <c r="K239" s="839">
        <f>K216 + K193 + K170 + K147</f>
        <v>3695784</v>
      </c>
      <c r="L239" s="839">
        <f>L216 + L193 + L170 + L147</f>
        <v>3618039</v>
      </c>
      <c r="M239" s="839">
        <f>M216 + M193 + M170 + M147</f>
        <v>3449790</v>
      </c>
      <c r="N239" s="839">
        <f>N216 + N193 + N170 + N147</f>
        <v>3383431</v>
      </c>
      <c r="O239" s="839">
        <f>O216 + O193 + O170 + O147</f>
        <v>3268158</v>
      </c>
      <c r="P239" s="839">
        <f>P216 + P193 + P170 + P147</f>
        <v>3241498</v>
      </c>
      <c r="Q239" s="839">
        <f>Q216 + Q193 + Q170 + Q147</f>
        <v>3118465</v>
      </c>
      <c r="R239" s="839">
        <f>R216 + R193 + R170 + R147</f>
        <v>3108680</v>
      </c>
      <c r="S239" s="839">
        <f>S216 + S193 + S170 + S147</f>
        <v>3067916</v>
      </c>
      <c r="T239" s="839">
        <f>T216 + T193 + T170 + T147</f>
        <v>3060230</v>
      </c>
      <c r="U239" s="839">
        <f>U216 + U193 + U170 + U147</f>
        <v>3113932</v>
      </c>
      <c r="V239" s="839">
        <f>V216 + V193 + V170 + V147</f>
        <v>3099148</v>
      </c>
      <c r="W239" s="839">
        <f>W216 + W193 + W170 + W147</f>
        <v>3111697</v>
      </c>
      <c r="X239" s="839">
        <f>X216 + X193 + X170 + X147</f>
        <v>3111072</v>
      </c>
      <c r="Y239" s="839">
        <f>Y216 + Y193 + Y170 + Y147</f>
        <v>3094880</v>
      </c>
      <c r="Z239" s="839">
        <f>Z216 + Z193 + Z170 + Z147</f>
        <v>3067264</v>
      </c>
      <c r="AA239" s="839">
        <f>AA216 + AA193 + AA170 + AA147</f>
        <v>2952723</v>
      </c>
      <c r="AB239" s="839">
        <f>AB216 + AB193 + AB170 + AB147</f>
        <v>2930949</v>
      </c>
      <c r="AC239" s="841">
        <f>AC216 + AC193 + AC170 + AC147</f>
        <v>2717457</v>
      </c>
      <c r="AD239" s="841">
        <f>AD216 + AD193 + AD170 + AD147</f>
        <v>2699630</v>
      </c>
      <c r="AE239" s="841">
        <f>AE216 + AE193 + AE170 + AE147</f>
        <v>2624574</v>
      </c>
      <c r="AF239" s="841">
        <f>AF216 + AF193 + AF170 + AF147</f>
        <v>2602728</v>
      </c>
      <c r="AG239" s="841">
        <f>AG216 + AG193 + AG170 + AG147</f>
        <v>2546416</v>
      </c>
      <c r="AH239" s="841">
        <f>AH216 + AH193 + AH170 + AH147</f>
        <v>2532860</v>
      </c>
      <c r="AI239" s="841">
        <f>AI216 + AI193 + AI170 + AI147</f>
        <v>2449618</v>
      </c>
      <c r="AJ239" s="841">
        <f>AJ216 + AJ193 + AJ170 + AJ147</f>
        <v>2435107</v>
      </c>
      <c r="AK239" s="841">
        <f>AK216 + AK193 + AK170 + AK147</f>
        <v>2282893</v>
      </c>
      <c r="AL239" s="841">
        <f>AL216 + AL193 + AL170 + AL147</f>
        <v>2270443</v>
      </c>
      <c r="AM239" s="841">
        <f>AM216 + AM193 + AM170 + AM147</f>
        <v>2152986</v>
      </c>
      <c r="AN239" s="841">
        <f>AN216 + AN193 + AN170 + AN147</f>
        <v>2153110</v>
      </c>
      <c r="AO239" s="841">
        <f>AO216 + AO193 + AO170 + AO147</f>
        <v>2038010</v>
      </c>
      <c r="AP239" s="841">
        <f>AP216 + AP193 + AP170 + AP147</f>
        <v>2030806</v>
      </c>
    </row>
    <row r="240" hidden="1">
      <c r="B240" s="842" t="s">
        <v>16</v>
      </c>
      <c r="C240" s="839">
        <f>C217 + C194 + C171 + C148</f>
        <v>611040</v>
      </c>
      <c r="D240" s="839">
        <f>D217 + D194 + D171 + D148</f>
        <v>811302</v>
      </c>
      <c r="E240" s="839">
        <f>E217 + E194 + E171 + E148</f>
        <v>796176</v>
      </c>
      <c r="F240" s="839">
        <f>F217 + F194 + F171 + F148</f>
        <v>777567</v>
      </c>
      <c r="G240" s="839">
        <f>G217 + G194 + G171 + G148</f>
        <v>749529</v>
      </c>
      <c r="H240" s="839">
        <f>H217 + H194 + H171 + H148</f>
        <v>727094</v>
      </c>
      <c r="I240" s="839">
        <f>I217 + I194 + I171 + I148</f>
        <v>692525</v>
      </c>
      <c r="J240" s="839">
        <f>J217 + J194 + J171 + J148</f>
        <v>672469</v>
      </c>
      <c r="K240" s="839">
        <f>K217 + K194 + K171 + K148</f>
        <v>647045</v>
      </c>
      <c r="L240" s="839">
        <f>L217 + L194 + L171 + L148</f>
        <v>631701</v>
      </c>
      <c r="M240" s="839">
        <f>M217 + M194 + M171 + M148</f>
        <v>603093</v>
      </c>
      <c r="N240" s="839">
        <f>N217 + N194 + N171 + N148</f>
        <v>596099</v>
      </c>
      <c r="O240" s="839">
        <f>O217 + O194 + O171 + O148</f>
        <v>588753</v>
      </c>
      <c r="P240" s="839">
        <f>P217 + P194 + P171 + P148</f>
        <v>524163</v>
      </c>
      <c r="Q240" s="839">
        <f>Q217 + Q194 + Q171 + Q148</f>
        <v>530127</v>
      </c>
      <c r="R240" s="839">
        <f>R217 + R194 + R171 + R148</f>
        <v>487731</v>
      </c>
      <c r="S240" s="839">
        <f>S217 + S194 + S171 + S148</f>
        <v>493866</v>
      </c>
      <c r="T240" s="839">
        <f>T217 + T194 + T171 + T148</f>
        <v>494116</v>
      </c>
      <c r="U240" s="839">
        <f>U217 + U194 + U171 + U148</f>
        <v>564005</v>
      </c>
      <c r="V240" s="839">
        <f>V217 + V194 + V171 + V148</f>
        <v>563179</v>
      </c>
      <c r="W240" s="839">
        <f>W217 + W194 + W171 + W148</f>
        <v>563179</v>
      </c>
      <c r="X240" s="839">
        <f>X217 + X194 + X171 + X148</f>
        <v>563179</v>
      </c>
      <c r="Y240" s="839">
        <f>Y217 + Y194 + Y171 + Y148</f>
        <v>563179</v>
      </c>
      <c r="Z240" s="839">
        <f>Z217 + Z194 + Z171 + Z148</f>
        <v>563179</v>
      </c>
      <c r="AA240" s="839">
        <f>AA217 + AA194 + AA171 + AA148</f>
        <v>539140</v>
      </c>
      <c r="AB240" s="839">
        <f>AB217 + AB194 + AB171 + AB148</f>
        <v>534288</v>
      </c>
      <c r="AC240" s="841">
        <f>AC217 + AC194 + AC171 + AC148</f>
        <v>525627</v>
      </c>
      <c r="AD240" s="841">
        <f>AD217 + AD194 + AD171 + AD148</f>
        <v>518299</v>
      </c>
      <c r="AE240" s="841">
        <f>AE217 + AE194 + AE171 + AE148</f>
        <v>504125</v>
      </c>
      <c r="AF240" s="841">
        <f>AF217 + AF194 + AF171 + AF148</f>
        <v>491323</v>
      </c>
      <c r="AG240" s="841">
        <f>AG217 + AG194 + AG171 + AG148</f>
        <v>488356</v>
      </c>
      <c r="AH240" s="841">
        <f>AH217 + AH194 + AH171 + AH148</f>
        <v>484686</v>
      </c>
      <c r="AI240" s="841">
        <f>AI217 + AI194 + AI171 + AI148</f>
        <v>475982</v>
      </c>
      <c r="AJ240" s="841">
        <f>AJ217 + AJ194 + AJ171 + AJ148</f>
        <v>468540</v>
      </c>
      <c r="AK240" s="841">
        <f>AK217 + AK194 + AK171 + AK148</f>
        <v>444501</v>
      </c>
      <c r="AL240" s="841">
        <f>AL217 + AL194 + AL171 + AL148</f>
        <v>437678</v>
      </c>
      <c r="AM240" s="841">
        <f>AM217 + AM194 + AM171 + AM148</f>
        <v>417178</v>
      </c>
      <c r="AN240" s="841">
        <f>AN217 + AN194 + AN171 + AN148</f>
        <v>410852</v>
      </c>
      <c r="AO240" s="841">
        <f>AO217 + AO194 + AO171 + AO148</f>
        <v>301894</v>
      </c>
      <c r="AP240" s="841">
        <f>AP217 + AP194 + AP171 + AP148</f>
        <v>379806</v>
      </c>
    </row>
    <row r="241" hidden="1">
      <c r="B241" s="842" t="s">
        <v>17</v>
      </c>
      <c r="C241" s="839">
        <f>C218 + C195 + C172 + C149</f>
        <v>4953871</v>
      </c>
      <c r="D241" s="839">
        <f>D218 + D195 + D172 + D149</f>
        <v>4751842</v>
      </c>
      <c r="E241" s="839">
        <f>E218 + E195 + E172 + E149</f>
        <v>4737393</v>
      </c>
      <c r="F241" s="839">
        <f>F218 + F195 + F172 + F149</f>
        <v>4749333</v>
      </c>
      <c r="G241" s="839">
        <f>G218 + G195 + G172 + G149</f>
        <v>4506564</v>
      </c>
      <c r="H241" s="839">
        <f>H218 + H195 + H172 + H149</f>
        <v>4829959</v>
      </c>
      <c r="I241" s="839">
        <f>I218 + I195 + I172 + I149</f>
        <v>4310453</v>
      </c>
      <c r="J241" s="839">
        <f>J218 + J195 + J172 + J149</f>
        <v>4121645</v>
      </c>
      <c r="K241" s="839">
        <f>K218 + K195 + K172 + K149</f>
        <v>4030933</v>
      </c>
      <c r="L241" s="839">
        <f>L218 + L195 + L172 + L149</f>
        <v>3747489</v>
      </c>
      <c r="M241" s="839">
        <f>M218 + M195 + M172 + M149</f>
        <v>3680621</v>
      </c>
      <c r="N241" s="839">
        <f>N218 + N195 + N172 + N149</f>
        <v>3589295</v>
      </c>
      <c r="O241" s="839">
        <f>O218 + O195 + O172 + O149</f>
        <v>3518076</v>
      </c>
      <c r="P241" s="839">
        <f>P218 + P195 + P172 + P149</f>
        <v>3380597</v>
      </c>
      <c r="Q241" s="839">
        <f>Q218 + Q195 + Q172 + Q149</f>
        <v>3461494</v>
      </c>
      <c r="R241" s="839">
        <f>R218 + R195 + R172 + R149</f>
        <v>3458627</v>
      </c>
      <c r="S241" s="839">
        <f>S218 + S195 + S172 + S149</f>
        <v>3399943</v>
      </c>
      <c r="T241" s="839">
        <f>T218 + T195 + T172 + T149</f>
        <v>3390021</v>
      </c>
      <c r="U241" s="839">
        <f>U218 + U195 + U172 + U149</f>
        <v>3492901</v>
      </c>
      <c r="V241" s="839">
        <f>V218 + V195 + V172 + V149</f>
        <v>3521437</v>
      </c>
      <c r="W241" s="839">
        <f>W218 + W195 + W172 + W149</f>
        <v>3562971</v>
      </c>
      <c r="X241" s="839">
        <f>X218 + X195 + X172 + X149</f>
        <v>3545811</v>
      </c>
      <c r="Y241" s="839">
        <f>Y218 + Y195 + Y172 + Y149</f>
        <v>3693941</v>
      </c>
      <c r="Z241" s="839">
        <f>Z218 + Z195 + Z172 + Z149</f>
        <v>3700180</v>
      </c>
      <c r="AA241" s="839">
        <f>AA218 + AA195 + AA172 + AA149</f>
        <v>3832729</v>
      </c>
      <c r="AB241" s="839">
        <f>AB218 + AB195 + AB172 + AB149</f>
        <v>3810655</v>
      </c>
      <c r="AC241" s="841">
        <f>AC218 + AC195 + AC172 + AC149</f>
        <v>3784814</v>
      </c>
      <c r="AD241" s="841">
        <f>AD218 + AD195 + AD172 + AD149</f>
        <v>3757845</v>
      </c>
      <c r="AE241" s="841">
        <f>AE218 + AE195 + AE172 + AE149</f>
        <v>3802965</v>
      </c>
      <c r="AF241" s="841">
        <f>AF218 + AF195 + AF172 + AF149</f>
        <v>3782797</v>
      </c>
      <c r="AG241" s="841">
        <f>AG218 + AG195 + AG172 + AG149</f>
        <v>3793437</v>
      </c>
      <c r="AH241" s="841">
        <f>AH218 + AH195 + AH172 + AH149</f>
        <v>3784383</v>
      </c>
      <c r="AI241" s="841">
        <f>AI218 + AI195 + AI172 + AI149</f>
        <v>3744112</v>
      </c>
      <c r="AJ241" s="841">
        <f>AJ218 + AJ195 + AJ172 + AJ149</f>
        <v>3732206</v>
      </c>
      <c r="AK241" s="841">
        <f>AK218 + AK195 + AK172 + AK149</f>
        <v>3610307</v>
      </c>
      <c r="AL241" s="841">
        <f>AL218 + AL195 + AL172 + AL149</f>
        <v>3592131</v>
      </c>
      <c r="AM241" s="841">
        <f>AM218 + AM195 + AM172 + AM149</f>
        <v>3478497</v>
      </c>
      <c r="AN241" s="841">
        <f>AN218 + AN195 + AN172 + AN149</f>
        <v>3462194</v>
      </c>
      <c r="AO241" s="841">
        <f>AO218 + AO195 + AO172 + AO149</f>
        <v>3064717</v>
      </c>
      <c r="AP241" s="841">
        <f>AP218 + AP195 + AP172 + AP149</f>
        <v>2998660</v>
      </c>
    </row>
    <row r="242" hidden="1">
      <c r="B242" s="842" t="s">
        <v>18</v>
      </c>
      <c r="C242" s="839">
        <f>C219 + C196 + C173 + C150</f>
        <v>276430</v>
      </c>
      <c r="D242" s="839">
        <f>D219 + D196 + D173 + D150</f>
        <v>276513</v>
      </c>
      <c r="E242" s="839">
        <f>E219 + E196 + E173 + E150</f>
        <v>275046</v>
      </c>
      <c r="F242" s="839">
        <f>F219 + F196 + F173 + F150</f>
        <v>288253</v>
      </c>
      <c r="G242" s="839">
        <f>G219 + G196 + G173 + G150</f>
        <v>305073</v>
      </c>
      <c r="H242" s="839">
        <f>H219 + H196 + H173 + H150</f>
        <v>322796</v>
      </c>
      <c r="I242" s="839">
        <f>I219 + I196 + I173 + I150</f>
        <v>323815</v>
      </c>
      <c r="J242" s="839">
        <f>J219 + J196 + J173 + J150</f>
        <v>312773</v>
      </c>
      <c r="K242" s="839">
        <f>K219 + K196 + K173 + K150</f>
        <v>326842</v>
      </c>
      <c r="L242" s="839">
        <f>L219 + L196 + L173 + L150</f>
        <v>304489</v>
      </c>
      <c r="M242" s="839">
        <f>M219 + M196 + M173 + M150</f>
        <v>299836</v>
      </c>
      <c r="N242" s="839">
        <f>N219 + N196 + N173 + N150</f>
        <v>293779</v>
      </c>
      <c r="O242" s="839">
        <f>O219 + O196 + O173 + O150</f>
        <v>259348</v>
      </c>
      <c r="P242" s="839">
        <f>P219 + P196 + P173 + P150</f>
        <v>227057</v>
      </c>
      <c r="Q242" s="839">
        <f>Q219 + Q196 + Q173 + Q150</f>
        <v>195865</v>
      </c>
      <c r="R242" s="839">
        <f>R219 + R196 + R173 + R150</f>
        <v>204492</v>
      </c>
      <c r="S242" s="839">
        <f>S219 + S196 + S173 + S150</f>
        <v>232433</v>
      </c>
      <c r="T242" s="839">
        <f>T219 + T196 + T173 + T150</f>
        <v>224183</v>
      </c>
      <c r="U242" s="839">
        <f>U219 + U196 + U173 + U150</f>
        <v>225963</v>
      </c>
      <c r="V242" s="839">
        <f>V219 + V196 + V173 + V150</f>
        <v>229856</v>
      </c>
      <c r="W242" s="839">
        <f>W219 + W196 + W173 + W150</f>
        <v>231339</v>
      </c>
      <c r="X242" s="839">
        <f>X219 + X196 + X173 + X150</f>
        <v>228760</v>
      </c>
      <c r="Y242" s="839">
        <f>Y219 + Y196 + Y173 + Y150</f>
        <v>227532</v>
      </c>
      <c r="Z242" s="839">
        <f>Z219 + Z196 + Z173 + Z150</f>
        <v>223847</v>
      </c>
      <c r="AA242" s="839">
        <f>AA219 + AA196 + AA173 + AA150</f>
        <v>211149</v>
      </c>
      <c r="AB242" s="839">
        <f>AB219 + AB196 + AB173 + AB150</f>
        <v>204993</v>
      </c>
      <c r="AC242" s="841">
        <f>AC219 + AC196 + AC173 + AC150</f>
        <v>196871</v>
      </c>
      <c r="AD242" s="841">
        <f>AD219 + AD196 + AD173 + AD150</f>
        <v>190082</v>
      </c>
      <c r="AE242" s="841">
        <f>AE219 + AE196 + AE173 + AE150</f>
        <v>192256</v>
      </c>
      <c r="AF242" s="841">
        <f>AF219 + AF196 + AF173 + AF150</f>
        <v>185937</v>
      </c>
      <c r="AG242" s="841">
        <f>AG219 + AG196 + AG173 + AG150</f>
        <v>193974</v>
      </c>
      <c r="AH242" s="841">
        <f>AH219 + AH196 + AH173 + AH150</f>
        <v>193399</v>
      </c>
      <c r="AI242" s="841">
        <f>AI219 + AI196 + AI173 + AI150</f>
        <v>168185</v>
      </c>
      <c r="AJ242" s="841">
        <f>AJ219 + AJ196 + AJ173 + AJ150</f>
        <v>162651</v>
      </c>
      <c r="AK242" s="841">
        <f>AK219 + AK196 + AK173 + AK150</f>
        <v>150890</v>
      </c>
      <c r="AL242" s="841">
        <f>AL219 + AL196 + AL173 + AL150</f>
        <v>148479</v>
      </c>
      <c r="AM242" s="841">
        <f>AM219 + AM196 + AM173 + AM150</f>
        <v>144549</v>
      </c>
      <c r="AN242" s="841">
        <f>AN219 + AN196 + AN173 + AN150</f>
        <v>142650</v>
      </c>
      <c r="AO242" s="841">
        <f>AO219 + AO196 + AO173 + AO150</f>
        <v>132985</v>
      </c>
      <c r="AP242" s="841">
        <f>AP219 + AP196 + AP173 + AP150</f>
        <v>126104</v>
      </c>
    </row>
    <row r="243" hidden="1">
      <c r="B243" s="842" t="s">
        <v>19</v>
      </c>
      <c r="C243" s="839">
        <f>C220 + C197 + C174 + C151</f>
        <v>110425</v>
      </c>
      <c r="D243" s="839">
        <f>D220 + D197 + D174 + D151</f>
        <v>112208</v>
      </c>
      <c r="E243" s="839">
        <f>E220 + E197 + E174 + E151</f>
        <v>115319</v>
      </c>
      <c r="F243" s="839">
        <f>F220 + F197 + F174 + F151</f>
        <v>120837</v>
      </c>
      <c r="G243" s="839">
        <f>G220 + G197 + G174 + G151</f>
        <v>133384</v>
      </c>
      <c r="H243" s="839">
        <f>H220 + H197 + H174 + H151</f>
        <v>140938</v>
      </c>
      <c r="I243" s="839">
        <f>I220 + I197 + I174 + I151</f>
        <v>138684</v>
      </c>
      <c r="J243" s="839">
        <f>J220 + J197 + J174 + J151</f>
        <v>139611</v>
      </c>
      <c r="K243" s="839">
        <f>K220 + K197 + K174 + K151</f>
        <v>133089</v>
      </c>
      <c r="L243" s="839">
        <f>L220 + L197 + L174 + L151</f>
        <v>128275</v>
      </c>
      <c r="M243" s="839">
        <f>M220 + M197 + M174 + M151</f>
        <v>103652</v>
      </c>
      <c r="N243" s="839">
        <f>N220 + N197 + N174 + N151</f>
        <v>103728</v>
      </c>
      <c r="O243" s="839">
        <f>O220 + O197 + O174 + O151</f>
        <v>100348</v>
      </c>
      <c r="P243" s="839">
        <f>P220 + P197 + P174 + P151</f>
        <v>101409</v>
      </c>
      <c r="Q243" s="839">
        <f>Q220 + Q197 + Q174 + Q151</f>
        <v>101278</v>
      </c>
      <c r="R243" s="839">
        <f>R220 + R197 + R174 + R151</f>
        <v>101969</v>
      </c>
      <c r="S243" s="839">
        <f>S220 + S197 + S174 + S151</f>
        <v>101541</v>
      </c>
      <c r="T243" s="839">
        <f>T220 + T197 + T174 + T151</f>
        <v>101648</v>
      </c>
      <c r="U243" s="839">
        <f>U220 + U197 + U174 + U151</f>
        <v>101430</v>
      </c>
      <c r="V243" s="839">
        <f>V220 + V197 + V174 + V151</f>
        <v>103692</v>
      </c>
      <c r="W243" s="839">
        <f>W220 + W197 + W174 + W151</f>
        <v>106684</v>
      </c>
      <c r="X243" s="839">
        <f>X220 + X197 + X174 + X151</f>
        <v>106343</v>
      </c>
      <c r="Y243" s="839">
        <f>Y220 + Y197 + Y174 + Y151</f>
        <v>106328</v>
      </c>
      <c r="Z243" s="839">
        <f>Z220 + Z197 + Z174 + Z151</f>
        <v>105287</v>
      </c>
      <c r="AA243" s="839">
        <f>AA220 + AA197 + AA174 + AA151</f>
        <v>106767</v>
      </c>
      <c r="AB243" s="839">
        <f>AB220 + AB197 + AB174 + AB151</f>
        <v>107557</v>
      </c>
      <c r="AC243" s="841">
        <f>AC220 + AC197 + AC174 + AC151</f>
        <v>104188</v>
      </c>
      <c r="AD243" s="841">
        <f>AD220 + AD197 + AD174 + AD151</f>
        <v>104321</v>
      </c>
      <c r="AE243" s="841">
        <f>AE220 + AE197 + AE174 + AE151</f>
        <v>101970</v>
      </c>
      <c r="AF243" s="841">
        <f>AF220 + AF197 + AF174 + AF151</f>
        <v>103031</v>
      </c>
      <c r="AG243" s="841">
        <f>AG220 + AG197 + AG174 + AG151</f>
        <v>101301</v>
      </c>
      <c r="AH243" s="841">
        <f>AH220 + AH197 + AH174 + AH151</f>
        <v>101517</v>
      </c>
      <c r="AI243" s="841">
        <f>AI220 + AI197 + AI174 + AI151</f>
        <v>99381</v>
      </c>
      <c r="AJ243" s="841">
        <f>AJ220 + AJ197 + AJ174 + AJ151</f>
        <v>86109</v>
      </c>
      <c r="AK243" s="841">
        <f>AK220 + AK197 + AK174 + AK151</f>
        <v>82462</v>
      </c>
      <c r="AL243" s="841">
        <f>AL220 + AL197 + AL174 + AL151</f>
        <v>83481</v>
      </c>
      <c r="AM243" s="841">
        <f>AM220 + AM197 + AM174 + AM151</f>
        <v>80253</v>
      </c>
      <c r="AN243" s="841">
        <f>AN220 + AN197 + AN174 + AN151</f>
        <v>81036</v>
      </c>
      <c r="AO243" s="841">
        <f>AO220 + AO197 + AO174 + AO151</f>
        <v>68177</v>
      </c>
      <c r="AP243" s="841">
        <f>AP220 + AP197 + AP174 + AP151</f>
        <v>71806</v>
      </c>
    </row>
    <row r="244" hidden="1">
      <c r="B244" s="842" t="s">
        <v>20</v>
      </c>
      <c r="C244" s="839">
        <f>C221 + C198 + C175 + C152</f>
        <v>600648</v>
      </c>
      <c r="D244" s="839">
        <f>D221 + D198 + D175 + D152</f>
        <v>605931</v>
      </c>
      <c r="E244" s="839">
        <f>E221 + E198 + E175 + E152</f>
        <v>671677</v>
      </c>
      <c r="F244" s="839">
        <f>F221 + F198 + F175 + F152</f>
        <v>607407</v>
      </c>
      <c r="G244" s="839">
        <f>G221 + G198 + G175 + G152</f>
        <v>770136</v>
      </c>
      <c r="H244" s="839">
        <f>H221 + H198 + H175 + H152</f>
        <v>895973</v>
      </c>
      <c r="I244" s="839">
        <f>I221 + I198 + I175 + I152</f>
        <v>1006402</v>
      </c>
      <c r="J244" s="839">
        <f>J221 + J198 + J175 + J152</f>
        <v>1107635</v>
      </c>
      <c r="K244" s="839">
        <f>K221 + K198 + K175 + K152</f>
        <v>1010683</v>
      </c>
      <c r="L244" s="839">
        <f>L221 + L198 + L175 + L152</f>
        <v>1016879</v>
      </c>
      <c r="M244" s="839">
        <f>M221 + M198 + M175 + M152</f>
        <v>563464</v>
      </c>
      <c r="N244" s="839">
        <f>N221 + N198 + N175 + N152</f>
        <v>881269</v>
      </c>
      <c r="O244" s="839">
        <f>O221 + O198 + O175 + O152</f>
        <v>897079</v>
      </c>
      <c r="P244" s="839">
        <f>P221 + P198 + P175 + P152</f>
        <v>907225</v>
      </c>
      <c r="Q244" s="839">
        <f>Q221 + Q198 + Q175 + Q152</f>
        <v>926713</v>
      </c>
      <c r="R244" s="839">
        <f>R221 + R198 + R175 + R152</f>
        <v>937604</v>
      </c>
      <c r="S244" s="839">
        <f>S221 + S198 + S175 + S152</f>
        <v>968266</v>
      </c>
      <c r="T244" s="839">
        <f>T221 + T198 + T175 + T152</f>
        <v>973778</v>
      </c>
      <c r="U244" s="839">
        <f>U221 + U198 + U175 + U152</f>
        <v>1007835</v>
      </c>
      <c r="V244" s="839">
        <f>V221 + V198 + V175 + V152</f>
        <v>1080013</v>
      </c>
      <c r="W244" s="839">
        <f>W221 + W198 + W175 + W152</f>
        <v>1140997</v>
      </c>
      <c r="X244" s="839">
        <f>X221 + X198 + X175 + X152</f>
        <v>1164300</v>
      </c>
      <c r="Y244" s="839">
        <f>Y221 + Y198 + Y175 + Y152</f>
        <v>689326</v>
      </c>
      <c r="Z244" s="839">
        <f>Z221 + Z198 + Z175 + Z152</f>
        <v>686062</v>
      </c>
      <c r="AA244" s="839">
        <f>AA221 + AA198 + AA175 + AA152</f>
        <v>651930</v>
      </c>
      <c r="AB244" s="839">
        <f>AB221 + AB198 + AB175 + AB152</f>
        <v>637839</v>
      </c>
      <c r="AC244" s="841">
        <f>AC221 + AC198 + AC175 + AC152</f>
        <v>642950</v>
      </c>
      <c r="AD244" s="841">
        <f>AD221 + AD198 + AD175 + AD152</f>
        <v>641391</v>
      </c>
      <c r="AE244" s="841">
        <f>AE221 + AE198 + AE175 + AE152</f>
        <v>650526</v>
      </c>
      <c r="AF244" s="841">
        <f>AF221 + AF198 + AF175 + AF152</f>
        <v>643629</v>
      </c>
      <c r="AG244" s="841">
        <f>AG221 + AG198 + AG175 + AG152</f>
        <v>678114</v>
      </c>
      <c r="AH244" s="841">
        <f>AH221 + AH198 + AH175 + AH152</f>
        <v>679278</v>
      </c>
      <c r="AI244" s="841">
        <f>AI221 + AI198 + AI175 + AI152</f>
        <v>609598</v>
      </c>
      <c r="AJ244" s="841">
        <f>AJ221 + AJ198 + AJ175 + AJ152</f>
        <v>609857</v>
      </c>
      <c r="AK244" s="841">
        <f>AK221 + AK198 + AK175 + AK152</f>
        <v>560234</v>
      </c>
      <c r="AL244" s="841">
        <f>AL221 + AL198 + AL175 + AL152</f>
        <v>556162</v>
      </c>
      <c r="AM244" s="841">
        <f>AM221 + AM198 + AM175 + AM152</f>
        <v>479444</v>
      </c>
      <c r="AN244" s="841">
        <f>AN221 + AN198 + AN175 + AN152</f>
        <v>478771</v>
      </c>
      <c r="AO244" s="841">
        <f>AO221 + AO198 + AO175 + AO152</f>
        <v>622560</v>
      </c>
      <c r="AP244" s="841">
        <f>AP221 + AP198 + AP175 + AP152</f>
        <v>729337</v>
      </c>
    </row>
    <row r="245" hidden="1">
      <c r="B245" s="842" t="s">
        <v>21</v>
      </c>
      <c r="C245" s="839">
        <f>C222 + C199 + C176 + C153</f>
        <v>711606</v>
      </c>
      <c r="D245" s="839">
        <f>D222 + D199 + D176 + D153</f>
        <v>695672</v>
      </c>
      <c r="E245" s="839">
        <f>E222 + E199 + E176 + E153</f>
        <v>673076</v>
      </c>
      <c r="F245" s="839">
        <f>F222 + F199 + F176 + F153</f>
        <v>671373</v>
      </c>
      <c r="G245" s="839">
        <f>G222 + G199 + G176 + G153</f>
        <v>655128</v>
      </c>
      <c r="H245" s="839">
        <f>H222 + H199 + H176 + H153</f>
        <v>643876</v>
      </c>
      <c r="I245" s="839">
        <f>I222 + I199 + I176 + I153</f>
        <v>603069</v>
      </c>
      <c r="J245" s="839">
        <f>J222 + J199 + J176 + J153</f>
        <v>611589</v>
      </c>
      <c r="K245" s="839">
        <f>K222 + K199 + K176 + K153</f>
        <v>585781</v>
      </c>
      <c r="L245" s="839">
        <f>L222 + L199 + L176 + L153</f>
        <v>585586</v>
      </c>
      <c r="M245" s="839">
        <f>M222 + M199 + M176 + M153</f>
        <v>554549</v>
      </c>
      <c r="N245" s="839">
        <f>N222 + N199 + N176 + N153</f>
        <v>560718</v>
      </c>
      <c r="O245" s="839">
        <f>O222 + O199 + O176 + O153</f>
        <v>550697</v>
      </c>
      <c r="P245" s="839">
        <f>P222 + P199 + P176 + P153</f>
        <v>549152</v>
      </c>
      <c r="Q245" s="839">
        <f>Q222 + Q199 + Q176 + Q153</f>
        <v>544553</v>
      </c>
      <c r="R245" s="839">
        <f>R222 + R199 + R176 + R153</f>
        <v>542561</v>
      </c>
      <c r="S245" s="839">
        <f>S222 + S199 + S176 + S153</f>
        <v>530427</v>
      </c>
      <c r="T245" s="839">
        <f>T222 + T199 + T176 + T153</f>
        <v>527336</v>
      </c>
      <c r="U245" s="839">
        <f>U222 + U199 + U176 + U153</f>
        <v>512103</v>
      </c>
      <c r="V245" s="839">
        <f>V222 + V199 + V176 + V153</f>
        <v>509296</v>
      </c>
      <c r="W245" s="839">
        <f>W222 + W199 + W176 + W153</f>
        <v>498563</v>
      </c>
      <c r="X245" s="839">
        <f>X222 + X199 + X176 + X153</f>
        <v>499233</v>
      </c>
      <c r="Y245" s="839">
        <f>Y222 + Y199 + Y176 + Y153</f>
        <v>491615</v>
      </c>
      <c r="Z245" s="839">
        <f>Z222 + Z199 + Z176 + Z153</f>
        <v>492344</v>
      </c>
      <c r="AA245" s="839">
        <f>AA222 + AA199 + AA176 + AA153</f>
        <v>471591</v>
      </c>
      <c r="AB245" s="839">
        <f>AB222 + AB199 + AB176 + AB153</f>
        <v>471162</v>
      </c>
      <c r="AC245" s="841">
        <f>AC222 + AC199 + AC176 + AC153</f>
        <v>465971</v>
      </c>
      <c r="AD245" s="841">
        <f>AD222 + AD199 + AD176 + AD153</f>
        <v>465803</v>
      </c>
      <c r="AE245" s="841">
        <f>AE222 + AE199 + AE176 + AE153</f>
        <v>463455</v>
      </c>
      <c r="AF245" s="841">
        <f>AF222 + AF199 + AF176 + AF153</f>
        <v>462221</v>
      </c>
      <c r="AG245" s="841">
        <f>AG222 + AG199 + AG176 + AG153</f>
        <v>450088</v>
      </c>
      <c r="AH245" s="841">
        <f>AH222 + AH199 + AH176 + AH153</f>
        <v>427595</v>
      </c>
      <c r="AI245" s="841">
        <f>AI222 + AI199 + AI176 + AI153</f>
        <v>408220</v>
      </c>
      <c r="AJ245" s="841">
        <f>AJ222 + AJ199 + AJ176 + AJ153</f>
        <v>400661</v>
      </c>
      <c r="AK245" s="841">
        <f>AK222 + AK199 + AK176 + AK153</f>
        <v>387412</v>
      </c>
      <c r="AL245" s="841">
        <f>AL222 + AL199 + AL176 + AL153</f>
        <v>381520</v>
      </c>
      <c r="AM245" s="841">
        <f>AM222 + AM199 + AM176 + AM153</f>
        <v>375182</v>
      </c>
      <c r="AN245" s="841">
        <f>AN222 + AN199 + AN176 + AN153</f>
        <v>373090</v>
      </c>
      <c r="AO245" s="841">
        <f>AO222 + AO199 + AO176 + AO153</f>
        <v>383409</v>
      </c>
      <c r="AP245" s="841">
        <f>AP222 + AP199 + AP176 + AP153</f>
        <v>391961</v>
      </c>
    </row>
    <row r="246" hidden="1">
      <c r="B246" s="842" t="s">
        <v>22</v>
      </c>
      <c r="C246" s="839">
        <f>C223 + C200 + C177 + C154</f>
        <v>284157</v>
      </c>
      <c r="D246" s="839">
        <f>D223 + D200 + D177 + D154</f>
        <v>266351</v>
      </c>
      <c r="E246" s="839">
        <f>E223 + E200 + E177 + E154</f>
        <v>282810</v>
      </c>
      <c r="F246" s="839">
        <f>F223 + F200 + F177 + F154</f>
        <v>289375</v>
      </c>
      <c r="G246" s="839">
        <f>G223 + G200 + G177 + G154</f>
        <v>264315</v>
      </c>
      <c r="H246" s="839">
        <f>H223 + H200 + H177 + H154</f>
        <v>259143</v>
      </c>
      <c r="I246" s="839">
        <f>I223 + I200 + I177 + I154</f>
        <v>257113</v>
      </c>
      <c r="J246" s="839">
        <f>J223 + J200 + J177 + J154</f>
        <v>254679</v>
      </c>
      <c r="K246" s="839">
        <f>K223 + K200 + K177 + K154</f>
        <v>304610</v>
      </c>
      <c r="L246" s="839">
        <f>L223 + L200 + L177 + L154</f>
        <v>236837</v>
      </c>
      <c r="M246" s="839">
        <f>M223 + M200 + M177 + M154</f>
        <v>294525</v>
      </c>
      <c r="N246" s="839">
        <f>N223 + N200 + N177 + N154</f>
        <v>314240</v>
      </c>
      <c r="O246" s="839">
        <f>O223 + O200 + O177 + O154</f>
        <v>301328</v>
      </c>
      <c r="P246" s="839">
        <f>P223 + P200 + P177 + P154</f>
        <v>303380</v>
      </c>
      <c r="Q246" s="839">
        <f>Q223 + Q200 + Q177 + Q154</f>
        <v>290009</v>
      </c>
      <c r="R246" s="839">
        <f>R223 + R200 + R177 + R154</f>
        <v>264045</v>
      </c>
      <c r="S246" s="839">
        <f>S223 + S200 + S177 + S154</f>
        <v>280529</v>
      </c>
      <c r="T246" s="839">
        <f>T223 + T200 + T177 + T154</f>
        <v>279956</v>
      </c>
      <c r="U246" s="839">
        <f>U223 + U200 + U177 + U154</f>
        <v>272142</v>
      </c>
      <c r="V246" s="839">
        <f>V223 + V200 + V177 + V154</f>
        <v>272375</v>
      </c>
      <c r="W246" s="839">
        <f>W223 + W200 + W177 + W154</f>
        <v>293411</v>
      </c>
      <c r="X246" s="839">
        <f>X223 + X200 + X177 + X154</f>
        <v>292092</v>
      </c>
      <c r="Y246" s="839">
        <f>Y223 + Y200 + Y177 + Y154</f>
        <v>264516</v>
      </c>
      <c r="Z246" s="839">
        <f>Z223 + Z200 + Z177 + Z154</f>
        <v>264571</v>
      </c>
      <c r="AA246" s="839">
        <f>AA223 + AA200 + AA177 + AA154</f>
        <v>293475</v>
      </c>
      <c r="AB246" s="839">
        <f>AB223 + AB200 + AB177 + AB154</f>
        <v>297239</v>
      </c>
      <c r="AC246" s="841">
        <f>AC223 + AC200 + AC177 + AC154</f>
        <v>239355</v>
      </c>
      <c r="AD246" s="841">
        <f>AD223 + AD200 + AD177 + AD154</f>
        <v>238567</v>
      </c>
      <c r="AE246" s="841">
        <f>AE223 + AE200 + AE177 + AE154</f>
        <v>239730</v>
      </c>
      <c r="AF246" s="841">
        <f>AF223 + AF200 + AF177 + AF154</f>
        <v>239440</v>
      </c>
      <c r="AG246" s="841">
        <f>AG223 + AG200 + AG177 + AG154</f>
        <v>235129</v>
      </c>
      <c r="AH246" s="841">
        <f>AH223 + AH200 + AH177 + AH154</f>
        <v>234733</v>
      </c>
      <c r="AI246" s="841">
        <f>AI223 + AI200 + AI177 + AI154</f>
        <v>234649</v>
      </c>
      <c r="AJ246" s="841">
        <f>AJ223 + AJ200 + AJ177 + AJ154</f>
        <v>233454</v>
      </c>
      <c r="AK246" s="841">
        <f>AK223 + AK200 + AK177 + AK154</f>
        <v>224842</v>
      </c>
      <c r="AL246" s="841">
        <f>AL223 + AL200 + AL177 + AL154</f>
        <v>224310</v>
      </c>
      <c r="AM246" s="841">
        <f>AM223 + AM200 + AM177 + AM154</f>
        <v>214999</v>
      </c>
      <c r="AN246" s="841">
        <f>AN223 + AN200 + AN177 + AN154</f>
        <v>214371</v>
      </c>
      <c r="AO246" s="841">
        <f>AO223 + AO200 + AO177 + AO154</f>
        <v>218507</v>
      </c>
      <c r="AP246" s="841">
        <f>AP223 + AP200 + AP177 + AP154</f>
        <v>230331</v>
      </c>
    </row>
    <row r="247" hidden="1">
      <c r="B247" s="842" t="s">
        <v>23</v>
      </c>
      <c r="C247" s="839">
        <f>C224 + C201 + C178 + C155</f>
        <v>158535</v>
      </c>
      <c r="D247" s="839">
        <f>D224 + D201 + D178 + D155</f>
        <v>155644</v>
      </c>
      <c r="E247" s="839">
        <f>E224 + E201 + E178 + E155</f>
        <v>162287</v>
      </c>
      <c r="F247" s="839">
        <f>F224 + F201 + F178 + F155</f>
        <v>161584</v>
      </c>
      <c r="G247" s="839">
        <f>G224 + G201 + G178 + G155</f>
        <v>163296</v>
      </c>
      <c r="H247" s="839">
        <f>H224 + H201 + H178 + H155</f>
        <v>162335</v>
      </c>
      <c r="I247" s="839">
        <f>I224 + I201 + I178 + I155</f>
        <v>147607</v>
      </c>
      <c r="J247" s="839">
        <f>J224 + J201 + J178 + J155</f>
        <v>149056</v>
      </c>
      <c r="K247" s="839">
        <f>K224 + K201 + K178 + K155</f>
        <v>137846</v>
      </c>
      <c r="L247" s="839">
        <f>L224 + L201 + L178 + L155</f>
        <v>137330</v>
      </c>
      <c r="M247" s="839">
        <f>M224 + M201 + M178 + M155</f>
        <v>127946</v>
      </c>
      <c r="N247" s="839">
        <f>N224 + N201 + N178 + N155</f>
        <v>126583</v>
      </c>
      <c r="O247" s="839">
        <f>O224 + O201 + O178 + O155</f>
        <v>116415</v>
      </c>
      <c r="P247" s="839">
        <f>P224 + P201 + P178 + P155</f>
        <v>113676</v>
      </c>
      <c r="Q247" s="839">
        <f>Q224 + Q201 + Q178 + Q155</f>
        <v>116668</v>
      </c>
      <c r="R247" s="839">
        <f>R224 + R201 + R178 + R155</f>
        <v>115661</v>
      </c>
      <c r="S247" s="839">
        <f>S224 + S201 + S178 + S155</f>
        <v>115757</v>
      </c>
      <c r="T247" s="839">
        <f>T224 + T201 + T178 + T155</f>
        <v>114436</v>
      </c>
      <c r="U247" s="839">
        <f>U224 + U201 + U178 + U155</f>
        <v>119844</v>
      </c>
      <c r="V247" s="839">
        <f>V224 + V201 + V178 + V155</f>
        <v>119792</v>
      </c>
      <c r="W247" s="839">
        <f>W224 + W201 + W178 + W155</f>
        <v>117207</v>
      </c>
      <c r="X247" s="839">
        <f>X224 + X201 + X178 + X155</f>
        <v>115062</v>
      </c>
      <c r="Y247" s="839">
        <f>Y224 + Y201 + Y178 + Y155</f>
        <v>117763</v>
      </c>
      <c r="Z247" s="839">
        <f>Z224 + Z201 + Z178 + Z155</f>
        <v>117170</v>
      </c>
      <c r="AA247" s="839">
        <f>AA224 + AA201 + AA178 + AA155</f>
        <v>112654</v>
      </c>
      <c r="AB247" s="839">
        <f>AB224 + AB201 + AB178 + AB155</f>
        <v>111856</v>
      </c>
      <c r="AC247" s="841">
        <f>AC224 + AC201 + AC178 + AC155</f>
        <v>107551</v>
      </c>
      <c r="AD247" s="841">
        <f>AD224 + AD201 + AD178 + AD155</f>
        <v>107374</v>
      </c>
      <c r="AE247" s="841">
        <f>AE224 + AE201 + AE178 + AE155</f>
        <v>101338</v>
      </c>
      <c r="AF247" s="841">
        <f>AF224 + AF201 + AF178 + AF155</f>
        <v>100795</v>
      </c>
      <c r="AG247" s="841">
        <f>AG224 + AG201 + AG178 + AG155</f>
        <v>102116</v>
      </c>
      <c r="AH247" s="841">
        <f>AH224 + AH201 + AH178 + AH155</f>
        <v>101644</v>
      </c>
      <c r="AI247" s="841">
        <f>AI224 + AI201 + AI178 + AI155</f>
        <v>95449</v>
      </c>
      <c r="AJ247" s="841">
        <f>AJ224 + AJ201 + AJ178 + AJ155</f>
        <v>94919</v>
      </c>
      <c r="AK247" s="841">
        <f>AK224 + AK201 + AK178 + AK155</f>
        <v>83465</v>
      </c>
      <c r="AL247" s="841">
        <f>AL224 + AL201 + AL178 + AL155</f>
        <v>83426</v>
      </c>
      <c r="AM247" s="841">
        <f>AM224 + AM201 + AM178 + AM155</f>
        <v>77178</v>
      </c>
      <c r="AN247" s="841">
        <f>AN224 + AN201 + AN178 + AN155</f>
        <v>76698</v>
      </c>
      <c r="AO247" s="841">
        <f>AO224 + AO201 + AO178 + AO155</f>
        <v>59799</v>
      </c>
      <c r="AP247" s="841">
        <f>AP224 + AP201 + AP178 + AP155</f>
        <v>52143</v>
      </c>
    </row>
    <row r="248" hidden="1">
      <c r="B248" s="843" t="s">
        <v>24</v>
      </c>
      <c r="C248" s="839">
        <f>C225 + C202 + C179 + C156</f>
        <v>434829</v>
      </c>
      <c r="D248" s="839">
        <f>D225 + D202 + D179 + D156</f>
        <v>425781</v>
      </c>
      <c r="E248" s="839">
        <f>E225 + E202 + E179 + E156</f>
        <v>418096</v>
      </c>
      <c r="F248" s="839">
        <f>F225 + F202 + F179 + F156</f>
        <v>409072</v>
      </c>
      <c r="G248" s="839">
        <f>G225 + G202 + G179 + G156</f>
        <v>398694</v>
      </c>
      <c r="H248" s="839">
        <f>H225 + H202 + H179 + H156</f>
        <v>391249</v>
      </c>
      <c r="I248" s="839">
        <f>I225 + I202 + I179 + I156</f>
        <v>370081</v>
      </c>
      <c r="J248" s="839">
        <f>J225 + J202 + J179 + J156</f>
        <v>368830</v>
      </c>
      <c r="K248" s="839">
        <f>K225 + K202 + K179 + K156</f>
        <v>354305</v>
      </c>
      <c r="L248" s="839">
        <f>L225 + L202 + L179 + L156</f>
        <v>353996</v>
      </c>
      <c r="M248" s="839">
        <f>M225 + M202 + M179 + M156</f>
        <v>346758</v>
      </c>
      <c r="N248" s="839">
        <f>N225 + N202 + N179 + N156</f>
        <v>339671</v>
      </c>
      <c r="O248" s="839">
        <f>O225 + O202 + O179 + O156</f>
        <v>331509</v>
      </c>
      <c r="P248" s="839">
        <f>P225 + P202 + P179 + P156</f>
        <v>326227</v>
      </c>
      <c r="Q248" s="839">
        <f>Q225 + Q202 + Q179 + Q156</f>
        <v>327386</v>
      </c>
      <c r="R248" s="839">
        <f>R225 + R202 + R179 + R156</f>
        <v>326104</v>
      </c>
      <c r="S248" s="839">
        <f>S225 + S202 + S179 + S156</f>
        <v>300205</v>
      </c>
      <c r="T248" s="839">
        <f>T225 + T202 + T179 + T156</f>
        <v>295345</v>
      </c>
      <c r="U248" s="839">
        <f>U225 + U202 + U179 + U156</f>
        <v>297305</v>
      </c>
      <c r="V248" s="839">
        <f>V225 + V202 + V179 + V156</f>
        <v>292913</v>
      </c>
      <c r="W248" s="839">
        <f>W225 + W202 + W179 + W156</f>
        <v>297933</v>
      </c>
      <c r="X248" s="839">
        <f>X225 + X202 + X179 + X156</f>
        <v>297305</v>
      </c>
      <c r="Y248" s="839">
        <f>Y225 + Y202 + Y179 + Y156</f>
        <v>298629</v>
      </c>
      <c r="Z248" s="839">
        <f>Z225 + Z202 + Z179 + Z156</f>
        <v>289327</v>
      </c>
      <c r="AA248" s="839">
        <f>AA225 + AA202 + AA179 + AA156</f>
        <v>286606</v>
      </c>
      <c r="AB248" s="839">
        <f>AB225 + AB202 + AB179 + AB156</f>
        <v>284716</v>
      </c>
      <c r="AC248" s="841">
        <f>AC225 + AC202 + AC179 + AC156</f>
        <v>283345</v>
      </c>
      <c r="AD248" s="841">
        <f>AD225 + AD202 + AD179 + AD156</f>
        <v>279558</v>
      </c>
      <c r="AE248" s="841">
        <f>AE225 + AE202 + AE179 + AE156</f>
        <v>281436</v>
      </c>
      <c r="AF248" s="841">
        <f>AF225 + AF202 + AF179 + AF156</f>
        <v>275605</v>
      </c>
      <c r="AG248" s="841">
        <f>AG225 + AG202 + AG179 + AG156</f>
        <v>275618</v>
      </c>
      <c r="AH248" s="841">
        <f>AH225 + AH202 + AH179 + AH156</f>
        <v>264107</v>
      </c>
      <c r="AI248" s="841">
        <f>AI225 + AI202 + AI179 + AI156</f>
        <v>260314</v>
      </c>
      <c r="AJ248" s="841">
        <f>AJ225 + AJ202 + AJ179 + AJ156</f>
        <v>256039</v>
      </c>
      <c r="AK248" s="841">
        <f>AK225 + AK202 + AK179 + AK156</f>
        <v>237726</v>
      </c>
      <c r="AL248" s="841">
        <f>AL225 + AL202 + AL179 + AL156</f>
        <v>229732</v>
      </c>
      <c r="AM248" s="841">
        <f>AM225 + AM202 + AM179 + AM156</f>
        <v>217317</v>
      </c>
      <c r="AN248" s="841">
        <f>AN225 + AN202 + AN179 + AN156</f>
        <v>210987</v>
      </c>
      <c r="AO248" s="841">
        <f>AO225 + AO202 + AO179 + AO156</f>
        <v>197587</v>
      </c>
      <c r="AP248" s="841">
        <f>AP225 + AP202 + AP179 + AP156</f>
        <v>237250</v>
      </c>
    </row>
    <row r="249" hidden="1">
      <c r="B249" s="842" t="s">
        <v>25</v>
      </c>
      <c r="C249" s="839">
        <f>C226 + C203 + C180 + C157</f>
        <v>0</v>
      </c>
      <c r="D249" s="839">
        <f>D226 + D203 + D180 + D157</f>
        <v>0</v>
      </c>
      <c r="E249" s="839">
        <f>E226 + E203 + E180 + E157</f>
        <v>0</v>
      </c>
      <c r="F249" s="839">
        <f>F226 + F203 + F180 + F157</f>
        <v>0</v>
      </c>
      <c r="G249" s="839">
        <f>G226 + G203 + G180 + G157</f>
        <v>0</v>
      </c>
      <c r="H249" s="839">
        <f>H226 + H203 + H180 + H157</f>
        <v>0</v>
      </c>
      <c r="I249" s="839">
        <f>I226 + I203 + I180 + I157</f>
        <v>0</v>
      </c>
      <c r="J249" s="839">
        <f>J226 + J203 + J180 + J157</f>
        <v>0</v>
      </c>
      <c r="K249" s="839">
        <f>K226 + K203 + K180 + K157</f>
        <v>0</v>
      </c>
      <c r="L249" s="839">
        <f>L226 + L203 + L180 + L157</f>
        <v>0</v>
      </c>
      <c r="M249" s="839">
        <f>M226 + M203 + M180 + M157</f>
        <v>0</v>
      </c>
      <c r="N249" s="839">
        <f>N226 + N203 + N180 + N157</f>
        <v>0</v>
      </c>
      <c r="O249" s="839">
        <f>O226 + O203 + O180 + O157</f>
        <v>0</v>
      </c>
      <c r="P249" s="839">
        <f>P226 + P203 + P180 + P157</f>
        <v>0</v>
      </c>
      <c r="Q249" s="839">
        <f>Q226 + Q203 + Q180 + Q157</f>
        <v>0</v>
      </c>
      <c r="R249" s="839">
        <f>R226 + R203 + R180 + R157</f>
        <v>0</v>
      </c>
      <c r="S249" s="839">
        <f>S226 + S203 + S180 + S157</f>
        <v>0</v>
      </c>
      <c r="T249" s="839">
        <f>T226 + T203 + T180 + T157</f>
        <v>0</v>
      </c>
      <c r="U249" s="839">
        <f>U226 + U203 + U180 + U157</f>
        <v>0</v>
      </c>
      <c r="V249" s="839">
        <f>V226 + V203 + V180 + V157</f>
        <v>0</v>
      </c>
      <c r="W249" s="839">
        <f>W226 + W203 + W180 + W157</f>
        <v>0</v>
      </c>
      <c r="X249" s="839">
        <f>X226 + X203 + X180 + X157</f>
        <v>0</v>
      </c>
      <c r="Y249" s="839">
        <f>Y226 + Y203 + Y180 + Y157</f>
        <v>0</v>
      </c>
      <c r="Z249" s="839">
        <f>Z226 + Z203 + Z180 + Z157</f>
        <v>0</v>
      </c>
      <c r="AA249" s="839">
        <f>AA226 + AA203 + AA180 + AA157</f>
        <v>0</v>
      </c>
      <c r="AB249" s="839">
        <f>AB226 + AB203 + AB180 + AB157</f>
        <v>0</v>
      </c>
      <c r="AC249" s="841">
        <f>AC226 + AC203 + AC180 + AC157</f>
        <v>0</v>
      </c>
      <c r="AD249" s="841">
        <f>AD226 + AD203 + AD180 + AD157</f>
        <v>0</v>
      </c>
      <c r="AE249" s="841">
        <f>AE226 + AE203 + AE180 + AE157</f>
        <v>0</v>
      </c>
      <c r="AF249" s="841">
        <f>AF226 + AF203 + AF180 + AF157</f>
        <v>0</v>
      </c>
      <c r="AG249" s="841">
        <f>AG226 + AG203 + AG180 + AG157</f>
        <v>0</v>
      </c>
      <c r="AH249" s="841">
        <f>AH226 + AH203 + AH180 + AH157</f>
        <v>0</v>
      </c>
      <c r="AI249" s="841">
        <f>AI226 + AI203 + AI180 + AI157</f>
        <v>0</v>
      </c>
      <c r="AJ249" s="841">
        <f>AJ226 + AJ203 + AJ180 + AJ157</f>
        <v>0</v>
      </c>
      <c r="AK249" s="841">
        <f>AK226 + AK203 + AK180 + AK157</f>
        <v>0</v>
      </c>
      <c r="AL249" s="841">
        <f>AL226 + AL203 + AL180 + AL157</f>
        <v>0</v>
      </c>
      <c r="AM249" s="841">
        <f>AM226 + AM203 + AM180 + AM157</f>
        <v>0</v>
      </c>
      <c r="AN249" s="841">
        <f>AN226 + AN203 + AN180 + AN157</f>
        <v>0</v>
      </c>
      <c r="AO249" s="841">
        <f>AO226 + AO203 + AO180 + AO157</f>
        <v>1556</v>
      </c>
      <c r="AP249" s="841">
        <f>AP226 + AP203 + AP180 + AP157</f>
        <v>1903</v>
      </c>
    </row>
    <row r="250" hidden="1" ht="13.5">
      <c r="B250" s="844" t="s">
        <v>26</v>
      </c>
      <c r="C250" s="839">
        <f>C227 + C204 + C181 + C158</f>
        <v>0</v>
      </c>
      <c r="D250" s="839">
        <f>D227 + D204 + D181 + D158</f>
        <v>0</v>
      </c>
      <c r="E250" s="839">
        <f>E227 + E204 + E181 + E158</f>
        <v>0</v>
      </c>
      <c r="F250" s="839">
        <f>F227 + F204 + F181 + F158</f>
        <v>0</v>
      </c>
      <c r="G250" s="839">
        <f>G227 + G204 + G181 + G158</f>
        <v>0</v>
      </c>
      <c r="H250" s="839">
        <f>H227 + H204 + H181 + H158</f>
        <v>0</v>
      </c>
      <c r="I250" s="839">
        <f>I227 + I204 + I181 + I158</f>
        <v>0</v>
      </c>
      <c r="J250" s="839">
        <f>J227 + J204 + J181 + J158</f>
        <v>0</v>
      </c>
      <c r="K250" s="839">
        <f>K227 + K204 + K181 + K158</f>
        <v>0</v>
      </c>
      <c r="L250" s="839">
        <f>L227 + L204 + L181 + L158</f>
        <v>0</v>
      </c>
      <c r="M250" s="839">
        <f>M227 + M204 + M181 + M158</f>
        <v>0</v>
      </c>
      <c r="N250" s="839">
        <f>N227 + N204 + N181 + N158</f>
        <v>0</v>
      </c>
      <c r="O250" s="839">
        <f>O227 + O204 + O181 + O158</f>
        <v>0</v>
      </c>
      <c r="P250" s="839">
        <f>P227 + P204 + P181 + P158</f>
        <v>0</v>
      </c>
      <c r="Q250" s="839">
        <f>Q227 + Q204 + Q181 + Q158</f>
        <v>0</v>
      </c>
      <c r="R250" s="839">
        <f>R227 + R204 + R181 + R158</f>
        <v>0</v>
      </c>
      <c r="S250" s="839">
        <f>S227 + S204 + S181 + S158</f>
        <v>0</v>
      </c>
      <c r="T250" s="839">
        <f>T227 + T204 + T181 + T158</f>
        <v>0</v>
      </c>
      <c r="U250" s="839">
        <f>U227 + U204 + U181 + U158</f>
        <v>0</v>
      </c>
      <c r="V250" s="839">
        <f>V227 + V204 + V181 + V158</f>
        <v>0</v>
      </c>
      <c r="W250" s="839">
        <f>W227 + W204 + W181 + W158</f>
        <v>0</v>
      </c>
      <c r="X250" s="839">
        <f>X227 + X204 + X181 + X158</f>
        <v>0</v>
      </c>
      <c r="Y250" s="839">
        <f>Y227 + Y204 + Y181 + Y158</f>
        <v>0</v>
      </c>
      <c r="Z250" s="839">
        <f>Z227 + Z204 + Z181 + Z158</f>
        <v>0</v>
      </c>
      <c r="AA250" s="839">
        <f>AA227 + AA204 + AA181 + AA158</f>
        <v>0</v>
      </c>
      <c r="AB250" s="845">
        <f>AB227 + AB204 + AB181 + AB158</f>
        <v>0</v>
      </c>
      <c r="AC250" s="841">
        <f>AC227 + AC204 + AC181 + AC158</f>
        <v>0</v>
      </c>
      <c r="AD250" s="841">
        <f>AD227 + AD204 + AD181 + AD158</f>
        <v>0</v>
      </c>
      <c r="AE250" s="841">
        <f>AE227 + AE204 + AE181 + AE158</f>
        <v>0</v>
      </c>
      <c r="AF250" s="841">
        <f>AF227 + AF204 + AF181 + AF158</f>
        <v>0</v>
      </c>
      <c r="AG250" s="841">
        <f>AG227 + AG204 + AG181 + AG158</f>
        <v>0</v>
      </c>
      <c r="AH250" s="841">
        <f>AH227 + AH204 + AH181 + AH158</f>
        <v>0</v>
      </c>
      <c r="AI250" s="841">
        <f>AI227 + AI204 + AI181 + AI158</f>
        <v>0</v>
      </c>
      <c r="AJ250" s="841">
        <f>AJ227 + AJ204 + AJ181 + AJ158</f>
        <v>0</v>
      </c>
      <c r="AK250" s="841">
        <f>AK227 + AK204 + AK181 + AK158</f>
        <v>0</v>
      </c>
      <c r="AL250" s="841">
        <f>AL227 + AL204 + AL181 + AL158</f>
        <v>0</v>
      </c>
      <c r="AM250" s="841">
        <f>AM227 + AM204 + AM181 + AM158</f>
        <v>0</v>
      </c>
      <c r="AN250" s="841">
        <f>AN227 + AN204 + AN181 + AN158</f>
        <v>0</v>
      </c>
      <c r="AO250" s="841">
        <f>AO227 + AO204 + AO181 + AO158</f>
        <v>1655</v>
      </c>
      <c r="AP250" s="841">
        <f>AP227 + AP204 + AP181 + AP158</f>
        <v>1800</v>
      </c>
    </row>
    <row r="251" hidden="1" ht="13.5">
      <c r="B251" s="128" t="s">
        <v>7</v>
      </c>
      <c r="C251" s="129" t="str">
        <f>IF(SUM(C232:C250)&lt;&gt;0,SUM(C232:C250),"")</f>
      </c>
      <c r="D251" s="129" t="str">
        <f ref="D251:AA251" t="shared" si="20">IF(SUM(D232:D250)&lt;&gt;0,SUM(D232:D250),"")</f>
      </c>
      <c r="E251" s="129" t="str">
        <f t="shared" si="20"/>
      </c>
      <c r="F251" s="129" t="str">
        <f t="shared" si="20"/>
      </c>
      <c r="G251" s="129" t="str">
        <f t="shared" si="20"/>
      </c>
      <c r="H251" s="129" t="str">
        <f t="shared" si="20"/>
      </c>
      <c r="I251" s="129" t="str">
        <f t="shared" si="20"/>
      </c>
      <c r="J251" s="129" t="str">
        <f t="shared" si="20"/>
      </c>
      <c r="K251" s="129" t="str">
        <f t="shared" si="20"/>
      </c>
      <c r="L251" s="129" t="str">
        <f t="shared" si="20"/>
      </c>
      <c r="M251" s="129" t="str">
        <f t="shared" si="20"/>
      </c>
      <c r="N251" s="129" t="str">
        <f t="shared" si="20"/>
      </c>
      <c r="O251" s="129" t="str">
        <f t="shared" si="20"/>
      </c>
      <c r="P251" s="129" t="str">
        <f t="shared" si="20"/>
      </c>
      <c r="Q251" s="129" t="str">
        <f t="shared" si="20"/>
      </c>
      <c r="R251" s="129" t="str">
        <f t="shared" si="20"/>
      </c>
      <c r="S251" s="129" t="str">
        <f t="shared" si="20"/>
      </c>
      <c r="T251" s="129" t="str">
        <f t="shared" si="20"/>
      </c>
      <c r="U251" s="129" t="str">
        <f t="shared" si="20"/>
      </c>
      <c r="V251" s="129" t="str">
        <f t="shared" si="20"/>
      </c>
      <c r="W251" s="129" t="str">
        <f t="shared" si="20"/>
      </c>
      <c r="X251" s="129" t="str">
        <f t="shared" si="20"/>
      </c>
      <c r="Y251" s="129" t="str">
        <f t="shared" si="20"/>
      </c>
      <c r="Z251" s="129" t="str">
        <f t="shared" si="20"/>
      </c>
      <c r="AA251" s="129" t="str">
        <f t="shared" si="20"/>
      </c>
      <c r="AB251" s="130" t="str">
        <f>IF(SUM(AB232:AB250)&lt;&gt;0,SUM(AB232:AB250),"")</f>
      </c>
      <c r="AC251" s="91" t="str">
        <f ref="AC251:CN251" t="shared" si="21">IF(SUM(AC232:AC250)&lt;&gt;0,SUM(AC232:AC250),"")</f>
      </c>
      <c r="AD251" s="91" t="str">
        <f t="shared" si="21"/>
      </c>
      <c r="AE251" s="91" t="str">
        <f t="shared" si="21"/>
      </c>
      <c r="AF251" s="91" t="str">
        <f t="shared" si="21"/>
      </c>
      <c r="AG251" s="91" t="str">
        <f t="shared" si="21"/>
      </c>
      <c r="AH251" s="91" t="str">
        <f t="shared" si="21"/>
      </c>
      <c r="AI251" s="91" t="str">
        <f t="shared" si="21"/>
      </c>
      <c r="AJ251" s="91" t="str">
        <f t="shared" si="21"/>
      </c>
      <c r="AK251" s="91" t="str">
        <f t="shared" si="21"/>
      </c>
      <c r="AL251" s="91" t="str">
        <f t="shared" si="21"/>
      </c>
      <c r="AM251" s="91" t="str">
        <f t="shared" si="21"/>
      </c>
      <c r="AN251" s="91" t="str">
        <f t="shared" si="21"/>
      </c>
      <c r="AO251" s="91" t="str">
        <f t="shared" si="21"/>
      </c>
      <c r="AP251" s="91" t="str">
        <f t="shared" si="21"/>
      </c>
      <c r="AQ251" s="91" t="str">
        <f t="shared" si="21"/>
      </c>
      <c r="AR251" s="91" t="str">
        <f t="shared" si="21"/>
      </c>
      <c r="AS251" s="91" t="str">
        <f t="shared" si="21"/>
      </c>
      <c r="AT251" s="91" t="str">
        <f t="shared" si="21"/>
      </c>
      <c r="AU251" s="91" t="str">
        <f t="shared" si="21"/>
      </c>
      <c r="AV251" s="91" t="str">
        <f t="shared" si="21"/>
      </c>
      <c r="AW251" s="91" t="str">
        <f t="shared" si="21"/>
      </c>
      <c r="AX251" s="91" t="str">
        <f t="shared" si="21"/>
      </c>
      <c r="AY251" s="91" t="str">
        <f t="shared" si="21"/>
      </c>
      <c r="AZ251" s="91" t="str">
        <f t="shared" si="21"/>
      </c>
      <c r="BA251" s="91" t="str">
        <f t="shared" si="21"/>
      </c>
      <c r="BB251" s="91" t="str">
        <f t="shared" si="21"/>
      </c>
      <c r="BC251" s="91" t="str">
        <f t="shared" si="21"/>
      </c>
      <c r="BD251" s="91" t="str">
        <f t="shared" si="21"/>
      </c>
      <c r="BE251" s="91" t="str">
        <f t="shared" si="21"/>
      </c>
      <c r="BF251" s="91" t="str">
        <f t="shared" si="21"/>
      </c>
      <c r="BG251" s="91" t="str">
        <f t="shared" si="21"/>
      </c>
      <c r="BH251" s="91" t="str">
        <f t="shared" si="21"/>
      </c>
      <c r="BI251" s="91" t="str">
        <f t="shared" si="21"/>
      </c>
      <c r="BJ251" s="91" t="str">
        <f t="shared" si="21"/>
      </c>
      <c r="BK251" s="91" t="str">
        <f t="shared" si="21"/>
      </c>
      <c r="BL251" s="91" t="str">
        <f t="shared" si="21"/>
      </c>
      <c r="BM251" s="91" t="str">
        <f t="shared" si="21"/>
      </c>
      <c r="BN251" s="91" t="str">
        <f t="shared" si="21"/>
      </c>
      <c r="BO251" s="91" t="str">
        <f t="shared" si="21"/>
      </c>
      <c r="BP251" s="91" t="str">
        <f t="shared" si="21"/>
      </c>
      <c r="BQ251" s="91" t="str">
        <f t="shared" si="21"/>
      </c>
      <c r="BR251" s="91" t="str">
        <f t="shared" si="21"/>
      </c>
      <c r="BS251" s="91" t="str">
        <f t="shared" si="21"/>
      </c>
      <c r="BT251" s="91" t="str">
        <f t="shared" si="21"/>
      </c>
      <c r="BU251" s="91" t="str">
        <f t="shared" si="21"/>
      </c>
      <c r="BV251" s="91" t="str">
        <f t="shared" si="21"/>
      </c>
      <c r="BW251" s="91" t="str">
        <f t="shared" si="21"/>
      </c>
      <c r="BX251" s="91" t="str">
        <f t="shared" si="21"/>
      </c>
      <c r="BY251" s="91" t="str">
        <f t="shared" si="21"/>
      </c>
      <c r="BZ251" s="91" t="str">
        <f t="shared" si="21"/>
      </c>
      <c r="CA251" s="91" t="str">
        <f t="shared" si="21"/>
      </c>
      <c r="CB251" s="91" t="str">
        <f t="shared" si="21"/>
      </c>
      <c r="CC251" s="91" t="str">
        <f t="shared" si="21"/>
      </c>
      <c r="CD251" s="91" t="str">
        <f t="shared" si="21"/>
      </c>
      <c r="CE251" s="91" t="str">
        <f t="shared" si="21"/>
      </c>
      <c r="CF251" s="91" t="str">
        <f t="shared" si="21"/>
      </c>
      <c r="CG251" s="91" t="str">
        <f t="shared" si="21"/>
      </c>
      <c r="CH251" s="91" t="str">
        <f t="shared" si="21"/>
      </c>
      <c r="CI251" s="91" t="str">
        <f t="shared" si="21"/>
      </c>
      <c r="CJ251" s="91" t="str">
        <f t="shared" si="21"/>
      </c>
      <c r="CK251" s="91" t="str">
        <f t="shared" si="21"/>
      </c>
      <c r="CL251" s="91" t="str">
        <f t="shared" si="21"/>
      </c>
      <c r="CM251" s="91" t="str">
        <f t="shared" si="21"/>
      </c>
      <c r="CN251" s="91" t="str">
        <f t="shared" si="21"/>
      </c>
      <c r="CO251" s="91" t="str">
        <f ref="CO251:EZ251" t="shared" si="22">IF(SUM(CO232:CO250)&lt;&gt;0,SUM(CO232:CO250),"")</f>
      </c>
      <c r="CP251" s="91" t="str">
        <f t="shared" si="22"/>
      </c>
      <c r="CQ251" s="91" t="str">
        <f t="shared" si="22"/>
      </c>
      <c r="CR251" s="91" t="str">
        <f t="shared" si="22"/>
      </c>
      <c r="CS251" s="91" t="str">
        <f t="shared" si="22"/>
      </c>
      <c r="CT251" s="91" t="str">
        <f t="shared" si="22"/>
      </c>
      <c r="CU251" s="91" t="str">
        <f t="shared" si="22"/>
      </c>
      <c r="CV251" s="91" t="str">
        <f t="shared" si="22"/>
      </c>
      <c r="CW251" s="91" t="str">
        <f t="shared" si="22"/>
      </c>
      <c r="CX251" s="91" t="str">
        <f t="shared" si="22"/>
      </c>
      <c r="CY251" s="91" t="str">
        <f t="shared" si="22"/>
      </c>
      <c r="CZ251" s="91" t="str">
        <f t="shared" si="22"/>
      </c>
      <c r="DA251" s="91" t="str">
        <f t="shared" si="22"/>
      </c>
      <c r="DB251" s="91" t="str">
        <f t="shared" si="22"/>
      </c>
      <c r="DC251" s="91" t="str">
        <f t="shared" si="22"/>
      </c>
      <c r="DD251" s="91" t="str">
        <f t="shared" si="22"/>
      </c>
      <c r="DE251" s="91" t="str">
        <f t="shared" si="22"/>
      </c>
      <c r="DF251" s="91" t="str">
        <f t="shared" si="22"/>
      </c>
      <c r="DG251" s="91" t="str">
        <f t="shared" si="22"/>
      </c>
      <c r="DH251" s="91" t="str">
        <f t="shared" si="22"/>
      </c>
      <c r="DI251" s="91" t="str">
        <f t="shared" si="22"/>
      </c>
      <c r="DJ251" s="91" t="str">
        <f t="shared" si="22"/>
      </c>
      <c r="DK251" s="91" t="str">
        <f t="shared" si="22"/>
      </c>
      <c r="DL251" s="91" t="str">
        <f t="shared" si="22"/>
      </c>
      <c r="DM251" s="91" t="str">
        <f t="shared" si="22"/>
      </c>
      <c r="DN251" s="91" t="str">
        <f t="shared" si="22"/>
      </c>
      <c r="DO251" s="91" t="str">
        <f t="shared" si="22"/>
      </c>
      <c r="DP251" s="91" t="str">
        <f t="shared" si="22"/>
      </c>
      <c r="DQ251" s="91" t="str">
        <f t="shared" si="22"/>
      </c>
      <c r="DR251" s="91" t="str">
        <f t="shared" si="22"/>
      </c>
      <c r="DS251" s="91" t="str">
        <f t="shared" si="22"/>
      </c>
      <c r="DT251" s="91" t="str">
        <f t="shared" si="22"/>
      </c>
      <c r="DU251" s="91" t="str">
        <f t="shared" si="22"/>
      </c>
      <c r="DV251" s="91" t="str">
        <f t="shared" si="22"/>
      </c>
      <c r="DW251" s="91" t="str">
        <f t="shared" si="22"/>
      </c>
      <c r="DX251" s="91" t="str">
        <f t="shared" si="22"/>
      </c>
      <c r="DY251" s="91" t="str">
        <f t="shared" si="22"/>
      </c>
      <c r="DZ251" s="91" t="str">
        <f t="shared" si="22"/>
      </c>
      <c r="EA251" s="91" t="str">
        <f t="shared" si="22"/>
      </c>
      <c r="EB251" s="91" t="str">
        <f t="shared" si="22"/>
      </c>
      <c r="EC251" s="91" t="str">
        <f t="shared" si="22"/>
      </c>
      <c r="ED251" s="91" t="str">
        <f t="shared" si="22"/>
      </c>
      <c r="EE251" s="91" t="str">
        <f t="shared" si="22"/>
      </c>
      <c r="EF251" s="91" t="str">
        <f t="shared" si="22"/>
      </c>
      <c r="EG251" s="91" t="str">
        <f t="shared" si="22"/>
      </c>
      <c r="EH251" s="91" t="str">
        <f t="shared" si="22"/>
      </c>
      <c r="EI251" s="91" t="str">
        <f t="shared" si="22"/>
      </c>
      <c r="EJ251" s="91" t="str">
        <f t="shared" si="22"/>
      </c>
      <c r="EK251" s="91" t="str">
        <f t="shared" si="22"/>
      </c>
      <c r="EL251" s="91" t="str">
        <f t="shared" si="22"/>
      </c>
      <c r="EM251" s="91" t="str">
        <f t="shared" si="22"/>
      </c>
      <c r="EN251" s="91" t="str">
        <f t="shared" si="22"/>
      </c>
      <c r="EO251" s="91" t="str">
        <f t="shared" si="22"/>
      </c>
      <c r="EP251" s="91" t="str">
        <f t="shared" si="22"/>
      </c>
      <c r="EQ251" s="91" t="str">
        <f t="shared" si="22"/>
      </c>
      <c r="ER251" s="91" t="str">
        <f t="shared" si="22"/>
      </c>
      <c r="ES251" s="91" t="str">
        <f t="shared" si="22"/>
      </c>
      <c r="ET251" s="91" t="str">
        <f t="shared" si="22"/>
      </c>
      <c r="EU251" s="91" t="str">
        <f t="shared" si="22"/>
      </c>
      <c r="EV251" s="91" t="str">
        <f t="shared" si="22"/>
      </c>
      <c r="EW251" s="91" t="str">
        <f t="shared" si="22"/>
      </c>
      <c r="EX251" s="91" t="str">
        <f t="shared" si="22"/>
      </c>
      <c r="EY251" s="91" t="str">
        <f t="shared" si="22"/>
      </c>
      <c r="EZ251" s="91" t="str">
        <f t="shared" si="22"/>
      </c>
      <c r="FA251" s="91" t="str">
        <f ref="FA251:HL251" t="shared" si="23">IF(SUM(FA232:FA250)&lt;&gt;0,SUM(FA232:FA250),"")</f>
      </c>
      <c r="FB251" s="91" t="str">
        <f t="shared" si="23"/>
      </c>
      <c r="FC251" s="91" t="str">
        <f t="shared" si="23"/>
      </c>
      <c r="FD251" s="91" t="str">
        <f t="shared" si="23"/>
      </c>
      <c r="FE251" s="91" t="str">
        <f t="shared" si="23"/>
      </c>
      <c r="FF251" s="91" t="str">
        <f t="shared" si="23"/>
      </c>
      <c r="FG251" s="91" t="str">
        <f t="shared" si="23"/>
      </c>
      <c r="FH251" s="91" t="str">
        <f t="shared" si="23"/>
      </c>
      <c r="FI251" s="91" t="str">
        <f t="shared" si="23"/>
      </c>
      <c r="FJ251" s="91" t="str">
        <f t="shared" si="23"/>
      </c>
      <c r="FK251" s="91" t="str">
        <f t="shared" si="23"/>
      </c>
      <c r="FL251" s="91" t="str">
        <f t="shared" si="23"/>
      </c>
      <c r="FM251" s="91" t="str">
        <f t="shared" si="23"/>
      </c>
      <c r="FN251" s="91" t="str">
        <f t="shared" si="23"/>
      </c>
      <c r="FO251" s="91" t="str">
        <f t="shared" si="23"/>
      </c>
      <c r="FP251" s="91" t="str">
        <f t="shared" si="23"/>
      </c>
      <c r="FQ251" s="91" t="str">
        <f t="shared" si="23"/>
      </c>
      <c r="FR251" s="91" t="str">
        <f t="shared" si="23"/>
      </c>
      <c r="FS251" s="91" t="str">
        <f t="shared" si="23"/>
      </c>
      <c r="FT251" s="91" t="str">
        <f t="shared" si="23"/>
      </c>
      <c r="FU251" s="91" t="str">
        <f t="shared" si="23"/>
      </c>
      <c r="FV251" s="91" t="str">
        <f t="shared" si="23"/>
      </c>
      <c r="FW251" s="91" t="str">
        <f t="shared" si="23"/>
      </c>
      <c r="FX251" s="91" t="str">
        <f t="shared" si="23"/>
      </c>
      <c r="FY251" s="91" t="str">
        <f t="shared" si="23"/>
      </c>
      <c r="FZ251" s="91" t="str">
        <f t="shared" si="23"/>
      </c>
      <c r="GA251" s="91" t="str">
        <f t="shared" si="23"/>
      </c>
      <c r="GB251" s="91" t="str">
        <f t="shared" si="23"/>
      </c>
      <c r="GC251" s="91" t="str">
        <f t="shared" si="23"/>
      </c>
      <c r="GD251" s="91" t="str">
        <f t="shared" si="23"/>
      </c>
      <c r="GE251" s="91" t="str">
        <f t="shared" si="23"/>
      </c>
      <c r="GF251" s="91" t="str">
        <f t="shared" si="23"/>
      </c>
      <c r="GG251" s="91" t="str">
        <f t="shared" si="23"/>
      </c>
      <c r="GH251" s="91" t="str">
        <f t="shared" si="23"/>
      </c>
      <c r="GI251" s="91" t="str">
        <f t="shared" si="23"/>
      </c>
      <c r="GJ251" s="91" t="str">
        <f t="shared" si="23"/>
      </c>
      <c r="GK251" s="91" t="str">
        <f t="shared" si="23"/>
      </c>
      <c r="GL251" s="91" t="str">
        <f t="shared" si="23"/>
      </c>
      <c r="GM251" s="91" t="str">
        <f t="shared" si="23"/>
      </c>
      <c r="GN251" s="91" t="str">
        <f t="shared" si="23"/>
      </c>
      <c r="GO251" s="91" t="str">
        <f t="shared" si="23"/>
      </c>
      <c r="GP251" s="91" t="str">
        <f t="shared" si="23"/>
      </c>
      <c r="GQ251" s="91" t="str">
        <f t="shared" si="23"/>
      </c>
      <c r="GR251" s="91" t="str">
        <f t="shared" si="23"/>
      </c>
      <c r="GS251" s="91" t="str">
        <f t="shared" si="23"/>
      </c>
      <c r="GT251" s="91" t="str">
        <f t="shared" si="23"/>
      </c>
      <c r="GU251" s="91" t="str">
        <f t="shared" si="23"/>
      </c>
      <c r="GV251" s="91" t="str">
        <f t="shared" si="23"/>
      </c>
      <c r="GW251" s="91" t="str">
        <f t="shared" si="23"/>
      </c>
      <c r="GX251" s="91" t="str">
        <f t="shared" si="23"/>
      </c>
      <c r="GY251" s="91" t="str">
        <f t="shared" si="23"/>
      </c>
      <c r="GZ251" s="91" t="str">
        <f t="shared" si="23"/>
      </c>
      <c r="HA251" s="91" t="str">
        <f t="shared" si="23"/>
      </c>
      <c r="HB251" s="91" t="str">
        <f t="shared" si="23"/>
      </c>
      <c r="HC251" s="91" t="str">
        <f t="shared" si="23"/>
      </c>
      <c r="HD251" s="91" t="str">
        <f t="shared" si="23"/>
      </c>
      <c r="HE251" s="91" t="str">
        <f t="shared" si="23"/>
      </c>
      <c r="HF251" s="91" t="str">
        <f t="shared" si="23"/>
      </c>
      <c r="HG251" s="91" t="str">
        <f t="shared" si="23"/>
      </c>
      <c r="HH251" s="91" t="str">
        <f t="shared" si="23"/>
      </c>
      <c r="HI251" s="91" t="str">
        <f t="shared" si="23"/>
      </c>
      <c r="HJ251" s="91" t="str">
        <f t="shared" si="23"/>
      </c>
      <c r="HK251" s="91" t="str">
        <f t="shared" si="23"/>
      </c>
      <c r="HL251" s="91" t="str">
        <f t="shared" si="23"/>
      </c>
      <c r="HM251" s="91" t="str">
        <f ref="HM251:IV251" t="shared" si="24">IF(SUM(HM232:HM250)&lt;&gt;0,SUM(HM232:HM250),"")</f>
      </c>
      <c r="HN251" s="91" t="str">
        <f t="shared" si="24"/>
      </c>
      <c r="HO251" s="91" t="str">
        <f t="shared" si="24"/>
      </c>
      <c r="HP251" s="91" t="str">
        <f t="shared" si="24"/>
      </c>
      <c r="HQ251" s="91" t="str">
        <f t="shared" si="24"/>
      </c>
      <c r="HR251" s="91" t="str">
        <f t="shared" si="24"/>
      </c>
      <c r="HS251" s="91" t="str">
        <f t="shared" si="24"/>
      </c>
      <c r="HT251" s="91" t="str">
        <f t="shared" si="24"/>
      </c>
      <c r="HU251" s="91" t="str">
        <f t="shared" si="24"/>
      </c>
      <c r="HV251" s="91" t="str">
        <f t="shared" si="24"/>
      </c>
      <c r="HW251" s="91" t="str">
        <f t="shared" si="24"/>
      </c>
      <c r="HX251" s="91" t="str">
        <f t="shared" si="24"/>
      </c>
      <c r="HY251" s="91" t="str">
        <f t="shared" si="24"/>
      </c>
      <c r="HZ251" s="91" t="str">
        <f t="shared" si="24"/>
      </c>
      <c r="IA251" s="91" t="str">
        <f t="shared" si="24"/>
      </c>
      <c r="IB251" s="91" t="str">
        <f t="shared" si="24"/>
      </c>
      <c r="IC251" s="91" t="str">
        <f t="shared" si="24"/>
      </c>
      <c r="ID251" s="91" t="str">
        <f t="shared" si="24"/>
      </c>
      <c r="IE251" s="91" t="str">
        <f t="shared" si="24"/>
      </c>
      <c r="IF251" s="91" t="str">
        <f t="shared" si="24"/>
      </c>
      <c r="IG251" s="91" t="str">
        <f t="shared" si="24"/>
      </c>
      <c r="IH251" s="91" t="str">
        <f t="shared" si="24"/>
      </c>
      <c r="II251" s="91" t="str">
        <f t="shared" si="24"/>
      </c>
      <c r="IJ251" s="91" t="str">
        <f t="shared" si="24"/>
      </c>
      <c r="IK251" s="91" t="str">
        <f t="shared" si="24"/>
      </c>
      <c r="IL251" s="91" t="str">
        <f t="shared" si="24"/>
      </c>
      <c r="IM251" s="91" t="str">
        <f t="shared" si="24"/>
      </c>
      <c r="IN251" s="91" t="str">
        <f t="shared" si="24"/>
      </c>
      <c r="IO251" s="91" t="str">
        <f t="shared" si="24"/>
      </c>
      <c r="IP251" s="91" t="str">
        <f t="shared" si="24"/>
      </c>
      <c r="IQ251" s="91" t="str">
        <f t="shared" si="24"/>
      </c>
      <c r="IR251" s="91" t="str">
        <f t="shared" si="24"/>
      </c>
      <c r="IS251" s="91" t="str">
        <f t="shared" si="24"/>
      </c>
      <c r="IT251" s="91" t="str">
        <f t="shared" si="24"/>
      </c>
      <c r="IU251" s="91" t="str">
        <f t="shared" si="24"/>
      </c>
      <c r="IV251" s="91" t="str">
        <f t="shared" si="24"/>
      </c>
    </row>
    <row r="252" hidden="1" ht="13.5">
      <c r="A252" s="91"/>
      <c r="B252" s="91"/>
      <c r="C252" s="91"/>
      <c r="D252" s="91"/>
      <c r="E252" s="91"/>
      <c r="F252" s="91"/>
      <c r="G252" s="91"/>
      <c r="H252" s="91"/>
      <c r="I252" s="91"/>
      <c r="J252" s="91"/>
      <c r="K252" s="91"/>
      <c r="M252" s="215"/>
      <c r="N252" s="284"/>
      <c r="O252" s="50"/>
    </row>
    <row r="253" hidden="1">
      <c r="B253" s="509" t="s">
        <v>8</v>
      </c>
      <c r="C253" s="505" t="e">
        <f>INDIRECT(ADDRESS(232,MATCH(9000000000+307,'8.1- OVINO (CENSO)'!232:232,1),1,,"8.1- OVINO (CENSO)"))</f>
        <v>#N/A</v>
      </c>
      <c r="M253" s="215"/>
      <c r="N253" s="283"/>
      <c r="O253" s="50"/>
    </row>
    <row r="254" hidden="1" ht="12.75" customHeight="1">
      <c r="B254" s="507" t="s">
        <v>9</v>
      </c>
      <c r="C254" s="505" t="e">
        <f>INDIRECT(ADDRESS(233,MATCH(9000000000+307,'8.1- OVINO (CENSO)'!233:233,1),1,,"8.1- OVINO (CENSO)"))</f>
        <v>#N/A</v>
      </c>
      <c r="M254" s="50"/>
      <c r="N254" s="50"/>
      <c r="O254" s="50"/>
    </row>
    <row r="255" hidden="1">
      <c r="B255" s="507" t="s">
        <v>10</v>
      </c>
      <c r="C255" s="505" t="e">
        <f>INDIRECT(ADDRESS(234,MATCH(9000000000+307,'8.1- OVINO (CENSO)'!234:234,1),1,,"8.1- OVINO (CENSO)"))</f>
        <v>#N/A</v>
      </c>
      <c r="M255" s="50"/>
      <c r="N255" s="50"/>
      <c r="O255" s="50"/>
    </row>
    <row r="256" hidden="1">
      <c r="B256" s="507" t="s">
        <v>11</v>
      </c>
      <c r="C256" s="505" t="e">
        <f>INDIRECT(ADDRESS(235,MATCH(9000000000+307,'8.1- OVINO (CENSO)'!235:235,1),1,,"8.1- OVINO (CENSO)"))</f>
        <v>#N/A</v>
      </c>
      <c r="M256" s="50"/>
      <c r="N256" s="50"/>
      <c r="O256" s="50"/>
    </row>
    <row r="257" hidden="1">
      <c r="B257" s="507" t="s">
        <v>12</v>
      </c>
      <c r="C257" s="505" t="e">
        <f>INDIRECT(ADDRESS(236,MATCH(9000000000+307,'8.1- OVINO (CENSO)'!236:236,1),1,,"8.1- OVINO (CENSO)"))</f>
        <v>#N/A</v>
      </c>
      <c r="M257" s="50"/>
      <c r="N257" s="50"/>
      <c r="O257" s="50"/>
    </row>
    <row r="258" hidden="1">
      <c r="B258" s="507" t="s">
        <v>13</v>
      </c>
      <c r="C258" s="505" t="e">
        <f>INDIRECT(ADDRESS(237,MATCH(9000000000+307,'8.1- OVINO (CENSO)'!237:237,1),1,,"8.1- OVINO (CENSO)"))</f>
        <v>#N/A</v>
      </c>
      <c r="M258" s="50"/>
      <c r="N258" s="50"/>
      <c r="O258" s="50"/>
    </row>
    <row r="259" hidden="1">
      <c r="B259" s="507" t="s">
        <v>109</v>
      </c>
      <c r="C259" s="505" t="e">
        <f>INDIRECT(ADDRESS(238,MATCH(9000000000+307,'8.1- OVINO (CENSO)'!238:238,1),1,,"8.1- OVINO (CENSO)"))</f>
        <v>#N/A</v>
      </c>
      <c r="M259" s="50"/>
      <c r="N259" s="50"/>
      <c r="O259" s="50"/>
    </row>
    <row r="260" hidden="1">
      <c r="B260" s="507" t="s">
        <v>110</v>
      </c>
      <c r="C260" s="505" t="e">
        <f>INDIRECT(ADDRESS(239,MATCH(9000000000+307,'8.1- OVINO (CENSO)'!239:239,1),1,,"8.1- OVINO (CENSO)"))</f>
        <v>#N/A</v>
      </c>
      <c r="M260" s="50"/>
      <c r="N260" s="50"/>
      <c r="O260" s="50"/>
    </row>
    <row r="261" hidden="1">
      <c r="B261" s="507" t="s">
        <v>16</v>
      </c>
      <c r="C261" s="505" t="e">
        <f>INDIRECT(ADDRESS(240,MATCH(9000000000+307,'8.1- OVINO (CENSO)'!240:240,1),1,,"8.1- OVINO (CENSO)"))</f>
        <v>#N/A</v>
      </c>
    </row>
    <row r="262" hidden="1">
      <c r="B262" s="507" t="s">
        <v>17</v>
      </c>
      <c r="C262" s="505" t="e">
        <f>INDIRECT(ADDRESS(241,MATCH(9000000000+307,'8.1- OVINO (CENSO)'!241:241,1),1,,"8.1- OVINO (CENSO)"))</f>
        <v>#N/A</v>
      </c>
    </row>
    <row r="263" hidden="1">
      <c r="B263" s="507" t="s">
        <v>18</v>
      </c>
      <c r="C263" s="505" t="e">
        <f>INDIRECT(ADDRESS(242,MATCH(9000000000+307,'8.1- OVINO (CENSO)'!242:242,1),1,,"8.1- OVINO (CENSO)"))</f>
        <v>#N/A</v>
      </c>
    </row>
    <row r="264" hidden="1">
      <c r="B264" s="507" t="s">
        <v>19</v>
      </c>
      <c r="C264" s="505" t="e">
        <f>INDIRECT(ADDRESS(243,MATCH(9000000000+307,'8.1- OVINO (CENSO)'!243:243,1),1,,"8.1- OVINO (CENSO)"))</f>
        <v>#N/A</v>
      </c>
    </row>
    <row r="265" hidden="1">
      <c r="B265" s="507" t="s">
        <v>20</v>
      </c>
      <c r="C265" s="505" t="e">
        <f>INDIRECT(ADDRESS(244,MATCH(9000000000+307,'8.1- OVINO (CENSO)'!244:244,1),1,,"8.1- OVINO (CENSO)"))</f>
        <v>#N/A</v>
      </c>
    </row>
    <row r="266" hidden="1">
      <c r="B266" s="507" t="s">
        <v>21</v>
      </c>
      <c r="C266" s="505" t="e">
        <f>INDIRECT(ADDRESS(245,MATCH(9000000000+307,'8.1- OVINO (CENSO)'!245:245,1),1,,"8.1- OVINO (CENSO)"))</f>
        <v>#N/A</v>
      </c>
    </row>
    <row r="267" hidden="1">
      <c r="B267" s="507" t="s">
        <v>22</v>
      </c>
      <c r="C267" s="505" t="e">
        <f>INDIRECT(ADDRESS(246,MATCH(9000000000+307,'8.1- OVINO (CENSO)'!246:246,1),1,,"8.1- OVINO (CENSO)"))</f>
        <v>#N/A</v>
      </c>
    </row>
    <row r="268" hidden="1">
      <c r="B268" s="507" t="s">
        <v>23</v>
      </c>
      <c r="C268" s="505" t="e">
        <f>INDIRECT(ADDRESS(247,MATCH(9000000000+307,'8.1- OVINO (CENSO)'!247:247,1),1,,"8.1- OVINO (CENSO)"))</f>
        <v>#N/A</v>
      </c>
    </row>
    <row r="269" hidden="1">
      <c r="B269" s="508" t="s">
        <v>24</v>
      </c>
      <c r="C269" s="505" t="e">
        <f>INDIRECT(ADDRESS(248,MATCH(9000000000+307,'8.1- OVINO (CENSO)'!248:248,1),1,,"8.1- OVINO (CENSO)"))</f>
        <v>#N/A</v>
      </c>
    </row>
    <row r="270" hidden="1">
      <c r="B270" s="507" t="s">
        <v>25</v>
      </c>
      <c r="C270" s="505" t="e">
        <f>INDIRECT(ADDRESS(249,MATCH(9000000000+307,'8.1- OVINO (CENSO)'!249:249,1),1,,"8.1- OVINO (CENSO)"))</f>
        <v>#N/A</v>
      </c>
    </row>
    <row r="271" hidden="1" ht="13.5">
      <c r="B271" s="506" t="s">
        <v>26</v>
      </c>
      <c r="C271" s="505" t="e">
        <f>INDIRECT(ADDRESS(250,MATCH(9000000000+307,'8.1- OVINO (CENSO)'!250:250,1),1,,"8.1- OVINO (CENSO)"))</f>
        <v>#N/A</v>
      </c>
    </row>
  </sheetData>
  <sheetProtection sheet="1" autoFilter="0" objects="1" scenarios="1" sort="0" password="ed66"/>
  <mergeCells>
    <mergeCell ref="A9:D9"/>
    <mergeCell ref="C13:M13"/>
    <mergeCell ref="C14:M14"/>
    <mergeCell ref="C17:M17"/>
    <mergeCell ref="C27:M30"/>
    <mergeCell ref="C207:AB207"/>
    <mergeCell ref="C230:AB230"/>
    <mergeCell ref="C19:M19"/>
    <mergeCell ref="C21:M21"/>
    <mergeCell ref="C23:M23"/>
    <mergeCell ref="C25:M25"/>
    <mergeCell ref="C138:AB138"/>
    <mergeCell ref="C161:AB161"/>
    <mergeCell ref="C184:AB184"/>
  </mergeCells>
  <phoneticPr fontId="44" type="noConversion"/>
  <printOptions horizontalCentered="1"/>
  <pageMargins left="0.23622047244094491" right="0.23622047244094491" top="0.98425196850393704" bottom="0.98425196850393704" header="0" footer="0"/>
  <pageSetup paperSize="9" scale="56" orientation="portrait"/>
  <headerFooter alignWithMargins="0"/>
  <rowBreaks count="1" manualBreakCount="1">
    <brk id="76" max="1048575" man="1"/>
  </rowBreaks>
  <drawing r:id="rId2"/>
  <legacyDrawing r:id="rId3"/>
  <mc:AlternateContent xmlns:mc="http://schemas.openxmlformats.org/markup-compatibility/2006">
    <mc:Choice Requires="x14">
      <controls>
        <mc:AlternateContent xmlns:mc="http://schemas.openxmlformats.org/markup-compatibility/2006">
          <mc:Choice Requires="x14">
            <control shapeId="55297" r:id="rId4" name="Drop Down 1">
              <controlPr defaultSize="0" autoLine="0" autoPict="0">
                <anchor moveWithCells="1">
                  <from>
                    <xdr:col>4</xdr:col>
                    <xdr:colOff>0</xdr:colOff>
                    <xdr:row>7</xdr:row>
                    <xdr:rowOff>0</xdr:rowOff>
                  </from>
                  <to>
                    <xdr:col>6</xdr:col>
                    <xdr:colOff>200025</xdr:colOff>
                    <xdr:row>9</xdr:row>
                    <xdr:rowOff>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ontainsText" priority="21" operator="containsText" id="{E4559057-E20B-4AB7-BF3D-C1FB2072B94B}">
            <xm:f>NOT(ISERROR(SEARCH("",AC251)))</xm:f>
            <xm:f>""</xm:f>
            <x14:dxf>
              <numFmt numFmtId="3" formatCode="#,##0"/>
              <border>
                <left style="thin">
                  <color auto="1"/>
                </left>
                <right style="thin">
                  <color auto="1"/>
                </right>
                <top style="thin">
                  <color auto="1"/>
                </top>
                <bottom style="thin">
                  <color auto="1"/>
                </bottom>
                <vertical/>
                <horizontal/>
              </border>
            </x14:dxf>
          </x14:cfRule>
          <xm:sqref>AC251:IV251</xm:sqref>
        </x14:conditionalFormatting>
        <x14:conditionalFormatting xmlns:xm="http://schemas.microsoft.com/office/excel/2006/main">
          <x14:cfRule type="containsText" priority="20" operator="containsText" id="{E2A303A4-0DFD-4AEB-8E64-33045358B19D}">
            <xm:f>NOT(ISERROR(SEARCH("",C232)))</xm:f>
            <xm:f>""</xm:f>
            <x14:dxf>
              <numFmt numFmtId="3" formatCode="#,##0"/>
              <border>
                <right style="thin">
                  <color auto="1"/>
                </right>
                <top style="thin">
                  <color auto="1"/>
                </top>
                <bottom style="thin">
                  <color auto="1"/>
                </bottom>
                <vertical/>
                <horizontal/>
              </border>
            </x14:dxf>
          </x14:cfRule>
          <xm:sqref>C232:IV250</xm:sqref>
        </x14:conditionalFormatting>
        <x14:conditionalFormatting xmlns:xm="http://schemas.microsoft.com/office/excel/2006/main">
          <x14:cfRule type="containsText" priority="15" operator="containsText" id="{EC02F67E-2201-4623-9D7C-B0A31C5A5B18}">
            <xm:f>NOT(ISERROR(SEARCH("",AD208)))</xm:f>
            <xm:f>""</xm:f>
            <x14:dxf>
              <numFmt numFmtId="3" formatCode="#,##0"/>
              <border>
                <left style="thin">
                  <color auto="1"/>
                </left>
                <right style="thin">
                  <color auto="1"/>
                </right>
                <top style="thin">
                  <color auto="1"/>
                </top>
                <bottom style="thin">
                  <color auto="1"/>
                </bottom>
                <vertical/>
                <horizontal/>
              </border>
            </x14:dxf>
          </x14:cfRule>
          <xm:sqref>AD208:AG208 AI208:AL208 AN208:AQ208 AS208:AV208 AX208:BA208 BC208:BF208 BH208:BK208 BM208:BP208 BR208:BU208 BW208:BZ208 CB208:CE208 CG208:CJ208 CL208:CO208 CQ208:CT208 CV208:CY208 DA208:DD208 DF208:DI208 DK208:DN208 DP208:DS208 DU208:DX208 DZ208:EC208 EE208:EH208 EJ208:EM208 EO208:ER208 ET208:EW208 EY208:FB208 FD208:FG208 FI208:FL208 FN208:FQ208 FS208:FV208 FX208:GA208 GC208:GF208 GH208:GK208 GM208:GP208 GR208:GU208 GW208:GZ208 HB208:HE208 HG208:HJ208 HL208:HO208 HQ208:HT208 HV208:HY208 IA208:ID208 IF208:II208 IK208:IN208 IP208:IS208 IU208:IV208</xm:sqref>
        </x14:conditionalFormatting>
        <x14:conditionalFormatting xmlns:xm="http://schemas.microsoft.com/office/excel/2006/main">
          <x14:cfRule type="containsText" priority="9" operator="containsText" id="{4567D20F-91B6-4CD6-A544-0BF8D255906A}">
            <xm:f>NOT(ISERROR(SEARCH("",AC182)))</xm:f>
            <xm:f>""</xm:f>
            <x14:dxf>
              <numFmt numFmtId="3" formatCode="#,##0"/>
              <border>
                <left style="thin">
                  <color auto="1"/>
                </left>
                <right style="thin">
                  <color auto="1"/>
                </right>
                <top style="thin">
                  <color auto="1"/>
                </top>
                <bottom style="thin">
                  <color auto="1"/>
                </bottom>
                <vertical/>
                <horizontal/>
              </border>
            </x14:dxf>
          </x14:cfRule>
          <xm:sqref>AC182:IV182</xm:sqref>
        </x14:conditionalFormatting>
        <x14:conditionalFormatting xmlns:xm="http://schemas.microsoft.com/office/excel/2006/main">
          <x14:cfRule type="containsText" priority="8" operator="containsText" id="{B134DBA2-D20E-41A1-A976-C0EC0251D07B}">
            <xm:f>NOT(ISERROR(SEARCH("",C163)))</xm:f>
            <xm:f>""</xm:f>
            <x14:dxf>
              <numFmt numFmtId="3" formatCode="#,##0"/>
              <border>
                <right style="thin">
                  <color auto="1"/>
                </right>
                <top style="thin">
                  <color auto="1"/>
                </top>
                <bottom style="thin">
                  <color auto="1"/>
                </bottom>
                <vertical/>
                <horizontal/>
              </border>
            </x14:dxf>
          </x14:cfRule>
          <xm:sqref>C163:IV181</xm:sqref>
        </x14:conditionalFormatting>
        <x14:conditionalFormatting xmlns:xm="http://schemas.microsoft.com/office/excel/2006/main">
          <x14:cfRule type="containsText" priority="3" operator="containsText" id="{3CC8FDD1-E9AE-4BDA-9CC8-DEF761F64D3A}">
            <xm:f>NOT(ISERROR(SEARCH("",AD139)))</xm:f>
            <xm:f>""</xm:f>
            <x14:dxf>
              <numFmt numFmtId="3" formatCode="#,##0"/>
              <border>
                <left style="thin">
                  <color auto="1"/>
                </left>
                <right style="thin">
                  <color auto="1"/>
                </right>
                <top style="thin">
                  <color auto="1"/>
                </top>
                <bottom style="thin">
                  <color auto="1"/>
                </bottom>
                <vertical/>
                <horizontal/>
              </border>
            </x14:dxf>
          </x14:cfRule>
          <xm:sqref>AD139:AG139 AI139:AL139 AN139:AQ139 AS139:AV139 AX139:BA139 BC139:BF139 BH139:BK139 BM139:BP139 BR139:BU139 BW139:BZ139 CB139:CE139 CG139:CJ139 CL139:CO139 CQ139:CT139 CV139:CY139 DA139:DD139 DF139:DI139 DK139:DN139 DP139:DS139 DU139:DX139 DZ139:EC139 EE139:EH139 EJ139:EM139 EO139:ER139 ET139:EW139 EY139:FB139 FD139:FG139 FI139:FL139 FN139:FQ139 FS139:FV139 FX139:GA139 GC139:GF139 GH139:GK139 GM139:GP139 GR139:GU139 GW139:GZ139 HB139:HE139 HG139:HJ139 HL139:HO139 HQ139:HT139 HV139:HY139 IA139:ID139 IF139:II139 IK139:IN139 IP139:IS139 IU139:IV139</xm:sqref>
        </x14:conditionalFormatting>
        <x14:conditionalFormatting xmlns:xm="http://schemas.microsoft.com/office/excel/2006/main">
          <x14:cfRule type="containsText" priority="19" operator="containsText" id="{4887D2D6-2458-4DAD-BF0F-06A0BF41779A}">
            <xm:f>NOT(ISERROR(SEARCH("",AD231)))</xm:f>
            <xm:f>""</xm:f>
            <x14:dxf>
              <numFmt numFmtId="3" formatCode="#,##0"/>
              <border>
                <left style="thin">
                  <color auto="1"/>
                </left>
                <right style="thin">
                  <color auto="1"/>
                </right>
                <top style="thin">
                  <color auto="1"/>
                </top>
                <bottom style="thin">
                  <color auto="1"/>
                </bottom>
                <vertical/>
                <horizontal/>
              </border>
            </x14:dxf>
          </x14:cfRule>
          <xm:sqref>AD231:AG231 AI231:AL231 AN231:AQ231 AS231:AV231 AX231:BA231 BC231:BF231 BH231:BK231 BM231:BP231 BR231:BU231 BW231:BZ231 CB231:CE231 CG231:CJ231 CL231:CO231 CQ231:CT231 CV231:CY231 DA231:DD231 DF231:DI231 DK231:DN231 DP231:DS231 DU231:DX231 DZ231:EC231 EE231:EH231 EJ231:EM231 EO231:ER231 ET231:EW231 EY231:FB231 FD231:FG231 FI231:FL231 FN231:FQ231 FS231:FV231 FX231:GA231 GC231:GF231 GH231:GK231 GM231:GP231 GR231:GU231 GW231:GZ231 HB231:HE231 HG231:HJ231 HL231:HO231 HQ231:HT231 HV231:HY231 IA231:ID231 IF231:II231 IK231:IN231 IP231:IS231 IU231:IV231</xm:sqref>
        </x14:conditionalFormatting>
        <x14:conditionalFormatting xmlns:xm="http://schemas.microsoft.com/office/excel/2006/main">
          <x14:cfRule type="containsText" priority="18" operator="containsText" id="{F10DEC65-3450-4295-BAAC-1184949B4017}">
            <xm:f>NOT(ISERROR(SEARCH("",AC231)))</xm:f>
            <xm:f>""</xm:f>
            <x14:dxf>
              <numFmt numFmtId="3" formatCode="#,##0"/>
              <border>
                <left style="thin">
                  <color auto="1"/>
                </left>
                <right style="thin">
                  <color auto="1"/>
                </right>
                <top style="thin">
                  <color auto="1"/>
                </top>
                <bottom style="thin">
                  <color auto="1"/>
                </bottom>
                <vertical/>
                <horizontal/>
              </border>
            </x14:dxf>
          </x14:cfRule>
          <xm:sqref>AC231 AH231 AM231 AR231 AW231 BB231 BG231 BL231 BQ231 BV231 CA231 CF231 CK231 CP231 CU231 CZ231 DE231 DJ231 DO231 DT231 DY231 ED231 EI231 EN231 ES231 EX231 FC231 FH231 FM231 FR231 FW231 GB231 GG231 GL231 GQ231 GV231 HA231 HF231 HK231 HP231 HU231 HZ231 IE231 IJ231 IO231 IT231</xm:sqref>
        </x14:conditionalFormatting>
        <x14:conditionalFormatting xmlns:xm="http://schemas.microsoft.com/office/excel/2006/main">
          <x14:cfRule type="containsText" priority="17" operator="containsText" id="{8C78CD74-0304-41BB-B932-08930945FFF0}">
            <xm:f>NOT(ISERROR(SEARCH("",AC228)))</xm:f>
            <xm:f>""</xm:f>
            <x14:dxf>
              <numFmt numFmtId="3" formatCode="#,##0"/>
              <border>
                <left style="thin">
                  <color auto="1"/>
                </left>
                <right style="thin">
                  <color auto="1"/>
                </right>
                <top style="thin">
                  <color auto="1"/>
                </top>
                <bottom style="thin">
                  <color auto="1"/>
                </bottom>
                <vertical/>
                <horizontal/>
              </border>
            </x14:dxf>
          </x14:cfRule>
          <xm:sqref>AC228:IV228</xm:sqref>
        </x14:conditionalFormatting>
        <x14:conditionalFormatting xmlns:xm="http://schemas.microsoft.com/office/excel/2006/main">
          <x14:cfRule type="containsText" priority="16" operator="containsText" id="{57898A13-869C-4CF9-B04B-0B3A1C036A26}">
            <xm:f>NOT(ISERROR(SEARCH("",C209)))</xm:f>
            <xm:f>""</xm:f>
            <x14:dxf>
              <numFmt numFmtId="3" formatCode="#,##0"/>
              <border>
                <right style="thin">
                  <color auto="1"/>
                </right>
                <top style="thin">
                  <color auto="1"/>
                </top>
                <bottom style="thin">
                  <color auto="1"/>
                </bottom>
                <vertical/>
                <horizontal/>
              </border>
            </x14:dxf>
          </x14:cfRule>
          <xm:sqref>C209:IV227</xm:sqref>
        </x14:conditionalFormatting>
        <x14:conditionalFormatting xmlns:xm="http://schemas.microsoft.com/office/excel/2006/main">
          <x14:cfRule type="containsText" priority="14" operator="containsText" id="{DF5EC995-1C4C-4C59-AF8D-9E53B2F8CFA7}">
            <xm:f>NOT(ISERROR(SEARCH("",AC208)))</xm:f>
            <xm:f>""</xm:f>
            <x14:dxf>
              <numFmt numFmtId="3" formatCode="#,##0"/>
              <border>
                <left style="thin">
                  <color auto="1"/>
                </left>
                <right style="thin">
                  <color auto="1"/>
                </right>
                <top style="thin">
                  <color auto="1"/>
                </top>
                <bottom style="thin">
                  <color auto="1"/>
                </bottom>
                <vertical/>
                <horizontal/>
              </border>
            </x14:dxf>
          </x14:cfRule>
          <xm:sqref>AC208 AH208 AM208 AR208 AW208 BB208 BG208 BL208 BQ208 BV208 CA208 CF208 CK208 CP208 CU208 CZ208 DE208 DJ208 DO208 DT208 DY208 ED208 EI208 EN208 ES208 EX208 FC208 FH208 FM208 FR208 FW208 GB208 GG208 GL208 GQ208 GV208 HA208 HF208 HK208 HP208 HU208 HZ208 IE208 IJ208 IO208 IT208</xm:sqref>
        </x14:conditionalFormatting>
        <x14:conditionalFormatting xmlns:xm="http://schemas.microsoft.com/office/excel/2006/main">
          <x14:cfRule type="containsText" priority="13" operator="containsText" id="{91205B8B-C985-400D-91D9-E66B442F3073}">
            <xm:f>NOT(ISERROR(SEARCH("",AC205)))</xm:f>
            <xm:f>""</xm:f>
            <x14:dxf>
              <numFmt numFmtId="3" formatCode="#,##0"/>
              <border>
                <left style="thin">
                  <color auto="1"/>
                </left>
                <right style="thin">
                  <color auto="1"/>
                </right>
                <top style="thin">
                  <color auto="1"/>
                </top>
                <bottom style="thin">
                  <color auto="1"/>
                </bottom>
                <vertical/>
                <horizontal/>
              </border>
            </x14:dxf>
          </x14:cfRule>
          <xm:sqref>AC205:IV205</xm:sqref>
        </x14:conditionalFormatting>
        <x14:conditionalFormatting xmlns:xm="http://schemas.microsoft.com/office/excel/2006/main">
          <x14:cfRule type="containsText" priority="12" operator="containsText" id="{40CB4749-5EF8-4028-8C64-E0A4C86D3B82}">
            <xm:f>NOT(ISERROR(SEARCH("",C186)))</xm:f>
            <xm:f>""</xm:f>
            <x14:dxf>
              <numFmt numFmtId="3" formatCode="#,##0"/>
              <border>
                <right style="thin">
                  <color auto="1"/>
                </right>
                <top style="thin">
                  <color auto="1"/>
                </top>
                <bottom style="thin">
                  <color auto="1"/>
                </bottom>
                <vertical/>
                <horizontal/>
              </border>
            </x14:dxf>
          </x14:cfRule>
          <xm:sqref>C186:IV204</xm:sqref>
        </x14:conditionalFormatting>
        <x14:conditionalFormatting xmlns:xm="http://schemas.microsoft.com/office/excel/2006/main">
          <x14:cfRule type="containsText" priority="11" operator="containsText" id="{743B880B-1690-4983-833A-1F0C5A93C61A}">
            <xm:f>NOT(ISERROR(SEARCH("",AD185)))</xm:f>
            <xm:f>""</xm:f>
            <x14:dxf>
              <numFmt numFmtId="3" formatCode="#,##0"/>
              <border>
                <left style="thin">
                  <color auto="1"/>
                </left>
                <right style="thin">
                  <color auto="1"/>
                </right>
                <top style="thin">
                  <color auto="1"/>
                </top>
                <bottom style="thin">
                  <color auto="1"/>
                </bottom>
                <vertical/>
                <horizontal/>
              </border>
            </x14:dxf>
          </x14:cfRule>
          <xm:sqref>AD185:AG185 AI185:AL185 AN185:AQ185 AS185:AV185 AX185:BA185 BC185:BF185 BH185:BK185 BM185:BP185 BR185:BU185 BW185:BZ185 CB185:CE185 CG185:CJ185 CL185:CO185 CQ185:CT185 CV185:CY185 DA185:DD185 DF185:DI185 DK185:DN185 DP185:DS185 DU185:DX185 DZ185:EC185 EE185:EH185 EJ185:EM185 EO185:ER185 ET185:EW185 EY185:FB185 FD185:FG185 FI185:FL185 FN185:FQ185 FS185:FV185 FX185:GA185 GC185:GF185 GH185:GK185 GM185:GP185 GR185:GU185 GW185:GZ185 HB185:HE185 HG185:HJ185 HL185:HO185 HQ185:HT185 HV185:HY185 IA185:ID185 IF185:II185 IK185:IN185 IP185:IS185 IU185:IV185</xm:sqref>
        </x14:conditionalFormatting>
        <x14:conditionalFormatting xmlns:xm="http://schemas.microsoft.com/office/excel/2006/main">
          <x14:cfRule type="containsText" priority="10" operator="containsText" id="{F2FC0574-B7EB-4C82-9107-C094C4F6639C}">
            <xm:f>NOT(ISERROR(SEARCH("",AC185)))</xm:f>
            <xm:f>""</xm:f>
            <x14:dxf>
              <numFmt numFmtId="3" formatCode="#,##0"/>
              <border>
                <left style="thin">
                  <color auto="1"/>
                </left>
                <right style="thin">
                  <color auto="1"/>
                </right>
                <top style="thin">
                  <color auto="1"/>
                </top>
                <bottom style="thin">
                  <color auto="1"/>
                </bottom>
                <vertical/>
                <horizontal/>
              </border>
            </x14:dxf>
          </x14:cfRule>
          <xm:sqref>AC185 AH185 AM185 AR185 AW185 BB185 BG185 BL185 BQ185 BV185 CA185 CF185 CK185 CP185 CU185 CZ185 DE185 DJ185 DO185 DT185 DY185 ED185 EI185 EN185 ES185 EX185 FC185 FH185 FM185 FR185 FW185 GB185 GG185 GL185 GQ185 GV185 HA185 HF185 HK185 HP185 HU185 HZ185 IE185 IJ185 IO185 IT185</xm:sqref>
        </x14:conditionalFormatting>
        <x14:conditionalFormatting xmlns:xm="http://schemas.microsoft.com/office/excel/2006/main">
          <x14:cfRule type="containsText" priority="7" operator="containsText" id="{8123769B-C7A1-46EC-9C99-997C5C0A8EC1}">
            <xm:f>NOT(ISERROR(SEARCH("",AD162)))</xm:f>
            <xm:f>""</xm:f>
            <x14:dxf>
              <numFmt numFmtId="3" formatCode="#,##0"/>
              <border>
                <left style="thin">
                  <color auto="1"/>
                </left>
                <right style="thin">
                  <color auto="1"/>
                </right>
                <top style="thin">
                  <color auto="1"/>
                </top>
                <bottom style="thin">
                  <color auto="1"/>
                </bottom>
                <vertical/>
                <horizontal/>
              </border>
            </x14:dxf>
          </x14:cfRule>
          <xm:sqref>AD162:AG162 AI162:AL162 AN162:AQ162 AS162:AV162 AX162:BA162 BC162:BF162 BH162:BK162 BM162:BP162 BR162:BU162 BW162:BZ162 CB162:CE162 CG162:CJ162 CL162:CO162 CQ162:CT162 CV162:CY162 DA162:DD162 DF162:DI162 DK162:DN162 DP162:DS162 DU162:DX162 DZ162:EC162 EE162:EH162 EJ162:EM162 EO162:ER162 ET162:EW162 EY162:FB162 FD162:FG162 FI162:FL162 FN162:FQ162 FS162:FV162 FX162:GA162 GC162:GF162 GH162:GK162 GM162:GP162 GR162:GU162 GW162:GZ162 HB162:HE162 HG162:HJ162 HL162:HO162 HQ162:HT162 HV162:HY162 IA162:ID162 IF162:II162 IK162:IN162 IP162:IS162 IU162:IV162</xm:sqref>
        </x14:conditionalFormatting>
        <x14:conditionalFormatting xmlns:xm="http://schemas.microsoft.com/office/excel/2006/main">
          <x14:cfRule type="containsText" priority="6" operator="containsText" id="{27232A6E-8800-499B-9A01-4D70BABFB9C6}">
            <xm:f>NOT(ISERROR(SEARCH("",AC162)))</xm:f>
            <xm:f>""</xm:f>
            <x14:dxf>
              <numFmt numFmtId="3" formatCode="#,##0"/>
              <border>
                <left style="thin">
                  <color auto="1"/>
                </left>
                <right style="thin">
                  <color auto="1"/>
                </right>
                <top style="thin">
                  <color auto="1"/>
                </top>
                <bottom style="thin">
                  <color auto="1"/>
                </bottom>
                <vertical/>
                <horizontal/>
              </border>
            </x14:dxf>
          </x14:cfRule>
          <xm:sqref>AC162 AH162 AM162 AR162 AW162 BB162 BG162 BL162 BQ162 BV162 CA162 CF162 CK162 CP162 CU162 CZ162 DE162 DJ162 DO162 DT162 DY162 ED162 EI162 EN162 ES162 EX162 FC162 FH162 FM162 FR162 FW162 GB162 GG162 GL162 GQ162 GV162 HA162 HF162 HK162 HP162 HU162 HZ162 IE162 IJ162 IO162 IT162</xm:sqref>
        </x14:conditionalFormatting>
        <x14:conditionalFormatting xmlns:xm="http://schemas.microsoft.com/office/excel/2006/main">
          <x14:cfRule type="containsText" priority="5" operator="containsText" id="{829CF4CC-2DA4-4A49-8AFD-06E4D08CF257}">
            <xm:f>NOT(ISERROR(SEARCH("",AC159)))</xm:f>
            <xm:f>""</xm:f>
            <x14:dxf>
              <numFmt numFmtId="3" formatCode="#,##0"/>
              <border>
                <left style="thin">
                  <color auto="1"/>
                </left>
                <right style="thin">
                  <color auto="1"/>
                </right>
                <top style="thin">
                  <color auto="1"/>
                </top>
                <bottom style="thin">
                  <color auto="1"/>
                </bottom>
                <vertical/>
                <horizontal/>
              </border>
            </x14:dxf>
          </x14:cfRule>
          <xm:sqref>AC159:IV159</xm:sqref>
        </x14:conditionalFormatting>
        <x14:conditionalFormatting xmlns:xm="http://schemas.microsoft.com/office/excel/2006/main">
          <x14:cfRule type="containsText" priority="4" operator="containsText" id="{D3211BC4-57A0-48E8-BE24-DF63E485A831}">
            <xm:f>NOT(ISERROR(SEARCH("",C140)))</xm:f>
            <xm:f>""</xm:f>
            <x14:dxf>
              <numFmt numFmtId="3" formatCode="#,##0"/>
              <border>
                <right style="thin">
                  <color auto="1"/>
                </right>
                <top style="thin">
                  <color auto="1"/>
                </top>
                <bottom style="thin">
                  <color auto="1"/>
                </bottom>
                <vertical/>
                <horizontal/>
              </border>
            </x14:dxf>
          </x14:cfRule>
          <xm:sqref>C140:IV158</xm:sqref>
        </x14:conditionalFormatting>
        <x14:conditionalFormatting xmlns:xm="http://schemas.microsoft.com/office/excel/2006/main">
          <x14:cfRule type="containsText" priority="2" operator="containsText" id="{99FDA681-85F0-4991-A1CC-E30EA302645B}">
            <xm:f>NOT(ISERROR(SEARCH("",AC139)))</xm:f>
            <xm:f>""</xm:f>
            <x14:dxf>
              <numFmt numFmtId="3" formatCode="#,##0"/>
              <border>
                <left style="thin">
                  <color auto="1"/>
                </left>
                <right style="thin">
                  <color auto="1"/>
                </right>
                <top style="thin">
                  <color auto="1"/>
                </top>
                <bottom style="thin">
                  <color auto="1"/>
                </bottom>
                <vertical/>
                <horizontal/>
              </border>
            </x14:dxf>
          </x14:cfRule>
          <xm:sqref>AC139 AH139 AM139 AR139 AW139 BB139 BG139 BL139 BQ139 BV139 CA139 CF139 CK139 CP139 CU139 CZ139 DE139 DJ139 DO139 DT139 DY139 ED139 EI139 EN139 ES139 EX139 FC139 FH139 FM139 FR139 FW139 GB139 GG139 GL139 GQ139 GV139 HA139 HF139 HK139 HP139 HU139 HZ139 IE139 IJ139 IO139 IT139</xm:sqref>
        </x14:conditionalFormatting>
        <x14:conditionalFormatting xmlns:xm="http://schemas.microsoft.com/office/excel/2006/main">
          <x14:cfRule type="containsText" priority="1" operator="containsText" id="{0A7683C5-A051-43CD-B9BB-AA56FDA3F54D}">
            <xm:f>NOT(ISERROR(SEARCH("",C253)))</xm:f>
            <xm:f>""</xm:f>
            <x14:dxf>
              <numFmt numFmtId="3" formatCode="#,##0"/>
              <border>
                <right style="thin">
                  <color auto="1"/>
                </right>
                <top style="thin">
                  <color auto="1"/>
                </top>
                <bottom style="thin">
                  <color auto="1"/>
                </bottom>
                <vertical/>
                <horizontal/>
              </border>
            </x14:dxf>
          </x14:cfRule>
          <xm:sqref>C253:C271</xm:sqref>
        </x14:conditionalFormatting>
      </x14:conditionalFormatting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mc:Ignorable="x14ac xr">
  <sheetPr codeName="Hoja15">
    <tabColor indexed="47"/>
  </sheetPr>
  <dimension ref="A1:IV269"/>
  <sheetViews>
    <sheetView showGridLines="0" view="pageBreakPreview" zoomScale="85" zoomScaleNormal="100" workbookViewId="0">
      <pane ySplit="9" topLeftCell="A10" activePane="bottomLeft" state="frozen"/>
      <selection pane="bottomLeft" activeCell="A7" sqref="A7"/>
    </sheetView>
  </sheetViews>
  <sheetFormatPr baseColWidth="10" defaultRowHeight="12.75"/>
  <cols>
    <col min="1" max="1" width="7.7109375" customWidth="1" style="51"/>
    <col min="2" max="2" width="16.5703125" customWidth="1" style="51"/>
    <col min="3" max="3" bestFit="1" width="12.28515625" customWidth="1" style="51"/>
    <col min="4" max="5" width="11.140625" customWidth="1" style="51"/>
    <col min="6" max="6" width="10.85546875" customWidth="1" style="51"/>
    <col min="7" max="7" width="10.7109375" customWidth="1" style="51"/>
    <col min="8" max="8" width="11.140625" customWidth="1" style="51"/>
    <col min="9" max="9" width="11.42578125" customWidth="1" style="51"/>
    <col min="10" max="10" width="11" customWidth="1" style="51"/>
    <col min="11" max="11" width="11.140625" customWidth="1" style="51"/>
    <col min="12" max="12" width="9.7109375" customWidth="1" style="51"/>
    <col min="13" max="13" width="11.7109375" customWidth="1" style="51"/>
    <col min="14" max="14" width="11.5703125" customWidth="1" style="51"/>
    <col min="15" max="15" width="10.140625" customWidth="1" style="51"/>
    <col min="16" max="16" width="11.28515625" customWidth="1" style="51"/>
    <col min="17" max="16384" width="11.42578125" customWidth="1" style="51"/>
  </cols>
  <sheetData>
    <row r="1">
      <c r="A1" s="46"/>
      <c r="B1" s="47"/>
      <c r="C1" s="47"/>
      <c r="D1" s="47"/>
      <c r="E1" s="47"/>
      <c r="F1" s="47"/>
      <c r="G1" s="47"/>
      <c r="H1" s="47"/>
      <c r="I1" s="47"/>
      <c r="J1" s="47"/>
      <c r="K1" s="47"/>
      <c r="L1" s="47"/>
      <c r="M1" s="47"/>
      <c r="N1" s="47"/>
      <c r="O1" s="47"/>
      <c r="P1" s="48"/>
    </row>
    <row r="2">
      <c r="A2" s="52"/>
      <c r="B2" s="49"/>
      <c r="C2" s="49"/>
      <c r="D2" s="49"/>
      <c r="E2" s="49"/>
      <c r="F2" s="49"/>
      <c r="G2" s="49"/>
      <c r="H2" s="49"/>
      <c r="I2" s="49"/>
      <c r="J2" s="49"/>
      <c r="K2" s="49"/>
      <c r="L2" s="49"/>
      <c r="M2" s="49"/>
      <c r="N2" s="49"/>
      <c r="O2" s="49"/>
      <c r="P2" s="53"/>
    </row>
    <row r="3">
      <c r="A3" s="52"/>
      <c r="B3" s="49"/>
      <c r="C3" s="49"/>
      <c r="D3" s="49"/>
      <c r="E3" s="49"/>
      <c r="F3" s="49"/>
      <c r="G3" s="49"/>
      <c r="H3" s="49"/>
      <c r="I3" s="49"/>
      <c r="J3" s="49"/>
      <c r="K3" s="49"/>
      <c r="L3" s="49"/>
      <c r="M3" s="49"/>
      <c r="N3" s="49"/>
      <c r="O3" s="49"/>
      <c r="P3" s="53"/>
    </row>
    <row r="4">
      <c r="A4" s="52"/>
      <c r="B4" s="49"/>
      <c r="C4" s="49"/>
      <c r="D4" s="49"/>
      <c r="E4" s="49"/>
      <c r="F4" s="49"/>
      <c r="G4" s="49"/>
      <c r="H4" s="49"/>
      <c r="I4" s="49"/>
      <c r="J4" s="49"/>
      <c r="K4" s="49"/>
      <c r="L4" s="49"/>
      <c r="M4" s="49"/>
      <c r="N4" s="49"/>
      <c r="O4" s="49"/>
      <c r="P4" s="53"/>
    </row>
    <row r="5">
      <c r="A5" s="52"/>
      <c r="B5" s="49"/>
      <c r="C5" s="49"/>
      <c r="D5" s="49"/>
      <c r="E5" s="49"/>
      <c r="F5" s="49"/>
      <c r="G5" s="49"/>
      <c r="H5" s="49"/>
      <c r="I5" s="49"/>
      <c r="J5" s="49"/>
      <c r="K5" s="49"/>
      <c r="L5" s="49"/>
      <c r="M5" s="49"/>
      <c r="N5" s="49"/>
      <c r="O5" s="49"/>
      <c r="P5" s="53"/>
    </row>
    <row r="6" ht="13.5">
      <c r="A6" s="54"/>
      <c r="B6" s="55"/>
      <c r="C6" s="55"/>
      <c r="D6" s="55"/>
      <c r="E6" s="55"/>
      <c r="F6" s="55"/>
      <c r="G6" s="55"/>
      <c r="H6" s="55"/>
      <c r="I6" s="55"/>
      <c r="J6" s="55"/>
      <c r="K6" s="55"/>
      <c r="L6" s="55"/>
      <c r="M6" s="55"/>
      <c r="N6" s="55"/>
      <c r="O6" s="55"/>
      <c r="P6" s="56"/>
    </row>
    <row r="7" s="57" customFormat="1">
      <c r="P7" s="51"/>
      <c r="Q7" s="51"/>
      <c r="R7" s="51"/>
      <c r="S7" s="51"/>
    </row>
    <row r="8">
      <c r="F8" s="131">
        <v>20</v>
      </c>
      <c r="J8" s="51" t="s">
        <v>100</v>
      </c>
      <c r="K8" s="51" t="e">
        <f>LOOKUP(AUX!$E$10,AUX!$B:$B,AUX!$A:$A)</f>
        <v>#N/A</v>
      </c>
    </row>
    <row r="9">
      <c r="B9" s="597" t="s">
        <v>101</v>
      </c>
      <c r="C9" s="597"/>
      <c r="D9" s="597"/>
      <c r="E9" s="597"/>
      <c r="J9" s="51" t="s">
        <v>1</v>
      </c>
      <c r="K9" s="51" t="str">
        <f>LOOKUP(AUX!$E$11,AUX!$E1:$E5,AUX!$D1:$D5)</f>
        <v>6 meses</v>
      </c>
    </row>
    <row r="13" ht="13.5"/>
    <row r="14" ht="15.75">
      <c r="C14" s="695" t="s">
        <v>96</v>
      </c>
      <c r="D14" s="696"/>
      <c r="E14" s="696"/>
      <c r="F14" s="696"/>
      <c r="G14" s="696"/>
      <c r="H14" s="696"/>
      <c r="I14" s="696"/>
      <c r="J14" s="696"/>
      <c r="K14" s="696"/>
      <c r="L14" s="696"/>
      <c r="M14" s="697"/>
    </row>
    <row r="15" ht="16.5" customHeight="1">
      <c r="B15" s="310"/>
      <c r="C15" s="698" t="s">
        <v>182</v>
      </c>
      <c r="D15" s="699"/>
      <c r="E15" s="699"/>
      <c r="F15" s="699"/>
      <c r="G15" s="699"/>
      <c r="H15" s="699"/>
      <c r="I15" s="699"/>
      <c r="J15" s="699"/>
      <c r="K15" s="699"/>
      <c r="L15" s="699"/>
      <c r="M15" s="700"/>
      <c r="N15" s="285"/>
      <c r="O15" s="285"/>
    </row>
    <row r="16">
      <c r="C16" s="141"/>
      <c r="D16" s="142"/>
      <c r="E16" s="142"/>
      <c r="F16" s="142"/>
      <c r="G16" s="142"/>
      <c r="H16" s="142"/>
      <c r="I16" s="142"/>
      <c r="J16" s="142"/>
      <c r="K16" s="142"/>
      <c r="L16" s="142"/>
      <c r="M16" s="143"/>
    </row>
    <row r="17" ht="15.75" customHeight="1">
      <c r="B17" s="209"/>
      <c r="C17" s="145" t="e">
        <f>INDEX(AUX!$G$1:$IV$1,1,AUX!$E$10+(AUX!$E$11*AUX!G$2))</f>
        <v>#VALUE!</v>
      </c>
      <c r="D17" s="146">
        <f>INDEX(AUX!$G$1:$IV$1,1,AUX!$E$10+(AUX!$E$11*AUX!H$2))</f>
        <v>38899</v>
      </c>
      <c r="E17" s="146">
        <f>INDEX(AUX!$G$1:$IV$1,1,AUX!$E$10+(AUX!$E$11*AUX!I$2))</f>
        <v>39083</v>
      </c>
      <c r="F17" s="146">
        <f>INDEX(AUX!$G$1:$IV$1,1,AUX!$E$10+(AUX!$E$11*AUX!J$2))</f>
        <v>39264</v>
      </c>
      <c r="G17" s="146">
        <f>INDEX(AUX!$G$1:$IV$1,1,AUX!$E$10+(AUX!$E$11*AUX!K$2))</f>
        <v>39448</v>
      </c>
      <c r="H17" s="146">
        <f>INDEX(AUX!$G$1:$IV$1,1,AUX!$E$10+(AUX!$E$11*AUX!L$2))</f>
        <v>39630</v>
      </c>
      <c r="I17" s="146">
        <f>INDEX(AUX!$G$1:$IV$1,1,AUX!$E$10+(AUX!$E$11*AUX!M$2))</f>
        <v>39814</v>
      </c>
      <c r="J17" s="146">
        <f>INDEX(AUX!$G$1:$IV$1,1,AUX!$E$10+(AUX!$E$11*AUX!N$2))</f>
        <v>39995</v>
      </c>
      <c r="K17" s="146">
        <f>INDEX(AUX!$G$1:$IV$1,1,AUX!$E$10+(AUX!$E$11*AUX!O$2))</f>
        <v>40179</v>
      </c>
      <c r="L17" s="146">
        <f>INDEX(AUX!$G$1:$IV$1,1,AUX!$E$10+(AUX!$E$11*AUX!P$2))</f>
        <v>40360</v>
      </c>
      <c r="M17" s="147">
        <f>INDEX(AUX!$G$1:$IV$1,1,AUX!$E$10+(AUX!$E$11*AUX!Q$2))</f>
        <v>40544</v>
      </c>
      <c r="N17" s="287"/>
      <c r="O17" s="287"/>
    </row>
    <row r="18" ht="15.75" customHeight="1">
      <c r="B18" s="288"/>
      <c r="C18" s="703" t="s">
        <v>194</v>
      </c>
      <c r="D18" s="704"/>
      <c r="E18" s="704"/>
      <c r="F18" s="704"/>
      <c r="G18" s="704"/>
      <c r="H18" s="704"/>
      <c r="I18" s="704"/>
      <c r="J18" s="704"/>
      <c r="K18" s="704"/>
      <c r="L18" s="704"/>
      <c r="M18" s="705"/>
      <c r="N18" s="287"/>
      <c r="O18" s="287"/>
    </row>
    <row r="19" ht="15.75" customHeight="1">
      <c r="B19" s="233" t="str">
        <f>INDEX($B$120:$H$139,$F$8,1)</f>
        <v>Total</v>
      </c>
      <c r="C19" s="289" t="str">
        <f>IF(INDEX($C$120:$II$139,$F$8,AUX!$E$10+(AUX!$E$11*AUX!G$2))="","--",INDEX($C$120:$II$139,$F$8,AUX!$E$10+(AUX!$E$11*AUX!G$2)))</f>
        <v>--</v>
      </c>
      <c r="D19" s="290" t="str">
        <f>IF(INDEX($C$120:$II$139,$F$8,AUX!$E$10+(AUX!$E$11*AUX!H$2))="","--",INDEX($C$120:$II$139,$F$8,AUX!$E$10+(AUX!$E$11*AUX!H$2)))</f>
        <v>--</v>
      </c>
      <c r="E19" s="290" t="str">
        <f>IF(INDEX($C$120:$II$139,$F$8,AUX!$E$10+(AUX!$E$11*AUX!I$2))="","--",INDEX($C$120:$II$139,$F$8,AUX!$E$10+(AUX!$E$11*AUX!I$2)))</f>
        <v>--</v>
      </c>
      <c r="F19" s="290" t="str">
        <f>IF(INDEX($C$120:$II$139,$F$8,AUX!$E$10+(AUX!$E$11*AUX!J$2))="","--",INDEX($C$120:$II$139,$F$8,AUX!$E$10+(AUX!$E$11*AUX!J$2)))</f>
        <v>--</v>
      </c>
      <c r="G19" s="290" t="str">
        <f>IF(INDEX($C$120:$II$139,$F$8,AUX!$E$10+(AUX!$E$11*AUX!K$2))="","--",INDEX($C$120:$II$139,$F$8,AUX!$E$10+(AUX!$E$11*AUX!K$2)))</f>
        <v>--</v>
      </c>
      <c r="H19" s="290" t="str">
        <f>IF(INDEX($C$120:$II$139,$F$8,AUX!$E$10+(AUX!$E$11*AUX!L$2))="","--",INDEX($C$120:$II$139,$F$8,AUX!$E$10+(AUX!$E$11*AUX!L$2)))</f>
        <v>--</v>
      </c>
      <c r="I19" s="290" t="str">
        <f>IF(INDEX($C$120:$II$139,$F$8,AUX!$E$10+(AUX!$E$11*AUX!M$2))="","--",INDEX($C$120:$II$139,$F$8,AUX!$E$10+(AUX!$E$11*AUX!M$2)))</f>
        <v>--</v>
      </c>
      <c r="J19" s="290" t="str">
        <f>IF(INDEX($C$120:$II$139,$F$8,AUX!$E$10+(AUX!$E$11*AUX!N$2))="","--",INDEX($C$120:$II$139,$F$8,AUX!$E$10+(AUX!$E$11*AUX!N$2)))</f>
        <v>--</v>
      </c>
      <c r="K19" s="290" t="str">
        <f>IF(INDEX($C$120:$II$139,$F$8,AUX!$E$10+(AUX!$E$11*AUX!O$2))="","--",INDEX($C$120:$II$139,$F$8,AUX!$E$10+(AUX!$E$11*AUX!O$2)))</f>
        <v>--</v>
      </c>
      <c r="L19" s="290" t="str">
        <f>IF(INDEX($C$120:$II$139,$F$8,AUX!$E$10+(AUX!$E$11*AUX!P$2))="","--",INDEX($C$120:$II$139,$F$8,AUX!$E$10+(AUX!$E$11*AUX!P$2)))</f>
        <v>--</v>
      </c>
      <c r="M19" s="291" t="str">
        <f>IF(INDEX($C$120:$II$139,$F$8,AUX!$E$10+(AUX!$E$11*AUX!Q$2))="","--",INDEX($C$120:$II$139,$F$8,AUX!$E$10+(AUX!$E$11*AUX!Q$2)))</f>
        <v>--</v>
      </c>
      <c r="N19" s="287"/>
    </row>
    <row r="20" ht="15.75" customHeight="1">
      <c r="B20" s="209"/>
      <c r="C20" s="703" t="s">
        <v>239</v>
      </c>
      <c r="D20" s="704"/>
      <c r="E20" s="704"/>
      <c r="F20" s="704"/>
      <c r="G20" s="704"/>
      <c r="H20" s="704"/>
      <c r="I20" s="704"/>
      <c r="J20" s="704"/>
      <c r="K20" s="704"/>
      <c r="L20" s="704"/>
      <c r="M20" s="705"/>
      <c r="N20" s="287"/>
      <c r="O20" s="287"/>
    </row>
    <row r="21" ht="15.75" customHeight="1">
      <c r="B21" s="209"/>
      <c r="C21" s="289" t="str">
        <f>IF(INDEX($C$144:$II$163,$F$8,AUX!$E$10+(AUX!$E$11*AUX!G$2))="","--",INDEX($C$144:$II$163,$F$8,AUX!$E$10+(AUX!$E$11*AUX!G$2)))</f>
        <v>--</v>
      </c>
      <c r="D21" s="290" t="str">
        <f>IF(INDEX($C$144:$II$163,$F$8,AUX!$E$10+(AUX!$E$11*AUX!H$2))="","--",INDEX($C$144:$II$163,$F$8,AUX!$E$10+(AUX!$E$11*AUX!H$2)))</f>
        <v>--</v>
      </c>
      <c r="E21" s="290" t="str">
        <f>IF(INDEX($C$144:$II$163,$F$8,AUX!$E$10+(AUX!$E$11*AUX!I$2))="","--",INDEX($C$144:$II$163,$F$8,AUX!$E$10+(AUX!$E$11*AUX!I$2)))</f>
        <v>--</v>
      </c>
      <c r="F21" s="290" t="str">
        <f>IF(INDEX($C$144:$II$163,$F$8,AUX!$E$10+(AUX!$E$11*AUX!J$2))="","--",INDEX($C$144:$II$163,$F$8,AUX!$E$10+(AUX!$E$11*AUX!J$2)))</f>
        <v>--</v>
      </c>
      <c r="G21" s="290" t="str">
        <f>IF(INDEX($C$144:$II$163,$F$8,AUX!$E$10+(AUX!$E$11*AUX!K$2))="","--",INDEX($C$144:$II$163,$F$8,AUX!$E$10+(AUX!$E$11*AUX!K$2)))</f>
        <v>--</v>
      </c>
      <c r="H21" s="290" t="str">
        <f>IF(INDEX($C$144:$II$163,$F$8,AUX!$E$10+(AUX!$E$11*AUX!L$2))="","--",INDEX($C$144:$II$163,$F$8,AUX!$E$10+(AUX!$E$11*AUX!L$2)))</f>
        <v>--</v>
      </c>
      <c r="I21" s="290" t="str">
        <f>IF(INDEX($C$144:$II$163,$F$8,AUX!$E$10+(AUX!$E$11*AUX!M$2))="","--",INDEX($C$144:$II$163,$F$8,AUX!$E$10+(AUX!$E$11*AUX!M$2)))</f>
        <v>--</v>
      </c>
      <c r="J21" s="290" t="str">
        <f>IF(INDEX($C$144:$II$163,$F$8,AUX!$E$10+(AUX!$E$11*AUX!N$2))="","--",INDEX($C$144:$II$163,$F$8,AUX!$E$10+(AUX!$E$11*AUX!N$2)))</f>
        <v>--</v>
      </c>
      <c r="K21" s="290" t="str">
        <f>IF(INDEX($C$144:$II$163,$F$8,AUX!$E$10+(AUX!$E$11*AUX!O$2))="","--",INDEX($C$144:$II$163,$F$8,AUX!$E$10+(AUX!$E$11*AUX!O$2)))</f>
        <v>--</v>
      </c>
      <c r="L21" s="290" t="str">
        <f>IF(INDEX($C$144:$II$163,$F$8,AUX!$E$10+(AUX!$E$11*AUX!P$2))="","--",INDEX($C$144:$II$163,$F$8,AUX!$E$10+(AUX!$E$11*AUX!P$2)))</f>
        <v>--</v>
      </c>
      <c r="M21" s="291" t="str">
        <f>IF(INDEX($C$144:$II$163,$F$8,AUX!$E$10+(AUX!$E$11*AUX!Q$2))="","--",INDEX($C$144:$II$163,$F$8,AUX!$E$10+(AUX!$E$11*AUX!Q$2)))</f>
        <v>--</v>
      </c>
      <c r="N21" s="287"/>
    </row>
    <row r="22" ht="15.75" customHeight="1">
      <c r="B22" s="209"/>
      <c r="C22" s="703" t="s">
        <v>240</v>
      </c>
      <c r="D22" s="704"/>
      <c r="E22" s="704"/>
      <c r="F22" s="704"/>
      <c r="G22" s="704"/>
      <c r="H22" s="704"/>
      <c r="I22" s="704"/>
      <c r="J22" s="704"/>
      <c r="K22" s="704"/>
      <c r="L22" s="704"/>
      <c r="M22" s="705"/>
    </row>
    <row r="23" ht="15.75" customHeight="1">
      <c r="B23" s="209"/>
      <c r="C23" s="289" t="str">
        <f>IF(INDEX($C$168:$II$187,$F$8,AUX!$E$10+(AUX!$E$11*AUX!G$2))="","--",INDEX($C$168:$II$187,$F$8,AUX!$E$10+(AUX!$E$11*AUX!G$2)))</f>
        <v>--</v>
      </c>
      <c r="D23" s="290" t="str">
        <f>IF(INDEX($C$168:$II$187,$F$8,AUX!$E$10+(AUX!$E$11*AUX!H$2))="","--",INDEX($C$168:$II$187,$F$8,AUX!$E$10+(AUX!$E$11*AUX!H$2)))</f>
        <v>--</v>
      </c>
      <c r="E23" s="290" t="str">
        <f>IF(INDEX($C$168:$II$187,$F$8,AUX!$E$10+(AUX!$E$11*AUX!I$2))="","--",INDEX($C$168:$II$187,$F$8,AUX!$E$10+(AUX!$E$11*AUX!I$2)))</f>
        <v>--</v>
      </c>
      <c r="F23" s="290" t="str">
        <f>IF(INDEX($C$168:$II$187,$F$8,AUX!$E$10+(AUX!$E$11*AUX!J$2))="","--",INDEX($C$168:$II$187,$F$8,AUX!$E$10+(AUX!$E$11*AUX!J$2)))</f>
        <v>--</v>
      </c>
      <c r="G23" s="290" t="str">
        <f>IF(INDEX($C$168:$II$187,$F$8,AUX!$E$10+(AUX!$E$11*AUX!K$2))="","--",INDEX($C$168:$II$187,$F$8,AUX!$E$10+(AUX!$E$11*AUX!K$2)))</f>
        <v>--</v>
      </c>
      <c r="H23" s="290" t="str">
        <f>IF(INDEX($C$168:$II$187,$F$8,AUX!$E$10+(AUX!$E$11*AUX!L$2))="","--",INDEX($C$168:$II$187,$F$8,AUX!$E$10+(AUX!$E$11*AUX!L$2)))</f>
        <v>--</v>
      </c>
      <c r="I23" s="290" t="str">
        <f>IF(INDEX($C$168:$II$187,$F$8,AUX!$E$10+(AUX!$E$11*AUX!M$2))="","--",INDEX($C$168:$II$187,$F$8,AUX!$E$10+(AUX!$E$11*AUX!M$2)))</f>
        <v>--</v>
      </c>
      <c r="J23" s="290" t="str">
        <f>IF(INDEX($C$168:$II$187,$F$8,AUX!$E$10+(AUX!$E$11*AUX!N$2))="","--",INDEX($C$168:$II$187,$F$8,AUX!$E$10+(AUX!$E$11*AUX!N$2)))</f>
        <v>--</v>
      </c>
      <c r="K23" s="290" t="str">
        <f>IF(INDEX($C$168:$II$187,$F$8,AUX!$E$10+(AUX!$E$11*AUX!O$2))="","--",INDEX($C$168:$II$187,$F$8,AUX!$E$10+(AUX!$E$11*AUX!O$2)))</f>
        <v>--</v>
      </c>
      <c r="L23" s="290" t="str">
        <f>IF(INDEX($C$168:$II$187,$F$8,AUX!$E$10+(AUX!$E$11*AUX!P$2))="","--",INDEX($C$168:$II$187,$F$8,AUX!$E$10+(AUX!$E$11*AUX!P$2)))</f>
        <v>--</v>
      </c>
      <c r="M23" s="291" t="str">
        <f>IF(INDEX($C$168:$II$187,$F$8,AUX!$E$10+(AUX!$E$11*AUX!Q$2))="","--",INDEX($C$168:$II$187,$F$8,AUX!$E$10+(AUX!$E$11*AUX!Q$2)))</f>
        <v>--</v>
      </c>
    </row>
    <row r="24" ht="15.75" customHeight="1">
      <c r="B24" s="209"/>
      <c r="C24" s="703" t="s">
        <v>241</v>
      </c>
      <c r="D24" s="704"/>
      <c r="E24" s="704"/>
      <c r="F24" s="704"/>
      <c r="G24" s="704"/>
      <c r="H24" s="704"/>
      <c r="I24" s="704"/>
      <c r="J24" s="704"/>
      <c r="K24" s="704"/>
      <c r="L24" s="704"/>
      <c r="M24" s="705"/>
    </row>
    <row r="25" ht="15.75" customHeight="1">
      <c r="B25" s="209"/>
      <c r="C25" s="289" t="str">
        <f>IF(INDEX($C$192:$II$211,$F$8,AUX!$E$10+(AUX!$E$11*AUX!G$2))="","--",INDEX($C$192:$II$211,$F$8,AUX!$E$10+(AUX!$E$11*AUX!G$2)))</f>
        <v>--</v>
      </c>
      <c r="D25" s="290" t="str">
        <f>IF(INDEX($C$192:$II$211,$F$8,AUX!$E$10+(AUX!$E$11*AUX!H$2))="","--",INDEX($C$192:$II$211,$F$8,AUX!$E$10+(AUX!$E$11*AUX!H$2)))</f>
        <v>--</v>
      </c>
      <c r="E25" s="290" t="str">
        <f>IF(INDEX($C$192:$II$211,$F$8,AUX!$E$10+(AUX!$E$11*AUX!I$2))="","--",INDEX($C$192:$II$211,$F$8,AUX!$E$10+(AUX!$E$11*AUX!I$2)))</f>
        <v>--</v>
      </c>
      <c r="F25" s="290" t="str">
        <f>IF(INDEX($C$192:$II$211,$F$8,AUX!$E$10+(AUX!$E$11*AUX!J$2))="","--",INDEX($C$192:$II$211,$F$8,AUX!$E$10+(AUX!$E$11*AUX!J$2)))</f>
        <v>--</v>
      </c>
      <c r="G25" s="290" t="str">
        <f>IF(INDEX($C$192:$II$211,$F$8,AUX!$E$10+(AUX!$E$11*AUX!K$2))="","--",INDEX($C$192:$II$211,$F$8,AUX!$E$10+(AUX!$E$11*AUX!K$2)))</f>
        <v>--</v>
      </c>
      <c r="H25" s="290" t="str">
        <f>IF(INDEX($C$192:$II$211,$F$8,AUX!$E$10+(AUX!$E$11*AUX!L$2))="","--",INDEX($C$192:$II$211,$F$8,AUX!$E$10+(AUX!$E$11*AUX!L$2)))</f>
        <v>--</v>
      </c>
      <c r="I25" s="290" t="str">
        <f>IF(INDEX($C$192:$II$211,$F$8,AUX!$E$10+(AUX!$E$11*AUX!M$2))="","--",INDEX($C$192:$II$211,$F$8,AUX!$E$10+(AUX!$E$11*AUX!M$2)))</f>
        <v>--</v>
      </c>
      <c r="J25" s="290" t="str">
        <f>IF(INDEX($C$192:$II$211,$F$8,AUX!$E$10+(AUX!$E$11*AUX!N$2))="","--",INDEX($C$192:$II$211,$F$8,AUX!$E$10+(AUX!$E$11*AUX!N$2)))</f>
        <v>--</v>
      </c>
      <c r="K25" s="290" t="str">
        <f>IF(INDEX($C$192:$II$211,$F$8,AUX!$E$10+(AUX!$E$11*AUX!O$2))="","--",INDEX($C$192:$II$211,$F$8,AUX!$E$10+(AUX!$E$11*AUX!O$2)))</f>
        <v>--</v>
      </c>
      <c r="L25" s="290" t="str">
        <f>IF(INDEX($C$192:$II$211,$F$8,AUX!$E$10+(AUX!$E$11*AUX!P$2))="","--",INDEX($C$192:$II$211,$F$8,AUX!$E$10+(AUX!$E$11*AUX!P$2)))</f>
        <v>--</v>
      </c>
      <c r="M25" s="291" t="str">
        <f>IF(INDEX($C$192:$II$211,$F$8,AUX!$E$10+(AUX!$E$11*AUX!Q$2))="","--",INDEX($C$192:$II$211,$F$8,AUX!$E$10+(AUX!$E$11*AUX!Q$2)))</f>
        <v>--</v>
      </c>
    </row>
    <row r="26" ht="15.75" customHeight="1">
      <c r="B26" s="209"/>
      <c r="C26" s="703" t="s">
        <v>204</v>
      </c>
      <c r="D26" s="704"/>
      <c r="E26" s="704"/>
      <c r="F26" s="704"/>
      <c r="G26" s="704"/>
      <c r="H26" s="704"/>
      <c r="I26" s="704"/>
      <c r="J26" s="704"/>
      <c r="K26" s="704"/>
      <c r="L26" s="704"/>
      <c r="M26" s="705"/>
    </row>
    <row r="27" ht="15.75" customHeight="1">
      <c r="B27" s="209"/>
      <c r="C27" s="289" t="str">
        <f>IF(INDEX($C$216:$II$235,$F$8,AUX!$E$10+(AUX!$E$11*AUX!G$2))="","--",INDEX($C$216:$II$235,$F$8,AUX!$E$10+(AUX!$E$11*AUX!G$2)))</f>
        <v>--</v>
      </c>
      <c r="D27" s="290" t="str">
        <f>IF(INDEX($C$216:$II$235,$F$8,AUX!$E$10+(AUX!$E$11*AUX!H$2))="","--",INDEX($C$216:$II$235,$F$8,AUX!$E$10+(AUX!$E$11*AUX!H$2)))</f>
        <v>--</v>
      </c>
      <c r="E27" s="290" t="str">
        <f>IF(INDEX($C$216:$II$235,$F$8,AUX!$E$10+(AUX!$E$11*AUX!I$2))="","--",INDEX($C$216:$II$235,$F$8,AUX!$E$10+(AUX!$E$11*AUX!I$2)))</f>
        <v>--</v>
      </c>
      <c r="F27" s="290" t="str">
        <f>IF(INDEX($C$216:$II$235,$F$8,AUX!$E$10+(AUX!$E$11*AUX!J$2))="","--",INDEX($C$216:$II$235,$F$8,AUX!$E$10+(AUX!$E$11*AUX!J$2)))</f>
        <v>--</v>
      </c>
      <c r="G27" s="290" t="str">
        <f>IF(INDEX($C$216:$II$235,$F$8,AUX!$E$10+(AUX!$E$11*AUX!K$2))="","--",INDEX($C$216:$II$235,$F$8,AUX!$E$10+(AUX!$E$11*AUX!K$2)))</f>
        <v>--</v>
      </c>
      <c r="H27" s="290" t="str">
        <f>IF(INDEX($C$216:$II$235,$F$8,AUX!$E$10+(AUX!$E$11*AUX!L$2))="","--",INDEX($C$216:$II$235,$F$8,AUX!$E$10+(AUX!$E$11*AUX!L$2)))</f>
        <v>--</v>
      </c>
      <c r="I27" s="290" t="str">
        <f>IF(INDEX($C$216:$II$235,$F$8,AUX!$E$10+(AUX!$E$11*AUX!M$2))="","--",INDEX($C$216:$II$235,$F$8,AUX!$E$10+(AUX!$E$11*AUX!M$2)))</f>
        <v>--</v>
      </c>
      <c r="J27" s="290" t="str">
        <f>IF(INDEX($C$216:$II$235,$F$8,AUX!$E$10+(AUX!$E$11*AUX!N$2))="","--",INDEX($C$216:$II$235,$F$8,AUX!$E$10+(AUX!$E$11*AUX!N$2)))</f>
        <v>--</v>
      </c>
      <c r="K27" s="290" t="str">
        <f>IF(INDEX($C$216:$II$235,$F$8,AUX!$E$10+(AUX!$E$11*AUX!O$2))="","--",INDEX($C$216:$II$235,$F$8,AUX!$E$10+(AUX!$E$11*AUX!O$2)))</f>
        <v>--</v>
      </c>
      <c r="L27" s="290" t="str">
        <f>IF(INDEX($C$216:$II$235,$F$8,AUX!$E$10+(AUX!$E$11*AUX!P$2))="","--",INDEX($C$216:$II$235,$F$8,AUX!$E$10+(AUX!$E$11*AUX!P$2)))</f>
        <v>--</v>
      </c>
      <c r="M27" s="291" t="str">
        <f>IF(INDEX($C$216:$II$235,$F$8,AUX!$E$10+(AUX!$E$11*AUX!Q$2))="","--",INDEX($C$216:$II$235,$F$8,AUX!$E$10+(AUX!$E$11*AUX!Q$2)))</f>
        <v>--</v>
      </c>
    </row>
    <row r="28" ht="15.75" customHeight="1">
      <c r="B28" s="209"/>
      <c r="C28" s="703" t="s">
        <v>205</v>
      </c>
      <c r="D28" s="704"/>
      <c r="E28" s="704"/>
      <c r="F28" s="704"/>
      <c r="G28" s="704"/>
      <c r="H28" s="704"/>
      <c r="I28" s="704"/>
      <c r="J28" s="704"/>
      <c r="K28" s="704"/>
      <c r="L28" s="704"/>
      <c r="M28" s="705"/>
    </row>
    <row r="29" ht="15.75" customHeight="1">
      <c r="B29" s="209"/>
      <c r="C29" s="292" t="str">
        <f>IF(INDEX($C$240:$II$259,$F$8,AUX!$E$10+(AUX!$E$11*AUX!G$2))="","--",INDEX($C$240:$II$259,$F$8,AUX!$E$10+(AUX!$E$11*AUX!G$2)))</f>
        <v>--</v>
      </c>
      <c r="D29" s="293" t="str">
        <f>IF(INDEX($C$240:$II$259,$F$8,AUX!$E$10+(AUX!$E$11*AUX!H$2))="","--",INDEX($C$240:$II$259,$F$8,AUX!$E$10+(AUX!$E$11*AUX!H$2)))</f>
        <v>--</v>
      </c>
      <c r="E29" s="293" t="str">
        <f>IF(INDEX($C$240:$II$259,$F$8,AUX!$E$10+(AUX!$E$11*AUX!I$2))="","--",INDEX($C$240:$II$259,$F$8,AUX!$E$10+(AUX!$E$11*AUX!I$2)))</f>
        <v>--</v>
      </c>
      <c r="F29" s="293" t="str">
        <f>IF(INDEX($C$240:$II$259,$F$8,AUX!$E$10+(AUX!$E$11*AUX!J$2))="","--",INDEX($C$240:$II$259,$F$8,AUX!$E$10+(AUX!$E$11*AUX!J$2)))</f>
        <v>--</v>
      </c>
      <c r="G29" s="293" t="str">
        <f>IF(INDEX($C$240:$II$259,$F$8,AUX!$E$10+(AUX!$E$11*AUX!K$2))="","--",INDEX($C$240:$II$259,$F$8,AUX!$E$10+(AUX!$E$11*AUX!K$2)))</f>
        <v>--</v>
      </c>
      <c r="H29" s="293" t="str">
        <f>IF(INDEX($C$240:$II$259,$F$8,AUX!$E$10+(AUX!$E$11*AUX!L$2))="","--",INDEX($C$240:$II$259,$F$8,AUX!$E$10+(AUX!$E$11*AUX!L$2)))</f>
        <v>--</v>
      </c>
      <c r="I29" s="293" t="str">
        <f>IF(INDEX($C$240:$II$259,$F$8,AUX!$E$10+(AUX!$E$11*AUX!M$2))="","--",INDEX($C$240:$II$259,$F$8,AUX!$E$10+(AUX!$E$11*AUX!M$2)))</f>
        <v>--</v>
      </c>
      <c r="J29" s="293" t="str">
        <f>IF(INDEX($C$240:$II$259,$F$8,AUX!$E$10+(AUX!$E$11*AUX!N$2))="","--",INDEX($C$240:$II$259,$F$8,AUX!$E$10+(AUX!$E$11*AUX!N$2)))</f>
        <v>--</v>
      </c>
      <c r="K29" s="293" t="str">
        <f>IF(INDEX($C$240:$II$259,$F$8,AUX!$E$10+(AUX!$E$11*AUX!O$2))="","--",INDEX($C$240:$II$259,$F$8,AUX!$E$10+(AUX!$E$11*AUX!O$2)))</f>
        <v>--</v>
      </c>
      <c r="L29" s="293" t="str">
        <f>IF(INDEX($C$240:$II$259,$F$8,AUX!$E$10+(AUX!$E$11*AUX!P$2))="","--",INDEX($C$240:$II$259,$F$8,AUX!$E$10+(AUX!$E$11*AUX!P$2)))</f>
        <v>--</v>
      </c>
      <c r="M29" s="294" t="str">
        <f>IF(INDEX($C$240:$II$259,$F$8,AUX!$E$10+(AUX!$E$11*AUX!Q$2))="","--",INDEX($C$240:$II$259,$F$8,AUX!$E$10+(AUX!$E$11*AUX!Q$2)))</f>
        <v>--</v>
      </c>
    </row>
    <row r="30">
      <c r="C30" s="57"/>
    </row>
    <row r="31" ht="12.75" customHeight="1">
      <c r="C31"/>
      <c r="D31"/>
      <c r="E31"/>
      <c r="F31"/>
      <c r="G31"/>
      <c r="H31"/>
      <c r="I31"/>
      <c r="J31"/>
      <c r="K31"/>
      <c r="L31"/>
      <c r="M31"/>
    </row>
    <row r="32">
      <c r="C32"/>
      <c r="D32"/>
      <c r="E32"/>
      <c r="F32"/>
      <c r="G32"/>
      <c r="H32"/>
      <c r="I32"/>
      <c r="J32"/>
      <c r="K32"/>
      <c r="L32"/>
      <c r="M32"/>
    </row>
    <row r="34">
      <c r="A34" s="295"/>
      <c r="B34" s="295"/>
      <c r="C34" s="295"/>
      <c r="D34" s="295"/>
      <c r="E34" s="295"/>
      <c r="F34" s="295"/>
      <c r="G34" s="295"/>
      <c r="H34" s="295"/>
      <c r="I34" s="295"/>
      <c r="J34" s="295"/>
      <c r="K34" s="295"/>
    </row>
    <row r="117" hidden="1" ht="13.5"/>
    <row r="118" hidden="1" ht="15.75" customHeight="1">
      <c r="C118" s="686" t="s">
        <v>194</v>
      </c>
      <c r="D118" s="687"/>
      <c r="E118" s="687"/>
      <c r="F118" s="687"/>
      <c r="G118" s="687"/>
      <c r="H118" s="687"/>
      <c r="I118" s="687"/>
      <c r="J118" s="687"/>
      <c r="K118" s="687"/>
      <c r="L118" s="687"/>
      <c r="M118" s="687"/>
      <c r="N118" s="687"/>
      <c r="O118" s="687"/>
      <c r="P118" s="687"/>
      <c r="Q118" s="687"/>
      <c r="R118" s="687"/>
      <c r="S118" s="687"/>
      <c r="T118" s="687"/>
      <c r="U118" s="687"/>
      <c r="V118" s="687"/>
      <c r="W118" s="687"/>
      <c r="X118" s="687"/>
      <c r="Y118" s="687"/>
      <c r="Z118" s="687"/>
      <c r="AA118" s="687"/>
      <c r="AB118" s="688"/>
    </row>
    <row r="119" hidden="1" ht="15" customHeight="1">
      <c r="C119" s="435" t="str">
        <f> IF(C139&lt;&gt;"",TEXT(AUX!G$1,"dd-MMM-aa"),"")</f>
      </c>
      <c r="D119" s="435" t="str">
        <f> IF(D139&lt;&gt;"",TEXT(AUX!H$1,"dd-MMM-aa"),"")</f>
      </c>
      <c r="E119" s="435" t="str">
        <f> IF(E139&lt;&gt;"",TEXT(AUX!I$1,"dd-MMM-aa"),"")</f>
      </c>
      <c r="F119" s="435" t="str">
        <f> IF(F139&lt;&gt;"",TEXT(AUX!J$1,"dd-MMM-aa"),"")</f>
      </c>
      <c r="G119" s="435" t="str">
        <f> IF(G139&lt;&gt;"",TEXT(AUX!K$1,"dd-MMM-aa"),"")</f>
      </c>
      <c r="H119" s="435" t="str">
        <f> IF(H139&lt;&gt;"",TEXT(AUX!L$1,"dd-MMM-aa"),"")</f>
      </c>
      <c r="I119" s="435" t="str">
        <f> IF(I139&lt;&gt;"",TEXT(AUX!M$1,"dd-MMM-aa"),"")</f>
      </c>
      <c r="J119" s="435" t="str">
        <f> IF(J139&lt;&gt;"",TEXT(AUX!N$1,"dd-MMM-aa"),"")</f>
      </c>
      <c r="K119" s="435" t="str">
        <f> IF(K139&lt;&gt;"",TEXT(AUX!O$1,"dd-MMM-aa"),"")</f>
      </c>
      <c r="L119" s="435" t="str">
        <f> IF(L139&lt;&gt;"",TEXT(AUX!P$1,"dd-MMM-aa"),"")</f>
      </c>
      <c r="M119" s="435" t="str">
        <f> IF(M139&lt;&gt;"",TEXT(AUX!Q$1,"dd-MMM-aa"),"")</f>
      </c>
      <c r="N119" s="435" t="str">
        <f> IF(N139&lt;&gt;"",TEXT(AUX!R$1,"dd-MMM-aa"),"")</f>
      </c>
      <c r="O119" s="435" t="str">
        <f> IF(O139&lt;&gt;"",TEXT(AUX!S$1,"dd-MMM-aa"),"")</f>
      </c>
      <c r="P119" s="435" t="str">
        <f> IF(P139&lt;&gt;"",TEXT(AUX!T$1,"dd-MMM-aa"),"")</f>
      </c>
      <c r="Q119" s="435" t="str">
        <f> IF(Q139&lt;&gt;"",TEXT(AUX!U$1,"dd-MMM-aa"),"")</f>
      </c>
      <c r="R119" s="435" t="str">
        <f> IF(R139&lt;&gt;"",TEXT(AUX!V$1,"dd-MMM-aa"),"")</f>
      </c>
      <c r="S119" s="435" t="str">
        <f> IF(S139&lt;&gt;"",TEXT(AUX!W$1,"dd-MMM-aa"),"")</f>
      </c>
      <c r="T119" s="435" t="str">
        <f> IF(T139&lt;&gt;"",TEXT(AUX!X$1,"dd-MMM-aa"),"")</f>
      </c>
      <c r="U119" s="435" t="str">
        <f> IF(U139&lt;&gt;"",TEXT(AUX!Y$1,"dd-MMM-aa"),"")</f>
      </c>
      <c r="V119" s="435" t="str">
        <f> IF(V139&lt;&gt;"",TEXT(AUX!Z$1,"dd-MMM-aa"),"")</f>
      </c>
      <c r="W119" s="435" t="str">
        <f> IF(W139&lt;&gt;"",TEXT(AUX!AA$1,"dd-MMM-aa"),"")</f>
      </c>
      <c r="X119" s="435" t="str">
        <f> IF(X139&lt;&gt;"",TEXT(AUX!AB$1,"dd-MMM-aa"),"")</f>
      </c>
      <c r="Y119" s="435" t="str">
        <f> IF(Y139&lt;&gt;"",TEXT(AUX!AC$1,"dd-MMM-aa"),"")</f>
      </c>
      <c r="Z119" s="435" t="str">
        <f> IF(Z139&lt;&gt;"",TEXT(AUX!AD$1,"dd-MMM-aa"),"")</f>
      </c>
      <c r="AA119" s="435" t="str">
        <f> IF(AA139&lt;&gt;"",TEXT(AUX!AE$1,"dd-MMM-aa"),"")</f>
      </c>
      <c r="AB119" s="497" t="str">
        <f> IF(AB139&lt;&gt;"",TEXT(AUX!AF$1,"dd-MMM-aa"),"")</f>
      </c>
      <c r="AC119" s="496" t="str">
        <f> IF(AC139&lt;&gt;"",TEXT(AUX!AG$1,"dd-MMM-aa"),"")</f>
      </c>
      <c r="AD119" s="496" t="str">
        <f> IF(AD139&lt;&gt;"",TEXT(AUX!AH$1,"dd-MMM-aa"),"")</f>
      </c>
      <c r="AE119" s="496" t="str">
        <f> IF(AE139&lt;&gt;"",TEXT(AUX!AI$1,"dd-MMM-aa"),"")</f>
      </c>
      <c r="AF119" s="496" t="str">
        <f> IF(AF139&lt;&gt;"",TEXT(AUX!AJ$1,"dd-MMM-aa"),"")</f>
      </c>
      <c r="AG119" s="496" t="str">
        <f> IF(AG139&lt;&gt;"",TEXT(AUX!AK$1,"dd-MMM-aa"),"")</f>
      </c>
      <c r="AH119" s="496" t="str">
        <f> IF(AH139&lt;&gt;"",TEXT(AUX!AL$1,"dd-MMM-aa"),"")</f>
      </c>
      <c r="AI119" s="496" t="str">
        <f> IF(AI139&lt;&gt;"",TEXT(AUX!AM$1,"dd-MMM-aa"),"")</f>
      </c>
      <c r="AJ119" s="496" t="str">
        <f> IF(AJ139&lt;&gt;"",TEXT(AUX!AN$1,"dd-MMM-aa"),"")</f>
      </c>
      <c r="AK119" s="496" t="str">
        <f> IF(AK139&lt;&gt;"",TEXT(AUX!AO$1,"dd-MMM-aa"),"")</f>
      </c>
      <c r="AL119" s="496" t="str">
        <f> IF(AL139&lt;&gt;"",TEXT(AUX!AP$1,"dd-MMM-aa"),"")</f>
      </c>
      <c r="AM119" s="496" t="str">
        <f> IF(AM139&lt;&gt;"",TEXT(AUX!AQ$1,"dd-MMM-aa"),"")</f>
      </c>
      <c r="AN119" s="496" t="str">
        <f> IF(AN139&lt;&gt;"",TEXT(AUX!AR$1,"dd-MMM-aa"),"")</f>
      </c>
      <c r="AO119" s="496" t="str">
        <f> IF(AO139&lt;&gt;"",TEXT(AUX!AS$1,"dd-MMM-aa"),"")</f>
      </c>
      <c r="AP119" s="496" t="str">
        <f> IF(AP139&lt;&gt;"",TEXT(AUX!AT$1,"dd-MMM-aa"),"")</f>
      </c>
      <c r="AQ119" s="496" t="str">
        <f> IF(AQ139&lt;&gt;"",TEXT(AUX!AU$1,"dd-MMM-aa"),"")</f>
      </c>
      <c r="AR119" s="496" t="str">
        <f> IF(AR139&lt;&gt;"",TEXT(AUX!AV$1,"dd-MMM-aa"),"")</f>
      </c>
      <c r="AS119" s="496" t="str">
        <f> IF(AS139&lt;&gt;"",TEXT(AUX!AW$1,"dd-MMM-aa"),"")</f>
      </c>
      <c r="AT119" s="496" t="str">
        <f> IF(AT139&lt;&gt;"",TEXT(AUX!AX$1,"dd-MMM-aa"),"")</f>
      </c>
      <c r="AU119" s="496" t="str">
        <f> IF(AU139&lt;&gt;"",TEXT(AUX!AY$1,"dd-MMM-aa"),"")</f>
      </c>
      <c r="AV119" s="496" t="str">
        <f> IF(AV139&lt;&gt;"",TEXT(AUX!AZ$1,"dd-MMM-aa"),"")</f>
      </c>
      <c r="AW119" s="496" t="str">
        <f> IF(AW139&lt;&gt;"",TEXT(AUX!BA$1,"dd-MMM-aa"),"")</f>
      </c>
      <c r="AX119" s="496" t="str">
        <f> IF(AX139&lt;&gt;"",TEXT(AUX!BB$1,"dd-MMM-aa"),"")</f>
      </c>
      <c r="AY119" s="496" t="str">
        <f> IF(AY139&lt;&gt;"",TEXT(AUX!BC$1,"dd-MMM-aa"),"")</f>
      </c>
      <c r="AZ119" s="496" t="str">
        <f> IF(AZ139&lt;&gt;"",TEXT(AUX!BD$1,"dd-MMM-aa"),"")</f>
      </c>
      <c r="BA119" s="496" t="str">
        <f> IF(BA139&lt;&gt;"",TEXT(AUX!BE$1,"dd-MMM-aa"),"")</f>
      </c>
      <c r="BB119" s="496" t="str">
        <f> IF(BB139&lt;&gt;"",TEXT(AUX!BF$1,"dd-MMM-aa"),"")</f>
      </c>
      <c r="BC119" s="496" t="str">
        <f> IF(BC139&lt;&gt;"",TEXT(AUX!BG$1,"dd-MMM-aa"),"")</f>
      </c>
      <c r="BD119" s="496" t="str">
        <f> IF(BD139&lt;&gt;"",TEXT(AUX!BH$1,"dd-MMM-aa"),"")</f>
      </c>
      <c r="BE119" s="496" t="str">
        <f> IF(BE139&lt;&gt;"",TEXT(AUX!BI$1,"dd-MMM-aa"),"")</f>
      </c>
      <c r="BF119" s="496" t="str">
        <f> IF(BF139&lt;&gt;"",TEXT(AUX!BJ$1,"dd-MMM-aa"),"")</f>
      </c>
      <c r="BG119" s="496" t="str">
        <f> IF(BG139&lt;&gt;"",TEXT(AUX!BK$1,"dd-MMM-aa"),"")</f>
      </c>
      <c r="BH119" s="496" t="str">
        <f> IF(BH139&lt;&gt;"",TEXT(AUX!BL$1,"dd-MMM-aa"),"")</f>
      </c>
      <c r="BI119" s="496" t="str">
        <f> IF(BI139&lt;&gt;"",TEXT(AUX!BM$1,"dd-MMM-aa"),"")</f>
      </c>
      <c r="BJ119" s="496" t="str">
        <f> IF(BJ139&lt;&gt;"",TEXT(AUX!BN$1,"dd-MMM-aa"),"")</f>
      </c>
      <c r="BK119" s="496" t="str">
        <f> IF(BK139&lt;&gt;"",TEXT(AUX!BO$1,"dd-MMM-aa"),"")</f>
      </c>
      <c r="BL119" s="496" t="str">
        <f> IF(BL139&lt;&gt;"",TEXT(AUX!BP$1,"dd-MMM-aa"),"")</f>
      </c>
      <c r="BM119" s="496" t="str">
        <f> IF(BM139&lt;&gt;"",TEXT(AUX!BQ$1,"dd-MMM-aa"),"")</f>
      </c>
      <c r="BN119" s="496" t="str">
        <f> IF(BN139&lt;&gt;"",TEXT(AUX!BR$1,"dd-MMM-aa"),"")</f>
      </c>
      <c r="BO119" s="496" t="str">
        <f> IF(BO139&lt;&gt;"",TEXT(AUX!BS$1,"dd-MMM-aa"),"")</f>
      </c>
      <c r="BP119" s="496" t="str">
        <f> IF(BP139&lt;&gt;"",TEXT(AUX!BT$1,"dd-MMM-aa"),"")</f>
      </c>
      <c r="BQ119" s="496" t="str">
        <f> IF(BQ139&lt;&gt;"",TEXT(AUX!BU$1,"dd-MMM-aa"),"")</f>
      </c>
      <c r="BR119" s="496" t="str">
        <f> IF(BR139&lt;&gt;"",TEXT(AUX!BV$1,"dd-MMM-aa"),"")</f>
      </c>
      <c r="BS119" s="496" t="str">
        <f> IF(BS139&lt;&gt;"",TEXT(AUX!BW$1,"dd-MMM-aa"),"")</f>
      </c>
      <c r="BT119" s="496" t="str">
        <f> IF(BT139&lt;&gt;"",TEXT(AUX!BX$1,"dd-MMM-aa"),"")</f>
      </c>
      <c r="BU119" s="496" t="str">
        <f> IF(BU139&lt;&gt;"",TEXT(AUX!BY$1,"dd-MMM-aa"),"")</f>
      </c>
      <c r="BV119" s="496" t="str">
        <f> IF(BV139&lt;&gt;"",TEXT(AUX!BZ$1,"dd-MMM-aa"),"")</f>
      </c>
      <c r="BW119" s="496" t="str">
        <f> IF(BW139&lt;&gt;"",TEXT(AUX!CA$1,"dd-MMM-aa"),"")</f>
      </c>
      <c r="BX119" s="496" t="str">
        <f> IF(BX139&lt;&gt;"",TEXT(AUX!CB$1,"dd-MMM-aa"),"")</f>
      </c>
      <c r="BY119" s="496" t="str">
        <f> IF(BY139&lt;&gt;"",TEXT(AUX!CC$1,"dd-MMM-aa"),"")</f>
      </c>
      <c r="BZ119" s="496" t="str">
        <f> IF(BZ139&lt;&gt;"",TEXT(AUX!CD$1,"dd-MMM-aa"),"")</f>
      </c>
      <c r="CA119" s="496" t="str">
        <f> IF(CA139&lt;&gt;"",TEXT(AUX!CE$1,"dd-MMM-aa"),"")</f>
      </c>
      <c r="CB119" s="496" t="str">
        <f> IF(CB139&lt;&gt;"",TEXT(AUX!CF$1,"dd-MMM-aa"),"")</f>
      </c>
      <c r="CC119" s="496" t="str">
        <f> IF(CC139&lt;&gt;"",TEXT(AUX!CG$1,"dd-MMM-aa"),"")</f>
      </c>
      <c r="CD119" s="496" t="str">
        <f> IF(CD139&lt;&gt;"",TEXT(AUX!CH$1,"dd-MMM-aa"),"")</f>
      </c>
      <c r="CE119" s="496" t="str">
        <f> IF(CE139&lt;&gt;"",TEXT(AUX!CI$1,"dd-MMM-aa"),"")</f>
      </c>
      <c r="CF119" s="496" t="str">
        <f> IF(CF139&lt;&gt;"",TEXT(AUX!CJ$1,"dd-MMM-aa"),"")</f>
      </c>
      <c r="CG119" s="496" t="str">
        <f> IF(CG139&lt;&gt;"",TEXT(AUX!CK$1,"dd-MMM-aa"),"")</f>
      </c>
      <c r="CH119" s="496" t="str">
        <f> IF(CH139&lt;&gt;"",TEXT(AUX!CL$1,"dd-MMM-aa"),"")</f>
      </c>
      <c r="CI119" s="496" t="str">
        <f> IF(CI139&lt;&gt;"",TEXT(AUX!CM$1,"dd-MMM-aa"),"")</f>
      </c>
      <c r="CJ119" s="496" t="str">
        <f> IF(CJ139&lt;&gt;"",TEXT(AUX!CN$1,"dd-MMM-aa"),"")</f>
      </c>
      <c r="CK119" s="496" t="str">
        <f> IF(CK139&lt;&gt;"",TEXT(AUX!CO$1,"dd-MMM-aa"),"")</f>
      </c>
      <c r="CL119" s="496" t="str">
        <f> IF(CL139&lt;&gt;"",TEXT(AUX!CP$1,"dd-MMM-aa"),"")</f>
      </c>
      <c r="CM119" s="496" t="str">
        <f> IF(CM139&lt;&gt;"",TEXT(AUX!CQ$1,"dd-MMM-aa"),"")</f>
      </c>
      <c r="CN119" s="496" t="str">
        <f> IF(CN139&lt;&gt;"",TEXT(AUX!CR$1,"dd-MMM-aa"),"")</f>
      </c>
      <c r="CO119" s="496" t="str">
        <f> IF(CO139&lt;&gt;"",TEXT(AUX!CS$1,"dd-MMM-aa"),"")</f>
      </c>
      <c r="CP119" s="496" t="str">
        <f> IF(CP139&lt;&gt;"",TEXT(AUX!CT$1,"dd-MMM-aa"),"")</f>
      </c>
      <c r="CQ119" s="496" t="str">
        <f> IF(CQ139&lt;&gt;"",TEXT(AUX!CU$1,"dd-MMM-aa"),"")</f>
      </c>
      <c r="CR119" s="496" t="str">
        <f> IF(CR139&lt;&gt;"",TEXT(AUX!CV$1,"dd-MMM-aa"),"")</f>
      </c>
      <c r="CS119" s="496" t="str">
        <f> IF(CS139&lt;&gt;"",TEXT(AUX!CW$1,"dd-MMM-aa"),"")</f>
      </c>
      <c r="CT119" s="496" t="str">
        <f> IF(CT139&lt;&gt;"",TEXT(AUX!CX$1,"dd-MMM-aa"),"")</f>
      </c>
      <c r="CU119" s="496" t="str">
        <f> IF(CU139&lt;&gt;"",TEXT(AUX!CY$1,"dd-MMM-aa"),"")</f>
      </c>
      <c r="CV119" s="496" t="str">
        <f> IF(CV139&lt;&gt;"",TEXT(AUX!CZ$1,"dd-MMM-aa"),"")</f>
      </c>
      <c r="CW119" s="496" t="str">
        <f> IF(CW139&lt;&gt;"",TEXT(AUX!DA$1,"dd-MMM-aa"),"")</f>
      </c>
      <c r="CX119" s="496" t="str">
        <f> IF(CX139&lt;&gt;"",TEXT(AUX!DB$1,"dd-MMM-aa"),"")</f>
      </c>
      <c r="CY119" s="496" t="str">
        <f> IF(CY139&lt;&gt;"",TEXT(AUX!DC$1,"dd-MMM-aa"),"")</f>
      </c>
      <c r="CZ119" s="496" t="str">
        <f> IF(CZ139&lt;&gt;"",TEXT(AUX!DD$1,"dd-MMM-aa"),"")</f>
      </c>
      <c r="DA119" s="496" t="str">
        <f> IF(DA139&lt;&gt;"",TEXT(AUX!DE$1,"dd-MMM-aa"),"")</f>
      </c>
      <c r="DB119" s="496" t="str">
        <f> IF(DB139&lt;&gt;"",TEXT(AUX!DF$1,"dd-MMM-aa"),"")</f>
      </c>
      <c r="DC119" s="496" t="str">
        <f> IF(DC139&lt;&gt;"",TEXT(AUX!DG$1,"dd-MMM-aa"),"")</f>
      </c>
      <c r="DD119" s="496" t="str">
        <f> IF(DD139&lt;&gt;"",TEXT(AUX!DH$1,"dd-MMM-aa"),"")</f>
      </c>
      <c r="DE119" s="496" t="str">
        <f> IF(DE139&lt;&gt;"",TEXT(AUX!DI$1,"dd-MMM-aa"),"")</f>
      </c>
      <c r="DF119" s="496" t="str">
        <f> IF(DF139&lt;&gt;"",TEXT(AUX!DJ$1,"dd-MMM-aa"),"")</f>
      </c>
      <c r="DG119" s="496" t="str">
        <f> IF(DG139&lt;&gt;"",TEXT(AUX!DK$1,"dd-MMM-aa"),"")</f>
      </c>
      <c r="DH119" s="496" t="str">
        <f> IF(DH139&lt;&gt;"",TEXT(AUX!DL$1,"dd-MMM-aa"),"")</f>
      </c>
      <c r="DI119" s="496" t="str">
        <f> IF(DI139&lt;&gt;"",TEXT(AUX!DM$1,"dd-MMM-aa"),"")</f>
      </c>
      <c r="DJ119" s="496" t="str">
        <f> IF(DJ139&lt;&gt;"",TEXT(AUX!DN$1,"dd-MMM-aa"),"")</f>
      </c>
      <c r="DK119" s="496" t="str">
        <f> IF(DK139&lt;&gt;"",TEXT(AUX!DO$1,"dd-MMM-aa"),"")</f>
      </c>
      <c r="DL119" s="496" t="str">
        <f> IF(DL139&lt;&gt;"",TEXT(AUX!DP$1,"dd-MMM-aa"),"")</f>
      </c>
      <c r="DM119" s="496" t="str">
        <f> IF(DM139&lt;&gt;"",TEXT(AUX!DQ$1,"dd-MMM-aa"),"")</f>
      </c>
      <c r="DN119" s="496" t="str">
        <f> IF(DN139&lt;&gt;"",TEXT(AUX!DR$1,"dd-MMM-aa"),"")</f>
      </c>
      <c r="DO119" s="496" t="str">
        <f> IF(DO139&lt;&gt;"",TEXT(AUX!DS$1,"dd-MMM-aa"),"")</f>
      </c>
      <c r="DP119" s="496" t="str">
        <f> IF(DP139&lt;&gt;"",TEXT(AUX!DT$1,"dd-MMM-aa"),"")</f>
      </c>
      <c r="DQ119" s="496" t="str">
        <f> IF(DQ139&lt;&gt;"",TEXT(AUX!DU$1,"dd-MMM-aa"),"")</f>
      </c>
      <c r="DR119" s="496" t="str">
        <f> IF(DR139&lt;&gt;"",TEXT(AUX!DV$1,"dd-MMM-aa"),"")</f>
      </c>
      <c r="DS119" s="496" t="str">
        <f> IF(DS139&lt;&gt;"",TEXT(AUX!DW$1,"dd-MMM-aa"),"")</f>
      </c>
      <c r="DT119" s="496" t="str">
        <f> IF(DT139&lt;&gt;"",TEXT(AUX!DX$1,"dd-MMM-aa"),"")</f>
      </c>
      <c r="DU119" s="496" t="str">
        <f> IF(DU139&lt;&gt;"",TEXT(AUX!DY$1,"dd-MMM-aa"),"")</f>
      </c>
      <c r="DV119" s="496" t="str">
        <f> IF(DV139&lt;&gt;"",TEXT(AUX!DZ$1,"dd-MMM-aa"),"")</f>
      </c>
      <c r="DW119" s="496" t="str">
        <f> IF(DW139&lt;&gt;"",TEXT(AUX!EA$1,"dd-MMM-aa"),"")</f>
      </c>
      <c r="DX119" s="496" t="str">
        <f> IF(DX139&lt;&gt;"",TEXT(AUX!EB$1,"dd-MMM-aa"),"")</f>
      </c>
      <c r="DY119" s="496" t="str">
        <f> IF(DY139&lt;&gt;"",TEXT(AUX!EC$1,"dd-MMM-aa"),"")</f>
      </c>
      <c r="DZ119" s="496" t="str">
        <f> IF(DZ139&lt;&gt;"",TEXT(AUX!ED$1,"dd-MMM-aa"),"")</f>
      </c>
      <c r="EA119" s="496" t="str">
        <f> IF(EA139&lt;&gt;"",TEXT(AUX!EE$1,"dd-MMM-aa"),"")</f>
      </c>
      <c r="EB119" s="496" t="str">
        <f> IF(EB139&lt;&gt;"",TEXT(AUX!EF$1,"dd-MMM-aa"),"")</f>
      </c>
      <c r="EC119" s="496" t="str">
        <f> IF(EC139&lt;&gt;"",TEXT(AUX!EG$1,"dd-MMM-aa"),"")</f>
      </c>
      <c r="ED119" s="496" t="str">
        <f> IF(ED139&lt;&gt;"",TEXT(AUX!EH$1,"dd-MMM-aa"),"")</f>
      </c>
      <c r="EE119" s="496" t="str">
        <f> IF(EE139&lt;&gt;"",TEXT(AUX!EI$1,"dd-MMM-aa"),"")</f>
      </c>
      <c r="EF119" s="496" t="str">
        <f> IF(EF139&lt;&gt;"",TEXT(AUX!EJ$1,"dd-MMM-aa"),"")</f>
      </c>
      <c r="EG119" s="496" t="str">
        <f> IF(EG139&lt;&gt;"",TEXT(AUX!EK$1,"dd-MMM-aa"),"")</f>
      </c>
      <c r="EH119" s="496" t="str">
        <f> IF(EH139&lt;&gt;"",TEXT(AUX!EL$1,"dd-MMM-aa"),"")</f>
      </c>
      <c r="EI119" s="496" t="str">
        <f> IF(EI139&lt;&gt;"",TEXT(AUX!EM$1,"dd-MMM-aa"),"")</f>
      </c>
      <c r="EJ119" s="496" t="str">
        <f> IF(EJ139&lt;&gt;"",TEXT(AUX!EN$1,"dd-MMM-aa"),"")</f>
      </c>
      <c r="EK119" s="496" t="str">
        <f> IF(EK139&lt;&gt;"",TEXT(AUX!EO$1,"dd-MMM-aa"),"")</f>
      </c>
      <c r="EL119" s="496" t="str">
        <f> IF(EL139&lt;&gt;"",TEXT(AUX!EP$1,"dd-MMM-aa"),"")</f>
      </c>
      <c r="EM119" s="496" t="str">
        <f> IF(EM139&lt;&gt;"",TEXT(AUX!EQ$1,"dd-MMM-aa"),"")</f>
      </c>
      <c r="EN119" s="496" t="str">
        <f> IF(EN139&lt;&gt;"",TEXT(AUX!ER$1,"dd-MMM-aa"),"")</f>
      </c>
      <c r="EO119" s="496" t="str">
        <f> IF(EO139&lt;&gt;"",TEXT(AUX!ES$1,"dd-MMM-aa"),"")</f>
      </c>
      <c r="EP119" s="496" t="str">
        <f> IF(EP139&lt;&gt;"",TEXT(AUX!ET$1,"dd-MMM-aa"),"")</f>
      </c>
      <c r="EQ119" s="496" t="str">
        <f> IF(EQ139&lt;&gt;"",TEXT(AUX!EU$1,"dd-MMM-aa"),"")</f>
      </c>
      <c r="ER119" s="496" t="str">
        <f> IF(ER139&lt;&gt;"",TEXT(AUX!EV$1,"dd-MMM-aa"),"")</f>
      </c>
      <c r="ES119" s="496" t="str">
        <f> IF(ES139&lt;&gt;"",TEXT(AUX!EW$1,"dd-MMM-aa"),"")</f>
      </c>
      <c r="ET119" s="496" t="str">
        <f> IF(ET139&lt;&gt;"",TEXT(AUX!EX$1,"dd-MMM-aa"),"")</f>
      </c>
      <c r="EU119" s="496" t="str">
        <f> IF(EU139&lt;&gt;"",TEXT(AUX!EY$1,"dd-MMM-aa"),"")</f>
      </c>
      <c r="EV119" s="496" t="str">
        <f> IF(EV139&lt;&gt;"",TEXT(AUX!EZ$1,"dd-MMM-aa"),"")</f>
      </c>
      <c r="EW119" s="496" t="str">
        <f> IF(EW139&lt;&gt;"",TEXT(AUX!FA$1,"dd-MMM-aa"),"")</f>
      </c>
      <c r="EX119" s="496" t="str">
        <f> IF(EX139&lt;&gt;"",TEXT(AUX!FB$1,"dd-MMM-aa"),"")</f>
      </c>
      <c r="EY119" s="496" t="str">
        <f> IF(EY139&lt;&gt;"",TEXT(AUX!FC$1,"dd-MMM-aa"),"")</f>
      </c>
      <c r="EZ119" s="496" t="str">
        <f> IF(EZ139&lt;&gt;"",TEXT(AUX!FD$1,"dd-MMM-aa"),"")</f>
      </c>
      <c r="FA119" s="496" t="str">
        <f> IF(FA139&lt;&gt;"",TEXT(AUX!FE$1,"dd-MMM-aa"),"")</f>
      </c>
      <c r="FB119" s="496" t="str">
        <f> IF(FB139&lt;&gt;"",TEXT(AUX!FF$1,"dd-MMM-aa"),"")</f>
      </c>
      <c r="FC119" s="496" t="str">
        <f> IF(FC139&lt;&gt;"",TEXT(AUX!FG$1,"dd-MMM-aa"),"")</f>
      </c>
      <c r="FD119" s="496" t="str">
        <f> IF(FD139&lt;&gt;"",TEXT(AUX!FH$1,"dd-MMM-aa"),"")</f>
      </c>
      <c r="FE119" s="496" t="str">
        <f> IF(FE139&lt;&gt;"",TEXT(AUX!FI$1,"dd-MMM-aa"),"")</f>
      </c>
      <c r="FF119" s="496" t="str">
        <f> IF(FF139&lt;&gt;"",TEXT(AUX!FJ$1,"dd-MMM-aa"),"")</f>
      </c>
      <c r="FG119" s="496" t="str">
        <f> IF(FG139&lt;&gt;"",TEXT(AUX!FK$1,"dd-MMM-aa"),"")</f>
      </c>
      <c r="FH119" s="496" t="str">
        <f> IF(FH139&lt;&gt;"",TEXT(AUX!FL$1,"dd-MMM-aa"),"")</f>
      </c>
      <c r="FI119" s="496" t="str">
        <f> IF(FI139&lt;&gt;"",TEXT(AUX!FM$1,"dd-MMM-aa"),"")</f>
      </c>
      <c r="FJ119" s="496" t="str">
        <f> IF(FJ139&lt;&gt;"",TEXT(AUX!FN$1,"dd-MMM-aa"),"")</f>
      </c>
      <c r="FK119" s="496" t="str">
        <f> IF(FK139&lt;&gt;"",TEXT(AUX!FO$1,"dd-MMM-aa"),"")</f>
      </c>
      <c r="FL119" s="496" t="str">
        <f> IF(FL139&lt;&gt;"",TEXT(AUX!FP$1,"dd-MMM-aa"),"")</f>
      </c>
      <c r="FM119" s="496" t="str">
        <f> IF(FM139&lt;&gt;"",TEXT(AUX!FQ$1,"dd-MMM-aa"),"")</f>
      </c>
      <c r="FN119" s="496" t="str">
        <f> IF(FN139&lt;&gt;"",TEXT(AUX!FR$1,"dd-MMM-aa"),"")</f>
      </c>
      <c r="FO119" s="496" t="str">
        <f> IF(FO139&lt;&gt;"",TEXT(AUX!FS$1,"dd-MMM-aa"),"")</f>
      </c>
      <c r="FP119" s="496" t="str">
        <f> IF(FP139&lt;&gt;"",TEXT(AUX!FT$1,"dd-MMM-aa"),"")</f>
      </c>
      <c r="FQ119" s="496" t="str">
        <f> IF(FQ139&lt;&gt;"",TEXT(AUX!FU$1,"dd-MMM-aa"),"")</f>
      </c>
      <c r="FR119" s="496" t="str">
        <f> IF(FR139&lt;&gt;"",TEXT(AUX!FV$1,"dd-MMM-aa"),"")</f>
      </c>
      <c r="FS119" s="496" t="str">
        <f> IF(FS139&lt;&gt;"",TEXT(AUX!FW$1,"dd-MMM-aa"),"")</f>
      </c>
      <c r="FT119" s="496" t="str">
        <f> IF(FT139&lt;&gt;"",TEXT(AUX!FX$1,"dd-MMM-aa"),"")</f>
      </c>
      <c r="FU119" s="496" t="str">
        <f> IF(FU139&lt;&gt;"",TEXT(AUX!FY$1,"dd-MMM-aa"),"")</f>
      </c>
      <c r="FV119" s="496" t="str">
        <f> IF(FV139&lt;&gt;"",TEXT(AUX!FZ$1,"dd-MMM-aa"),"")</f>
      </c>
      <c r="FW119" s="496" t="str">
        <f> IF(FW139&lt;&gt;"",TEXT(AUX!GA$1,"dd-MMM-aa"),"")</f>
      </c>
      <c r="FX119" s="496" t="str">
        <f> IF(FX139&lt;&gt;"",TEXT(AUX!GB$1,"dd-MMM-aa"),"")</f>
      </c>
      <c r="FY119" s="496" t="str">
        <f> IF(FY139&lt;&gt;"",TEXT(AUX!GC$1,"dd-MMM-aa"),"")</f>
      </c>
      <c r="FZ119" s="496" t="str">
        <f> IF(FZ139&lt;&gt;"",TEXT(AUX!GD$1,"dd-MMM-aa"),"")</f>
      </c>
      <c r="GA119" s="496" t="str">
        <f> IF(GA139&lt;&gt;"",TEXT(AUX!GE$1,"dd-MMM-aa"),"")</f>
      </c>
      <c r="GB119" s="496" t="str">
        <f> IF(GB139&lt;&gt;"",TEXT(AUX!GF$1,"dd-MMM-aa"),"")</f>
      </c>
      <c r="GC119" s="496" t="str">
        <f> IF(GC139&lt;&gt;"",TEXT(AUX!GG$1,"dd-MMM-aa"),"")</f>
      </c>
      <c r="GD119" s="496" t="str">
        <f> IF(GD139&lt;&gt;"",TEXT(AUX!GH$1,"dd-MMM-aa"),"")</f>
      </c>
      <c r="GE119" s="496" t="str">
        <f> IF(GE139&lt;&gt;"",TEXT(AUX!GI$1,"dd-MMM-aa"),"")</f>
      </c>
      <c r="GF119" s="496" t="str">
        <f> IF(GF139&lt;&gt;"",TEXT(AUX!GJ$1,"dd-MMM-aa"),"")</f>
      </c>
      <c r="GG119" s="496" t="str">
        <f> IF(GG139&lt;&gt;"",TEXT(AUX!GK$1,"dd-MMM-aa"),"")</f>
      </c>
      <c r="GH119" s="496" t="str">
        <f> IF(GH139&lt;&gt;"",TEXT(AUX!GL$1,"dd-MMM-aa"),"")</f>
      </c>
      <c r="GI119" s="496" t="str">
        <f> IF(GI139&lt;&gt;"",TEXT(AUX!GM$1,"dd-MMM-aa"),"")</f>
      </c>
      <c r="GJ119" s="496" t="str">
        <f> IF(GJ139&lt;&gt;"",TEXT(AUX!GN$1,"dd-MMM-aa"),"")</f>
      </c>
      <c r="GK119" s="496" t="str">
        <f> IF(GK139&lt;&gt;"",TEXT(AUX!GO$1,"dd-MMM-aa"),"")</f>
      </c>
      <c r="GL119" s="496" t="str">
        <f> IF(GL139&lt;&gt;"",TEXT(AUX!GP$1,"dd-MMM-aa"),"")</f>
      </c>
      <c r="GM119" s="496" t="str">
        <f> IF(GM139&lt;&gt;"",TEXT(AUX!GQ$1,"dd-MMM-aa"),"")</f>
      </c>
      <c r="GN119" s="496" t="str">
        <f> IF(GN139&lt;&gt;"",TEXT(AUX!GR$1,"dd-MMM-aa"),"")</f>
      </c>
      <c r="GO119" s="496" t="str">
        <f> IF(GO139&lt;&gt;"",TEXT(AUX!GS$1,"dd-MMM-aa"),"")</f>
      </c>
      <c r="GP119" s="496" t="str">
        <f> IF(GP139&lt;&gt;"",TEXT(AUX!GT$1,"dd-MMM-aa"),"")</f>
      </c>
      <c r="GQ119" s="496" t="str">
        <f> IF(GQ139&lt;&gt;"",TEXT(AUX!GU$1,"dd-MMM-aa"),"")</f>
      </c>
      <c r="GR119" s="496" t="str">
        <f> IF(GR139&lt;&gt;"",TEXT(AUX!GV$1,"dd-MMM-aa"),"")</f>
      </c>
      <c r="GS119" s="496" t="str">
        <f> IF(GS139&lt;&gt;"",TEXT(AUX!GW$1,"dd-MMM-aa"),"")</f>
      </c>
      <c r="GT119" s="496" t="str">
        <f> IF(GT139&lt;&gt;"",TEXT(AUX!GX$1,"dd-MMM-aa"),"")</f>
      </c>
      <c r="GU119" s="496" t="str">
        <f> IF(GU139&lt;&gt;"",TEXT(AUX!GY$1,"dd-MMM-aa"),"")</f>
      </c>
      <c r="GV119" s="496" t="str">
        <f> IF(GV139&lt;&gt;"",TEXT(AUX!GZ$1,"dd-MMM-aa"),"")</f>
      </c>
      <c r="GW119" s="496" t="str">
        <f> IF(GW139&lt;&gt;"",TEXT(AUX!HA$1,"dd-MMM-aa"),"")</f>
      </c>
      <c r="GX119" s="496" t="str">
        <f> IF(GX139&lt;&gt;"",TEXT(AUX!HB$1,"dd-MMM-aa"),"")</f>
      </c>
      <c r="GY119" s="496" t="str">
        <f> IF(GY139&lt;&gt;"",TEXT(AUX!HC$1,"dd-MMM-aa"),"")</f>
      </c>
      <c r="GZ119" s="496" t="str">
        <f> IF(GZ139&lt;&gt;"",TEXT(AUX!HD$1,"dd-MMM-aa"),"")</f>
      </c>
      <c r="HA119" s="496" t="str">
        <f> IF(HA139&lt;&gt;"",TEXT(AUX!HE$1,"dd-MMM-aa"),"")</f>
      </c>
      <c r="HB119" s="496" t="str">
        <f> IF(HB139&lt;&gt;"",TEXT(AUX!HF$1,"dd-MMM-aa"),"")</f>
      </c>
      <c r="HC119" s="496" t="str">
        <f> IF(HC139&lt;&gt;"",TEXT(AUX!HG$1,"dd-MMM-aa"),"")</f>
      </c>
      <c r="HD119" s="496" t="str">
        <f> IF(HD139&lt;&gt;"",TEXT(AUX!HH$1,"dd-MMM-aa"),"")</f>
      </c>
      <c r="HE119" s="496" t="str">
        <f> IF(HE139&lt;&gt;"",TEXT(AUX!HI$1,"dd-MMM-aa"),"")</f>
      </c>
      <c r="HF119" s="496" t="str">
        <f> IF(HF139&lt;&gt;"",TEXT(AUX!HJ$1,"dd-MMM-aa"),"")</f>
      </c>
      <c r="HG119" s="496" t="str">
        <f> IF(HG139&lt;&gt;"",TEXT(AUX!HK$1,"dd-MMM-aa"),"")</f>
      </c>
      <c r="HH119" s="496" t="str">
        <f> IF(HH139&lt;&gt;"",TEXT(AUX!HL$1,"dd-MMM-aa"),"")</f>
      </c>
      <c r="HI119" s="496" t="str">
        <f> IF(HI139&lt;&gt;"",TEXT(AUX!HM$1,"dd-MMM-aa"),"")</f>
      </c>
      <c r="HJ119" s="496" t="str">
        <f> IF(HJ139&lt;&gt;"",TEXT(AUX!HN$1,"dd-MMM-aa"),"")</f>
      </c>
      <c r="HK119" s="496" t="str">
        <f> IF(HK139&lt;&gt;"",TEXT(AUX!HO$1,"dd-MMM-aa"),"")</f>
      </c>
      <c r="HL119" s="496" t="str">
        <f> IF(HL139&lt;&gt;"",TEXT(AUX!HP$1,"dd-MMM-aa"),"")</f>
      </c>
      <c r="HM119" s="496" t="str">
        <f> IF(HM139&lt;&gt;"",TEXT(AUX!HQ$1,"dd-MMM-aa"),"")</f>
      </c>
      <c r="HN119" s="496" t="str">
        <f> IF(HN139&lt;&gt;"",TEXT(AUX!HR$1,"dd-MMM-aa"),"")</f>
      </c>
      <c r="HO119" s="496" t="str">
        <f> IF(HO139&lt;&gt;"",TEXT(AUX!HS$1,"dd-MMM-aa"),"")</f>
      </c>
      <c r="HP119" s="496" t="str">
        <f> IF(HP139&lt;&gt;"",TEXT(AUX!HT$1,"dd-MMM-aa"),"")</f>
      </c>
      <c r="HQ119" s="496" t="str">
        <f> IF(HQ139&lt;&gt;"",TEXT(AUX!HU$1,"dd-MMM-aa"),"")</f>
      </c>
      <c r="HR119" s="496" t="str">
        <f> IF(HR139&lt;&gt;"",TEXT(AUX!HV$1,"dd-MMM-aa"),"")</f>
      </c>
      <c r="HS119" s="496" t="str">
        <f> IF(HS139&lt;&gt;"",TEXT(AUX!HW$1,"dd-MMM-aa"),"")</f>
      </c>
      <c r="HT119" s="496" t="str">
        <f> IF(HT139&lt;&gt;"",TEXT(AUX!HX$1,"dd-MMM-aa"),"")</f>
      </c>
      <c r="HU119" s="496" t="str">
        <f> IF(HU139&lt;&gt;"",TEXT(AUX!HY$1,"dd-MMM-aa"),"")</f>
      </c>
      <c r="HV119" s="496" t="str">
        <f> IF(HV139&lt;&gt;"",TEXT(AUX!HZ$1,"dd-MMM-aa"),"")</f>
      </c>
      <c r="HW119" s="496" t="str">
        <f> IF(HW139&lt;&gt;"",TEXT(AUX!IA$1,"dd-MMM-aa"),"")</f>
      </c>
      <c r="HX119" s="496" t="str">
        <f> IF(HX139&lt;&gt;"",TEXT(AUX!IB$1,"dd-MMM-aa"),"")</f>
      </c>
      <c r="HY119" s="496" t="str">
        <f> IF(HY139&lt;&gt;"",TEXT(AUX!IC$1,"dd-MMM-aa"),"")</f>
      </c>
      <c r="HZ119" s="496" t="str">
        <f> IF(HZ139&lt;&gt;"",TEXT(AUX!ID$1,"dd-MMM-aa"),"")</f>
      </c>
      <c r="IA119" s="496" t="str">
        <f> IF(IA139&lt;&gt;"",TEXT(AUX!IE$1,"dd-MMM-aa"),"")</f>
      </c>
      <c r="IB119" s="496" t="str">
        <f> IF(IB139&lt;&gt;"",TEXT(AUX!IF$1,"dd-MMM-aa"),"")</f>
      </c>
      <c r="IC119" s="496" t="str">
        <f> IF(IC139&lt;&gt;"",TEXT(AUX!IG$1,"dd-MMM-aa"),"")</f>
      </c>
      <c r="ID119" s="496" t="str">
        <f> IF(ID139&lt;&gt;"",TEXT(AUX!IH$1,"dd-MMM-aa"),"")</f>
      </c>
      <c r="IE119" s="496" t="str">
        <f> IF(IE139&lt;&gt;"",TEXT(AUX!II$1,"dd-MMM-aa"),"")</f>
      </c>
      <c r="IF119" s="496" t="str">
        <f> IF(IF139&lt;&gt;"",TEXT(AUX!IJ$1,"dd-MMM-aa"),"")</f>
      </c>
      <c r="IG119" s="496" t="str">
        <f> IF(IG139&lt;&gt;"",TEXT(AUX!IK$1,"dd-MMM-aa"),"")</f>
      </c>
      <c r="IH119" s="496" t="str">
        <f> IF(IH139&lt;&gt;"",TEXT(AUX!IL$1,"dd-MMM-aa"),"")</f>
      </c>
      <c r="II119" s="496" t="str">
        <f> IF(II139&lt;&gt;"",TEXT(AUX!IM$1,"dd-MMM-aa"),"")</f>
      </c>
      <c r="IJ119" s="496" t="str">
        <f> IF(IJ139&lt;&gt;"",TEXT(AUX!IN$1,"dd-MMM-aa"),"")</f>
      </c>
      <c r="IK119" s="496" t="str">
        <f> IF(IK139&lt;&gt;"",TEXT(AUX!IO$1,"dd-MMM-aa"),"")</f>
      </c>
      <c r="IL119" s="496" t="str">
        <f> IF(IL139&lt;&gt;"",TEXT(AUX!IP$1,"dd-MMM-aa"),"")</f>
      </c>
      <c r="IM119" s="496" t="str">
        <f> IF(IM139&lt;&gt;"",TEXT(AUX!IQ$1,"dd-MMM-aa"),"")</f>
      </c>
      <c r="IN119" s="496" t="str">
        <f> IF(IN139&lt;&gt;"",TEXT(AUX!IR$1,"dd-MMM-aa"),"")</f>
      </c>
      <c r="IO119" s="496" t="str">
        <f> IF(IO139&lt;&gt;"",TEXT(AUX!IS$1,"dd-MMM-aa"),"")</f>
      </c>
      <c r="IP119" s="496" t="str">
        <f> IF(IP139&lt;&gt;"",TEXT(AUX!IT$1,"dd-MMM-aa"),"")</f>
      </c>
      <c r="IQ119" s="496" t="str">
        <f> IF(IQ139&lt;&gt;"",TEXT(AUX!IU$1,"dd-MMM-aa"),"")</f>
      </c>
      <c r="IR119" s="496" t="str">
        <f> IF(IR139&lt;&gt;"",TEXT(AUX!IV$1,"dd-MMM-aa"),"")</f>
      </c>
      <c r="IS119" s="496" t="str">
        <f> IF(IS139&lt;&gt;"",TEXT(AUX!#REF!,"dd-MMM-aa"),"")</f>
      </c>
      <c r="IT119" s="496" t="str">
        <f> IF(IT139&lt;&gt;"",TEXT(AUX!#REF!,"dd-MMM-aa"),"")</f>
      </c>
      <c r="IU119" s="496" t="str">
        <f> IF(IU139&lt;&gt;"",TEXT(AUX!#REF!,"dd-MMM-aa"),"")</f>
      </c>
      <c r="IV119" s="496" t="str">
        <f> IF(IV139&lt;&gt;"",TEXT(AUX!#REF!,"dd-MMM-aa"),"")</f>
      </c>
    </row>
    <row r="120" hidden="1">
      <c r="B120" s="822" t="s">
        <v>8</v>
      </c>
      <c r="C120" s="823">
        <v>335</v>
      </c>
      <c r="D120" s="823">
        <v>332</v>
      </c>
      <c r="E120" s="823">
        <v>313</v>
      </c>
      <c r="F120" s="823">
        <v>309</v>
      </c>
      <c r="G120" s="823">
        <v>249</v>
      </c>
      <c r="H120" s="823">
        <v>247</v>
      </c>
      <c r="I120" s="823">
        <v>253</v>
      </c>
      <c r="J120" s="823">
        <v>250</v>
      </c>
      <c r="K120" s="823">
        <v>243</v>
      </c>
      <c r="L120" s="823">
        <v>242</v>
      </c>
      <c r="M120" s="823">
        <v>234</v>
      </c>
      <c r="N120" s="823">
        <v>232</v>
      </c>
      <c r="O120" s="823">
        <v>223</v>
      </c>
      <c r="P120" s="823">
        <v>222</v>
      </c>
      <c r="Q120" s="823">
        <v>232</v>
      </c>
      <c r="R120" s="823">
        <v>214</v>
      </c>
      <c r="S120" s="823">
        <v>212</v>
      </c>
      <c r="T120" s="823">
        <v>211</v>
      </c>
      <c r="U120" s="823">
        <v>207</v>
      </c>
      <c r="V120" s="823">
        <v>199</v>
      </c>
      <c r="W120" s="823">
        <v>192</v>
      </c>
      <c r="X120" s="823">
        <v>159</v>
      </c>
      <c r="Y120" s="823">
        <v>185</v>
      </c>
      <c r="Z120" s="823">
        <v>182</v>
      </c>
      <c r="AA120" s="823">
        <v>176</v>
      </c>
      <c r="AB120" s="824">
        <v>174</v>
      </c>
      <c r="AC120" s="825">
        <v>172</v>
      </c>
      <c r="AD120" s="825">
        <v>172</v>
      </c>
      <c r="AE120" s="825">
        <v>172</v>
      </c>
      <c r="AF120" s="825">
        <v>161</v>
      </c>
      <c r="AG120" s="825">
        <v>158</v>
      </c>
      <c r="AH120" s="825">
        <v>157</v>
      </c>
      <c r="AI120" s="825">
        <v>157</v>
      </c>
      <c r="AJ120" s="825">
        <v>157</v>
      </c>
      <c r="AK120" s="825">
        <v>154</v>
      </c>
      <c r="AL120" s="825">
        <v>153</v>
      </c>
      <c r="AM120" s="825">
        <v>134</v>
      </c>
      <c r="AN120" s="825">
        <v>141</v>
      </c>
      <c r="AO120" s="825">
        <v>140</v>
      </c>
      <c r="AP120" s="825">
        <v>139</v>
      </c>
    </row>
    <row r="121" hidden="1">
      <c r="B121" s="826" t="s">
        <v>9</v>
      </c>
      <c r="C121" s="827">
        <v>102</v>
      </c>
      <c r="D121" s="827">
        <v>102</v>
      </c>
      <c r="E121" s="827">
        <v>105</v>
      </c>
      <c r="F121" s="827">
        <v>109</v>
      </c>
      <c r="G121" s="827">
        <v>100</v>
      </c>
      <c r="H121" s="827">
        <v>99</v>
      </c>
      <c r="I121" s="827">
        <v>96</v>
      </c>
      <c r="J121" s="827">
        <v>94</v>
      </c>
      <c r="K121" s="827">
        <v>82</v>
      </c>
      <c r="L121" s="827">
        <v>84</v>
      </c>
      <c r="M121" s="827">
        <v>84</v>
      </c>
      <c r="N121" s="827">
        <v>70</v>
      </c>
      <c r="O121" s="827">
        <v>69</v>
      </c>
      <c r="P121" s="827">
        <v>69</v>
      </c>
      <c r="Q121" s="827">
        <v>82</v>
      </c>
      <c r="R121" s="827">
        <v>84</v>
      </c>
      <c r="S121" s="827">
        <v>85</v>
      </c>
      <c r="T121" s="827">
        <v>86</v>
      </c>
      <c r="U121" s="827">
        <v>81</v>
      </c>
      <c r="V121" s="827">
        <v>85</v>
      </c>
      <c r="W121" s="827">
        <v>82</v>
      </c>
      <c r="X121" s="827">
        <v>77</v>
      </c>
      <c r="Y121" s="827">
        <v>75</v>
      </c>
      <c r="Z121" s="827">
        <v>78</v>
      </c>
      <c r="AA121" s="827">
        <v>82</v>
      </c>
      <c r="AB121" s="827">
        <v>82</v>
      </c>
      <c r="AC121" s="828">
        <v>81</v>
      </c>
      <c r="AD121" s="828">
        <v>79</v>
      </c>
      <c r="AE121" s="828">
        <v>79</v>
      </c>
      <c r="AF121" s="828">
        <v>81</v>
      </c>
      <c r="AG121" s="828">
        <v>84</v>
      </c>
      <c r="AH121" s="828">
        <v>84</v>
      </c>
      <c r="AI121" s="828">
        <v>93</v>
      </c>
      <c r="AJ121" s="828">
        <v>92</v>
      </c>
      <c r="AK121" s="828">
        <v>92</v>
      </c>
      <c r="AL121" s="828">
        <v>92</v>
      </c>
      <c r="AM121" s="828">
        <v>89</v>
      </c>
      <c r="AN121" s="828">
        <v>95</v>
      </c>
      <c r="AO121" s="828">
        <v>97</v>
      </c>
      <c r="AP121" s="828">
        <v>99</v>
      </c>
    </row>
    <row r="122" hidden="1">
      <c r="B122" s="829" t="s">
        <v>10</v>
      </c>
      <c r="C122" s="823">
        <v>61</v>
      </c>
      <c r="D122" s="823">
        <v>59</v>
      </c>
      <c r="E122" s="823">
        <v>56</v>
      </c>
      <c r="F122" s="823">
        <v>41</v>
      </c>
      <c r="G122" s="823">
        <v>30</v>
      </c>
      <c r="H122" s="823">
        <v>29</v>
      </c>
      <c r="I122" s="823">
        <v>29</v>
      </c>
      <c r="J122" s="823">
        <v>18</v>
      </c>
      <c r="K122" s="823">
        <v>17</v>
      </c>
      <c r="L122" s="823">
        <v>12</v>
      </c>
      <c r="M122" s="823">
        <v>10</v>
      </c>
      <c r="N122" s="823">
        <v>10</v>
      </c>
      <c r="O122" s="823">
        <v>11</v>
      </c>
      <c r="P122" s="823">
        <v>11</v>
      </c>
      <c r="Q122" s="823">
        <v>8</v>
      </c>
      <c r="R122" s="823">
        <v>8</v>
      </c>
      <c r="S122" s="823">
        <v>8</v>
      </c>
      <c r="T122" s="823">
        <v>8</v>
      </c>
      <c r="U122" s="823">
        <v>8</v>
      </c>
      <c r="V122" s="823">
        <v>9</v>
      </c>
      <c r="W122" s="823">
        <v>7</v>
      </c>
      <c r="X122" s="823">
        <v>7</v>
      </c>
      <c r="Y122" s="823">
        <v>7</v>
      </c>
      <c r="Z122" s="823">
        <v>5</v>
      </c>
      <c r="AA122" s="823">
        <v>5</v>
      </c>
      <c r="AB122" s="823">
        <v>4</v>
      </c>
      <c r="AC122" s="825">
        <v>4</v>
      </c>
      <c r="AD122" s="825">
        <v>4</v>
      </c>
      <c r="AE122" s="825">
        <v>4</v>
      </c>
      <c r="AF122" s="825">
        <v>5</v>
      </c>
      <c r="AG122" s="825">
        <v>6</v>
      </c>
      <c r="AH122" s="825">
        <v>6</v>
      </c>
      <c r="AI122" s="825">
        <v>6</v>
      </c>
      <c r="AJ122" s="825">
        <v>5</v>
      </c>
      <c r="AK122" s="825">
        <v>5</v>
      </c>
      <c r="AL122" s="825">
        <v>5</v>
      </c>
      <c r="AM122" s="825">
        <v>5</v>
      </c>
      <c r="AN122" s="825">
        <v>6</v>
      </c>
      <c r="AO122" s="825">
        <v>6</v>
      </c>
      <c r="AP122" s="825">
        <v>5</v>
      </c>
    </row>
    <row r="123" hidden="1">
      <c r="B123" s="826" t="s">
        <v>11</v>
      </c>
      <c r="C123" s="827">
        <v>45</v>
      </c>
      <c r="D123" s="827">
        <v>45</v>
      </c>
      <c r="E123" s="827">
        <v>42</v>
      </c>
      <c r="F123" s="827">
        <v>41</v>
      </c>
      <c r="G123" s="827">
        <v>32</v>
      </c>
      <c r="H123" s="827">
        <v>34</v>
      </c>
      <c r="I123" s="827">
        <v>28</v>
      </c>
      <c r="J123" s="827">
        <v>37</v>
      </c>
      <c r="K123" s="827">
        <v>31</v>
      </c>
      <c r="L123" s="827">
        <v>31</v>
      </c>
      <c r="M123" s="827">
        <v>36</v>
      </c>
      <c r="N123" s="827">
        <v>38</v>
      </c>
      <c r="O123" s="827">
        <v>36</v>
      </c>
      <c r="P123" s="827">
        <v>37</v>
      </c>
      <c r="Q123" s="827">
        <v>42</v>
      </c>
      <c r="R123" s="827">
        <v>44</v>
      </c>
      <c r="S123" s="827">
        <v>43</v>
      </c>
      <c r="T123" s="827">
        <v>46</v>
      </c>
      <c r="U123" s="827">
        <v>41</v>
      </c>
      <c r="V123" s="827">
        <v>44</v>
      </c>
      <c r="W123" s="827">
        <v>43</v>
      </c>
      <c r="X123" s="827">
        <v>41</v>
      </c>
      <c r="Y123" s="827">
        <v>39</v>
      </c>
      <c r="Z123" s="827">
        <v>37</v>
      </c>
      <c r="AA123" s="827">
        <v>35</v>
      </c>
      <c r="AB123" s="827">
        <v>36</v>
      </c>
      <c r="AC123" s="828">
        <v>36</v>
      </c>
      <c r="AD123" s="828">
        <v>35</v>
      </c>
      <c r="AE123" s="828">
        <v>36</v>
      </c>
      <c r="AF123" s="828">
        <v>36</v>
      </c>
      <c r="AG123" s="828">
        <v>31</v>
      </c>
      <c r="AH123" s="828">
        <v>31</v>
      </c>
      <c r="AI123" s="828">
        <v>32</v>
      </c>
      <c r="AJ123" s="828">
        <v>31</v>
      </c>
      <c r="AK123" s="828">
        <v>29</v>
      </c>
      <c r="AL123" s="828">
        <v>29</v>
      </c>
      <c r="AM123" s="828">
        <v>26</v>
      </c>
      <c r="AN123" s="828">
        <v>21</v>
      </c>
      <c r="AO123" s="828">
        <v>19</v>
      </c>
      <c r="AP123" s="828">
        <v>20</v>
      </c>
    </row>
    <row r="124" hidden="1">
      <c r="B124" s="829" t="s">
        <v>12</v>
      </c>
      <c r="C124" s="823">
        <v>2</v>
      </c>
      <c r="D124" s="823">
        <v>3</v>
      </c>
      <c r="E124" s="823">
        <v>5</v>
      </c>
      <c r="F124" s="823">
        <v>5</v>
      </c>
      <c r="G124" s="823">
        <v>9</v>
      </c>
      <c r="H124" s="823">
        <v>10</v>
      </c>
      <c r="I124" s="823">
        <v>11</v>
      </c>
      <c r="J124" s="823">
        <v>9</v>
      </c>
      <c r="K124" s="823">
        <v>12</v>
      </c>
      <c r="L124" s="823">
        <v>10</v>
      </c>
      <c r="M124" s="823">
        <v>11</v>
      </c>
      <c r="N124" s="823">
        <v>10</v>
      </c>
      <c r="O124" s="823">
        <v>13</v>
      </c>
      <c r="P124" s="823">
        <v>13</v>
      </c>
      <c r="Q124" s="823">
        <v>13</v>
      </c>
      <c r="R124" s="823">
        <v>19</v>
      </c>
      <c r="S124" s="823">
        <v>23</v>
      </c>
      <c r="T124" s="823">
        <v>28</v>
      </c>
      <c r="U124" s="823">
        <v>37</v>
      </c>
      <c r="V124" s="823">
        <v>41</v>
      </c>
      <c r="W124" s="823">
        <v>42</v>
      </c>
      <c r="X124" s="823">
        <v>42</v>
      </c>
      <c r="Y124" s="823">
        <v>38</v>
      </c>
      <c r="Z124" s="823">
        <v>42</v>
      </c>
      <c r="AA124" s="823">
        <v>39</v>
      </c>
      <c r="AB124" s="823">
        <v>41</v>
      </c>
      <c r="AC124" s="825">
        <v>40</v>
      </c>
      <c r="AD124" s="825">
        <v>40</v>
      </c>
      <c r="AE124" s="825">
        <v>37</v>
      </c>
      <c r="AF124" s="825">
        <v>37</v>
      </c>
      <c r="AG124" s="825">
        <v>35</v>
      </c>
      <c r="AH124" s="825">
        <v>30</v>
      </c>
      <c r="AI124" s="825">
        <v>32</v>
      </c>
      <c r="AJ124" s="825">
        <v>30</v>
      </c>
      <c r="AK124" s="825">
        <v>27</v>
      </c>
      <c r="AL124" s="825">
        <v>26</v>
      </c>
      <c r="AM124" s="825">
        <v>24</v>
      </c>
      <c r="AN124" s="825">
        <v>22</v>
      </c>
      <c r="AO124" s="825">
        <v>18</v>
      </c>
      <c r="AP124" s="825">
        <v>17</v>
      </c>
    </row>
    <row r="125" hidden="1">
      <c r="B125" s="826" t="s">
        <v>13</v>
      </c>
      <c r="C125" s="827">
        <v>0</v>
      </c>
      <c r="D125" s="827">
        <v>0</v>
      </c>
      <c r="E125" s="827">
        <v>1</v>
      </c>
      <c r="F125" s="827">
        <v>0</v>
      </c>
      <c r="G125" s="827">
        <v>1</v>
      </c>
      <c r="H125" s="827">
        <v>2</v>
      </c>
      <c r="I125" s="827">
        <v>2</v>
      </c>
      <c r="J125" s="827">
        <v>2</v>
      </c>
      <c r="K125" s="827">
        <v>2</v>
      </c>
      <c r="L125" s="827">
        <v>3</v>
      </c>
      <c r="M125" s="827">
        <v>3</v>
      </c>
      <c r="N125" s="827">
        <v>3</v>
      </c>
      <c r="O125" s="827">
        <v>2</v>
      </c>
      <c r="P125" s="827">
        <v>2</v>
      </c>
      <c r="Q125" s="827">
        <v>2</v>
      </c>
      <c r="R125" s="827">
        <v>2</v>
      </c>
      <c r="S125" s="827">
        <v>1</v>
      </c>
      <c r="T125" s="827">
        <v>1</v>
      </c>
      <c r="U125" s="827">
        <v>1</v>
      </c>
      <c r="V125" s="827">
        <v>1</v>
      </c>
      <c r="W125" s="827">
        <v>1</v>
      </c>
      <c r="X125" s="827">
        <v>1</v>
      </c>
      <c r="Y125" s="827">
        <v>0</v>
      </c>
      <c r="Z125" s="827">
        <v>0</v>
      </c>
      <c r="AA125" s="827">
        <v>0</v>
      </c>
      <c r="AB125" s="827">
        <v>1</v>
      </c>
      <c r="AC125" s="828">
        <v>1</v>
      </c>
      <c r="AD125" s="828">
        <v>1</v>
      </c>
      <c r="AE125" s="828">
        <v>1</v>
      </c>
      <c r="AF125" s="828">
        <v>1</v>
      </c>
      <c r="AG125" s="828">
        <v>1</v>
      </c>
      <c r="AH125" s="828">
        <v>1</v>
      </c>
      <c r="AI125" s="828">
        <v>0</v>
      </c>
      <c r="AJ125" s="828">
        <v>1</v>
      </c>
      <c r="AK125" s="828">
        <v>1</v>
      </c>
      <c r="AL125" s="828">
        <v>1</v>
      </c>
      <c r="AM125" s="828">
        <v>1</v>
      </c>
      <c r="AN125" s="828">
        <v>1</v>
      </c>
      <c r="AO125" s="828">
        <v>1</v>
      </c>
      <c r="AP125" s="828">
        <v>1</v>
      </c>
    </row>
    <row r="126" hidden="1">
      <c r="B126" s="829" t="s">
        <v>109</v>
      </c>
      <c r="C126" s="823">
        <v>480</v>
      </c>
      <c r="D126" s="823">
        <v>462</v>
      </c>
      <c r="E126" s="823">
        <v>411</v>
      </c>
      <c r="F126" s="823">
        <v>397</v>
      </c>
      <c r="G126" s="823">
        <v>361</v>
      </c>
      <c r="H126" s="823">
        <v>353</v>
      </c>
      <c r="I126" s="823">
        <v>345</v>
      </c>
      <c r="J126" s="823">
        <v>327</v>
      </c>
      <c r="K126" s="823">
        <v>327</v>
      </c>
      <c r="L126" s="823">
        <v>326</v>
      </c>
      <c r="M126" s="823">
        <v>315</v>
      </c>
      <c r="N126" s="823">
        <v>312</v>
      </c>
      <c r="O126" s="823">
        <v>313</v>
      </c>
      <c r="P126" s="823">
        <v>313</v>
      </c>
      <c r="Q126" s="823">
        <v>307</v>
      </c>
      <c r="R126" s="823">
        <v>291</v>
      </c>
      <c r="S126" s="823">
        <v>277</v>
      </c>
      <c r="T126" s="823">
        <v>266</v>
      </c>
      <c r="U126" s="823">
        <v>265</v>
      </c>
      <c r="V126" s="823">
        <v>263</v>
      </c>
      <c r="W126" s="823">
        <v>258</v>
      </c>
      <c r="X126" s="823">
        <v>234</v>
      </c>
      <c r="Y126" s="823">
        <v>238</v>
      </c>
      <c r="Z126" s="823">
        <v>232</v>
      </c>
      <c r="AA126" s="823">
        <v>223</v>
      </c>
      <c r="AB126" s="823">
        <v>226</v>
      </c>
      <c r="AC126" s="825">
        <v>215</v>
      </c>
      <c r="AD126" s="825">
        <v>214</v>
      </c>
      <c r="AE126" s="825">
        <v>208</v>
      </c>
      <c r="AF126" s="825">
        <v>210</v>
      </c>
      <c r="AG126" s="825">
        <v>202</v>
      </c>
      <c r="AH126" s="825">
        <v>202</v>
      </c>
      <c r="AI126" s="825">
        <v>193</v>
      </c>
      <c r="AJ126" s="825">
        <v>176</v>
      </c>
      <c r="AK126" s="825">
        <v>178</v>
      </c>
      <c r="AL126" s="825">
        <v>176</v>
      </c>
      <c r="AM126" s="825">
        <v>159</v>
      </c>
      <c r="AN126" s="825">
        <v>166</v>
      </c>
      <c r="AO126" s="825">
        <v>171</v>
      </c>
      <c r="AP126" s="825">
        <v>171</v>
      </c>
    </row>
    <row r="127" hidden="1">
      <c r="B127" s="826" t="s">
        <v>110</v>
      </c>
      <c r="C127" s="827">
        <v>202</v>
      </c>
      <c r="D127" s="827">
        <v>221</v>
      </c>
      <c r="E127" s="827">
        <v>242</v>
      </c>
      <c r="F127" s="827">
        <v>251</v>
      </c>
      <c r="G127" s="827">
        <v>244</v>
      </c>
      <c r="H127" s="827">
        <v>239</v>
      </c>
      <c r="I127" s="827">
        <v>218</v>
      </c>
      <c r="J127" s="827">
        <v>221</v>
      </c>
      <c r="K127" s="827">
        <v>220</v>
      </c>
      <c r="L127" s="827">
        <v>221</v>
      </c>
      <c r="M127" s="827">
        <v>223</v>
      </c>
      <c r="N127" s="827">
        <v>202</v>
      </c>
      <c r="O127" s="827">
        <v>198</v>
      </c>
      <c r="P127" s="827">
        <v>194</v>
      </c>
      <c r="Q127" s="827">
        <v>200</v>
      </c>
      <c r="R127" s="827">
        <v>194</v>
      </c>
      <c r="S127" s="827">
        <v>196</v>
      </c>
      <c r="T127" s="827">
        <v>192</v>
      </c>
      <c r="U127" s="827">
        <v>189</v>
      </c>
      <c r="V127" s="827">
        <v>186</v>
      </c>
      <c r="W127" s="827">
        <v>180</v>
      </c>
      <c r="X127" s="827">
        <v>179</v>
      </c>
      <c r="Y127" s="827">
        <v>170</v>
      </c>
      <c r="Z127" s="827">
        <v>165</v>
      </c>
      <c r="AA127" s="827">
        <v>159</v>
      </c>
      <c r="AB127" s="827">
        <v>155</v>
      </c>
      <c r="AC127" s="828">
        <v>158</v>
      </c>
      <c r="AD127" s="828">
        <v>160</v>
      </c>
      <c r="AE127" s="828">
        <v>162</v>
      </c>
      <c r="AF127" s="828">
        <v>162</v>
      </c>
      <c r="AG127" s="828">
        <v>166</v>
      </c>
      <c r="AH127" s="828">
        <v>161</v>
      </c>
      <c r="AI127" s="828">
        <v>156</v>
      </c>
      <c r="AJ127" s="828">
        <v>156</v>
      </c>
      <c r="AK127" s="828">
        <v>154</v>
      </c>
      <c r="AL127" s="828">
        <v>154</v>
      </c>
      <c r="AM127" s="828">
        <v>149</v>
      </c>
      <c r="AN127" s="828">
        <v>147</v>
      </c>
      <c r="AO127" s="828">
        <v>143</v>
      </c>
      <c r="AP127" s="828">
        <v>143</v>
      </c>
    </row>
    <row r="128" hidden="1">
      <c r="B128" s="829" t="s">
        <v>16</v>
      </c>
      <c r="C128" s="823">
        <v>271</v>
      </c>
      <c r="D128" s="823">
        <v>272</v>
      </c>
      <c r="E128" s="823">
        <v>274</v>
      </c>
      <c r="F128" s="823">
        <v>265</v>
      </c>
      <c r="G128" s="823">
        <v>275</v>
      </c>
      <c r="H128" s="823">
        <v>275</v>
      </c>
      <c r="I128" s="823">
        <v>267</v>
      </c>
      <c r="J128" s="823">
        <v>259</v>
      </c>
      <c r="K128" s="823">
        <v>254</v>
      </c>
      <c r="L128" s="823">
        <v>244</v>
      </c>
      <c r="M128" s="823">
        <v>237</v>
      </c>
      <c r="N128" s="823">
        <v>233</v>
      </c>
      <c r="O128" s="823">
        <v>225</v>
      </c>
      <c r="P128" s="823">
        <v>222</v>
      </c>
      <c r="Q128" s="823">
        <v>213</v>
      </c>
      <c r="R128" s="823">
        <v>206</v>
      </c>
      <c r="S128" s="823">
        <v>204</v>
      </c>
      <c r="T128" s="823">
        <v>201</v>
      </c>
      <c r="U128" s="823">
        <v>212</v>
      </c>
      <c r="V128" s="823">
        <v>218</v>
      </c>
      <c r="W128" s="823">
        <v>217</v>
      </c>
      <c r="X128" s="823">
        <v>216</v>
      </c>
      <c r="Y128" s="823">
        <v>214</v>
      </c>
      <c r="Z128" s="823">
        <v>212</v>
      </c>
      <c r="AA128" s="823">
        <v>207</v>
      </c>
      <c r="AB128" s="823">
        <v>196</v>
      </c>
      <c r="AC128" s="825">
        <v>193</v>
      </c>
      <c r="AD128" s="825">
        <v>198</v>
      </c>
      <c r="AE128" s="825">
        <v>188</v>
      </c>
      <c r="AF128" s="825">
        <v>192</v>
      </c>
      <c r="AG128" s="825">
        <v>194</v>
      </c>
      <c r="AH128" s="825">
        <v>196</v>
      </c>
      <c r="AI128" s="825">
        <v>201</v>
      </c>
      <c r="AJ128" s="825">
        <v>202</v>
      </c>
      <c r="AK128" s="825">
        <v>203</v>
      </c>
      <c r="AL128" s="825">
        <v>195</v>
      </c>
      <c r="AM128" s="825">
        <v>188</v>
      </c>
      <c r="AN128" s="825">
        <v>192</v>
      </c>
      <c r="AO128" s="825">
        <v>192</v>
      </c>
      <c r="AP128" s="825">
        <v>196</v>
      </c>
    </row>
    <row r="129" hidden="1">
      <c r="B129" s="826" t="s">
        <v>17</v>
      </c>
      <c r="C129" s="827">
        <v>852</v>
      </c>
      <c r="D129" s="827">
        <v>837</v>
      </c>
      <c r="E129" s="827">
        <v>823</v>
      </c>
      <c r="F129" s="827">
        <v>813</v>
      </c>
      <c r="G129" s="827">
        <v>509</v>
      </c>
      <c r="H129" s="827">
        <v>503</v>
      </c>
      <c r="I129" s="827">
        <v>441</v>
      </c>
      <c r="J129" s="827">
        <v>447</v>
      </c>
      <c r="K129" s="827">
        <v>450</v>
      </c>
      <c r="L129" s="827">
        <v>450</v>
      </c>
      <c r="M129" s="827">
        <v>448</v>
      </c>
      <c r="N129" s="827">
        <v>450</v>
      </c>
      <c r="O129" s="827">
        <v>451</v>
      </c>
      <c r="P129" s="827">
        <v>190</v>
      </c>
      <c r="Q129" s="827">
        <v>174</v>
      </c>
      <c r="R129" s="827">
        <v>184</v>
      </c>
      <c r="S129" s="827">
        <v>167</v>
      </c>
      <c r="T129" s="827">
        <v>167</v>
      </c>
      <c r="U129" s="827">
        <v>139</v>
      </c>
      <c r="V129" s="827">
        <v>144</v>
      </c>
      <c r="W129" s="827">
        <v>128</v>
      </c>
      <c r="X129" s="827">
        <v>125</v>
      </c>
      <c r="Y129" s="827">
        <v>126</v>
      </c>
      <c r="Z129" s="827">
        <v>128</v>
      </c>
      <c r="AA129" s="827">
        <v>133</v>
      </c>
      <c r="AB129" s="827">
        <v>133</v>
      </c>
      <c r="AC129" s="828">
        <v>132</v>
      </c>
      <c r="AD129" s="828">
        <v>133</v>
      </c>
      <c r="AE129" s="828">
        <v>136</v>
      </c>
      <c r="AF129" s="828">
        <v>137</v>
      </c>
      <c r="AG129" s="828">
        <v>135</v>
      </c>
      <c r="AH129" s="828">
        <v>135</v>
      </c>
      <c r="AI129" s="828">
        <v>134</v>
      </c>
      <c r="AJ129" s="828">
        <v>135</v>
      </c>
      <c r="AK129" s="828">
        <v>135</v>
      </c>
      <c r="AL129" s="828">
        <v>133</v>
      </c>
      <c r="AM129" s="828">
        <v>130</v>
      </c>
      <c r="AN129" s="828">
        <v>133</v>
      </c>
      <c r="AO129" s="828">
        <v>134</v>
      </c>
      <c r="AP129" s="828">
        <v>133</v>
      </c>
    </row>
    <row r="130" hidden="1">
      <c r="B130" s="829" t="s">
        <v>18</v>
      </c>
      <c r="C130" s="823">
        <v>7</v>
      </c>
      <c r="D130" s="823">
        <v>10</v>
      </c>
      <c r="E130" s="823">
        <v>11</v>
      </c>
      <c r="F130" s="823">
        <v>10</v>
      </c>
      <c r="G130" s="823">
        <v>11</v>
      </c>
      <c r="H130" s="823">
        <v>14</v>
      </c>
      <c r="I130" s="823">
        <v>13</v>
      </c>
      <c r="J130" s="823">
        <v>16</v>
      </c>
      <c r="K130" s="823">
        <v>21</v>
      </c>
      <c r="L130" s="823">
        <v>21</v>
      </c>
      <c r="M130" s="823">
        <v>13</v>
      </c>
      <c r="N130" s="823">
        <v>16</v>
      </c>
      <c r="O130" s="823">
        <v>29</v>
      </c>
      <c r="P130" s="823">
        <v>9</v>
      </c>
      <c r="Q130" s="823">
        <v>11</v>
      </c>
      <c r="R130" s="823">
        <v>7</v>
      </c>
      <c r="S130" s="823">
        <v>6</v>
      </c>
      <c r="T130" s="823">
        <v>5</v>
      </c>
      <c r="U130" s="823">
        <v>4</v>
      </c>
      <c r="V130" s="823">
        <v>2</v>
      </c>
      <c r="W130" s="823">
        <v>2</v>
      </c>
      <c r="X130" s="823">
        <v>3</v>
      </c>
      <c r="Y130" s="823">
        <v>2</v>
      </c>
      <c r="Z130" s="823">
        <v>2</v>
      </c>
      <c r="AA130" s="823">
        <v>2</v>
      </c>
      <c r="AB130" s="823">
        <v>2</v>
      </c>
      <c r="AC130" s="825">
        <v>4</v>
      </c>
      <c r="AD130" s="825">
        <v>8</v>
      </c>
      <c r="AE130" s="825">
        <v>9</v>
      </c>
      <c r="AF130" s="825">
        <v>14</v>
      </c>
      <c r="AG130" s="825">
        <v>15</v>
      </c>
      <c r="AH130" s="825">
        <v>12</v>
      </c>
      <c r="AI130" s="825">
        <v>6</v>
      </c>
      <c r="AJ130" s="825">
        <v>4</v>
      </c>
      <c r="AK130" s="825">
        <v>5</v>
      </c>
      <c r="AL130" s="825">
        <v>6</v>
      </c>
      <c r="AM130" s="825">
        <v>4</v>
      </c>
      <c r="AN130" s="825">
        <v>2</v>
      </c>
      <c r="AO130" s="825">
        <v>2</v>
      </c>
      <c r="AP130" s="825">
        <v>2</v>
      </c>
    </row>
    <row r="131" hidden="1">
      <c r="B131" s="826" t="s">
        <v>19</v>
      </c>
      <c r="C131" s="827">
        <v>40</v>
      </c>
      <c r="D131" s="827">
        <v>38</v>
      </c>
      <c r="E131" s="827">
        <v>38</v>
      </c>
      <c r="F131" s="827">
        <v>38</v>
      </c>
      <c r="G131" s="827">
        <v>35</v>
      </c>
      <c r="H131" s="827">
        <v>35</v>
      </c>
      <c r="I131" s="827">
        <v>36</v>
      </c>
      <c r="J131" s="827">
        <v>36</v>
      </c>
      <c r="K131" s="827">
        <v>36</v>
      </c>
      <c r="L131" s="827">
        <v>34</v>
      </c>
      <c r="M131" s="827">
        <v>32</v>
      </c>
      <c r="N131" s="827">
        <v>30</v>
      </c>
      <c r="O131" s="827">
        <v>29</v>
      </c>
      <c r="P131" s="827">
        <v>29</v>
      </c>
      <c r="Q131" s="827">
        <v>25</v>
      </c>
      <c r="R131" s="827">
        <v>25</v>
      </c>
      <c r="S131" s="827">
        <v>23</v>
      </c>
      <c r="T131" s="827">
        <v>23</v>
      </c>
      <c r="U131" s="827">
        <v>23</v>
      </c>
      <c r="V131" s="827">
        <v>26</v>
      </c>
      <c r="W131" s="827">
        <v>25</v>
      </c>
      <c r="X131" s="827">
        <v>25</v>
      </c>
      <c r="Y131" s="827">
        <v>26</v>
      </c>
      <c r="Z131" s="827">
        <v>26</v>
      </c>
      <c r="AA131" s="827">
        <v>26</v>
      </c>
      <c r="AB131" s="827">
        <v>26</v>
      </c>
      <c r="AC131" s="828">
        <v>26</v>
      </c>
      <c r="AD131" s="828">
        <v>26</v>
      </c>
      <c r="AE131" s="828">
        <v>27</v>
      </c>
      <c r="AF131" s="828">
        <v>27</v>
      </c>
      <c r="AG131" s="828">
        <v>26</v>
      </c>
      <c r="AH131" s="828">
        <v>26</v>
      </c>
      <c r="AI131" s="828">
        <v>22</v>
      </c>
      <c r="AJ131" s="828">
        <v>16</v>
      </c>
      <c r="AK131" s="828">
        <v>15</v>
      </c>
      <c r="AL131" s="828">
        <v>14</v>
      </c>
      <c r="AM131" s="828">
        <v>13</v>
      </c>
      <c r="AN131" s="828">
        <v>13</v>
      </c>
      <c r="AO131" s="828">
        <v>12</v>
      </c>
      <c r="AP131" s="828">
        <v>13</v>
      </c>
    </row>
    <row r="132" hidden="1">
      <c r="B132" s="829" t="s">
        <v>20</v>
      </c>
      <c r="C132" s="823">
        <v>198</v>
      </c>
      <c r="D132" s="823">
        <v>203</v>
      </c>
      <c r="E132" s="823">
        <v>213</v>
      </c>
      <c r="F132" s="823">
        <v>215</v>
      </c>
      <c r="G132" s="823">
        <v>130</v>
      </c>
      <c r="H132" s="823">
        <v>128</v>
      </c>
      <c r="I132" s="823">
        <v>132</v>
      </c>
      <c r="J132" s="823">
        <v>128</v>
      </c>
      <c r="K132" s="823">
        <v>125</v>
      </c>
      <c r="L132" s="823">
        <v>130</v>
      </c>
      <c r="M132" s="823">
        <v>81</v>
      </c>
      <c r="N132" s="823">
        <v>78</v>
      </c>
      <c r="O132" s="823">
        <v>82</v>
      </c>
      <c r="P132" s="823">
        <v>83</v>
      </c>
      <c r="Q132" s="823">
        <v>86</v>
      </c>
      <c r="R132" s="823">
        <v>89</v>
      </c>
      <c r="S132" s="823">
        <v>95</v>
      </c>
      <c r="T132" s="823">
        <v>97</v>
      </c>
      <c r="U132" s="823">
        <v>89</v>
      </c>
      <c r="V132" s="823">
        <v>92</v>
      </c>
      <c r="W132" s="823">
        <v>84</v>
      </c>
      <c r="X132" s="823">
        <v>88</v>
      </c>
      <c r="Y132" s="823">
        <v>78</v>
      </c>
      <c r="Z132" s="823">
        <v>79</v>
      </c>
      <c r="AA132" s="823">
        <v>84</v>
      </c>
      <c r="AB132" s="823">
        <v>85</v>
      </c>
      <c r="AC132" s="825">
        <v>77</v>
      </c>
      <c r="AD132" s="825">
        <v>78</v>
      </c>
      <c r="AE132" s="825">
        <v>81</v>
      </c>
      <c r="AF132" s="825">
        <v>82</v>
      </c>
      <c r="AG132" s="825">
        <v>74</v>
      </c>
      <c r="AH132" s="825">
        <v>75</v>
      </c>
      <c r="AI132" s="825">
        <v>76</v>
      </c>
      <c r="AJ132" s="825">
        <v>77</v>
      </c>
      <c r="AK132" s="825">
        <v>76</v>
      </c>
      <c r="AL132" s="825">
        <v>75</v>
      </c>
      <c r="AM132" s="825">
        <v>73</v>
      </c>
      <c r="AN132" s="825">
        <v>75</v>
      </c>
      <c r="AO132" s="825">
        <v>80</v>
      </c>
      <c r="AP132" s="825">
        <v>80</v>
      </c>
    </row>
    <row r="133" hidden="1">
      <c r="B133" s="826" t="s">
        <v>21</v>
      </c>
      <c r="C133" s="827">
        <v>25</v>
      </c>
      <c r="D133" s="827">
        <v>23</v>
      </c>
      <c r="E133" s="827">
        <v>23</v>
      </c>
      <c r="F133" s="827">
        <v>23</v>
      </c>
      <c r="G133" s="827">
        <v>22</v>
      </c>
      <c r="H133" s="827">
        <v>20</v>
      </c>
      <c r="I133" s="827">
        <v>19</v>
      </c>
      <c r="J133" s="827">
        <v>21</v>
      </c>
      <c r="K133" s="827">
        <v>21</v>
      </c>
      <c r="L133" s="827">
        <v>21</v>
      </c>
      <c r="M133" s="827">
        <v>19</v>
      </c>
      <c r="N133" s="827">
        <v>18</v>
      </c>
      <c r="O133" s="827">
        <v>19</v>
      </c>
      <c r="P133" s="827">
        <v>18</v>
      </c>
      <c r="Q133" s="827">
        <v>21</v>
      </c>
      <c r="R133" s="827">
        <v>17</v>
      </c>
      <c r="S133" s="827">
        <v>16</v>
      </c>
      <c r="T133" s="827">
        <v>24</v>
      </c>
      <c r="U133" s="827">
        <v>21</v>
      </c>
      <c r="V133" s="827">
        <v>22</v>
      </c>
      <c r="W133" s="827">
        <v>21</v>
      </c>
      <c r="X133" s="827">
        <v>20</v>
      </c>
      <c r="Y133" s="827">
        <v>18</v>
      </c>
      <c r="Z133" s="827">
        <v>19</v>
      </c>
      <c r="AA133" s="827">
        <v>17</v>
      </c>
      <c r="AB133" s="827">
        <v>18</v>
      </c>
      <c r="AC133" s="828">
        <v>12</v>
      </c>
      <c r="AD133" s="828">
        <v>12</v>
      </c>
      <c r="AE133" s="828">
        <v>12</v>
      </c>
      <c r="AF133" s="828">
        <v>14</v>
      </c>
      <c r="AG133" s="828">
        <v>16</v>
      </c>
      <c r="AH133" s="828">
        <v>19</v>
      </c>
      <c r="AI133" s="828">
        <v>17</v>
      </c>
      <c r="AJ133" s="828">
        <v>16</v>
      </c>
      <c r="AK133" s="828">
        <v>11</v>
      </c>
      <c r="AL133" s="828">
        <v>13</v>
      </c>
      <c r="AM133" s="828">
        <v>15</v>
      </c>
      <c r="AN133" s="828">
        <v>16</v>
      </c>
      <c r="AO133" s="828">
        <v>17</v>
      </c>
      <c r="AP133" s="828">
        <v>17</v>
      </c>
    </row>
    <row r="134" hidden="1">
      <c r="B134" s="829" t="s">
        <v>22</v>
      </c>
      <c r="C134" s="823">
        <v>53</v>
      </c>
      <c r="D134" s="823">
        <v>63</v>
      </c>
      <c r="E134" s="823">
        <v>81</v>
      </c>
      <c r="F134" s="823">
        <v>86</v>
      </c>
      <c r="G134" s="823">
        <v>91</v>
      </c>
      <c r="H134" s="823">
        <v>95</v>
      </c>
      <c r="I134" s="823">
        <v>85</v>
      </c>
      <c r="J134" s="823">
        <v>84</v>
      </c>
      <c r="K134" s="823">
        <v>79</v>
      </c>
      <c r="L134" s="823">
        <v>21</v>
      </c>
      <c r="M134" s="823">
        <v>17</v>
      </c>
      <c r="N134" s="823">
        <v>28</v>
      </c>
      <c r="O134" s="823">
        <v>35</v>
      </c>
      <c r="P134" s="823">
        <v>35</v>
      </c>
      <c r="Q134" s="823">
        <v>36</v>
      </c>
      <c r="R134" s="823">
        <v>38</v>
      </c>
      <c r="S134" s="823">
        <v>33</v>
      </c>
      <c r="T134" s="823">
        <v>33</v>
      </c>
      <c r="U134" s="823">
        <v>24</v>
      </c>
      <c r="V134" s="823">
        <v>24</v>
      </c>
      <c r="W134" s="823">
        <v>23</v>
      </c>
      <c r="X134" s="823">
        <v>22</v>
      </c>
      <c r="Y134" s="823">
        <v>19</v>
      </c>
      <c r="Z134" s="823">
        <v>21</v>
      </c>
      <c r="AA134" s="823">
        <v>17</v>
      </c>
      <c r="AB134" s="823">
        <v>21</v>
      </c>
      <c r="AC134" s="825">
        <v>13</v>
      </c>
      <c r="AD134" s="825">
        <v>12</v>
      </c>
      <c r="AE134" s="825">
        <v>7</v>
      </c>
      <c r="AF134" s="825">
        <v>7</v>
      </c>
      <c r="AG134" s="825">
        <v>6</v>
      </c>
      <c r="AH134" s="825">
        <v>5</v>
      </c>
      <c r="AI134" s="825">
        <v>1</v>
      </c>
      <c r="AJ134" s="825">
        <v>1</v>
      </c>
      <c r="AK134" s="825">
        <v>2</v>
      </c>
      <c r="AL134" s="825">
        <v>2</v>
      </c>
      <c r="AM134" s="825">
        <v>2</v>
      </c>
      <c r="AN134" s="825">
        <v>1</v>
      </c>
      <c r="AO134" s="825">
        <v>1</v>
      </c>
      <c r="AP134" s="825">
        <v>1</v>
      </c>
    </row>
    <row r="135" hidden="1">
      <c r="B135" s="826" t="s">
        <v>23</v>
      </c>
      <c r="C135" s="827">
        <v>65</v>
      </c>
      <c r="D135" s="827">
        <v>66</v>
      </c>
      <c r="E135" s="827">
        <v>60</v>
      </c>
      <c r="F135" s="827">
        <v>44</v>
      </c>
      <c r="G135" s="827">
        <v>44</v>
      </c>
      <c r="H135" s="827">
        <v>43</v>
      </c>
      <c r="I135" s="827">
        <v>39</v>
      </c>
      <c r="J135" s="827">
        <v>40</v>
      </c>
      <c r="K135" s="827">
        <v>36</v>
      </c>
      <c r="L135" s="827">
        <v>33</v>
      </c>
      <c r="M135" s="827">
        <v>35</v>
      </c>
      <c r="N135" s="827">
        <v>32</v>
      </c>
      <c r="O135" s="827">
        <v>31</v>
      </c>
      <c r="P135" s="827">
        <v>27</v>
      </c>
      <c r="Q135" s="827">
        <v>26</v>
      </c>
      <c r="R135" s="827">
        <v>26</v>
      </c>
      <c r="S135" s="827">
        <v>26</v>
      </c>
      <c r="T135" s="827">
        <v>25</v>
      </c>
      <c r="U135" s="827">
        <v>22</v>
      </c>
      <c r="V135" s="827">
        <v>23</v>
      </c>
      <c r="W135" s="827">
        <v>22</v>
      </c>
      <c r="X135" s="827">
        <v>23</v>
      </c>
      <c r="Y135" s="827">
        <v>22</v>
      </c>
      <c r="Z135" s="827">
        <v>22</v>
      </c>
      <c r="AA135" s="827">
        <v>23</v>
      </c>
      <c r="AB135" s="827">
        <v>22</v>
      </c>
      <c r="AC135" s="828">
        <v>19</v>
      </c>
      <c r="AD135" s="828">
        <v>18</v>
      </c>
      <c r="AE135" s="828">
        <v>18</v>
      </c>
      <c r="AF135" s="828">
        <v>16</v>
      </c>
      <c r="AG135" s="828">
        <v>16</v>
      </c>
      <c r="AH135" s="828">
        <v>16</v>
      </c>
      <c r="AI135" s="828">
        <v>15</v>
      </c>
      <c r="AJ135" s="828">
        <v>13</v>
      </c>
      <c r="AK135" s="828">
        <v>13</v>
      </c>
      <c r="AL135" s="828">
        <v>13</v>
      </c>
      <c r="AM135" s="828">
        <v>13</v>
      </c>
      <c r="AN135" s="828">
        <v>13</v>
      </c>
      <c r="AO135" s="828">
        <v>14</v>
      </c>
      <c r="AP135" s="828">
        <v>14</v>
      </c>
    </row>
    <row r="136" hidden="1">
      <c r="B136" s="830" t="s">
        <v>24</v>
      </c>
      <c r="C136" s="823">
        <v>128</v>
      </c>
      <c r="D136" s="823">
        <v>118</v>
      </c>
      <c r="E136" s="823">
        <v>109</v>
      </c>
      <c r="F136" s="823">
        <v>109</v>
      </c>
      <c r="G136" s="823">
        <v>100</v>
      </c>
      <c r="H136" s="823">
        <v>101</v>
      </c>
      <c r="I136" s="823">
        <v>98</v>
      </c>
      <c r="J136" s="823">
        <v>97</v>
      </c>
      <c r="K136" s="823">
        <v>96</v>
      </c>
      <c r="L136" s="823">
        <v>96</v>
      </c>
      <c r="M136" s="823">
        <v>94</v>
      </c>
      <c r="N136" s="823">
        <v>93</v>
      </c>
      <c r="O136" s="823">
        <v>86</v>
      </c>
      <c r="P136" s="823">
        <v>84</v>
      </c>
      <c r="Q136" s="823">
        <v>80</v>
      </c>
      <c r="R136" s="823">
        <v>79</v>
      </c>
      <c r="S136" s="823">
        <v>76</v>
      </c>
      <c r="T136" s="823">
        <v>78</v>
      </c>
      <c r="U136" s="823">
        <v>74</v>
      </c>
      <c r="V136" s="823">
        <v>73</v>
      </c>
      <c r="W136" s="823">
        <v>71</v>
      </c>
      <c r="X136" s="823">
        <v>61</v>
      </c>
      <c r="Y136" s="823">
        <v>62</v>
      </c>
      <c r="Z136" s="823">
        <v>63</v>
      </c>
      <c r="AA136" s="823">
        <v>60</v>
      </c>
      <c r="AB136" s="823">
        <v>58</v>
      </c>
      <c r="AC136" s="825">
        <v>67</v>
      </c>
      <c r="AD136" s="825">
        <v>67</v>
      </c>
      <c r="AE136" s="825">
        <v>67</v>
      </c>
      <c r="AF136" s="825">
        <v>68</v>
      </c>
      <c r="AG136" s="825">
        <v>64</v>
      </c>
      <c r="AH136" s="825">
        <v>63</v>
      </c>
      <c r="AI136" s="825">
        <v>57</v>
      </c>
      <c r="AJ136" s="825">
        <v>57</v>
      </c>
      <c r="AK136" s="825">
        <v>54</v>
      </c>
      <c r="AL136" s="825">
        <v>52</v>
      </c>
      <c r="AM136" s="825">
        <v>45</v>
      </c>
      <c r="AN136" s="825">
        <v>43</v>
      </c>
      <c r="AO136" s="825">
        <v>42</v>
      </c>
      <c r="AP136" s="825">
        <v>41</v>
      </c>
    </row>
    <row r="137" hidden="1">
      <c r="B137" s="826" t="s">
        <v>25</v>
      </c>
      <c r="C137" s="827">
        <v>0</v>
      </c>
      <c r="D137" s="827">
        <v>0</v>
      </c>
      <c r="E137" s="827">
        <v>0</v>
      </c>
      <c r="F137" s="827">
        <v>0</v>
      </c>
      <c r="G137" s="827">
        <v>0</v>
      </c>
      <c r="H137" s="827">
        <v>0</v>
      </c>
      <c r="I137" s="827">
        <v>0</v>
      </c>
      <c r="J137" s="827">
        <v>0</v>
      </c>
      <c r="K137" s="827">
        <v>0</v>
      </c>
      <c r="L137" s="827">
        <v>0</v>
      </c>
      <c r="M137" s="827">
        <v>0</v>
      </c>
      <c r="N137" s="827">
        <v>0</v>
      </c>
      <c r="O137" s="827">
        <v>0</v>
      </c>
      <c r="P137" s="827">
        <v>0</v>
      </c>
      <c r="Q137" s="827">
        <v>0</v>
      </c>
      <c r="R137" s="827">
        <v>4</v>
      </c>
      <c r="S137" s="827">
        <v>4</v>
      </c>
      <c r="T137" s="827">
        <v>4</v>
      </c>
      <c r="U137" s="827">
        <v>4</v>
      </c>
      <c r="V137" s="827">
        <v>4</v>
      </c>
      <c r="W137" s="827">
        <v>4</v>
      </c>
      <c r="X137" s="827">
        <v>4</v>
      </c>
      <c r="Y137" s="827">
        <v>4</v>
      </c>
      <c r="Z137" s="827">
        <v>4</v>
      </c>
      <c r="AA137" s="827">
        <v>4</v>
      </c>
      <c r="AB137" s="827">
        <v>4</v>
      </c>
      <c r="AC137" s="828">
        <v>4</v>
      </c>
      <c r="AD137" s="828">
        <v>4</v>
      </c>
      <c r="AE137" s="828">
        <v>4</v>
      </c>
      <c r="AF137" s="828">
        <v>4</v>
      </c>
      <c r="AG137" s="828">
        <v>4</v>
      </c>
      <c r="AH137" s="828">
        <v>4</v>
      </c>
      <c r="AI137" s="828">
        <v>4</v>
      </c>
      <c r="AJ137" s="828">
        <v>4</v>
      </c>
      <c r="AK137" s="828">
        <v>4</v>
      </c>
      <c r="AL137" s="828">
        <v>4</v>
      </c>
      <c r="AM137" s="828">
        <v>4</v>
      </c>
      <c r="AN137" s="828">
        <v>4</v>
      </c>
      <c r="AO137" s="828">
        <v>4</v>
      </c>
      <c r="AP137" s="828">
        <v>4</v>
      </c>
    </row>
    <row r="138" hidden="1" ht="13.5">
      <c r="B138" s="831" t="s">
        <v>26</v>
      </c>
      <c r="C138" s="823">
        <v>0</v>
      </c>
      <c r="D138" s="823">
        <v>0</v>
      </c>
      <c r="E138" s="823">
        <v>0</v>
      </c>
      <c r="F138" s="823">
        <v>0</v>
      </c>
      <c r="G138" s="823">
        <v>0</v>
      </c>
      <c r="H138" s="823">
        <v>0</v>
      </c>
      <c r="I138" s="823">
        <v>0</v>
      </c>
      <c r="J138" s="823">
        <v>0</v>
      </c>
      <c r="K138" s="823">
        <v>0</v>
      </c>
      <c r="L138" s="823">
        <v>0</v>
      </c>
      <c r="M138" s="823">
        <v>0</v>
      </c>
      <c r="N138" s="823">
        <v>0</v>
      </c>
      <c r="O138" s="823">
        <v>0</v>
      </c>
      <c r="P138" s="823">
        <v>0</v>
      </c>
      <c r="Q138" s="823">
        <v>0</v>
      </c>
      <c r="R138" s="823">
        <v>0</v>
      </c>
      <c r="S138" s="823">
        <v>0</v>
      </c>
      <c r="T138" s="823">
        <v>0</v>
      </c>
      <c r="U138" s="823">
        <v>0</v>
      </c>
      <c r="V138" s="823">
        <v>0</v>
      </c>
      <c r="W138" s="823">
        <v>2</v>
      </c>
      <c r="X138" s="823">
        <v>2</v>
      </c>
      <c r="Y138" s="823">
        <v>2</v>
      </c>
      <c r="Z138" s="823">
        <v>3</v>
      </c>
      <c r="AA138" s="823">
        <v>3</v>
      </c>
      <c r="AB138" s="832">
        <v>4</v>
      </c>
      <c r="AC138" s="825">
        <v>4</v>
      </c>
      <c r="AD138" s="825">
        <v>4</v>
      </c>
      <c r="AE138" s="825">
        <v>4</v>
      </c>
      <c r="AF138" s="825">
        <v>4</v>
      </c>
      <c r="AG138" s="825">
        <v>5</v>
      </c>
      <c r="AH138" s="825">
        <v>5</v>
      </c>
      <c r="AI138" s="825">
        <v>7</v>
      </c>
      <c r="AJ138" s="825">
        <v>7</v>
      </c>
      <c r="AK138" s="825">
        <v>7</v>
      </c>
      <c r="AL138" s="825">
        <v>7</v>
      </c>
      <c r="AM138" s="825">
        <v>7</v>
      </c>
      <c r="AN138" s="825">
        <v>7</v>
      </c>
      <c r="AO138" s="825">
        <v>7</v>
      </c>
      <c r="AP138" s="825">
        <v>7</v>
      </c>
    </row>
    <row r="139" hidden="1" ht="13.5">
      <c r="B139" s="128" t="s">
        <v>7</v>
      </c>
      <c r="C139" s="129" t="str">
        <f>IF(SUM(C120:C138)&lt;&gt;0,SUM(C120:C138),"")</f>
      </c>
      <c r="D139" s="129" t="str">
        <f ref="D139:AA139" t="shared" si="0">IF(SUM(D120:D138)&lt;&gt;0,SUM(D120:D138),"")</f>
      </c>
      <c r="E139" s="129" t="str">
        <f t="shared" si="0"/>
      </c>
      <c r="F139" s="129" t="str">
        <f t="shared" si="0"/>
      </c>
      <c r="G139" s="129" t="str">
        <f t="shared" si="0"/>
      </c>
      <c r="H139" s="129" t="str">
        <f t="shared" si="0"/>
      </c>
      <c r="I139" s="129" t="str">
        <f t="shared" si="0"/>
      </c>
      <c r="J139" s="129" t="str">
        <f t="shared" si="0"/>
      </c>
      <c r="K139" s="129" t="str">
        <f t="shared" si="0"/>
      </c>
      <c r="L139" s="129" t="str">
        <f t="shared" si="0"/>
      </c>
      <c r="M139" s="129" t="str">
        <f t="shared" si="0"/>
      </c>
      <c r="N139" s="129" t="str">
        <f t="shared" si="0"/>
      </c>
      <c r="O139" s="129" t="str">
        <f t="shared" si="0"/>
      </c>
      <c r="P139" s="129" t="str">
        <f t="shared" si="0"/>
      </c>
      <c r="Q139" s="129" t="str">
        <f t="shared" si="0"/>
      </c>
      <c r="R139" s="129" t="str">
        <f t="shared" si="0"/>
      </c>
      <c r="S139" s="129" t="str">
        <f t="shared" si="0"/>
      </c>
      <c r="T139" s="129" t="str">
        <f t="shared" si="0"/>
      </c>
      <c r="U139" s="129" t="str">
        <f t="shared" si="0"/>
      </c>
      <c r="V139" s="129" t="str">
        <f t="shared" si="0"/>
      </c>
      <c r="W139" s="129" t="str">
        <f t="shared" si="0"/>
      </c>
      <c r="X139" s="129" t="str">
        <f t="shared" si="0"/>
      </c>
      <c r="Y139" s="129" t="str">
        <f t="shared" si="0"/>
      </c>
      <c r="Z139" s="129" t="str">
        <f t="shared" si="0"/>
      </c>
      <c r="AA139" s="129" t="str">
        <f t="shared" si="0"/>
      </c>
      <c r="AB139" s="130" t="str">
        <f>IF(SUM(AB120:AB138)&lt;&gt;0,SUM(AB120:AB138),"")</f>
      </c>
      <c r="AC139" s="91" t="str">
        <f ref="AC139:CN139" t="shared" si="1">IF(SUM(AC120:AC138)&lt;&gt;0,SUM(AC120:AC138),"")</f>
      </c>
      <c r="AD139" s="91" t="str">
        <f t="shared" si="1"/>
      </c>
      <c r="AE139" s="91" t="str">
        <f t="shared" si="1"/>
      </c>
      <c r="AF139" s="91" t="str">
        <f t="shared" si="1"/>
      </c>
      <c r="AG139" s="91" t="str">
        <f t="shared" si="1"/>
      </c>
      <c r="AH139" s="91" t="str">
        <f t="shared" si="1"/>
      </c>
      <c r="AI139" s="91" t="str">
        <f t="shared" si="1"/>
      </c>
      <c r="AJ139" s="91" t="str">
        <f t="shared" si="1"/>
      </c>
      <c r="AK139" s="91" t="str">
        <f t="shared" si="1"/>
      </c>
      <c r="AL139" s="91" t="str">
        <f t="shared" si="1"/>
      </c>
      <c r="AM139" s="91" t="str">
        <f t="shared" si="1"/>
      </c>
      <c r="AN139" s="91" t="str">
        <f t="shared" si="1"/>
      </c>
      <c r="AO139" s="91" t="str">
        <f t="shared" si="1"/>
      </c>
      <c r="AP139" s="91" t="str">
        <f t="shared" si="1"/>
      </c>
      <c r="AQ139" s="91" t="str">
        <f t="shared" si="1"/>
      </c>
      <c r="AR139" s="91" t="str">
        <f t="shared" si="1"/>
      </c>
      <c r="AS139" s="91" t="str">
        <f t="shared" si="1"/>
      </c>
      <c r="AT139" s="91" t="str">
        <f t="shared" si="1"/>
      </c>
      <c r="AU139" s="91" t="str">
        <f t="shared" si="1"/>
      </c>
      <c r="AV139" s="91" t="str">
        <f t="shared" si="1"/>
      </c>
      <c r="AW139" s="91" t="str">
        <f t="shared" si="1"/>
      </c>
      <c r="AX139" s="91" t="str">
        <f t="shared" si="1"/>
      </c>
      <c r="AY139" s="91" t="str">
        <f t="shared" si="1"/>
      </c>
      <c r="AZ139" s="91" t="str">
        <f t="shared" si="1"/>
      </c>
      <c r="BA139" s="91" t="str">
        <f t="shared" si="1"/>
      </c>
      <c r="BB139" s="91" t="str">
        <f t="shared" si="1"/>
      </c>
      <c r="BC139" s="91" t="str">
        <f t="shared" si="1"/>
      </c>
      <c r="BD139" s="91" t="str">
        <f t="shared" si="1"/>
      </c>
      <c r="BE139" s="91" t="str">
        <f t="shared" si="1"/>
      </c>
      <c r="BF139" s="91" t="str">
        <f t="shared" si="1"/>
      </c>
      <c r="BG139" s="91" t="str">
        <f t="shared" si="1"/>
      </c>
      <c r="BH139" s="91" t="str">
        <f t="shared" si="1"/>
      </c>
      <c r="BI139" s="91" t="str">
        <f t="shared" si="1"/>
      </c>
      <c r="BJ139" s="91" t="str">
        <f t="shared" si="1"/>
      </c>
      <c r="BK139" s="91" t="str">
        <f t="shared" si="1"/>
      </c>
      <c r="BL139" s="91" t="str">
        <f t="shared" si="1"/>
      </c>
      <c r="BM139" s="91" t="str">
        <f t="shared" si="1"/>
      </c>
      <c r="BN139" s="91" t="str">
        <f t="shared" si="1"/>
      </c>
      <c r="BO139" s="91" t="str">
        <f t="shared" si="1"/>
      </c>
      <c r="BP139" s="91" t="str">
        <f t="shared" si="1"/>
      </c>
      <c r="BQ139" s="91" t="str">
        <f t="shared" si="1"/>
      </c>
      <c r="BR139" s="91" t="str">
        <f t="shared" si="1"/>
      </c>
      <c r="BS139" s="91" t="str">
        <f t="shared" si="1"/>
      </c>
      <c r="BT139" s="91" t="str">
        <f t="shared" si="1"/>
      </c>
      <c r="BU139" s="91" t="str">
        <f t="shared" si="1"/>
      </c>
      <c r="BV139" s="91" t="str">
        <f t="shared" si="1"/>
      </c>
      <c r="BW139" s="91" t="str">
        <f t="shared" si="1"/>
      </c>
      <c r="BX139" s="91" t="str">
        <f t="shared" si="1"/>
      </c>
      <c r="BY139" s="91" t="str">
        <f t="shared" si="1"/>
      </c>
      <c r="BZ139" s="91" t="str">
        <f t="shared" si="1"/>
      </c>
      <c r="CA139" s="91" t="str">
        <f t="shared" si="1"/>
      </c>
      <c r="CB139" s="91" t="str">
        <f t="shared" si="1"/>
      </c>
      <c r="CC139" s="91" t="str">
        <f t="shared" si="1"/>
      </c>
      <c r="CD139" s="91" t="str">
        <f t="shared" si="1"/>
      </c>
      <c r="CE139" s="91" t="str">
        <f t="shared" si="1"/>
      </c>
      <c r="CF139" s="91" t="str">
        <f t="shared" si="1"/>
      </c>
      <c r="CG139" s="91" t="str">
        <f t="shared" si="1"/>
      </c>
      <c r="CH139" s="91" t="str">
        <f t="shared" si="1"/>
      </c>
      <c r="CI139" s="91" t="str">
        <f t="shared" si="1"/>
      </c>
      <c r="CJ139" s="91" t="str">
        <f t="shared" si="1"/>
      </c>
      <c r="CK139" s="91" t="str">
        <f t="shared" si="1"/>
      </c>
      <c r="CL139" s="91" t="str">
        <f t="shared" si="1"/>
      </c>
      <c r="CM139" s="91" t="str">
        <f t="shared" si="1"/>
      </c>
      <c r="CN139" s="91" t="str">
        <f t="shared" si="1"/>
      </c>
      <c r="CO139" s="91" t="str">
        <f ref="CO139:EZ139" t="shared" si="2">IF(SUM(CO120:CO138)&lt;&gt;0,SUM(CO120:CO138),"")</f>
      </c>
      <c r="CP139" s="91" t="str">
        <f t="shared" si="2"/>
      </c>
      <c r="CQ139" s="91" t="str">
        <f t="shared" si="2"/>
      </c>
      <c r="CR139" s="91" t="str">
        <f t="shared" si="2"/>
      </c>
      <c r="CS139" s="91" t="str">
        <f t="shared" si="2"/>
      </c>
      <c r="CT139" s="91" t="str">
        <f t="shared" si="2"/>
      </c>
      <c r="CU139" s="91" t="str">
        <f t="shared" si="2"/>
      </c>
      <c r="CV139" s="91" t="str">
        <f t="shared" si="2"/>
      </c>
      <c r="CW139" s="91" t="str">
        <f t="shared" si="2"/>
      </c>
      <c r="CX139" s="91" t="str">
        <f t="shared" si="2"/>
      </c>
      <c r="CY139" s="91" t="str">
        <f t="shared" si="2"/>
      </c>
      <c r="CZ139" s="91" t="str">
        <f t="shared" si="2"/>
      </c>
      <c r="DA139" s="91" t="str">
        <f t="shared" si="2"/>
      </c>
      <c r="DB139" s="91" t="str">
        <f t="shared" si="2"/>
      </c>
      <c r="DC139" s="91" t="str">
        <f t="shared" si="2"/>
      </c>
      <c r="DD139" s="91" t="str">
        <f t="shared" si="2"/>
      </c>
      <c r="DE139" s="91" t="str">
        <f t="shared" si="2"/>
      </c>
      <c r="DF139" s="91" t="str">
        <f t="shared" si="2"/>
      </c>
      <c r="DG139" s="91" t="str">
        <f t="shared" si="2"/>
      </c>
      <c r="DH139" s="91" t="str">
        <f t="shared" si="2"/>
      </c>
      <c r="DI139" s="91" t="str">
        <f t="shared" si="2"/>
      </c>
      <c r="DJ139" s="91" t="str">
        <f t="shared" si="2"/>
      </c>
      <c r="DK139" s="91" t="str">
        <f t="shared" si="2"/>
      </c>
      <c r="DL139" s="91" t="str">
        <f t="shared" si="2"/>
      </c>
      <c r="DM139" s="91" t="str">
        <f t="shared" si="2"/>
      </c>
      <c r="DN139" s="91" t="str">
        <f t="shared" si="2"/>
      </c>
      <c r="DO139" s="91" t="str">
        <f t="shared" si="2"/>
      </c>
      <c r="DP139" s="91" t="str">
        <f t="shared" si="2"/>
      </c>
      <c r="DQ139" s="91" t="str">
        <f t="shared" si="2"/>
      </c>
      <c r="DR139" s="91" t="str">
        <f t="shared" si="2"/>
      </c>
      <c r="DS139" s="91" t="str">
        <f t="shared" si="2"/>
      </c>
      <c r="DT139" s="91" t="str">
        <f t="shared" si="2"/>
      </c>
      <c r="DU139" s="91" t="str">
        <f t="shared" si="2"/>
      </c>
      <c r="DV139" s="91" t="str">
        <f t="shared" si="2"/>
      </c>
      <c r="DW139" s="91" t="str">
        <f t="shared" si="2"/>
      </c>
      <c r="DX139" s="91" t="str">
        <f t="shared" si="2"/>
      </c>
      <c r="DY139" s="91" t="str">
        <f t="shared" si="2"/>
      </c>
      <c r="DZ139" s="91" t="str">
        <f t="shared" si="2"/>
      </c>
      <c r="EA139" s="91" t="str">
        <f t="shared" si="2"/>
      </c>
      <c r="EB139" s="91" t="str">
        <f t="shared" si="2"/>
      </c>
      <c r="EC139" s="91" t="str">
        <f t="shared" si="2"/>
      </c>
      <c r="ED139" s="91" t="str">
        <f t="shared" si="2"/>
      </c>
      <c r="EE139" s="91" t="str">
        <f t="shared" si="2"/>
      </c>
      <c r="EF139" s="91" t="str">
        <f t="shared" si="2"/>
      </c>
      <c r="EG139" s="91" t="str">
        <f t="shared" si="2"/>
      </c>
      <c r="EH139" s="91" t="str">
        <f t="shared" si="2"/>
      </c>
      <c r="EI139" s="91" t="str">
        <f t="shared" si="2"/>
      </c>
      <c r="EJ139" s="91" t="str">
        <f t="shared" si="2"/>
      </c>
      <c r="EK139" s="91" t="str">
        <f t="shared" si="2"/>
      </c>
      <c r="EL139" s="91" t="str">
        <f t="shared" si="2"/>
      </c>
      <c r="EM139" s="91" t="str">
        <f t="shared" si="2"/>
      </c>
      <c r="EN139" s="91" t="str">
        <f t="shared" si="2"/>
      </c>
      <c r="EO139" s="91" t="str">
        <f t="shared" si="2"/>
      </c>
      <c r="EP139" s="91" t="str">
        <f t="shared" si="2"/>
      </c>
      <c r="EQ139" s="91" t="str">
        <f t="shared" si="2"/>
      </c>
      <c r="ER139" s="91" t="str">
        <f t="shared" si="2"/>
      </c>
      <c r="ES139" s="91" t="str">
        <f t="shared" si="2"/>
      </c>
      <c r="ET139" s="91" t="str">
        <f t="shared" si="2"/>
      </c>
      <c r="EU139" s="91" t="str">
        <f t="shared" si="2"/>
      </c>
      <c r="EV139" s="91" t="str">
        <f t="shared" si="2"/>
      </c>
      <c r="EW139" s="91" t="str">
        <f t="shared" si="2"/>
      </c>
      <c r="EX139" s="91" t="str">
        <f t="shared" si="2"/>
      </c>
      <c r="EY139" s="91" t="str">
        <f t="shared" si="2"/>
      </c>
      <c r="EZ139" s="91" t="str">
        <f t="shared" si="2"/>
      </c>
      <c r="FA139" s="91" t="str">
        <f ref="FA139:HL139" t="shared" si="3">IF(SUM(FA120:FA138)&lt;&gt;0,SUM(FA120:FA138),"")</f>
      </c>
      <c r="FB139" s="91" t="str">
        <f t="shared" si="3"/>
      </c>
      <c r="FC139" s="91" t="str">
        <f t="shared" si="3"/>
      </c>
      <c r="FD139" s="91" t="str">
        <f t="shared" si="3"/>
      </c>
      <c r="FE139" s="91" t="str">
        <f t="shared" si="3"/>
      </c>
      <c r="FF139" s="91" t="str">
        <f t="shared" si="3"/>
      </c>
      <c r="FG139" s="91" t="str">
        <f t="shared" si="3"/>
      </c>
      <c r="FH139" s="91" t="str">
        <f t="shared" si="3"/>
      </c>
      <c r="FI139" s="91" t="str">
        <f t="shared" si="3"/>
      </c>
      <c r="FJ139" s="91" t="str">
        <f t="shared" si="3"/>
      </c>
      <c r="FK139" s="91" t="str">
        <f t="shared" si="3"/>
      </c>
      <c r="FL139" s="91" t="str">
        <f t="shared" si="3"/>
      </c>
      <c r="FM139" s="91" t="str">
        <f t="shared" si="3"/>
      </c>
      <c r="FN139" s="91" t="str">
        <f t="shared" si="3"/>
      </c>
      <c r="FO139" s="91" t="str">
        <f t="shared" si="3"/>
      </c>
      <c r="FP139" s="91" t="str">
        <f t="shared" si="3"/>
      </c>
      <c r="FQ139" s="91" t="str">
        <f t="shared" si="3"/>
      </c>
      <c r="FR139" s="91" t="str">
        <f t="shared" si="3"/>
      </c>
      <c r="FS139" s="91" t="str">
        <f t="shared" si="3"/>
      </c>
      <c r="FT139" s="91" t="str">
        <f t="shared" si="3"/>
      </c>
      <c r="FU139" s="91" t="str">
        <f t="shared" si="3"/>
      </c>
      <c r="FV139" s="91" t="str">
        <f t="shared" si="3"/>
      </c>
      <c r="FW139" s="91" t="str">
        <f t="shared" si="3"/>
      </c>
      <c r="FX139" s="91" t="str">
        <f t="shared" si="3"/>
      </c>
      <c r="FY139" s="91" t="str">
        <f t="shared" si="3"/>
      </c>
      <c r="FZ139" s="91" t="str">
        <f t="shared" si="3"/>
      </c>
      <c r="GA139" s="91" t="str">
        <f t="shared" si="3"/>
      </c>
      <c r="GB139" s="91" t="str">
        <f t="shared" si="3"/>
      </c>
      <c r="GC139" s="91" t="str">
        <f t="shared" si="3"/>
      </c>
      <c r="GD139" s="91" t="str">
        <f t="shared" si="3"/>
      </c>
      <c r="GE139" s="91" t="str">
        <f t="shared" si="3"/>
      </c>
      <c r="GF139" s="91" t="str">
        <f t="shared" si="3"/>
      </c>
      <c r="GG139" s="91" t="str">
        <f t="shared" si="3"/>
      </c>
      <c r="GH139" s="91" t="str">
        <f t="shared" si="3"/>
      </c>
      <c r="GI139" s="91" t="str">
        <f t="shared" si="3"/>
      </c>
      <c r="GJ139" s="91" t="str">
        <f t="shared" si="3"/>
      </c>
      <c r="GK139" s="91" t="str">
        <f t="shared" si="3"/>
      </c>
      <c r="GL139" s="91" t="str">
        <f t="shared" si="3"/>
      </c>
      <c r="GM139" s="91" t="str">
        <f t="shared" si="3"/>
      </c>
      <c r="GN139" s="91" t="str">
        <f t="shared" si="3"/>
      </c>
      <c r="GO139" s="91" t="str">
        <f t="shared" si="3"/>
      </c>
      <c r="GP139" s="91" t="str">
        <f t="shared" si="3"/>
      </c>
      <c r="GQ139" s="91" t="str">
        <f t="shared" si="3"/>
      </c>
      <c r="GR139" s="91" t="str">
        <f t="shared" si="3"/>
      </c>
      <c r="GS139" s="91" t="str">
        <f t="shared" si="3"/>
      </c>
      <c r="GT139" s="91" t="str">
        <f t="shared" si="3"/>
      </c>
      <c r="GU139" s="91" t="str">
        <f t="shared" si="3"/>
      </c>
      <c r="GV139" s="91" t="str">
        <f t="shared" si="3"/>
      </c>
      <c r="GW139" s="91" t="str">
        <f t="shared" si="3"/>
      </c>
      <c r="GX139" s="91" t="str">
        <f t="shared" si="3"/>
      </c>
      <c r="GY139" s="91" t="str">
        <f t="shared" si="3"/>
      </c>
      <c r="GZ139" s="91" t="str">
        <f t="shared" si="3"/>
      </c>
      <c r="HA139" s="91" t="str">
        <f t="shared" si="3"/>
      </c>
      <c r="HB139" s="91" t="str">
        <f t="shared" si="3"/>
      </c>
      <c r="HC139" s="91" t="str">
        <f t="shared" si="3"/>
      </c>
      <c r="HD139" s="91" t="str">
        <f t="shared" si="3"/>
      </c>
      <c r="HE139" s="91" t="str">
        <f t="shared" si="3"/>
      </c>
      <c r="HF139" s="91" t="str">
        <f t="shared" si="3"/>
      </c>
      <c r="HG139" s="91" t="str">
        <f t="shared" si="3"/>
      </c>
      <c r="HH139" s="91" t="str">
        <f t="shared" si="3"/>
      </c>
      <c r="HI139" s="91" t="str">
        <f t="shared" si="3"/>
      </c>
      <c r="HJ139" s="91" t="str">
        <f t="shared" si="3"/>
      </c>
      <c r="HK139" s="91" t="str">
        <f t="shared" si="3"/>
      </c>
      <c r="HL139" s="91" t="str">
        <f t="shared" si="3"/>
      </c>
      <c r="HM139" s="91" t="str">
        <f ref="HM139:IV139" t="shared" si="4">IF(SUM(HM120:HM138)&lt;&gt;0,SUM(HM120:HM138),"")</f>
      </c>
      <c r="HN139" s="91" t="str">
        <f t="shared" si="4"/>
      </c>
      <c r="HO139" s="91" t="str">
        <f t="shared" si="4"/>
      </c>
      <c r="HP139" s="91" t="str">
        <f t="shared" si="4"/>
      </c>
      <c r="HQ139" s="91" t="str">
        <f t="shared" si="4"/>
      </c>
      <c r="HR139" s="91" t="str">
        <f t="shared" si="4"/>
      </c>
      <c r="HS139" s="91" t="str">
        <f t="shared" si="4"/>
      </c>
      <c r="HT139" s="91" t="str">
        <f t="shared" si="4"/>
      </c>
      <c r="HU139" s="91" t="str">
        <f t="shared" si="4"/>
      </c>
      <c r="HV139" s="91" t="str">
        <f t="shared" si="4"/>
      </c>
      <c r="HW139" s="91" t="str">
        <f t="shared" si="4"/>
      </c>
      <c r="HX139" s="91" t="str">
        <f t="shared" si="4"/>
      </c>
      <c r="HY139" s="91" t="str">
        <f t="shared" si="4"/>
      </c>
      <c r="HZ139" s="91" t="str">
        <f t="shared" si="4"/>
      </c>
      <c r="IA139" s="91" t="str">
        <f t="shared" si="4"/>
      </c>
      <c r="IB139" s="91" t="str">
        <f t="shared" si="4"/>
      </c>
      <c r="IC139" s="91" t="str">
        <f t="shared" si="4"/>
      </c>
      <c r="ID139" s="91" t="str">
        <f t="shared" si="4"/>
      </c>
      <c r="IE139" s="91" t="str">
        <f t="shared" si="4"/>
      </c>
      <c r="IF139" s="91" t="str">
        <f t="shared" si="4"/>
      </c>
      <c r="IG139" s="91" t="str">
        <f t="shared" si="4"/>
      </c>
      <c r="IH139" s="91" t="str">
        <f t="shared" si="4"/>
      </c>
      <c r="II139" s="91" t="str">
        <f t="shared" si="4"/>
      </c>
      <c r="IJ139" s="91" t="str">
        <f t="shared" si="4"/>
      </c>
      <c r="IK139" s="91" t="str">
        <f t="shared" si="4"/>
      </c>
      <c r="IL139" s="91" t="str">
        <f t="shared" si="4"/>
      </c>
      <c r="IM139" s="91" t="str">
        <f t="shared" si="4"/>
      </c>
      <c r="IN139" s="91" t="str">
        <f t="shared" si="4"/>
      </c>
      <c r="IO139" s="91" t="str">
        <f t="shared" si="4"/>
      </c>
      <c r="IP139" s="91" t="str">
        <f t="shared" si="4"/>
      </c>
      <c r="IQ139" s="91" t="str">
        <f t="shared" si="4"/>
      </c>
      <c r="IR139" s="91" t="str">
        <f t="shared" si="4"/>
      </c>
      <c r="IS139" s="91" t="str">
        <f t="shared" si="4"/>
      </c>
      <c r="IT139" s="91" t="str">
        <f t="shared" si="4"/>
      </c>
      <c r="IU139" s="91" t="str">
        <f t="shared" si="4"/>
      </c>
      <c r="IV139" s="91" t="str">
        <f t="shared" si="4"/>
      </c>
    </row>
    <row r="140" hidden="1" ht="15">
      <c r="B140" s="311"/>
      <c r="C140" s="219"/>
      <c r="D140" s="219"/>
      <c r="E140" s="219"/>
      <c r="F140" s="219"/>
      <c r="G140" s="219"/>
      <c r="H140" s="219"/>
      <c r="I140" s="219"/>
      <c r="J140" s="219"/>
      <c r="K140" s="219"/>
    </row>
    <row r="141" hidden="1" ht="13.5"/>
    <row r="142" hidden="1" ht="15.75" customHeight="1">
      <c r="C142" s="686" t="s">
        <v>239</v>
      </c>
      <c r="D142" s="687"/>
      <c r="E142" s="687"/>
      <c r="F142" s="687"/>
      <c r="G142" s="687"/>
      <c r="H142" s="687"/>
      <c r="I142" s="687"/>
      <c r="J142" s="687"/>
      <c r="K142" s="687"/>
      <c r="L142" s="687"/>
      <c r="M142" s="687"/>
      <c r="N142" s="687"/>
      <c r="O142" s="687"/>
      <c r="P142" s="687"/>
      <c r="Q142" s="687"/>
      <c r="R142" s="687"/>
      <c r="S142" s="687"/>
      <c r="T142" s="687"/>
      <c r="U142" s="687"/>
      <c r="V142" s="687"/>
      <c r="W142" s="687"/>
      <c r="X142" s="687"/>
      <c r="Y142" s="687"/>
      <c r="Z142" s="687"/>
      <c r="AA142" s="687"/>
      <c r="AB142" s="688"/>
    </row>
    <row r="143" hidden="1" ht="15" customHeight="1">
      <c r="C143" s="435" t="str">
        <f> IF(C163&lt;&gt;"",TEXT(AUX!G$1,"dd-MMM-aa"),"")</f>
      </c>
      <c r="D143" s="435" t="str">
        <f> IF(D163&lt;&gt;"",TEXT(AUX!H$1,"dd-MMM-aa"),"")</f>
      </c>
      <c r="E143" s="435" t="str">
        <f> IF(E163&lt;&gt;"",TEXT(AUX!I$1,"dd-MMM-aa"),"")</f>
      </c>
      <c r="F143" s="435" t="str">
        <f> IF(F163&lt;&gt;"",TEXT(AUX!J$1,"dd-MMM-aa"),"")</f>
      </c>
      <c r="G143" s="435" t="str">
        <f> IF(G163&lt;&gt;"",TEXT(AUX!K$1,"dd-MMM-aa"),"")</f>
      </c>
      <c r="H143" s="435" t="str">
        <f> IF(H163&lt;&gt;"",TEXT(AUX!L$1,"dd-MMM-aa"),"")</f>
      </c>
      <c r="I143" s="435" t="str">
        <f> IF(I163&lt;&gt;"",TEXT(AUX!M$1,"dd-MMM-aa"),"")</f>
      </c>
      <c r="J143" s="435" t="str">
        <f> IF(J163&lt;&gt;"",TEXT(AUX!N$1,"dd-MMM-aa"),"")</f>
      </c>
      <c r="K143" s="435" t="str">
        <f> IF(K163&lt;&gt;"",TEXT(AUX!O$1,"dd-MMM-aa"),"")</f>
      </c>
      <c r="L143" s="435" t="str">
        <f> IF(L163&lt;&gt;"",TEXT(AUX!P$1,"dd-MMM-aa"),"")</f>
      </c>
      <c r="M143" s="435" t="str">
        <f> IF(M163&lt;&gt;"",TEXT(AUX!Q$1,"dd-MMM-aa"),"")</f>
      </c>
      <c r="N143" s="435" t="str">
        <f> IF(N163&lt;&gt;"",TEXT(AUX!R$1,"dd-MMM-aa"),"")</f>
      </c>
      <c r="O143" s="435" t="str">
        <f> IF(O163&lt;&gt;"",TEXT(AUX!S$1,"dd-MMM-aa"),"")</f>
      </c>
      <c r="P143" s="435" t="str">
        <f> IF(P163&lt;&gt;"",TEXT(AUX!T$1,"dd-MMM-aa"),"")</f>
      </c>
      <c r="Q143" s="435" t="str">
        <f> IF(Q163&lt;&gt;"",TEXT(AUX!U$1,"dd-MMM-aa"),"")</f>
      </c>
      <c r="R143" s="435" t="str">
        <f> IF(R163&lt;&gt;"",TEXT(AUX!V$1,"dd-MMM-aa"),"")</f>
      </c>
      <c r="S143" s="435" t="str">
        <f> IF(S163&lt;&gt;"",TEXT(AUX!W$1,"dd-MMM-aa"),"")</f>
      </c>
      <c r="T143" s="435" t="str">
        <f> IF(T163&lt;&gt;"",TEXT(AUX!X$1,"dd-MMM-aa"),"")</f>
      </c>
      <c r="U143" s="435" t="str">
        <f> IF(U163&lt;&gt;"",TEXT(AUX!Y$1,"dd-MMM-aa"),"")</f>
      </c>
      <c r="V143" s="435" t="str">
        <f> IF(V163&lt;&gt;"",TEXT(AUX!Z$1,"dd-MMM-aa"),"")</f>
      </c>
      <c r="W143" s="435" t="str">
        <f> IF(W163&lt;&gt;"",TEXT(AUX!AA$1,"dd-MMM-aa"),"")</f>
      </c>
      <c r="X143" s="435" t="str">
        <f> IF(X163&lt;&gt;"",TEXT(AUX!AB$1,"dd-MMM-aa"),"")</f>
      </c>
      <c r="Y143" s="435" t="str">
        <f> IF(Y163&lt;&gt;"",TEXT(AUX!AC$1,"dd-MMM-aa"),"")</f>
      </c>
      <c r="Z143" s="435" t="str">
        <f> IF(Z163&lt;&gt;"",TEXT(AUX!AD$1,"dd-MMM-aa"),"")</f>
      </c>
      <c r="AA143" s="435" t="str">
        <f> IF(AA163&lt;&gt;"",TEXT(AUX!AE$1,"dd-MMM-aa"),"")</f>
      </c>
      <c r="AB143" s="497" t="str">
        <f> IF(AB163&lt;&gt;"",TEXT(AUX!AF$1,"dd-MMM-aa"),"")</f>
      </c>
      <c r="AC143" s="496" t="str">
        <f> IF(AC163&lt;&gt;"",TEXT(AUX!AG$1,"dd-MMM-aa"),"")</f>
      </c>
      <c r="AD143" s="496" t="str">
        <f> IF(AD163&lt;&gt;"",TEXT(AUX!AH$1,"dd-MMM-aa"),"")</f>
      </c>
      <c r="AE143" s="496" t="str">
        <f> IF(AE163&lt;&gt;"",TEXT(AUX!AI$1,"dd-MMM-aa"),"")</f>
      </c>
      <c r="AF143" s="496" t="str">
        <f> IF(AF163&lt;&gt;"",TEXT(AUX!AJ$1,"dd-MMM-aa"),"")</f>
      </c>
      <c r="AG143" s="496" t="str">
        <f> IF(AG163&lt;&gt;"",TEXT(AUX!AK$1,"dd-MMM-aa"),"")</f>
      </c>
      <c r="AH143" s="496" t="str">
        <f> IF(AH163&lt;&gt;"",TEXT(AUX!AL$1,"dd-MMM-aa"),"")</f>
      </c>
      <c r="AI143" s="496" t="str">
        <f> IF(AI163&lt;&gt;"",TEXT(AUX!AM$1,"dd-MMM-aa"),"")</f>
      </c>
      <c r="AJ143" s="496" t="str">
        <f> IF(AJ163&lt;&gt;"",TEXT(AUX!AN$1,"dd-MMM-aa"),"")</f>
      </c>
      <c r="AK143" s="496" t="str">
        <f> IF(AK163&lt;&gt;"",TEXT(AUX!AO$1,"dd-MMM-aa"),"")</f>
      </c>
      <c r="AL143" s="496" t="str">
        <f> IF(AL163&lt;&gt;"",TEXT(AUX!AP$1,"dd-MMM-aa"),"")</f>
      </c>
      <c r="AM143" s="496" t="str">
        <f> IF(AM163&lt;&gt;"",TEXT(AUX!AQ$1,"dd-MMM-aa"),"")</f>
      </c>
      <c r="AN143" s="496" t="str">
        <f> IF(AN163&lt;&gt;"",TEXT(AUX!AR$1,"dd-MMM-aa"),"")</f>
      </c>
      <c r="AO143" s="496" t="str">
        <f> IF(AO163&lt;&gt;"",TEXT(AUX!AS$1,"dd-MMM-aa"),"")</f>
      </c>
      <c r="AP143" s="496" t="str">
        <f> IF(AP163&lt;&gt;"",TEXT(AUX!AT$1,"dd-MMM-aa"),"")</f>
      </c>
      <c r="AQ143" s="496" t="str">
        <f> IF(AQ163&lt;&gt;"",TEXT(AUX!AU$1,"dd-MMM-aa"),"")</f>
      </c>
      <c r="AR143" s="496" t="str">
        <f> IF(AR163&lt;&gt;"",TEXT(AUX!AV$1,"dd-MMM-aa"),"")</f>
      </c>
      <c r="AS143" s="496" t="str">
        <f> IF(AS163&lt;&gt;"",TEXT(AUX!AW$1,"dd-MMM-aa"),"")</f>
      </c>
      <c r="AT143" s="496" t="str">
        <f> IF(AT163&lt;&gt;"",TEXT(AUX!AX$1,"dd-MMM-aa"),"")</f>
      </c>
      <c r="AU143" s="496" t="str">
        <f> IF(AU163&lt;&gt;"",TEXT(AUX!AY$1,"dd-MMM-aa"),"")</f>
      </c>
      <c r="AV143" s="496" t="str">
        <f> IF(AV163&lt;&gt;"",TEXT(AUX!AZ$1,"dd-MMM-aa"),"")</f>
      </c>
      <c r="AW143" s="496" t="str">
        <f> IF(AW163&lt;&gt;"",TEXT(AUX!BA$1,"dd-MMM-aa"),"")</f>
      </c>
      <c r="AX143" s="496" t="str">
        <f> IF(AX163&lt;&gt;"",TEXT(AUX!BB$1,"dd-MMM-aa"),"")</f>
      </c>
      <c r="AY143" s="496" t="str">
        <f> IF(AY163&lt;&gt;"",TEXT(AUX!BC$1,"dd-MMM-aa"),"")</f>
      </c>
      <c r="AZ143" s="496" t="str">
        <f> IF(AZ163&lt;&gt;"",TEXT(AUX!BD$1,"dd-MMM-aa"),"")</f>
      </c>
      <c r="BA143" s="496" t="str">
        <f> IF(BA163&lt;&gt;"",TEXT(AUX!BE$1,"dd-MMM-aa"),"")</f>
      </c>
      <c r="BB143" s="496" t="str">
        <f> IF(BB163&lt;&gt;"",TEXT(AUX!BF$1,"dd-MMM-aa"),"")</f>
      </c>
      <c r="BC143" s="496" t="str">
        <f> IF(BC163&lt;&gt;"",TEXT(AUX!BG$1,"dd-MMM-aa"),"")</f>
      </c>
      <c r="BD143" s="496" t="str">
        <f> IF(BD163&lt;&gt;"",TEXT(AUX!BH$1,"dd-MMM-aa"),"")</f>
      </c>
      <c r="BE143" s="496" t="str">
        <f> IF(BE163&lt;&gt;"",TEXT(AUX!BI$1,"dd-MMM-aa"),"")</f>
      </c>
      <c r="BF143" s="496" t="str">
        <f> IF(BF163&lt;&gt;"",TEXT(AUX!BJ$1,"dd-MMM-aa"),"")</f>
      </c>
      <c r="BG143" s="496" t="str">
        <f> IF(BG163&lt;&gt;"",TEXT(AUX!BK$1,"dd-MMM-aa"),"")</f>
      </c>
      <c r="BH143" s="496" t="str">
        <f> IF(BH163&lt;&gt;"",TEXT(AUX!BL$1,"dd-MMM-aa"),"")</f>
      </c>
      <c r="BI143" s="496" t="str">
        <f> IF(BI163&lt;&gt;"",TEXT(AUX!BM$1,"dd-MMM-aa"),"")</f>
      </c>
      <c r="BJ143" s="496" t="str">
        <f> IF(BJ163&lt;&gt;"",TEXT(AUX!BN$1,"dd-MMM-aa"),"")</f>
      </c>
      <c r="BK143" s="496" t="str">
        <f> IF(BK163&lt;&gt;"",TEXT(AUX!BO$1,"dd-MMM-aa"),"")</f>
      </c>
      <c r="BL143" s="496" t="str">
        <f> IF(BL163&lt;&gt;"",TEXT(AUX!BP$1,"dd-MMM-aa"),"")</f>
      </c>
      <c r="BM143" s="496" t="str">
        <f> IF(BM163&lt;&gt;"",TEXT(AUX!BQ$1,"dd-MMM-aa"),"")</f>
      </c>
      <c r="BN143" s="496" t="str">
        <f> IF(BN163&lt;&gt;"",TEXT(AUX!BR$1,"dd-MMM-aa"),"")</f>
      </c>
      <c r="BO143" s="496" t="str">
        <f> IF(BO163&lt;&gt;"",TEXT(AUX!BS$1,"dd-MMM-aa"),"")</f>
      </c>
      <c r="BP143" s="496" t="str">
        <f> IF(BP163&lt;&gt;"",TEXT(AUX!BT$1,"dd-MMM-aa"),"")</f>
      </c>
      <c r="BQ143" s="496" t="str">
        <f> IF(BQ163&lt;&gt;"",TEXT(AUX!BU$1,"dd-MMM-aa"),"")</f>
      </c>
      <c r="BR143" s="496" t="str">
        <f> IF(BR163&lt;&gt;"",TEXT(AUX!BV$1,"dd-MMM-aa"),"")</f>
      </c>
      <c r="BS143" s="496" t="str">
        <f> IF(BS163&lt;&gt;"",TEXT(AUX!BW$1,"dd-MMM-aa"),"")</f>
      </c>
      <c r="BT143" s="496" t="str">
        <f> IF(BT163&lt;&gt;"",TEXT(AUX!BX$1,"dd-MMM-aa"),"")</f>
      </c>
      <c r="BU143" s="496" t="str">
        <f> IF(BU163&lt;&gt;"",TEXT(AUX!BY$1,"dd-MMM-aa"),"")</f>
      </c>
      <c r="BV143" s="496" t="str">
        <f> IF(BV163&lt;&gt;"",TEXT(AUX!BZ$1,"dd-MMM-aa"),"")</f>
      </c>
      <c r="BW143" s="496" t="str">
        <f> IF(BW163&lt;&gt;"",TEXT(AUX!CA$1,"dd-MMM-aa"),"")</f>
      </c>
      <c r="BX143" s="496" t="str">
        <f> IF(BX163&lt;&gt;"",TEXT(AUX!CB$1,"dd-MMM-aa"),"")</f>
      </c>
      <c r="BY143" s="496" t="str">
        <f> IF(BY163&lt;&gt;"",TEXT(AUX!CC$1,"dd-MMM-aa"),"")</f>
      </c>
      <c r="BZ143" s="496" t="str">
        <f> IF(BZ163&lt;&gt;"",TEXT(AUX!CD$1,"dd-MMM-aa"),"")</f>
      </c>
      <c r="CA143" s="496" t="str">
        <f> IF(CA163&lt;&gt;"",TEXT(AUX!CE$1,"dd-MMM-aa"),"")</f>
      </c>
      <c r="CB143" s="496" t="str">
        <f> IF(CB163&lt;&gt;"",TEXT(AUX!CF$1,"dd-MMM-aa"),"")</f>
      </c>
      <c r="CC143" s="496" t="str">
        <f> IF(CC163&lt;&gt;"",TEXT(AUX!CG$1,"dd-MMM-aa"),"")</f>
      </c>
      <c r="CD143" s="496" t="str">
        <f> IF(CD163&lt;&gt;"",TEXT(AUX!CH$1,"dd-MMM-aa"),"")</f>
      </c>
      <c r="CE143" s="496" t="str">
        <f> IF(CE163&lt;&gt;"",TEXT(AUX!CI$1,"dd-MMM-aa"),"")</f>
      </c>
      <c r="CF143" s="496" t="str">
        <f> IF(CF163&lt;&gt;"",TEXT(AUX!CJ$1,"dd-MMM-aa"),"")</f>
      </c>
      <c r="CG143" s="496" t="str">
        <f> IF(CG163&lt;&gt;"",TEXT(AUX!CK$1,"dd-MMM-aa"),"")</f>
      </c>
      <c r="CH143" s="496" t="str">
        <f> IF(CH163&lt;&gt;"",TEXT(AUX!CL$1,"dd-MMM-aa"),"")</f>
      </c>
      <c r="CI143" s="496" t="str">
        <f> IF(CI163&lt;&gt;"",TEXT(AUX!CM$1,"dd-MMM-aa"),"")</f>
      </c>
      <c r="CJ143" s="496" t="str">
        <f> IF(CJ163&lt;&gt;"",TEXT(AUX!CN$1,"dd-MMM-aa"),"")</f>
      </c>
      <c r="CK143" s="496" t="str">
        <f> IF(CK163&lt;&gt;"",TEXT(AUX!CO$1,"dd-MMM-aa"),"")</f>
      </c>
      <c r="CL143" s="496" t="str">
        <f> IF(CL163&lt;&gt;"",TEXT(AUX!CP$1,"dd-MMM-aa"),"")</f>
      </c>
      <c r="CM143" s="496" t="str">
        <f> IF(CM163&lt;&gt;"",TEXT(AUX!CQ$1,"dd-MMM-aa"),"")</f>
      </c>
      <c r="CN143" s="496" t="str">
        <f> IF(CN163&lt;&gt;"",TEXT(AUX!CR$1,"dd-MMM-aa"),"")</f>
      </c>
      <c r="CO143" s="496" t="str">
        <f> IF(CO163&lt;&gt;"",TEXT(AUX!CS$1,"dd-MMM-aa"),"")</f>
      </c>
      <c r="CP143" s="496" t="str">
        <f> IF(CP163&lt;&gt;"",TEXT(AUX!CT$1,"dd-MMM-aa"),"")</f>
      </c>
      <c r="CQ143" s="496" t="str">
        <f> IF(CQ163&lt;&gt;"",TEXT(AUX!CU$1,"dd-MMM-aa"),"")</f>
      </c>
      <c r="CR143" s="496" t="str">
        <f> IF(CR163&lt;&gt;"",TEXT(AUX!CV$1,"dd-MMM-aa"),"")</f>
      </c>
      <c r="CS143" s="496" t="str">
        <f> IF(CS163&lt;&gt;"",TEXT(AUX!CW$1,"dd-MMM-aa"),"")</f>
      </c>
      <c r="CT143" s="496" t="str">
        <f> IF(CT163&lt;&gt;"",TEXT(AUX!CX$1,"dd-MMM-aa"),"")</f>
      </c>
      <c r="CU143" s="496" t="str">
        <f> IF(CU163&lt;&gt;"",TEXT(AUX!CY$1,"dd-MMM-aa"),"")</f>
      </c>
      <c r="CV143" s="496" t="str">
        <f> IF(CV163&lt;&gt;"",TEXT(AUX!CZ$1,"dd-MMM-aa"),"")</f>
      </c>
      <c r="CW143" s="496" t="str">
        <f> IF(CW163&lt;&gt;"",TEXT(AUX!DA$1,"dd-MMM-aa"),"")</f>
      </c>
      <c r="CX143" s="496" t="str">
        <f> IF(CX163&lt;&gt;"",TEXT(AUX!DB$1,"dd-MMM-aa"),"")</f>
      </c>
      <c r="CY143" s="496" t="str">
        <f> IF(CY163&lt;&gt;"",TEXT(AUX!DC$1,"dd-MMM-aa"),"")</f>
      </c>
      <c r="CZ143" s="496" t="str">
        <f> IF(CZ163&lt;&gt;"",TEXT(AUX!DD$1,"dd-MMM-aa"),"")</f>
      </c>
      <c r="DA143" s="496" t="str">
        <f> IF(DA163&lt;&gt;"",TEXT(AUX!DE$1,"dd-MMM-aa"),"")</f>
      </c>
      <c r="DB143" s="496" t="str">
        <f> IF(DB163&lt;&gt;"",TEXT(AUX!DF$1,"dd-MMM-aa"),"")</f>
      </c>
      <c r="DC143" s="496" t="str">
        <f> IF(DC163&lt;&gt;"",TEXT(AUX!DG$1,"dd-MMM-aa"),"")</f>
      </c>
      <c r="DD143" s="496" t="str">
        <f> IF(DD163&lt;&gt;"",TEXT(AUX!DH$1,"dd-MMM-aa"),"")</f>
      </c>
      <c r="DE143" s="496" t="str">
        <f> IF(DE163&lt;&gt;"",TEXT(AUX!DI$1,"dd-MMM-aa"),"")</f>
      </c>
      <c r="DF143" s="496" t="str">
        <f> IF(DF163&lt;&gt;"",TEXT(AUX!DJ$1,"dd-MMM-aa"),"")</f>
      </c>
      <c r="DG143" s="496" t="str">
        <f> IF(DG163&lt;&gt;"",TEXT(AUX!DK$1,"dd-MMM-aa"),"")</f>
      </c>
      <c r="DH143" s="496" t="str">
        <f> IF(DH163&lt;&gt;"",TEXT(AUX!DL$1,"dd-MMM-aa"),"")</f>
      </c>
      <c r="DI143" s="496" t="str">
        <f> IF(DI163&lt;&gt;"",TEXT(AUX!DM$1,"dd-MMM-aa"),"")</f>
      </c>
      <c r="DJ143" s="496" t="str">
        <f> IF(DJ163&lt;&gt;"",TEXT(AUX!DN$1,"dd-MMM-aa"),"")</f>
      </c>
      <c r="DK143" s="496" t="str">
        <f> IF(DK163&lt;&gt;"",TEXT(AUX!DO$1,"dd-MMM-aa"),"")</f>
      </c>
      <c r="DL143" s="496" t="str">
        <f> IF(DL163&lt;&gt;"",TEXT(AUX!DP$1,"dd-MMM-aa"),"")</f>
      </c>
      <c r="DM143" s="496" t="str">
        <f> IF(DM163&lt;&gt;"",TEXT(AUX!DQ$1,"dd-MMM-aa"),"")</f>
      </c>
      <c r="DN143" s="496" t="str">
        <f> IF(DN163&lt;&gt;"",TEXT(AUX!DR$1,"dd-MMM-aa"),"")</f>
      </c>
      <c r="DO143" s="496" t="str">
        <f> IF(DO163&lt;&gt;"",TEXT(AUX!DS$1,"dd-MMM-aa"),"")</f>
      </c>
      <c r="DP143" s="496" t="str">
        <f> IF(DP163&lt;&gt;"",TEXT(AUX!DT$1,"dd-MMM-aa"),"")</f>
      </c>
      <c r="DQ143" s="496" t="str">
        <f> IF(DQ163&lt;&gt;"",TEXT(AUX!DU$1,"dd-MMM-aa"),"")</f>
      </c>
      <c r="DR143" s="496" t="str">
        <f> IF(DR163&lt;&gt;"",TEXT(AUX!DV$1,"dd-MMM-aa"),"")</f>
      </c>
      <c r="DS143" s="496" t="str">
        <f> IF(DS163&lt;&gt;"",TEXT(AUX!DW$1,"dd-MMM-aa"),"")</f>
      </c>
      <c r="DT143" s="496" t="str">
        <f> IF(DT163&lt;&gt;"",TEXT(AUX!DX$1,"dd-MMM-aa"),"")</f>
      </c>
      <c r="DU143" s="496" t="str">
        <f> IF(DU163&lt;&gt;"",TEXT(AUX!DY$1,"dd-MMM-aa"),"")</f>
      </c>
      <c r="DV143" s="496" t="str">
        <f> IF(DV163&lt;&gt;"",TEXT(AUX!DZ$1,"dd-MMM-aa"),"")</f>
      </c>
      <c r="DW143" s="496" t="str">
        <f> IF(DW163&lt;&gt;"",TEXT(AUX!EA$1,"dd-MMM-aa"),"")</f>
      </c>
      <c r="DX143" s="496" t="str">
        <f> IF(DX163&lt;&gt;"",TEXT(AUX!EB$1,"dd-MMM-aa"),"")</f>
      </c>
      <c r="DY143" s="496" t="str">
        <f> IF(DY163&lt;&gt;"",TEXT(AUX!EC$1,"dd-MMM-aa"),"")</f>
      </c>
      <c r="DZ143" s="496" t="str">
        <f> IF(DZ163&lt;&gt;"",TEXT(AUX!ED$1,"dd-MMM-aa"),"")</f>
      </c>
      <c r="EA143" s="496" t="str">
        <f> IF(EA163&lt;&gt;"",TEXT(AUX!EE$1,"dd-MMM-aa"),"")</f>
      </c>
      <c r="EB143" s="496" t="str">
        <f> IF(EB163&lt;&gt;"",TEXT(AUX!EF$1,"dd-MMM-aa"),"")</f>
      </c>
      <c r="EC143" s="496" t="str">
        <f> IF(EC163&lt;&gt;"",TEXT(AUX!EG$1,"dd-MMM-aa"),"")</f>
      </c>
      <c r="ED143" s="496" t="str">
        <f> IF(ED163&lt;&gt;"",TEXT(AUX!EH$1,"dd-MMM-aa"),"")</f>
      </c>
      <c r="EE143" s="496" t="str">
        <f> IF(EE163&lt;&gt;"",TEXT(AUX!EI$1,"dd-MMM-aa"),"")</f>
      </c>
      <c r="EF143" s="496" t="str">
        <f> IF(EF163&lt;&gt;"",TEXT(AUX!EJ$1,"dd-MMM-aa"),"")</f>
      </c>
      <c r="EG143" s="496" t="str">
        <f> IF(EG163&lt;&gt;"",TEXT(AUX!EK$1,"dd-MMM-aa"),"")</f>
      </c>
      <c r="EH143" s="496" t="str">
        <f> IF(EH163&lt;&gt;"",TEXT(AUX!EL$1,"dd-MMM-aa"),"")</f>
      </c>
      <c r="EI143" s="496" t="str">
        <f> IF(EI163&lt;&gt;"",TEXT(AUX!EM$1,"dd-MMM-aa"),"")</f>
      </c>
      <c r="EJ143" s="496" t="str">
        <f> IF(EJ163&lt;&gt;"",TEXT(AUX!EN$1,"dd-MMM-aa"),"")</f>
      </c>
      <c r="EK143" s="496" t="str">
        <f> IF(EK163&lt;&gt;"",TEXT(AUX!EO$1,"dd-MMM-aa"),"")</f>
      </c>
      <c r="EL143" s="496" t="str">
        <f> IF(EL163&lt;&gt;"",TEXT(AUX!EP$1,"dd-MMM-aa"),"")</f>
      </c>
      <c r="EM143" s="496" t="str">
        <f> IF(EM163&lt;&gt;"",TEXT(AUX!EQ$1,"dd-MMM-aa"),"")</f>
      </c>
      <c r="EN143" s="496" t="str">
        <f> IF(EN163&lt;&gt;"",TEXT(AUX!ER$1,"dd-MMM-aa"),"")</f>
      </c>
      <c r="EO143" s="496" t="str">
        <f> IF(EO163&lt;&gt;"",TEXT(AUX!ES$1,"dd-MMM-aa"),"")</f>
      </c>
      <c r="EP143" s="496" t="str">
        <f> IF(EP163&lt;&gt;"",TEXT(AUX!ET$1,"dd-MMM-aa"),"")</f>
      </c>
      <c r="EQ143" s="496" t="str">
        <f> IF(EQ163&lt;&gt;"",TEXT(AUX!EU$1,"dd-MMM-aa"),"")</f>
      </c>
      <c r="ER143" s="496" t="str">
        <f> IF(ER163&lt;&gt;"",TEXT(AUX!EV$1,"dd-MMM-aa"),"")</f>
      </c>
      <c r="ES143" s="496" t="str">
        <f> IF(ES163&lt;&gt;"",TEXT(AUX!EW$1,"dd-MMM-aa"),"")</f>
      </c>
      <c r="ET143" s="496" t="str">
        <f> IF(ET163&lt;&gt;"",TEXT(AUX!EX$1,"dd-MMM-aa"),"")</f>
      </c>
      <c r="EU143" s="496" t="str">
        <f> IF(EU163&lt;&gt;"",TEXT(AUX!EY$1,"dd-MMM-aa"),"")</f>
      </c>
      <c r="EV143" s="496" t="str">
        <f> IF(EV163&lt;&gt;"",TEXT(AUX!EZ$1,"dd-MMM-aa"),"")</f>
      </c>
      <c r="EW143" s="496" t="str">
        <f> IF(EW163&lt;&gt;"",TEXT(AUX!FA$1,"dd-MMM-aa"),"")</f>
      </c>
      <c r="EX143" s="496" t="str">
        <f> IF(EX163&lt;&gt;"",TEXT(AUX!FB$1,"dd-MMM-aa"),"")</f>
      </c>
      <c r="EY143" s="496" t="str">
        <f> IF(EY163&lt;&gt;"",TEXT(AUX!FC$1,"dd-MMM-aa"),"")</f>
      </c>
      <c r="EZ143" s="496" t="str">
        <f> IF(EZ163&lt;&gt;"",TEXT(AUX!FD$1,"dd-MMM-aa"),"")</f>
      </c>
      <c r="FA143" s="496" t="str">
        <f> IF(FA163&lt;&gt;"",TEXT(AUX!FE$1,"dd-MMM-aa"),"")</f>
      </c>
      <c r="FB143" s="496" t="str">
        <f> IF(FB163&lt;&gt;"",TEXT(AUX!FF$1,"dd-MMM-aa"),"")</f>
      </c>
      <c r="FC143" s="496" t="str">
        <f> IF(FC163&lt;&gt;"",TEXT(AUX!FG$1,"dd-MMM-aa"),"")</f>
      </c>
      <c r="FD143" s="496" t="str">
        <f> IF(FD163&lt;&gt;"",TEXT(AUX!FH$1,"dd-MMM-aa"),"")</f>
      </c>
      <c r="FE143" s="496" t="str">
        <f> IF(FE163&lt;&gt;"",TEXT(AUX!FI$1,"dd-MMM-aa"),"")</f>
      </c>
      <c r="FF143" s="496" t="str">
        <f> IF(FF163&lt;&gt;"",TEXT(AUX!FJ$1,"dd-MMM-aa"),"")</f>
      </c>
      <c r="FG143" s="496" t="str">
        <f> IF(FG163&lt;&gt;"",TEXT(AUX!FK$1,"dd-MMM-aa"),"")</f>
      </c>
      <c r="FH143" s="496" t="str">
        <f> IF(FH163&lt;&gt;"",TEXT(AUX!FL$1,"dd-MMM-aa"),"")</f>
      </c>
      <c r="FI143" s="496" t="str">
        <f> IF(FI163&lt;&gt;"",TEXT(AUX!FM$1,"dd-MMM-aa"),"")</f>
      </c>
      <c r="FJ143" s="496" t="str">
        <f> IF(FJ163&lt;&gt;"",TEXT(AUX!FN$1,"dd-MMM-aa"),"")</f>
      </c>
      <c r="FK143" s="496" t="str">
        <f> IF(FK163&lt;&gt;"",TEXT(AUX!FO$1,"dd-MMM-aa"),"")</f>
      </c>
      <c r="FL143" s="496" t="str">
        <f> IF(FL163&lt;&gt;"",TEXT(AUX!FP$1,"dd-MMM-aa"),"")</f>
      </c>
      <c r="FM143" s="496" t="str">
        <f> IF(FM163&lt;&gt;"",TEXT(AUX!FQ$1,"dd-MMM-aa"),"")</f>
      </c>
      <c r="FN143" s="496" t="str">
        <f> IF(FN163&lt;&gt;"",TEXT(AUX!FR$1,"dd-MMM-aa"),"")</f>
      </c>
      <c r="FO143" s="496" t="str">
        <f> IF(FO163&lt;&gt;"",TEXT(AUX!FS$1,"dd-MMM-aa"),"")</f>
      </c>
      <c r="FP143" s="496" t="str">
        <f> IF(FP163&lt;&gt;"",TEXT(AUX!FT$1,"dd-MMM-aa"),"")</f>
      </c>
      <c r="FQ143" s="496" t="str">
        <f> IF(FQ163&lt;&gt;"",TEXT(AUX!FU$1,"dd-MMM-aa"),"")</f>
      </c>
      <c r="FR143" s="496" t="str">
        <f> IF(FR163&lt;&gt;"",TEXT(AUX!FV$1,"dd-MMM-aa"),"")</f>
      </c>
      <c r="FS143" s="496" t="str">
        <f> IF(FS163&lt;&gt;"",TEXT(AUX!FW$1,"dd-MMM-aa"),"")</f>
      </c>
      <c r="FT143" s="496" t="str">
        <f> IF(FT163&lt;&gt;"",TEXT(AUX!FX$1,"dd-MMM-aa"),"")</f>
      </c>
      <c r="FU143" s="496" t="str">
        <f> IF(FU163&lt;&gt;"",TEXT(AUX!FY$1,"dd-MMM-aa"),"")</f>
      </c>
      <c r="FV143" s="496" t="str">
        <f> IF(FV163&lt;&gt;"",TEXT(AUX!FZ$1,"dd-MMM-aa"),"")</f>
      </c>
      <c r="FW143" s="496" t="str">
        <f> IF(FW163&lt;&gt;"",TEXT(AUX!GA$1,"dd-MMM-aa"),"")</f>
      </c>
      <c r="FX143" s="496" t="str">
        <f> IF(FX163&lt;&gt;"",TEXT(AUX!GB$1,"dd-MMM-aa"),"")</f>
      </c>
      <c r="FY143" s="496" t="str">
        <f> IF(FY163&lt;&gt;"",TEXT(AUX!GC$1,"dd-MMM-aa"),"")</f>
      </c>
      <c r="FZ143" s="496" t="str">
        <f> IF(FZ163&lt;&gt;"",TEXT(AUX!GD$1,"dd-MMM-aa"),"")</f>
      </c>
      <c r="GA143" s="496" t="str">
        <f> IF(GA163&lt;&gt;"",TEXT(AUX!GE$1,"dd-MMM-aa"),"")</f>
      </c>
      <c r="GB143" s="496" t="str">
        <f> IF(GB163&lt;&gt;"",TEXT(AUX!GF$1,"dd-MMM-aa"),"")</f>
      </c>
      <c r="GC143" s="496" t="str">
        <f> IF(GC163&lt;&gt;"",TEXT(AUX!GG$1,"dd-MMM-aa"),"")</f>
      </c>
      <c r="GD143" s="496" t="str">
        <f> IF(GD163&lt;&gt;"",TEXT(AUX!GH$1,"dd-MMM-aa"),"")</f>
      </c>
      <c r="GE143" s="496" t="str">
        <f> IF(GE163&lt;&gt;"",TEXT(AUX!GI$1,"dd-MMM-aa"),"")</f>
      </c>
      <c r="GF143" s="496" t="str">
        <f> IF(GF163&lt;&gt;"",TEXT(AUX!GJ$1,"dd-MMM-aa"),"")</f>
      </c>
      <c r="GG143" s="496" t="str">
        <f> IF(GG163&lt;&gt;"",TEXT(AUX!GK$1,"dd-MMM-aa"),"")</f>
      </c>
      <c r="GH143" s="496" t="str">
        <f> IF(GH163&lt;&gt;"",TEXT(AUX!GL$1,"dd-MMM-aa"),"")</f>
      </c>
      <c r="GI143" s="496" t="str">
        <f> IF(GI163&lt;&gt;"",TEXT(AUX!GM$1,"dd-MMM-aa"),"")</f>
      </c>
      <c r="GJ143" s="496" t="str">
        <f> IF(GJ163&lt;&gt;"",TEXT(AUX!GN$1,"dd-MMM-aa"),"")</f>
      </c>
      <c r="GK143" s="496" t="str">
        <f> IF(GK163&lt;&gt;"",TEXT(AUX!GO$1,"dd-MMM-aa"),"")</f>
      </c>
      <c r="GL143" s="496" t="str">
        <f> IF(GL163&lt;&gt;"",TEXT(AUX!GP$1,"dd-MMM-aa"),"")</f>
      </c>
      <c r="GM143" s="496" t="str">
        <f> IF(GM163&lt;&gt;"",TEXT(AUX!GQ$1,"dd-MMM-aa"),"")</f>
      </c>
      <c r="GN143" s="496" t="str">
        <f> IF(GN163&lt;&gt;"",TEXT(AUX!GR$1,"dd-MMM-aa"),"")</f>
      </c>
      <c r="GO143" s="496" t="str">
        <f> IF(GO163&lt;&gt;"",TEXT(AUX!GS$1,"dd-MMM-aa"),"")</f>
      </c>
      <c r="GP143" s="496" t="str">
        <f> IF(GP163&lt;&gt;"",TEXT(AUX!GT$1,"dd-MMM-aa"),"")</f>
      </c>
      <c r="GQ143" s="496" t="str">
        <f> IF(GQ163&lt;&gt;"",TEXT(AUX!GU$1,"dd-MMM-aa"),"")</f>
      </c>
      <c r="GR143" s="496" t="str">
        <f> IF(GR163&lt;&gt;"",TEXT(AUX!GV$1,"dd-MMM-aa"),"")</f>
      </c>
      <c r="GS143" s="496" t="str">
        <f> IF(GS163&lt;&gt;"",TEXT(AUX!GW$1,"dd-MMM-aa"),"")</f>
      </c>
      <c r="GT143" s="496" t="str">
        <f> IF(GT163&lt;&gt;"",TEXT(AUX!GX$1,"dd-MMM-aa"),"")</f>
      </c>
      <c r="GU143" s="496" t="str">
        <f> IF(GU163&lt;&gt;"",TEXT(AUX!GY$1,"dd-MMM-aa"),"")</f>
      </c>
      <c r="GV143" s="496" t="str">
        <f> IF(GV163&lt;&gt;"",TEXT(AUX!GZ$1,"dd-MMM-aa"),"")</f>
      </c>
      <c r="GW143" s="496" t="str">
        <f> IF(GW163&lt;&gt;"",TEXT(AUX!HA$1,"dd-MMM-aa"),"")</f>
      </c>
      <c r="GX143" s="496" t="str">
        <f> IF(GX163&lt;&gt;"",TEXT(AUX!HB$1,"dd-MMM-aa"),"")</f>
      </c>
      <c r="GY143" s="496" t="str">
        <f> IF(GY163&lt;&gt;"",TEXT(AUX!HC$1,"dd-MMM-aa"),"")</f>
      </c>
      <c r="GZ143" s="496" t="str">
        <f> IF(GZ163&lt;&gt;"",TEXT(AUX!HD$1,"dd-MMM-aa"),"")</f>
      </c>
      <c r="HA143" s="496" t="str">
        <f> IF(HA163&lt;&gt;"",TEXT(AUX!HE$1,"dd-MMM-aa"),"")</f>
      </c>
      <c r="HB143" s="496" t="str">
        <f> IF(HB163&lt;&gt;"",TEXT(AUX!HF$1,"dd-MMM-aa"),"")</f>
      </c>
      <c r="HC143" s="496" t="str">
        <f> IF(HC163&lt;&gt;"",TEXT(AUX!HG$1,"dd-MMM-aa"),"")</f>
      </c>
      <c r="HD143" s="496" t="str">
        <f> IF(HD163&lt;&gt;"",TEXT(AUX!HH$1,"dd-MMM-aa"),"")</f>
      </c>
      <c r="HE143" s="496" t="str">
        <f> IF(HE163&lt;&gt;"",TEXT(AUX!HI$1,"dd-MMM-aa"),"")</f>
      </c>
      <c r="HF143" s="496" t="str">
        <f> IF(HF163&lt;&gt;"",TEXT(AUX!HJ$1,"dd-MMM-aa"),"")</f>
      </c>
      <c r="HG143" s="496" t="str">
        <f> IF(HG163&lt;&gt;"",TEXT(AUX!HK$1,"dd-MMM-aa"),"")</f>
      </c>
      <c r="HH143" s="496" t="str">
        <f> IF(HH163&lt;&gt;"",TEXT(AUX!HL$1,"dd-MMM-aa"),"")</f>
      </c>
      <c r="HI143" s="496" t="str">
        <f> IF(HI163&lt;&gt;"",TEXT(AUX!HM$1,"dd-MMM-aa"),"")</f>
      </c>
      <c r="HJ143" s="496" t="str">
        <f> IF(HJ163&lt;&gt;"",TEXT(AUX!HN$1,"dd-MMM-aa"),"")</f>
      </c>
      <c r="HK143" s="496" t="str">
        <f> IF(HK163&lt;&gt;"",TEXT(AUX!HO$1,"dd-MMM-aa"),"")</f>
      </c>
      <c r="HL143" s="496" t="str">
        <f> IF(HL163&lt;&gt;"",TEXT(AUX!HP$1,"dd-MMM-aa"),"")</f>
      </c>
      <c r="HM143" s="496" t="str">
        <f> IF(HM163&lt;&gt;"",TEXT(AUX!HQ$1,"dd-MMM-aa"),"")</f>
      </c>
      <c r="HN143" s="496" t="str">
        <f> IF(HN163&lt;&gt;"",TEXT(AUX!HR$1,"dd-MMM-aa"),"")</f>
      </c>
      <c r="HO143" s="496" t="str">
        <f> IF(HO163&lt;&gt;"",TEXT(AUX!HS$1,"dd-MMM-aa"),"")</f>
      </c>
      <c r="HP143" s="496" t="str">
        <f> IF(HP163&lt;&gt;"",TEXT(AUX!HT$1,"dd-MMM-aa"),"")</f>
      </c>
      <c r="HQ143" s="496" t="str">
        <f> IF(HQ163&lt;&gt;"",TEXT(AUX!HU$1,"dd-MMM-aa"),"")</f>
      </c>
      <c r="HR143" s="496" t="str">
        <f> IF(HR163&lt;&gt;"",TEXT(AUX!HV$1,"dd-MMM-aa"),"")</f>
      </c>
      <c r="HS143" s="496" t="str">
        <f> IF(HS163&lt;&gt;"",TEXT(AUX!HW$1,"dd-MMM-aa"),"")</f>
      </c>
      <c r="HT143" s="496" t="str">
        <f> IF(HT163&lt;&gt;"",TEXT(AUX!HX$1,"dd-MMM-aa"),"")</f>
      </c>
      <c r="HU143" s="496" t="str">
        <f> IF(HU163&lt;&gt;"",TEXT(AUX!HY$1,"dd-MMM-aa"),"")</f>
      </c>
      <c r="HV143" s="496" t="str">
        <f> IF(HV163&lt;&gt;"",TEXT(AUX!HZ$1,"dd-MMM-aa"),"")</f>
      </c>
      <c r="HW143" s="496" t="str">
        <f> IF(HW163&lt;&gt;"",TEXT(AUX!IA$1,"dd-MMM-aa"),"")</f>
      </c>
      <c r="HX143" s="496" t="str">
        <f> IF(HX163&lt;&gt;"",TEXT(AUX!IB$1,"dd-MMM-aa"),"")</f>
      </c>
      <c r="HY143" s="496" t="str">
        <f> IF(HY163&lt;&gt;"",TEXT(AUX!IC$1,"dd-MMM-aa"),"")</f>
      </c>
      <c r="HZ143" s="496" t="str">
        <f> IF(HZ163&lt;&gt;"",TEXT(AUX!ID$1,"dd-MMM-aa"),"")</f>
      </c>
      <c r="IA143" s="496" t="str">
        <f> IF(IA163&lt;&gt;"",TEXT(AUX!IE$1,"dd-MMM-aa"),"")</f>
      </c>
      <c r="IB143" s="496" t="str">
        <f> IF(IB163&lt;&gt;"",TEXT(AUX!IF$1,"dd-MMM-aa"),"")</f>
      </c>
      <c r="IC143" s="496" t="str">
        <f> IF(IC163&lt;&gt;"",TEXT(AUX!IG$1,"dd-MMM-aa"),"")</f>
      </c>
      <c r="ID143" s="496" t="str">
        <f> IF(ID163&lt;&gt;"",TEXT(AUX!IH$1,"dd-MMM-aa"),"")</f>
      </c>
      <c r="IE143" s="496" t="str">
        <f> IF(IE163&lt;&gt;"",TEXT(AUX!II$1,"dd-MMM-aa"),"")</f>
      </c>
      <c r="IF143" s="496" t="str">
        <f> IF(IF163&lt;&gt;"",TEXT(AUX!IJ$1,"dd-MMM-aa"),"")</f>
      </c>
      <c r="IG143" s="496" t="str">
        <f> IF(IG163&lt;&gt;"",TEXT(AUX!IK$1,"dd-MMM-aa"),"")</f>
      </c>
      <c r="IH143" s="496" t="str">
        <f> IF(IH163&lt;&gt;"",TEXT(AUX!IL$1,"dd-MMM-aa"),"")</f>
      </c>
      <c r="II143" s="496" t="str">
        <f> IF(II163&lt;&gt;"",TEXT(AUX!IM$1,"dd-MMM-aa"),"")</f>
      </c>
      <c r="IJ143" s="496" t="str">
        <f> IF(IJ163&lt;&gt;"",TEXT(AUX!IN$1,"dd-MMM-aa"),"")</f>
      </c>
      <c r="IK143" s="496" t="str">
        <f> IF(IK163&lt;&gt;"",TEXT(AUX!IO$1,"dd-MMM-aa"),"")</f>
      </c>
      <c r="IL143" s="496" t="str">
        <f> IF(IL163&lt;&gt;"",TEXT(AUX!IP$1,"dd-MMM-aa"),"")</f>
      </c>
      <c r="IM143" s="496" t="str">
        <f> IF(IM163&lt;&gt;"",TEXT(AUX!IQ$1,"dd-MMM-aa"),"")</f>
      </c>
      <c r="IN143" s="496" t="str">
        <f> IF(IN163&lt;&gt;"",TEXT(AUX!IR$1,"dd-MMM-aa"),"")</f>
      </c>
      <c r="IO143" s="496" t="str">
        <f> IF(IO163&lt;&gt;"",TEXT(AUX!IS$1,"dd-MMM-aa"),"")</f>
      </c>
      <c r="IP143" s="496" t="str">
        <f> IF(IP163&lt;&gt;"",TEXT(AUX!IT$1,"dd-MMM-aa"),"")</f>
      </c>
      <c r="IQ143" s="496" t="str">
        <f> IF(IQ163&lt;&gt;"",TEXT(AUX!IU$1,"dd-MMM-aa"),"")</f>
      </c>
      <c r="IR143" s="496" t="str">
        <f> IF(IR163&lt;&gt;"",TEXT(AUX!IV$1,"dd-MMM-aa"),"")</f>
      </c>
      <c r="IS143" s="496" t="str">
        <f> IF(IS163&lt;&gt;"",TEXT(AUX!#REF!,"dd-MMM-aa"),"")</f>
      </c>
      <c r="IT143" s="496" t="str">
        <f> IF(IT163&lt;&gt;"",TEXT(AUX!#REF!,"dd-MMM-aa"),"")</f>
      </c>
      <c r="IU143" s="496" t="str">
        <f> IF(IU163&lt;&gt;"",TEXT(AUX!#REF!,"dd-MMM-aa"),"")</f>
      </c>
      <c r="IV143" s="496" t="str">
        <f> IF(IV163&lt;&gt;"",TEXT(AUX!#REF!,"dd-MMM-aa"),"")</f>
      </c>
    </row>
    <row r="144" hidden="1">
      <c r="B144" s="822" t="s">
        <v>8</v>
      </c>
      <c r="C144" s="823">
        <v>176</v>
      </c>
      <c r="D144" s="823">
        <v>194</v>
      </c>
      <c r="E144" s="823">
        <v>192</v>
      </c>
      <c r="F144" s="823">
        <v>196</v>
      </c>
      <c r="G144" s="823">
        <v>190</v>
      </c>
      <c r="H144" s="823">
        <v>203</v>
      </c>
      <c r="I144" s="823">
        <v>194</v>
      </c>
      <c r="J144" s="823">
        <v>197</v>
      </c>
      <c r="K144" s="823">
        <v>193</v>
      </c>
      <c r="L144" s="823">
        <v>194</v>
      </c>
      <c r="M144" s="823">
        <v>193</v>
      </c>
      <c r="N144" s="823">
        <v>197</v>
      </c>
      <c r="O144" s="823">
        <v>214</v>
      </c>
      <c r="P144" s="823">
        <v>250</v>
      </c>
      <c r="Q144" s="823">
        <v>1374</v>
      </c>
      <c r="R144" s="823">
        <v>1449</v>
      </c>
      <c r="S144" s="823">
        <v>1544</v>
      </c>
      <c r="T144" s="823">
        <v>1585</v>
      </c>
      <c r="U144" s="823">
        <v>1604</v>
      </c>
      <c r="V144" s="823">
        <v>1637</v>
      </c>
      <c r="W144" s="823">
        <v>1670</v>
      </c>
      <c r="X144" s="823">
        <v>1124</v>
      </c>
      <c r="Y144" s="823">
        <v>1711</v>
      </c>
      <c r="Z144" s="823">
        <v>1731</v>
      </c>
      <c r="AA144" s="823">
        <v>1722</v>
      </c>
      <c r="AB144" s="824">
        <v>1736</v>
      </c>
      <c r="AC144" s="825">
        <v>1743</v>
      </c>
      <c r="AD144" s="825">
        <v>1750</v>
      </c>
      <c r="AE144" s="825">
        <v>1788</v>
      </c>
      <c r="AF144" s="825">
        <v>1817</v>
      </c>
      <c r="AG144" s="825">
        <v>1835</v>
      </c>
      <c r="AH144" s="825">
        <v>1842</v>
      </c>
      <c r="AI144" s="825">
        <v>1847</v>
      </c>
      <c r="AJ144" s="825">
        <v>1843</v>
      </c>
      <c r="AK144" s="825">
        <v>1822</v>
      </c>
      <c r="AL144" s="825">
        <v>1751</v>
      </c>
      <c r="AM144" s="825">
        <v>1534</v>
      </c>
      <c r="AN144" s="825">
        <v>1469</v>
      </c>
      <c r="AO144" s="825">
        <v>1440</v>
      </c>
      <c r="AP144" s="825">
        <v>1409</v>
      </c>
    </row>
    <row r="145" hidden="1">
      <c r="B145" s="826" t="s">
        <v>9</v>
      </c>
      <c r="C145" s="827">
        <v>36</v>
      </c>
      <c r="D145" s="827">
        <v>34</v>
      </c>
      <c r="E145" s="827">
        <v>33</v>
      </c>
      <c r="F145" s="827">
        <v>33</v>
      </c>
      <c r="G145" s="827">
        <v>36</v>
      </c>
      <c r="H145" s="827">
        <v>37</v>
      </c>
      <c r="I145" s="827">
        <v>37</v>
      </c>
      <c r="J145" s="827">
        <v>37</v>
      </c>
      <c r="K145" s="827">
        <v>32</v>
      </c>
      <c r="L145" s="827">
        <v>33</v>
      </c>
      <c r="M145" s="827">
        <v>32</v>
      </c>
      <c r="N145" s="827">
        <v>30</v>
      </c>
      <c r="O145" s="827">
        <v>29</v>
      </c>
      <c r="P145" s="827">
        <v>28</v>
      </c>
      <c r="Q145" s="827">
        <v>23</v>
      </c>
      <c r="R145" s="827">
        <v>24</v>
      </c>
      <c r="S145" s="827">
        <v>23</v>
      </c>
      <c r="T145" s="827">
        <v>21</v>
      </c>
      <c r="U145" s="827">
        <v>23</v>
      </c>
      <c r="V145" s="827">
        <v>23</v>
      </c>
      <c r="W145" s="827">
        <v>23</v>
      </c>
      <c r="X145" s="827">
        <v>24</v>
      </c>
      <c r="Y145" s="827">
        <v>25</v>
      </c>
      <c r="Z145" s="827">
        <v>24</v>
      </c>
      <c r="AA145" s="827">
        <v>26</v>
      </c>
      <c r="AB145" s="827">
        <v>26</v>
      </c>
      <c r="AC145" s="828">
        <v>27</v>
      </c>
      <c r="AD145" s="828">
        <v>26</v>
      </c>
      <c r="AE145" s="828">
        <v>26</v>
      </c>
      <c r="AF145" s="828">
        <v>26</v>
      </c>
      <c r="AG145" s="828">
        <v>27</v>
      </c>
      <c r="AH145" s="828">
        <v>25</v>
      </c>
      <c r="AI145" s="828">
        <v>33</v>
      </c>
      <c r="AJ145" s="828">
        <v>37</v>
      </c>
      <c r="AK145" s="828">
        <v>39</v>
      </c>
      <c r="AL145" s="828">
        <v>42</v>
      </c>
      <c r="AM145" s="828">
        <v>46</v>
      </c>
      <c r="AN145" s="828">
        <v>50</v>
      </c>
      <c r="AO145" s="828">
        <v>49</v>
      </c>
      <c r="AP145" s="828">
        <v>49</v>
      </c>
    </row>
    <row r="146" hidden="1">
      <c r="B146" s="829" t="s">
        <v>10</v>
      </c>
      <c r="C146" s="823">
        <v>2</v>
      </c>
      <c r="D146" s="823">
        <v>2</v>
      </c>
      <c r="E146" s="823">
        <v>2</v>
      </c>
      <c r="F146" s="823">
        <v>2</v>
      </c>
      <c r="G146" s="823">
        <v>2</v>
      </c>
      <c r="H146" s="823">
        <v>2</v>
      </c>
      <c r="I146" s="823">
        <v>2</v>
      </c>
      <c r="J146" s="823">
        <v>2</v>
      </c>
      <c r="K146" s="823">
        <v>3</v>
      </c>
      <c r="L146" s="823">
        <v>3</v>
      </c>
      <c r="M146" s="823">
        <v>4</v>
      </c>
      <c r="N146" s="823">
        <v>5</v>
      </c>
      <c r="O146" s="823">
        <v>7</v>
      </c>
      <c r="P146" s="823">
        <v>7</v>
      </c>
      <c r="Q146" s="823">
        <v>7</v>
      </c>
      <c r="R146" s="823">
        <v>7</v>
      </c>
      <c r="S146" s="823">
        <v>7</v>
      </c>
      <c r="T146" s="823">
        <v>7</v>
      </c>
      <c r="U146" s="823">
        <v>7</v>
      </c>
      <c r="V146" s="823">
        <v>7</v>
      </c>
      <c r="W146" s="823">
        <v>7</v>
      </c>
      <c r="X146" s="823">
        <v>6</v>
      </c>
      <c r="Y146" s="823">
        <v>6</v>
      </c>
      <c r="Z146" s="823">
        <v>6</v>
      </c>
      <c r="AA146" s="823">
        <v>6</v>
      </c>
      <c r="AB146" s="823">
        <v>6</v>
      </c>
      <c r="AC146" s="825">
        <v>6</v>
      </c>
      <c r="AD146" s="825">
        <v>6</v>
      </c>
      <c r="AE146" s="825">
        <v>6</v>
      </c>
      <c r="AF146" s="825">
        <v>7</v>
      </c>
      <c r="AG146" s="825">
        <v>7</v>
      </c>
      <c r="AH146" s="825">
        <v>7</v>
      </c>
      <c r="AI146" s="825">
        <v>7</v>
      </c>
      <c r="AJ146" s="825">
        <v>7</v>
      </c>
      <c r="AK146" s="825">
        <v>7</v>
      </c>
      <c r="AL146" s="825">
        <v>7</v>
      </c>
      <c r="AM146" s="825">
        <v>7</v>
      </c>
      <c r="AN146" s="825">
        <v>7</v>
      </c>
      <c r="AO146" s="825">
        <v>7</v>
      </c>
      <c r="AP146" s="825">
        <v>6</v>
      </c>
    </row>
    <row r="147" hidden="1">
      <c r="B147" s="826" t="s">
        <v>11</v>
      </c>
      <c r="C147" s="827">
        <v>6</v>
      </c>
      <c r="D147" s="827">
        <v>6</v>
      </c>
      <c r="E147" s="827">
        <v>5</v>
      </c>
      <c r="F147" s="827">
        <v>5</v>
      </c>
      <c r="G147" s="827">
        <v>4</v>
      </c>
      <c r="H147" s="827">
        <v>5</v>
      </c>
      <c r="I147" s="827">
        <v>4</v>
      </c>
      <c r="J147" s="827">
        <v>4</v>
      </c>
      <c r="K147" s="827">
        <v>6</v>
      </c>
      <c r="L147" s="827">
        <v>7</v>
      </c>
      <c r="M147" s="827">
        <v>10</v>
      </c>
      <c r="N147" s="827">
        <v>9</v>
      </c>
      <c r="O147" s="827">
        <v>9</v>
      </c>
      <c r="P147" s="827">
        <v>10</v>
      </c>
      <c r="Q147" s="827">
        <v>9</v>
      </c>
      <c r="R147" s="827">
        <v>9</v>
      </c>
      <c r="S147" s="827">
        <v>10</v>
      </c>
      <c r="T147" s="827">
        <v>10</v>
      </c>
      <c r="U147" s="827">
        <v>7</v>
      </c>
      <c r="V147" s="827">
        <v>8</v>
      </c>
      <c r="W147" s="827">
        <v>8</v>
      </c>
      <c r="X147" s="827">
        <v>8</v>
      </c>
      <c r="Y147" s="827">
        <v>9</v>
      </c>
      <c r="Z147" s="827">
        <v>9</v>
      </c>
      <c r="AA147" s="827">
        <v>9</v>
      </c>
      <c r="AB147" s="827">
        <v>13</v>
      </c>
      <c r="AC147" s="828">
        <v>13</v>
      </c>
      <c r="AD147" s="828">
        <v>13</v>
      </c>
      <c r="AE147" s="828">
        <v>13</v>
      </c>
      <c r="AF147" s="828">
        <v>13</v>
      </c>
      <c r="AG147" s="828">
        <v>9</v>
      </c>
      <c r="AH147" s="828">
        <v>10</v>
      </c>
      <c r="AI147" s="828">
        <v>11</v>
      </c>
      <c r="AJ147" s="828">
        <v>11</v>
      </c>
      <c r="AK147" s="828">
        <v>9</v>
      </c>
      <c r="AL147" s="828">
        <v>10</v>
      </c>
      <c r="AM147" s="828">
        <v>10</v>
      </c>
      <c r="AN147" s="828">
        <v>7</v>
      </c>
      <c r="AO147" s="828">
        <v>8</v>
      </c>
      <c r="AP147" s="828">
        <v>8</v>
      </c>
    </row>
    <row r="148" hidden="1">
      <c r="B148" s="829" t="s">
        <v>12</v>
      </c>
      <c r="C148" s="823">
        <v>251</v>
      </c>
      <c r="D148" s="823">
        <v>254</v>
      </c>
      <c r="E148" s="823">
        <v>267</v>
      </c>
      <c r="F148" s="823">
        <v>262</v>
      </c>
      <c r="G148" s="823">
        <v>261</v>
      </c>
      <c r="H148" s="823">
        <v>264</v>
      </c>
      <c r="I148" s="823">
        <v>271</v>
      </c>
      <c r="J148" s="823">
        <v>225</v>
      </c>
      <c r="K148" s="823">
        <v>226</v>
      </c>
      <c r="L148" s="823">
        <v>228</v>
      </c>
      <c r="M148" s="823">
        <v>221</v>
      </c>
      <c r="N148" s="823">
        <v>218</v>
      </c>
      <c r="O148" s="823">
        <v>199</v>
      </c>
      <c r="P148" s="823">
        <v>195</v>
      </c>
      <c r="Q148" s="823">
        <v>185</v>
      </c>
      <c r="R148" s="823">
        <v>182</v>
      </c>
      <c r="S148" s="823">
        <v>181</v>
      </c>
      <c r="T148" s="823">
        <v>177</v>
      </c>
      <c r="U148" s="823">
        <v>167</v>
      </c>
      <c r="V148" s="823">
        <v>169</v>
      </c>
      <c r="W148" s="823">
        <v>160</v>
      </c>
      <c r="X148" s="823">
        <v>159</v>
      </c>
      <c r="Y148" s="823">
        <v>157</v>
      </c>
      <c r="Z148" s="823">
        <v>152</v>
      </c>
      <c r="AA148" s="823">
        <v>152</v>
      </c>
      <c r="AB148" s="823">
        <v>148</v>
      </c>
      <c r="AC148" s="825">
        <v>152</v>
      </c>
      <c r="AD148" s="825">
        <v>147</v>
      </c>
      <c r="AE148" s="825">
        <v>141</v>
      </c>
      <c r="AF148" s="825">
        <v>140</v>
      </c>
      <c r="AG148" s="825">
        <v>140</v>
      </c>
      <c r="AH148" s="825">
        <v>127</v>
      </c>
      <c r="AI148" s="825">
        <v>120</v>
      </c>
      <c r="AJ148" s="825">
        <v>119</v>
      </c>
      <c r="AK148" s="825">
        <v>124</v>
      </c>
      <c r="AL148" s="825">
        <v>127</v>
      </c>
      <c r="AM148" s="825">
        <v>123</v>
      </c>
      <c r="AN148" s="825">
        <v>120</v>
      </c>
      <c r="AO148" s="825">
        <v>113</v>
      </c>
      <c r="AP148" s="825">
        <v>108</v>
      </c>
    </row>
    <row r="149" hidden="1">
      <c r="B149" s="826" t="s">
        <v>13</v>
      </c>
      <c r="C149" s="827">
        <v>9</v>
      </c>
      <c r="D149" s="827">
        <v>13</v>
      </c>
      <c r="E149" s="827">
        <v>14</v>
      </c>
      <c r="F149" s="827">
        <v>16</v>
      </c>
      <c r="G149" s="827">
        <v>20</v>
      </c>
      <c r="H149" s="827">
        <v>22</v>
      </c>
      <c r="I149" s="827">
        <v>23</v>
      </c>
      <c r="J149" s="827">
        <v>22</v>
      </c>
      <c r="K149" s="827">
        <v>25</v>
      </c>
      <c r="L149" s="827">
        <v>24</v>
      </c>
      <c r="M149" s="827">
        <v>28</v>
      </c>
      <c r="N149" s="827">
        <v>30</v>
      </c>
      <c r="O149" s="827">
        <v>29</v>
      </c>
      <c r="P149" s="827">
        <v>29</v>
      </c>
      <c r="Q149" s="827">
        <v>31</v>
      </c>
      <c r="R149" s="827">
        <v>26</v>
      </c>
      <c r="S149" s="827">
        <v>28</v>
      </c>
      <c r="T149" s="827">
        <v>29</v>
      </c>
      <c r="U149" s="827">
        <v>29</v>
      </c>
      <c r="V149" s="827">
        <v>29</v>
      </c>
      <c r="W149" s="827">
        <v>24</v>
      </c>
      <c r="X149" s="827">
        <v>25</v>
      </c>
      <c r="Y149" s="827">
        <v>22</v>
      </c>
      <c r="Z149" s="827">
        <v>18</v>
      </c>
      <c r="AA149" s="827">
        <v>23</v>
      </c>
      <c r="AB149" s="827">
        <v>23</v>
      </c>
      <c r="AC149" s="828">
        <v>23</v>
      </c>
      <c r="AD149" s="828">
        <v>18</v>
      </c>
      <c r="AE149" s="828">
        <v>17</v>
      </c>
      <c r="AF149" s="828">
        <v>15</v>
      </c>
      <c r="AG149" s="828">
        <v>18</v>
      </c>
      <c r="AH149" s="828">
        <v>16</v>
      </c>
      <c r="AI149" s="828">
        <v>18</v>
      </c>
      <c r="AJ149" s="828">
        <v>14</v>
      </c>
      <c r="AK149" s="828">
        <v>16</v>
      </c>
      <c r="AL149" s="828">
        <v>12</v>
      </c>
      <c r="AM149" s="828">
        <v>9</v>
      </c>
      <c r="AN149" s="828">
        <v>9</v>
      </c>
      <c r="AO149" s="828">
        <v>10</v>
      </c>
      <c r="AP149" s="828">
        <v>11</v>
      </c>
    </row>
    <row r="150" hidden="1">
      <c r="B150" s="829" t="s">
        <v>109</v>
      </c>
      <c r="C150" s="823">
        <v>159</v>
      </c>
      <c r="D150" s="823">
        <v>157</v>
      </c>
      <c r="E150" s="823">
        <v>156</v>
      </c>
      <c r="F150" s="823">
        <v>453</v>
      </c>
      <c r="G150" s="823">
        <v>1600</v>
      </c>
      <c r="H150" s="823">
        <v>2228</v>
      </c>
      <c r="I150" s="823">
        <v>2204</v>
      </c>
      <c r="J150" s="823">
        <v>2170</v>
      </c>
      <c r="K150" s="823">
        <v>2133</v>
      </c>
      <c r="L150" s="823">
        <v>2111</v>
      </c>
      <c r="M150" s="823">
        <v>2062</v>
      </c>
      <c r="N150" s="823">
        <v>1869</v>
      </c>
      <c r="O150" s="823">
        <v>1761</v>
      </c>
      <c r="P150" s="823">
        <v>1751</v>
      </c>
      <c r="Q150" s="823">
        <v>1745</v>
      </c>
      <c r="R150" s="823">
        <v>1726</v>
      </c>
      <c r="S150" s="823">
        <v>1690</v>
      </c>
      <c r="T150" s="823">
        <v>1692</v>
      </c>
      <c r="U150" s="823">
        <v>1637</v>
      </c>
      <c r="V150" s="823">
        <v>1631</v>
      </c>
      <c r="W150" s="823">
        <v>1613</v>
      </c>
      <c r="X150" s="823">
        <v>1569</v>
      </c>
      <c r="Y150" s="823">
        <v>1568</v>
      </c>
      <c r="Z150" s="823">
        <v>1554</v>
      </c>
      <c r="AA150" s="823">
        <v>1489</v>
      </c>
      <c r="AB150" s="823">
        <v>1477</v>
      </c>
      <c r="AC150" s="825">
        <v>1438</v>
      </c>
      <c r="AD150" s="825">
        <v>1433</v>
      </c>
      <c r="AE150" s="825">
        <v>1366</v>
      </c>
      <c r="AF150" s="825">
        <v>1347</v>
      </c>
      <c r="AG150" s="825">
        <v>1316</v>
      </c>
      <c r="AH150" s="825">
        <v>1297</v>
      </c>
      <c r="AI150" s="825">
        <v>1284</v>
      </c>
      <c r="AJ150" s="825">
        <v>1197</v>
      </c>
      <c r="AK150" s="825">
        <v>1165</v>
      </c>
      <c r="AL150" s="825">
        <v>1147</v>
      </c>
      <c r="AM150" s="825">
        <v>1069</v>
      </c>
      <c r="AN150" s="825">
        <v>1053</v>
      </c>
      <c r="AO150" s="825">
        <v>1011</v>
      </c>
      <c r="AP150" s="825">
        <v>981</v>
      </c>
    </row>
    <row r="151" hidden="1">
      <c r="B151" s="826" t="s">
        <v>110</v>
      </c>
      <c r="C151" s="827">
        <v>3910</v>
      </c>
      <c r="D151" s="827">
        <v>3897</v>
      </c>
      <c r="E151" s="827">
        <v>3839</v>
      </c>
      <c r="F151" s="827">
        <v>3787</v>
      </c>
      <c r="G151" s="827">
        <v>3693</v>
      </c>
      <c r="H151" s="827">
        <v>3611</v>
      </c>
      <c r="I151" s="827">
        <v>3427</v>
      </c>
      <c r="J151" s="827">
        <v>3383</v>
      </c>
      <c r="K151" s="827">
        <v>3235</v>
      </c>
      <c r="L151" s="827">
        <v>3145</v>
      </c>
      <c r="M151" s="827">
        <v>3064</v>
      </c>
      <c r="N151" s="827">
        <v>2901</v>
      </c>
      <c r="O151" s="827">
        <v>2828</v>
      </c>
      <c r="P151" s="827">
        <v>2650</v>
      </c>
      <c r="Q151" s="827">
        <v>2619</v>
      </c>
      <c r="R151" s="827">
        <v>2585</v>
      </c>
      <c r="S151" s="827">
        <v>2560</v>
      </c>
      <c r="T151" s="827">
        <v>2518</v>
      </c>
      <c r="U151" s="827">
        <v>2481</v>
      </c>
      <c r="V151" s="827">
        <v>2449</v>
      </c>
      <c r="W151" s="827">
        <v>2420</v>
      </c>
      <c r="X151" s="827">
        <v>2411</v>
      </c>
      <c r="Y151" s="827">
        <v>2364</v>
      </c>
      <c r="Z151" s="827">
        <v>2330</v>
      </c>
      <c r="AA151" s="827">
        <v>2281</v>
      </c>
      <c r="AB151" s="827">
        <v>2261</v>
      </c>
      <c r="AC151" s="828">
        <v>2234</v>
      </c>
      <c r="AD151" s="828">
        <v>2183</v>
      </c>
      <c r="AE151" s="828">
        <v>2109</v>
      </c>
      <c r="AF151" s="828">
        <v>2008</v>
      </c>
      <c r="AG151" s="828">
        <v>1962</v>
      </c>
      <c r="AH151" s="828">
        <v>1919</v>
      </c>
      <c r="AI151" s="828">
        <v>1775</v>
      </c>
      <c r="AJ151" s="828">
        <v>1728</v>
      </c>
      <c r="AK151" s="828">
        <v>1591</v>
      </c>
      <c r="AL151" s="828">
        <v>1528</v>
      </c>
      <c r="AM151" s="828">
        <v>1419</v>
      </c>
      <c r="AN151" s="828">
        <v>1402</v>
      </c>
      <c r="AO151" s="828">
        <v>1351</v>
      </c>
      <c r="AP151" s="828">
        <v>1315</v>
      </c>
    </row>
    <row r="152" hidden="1">
      <c r="B152" s="829" t="s">
        <v>16</v>
      </c>
      <c r="C152" s="823">
        <v>8</v>
      </c>
      <c r="D152" s="823">
        <v>10</v>
      </c>
      <c r="E152" s="823">
        <v>13</v>
      </c>
      <c r="F152" s="823">
        <v>12</v>
      </c>
      <c r="G152" s="823">
        <v>13</v>
      </c>
      <c r="H152" s="823">
        <v>13</v>
      </c>
      <c r="I152" s="823">
        <v>14</v>
      </c>
      <c r="J152" s="823">
        <v>14</v>
      </c>
      <c r="K152" s="823">
        <v>13</v>
      </c>
      <c r="L152" s="823">
        <v>13</v>
      </c>
      <c r="M152" s="823">
        <v>14</v>
      </c>
      <c r="N152" s="823">
        <v>13</v>
      </c>
      <c r="O152" s="823">
        <v>11</v>
      </c>
      <c r="P152" s="823">
        <v>13</v>
      </c>
      <c r="Q152" s="823">
        <v>14</v>
      </c>
      <c r="R152" s="823">
        <v>15</v>
      </c>
      <c r="S152" s="823">
        <v>15</v>
      </c>
      <c r="T152" s="823">
        <v>15</v>
      </c>
      <c r="U152" s="823">
        <v>17</v>
      </c>
      <c r="V152" s="823">
        <v>16</v>
      </c>
      <c r="W152" s="823">
        <v>15</v>
      </c>
      <c r="X152" s="823">
        <v>15</v>
      </c>
      <c r="Y152" s="823">
        <v>17</v>
      </c>
      <c r="Z152" s="823">
        <v>20</v>
      </c>
      <c r="AA152" s="823">
        <v>20</v>
      </c>
      <c r="AB152" s="823">
        <v>20</v>
      </c>
      <c r="AC152" s="825">
        <v>20</v>
      </c>
      <c r="AD152" s="825">
        <v>20</v>
      </c>
      <c r="AE152" s="825">
        <v>22</v>
      </c>
      <c r="AF152" s="825">
        <v>22</v>
      </c>
      <c r="AG152" s="825">
        <v>21</v>
      </c>
      <c r="AH152" s="825">
        <v>21</v>
      </c>
      <c r="AI152" s="825">
        <v>22</v>
      </c>
      <c r="AJ152" s="825">
        <v>23</v>
      </c>
      <c r="AK152" s="825">
        <v>23</v>
      </c>
      <c r="AL152" s="825">
        <v>22</v>
      </c>
      <c r="AM152" s="825">
        <v>18</v>
      </c>
      <c r="AN152" s="825">
        <v>18</v>
      </c>
      <c r="AO152" s="825">
        <v>19</v>
      </c>
      <c r="AP152" s="825">
        <v>18</v>
      </c>
    </row>
    <row r="153" hidden="1">
      <c r="B153" s="826" t="s">
        <v>17</v>
      </c>
      <c r="C153" s="827">
        <v>386</v>
      </c>
      <c r="D153" s="827">
        <v>379</v>
      </c>
      <c r="E153" s="827">
        <v>369</v>
      </c>
      <c r="F153" s="827">
        <v>366</v>
      </c>
      <c r="G153" s="827">
        <v>310</v>
      </c>
      <c r="H153" s="827">
        <v>305</v>
      </c>
      <c r="I153" s="827">
        <v>286</v>
      </c>
      <c r="J153" s="827">
        <v>288</v>
      </c>
      <c r="K153" s="827">
        <v>283</v>
      </c>
      <c r="L153" s="827">
        <v>282</v>
      </c>
      <c r="M153" s="827">
        <v>271</v>
      </c>
      <c r="N153" s="827">
        <v>265</v>
      </c>
      <c r="O153" s="827">
        <v>265</v>
      </c>
      <c r="P153" s="827">
        <v>256</v>
      </c>
      <c r="Q153" s="827">
        <v>237</v>
      </c>
      <c r="R153" s="827">
        <v>233</v>
      </c>
      <c r="S153" s="827">
        <v>225</v>
      </c>
      <c r="T153" s="827">
        <v>227</v>
      </c>
      <c r="U153" s="827">
        <v>219</v>
      </c>
      <c r="V153" s="827">
        <v>218</v>
      </c>
      <c r="W153" s="827">
        <v>207</v>
      </c>
      <c r="X153" s="827">
        <v>197</v>
      </c>
      <c r="Y153" s="827">
        <v>196</v>
      </c>
      <c r="Z153" s="827">
        <v>196</v>
      </c>
      <c r="AA153" s="827">
        <v>192</v>
      </c>
      <c r="AB153" s="827">
        <v>174</v>
      </c>
      <c r="AC153" s="828">
        <v>168</v>
      </c>
      <c r="AD153" s="828">
        <v>170</v>
      </c>
      <c r="AE153" s="828">
        <v>168</v>
      </c>
      <c r="AF153" s="828">
        <v>165</v>
      </c>
      <c r="AG153" s="828">
        <v>158</v>
      </c>
      <c r="AH153" s="828">
        <v>138</v>
      </c>
      <c r="AI153" s="828">
        <v>137</v>
      </c>
      <c r="AJ153" s="828">
        <v>135</v>
      </c>
      <c r="AK153" s="828">
        <v>131</v>
      </c>
      <c r="AL153" s="828">
        <v>122</v>
      </c>
      <c r="AM153" s="828">
        <v>87</v>
      </c>
      <c r="AN153" s="828">
        <v>87</v>
      </c>
      <c r="AO153" s="828">
        <v>86</v>
      </c>
      <c r="AP153" s="828">
        <v>85</v>
      </c>
    </row>
    <row r="154" hidden="1">
      <c r="B154" s="829" t="s">
        <v>18</v>
      </c>
      <c r="C154" s="823">
        <v>18</v>
      </c>
      <c r="D154" s="823">
        <v>19</v>
      </c>
      <c r="E154" s="823">
        <v>22</v>
      </c>
      <c r="F154" s="823">
        <v>31</v>
      </c>
      <c r="G154" s="823">
        <v>31</v>
      </c>
      <c r="H154" s="823">
        <v>31</v>
      </c>
      <c r="I154" s="823">
        <v>30</v>
      </c>
      <c r="J154" s="823">
        <v>30</v>
      </c>
      <c r="K154" s="823">
        <v>28</v>
      </c>
      <c r="L154" s="823">
        <v>32</v>
      </c>
      <c r="M154" s="823">
        <v>23</v>
      </c>
      <c r="N154" s="823">
        <v>22</v>
      </c>
      <c r="O154" s="823">
        <v>20</v>
      </c>
      <c r="P154" s="823">
        <v>12</v>
      </c>
      <c r="Q154" s="823">
        <v>11</v>
      </c>
      <c r="R154" s="823">
        <v>12</v>
      </c>
      <c r="S154" s="823">
        <v>11</v>
      </c>
      <c r="T154" s="823">
        <v>13</v>
      </c>
      <c r="U154" s="823">
        <v>7</v>
      </c>
      <c r="V154" s="823">
        <v>9</v>
      </c>
      <c r="W154" s="823">
        <v>10</v>
      </c>
      <c r="X154" s="823">
        <v>11</v>
      </c>
      <c r="Y154" s="823">
        <v>7</v>
      </c>
      <c r="Z154" s="823">
        <v>8</v>
      </c>
      <c r="AA154" s="823">
        <v>9</v>
      </c>
      <c r="AB154" s="823">
        <v>9</v>
      </c>
      <c r="AC154" s="825">
        <v>7</v>
      </c>
      <c r="AD154" s="825">
        <v>6</v>
      </c>
      <c r="AE154" s="825">
        <v>7</v>
      </c>
      <c r="AF154" s="825">
        <v>6</v>
      </c>
      <c r="AG154" s="825">
        <v>6</v>
      </c>
      <c r="AH154" s="825">
        <v>6</v>
      </c>
      <c r="AI154" s="825">
        <v>5</v>
      </c>
      <c r="AJ154" s="825">
        <v>6</v>
      </c>
      <c r="AK154" s="825">
        <v>7</v>
      </c>
      <c r="AL154" s="825">
        <v>6</v>
      </c>
      <c r="AM154" s="825">
        <v>5</v>
      </c>
      <c r="AN154" s="825">
        <v>5</v>
      </c>
      <c r="AO154" s="825">
        <v>3</v>
      </c>
      <c r="AP154" s="825">
        <v>3</v>
      </c>
    </row>
    <row r="155" hidden="1">
      <c r="B155" s="826" t="s">
        <v>19</v>
      </c>
      <c r="C155" s="827">
        <v>233</v>
      </c>
      <c r="D155" s="827">
        <v>227</v>
      </c>
      <c r="E155" s="827">
        <v>224</v>
      </c>
      <c r="F155" s="827">
        <v>220</v>
      </c>
      <c r="G155" s="827">
        <v>210</v>
      </c>
      <c r="H155" s="827">
        <v>209</v>
      </c>
      <c r="I155" s="827">
        <v>205</v>
      </c>
      <c r="J155" s="827">
        <v>204</v>
      </c>
      <c r="K155" s="827">
        <v>203</v>
      </c>
      <c r="L155" s="827">
        <v>201</v>
      </c>
      <c r="M155" s="827">
        <v>195</v>
      </c>
      <c r="N155" s="827">
        <v>192</v>
      </c>
      <c r="O155" s="827">
        <v>194</v>
      </c>
      <c r="P155" s="827">
        <v>195</v>
      </c>
      <c r="Q155" s="827">
        <v>179</v>
      </c>
      <c r="R155" s="827">
        <v>181</v>
      </c>
      <c r="S155" s="827">
        <v>181</v>
      </c>
      <c r="T155" s="827">
        <v>182</v>
      </c>
      <c r="U155" s="827">
        <v>180</v>
      </c>
      <c r="V155" s="827">
        <v>179</v>
      </c>
      <c r="W155" s="827">
        <v>179</v>
      </c>
      <c r="X155" s="827">
        <v>176</v>
      </c>
      <c r="Y155" s="827">
        <v>176</v>
      </c>
      <c r="Z155" s="827">
        <v>176</v>
      </c>
      <c r="AA155" s="827">
        <v>176</v>
      </c>
      <c r="AB155" s="827">
        <v>171</v>
      </c>
      <c r="AC155" s="828">
        <v>168</v>
      </c>
      <c r="AD155" s="828">
        <v>168</v>
      </c>
      <c r="AE155" s="828">
        <v>160</v>
      </c>
      <c r="AF155" s="828">
        <v>163</v>
      </c>
      <c r="AG155" s="828">
        <v>163</v>
      </c>
      <c r="AH155" s="828">
        <v>160</v>
      </c>
      <c r="AI155" s="828">
        <v>159</v>
      </c>
      <c r="AJ155" s="828">
        <v>104</v>
      </c>
      <c r="AK155" s="828">
        <v>90</v>
      </c>
      <c r="AL155" s="828">
        <v>92</v>
      </c>
      <c r="AM155" s="828">
        <v>86</v>
      </c>
      <c r="AN155" s="828">
        <v>82</v>
      </c>
      <c r="AO155" s="828">
        <v>77</v>
      </c>
      <c r="AP155" s="828">
        <v>75</v>
      </c>
    </row>
    <row r="156" hidden="1">
      <c r="B156" s="829" t="s">
        <v>20</v>
      </c>
      <c r="C156" s="823">
        <v>86</v>
      </c>
      <c r="D156" s="823">
        <v>123</v>
      </c>
      <c r="E156" s="823">
        <v>206</v>
      </c>
      <c r="F156" s="823">
        <v>188</v>
      </c>
      <c r="G156" s="823">
        <v>140</v>
      </c>
      <c r="H156" s="823">
        <v>1</v>
      </c>
      <c r="I156" s="823">
        <v>5</v>
      </c>
      <c r="J156" s="823">
        <v>9</v>
      </c>
      <c r="K156" s="823">
        <v>1</v>
      </c>
      <c r="L156" s="823">
        <v>2</v>
      </c>
      <c r="M156" s="823">
        <v>2</v>
      </c>
      <c r="N156" s="823">
        <v>2</v>
      </c>
      <c r="O156" s="823">
        <v>3</v>
      </c>
      <c r="P156" s="823">
        <v>3</v>
      </c>
      <c r="Q156" s="823">
        <v>3</v>
      </c>
      <c r="R156" s="823">
        <v>5</v>
      </c>
      <c r="S156" s="823">
        <v>4</v>
      </c>
      <c r="T156" s="823">
        <v>6</v>
      </c>
      <c r="U156" s="823">
        <v>6</v>
      </c>
      <c r="V156" s="823">
        <v>6</v>
      </c>
      <c r="W156" s="823">
        <v>5</v>
      </c>
      <c r="X156" s="823">
        <v>5</v>
      </c>
      <c r="Y156" s="823">
        <v>5</v>
      </c>
      <c r="Z156" s="823">
        <v>5</v>
      </c>
      <c r="AA156" s="823">
        <v>4</v>
      </c>
      <c r="AB156" s="823">
        <v>4</v>
      </c>
      <c r="AC156" s="825">
        <v>4</v>
      </c>
      <c r="AD156" s="825">
        <v>4</v>
      </c>
      <c r="AE156" s="825">
        <v>4</v>
      </c>
      <c r="AF156" s="825">
        <v>4</v>
      </c>
      <c r="AG156" s="825">
        <v>5</v>
      </c>
      <c r="AH156" s="825">
        <v>5</v>
      </c>
      <c r="AI156" s="825">
        <v>5</v>
      </c>
      <c r="AJ156" s="825">
        <v>5</v>
      </c>
      <c r="AK156" s="825">
        <v>5</v>
      </c>
      <c r="AL156" s="825">
        <v>5</v>
      </c>
      <c r="AM156" s="825">
        <v>6</v>
      </c>
      <c r="AN156" s="825">
        <v>6</v>
      </c>
      <c r="AO156" s="825">
        <v>5</v>
      </c>
      <c r="AP156" s="825">
        <v>5</v>
      </c>
    </row>
    <row r="157" hidden="1">
      <c r="B157" s="826" t="s">
        <v>21</v>
      </c>
      <c r="C157" s="827">
        <v>680</v>
      </c>
      <c r="D157" s="827">
        <v>666</v>
      </c>
      <c r="E157" s="827">
        <v>619</v>
      </c>
      <c r="F157" s="827">
        <v>599</v>
      </c>
      <c r="G157" s="827">
        <v>550</v>
      </c>
      <c r="H157" s="827">
        <v>542</v>
      </c>
      <c r="I157" s="827">
        <v>406</v>
      </c>
      <c r="J157" s="827">
        <v>407</v>
      </c>
      <c r="K157" s="827">
        <v>386</v>
      </c>
      <c r="L157" s="827">
        <v>386</v>
      </c>
      <c r="M157" s="827">
        <v>369</v>
      </c>
      <c r="N157" s="827">
        <v>368</v>
      </c>
      <c r="O157" s="827">
        <v>352</v>
      </c>
      <c r="P157" s="827">
        <v>349</v>
      </c>
      <c r="Q157" s="827">
        <v>327</v>
      </c>
      <c r="R157" s="827">
        <v>327</v>
      </c>
      <c r="S157" s="827">
        <v>310</v>
      </c>
      <c r="T157" s="827">
        <v>296</v>
      </c>
      <c r="U157" s="827">
        <v>299</v>
      </c>
      <c r="V157" s="827">
        <v>298</v>
      </c>
      <c r="W157" s="827">
        <v>304</v>
      </c>
      <c r="X157" s="827">
        <v>308</v>
      </c>
      <c r="Y157" s="827">
        <v>303</v>
      </c>
      <c r="Z157" s="827">
        <v>304</v>
      </c>
      <c r="AA157" s="827">
        <v>306</v>
      </c>
      <c r="AB157" s="827">
        <v>306</v>
      </c>
      <c r="AC157" s="828">
        <v>309</v>
      </c>
      <c r="AD157" s="828">
        <v>308</v>
      </c>
      <c r="AE157" s="828">
        <v>310</v>
      </c>
      <c r="AF157" s="828">
        <v>306</v>
      </c>
      <c r="AG157" s="828">
        <v>306</v>
      </c>
      <c r="AH157" s="828">
        <v>304</v>
      </c>
      <c r="AI157" s="828">
        <v>304</v>
      </c>
      <c r="AJ157" s="828">
        <v>261</v>
      </c>
      <c r="AK157" s="828">
        <v>157</v>
      </c>
      <c r="AL157" s="828">
        <v>157</v>
      </c>
      <c r="AM157" s="828">
        <v>144</v>
      </c>
      <c r="AN157" s="828">
        <v>142</v>
      </c>
      <c r="AO157" s="828">
        <v>131</v>
      </c>
      <c r="AP157" s="828">
        <v>126</v>
      </c>
    </row>
    <row r="158" hidden="1">
      <c r="B158" s="829" t="s">
        <v>22</v>
      </c>
      <c r="C158" s="823">
        <v>3253</v>
      </c>
      <c r="D158" s="823">
        <v>3339</v>
      </c>
      <c r="E158" s="823">
        <v>3470</v>
      </c>
      <c r="F158" s="823">
        <v>3545</v>
      </c>
      <c r="G158" s="823">
        <v>3689</v>
      </c>
      <c r="H158" s="823">
        <v>3867</v>
      </c>
      <c r="I158" s="823">
        <v>3822</v>
      </c>
      <c r="J158" s="823">
        <v>3927</v>
      </c>
      <c r="K158" s="823">
        <v>3932</v>
      </c>
      <c r="L158" s="823">
        <v>3835</v>
      </c>
      <c r="M158" s="823">
        <v>2054</v>
      </c>
      <c r="N158" s="823">
        <v>2106</v>
      </c>
      <c r="O158" s="823">
        <v>2029</v>
      </c>
      <c r="P158" s="823">
        <v>2005</v>
      </c>
      <c r="Q158" s="823">
        <v>1709</v>
      </c>
      <c r="R158" s="823">
        <v>1684</v>
      </c>
      <c r="S158" s="823">
        <v>1365</v>
      </c>
      <c r="T158" s="823">
        <v>1102</v>
      </c>
      <c r="U158" s="823">
        <v>446</v>
      </c>
      <c r="V158" s="823">
        <v>445</v>
      </c>
      <c r="W158" s="823">
        <v>420</v>
      </c>
      <c r="X158" s="823">
        <v>421</v>
      </c>
      <c r="Y158" s="823">
        <v>360</v>
      </c>
      <c r="Z158" s="823">
        <v>362</v>
      </c>
      <c r="AA158" s="823">
        <v>359</v>
      </c>
      <c r="AB158" s="823">
        <v>345</v>
      </c>
      <c r="AC158" s="825">
        <v>341</v>
      </c>
      <c r="AD158" s="825">
        <v>338</v>
      </c>
      <c r="AE158" s="825">
        <v>319</v>
      </c>
      <c r="AF158" s="825">
        <v>295</v>
      </c>
      <c r="AG158" s="825">
        <v>276</v>
      </c>
      <c r="AH158" s="825">
        <v>275</v>
      </c>
      <c r="AI158" s="825">
        <v>258</v>
      </c>
      <c r="AJ158" s="825">
        <v>251</v>
      </c>
      <c r="AK158" s="825">
        <v>205</v>
      </c>
      <c r="AL158" s="825">
        <v>174</v>
      </c>
      <c r="AM158" s="825">
        <v>148</v>
      </c>
      <c r="AN158" s="825">
        <v>134</v>
      </c>
      <c r="AO158" s="825">
        <v>134</v>
      </c>
      <c r="AP158" s="825">
        <v>135</v>
      </c>
    </row>
    <row r="159" hidden="1">
      <c r="B159" s="826" t="s">
        <v>23</v>
      </c>
      <c r="C159" s="827">
        <v>9</v>
      </c>
      <c r="D159" s="827">
        <v>9</v>
      </c>
      <c r="E159" s="827">
        <v>11</v>
      </c>
      <c r="F159" s="827">
        <v>8</v>
      </c>
      <c r="G159" s="827">
        <v>9</v>
      </c>
      <c r="H159" s="827">
        <v>9</v>
      </c>
      <c r="I159" s="827">
        <v>8</v>
      </c>
      <c r="J159" s="827">
        <v>8</v>
      </c>
      <c r="K159" s="827">
        <v>7</v>
      </c>
      <c r="L159" s="827">
        <v>7</v>
      </c>
      <c r="M159" s="827">
        <v>7</v>
      </c>
      <c r="N159" s="827">
        <v>8</v>
      </c>
      <c r="O159" s="827">
        <v>7</v>
      </c>
      <c r="P159" s="827">
        <v>7</v>
      </c>
      <c r="Q159" s="827">
        <v>6</v>
      </c>
      <c r="R159" s="827">
        <v>7</v>
      </c>
      <c r="S159" s="827">
        <v>7</v>
      </c>
      <c r="T159" s="827">
        <v>6</v>
      </c>
      <c r="U159" s="827">
        <v>7</v>
      </c>
      <c r="V159" s="827">
        <v>6</v>
      </c>
      <c r="W159" s="827">
        <v>6</v>
      </c>
      <c r="X159" s="827">
        <v>6</v>
      </c>
      <c r="Y159" s="827">
        <v>6</v>
      </c>
      <c r="Z159" s="827">
        <v>5</v>
      </c>
      <c r="AA159" s="827">
        <v>6</v>
      </c>
      <c r="AB159" s="827">
        <v>5</v>
      </c>
      <c r="AC159" s="828">
        <v>5</v>
      </c>
      <c r="AD159" s="828">
        <v>6</v>
      </c>
      <c r="AE159" s="828">
        <v>6</v>
      </c>
      <c r="AF159" s="828">
        <v>6</v>
      </c>
      <c r="AG159" s="828">
        <v>7</v>
      </c>
      <c r="AH159" s="828">
        <v>7</v>
      </c>
      <c r="AI159" s="828">
        <v>7</v>
      </c>
      <c r="AJ159" s="828">
        <v>5</v>
      </c>
      <c r="AK159" s="828">
        <v>5</v>
      </c>
      <c r="AL159" s="828">
        <v>4</v>
      </c>
      <c r="AM159" s="828">
        <v>5</v>
      </c>
      <c r="AN159" s="828">
        <v>5</v>
      </c>
      <c r="AO159" s="828">
        <v>6</v>
      </c>
      <c r="AP159" s="828">
        <v>7</v>
      </c>
    </row>
    <row r="160" hidden="1">
      <c r="B160" s="830" t="s">
        <v>24</v>
      </c>
      <c r="C160" s="823">
        <v>9</v>
      </c>
      <c r="D160" s="823">
        <v>9</v>
      </c>
      <c r="E160" s="823">
        <v>9</v>
      </c>
      <c r="F160" s="823">
        <v>11</v>
      </c>
      <c r="G160" s="823">
        <v>11</v>
      </c>
      <c r="H160" s="823">
        <v>11</v>
      </c>
      <c r="I160" s="823">
        <v>12</v>
      </c>
      <c r="J160" s="823">
        <v>12</v>
      </c>
      <c r="K160" s="823">
        <v>12</v>
      </c>
      <c r="L160" s="823">
        <v>11</v>
      </c>
      <c r="M160" s="823">
        <v>12</v>
      </c>
      <c r="N160" s="823">
        <v>11</v>
      </c>
      <c r="O160" s="823">
        <v>12</v>
      </c>
      <c r="P160" s="823">
        <v>12</v>
      </c>
      <c r="Q160" s="823">
        <v>12</v>
      </c>
      <c r="R160" s="823">
        <v>11</v>
      </c>
      <c r="S160" s="823">
        <v>14</v>
      </c>
      <c r="T160" s="823">
        <v>15</v>
      </c>
      <c r="U160" s="823">
        <v>15</v>
      </c>
      <c r="V160" s="823">
        <v>17</v>
      </c>
      <c r="W160" s="823">
        <v>17</v>
      </c>
      <c r="X160" s="823">
        <v>18</v>
      </c>
      <c r="Y160" s="823">
        <v>18</v>
      </c>
      <c r="Z160" s="823">
        <v>18</v>
      </c>
      <c r="AA160" s="823">
        <v>18</v>
      </c>
      <c r="AB160" s="823">
        <v>18</v>
      </c>
      <c r="AC160" s="825">
        <v>18</v>
      </c>
      <c r="AD160" s="825">
        <v>17</v>
      </c>
      <c r="AE160" s="825">
        <v>16</v>
      </c>
      <c r="AF160" s="825">
        <v>15</v>
      </c>
      <c r="AG160" s="825">
        <v>16</v>
      </c>
      <c r="AH160" s="825">
        <v>16</v>
      </c>
      <c r="AI160" s="825">
        <v>16</v>
      </c>
      <c r="AJ160" s="825">
        <v>14</v>
      </c>
      <c r="AK160" s="825">
        <v>11</v>
      </c>
      <c r="AL160" s="825">
        <v>10</v>
      </c>
      <c r="AM160" s="825">
        <v>9</v>
      </c>
      <c r="AN160" s="825">
        <v>8</v>
      </c>
      <c r="AO160" s="825">
        <v>8</v>
      </c>
      <c r="AP160" s="825">
        <v>9</v>
      </c>
    </row>
    <row r="161" hidden="1">
      <c r="B161" s="826" t="s">
        <v>25</v>
      </c>
      <c r="C161" s="827">
        <v>0</v>
      </c>
      <c r="D161" s="827">
        <v>0</v>
      </c>
      <c r="E161" s="827">
        <v>0</v>
      </c>
      <c r="F161" s="827">
        <v>0</v>
      </c>
      <c r="G161" s="827">
        <v>0</v>
      </c>
      <c r="H161" s="827">
        <v>0</v>
      </c>
      <c r="I161" s="827">
        <v>0</v>
      </c>
      <c r="J161" s="827">
        <v>0</v>
      </c>
      <c r="K161" s="827">
        <v>0</v>
      </c>
      <c r="L161" s="827">
        <v>0</v>
      </c>
      <c r="M161" s="827">
        <v>0</v>
      </c>
      <c r="N161" s="827">
        <v>0</v>
      </c>
      <c r="O161" s="827">
        <v>0</v>
      </c>
      <c r="P161" s="827">
        <v>0</v>
      </c>
      <c r="Q161" s="827">
        <v>0</v>
      </c>
      <c r="R161" s="827">
        <v>0</v>
      </c>
      <c r="S161" s="827">
        <v>0</v>
      </c>
      <c r="T161" s="827">
        <v>0</v>
      </c>
      <c r="U161" s="827">
        <v>0</v>
      </c>
      <c r="V161" s="827">
        <v>0</v>
      </c>
      <c r="W161" s="827">
        <v>0</v>
      </c>
      <c r="X161" s="827">
        <v>0</v>
      </c>
      <c r="Y161" s="827">
        <v>0</v>
      </c>
      <c r="Z161" s="827">
        <v>0</v>
      </c>
      <c r="AA161" s="827">
        <v>0</v>
      </c>
      <c r="AB161" s="827">
        <v>0</v>
      </c>
      <c r="AC161" s="828">
        <v>0</v>
      </c>
      <c r="AD161" s="828">
        <v>0</v>
      </c>
      <c r="AE161" s="828">
        <v>0</v>
      </c>
      <c r="AF161" s="828">
        <v>0</v>
      </c>
      <c r="AG161" s="828">
        <v>0</v>
      </c>
      <c r="AH161" s="828">
        <v>0</v>
      </c>
      <c r="AI161" s="828">
        <v>0</v>
      </c>
      <c r="AJ161" s="828">
        <v>0</v>
      </c>
      <c r="AK161" s="828">
        <v>0</v>
      </c>
      <c r="AL161" s="828">
        <v>0</v>
      </c>
      <c r="AM161" s="828">
        <v>0</v>
      </c>
      <c r="AN161" s="828">
        <v>0</v>
      </c>
      <c r="AO161" s="828">
        <v>0</v>
      </c>
      <c r="AP161" s="828">
        <v>0</v>
      </c>
    </row>
    <row r="162" hidden="1" ht="13.5">
      <c r="B162" s="831" t="s">
        <v>26</v>
      </c>
      <c r="C162" s="823">
        <v>0</v>
      </c>
      <c r="D162" s="823">
        <v>0</v>
      </c>
      <c r="E162" s="823">
        <v>0</v>
      </c>
      <c r="F162" s="823">
        <v>0</v>
      </c>
      <c r="G162" s="823">
        <v>0</v>
      </c>
      <c r="H162" s="823">
        <v>0</v>
      </c>
      <c r="I162" s="823">
        <v>0</v>
      </c>
      <c r="J162" s="823">
        <v>0</v>
      </c>
      <c r="K162" s="823">
        <v>0</v>
      </c>
      <c r="L162" s="823">
        <v>0</v>
      </c>
      <c r="M162" s="823">
        <v>0</v>
      </c>
      <c r="N162" s="823">
        <v>0</v>
      </c>
      <c r="O162" s="823">
        <v>0</v>
      </c>
      <c r="P162" s="823">
        <v>0</v>
      </c>
      <c r="Q162" s="823">
        <v>0</v>
      </c>
      <c r="R162" s="823">
        <v>0</v>
      </c>
      <c r="S162" s="823">
        <v>0</v>
      </c>
      <c r="T162" s="823">
        <v>0</v>
      </c>
      <c r="U162" s="823">
        <v>0</v>
      </c>
      <c r="V162" s="823">
        <v>0</v>
      </c>
      <c r="W162" s="823">
        <v>0</v>
      </c>
      <c r="X162" s="823">
        <v>0</v>
      </c>
      <c r="Y162" s="823">
        <v>0</v>
      </c>
      <c r="Z162" s="823">
        <v>0</v>
      </c>
      <c r="AA162" s="823">
        <v>0</v>
      </c>
      <c r="AB162" s="832">
        <v>0</v>
      </c>
      <c r="AC162" s="825">
        <v>0</v>
      </c>
      <c r="AD162" s="825">
        <v>0</v>
      </c>
      <c r="AE162" s="825">
        <v>0</v>
      </c>
      <c r="AF162" s="825">
        <v>0</v>
      </c>
      <c r="AG162" s="825">
        <v>0</v>
      </c>
      <c r="AH162" s="825">
        <v>0</v>
      </c>
      <c r="AI162" s="825">
        <v>0</v>
      </c>
      <c r="AJ162" s="825">
        <v>0</v>
      </c>
      <c r="AK162" s="825">
        <v>0</v>
      </c>
      <c r="AL162" s="825">
        <v>0</v>
      </c>
      <c r="AM162" s="825">
        <v>0</v>
      </c>
      <c r="AN162" s="825">
        <v>0</v>
      </c>
      <c r="AO162" s="825">
        <v>0</v>
      </c>
      <c r="AP162" s="825">
        <v>0</v>
      </c>
    </row>
    <row r="163" hidden="1" ht="13.5">
      <c r="B163" s="128" t="s">
        <v>7</v>
      </c>
      <c r="C163" s="129" t="str">
        <f>IF(SUM(C144:C162)&lt;&gt;0,SUM(C144:C162),"")</f>
      </c>
      <c r="D163" s="129" t="str">
        <f ref="D163:AA163" t="shared" si="5">IF(SUM(D144:D162)&lt;&gt;0,SUM(D144:D162),"")</f>
      </c>
      <c r="E163" s="129" t="str">
        <f t="shared" si="5"/>
      </c>
      <c r="F163" s="129" t="str">
        <f t="shared" si="5"/>
      </c>
      <c r="G163" s="129" t="str">
        <f t="shared" si="5"/>
      </c>
      <c r="H163" s="129" t="str">
        <f t="shared" si="5"/>
      </c>
      <c r="I163" s="129" t="str">
        <f t="shared" si="5"/>
      </c>
      <c r="J163" s="129" t="str">
        <f t="shared" si="5"/>
      </c>
      <c r="K163" s="129" t="str">
        <f t="shared" si="5"/>
      </c>
      <c r="L163" s="129" t="str">
        <f t="shared" si="5"/>
      </c>
      <c r="M163" s="129" t="str">
        <f t="shared" si="5"/>
      </c>
      <c r="N163" s="129" t="str">
        <f t="shared" si="5"/>
      </c>
      <c r="O163" s="129" t="str">
        <f t="shared" si="5"/>
      </c>
      <c r="P163" s="129" t="str">
        <f t="shared" si="5"/>
      </c>
      <c r="Q163" s="129" t="str">
        <f t="shared" si="5"/>
      </c>
      <c r="R163" s="129" t="str">
        <f t="shared" si="5"/>
      </c>
      <c r="S163" s="129" t="str">
        <f t="shared" si="5"/>
      </c>
      <c r="T163" s="129" t="str">
        <f t="shared" si="5"/>
      </c>
      <c r="U163" s="129" t="str">
        <f t="shared" si="5"/>
      </c>
      <c r="V163" s="129" t="str">
        <f t="shared" si="5"/>
      </c>
      <c r="W163" s="129" t="str">
        <f t="shared" si="5"/>
      </c>
      <c r="X163" s="129" t="str">
        <f t="shared" si="5"/>
      </c>
      <c r="Y163" s="129" t="str">
        <f t="shared" si="5"/>
      </c>
      <c r="Z163" s="129" t="str">
        <f t="shared" si="5"/>
      </c>
      <c r="AA163" s="129" t="str">
        <f t="shared" si="5"/>
      </c>
      <c r="AB163" s="130" t="str">
        <f>IF(SUM(AB144:AB162)&lt;&gt;0,SUM(AB144:AB162),"")</f>
      </c>
      <c r="AC163" s="91" t="str">
        <f ref="AC163:CN163" t="shared" si="6">IF(SUM(AC144:AC162)&lt;&gt;0,SUM(AC144:AC162),"")</f>
      </c>
      <c r="AD163" s="91" t="str">
        <f t="shared" si="6"/>
      </c>
      <c r="AE163" s="91" t="str">
        <f t="shared" si="6"/>
      </c>
      <c r="AF163" s="91" t="str">
        <f t="shared" si="6"/>
      </c>
      <c r="AG163" s="91" t="str">
        <f t="shared" si="6"/>
      </c>
      <c r="AH163" s="91" t="str">
        <f t="shared" si="6"/>
      </c>
      <c r="AI163" s="91" t="str">
        <f t="shared" si="6"/>
      </c>
      <c r="AJ163" s="91" t="str">
        <f t="shared" si="6"/>
      </c>
      <c r="AK163" s="91" t="str">
        <f t="shared" si="6"/>
      </c>
      <c r="AL163" s="91" t="str">
        <f t="shared" si="6"/>
      </c>
      <c r="AM163" s="91" t="str">
        <f t="shared" si="6"/>
      </c>
      <c r="AN163" s="91" t="str">
        <f t="shared" si="6"/>
      </c>
      <c r="AO163" s="91" t="str">
        <f t="shared" si="6"/>
      </c>
      <c r="AP163" s="91" t="str">
        <f t="shared" si="6"/>
      </c>
      <c r="AQ163" s="91" t="str">
        <f t="shared" si="6"/>
      </c>
      <c r="AR163" s="91" t="str">
        <f t="shared" si="6"/>
      </c>
      <c r="AS163" s="91" t="str">
        <f t="shared" si="6"/>
      </c>
      <c r="AT163" s="91" t="str">
        <f t="shared" si="6"/>
      </c>
      <c r="AU163" s="91" t="str">
        <f t="shared" si="6"/>
      </c>
      <c r="AV163" s="91" t="str">
        <f t="shared" si="6"/>
      </c>
      <c r="AW163" s="91" t="str">
        <f t="shared" si="6"/>
      </c>
      <c r="AX163" s="91" t="str">
        <f t="shared" si="6"/>
      </c>
      <c r="AY163" s="91" t="str">
        <f t="shared" si="6"/>
      </c>
      <c r="AZ163" s="91" t="str">
        <f t="shared" si="6"/>
      </c>
      <c r="BA163" s="91" t="str">
        <f t="shared" si="6"/>
      </c>
      <c r="BB163" s="91" t="str">
        <f t="shared" si="6"/>
      </c>
      <c r="BC163" s="91" t="str">
        <f t="shared" si="6"/>
      </c>
      <c r="BD163" s="91" t="str">
        <f t="shared" si="6"/>
      </c>
      <c r="BE163" s="91" t="str">
        <f t="shared" si="6"/>
      </c>
      <c r="BF163" s="91" t="str">
        <f t="shared" si="6"/>
      </c>
      <c r="BG163" s="91" t="str">
        <f t="shared" si="6"/>
      </c>
      <c r="BH163" s="91" t="str">
        <f t="shared" si="6"/>
      </c>
      <c r="BI163" s="91" t="str">
        <f t="shared" si="6"/>
      </c>
      <c r="BJ163" s="91" t="str">
        <f t="shared" si="6"/>
      </c>
      <c r="BK163" s="91" t="str">
        <f t="shared" si="6"/>
      </c>
      <c r="BL163" s="91" t="str">
        <f t="shared" si="6"/>
      </c>
      <c r="BM163" s="91" t="str">
        <f t="shared" si="6"/>
      </c>
      <c r="BN163" s="91" t="str">
        <f t="shared" si="6"/>
      </c>
      <c r="BO163" s="91" t="str">
        <f t="shared" si="6"/>
      </c>
      <c r="BP163" s="91" t="str">
        <f t="shared" si="6"/>
      </c>
      <c r="BQ163" s="91" t="str">
        <f t="shared" si="6"/>
      </c>
      <c r="BR163" s="91" t="str">
        <f t="shared" si="6"/>
      </c>
      <c r="BS163" s="91" t="str">
        <f t="shared" si="6"/>
      </c>
      <c r="BT163" s="91" t="str">
        <f t="shared" si="6"/>
      </c>
      <c r="BU163" s="91" t="str">
        <f t="shared" si="6"/>
      </c>
      <c r="BV163" s="91" t="str">
        <f t="shared" si="6"/>
      </c>
      <c r="BW163" s="91" t="str">
        <f t="shared" si="6"/>
      </c>
      <c r="BX163" s="91" t="str">
        <f t="shared" si="6"/>
      </c>
      <c r="BY163" s="91" t="str">
        <f t="shared" si="6"/>
      </c>
      <c r="BZ163" s="91" t="str">
        <f t="shared" si="6"/>
      </c>
      <c r="CA163" s="91" t="str">
        <f t="shared" si="6"/>
      </c>
      <c r="CB163" s="91" t="str">
        <f t="shared" si="6"/>
      </c>
      <c r="CC163" s="91" t="str">
        <f t="shared" si="6"/>
      </c>
      <c r="CD163" s="91" t="str">
        <f t="shared" si="6"/>
      </c>
      <c r="CE163" s="91" t="str">
        <f t="shared" si="6"/>
      </c>
      <c r="CF163" s="91" t="str">
        <f t="shared" si="6"/>
      </c>
      <c r="CG163" s="91" t="str">
        <f t="shared" si="6"/>
      </c>
      <c r="CH163" s="91" t="str">
        <f t="shared" si="6"/>
      </c>
      <c r="CI163" s="91" t="str">
        <f t="shared" si="6"/>
      </c>
      <c r="CJ163" s="91" t="str">
        <f t="shared" si="6"/>
      </c>
      <c r="CK163" s="91" t="str">
        <f t="shared" si="6"/>
      </c>
      <c r="CL163" s="91" t="str">
        <f t="shared" si="6"/>
      </c>
      <c r="CM163" s="91" t="str">
        <f t="shared" si="6"/>
      </c>
      <c r="CN163" s="91" t="str">
        <f t="shared" si="6"/>
      </c>
      <c r="CO163" s="91" t="str">
        <f ref="CO163:EZ163" t="shared" si="7">IF(SUM(CO144:CO162)&lt;&gt;0,SUM(CO144:CO162),"")</f>
      </c>
      <c r="CP163" s="91" t="str">
        <f t="shared" si="7"/>
      </c>
      <c r="CQ163" s="91" t="str">
        <f t="shared" si="7"/>
      </c>
      <c r="CR163" s="91" t="str">
        <f t="shared" si="7"/>
      </c>
      <c r="CS163" s="91" t="str">
        <f t="shared" si="7"/>
      </c>
      <c r="CT163" s="91" t="str">
        <f t="shared" si="7"/>
      </c>
      <c r="CU163" s="91" t="str">
        <f t="shared" si="7"/>
      </c>
      <c r="CV163" s="91" t="str">
        <f t="shared" si="7"/>
      </c>
      <c r="CW163" s="91" t="str">
        <f t="shared" si="7"/>
      </c>
      <c r="CX163" s="91" t="str">
        <f t="shared" si="7"/>
      </c>
      <c r="CY163" s="91" t="str">
        <f t="shared" si="7"/>
      </c>
      <c r="CZ163" s="91" t="str">
        <f t="shared" si="7"/>
      </c>
      <c r="DA163" s="91" t="str">
        <f t="shared" si="7"/>
      </c>
      <c r="DB163" s="91" t="str">
        <f t="shared" si="7"/>
      </c>
      <c r="DC163" s="91" t="str">
        <f t="shared" si="7"/>
      </c>
      <c r="DD163" s="91" t="str">
        <f t="shared" si="7"/>
      </c>
      <c r="DE163" s="91" t="str">
        <f t="shared" si="7"/>
      </c>
      <c r="DF163" s="91" t="str">
        <f t="shared" si="7"/>
      </c>
      <c r="DG163" s="91" t="str">
        <f t="shared" si="7"/>
      </c>
      <c r="DH163" s="91" t="str">
        <f t="shared" si="7"/>
      </c>
      <c r="DI163" s="91" t="str">
        <f t="shared" si="7"/>
      </c>
      <c r="DJ163" s="91" t="str">
        <f t="shared" si="7"/>
      </c>
      <c r="DK163" s="91" t="str">
        <f t="shared" si="7"/>
      </c>
      <c r="DL163" s="91" t="str">
        <f t="shared" si="7"/>
      </c>
      <c r="DM163" s="91" t="str">
        <f t="shared" si="7"/>
      </c>
      <c r="DN163" s="91" t="str">
        <f t="shared" si="7"/>
      </c>
      <c r="DO163" s="91" t="str">
        <f t="shared" si="7"/>
      </c>
      <c r="DP163" s="91" t="str">
        <f t="shared" si="7"/>
      </c>
      <c r="DQ163" s="91" t="str">
        <f t="shared" si="7"/>
      </c>
      <c r="DR163" s="91" t="str">
        <f t="shared" si="7"/>
      </c>
      <c r="DS163" s="91" t="str">
        <f t="shared" si="7"/>
      </c>
      <c r="DT163" s="91" t="str">
        <f t="shared" si="7"/>
      </c>
      <c r="DU163" s="91" t="str">
        <f t="shared" si="7"/>
      </c>
      <c r="DV163" s="91" t="str">
        <f t="shared" si="7"/>
      </c>
      <c r="DW163" s="91" t="str">
        <f t="shared" si="7"/>
      </c>
      <c r="DX163" s="91" t="str">
        <f t="shared" si="7"/>
      </c>
      <c r="DY163" s="91" t="str">
        <f t="shared" si="7"/>
      </c>
      <c r="DZ163" s="91" t="str">
        <f t="shared" si="7"/>
      </c>
      <c r="EA163" s="91" t="str">
        <f t="shared" si="7"/>
      </c>
      <c r="EB163" s="91" t="str">
        <f t="shared" si="7"/>
      </c>
      <c r="EC163" s="91" t="str">
        <f t="shared" si="7"/>
      </c>
      <c r="ED163" s="91" t="str">
        <f t="shared" si="7"/>
      </c>
      <c r="EE163" s="91" t="str">
        <f t="shared" si="7"/>
      </c>
      <c r="EF163" s="91" t="str">
        <f t="shared" si="7"/>
      </c>
      <c r="EG163" s="91" t="str">
        <f t="shared" si="7"/>
      </c>
      <c r="EH163" s="91" t="str">
        <f t="shared" si="7"/>
      </c>
      <c r="EI163" s="91" t="str">
        <f t="shared" si="7"/>
      </c>
      <c r="EJ163" s="91" t="str">
        <f t="shared" si="7"/>
      </c>
      <c r="EK163" s="91" t="str">
        <f t="shared" si="7"/>
      </c>
      <c r="EL163" s="91" t="str">
        <f t="shared" si="7"/>
      </c>
      <c r="EM163" s="91" t="str">
        <f t="shared" si="7"/>
      </c>
      <c r="EN163" s="91" t="str">
        <f t="shared" si="7"/>
      </c>
      <c r="EO163" s="91" t="str">
        <f t="shared" si="7"/>
      </c>
      <c r="EP163" s="91" t="str">
        <f t="shared" si="7"/>
      </c>
      <c r="EQ163" s="91" t="str">
        <f t="shared" si="7"/>
      </c>
      <c r="ER163" s="91" t="str">
        <f t="shared" si="7"/>
      </c>
      <c r="ES163" s="91" t="str">
        <f t="shared" si="7"/>
      </c>
      <c r="ET163" s="91" t="str">
        <f t="shared" si="7"/>
      </c>
      <c r="EU163" s="91" t="str">
        <f t="shared" si="7"/>
      </c>
      <c r="EV163" s="91" t="str">
        <f t="shared" si="7"/>
      </c>
      <c r="EW163" s="91" t="str">
        <f t="shared" si="7"/>
      </c>
      <c r="EX163" s="91" t="str">
        <f t="shared" si="7"/>
      </c>
      <c r="EY163" s="91" t="str">
        <f t="shared" si="7"/>
      </c>
      <c r="EZ163" s="91" t="str">
        <f t="shared" si="7"/>
      </c>
      <c r="FA163" s="91" t="str">
        <f ref="FA163:HL163" t="shared" si="8">IF(SUM(FA144:FA162)&lt;&gt;0,SUM(FA144:FA162),"")</f>
      </c>
      <c r="FB163" s="91" t="str">
        <f t="shared" si="8"/>
      </c>
      <c r="FC163" s="91" t="str">
        <f t="shared" si="8"/>
      </c>
      <c r="FD163" s="91" t="str">
        <f t="shared" si="8"/>
      </c>
      <c r="FE163" s="91" t="str">
        <f t="shared" si="8"/>
      </c>
      <c r="FF163" s="91" t="str">
        <f t="shared" si="8"/>
      </c>
      <c r="FG163" s="91" t="str">
        <f t="shared" si="8"/>
      </c>
      <c r="FH163" s="91" t="str">
        <f t="shared" si="8"/>
      </c>
      <c r="FI163" s="91" t="str">
        <f t="shared" si="8"/>
      </c>
      <c r="FJ163" s="91" t="str">
        <f t="shared" si="8"/>
      </c>
      <c r="FK163" s="91" t="str">
        <f t="shared" si="8"/>
      </c>
      <c r="FL163" s="91" t="str">
        <f t="shared" si="8"/>
      </c>
      <c r="FM163" s="91" t="str">
        <f t="shared" si="8"/>
      </c>
      <c r="FN163" s="91" t="str">
        <f t="shared" si="8"/>
      </c>
      <c r="FO163" s="91" t="str">
        <f t="shared" si="8"/>
      </c>
      <c r="FP163" s="91" t="str">
        <f t="shared" si="8"/>
      </c>
      <c r="FQ163" s="91" t="str">
        <f t="shared" si="8"/>
      </c>
      <c r="FR163" s="91" t="str">
        <f t="shared" si="8"/>
      </c>
      <c r="FS163" s="91" t="str">
        <f t="shared" si="8"/>
      </c>
      <c r="FT163" s="91" t="str">
        <f t="shared" si="8"/>
      </c>
      <c r="FU163" s="91" t="str">
        <f t="shared" si="8"/>
      </c>
      <c r="FV163" s="91" t="str">
        <f t="shared" si="8"/>
      </c>
      <c r="FW163" s="91" t="str">
        <f t="shared" si="8"/>
      </c>
      <c r="FX163" s="91" t="str">
        <f t="shared" si="8"/>
      </c>
      <c r="FY163" s="91" t="str">
        <f t="shared" si="8"/>
      </c>
      <c r="FZ163" s="91" t="str">
        <f t="shared" si="8"/>
      </c>
      <c r="GA163" s="91" t="str">
        <f t="shared" si="8"/>
      </c>
      <c r="GB163" s="91" t="str">
        <f t="shared" si="8"/>
      </c>
      <c r="GC163" s="91" t="str">
        <f t="shared" si="8"/>
      </c>
      <c r="GD163" s="91" t="str">
        <f t="shared" si="8"/>
      </c>
      <c r="GE163" s="91" t="str">
        <f t="shared" si="8"/>
      </c>
      <c r="GF163" s="91" t="str">
        <f t="shared" si="8"/>
      </c>
      <c r="GG163" s="91" t="str">
        <f t="shared" si="8"/>
      </c>
      <c r="GH163" s="91" t="str">
        <f t="shared" si="8"/>
      </c>
      <c r="GI163" s="91" t="str">
        <f t="shared" si="8"/>
      </c>
      <c r="GJ163" s="91" t="str">
        <f t="shared" si="8"/>
      </c>
      <c r="GK163" s="91" t="str">
        <f t="shared" si="8"/>
      </c>
      <c r="GL163" s="91" t="str">
        <f t="shared" si="8"/>
      </c>
      <c r="GM163" s="91" t="str">
        <f t="shared" si="8"/>
      </c>
      <c r="GN163" s="91" t="str">
        <f t="shared" si="8"/>
      </c>
      <c r="GO163" s="91" t="str">
        <f t="shared" si="8"/>
      </c>
      <c r="GP163" s="91" t="str">
        <f t="shared" si="8"/>
      </c>
      <c r="GQ163" s="91" t="str">
        <f t="shared" si="8"/>
      </c>
      <c r="GR163" s="91" t="str">
        <f t="shared" si="8"/>
      </c>
      <c r="GS163" s="91" t="str">
        <f t="shared" si="8"/>
      </c>
      <c r="GT163" s="91" t="str">
        <f t="shared" si="8"/>
      </c>
      <c r="GU163" s="91" t="str">
        <f t="shared" si="8"/>
      </c>
      <c r="GV163" s="91" t="str">
        <f t="shared" si="8"/>
      </c>
      <c r="GW163" s="91" t="str">
        <f t="shared" si="8"/>
      </c>
      <c r="GX163" s="91" t="str">
        <f t="shared" si="8"/>
      </c>
      <c r="GY163" s="91" t="str">
        <f t="shared" si="8"/>
      </c>
      <c r="GZ163" s="91" t="str">
        <f t="shared" si="8"/>
      </c>
      <c r="HA163" s="91" t="str">
        <f t="shared" si="8"/>
      </c>
      <c r="HB163" s="91" t="str">
        <f t="shared" si="8"/>
      </c>
      <c r="HC163" s="91" t="str">
        <f t="shared" si="8"/>
      </c>
      <c r="HD163" s="91" t="str">
        <f t="shared" si="8"/>
      </c>
      <c r="HE163" s="91" t="str">
        <f t="shared" si="8"/>
      </c>
      <c r="HF163" s="91" t="str">
        <f t="shared" si="8"/>
      </c>
      <c r="HG163" s="91" t="str">
        <f t="shared" si="8"/>
      </c>
      <c r="HH163" s="91" t="str">
        <f t="shared" si="8"/>
      </c>
      <c r="HI163" s="91" t="str">
        <f t="shared" si="8"/>
      </c>
      <c r="HJ163" s="91" t="str">
        <f t="shared" si="8"/>
      </c>
      <c r="HK163" s="91" t="str">
        <f t="shared" si="8"/>
      </c>
      <c r="HL163" s="91" t="str">
        <f t="shared" si="8"/>
      </c>
      <c r="HM163" s="91" t="str">
        <f ref="HM163:IV163" t="shared" si="9">IF(SUM(HM144:HM162)&lt;&gt;0,SUM(HM144:HM162),"")</f>
      </c>
      <c r="HN163" s="91" t="str">
        <f t="shared" si="9"/>
      </c>
      <c r="HO163" s="91" t="str">
        <f t="shared" si="9"/>
      </c>
      <c r="HP163" s="91" t="str">
        <f t="shared" si="9"/>
      </c>
      <c r="HQ163" s="91" t="str">
        <f t="shared" si="9"/>
      </c>
      <c r="HR163" s="91" t="str">
        <f t="shared" si="9"/>
      </c>
      <c r="HS163" s="91" t="str">
        <f t="shared" si="9"/>
      </c>
      <c r="HT163" s="91" t="str">
        <f t="shared" si="9"/>
      </c>
      <c r="HU163" s="91" t="str">
        <f t="shared" si="9"/>
      </c>
      <c r="HV163" s="91" t="str">
        <f t="shared" si="9"/>
      </c>
      <c r="HW163" s="91" t="str">
        <f t="shared" si="9"/>
      </c>
      <c r="HX163" s="91" t="str">
        <f t="shared" si="9"/>
      </c>
      <c r="HY163" s="91" t="str">
        <f t="shared" si="9"/>
      </c>
      <c r="HZ163" s="91" t="str">
        <f t="shared" si="9"/>
      </c>
      <c r="IA163" s="91" t="str">
        <f t="shared" si="9"/>
      </c>
      <c r="IB163" s="91" t="str">
        <f t="shared" si="9"/>
      </c>
      <c r="IC163" s="91" t="str">
        <f t="shared" si="9"/>
      </c>
      <c r="ID163" s="91" t="str">
        <f t="shared" si="9"/>
      </c>
      <c r="IE163" s="91" t="str">
        <f t="shared" si="9"/>
      </c>
      <c r="IF163" s="91" t="str">
        <f t="shared" si="9"/>
      </c>
      <c r="IG163" s="91" t="str">
        <f t="shared" si="9"/>
      </c>
      <c r="IH163" s="91" t="str">
        <f t="shared" si="9"/>
      </c>
      <c r="II163" s="91" t="str">
        <f t="shared" si="9"/>
      </c>
      <c r="IJ163" s="91" t="str">
        <f t="shared" si="9"/>
      </c>
      <c r="IK163" s="91" t="str">
        <f t="shared" si="9"/>
      </c>
      <c r="IL163" s="91" t="str">
        <f t="shared" si="9"/>
      </c>
      <c r="IM163" s="91" t="str">
        <f t="shared" si="9"/>
      </c>
      <c r="IN163" s="91" t="str">
        <f t="shared" si="9"/>
      </c>
      <c r="IO163" s="91" t="str">
        <f t="shared" si="9"/>
      </c>
      <c r="IP163" s="91" t="str">
        <f t="shared" si="9"/>
      </c>
      <c r="IQ163" s="91" t="str">
        <f t="shared" si="9"/>
      </c>
      <c r="IR163" s="91" t="str">
        <f t="shared" si="9"/>
      </c>
      <c r="IS163" s="91" t="str">
        <f t="shared" si="9"/>
      </c>
      <c r="IT163" s="91" t="str">
        <f t="shared" si="9"/>
      </c>
      <c r="IU163" s="91" t="str">
        <f t="shared" si="9"/>
      </c>
      <c r="IV163" s="91" t="str">
        <f t="shared" si="9"/>
      </c>
    </row>
    <row r="164" hidden="1" ht="15">
      <c r="B164" s="311"/>
      <c r="C164" s="219"/>
      <c r="D164" s="219"/>
      <c r="E164" s="219"/>
      <c r="F164" s="219"/>
      <c r="G164" s="219"/>
      <c r="H164" s="219"/>
      <c r="I164" s="219"/>
      <c r="J164" s="219"/>
      <c r="K164" s="219"/>
    </row>
    <row r="165" hidden="1" ht="13.5"/>
    <row r="166" hidden="1" ht="15.75" customHeight="1">
      <c r="C166" s="686" t="s">
        <v>240</v>
      </c>
      <c r="D166" s="687"/>
      <c r="E166" s="687"/>
      <c r="F166" s="687"/>
      <c r="G166" s="687"/>
      <c r="H166" s="687"/>
      <c r="I166" s="687"/>
      <c r="J166" s="687"/>
      <c r="K166" s="687"/>
      <c r="L166" s="687"/>
      <c r="M166" s="687"/>
      <c r="N166" s="687"/>
      <c r="O166" s="687"/>
      <c r="P166" s="687"/>
      <c r="Q166" s="687"/>
      <c r="R166" s="687"/>
      <c r="S166" s="687"/>
      <c r="T166" s="687"/>
      <c r="U166" s="687"/>
      <c r="V166" s="687"/>
      <c r="W166" s="687"/>
      <c r="X166" s="687"/>
      <c r="Y166" s="687"/>
      <c r="Z166" s="687"/>
      <c r="AA166" s="687"/>
      <c r="AB166" s="688"/>
    </row>
    <row r="167" hidden="1" ht="15" customHeight="1">
      <c r="C167" s="435" t="str">
        <f> IF(C187&lt;&gt;"",TEXT(AUX!G$1,"dd-MMM-aa"),"")</f>
      </c>
      <c r="D167" s="435" t="str">
        <f> IF(D187&lt;&gt;"",TEXT(AUX!H$1,"dd-MMM-aa"),"")</f>
      </c>
      <c r="E167" s="435" t="str">
        <f> IF(E187&lt;&gt;"",TEXT(AUX!I$1,"dd-MMM-aa"),"")</f>
      </c>
      <c r="F167" s="435" t="str">
        <f> IF(F187&lt;&gt;"",TEXT(AUX!J$1,"dd-MMM-aa"),"")</f>
      </c>
      <c r="G167" s="435" t="str">
        <f> IF(G187&lt;&gt;"",TEXT(AUX!K$1,"dd-MMM-aa"),"")</f>
      </c>
      <c r="H167" s="435" t="str">
        <f> IF(H187&lt;&gt;"",TEXT(AUX!L$1,"dd-MMM-aa"),"")</f>
      </c>
      <c r="I167" s="435" t="str">
        <f> IF(I187&lt;&gt;"",TEXT(AUX!M$1,"dd-MMM-aa"),"")</f>
      </c>
      <c r="J167" s="435" t="str">
        <f> IF(J187&lt;&gt;"",TEXT(AUX!N$1,"dd-MMM-aa"),"")</f>
      </c>
      <c r="K167" s="435" t="str">
        <f> IF(K187&lt;&gt;"",TEXT(AUX!O$1,"dd-MMM-aa"),"")</f>
      </c>
      <c r="L167" s="435" t="str">
        <f> IF(L187&lt;&gt;"",TEXT(AUX!P$1,"dd-MMM-aa"),"")</f>
      </c>
      <c r="M167" s="435" t="str">
        <f> IF(M187&lt;&gt;"",TEXT(AUX!Q$1,"dd-MMM-aa"),"")</f>
      </c>
      <c r="N167" s="435" t="str">
        <f> IF(N187&lt;&gt;"",TEXT(AUX!R$1,"dd-MMM-aa"),"")</f>
      </c>
      <c r="O167" s="435" t="str">
        <f> IF(O187&lt;&gt;"",TEXT(AUX!S$1,"dd-MMM-aa"),"")</f>
      </c>
      <c r="P167" s="435" t="str">
        <f> IF(P187&lt;&gt;"",TEXT(AUX!T$1,"dd-MMM-aa"),"")</f>
      </c>
      <c r="Q167" s="435" t="str">
        <f> IF(Q187&lt;&gt;"",TEXT(AUX!U$1,"dd-MMM-aa"),"")</f>
      </c>
      <c r="R167" s="435" t="str">
        <f> IF(R187&lt;&gt;"",TEXT(AUX!V$1,"dd-MMM-aa"),"")</f>
      </c>
      <c r="S167" s="435" t="str">
        <f> IF(S187&lt;&gt;"",TEXT(AUX!W$1,"dd-MMM-aa"),"")</f>
      </c>
      <c r="T167" s="435" t="str">
        <f> IF(T187&lt;&gt;"",TEXT(AUX!X$1,"dd-MMM-aa"),"")</f>
      </c>
      <c r="U167" s="435" t="str">
        <f> IF(U187&lt;&gt;"",TEXT(AUX!Y$1,"dd-MMM-aa"),"")</f>
      </c>
      <c r="V167" s="435" t="str">
        <f> IF(V187&lt;&gt;"",TEXT(AUX!Z$1,"dd-MMM-aa"),"")</f>
      </c>
      <c r="W167" s="435" t="str">
        <f> IF(W187&lt;&gt;"",TEXT(AUX!AA$1,"dd-MMM-aa"),"")</f>
      </c>
      <c r="X167" s="435" t="str">
        <f> IF(X187&lt;&gt;"",TEXT(AUX!AB$1,"dd-MMM-aa"),"")</f>
      </c>
      <c r="Y167" s="435" t="str">
        <f> IF(Y187&lt;&gt;"",TEXT(AUX!AC$1,"dd-MMM-aa"),"")</f>
      </c>
      <c r="Z167" s="435" t="str">
        <f> IF(Z187&lt;&gt;"",TEXT(AUX!AD$1,"dd-MMM-aa"),"")</f>
      </c>
      <c r="AA167" s="435" t="str">
        <f> IF(AA187&lt;&gt;"",TEXT(AUX!AE$1,"dd-MMM-aa"),"")</f>
      </c>
      <c r="AB167" s="497" t="str">
        <f> IF(AB187&lt;&gt;"",TEXT(AUX!AF$1,"dd-MMM-aa"),"")</f>
      </c>
      <c r="AC167" s="496" t="str">
        <f> IF(AC187&lt;&gt;"",TEXT(AUX!AG$1,"dd-MMM-aa"),"")</f>
      </c>
      <c r="AD167" s="496" t="str">
        <f> IF(AD187&lt;&gt;"",TEXT(AUX!AH$1,"dd-MMM-aa"),"")</f>
      </c>
      <c r="AE167" s="496" t="str">
        <f> IF(AE187&lt;&gt;"",TEXT(AUX!AI$1,"dd-MMM-aa"),"")</f>
      </c>
      <c r="AF167" s="496" t="str">
        <f> IF(AF187&lt;&gt;"",TEXT(AUX!AJ$1,"dd-MMM-aa"),"")</f>
      </c>
      <c r="AG167" s="496" t="str">
        <f> IF(AG187&lt;&gt;"",TEXT(AUX!AK$1,"dd-MMM-aa"),"")</f>
      </c>
      <c r="AH167" s="496" t="str">
        <f> IF(AH187&lt;&gt;"",TEXT(AUX!AL$1,"dd-MMM-aa"),"")</f>
      </c>
      <c r="AI167" s="496" t="str">
        <f> IF(AI187&lt;&gt;"",TEXT(AUX!AM$1,"dd-MMM-aa"),"")</f>
      </c>
      <c r="AJ167" s="496" t="str">
        <f> IF(AJ187&lt;&gt;"",TEXT(AUX!AN$1,"dd-MMM-aa"),"")</f>
      </c>
      <c r="AK167" s="496" t="str">
        <f> IF(AK187&lt;&gt;"",TEXT(AUX!AO$1,"dd-MMM-aa"),"")</f>
      </c>
      <c r="AL167" s="496" t="str">
        <f> IF(AL187&lt;&gt;"",TEXT(AUX!AP$1,"dd-MMM-aa"),"")</f>
      </c>
      <c r="AM167" s="496" t="str">
        <f> IF(AM187&lt;&gt;"",TEXT(AUX!AQ$1,"dd-MMM-aa"),"")</f>
      </c>
      <c r="AN167" s="496" t="str">
        <f> IF(AN187&lt;&gt;"",TEXT(AUX!AR$1,"dd-MMM-aa"),"")</f>
      </c>
      <c r="AO167" s="496" t="str">
        <f> IF(AO187&lt;&gt;"",TEXT(AUX!AS$1,"dd-MMM-aa"),"")</f>
      </c>
      <c r="AP167" s="496" t="str">
        <f> IF(AP187&lt;&gt;"",TEXT(AUX!AT$1,"dd-MMM-aa"),"")</f>
      </c>
      <c r="AQ167" s="496" t="str">
        <f> IF(AQ187&lt;&gt;"",TEXT(AUX!AU$1,"dd-MMM-aa"),"")</f>
      </c>
      <c r="AR167" s="496" t="str">
        <f> IF(AR187&lt;&gt;"",TEXT(AUX!AV$1,"dd-MMM-aa"),"")</f>
      </c>
      <c r="AS167" s="496" t="str">
        <f> IF(AS187&lt;&gt;"",TEXT(AUX!AW$1,"dd-MMM-aa"),"")</f>
      </c>
      <c r="AT167" s="496" t="str">
        <f> IF(AT187&lt;&gt;"",TEXT(AUX!AX$1,"dd-MMM-aa"),"")</f>
      </c>
      <c r="AU167" s="496" t="str">
        <f> IF(AU187&lt;&gt;"",TEXT(AUX!AY$1,"dd-MMM-aa"),"")</f>
      </c>
      <c r="AV167" s="496" t="str">
        <f> IF(AV187&lt;&gt;"",TEXT(AUX!AZ$1,"dd-MMM-aa"),"")</f>
      </c>
      <c r="AW167" s="496" t="str">
        <f> IF(AW187&lt;&gt;"",TEXT(AUX!BA$1,"dd-MMM-aa"),"")</f>
      </c>
      <c r="AX167" s="496" t="str">
        <f> IF(AX187&lt;&gt;"",TEXT(AUX!BB$1,"dd-MMM-aa"),"")</f>
      </c>
      <c r="AY167" s="496" t="str">
        <f> IF(AY187&lt;&gt;"",TEXT(AUX!BC$1,"dd-MMM-aa"),"")</f>
      </c>
      <c r="AZ167" s="496" t="str">
        <f> IF(AZ187&lt;&gt;"",TEXT(AUX!BD$1,"dd-MMM-aa"),"")</f>
      </c>
      <c r="BA167" s="496" t="str">
        <f> IF(BA187&lt;&gt;"",TEXT(AUX!BE$1,"dd-MMM-aa"),"")</f>
      </c>
      <c r="BB167" s="496" t="str">
        <f> IF(BB187&lt;&gt;"",TEXT(AUX!BF$1,"dd-MMM-aa"),"")</f>
      </c>
      <c r="BC167" s="496" t="str">
        <f> IF(BC187&lt;&gt;"",TEXT(AUX!BG$1,"dd-MMM-aa"),"")</f>
      </c>
      <c r="BD167" s="496" t="str">
        <f> IF(BD187&lt;&gt;"",TEXT(AUX!BH$1,"dd-MMM-aa"),"")</f>
      </c>
      <c r="BE167" s="496" t="str">
        <f> IF(BE187&lt;&gt;"",TEXT(AUX!BI$1,"dd-MMM-aa"),"")</f>
      </c>
      <c r="BF167" s="496" t="str">
        <f> IF(BF187&lt;&gt;"",TEXT(AUX!BJ$1,"dd-MMM-aa"),"")</f>
      </c>
      <c r="BG167" s="496" t="str">
        <f> IF(BG187&lt;&gt;"",TEXT(AUX!BK$1,"dd-MMM-aa"),"")</f>
      </c>
      <c r="BH167" s="496" t="str">
        <f> IF(BH187&lt;&gt;"",TEXT(AUX!BL$1,"dd-MMM-aa"),"")</f>
      </c>
      <c r="BI167" s="496" t="str">
        <f> IF(BI187&lt;&gt;"",TEXT(AUX!BM$1,"dd-MMM-aa"),"")</f>
      </c>
      <c r="BJ167" s="496" t="str">
        <f> IF(BJ187&lt;&gt;"",TEXT(AUX!BN$1,"dd-MMM-aa"),"")</f>
      </c>
      <c r="BK167" s="496" t="str">
        <f> IF(BK187&lt;&gt;"",TEXT(AUX!BO$1,"dd-MMM-aa"),"")</f>
      </c>
      <c r="BL167" s="496" t="str">
        <f> IF(BL187&lt;&gt;"",TEXT(AUX!BP$1,"dd-MMM-aa"),"")</f>
      </c>
      <c r="BM167" s="496" t="str">
        <f> IF(BM187&lt;&gt;"",TEXT(AUX!BQ$1,"dd-MMM-aa"),"")</f>
      </c>
      <c r="BN167" s="496" t="str">
        <f> IF(BN187&lt;&gt;"",TEXT(AUX!BR$1,"dd-MMM-aa"),"")</f>
      </c>
      <c r="BO167" s="496" t="str">
        <f> IF(BO187&lt;&gt;"",TEXT(AUX!BS$1,"dd-MMM-aa"),"")</f>
      </c>
      <c r="BP167" s="496" t="str">
        <f> IF(BP187&lt;&gt;"",TEXT(AUX!BT$1,"dd-MMM-aa"),"")</f>
      </c>
      <c r="BQ167" s="496" t="str">
        <f> IF(BQ187&lt;&gt;"",TEXT(AUX!BU$1,"dd-MMM-aa"),"")</f>
      </c>
      <c r="BR167" s="496" t="str">
        <f> IF(BR187&lt;&gt;"",TEXT(AUX!BV$1,"dd-MMM-aa"),"")</f>
      </c>
      <c r="BS167" s="496" t="str">
        <f> IF(BS187&lt;&gt;"",TEXT(AUX!BW$1,"dd-MMM-aa"),"")</f>
      </c>
      <c r="BT167" s="496" t="str">
        <f> IF(BT187&lt;&gt;"",TEXT(AUX!BX$1,"dd-MMM-aa"),"")</f>
      </c>
      <c r="BU167" s="496" t="str">
        <f> IF(BU187&lt;&gt;"",TEXT(AUX!BY$1,"dd-MMM-aa"),"")</f>
      </c>
      <c r="BV167" s="496" t="str">
        <f> IF(BV187&lt;&gt;"",TEXT(AUX!BZ$1,"dd-MMM-aa"),"")</f>
      </c>
      <c r="BW167" s="496" t="str">
        <f> IF(BW187&lt;&gt;"",TEXT(AUX!CA$1,"dd-MMM-aa"),"")</f>
      </c>
      <c r="BX167" s="496" t="str">
        <f> IF(BX187&lt;&gt;"",TEXT(AUX!CB$1,"dd-MMM-aa"),"")</f>
      </c>
      <c r="BY167" s="496" t="str">
        <f> IF(BY187&lt;&gt;"",TEXT(AUX!CC$1,"dd-MMM-aa"),"")</f>
      </c>
      <c r="BZ167" s="496" t="str">
        <f> IF(BZ187&lt;&gt;"",TEXT(AUX!CD$1,"dd-MMM-aa"),"")</f>
      </c>
      <c r="CA167" s="496" t="str">
        <f> IF(CA187&lt;&gt;"",TEXT(AUX!CE$1,"dd-MMM-aa"),"")</f>
      </c>
      <c r="CB167" s="496" t="str">
        <f> IF(CB187&lt;&gt;"",TEXT(AUX!CF$1,"dd-MMM-aa"),"")</f>
      </c>
      <c r="CC167" s="496" t="str">
        <f> IF(CC187&lt;&gt;"",TEXT(AUX!CG$1,"dd-MMM-aa"),"")</f>
      </c>
      <c r="CD167" s="496" t="str">
        <f> IF(CD187&lt;&gt;"",TEXT(AUX!CH$1,"dd-MMM-aa"),"")</f>
      </c>
      <c r="CE167" s="496" t="str">
        <f> IF(CE187&lt;&gt;"",TEXT(AUX!CI$1,"dd-MMM-aa"),"")</f>
      </c>
      <c r="CF167" s="496" t="str">
        <f> IF(CF187&lt;&gt;"",TEXT(AUX!CJ$1,"dd-MMM-aa"),"")</f>
      </c>
      <c r="CG167" s="496" t="str">
        <f> IF(CG187&lt;&gt;"",TEXT(AUX!CK$1,"dd-MMM-aa"),"")</f>
      </c>
      <c r="CH167" s="496" t="str">
        <f> IF(CH187&lt;&gt;"",TEXT(AUX!CL$1,"dd-MMM-aa"),"")</f>
      </c>
      <c r="CI167" s="496" t="str">
        <f> IF(CI187&lt;&gt;"",TEXT(AUX!CM$1,"dd-MMM-aa"),"")</f>
      </c>
      <c r="CJ167" s="496" t="str">
        <f> IF(CJ187&lt;&gt;"",TEXT(AUX!CN$1,"dd-MMM-aa"),"")</f>
      </c>
      <c r="CK167" s="496" t="str">
        <f> IF(CK187&lt;&gt;"",TEXT(AUX!CO$1,"dd-MMM-aa"),"")</f>
      </c>
      <c r="CL167" s="496" t="str">
        <f> IF(CL187&lt;&gt;"",TEXT(AUX!CP$1,"dd-MMM-aa"),"")</f>
      </c>
      <c r="CM167" s="496" t="str">
        <f> IF(CM187&lt;&gt;"",TEXT(AUX!CQ$1,"dd-MMM-aa"),"")</f>
      </c>
      <c r="CN167" s="496" t="str">
        <f> IF(CN187&lt;&gt;"",TEXT(AUX!CR$1,"dd-MMM-aa"),"")</f>
      </c>
      <c r="CO167" s="496" t="str">
        <f> IF(CO187&lt;&gt;"",TEXT(AUX!CS$1,"dd-MMM-aa"),"")</f>
      </c>
      <c r="CP167" s="496" t="str">
        <f> IF(CP187&lt;&gt;"",TEXT(AUX!CT$1,"dd-MMM-aa"),"")</f>
      </c>
      <c r="CQ167" s="496" t="str">
        <f> IF(CQ187&lt;&gt;"",TEXT(AUX!CU$1,"dd-MMM-aa"),"")</f>
      </c>
      <c r="CR167" s="496" t="str">
        <f> IF(CR187&lt;&gt;"",TEXT(AUX!CV$1,"dd-MMM-aa"),"")</f>
      </c>
      <c r="CS167" s="496" t="str">
        <f> IF(CS187&lt;&gt;"",TEXT(AUX!CW$1,"dd-MMM-aa"),"")</f>
      </c>
      <c r="CT167" s="496" t="str">
        <f> IF(CT187&lt;&gt;"",TEXT(AUX!CX$1,"dd-MMM-aa"),"")</f>
      </c>
      <c r="CU167" s="496" t="str">
        <f> IF(CU187&lt;&gt;"",TEXT(AUX!CY$1,"dd-MMM-aa"),"")</f>
      </c>
      <c r="CV167" s="496" t="str">
        <f> IF(CV187&lt;&gt;"",TEXT(AUX!CZ$1,"dd-MMM-aa"),"")</f>
      </c>
      <c r="CW167" s="496" t="str">
        <f> IF(CW187&lt;&gt;"",TEXT(AUX!DA$1,"dd-MMM-aa"),"")</f>
      </c>
      <c r="CX167" s="496" t="str">
        <f> IF(CX187&lt;&gt;"",TEXT(AUX!DB$1,"dd-MMM-aa"),"")</f>
      </c>
      <c r="CY167" s="496" t="str">
        <f> IF(CY187&lt;&gt;"",TEXT(AUX!DC$1,"dd-MMM-aa"),"")</f>
      </c>
      <c r="CZ167" s="496" t="str">
        <f> IF(CZ187&lt;&gt;"",TEXT(AUX!DD$1,"dd-MMM-aa"),"")</f>
      </c>
      <c r="DA167" s="496" t="str">
        <f> IF(DA187&lt;&gt;"",TEXT(AUX!DE$1,"dd-MMM-aa"),"")</f>
      </c>
      <c r="DB167" s="496" t="str">
        <f> IF(DB187&lt;&gt;"",TEXT(AUX!DF$1,"dd-MMM-aa"),"")</f>
      </c>
      <c r="DC167" s="496" t="str">
        <f> IF(DC187&lt;&gt;"",TEXT(AUX!DG$1,"dd-MMM-aa"),"")</f>
      </c>
      <c r="DD167" s="496" t="str">
        <f> IF(DD187&lt;&gt;"",TEXT(AUX!DH$1,"dd-MMM-aa"),"")</f>
      </c>
      <c r="DE167" s="496" t="str">
        <f> IF(DE187&lt;&gt;"",TEXT(AUX!DI$1,"dd-MMM-aa"),"")</f>
      </c>
      <c r="DF167" s="496" t="str">
        <f> IF(DF187&lt;&gt;"",TEXT(AUX!DJ$1,"dd-MMM-aa"),"")</f>
      </c>
      <c r="DG167" s="496" t="str">
        <f> IF(DG187&lt;&gt;"",TEXT(AUX!DK$1,"dd-MMM-aa"),"")</f>
      </c>
      <c r="DH167" s="496" t="str">
        <f> IF(DH187&lt;&gt;"",TEXT(AUX!DL$1,"dd-MMM-aa"),"")</f>
      </c>
      <c r="DI167" s="496" t="str">
        <f> IF(DI187&lt;&gt;"",TEXT(AUX!DM$1,"dd-MMM-aa"),"")</f>
      </c>
      <c r="DJ167" s="496" t="str">
        <f> IF(DJ187&lt;&gt;"",TEXT(AUX!DN$1,"dd-MMM-aa"),"")</f>
      </c>
      <c r="DK167" s="496" t="str">
        <f> IF(DK187&lt;&gt;"",TEXT(AUX!DO$1,"dd-MMM-aa"),"")</f>
      </c>
      <c r="DL167" s="496" t="str">
        <f> IF(DL187&lt;&gt;"",TEXT(AUX!DP$1,"dd-MMM-aa"),"")</f>
      </c>
      <c r="DM167" s="496" t="str">
        <f> IF(DM187&lt;&gt;"",TEXT(AUX!DQ$1,"dd-MMM-aa"),"")</f>
      </c>
      <c r="DN167" s="496" t="str">
        <f> IF(DN187&lt;&gt;"",TEXT(AUX!DR$1,"dd-MMM-aa"),"")</f>
      </c>
      <c r="DO167" s="496" t="str">
        <f> IF(DO187&lt;&gt;"",TEXT(AUX!DS$1,"dd-MMM-aa"),"")</f>
      </c>
      <c r="DP167" s="496" t="str">
        <f> IF(DP187&lt;&gt;"",TEXT(AUX!DT$1,"dd-MMM-aa"),"")</f>
      </c>
      <c r="DQ167" s="496" t="str">
        <f> IF(DQ187&lt;&gt;"",TEXT(AUX!DU$1,"dd-MMM-aa"),"")</f>
      </c>
      <c r="DR167" s="496" t="str">
        <f> IF(DR187&lt;&gt;"",TEXT(AUX!DV$1,"dd-MMM-aa"),"")</f>
      </c>
      <c r="DS167" s="496" t="str">
        <f> IF(DS187&lt;&gt;"",TEXT(AUX!DW$1,"dd-MMM-aa"),"")</f>
      </c>
      <c r="DT167" s="496" t="str">
        <f> IF(DT187&lt;&gt;"",TEXT(AUX!DX$1,"dd-MMM-aa"),"")</f>
      </c>
      <c r="DU167" s="496" t="str">
        <f> IF(DU187&lt;&gt;"",TEXT(AUX!DY$1,"dd-MMM-aa"),"")</f>
      </c>
      <c r="DV167" s="496" t="str">
        <f> IF(DV187&lt;&gt;"",TEXT(AUX!DZ$1,"dd-MMM-aa"),"")</f>
      </c>
      <c r="DW167" s="496" t="str">
        <f> IF(DW187&lt;&gt;"",TEXT(AUX!EA$1,"dd-MMM-aa"),"")</f>
      </c>
      <c r="DX167" s="496" t="str">
        <f> IF(DX187&lt;&gt;"",TEXT(AUX!EB$1,"dd-MMM-aa"),"")</f>
      </c>
      <c r="DY167" s="496" t="str">
        <f> IF(DY187&lt;&gt;"",TEXT(AUX!EC$1,"dd-MMM-aa"),"")</f>
      </c>
      <c r="DZ167" s="496" t="str">
        <f> IF(DZ187&lt;&gt;"",TEXT(AUX!ED$1,"dd-MMM-aa"),"")</f>
      </c>
      <c r="EA167" s="496" t="str">
        <f> IF(EA187&lt;&gt;"",TEXT(AUX!EE$1,"dd-MMM-aa"),"")</f>
      </c>
      <c r="EB167" s="496" t="str">
        <f> IF(EB187&lt;&gt;"",TEXT(AUX!EF$1,"dd-MMM-aa"),"")</f>
      </c>
      <c r="EC167" s="496" t="str">
        <f> IF(EC187&lt;&gt;"",TEXT(AUX!EG$1,"dd-MMM-aa"),"")</f>
      </c>
      <c r="ED167" s="496" t="str">
        <f> IF(ED187&lt;&gt;"",TEXT(AUX!EH$1,"dd-MMM-aa"),"")</f>
      </c>
      <c r="EE167" s="496" t="str">
        <f> IF(EE187&lt;&gt;"",TEXT(AUX!EI$1,"dd-MMM-aa"),"")</f>
      </c>
      <c r="EF167" s="496" t="str">
        <f> IF(EF187&lt;&gt;"",TEXT(AUX!EJ$1,"dd-MMM-aa"),"")</f>
      </c>
      <c r="EG167" s="496" t="str">
        <f> IF(EG187&lt;&gt;"",TEXT(AUX!EK$1,"dd-MMM-aa"),"")</f>
      </c>
      <c r="EH167" s="496" t="str">
        <f> IF(EH187&lt;&gt;"",TEXT(AUX!EL$1,"dd-MMM-aa"),"")</f>
      </c>
      <c r="EI167" s="496" t="str">
        <f> IF(EI187&lt;&gt;"",TEXT(AUX!EM$1,"dd-MMM-aa"),"")</f>
      </c>
      <c r="EJ167" s="496" t="str">
        <f> IF(EJ187&lt;&gt;"",TEXT(AUX!EN$1,"dd-MMM-aa"),"")</f>
      </c>
      <c r="EK167" s="496" t="str">
        <f> IF(EK187&lt;&gt;"",TEXT(AUX!EO$1,"dd-MMM-aa"),"")</f>
      </c>
      <c r="EL167" s="496" t="str">
        <f> IF(EL187&lt;&gt;"",TEXT(AUX!EP$1,"dd-MMM-aa"),"")</f>
      </c>
      <c r="EM167" s="496" t="str">
        <f> IF(EM187&lt;&gt;"",TEXT(AUX!EQ$1,"dd-MMM-aa"),"")</f>
      </c>
      <c r="EN167" s="496" t="str">
        <f> IF(EN187&lt;&gt;"",TEXT(AUX!ER$1,"dd-MMM-aa"),"")</f>
      </c>
      <c r="EO167" s="496" t="str">
        <f> IF(EO187&lt;&gt;"",TEXT(AUX!ES$1,"dd-MMM-aa"),"")</f>
      </c>
      <c r="EP167" s="496" t="str">
        <f> IF(EP187&lt;&gt;"",TEXT(AUX!ET$1,"dd-MMM-aa"),"")</f>
      </c>
      <c r="EQ167" s="496" t="str">
        <f> IF(EQ187&lt;&gt;"",TEXT(AUX!EU$1,"dd-MMM-aa"),"")</f>
      </c>
      <c r="ER167" s="496" t="str">
        <f> IF(ER187&lt;&gt;"",TEXT(AUX!EV$1,"dd-MMM-aa"),"")</f>
      </c>
      <c r="ES167" s="496" t="str">
        <f> IF(ES187&lt;&gt;"",TEXT(AUX!EW$1,"dd-MMM-aa"),"")</f>
      </c>
      <c r="ET167" s="496" t="str">
        <f> IF(ET187&lt;&gt;"",TEXT(AUX!EX$1,"dd-MMM-aa"),"")</f>
      </c>
      <c r="EU167" s="496" t="str">
        <f> IF(EU187&lt;&gt;"",TEXT(AUX!EY$1,"dd-MMM-aa"),"")</f>
      </c>
      <c r="EV167" s="496" t="str">
        <f> IF(EV187&lt;&gt;"",TEXT(AUX!EZ$1,"dd-MMM-aa"),"")</f>
      </c>
      <c r="EW167" s="496" t="str">
        <f> IF(EW187&lt;&gt;"",TEXT(AUX!FA$1,"dd-MMM-aa"),"")</f>
      </c>
      <c r="EX167" s="496" t="str">
        <f> IF(EX187&lt;&gt;"",TEXT(AUX!FB$1,"dd-MMM-aa"),"")</f>
      </c>
      <c r="EY167" s="496" t="str">
        <f> IF(EY187&lt;&gt;"",TEXT(AUX!FC$1,"dd-MMM-aa"),"")</f>
      </c>
      <c r="EZ167" s="496" t="str">
        <f> IF(EZ187&lt;&gt;"",TEXT(AUX!FD$1,"dd-MMM-aa"),"")</f>
      </c>
      <c r="FA167" s="496" t="str">
        <f> IF(FA187&lt;&gt;"",TEXT(AUX!FE$1,"dd-MMM-aa"),"")</f>
      </c>
      <c r="FB167" s="496" t="str">
        <f> IF(FB187&lt;&gt;"",TEXT(AUX!FF$1,"dd-MMM-aa"),"")</f>
      </c>
      <c r="FC167" s="496" t="str">
        <f> IF(FC187&lt;&gt;"",TEXT(AUX!FG$1,"dd-MMM-aa"),"")</f>
      </c>
      <c r="FD167" s="496" t="str">
        <f> IF(FD187&lt;&gt;"",TEXT(AUX!FH$1,"dd-MMM-aa"),"")</f>
      </c>
      <c r="FE167" s="496" t="str">
        <f> IF(FE187&lt;&gt;"",TEXT(AUX!FI$1,"dd-MMM-aa"),"")</f>
      </c>
      <c r="FF167" s="496" t="str">
        <f> IF(FF187&lt;&gt;"",TEXT(AUX!FJ$1,"dd-MMM-aa"),"")</f>
      </c>
      <c r="FG167" s="496" t="str">
        <f> IF(FG187&lt;&gt;"",TEXT(AUX!FK$1,"dd-MMM-aa"),"")</f>
      </c>
      <c r="FH167" s="496" t="str">
        <f> IF(FH187&lt;&gt;"",TEXT(AUX!FL$1,"dd-MMM-aa"),"")</f>
      </c>
      <c r="FI167" s="496" t="str">
        <f> IF(FI187&lt;&gt;"",TEXT(AUX!FM$1,"dd-MMM-aa"),"")</f>
      </c>
      <c r="FJ167" s="496" t="str">
        <f> IF(FJ187&lt;&gt;"",TEXT(AUX!FN$1,"dd-MMM-aa"),"")</f>
      </c>
      <c r="FK167" s="496" t="str">
        <f> IF(FK187&lt;&gt;"",TEXT(AUX!FO$1,"dd-MMM-aa"),"")</f>
      </c>
      <c r="FL167" s="496" t="str">
        <f> IF(FL187&lt;&gt;"",TEXT(AUX!FP$1,"dd-MMM-aa"),"")</f>
      </c>
      <c r="FM167" s="496" t="str">
        <f> IF(FM187&lt;&gt;"",TEXT(AUX!FQ$1,"dd-MMM-aa"),"")</f>
      </c>
      <c r="FN167" s="496" t="str">
        <f> IF(FN187&lt;&gt;"",TEXT(AUX!FR$1,"dd-MMM-aa"),"")</f>
      </c>
      <c r="FO167" s="496" t="str">
        <f> IF(FO187&lt;&gt;"",TEXT(AUX!FS$1,"dd-MMM-aa"),"")</f>
      </c>
      <c r="FP167" s="496" t="str">
        <f> IF(FP187&lt;&gt;"",TEXT(AUX!FT$1,"dd-MMM-aa"),"")</f>
      </c>
      <c r="FQ167" s="496" t="str">
        <f> IF(FQ187&lt;&gt;"",TEXT(AUX!FU$1,"dd-MMM-aa"),"")</f>
      </c>
      <c r="FR167" s="496" t="str">
        <f> IF(FR187&lt;&gt;"",TEXT(AUX!FV$1,"dd-MMM-aa"),"")</f>
      </c>
      <c r="FS167" s="496" t="str">
        <f> IF(FS187&lt;&gt;"",TEXT(AUX!FW$1,"dd-MMM-aa"),"")</f>
      </c>
      <c r="FT167" s="496" t="str">
        <f> IF(FT187&lt;&gt;"",TEXT(AUX!FX$1,"dd-MMM-aa"),"")</f>
      </c>
      <c r="FU167" s="496" t="str">
        <f> IF(FU187&lt;&gt;"",TEXT(AUX!FY$1,"dd-MMM-aa"),"")</f>
      </c>
      <c r="FV167" s="496" t="str">
        <f> IF(FV187&lt;&gt;"",TEXT(AUX!FZ$1,"dd-MMM-aa"),"")</f>
      </c>
      <c r="FW167" s="496" t="str">
        <f> IF(FW187&lt;&gt;"",TEXT(AUX!GA$1,"dd-MMM-aa"),"")</f>
      </c>
      <c r="FX167" s="496" t="str">
        <f> IF(FX187&lt;&gt;"",TEXT(AUX!GB$1,"dd-MMM-aa"),"")</f>
      </c>
      <c r="FY167" s="496" t="str">
        <f> IF(FY187&lt;&gt;"",TEXT(AUX!GC$1,"dd-MMM-aa"),"")</f>
      </c>
      <c r="FZ167" s="496" t="str">
        <f> IF(FZ187&lt;&gt;"",TEXT(AUX!GD$1,"dd-MMM-aa"),"")</f>
      </c>
      <c r="GA167" s="496" t="str">
        <f> IF(GA187&lt;&gt;"",TEXT(AUX!GE$1,"dd-MMM-aa"),"")</f>
      </c>
      <c r="GB167" s="496" t="str">
        <f> IF(GB187&lt;&gt;"",TEXT(AUX!GF$1,"dd-MMM-aa"),"")</f>
      </c>
      <c r="GC167" s="496" t="str">
        <f> IF(GC187&lt;&gt;"",TEXT(AUX!GG$1,"dd-MMM-aa"),"")</f>
      </c>
      <c r="GD167" s="496" t="str">
        <f> IF(GD187&lt;&gt;"",TEXT(AUX!GH$1,"dd-MMM-aa"),"")</f>
      </c>
      <c r="GE167" s="496" t="str">
        <f> IF(GE187&lt;&gt;"",TEXT(AUX!GI$1,"dd-MMM-aa"),"")</f>
      </c>
      <c r="GF167" s="496" t="str">
        <f> IF(GF187&lt;&gt;"",TEXT(AUX!GJ$1,"dd-MMM-aa"),"")</f>
      </c>
      <c r="GG167" s="496" t="str">
        <f> IF(GG187&lt;&gt;"",TEXT(AUX!GK$1,"dd-MMM-aa"),"")</f>
      </c>
      <c r="GH167" s="496" t="str">
        <f> IF(GH187&lt;&gt;"",TEXT(AUX!GL$1,"dd-MMM-aa"),"")</f>
      </c>
      <c r="GI167" s="496" t="str">
        <f> IF(GI187&lt;&gt;"",TEXT(AUX!GM$1,"dd-MMM-aa"),"")</f>
      </c>
      <c r="GJ167" s="496" t="str">
        <f> IF(GJ187&lt;&gt;"",TEXT(AUX!GN$1,"dd-MMM-aa"),"")</f>
      </c>
      <c r="GK167" s="496" t="str">
        <f> IF(GK187&lt;&gt;"",TEXT(AUX!GO$1,"dd-MMM-aa"),"")</f>
      </c>
      <c r="GL167" s="496" t="str">
        <f> IF(GL187&lt;&gt;"",TEXT(AUX!GP$1,"dd-MMM-aa"),"")</f>
      </c>
      <c r="GM167" s="496" t="str">
        <f> IF(GM187&lt;&gt;"",TEXT(AUX!GQ$1,"dd-MMM-aa"),"")</f>
      </c>
      <c r="GN167" s="496" t="str">
        <f> IF(GN187&lt;&gt;"",TEXT(AUX!GR$1,"dd-MMM-aa"),"")</f>
      </c>
      <c r="GO167" s="496" t="str">
        <f> IF(GO187&lt;&gt;"",TEXT(AUX!GS$1,"dd-MMM-aa"),"")</f>
      </c>
      <c r="GP167" s="496" t="str">
        <f> IF(GP187&lt;&gt;"",TEXT(AUX!GT$1,"dd-MMM-aa"),"")</f>
      </c>
      <c r="GQ167" s="496" t="str">
        <f> IF(GQ187&lt;&gt;"",TEXT(AUX!GU$1,"dd-MMM-aa"),"")</f>
      </c>
      <c r="GR167" s="496" t="str">
        <f> IF(GR187&lt;&gt;"",TEXT(AUX!GV$1,"dd-MMM-aa"),"")</f>
      </c>
      <c r="GS167" s="496" t="str">
        <f> IF(GS187&lt;&gt;"",TEXT(AUX!GW$1,"dd-MMM-aa"),"")</f>
      </c>
      <c r="GT167" s="496" t="str">
        <f> IF(GT187&lt;&gt;"",TEXT(AUX!GX$1,"dd-MMM-aa"),"")</f>
      </c>
      <c r="GU167" s="496" t="str">
        <f> IF(GU187&lt;&gt;"",TEXT(AUX!GY$1,"dd-MMM-aa"),"")</f>
      </c>
      <c r="GV167" s="496" t="str">
        <f> IF(GV187&lt;&gt;"",TEXT(AUX!GZ$1,"dd-MMM-aa"),"")</f>
      </c>
      <c r="GW167" s="496" t="str">
        <f> IF(GW187&lt;&gt;"",TEXT(AUX!HA$1,"dd-MMM-aa"),"")</f>
      </c>
      <c r="GX167" s="496" t="str">
        <f> IF(GX187&lt;&gt;"",TEXT(AUX!HB$1,"dd-MMM-aa"),"")</f>
      </c>
      <c r="GY167" s="496" t="str">
        <f> IF(GY187&lt;&gt;"",TEXT(AUX!HC$1,"dd-MMM-aa"),"")</f>
      </c>
      <c r="GZ167" s="496" t="str">
        <f> IF(GZ187&lt;&gt;"",TEXT(AUX!HD$1,"dd-MMM-aa"),"")</f>
      </c>
      <c r="HA167" s="496" t="str">
        <f> IF(HA187&lt;&gt;"",TEXT(AUX!HE$1,"dd-MMM-aa"),"")</f>
      </c>
      <c r="HB167" s="496" t="str">
        <f> IF(HB187&lt;&gt;"",TEXT(AUX!HF$1,"dd-MMM-aa"),"")</f>
      </c>
      <c r="HC167" s="496" t="str">
        <f> IF(HC187&lt;&gt;"",TEXT(AUX!HG$1,"dd-MMM-aa"),"")</f>
      </c>
      <c r="HD167" s="496" t="str">
        <f> IF(HD187&lt;&gt;"",TEXT(AUX!HH$1,"dd-MMM-aa"),"")</f>
      </c>
      <c r="HE167" s="496" t="str">
        <f> IF(HE187&lt;&gt;"",TEXT(AUX!HI$1,"dd-MMM-aa"),"")</f>
      </c>
      <c r="HF167" s="496" t="str">
        <f> IF(HF187&lt;&gt;"",TEXT(AUX!HJ$1,"dd-MMM-aa"),"")</f>
      </c>
      <c r="HG167" s="496" t="str">
        <f> IF(HG187&lt;&gt;"",TEXT(AUX!HK$1,"dd-MMM-aa"),"")</f>
      </c>
      <c r="HH167" s="496" t="str">
        <f> IF(HH187&lt;&gt;"",TEXT(AUX!HL$1,"dd-MMM-aa"),"")</f>
      </c>
      <c r="HI167" s="496" t="str">
        <f> IF(HI187&lt;&gt;"",TEXT(AUX!HM$1,"dd-MMM-aa"),"")</f>
      </c>
      <c r="HJ167" s="496" t="str">
        <f> IF(HJ187&lt;&gt;"",TEXT(AUX!HN$1,"dd-MMM-aa"),"")</f>
      </c>
      <c r="HK167" s="496" t="str">
        <f> IF(HK187&lt;&gt;"",TEXT(AUX!HO$1,"dd-MMM-aa"),"")</f>
      </c>
      <c r="HL167" s="496" t="str">
        <f> IF(HL187&lt;&gt;"",TEXT(AUX!HP$1,"dd-MMM-aa"),"")</f>
      </c>
      <c r="HM167" s="496" t="str">
        <f> IF(HM187&lt;&gt;"",TEXT(AUX!HQ$1,"dd-MMM-aa"),"")</f>
      </c>
      <c r="HN167" s="496" t="str">
        <f> IF(HN187&lt;&gt;"",TEXT(AUX!HR$1,"dd-MMM-aa"),"")</f>
      </c>
      <c r="HO167" s="496" t="str">
        <f> IF(HO187&lt;&gt;"",TEXT(AUX!HS$1,"dd-MMM-aa"),"")</f>
      </c>
      <c r="HP167" s="496" t="str">
        <f> IF(HP187&lt;&gt;"",TEXT(AUX!HT$1,"dd-MMM-aa"),"")</f>
      </c>
      <c r="HQ167" s="496" t="str">
        <f> IF(HQ187&lt;&gt;"",TEXT(AUX!HU$1,"dd-MMM-aa"),"")</f>
      </c>
      <c r="HR167" s="496" t="str">
        <f> IF(HR187&lt;&gt;"",TEXT(AUX!HV$1,"dd-MMM-aa"),"")</f>
      </c>
      <c r="HS167" s="496" t="str">
        <f> IF(HS187&lt;&gt;"",TEXT(AUX!HW$1,"dd-MMM-aa"),"")</f>
      </c>
      <c r="HT167" s="496" t="str">
        <f> IF(HT187&lt;&gt;"",TEXT(AUX!HX$1,"dd-MMM-aa"),"")</f>
      </c>
      <c r="HU167" s="496" t="str">
        <f> IF(HU187&lt;&gt;"",TEXT(AUX!HY$1,"dd-MMM-aa"),"")</f>
      </c>
      <c r="HV167" s="496" t="str">
        <f> IF(HV187&lt;&gt;"",TEXT(AUX!HZ$1,"dd-MMM-aa"),"")</f>
      </c>
      <c r="HW167" s="496" t="str">
        <f> IF(HW187&lt;&gt;"",TEXT(AUX!IA$1,"dd-MMM-aa"),"")</f>
      </c>
      <c r="HX167" s="496" t="str">
        <f> IF(HX187&lt;&gt;"",TEXT(AUX!IB$1,"dd-MMM-aa"),"")</f>
      </c>
      <c r="HY167" s="496" t="str">
        <f> IF(HY187&lt;&gt;"",TEXT(AUX!IC$1,"dd-MMM-aa"),"")</f>
      </c>
      <c r="HZ167" s="496" t="str">
        <f> IF(HZ187&lt;&gt;"",TEXT(AUX!ID$1,"dd-MMM-aa"),"")</f>
      </c>
      <c r="IA167" s="496" t="str">
        <f> IF(IA187&lt;&gt;"",TEXT(AUX!IE$1,"dd-MMM-aa"),"")</f>
      </c>
      <c r="IB167" s="496" t="str">
        <f> IF(IB187&lt;&gt;"",TEXT(AUX!IF$1,"dd-MMM-aa"),"")</f>
      </c>
      <c r="IC167" s="496" t="str">
        <f> IF(IC187&lt;&gt;"",TEXT(AUX!IG$1,"dd-MMM-aa"),"")</f>
      </c>
      <c r="ID167" s="496" t="str">
        <f> IF(ID187&lt;&gt;"",TEXT(AUX!IH$1,"dd-MMM-aa"),"")</f>
      </c>
      <c r="IE167" s="496" t="str">
        <f> IF(IE187&lt;&gt;"",TEXT(AUX!II$1,"dd-MMM-aa"),"")</f>
      </c>
      <c r="IF167" s="496" t="str">
        <f> IF(IF187&lt;&gt;"",TEXT(AUX!IJ$1,"dd-MMM-aa"),"")</f>
      </c>
      <c r="IG167" s="496" t="str">
        <f> IF(IG187&lt;&gt;"",TEXT(AUX!IK$1,"dd-MMM-aa"),"")</f>
      </c>
      <c r="IH167" s="496" t="str">
        <f> IF(IH187&lt;&gt;"",TEXT(AUX!IL$1,"dd-MMM-aa"),"")</f>
      </c>
      <c r="II167" s="496" t="str">
        <f> IF(II187&lt;&gt;"",TEXT(AUX!IM$1,"dd-MMM-aa"),"")</f>
      </c>
      <c r="IJ167" s="496" t="str">
        <f> IF(IJ187&lt;&gt;"",TEXT(AUX!IN$1,"dd-MMM-aa"),"")</f>
      </c>
      <c r="IK167" s="496" t="str">
        <f> IF(IK187&lt;&gt;"",TEXT(AUX!IO$1,"dd-MMM-aa"),"")</f>
      </c>
      <c r="IL167" s="496" t="str">
        <f> IF(IL187&lt;&gt;"",TEXT(AUX!IP$1,"dd-MMM-aa"),"")</f>
      </c>
      <c r="IM167" s="496" t="str">
        <f> IF(IM187&lt;&gt;"",TEXT(AUX!IQ$1,"dd-MMM-aa"),"")</f>
      </c>
      <c r="IN167" s="496" t="str">
        <f> IF(IN187&lt;&gt;"",TEXT(AUX!IR$1,"dd-MMM-aa"),"")</f>
      </c>
      <c r="IO167" s="496" t="str">
        <f> IF(IO187&lt;&gt;"",TEXT(AUX!IS$1,"dd-MMM-aa"),"")</f>
      </c>
      <c r="IP167" s="496" t="str">
        <f> IF(IP187&lt;&gt;"",TEXT(AUX!IT$1,"dd-MMM-aa"),"")</f>
      </c>
      <c r="IQ167" s="496" t="str">
        <f> IF(IQ187&lt;&gt;"",TEXT(AUX!IU$1,"dd-MMM-aa"),"")</f>
      </c>
      <c r="IR167" s="496" t="str">
        <f> IF(IR187&lt;&gt;"",TEXT(AUX!IV$1,"dd-MMM-aa"),"")</f>
      </c>
      <c r="IS167" s="496" t="str">
        <f> IF(IS187&lt;&gt;"",TEXT(AUX!#REF!,"dd-MMM-aa"),"")</f>
      </c>
      <c r="IT167" s="496" t="str">
        <f> IF(IT187&lt;&gt;"",TEXT(AUX!#REF!,"dd-MMM-aa"),"")</f>
      </c>
      <c r="IU167" s="496" t="str">
        <f> IF(IU187&lt;&gt;"",TEXT(AUX!#REF!,"dd-MMM-aa"),"")</f>
      </c>
      <c r="IV167" s="496" t="str">
        <f> IF(IV187&lt;&gt;"",TEXT(AUX!#REF!,"dd-MMM-aa"),"")</f>
      </c>
    </row>
    <row r="168" hidden="1">
      <c r="B168" s="822" t="s">
        <v>8</v>
      </c>
      <c r="C168" s="823">
        <v>13099</v>
      </c>
      <c r="D168" s="823">
        <v>13065</v>
      </c>
      <c r="E168" s="823">
        <v>12993</v>
      </c>
      <c r="F168" s="823">
        <v>12983</v>
      </c>
      <c r="G168" s="823">
        <v>12215</v>
      </c>
      <c r="H168" s="823">
        <v>12263</v>
      </c>
      <c r="I168" s="823">
        <v>12163</v>
      </c>
      <c r="J168" s="823">
        <v>12171</v>
      </c>
      <c r="K168" s="823">
        <v>12177</v>
      </c>
      <c r="L168" s="823">
        <v>12219</v>
      </c>
      <c r="M168" s="823">
        <v>12169</v>
      </c>
      <c r="N168" s="823">
        <v>12290</v>
      </c>
      <c r="O168" s="823">
        <v>12318</v>
      </c>
      <c r="P168" s="823">
        <v>12388</v>
      </c>
      <c r="Q168" s="823">
        <v>13282</v>
      </c>
      <c r="R168" s="823">
        <v>13392</v>
      </c>
      <c r="S168" s="823">
        <v>13554</v>
      </c>
      <c r="T168" s="823">
        <v>13672</v>
      </c>
      <c r="U168" s="823">
        <v>13791</v>
      </c>
      <c r="V168" s="823">
        <v>13957</v>
      </c>
      <c r="W168" s="823">
        <v>14031</v>
      </c>
      <c r="X168" s="823">
        <v>10145</v>
      </c>
      <c r="Y168" s="823">
        <v>14173</v>
      </c>
      <c r="Z168" s="823">
        <v>14107</v>
      </c>
      <c r="AA168" s="823">
        <v>13968</v>
      </c>
      <c r="AB168" s="824">
        <v>13962</v>
      </c>
      <c r="AC168" s="825">
        <v>13641</v>
      </c>
      <c r="AD168" s="825">
        <v>13719</v>
      </c>
      <c r="AE168" s="825">
        <v>13829</v>
      </c>
      <c r="AF168" s="825">
        <v>13859</v>
      </c>
      <c r="AG168" s="825">
        <v>13926</v>
      </c>
      <c r="AH168" s="825">
        <v>13978</v>
      </c>
      <c r="AI168" s="825">
        <v>13900</v>
      </c>
      <c r="AJ168" s="825">
        <v>13898</v>
      </c>
      <c r="AK168" s="825">
        <v>13991</v>
      </c>
      <c r="AL168" s="825">
        <v>14124</v>
      </c>
      <c r="AM168" s="825">
        <v>12341</v>
      </c>
      <c r="AN168" s="825">
        <v>12353</v>
      </c>
      <c r="AO168" s="825">
        <v>12421</v>
      </c>
      <c r="AP168" s="825">
        <v>12400</v>
      </c>
    </row>
    <row r="169" hidden="1">
      <c r="B169" s="826" t="s">
        <v>9</v>
      </c>
      <c r="C169" s="827">
        <v>5254</v>
      </c>
      <c r="D169" s="827">
        <v>5271</v>
      </c>
      <c r="E169" s="827">
        <v>5196</v>
      </c>
      <c r="F169" s="827">
        <v>5202</v>
      </c>
      <c r="G169" s="827">
        <v>5080</v>
      </c>
      <c r="H169" s="827">
        <v>5096</v>
      </c>
      <c r="I169" s="827">
        <v>5013</v>
      </c>
      <c r="J169" s="827">
        <v>5011</v>
      </c>
      <c r="K169" s="827">
        <v>4552</v>
      </c>
      <c r="L169" s="827">
        <v>4536</v>
      </c>
      <c r="M169" s="827">
        <v>4486</v>
      </c>
      <c r="N169" s="827">
        <v>4474</v>
      </c>
      <c r="O169" s="827">
        <v>4324</v>
      </c>
      <c r="P169" s="827">
        <v>4322</v>
      </c>
      <c r="Q169" s="827">
        <v>4213</v>
      </c>
      <c r="R169" s="827">
        <v>4227</v>
      </c>
      <c r="S169" s="827">
        <v>4208</v>
      </c>
      <c r="T169" s="827">
        <v>4231</v>
      </c>
      <c r="U169" s="827">
        <v>4142</v>
      </c>
      <c r="V169" s="827">
        <v>4000</v>
      </c>
      <c r="W169" s="827">
        <v>3940</v>
      </c>
      <c r="X169" s="827">
        <v>3880</v>
      </c>
      <c r="Y169" s="827">
        <v>3792</v>
      </c>
      <c r="Z169" s="827">
        <v>3730</v>
      </c>
      <c r="AA169" s="827">
        <v>3712</v>
      </c>
      <c r="AB169" s="827">
        <v>3642</v>
      </c>
      <c r="AC169" s="828">
        <v>3626</v>
      </c>
      <c r="AD169" s="828">
        <v>3587</v>
      </c>
      <c r="AE169" s="828">
        <v>3597</v>
      </c>
      <c r="AF169" s="828">
        <v>3577</v>
      </c>
      <c r="AG169" s="828">
        <v>3590</v>
      </c>
      <c r="AH169" s="828">
        <v>3582</v>
      </c>
      <c r="AI169" s="828">
        <v>3589</v>
      </c>
      <c r="AJ169" s="828">
        <v>3575</v>
      </c>
      <c r="AK169" s="828">
        <v>3597</v>
      </c>
      <c r="AL169" s="828">
        <v>3646</v>
      </c>
      <c r="AM169" s="828">
        <v>3568</v>
      </c>
      <c r="AN169" s="828">
        <v>3496</v>
      </c>
      <c r="AO169" s="828">
        <v>3482</v>
      </c>
      <c r="AP169" s="828">
        <v>3450</v>
      </c>
    </row>
    <row r="170" hidden="1">
      <c r="B170" s="829" t="s">
        <v>10</v>
      </c>
      <c r="C170" s="823">
        <v>6743</v>
      </c>
      <c r="D170" s="823">
        <v>6704</v>
      </c>
      <c r="E170" s="823">
        <v>6661</v>
      </c>
      <c r="F170" s="823">
        <v>4787</v>
      </c>
      <c r="G170" s="823">
        <v>4577</v>
      </c>
      <c r="H170" s="823">
        <v>4947</v>
      </c>
      <c r="I170" s="823">
        <v>5195</v>
      </c>
      <c r="J170" s="823">
        <v>4525</v>
      </c>
      <c r="K170" s="823">
        <v>4621</v>
      </c>
      <c r="L170" s="823">
        <v>4533</v>
      </c>
      <c r="M170" s="823">
        <v>4503</v>
      </c>
      <c r="N170" s="823">
        <v>4707</v>
      </c>
      <c r="O170" s="823">
        <v>4680</v>
      </c>
      <c r="P170" s="823">
        <v>4832</v>
      </c>
      <c r="Q170" s="823">
        <v>4977</v>
      </c>
      <c r="R170" s="823">
        <v>5175</v>
      </c>
      <c r="S170" s="823">
        <v>5203</v>
      </c>
      <c r="T170" s="823">
        <v>5335</v>
      </c>
      <c r="U170" s="823">
        <v>4837</v>
      </c>
      <c r="V170" s="823">
        <v>4560</v>
      </c>
      <c r="W170" s="823">
        <v>4838</v>
      </c>
      <c r="X170" s="823">
        <v>4643</v>
      </c>
      <c r="Y170" s="823">
        <v>4900</v>
      </c>
      <c r="Z170" s="823">
        <v>4815</v>
      </c>
      <c r="AA170" s="823">
        <v>5024</v>
      </c>
      <c r="AB170" s="823">
        <v>5037</v>
      </c>
      <c r="AC170" s="825">
        <v>5157</v>
      </c>
      <c r="AD170" s="825">
        <v>5136</v>
      </c>
      <c r="AE170" s="825">
        <v>5354</v>
      </c>
      <c r="AF170" s="825">
        <v>4995</v>
      </c>
      <c r="AG170" s="825">
        <v>5279</v>
      </c>
      <c r="AH170" s="825">
        <v>4930</v>
      </c>
      <c r="AI170" s="825">
        <v>5177</v>
      </c>
      <c r="AJ170" s="825">
        <v>5092</v>
      </c>
      <c r="AK170" s="825">
        <v>5285</v>
      </c>
      <c r="AL170" s="825">
        <v>5143</v>
      </c>
      <c r="AM170" s="825">
        <v>5360</v>
      </c>
      <c r="AN170" s="825">
        <v>5255</v>
      </c>
      <c r="AO170" s="825">
        <v>5454</v>
      </c>
      <c r="AP170" s="825">
        <v>5332</v>
      </c>
    </row>
    <row r="171" hidden="1">
      <c r="B171" s="826" t="s">
        <v>11</v>
      </c>
      <c r="C171" s="827">
        <v>4538</v>
      </c>
      <c r="D171" s="827">
        <v>4433</v>
      </c>
      <c r="E171" s="827">
        <v>4408</v>
      </c>
      <c r="F171" s="827">
        <v>4410</v>
      </c>
      <c r="G171" s="827">
        <v>4306</v>
      </c>
      <c r="H171" s="827">
        <v>4221</v>
      </c>
      <c r="I171" s="827">
        <v>4228</v>
      </c>
      <c r="J171" s="827">
        <v>4171</v>
      </c>
      <c r="K171" s="827">
        <v>4133</v>
      </c>
      <c r="L171" s="827">
        <v>4079</v>
      </c>
      <c r="M171" s="827">
        <v>4151</v>
      </c>
      <c r="N171" s="827">
        <v>4184</v>
      </c>
      <c r="O171" s="827">
        <v>4197</v>
      </c>
      <c r="P171" s="827">
        <v>4234</v>
      </c>
      <c r="Q171" s="827">
        <v>4205</v>
      </c>
      <c r="R171" s="827">
        <v>4145</v>
      </c>
      <c r="S171" s="827">
        <v>4172</v>
      </c>
      <c r="T171" s="827">
        <v>4205</v>
      </c>
      <c r="U171" s="827">
        <v>4056</v>
      </c>
      <c r="V171" s="827">
        <v>4081</v>
      </c>
      <c r="W171" s="827">
        <v>3999</v>
      </c>
      <c r="X171" s="827">
        <v>4042</v>
      </c>
      <c r="Y171" s="827">
        <v>3913</v>
      </c>
      <c r="Z171" s="827">
        <v>3943</v>
      </c>
      <c r="AA171" s="827">
        <v>3820</v>
      </c>
      <c r="AB171" s="827">
        <v>3841</v>
      </c>
      <c r="AC171" s="828">
        <v>3854</v>
      </c>
      <c r="AD171" s="828">
        <v>3880</v>
      </c>
      <c r="AE171" s="828">
        <v>3918</v>
      </c>
      <c r="AF171" s="828">
        <v>3989</v>
      </c>
      <c r="AG171" s="828">
        <v>3599</v>
      </c>
      <c r="AH171" s="828">
        <v>3776</v>
      </c>
      <c r="AI171" s="828">
        <v>3873</v>
      </c>
      <c r="AJ171" s="828">
        <v>3931</v>
      </c>
      <c r="AK171" s="828">
        <v>4007</v>
      </c>
      <c r="AL171" s="828">
        <v>4071</v>
      </c>
      <c r="AM171" s="828">
        <v>4056</v>
      </c>
      <c r="AN171" s="828">
        <v>4069</v>
      </c>
      <c r="AO171" s="828">
        <v>4089</v>
      </c>
      <c r="AP171" s="828">
        <v>4035</v>
      </c>
    </row>
    <row r="172" hidden="1">
      <c r="B172" s="829" t="s">
        <v>12</v>
      </c>
      <c r="C172" s="823">
        <v>726</v>
      </c>
      <c r="D172" s="823">
        <v>759</v>
      </c>
      <c r="E172" s="823">
        <v>845</v>
      </c>
      <c r="F172" s="823">
        <v>874</v>
      </c>
      <c r="G172" s="823">
        <v>915</v>
      </c>
      <c r="H172" s="823">
        <v>965</v>
      </c>
      <c r="I172" s="823">
        <v>966</v>
      </c>
      <c r="J172" s="823">
        <v>781</v>
      </c>
      <c r="K172" s="823">
        <v>784</v>
      </c>
      <c r="L172" s="823">
        <v>801</v>
      </c>
      <c r="M172" s="823">
        <v>756</v>
      </c>
      <c r="N172" s="823">
        <v>734</v>
      </c>
      <c r="O172" s="823">
        <v>689</v>
      </c>
      <c r="P172" s="823">
        <v>677</v>
      </c>
      <c r="Q172" s="823">
        <v>643</v>
      </c>
      <c r="R172" s="823">
        <v>630</v>
      </c>
      <c r="S172" s="823">
        <v>577</v>
      </c>
      <c r="T172" s="823">
        <v>542</v>
      </c>
      <c r="U172" s="823">
        <v>479</v>
      </c>
      <c r="V172" s="823">
        <v>459</v>
      </c>
      <c r="W172" s="823">
        <v>417</v>
      </c>
      <c r="X172" s="823">
        <v>417</v>
      </c>
      <c r="Y172" s="823">
        <v>391</v>
      </c>
      <c r="Z172" s="823">
        <v>373</v>
      </c>
      <c r="AA172" s="823">
        <v>347</v>
      </c>
      <c r="AB172" s="823">
        <v>391</v>
      </c>
      <c r="AC172" s="825">
        <v>384</v>
      </c>
      <c r="AD172" s="825">
        <v>382</v>
      </c>
      <c r="AE172" s="825">
        <v>368</v>
      </c>
      <c r="AF172" s="825">
        <v>378</v>
      </c>
      <c r="AG172" s="825">
        <v>375</v>
      </c>
      <c r="AH172" s="825">
        <v>361</v>
      </c>
      <c r="AI172" s="825">
        <v>401</v>
      </c>
      <c r="AJ172" s="825">
        <v>410</v>
      </c>
      <c r="AK172" s="825">
        <v>414</v>
      </c>
      <c r="AL172" s="825">
        <v>438</v>
      </c>
      <c r="AM172" s="825">
        <v>441</v>
      </c>
      <c r="AN172" s="825">
        <v>459</v>
      </c>
      <c r="AO172" s="825">
        <v>474</v>
      </c>
      <c r="AP172" s="825">
        <v>506</v>
      </c>
    </row>
    <row r="173" hidden="1">
      <c r="B173" s="826" t="s">
        <v>13</v>
      </c>
      <c r="C173" s="827">
        <v>4318</v>
      </c>
      <c r="D173" s="827">
        <v>3117</v>
      </c>
      <c r="E173" s="827">
        <v>2109</v>
      </c>
      <c r="F173" s="827">
        <v>2099</v>
      </c>
      <c r="G173" s="827">
        <v>2500</v>
      </c>
      <c r="H173" s="827">
        <v>2683</v>
      </c>
      <c r="I173" s="827">
        <v>2851</v>
      </c>
      <c r="J173" s="827">
        <v>2963</v>
      </c>
      <c r="K173" s="827">
        <v>3094</v>
      </c>
      <c r="L173" s="827">
        <v>2726</v>
      </c>
      <c r="M173" s="827">
        <v>2989</v>
      </c>
      <c r="N173" s="827">
        <v>2641</v>
      </c>
      <c r="O173" s="827">
        <v>2681</v>
      </c>
      <c r="P173" s="827">
        <v>2680</v>
      </c>
      <c r="Q173" s="827">
        <v>2731</v>
      </c>
      <c r="R173" s="827">
        <v>2524</v>
      </c>
      <c r="S173" s="827">
        <v>2625</v>
      </c>
      <c r="T173" s="827">
        <v>2791</v>
      </c>
      <c r="U173" s="827">
        <v>2989</v>
      </c>
      <c r="V173" s="827">
        <v>3071</v>
      </c>
      <c r="W173" s="827">
        <v>2831</v>
      </c>
      <c r="X173" s="827">
        <v>2874</v>
      </c>
      <c r="Y173" s="827">
        <v>2206</v>
      </c>
      <c r="Z173" s="827">
        <v>2013</v>
      </c>
      <c r="AA173" s="827">
        <v>2194</v>
      </c>
      <c r="AB173" s="827">
        <v>2056</v>
      </c>
      <c r="AC173" s="828">
        <v>2202</v>
      </c>
      <c r="AD173" s="828">
        <v>2051</v>
      </c>
      <c r="AE173" s="828">
        <v>2141</v>
      </c>
      <c r="AF173" s="828">
        <v>1969</v>
      </c>
      <c r="AG173" s="828">
        <v>2166</v>
      </c>
      <c r="AH173" s="828">
        <v>2043</v>
      </c>
      <c r="AI173" s="828">
        <v>2171</v>
      </c>
      <c r="AJ173" s="828">
        <v>2032</v>
      </c>
      <c r="AK173" s="828">
        <v>2139</v>
      </c>
      <c r="AL173" s="828">
        <v>1978</v>
      </c>
      <c r="AM173" s="828">
        <v>1989</v>
      </c>
      <c r="AN173" s="828">
        <v>2010</v>
      </c>
      <c r="AO173" s="828">
        <v>2123</v>
      </c>
      <c r="AP173" s="828">
        <v>2264</v>
      </c>
    </row>
    <row r="174" hidden="1">
      <c r="B174" s="829" t="s">
        <v>109</v>
      </c>
      <c r="C174" s="823">
        <v>624</v>
      </c>
      <c r="D174" s="823">
        <v>616</v>
      </c>
      <c r="E174" s="823">
        <v>625</v>
      </c>
      <c r="F174" s="823">
        <v>767</v>
      </c>
      <c r="G174" s="823">
        <v>1449</v>
      </c>
      <c r="H174" s="823">
        <v>1660</v>
      </c>
      <c r="I174" s="823">
        <v>1680</v>
      </c>
      <c r="J174" s="823">
        <v>1647</v>
      </c>
      <c r="K174" s="823">
        <v>1678</v>
      </c>
      <c r="L174" s="823">
        <v>1698</v>
      </c>
      <c r="M174" s="823">
        <v>1734</v>
      </c>
      <c r="N174" s="823">
        <v>2445</v>
      </c>
      <c r="O174" s="823">
        <v>2415</v>
      </c>
      <c r="P174" s="823">
        <v>2459</v>
      </c>
      <c r="Q174" s="823">
        <v>2478</v>
      </c>
      <c r="R174" s="823">
        <v>2495</v>
      </c>
      <c r="S174" s="823">
        <v>2497</v>
      </c>
      <c r="T174" s="823">
        <v>2586</v>
      </c>
      <c r="U174" s="823">
        <v>2682</v>
      </c>
      <c r="V174" s="823">
        <v>2707</v>
      </c>
      <c r="W174" s="823">
        <v>2680</v>
      </c>
      <c r="X174" s="823">
        <v>2734</v>
      </c>
      <c r="Y174" s="823">
        <v>2835</v>
      </c>
      <c r="Z174" s="823">
        <v>2835</v>
      </c>
      <c r="AA174" s="823">
        <v>2750</v>
      </c>
      <c r="AB174" s="823">
        <v>2759</v>
      </c>
      <c r="AC174" s="825">
        <v>2744</v>
      </c>
      <c r="AD174" s="825">
        <v>2767</v>
      </c>
      <c r="AE174" s="825">
        <v>2780</v>
      </c>
      <c r="AF174" s="825">
        <v>2778</v>
      </c>
      <c r="AG174" s="825">
        <v>2773</v>
      </c>
      <c r="AH174" s="825">
        <v>2781</v>
      </c>
      <c r="AI174" s="825">
        <v>2802</v>
      </c>
      <c r="AJ174" s="825">
        <v>2670</v>
      </c>
      <c r="AK174" s="825">
        <v>2708</v>
      </c>
      <c r="AL174" s="825">
        <v>2739</v>
      </c>
      <c r="AM174" s="825">
        <v>2647</v>
      </c>
      <c r="AN174" s="825">
        <v>2679</v>
      </c>
      <c r="AO174" s="825">
        <v>2698</v>
      </c>
      <c r="AP174" s="825">
        <v>2747</v>
      </c>
    </row>
    <row r="175" hidden="1">
      <c r="B175" s="826" t="s">
        <v>110</v>
      </c>
      <c r="C175" s="827">
        <v>7403</v>
      </c>
      <c r="D175" s="827">
        <v>7477</v>
      </c>
      <c r="E175" s="827">
        <v>7635</v>
      </c>
      <c r="F175" s="827">
        <v>7606</v>
      </c>
      <c r="G175" s="827">
        <v>7659</v>
      </c>
      <c r="H175" s="827">
        <v>7641</v>
      </c>
      <c r="I175" s="827">
        <v>7403</v>
      </c>
      <c r="J175" s="827">
        <v>7405</v>
      </c>
      <c r="K175" s="827">
        <v>7411</v>
      </c>
      <c r="L175" s="827">
        <v>7250</v>
      </c>
      <c r="M175" s="827">
        <v>7156</v>
      </c>
      <c r="N175" s="827">
        <v>6978</v>
      </c>
      <c r="O175" s="827">
        <v>6812</v>
      </c>
      <c r="P175" s="827">
        <v>6503</v>
      </c>
      <c r="Q175" s="827">
        <v>6749</v>
      </c>
      <c r="R175" s="827">
        <v>6613</v>
      </c>
      <c r="S175" s="827">
        <v>6789</v>
      </c>
      <c r="T175" s="827">
        <v>6747</v>
      </c>
      <c r="U175" s="827">
        <v>6783</v>
      </c>
      <c r="V175" s="827">
        <v>6800</v>
      </c>
      <c r="W175" s="827">
        <v>6746</v>
      </c>
      <c r="X175" s="827">
        <v>6771</v>
      </c>
      <c r="Y175" s="827">
        <v>6773</v>
      </c>
      <c r="Z175" s="827">
        <v>6702</v>
      </c>
      <c r="AA175" s="827">
        <v>6614</v>
      </c>
      <c r="AB175" s="827">
        <v>6662</v>
      </c>
      <c r="AC175" s="828">
        <v>6697</v>
      </c>
      <c r="AD175" s="828">
        <v>6735</v>
      </c>
      <c r="AE175" s="828">
        <v>6761</v>
      </c>
      <c r="AF175" s="828">
        <v>6543</v>
      </c>
      <c r="AG175" s="828">
        <v>6600</v>
      </c>
      <c r="AH175" s="828">
        <v>6605</v>
      </c>
      <c r="AI175" s="828">
        <v>6594</v>
      </c>
      <c r="AJ175" s="828">
        <v>6612</v>
      </c>
      <c r="AK175" s="828">
        <v>6656</v>
      </c>
      <c r="AL175" s="828">
        <v>6592</v>
      </c>
      <c r="AM175" s="828">
        <v>6487</v>
      </c>
      <c r="AN175" s="828">
        <v>6471</v>
      </c>
      <c r="AO175" s="828">
        <v>6408</v>
      </c>
      <c r="AP175" s="828">
        <v>6407</v>
      </c>
    </row>
    <row r="176" hidden="1">
      <c r="B176" s="829" t="s">
        <v>16</v>
      </c>
      <c r="C176" s="823">
        <v>2911</v>
      </c>
      <c r="D176" s="823">
        <v>2933</v>
      </c>
      <c r="E176" s="823">
        <v>2876</v>
      </c>
      <c r="F176" s="823">
        <v>2844</v>
      </c>
      <c r="G176" s="823">
        <v>2809</v>
      </c>
      <c r="H176" s="823">
        <v>2797</v>
      </c>
      <c r="I176" s="823">
        <v>2793</v>
      </c>
      <c r="J176" s="823">
        <v>2780</v>
      </c>
      <c r="K176" s="823">
        <v>2776</v>
      </c>
      <c r="L176" s="823">
        <v>2815</v>
      </c>
      <c r="M176" s="823">
        <v>2811</v>
      </c>
      <c r="N176" s="823">
        <v>2783</v>
      </c>
      <c r="O176" s="823">
        <v>2765</v>
      </c>
      <c r="P176" s="823">
        <v>2761</v>
      </c>
      <c r="Q176" s="823">
        <v>2769</v>
      </c>
      <c r="R176" s="823">
        <v>2788</v>
      </c>
      <c r="S176" s="823">
        <v>2786</v>
      </c>
      <c r="T176" s="823">
        <v>2798</v>
      </c>
      <c r="U176" s="823">
        <v>2814</v>
      </c>
      <c r="V176" s="823">
        <v>2840</v>
      </c>
      <c r="W176" s="823">
        <v>2857</v>
      </c>
      <c r="X176" s="823">
        <v>2857</v>
      </c>
      <c r="Y176" s="823">
        <v>2841</v>
      </c>
      <c r="Z176" s="823">
        <v>2817</v>
      </c>
      <c r="AA176" s="823">
        <v>2829</v>
      </c>
      <c r="AB176" s="823">
        <v>2815</v>
      </c>
      <c r="AC176" s="825">
        <v>2772</v>
      </c>
      <c r="AD176" s="825">
        <v>2764</v>
      </c>
      <c r="AE176" s="825">
        <v>2782</v>
      </c>
      <c r="AF176" s="825">
        <v>2822</v>
      </c>
      <c r="AG176" s="825">
        <v>2872</v>
      </c>
      <c r="AH176" s="825">
        <v>2881</v>
      </c>
      <c r="AI176" s="825">
        <v>2835</v>
      </c>
      <c r="AJ176" s="825">
        <v>2852</v>
      </c>
      <c r="AK176" s="825">
        <v>2832</v>
      </c>
      <c r="AL176" s="825">
        <v>2775</v>
      </c>
      <c r="AM176" s="825">
        <v>2803</v>
      </c>
      <c r="AN176" s="825">
        <v>2890</v>
      </c>
      <c r="AO176" s="825">
        <v>2971</v>
      </c>
      <c r="AP176" s="825">
        <v>3028</v>
      </c>
    </row>
    <row r="177" hidden="1">
      <c r="B177" s="826" t="s">
        <v>17</v>
      </c>
      <c r="C177" s="827">
        <v>16685</v>
      </c>
      <c r="D177" s="827">
        <v>16458</v>
      </c>
      <c r="E177" s="827">
        <v>16616</v>
      </c>
      <c r="F177" s="827">
        <v>16727</v>
      </c>
      <c r="G177" s="827">
        <v>13331</v>
      </c>
      <c r="H177" s="827">
        <v>13593</v>
      </c>
      <c r="I177" s="827">
        <v>12544</v>
      </c>
      <c r="J177" s="827">
        <v>12804</v>
      </c>
      <c r="K177" s="827">
        <v>13094</v>
      </c>
      <c r="L177" s="827">
        <v>13257</v>
      </c>
      <c r="M177" s="827">
        <v>13464</v>
      </c>
      <c r="N177" s="827">
        <v>13590</v>
      </c>
      <c r="O177" s="827">
        <v>13827</v>
      </c>
      <c r="P177" s="827">
        <v>14248</v>
      </c>
      <c r="Q177" s="827">
        <v>13852</v>
      </c>
      <c r="R177" s="827">
        <v>14194</v>
      </c>
      <c r="S177" s="827">
        <v>13910</v>
      </c>
      <c r="T177" s="827">
        <v>14291</v>
      </c>
      <c r="U177" s="827">
        <v>14516</v>
      </c>
      <c r="V177" s="827">
        <v>14919</v>
      </c>
      <c r="W177" s="827">
        <v>14682</v>
      </c>
      <c r="X177" s="827">
        <v>14824</v>
      </c>
      <c r="Y177" s="827">
        <v>15398</v>
      </c>
      <c r="Z177" s="827">
        <v>15799</v>
      </c>
      <c r="AA177" s="827">
        <v>16187</v>
      </c>
      <c r="AB177" s="827">
        <v>15980</v>
      </c>
      <c r="AC177" s="828">
        <v>16408</v>
      </c>
      <c r="AD177" s="828">
        <v>16574</v>
      </c>
      <c r="AE177" s="828">
        <v>16877</v>
      </c>
      <c r="AF177" s="828">
        <v>17073</v>
      </c>
      <c r="AG177" s="828">
        <v>17441</v>
      </c>
      <c r="AH177" s="828">
        <v>17663</v>
      </c>
      <c r="AI177" s="828">
        <v>17966</v>
      </c>
      <c r="AJ177" s="828">
        <v>18162</v>
      </c>
      <c r="AK177" s="828">
        <v>18450</v>
      </c>
      <c r="AL177" s="828">
        <v>18641</v>
      </c>
      <c r="AM177" s="828">
        <v>18951</v>
      </c>
      <c r="AN177" s="828">
        <v>19083</v>
      </c>
      <c r="AO177" s="828">
        <v>19397</v>
      </c>
      <c r="AP177" s="828">
        <v>19577</v>
      </c>
    </row>
    <row r="178" hidden="1">
      <c r="B178" s="829" t="s">
        <v>18</v>
      </c>
      <c r="C178" s="823">
        <v>29642</v>
      </c>
      <c r="D178" s="823">
        <v>28551</v>
      </c>
      <c r="E178" s="823">
        <v>28899</v>
      </c>
      <c r="F178" s="823">
        <v>29414</v>
      </c>
      <c r="G178" s="823">
        <v>27078</v>
      </c>
      <c r="H178" s="823">
        <v>27667</v>
      </c>
      <c r="I178" s="823">
        <v>26049</v>
      </c>
      <c r="J178" s="823">
        <v>25880</v>
      </c>
      <c r="K178" s="823">
        <v>25567</v>
      </c>
      <c r="L178" s="823">
        <v>24534</v>
      </c>
      <c r="M178" s="823">
        <v>24150</v>
      </c>
      <c r="N178" s="823">
        <v>23927</v>
      </c>
      <c r="O178" s="823">
        <v>23793</v>
      </c>
      <c r="P178" s="823">
        <v>23330</v>
      </c>
      <c r="Q178" s="823">
        <v>23573</v>
      </c>
      <c r="R178" s="823">
        <v>23401</v>
      </c>
      <c r="S178" s="823">
        <v>23493</v>
      </c>
      <c r="T178" s="823">
        <v>23221</v>
      </c>
      <c r="U178" s="823">
        <v>23362</v>
      </c>
      <c r="V178" s="823">
        <v>23022</v>
      </c>
      <c r="W178" s="823">
        <v>22310</v>
      </c>
      <c r="X178" s="823">
        <v>22200</v>
      </c>
      <c r="Y178" s="823">
        <v>22324</v>
      </c>
      <c r="Z178" s="823">
        <v>22399</v>
      </c>
      <c r="AA178" s="823">
        <v>21618</v>
      </c>
      <c r="AB178" s="823">
        <v>21567</v>
      </c>
      <c r="AC178" s="825">
        <v>21477</v>
      </c>
      <c r="AD178" s="825">
        <v>21411</v>
      </c>
      <c r="AE178" s="825">
        <v>21555</v>
      </c>
      <c r="AF178" s="825">
        <v>21406</v>
      </c>
      <c r="AG178" s="825">
        <v>20606</v>
      </c>
      <c r="AH178" s="825">
        <v>20286</v>
      </c>
      <c r="AI178" s="825">
        <v>18387</v>
      </c>
      <c r="AJ178" s="825">
        <v>17930</v>
      </c>
      <c r="AK178" s="825">
        <v>17159</v>
      </c>
      <c r="AL178" s="825">
        <v>16998</v>
      </c>
      <c r="AM178" s="825">
        <v>16988</v>
      </c>
      <c r="AN178" s="825">
        <v>17004</v>
      </c>
      <c r="AO178" s="825">
        <v>16629</v>
      </c>
      <c r="AP178" s="825">
        <v>16394</v>
      </c>
    </row>
    <row r="179" hidden="1">
      <c r="B179" s="826" t="s">
        <v>19</v>
      </c>
      <c r="C179" s="827">
        <v>510</v>
      </c>
      <c r="D179" s="827">
        <v>508</v>
      </c>
      <c r="E179" s="827">
        <v>512</v>
      </c>
      <c r="F179" s="827">
        <v>508</v>
      </c>
      <c r="G179" s="827">
        <v>531</v>
      </c>
      <c r="H179" s="827">
        <v>540</v>
      </c>
      <c r="I179" s="827">
        <v>561</v>
      </c>
      <c r="J179" s="827">
        <v>580</v>
      </c>
      <c r="K179" s="827">
        <v>591</v>
      </c>
      <c r="L179" s="827">
        <v>601</v>
      </c>
      <c r="M179" s="827">
        <v>564</v>
      </c>
      <c r="N179" s="827">
        <v>571</v>
      </c>
      <c r="O179" s="827">
        <v>591</v>
      </c>
      <c r="P179" s="827">
        <v>599</v>
      </c>
      <c r="Q179" s="827">
        <v>545</v>
      </c>
      <c r="R179" s="827">
        <v>575</v>
      </c>
      <c r="S179" s="827">
        <v>591</v>
      </c>
      <c r="T179" s="827">
        <v>604</v>
      </c>
      <c r="U179" s="827">
        <v>620</v>
      </c>
      <c r="V179" s="827">
        <v>638</v>
      </c>
      <c r="W179" s="827">
        <v>643</v>
      </c>
      <c r="X179" s="827">
        <v>657</v>
      </c>
      <c r="Y179" s="827">
        <v>661</v>
      </c>
      <c r="Z179" s="827">
        <v>669</v>
      </c>
      <c r="AA179" s="827">
        <v>681</v>
      </c>
      <c r="AB179" s="827">
        <v>688</v>
      </c>
      <c r="AC179" s="828">
        <v>697</v>
      </c>
      <c r="AD179" s="828">
        <v>708</v>
      </c>
      <c r="AE179" s="828">
        <v>700</v>
      </c>
      <c r="AF179" s="828">
        <v>708</v>
      </c>
      <c r="AG179" s="828">
        <v>709</v>
      </c>
      <c r="AH179" s="828">
        <v>714</v>
      </c>
      <c r="AI179" s="828">
        <v>731</v>
      </c>
      <c r="AJ179" s="828">
        <v>528</v>
      </c>
      <c r="AK179" s="828">
        <v>580</v>
      </c>
      <c r="AL179" s="828">
        <v>625</v>
      </c>
      <c r="AM179" s="828">
        <v>647</v>
      </c>
      <c r="AN179" s="828">
        <v>669</v>
      </c>
      <c r="AO179" s="828">
        <v>695</v>
      </c>
      <c r="AP179" s="828">
        <v>742</v>
      </c>
    </row>
    <row r="180" hidden="1">
      <c r="B180" s="829" t="s">
        <v>20</v>
      </c>
      <c r="C180" s="823">
        <v>1369</v>
      </c>
      <c r="D180" s="823">
        <v>1390</v>
      </c>
      <c r="E180" s="823">
        <v>1753</v>
      </c>
      <c r="F180" s="823">
        <v>1772</v>
      </c>
      <c r="G180" s="823">
        <v>1644</v>
      </c>
      <c r="H180" s="823">
        <v>1768</v>
      </c>
      <c r="I180" s="823">
        <v>1772</v>
      </c>
      <c r="J180" s="823">
        <v>1831</v>
      </c>
      <c r="K180" s="823">
        <v>1704</v>
      </c>
      <c r="L180" s="823">
        <v>1710</v>
      </c>
      <c r="M180" s="823">
        <v>1540</v>
      </c>
      <c r="N180" s="823">
        <v>1554</v>
      </c>
      <c r="O180" s="823">
        <v>1624</v>
      </c>
      <c r="P180" s="823">
        <v>1653</v>
      </c>
      <c r="Q180" s="823">
        <v>1691</v>
      </c>
      <c r="R180" s="823">
        <v>1721</v>
      </c>
      <c r="S180" s="823">
        <v>1569</v>
      </c>
      <c r="T180" s="823">
        <v>1599</v>
      </c>
      <c r="U180" s="823">
        <v>1620</v>
      </c>
      <c r="V180" s="823">
        <v>1661</v>
      </c>
      <c r="W180" s="823">
        <v>1606</v>
      </c>
      <c r="X180" s="823">
        <v>1624</v>
      </c>
      <c r="Y180" s="823">
        <v>1657</v>
      </c>
      <c r="Z180" s="823">
        <v>1680</v>
      </c>
      <c r="AA180" s="823">
        <v>1707</v>
      </c>
      <c r="AB180" s="823">
        <v>1724</v>
      </c>
      <c r="AC180" s="825">
        <v>1759</v>
      </c>
      <c r="AD180" s="825">
        <v>1809</v>
      </c>
      <c r="AE180" s="825">
        <v>1866</v>
      </c>
      <c r="AF180" s="825">
        <v>1897</v>
      </c>
      <c r="AG180" s="825">
        <v>1592</v>
      </c>
      <c r="AH180" s="825">
        <v>1591</v>
      </c>
      <c r="AI180" s="825">
        <v>1611</v>
      </c>
      <c r="AJ180" s="825">
        <v>1607</v>
      </c>
      <c r="AK180" s="825">
        <v>1607</v>
      </c>
      <c r="AL180" s="825">
        <v>1585</v>
      </c>
      <c r="AM180" s="825">
        <v>1551</v>
      </c>
      <c r="AN180" s="825">
        <v>1557</v>
      </c>
      <c r="AO180" s="825">
        <v>1555</v>
      </c>
      <c r="AP180" s="825">
        <v>1540</v>
      </c>
    </row>
    <row r="181" hidden="1">
      <c r="B181" s="826" t="s">
        <v>21</v>
      </c>
      <c r="C181" s="827">
        <v>1792</v>
      </c>
      <c r="D181" s="827">
        <v>1781</v>
      </c>
      <c r="E181" s="827">
        <v>1749</v>
      </c>
      <c r="F181" s="827">
        <v>1793</v>
      </c>
      <c r="G181" s="827">
        <v>1809</v>
      </c>
      <c r="H181" s="827">
        <v>1809</v>
      </c>
      <c r="I181" s="827">
        <v>1924</v>
      </c>
      <c r="J181" s="827">
        <v>1944</v>
      </c>
      <c r="K181" s="827">
        <v>1948</v>
      </c>
      <c r="L181" s="827">
        <v>1946</v>
      </c>
      <c r="M181" s="827">
        <v>1963</v>
      </c>
      <c r="N181" s="827">
        <v>1941</v>
      </c>
      <c r="O181" s="827">
        <v>1948</v>
      </c>
      <c r="P181" s="827">
        <v>1948</v>
      </c>
      <c r="Q181" s="827">
        <v>1956</v>
      </c>
      <c r="R181" s="827">
        <v>1988</v>
      </c>
      <c r="S181" s="827">
        <v>2005</v>
      </c>
      <c r="T181" s="827">
        <v>2048</v>
      </c>
      <c r="U181" s="827">
        <v>2033</v>
      </c>
      <c r="V181" s="827">
        <v>2025</v>
      </c>
      <c r="W181" s="827">
        <v>1950</v>
      </c>
      <c r="X181" s="827">
        <v>1965</v>
      </c>
      <c r="Y181" s="827">
        <v>1953</v>
      </c>
      <c r="Z181" s="827">
        <v>1954</v>
      </c>
      <c r="AA181" s="827">
        <v>1877</v>
      </c>
      <c r="AB181" s="827">
        <v>1918</v>
      </c>
      <c r="AC181" s="828">
        <v>1902</v>
      </c>
      <c r="AD181" s="828">
        <v>1940</v>
      </c>
      <c r="AE181" s="828">
        <v>1966</v>
      </c>
      <c r="AF181" s="828">
        <v>1999</v>
      </c>
      <c r="AG181" s="828">
        <v>1992</v>
      </c>
      <c r="AH181" s="828">
        <v>2022</v>
      </c>
      <c r="AI181" s="828">
        <v>2029</v>
      </c>
      <c r="AJ181" s="828">
        <v>2092</v>
      </c>
      <c r="AK181" s="828">
        <v>2061</v>
      </c>
      <c r="AL181" s="828">
        <v>2079</v>
      </c>
      <c r="AM181" s="828">
        <v>2079</v>
      </c>
      <c r="AN181" s="828">
        <v>2116</v>
      </c>
      <c r="AO181" s="828">
        <v>2141</v>
      </c>
      <c r="AP181" s="828">
        <v>2195</v>
      </c>
    </row>
    <row r="182" hidden="1">
      <c r="B182" s="829" t="s">
        <v>22</v>
      </c>
      <c r="C182" s="823">
        <v>1304</v>
      </c>
      <c r="D182" s="823">
        <v>1327</v>
      </c>
      <c r="E182" s="823">
        <v>1345</v>
      </c>
      <c r="F182" s="823">
        <v>1386</v>
      </c>
      <c r="G182" s="823">
        <v>1441</v>
      </c>
      <c r="H182" s="823">
        <v>1461</v>
      </c>
      <c r="I182" s="823">
        <v>1467</v>
      </c>
      <c r="J182" s="823">
        <v>1484</v>
      </c>
      <c r="K182" s="823">
        <v>1447</v>
      </c>
      <c r="L182" s="823">
        <v>1686</v>
      </c>
      <c r="M182" s="823">
        <v>3484</v>
      </c>
      <c r="N182" s="823">
        <v>3515</v>
      </c>
      <c r="O182" s="823">
        <v>3738</v>
      </c>
      <c r="P182" s="823">
        <v>3860</v>
      </c>
      <c r="Q182" s="823">
        <v>4037</v>
      </c>
      <c r="R182" s="823">
        <v>4157</v>
      </c>
      <c r="S182" s="823">
        <v>4623</v>
      </c>
      <c r="T182" s="823">
        <v>4952</v>
      </c>
      <c r="U182" s="823">
        <v>5274</v>
      </c>
      <c r="V182" s="823">
        <v>5388</v>
      </c>
      <c r="W182" s="823">
        <v>5367</v>
      </c>
      <c r="X182" s="823">
        <v>5323</v>
      </c>
      <c r="Y182" s="823">
        <v>5315</v>
      </c>
      <c r="Z182" s="823">
        <v>5435</v>
      </c>
      <c r="AA182" s="823">
        <v>5445</v>
      </c>
      <c r="AB182" s="823">
        <v>5469</v>
      </c>
      <c r="AC182" s="825">
        <v>5363</v>
      </c>
      <c r="AD182" s="825">
        <v>5385</v>
      </c>
      <c r="AE182" s="825">
        <v>5447</v>
      </c>
      <c r="AF182" s="825">
        <v>6073</v>
      </c>
      <c r="AG182" s="825">
        <v>6337</v>
      </c>
      <c r="AH182" s="825">
        <v>6375</v>
      </c>
      <c r="AI182" s="825">
        <v>6405</v>
      </c>
      <c r="AJ182" s="825">
        <v>6363</v>
      </c>
      <c r="AK182" s="825">
        <v>6333</v>
      </c>
      <c r="AL182" s="825">
        <v>6340</v>
      </c>
      <c r="AM182" s="825">
        <v>6389</v>
      </c>
      <c r="AN182" s="825">
        <v>6483</v>
      </c>
      <c r="AO182" s="825">
        <v>6599</v>
      </c>
      <c r="AP182" s="825">
        <v>6688</v>
      </c>
    </row>
    <row r="183" hidden="1">
      <c r="B183" s="826" t="s">
        <v>23</v>
      </c>
      <c r="C183" s="827">
        <v>411</v>
      </c>
      <c r="D183" s="827">
        <v>410</v>
      </c>
      <c r="E183" s="827">
        <v>403</v>
      </c>
      <c r="F183" s="827">
        <v>388</v>
      </c>
      <c r="G183" s="827">
        <v>388</v>
      </c>
      <c r="H183" s="827">
        <v>391</v>
      </c>
      <c r="I183" s="827">
        <v>374</v>
      </c>
      <c r="J183" s="827">
        <v>370</v>
      </c>
      <c r="K183" s="827">
        <v>357</v>
      </c>
      <c r="L183" s="827">
        <v>358</v>
      </c>
      <c r="M183" s="827">
        <v>356</v>
      </c>
      <c r="N183" s="827">
        <v>358</v>
      </c>
      <c r="O183" s="827">
        <v>352</v>
      </c>
      <c r="P183" s="827">
        <v>348</v>
      </c>
      <c r="Q183" s="827">
        <v>335</v>
      </c>
      <c r="R183" s="827">
        <v>338</v>
      </c>
      <c r="S183" s="827">
        <v>344</v>
      </c>
      <c r="T183" s="827">
        <v>327</v>
      </c>
      <c r="U183" s="827">
        <v>334</v>
      </c>
      <c r="V183" s="827">
        <v>327</v>
      </c>
      <c r="W183" s="827">
        <v>327</v>
      </c>
      <c r="X183" s="827">
        <v>312</v>
      </c>
      <c r="Y183" s="827">
        <v>313</v>
      </c>
      <c r="Z183" s="827">
        <v>306</v>
      </c>
      <c r="AA183" s="827">
        <v>311</v>
      </c>
      <c r="AB183" s="827">
        <v>296</v>
      </c>
      <c r="AC183" s="828">
        <v>304</v>
      </c>
      <c r="AD183" s="828">
        <v>297</v>
      </c>
      <c r="AE183" s="828">
        <v>292</v>
      </c>
      <c r="AF183" s="828">
        <v>285</v>
      </c>
      <c r="AG183" s="828">
        <v>295</v>
      </c>
      <c r="AH183" s="828">
        <v>305</v>
      </c>
      <c r="AI183" s="828">
        <v>318</v>
      </c>
      <c r="AJ183" s="828">
        <v>301</v>
      </c>
      <c r="AK183" s="828">
        <v>310</v>
      </c>
      <c r="AL183" s="828">
        <v>300</v>
      </c>
      <c r="AM183" s="828">
        <v>305</v>
      </c>
      <c r="AN183" s="828">
        <v>294</v>
      </c>
      <c r="AO183" s="828">
        <v>300</v>
      </c>
      <c r="AP183" s="828">
        <v>311</v>
      </c>
    </row>
    <row r="184" hidden="1">
      <c r="B184" s="830" t="s">
        <v>24</v>
      </c>
      <c r="C184" s="823">
        <v>1660</v>
      </c>
      <c r="D184" s="823">
        <v>1603</v>
      </c>
      <c r="E184" s="823">
        <v>1494</v>
      </c>
      <c r="F184" s="823">
        <v>1429</v>
      </c>
      <c r="G184" s="823">
        <v>1379</v>
      </c>
      <c r="H184" s="823">
        <v>1343</v>
      </c>
      <c r="I184" s="823">
        <v>1314</v>
      </c>
      <c r="J184" s="823">
        <v>1289</v>
      </c>
      <c r="K184" s="823">
        <v>1278</v>
      </c>
      <c r="L184" s="823">
        <v>1256</v>
      </c>
      <c r="M184" s="823">
        <v>1243</v>
      </c>
      <c r="N184" s="823">
        <v>1232</v>
      </c>
      <c r="O184" s="823">
        <v>1203</v>
      </c>
      <c r="P184" s="823">
        <v>1199</v>
      </c>
      <c r="Q184" s="823">
        <v>1158</v>
      </c>
      <c r="R184" s="823">
        <v>1161</v>
      </c>
      <c r="S184" s="823">
        <v>1140</v>
      </c>
      <c r="T184" s="823">
        <v>1142</v>
      </c>
      <c r="U184" s="823">
        <v>1138</v>
      </c>
      <c r="V184" s="823">
        <v>1160</v>
      </c>
      <c r="W184" s="823">
        <v>1180</v>
      </c>
      <c r="X184" s="823">
        <v>1201</v>
      </c>
      <c r="Y184" s="823">
        <v>1182</v>
      </c>
      <c r="Z184" s="823">
        <v>1187</v>
      </c>
      <c r="AA184" s="823">
        <v>1162</v>
      </c>
      <c r="AB184" s="823">
        <v>1156</v>
      </c>
      <c r="AC184" s="825">
        <v>1146</v>
      </c>
      <c r="AD184" s="825">
        <v>1136</v>
      </c>
      <c r="AE184" s="825">
        <v>1129</v>
      </c>
      <c r="AF184" s="825">
        <v>1134</v>
      </c>
      <c r="AG184" s="825">
        <v>1119</v>
      </c>
      <c r="AH184" s="825">
        <v>1122</v>
      </c>
      <c r="AI184" s="825">
        <v>1122</v>
      </c>
      <c r="AJ184" s="825">
        <v>1127</v>
      </c>
      <c r="AK184" s="825">
        <v>1071</v>
      </c>
      <c r="AL184" s="825">
        <v>1084</v>
      </c>
      <c r="AM184" s="825">
        <v>1038</v>
      </c>
      <c r="AN184" s="825">
        <v>1051</v>
      </c>
      <c r="AO184" s="825">
        <v>1060</v>
      </c>
      <c r="AP184" s="825">
        <v>1075</v>
      </c>
    </row>
    <row r="185" hidden="1">
      <c r="B185" s="826" t="s">
        <v>25</v>
      </c>
      <c r="C185" s="827">
        <v>0</v>
      </c>
      <c r="D185" s="827">
        <v>0</v>
      </c>
      <c r="E185" s="827">
        <v>0</v>
      </c>
      <c r="F185" s="827">
        <v>0</v>
      </c>
      <c r="G185" s="827">
        <v>0</v>
      </c>
      <c r="H185" s="827">
        <v>4</v>
      </c>
      <c r="I185" s="827">
        <v>4</v>
      </c>
      <c r="J185" s="827">
        <v>4</v>
      </c>
      <c r="K185" s="827">
        <v>4</v>
      </c>
      <c r="L185" s="827">
        <v>4</v>
      </c>
      <c r="M185" s="827">
        <v>4</v>
      </c>
      <c r="N185" s="827">
        <v>4</v>
      </c>
      <c r="O185" s="827">
        <v>4</v>
      </c>
      <c r="P185" s="827">
        <v>4</v>
      </c>
      <c r="Q185" s="827">
        <v>4</v>
      </c>
      <c r="R185" s="827">
        <v>0</v>
      </c>
      <c r="S185" s="827">
        <v>0</v>
      </c>
      <c r="T185" s="827">
        <v>0</v>
      </c>
      <c r="U185" s="827">
        <v>0</v>
      </c>
      <c r="V185" s="827">
        <v>0</v>
      </c>
      <c r="W185" s="827">
        <v>0</v>
      </c>
      <c r="X185" s="827">
        <v>0</v>
      </c>
      <c r="Y185" s="827">
        <v>0</v>
      </c>
      <c r="Z185" s="827">
        <v>0</v>
      </c>
      <c r="AA185" s="827">
        <v>0</v>
      </c>
      <c r="AB185" s="827">
        <v>0</v>
      </c>
      <c r="AC185" s="828">
        <v>0</v>
      </c>
      <c r="AD185" s="828">
        <v>0</v>
      </c>
      <c r="AE185" s="828">
        <v>0</v>
      </c>
      <c r="AF185" s="828">
        <v>0</v>
      </c>
      <c r="AG185" s="828">
        <v>0</v>
      </c>
      <c r="AH185" s="828">
        <v>0</v>
      </c>
      <c r="AI185" s="828">
        <v>0</v>
      </c>
      <c r="AJ185" s="828">
        <v>0</v>
      </c>
      <c r="AK185" s="828">
        <v>0</v>
      </c>
      <c r="AL185" s="828">
        <v>0</v>
      </c>
      <c r="AM185" s="828">
        <v>0</v>
      </c>
      <c r="AN185" s="828">
        <v>0</v>
      </c>
      <c r="AO185" s="828">
        <v>0</v>
      </c>
      <c r="AP185" s="828">
        <v>0</v>
      </c>
    </row>
    <row r="186" hidden="1" ht="13.5">
      <c r="B186" s="831" t="s">
        <v>26</v>
      </c>
      <c r="C186" s="823">
        <v>0</v>
      </c>
      <c r="D186" s="823">
        <v>0</v>
      </c>
      <c r="E186" s="823">
        <v>0</v>
      </c>
      <c r="F186" s="823">
        <v>0</v>
      </c>
      <c r="G186" s="823">
        <v>0</v>
      </c>
      <c r="H186" s="823">
        <v>0</v>
      </c>
      <c r="I186" s="823">
        <v>0</v>
      </c>
      <c r="J186" s="823">
        <v>0</v>
      </c>
      <c r="K186" s="823">
        <v>0</v>
      </c>
      <c r="L186" s="823">
        <v>0</v>
      </c>
      <c r="M186" s="823">
        <v>0</v>
      </c>
      <c r="N186" s="823">
        <v>0</v>
      </c>
      <c r="O186" s="823">
        <v>0</v>
      </c>
      <c r="P186" s="823">
        <v>0</v>
      </c>
      <c r="Q186" s="823">
        <v>0</v>
      </c>
      <c r="R186" s="823">
        <v>0</v>
      </c>
      <c r="S186" s="823">
        <v>0</v>
      </c>
      <c r="T186" s="823">
        <v>0</v>
      </c>
      <c r="U186" s="823">
        <v>0</v>
      </c>
      <c r="V186" s="823">
        <v>0</v>
      </c>
      <c r="W186" s="823">
        <v>0</v>
      </c>
      <c r="X186" s="823">
        <v>0</v>
      </c>
      <c r="Y186" s="823">
        <v>0</v>
      </c>
      <c r="Z186" s="823">
        <v>0</v>
      </c>
      <c r="AA186" s="823">
        <v>0</v>
      </c>
      <c r="AB186" s="832">
        <v>0</v>
      </c>
      <c r="AC186" s="825">
        <v>0</v>
      </c>
      <c r="AD186" s="825">
        <v>0</v>
      </c>
      <c r="AE186" s="825">
        <v>0</v>
      </c>
      <c r="AF186" s="825">
        <v>0</v>
      </c>
      <c r="AG186" s="825">
        <v>0</v>
      </c>
      <c r="AH186" s="825">
        <v>0</v>
      </c>
      <c r="AI186" s="825">
        <v>0</v>
      </c>
      <c r="AJ186" s="825">
        <v>0</v>
      </c>
      <c r="AK186" s="825">
        <v>0</v>
      </c>
      <c r="AL186" s="825">
        <v>0</v>
      </c>
      <c r="AM186" s="825">
        <v>0</v>
      </c>
      <c r="AN186" s="825">
        <v>0</v>
      </c>
      <c r="AO186" s="825">
        <v>0</v>
      </c>
      <c r="AP186" s="825">
        <v>0</v>
      </c>
    </row>
    <row r="187" hidden="1" ht="13.5">
      <c r="B187" s="128" t="s">
        <v>7</v>
      </c>
      <c r="C187" s="129" t="str">
        <f>IF(SUM(C168:C186)&lt;&gt;0,SUM(C168:C186),"")</f>
      </c>
      <c r="D187" s="129" t="str">
        <f ref="D187:AA187" t="shared" si="10">IF(SUM(D168:D186)&lt;&gt;0,SUM(D168:D186),"")</f>
      </c>
      <c r="E187" s="129" t="str">
        <f t="shared" si="10"/>
      </c>
      <c r="F187" s="129" t="str">
        <f t="shared" si="10"/>
      </c>
      <c r="G187" s="129" t="str">
        <f t="shared" si="10"/>
      </c>
      <c r="H187" s="129" t="str">
        <f t="shared" si="10"/>
      </c>
      <c r="I187" s="129" t="str">
        <f t="shared" si="10"/>
      </c>
      <c r="J187" s="129" t="str">
        <f t="shared" si="10"/>
      </c>
      <c r="K187" s="129" t="str">
        <f t="shared" si="10"/>
      </c>
      <c r="L187" s="129" t="str">
        <f t="shared" si="10"/>
      </c>
      <c r="M187" s="129" t="str">
        <f t="shared" si="10"/>
      </c>
      <c r="N187" s="129" t="str">
        <f t="shared" si="10"/>
      </c>
      <c r="O187" s="129" t="str">
        <f t="shared" si="10"/>
      </c>
      <c r="P187" s="129" t="str">
        <f t="shared" si="10"/>
      </c>
      <c r="Q187" s="129" t="str">
        <f t="shared" si="10"/>
      </c>
      <c r="R187" s="129" t="str">
        <f t="shared" si="10"/>
      </c>
      <c r="S187" s="129" t="str">
        <f t="shared" si="10"/>
      </c>
      <c r="T187" s="129" t="str">
        <f t="shared" si="10"/>
      </c>
      <c r="U187" s="129" t="str">
        <f t="shared" si="10"/>
      </c>
      <c r="V187" s="129" t="str">
        <f t="shared" si="10"/>
      </c>
      <c r="W187" s="129" t="str">
        <f t="shared" si="10"/>
      </c>
      <c r="X187" s="129" t="str">
        <f t="shared" si="10"/>
      </c>
      <c r="Y187" s="129" t="str">
        <f t="shared" si="10"/>
      </c>
      <c r="Z187" s="129" t="str">
        <f t="shared" si="10"/>
      </c>
      <c r="AA187" s="129" t="str">
        <f t="shared" si="10"/>
      </c>
      <c r="AB187" s="130" t="str">
        <f>IF(SUM(AB168:AB186)&lt;&gt;0,SUM(AB168:AB186),"")</f>
      </c>
      <c r="AC187" s="91" t="str">
        <f ref="AC187:CN187" t="shared" si="11">IF(SUM(AC168:AC186)&lt;&gt;0,SUM(AC168:AC186),"")</f>
      </c>
      <c r="AD187" s="91" t="str">
        <f t="shared" si="11"/>
      </c>
      <c r="AE187" s="91" t="str">
        <f t="shared" si="11"/>
      </c>
      <c r="AF187" s="91" t="str">
        <f t="shared" si="11"/>
      </c>
      <c r="AG187" s="91" t="str">
        <f t="shared" si="11"/>
      </c>
      <c r="AH187" s="91" t="str">
        <f t="shared" si="11"/>
      </c>
      <c r="AI187" s="91" t="str">
        <f t="shared" si="11"/>
      </c>
      <c r="AJ187" s="91" t="str">
        <f t="shared" si="11"/>
      </c>
      <c r="AK187" s="91" t="str">
        <f t="shared" si="11"/>
      </c>
      <c r="AL187" s="91" t="str">
        <f t="shared" si="11"/>
      </c>
      <c r="AM187" s="91" t="str">
        <f t="shared" si="11"/>
      </c>
      <c r="AN187" s="91" t="str">
        <f t="shared" si="11"/>
      </c>
      <c r="AO187" s="91" t="str">
        <f t="shared" si="11"/>
      </c>
      <c r="AP187" s="91" t="str">
        <f t="shared" si="11"/>
      </c>
      <c r="AQ187" s="91" t="str">
        <f t="shared" si="11"/>
      </c>
      <c r="AR187" s="91" t="str">
        <f t="shared" si="11"/>
      </c>
      <c r="AS187" s="91" t="str">
        <f t="shared" si="11"/>
      </c>
      <c r="AT187" s="91" t="str">
        <f t="shared" si="11"/>
      </c>
      <c r="AU187" s="91" t="str">
        <f t="shared" si="11"/>
      </c>
      <c r="AV187" s="91" t="str">
        <f t="shared" si="11"/>
      </c>
      <c r="AW187" s="91" t="str">
        <f t="shared" si="11"/>
      </c>
      <c r="AX187" s="91" t="str">
        <f t="shared" si="11"/>
      </c>
      <c r="AY187" s="91" t="str">
        <f t="shared" si="11"/>
      </c>
      <c r="AZ187" s="91" t="str">
        <f t="shared" si="11"/>
      </c>
      <c r="BA187" s="91" t="str">
        <f t="shared" si="11"/>
      </c>
      <c r="BB187" s="91" t="str">
        <f t="shared" si="11"/>
      </c>
      <c r="BC187" s="91" t="str">
        <f t="shared" si="11"/>
      </c>
      <c r="BD187" s="91" t="str">
        <f t="shared" si="11"/>
      </c>
      <c r="BE187" s="91" t="str">
        <f t="shared" si="11"/>
      </c>
      <c r="BF187" s="91" t="str">
        <f t="shared" si="11"/>
      </c>
      <c r="BG187" s="91" t="str">
        <f t="shared" si="11"/>
      </c>
      <c r="BH187" s="91" t="str">
        <f t="shared" si="11"/>
      </c>
      <c r="BI187" s="91" t="str">
        <f t="shared" si="11"/>
      </c>
      <c r="BJ187" s="91" t="str">
        <f t="shared" si="11"/>
      </c>
      <c r="BK187" s="91" t="str">
        <f t="shared" si="11"/>
      </c>
      <c r="BL187" s="91" t="str">
        <f t="shared" si="11"/>
      </c>
      <c r="BM187" s="91" t="str">
        <f t="shared" si="11"/>
      </c>
      <c r="BN187" s="91" t="str">
        <f t="shared" si="11"/>
      </c>
      <c r="BO187" s="91" t="str">
        <f t="shared" si="11"/>
      </c>
      <c r="BP187" s="91" t="str">
        <f t="shared" si="11"/>
      </c>
      <c r="BQ187" s="91" t="str">
        <f t="shared" si="11"/>
      </c>
      <c r="BR187" s="91" t="str">
        <f t="shared" si="11"/>
      </c>
      <c r="BS187" s="91" t="str">
        <f t="shared" si="11"/>
      </c>
      <c r="BT187" s="91" t="str">
        <f t="shared" si="11"/>
      </c>
      <c r="BU187" s="91" t="str">
        <f t="shared" si="11"/>
      </c>
      <c r="BV187" s="91" t="str">
        <f t="shared" si="11"/>
      </c>
      <c r="BW187" s="91" t="str">
        <f t="shared" si="11"/>
      </c>
      <c r="BX187" s="91" t="str">
        <f t="shared" si="11"/>
      </c>
      <c r="BY187" s="91" t="str">
        <f t="shared" si="11"/>
      </c>
      <c r="BZ187" s="91" t="str">
        <f t="shared" si="11"/>
      </c>
      <c r="CA187" s="91" t="str">
        <f t="shared" si="11"/>
      </c>
      <c r="CB187" s="91" t="str">
        <f t="shared" si="11"/>
      </c>
      <c r="CC187" s="91" t="str">
        <f t="shared" si="11"/>
      </c>
      <c r="CD187" s="91" t="str">
        <f t="shared" si="11"/>
      </c>
      <c r="CE187" s="91" t="str">
        <f t="shared" si="11"/>
      </c>
      <c r="CF187" s="91" t="str">
        <f t="shared" si="11"/>
      </c>
      <c r="CG187" s="91" t="str">
        <f t="shared" si="11"/>
      </c>
      <c r="CH187" s="91" t="str">
        <f t="shared" si="11"/>
      </c>
      <c r="CI187" s="91" t="str">
        <f t="shared" si="11"/>
      </c>
      <c r="CJ187" s="91" t="str">
        <f t="shared" si="11"/>
      </c>
      <c r="CK187" s="91" t="str">
        <f t="shared" si="11"/>
      </c>
      <c r="CL187" s="91" t="str">
        <f t="shared" si="11"/>
      </c>
      <c r="CM187" s="91" t="str">
        <f t="shared" si="11"/>
      </c>
      <c r="CN187" s="91" t="str">
        <f t="shared" si="11"/>
      </c>
      <c r="CO187" s="91" t="str">
        <f ref="CO187:EZ187" t="shared" si="12">IF(SUM(CO168:CO186)&lt;&gt;0,SUM(CO168:CO186),"")</f>
      </c>
      <c r="CP187" s="91" t="str">
        <f t="shared" si="12"/>
      </c>
      <c r="CQ187" s="91" t="str">
        <f t="shared" si="12"/>
      </c>
      <c r="CR187" s="91" t="str">
        <f t="shared" si="12"/>
      </c>
      <c r="CS187" s="91" t="str">
        <f t="shared" si="12"/>
      </c>
      <c r="CT187" s="91" t="str">
        <f t="shared" si="12"/>
      </c>
      <c r="CU187" s="91" t="str">
        <f t="shared" si="12"/>
      </c>
      <c r="CV187" s="91" t="str">
        <f t="shared" si="12"/>
      </c>
      <c r="CW187" s="91" t="str">
        <f t="shared" si="12"/>
      </c>
      <c r="CX187" s="91" t="str">
        <f t="shared" si="12"/>
      </c>
      <c r="CY187" s="91" t="str">
        <f t="shared" si="12"/>
      </c>
      <c r="CZ187" s="91" t="str">
        <f t="shared" si="12"/>
      </c>
      <c r="DA187" s="91" t="str">
        <f t="shared" si="12"/>
      </c>
      <c r="DB187" s="91" t="str">
        <f t="shared" si="12"/>
      </c>
      <c r="DC187" s="91" t="str">
        <f t="shared" si="12"/>
      </c>
      <c r="DD187" s="91" t="str">
        <f t="shared" si="12"/>
      </c>
      <c r="DE187" s="91" t="str">
        <f t="shared" si="12"/>
      </c>
      <c r="DF187" s="91" t="str">
        <f t="shared" si="12"/>
      </c>
      <c r="DG187" s="91" t="str">
        <f t="shared" si="12"/>
      </c>
      <c r="DH187" s="91" t="str">
        <f t="shared" si="12"/>
      </c>
      <c r="DI187" s="91" t="str">
        <f t="shared" si="12"/>
      </c>
      <c r="DJ187" s="91" t="str">
        <f t="shared" si="12"/>
      </c>
      <c r="DK187" s="91" t="str">
        <f t="shared" si="12"/>
      </c>
      <c r="DL187" s="91" t="str">
        <f t="shared" si="12"/>
      </c>
      <c r="DM187" s="91" t="str">
        <f t="shared" si="12"/>
      </c>
      <c r="DN187" s="91" t="str">
        <f t="shared" si="12"/>
      </c>
      <c r="DO187" s="91" t="str">
        <f t="shared" si="12"/>
      </c>
      <c r="DP187" s="91" t="str">
        <f t="shared" si="12"/>
      </c>
      <c r="DQ187" s="91" t="str">
        <f t="shared" si="12"/>
      </c>
      <c r="DR187" s="91" t="str">
        <f t="shared" si="12"/>
      </c>
      <c r="DS187" s="91" t="str">
        <f t="shared" si="12"/>
      </c>
      <c r="DT187" s="91" t="str">
        <f t="shared" si="12"/>
      </c>
      <c r="DU187" s="91" t="str">
        <f t="shared" si="12"/>
      </c>
      <c r="DV187" s="91" t="str">
        <f t="shared" si="12"/>
      </c>
      <c r="DW187" s="91" t="str">
        <f t="shared" si="12"/>
      </c>
      <c r="DX187" s="91" t="str">
        <f t="shared" si="12"/>
      </c>
      <c r="DY187" s="91" t="str">
        <f t="shared" si="12"/>
      </c>
      <c r="DZ187" s="91" t="str">
        <f t="shared" si="12"/>
      </c>
      <c r="EA187" s="91" t="str">
        <f t="shared" si="12"/>
      </c>
      <c r="EB187" s="91" t="str">
        <f t="shared" si="12"/>
      </c>
      <c r="EC187" s="91" t="str">
        <f t="shared" si="12"/>
      </c>
      <c r="ED187" s="91" t="str">
        <f t="shared" si="12"/>
      </c>
      <c r="EE187" s="91" t="str">
        <f t="shared" si="12"/>
      </c>
      <c r="EF187" s="91" t="str">
        <f t="shared" si="12"/>
      </c>
      <c r="EG187" s="91" t="str">
        <f t="shared" si="12"/>
      </c>
      <c r="EH187" s="91" t="str">
        <f t="shared" si="12"/>
      </c>
      <c r="EI187" s="91" t="str">
        <f t="shared" si="12"/>
      </c>
      <c r="EJ187" s="91" t="str">
        <f t="shared" si="12"/>
      </c>
      <c r="EK187" s="91" t="str">
        <f t="shared" si="12"/>
      </c>
      <c r="EL187" s="91" t="str">
        <f t="shared" si="12"/>
      </c>
      <c r="EM187" s="91" t="str">
        <f t="shared" si="12"/>
      </c>
      <c r="EN187" s="91" t="str">
        <f t="shared" si="12"/>
      </c>
      <c r="EO187" s="91" t="str">
        <f t="shared" si="12"/>
      </c>
      <c r="EP187" s="91" t="str">
        <f t="shared" si="12"/>
      </c>
      <c r="EQ187" s="91" t="str">
        <f t="shared" si="12"/>
      </c>
      <c r="ER187" s="91" t="str">
        <f t="shared" si="12"/>
      </c>
      <c r="ES187" s="91" t="str">
        <f t="shared" si="12"/>
      </c>
      <c r="ET187" s="91" t="str">
        <f t="shared" si="12"/>
      </c>
      <c r="EU187" s="91" t="str">
        <f t="shared" si="12"/>
      </c>
      <c r="EV187" s="91" t="str">
        <f t="shared" si="12"/>
      </c>
      <c r="EW187" s="91" t="str">
        <f t="shared" si="12"/>
      </c>
      <c r="EX187" s="91" t="str">
        <f t="shared" si="12"/>
      </c>
      <c r="EY187" s="91" t="str">
        <f t="shared" si="12"/>
      </c>
      <c r="EZ187" s="91" t="str">
        <f t="shared" si="12"/>
      </c>
      <c r="FA187" s="91" t="str">
        <f ref="FA187:HL187" t="shared" si="13">IF(SUM(FA168:FA186)&lt;&gt;0,SUM(FA168:FA186),"")</f>
      </c>
      <c r="FB187" s="91" t="str">
        <f t="shared" si="13"/>
      </c>
      <c r="FC187" s="91" t="str">
        <f t="shared" si="13"/>
      </c>
      <c r="FD187" s="91" t="str">
        <f t="shared" si="13"/>
      </c>
      <c r="FE187" s="91" t="str">
        <f t="shared" si="13"/>
      </c>
      <c r="FF187" s="91" t="str">
        <f t="shared" si="13"/>
      </c>
      <c r="FG187" s="91" t="str">
        <f t="shared" si="13"/>
      </c>
      <c r="FH187" s="91" t="str">
        <f t="shared" si="13"/>
      </c>
      <c r="FI187" s="91" t="str">
        <f t="shared" si="13"/>
      </c>
      <c r="FJ187" s="91" t="str">
        <f t="shared" si="13"/>
      </c>
      <c r="FK187" s="91" t="str">
        <f t="shared" si="13"/>
      </c>
      <c r="FL187" s="91" t="str">
        <f t="shared" si="13"/>
      </c>
      <c r="FM187" s="91" t="str">
        <f t="shared" si="13"/>
      </c>
      <c r="FN187" s="91" t="str">
        <f t="shared" si="13"/>
      </c>
      <c r="FO187" s="91" t="str">
        <f t="shared" si="13"/>
      </c>
      <c r="FP187" s="91" t="str">
        <f t="shared" si="13"/>
      </c>
      <c r="FQ187" s="91" t="str">
        <f t="shared" si="13"/>
      </c>
      <c r="FR187" s="91" t="str">
        <f t="shared" si="13"/>
      </c>
      <c r="FS187" s="91" t="str">
        <f t="shared" si="13"/>
      </c>
      <c r="FT187" s="91" t="str">
        <f t="shared" si="13"/>
      </c>
      <c r="FU187" s="91" t="str">
        <f t="shared" si="13"/>
      </c>
      <c r="FV187" s="91" t="str">
        <f t="shared" si="13"/>
      </c>
      <c r="FW187" s="91" t="str">
        <f t="shared" si="13"/>
      </c>
      <c r="FX187" s="91" t="str">
        <f t="shared" si="13"/>
      </c>
      <c r="FY187" s="91" t="str">
        <f t="shared" si="13"/>
      </c>
      <c r="FZ187" s="91" t="str">
        <f t="shared" si="13"/>
      </c>
      <c r="GA187" s="91" t="str">
        <f t="shared" si="13"/>
      </c>
      <c r="GB187" s="91" t="str">
        <f t="shared" si="13"/>
      </c>
      <c r="GC187" s="91" t="str">
        <f t="shared" si="13"/>
      </c>
      <c r="GD187" s="91" t="str">
        <f t="shared" si="13"/>
      </c>
      <c r="GE187" s="91" t="str">
        <f t="shared" si="13"/>
      </c>
      <c r="GF187" s="91" t="str">
        <f t="shared" si="13"/>
      </c>
      <c r="GG187" s="91" t="str">
        <f t="shared" si="13"/>
      </c>
      <c r="GH187" s="91" t="str">
        <f t="shared" si="13"/>
      </c>
      <c r="GI187" s="91" t="str">
        <f t="shared" si="13"/>
      </c>
      <c r="GJ187" s="91" t="str">
        <f t="shared" si="13"/>
      </c>
      <c r="GK187" s="91" t="str">
        <f t="shared" si="13"/>
      </c>
      <c r="GL187" s="91" t="str">
        <f t="shared" si="13"/>
      </c>
      <c r="GM187" s="91" t="str">
        <f t="shared" si="13"/>
      </c>
      <c r="GN187" s="91" t="str">
        <f t="shared" si="13"/>
      </c>
      <c r="GO187" s="91" t="str">
        <f t="shared" si="13"/>
      </c>
      <c r="GP187" s="91" t="str">
        <f t="shared" si="13"/>
      </c>
      <c r="GQ187" s="91" t="str">
        <f t="shared" si="13"/>
      </c>
      <c r="GR187" s="91" t="str">
        <f t="shared" si="13"/>
      </c>
      <c r="GS187" s="91" t="str">
        <f t="shared" si="13"/>
      </c>
      <c r="GT187" s="91" t="str">
        <f t="shared" si="13"/>
      </c>
      <c r="GU187" s="91" t="str">
        <f t="shared" si="13"/>
      </c>
      <c r="GV187" s="91" t="str">
        <f t="shared" si="13"/>
      </c>
      <c r="GW187" s="91" t="str">
        <f t="shared" si="13"/>
      </c>
      <c r="GX187" s="91" t="str">
        <f t="shared" si="13"/>
      </c>
      <c r="GY187" s="91" t="str">
        <f t="shared" si="13"/>
      </c>
      <c r="GZ187" s="91" t="str">
        <f t="shared" si="13"/>
      </c>
      <c r="HA187" s="91" t="str">
        <f t="shared" si="13"/>
      </c>
      <c r="HB187" s="91" t="str">
        <f t="shared" si="13"/>
      </c>
      <c r="HC187" s="91" t="str">
        <f t="shared" si="13"/>
      </c>
      <c r="HD187" s="91" t="str">
        <f t="shared" si="13"/>
      </c>
      <c r="HE187" s="91" t="str">
        <f t="shared" si="13"/>
      </c>
      <c r="HF187" s="91" t="str">
        <f t="shared" si="13"/>
      </c>
      <c r="HG187" s="91" t="str">
        <f t="shared" si="13"/>
      </c>
      <c r="HH187" s="91" t="str">
        <f t="shared" si="13"/>
      </c>
      <c r="HI187" s="91" t="str">
        <f t="shared" si="13"/>
      </c>
      <c r="HJ187" s="91" t="str">
        <f t="shared" si="13"/>
      </c>
      <c r="HK187" s="91" t="str">
        <f t="shared" si="13"/>
      </c>
      <c r="HL187" s="91" t="str">
        <f t="shared" si="13"/>
      </c>
      <c r="HM187" s="91" t="str">
        <f ref="HM187:IV187" t="shared" si="14">IF(SUM(HM168:HM186)&lt;&gt;0,SUM(HM168:HM186),"")</f>
      </c>
      <c r="HN187" s="91" t="str">
        <f t="shared" si="14"/>
      </c>
      <c r="HO187" s="91" t="str">
        <f t="shared" si="14"/>
      </c>
      <c r="HP187" s="91" t="str">
        <f t="shared" si="14"/>
      </c>
      <c r="HQ187" s="91" t="str">
        <f t="shared" si="14"/>
      </c>
      <c r="HR187" s="91" t="str">
        <f t="shared" si="14"/>
      </c>
      <c r="HS187" s="91" t="str">
        <f t="shared" si="14"/>
      </c>
      <c r="HT187" s="91" t="str">
        <f t="shared" si="14"/>
      </c>
      <c r="HU187" s="91" t="str">
        <f t="shared" si="14"/>
      </c>
      <c r="HV187" s="91" t="str">
        <f t="shared" si="14"/>
      </c>
      <c r="HW187" s="91" t="str">
        <f t="shared" si="14"/>
      </c>
      <c r="HX187" s="91" t="str">
        <f t="shared" si="14"/>
      </c>
      <c r="HY187" s="91" t="str">
        <f t="shared" si="14"/>
      </c>
      <c r="HZ187" s="91" t="str">
        <f t="shared" si="14"/>
      </c>
      <c r="IA187" s="91" t="str">
        <f t="shared" si="14"/>
      </c>
      <c r="IB187" s="91" t="str">
        <f t="shared" si="14"/>
      </c>
      <c r="IC187" s="91" t="str">
        <f t="shared" si="14"/>
      </c>
      <c r="ID187" s="91" t="str">
        <f t="shared" si="14"/>
      </c>
      <c r="IE187" s="91" t="str">
        <f t="shared" si="14"/>
      </c>
      <c r="IF187" s="91" t="str">
        <f t="shared" si="14"/>
      </c>
      <c r="IG187" s="91" t="str">
        <f t="shared" si="14"/>
      </c>
      <c r="IH187" s="91" t="str">
        <f t="shared" si="14"/>
      </c>
      <c r="II187" s="91" t="str">
        <f t="shared" si="14"/>
      </c>
      <c r="IJ187" s="91" t="str">
        <f t="shared" si="14"/>
      </c>
      <c r="IK187" s="91" t="str">
        <f t="shared" si="14"/>
      </c>
      <c r="IL187" s="91" t="str">
        <f t="shared" si="14"/>
      </c>
      <c r="IM187" s="91" t="str">
        <f t="shared" si="14"/>
      </c>
      <c r="IN187" s="91" t="str">
        <f t="shared" si="14"/>
      </c>
      <c r="IO187" s="91" t="str">
        <f t="shared" si="14"/>
      </c>
      <c r="IP187" s="91" t="str">
        <f t="shared" si="14"/>
      </c>
      <c r="IQ187" s="91" t="str">
        <f t="shared" si="14"/>
      </c>
      <c r="IR187" s="91" t="str">
        <f t="shared" si="14"/>
      </c>
      <c r="IS187" s="91" t="str">
        <f t="shared" si="14"/>
      </c>
      <c r="IT187" s="91" t="str">
        <f t="shared" si="14"/>
      </c>
      <c r="IU187" s="91" t="str">
        <f t="shared" si="14"/>
      </c>
      <c r="IV187" s="91" t="str">
        <f t="shared" si="14"/>
      </c>
    </row>
    <row r="188" hidden="1" ht="15">
      <c r="B188" s="311"/>
      <c r="C188" s="219"/>
      <c r="D188" s="219"/>
      <c r="E188" s="219"/>
      <c r="F188" s="219"/>
      <c r="G188" s="219"/>
      <c r="H188" s="219"/>
      <c r="I188" s="219"/>
      <c r="J188" s="219"/>
      <c r="K188" s="219"/>
    </row>
    <row r="189" hidden="1" ht="13.5"/>
    <row r="190" hidden="1" ht="15.75" customHeight="1">
      <c r="C190" s="686" t="s">
        <v>242</v>
      </c>
      <c r="D190" s="687"/>
      <c r="E190" s="687"/>
      <c r="F190" s="687"/>
      <c r="G190" s="687"/>
      <c r="H190" s="687"/>
      <c r="I190" s="687"/>
      <c r="J190" s="687"/>
      <c r="K190" s="687"/>
      <c r="L190" s="687"/>
      <c r="M190" s="687"/>
      <c r="N190" s="687"/>
      <c r="O190" s="687"/>
      <c r="P190" s="687"/>
      <c r="Q190" s="687"/>
      <c r="R190" s="687"/>
      <c r="S190" s="687"/>
      <c r="T190" s="687"/>
      <c r="U190" s="687"/>
      <c r="V190" s="687"/>
      <c r="W190" s="687"/>
      <c r="X190" s="687"/>
      <c r="Y190" s="687"/>
      <c r="Z190" s="687"/>
      <c r="AA190" s="687"/>
      <c r="AB190" s="688"/>
    </row>
    <row r="191" hidden="1" ht="15" customHeight="1">
      <c r="C191" s="435" t="str">
        <f> IF(C211&lt;&gt;"",TEXT(AUX!G$1,"dd-MMM-aa"),"")</f>
      </c>
      <c r="D191" s="435" t="str">
        <f> IF(D211&lt;&gt;"",TEXT(AUX!H$1,"dd-MMM-aa"),"")</f>
      </c>
      <c r="E191" s="435" t="str">
        <f> IF(E211&lt;&gt;"",TEXT(AUX!I$1,"dd-MMM-aa"),"")</f>
      </c>
      <c r="F191" s="435" t="str">
        <f> IF(F211&lt;&gt;"",TEXT(AUX!J$1,"dd-MMM-aa"),"")</f>
      </c>
      <c r="G191" s="435" t="str">
        <f> IF(G211&lt;&gt;"",TEXT(AUX!K$1,"dd-MMM-aa"),"")</f>
      </c>
      <c r="H191" s="435" t="str">
        <f> IF(H211&lt;&gt;"",TEXT(AUX!L$1,"dd-MMM-aa"),"")</f>
      </c>
      <c r="I191" s="435" t="str">
        <f> IF(I211&lt;&gt;"",TEXT(AUX!M$1,"dd-MMM-aa"),"")</f>
      </c>
      <c r="J191" s="435" t="str">
        <f> IF(J211&lt;&gt;"",TEXT(AUX!N$1,"dd-MMM-aa"),"")</f>
      </c>
      <c r="K191" s="435" t="str">
        <f> IF(K211&lt;&gt;"",TEXT(AUX!O$1,"dd-MMM-aa"),"")</f>
      </c>
      <c r="L191" s="435" t="str">
        <f> IF(L211&lt;&gt;"",TEXT(AUX!P$1,"dd-MMM-aa"),"")</f>
      </c>
      <c r="M191" s="435" t="str">
        <f> IF(M211&lt;&gt;"",TEXT(AUX!Q$1,"dd-MMM-aa"),"")</f>
      </c>
      <c r="N191" s="435" t="str">
        <f> IF(N211&lt;&gt;"",TEXT(AUX!R$1,"dd-MMM-aa"),"")</f>
      </c>
      <c r="O191" s="435" t="str">
        <f> IF(O211&lt;&gt;"",TEXT(AUX!S$1,"dd-MMM-aa"),"")</f>
      </c>
      <c r="P191" s="435" t="str">
        <f> IF(P211&lt;&gt;"",TEXT(AUX!T$1,"dd-MMM-aa"),"")</f>
      </c>
      <c r="Q191" s="435" t="str">
        <f> IF(Q211&lt;&gt;"",TEXT(AUX!U$1,"dd-MMM-aa"),"")</f>
      </c>
      <c r="R191" s="435" t="str">
        <f> IF(R211&lt;&gt;"",TEXT(AUX!V$1,"dd-MMM-aa"),"")</f>
      </c>
      <c r="S191" s="435" t="str">
        <f> IF(S211&lt;&gt;"",TEXT(AUX!W$1,"dd-MMM-aa"),"")</f>
      </c>
      <c r="T191" s="435" t="str">
        <f> IF(T211&lt;&gt;"",TEXT(AUX!X$1,"dd-MMM-aa"),"")</f>
      </c>
      <c r="U191" s="435" t="str">
        <f> IF(U211&lt;&gt;"",TEXT(AUX!Y$1,"dd-MMM-aa"),"")</f>
      </c>
      <c r="V191" s="435" t="str">
        <f> IF(V211&lt;&gt;"",TEXT(AUX!Z$1,"dd-MMM-aa"),"")</f>
      </c>
      <c r="W191" s="435" t="str">
        <f> IF(W211&lt;&gt;"",TEXT(AUX!AA$1,"dd-MMM-aa"),"")</f>
      </c>
      <c r="X191" s="435" t="str">
        <f> IF(X211&lt;&gt;"",TEXT(AUX!AB$1,"dd-MMM-aa"),"")</f>
      </c>
      <c r="Y191" s="435" t="str">
        <f> IF(Y211&lt;&gt;"",TEXT(AUX!AC$1,"dd-MMM-aa"),"")</f>
      </c>
      <c r="Z191" s="435" t="str">
        <f> IF(Z211&lt;&gt;"",TEXT(AUX!AD$1,"dd-MMM-aa"),"")</f>
      </c>
      <c r="AA191" s="435" t="str">
        <f> IF(AA211&lt;&gt;"",TEXT(AUX!AE$1,"dd-MMM-aa"),"")</f>
      </c>
      <c r="AB191" s="497" t="str">
        <f> IF(AB211&lt;&gt;"",TEXT(AUX!AF$1,"dd-MMM-aa"),"")</f>
      </c>
      <c r="AC191" s="496" t="str">
        <f> IF(AC211&lt;&gt;"",TEXT(AUX!AG$1,"dd-MMM-aa"),"")</f>
      </c>
      <c r="AD191" s="496" t="str">
        <f> IF(AD211&lt;&gt;"",TEXT(AUX!AH$1,"dd-MMM-aa"),"")</f>
      </c>
      <c r="AE191" s="496" t="str">
        <f> IF(AE211&lt;&gt;"",TEXT(AUX!AI$1,"dd-MMM-aa"),"")</f>
      </c>
      <c r="AF191" s="496" t="str">
        <f> IF(AF211&lt;&gt;"",TEXT(AUX!AJ$1,"dd-MMM-aa"),"")</f>
      </c>
      <c r="AG191" s="496" t="str">
        <f> IF(AG211&lt;&gt;"",TEXT(AUX!AK$1,"dd-MMM-aa"),"")</f>
      </c>
      <c r="AH191" s="496" t="str">
        <f> IF(AH211&lt;&gt;"",TEXT(AUX!AL$1,"dd-MMM-aa"),"")</f>
      </c>
      <c r="AI191" s="496" t="str">
        <f> IF(AI211&lt;&gt;"",TEXT(AUX!AM$1,"dd-MMM-aa"),"")</f>
      </c>
      <c r="AJ191" s="496" t="str">
        <f> IF(AJ211&lt;&gt;"",TEXT(AUX!AN$1,"dd-MMM-aa"),"")</f>
      </c>
      <c r="AK191" s="496" t="str">
        <f> IF(AK211&lt;&gt;"",TEXT(AUX!AO$1,"dd-MMM-aa"),"")</f>
      </c>
      <c r="AL191" s="496" t="str">
        <f> IF(AL211&lt;&gt;"",TEXT(AUX!AP$1,"dd-MMM-aa"),"")</f>
      </c>
      <c r="AM191" s="496" t="str">
        <f> IF(AM211&lt;&gt;"",TEXT(AUX!AQ$1,"dd-MMM-aa"),"")</f>
      </c>
      <c r="AN191" s="496" t="str">
        <f> IF(AN211&lt;&gt;"",TEXT(AUX!AR$1,"dd-MMM-aa"),"")</f>
      </c>
      <c r="AO191" s="496" t="str">
        <f> IF(AO211&lt;&gt;"",TEXT(AUX!AS$1,"dd-MMM-aa"),"")</f>
      </c>
      <c r="AP191" s="496" t="str">
        <f> IF(AP211&lt;&gt;"",TEXT(AUX!AT$1,"dd-MMM-aa"),"")</f>
      </c>
      <c r="AQ191" s="496" t="str">
        <f> IF(AQ211&lt;&gt;"",TEXT(AUX!AU$1,"dd-MMM-aa"),"")</f>
      </c>
      <c r="AR191" s="496" t="str">
        <f> IF(AR211&lt;&gt;"",TEXT(AUX!AV$1,"dd-MMM-aa"),"")</f>
      </c>
      <c r="AS191" s="496" t="str">
        <f> IF(AS211&lt;&gt;"",TEXT(AUX!AW$1,"dd-MMM-aa"),"")</f>
      </c>
      <c r="AT191" s="496" t="str">
        <f> IF(AT211&lt;&gt;"",TEXT(AUX!AX$1,"dd-MMM-aa"),"")</f>
      </c>
      <c r="AU191" s="496" t="str">
        <f> IF(AU211&lt;&gt;"",TEXT(AUX!AY$1,"dd-MMM-aa"),"")</f>
      </c>
      <c r="AV191" s="496" t="str">
        <f> IF(AV211&lt;&gt;"",TEXT(AUX!AZ$1,"dd-MMM-aa"),"")</f>
      </c>
      <c r="AW191" s="496" t="str">
        <f> IF(AW211&lt;&gt;"",TEXT(AUX!BA$1,"dd-MMM-aa"),"")</f>
      </c>
      <c r="AX191" s="496" t="str">
        <f> IF(AX211&lt;&gt;"",TEXT(AUX!BB$1,"dd-MMM-aa"),"")</f>
      </c>
      <c r="AY191" s="496" t="str">
        <f> IF(AY211&lt;&gt;"",TEXT(AUX!BC$1,"dd-MMM-aa"),"")</f>
      </c>
      <c r="AZ191" s="496" t="str">
        <f> IF(AZ211&lt;&gt;"",TEXT(AUX!BD$1,"dd-MMM-aa"),"")</f>
      </c>
      <c r="BA191" s="496" t="str">
        <f> IF(BA211&lt;&gt;"",TEXT(AUX!BE$1,"dd-MMM-aa"),"")</f>
      </c>
      <c r="BB191" s="496" t="str">
        <f> IF(BB211&lt;&gt;"",TEXT(AUX!BF$1,"dd-MMM-aa"),"")</f>
      </c>
      <c r="BC191" s="496" t="str">
        <f> IF(BC211&lt;&gt;"",TEXT(AUX!BG$1,"dd-MMM-aa"),"")</f>
      </c>
      <c r="BD191" s="496" t="str">
        <f> IF(BD211&lt;&gt;"",TEXT(AUX!BH$1,"dd-MMM-aa"),"")</f>
      </c>
      <c r="BE191" s="496" t="str">
        <f> IF(BE211&lt;&gt;"",TEXT(AUX!BI$1,"dd-MMM-aa"),"")</f>
      </c>
      <c r="BF191" s="496" t="str">
        <f> IF(BF211&lt;&gt;"",TEXT(AUX!BJ$1,"dd-MMM-aa"),"")</f>
      </c>
      <c r="BG191" s="496" t="str">
        <f> IF(BG211&lt;&gt;"",TEXT(AUX!BK$1,"dd-MMM-aa"),"")</f>
      </c>
      <c r="BH191" s="496" t="str">
        <f> IF(BH211&lt;&gt;"",TEXT(AUX!BL$1,"dd-MMM-aa"),"")</f>
      </c>
      <c r="BI191" s="496" t="str">
        <f> IF(BI211&lt;&gt;"",TEXT(AUX!BM$1,"dd-MMM-aa"),"")</f>
      </c>
      <c r="BJ191" s="496" t="str">
        <f> IF(BJ211&lt;&gt;"",TEXT(AUX!BN$1,"dd-MMM-aa"),"")</f>
      </c>
      <c r="BK191" s="496" t="str">
        <f> IF(BK211&lt;&gt;"",TEXT(AUX!BO$1,"dd-MMM-aa"),"")</f>
      </c>
      <c r="BL191" s="496" t="str">
        <f> IF(BL211&lt;&gt;"",TEXT(AUX!BP$1,"dd-MMM-aa"),"")</f>
      </c>
      <c r="BM191" s="496" t="str">
        <f> IF(BM211&lt;&gt;"",TEXT(AUX!BQ$1,"dd-MMM-aa"),"")</f>
      </c>
      <c r="BN191" s="496" t="str">
        <f> IF(BN211&lt;&gt;"",TEXT(AUX!BR$1,"dd-MMM-aa"),"")</f>
      </c>
      <c r="BO191" s="496" t="str">
        <f> IF(BO211&lt;&gt;"",TEXT(AUX!BS$1,"dd-MMM-aa"),"")</f>
      </c>
      <c r="BP191" s="496" t="str">
        <f> IF(BP211&lt;&gt;"",TEXT(AUX!BT$1,"dd-MMM-aa"),"")</f>
      </c>
      <c r="BQ191" s="496" t="str">
        <f> IF(BQ211&lt;&gt;"",TEXT(AUX!BU$1,"dd-MMM-aa"),"")</f>
      </c>
      <c r="BR191" s="496" t="str">
        <f> IF(BR211&lt;&gt;"",TEXT(AUX!BV$1,"dd-MMM-aa"),"")</f>
      </c>
      <c r="BS191" s="496" t="str">
        <f> IF(BS211&lt;&gt;"",TEXT(AUX!BW$1,"dd-MMM-aa"),"")</f>
      </c>
      <c r="BT191" s="496" t="str">
        <f> IF(BT211&lt;&gt;"",TEXT(AUX!BX$1,"dd-MMM-aa"),"")</f>
      </c>
      <c r="BU191" s="496" t="str">
        <f> IF(BU211&lt;&gt;"",TEXT(AUX!BY$1,"dd-MMM-aa"),"")</f>
      </c>
      <c r="BV191" s="496" t="str">
        <f> IF(BV211&lt;&gt;"",TEXT(AUX!BZ$1,"dd-MMM-aa"),"")</f>
      </c>
      <c r="BW191" s="496" t="str">
        <f> IF(BW211&lt;&gt;"",TEXT(AUX!CA$1,"dd-MMM-aa"),"")</f>
      </c>
      <c r="BX191" s="496" t="str">
        <f> IF(BX211&lt;&gt;"",TEXT(AUX!CB$1,"dd-MMM-aa"),"")</f>
      </c>
      <c r="BY191" s="496" t="str">
        <f> IF(BY211&lt;&gt;"",TEXT(AUX!CC$1,"dd-MMM-aa"),"")</f>
      </c>
      <c r="BZ191" s="496" t="str">
        <f> IF(BZ211&lt;&gt;"",TEXT(AUX!CD$1,"dd-MMM-aa"),"")</f>
      </c>
      <c r="CA191" s="496" t="str">
        <f> IF(CA211&lt;&gt;"",TEXT(AUX!CE$1,"dd-MMM-aa"),"")</f>
      </c>
      <c r="CB191" s="496" t="str">
        <f> IF(CB211&lt;&gt;"",TEXT(AUX!CF$1,"dd-MMM-aa"),"")</f>
      </c>
      <c r="CC191" s="496" t="str">
        <f> IF(CC211&lt;&gt;"",TEXT(AUX!CG$1,"dd-MMM-aa"),"")</f>
      </c>
      <c r="CD191" s="496" t="str">
        <f> IF(CD211&lt;&gt;"",TEXT(AUX!CH$1,"dd-MMM-aa"),"")</f>
      </c>
      <c r="CE191" s="496" t="str">
        <f> IF(CE211&lt;&gt;"",TEXT(AUX!CI$1,"dd-MMM-aa"),"")</f>
      </c>
      <c r="CF191" s="496" t="str">
        <f> IF(CF211&lt;&gt;"",TEXT(AUX!CJ$1,"dd-MMM-aa"),"")</f>
      </c>
      <c r="CG191" s="496" t="str">
        <f> IF(CG211&lt;&gt;"",TEXT(AUX!CK$1,"dd-MMM-aa"),"")</f>
      </c>
      <c r="CH191" s="496" t="str">
        <f> IF(CH211&lt;&gt;"",TEXT(AUX!CL$1,"dd-MMM-aa"),"")</f>
      </c>
      <c r="CI191" s="496" t="str">
        <f> IF(CI211&lt;&gt;"",TEXT(AUX!CM$1,"dd-MMM-aa"),"")</f>
      </c>
      <c r="CJ191" s="496" t="str">
        <f> IF(CJ211&lt;&gt;"",TEXT(AUX!CN$1,"dd-MMM-aa"),"")</f>
      </c>
      <c r="CK191" s="496" t="str">
        <f> IF(CK211&lt;&gt;"",TEXT(AUX!CO$1,"dd-MMM-aa"),"")</f>
      </c>
      <c r="CL191" s="496" t="str">
        <f> IF(CL211&lt;&gt;"",TEXT(AUX!CP$1,"dd-MMM-aa"),"")</f>
      </c>
      <c r="CM191" s="496" t="str">
        <f> IF(CM211&lt;&gt;"",TEXT(AUX!CQ$1,"dd-MMM-aa"),"")</f>
      </c>
      <c r="CN191" s="496" t="str">
        <f> IF(CN211&lt;&gt;"",TEXT(AUX!CR$1,"dd-MMM-aa"),"")</f>
      </c>
      <c r="CO191" s="496" t="str">
        <f> IF(CO211&lt;&gt;"",TEXT(AUX!CS$1,"dd-MMM-aa"),"")</f>
      </c>
      <c r="CP191" s="496" t="str">
        <f> IF(CP211&lt;&gt;"",TEXT(AUX!CT$1,"dd-MMM-aa"),"")</f>
      </c>
      <c r="CQ191" s="496" t="str">
        <f> IF(CQ211&lt;&gt;"",TEXT(AUX!CU$1,"dd-MMM-aa"),"")</f>
      </c>
      <c r="CR191" s="496" t="str">
        <f> IF(CR211&lt;&gt;"",TEXT(AUX!CV$1,"dd-MMM-aa"),"")</f>
      </c>
      <c r="CS191" s="496" t="str">
        <f> IF(CS211&lt;&gt;"",TEXT(AUX!CW$1,"dd-MMM-aa"),"")</f>
      </c>
      <c r="CT191" s="496" t="str">
        <f> IF(CT211&lt;&gt;"",TEXT(AUX!CX$1,"dd-MMM-aa"),"")</f>
      </c>
      <c r="CU191" s="496" t="str">
        <f> IF(CU211&lt;&gt;"",TEXT(AUX!CY$1,"dd-MMM-aa"),"")</f>
      </c>
      <c r="CV191" s="496" t="str">
        <f> IF(CV211&lt;&gt;"",TEXT(AUX!CZ$1,"dd-MMM-aa"),"")</f>
      </c>
      <c r="CW191" s="496" t="str">
        <f> IF(CW211&lt;&gt;"",TEXT(AUX!DA$1,"dd-MMM-aa"),"")</f>
      </c>
      <c r="CX191" s="496" t="str">
        <f> IF(CX211&lt;&gt;"",TEXT(AUX!DB$1,"dd-MMM-aa"),"")</f>
      </c>
      <c r="CY191" s="496" t="str">
        <f> IF(CY211&lt;&gt;"",TEXT(AUX!DC$1,"dd-MMM-aa"),"")</f>
      </c>
      <c r="CZ191" s="496" t="str">
        <f> IF(CZ211&lt;&gt;"",TEXT(AUX!DD$1,"dd-MMM-aa"),"")</f>
      </c>
      <c r="DA191" s="496" t="str">
        <f> IF(DA211&lt;&gt;"",TEXT(AUX!DE$1,"dd-MMM-aa"),"")</f>
      </c>
      <c r="DB191" s="496" t="str">
        <f> IF(DB211&lt;&gt;"",TEXT(AUX!DF$1,"dd-MMM-aa"),"")</f>
      </c>
      <c r="DC191" s="496" t="str">
        <f> IF(DC211&lt;&gt;"",TEXT(AUX!DG$1,"dd-MMM-aa"),"")</f>
      </c>
      <c r="DD191" s="496" t="str">
        <f> IF(DD211&lt;&gt;"",TEXT(AUX!DH$1,"dd-MMM-aa"),"")</f>
      </c>
      <c r="DE191" s="496" t="str">
        <f> IF(DE211&lt;&gt;"",TEXT(AUX!DI$1,"dd-MMM-aa"),"")</f>
      </c>
      <c r="DF191" s="496" t="str">
        <f> IF(DF211&lt;&gt;"",TEXT(AUX!DJ$1,"dd-MMM-aa"),"")</f>
      </c>
      <c r="DG191" s="496" t="str">
        <f> IF(DG211&lt;&gt;"",TEXT(AUX!DK$1,"dd-MMM-aa"),"")</f>
      </c>
      <c r="DH191" s="496" t="str">
        <f> IF(DH211&lt;&gt;"",TEXT(AUX!DL$1,"dd-MMM-aa"),"")</f>
      </c>
      <c r="DI191" s="496" t="str">
        <f> IF(DI211&lt;&gt;"",TEXT(AUX!DM$1,"dd-MMM-aa"),"")</f>
      </c>
      <c r="DJ191" s="496" t="str">
        <f> IF(DJ211&lt;&gt;"",TEXT(AUX!DN$1,"dd-MMM-aa"),"")</f>
      </c>
      <c r="DK191" s="496" t="str">
        <f> IF(DK211&lt;&gt;"",TEXT(AUX!DO$1,"dd-MMM-aa"),"")</f>
      </c>
      <c r="DL191" s="496" t="str">
        <f> IF(DL211&lt;&gt;"",TEXT(AUX!DP$1,"dd-MMM-aa"),"")</f>
      </c>
      <c r="DM191" s="496" t="str">
        <f> IF(DM211&lt;&gt;"",TEXT(AUX!DQ$1,"dd-MMM-aa"),"")</f>
      </c>
      <c r="DN191" s="496" t="str">
        <f> IF(DN211&lt;&gt;"",TEXT(AUX!DR$1,"dd-MMM-aa"),"")</f>
      </c>
      <c r="DO191" s="496" t="str">
        <f> IF(DO211&lt;&gt;"",TEXT(AUX!DS$1,"dd-MMM-aa"),"")</f>
      </c>
      <c r="DP191" s="496" t="str">
        <f> IF(DP211&lt;&gt;"",TEXT(AUX!DT$1,"dd-MMM-aa"),"")</f>
      </c>
      <c r="DQ191" s="496" t="str">
        <f> IF(DQ211&lt;&gt;"",TEXT(AUX!DU$1,"dd-MMM-aa"),"")</f>
      </c>
      <c r="DR191" s="496" t="str">
        <f> IF(DR211&lt;&gt;"",TEXT(AUX!DV$1,"dd-MMM-aa"),"")</f>
      </c>
      <c r="DS191" s="496" t="str">
        <f> IF(DS211&lt;&gt;"",TEXT(AUX!DW$1,"dd-MMM-aa"),"")</f>
      </c>
      <c r="DT191" s="496" t="str">
        <f> IF(DT211&lt;&gt;"",TEXT(AUX!DX$1,"dd-MMM-aa"),"")</f>
      </c>
      <c r="DU191" s="496" t="str">
        <f> IF(DU211&lt;&gt;"",TEXT(AUX!DY$1,"dd-MMM-aa"),"")</f>
      </c>
      <c r="DV191" s="496" t="str">
        <f> IF(DV211&lt;&gt;"",TEXT(AUX!DZ$1,"dd-MMM-aa"),"")</f>
      </c>
      <c r="DW191" s="496" t="str">
        <f> IF(DW211&lt;&gt;"",TEXT(AUX!EA$1,"dd-MMM-aa"),"")</f>
      </c>
      <c r="DX191" s="496" t="str">
        <f> IF(DX211&lt;&gt;"",TEXT(AUX!EB$1,"dd-MMM-aa"),"")</f>
      </c>
      <c r="DY191" s="496" t="str">
        <f> IF(DY211&lt;&gt;"",TEXT(AUX!EC$1,"dd-MMM-aa"),"")</f>
      </c>
      <c r="DZ191" s="496" t="str">
        <f> IF(DZ211&lt;&gt;"",TEXT(AUX!ED$1,"dd-MMM-aa"),"")</f>
      </c>
      <c r="EA191" s="496" t="str">
        <f> IF(EA211&lt;&gt;"",TEXT(AUX!EE$1,"dd-MMM-aa"),"")</f>
      </c>
      <c r="EB191" s="496" t="str">
        <f> IF(EB211&lt;&gt;"",TEXT(AUX!EF$1,"dd-MMM-aa"),"")</f>
      </c>
      <c r="EC191" s="496" t="str">
        <f> IF(EC211&lt;&gt;"",TEXT(AUX!EG$1,"dd-MMM-aa"),"")</f>
      </c>
      <c r="ED191" s="496" t="str">
        <f> IF(ED211&lt;&gt;"",TEXT(AUX!EH$1,"dd-MMM-aa"),"")</f>
      </c>
      <c r="EE191" s="496" t="str">
        <f> IF(EE211&lt;&gt;"",TEXT(AUX!EI$1,"dd-MMM-aa"),"")</f>
      </c>
      <c r="EF191" s="496" t="str">
        <f> IF(EF211&lt;&gt;"",TEXT(AUX!EJ$1,"dd-MMM-aa"),"")</f>
      </c>
      <c r="EG191" s="496" t="str">
        <f> IF(EG211&lt;&gt;"",TEXT(AUX!EK$1,"dd-MMM-aa"),"")</f>
      </c>
      <c r="EH191" s="496" t="str">
        <f> IF(EH211&lt;&gt;"",TEXT(AUX!EL$1,"dd-MMM-aa"),"")</f>
      </c>
      <c r="EI191" s="496" t="str">
        <f> IF(EI211&lt;&gt;"",TEXT(AUX!EM$1,"dd-MMM-aa"),"")</f>
      </c>
      <c r="EJ191" s="496" t="str">
        <f> IF(EJ211&lt;&gt;"",TEXT(AUX!EN$1,"dd-MMM-aa"),"")</f>
      </c>
      <c r="EK191" s="496" t="str">
        <f> IF(EK211&lt;&gt;"",TEXT(AUX!EO$1,"dd-MMM-aa"),"")</f>
      </c>
      <c r="EL191" s="496" t="str">
        <f> IF(EL211&lt;&gt;"",TEXT(AUX!EP$1,"dd-MMM-aa"),"")</f>
      </c>
      <c r="EM191" s="496" t="str">
        <f> IF(EM211&lt;&gt;"",TEXT(AUX!EQ$1,"dd-MMM-aa"),"")</f>
      </c>
      <c r="EN191" s="496" t="str">
        <f> IF(EN211&lt;&gt;"",TEXT(AUX!ER$1,"dd-MMM-aa"),"")</f>
      </c>
      <c r="EO191" s="496" t="str">
        <f> IF(EO211&lt;&gt;"",TEXT(AUX!ES$1,"dd-MMM-aa"),"")</f>
      </c>
      <c r="EP191" s="496" t="str">
        <f> IF(EP211&lt;&gt;"",TEXT(AUX!ET$1,"dd-MMM-aa"),"")</f>
      </c>
      <c r="EQ191" s="496" t="str">
        <f> IF(EQ211&lt;&gt;"",TEXT(AUX!EU$1,"dd-MMM-aa"),"")</f>
      </c>
      <c r="ER191" s="496" t="str">
        <f> IF(ER211&lt;&gt;"",TEXT(AUX!EV$1,"dd-MMM-aa"),"")</f>
      </c>
      <c r="ES191" s="496" t="str">
        <f> IF(ES211&lt;&gt;"",TEXT(AUX!EW$1,"dd-MMM-aa"),"")</f>
      </c>
      <c r="ET191" s="496" t="str">
        <f> IF(ET211&lt;&gt;"",TEXT(AUX!EX$1,"dd-MMM-aa"),"")</f>
      </c>
      <c r="EU191" s="496" t="str">
        <f> IF(EU211&lt;&gt;"",TEXT(AUX!EY$1,"dd-MMM-aa"),"")</f>
      </c>
      <c r="EV191" s="496" t="str">
        <f> IF(EV211&lt;&gt;"",TEXT(AUX!EZ$1,"dd-MMM-aa"),"")</f>
      </c>
      <c r="EW191" s="496" t="str">
        <f> IF(EW211&lt;&gt;"",TEXT(AUX!FA$1,"dd-MMM-aa"),"")</f>
      </c>
      <c r="EX191" s="496" t="str">
        <f> IF(EX211&lt;&gt;"",TEXT(AUX!FB$1,"dd-MMM-aa"),"")</f>
      </c>
      <c r="EY191" s="496" t="str">
        <f> IF(EY211&lt;&gt;"",TEXT(AUX!FC$1,"dd-MMM-aa"),"")</f>
      </c>
      <c r="EZ191" s="496" t="str">
        <f> IF(EZ211&lt;&gt;"",TEXT(AUX!FD$1,"dd-MMM-aa"),"")</f>
      </c>
      <c r="FA191" s="496" t="str">
        <f> IF(FA211&lt;&gt;"",TEXT(AUX!FE$1,"dd-MMM-aa"),"")</f>
      </c>
      <c r="FB191" s="496" t="str">
        <f> IF(FB211&lt;&gt;"",TEXT(AUX!FF$1,"dd-MMM-aa"),"")</f>
      </c>
      <c r="FC191" s="496" t="str">
        <f> IF(FC211&lt;&gt;"",TEXT(AUX!FG$1,"dd-MMM-aa"),"")</f>
      </c>
      <c r="FD191" s="496" t="str">
        <f> IF(FD211&lt;&gt;"",TEXT(AUX!FH$1,"dd-MMM-aa"),"")</f>
      </c>
      <c r="FE191" s="496" t="str">
        <f> IF(FE211&lt;&gt;"",TEXT(AUX!FI$1,"dd-MMM-aa"),"")</f>
      </c>
      <c r="FF191" s="496" t="str">
        <f> IF(FF211&lt;&gt;"",TEXT(AUX!FJ$1,"dd-MMM-aa"),"")</f>
      </c>
      <c r="FG191" s="496" t="str">
        <f> IF(FG211&lt;&gt;"",TEXT(AUX!FK$1,"dd-MMM-aa"),"")</f>
      </c>
      <c r="FH191" s="496" t="str">
        <f> IF(FH211&lt;&gt;"",TEXT(AUX!FL$1,"dd-MMM-aa"),"")</f>
      </c>
      <c r="FI191" s="496" t="str">
        <f> IF(FI211&lt;&gt;"",TEXT(AUX!FM$1,"dd-MMM-aa"),"")</f>
      </c>
      <c r="FJ191" s="496" t="str">
        <f> IF(FJ211&lt;&gt;"",TEXT(AUX!FN$1,"dd-MMM-aa"),"")</f>
      </c>
      <c r="FK191" s="496" t="str">
        <f> IF(FK211&lt;&gt;"",TEXT(AUX!FO$1,"dd-MMM-aa"),"")</f>
      </c>
      <c r="FL191" s="496" t="str">
        <f> IF(FL211&lt;&gt;"",TEXT(AUX!FP$1,"dd-MMM-aa"),"")</f>
      </c>
      <c r="FM191" s="496" t="str">
        <f> IF(FM211&lt;&gt;"",TEXT(AUX!FQ$1,"dd-MMM-aa"),"")</f>
      </c>
      <c r="FN191" s="496" t="str">
        <f> IF(FN211&lt;&gt;"",TEXT(AUX!FR$1,"dd-MMM-aa"),"")</f>
      </c>
      <c r="FO191" s="496" t="str">
        <f> IF(FO211&lt;&gt;"",TEXT(AUX!FS$1,"dd-MMM-aa"),"")</f>
      </c>
      <c r="FP191" s="496" t="str">
        <f> IF(FP211&lt;&gt;"",TEXT(AUX!FT$1,"dd-MMM-aa"),"")</f>
      </c>
      <c r="FQ191" s="496" t="str">
        <f> IF(FQ211&lt;&gt;"",TEXT(AUX!FU$1,"dd-MMM-aa"),"")</f>
      </c>
      <c r="FR191" s="496" t="str">
        <f> IF(FR211&lt;&gt;"",TEXT(AUX!FV$1,"dd-MMM-aa"),"")</f>
      </c>
      <c r="FS191" s="496" t="str">
        <f> IF(FS211&lt;&gt;"",TEXT(AUX!FW$1,"dd-MMM-aa"),"")</f>
      </c>
      <c r="FT191" s="496" t="str">
        <f> IF(FT211&lt;&gt;"",TEXT(AUX!FX$1,"dd-MMM-aa"),"")</f>
      </c>
      <c r="FU191" s="496" t="str">
        <f> IF(FU211&lt;&gt;"",TEXT(AUX!FY$1,"dd-MMM-aa"),"")</f>
      </c>
      <c r="FV191" s="496" t="str">
        <f> IF(FV211&lt;&gt;"",TEXT(AUX!FZ$1,"dd-MMM-aa"),"")</f>
      </c>
      <c r="FW191" s="496" t="str">
        <f> IF(FW211&lt;&gt;"",TEXT(AUX!GA$1,"dd-MMM-aa"),"")</f>
      </c>
      <c r="FX191" s="496" t="str">
        <f> IF(FX211&lt;&gt;"",TEXT(AUX!GB$1,"dd-MMM-aa"),"")</f>
      </c>
      <c r="FY191" s="496" t="str">
        <f> IF(FY211&lt;&gt;"",TEXT(AUX!GC$1,"dd-MMM-aa"),"")</f>
      </c>
      <c r="FZ191" s="496" t="str">
        <f> IF(FZ211&lt;&gt;"",TEXT(AUX!GD$1,"dd-MMM-aa"),"")</f>
      </c>
      <c r="GA191" s="496" t="str">
        <f> IF(GA211&lt;&gt;"",TEXT(AUX!GE$1,"dd-MMM-aa"),"")</f>
      </c>
      <c r="GB191" s="496" t="str">
        <f> IF(GB211&lt;&gt;"",TEXT(AUX!GF$1,"dd-MMM-aa"),"")</f>
      </c>
      <c r="GC191" s="496" t="str">
        <f> IF(GC211&lt;&gt;"",TEXT(AUX!GG$1,"dd-MMM-aa"),"")</f>
      </c>
      <c r="GD191" s="496" t="str">
        <f> IF(GD211&lt;&gt;"",TEXT(AUX!GH$1,"dd-MMM-aa"),"")</f>
      </c>
      <c r="GE191" s="496" t="str">
        <f> IF(GE211&lt;&gt;"",TEXT(AUX!GI$1,"dd-MMM-aa"),"")</f>
      </c>
      <c r="GF191" s="496" t="str">
        <f> IF(GF211&lt;&gt;"",TEXT(AUX!GJ$1,"dd-MMM-aa"),"")</f>
      </c>
      <c r="GG191" s="496" t="str">
        <f> IF(GG211&lt;&gt;"",TEXT(AUX!GK$1,"dd-MMM-aa"),"")</f>
      </c>
      <c r="GH191" s="496" t="str">
        <f> IF(GH211&lt;&gt;"",TEXT(AUX!GL$1,"dd-MMM-aa"),"")</f>
      </c>
      <c r="GI191" s="496" t="str">
        <f> IF(GI211&lt;&gt;"",TEXT(AUX!GM$1,"dd-MMM-aa"),"")</f>
      </c>
      <c r="GJ191" s="496" t="str">
        <f> IF(GJ211&lt;&gt;"",TEXT(AUX!GN$1,"dd-MMM-aa"),"")</f>
      </c>
      <c r="GK191" s="496" t="str">
        <f> IF(GK211&lt;&gt;"",TEXT(AUX!GO$1,"dd-MMM-aa"),"")</f>
      </c>
      <c r="GL191" s="496" t="str">
        <f> IF(GL211&lt;&gt;"",TEXT(AUX!GP$1,"dd-MMM-aa"),"")</f>
      </c>
      <c r="GM191" s="496" t="str">
        <f> IF(GM211&lt;&gt;"",TEXT(AUX!GQ$1,"dd-MMM-aa"),"")</f>
      </c>
      <c r="GN191" s="496" t="str">
        <f> IF(GN211&lt;&gt;"",TEXT(AUX!GR$1,"dd-MMM-aa"),"")</f>
      </c>
      <c r="GO191" s="496" t="str">
        <f> IF(GO211&lt;&gt;"",TEXT(AUX!GS$1,"dd-MMM-aa"),"")</f>
      </c>
      <c r="GP191" s="496" t="str">
        <f> IF(GP211&lt;&gt;"",TEXT(AUX!GT$1,"dd-MMM-aa"),"")</f>
      </c>
      <c r="GQ191" s="496" t="str">
        <f> IF(GQ211&lt;&gt;"",TEXT(AUX!GU$1,"dd-MMM-aa"),"")</f>
      </c>
      <c r="GR191" s="496" t="str">
        <f> IF(GR211&lt;&gt;"",TEXT(AUX!GV$1,"dd-MMM-aa"),"")</f>
      </c>
      <c r="GS191" s="496" t="str">
        <f> IF(GS211&lt;&gt;"",TEXT(AUX!GW$1,"dd-MMM-aa"),"")</f>
      </c>
      <c r="GT191" s="496" t="str">
        <f> IF(GT211&lt;&gt;"",TEXT(AUX!GX$1,"dd-MMM-aa"),"")</f>
      </c>
      <c r="GU191" s="496" t="str">
        <f> IF(GU211&lt;&gt;"",TEXT(AUX!GY$1,"dd-MMM-aa"),"")</f>
      </c>
      <c r="GV191" s="496" t="str">
        <f> IF(GV211&lt;&gt;"",TEXT(AUX!GZ$1,"dd-MMM-aa"),"")</f>
      </c>
      <c r="GW191" s="496" t="str">
        <f> IF(GW211&lt;&gt;"",TEXT(AUX!HA$1,"dd-MMM-aa"),"")</f>
      </c>
      <c r="GX191" s="496" t="str">
        <f> IF(GX211&lt;&gt;"",TEXT(AUX!HB$1,"dd-MMM-aa"),"")</f>
      </c>
      <c r="GY191" s="496" t="str">
        <f> IF(GY211&lt;&gt;"",TEXT(AUX!HC$1,"dd-MMM-aa"),"")</f>
      </c>
      <c r="GZ191" s="496" t="str">
        <f> IF(GZ211&lt;&gt;"",TEXT(AUX!HD$1,"dd-MMM-aa"),"")</f>
      </c>
      <c r="HA191" s="496" t="str">
        <f> IF(HA211&lt;&gt;"",TEXT(AUX!HE$1,"dd-MMM-aa"),"")</f>
      </c>
      <c r="HB191" s="496" t="str">
        <f> IF(HB211&lt;&gt;"",TEXT(AUX!HF$1,"dd-MMM-aa"),"")</f>
      </c>
      <c r="HC191" s="496" t="str">
        <f> IF(HC211&lt;&gt;"",TEXT(AUX!HG$1,"dd-MMM-aa"),"")</f>
      </c>
      <c r="HD191" s="496" t="str">
        <f> IF(HD211&lt;&gt;"",TEXT(AUX!HH$1,"dd-MMM-aa"),"")</f>
      </c>
      <c r="HE191" s="496" t="str">
        <f> IF(HE211&lt;&gt;"",TEXT(AUX!HI$1,"dd-MMM-aa"),"")</f>
      </c>
      <c r="HF191" s="496" t="str">
        <f> IF(HF211&lt;&gt;"",TEXT(AUX!HJ$1,"dd-MMM-aa"),"")</f>
      </c>
      <c r="HG191" s="496" t="str">
        <f> IF(HG211&lt;&gt;"",TEXT(AUX!HK$1,"dd-MMM-aa"),"")</f>
      </c>
      <c r="HH191" s="496" t="str">
        <f> IF(HH211&lt;&gt;"",TEXT(AUX!HL$1,"dd-MMM-aa"),"")</f>
      </c>
      <c r="HI191" s="496" t="str">
        <f> IF(HI211&lt;&gt;"",TEXT(AUX!HM$1,"dd-MMM-aa"),"")</f>
      </c>
      <c r="HJ191" s="496" t="str">
        <f> IF(HJ211&lt;&gt;"",TEXT(AUX!HN$1,"dd-MMM-aa"),"")</f>
      </c>
      <c r="HK191" s="496" t="str">
        <f> IF(HK211&lt;&gt;"",TEXT(AUX!HO$1,"dd-MMM-aa"),"")</f>
      </c>
      <c r="HL191" s="496" t="str">
        <f> IF(HL211&lt;&gt;"",TEXT(AUX!HP$1,"dd-MMM-aa"),"")</f>
      </c>
      <c r="HM191" s="496" t="str">
        <f> IF(HM211&lt;&gt;"",TEXT(AUX!HQ$1,"dd-MMM-aa"),"")</f>
      </c>
      <c r="HN191" s="496" t="str">
        <f> IF(HN211&lt;&gt;"",TEXT(AUX!HR$1,"dd-MMM-aa"),"")</f>
      </c>
      <c r="HO191" s="496" t="str">
        <f> IF(HO211&lt;&gt;"",TEXT(AUX!HS$1,"dd-MMM-aa"),"")</f>
      </c>
      <c r="HP191" s="496" t="str">
        <f> IF(HP211&lt;&gt;"",TEXT(AUX!HT$1,"dd-MMM-aa"),"")</f>
      </c>
      <c r="HQ191" s="496" t="str">
        <f> IF(HQ211&lt;&gt;"",TEXT(AUX!HU$1,"dd-MMM-aa"),"")</f>
      </c>
      <c r="HR191" s="496" t="str">
        <f> IF(HR211&lt;&gt;"",TEXT(AUX!HV$1,"dd-MMM-aa"),"")</f>
      </c>
      <c r="HS191" s="496" t="str">
        <f> IF(HS211&lt;&gt;"",TEXT(AUX!HW$1,"dd-MMM-aa"),"")</f>
      </c>
      <c r="HT191" s="496" t="str">
        <f> IF(HT211&lt;&gt;"",TEXT(AUX!HX$1,"dd-MMM-aa"),"")</f>
      </c>
      <c r="HU191" s="496" t="str">
        <f> IF(HU211&lt;&gt;"",TEXT(AUX!HY$1,"dd-MMM-aa"),"")</f>
      </c>
      <c r="HV191" s="496" t="str">
        <f> IF(HV211&lt;&gt;"",TEXT(AUX!HZ$1,"dd-MMM-aa"),"")</f>
      </c>
      <c r="HW191" s="496" t="str">
        <f> IF(HW211&lt;&gt;"",TEXT(AUX!IA$1,"dd-MMM-aa"),"")</f>
      </c>
      <c r="HX191" s="496" t="str">
        <f> IF(HX211&lt;&gt;"",TEXT(AUX!IB$1,"dd-MMM-aa"),"")</f>
      </c>
      <c r="HY191" s="496" t="str">
        <f> IF(HY211&lt;&gt;"",TEXT(AUX!IC$1,"dd-MMM-aa"),"")</f>
      </c>
      <c r="HZ191" s="496" t="str">
        <f> IF(HZ211&lt;&gt;"",TEXT(AUX!ID$1,"dd-MMM-aa"),"")</f>
      </c>
      <c r="IA191" s="496" t="str">
        <f> IF(IA211&lt;&gt;"",TEXT(AUX!IE$1,"dd-MMM-aa"),"")</f>
      </c>
      <c r="IB191" s="496" t="str">
        <f> IF(IB211&lt;&gt;"",TEXT(AUX!IF$1,"dd-MMM-aa"),"")</f>
      </c>
      <c r="IC191" s="496" t="str">
        <f> IF(IC211&lt;&gt;"",TEXT(AUX!IG$1,"dd-MMM-aa"),"")</f>
      </c>
      <c r="ID191" s="496" t="str">
        <f> IF(ID211&lt;&gt;"",TEXT(AUX!IH$1,"dd-MMM-aa"),"")</f>
      </c>
      <c r="IE191" s="496" t="str">
        <f> IF(IE211&lt;&gt;"",TEXT(AUX!II$1,"dd-MMM-aa"),"")</f>
      </c>
      <c r="IF191" s="496" t="str">
        <f> IF(IF211&lt;&gt;"",TEXT(AUX!IJ$1,"dd-MMM-aa"),"")</f>
      </c>
      <c r="IG191" s="496" t="str">
        <f> IF(IG211&lt;&gt;"",TEXT(AUX!IK$1,"dd-MMM-aa"),"")</f>
      </c>
      <c r="IH191" s="496" t="str">
        <f> IF(IH211&lt;&gt;"",TEXT(AUX!IL$1,"dd-MMM-aa"),"")</f>
      </c>
      <c r="II191" s="496" t="str">
        <f> IF(II211&lt;&gt;"",TEXT(AUX!IM$1,"dd-MMM-aa"),"")</f>
      </c>
      <c r="IJ191" s="496" t="str">
        <f> IF(IJ211&lt;&gt;"",TEXT(AUX!IN$1,"dd-MMM-aa"),"")</f>
      </c>
      <c r="IK191" s="496" t="str">
        <f> IF(IK211&lt;&gt;"",TEXT(AUX!IO$1,"dd-MMM-aa"),"")</f>
      </c>
      <c r="IL191" s="496" t="str">
        <f> IF(IL211&lt;&gt;"",TEXT(AUX!IP$1,"dd-MMM-aa"),"")</f>
      </c>
      <c r="IM191" s="496" t="str">
        <f> IF(IM211&lt;&gt;"",TEXT(AUX!IQ$1,"dd-MMM-aa"),"")</f>
      </c>
      <c r="IN191" s="496" t="str">
        <f> IF(IN211&lt;&gt;"",TEXT(AUX!IR$1,"dd-MMM-aa"),"")</f>
      </c>
      <c r="IO191" s="496" t="str">
        <f> IF(IO211&lt;&gt;"",TEXT(AUX!IS$1,"dd-MMM-aa"),"")</f>
      </c>
      <c r="IP191" s="496" t="str">
        <f> IF(IP211&lt;&gt;"",TEXT(AUX!IT$1,"dd-MMM-aa"),"")</f>
      </c>
      <c r="IQ191" s="496" t="str">
        <f> IF(IQ211&lt;&gt;"",TEXT(AUX!IU$1,"dd-MMM-aa"),"")</f>
      </c>
      <c r="IR191" s="496" t="str">
        <f> IF(IR211&lt;&gt;"",TEXT(AUX!IV$1,"dd-MMM-aa"),"")</f>
      </c>
      <c r="IS191" s="496" t="str">
        <f> IF(IS211&lt;&gt;"",TEXT(AUX!#REF!,"dd-MMM-aa"),"")</f>
      </c>
      <c r="IT191" s="496" t="str">
        <f> IF(IT211&lt;&gt;"",TEXT(AUX!#REF!,"dd-MMM-aa"),"")</f>
      </c>
      <c r="IU191" s="496" t="str">
        <f> IF(IU211&lt;&gt;"",TEXT(AUX!#REF!,"dd-MMM-aa"),"")</f>
      </c>
      <c r="IV191" s="496" t="str">
        <f> IF(IV211&lt;&gt;"",TEXT(AUX!#REF!,"dd-MMM-aa"),"")</f>
      </c>
    </row>
    <row r="192" hidden="1">
      <c r="B192" s="822" t="s">
        <v>8</v>
      </c>
      <c r="C192" s="823">
        <v>1519</v>
      </c>
      <c r="D192" s="823">
        <v>1537</v>
      </c>
      <c r="E192" s="823">
        <v>1545</v>
      </c>
      <c r="F192" s="823">
        <v>1594</v>
      </c>
      <c r="G192" s="823">
        <v>1569</v>
      </c>
      <c r="H192" s="823">
        <v>1554</v>
      </c>
      <c r="I192" s="823">
        <v>1550</v>
      </c>
      <c r="J192" s="823">
        <v>1569</v>
      </c>
      <c r="K192" s="823">
        <v>1596</v>
      </c>
      <c r="L192" s="823">
        <v>1541</v>
      </c>
      <c r="M192" s="823">
        <v>1536</v>
      </c>
      <c r="N192" s="823">
        <v>1546</v>
      </c>
      <c r="O192" s="823">
        <v>1583</v>
      </c>
      <c r="P192" s="823">
        <v>1645</v>
      </c>
      <c r="Q192" s="823">
        <v>2707</v>
      </c>
      <c r="R192" s="823">
        <v>3113</v>
      </c>
      <c r="S192" s="823">
        <v>3517</v>
      </c>
      <c r="T192" s="823">
        <v>3746</v>
      </c>
      <c r="U192" s="823">
        <v>4044</v>
      </c>
      <c r="V192" s="823">
        <v>4138</v>
      </c>
      <c r="W192" s="823">
        <v>4241</v>
      </c>
      <c r="X192" s="823">
        <v>3124</v>
      </c>
      <c r="Y192" s="823">
        <v>4347</v>
      </c>
      <c r="Z192" s="823">
        <v>4381</v>
      </c>
      <c r="AA192" s="823">
        <v>4365</v>
      </c>
      <c r="AB192" s="824">
        <v>4388</v>
      </c>
      <c r="AC192" s="825">
        <v>4383</v>
      </c>
      <c r="AD192" s="825">
        <v>4454</v>
      </c>
      <c r="AE192" s="825">
        <v>4519</v>
      </c>
      <c r="AF192" s="825">
        <v>4579</v>
      </c>
      <c r="AG192" s="825">
        <v>4579</v>
      </c>
      <c r="AH192" s="825">
        <v>4599</v>
      </c>
      <c r="AI192" s="825">
        <v>4629</v>
      </c>
      <c r="AJ192" s="825">
        <v>4624</v>
      </c>
      <c r="AK192" s="825">
        <v>4690</v>
      </c>
      <c r="AL192" s="825">
        <v>4804</v>
      </c>
      <c r="AM192" s="825">
        <v>4728</v>
      </c>
      <c r="AN192" s="825">
        <v>4725</v>
      </c>
      <c r="AO192" s="825">
        <v>4760</v>
      </c>
      <c r="AP192" s="825">
        <v>4659</v>
      </c>
    </row>
    <row r="193" hidden="1">
      <c r="B193" s="826" t="s">
        <v>9</v>
      </c>
      <c r="C193" s="827">
        <v>1</v>
      </c>
      <c r="D193" s="827">
        <v>1</v>
      </c>
      <c r="E193" s="827">
        <v>1</v>
      </c>
      <c r="F193" s="827">
        <v>1</v>
      </c>
      <c r="G193" s="827">
        <v>1</v>
      </c>
      <c r="H193" s="827">
        <v>1</v>
      </c>
      <c r="I193" s="827">
        <v>1</v>
      </c>
      <c r="J193" s="827">
        <v>1</v>
      </c>
      <c r="K193" s="827">
        <v>1</v>
      </c>
      <c r="L193" s="827">
        <v>1</v>
      </c>
      <c r="M193" s="827">
        <v>1</v>
      </c>
      <c r="N193" s="827">
        <v>2</v>
      </c>
      <c r="O193" s="827">
        <v>2</v>
      </c>
      <c r="P193" s="827">
        <v>4</v>
      </c>
      <c r="Q193" s="827">
        <v>4</v>
      </c>
      <c r="R193" s="827">
        <v>4</v>
      </c>
      <c r="S193" s="827">
        <v>4</v>
      </c>
      <c r="T193" s="827">
        <v>4</v>
      </c>
      <c r="U193" s="827">
        <v>3</v>
      </c>
      <c r="V193" s="827">
        <v>2</v>
      </c>
      <c r="W193" s="827">
        <v>3</v>
      </c>
      <c r="X193" s="827">
        <v>3</v>
      </c>
      <c r="Y193" s="827">
        <v>5</v>
      </c>
      <c r="Z193" s="827">
        <v>6</v>
      </c>
      <c r="AA193" s="827">
        <v>6</v>
      </c>
      <c r="AB193" s="827">
        <v>7</v>
      </c>
      <c r="AC193" s="828">
        <v>7</v>
      </c>
      <c r="AD193" s="828">
        <v>7</v>
      </c>
      <c r="AE193" s="828">
        <v>7</v>
      </c>
      <c r="AF193" s="828">
        <v>6</v>
      </c>
      <c r="AG193" s="828">
        <v>11</v>
      </c>
      <c r="AH193" s="828">
        <v>16</v>
      </c>
      <c r="AI193" s="828">
        <v>21</v>
      </c>
      <c r="AJ193" s="828">
        <v>23</v>
      </c>
      <c r="AK193" s="828">
        <v>25</v>
      </c>
      <c r="AL193" s="828">
        <v>26</v>
      </c>
      <c r="AM193" s="828">
        <v>26</v>
      </c>
      <c r="AN193" s="828">
        <v>25</v>
      </c>
      <c r="AO193" s="828">
        <v>25</v>
      </c>
      <c r="AP193" s="828">
        <v>26</v>
      </c>
    </row>
    <row r="194" hidden="1">
      <c r="B194" s="829" t="s">
        <v>10</v>
      </c>
      <c r="C194" s="823">
        <v>2614</v>
      </c>
      <c r="D194" s="823">
        <v>2548</v>
      </c>
      <c r="E194" s="823">
        <v>2500</v>
      </c>
      <c r="F194" s="823">
        <v>2243</v>
      </c>
      <c r="G194" s="823">
        <v>2128</v>
      </c>
      <c r="H194" s="823">
        <v>2126</v>
      </c>
      <c r="I194" s="823">
        <v>2131</v>
      </c>
      <c r="J194" s="823">
        <v>1730</v>
      </c>
      <c r="K194" s="823">
        <v>1717</v>
      </c>
      <c r="L194" s="823">
        <v>1637</v>
      </c>
      <c r="M194" s="823">
        <v>1575</v>
      </c>
      <c r="N194" s="823">
        <v>1579</v>
      </c>
      <c r="O194" s="823">
        <v>1526</v>
      </c>
      <c r="P194" s="823">
        <v>1516</v>
      </c>
      <c r="Q194" s="823">
        <v>1505</v>
      </c>
      <c r="R194" s="823">
        <v>1508</v>
      </c>
      <c r="S194" s="823">
        <v>1510</v>
      </c>
      <c r="T194" s="823">
        <v>1517</v>
      </c>
      <c r="U194" s="823">
        <v>1441</v>
      </c>
      <c r="V194" s="823">
        <v>1420</v>
      </c>
      <c r="W194" s="823">
        <v>1446</v>
      </c>
      <c r="X194" s="823">
        <v>1407</v>
      </c>
      <c r="Y194" s="823">
        <v>1435</v>
      </c>
      <c r="Z194" s="823">
        <v>1436</v>
      </c>
      <c r="AA194" s="823">
        <v>1448</v>
      </c>
      <c r="AB194" s="823">
        <v>1439</v>
      </c>
      <c r="AC194" s="825">
        <v>1450</v>
      </c>
      <c r="AD194" s="825">
        <v>1445</v>
      </c>
      <c r="AE194" s="825">
        <v>1442</v>
      </c>
      <c r="AF194" s="825">
        <v>1235</v>
      </c>
      <c r="AG194" s="825">
        <v>1247</v>
      </c>
      <c r="AH194" s="825">
        <v>1117</v>
      </c>
      <c r="AI194" s="825">
        <v>1143</v>
      </c>
      <c r="AJ194" s="825">
        <v>1117</v>
      </c>
      <c r="AK194" s="825">
        <v>1120</v>
      </c>
      <c r="AL194" s="825">
        <v>1058</v>
      </c>
      <c r="AM194" s="825">
        <v>1082</v>
      </c>
      <c r="AN194" s="825">
        <v>1022</v>
      </c>
      <c r="AO194" s="825">
        <v>1047</v>
      </c>
      <c r="AP194" s="825">
        <v>995</v>
      </c>
    </row>
    <row r="195" hidden="1">
      <c r="B195" s="826" t="s">
        <v>11</v>
      </c>
      <c r="C195" s="827">
        <v>162</v>
      </c>
      <c r="D195" s="827">
        <v>165</v>
      </c>
      <c r="E195" s="827">
        <v>160</v>
      </c>
      <c r="F195" s="827">
        <v>129</v>
      </c>
      <c r="G195" s="827">
        <v>113</v>
      </c>
      <c r="H195" s="827">
        <v>104</v>
      </c>
      <c r="I195" s="827">
        <v>97</v>
      </c>
      <c r="J195" s="827">
        <v>94</v>
      </c>
      <c r="K195" s="827">
        <v>89</v>
      </c>
      <c r="L195" s="827">
        <v>85</v>
      </c>
      <c r="M195" s="827">
        <v>83</v>
      </c>
      <c r="N195" s="827">
        <v>84</v>
      </c>
      <c r="O195" s="827">
        <v>84</v>
      </c>
      <c r="P195" s="827">
        <v>83</v>
      </c>
      <c r="Q195" s="827">
        <v>80</v>
      </c>
      <c r="R195" s="827">
        <v>76</v>
      </c>
      <c r="S195" s="827">
        <v>78</v>
      </c>
      <c r="T195" s="827">
        <v>79</v>
      </c>
      <c r="U195" s="827">
        <v>75</v>
      </c>
      <c r="V195" s="827">
        <v>78</v>
      </c>
      <c r="W195" s="827">
        <v>81</v>
      </c>
      <c r="X195" s="827">
        <v>82</v>
      </c>
      <c r="Y195" s="827">
        <v>83</v>
      </c>
      <c r="Z195" s="827">
        <v>61</v>
      </c>
      <c r="AA195" s="827">
        <v>58</v>
      </c>
      <c r="AB195" s="827">
        <v>59</v>
      </c>
      <c r="AC195" s="828">
        <v>60</v>
      </c>
      <c r="AD195" s="828">
        <v>59</v>
      </c>
      <c r="AE195" s="828">
        <v>37</v>
      </c>
      <c r="AF195" s="828">
        <v>16</v>
      </c>
      <c r="AG195" s="828">
        <v>17</v>
      </c>
      <c r="AH195" s="828">
        <v>17</v>
      </c>
      <c r="AI195" s="828">
        <v>16</v>
      </c>
      <c r="AJ195" s="828">
        <v>18</v>
      </c>
      <c r="AK195" s="828">
        <v>22</v>
      </c>
      <c r="AL195" s="828">
        <v>24</v>
      </c>
      <c r="AM195" s="828">
        <v>22</v>
      </c>
      <c r="AN195" s="828">
        <v>14</v>
      </c>
      <c r="AO195" s="828">
        <v>5</v>
      </c>
      <c r="AP195" s="828">
        <v>6</v>
      </c>
    </row>
    <row r="196" hidden="1">
      <c r="B196" s="829" t="s">
        <v>12</v>
      </c>
      <c r="C196" s="823">
        <v>828</v>
      </c>
      <c r="D196" s="823">
        <v>895</v>
      </c>
      <c r="E196" s="823">
        <v>1062</v>
      </c>
      <c r="F196" s="823">
        <v>1108</v>
      </c>
      <c r="G196" s="823">
        <v>1150</v>
      </c>
      <c r="H196" s="823">
        <v>1196</v>
      </c>
      <c r="I196" s="823">
        <v>1305</v>
      </c>
      <c r="J196" s="823">
        <v>1038</v>
      </c>
      <c r="K196" s="823">
        <v>1013</v>
      </c>
      <c r="L196" s="823">
        <v>1017</v>
      </c>
      <c r="M196" s="823">
        <v>997</v>
      </c>
      <c r="N196" s="823">
        <v>1011</v>
      </c>
      <c r="O196" s="823">
        <v>991</v>
      </c>
      <c r="P196" s="823">
        <v>978</v>
      </c>
      <c r="Q196" s="823">
        <v>970</v>
      </c>
      <c r="R196" s="823">
        <v>974</v>
      </c>
      <c r="S196" s="823">
        <v>920</v>
      </c>
      <c r="T196" s="823">
        <v>900</v>
      </c>
      <c r="U196" s="823">
        <v>832</v>
      </c>
      <c r="V196" s="823">
        <v>813</v>
      </c>
      <c r="W196" s="823">
        <v>774</v>
      </c>
      <c r="X196" s="823">
        <v>784</v>
      </c>
      <c r="Y196" s="823">
        <v>719</v>
      </c>
      <c r="Z196" s="823">
        <v>701</v>
      </c>
      <c r="AA196" s="823">
        <v>639</v>
      </c>
      <c r="AB196" s="823">
        <v>618</v>
      </c>
      <c r="AC196" s="825">
        <v>604</v>
      </c>
      <c r="AD196" s="825">
        <v>598</v>
      </c>
      <c r="AE196" s="825">
        <v>554</v>
      </c>
      <c r="AF196" s="825">
        <v>531</v>
      </c>
      <c r="AG196" s="825">
        <v>513</v>
      </c>
      <c r="AH196" s="825">
        <v>491</v>
      </c>
      <c r="AI196" s="825">
        <v>462</v>
      </c>
      <c r="AJ196" s="825">
        <v>449</v>
      </c>
      <c r="AK196" s="825">
        <v>431</v>
      </c>
      <c r="AL196" s="825">
        <v>412</v>
      </c>
      <c r="AM196" s="825">
        <v>378</v>
      </c>
      <c r="AN196" s="825">
        <v>350</v>
      </c>
      <c r="AO196" s="825">
        <v>328</v>
      </c>
      <c r="AP196" s="825">
        <v>303</v>
      </c>
    </row>
    <row r="197" hidden="1">
      <c r="B197" s="826" t="s">
        <v>13</v>
      </c>
      <c r="C197" s="827">
        <v>223</v>
      </c>
      <c r="D197" s="827">
        <v>244</v>
      </c>
      <c r="E197" s="827">
        <v>1443</v>
      </c>
      <c r="F197" s="827">
        <v>1317</v>
      </c>
      <c r="G197" s="827">
        <v>1348</v>
      </c>
      <c r="H197" s="827">
        <v>1364</v>
      </c>
      <c r="I197" s="827">
        <v>1394</v>
      </c>
      <c r="J197" s="827">
        <v>1411</v>
      </c>
      <c r="K197" s="827">
        <v>1391</v>
      </c>
      <c r="L197" s="827">
        <v>1137</v>
      </c>
      <c r="M197" s="827">
        <v>1197</v>
      </c>
      <c r="N197" s="827">
        <v>1059</v>
      </c>
      <c r="O197" s="827">
        <v>1052</v>
      </c>
      <c r="P197" s="827">
        <v>1021</v>
      </c>
      <c r="Q197" s="827">
        <v>1012</v>
      </c>
      <c r="R197" s="827">
        <v>923</v>
      </c>
      <c r="S197" s="827">
        <v>925</v>
      </c>
      <c r="T197" s="827">
        <v>948</v>
      </c>
      <c r="U197" s="827">
        <v>969</v>
      </c>
      <c r="V197" s="827">
        <v>976</v>
      </c>
      <c r="W197" s="827">
        <v>921</v>
      </c>
      <c r="X197" s="827">
        <v>915</v>
      </c>
      <c r="Y197" s="827">
        <v>690</v>
      </c>
      <c r="Z197" s="827">
        <v>625</v>
      </c>
      <c r="AA197" s="827">
        <v>654</v>
      </c>
      <c r="AB197" s="827">
        <v>580</v>
      </c>
      <c r="AC197" s="828">
        <v>603</v>
      </c>
      <c r="AD197" s="828">
        <v>531</v>
      </c>
      <c r="AE197" s="828">
        <v>556</v>
      </c>
      <c r="AF197" s="828">
        <v>511</v>
      </c>
      <c r="AG197" s="828">
        <v>541</v>
      </c>
      <c r="AH197" s="828">
        <v>494</v>
      </c>
      <c r="AI197" s="828">
        <v>521</v>
      </c>
      <c r="AJ197" s="828">
        <v>480</v>
      </c>
      <c r="AK197" s="828">
        <v>470</v>
      </c>
      <c r="AL197" s="828">
        <v>431</v>
      </c>
      <c r="AM197" s="828">
        <v>396</v>
      </c>
      <c r="AN197" s="828">
        <v>399</v>
      </c>
      <c r="AO197" s="828">
        <v>413</v>
      </c>
      <c r="AP197" s="828">
        <v>403</v>
      </c>
    </row>
    <row r="198" hidden="1">
      <c r="B198" s="829" t="s">
        <v>109</v>
      </c>
      <c r="C198" s="823">
        <v>7551</v>
      </c>
      <c r="D198" s="823">
        <v>7216</v>
      </c>
      <c r="E198" s="823">
        <v>6400</v>
      </c>
      <c r="F198" s="823">
        <v>5848</v>
      </c>
      <c r="G198" s="823">
        <v>3695</v>
      </c>
      <c r="H198" s="823">
        <v>2748</v>
      </c>
      <c r="I198" s="823">
        <v>2526</v>
      </c>
      <c r="J198" s="823">
        <v>2418</v>
      </c>
      <c r="K198" s="823">
        <v>2346</v>
      </c>
      <c r="L198" s="823">
        <v>2299</v>
      </c>
      <c r="M198" s="823">
        <v>2268</v>
      </c>
      <c r="N198" s="823">
        <v>1729</v>
      </c>
      <c r="O198" s="823">
        <v>1638</v>
      </c>
      <c r="P198" s="823">
        <v>1631</v>
      </c>
      <c r="Q198" s="823">
        <v>1628</v>
      </c>
      <c r="R198" s="823">
        <v>1630</v>
      </c>
      <c r="S198" s="823">
        <v>1600</v>
      </c>
      <c r="T198" s="823">
        <v>1594</v>
      </c>
      <c r="U198" s="823">
        <v>1589</v>
      </c>
      <c r="V198" s="823">
        <v>1574</v>
      </c>
      <c r="W198" s="823">
        <v>1566</v>
      </c>
      <c r="X198" s="823">
        <v>1411</v>
      </c>
      <c r="Y198" s="823">
        <v>1260</v>
      </c>
      <c r="Z198" s="823">
        <v>1244</v>
      </c>
      <c r="AA198" s="823">
        <v>1192</v>
      </c>
      <c r="AB198" s="823">
        <v>1179</v>
      </c>
      <c r="AC198" s="825">
        <v>1157</v>
      </c>
      <c r="AD198" s="825">
        <v>1149</v>
      </c>
      <c r="AE198" s="825">
        <v>1024</v>
      </c>
      <c r="AF198" s="825">
        <v>1014</v>
      </c>
      <c r="AG198" s="825">
        <v>999</v>
      </c>
      <c r="AH198" s="825">
        <v>991</v>
      </c>
      <c r="AI198" s="825">
        <v>979</v>
      </c>
      <c r="AJ198" s="825">
        <v>924</v>
      </c>
      <c r="AK198" s="825">
        <v>909</v>
      </c>
      <c r="AL198" s="825">
        <v>901</v>
      </c>
      <c r="AM198" s="825">
        <v>849</v>
      </c>
      <c r="AN198" s="825">
        <v>846</v>
      </c>
      <c r="AO198" s="825">
        <v>810</v>
      </c>
      <c r="AP198" s="825">
        <v>807</v>
      </c>
    </row>
    <row r="199" hidden="1">
      <c r="B199" s="826" t="s">
        <v>110</v>
      </c>
      <c r="C199" s="827">
        <v>941</v>
      </c>
      <c r="D199" s="827">
        <v>951</v>
      </c>
      <c r="E199" s="827">
        <v>980</v>
      </c>
      <c r="F199" s="827">
        <v>980</v>
      </c>
      <c r="G199" s="827">
        <v>978</v>
      </c>
      <c r="H199" s="827">
        <v>971</v>
      </c>
      <c r="I199" s="827">
        <v>940</v>
      </c>
      <c r="J199" s="827">
        <v>937</v>
      </c>
      <c r="K199" s="827">
        <v>916</v>
      </c>
      <c r="L199" s="827">
        <v>876</v>
      </c>
      <c r="M199" s="827">
        <v>856</v>
      </c>
      <c r="N199" s="827">
        <v>784</v>
      </c>
      <c r="O199" s="827">
        <v>747</v>
      </c>
      <c r="P199" s="827">
        <v>639</v>
      </c>
      <c r="Q199" s="827">
        <v>622</v>
      </c>
      <c r="R199" s="827">
        <v>610</v>
      </c>
      <c r="S199" s="827">
        <v>613</v>
      </c>
      <c r="T199" s="827">
        <v>610</v>
      </c>
      <c r="U199" s="827">
        <v>601</v>
      </c>
      <c r="V199" s="827">
        <v>596</v>
      </c>
      <c r="W199" s="827">
        <v>539</v>
      </c>
      <c r="X199" s="827">
        <v>527</v>
      </c>
      <c r="Y199" s="827">
        <v>502</v>
      </c>
      <c r="Z199" s="827">
        <v>486</v>
      </c>
      <c r="AA199" s="827">
        <v>471</v>
      </c>
      <c r="AB199" s="827">
        <v>468</v>
      </c>
      <c r="AC199" s="828">
        <v>462</v>
      </c>
      <c r="AD199" s="828">
        <v>452</v>
      </c>
      <c r="AE199" s="828">
        <v>438</v>
      </c>
      <c r="AF199" s="828">
        <v>425</v>
      </c>
      <c r="AG199" s="828">
        <v>415</v>
      </c>
      <c r="AH199" s="828">
        <v>402</v>
      </c>
      <c r="AI199" s="828">
        <v>423</v>
      </c>
      <c r="AJ199" s="828">
        <v>421</v>
      </c>
      <c r="AK199" s="828">
        <v>470</v>
      </c>
      <c r="AL199" s="828">
        <v>474</v>
      </c>
      <c r="AM199" s="828">
        <v>486</v>
      </c>
      <c r="AN199" s="828">
        <v>489</v>
      </c>
      <c r="AO199" s="828">
        <v>482</v>
      </c>
      <c r="AP199" s="828">
        <v>482</v>
      </c>
    </row>
    <row r="200" hidden="1">
      <c r="B200" s="829" t="s">
        <v>16</v>
      </c>
      <c r="C200" s="823">
        <v>16</v>
      </c>
      <c r="D200" s="823">
        <v>12</v>
      </c>
      <c r="E200" s="823">
        <v>12</v>
      </c>
      <c r="F200" s="823">
        <v>13</v>
      </c>
      <c r="G200" s="823">
        <v>14</v>
      </c>
      <c r="H200" s="823">
        <v>15</v>
      </c>
      <c r="I200" s="823">
        <v>18</v>
      </c>
      <c r="J200" s="823">
        <v>19</v>
      </c>
      <c r="K200" s="823">
        <v>21</v>
      </c>
      <c r="L200" s="823">
        <v>21</v>
      </c>
      <c r="M200" s="823">
        <v>22</v>
      </c>
      <c r="N200" s="823">
        <v>16</v>
      </c>
      <c r="O200" s="823">
        <v>17</v>
      </c>
      <c r="P200" s="823">
        <v>18</v>
      </c>
      <c r="Q200" s="823">
        <v>22</v>
      </c>
      <c r="R200" s="823">
        <v>24</v>
      </c>
      <c r="S200" s="823">
        <v>24</v>
      </c>
      <c r="T200" s="823">
        <v>26</v>
      </c>
      <c r="U200" s="823">
        <v>24</v>
      </c>
      <c r="V200" s="823">
        <v>23</v>
      </c>
      <c r="W200" s="823">
        <v>26</v>
      </c>
      <c r="X200" s="823">
        <v>26</v>
      </c>
      <c r="Y200" s="823">
        <v>22</v>
      </c>
      <c r="Z200" s="823">
        <v>23</v>
      </c>
      <c r="AA200" s="823">
        <v>21</v>
      </c>
      <c r="AB200" s="823">
        <v>24</v>
      </c>
      <c r="AC200" s="825">
        <v>23</v>
      </c>
      <c r="AD200" s="825">
        <v>26</v>
      </c>
      <c r="AE200" s="825">
        <v>25</v>
      </c>
      <c r="AF200" s="825">
        <v>31</v>
      </c>
      <c r="AG200" s="825">
        <v>36</v>
      </c>
      <c r="AH200" s="825">
        <v>36</v>
      </c>
      <c r="AI200" s="825">
        <v>39</v>
      </c>
      <c r="AJ200" s="825">
        <v>42</v>
      </c>
      <c r="AK200" s="825">
        <v>41</v>
      </c>
      <c r="AL200" s="825">
        <v>40</v>
      </c>
      <c r="AM200" s="825">
        <v>45</v>
      </c>
      <c r="AN200" s="825">
        <v>47</v>
      </c>
      <c r="AO200" s="825">
        <v>49</v>
      </c>
      <c r="AP200" s="825">
        <v>53</v>
      </c>
    </row>
    <row r="201" hidden="1">
      <c r="B201" s="826" t="s">
        <v>17</v>
      </c>
      <c r="C201" s="827">
        <v>65</v>
      </c>
      <c r="D201" s="827">
        <v>69</v>
      </c>
      <c r="E201" s="827">
        <v>77</v>
      </c>
      <c r="F201" s="827">
        <v>81</v>
      </c>
      <c r="G201" s="827">
        <v>71</v>
      </c>
      <c r="H201" s="827">
        <v>75</v>
      </c>
      <c r="I201" s="827">
        <v>68</v>
      </c>
      <c r="J201" s="827">
        <v>72</v>
      </c>
      <c r="K201" s="827">
        <v>77</v>
      </c>
      <c r="L201" s="827">
        <v>88</v>
      </c>
      <c r="M201" s="827">
        <v>96</v>
      </c>
      <c r="N201" s="827">
        <v>119</v>
      </c>
      <c r="O201" s="827">
        <v>159</v>
      </c>
      <c r="P201" s="827">
        <v>243</v>
      </c>
      <c r="Q201" s="827">
        <v>285</v>
      </c>
      <c r="R201" s="827">
        <v>307</v>
      </c>
      <c r="S201" s="827">
        <v>335</v>
      </c>
      <c r="T201" s="827">
        <v>365</v>
      </c>
      <c r="U201" s="827">
        <v>395</v>
      </c>
      <c r="V201" s="827">
        <v>413</v>
      </c>
      <c r="W201" s="827">
        <v>400</v>
      </c>
      <c r="X201" s="827">
        <v>416</v>
      </c>
      <c r="Y201" s="827">
        <v>447</v>
      </c>
      <c r="Z201" s="827">
        <v>458</v>
      </c>
      <c r="AA201" s="827">
        <v>473</v>
      </c>
      <c r="AB201" s="827">
        <v>473</v>
      </c>
      <c r="AC201" s="828">
        <v>482</v>
      </c>
      <c r="AD201" s="828">
        <v>485</v>
      </c>
      <c r="AE201" s="828">
        <v>499</v>
      </c>
      <c r="AF201" s="828">
        <v>513</v>
      </c>
      <c r="AG201" s="828">
        <v>530</v>
      </c>
      <c r="AH201" s="828">
        <v>537</v>
      </c>
      <c r="AI201" s="828">
        <v>533</v>
      </c>
      <c r="AJ201" s="828">
        <v>540</v>
      </c>
      <c r="AK201" s="828">
        <v>545</v>
      </c>
      <c r="AL201" s="828">
        <v>558</v>
      </c>
      <c r="AM201" s="828">
        <v>566</v>
      </c>
      <c r="AN201" s="828">
        <v>578</v>
      </c>
      <c r="AO201" s="828">
        <v>576</v>
      </c>
      <c r="AP201" s="828">
        <v>579</v>
      </c>
    </row>
    <row r="202" hidden="1">
      <c r="B202" s="829" t="s">
        <v>18</v>
      </c>
      <c r="C202" s="823">
        <v>143</v>
      </c>
      <c r="D202" s="823">
        <v>171</v>
      </c>
      <c r="E202" s="823">
        <v>259</v>
      </c>
      <c r="F202" s="823">
        <v>317</v>
      </c>
      <c r="G202" s="823">
        <v>336</v>
      </c>
      <c r="H202" s="823">
        <v>364</v>
      </c>
      <c r="I202" s="823">
        <v>355</v>
      </c>
      <c r="J202" s="823">
        <v>341</v>
      </c>
      <c r="K202" s="823">
        <v>327</v>
      </c>
      <c r="L202" s="823">
        <v>330</v>
      </c>
      <c r="M202" s="823">
        <v>323</v>
      </c>
      <c r="N202" s="823">
        <v>319</v>
      </c>
      <c r="O202" s="823">
        <v>324</v>
      </c>
      <c r="P202" s="823">
        <v>320</v>
      </c>
      <c r="Q202" s="823">
        <v>6</v>
      </c>
      <c r="R202" s="823">
        <v>16</v>
      </c>
      <c r="S202" s="823">
        <v>15</v>
      </c>
      <c r="T202" s="823">
        <v>21</v>
      </c>
      <c r="U202" s="823">
        <v>5</v>
      </c>
      <c r="V202" s="823">
        <v>14</v>
      </c>
      <c r="W202" s="823">
        <v>22</v>
      </c>
      <c r="X202" s="823">
        <v>31</v>
      </c>
      <c r="Y202" s="823">
        <v>4</v>
      </c>
      <c r="Z202" s="823">
        <v>9</v>
      </c>
      <c r="AA202" s="823">
        <v>4</v>
      </c>
      <c r="AB202" s="823">
        <v>7</v>
      </c>
      <c r="AC202" s="825">
        <v>10</v>
      </c>
      <c r="AD202" s="825">
        <v>9</v>
      </c>
      <c r="AE202" s="825">
        <v>11</v>
      </c>
      <c r="AF202" s="825">
        <v>15</v>
      </c>
      <c r="AG202" s="825">
        <v>21</v>
      </c>
      <c r="AH202" s="825">
        <v>26</v>
      </c>
      <c r="AI202" s="825">
        <v>6</v>
      </c>
      <c r="AJ202" s="825">
        <v>9</v>
      </c>
      <c r="AK202" s="825">
        <v>4</v>
      </c>
      <c r="AL202" s="825">
        <v>2</v>
      </c>
      <c r="AM202" s="825">
        <v>15</v>
      </c>
      <c r="AN202" s="825">
        <v>22</v>
      </c>
      <c r="AO202" s="825">
        <v>23</v>
      </c>
      <c r="AP202" s="825">
        <v>13</v>
      </c>
    </row>
    <row r="203" hidden="1">
      <c r="B203" s="826" t="s">
        <v>19</v>
      </c>
      <c r="C203" s="827">
        <v>9</v>
      </c>
      <c r="D203" s="827">
        <v>9</v>
      </c>
      <c r="E203" s="827">
        <v>10</v>
      </c>
      <c r="F203" s="827">
        <v>10</v>
      </c>
      <c r="G203" s="827">
        <v>11</v>
      </c>
      <c r="H203" s="827">
        <v>11</v>
      </c>
      <c r="I203" s="827">
        <v>12</v>
      </c>
      <c r="J203" s="827">
        <v>19</v>
      </c>
      <c r="K203" s="827">
        <v>20</v>
      </c>
      <c r="L203" s="827">
        <v>23</v>
      </c>
      <c r="M203" s="827">
        <v>23</v>
      </c>
      <c r="N203" s="827">
        <v>26</v>
      </c>
      <c r="O203" s="827">
        <v>27</v>
      </c>
      <c r="P203" s="827">
        <v>28</v>
      </c>
      <c r="Q203" s="827">
        <v>29</v>
      </c>
      <c r="R203" s="827">
        <v>34</v>
      </c>
      <c r="S203" s="827">
        <v>35</v>
      </c>
      <c r="T203" s="827">
        <v>36</v>
      </c>
      <c r="U203" s="827">
        <v>39</v>
      </c>
      <c r="V203" s="827">
        <v>41</v>
      </c>
      <c r="W203" s="827">
        <v>44</v>
      </c>
      <c r="X203" s="827">
        <v>48</v>
      </c>
      <c r="Y203" s="827">
        <v>48</v>
      </c>
      <c r="Z203" s="827">
        <v>48</v>
      </c>
      <c r="AA203" s="827">
        <v>48</v>
      </c>
      <c r="AB203" s="827">
        <v>49</v>
      </c>
      <c r="AC203" s="828">
        <v>49</v>
      </c>
      <c r="AD203" s="828">
        <v>50</v>
      </c>
      <c r="AE203" s="828">
        <v>49</v>
      </c>
      <c r="AF203" s="828">
        <v>49</v>
      </c>
      <c r="AG203" s="828">
        <v>47</v>
      </c>
      <c r="AH203" s="828">
        <v>47</v>
      </c>
      <c r="AI203" s="828">
        <v>45</v>
      </c>
      <c r="AJ203" s="828">
        <v>27</v>
      </c>
      <c r="AK203" s="828">
        <v>30</v>
      </c>
      <c r="AL203" s="828">
        <v>29</v>
      </c>
      <c r="AM203" s="828">
        <v>30</v>
      </c>
      <c r="AN203" s="828">
        <v>33</v>
      </c>
      <c r="AO203" s="828">
        <v>34</v>
      </c>
      <c r="AP203" s="828">
        <v>34</v>
      </c>
    </row>
    <row r="204" hidden="1">
      <c r="B204" s="829" t="s">
        <v>20</v>
      </c>
      <c r="C204" s="823">
        <v>325</v>
      </c>
      <c r="D204" s="823">
        <v>326</v>
      </c>
      <c r="E204" s="823">
        <v>0</v>
      </c>
      <c r="F204" s="823">
        <v>1</v>
      </c>
      <c r="G204" s="823">
        <v>3</v>
      </c>
      <c r="H204" s="823">
        <v>5</v>
      </c>
      <c r="I204" s="823">
        <v>4</v>
      </c>
      <c r="J204" s="823">
        <v>4</v>
      </c>
      <c r="K204" s="823">
        <v>5</v>
      </c>
      <c r="L204" s="823">
        <v>5</v>
      </c>
      <c r="M204" s="823">
        <v>8</v>
      </c>
      <c r="N204" s="823">
        <v>7</v>
      </c>
      <c r="O204" s="823">
        <v>11</v>
      </c>
      <c r="P204" s="823">
        <v>15</v>
      </c>
      <c r="Q204" s="823">
        <v>19</v>
      </c>
      <c r="R204" s="823">
        <v>21</v>
      </c>
      <c r="S204" s="823">
        <v>19</v>
      </c>
      <c r="T204" s="823">
        <v>18</v>
      </c>
      <c r="U204" s="823">
        <v>20</v>
      </c>
      <c r="V204" s="823">
        <v>21</v>
      </c>
      <c r="W204" s="823">
        <v>21</v>
      </c>
      <c r="X204" s="823">
        <v>21</v>
      </c>
      <c r="Y204" s="823">
        <v>23</v>
      </c>
      <c r="Z204" s="823">
        <v>23</v>
      </c>
      <c r="AA204" s="823">
        <v>24</v>
      </c>
      <c r="AB204" s="823">
        <v>24</v>
      </c>
      <c r="AC204" s="825">
        <v>24</v>
      </c>
      <c r="AD204" s="825">
        <v>25</v>
      </c>
      <c r="AE204" s="825">
        <v>28</v>
      </c>
      <c r="AF204" s="825">
        <v>28</v>
      </c>
      <c r="AG204" s="825">
        <v>24</v>
      </c>
      <c r="AH204" s="825">
        <v>25</v>
      </c>
      <c r="AI204" s="825">
        <v>25</v>
      </c>
      <c r="AJ204" s="825">
        <v>25</v>
      </c>
      <c r="AK204" s="825">
        <v>24</v>
      </c>
      <c r="AL204" s="825">
        <v>24</v>
      </c>
      <c r="AM204" s="825">
        <v>24</v>
      </c>
      <c r="AN204" s="825">
        <v>24</v>
      </c>
      <c r="AO204" s="825">
        <v>24</v>
      </c>
      <c r="AP204" s="825">
        <v>24</v>
      </c>
    </row>
    <row r="205" hidden="1">
      <c r="B205" s="826" t="s">
        <v>21</v>
      </c>
      <c r="C205" s="827">
        <v>4</v>
      </c>
      <c r="D205" s="827">
        <v>4</v>
      </c>
      <c r="E205" s="827">
        <v>6</v>
      </c>
      <c r="F205" s="827">
        <v>6</v>
      </c>
      <c r="G205" s="827">
        <v>6</v>
      </c>
      <c r="H205" s="827">
        <v>6</v>
      </c>
      <c r="I205" s="827">
        <v>5</v>
      </c>
      <c r="J205" s="827">
        <v>0</v>
      </c>
      <c r="K205" s="827">
        <v>0</v>
      </c>
      <c r="L205" s="827">
        <v>0</v>
      </c>
      <c r="M205" s="827">
        <v>1</v>
      </c>
      <c r="N205" s="827">
        <v>2</v>
      </c>
      <c r="O205" s="827">
        <v>7</v>
      </c>
      <c r="P205" s="827">
        <v>7</v>
      </c>
      <c r="Q205" s="827">
        <v>7</v>
      </c>
      <c r="R205" s="827">
        <v>1</v>
      </c>
      <c r="S205" s="827">
        <v>1</v>
      </c>
      <c r="T205" s="827">
        <v>1</v>
      </c>
      <c r="U205" s="827">
        <v>1</v>
      </c>
      <c r="V205" s="827">
        <v>1</v>
      </c>
      <c r="W205" s="827">
        <v>3</v>
      </c>
      <c r="X205" s="827">
        <v>3</v>
      </c>
      <c r="Y205" s="827">
        <v>5</v>
      </c>
      <c r="Z205" s="827">
        <v>5</v>
      </c>
      <c r="AA205" s="827">
        <v>5</v>
      </c>
      <c r="AB205" s="827">
        <v>5</v>
      </c>
      <c r="AC205" s="828">
        <v>3</v>
      </c>
      <c r="AD205" s="828">
        <v>3</v>
      </c>
      <c r="AE205" s="828">
        <v>3</v>
      </c>
      <c r="AF205" s="828">
        <v>2</v>
      </c>
      <c r="AG205" s="828">
        <v>2</v>
      </c>
      <c r="AH205" s="828">
        <v>2</v>
      </c>
      <c r="AI205" s="828">
        <v>0</v>
      </c>
      <c r="AJ205" s="828">
        <v>0</v>
      </c>
      <c r="AK205" s="828">
        <v>92</v>
      </c>
      <c r="AL205" s="828">
        <v>95</v>
      </c>
      <c r="AM205" s="828">
        <v>103</v>
      </c>
      <c r="AN205" s="828">
        <v>103</v>
      </c>
      <c r="AO205" s="828">
        <v>111</v>
      </c>
      <c r="AP205" s="828">
        <v>112</v>
      </c>
    </row>
    <row r="206" hidden="1">
      <c r="B206" s="829" t="s">
        <v>22</v>
      </c>
      <c r="C206" s="823">
        <v>1141</v>
      </c>
      <c r="D206" s="823">
        <v>1186</v>
      </c>
      <c r="E206" s="823">
        <v>1215</v>
      </c>
      <c r="F206" s="823">
        <v>1239</v>
      </c>
      <c r="G206" s="823">
        <v>1294</v>
      </c>
      <c r="H206" s="823">
        <v>1330</v>
      </c>
      <c r="I206" s="823">
        <v>1364</v>
      </c>
      <c r="J206" s="823">
        <v>1388</v>
      </c>
      <c r="K206" s="823">
        <v>1328</v>
      </c>
      <c r="L206" s="823">
        <v>1316</v>
      </c>
      <c r="M206" s="823">
        <v>807</v>
      </c>
      <c r="N206" s="823">
        <v>808</v>
      </c>
      <c r="O206" s="823">
        <v>796</v>
      </c>
      <c r="P206" s="823">
        <v>809</v>
      </c>
      <c r="Q206" s="823">
        <v>761</v>
      </c>
      <c r="R206" s="823">
        <v>766</v>
      </c>
      <c r="S206" s="823">
        <v>654</v>
      </c>
      <c r="T206" s="823">
        <v>657</v>
      </c>
      <c r="U206" s="823">
        <v>598</v>
      </c>
      <c r="V206" s="823">
        <v>606</v>
      </c>
      <c r="W206" s="823">
        <v>589</v>
      </c>
      <c r="X206" s="823">
        <v>596</v>
      </c>
      <c r="Y206" s="823">
        <v>556</v>
      </c>
      <c r="Z206" s="823">
        <v>555</v>
      </c>
      <c r="AA206" s="823">
        <v>541</v>
      </c>
      <c r="AB206" s="823">
        <v>555</v>
      </c>
      <c r="AC206" s="825">
        <v>547</v>
      </c>
      <c r="AD206" s="825">
        <v>555</v>
      </c>
      <c r="AE206" s="825">
        <v>531</v>
      </c>
      <c r="AF206" s="825">
        <v>64</v>
      </c>
      <c r="AG206" s="825">
        <v>53</v>
      </c>
      <c r="AH206" s="825">
        <v>61</v>
      </c>
      <c r="AI206" s="825">
        <v>37</v>
      </c>
      <c r="AJ206" s="825">
        <v>20</v>
      </c>
      <c r="AK206" s="825">
        <v>46</v>
      </c>
      <c r="AL206" s="825">
        <v>76</v>
      </c>
      <c r="AM206" s="825">
        <v>90</v>
      </c>
      <c r="AN206" s="825">
        <v>93</v>
      </c>
      <c r="AO206" s="825">
        <v>93</v>
      </c>
      <c r="AP206" s="825">
        <v>96</v>
      </c>
    </row>
    <row r="207" hidden="1">
      <c r="B207" s="826" t="s">
        <v>23</v>
      </c>
      <c r="C207" s="827">
        <v>0</v>
      </c>
      <c r="D207" s="827">
        <v>0</v>
      </c>
      <c r="E207" s="827">
        <v>0</v>
      </c>
      <c r="F207" s="827">
        <v>0</v>
      </c>
      <c r="G207" s="827">
        <v>1</v>
      </c>
      <c r="H207" s="827">
        <v>2</v>
      </c>
      <c r="I207" s="827">
        <v>4</v>
      </c>
      <c r="J207" s="827">
        <v>4</v>
      </c>
      <c r="K207" s="827">
        <v>5</v>
      </c>
      <c r="L207" s="827">
        <v>4</v>
      </c>
      <c r="M207" s="827">
        <v>6</v>
      </c>
      <c r="N207" s="827">
        <v>6</v>
      </c>
      <c r="O207" s="827">
        <v>6</v>
      </c>
      <c r="P207" s="827">
        <v>7</v>
      </c>
      <c r="Q207" s="827">
        <v>6</v>
      </c>
      <c r="R207" s="827">
        <v>7</v>
      </c>
      <c r="S207" s="827">
        <v>7</v>
      </c>
      <c r="T207" s="827">
        <v>5</v>
      </c>
      <c r="U207" s="827">
        <v>5</v>
      </c>
      <c r="V207" s="827">
        <v>6</v>
      </c>
      <c r="W207" s="827">
        <v>7</v>
      </c>
      <c r="X207" s="827">
        <v>6</v>
      </c>
      <c r="Y207" s="827">
        <v>6</v>
      </c>
      <c r="Z207" s="827">
        <v>4</v>
      </c>
      <c r="AA207" s="827">
        <v>4</v>
      </c>
      <c r="AB207" s="827">
        <v>4</v>
      </c>
      <c r="AC207" s="828">
        <v>4</v>
      </c>
      <c r="AD207" s="828">
        <v>4</v>
      </c>
      <c r="AE207" s="828">
        <v>3</v>
      </c>
      <c r="AF207" s="828">
        <v>1</v>
      </c>
      <c r="AG207" s="828">
        <v>1</v>
      </c>
      <c r="AH207" s="828">
        <v>1</v>
      </c>
      <c r="AI207" s="828">
        <v>1</v>
      </c>
      <c r="AJ207" s="828">
        <v>1</v>
      </c>
      <c r="AK207" s="828">
        <v>1</v>
      </c>
      <c r="AL207" s="828">
        <v>0</v>
      </c>
      <c r="AM207" s="828">
        <v>2</v>
      </c>
      <c r="AN207" s="828">
        <v>3</v>
      </c>
      <c r="AO207" s="828">
        <v>2</v>
      </c>
      <c r="AP207" s="828">
        <v>4</v>
      </c>
    </row>
    <row r="208" hidden="1">
      <c r="B208" s="830" t="s">
        <v>24</v>
      </c>
      <c r="C208" s="823">
        <v>1</v>
      </c>
      <c r="D208" s="823">
        <v>1</v>
      </c>
      <c r="E208" s="823">
        <v>2</v>
      </c>
      <c r="F208" s="823">
        <v>2</v>
      </c>
      <c r="G208" s="823">
        <v>2</v>
      </c>
      <c r="H208" s="823">
        <v>1</v>
      </c>
      <c r="I208" s="823">
        <v>1</v>
      </c>
      <c r="J208" s="823">
        <v>1</v>
      </c>
      <c r="K208" s="823">
        <v>1</v>
      </c>
      <c r="L208" s="823">
        <v>2</v>
      </c>
      <c r="M208" s="823">
        <v>1</v>
      </c>
      <c r="N208" s="823">
        <v>1</v>
      </c>
      <c r="O208" s="823">
        <v>1</v>
      </c>
      <c r="P208" s="823">
        <v>1</v>
      </c>
      <c r="Q208" s="823">
        <v>1</v>
      </c>
      <c r="R208" s="823">
        <v>1</v>
      </c>
      <c r="S208" s="823">
        <v>1</v>
      </c>
      <c r="T208" s="823">
        <v>1</v>
      </c>
      <c r="U208" s="823">
        <v>1</v>
      </c>
      <c r="V208" s="823">
        <v>3</v>
      </c>
      <c r="W208" s="823">
        <v>2</v>
      </c>
      <c r="X208" s="823">
        <v>2</v>
      </c>
      <c r="Y208" s="823">
        <v>2</v>
      </c>
      <c r="Z208" s="823">
        <v>2</v>
      </c>
      <c r="AA208" s="823">
        <v>2</v>
      </c>
      <c r="AB208" s="823">
        <v>2</v>
      </c>
      <c r="AC208" s="825">
        <v>2</v>
      </c>
      <c r="AD208" s="825">
        <v>2</v>
      </c>
      <c r="AE208" s="825">
        <v>3</v>
      </c>
      <c r="AF208" s="825">
        <v>3</v>
      </c>
      <c r="AG208" s="825">
        <v>3</v>
      </c>
      <c r="AH208" s="825">
        <v>2</v>
      </c>
      <c r="AI208" s="825">
        <v>2</v>
      </c>
      <c r="AJ208" s="825">
        <v>3</v>
      </c>
      <c r="AK208" s="825">
        <v>3</v>
      </c>
      <c r="AL208" s="825">
        <v>2</v>
      </c>
      <c r="AM208" s="825">
        <v>2</v>
      </c>
      <c r="AN208" s="825">
        <v>2</v>
      </c>
      <c r="AO208" s="825">
        <v>6</v>
      </c>
      <c r="AP208" s="825">
        <v>4</v>
      </c>
    </row>
    <row r="209" hidden="1">
      <c r="B209" s="826" t="s">
        <v>25</v>
      </c>
      <c r="C209" s="827">
        <v>0</v>
      </c>
      <c r="D209" s="827">
        <v>0</v>
      </c>
      <c r="E209" s="827">
        <v>0</v>
      </c>
      <c r="F209" s="827">
        <v>0</v>
      </c>
      <c r="G209" s="827">
        <v>0</v>
      </c>
      <c r="H209" s="827">
        <v>0</v>
      </c>
      <c r="I209" s="827">
        <v>0</v>
      </c>
      <c r="J209" s="827">
        <v>0</v>
      </c>
      <c r="K209" s="827">
        <v>0</v>
      </c>
      <c r="L209" s="827">
        <v>0</v>
      </c>
      <c r="M209" s="827">
        <v>0</v>
      </c>
      <c r="N209" s="827">
        <v>0</v>
      </c>
      <c r="O209" s="827">
        <v>0</v>
      </c>
      <c r="P209" s="827">
        <v>0</v>
      </c>
      <c r="Q209" s="827">
        <v>0</v>
      </c>
      <c r="R209" s="827">
        <v>0</v>
      </c>
      <c r="S209" s="827">
        <v>0</v>
      </c>
      <c r="T209" s="827">
        <v>0</v>
      </c>
      <c r="U209" s="827">
        <v>0</v>
      </c>
      <c r="V209" s="827">
        <v>0</v>
      </c>
      <c r="W209" s="827">
        <v>0</v>
      </c>
      <c r="X209" s="827">
        <v>0</v>
      </c>
      <c r="Y209" s="827">
        <v>0</v>
      </c>
      <c r="Z209" s="827">
        <v>0</v>
      </c>
      <c r="AA209" s="827">
        <v>0</v>
      </c>
      <c r="AB209" s="827">
        <v>0</v>
      </c>
      <c r="AC209" s="828">
        <v>0</v>
      </c>
      <c r="AD209" s="828">
        <v>0</v>
      </c>
      <c r="AE209" s="828">
        <v>0</v>
      </c>
      <c r="AF209" s="828">
        <v>0</v>
      </c>
      <c r="AG209" s="828">
        <v>0</v>
      </c>
      <c r="AH209" s="828">
        <v>0</v>
      </c>
      <c r="AI209" s="828">
        <v>0</v>
      </c>
      <c r="AJ209" s="828">
        <v>0</v>
      </c>
      <c r="AK209" s="828">
        <v>0</v>
      </c>
      <c r="AL209" s="828">
        <v>0</v>
      </c>
      <c r="AM209" s="828">
        <v>0</v>
      </c>
      <c r="AN209" s="828">
        <v>0</v>
      </c>
      <c r="AO209" s="828">
        <v>0</v>
      </c>
      <c r="AP209" s="828">
        <v>0</v>
      </c>
    </row>
    <row r="210" hidden="1" ht="13.5">
      <c r="B210" s="831" t="s">
        <v>26</v>
      </c>
      <c r="C210" s="823">
        <v>0</v>
      </c>
      <c r="D210" s="823">
        <v>0</v>
      </c>
      <c r="E210" s="823">
        <v>0</v>
      </c>
      <c r="F210" s="823">
        <v>0</v>
      </c>
      <c r="G210" s="823">
        <v>0</v>
      </c>
      <c r="H210" s="823">
        <v>0</v>
      </c>
      <c r="I210" s="823">
        <v>0</v>
      </c>
      <c r="J210" s="823">
        <v>0</v>
      </c>
      <c r="K210" s="823">
        <v>0</v>
      </c>
      <c r="L210" s="823">
        <v>0</v>
      </c>
      <c r="M210" s="823">
        <v>0</v>
      </c>
      <c r="N210" s="823">
        <v>0</v>
      </c>
      <c r="O210" s="823">
        <v>0</v>
      </c>
      <c r="P210" s="823">
        <v>0</v>
      </c>
      <c r="Q210" s="823">
        <v>0</v>
      </c>
      <c r="R210" s="823">
        <v>0</v>
      </c>
      <c r="S210" s="823">
        <v>0</v>
      </c>
      <c r="T210" s="823">
        <v>0</v>
      </c>
      <c r="U210" s="823">
        <v>0</v>
      </c>
      <c r="V210" s="823">
        <v>0</v>
      </c>
      <c r="W210" s="823">
        <v>0</v>
      </c>
      <c r="X210" s="823">
        <v>0</v>
      </c>
      <c r="Y210" s="823">
        <v>0</v>
      </c>
      <c r="Z210" s="823">
        <v>0</v>
      </c>
      <c r="AA210" s="823">
        <v>0</v>
      </c>
      <c r="AB210" s="832">
        <v>0</v>
      </c>
      <c r="AC210" s="825">
        <v>0</v>
      </c>
      <c r="AD210" s="825">
        <v>0</v>
      </c>
      <c r="AE210" s="825">
        <v>0</v>
      </c>
      <c r="AF210" s="825">
        <v>0</v>
      </c>
      <c r="AG210" s="825">
        <v>0</v>
      </c>
      <c r="AH210" s="825">
        <v>0</v>
      </c>
      <c r="AI210" s="825">
        <v>0</v>
      </c>
      <c r="AJ210" s="825">
        <v>0</v>
      </c>
      <c r="AK210" s="825">
        <v>0</v>
      </c>
      <c r="AL210" s="825">
        <v>0</v>
      </c>
      <c r="AM210" s="825">
        <v>0</v>
      </c>
      <c r="AN210" s="825">
        <v>0</v>
      </c>
      <c r="AO210" s="825">
        <v>0</v>
      </c>
      <c r="AP210" s="825">
        <v>0</v>
      </c>
    </row>
    <row r="211" hidden="1" ht="13.5">
      <c r="B211" s="128" t="s">
        <v>7</v>
      </c>
      <c r="C211" s="129" t="str">
        <f>IF(SUM(C192:C210)&lt;&gt;0,SUM(C192:C210),"")</f>
      </c>
      <c r="D211" s="129" t="str">
        <f ref="D211:AA211" t="shared" si="15">IF(SUM(D192:D210)&lt;&gt;0,SUM(D192:D210),"")</f>
      </c>
      <c r="E211" s="129" t="str">
        <f t="shared" si="15"/>
      </c>
      <c r="F211" s="129" t="str">
        <f t="shared" si="15"/>
      </c>
      <c r="G211" s="129" t="str">
        <f t="shared" si="15"/>
      </c>
      <c r="H211" s="129" t="str">
        <f t="shared" si="15"/>
      </c>
      <c r="I211" s="129" t="str">
        <f t="shared" si="15"/>
      </c>
      <c r="J211" s="129" t="str">
        <f t="shared" si="15"/>
      </c>
      <c r="K211" s="129" t="str">
        <f t="shared" si="15"/>
      </c>
      <c r="L211" s="129" t="str">
        <f t="shared" si="15"/>
      </c>
      <c r="M211" s="129" t="str">
        <f t="shared" si="15"/>
      </c>
      <c r="N211" s="129" t="str">
        <f t="shared" si="15"/>
      </c>
      <c r="O211" s="129" t="str">
        <f t="shared" si="15"/>
      </c>
      <c r="P211" s="129" t="str">
        <f t="shared" si="15"/>
      </c>
      <c r="Q211" s="129" t="str">
        <f t="shared" si="15"/>
      </c>
      <c r="R211" s="129" t="str">
        <f t="shared" si="15"/>
      </c>
      <c r="S211" s="129" t="str">
        <f t="shared" si="15"/>
      </c>
      <c r="T211" s="129" t="str">
        <f t="shared" si="15"/>
      </c>
      <c r="U211" s="129" t="str">
        <f t="shared" si="15"/>
      </c>
      <c r="V211" s="129" t="str">
        <f t="shared" si="15"/>
      </c>
      <c r="W211" s="129" t="str">
        <f t="shared" si="15"/>
      </c>
      <c r="X211" s="129" t="str">
        <f t="shared" si="15"/>
      </c>
      <c r="Y211" s="129" t="str">
        <f t="shared" si="15"/>
      </c>
      <c r="Z211" s="129" t="str">
        <f t="shared" si="15"/>
      </c>
      <c r="AA211" s="129" t="str">
        <f t="shared" si="15"/>
      </c>
      <c r="AB211" s="130" t="str">
        <f>IF(SUM(AB192:AB210)&lt;&gt;0,SUM(AB192:AB210),"")</f>
      </c>
      <c r="AC211" s="91" t="str">
        <f ref="AC211:CN211" t="shared" si="16">IF(SUM(AC192:AC210)&lt;&gt;0,SUM(AC192:AC210),"")</f>
      </c>
      <c r="AD211" s="91" t="str">
        <f t="shared" si="16"/>
      </c>
      <c r="AE211" s="91" t="str">
        <f t="shared" si="16"/>
      </c>
      <c r="AF211" s="91" t="str">
        <f t="shared" si="16"/>
      </c>
      <c r="AG211" s="91" t="str">
        <f t="shared" si="16"/>
      </c>
      <c r="AH211" s="91" t="str">
        <f t="shared" si="16"/>
      </c>
      <c r="AI211" s="91" t="str">
        <f t="shared" si="16"/>
      </c>
      <c r="AJ211" s="91" t="str">
        <f t="shared" si="16"/>
      </c>
      <c r="AK211" s="91" t="str">
        <f t="shared" si="16"/>
      </c>
      <c r="AL211" s="91" t="str">
        <f t="shared" si="16"/>
      </c>
      <c r="AM211" s="91" t="str">
        <f t="shared" si="16"/>
      </c>
      <c r="AN211" s="91" t="str">
        <f t="shared" si="16"/>
      </c>
      <c r="AO211" s="91" t="str">
        <f t="shared" si="16"/>
      </c>
      <c r="AP211" s="91" t="str">
        <f t="shared" si="16"/>
      </c>
      <c r="AQ211" s="91" t="str">
        <f t="shared" si="16"/>
      </c>
      <c r="AR211" s="91" t="str">
        <f t="shared" si="16"/>
      </c>
      <c r="AS211" s="91" t="str">
        <f t="shared" si="16"/>
      </c>
      <c r="AT211" s="91" t="str">
        <f t="shared" si="16"/>
      </c>
      <c r="AU211" s="91" t="str">
        <f t="shared" si="16"/>
      </c>
      <c r="AV211" s="91" t="str">
        <f t="shared" si="16"/>
      </c>
      <c r="AW211" s="91" t="str">
        <f t="shared" si="16"/>
      </c>
      <c r="AX211" s="91" t="str">
        <f t="shared" si="16"/>
      </c>
      <c r="AY211" s="91" t="str">
        <f t="shared" si="16"/>
      </c>
      <c r="AZ211" s="91" t="str">
        <f t="shared" si="16"/>
      </c>
      <c r="BA211" s="91" t="str">
        <f t="shared" si="16"/>
      </c>
      <c r="BB211" s="91" t="str">
        <f t="shared" si="16"/>
      </c>
      <c r="BC211" s="91" t="str">
        <f t="shared" si="16"/>
      </c>
      <c r="BD211" s="91" t="str">
        <f t="shared" si="16"/>
      </c>
      <c r="BE211" s="91" t="str">
        <f t="shared" si="16"/>
      </c>
      <c r="BF211" s="91" t="str">
        <f t="shared" si="16"/>
      </c>
      <c r="BG211" s="91" t="str">
        <f t="shared" si="16"/>
      </c>
      <c r="BH211" s="91" t="str">
        <f t="shared" si="16"/>
      </c>
      <c r="BI211" s="91" t="str">
        <f t="shared" si="16"/>
      </c>
      <c r="BJ211" s="91" t="str">
        <f t="shared" si="16"/>
      </c>
      <c r="BK211" s="91" t="str">
        <f t="shared" si="16"/>
      </c>
      <c r="BL211" s="91" t="str">
        <f t="shared" si="16"/>
      </c>
      <c r="BM211" s="91" t="str">
        <f t="shared" si="16"/>
      </c>
      <c r="BN211" s="91" t="str">
        <f t="shared" si="16"/>
      </c>
      <c r="BO211" s="91" t="str">
        <f t="shared" si="16"/>
      </c>
      <c r="BP211" s="91" t="str">
        <f t="shared" si="16"/>
      </c>
      <c r="BQ211" s="91" t="str">
        <f t="shared" si="16"/>
      </c>
      <c r="BR211" s="91" t="str">
        <f t="shared" si="16"/>
      </c>
      <c r="BS211" s="91" t="str">
        <f t="shared" si="16"/>
      </c>
      <c r="BT211" s="91" t="str">
        <f t="shared" si="16"/>
      </c>
      <c r="BU211" s="91" t="str">
        <f t="shared" si="16"/>
      </c>
      <c r="BV211" s="91" t="str">
        <f t="shared" si="16"/>
      </c>
      <c r="BW211" s="91" t="str">
        <f t="shared" si="16"/>
      </c>
      <c r="BX211" s="91" t="str">
        <f t="shared" si="16"/>
      </c>
      <c r="BY211" s="91" t="str">
        <f t="shared" si="16"/>
      </c>
      <c r="BZ211" s="91" t="str">
        <f t="shared" si="16"/>
      </c>
      <c r="CA211" s="91" t="str">
        <f t="shared" si="16"/>
      </c>
      <c r="CB211" s="91" t="str">
        <f t="shared" si="16"/>
      </c>
      <c r="CC211" s="91" t="str">
        <f t="shared" si="16"/>
      </c>
      <c r="CD211" s="91" t="str">
        <f t="shared" si="16"/>
      </c>
      <c r="CE211" s="91" t="str">
        <f t="shared" si="16"/>
      </c>
      <c r="CF211" s="91" t="str">
        <f t="shared" si="16"/>
      </c>
      <c r="CG211" s="91" t="str">
        <f t="shared" si="16"/>
      </c>
      <c r="CH211" s="91" t="str">
        <f t="shared" si="16"/>
      </c>
      <c r="CI211" s="91" t="str">
        <f t="shared" si="16"/>
      </c>
      <c r="CJ211" s="91" t="str">
        <f t="shared" si="16"/>
      </c>
      <c r="CK211" s="91" t="str">
        <f t="shared" si="16"/>
      </c>
      <c r="CL211" s="91" t="str">
        <f t="shared" si="16"/>
      </c>
      <c r="CM211" s="91" t="str">
        <f t="shared" si="16"/>
      </c>
      <c r="CN211" s="91" t="str">
        <f t="shared" si="16"/>
      </c>
      <c r="CO211" s="91" t="str">
        <f ref="CO211:EZ211" t="shared" si="17">IF(SUM(CO192:CO210)&lt;&gt;0,SUM(CO192:CO210),"")</f>
      </c>
      <c r="CP211" s="91" t="str">
        <f t="shared" si="17"/>
      </c>
      <c r="CQ211" s="91" t="str">
        <f t="shared" si="17"/>
      </c>
      <c r="CR211" s="91" t="str">
        <f t="shared" si="17"/>
      </c>
      <c r="CS211" s="91" t="str">
        <f t="shared" si="17"/>
      </c>
      <c r="CT211" s="91" t="str">
        <f t="shared" si="17"/>
      </c>
      <c r="CU211" s="91" t="str">
        <f t="shared" si="17"/>
      </c>
      <c r="CV211" s="91" t="str">
        <f t="shared" si="17"/>
      </c>
      <c r="CW211" s="91" t="str">
        <f t="shared" si="17"/>
      </c>
      <c r="CX211" s="91" t="str">
        <f t="shared" si="17"/>
      </c>
      <c r="CY211" s="91" t="str">
        <f t="shared" si="17"/>
      </c>
      <c r="CZ211" s="91" t="str">
        <f t="shared" si="17"/>
      </c>
      <c r="DA211" s="91" t="str">
        <f t="shared" si="17"/>
      </c>
      <c r="DB211" s="91" t="str">
        <f t="shared" si="17"/>
      </c>
      <c r="DC211" s="91" t="str">
        <f t="shared" si="17"/>
      </c>
      <c r="DD211" s="91" t="str">
        <f t="shared" si="17"/>
      </c>
      <c r="DE211" s="91" t="str">
        <f t="shared" si="17"/>
      </c>
      <c r="DF211" s="91" t="str">
        <f t="shared" si="17"/>
      </c>
      <c r="DG211" s="91" t="str">
        <f t="shared" si="17"/>
      </c>
      <c r="DH211" s="91" t="str">
        <f t="shared" si="17"/>
      </c>
      <c r="DI211" s="91" t="str">
        <f t="shared" si="17"/>
      </c>
      <c r="DJ211" s="91" t="str">
        <f t="shared" si="17"/>
      </c>
      <c r="DK211" s="91" t="str">
        <f t="shared" si="17"/>
      </c>
      <c r="DL211" s="91" t="str">
        <f t="shared" si="17"/>
      </c>
      <c r="DM211" s="91" t="str">
        <f t="shared" si="17"/>
      </c>
      <c r="DN211" s="91" t="str">
        <f t="shared" si="17"/>
      </c>
      <c r="DO211" s="91" t="str">
        <f t="shared" si="17"/>
      </c>
      <c r="DP211" s="91" t="str">
        <f t="shared" si="17"/>
      </c>
      <c r="DQ211" s="91" t="str">
        <f t="shared" si="17"/>
      </c>
      <c r="DR211" s="91" t="str">
        <f t="shared" si="17"/>
      </c>
      <c r="DS211" s="91" t="str">
        <f t="shared" si="17"/>
      </c>
      <c r="DT211" s="91" t="str">
        <f t="shared" si="17"/>
      </c>
      <c r="DU211" s="91" t="str">
        <f t="shared" si="17"/>
      </c>
      <c r="DV211" s="91" t="str">
        <f t="shared" si="17"/>
      </c>
      <c r="DW211" s="91" t="str">
        <f t="shared" si="17"/>
      </c>
      <c r="DX211" s="91" t="str">
        <f t="shared" si="17"/>
      </c>
      <c r="DY211" s="91" t="str">
        <f t="shared" si="17"/>
      </c>
      <c r="DZ211" s="91" t="str">
        <f t="shared" si="17"/>
      </c>
      <c r="EA211" s="91" t="str">
        <f t="shared" si="17"/>
      </c>
      <c r="EB211" s="91" t="str">
        <f t="shared" si="17"/>
      </c>
      <c r="EC211" s="91" t="str">
        <f t="shared" si="17"/>
      </c>
      <c r="ED211" s="91" t="str">
        <f t="shared" si="17"/>
      </c>
      <c r="EE211" s="91" t="str">
        <f t="shared" si="17"/>
      </c>
      <c r="EF211" s="91" t="str">
        <f t="shared" si="17"/>
      </c>
      <c r="EG211" s="91" t="str">
        <f t="shared" si="17"/>
      </c>
      <c r="EH211" s="91" t="str">
        <f t="shared" si="17"/>
      </c>
      <c r="EI211" s="91" t="str">
        <f t="shared" si="17"/>
      </c>
      <c r="EJ211" s="91" t="str">
        <f t="shared" si="17"/>
      </c>
      <c r="EK211" s="91" t="str">
        <f t="shared" si="17"/>
      </c>
      <c r="EL211" s="91" t="str">
        <f t="shared" si="17"/>
      </c>
      <c r="EM211" s="91" t="str">
        <f t="shared" si="17"/>
      </c>
      <c r="EN211" s="91" t="str">
        <f t="shared" si="17"/>
      </c>
      <c r="EO211" s="91" t="str">
        <f t="shared" si="17"/>
      </c>
      <c r="EP211" s="91" t="str">
        <f t="shared" si="17"/>
      </c>
      <c r="EQ211" s="91" t="str">
        <f t="shared" si="17"/>
      </c>
      <c r="ER211" s="91" t="str">
        <f t="shared" si="17"/>
      </c>
      <c r="ES211" s="91" t="str">
        <f t="shared" si="17"/>
      </c>
      <c r="ET211" s="91" t="str">
        <f t="shared" si="17"/>
      </c>
      <c r="EU211" s="91" t="str">
        <f t="shared" si="17"/>
      </c>
      <c r="EV211" s="91" t="str">
        <f t="shared" si="17"/>
      </c>
      <c r="EW211" s="91" t="str">
        <f t="shared" si="17"/>
      </c>
      <c r="EX211" s="91" t="str">
        <f t="shared" si="17"/>
      </c>
      <c r="EY211" s="91" t="str">
        <f t="shared" si="17"/>
      </c>
      <c r="EZ211" s="91" t="str">
        <f t="shared" si="17"/>
      </c>
      <c r="FA211" s="91" t="str">
        <f ref="FA211:HL211" t="shared" si="18">IF(SUM(FA192:FA210)&lt;&gt;0,SUM(FA192:FA210),"")</f>
      </c>
      <c r="FB211" s="91" t="str">
        <f t="shared" si="18"/>
      </c>
      <c r="FC211" s="91" t="str">
        <f t="shared" si="18"/>
      </c>
      <c r="FD211" s="91" t="str">
        <f t="shared" si="18"/>
      </c>
      <c r="FE211" s="91" t="str">
        <f t="shared" si="18"/>
      </c>
      <c r="FF211" s="91" t="str">
        <f t="shared" si="18"/>
      </c>
      <c r="FG211" s="91" t="str">
        <f t="shared" si="18"/>
      </c>
      <c r="FH211" s="91" t="str">
        <f t="shared" si="18"/>
      </c>
      <c r="FI211" s="91" t="str">
        <f t="shared" si="18"/>
      </c>
      <c r="FJ211" s="91" t="str">
        <f t="shared" si="18"/>
      </c>
      <c r="FK211" s="91" t="str">
        <f t="shared" si="18"/>
      </c>
      <c r="FL211" s="91" t="str">
        <f t="shared" si="18"/>
      </c>
      <c r="FM211" s="91" t="str">
        <f t="shared" si="18"/>
      </c>
      <c r="FN211" s="91" t="str">
        <f t="shared" si="18"/>
      </c>
      <c r="FO211" s="91" t="str">
        <f t="shared" si="18"/>
      </c>
      <c r="FP211" s="91" t="str">
        <f t="shared" si="18"/>
      </c>
      <c r="FQ211" s="91" t="str">
        <f t="shared" si="18"/>
      </c>
      <c r="FR211" s="91" t="str">
        <f t="shared" si="18"/>
      </c>
      <c r="FS211" s="91" t="str">
        <f t="shared" si="18"/>
      </c>
      <c r="FT211" s="91" t="str">
        <f t="shared" si="18"/>
      </c>
      <c r="FU211" s="91" t="str">
        <f t="shared" si="18"/>
      </c>
      <c r="FV211" s="91" t="str">
        <f t="shared" si="18"/>
      </c>
      <c r="FW211" s="91" t="str">
        <f t="shared" si="18"/>
      </c>
      <c r="FX211" s="91" t="str">
        <f t="shared" si="18"/>
      </c>
      <c r="FY211" s="91" t="str">
        <f t="shared" si="18"/>
      </c>
      <c r="FZ211" s="91" t="str">
        <f t="shared" si="18"/>
      </c>
      <c r="GA211" s="91" t="str">
        <f t="shared" si="18"/>
      </c>
      <c r="GB211" s="91" t="str">
        <f t="shared" si="18"/>
      </c>
      <c r="GC211" s="91" t="str">
        <f t="shared" si="18"/>
      </c>
      <c r="GD211" s="91" t="str">
        <f t="shared" si="18"/>
      </c>
      <c r="GE211" s="91" t="str">
        <f t="shared" si="18"/>
      </c>
      <c r="GF211" s="91" t="str">
        <f t="shared" si="18"/>
      </c>
      <c r="GG211" s="91" t="str">
        <f t="shared" si="18"/>
      </c>
      <c r="GH211" s="91" t="str">
        <f t="shared" si="18"/>
      </c>
      <c r="GI211" s="91" t="str">
        <f t="shared" si="18"/>
      </c>
      <c r="GJ211" s="91" t="str">
        <f t="shared" si="18"/>
      </c>
      <c r="GK211" s="91" t="str">
        <f t="shared" si="18"/>
      </c>
      <c r="GL211" s="91" t="str">
        <f t="shared" si="18"/>
      </c>
      <c r="GM211" s="91" t="str">
        <f t="shared" si="18"/>
      </c>
      <c r="GN211" s="91" t="str">
        <f t="shared" si="18"/>
      </c>
      <c r="GO211" s="91" t="str">
        <f t="shared" si="18"/>
      </c>
      <c r="GP211" s="91" t="str">
        <f t="shared" si="18"/>
      </c>
      <c r="GQ211" s="91" t="str">
        <f t="shared" si="18"/>
      </c>
      <c r="GR211" s="91" t="str">
        <f t="shared" si="18"/>
      </c>
      <c r="GS211" s="91" t="str">
        <f t="shared" si="18"/>
      </c>
      <c r="GT211" s="91" t="str">
        <f t="shared" si="18"/>
      </c>
      <c r="GU211" s="91" t="str">
        <f t="shared" si="18"/>
      </c>
      <c r="GV211" s="91" t="str">
        <f t="shared" si="18"/>
      </c>
      <c r="GW211" s="91" t="str">
        <f t="shared" si="18"/>
      </c>
      <c r="GX211" s="91" t="str">
        <f t="shared" si="18"/>
      </c>
      <c r="GY211" s="91" t="str">
        <f t="shared" si="18"/>
      </c>
      <c r="GZ211" s="91" t="str">
        <f t="shared" si="18"/>
      </c>
      <c r="HA211" s="91" t="str">
        <f t="shared" si="18"/>
      </c>
      <c r="HB211" s="91" t="str">
        <f t="shared" si="18"/>
      </c>
      <c r="HC211" s="91" t="str">
        <f t="shared" si="18"/>
      </c>
      <c r="HD211" s="91" t="str">
        <f t="shared" si="18"/>
      </c>
      <c r="HE211" s="91" t="str">
        <f t="shared" si="18"/>
      </c>
      <c r="HF211" s="91" t="str">
        <f t="shared" si="18"/>
      </c>
      <c r="HG211" s="91" t="str">
        <f t="shared" si="18"/>
      </c>
      <c r="HH211" s="91" t="str">
        <f t="shared" si="18"/>
      </c>
      <c r="HI211" s="91" t="str">
        <f t="shared" si="18"/>
      </c>
      <c r="HJ211" s="91" t="str">
        <f t="shared" si="18"/>
      </c>
      <c r="HK211" s="91" t="str">
        <f t="shared" si="18"/>
      </c>
      <c r="HL211" s="91" t="str">
        <f t="shared" si="18"/>
      </c>
      <c r="HM211" s="91" t="str">
        <f ref="HM211:IV211" t="shared" si="19">IF(SUM(HM192:HM210)&lt;&gt;0,SUM(HM192:HM210),"")</f>
      </c>
      <c r="HN211" s="91" t="str">
        <f t="shared" si="19"/>
      </c>
      <c r="HO211" s="91" t="str">
        <f t="shared" si="19"/>
      </c>
      <c r="HP211" s="91" t="str">
        <f t="shared" si="19"/>
      </c>
      <c r="HQ211" s="91" t="str">
        <f t="shared" si="19"/>
      </c>
      <c r="HR211" s="91" t="str">
        <f t="shared" si="19"/>
      </c>
      <c r="HS211" s="91" t="str">
        <f t="shared" si="19"/>
      </c>
      <c r="HT211" s="91" t="str">
        <f t="shared" si="19"/>
      </c>
      <c r="HU211" s="91" t="str">
        <f t="shared" si="19"/>
      </c>
      <c r="HV211" s="91" t="str">
        <f t="shared" si="19"/>
      </c>
      <c r="HW211" s="91" t="str">
        <f t="shared" si="19"/>
      </c>
      <c r="HX211" s="91" t="str">
        <f t="shared" si="19"/>
      </c>
      <c r="HY211" s="91" t="str">
        <f t="shared" si="19"/>
      </c>
      <c r="HZ211" s="91" t="str">
        <f t="shared" si="19"/>
      </c>
      <c r="IA211" s="91" t="str">
        <f t="shared" si="19"/>
      </c>
      <c r="IB211" s="91" t="str">
        <f t="shared" si="19"/>
      </c>
      <c r="IC211" s="91" t="str">
        <f t="shared" si="19"/>
      </c>
      <c r="ID211" s="91" t="str">
        <f t="shared" si="19"/>
      </c>
      <c r="IE211" s="91" t="str">
        <f t="shared" si="19"/>
      </c>
      <c r="IF211" s="91" t="str">
        <f t="shared" si="19"/>
      </c>
      <c r="IG211" s="91" t="str">
        <f t="shared" si="19"/>
      </c>
      <c r="IH211" s="91" t="str">
        <f t="shared" si="19"/>
      </c>
      <c r="II211" s="91" t="str">
        <f t="shared" si="19"/>
      </c>
      <c r="IJ211" s="91" t="str">
        <f t="shared" si="19"/>
      </c>
      <c r="IK211" s="91" t="str">
        <f t="shared" si="19"/>
      </c>
      <c r="IL211" s="91" t="str">
        <f t="shared" si="19"/>
      </c>
      <c r="IM211" s="91" t="str">
        <f t="shared" si="19"/>
      </c>
      <c r="IN211" s="91" t="str">
        <f t="shared" si="19"/>
      </c>
      <c r="IO211" s="91" t="str">
        <f t="shared" si="19"/>
      </c>
      <c r="IP211" s="91" t="str">
        <f t="shared" si="19"/>
      </c>
      <c r="IQ211" s="91" t="str">
        <f t="shared" si="19"/>
      </c>
      <c r="IR211" s="91" t="str">
        <f t="shared" si="19"/>
      </c>
      <c r="IS211" s="91" t="str">
        <f t="shared" si="19"/>
      </c>
      <c r="IT211" s="91" t="str">
        <f t="shared" si="19"/>
      </c>
      <c r="IU211" s="91" t="str">
        <f t="shared" si="19"/>
      </c>
      <c r="IV211" s="91" t="str">
        <f t="shared" si="19"/>
      </c>
    </row>
    <row r="212" hidden="1" ht="15">
      <c r="B212" s="311"/>
      <c r="C212" s="219"/>
      <c r="D212" s="219"/>
      <c r="E212" s="219"/>
      <c r="F212" s="219"/>
      <c r="G212" s="219"/>
      <c r="H212" s="219"/>
      <c r="I212" s="219"/>
      <c r="J212" s="219"/>
      <c r="K212" s="219"/>
    </row>
    <row r="213" hidden="1" ht="13.5"/>
    <row r="214" hidden="1" ht="15.75" customHeight="1">
      <c r="C214" s="686" t="s">
        <v>204</v>
      </c>
      <c r="D214" s="687"/>
      <c r="E214" s="687"/>
      <c r="F214" s="687"/>
      <c r="G214" s="687"/>
      <c r="H214" s="687"/>
      <c r="I214" s="687"/>
      <c r="J214" s="687"/>
      <c r="K214" s="687"/>
      <c r="L214" s="687"/>
      <c r="M214" s="687"/>
      <c r="N214" s="687"/>
      <c r="O214" s="687"/>
      <c r="P214" s="687"/>
      <c r="Q214" s="687"/>
      <c r="R214" s="687"/>
      <c r="S214" s="687"/>
      <c r="T214" s="687"/>
      <c r="U214" s="687"/>
      <c r="V214" s="687"/>
      <c r="W214" s="687"/>
      <c r="X214" s="687"/>
      <c r="Y214" s="687"/>
      <c r="Z214" s="687"/>
      <c r="AA214" s="687"/>
      <c r="AB214" s="688"/>
    </row>
    <row r="215" hidden="1" ht="15" customHeight="1">
      <c r="C215" s="435" t="str">
        <f> IF(C235&lt;&gt;"",TEXT(AUX!G$1,"dd-MMM-aa"),"")</f>
      </c>
      <c r="D215" s="435" t="str">
        <f> IF(D235&lt;&gt;"",TEXT(AUX!H$1,"dd-MMM-aa"),"")</f>
      </c>
      <c r="E215" s="435" t="str">
        <f> IF(E235&lt;&gt;"",TEXT(AUX!I$1,"dd-MMM-aa"),"")</f>
      </c>
      <c r="F215" s="435" t="str">
        <f> IF(F235&lt;&gt;"",TEXT(AUX!J$1,"dd-MMM-aa"),"")</f>
      </c>
      <c r="G215" s="435" t="str">
        <f> IF(G235&lt;&gt;"",TEXT(AUX!K$1,"dd-MMM-aa"),"")</f>
      </c>
      <c r="H215" s="435" t="str">
        <f> IF(H235&lt;&gt;"",TEXT(AUX!L$1,"dd-MMM-aa"),"")</f>
      </c>
      <c r="I215" s="435" t="str">
        <f> IF(I235&lt;&gt;"",TEXT(AUX!M$1,"dd-MMM-aa"),"")</f>
      </c>
      <c r="J215" s="435" t="str">
        <f> IF(J235&lt;&gt;"",TEXT(AUX!N$1,"dd-MMM-aa"),"")</f>
      </c>
      <c r="K215" s="435" t="str">
        <f> IF(K235&lt;&gt;"",TEXT(AUX!O$1,"dd-MMM-aa"),"")</f>
      </c>
      <c r="L215" s="435" t="str">
        <f> IF(L235&lt;&gt;"",TEXT(AUX!P$1,"dd-MMM-aa"),"")</f>
      </c>
      <c r="M215" s="435" t="str">
        <f> IF(M235&lt;&gt;"",TEXT(AUX!Q$1,"dd-MMM-aa"),"")</f>
      </c>
      <c r="N215" s="435" t="str">
        <f> IF(N235&lt;&gt;"",TEXT(AUX!R$1,"dd-MMM-aa"),"")</f>
      </c>
      <c r="O215" s="435" t="str">
        <f> IF(O235&lt;&gt;"",TEXT(AUX!S$1,"dd-MMM-aa"),"")</f>
      </c>
      <c r="P215" s="435" t="str">
        <f> IF(P235&lt;&gt;"",TEXT(AUX!T$1,"dd-MMM-aa"),"")</f>
      </c>
      <c r="Q215" s="435" t="str">
        <f> IF(Q235&lt;&gt;"",TEXT(AUX!U$1,"dd-MMM-aa"),"")</f>
      </c>
      <c r="R215" s="435" t="str">
        <f> IF(R235&lt;&gt;"",TEXT(AUX!V$1,"dd-MMM-aa"),"")</f>
      </c>
      <c r="S215" s="435" t="str">
        <f> IF(S235&lt;&gt;"",TEXT(AUX!W$1,"dd-MMM-aa"),"")</f>
      </c>
      <c r="T215" s="435" t="str">
        <f> IF(T235&lt;&gt;"",TEXT(AUX!X$1,"dd-MMM-aa"),"")</f>
      </c>
      <c r="U215" s="435" t="str">
        <f> IF(U235&lt;&gt;"",TEXT(AUX!Y$1,"dd-MMM-aa"),"")</f>
      </c>
      <c r="V215" s="435" t="str">
        <f> IF(V235&lt;&gt;"",TEXT(AUX!Z$1,"dd-MMM-aa"),"")</f>
      </c>
      <c r="W215" s="435" t="str">
        <f> IF(W235&lt;&gt;"",TEXT(AUX!AA$1,"dd-MMM-aa"),"")</f>
      </c>
      <c r="X215" s="435" t="str">
        <f> IF(X235&lt;&gt;"",TEXT(AUX!AB$1,"dd-MMM-aa"),"")</f>
      </c>
      <c r="Y215" s="435" t="str">
        <f> IF(Y235&lt;&gt;"",TEXT(AUX!AC$1,"dd-MMM-aa"),"")</f>
      </c>
      <c r="Z215" s="435" t="str">
        <f> IF(Z235&lt;&gt;"",TEXT(AUX!AD$1,"dd-MMM-aa"),"")</f>
      </c>
      <c r="AA215" s="435" t="str">
        <f> IF(AA235&lt;&gt;"",TEXT(AUX!AE$1,"dd-MMM-aa"),"")</f>
      </c>
      <c r="AB215" s="497" t="str">
        <f> IF(AB235&lt;&gt;"",TEXT(AUX!AF$1,"dd-MMM-aa"),"")</f>
      </c>
      <c r="AC215" s="496" t="str">
        <f> IF(AC235&lt;&gt;"",TEXT(AUX!AG$1,"dd-MMM-aa"),"")</f>
      </c>
      <c r="AD215" s="496" t="str">
        <f> IF(AD235&lt;&gt;"",TEXT(AUX!AH$1,"dd-MMM-aa"),"")</f>
      </c>
      <c r="AE215" s="496" t="str">
        <f> IF(AE235&lt;&gt;"",TEXT(AUX!AI$1,"dd-MMM-aa"),"")</f>
      </c>
      <c r="AF215" s="496" t="str">
        <f> IF(AF235&lt;&gt;"",TEXT(AUX!AJ$1,"dd-MMM-aa"),"")</f>
      </c>
      <c r="AG215" s="496" t="str">
        <f> IF(AG235&lt;&gt;"",TEXT(AUX!AK$1,"dd-MMM-aa"),"")</f>
      </c>
      <c r="AH215" s="496" t="str">
        <f> IF(AH235&lt;&gt;"",TEXT(AUX!AL$1,"dd-MMM-aa"),"")</f>
      </c>
      <c r="AI215" s="496" t="str">
        <f> IF(AI235&lt;&gt;"",TEXT(AUX!AM$1,"dd-MMM-aa"),"")</f>
      </c>
      <c r="AJ215" s="496" t="str">
        <f> IF(AJ235&lt;&gt;"",TEXT(AUX!AN$1,"dd-MMM-aa"),"")</f>
      </c>
      <c r="AK215" s="496" t="str">
        <f> IF(AK235&lt;&gt;"",TEXT(AUX!AO$1,"dd-MMM-aa"),"")</f>
      </c>
      <c r="AL215" s="496" t="str">
        <f> IF(AL235&lt;&gt;"",TEXT(AUX!AP$1,"dd-MMM-aa"),"")</f>
      </c>
      <c r="AM215" s="496" t="str">
        <f> IF(AM235&lt;&gt;"",TEXT(AUX!AQ$1,"dd-MMM-aa"),"")</f>
      </c>
      <c r="AN215" s="496" t="str">
        <f> IF(AN235&lt;&gt;"",TEXT(AUX!AR$1,"dd-MMM-aa"),"")</f>
      </c>
      <c r="AO215" s="496" t="str">
        <f> IF(AO235&lt;&gt;"",TEXT(AUX!AS$1,"dd-MMM-aa"),"")</f>
      </c>
      <c r="AP215" s="496" t="str">
        <f> IF(AP235&lt;&gt;"",TEXT(AUX!AT$1,"dd-MMM-aa"),"")</f>
      </c>
      <c r="AQ215" s="496" t="str">
        <f> IF(AQ235&lt;&gt;"",TEXT(AUX!AU$1,"dd-MMM-aa"),"")</f>
      </c>
      <c r="AR215" s="496" t="str">
        <f> IF(AR235&lt;&gt;"",TEXT(AUX!AV$1,"dd-MMM-aa"),"")</f>
      </c>
      <c r="AS215" s="496" t="str">
        <f> IF(AS235&lt;&gt;"",TEXT(AUX!AW$1,"dd-MMM-aa"),"")</f>
      </c>
      <c r="AT215" s="496" t="str">
        <f> IF(AT235&lt;&gt;"",TEXT(AUX!AX$1,"dd-MMM-aa"),"")</f>
      </c>
      <c r="AU215" s="496" t="str">
        <f> IF(AU235&lt;&gt;"",TEXT(AUX!AY$1,"dd-MMM-aa"),"")</f>
      </c>
      <c r="AV215" s="496" t="str">
        <f> IF(AV235&lt;&gt;"",TEXT(AUX!AZ$1,"dd-MMM-aa"),"")</f>
      </c>
      <c r="AW215" s="496" t="str">
        <f> IF(AW235&lt;&gt;"",TEXT(AUX!BA$1,"dd-MMM-aa"),"")</f>
      </c>
      <c r="AX215" s="496" t="str">
        <f> IF(AX235&lt;&gt;"",TEXT(AUX!BB$1,"dd-MMM-aa"),"")</f>
      </c>
      <c r="AY215" s="496" t="str">
        <f> IF(AY235&lt;&gt;"",TEXT(AUX!BC$1,"dd-MMM-aa"),"")</f>
      </c>
      <c r="AZ215" s="496" t="str">
        <f> IF(AZ235&lt;&gt;"",TEXT(AUX!BD$1,"dd-MMM-aa"),"")</f>
      </c>
      <c r="BA215" s="496" t="str">
        <f> IF(BA235&lt;&gt;"",TEXT(AUX!BE$1,"dd-MMM-aa"),"")</f>
      </c>
      <c r="BB215" s="496" t="str">
        <f> IF(BB235&lt;&gt;"",TEXT(AUX!BF$1,"dd-MMM-aa"),"")</f>
      </c>
      <c r="BC215" s="496" t="str">
        <f> IF(BC235&lt;&gt;"",TEXT(AUX!BG$1,"dd-MMM-aa"),"")</f>
      </c>
      <c r="BD215" s="496" t="str">
        <f> IF(BD235&lt;&gt;"",TEXT(AUX!BH$1,"dd-MMM-aa"),"")</f>
      </c>
      <c r="BE215" s="496" t="str">
        <f> IF(BE235&lt;&gt;"",TEXT(AUX!BI$1,"dd-MMM-aa"),"")</f>
      </c>
      <c r="BF215" s="496" t="str">
        <f> IF(BF235&lt;&gt;"",TEXT(AUX!BJ$1,"dd-MMM-aa"),"")</f>
      </c>
      <c r="BG215" s="496" t="str">
        <f> IF(BG235&lt;&gt;"",TEXT(AUX!BK$1,"dd-MMM-aa"),"")</f>
      </c>
      <c r="BH215" s="496" t="str">
        <f> IF(BH235&lt;&gt;"",TEXT(AUX!BL$1,"dd-MMM-aa"),"")</f>
      </c>
      <c r="BI215" s="496" t="str">
        <f> IF(BI235&lt;&gt;"",TEXT(AUX!BM$1,"dd-MMM-aa"),"")</f>
      </c>
      <c r="BJ215" s="496" t="str">
        <f> IF(BJ235&lt;&gt;"",TEXT(AUX!BN$1,"dd-MMM-aa"),"")</f>
      </c>
      <c r="BK215" s="496" t="str">
        <f> IF(BK235&lt;&gt;"",TEXT(AUX!BO$1,"dd-MMM-aa"),"")</f>
      </c>
      <c r="BL215" s="496" t="str">
        <f> IF(BL235&lt;&gt;"",TEXT(AUX!BP$1,"dd-MMM-aa"),"")</f>
      </c>
      <c r="BM215" s="496" t="str">
        <f> IF(BM235&lt;&gt;"",TEXT(AUX!BQ$1,"dd-MMM-aa"),"")</f>
      </c>
      <c r="BN215" s="496" t="str">
        <f> IF(BN235&lt;&gt;"",TEXT(AUX!BR$1,"dd-MMM-aa"),"")</f>
      </c>
      <c r="BO215" s="496" t="str">
        <f> IF(BO235&lt;&gt;"",TEXT(AUX!BS$1,"dd-MMM-aa"),"")</f>
      </c>
      <c r="BP215" s="496" t="str">
        <f> IF(BP235&lt;&gt;"",TEXT(AUX!BT$1,"dd-MMM-aa"),"")</f>
      </c>
      <c r="BQ215" s="496" t="str">
        <f> IF(BQ235&lt;&gt;"",TEXT(AUX!BU$1,"dd-MMM-aa"),"")</f>
      </c>
      <c r="BR215" s="496" t="str">
        <f> IF(BR235&lt;&gt;"",TEXT(AUX!BV$1,"dd-MMM-aa"),"")</f>
      </c>
      <c r="BS215" s="496" t="str">
        <f> IF(BS235&lt;&gt;"",TEXT(AUX!BW$1,"dd-MMM-aa"),"")</f>
      </c>
      <c r="BT215" s="496" t="str">
        <f> IF(BT235&lt;&gt;"",TEXT(AUX!BX$1,"dd-MMM-aa"),"")</f>
      </c>
      <c r="BU215" s="496" t="str">
        <f> IF(BU235&lt;&gt;"",TEXT(AUX!BY$1,"dd-MMM-aa"),"")</f>
      </c>
      <c r="BV215" s="496" t="str">
        <f> IF(BV235&lt;&gt;"",TEXT(AUX!BZ$1,"dd-MMM-aa"),"")</f>
      </c>
      <c r="BW215" s="496" t="str">
        <f> IF(BW235&lt;&gt;"",TEXT(AUX!CA$1,"dd-MMM-aa"),"")</f>
      </c>
      <c r="BX215" s="496" t="str">
        <f> IF(BX235&lt;&gt;"",TEXT(AUX!CB$1,"dd-MMM-aa"),"")</f>
      </c>
      <c r="BY215" s="496" t="str">
        <f> IF(BY235&lt;&gt;"",TEXT(AUX!CC$1,"dd-MMM-aa"),"")</f>
      </c>
      <c r="BZ215" s="496" t="str">
        <f> IF(BZ235&lt;&gt;"",TEXT(AUX!CD$1,"dd-MMM-aa"),"")</f>
      </c>
      <c r="CA215" s="496" t="str">
        <f> IF(CA235&lt;&gt;"",TEXT(AUX!CE$1,"dd-MMM-aa"),"")</f>
      </c>
      <c r="CB215" s="496" t="str">
        <f> IF(CB235&lt;&gt;"",TEXT(AUX!CF$1,"dd-MMM-aa"),"")</f>
      </c>
      <c r="CC215" s="496" t="str">
        <f> IF(CC235&lt;&gt;"",TEXT(AUX!CG$1,"dd-MMM-aa"),"")</f>
      </c>
      <c r="CD215" s="496" t="str">
        <f> IF(CD235&lt;&gt;"",TEXT(AUX!CH$1,"dd-MMM-aa"),"")</f>
      </c>
      <c r="CE215" s="496" t="str">
        <f> IF(CE235&lt;&gt;"",TEXT(AUX!CI$1,"dd-MMM-aa"),"")</f>
      </c>
      <c r="CF215" s="496" t="str">
        <f> IF(CF235&lt;&gt;"",TEXT(AUX!CJ$1,"dd-MMM-aa"),"")</f>
      </c>
      <c r="CG215" s="496" t="str">
        <f> IF(CG235&lt;&gt;"",TEXT(AUX!CK$1,"dd-MMM-aa"),"")</f>
      </c>
      <c r="CH215" s="496" t="str">
        <f> IF(CH235&lt;&gt;"",TEXT(AUX!CL$1,"dd-MMM-aa"),"")</f>
      </c>
      <c r="CI215" s="496" t="str">
        <f> IF(CI235&lt;&gt;"",TEXT(AUX!CM$1,"dd-MMM-aa"),"")</f>
      </c>
      <c r="CJ215" s="496" t="str">
        <f> IF(CJ235&lt;&gt;"",TEXT(AUX!CN$1,"dd-MMM-aa"),"")</f>
      </c>
      <c r="CK215" s="496" t="str">
        <f> IF(CK235&lt;&gt;"",TEXT(AUX!CO$1,"dd-MMM-aa"),"")</f>
      </c>
      <c r="CL215" s="496" t="str">
        <f> IF(CL235&lt;&gt;"",TEXT(AUX!CP$1,"dd-MMM-aa"),"")</f>
      </c>
      <c r="CM215" s="496" t="str">
        <f> IF(CM235&lt;&gt;"",TEXT(AUX!CQ$1,"dd-MMM-aa"),"")</f>
      </c>
      <c r="CN215" s="496" t="str">
        <f> IF(CN235&lt;&gt;"",TEXT(AUX!CR$1,"dd-MMM-aa"),"")</f>
      </c>
      <c r="CO215" s="496" t="str">
        <f> IF(CO235&lt;&gt;"",TEXT(AUX!CS$1,"dd-MMM-aa"),"")</f>
      </c>
      <c r="CP215" s="496" t="str">
        <f> IF(CP235&lt;&gt;"",TEXT(AUX!CT$1,"dd-MMM-aa"),"")</f>
      </c>
      <c r="CQ215" s="496" t="str">
        <f> IF(CQ235&lt;&gt;"",TEXT(AUX!CU$1,"dd-MMM-aa"),"")</f>
      </c>
      <c r="CR215" s="496" t="str">
        <f> IF(CR235&lt;&gt;"",TEXT(AUX!CV$1,"dd-MMM-aa"),"")</f>
      </c>
      <c r="CS215" s="496" t="str">
        <f> IF(CS235&lt;&gt;"",TEXT(AUX!CW$1,"dd-MMM-aa"),"")</f>
      </c>
      <c r="CT215" s="496" t="str">
        <f> IF(CT235&lt;&gt;"",TEXT(AUX!CX$1,"dd-MMM-aa"),"")</f>
      </c>
      <c r="CU215" s="496" t="str">
        <f> IF(CU235&lt;&gt;"",TEXT(AUX!CY$1,"dd-MMM-aa"),"")</f>
      </c>
      <c r="CV215" s="496" t="str">
        <f> IF(CV235&lt;&gt;"",TEXT(AUX!CZ$1,"dd-MMM-aa"),"")</f>
      </c>
      <c r="CW215" s="496" t="str">
        <f> IF(CW235&lt;&gt;"",TEXT(AUX!DA$1,"dd-MMM-aa"),"")</f>
      </c>
      <c r="CX215" s="496" t="str">
        <f> IF(CX235&lt;&gt;"",TEXT(AUX!DB$1,"dd-MMM-aa"),"")</f>
      </c>
      <c r="CY215" s="496" t="str">
        <f> IF(CY235&lt;&gt;"",TEXT(AUX!DC$1,"dd-MMM-aa"),"")</f>
      </c>
      <c r="CZ215" s="496" t="str">
        <f> IF(CZ235&lt;&gt;"",TEXT(AUX!DD$1,"dd-MMM-aa"),"")</f>
      </c>
      <c r="DA215" s="496" t="str">
        <f> IF(DA235&lt;&gt;"",TEXT(AUX!DE$1,"dd-MMM-aa"),"")</f>
      </c>
      <c r="DB215" s="496" t="str">
        <f> IF(DB235&lt;&gt;"",TEXT(AUX!DF$1,"dd-MMM-aa"),"")</f>
      </c>
      <c r="DC215" s="496" t="str">
        <f> IF(DC235&lt;&gt;"",TEXT(AUX!DG$1,"dd-MMM-aa"),"")</f>
      </c>
      <c r="DD215" s="496" t="str">
        <f> IF(DD235&lt;&gt;"",TEXT(AUX!DH$1,"dd-MMM-aa"),"")</f>
      </c>
      <c r="DE215" s="496" t="str">
        <f> IF(DE235&lt;&gt;"",TEXT(AUX!DI$1,"dd-MMM-aa"),"")</f>
      </c>
      <c r="DF215" s="496" t="str">
        <f> IF(DF235&lt;&gt;"",TEXT(AUX!DJ$1,"dd-MMM-aa"),"")</f>
      </c>
      <c r="DG215" s="496" t="str">
        <f> IF(DG235&lt;&gt;"",TEXT(AUX!DK$1,"dd-MMM-aa"),"")</f>
      </c>
      <c r="DH215" s="496" t="str">
        <f> IF(DH235&lt;&gt;"",TEXT(AUX!DL$1,"dd-MMM-aa"),"")</f>
      </c>
      <c r="DI215" s="496" t="str">
        <f> IF(DI235&lt;&gt;"",TEXT(AUX!DM$1,"dd-MMM-aa"),"")</f>
      </c>
      <c r="DJ215" s="496" t="str">
        <f> IF(DJ235&lt;&gt;"",TEXT(AUX!DN$1,"dd-MMM-aa"),"")</f>
      </c>
      <c r="DK215" s="496" t="str">
        <f> IF(DK235&lt;&gt;"",TEXT(AUX!DO$1,"dd-MMM-aa"),"")</f>
      </c>
      <c r="DL215" s="496" t="str">
        <f> IF(DL235&lt;&gt;"",TEXT(AUX!DP$1,"dd-MMM-aa"),"")</f>
      </c>
      <c r="DM215" s="496" t="str">
        <f> IF(DM235&lt;&gt;"",TEXT(AUX!DQ$1,"dd-MMM-aa"),"")</f>
      </c>
      <c r="DN215" s="496" t="str">
        <f> IF(DN235&lt;&gt;"",TEXT(AUX!DR$1,"dd-MMM-aa"),"")</f>
      </c>
      <c r="DO215" s="496" t="str">
        <f> IF(DO235&lt;&gt;"",TEXT(AUX!DS$1,"dd-MMM-aa"),"")</f>
      </c>
      <c r="DP215" s="496" t="str">
        <f> IF(DP235&lt;&gt;"",TEXT(AUX!DT$1,"dd-MMM-aa"),"")</f>
      </c>
      <c r="DQ215" s="496" t="str">
        <f> IF(DQ235&lt;&gt;"",TEXT(AUX!DU$1,"dd-MMM-aa"),"")</f>
      </c>
      <c r="DR215" s="496" t="str">
        <f> IF(DR235&lt;&gt;"",TEXT(AUX!DV$1,"dd-MMM-aa"),"")</f>
      </c>
      <c r="DS215" s="496" t="str">
        <f> IF(DS235&lt;&gt;"",TEXT(AUX!DW$1,"dd-MMM-aa"),"")</f>
      </c>
      <c r="DT215" s="496" t="str">
        <f> IF(DT235&lt;&gt;"",TEXT(AUX!DX$1,"dd-MMM-aa"),"")</f>
      </c>
      <c r="DU215" s="496" t="str">
        <f> IF(DU235&lt;&gt;"",TEXT(AUX!DY$1,"dd-MMM-aa"),"")</f>
      </c>
      <c r="DV215" s="496" t="str">
        <f> IF(DV235&lt;&gt;"",TEXT(AUX!DZ$1,"dd-MMM-aa"),"")</f>
      </c>
      <c r="DW215" s="496" t="str">
        <f> IF(DW235&lt;&gt;"",TEXT(AUX!EA$1,"dd-MMM-aa"),"")</f>
      </c>
      <c r="DX215" s="496" t="str">
        <f> IF(DX235&lt;&gt;"",TEXT(AUX!EB$1,"dd-MMM-aa"),"")</f>
      </c>
      <c r="DY215" s="496" t="str">
        <f> IF(DY235&lt;&gt;"",TEXT(AUX!EC$1,"dd-MMM-aa"),"")</f>
      </c>
      <c r="DZ215" s="496" t="str">
        <f> IF(DZ235&lt;&gt;"",TEXT(AUX!ED$1,"dd-MMM-aa"),"")</f>
      </c>
      <c r="EA215" s="496" t="str">
        <f> IF(EA235&lt;&gt;"",TEXT(AUX!EE$1,"dd-MMM-aa"),"")</f>
      </c>
      <c r="EB215" s="496" t="str">
        <f> IF(EB235&lt;&gt;"",TEXT(AUX!EF$1,"dd-MMM-aa"),"")</f>
      </c>
      <c r="EC215" s="496" t="str">
        <f> IF(EC235&lt;&gt;"",TEXT(AUX!EG$1,"dd-MMM-aa"),"")</f>
      </c>
      <c r="ED215" s="496" t="str">
        <f> IF(ED235&lt;&gt;"",TEXT(AUX!EH$1,"dd-MMM-aa"),"")</f>
      </c>
      <c r="EE215" s="496" t="str">
        <f> IF(EE235&lt;&gt;"",TEXT(AUX!EI$1,"dd-MMM-aa"),"")</f>
      </c>
      <c r="EF215" s="496" t="str">
        <f> IF(EF235&lt;&gt;"",TEXT(AUX!EJ$1,"dd-MMM-aa"),"")</f>
      </c>
      <c r="EG215" s="496" t="str">
        <f> IF(EG235&lt;&gt;"",TEXT(AUX!EK$1,"dd-MMM-aa"),"")</f>
      </c>
      <c r="EH215" s="496" t="str">
        <f> IF(EH235&lt;&gt;"",TEXT(AUX!EL$1,"dd-MMM-aa"),"")</f>
      </c>
      <c r="EI215" s="496" t="str">
        <f> IF(EI235&lt;&gt;"",TEXT(AUX!EM$1,"dd-MMM-aa"),"")</f>
      </c>
      <c r="EJ215" s="496" t="str">
        <f> IF(EJ235&lt;&gt;"",TEXT(AUX!EN$1,"dd-MMM-aa"),"")</f>
      </c>
      <c r="EK215" s="496" t="str">
        <f> IF(EK235&lt;&gt;"",TEXT(AUX!EO$1,"dd-MMM-aa"),"")</f>
      </c>
      <c r="EL215" s="496" t="str">
        <f> IF(EL235&lt;&gt;"",TEXT(AUX!EP$1,"dd-MMM-aa"),"")</f>
      </c>
      <c r="EM215" s="496" t="str">
        <f> IF(EM235&lt;&gt;"",TEXT(AUX!EQ$1,"dd-MMM-aa"),"")</f>
      </c>
      <c r="EN215" s="496" t="str">
        <f> IF(EN235&lt;&gt;"",TEXT(AUX!ER$1,"dd-MMM-aa"),"")</f>
      </c>
      <c r="EO215" s="496" t="str">
        <f> IF(EO235&lt;&gt;"",TEXT(AUX!ES$1,"dd-MMM-aa"),"")</f>
      </c>
      <c r="EP215" s="496" t="str">
        <f> IF(EP235&lt;&gt;"",TEXT(AUX!ET$1,"dd-MMM-aa"),"")</f>
      </c>
      <c r="EQ215" s="496" t="str">
        <f> IF(EQ235&lt;&gt;"",TEXT(AUX!EU$1,"dd-MMM-aa"),"")</f>
      </c>
      <c r="ER215" s="496" t="str">
        <f> IF(ER235&lt;&gt;"",TEXT(AUX!EV$1,"dd-MMM-aa"),"")</f>
      </c>
      <c r="ES215" s="496" t="str">
        <f> IF(ES235&lt;&gt;"",TEXT(AUX!EW$1,"dd-MMM-aa"),"")</f>
      </c>
      <c r="ET215" s="496" t="str">
        <f> IF(ET235&lt;&gt;"",TEXT(AUX!EX$1,"dd-MMM-aa"),"")</f>
      </c>
      <c r="EU215" s="496" t="str">
        <f> IF(EU235&lt;&gt;"",TEXT(AUX!EY$1,"dd-MMM-aa"),"")</f>
      </c>
      <c r="EV215" s="496" t="str">
        <f> IF(EV235&lt;&gt;"",TEXT(AUX!EZ$1,"dd-MMM-aa"),"")</f>
      </c>
      <c r="EW215" s="496" t="str">
        <f> IF(EW235&lt;&gt;"",TEXT(AUX!FA$1,"dd-MMM-aa"),"")</f>
      </c>
      <c r="EX215" s="496" t="str">
        <f> IF(EX235&lt;&gt;"",TEXT(AUX!FB$1,"dd-MMM-aa"),"")</f>
      </c>
      <c r="EY215" s="496" t="str">
        <f> IF(EY235&lt;&gt;"",TEXT(AUX!FC$1,"dd-MMM-aa"),"")</f>
      </c>
      <c r="EZ215" s="496" t="str">
        <f> IF(EZ235&lt;&gt;"",TEXT(AUX!FD$1,"dd-MMM-aa"),"")</f>
      </c>
      <c r="FA215" s="496" t="str">
        <f> IF(FA235&lt;&gt;"",TEXT(AUX!FE$1,"dd-MMM-aa"),"")</f>
      </c>
      <c r="FB215" s="496" t="str">
        <f> IF(FB235&lt;&gt;"",TEXT(AUX!FF$1,"dd-MMM-aa"),"")</f>
      </c>
      <c r="FC215" s="496" t="str">
        <f> IF(FC235&lt;&gt;"",TEXT(AUX!FG$1,"dd-MMM-aa"),"")</f>
      </c>
      <c r="FD215" s="496" t="str">
        <f> IF(FD235&lt;&gt;"",TEXT(AUX!FH$1,"dd-MMM-aa"),"")</f>
      </c>
      <c r="FE215" s="496" t="str">
        <f> IF(FE235&lt;&gt;"",TEXT(AUX!FI$1,"dd-MMM-aa"),"")</f>
      </c>
      <c r="FF215" s="496" t="str">
        <f> IF(FF235&lt;&gt;"",TEXT(AUX!FJ$1,"dd-MMM-aa"),"")</f>
      </c>
      <c r="FG215" s="496" t="str">
        <f> IF(FG235&lt;&gt;"",TEXT(AUX!FK$1,"dd-MMM-aa"),"")</f>
      </c>
      <c r="FH215" s="496" t="str">
        <f> IF(FH235&lt;&gt;"",TEXT(AUX!FL$1,"dd-MMM-aa"),"")</f>
      </c>
      <c r="FI215" s="496" t="str">
        <f> IF(FI235&lt;&gt;"",TEXT(AUX!FM$1,"dd-MMM-aa"),"")</f>
      </c>
      <c r="FJ215" s="496" t="str">
        <f> IF(FJ235&lt;&gt;"",TEXT(AUX!FN$1,"dd-MMM-aa"),"")</f>
      </c>
      <c r="FK215" s="496" t="str">
        <f> IF(FK235&lt;&gt;"",TEXT(AUX!FO$1,"dd-MMM-aa"),"")</f>
      </c>
      <c r="FL215" s="496" t="str">
        <f> IF(FL235&lt;&gt;"",TEXT(AUX!FP$1,"dd-MMM-aa"),"")</f>
      </c>
      <c r="FM215" s="496" t="str">
        <f> IF(FM235&lt;&gt;"",TEXT(AUX!FQ$1,"dd-MMM-aa"),"")</f>
      </c>
      <c r="FN215" s="496" t="str">
        <f> IF(FN235&lt;&gt;"",TEXT(AUX!FR$1,"dd-MMM-aa"),"")</f>
      </c>
      <c r="FO215" s="496" t="str">
        <f> IF(FO235&lt;&gt;"",TEXT(AUX!FS$1,"dd-MMM-aa"),"")</f>
      </c>
      <c r="FP215" s="496" t="str">
        <f> IF(FP235&lt;&gt;"",TEXT(AUX!FT$1,"dd-MMM-aa"),"")</f>
      </c>
      <c r="FQ215" s="496" t="str">
        <f> IF(FQ235&lt;&gt;"",TEXT(AUX!FU$1,"dd-MMM-aa"),"")</f>
      </c>
      <c r="FR215" s="496" t="str">
        <f> IF(FR235&lt;&gt;"",TEXT(AUX!FV$1,"dd-MMM-aa"),"")</f>
      </c>
      <c r="FS215" s="496" t="str">
        <f> IF(FS235&lt;&gt;"",TEXT(AUX!FW$1,"dd-MMM-aa"),"")</f>
      </c>
      <c r="FT215" s="496" t="str">
        <f> IF(FT235&lt;&gt;"",TEXT(AUX!FX$1,"dd-MMM-aa"),"")</f>
      </c>
      <c r="FU215" s="496" t="str">
        <f> IF(FU235&lt;&gt;"",TEXT(AUX!FY$1,"dd-MMM-aa"),"")</f>
      </c>
      <c r="FV215" s="496" t="str">
        <f> IF(FV235&lt;&gt;"",TEXT(AUX!FZ$1,"dd-MMM-aa"),"")</f>
      </c>
      <c r="FW215" s="496" t="str">
        <f> IF(FW235&lt;&gt;"",TEXT(AUX!GA$1,"dd-MMM-aa"),"")</f>
      </c>
      <c r="FX215" s="496" t="str">
        <f> IF(FX235&lt;&gt;"",TEXT(AUX!GB$1,"dd-MMM-aa"),"")</f>
      </c>
      <c r="FY215" s="496" t="str">
        <f> IF(FY235&lt;&gt;"",TEXT(AUX!GC$1,"dd-MMM-aa"),"")</f>
      </c>
      <c r="FZ215" s="496" t="str">
        <f> IF(FZ235&lt;&gt;"",TEXT(AUX!GD$1,"dd-MMM-aa"),"")</f>
      </c>
      <c r="GA215" s="496" t="str">
        <f> IF(GA235&lt;&gt;"",TEXT(AUX!GE$1,"dd-MMM-aa"),"")</f>
      </c>
      <c r="GB215" s="496" t="str">
        <f> IF(GB235&lt;&gt;"",TEXT(AUX!GF$1,"dd-MMM-aa"),"")</f>
      </c>
      <c r="GC215" s="496" t="str">
        <f> IF(GC235&lt;&gt;"",TEXT(AUX!GG$1,"dd-MMM-aa"),"")</f>
      </c>
      <c r="GD215" s="496" t="str">
        <f> IF(GD235&lt;&gt;"",TEXT(AUX!GH$1,"dd-MMM-aa"),"")</f>
      </c>
      <c r="GE215" s="496" t="str">
        <f> IF(GE235&lt;&gt;"",TEXT(AUX!GI$1,"dd-MMM-aa"),"")</f>
      </c>
      <c r="GF215" s="496" t="str">
        <f> IF(GF235&lt;&gt;"",TEXT(AUX!GJ$1,"dd-MMM-aa"),"")</f>
      </c>
      <c r="GG215" s="496" t="str">
        <f> IF(GG235&lt;&gt;"",TEXT(AUX!GK$1,"dd-MMM-aa"),"")</f>
      </c>
      <c r="GH215" s="496" t="str">
        <f> IF(GH235&lt;&gt;"",TEXT(AUX!GL$1,"dd-MMM-aa"),"")</f>
      </c>
      <c r="GI215" s="496" t="str">
        <f> IF(GI235&lt;&gt;"",TEXT(AUX!GM$1,"dd-MMM-aa"),"")</f>
      </c>
      <c r="GJ215" s="496" t="str">
        <f> IF(GJ235&lt;&gt;"",TEXT(AUX!GN$1,"dd-MMM-aa"),"")</f>
      </c>
      <c r="GK215" s="496" t="str">
        <f> IF(GK235&lt;&gt;"",TEXT(AUX!GO$1,"dd-MMM-aa"),"")</f>
      </c>
      <c r="GL215" s="496" t="str">
        <f> IF(GL235&lt;&gt;"",TEXT(AUX!GP$1,"dd-MMM-aa"),"")</f>
      </c>
      <c r="GM215" s="496" t="str">
        <f> IF(GM235&lt;&gt;"",TEXT(AUX!GQ$1,"dd-MMM-aa"),"")</f>
      </c>
      <c r="GN215" s="496" t="str">
        <f> IF(GN235&lt;&gt;"",TEXT(AUX!GR$1,"dd-MMM-aa"),"")</f>
      </c>
      <c r="GO215" s="496" t="str">
        <f> IF(GO235&lt;&gt;"",TEXT(AUX!GS$1,"dd-MMM-aa"),"")</f>
      </c>
      <c r="GP215" s="496" t="str">
        <f> IF(GP235&lt;&gt;"",TEXT(AUX!GT$1,"dd-MMM-aa"),"")</f>
      </c>
      <c r="GQ215" s="496" t="str">
        <f> IF(GQ235&lt;&gt;"",TEXT(AUX!GU$1,"dd-MMM-aa"),"")</f>
      </c>
      <c r="GR215" s="496" t="str">
        <f> IF(GR235&lt;&gt;"",TEXT(AUX!GV$1,"dd-MMM-aa"),"")</f>
      </c>
      <c r="GS215" s="496" t="str">
        <f> IF(GS235&lt;&gt;"",TEXT(AUX!GW$1,"dd-MMM-aa"),"")</f>
      </c>
      <c r="GT215" s="496" t="str">
        <f> IF(GT235&lt;&gt;"",TEXT(AUX!GX$1,"dd-MMM-aa"),"")</f>
      </c>
      <c r="GU215" s="496" t="str">
        <f> IF(GU235&lt;&gt;"",TEXT(AUX!GY$1,"dd-MMM-aa"),"")</f>
      </c>
      <c r="GV215" s="496" t="str">
        <f> IF(GV235&lt;&gt;"",TEXT(AUX!GZ$1,"dd-MMM-aa"),"")</f>
      </c>
      <c r="GW215" s="496" t="str">
        <f> IF(GW235&lt;&gt;"",TEXT(AUX!HA$1,"dd-MMM-aa"),"")</f>
      </c>
      <c r="GX215" s="496" t="str">
        <f> IF(GX235&lt;&gt;"",TEXT(AUX!HB$1,"dd-MMM-aa"),"")</f>
      </c>
      <c r="GY215" s="496" t="str">
        <f> IF(GY235&lt;&gt;"",TEXT(AUX!HC$1,"dd-MMM-aa"),"")</f>
      </c>
      <c r="GZ215" s="496" t="str">
        <f> IF(GZ235&lt;&gt;"",TEXT(AUX!HD$1,"dd-MMM-aa"),"")</f>
      </c>
      <c r="HA215" s="496" t="str">
        <f> IF(HA235&lt;&gt;"",TEXT(AUX!HE$1,"dd-MMM-aa"),"")</f>
      </c>
      <c r="HB215" s="496" t="str">
        <f> IF(HB235&lt;&gt;"",TEXT(AUX!HF$1,"dd-MMM-aa"),"")</f>
      </c>
      <c r="HC215" s="496" t="str">
        <f> IF(HC235&lt;&gt;"",TEXT(AUX!HG$1,"dd-MMM-aa"),"")</f>
      </c>
      <c r="HD215" s="496" t="str">
        <f> IF(HD235&lt;&gt;"",TEXT(AUX!HH$1,"dd-MMM-aa"),"")</f>
      </c>
      <c r="HE215" s="496" t="str">
        <f> IF(HE235&lt;&gt;"",TEXT(AUX!HI$1,"dd-MMM-aa"),"")</f>
      </c>
      <c r="HF215" s="496" t="str">
        <f> IF(HF235&lt;&gt;"",TEXT(AUX!HJ$1,"dd-MMM-aa"),"")</f>
      </c>
      <c r="HG215" s="496" t="str">
        <f> IF(HG235&lt;&gt;"",TEXT(AUX!HK$1,"dd-MMM-aa"),"")</f>
      </c>
      <c r="HH215" s="496" t="str">
        <f> IF(HH235&lt;&gt;"",TEXT(AUX!HL$1,"dd-MMM-aa"),"")</f>
      </c>
      <c r="HI215" s="496" t="str">
        <f> IF(HI235&lt;&gt;"",TEXT(AUX!HM$1,"dd-MMM-aa"),"")</f>
      </c>
      <c r="HJ215" s="496" t="str">
        <f> IF(HJ235&lt;&gt;"",TEXT(AUX!HN$1,"dd-MMM-aa"),"")</f>
      </c>
      <c r="HK215" s="496" t="str">
        <f> IF(HK235&lt;&gt;"",TEXT(AUX!HO$1,"dd-MMM-aa"),"")</f>
      </c>
      <c r="HL215" s="496" t="str">
        <f> IF(HL235&lt;&gt;"",TEXT(AUX!HP$1,"dd-MMM-aa"),"")</f>
      </c>
      <c r="HM215" s="496" t="str">
        <f> IF(HM235&lt;&gt;"",TEXT(AUX!HQ$1,"dd-MMM-aa"),"")</f>
      </c>
      <c r="HN215" s="496" t="str">
        <f> IF(HN235&lt;&gt;"",TEXT(AUX!HR$1,"dd-MMM-aa"),"")</f>
      </c>
      <c r="HO215" s="496" t="str">
        <f> IF(HO235&lt;&gt;"",TEXT(AUX!HS$1,"dd-MMM-aa"),"")</f>
      </c>
      <c r="HP215" s="496" t="str">
        <f> IF(HP235&lt;&gt;"",TEXT(AUX!HT$1,"dd-MMM-aa"),"")</f>
      </c>
      <c r="HQ215" s="496" t="str">
        <f> IF(HQ235&lt;&gt;"",TEXT(AUX!HU$1,"dd-MMM-aa"),"")</f>
      </c>
      <c r="HR215" s="496" t="str">
        <f> IF(HR235&lt;&gt;"",TEXT(AUX!HV$1,"dd-MMM-aa"),"")</f>
      </c>
      <c r="HS215" s="496" t="str">
        <f> IF(HS235&lt;&gt;"",TEXT(AUX!HW$1,"dd-MMM-aa"),"")</f>
      </c>
      <c r="HT215" s="496" t="str">
        <f> IF(HT235&lt;&gt;"",TEXT(AUX!HX$1,"dd-MMM-aa"),"")</f>
      </c>
      <c r="HU215" s="496" t="str">
        <f> IF(HU235&lt;&gt;"",TEXT(AUX!HY$1,"dd-MMM-aa"),"")</f>
      </c>
      <c r="HV215" s="496" t="str">
        <f> IF(HV235&lt;&gt;"",TEXT(AUX!HZ$1,"dd-MMM-aa"),"")</f>
      </c>
      <c r="HW215" s="496" t="str">
        <f> IF(HW235&lt;&gt;"",TEXT(AUX!IA$1,"dd-MMM-aa"),"")</f>
      </c>
      <c r="HX215" s="496" t="str">
        <f> IF(HX235&lt;&gt;"",TEXT(AUX!IB$1,"dd-MMM-aa"),"")</f>
      </c>
      <c r="HY215" s="496" t="str">
        <f> IF(HY235&lt;&gt;"",TEXT(AUX!IC$1,"dd-MMM-aa"),"")</f>
      </c>
      <c r="HZ215" s="496" t="str">
        <f> IF(HZ235&lt;&gt;"",TEXT(AUX!ID$1,"dd-MMM-aa"),"")</f>
      </c>
      <c r="IA215" s="496" t="str">
        <f> IF(IA235&lt;&gt;"",TEXT(AUX!IE$1,"dd-MMM-aa"),"")</f>
      </c>
      <c r="IB215" s="496" t="str">
        <f> IF(IB235&lt;&gt;"",TEXT(AUX!IF$1,"dd-MMM-aa"),"")</f>
      </c>
      <c r="IC215" s="496" t="str">
        <f> IF(IC235&lt;&gt;"",TEXT(AUX!IG$1,"dd-MMM-aa"),"")</f>
      </c>
      <c r="ID215" s="496" t="str">
        <f> IF(ID235&lt;&gt;"",TEXT(AUX!IH$1,"dd-MMM-aa"),"")</f>
      </c>
      <c r="IE215" s="496" t="str">
        <f> IF(IE235&lt;&gt;"",TEXT(AUX!II$1,"dd-MMM-aa"),"")</f>
      </c>
      <c r="IF215" s="496" t="str">
        <f> IF(IF235&lt;&gt;"",TEXT(AUX!IJ$1,"dd-MMM-aa"),"")</f>
      </c>
      <c r="IG215" s="496" t="str">
        <f> IF(IG235&lt;&gt;"",TEXT(AUX!IK$1,"dd-MMM-aa"),"")</f>
      </c>
      <c r="IH215" s="496" t="str">
        <f> IF(IH235&lt;&gt;"",TEXT(AUX!IL$1,"dd-MMM-aa"),"")</f>
      </c>
      <c r="II215" s="496" t="str">
        <f> IF(II235&lt;&gt;"",TEXT(AUX!IM$1,"dd-MMM-aa"),"")</f>
      </c>
      <c r="IJ215" s="496" t="str">
        <f> IF(IJ235&lt;&gt;"",TEXT(AUX!IN$1,"dd-MMM-aa"),"")</f>
      </c>
      <c r="IK215" s="496" t="str">
        <f> IF(IK235&lt;&gt;"",TEXT(AUX!IO$1,"dd-MMM-aa"),"")</f>
      </c>
      <c r="IL215" s="496" t="str">
        <f> IF(IL235&lt;&gt;"",TEXT(AUX!IP$1,"dd-MMM-aa"),"")</f>
      </c>
      <c r="IM215" s="496" t="str">
        <f> IF(IM235&lt;&gt;"",TEXT(AUX!IQ$1,"dd-MMM-aa"),"")</f>
      </c>
      <c r="IN215" s="496" t="str">
        <f> IF(IN235&lt;&gt;"",TEXT(AUX!IR$1,"dd-MMM-aa"),"")</f>
      </c>
      <c r="IO215" s="496" t="str">
        <f> IF(IO235&lt;&gt;"",TEXT(AUX!IS$1,"dd-MMM-aa"),"")</f>
      </c>
      <c r="IP215" s="496" t="str">
        <f> IF(IP235&lt;&gt;"",TEXT(AUX!IT$1,"dd-MMM-aa"),"")</f>
      </c>
      <c r="IQ215" s="496" t="str">
        <f> IF(IQ235&lt;&gt;"",TEXT(AUX!IU$1,"dd-MMM-aa"),"")</f>
      </c>
      <c r="IR215" s="496" t="str">
        <f> IF(IR235&lt;&gt;"",TEXT(AUX!IV$1,"dd-MMM-aa"),"")</f>
      </c>
      <c r="IS215" s="496" t="str">
        <f> IF(IS235&lt;&gt;"",TEXT(AUX!#REF!,"dd-MMM-aa"),"")</f>
      </c>
      <c r="IT215" s="496" t="str">
        <f> IF(IT235&lt;&gt;"",TEXT(AUX!#REF!,"dd-MMM-aa"),"")</f>
      </c>
      <c r="IU215" s="496" t="str">
        <f> IF(IU235&lt;&gt;"",TEXT(AUX!#REF!,"dd-MMM-aa"),"")</f>
      </c>
      <c r="IV215" s="496" t="str">
        <f> IF(IV235&lt;&gt;"",TEXT(AUX!#REF!,"dd-MMM-aa"),"")</f>
      </c>
    </row>
    <row r="216" hidden="1">
      <c r="B216" s="822" t="s">
        <v>8</v>
      </c>
      <c r="C216" s="823">
        <v>670</v>
      </c>
      <c r="D216" s="823">
        <v>728</v>
      </c>
      <c r="E216" s="823">
        <v>749</v>
      </c>
      <c r="F216" s="823">
        <v>776</v>
      </c>
      <c r="G216" s="823">
        <v>730</v>
      </c>
      <c r="H216" s="823">
        <v>753</v>
      </c>
      <c r="I216" s="823">
        <v>727</v>
      </c>
      <c r="J216" s="823">
        <v>781</v>
      </c>
      <c r="K216" s="823">
        <v>776</v>
      </c>
      <c r="L216" s="823">
        <v>804</v>
      </c>
      <c r="M216" s="823">
        <v>799</v>
      </c>
      <c r="N216" s="823">
        <v>821</v>
      </c>
      <c r="O216" s="823">
        <v>811</v>
      </c>
      <c r="P216" s="823">
        <v>838</v>
      </c>
      <c r="Q216" s="823">
        <v>873</v>
      </c>
      <c r="R216" s="823">
        <v>613</v>
      </c>
      <c r="S216" s="823">
        <v>440</v>
      </c>
      <c r="T216" s="823">
        <v>384</v>
      </c>
      <c r="U216" s="823">
        <v>265</v>
      </c>
      <c r="V216" s="823">
        <v>264</v>
      </c>
      <c r="W216" s="823">
        <v>254</v>
      </c>
      <c r="X216" s="823">
        <v>5964</v>
      </c>
      <c r="Y216" s="823">
        <v>244</v>
      </c>
      <c r="Z216" s="823">
        <v>246</v>
      </c>
      <c r="AA216" s="823">
        <v>239</v>
      </c>
      <c r="AB216" s="824">
        <v>236</v>
      </c>
      <c r="AC216" s="825">
        <v>230</v>
      </c>
      <c r="AD216" s="825">
        <v>233</v>
      </c>
      <c r="AE216" s="825">
        <v>227</v>
      </c>
      <c r="AF216" s="825">
        <v>223</v>
      </c>
      <c r="AG216" s="825">
        <v>223</v>
      </c>
      <c r="AH216" s="825">
        <v>215</v>
      </c>
      <c r="AI216" s="825">
        <v>203</v>
      </c>
      <c r="AJ216" s="825">
        <v>206</v>
      </c>
      <c r="AK216" s="825">
        <v>210</v>
      </c>
      <c r="AL216" s="825">
        <v>212</v>
      </c>
      <c r="AM216" s="825">
        <v>204</v>
      </c>
      <c r="AN216" s="825">
        <v>196</v>
      </c>
      <c r="AO216" s="825">
        <v>197</v>
      </c>
      <c r="AP216" s="825">
        <v>200</v>
      </c>
    </row>
    <row r="217" hidden="1">
      <c r="B217" s="826" t="s">
        <v>9</v>
      </c>
      <c r="C217" s="827">
        <v>1067</v>
      </c>
      <c r="D217" s="827">
        <v>1034</v>
      </c>
      <c r="E217" s="827">
        <v>1040</v>
      </c>
      <c r="F217" s="827">
        <v>1028</v>
      </c>
      <c r="G217" s="827">
        <v>1033</v>
      </c>
      <c r="H217" s="827">
        <v>1029</v>
      </c>
      <c r="I217" s="827">
        <v>1031</v>
      </c>
      <c r="J217" s="827">
        <v>1034</v>
      </c>
      <c r="K217" s="827">
        <v>1043</v>
      </c>
      <c r="L217" s="827">
        <v>1049</v>
      </c>
      <c r="M217" s="827">
        <v>1043</v>
      </c>
      <c r="N217" s="827">
        <v>1037</v>
      </c>
      <c r="O217" s="827">
        <v>1014</v>
      </c>
      <c r="P217" s="827">
        <v>1005</v>
      </c>
      <c r="Q217" s="827">
        <v>999</v>
      </c>
      <c r="R217" s="827">
        <v>984</v>
      </c>
      <c r="S217" s="827">
        <v>990</v>
      </c>
      <c r="T217" s="827">
        <v>993</v>
      </c>
      <c r="U217" s="827">
        <v>988</v>
      </c>
      <c r="V217" s="827">
        <v>992</v>
      </c>
      <c r="W217" s="827">
        <v>994</v>
      </c>
      <c r="X217" s="827">
        <v>996</v>
      </c>
      <c r="Y217" s="827">
        <v>1002</v>
      </c>
      <c r="Z217" s="827">
        <v>1006</v>
      </c>
      <c r="AA217" s="827">
        <v>1004</v>
      </c>
      <c r="AB217" s="827">
        <v>1007</v>
      </c>
      <c r="AC217" s="828">
        <v>1014</v>
      </c>
      <c r="AD217" s="828">
        <v>1025</v>
      </c>
      <c r="AE217" s="828">
        <v>1026</v>
      </c>
      <c r="AF217" s="828">
        <v>1027</v>
      </c>
      <c r="AG217" s="828">
        <v>1029</v>
      </c>
      <c r="AH217" s="828">
        <v>1038</v>
      </c>
      <c r="AI217" s="828">
        <v>1019</v>
      </c>
      <c r="AJ217" s="828">
        <v>1036</v>
      </c>
      <c r="AK217" s="828">
        <v>1049</v>
      </c>
      <c r="AL217" s="828">
        <v>1065</v>
      </c>
      <c r="AM217" s="828">
        <v>1074</v>
      </c>
      <c r="AN217" s="828">
        <v>1072</v>
      </c>
      <c r="AO217" s="828">
        <v>1071</v>
      </c>
      <c r="AP217" s="828">
        <v>1068</v>
      </c>
    </row>
    <row r="218" hidden="1">
      <c r="B218" s="829" t="s">
        <v>10</v>
      </c>
      <c r="C218" s="823">
        <v>4</v>
      </c>
      <c r="D218" s="823">
        <v>18</v>
      </c>
      <c r="E218" s="823">
        <v>74</v>
      </c>
      <c r="F218" s="823">
        <v>74</v>
      </c>
      <c r="G218" s="823">
        <v>73</v>
      </c>
      <c r="H218" s="823">
        <v>74</v>
      </c>
      <c r="I218" s="823">
        <v>75</v>
      </c>
      <c r="J218" s="823">
        <v>75</v>
      </c>
      <c r="K218" s="823">
        <v>75</v>
      </c>
      <c r="L218" s="823">
        <v>78</v>
      </c>
      <c r="M218" s="823">
        <v>80</v>
      </c>
      <c r="N218" s="823">
        <v>169</v>
      </c>
      <c r="O218" s="823">
        <v>170</v>
      </c>
      <c r="P218" s="823">
        <v>170</v>
      </c>
      <c r="Q218" s="823">
        <v>170</v>
      </c>
      <c r="R218" s="823">
        <v>171</v>
      </c>
      <c r="S218" s="823">
        <v>171</v>
      </c>
      <c r="T218" s="823">
        <v>172</v>
      </c>
      <c r="U218" s="823">
        <v>175</v>
      </c>
      <c r="V218" s="823">
        <v>175</v>
      </c>
      <c r="W218" s="823">
        <v>173</v>
      </c>
      <c r="X218" s="823">
        <v>173</v>
      </c>
      <c r="Y218" s="823">
        <v>173</v>
      </c>
      <c r="Z218" s="823">
        <v>173</v>
      </c>
      <c r="AA218" s="823">
        <v>173</v>
      </c>
      <c r="AB218" s="823">
        <v>173</v>
      </c>
      <c r="AC218" s="825">
        <v>173</v>
      </c>
      <c r="AD218" s="825">
        <v>173</v>
      </c>
      <c r="AE218" s="825">
        <v>173</v>
      </c>
      <c r="AF218" s="825">
        <v>171</v>
      </c>
      <c r="AG218" s="825">
        <v>172</v>
      </c>
      <c r="AH218" s="825">
        <v>171</v>
      </c>
      <c r="AI218" s="825">
        <v>172</v>
      </c>
      <c r="AJ218" s="825">
        <v>172</v>
      </c>
      <c r="AK218" s="825">
        <v>434</v>
      </c>
      <c r="AL218" s="825">
        <v>435</v>
      </c>
      <c r="AM218" s="825">
        <v>432</v>
      </c>
      <c r="AN218" s="825">
        <v>434</v>
      </c>
      <c r="AO218" s="825">
        <v>434</v>
      </c>
      <c r="AP218" s="825">
        <v>434</v>
      </c>
    </row>
    <row r="219" hidden="1">
      <c r="B219" s="826" t="s">
        <v>11</v>
      </c>
      <c r="C219" s="827">
        <v>44</v>
      </c>
      <c r="D219" s="827">
        <v>41</v>
      </c>
      <c r="E219" s="827">
        <v>42</v>
      </c>
      <c r="F219" s="827">
        <v>41</v>
      </c>
      <c r="G219" s="827">
        <v>39</v>
      </c>
      <c r="H219" s="827">
        <v>40</v>
      </c>
      <c r="I219" s="827">
        <v>40</v>
      </c>
      <c r="J219" s="827">
        <v>43</v>
      </c>
      <c r="K219" s="827">
        <v>73</v>
      </c>
      <c r="L219" s="827">
        <v>75</v>
      </c>
      <c r="M219" s="827">
        <v>82</v>
      </c>
      <c r="N219" s="827">
        <v>82</v>
      </c>
      <c r="O219" s="827">
        <v>85</v>
      </c>
      <c r="P219" s="827">
        <v>86</v>
      </c>
      <c r="Q219" s="827">
        <v>89</v>
      </c>
      <c r="R219" s="827">
        <v>89</v>
      </c>
      <c r="S219" s="827">
        <v>92</v>
      </c>
      <c r="T219" s="827">
        <v>94</v>
      </c>
      <c r="U219" s="827">
        <v>94</v>
      </c>
      <c r="V219" s="827">
        <v>93</v>
      </c>
      <c r="W219" s="827">
        <v>92</v>
      </c>
      <c r="X219" s="827">
        <v>92</v>
      </c>
      <c r="Y219" s="827">
        <v>92</v>
      </c>
      <c r="Z219" s="827">
        <v>112</v>
      </c>
      <c r="AA219" s="827">
        <v>101</v>
      </c>
      <c r="AB219" s="827">
        <v>110</v>
      </c>
      <c r="AC219" s="828">
        <v>151</v>
      </c>
      <c r="AD219" s="828">
        <v>163</v>
      </c>
      <c r="AE219" s="828">
        <v>172</v>
      </c>
      <c r="AF219" s="828">
        <v>172</v>
      </c>
      <c r="AG219" s="828">
        <v>160</v>
      </c>
      <c r="AH219" s="828">
        <v>165</v>
      </c>
      <c r="AI219" s="828">
        <v>170</v>
      </c>
      <c r="AJ219" s="828">
        <v>174</v>
      </c>
      <c r="AK219" s="828">
        <v>181</v>
      </c>
      <c r="AL219" s="828">
        <v>185</v>
      </c>
      <c r="AM219" s="828">
        <v>193</v>
      </c>
      <c r="AN219" s="828">
        <v>203</v>
      </c>
      <c r="AO219" s="828">
        <v>215</v>
      </c>
      <c r="AP219" s="828">
        <v>210</v>
      </c>
    </row>
    <row r="220" hidden="1">
      <c r="B220" s="829" t="s">
        <v>12</v>
      </c>
      <c r="C220" s="823">
        <v>4</v>
      </c>
      <c r="D220" s="823">
        <v>4</v>
      </c>
      <c r="E220" s="823">
        <v>5</v>
      </c>
      <c r="F220" s="823">
        <v>5</v>
      </c>
      <c r="G220" s="823">
        <v>7</v>
      </c>
      <c r="H220" s="823">
        <v>7</v>
      </c>
      <c r="I220" s="823">
        <v>12</v>
      </c>
      <c r="J220" s="823">
        <v>16</v>
      </c>
      <c r="K220" s="823">
        <v>14</v>
      </c>
      <c r="L220" s="823">
        <v>16</v>
      </c>
      <c r="M220" s="823">
        <v>19</v>
      </c>
      <c r="N220" s="823">
        <v>22</v>
      </c>
      <c r="O220" s="823">
        <v>19</v>
      </c>
      <c r="P220" s="823">
        <v>19</v>
      </c>
      <c r="Q220" s="823">
        <v>19</v>
      </c>
      <c r="R220" s="823">
        <v>19</v>
      </c>
      <c r="S220" s="823">
        <v>19</v>
      </c>
      <c r="T220" s="823">
        <v>19</v>
      </c>
      <c r="U220" s="823">
        <v>19</v>
      </c>
      <c r="V220" s="823">
        <v>18</v>
      </c>
      <c r="W220" s="823">
        <v>16</v>
      </c>
      <c r="X220" s="823">
        <v>15</v>
      </c>
      <c r="Y220" s="823">
        <v>15</v>
      </c>
      <c r="Z220" s="823">
        <v>13</v>
      </c>
      <c r="AA220" s="823">
        <v>13</v>
      </c>
      <c r="AB220" s="823">
        <v>14</v>
      </c>
      <c r="AC220" s="825">
        <v>15</v>
      </c>
      <c r="AD220" s="825">
        <v>15</v>
      </c>
      <c r="AE220" s="825">
        <v>15</v>
      </c>
      <c r="AF220" s="825">
        <v>15</v>
      </c>
      <c r="AG220" s="825">
        <v>15</v>
      </c>
      <c r="AH220" s="825">
        <v>15</v>
      </c>
      <c r="AI220" s="825">
        <v>15</v>
      </c>
      <c r="AJ220" s="825">
        <v>15</v>
      </c>
      <c r="AK220" s="825">
        <v>16</v>
      </c>
      <c r="AL220" s="825">
        <v>16</v>
      </c>
      <c r="AM220" s="825">
        <v>15</v>
      </c>
      <c r="AN220" s="825">
        <v>16</v>
      </c>
      <c r="AO220" s="825">
        <v>17</v>
      </c>
      <c r="AP220" s="825">
        <v>18</v>
      </c>
    </row>
    <row r="221" hidden="1">
      <c r="B221" s="826" t="s">
        <v>13</v>
      </c>
      <c r="C221" s="827">
        <v>17</v>
      </c>
      <c r="D221" s="827">
        <v>17</v>
      </c>
      <c r="E221" s="827">
        <v>3</v>
      </c>
      <c r="F221" s="827">
        <v>276</v>
      </c>
      <c r="G221" s="827">
        <v>405</v>
      </c>
      <c r="H221" s="827">
        <v>463</v>
      </c>
      <c r="I221" s="827">
        <v>472</v>
      </c>
      <c r="J221" s="827">
        <v>488</v>
      </c>
      <c r="K221" s="827">
        <v>496</v>
      </c>
      <c r="L221" s="827">
        <v>497</v>
      </c>
      <c r="M221" s="827">
        <v>507</v>
      </c>
      <c r="N221" s="827">
        <v>512</v>
      </c>
      <c r="O221" s="827">
        <v>518</v>
      </c>
      <c r="P221" s="827">
        <v>522</v>
      </c>
      <c r="Q221" s="827">
        <v>519</v>
      </c>
      <c r="R221" s="827">
        <v>518</v>
      </c>
      <c r="S221" s="827">
        <v>516</v>
      </c>
      <c r="T221" s="827">
        <v>521</v>
      </c>
      <c r="U221" s="827">
        <v>521</v>
      </c>
      <c r="V221" s="827">
        <v>525</v>
      </c>
      <c r="W221" s="827">
        <v>533</v>
      </c>
      <c r="X221" s="827">
        <v>537</v>
      </c>
      <c r="Y221" s="827">
        <v>538</v>
      </c>
      <c r="Z221" s="827">
        <v>548</v>
      </c>
      <c r="AA221" s="827">
        <v>598</v>
      </c>
      <c r="AB221" s="827">
        <v>611</v>
      </c>
      <c r="AC221" s="828">
        <v>617</v>
      </c>
      <c r="AD221" s="828">
        <v>618</v>
      </c>
      <c r="AE221" s="828">
        <v>622</v>
      </c>
      <c r="AF221" s="828">
        <v>638</v>
      </c>
      <c r="AG221" s="828">
        <v>646</v>
      </c>
      <c r="AH221" s="828">
        <v>650</v>
      </c>
      <c r="AI221" s="828">
        <v>654</v>
      </c>
      <c r="AJ221" s="828">
        <v>663</v>
      </c>
      <c r="AK221" s="828">
        <v>736</v>
      </c>
      <c r="AL221" s="828">
        <v>747</v>
      </c>
      <c r="AM221" s="828">
        <v>756</v>
      </c>
      <c r="AN221" s="828">
        <v>763</v>
      </c>
      <c r="AO221" s="828">
        <v>760</v>
      </c>
      <c r="AP221" s="828">
        <v>763</v>
      </c>
    </row>
    <row r="222" hidden="1">
      <c r="B222" s="829" t="s">
        <v>109</v>
      </c>
      <c r="C222" s="823">
        <v>610</v>
      </c>
      <c r="D222" s="823">
        <v>572</v>
      </c>
      <c r="E222" s="823">
        <v>563</v>
      </c>
      <c r="F222" s="823">
        <v>580</v>
      </c>
      <c r="G222" s="823">
        <v>579</v>
      </c>
      <c r="H222" s="823">
        <v>585</v>
      </c>
      <c r="I222" s="823">
        <v>597</v>
      </c>
      <c r="J222" s="823">
        <v>527</v>
      </c>
      <c r="K222" s="823">
        <v>563</v>
      </c>
      <c r="L222" s="823">
        <v>580</v>
      </c>
      <c r="M222" s="823">
        <v>578</v>
      </c>
      <c r="N222" s="823">
        <v>580</v>
      </c>
      <c r="O222" s="823">
        <v>597</v>
      </c>
      <c r="P222" s="823">
        <v>627</v>
      </c>
      <c r="Q222" s="823">
        <v>647</v>
      </c>
      <c r="R222" s="823">
        <v>647</v>
      </c>
      <c r="S222" s="823">
        <v>653</v>
      </c>
      <c r="T222" s="823">
        <v>684</v>
      </c>
      <c r="U222" s="823">
        <v>686</v>
      </c>
      <c r="V222" s="823">
        <v>729</v>
      </c>
      <c r="W222" s="823">
        <v>736</v>
      </c>
      <c r="X222" s="823">
        <v>730</v>
      </c>
      <c r="Y222" s="823">
        <v>755</v>
      </c>
      <c r="Z222" s="823">
        <v>724</v>
      </c>
      <c r="AA222" s="823">
        <v>703</v>
      </c>
      <c r="AB222" s="823">
        <v>702</v>
      </c>
      <c r="AC222" s="825">
        <v>685</v>
      </c>
      <c r="AD222" s="825">
        <v>707</v>
      </c>
      <c r="AE222" s="825">
        <v>659</v>
      </c>
      <c r="AF222" s="825">
        <v>671</v>
      </c>
      <c r="AG222" s="825">
        <v>659</v>
      </c>
      <c r="AH222" s="825">
        <v>680</v>
      </c>
      <c r="AI222" s="825">
        <v>700</v>
      </c>
      <c r="AJ222" s="825">
        <v>704</v>
      </c>
      <c r="AK222" s="825">
        <v>701</v>
      </c>
      <c r="AL222" s="825">
        <v>722</v>
      </c>
      <c r="AM222" s="825">
        <v>736</v>
      </c>
      <c r="AN222" s="825">
        <v>719</v>
      </c>
      <c r="AO222" s="825">
        <v>748</v>
      </c>
      <c r="AP222" s="825">
        <v>753</v>
      </c>
    </row>
    <row r="223" hidden="1">
      <c r="B223" s="826" t="s">
        <v>110</v>
      </c>
      <c r="C223" s="827">
        <v>310</v>
      </c>
      <c r="D223" s="827">
        <v>344</v>
      </c>
      <c r="E223" s="827">
        <v>393</v>
      </c>
      <c r="F223" s="827">
        <v>467</v>
      </c>
      <c r="G223" s="827">
        <v>525</v>
      </c>
      <c r="H223" s="827">
        <v>587</v>
      </c>
      <c r="I223" s="827">
        <v>672</v>
      </c>
      <c r="J223" s="827">
        <v>717</v>
      </c>
      <c r="K223" s="827">
        <v>746</v>
      </c>
      <c r="L223" s="827">
        <v>783</v>
      </c>
      <c r="M223" s="827">
        <v>796</v>
      </c>
      <c r="N223" s="827">
        <v>824</v>
      </c>
      <c r="O223" s="827">
        <v>867</v>
      </c>
      <c r="P223" s="827">
        <v>875</v>
      </c>
      <c r="Q223" s="827">
        <v>897</v>
      </c>
      <c r="R223" s="827">
        <v>923</v>
      </c>
      <c r="S223" s="827">
        <v>961</v>
      </c>
      <c r="T223" s="827">
        <v>1023</v>
      </c>
      <c r="U223" s="827">
        <v>1066</v>
      </c>
      <c r="V223" s="827">
        <v>1105</v>
      </c>
      <c r="W223" s="827">
        <v>1161</v>
      </c>
      <c r="X223" s="827">
        <v>1196</v>
      </c>
      <c r="Y223" s="827">
        <v>1246</v>
      </c>
      <c r="Z223" s="827">
        <v>1269</v>
      </c>
      <c r="AA223" s="827">
        <v>1296</v>
      </c>
      <c r="AB223" s="827">
        <v>1319</v>
      </c>
      <c r="AC223" s="828">
        <v>1296</v>
      </c>
      <c r="AD223" s="828">
        <v>1301</v>
      </c>
      <c r="AE223" s="828">
        <v>1312</v>
      </c>
      <c r="AF223" s="828">
        <v>1344</v>
      </c>
      <c r="AG223" s="828">
        <v>1380</v>
      </c>
      <c r="AH223" s="828">
        <v>1424</v>
      </c>
      <c r="AI223" s="828">
        <v>1573</v>
      </c>
      <c r="AJ223" s="828">
        <v>1653</v>
      </c>
      <c r="AK223" s="828">
        <v>1737</v>
      </c>
      <c r="AL223" s="828">
        <v>1787</v>
      </c>
      <c r="AM223" s="828">
        <v>1898</v>
      </c>
      <c r="AN223" s="828">
        <v>1939</v>
      </c>
      <c r="AO223" s="828">
        <v>1973</v>
      </c>
      <c r="AP223" s="828">
        <v>2004</v>
      </c>
    </row>
    <row r="224" hidden="1">
      <c r="B224" s="829" t="s">
        <v>16</v>
      </c>
      <c r="C224" s="823">
        <v>202</v>
      </c>
      <c r="D224" s="823">
        <v>239</v>
      </c>
      <c r="E224" s="823">
        <v>267</v>
      </c>
      <c r="F224" s="823">
        <v>282</v>
      </c>
      <c r="G224" s="823">
        <v>306</v>
      </c>
      <c r="H224" s="823">
        <v>332</v>
      </c>
      <c r="I224" s="823">
        <v>346</v>
      </c>
      <c r="J224" s="823">
        <v>372</v>
      </c>
      <c r="K224" s="823">
        <v>388</v>
      </c>
      <c r="L224" s="823">
        <v>407</v>
      </c>
      <c r="M224" s="823">
        <v>418</v>
      </c>
      <c r="N224" s="823">
        <v>421</v>
      </c>
      <c r="O224" s="823">
        <v>445</v>
      </c>
      <c r="P224" s="823">
        <v>474</v>
      </c>
      <c r="Q224" s="823">
        <v>489</v>
      </c>
      <c r="R224" s="823">
        <v>513</v>
      </c>
      <c r="S224" s="823">
        <v>522</v>
      </c>
      <c r="T224" s="823">
        <v>532</v>
      </c>
      <c r="U224" s="823">
        <v>541</v>
      </c>
      <c r="V224" s="823">
        <v>548</v>
      </c>
      <c r="W224" s="823">
        <v>563</v>
      </c>
      <c r="X224" s="823">
        <v>589</v>
      </c>
      <c r="Y224" s="823">
        <v>605</v>
      </c>
      <c r="Z224" s="823">
        <v>624</v>
      </c>
      <c r="AA224" s="823">
        <v>647</v>
      </c>
      <c r="AB224" s="823">
        <v>666</v>
      </c>
      <c r="AC224" s="825">
        <v>686</v>
      </c>
      <c r="AD224" s="825">
        <v>699</v>
      </c>
      <c r="AE224" s="825">
        <v>703</v>
      </c>
      <c r="AF224" s="825">
        <v>706</v>
      </c>
      <c r="AG224" s="825">
        <v>729</v>
      </c>
      <c r="AH224" s="825">
        <v>766</v>
      </c>
      <c r="AI224" s="825">
        <v>790</v>
      </c>
      <c r="AJ224" s="825">
        <v>818</v>
      </c>
      <c r="AK224" s="825">
        <v>912</v>
      </c>
      <c r="AL224" s="825">
        <v>936</v>
      </c>
      <c r="AM224" s="825">
        <v>943</v>
      </c>
      <c r="AN224" s="825">
        <v>963</v>
      </c>
      <c r="AO224" s="825">
        <v>977</v>
      </c>
      <c r="AP224" s="825">
        <v>989</v>
      </c>
    </row>
    <row r="225" hidden="1">
      <c r="B225" s="826" t="s">
        <v>17</v>
      </c>
      <c r="C225" s="827">
        <v>2</v>
      </c>
      <c r="D225" s="827">
        <v>2</v>
      </c>
      <c r="E225" s="827">
        <v>2</v>
      </c>
      <c r="F225" s="827">
        <v>1</v>
      </c>
      <c r="G225" s="827">
        <v>2</v>
      </c>
      <c r="H225" s="827">
        <v>2</v>
      </c>
      <c r="I225" s="827">
        <v>1</v>
      </c>
      <c r="J225" s="827">
        <v>1</v>
      </c>
      <c r="K225" s="827">
        <v>4</v>
      </c>
      <c r="L225" s="827">
        <v>5</v>
      </c>
      <c r="M225" s="827">
        <v>5</v>
      </c>
      <c r="N225" s="827">
        <v>6</v>
      </c>
      <c r="O225" s="827">
        <v>49</v>
      </c>
      <c r="P225" s="827">
        <v>52</v>
      </c>
      <c r="Q225" s="827">
        <v>58</v>
      </c>
      <c r="R225" s="827">
        <v>60</v>
      </c>
      <c r="S225" s="827">
        <v>60</v>
      </c>
      <c r="T225" s="827">
        <v>58</v>
      </c>
      <c r="U225" s="827">
        <v>55</v>
      </c>
      <c r="V225" s="827">
        <v>54</v>
      </c>
      <c r="W225" s="827">
        <v>69</v>
      </c>
      <c r="X225" s="827">
        <v>64</v>
      </c>
      <c r="Y225" s="827">
        <v>66</v>
      </c>
      <c r="Z225" s="827">
        <v>61</v>
      </c>
      <c r="AA225" s="827">
        <v>66</v>
      </c>
      <c r="AB225" s="827">
        <v>68</v>
      </c>
      <c r="AC225" s="828">
        <v>69</v>
      </c>
      <c r="AD225" s="828">
        <v>67</v>
      </c>
      <c r="AE225" s="828">
        <v>66</v>
      </c>
      <c r="AF225" s="828">
        <v>65</v>
      </c>
      <c r="AG225" s="828">
        <v>63</v>
      </c>
      <c r="AH225" s="828">
        <v>63</v>
      </c>
      <c r="AI225" s="828">
        <v>64</v>
      </c>
      <c r="AJ225" s="828">
        <v>65</v>
      </c>
      <c r="AK225" s="828">
        <v>65</v>
      </c>
      <c r="AL225" s="828">
        <v>68</v>
      </c>
      <c r="AM225" s="828">
        <v>68</v>
      </c>
      <c r="AN225" s="828">
        <v>67</v>
      </c>
      <c r="AO225" s="828">
        <v>68</v>
      </c>
      <c r="AP225" s="828">
        <v>68</v>
      </c>
    </row>
    <row r="226" hidden="1">
      <c r="B226" s="829" t="s">
        <v>18</v>
      </c>
      <c r="C226" s="823">
        <v>97</v>
      </c>
      <c r="D226" s="823">
        <v>109</v>
      </c>
      <c r="E226" s="823">
        <v>121</v>
      </c>
      <c r="F226" s="823">
        <v>128</v>
      </c>
      <c r="G226" s="823">
        <v>141</v>
      </c>
      <c r="H226" s="823">
        <v>148</v>
      </c>
      <c r="I226" s="823">
        <v>150</v>
      </c>
      <c r="J226" s="823">
        <v>160</v>
      </c>
      <c r="K226" s="823">
        <v>163</v>
      </c>
      <c r="L226" s="823">
        <v>165</v>
      </c>
      <c r="M226" s="823">
        <v>166</v>
      </c>
      <c r="N226" s="823">
        <v>172</v>
      </c>
      <c r="O226" s="823">
        <v>173</v>
      </c>
      <c r="P226" s="823">
        <v>179</v>
      </c>
      <c r="Q226" s="823">
        <v>182</v>
      </c>
      <c r="R226" s="823">
        <v>183</v>
      </c>
      <c r="S226" s="823">
        <v>179</v>
      </c>
      <c r="T226" s="823">
        <v>181</v>
      </c>
      <c r="U226" s="823">
        <v>184</v>
      </c>
      <c r="V226" s="823">
        <v>185</v>
      </c>
      <c r="W226" s="823">
        <v>184</v>
      </c>
      <c r="X226" s="823">
        <v>185</v>
      </c>
      <c r="Y226" s="823">
        <v>184</v>
      </c>
      <c r="Z226" s="823">
        <v>182</v>
      </c>
      <c r="AA226" s="823">
        <v>186</v>
      </c>
      <c r="AB226" s="823">
        <v>182</v>
      </c>
      <c r="AC226" s="825">
        <v>168</v>
      </c>
      <c r="AD226" s="825">
        <v>163</v>
      </c>
      <c r="AE226" s="825">
        <v>159</v>
      </c>
      <c r="AF226" s="825">
        <v>159</v>
      </c>
      <c r="AG226" s="825">
        <v>147</v>
      </c>
      <c r="AH226" s="825">
        <v>145</v>
      </c>
      <c r="AI226" s="825">
        <v>115</v>
      </c>
      <c r="AJ226" s="825">
        <v>111</v>
      </c>
      <c r="AK226" s="825">
        <v>104</v>
      </c>
      <c r="AL226" s="825">
        <v>104</v>
      </c>
      <c r="AM226" s="825">
        <v>109</v>
      </c>
      <c r="AN226" s="825">
        <v>111</v>
      </c>
      <c r="AO226" s="825">
        <v>113</v>
      </c>
      <c r="AP226" s="825">
        <v>115</v>
      </c>
    </row>
    <row r="227" hidden="1">
      <c r="B227" s="826" t="s">
        <v>19</v>
      </c>
      <c r="C227" s="827">
        <v>29</v>
      </c>
      <c r="D227" s="827">
        <v>36</v>
      </c>
      <c r="E227" s="827">
        <v>38</v>
      </c>
      <c r="F227" s="827">
        <v>40</v>
      </c>
      <c r="G227" s="827">
        <v>44</v>
      </c>
      <c r="H227" s="827">
        <v>52</v>
      </c>
      <c r="I227" s="827">
        <v>54</v>
      </c>
      <c r="J227" s="827">
        <v>55</v>
      </c>
      <c r="K227" s="827">
        <v>55</v>
      </c>
      <c r="L227" s="827">
        <v>58</v>
      </c>
      <c r="M227" s="827">
        <v>57</v>
      </c>
      <c r="N227" s="827">
        <v>59</v>
      </c>
      <c r="O227" s="827">
        <v>62</v>
      </c>
      <c r="P227" s="827">
        <v>69</v>
      </c>
      <c r="Q227" s="827">
        <v>57</v>
      </c>
      <c r="R227" s="827">
        <v>64</v>
      </c>
      <c r="S227" s="827">
        <v>69</v>
      </c>
      <c r="T227" s="827">
        <v>67</v>
      </c>
      <c r="U227" s="827">
        <v>69</v>
      </c>
      <c r="V227" s="827">
        <v>71</v>
      </c>
      <c r="W227" s="827">
        <v>70</v>
      </c>
      <c r="X227" s="827">
        <v>72</v>
      </c>
      <c r="Y227" s="827">
        <v>64</v>
      </c>
      <c r="Z227" s="827">
        <v>66</v>
      </c>
      <c r="AA227" s="827">
        <v>61</v>
      </c>
      <c r="AB227" s="827">
        <v>58</v>
      </c>
      <c r="AC227" s="828">
        <v>65</v>
      </c>
      <c r="AD227" s="828">
        <v>67</v>
      </c>
      <c r="AE227" s="828">
        <v>67</v>
      </c>
      <c r="AF227" s="828">
        <v>63</v>
      </c>
      <c r="AG227" s="828">
        <v>65</v>
      </c>
      <c r="AH227" s="828">
        <v>67</v>
      </c>
      <c r="AI227" s="828">
        <v>75</v>
      </c>
      <c r="AJ227" s="828">
        <v>70</v>
      </c>
      <c r="AK227" s="828">
        <v>80</v>
      </c>
      <c r="AL227" s="828">
        <v>187</v>
      </c>
      <c r="AM227" s="828">
        <v>202</v>
      </c>
      <c r="AN227" s="828">
        <v>210</v>
      </c>
      <c r="AO227" s="828">
        <v>222</v>
      </c>
      <c r="AP227" s="828">
        <v>227</v>
      </c>
    </row>
    <row r="228" hidden="1">
      <c r="B228" s="829" t="s">
        <v>20</v>
      </c>
      <c r="C228" s="823">
        <v>12</v>
      </c>
      <c r="D228" s="823">
        <v>13</v>
      </c>
      <c r="E228" s="823">
        <v>14</v>
      </c>
      <c r="F228" s="823">
        <v>14</v>
      </c>
      <c r="G228" s="823">
        <v>14</v>
      </c>
      <c r="H228" s="823">
        <v>14</v>
      </c>
      <c r="I228" s="823">
        <v>18</v>
      </c>
      <c r="J228" s="823">
        <v>23</v>
      </c>
      <c r="K228" s="823">
        <v>26</v>
      </c>
      <c r="L228" s="823">
        <v>26</v>
      </c>
      <c r="M228" s="823">
        <v>28</v>
      </c>
      <c r="N228" s="823">
        <v>30</v>
      </c>
      <c r="O228" s="823">
        <v>30</v>
      </c>
      <c r="P228" s="823">
        <v>31</v>
      </c>
      <c r="Q228" s="823">
        <v>31</v>
      </c>
      <c r="R228" s="823">
        <v>32</v>
      </c>
      <c r="S228" s="823">
        <v>31</v>
      </c>
      <c r="T228" s="823">
        <v>32</v>
      </c>
      <c r="U228" s="823">
        <v>33</v>
      </c>
      <c r="V228" s="823">
        <v>35</v>
      </c>
      <c r="W228" s="823">
        <v>37</v>
      </c>
      <c r="X228" s="823">
        <v>36</v>
      </c>
      <c r="Y228" s="823">
        <v>37</v>
      </c>
      <c r="Z228" s="823">
        <v>37</v>
      </c>
      <c r="AA228" s="823">
        <v>38</v>
      </c>
      <c r="AB228" s="823">
        <v>40</v>
      </c>
      <c r="AC228" s="825">
        <v>43</v>
      </c>
      <c r="AD228" s="825">
        <v>45</v>
      </c>
      <c r="AE228" s="825">
        <v>47</v>
      </c>
      <c r="AF228" s="825">
        <v>48</v>
      </c>
      <c r="AG228" s="825">
        <v>48</v>
      </c>
      <c r="AH228" s="825">
        <v>49</v>
      </c>
      <c r="AI228" s="825">
        <v>48</v>
      </c>
      <c r="AJ228" s="825">
        <v>49</v>
      </c>
      <c r="AK228" s="825">
        <v>51</v>
      </c>
      <c r="AL228" s="825">
        <v>54</v>
      </c>
      <c r="AM228" s="825">
        <v>55</v>
      </c>
      <c r="AN228" s="825">
        <v>54</v>
      </c>
      <c r="AO228" s="825">
        <v>56</v>
      </c>
      <c r="AP228" s="825">
        <v>55</v>
      </c>
    </row>
    <row r="229" hidden="1">
      <c r="B229" s="826" t="s">
        <v>21</v>
      </c>
      <c r="C229" s="827">
        <v>302</v>
      </c>
      <c r="D229" s="827">
        <v>296</v>
      </c>
      <c r="E229" s="827">
        <v>295</v>
      </c>
      <c r="F229" s="827">
        <v>297</v>
      </c>
      <c r="G229" s="827">
        <v>298</v>
      </c>
      <c r="H229" s="827">
        <v>298</v>
      </c>
      <c r="I229" s="827">
        <v>299</v>
      </c>
      <c r="J229" s="827">
        <v>301</v>
      </c>
      <c r="K229" s="827">
        <v>300</v>
      </c>
      <c r="L229" s="827">
        <v>300</v>
      </c>
      <c r="M229" s="827">
        <v>300</v>
      </c>
      <c r="N229" s="827">
        <v>300</v>
      </c>
      <c r="O229" s="827">
        <v>300</v>
      </c>
      <c r="P229" s="827">
        <v>301</v>
      </c>
      <c r="Q229" s="827">
        <v>302</v>
      </c>
      <c r="R229" s="827">
        <v>300</v>
      </c>
      <c r="S229" s="827">
        <v>300</v>
      </c>
      <c r="T229" s="827">
        <v>294</v>
      </c>
      <c r="U229" s="827">
        <v>292</v>
      </c>
      <c r="V229" s="827">
        <v>292</v>
      </c>
      <c r="W229" s="827">
        <v>292</v>
      </c>
      <c r="X229" s="827">
        <v>296</v>
      </c>
      <c r="Y229" s="827">
        <v>295</v>
      </c>
      <c r="Z229" s="827">
        <v>296</v>
      </c>
      <c r="AA229" s="827">
        <v>297</v>
      </c>
      <c r="AB229" s="827">
        <v>298</v>
      </c>
      <c r="AC229" s="828">
        <v>305</v>
      </c>
      <c r="AD229" s="828">
        <v>308</v>
      </c>
      <c r="AE229" s="828">
        <v>309</v>
      </c>
      <c r="AF229" s="828">
        <v>309</v>
      </c>
      <c r="AG229" s="828">
        <v>307</v>
      </c>
      <c r="AH229" s="828">
        <v>307</v>
      </c>
      <c r="AI229" s="828">
        <v>309</v>
      </c>
      <c r="AJ229" s="828">
        <v>311</v>
      </c>
      <c r="AK229" s="828">
        <v>312</v>
      </c>
      <c r="AL229" s="828">
        <v>312</v>
      </c>
      <c r="AM229" s="828">
        <v>314</v>
      </c>
      <c r="AN229" s="828">
        <v>313</v>
      </c>
      <c r="AO229" s="828">
        <v>313</v>
      </c>
      <c r="AP229" s="828">
        <v>312</v>
      </c>
    </row>
    <row r="230" hidden="1">
      <c r="B230" s="829" t="s">
        <v>22</v>
      </c>
      <c r="C230" s="823">
        <v>41</v>
      </c>
      <c r="D230" s="823">
        <v>40</v>
      </c>
      <c r="E230" s="823">
        <v>44</v>
      </c>
      <c r="F230" s="823">
        <v>49</v>
      </c>
      <c r="G230" s="823">
        <v>46</v>
      </c>
      <c r="H230" s="823">
        <v>52</v>
      </c>
      <c r="I230" s="823">
        <v>51</v>
      </c>
      <c r="J230" s="823">
        <v>52</v>
      </c>
      <c r="K230" s="823">
        <v>55</v>
      </c>
      <c r="L230" s="823">
        <v>54</v>
      </c>
      <c r="M230" s="823">
        <v>39</v>
      </c>
      <c r="N230" s="823">
        <v>38</v>
      </c>
      <c r="O230" s="823">
        <v>37</v>
      </c>
      <c r="P230" s="823">
        <v>54</v>
      </c>
      <c r="Q230" s="823">
        <v>67</v>
      </c>
      <c r="R230" s="823">
        <v>73</v>
      </c>
      <c r="S230" s="823">
        <v>77</v>
      </c>
      <c r="T230" s="823">
        <v>80</v>
      </c>
      <c r="U230" s="823">
        <v>68</v>
      </c>
      <c r="V230" s="823">
        <v>89</v>
      </c>
      <c r="W230" s="823">
        <v>90</v>
      </c>
      <c r="X230" s="823">
        <v>90</v>
      </c>
      <c r="Y230" s="823">
        <v>93</v>
      </c>
      <c r="Z230" s="823">
        <v>93</v>
      </c>
      <c r="AA230" s="823">
        <v>101</v>
      </c>
      <c r="AB230" s="823">
        <v>107</v>
      </c>
      <c r="AC230" s="825">
        <v>116</v>
      </c>
      <c r="AD230" s="825">
        <v>114</v>
      </c>
      <c r="AE230" s="825">
        <v>132</v>
      </c>
      <c r="AF230" s="825">
        <v>131</v>
      </c>
      <c r="AG230" s="825">
        <v>133</v>
      </c>
      <c r="AH230" s="825">
        <v>139</v>
      </c>
      <c r="AI230" s="825">
        <v>145</v>
      </c>
      <c r="AJ230" s="825">
        <v>149</v>
      </c>
      <c r="AK230" s="825">
        <v>101</v>
      </c>
      <c r="AL230" s="825">
        <v>110</v>
      </c>
      <c r="AM230" s="825">
        <v>110</v>
      </c>
      <c r="AN230" s="825">
        <v>129</v>
      </c>
      <c r="AO230" s="825">
        <v>130</v>
      </c>
      <c r="AP230" s="825">
        <v>131</v>
      </c>
    </row>
    <row r="231" hidden="1">
      <c r="B231" s="826" t="s">
        <v>23</v>
      </c>
      <c r="C231" s="827">
        <v>14</v>
      </c>
      <c r="D231" s="827">
        <v>14</v>
      </c>
      <c r="E231" s="827">
        <v>14</v>
      </c>
      <c r="F231" s="827">
        <v>16</v>
      </c>
      <c r="G231" s="827">
        <v>17</v>
      </c>
      <c r="H231" s="827">
        <v>18</v>
      </c>
      <c r="I231" s="827">
        <v>18</v>
      </c>
      <c r="J231" s="827">
        <v>19</v>
      </c>
      <c r="K231" s="827">
        <v>22</v>
      </c>
      <c r="L231" s="827">
        <v>23</v>
      </c>
      <c r="M231" s="827">
        <v>24</v>
      </c>
      <c r="N231" s="827">
        <v>25</v>
      </c>
      <c r="O231" s="827">
        <v>25</v>
      </c>
      <c r="P231" s="827">
        <v>26</v>
      </c>
      <c r="Q231" s="827">
        <v>28</v>
      </c>
      <c r="R231" s="827">
        <v>29</v>
      </c>
      <c r="S231" s="827">
        <v>31</v>
      </c>
      <c r="T231" s="827">
        <v>32</v>
      </c>
      <c r="U231" s="827">
        <v>32</v>
      </c>
      <c r="V231" s="827">
        <v>34</v>
      </c>
      <c r="W231" s="827">
        <v>34</v>
      </c>
      <c r="X231" s="827">
        <v>34</v>
      </c>
      <c r="Y231" s="827">
        <v>36</v>
      </c>
      <c r="Z231" s="827">
        <v>35</v>
      </c>
      <c r="AA231" s="827">
        <v>35</v>
      </c>
      <c r="AB231" s="827">
        <v>34</v>
      </c>
      <c r="AC231" s="828">
        <v>34</v>
      </c>
      <c r="AD231" s="828">
        <v>34</v>
      </c>
      <c r="AE231" s="828">
        <v>33</v>
      </c>
      <c r="AF231" s="828">
        <v>33</v>
      </c>
      <c r="AG231" s="828">
        <v>42</v>
      </c>
      <c r="AH231" s="828">
        <v>25</v>
      </c>
      <c r="AI231" s="828">
        <v>25</v>
      </c>
      <c r="AJ231" s="828">
        <v>26</v>
      </c>
      <c r="AK231" s="828">
        <v>23</v>
      </c>
      <c r="AL231" s="828">
        <v>22</v>
      </c>
      <c r="AM231" s="828">
        <v>21</v>
      </c>
      <c r="AN231" s="828">
        <v>21</v>
      </c>
      <c r="AO231" s="828">
        <v>21</v>
      </c>
      <c r="AP231" s="828">
        <v>21</v>
      </c>
    </row>
    <row r="232" hidden="1">
      <c r="B232" s="830" t="s">
        <v>24</v>
      </c>
      <c r="C232" s="823">
        <v>42</v>
      </c>
      <c r="D232" s="823">
        <v>43</v>
      </c>
      <c r="E232" s="823">
        <v>67</v>
      </c>
      <c r="F232" s="823">
        <v>73</v>
      </c>
      <c r="G232" s="823">
        <v>81</v>
      </c>
      <c r="H232" s="823">
        <v>84</v>
      </c>
      <c r="I232" s="823">
        <v>87</v>
      </c>
      <c r="J232" s="823">
        <v>89</v>
      </c>
      <c r="K232" s="823">
        <v>91</v>
      </c>
      <c r="L232" s="823">
        <v>97</v>
      </c>
      <c r="M232" s="823">
        <v>99</v>
      </c>
      <c r="N232" s="823">
        <v>102</v>
      </c>
      <c r="O232" s="823">
        <v>104</v>
      </c>
      <c r="P232" s="823">
        <v>113</v>
      </c>
      <c r="Q232" s="823">
        <v>115</v>
      </c>
      <c r="R232" s="823">
        <v>125</v>
      </c>
      <c r="S232" s="823">
        <v>126</v>
      </c>
      <c r="T232" s="823">
        <v>132</v>
      </c>
      <c r="U232" s="823">
        <v>133</v>
      </c>
      <c r="V232" s="823">
        <v>139</v>
      </c>
      <c r="W232" s="823">
        <v>135</v>
      </c>
      <c r="X232" s="823">
        <v>132</v>
      </c>
      <c r="Y232" s="823">
        <v>136</v>
      </c>
      <c r="Z232" s="823">
        <v>132</v>
      </c>
      <c r="AA232" s="823">
        <v>130</v>
      </c>
      <c r="AB232" s="823">
        <v>126</v>
      </c>
      <c r="AC232" s="825">
        <v>117</v>
      </c>
      <c r="AD232" s="825">
        <v>122</v>
      </c>
      <c r="AE232" s="825">
        <v>121</v>
      </c>
      <c r="AF232" s="825">
        <v>122</v>
      </c>
      <c r="AG232" s="825">
        <v>122</v>
      </c>
      <c r="AH232" s="825">
        <v>126</v>
      </c>
      <c r="AI232" s="825">
        <v>129</v>
      </c>
      <c r="AJ232" s="825">
        <v>131</v>
      </c>
      <c r="AK232" s="825">
        <v>129</v>
      </c>
      <c r="AL232" s="825">
        <v>121</v>
      </c>
      <c r="AM232" s="825">
        <v>116</v>
      </c>
      <c r="AN232" s="825">
        <v>127</v>
      </c>
      <c r="AO232" s="825">
        <v>127</v>
      </c>
      <c r="AP232" s="825">
        <v>137</v>
      </c>
    </row>
    <row r="233" hidden="1">
      <c r="B233" s="826" t="s">
        <v>25</v>
      </c>
      <c r="C233" s="827">
        <v>0</v>
      </c>
      <c r="D233" s="827">
        <v>0</v>
      </c>
      <c r="E233" s="827">
        <v>0</v>
      </c>
      <c r="F233" s="827">
        <v>0</v>
      </c>
      <c r="G233" s="827">
        <v>0</v>
      </c>
      <c r="H233" s="827">
        <v>1</v>
      </c>
      <c r="I233" s="827">
        <v>1</v>
      </c>
      <c r="J233" s="827">
        <v>1</v>
      </c>
      <c r="K233" s="827">
        <v>1</v>
      </c>
      <c r="L233" s="827">
        <v>1</v>
      </c>
      <c r="M233" s="827">
        <v>1</v>
      </c>
      <c r="N233" s="827">
        <v>1</v>
      </c>
      <c r="O233" s="827">
        <v>1</v>
      </c>
      <c r="P233" s="827">
        <v>1</v>
      </c>
      <c r="Q233" s="827">
        <v>1</v>
      </c>
      <c r="R233" s="827">
        <v>1</v>
      </c>
      <c r="S233" s="827">
        <v>1</v>
      </c>
      <c r="T233" s="827">
        <v>1</v>
      </c>
      <c r="U233" s="827">
        <v>1</v>
      </c>
      <c r="V233" s="827">
        <v>1</v>
      </c>
      <c r="W233" s="827">
        <v>1</v>
      </c>
      <c r="X233" s="827">
        <v>1</v>
      </c>
      <c r="Y233" s="827">
        <v>1</v>
      </c>
      <c r="Z233" s="827">
        <v>1</v>
      </c>
      <c r="AA233" s="827">
        <v>1</v>
      </c>
      <c r="AB233" s="827">
        <v>1</v>
      </c>
      <c r="AC233" s="828">
        <v>1</v>
      </c>
      <c r="AD233" s="828">
        <v>1</v>
      </c>
      <c r="AE233" s="828">
        <v>1</v>
      </c>
      <c r="AF233" s="828">
        <v>1</v>
      </c>
      <c r="AG233" s="828">
        <v>1</v>
      </c>
      <c r="AH233" s="828">
        <v>1</v>
      </c>
      <c r="AI233" s="828">
        <v>1</v>
      </c>
      <c r="AJ233" s="828">
        <v>1</v>
      </c>
      <c r="AK233" s="828">
        <v>1</v>
      </c>
      <c r="AL233" s="828">
        <v>1</v>
      </c>
      <c r="AM233" s="828">
        <v>1</v>
      </c>
      <c r="AN233" s="828">
        <v>1</v>
      </c>
      <c r="AO233" s="828">
        <v>1</v>
      </c>
      <c r="AP233" s="828">
        <v>1</v>
      </c>
    </row>
    <row r="234" hidden="1" ht="13.5">
      <c r="B234" s="831" t="s">
        <v>26</v>
      </c>
      <c r="C234" s="823">
        <v>0</v>
      </c>
      <c r="D234" s="823">
        <v>0</v>
      </c>
      <c r="E234" s="823">
        <v>0</v>
      </c>
      <c r="F234" s="823">
        <v>0</v>
      </c>
      <c r="G234" s="823">
        <v>0</v>
      </c>
      <c r="H234" s="823">
        <v>0</v>
      </c>
      <c r="I234" s="823">
        <v>0</v>
      </c>
      <c r="J234" s="823">
        <v>0</v>
      </c>
      <c r="K234" s="823">
        <v>0</v>
      </c>
      <c r="L234" s="823">
        <v>0</v>
      </c>
      <c r="M234" s="823">
        <v>4</v>
      </c>
      <c r="N234" s="823">
        <v>4</v>
      </c>
      <c r="O234" s="823">
        <v>5</v>
      </c>
      <c r="P234" s="823">
        <v>5</v>
      </c>
      <c r="Q234" s="823">
        <v>5</v>
      </c>
      <c r="R234" s="823">
        <v>5</v>
      </c>
      <c r="S234" s="823">
        <v>5</v>
      </c>
      <c r="T234" s="823">
        <v>5</v>
      </c>
      <c r="U234" s="823">
        <v>4</v>
      </c>
      <c r="V234" s="823">
        <v>4</v>
      </c>
      <c r="W234" s="823">
        <v>2</v>
      </c>
      <c r="X234" s="823">
        <v>2</v>
      </c>
      <c r="Y234" s="823">
        <v>2</v>
      </c>
      <c r="Z234" s="823">
        <v>2</v>
      </c>
      <c r="AA234" s="823">
        <v>2</v>
      </c>
      <c r="AB234" s="832">
        <v>2</v>
      </c>
      <c r="AC234" s="825">
        <v>2</v>
      </c>
      <c r="AD234" s="825">
        <v>2</v>
      </c>
      <c r="AE234" s="825">
        <v>2</v>
      </c>
      <c r="AF234" s="825">
        <v>2</v>
      </c>
      <c r="AG234" s="825">
        <v>2</v>
      </c>
      <c r="AH234" s="825">
        <v>2</v>
      </c>
      <c r="AI234" s="825">
        <v>2</v>
      </c>
      <c r="AJ234" s="825">
        <v>2</v>
      </c>
      <c r="AK234" s="825">
        <v>2</v>
      </c>
      <c r="AL234" s="825">
        <v>2</v>
      </c>
      <c r="AM234" s="825">
        <v>2</v>
      </c>
      <c r="AN234" s="825">
        <v>2</v>
      </c>
      <c r="AO234" s="825">
        <v>2</v>
      </c>
      <c r="AP234" s="825">
        <v>2</v>
      </c>
    </row>
    <row r="235" hidden="1" ht="13.5">
      <c r="B235" s="128" t="s">
        <v>7</v>
      </c>
      <c r="C235" s="129" t="str">
        <f>IF(SUM(C216:C234)&lt;&gt;0,SUM(C216:C234),"")</f>
      </c>
      <c r="D235" s="129" t="str">
        <f ref="D235:AA235" t="shared" si="20">IF(SUM(D216:D234)&lt;&gt;0,SUM(D216:D234),"")</f>
      </c>
      <c r="E235" s="129" t="str">
        <f t="shared" si="20"/>
      </c>
      <c r="F235" s="129" t="str">
        <f t="shared" si="20"/>
      </c>
      <c r="G235" s="129" t="str">
        <f t="shared" si="20"/>
      </c>
      <c r="H235" s="129" t="str">
        <f t="shared" si="20"/>
      </c>
      <c r="I235" s="129" t="str">
        <f t="shared" si="20"/>
      </c>
      <c r="J235" s="129" t="str">
        <f t="shared" si="20"/>
      </c>
      <c r="K235" s="129" t="str">
        <f t="shared" si="20"/>
      </c>
      <c r="L235" s="129" t="str">
        <f t="shared" si="20"/>
      </c>
      <c r="M235" s="129" t="str">
        <f t="shared" si="20"/>
      </c>
      <c r="N235" s="129" t="str">
        <f t="shared" si="20"/>
      </c>
      <c r="O235" s="129" t="str">
        <f t="shared" si="20"/>
      </c>
      <c r="P235" s="129" t="str">
        <f t="shared" si="20"/>
      </c>
      <c r="Q235" s="129" t="str">
        <f t="shared" si="20"/>
      </c>
      <c r="R235" s="129" t="str">
        <f t="shared" si="20"/>
      </c>
      <c r="S235" s="129" t="str">
        <f t="shared" si="20"/>
      </c>
      <c r="T235" s="129" t="str">
        <f t="shared" si="20"/>
      </c>
      <c r="U235" s="129" t="str">
        <f t="shared" si="20"/>
      </c>
      <c r="V235" s="129" t="str">
        <f t="shared" si="20"/>
      </c>
      <c r="W235" s="129" t="str">
        <f t="shared" si="20"/>
      </c>
      <c r="X235" s="129" t="str">
        <f t="shared" si="20"/>
      </c>
      <c r="Y235" s="129" t="str">
        <f t="shared" si="20"/>
      </c>
      <c r="Z235" s="129" t="str">
        <f t="shared" si="20"/>
      </c>
      <c r="AA235" s="129" t="str">
        <f t="shared" si="20"/>
      </c>
      <c r="AB235" s="130" t="str">
        <f>IF(SUM(AB216:AB234)&lt;&gt;0,SUM(AB216:AB234),"")</f>
      </c>
      <c r="AC235" s="91" t="str">
        <f ref="AC235:CN235" t="shared" si="21">IF(SUM(AC216:AC234)&lt;&gt;0,SUM(AC216:AC234),"")</f>
      </c>
      <c r="AD235" s="91" t="str">
        <f t="shared" si="21"/>
      </c>
      <c r="AE235" s="91" t="str">
        <f t="shared" si="21"/>
      </c>
      <c r="AF235" s="91" t="str">
        <f t="shared" si="21"/>
      </c>
      <c r="AG235" s="91" t="str">
        <f t="shared" si="21"/>
      </c>
      <c r="AH235" s="91" t="str">
        <f t="shared" si="21"/>
      </c>
      <c r="AI235" s="91" t="str">
        <f t="shared" si="21"/>
      </c>
      <c r="AJ235" s="91" t="str">
        <f t="shared" si="21"/>
      </c>
      <c r="AK235" s="91" t="str">
        <f t="shared" si="21"/>
      </c>
      <c r="AL235" s="91" t="str">
        <f t="shared" si="21"/>
      </c>
      <c r="AM235" s="91" t="str">
        <f t="shared" si="21"/>
      </c>
      <c r="AN235" s="91" t="str">
        <f t="shared" si="21"/>
      </c>
      <c r="AO235" s="91" t="str">
        <f t="shared" si="21"/>
      </c>
      <c r="AP235" s="91" t="str">
        <f t="shared" si="21"/>
      </c>
      <c r="AQ235" s="91" t="str">
        <f t="shared" si="21"/>
      </c>
      <c r="AR235" s="91" t="str">
        <f t="shared" si="21"/>
      </c>
      <c r="AS235" s="91" t="str">
        <f t="shared" si="21"/>
      </c>
      <c r="AT235" s="91" t="str">
        <f t="shared" si="21"/>
      </c>
      <c r="AU235" s="91" t="str">
        <f t="shared" si="21"/>
      </c>
      <c r="AV235" s="91" t="str">
        <f t="shared" si="21"/>
      </c>
      <c r="AW235" s="91" t="str">
        <f t="shared" si="21"/>
      </c>
      <c r="AX235" s="91" t="str">
        <f t="shared" si="21"/>
      </c>
      <c r="AY235" s="91" t="str">
        <f t="shared" si="21"/>
      </c>
      <c r="AZ235" s="91" t="str">
        <f t="shared" si="21"/>
      </c>
      <c r="BA235" s="91" t="str">
        <f t="shared" si="21"/>
      </c>
      <c r="BB235" s="91" t="str">
        <f t="shared" si="21"/>
      </c>
      <c r="BC235" s="91" t="str">
        <f t="shared" si="21"/>
      </c>
      <c r="BD235" s="91" t="str">
        <f t="shared" si="21"/>
      </c>
      <c r="BE235" s="91" t="str">
        <f t="shared" si="21"/>
      </c>
      <c r="BF235" s="91" t="str">
        <f t="shared" si="21"/>
      </c>
      <c r="BG235" s="91" t="str">
        <f t="shared" si="21"/>
      </c>
      <c r="BH235" s="91" t="str">
        <f t="shared" si="21"/>
      </c>
      <c r="BI235" s="91" t="str">
        <f t="shared" si="21"/>
      </c>
      <c r="BJ235" s="91" t="str">
        <f t="shared" si="21"/>
      </c>
      <c r="BK235" s="91" t="str">
        <f t="shared" si="21"/>
      </c>
      <c r="BL235" s="91" t="str">
        <f t="shared" si="21"/>
      </c>
      <c r="BM235" s="91" t="str">
        <f t="shared" si="21"/>
      </c>
      <c r="BN235" s="91" t="str">
        <f t="shared" si="21"/>
      </c>
      <c r="BO235" s="91" t="str">
        <f t="shared" si="21"/>
      </c>
      <c r="BP235" s="91" t="str">
        <f t="shared" si="21"/>
      </c>
      <c r="BQ235" s="91" t="str">
        <f t="shared" si="21"/>
      </c>
      <c r="BR235" s="91" t="str">
        <f t="shared" si="21"/>
      </c>
      <c r="BS235" s="91" t="str">
        <f t="shared" si="21"/>
      </c>
      <c r="BT235" s="91" t="str">
        <f t="shared" si="21"/>
      </c>
      <c r="BU235" s="91" t="str">
        <f t="shared" si="21"/>
      </c>
      <c r="BV235" s="91" t="str">
        <f t="shared" si="21"/>
      </c>
      <c r="BW235" s="91" t="str">
        <f t="shared" si="21"/>
      </c>
      <c r="BX235" s="91" t="str">
        <f t="shared" si="21"/>
      </c>
      <c r="BY235" s="91" t="str">
        <f t="shared" si="21"/>
      </c>
      <c r="BZ235" s="91" t="str">
        <f t="shared" si="21"/>
      </c>
      <c r="CA235" s="91" t="str">
        <f t="shared" si="21"/>
      </c>
      <c r="CB235" s="91" t="str">
        <f t="shared" si="21"/>
      </c>
      <c r="CC235" s="91" t="str">
        <f t="shared" si="21"/>
      </c>
      <c r="CD235" s="91" t="str">
        <f t="shared" si="21"/>
      </c>
      <c r="CE235" s="91" t="str">
        <f t="shared" si="21"/>
      </c>
      <c r="CF235" s="91" t="str">
        <f t="shared" si="21"/>
      </c>
      <c r="CG235" s="91" t="str">
        <f t="shared" si="21"/>
      </c>
      <c r="CH235" s="91" t="str">
        <f t="shared" si="21"/>
      </c>
      <c r="CI235" s="91" t="str">
        <f t="shared" si="21"/>
      </c>
      <c r="CJ235" s="91" t="str">
        <f t="shared" si="21"/>
      </c>
      <c r="CK235" s="91" t="str">
        <f t="shared" si="21"/>
      </c>
      <c r="CL235" s="91" t="str">
        <f t="shared" si="21"/>
      </c>
      <c r="CM235" s="91" t="str">
        <f t="shared" si="21"/>
      </c>
      <c r="CN235" s="91" t="str">
        <f t="shared" si="21"/>
      </c>
      <c r="CO235" s="91" t="str">
        <f ref="CO235:EZ235" t="shared" si="22">IF(SUM(CO216:CO234)&lt;&gt;0,SUM(CO216:CO234),"")</f>
      </c>
      <c r="CP235" s="91" t="str">
        <f t="shared" si="22"/>
      </c>
      <c r="CQ235" s="91" t="str">
        <f t="shared" si="22"/>
      </c>
      <c r="CR235" s="91" t="str">
        <f t="shared" si="22"/>
      </c>
      <c r="CS235" s="91" t="str">
        <f t="shared" si="22"/>
      </c>
      <c r="CT235" s="91" t="str">
        <f t="shared" si="22"/>
      </c>
      <c r="CU235" s="91" t="str">
        <f t="shared" si="22"/>
      </c>
      <c r="CV235" s="91" t="str">
        <f t="shared" si="22"/>
      </c>
      <c r="CW235" s="91" t="str">
        <f t="shared" si="22"/>
      </c>
      <c r="CX235" s="91" t="str">
        <f t="shared" si="22"/>
      </c>
      <c r="CY235" s="91" t="str">
        <f t="shared" si="22"/>
      </c>
      <c r="CZ235" s="91" t="str">
        <f t="shared" si="22"/>
      </c>
      <c r="DA235" s="91" t="str">
        <f t="shared" si="22"/>
      </c>
      <c r="DB235" s="91" t="str">
        <f t="shared" si="22"/>
      </c>
      <c r="DC235" s="91" t="str">
        <f t="shared" si="22"/>
      </c>
      <c r="DD235" s="91" t="str">
        <f t="shared" si="22"/>
      </c>
      <c r="DE235" s="91" t="str">
        <f t="shared" si="22"/>
      </c>
      <c r="DF235" s="91" t="str">
        <f t="shared" si="22"/>
      </c>
      <c r="DG235" s="91" t="str">
        <f t="shared" si="22"/>
      </c>
      <c r="DH235" s="91" t="str">
        <f t="shared" si="22"/>
      </c>
      <c r="DI235" s="91" t="str">
        <f t="shared" si="22"/>
      </c>
      <c r="DJ235" s="91" t="str">
        <f t="shared" si="22"/>
      </c>
      <c r="DK235" s="91" t="str">
        <f t="shared" si="22"/>
      </c>
      <c r="DL235" s="91" t="str">
        <f t="shared" si="22"/>
      </c>
      <c r="DM235" s="91" t="str">
        <f t="shared" si="22"/>
      </c>
      <c r="DN235" s="91" t="str">
        <f t="shared" si="22"/>
      </c>
      <c r="DO235" s="91" t="str">
        <f t="shared" si="22"/>
      </c>
      <c r="DP235" s="91" t="str">
        <f t="shared" si="22"/>
      </c>
      <c r="DQ235" s="91" t="str">
        <f t="shared" si="22"/>
      </c>
      <c r="DR235" s="91" t="str">
        <f t="shared" si="22"/>
      </c>
      <c r="DS235" s="91" t="str">
        <f t="shared" si="22"/>
      </c>
      <c r="DT235" s="91" t="str">
        <f t="shared" si="22"/>
      </c>
      <c r="DU235" s="91" t="str">
        <f t="shared" si="22"/>
      </c>
      <c r="DV235" s="91" t="str">
        <f t="shared" si="22"/>
      </c>
      <c r="DW235" s="91" t="str">
        <f t="shared" si="22"/>
      </c>
      <c r="DX235" s="91" t="str">
        <f t="shared" si="22"/>
      </c>
      <c r="DY235" s="91" t="str">
        <f t="shared" si="22"/>
      </c>
      <c r="DZ235" s="91" t="str">
        <f t="shared" si="22"/>
      </c>
      <c r="EA235" s="91" t="str">
        <f t="shared" si="22"/>
      </c>
      <c r="EB235" s="91" t="str">
        <f t="shared" si="22"/>
      </c>
      <c r="EC235" s="91" t="str">
        <f t="shared" si="22"/>
      </c>
      <c r="ED235" s="91" t="str">
        <f t="shared" si="22"/>
      </c>
      <c r="EE235" s="91" t="str">
        <f t="shared" si="22"/>
      </c>
      <c r="EF235" s="91" t="str">
        <f t="shared" si="22"/>
      </c>
      <c r="EG235" s="91" t="str">
        <f t="shared" si="22"/>
      </c>
      <c r="EH235" s="91" t="str">
        <f t="shared" si="22"/>
      </c>
      <c r="EI235" s="91" t="str">
        <f t="shared" si="22"/>
      </c>
      <c r="EJ235" s="91" t="str">
        <f t="shared" si="22"/>
      </c>
      <c r="EK235" s="91" t="str">
        <f t="shared" si="22"/>
      </c>
      <c r="EL235" s="91" t="str">
        <f t="shared" si="22"/>
      </c>
      <c r="EM235" s="91" t="str">
        <f t="shared" si="22"/>
      </c>
      <c r="EN235" s="91" t="str">
        <f t="shared" si="22"/>
      </c>
      <c r="EO235" s="91" t="str">
        <f t="shared" si="22"/>
      </c>
      <c r="EP235" s="91" t="str">
        <f t="shared" si="22"/>
      </c>
      <c r="EQ235" s="91" t="str">
        <f t="shared" si="22"/>
      </c>
      <c r="ER235" s="91" t="str">
        <f t="shared" si="22"/>
      </c>
      <c r="ES235" s="91" t="str">
        <f t="shared" si="22"/>
      </c>
      <c r="ET235" s="91" t="str">
        <f t="shared" si="22"/>
      </c>
      <c r="EU235" s="91" t="str">
        <f t="shared" si="22"/>
      </c>
      <c r="EV235" s="91" t="str">
        <f t="shared" si="22"/>
      </c>
      <c r="EW235" s="91" t="str">
        <f t="shared" si="22"/>
      </c>
      <c r="EX235" s="91" t="str">
        <f t="shared" si="22"/>
      </c>
      <c r="EY235" s="91" t="str">
        <f t="shared" si="22"/>
      </c>
      <c r="EZ235" s="91" t="str">
        <f t="shared" si="22"/>
      </c>
      <c r="FA235" s="91" t="str">
        <f ref="FA235:HL235" t="shared" si="23">IF(SUM(FA216:FA234)&lt;&gt;0,SUM(FA216:FA234),"")</f>
      </c>
      <c r="FB235" s="91" t="str">
        <f t="shared" si="23"/>
      </c>
      <c r="FC235" s="91" t="str">
        <f t="shared" si="23"/>
      </c>
      <c r="FD235" s="91" t="str">
        <f t="shared" si="23"/>
      </c>
      <c r="FE235" s="91" t="str">
        <f t="shared" si="23"/>
      </c>
      <c r="FF235" s="91" t="str">
        <f t="shared" si="23"/>
      </c>
      <c r="FG235" s="91" t="str">
        <f t="shared" si="23"/>
      </c>
      <c r="FH235" s="91" t="str">
        <f t="shared" si="23"/>
      </c>
      <c r="FI235" s="91" t="str">
        <f t="shared" si="23"/>
      </c>
      <c r="FJ235" s="91" t="str">
        <f t="shared" si="23"/>
      </c>
      <c r="FK235" s="91" t="str">
        <f t="shared" si="23"/>
      </c>
      <c r="FL235" s="91" t="str">
        <f t="shared" si="23"/>
      </c>
      <c r="FM235" s="91" t="str">
        <f t="shared" si="23"/>
      </c>
      <c r="FN235" s="91" t="str">
        <f t="shared" si="23"/>
      </c>
      <c r="FO235" s="91" t="str">
        <f t="shared" si="23"/>
      </c>
      <c r="FP235" s="91" t="str">
        <f t="shared" si="23"/>
      </c>
      <c r="FQ235" s="91" t="str">
        <f t="shared" si="23"/>
      </c>
      <c r="FR235" s="91" t="str">
        <f t="shared" si="23"/>
      </c>
      <c r="FS235" s="91" t="str">
        <f t="shared" si="23"/>
      </c>
      <c r="FT235" s="91" t="str">
        <f t="shared" si="23"/>
      </c>
      <c r="FU235" s="91" t="str">
        <f t="shared" si="23"/>
      </c>
      <c r="FV235" s="91" t="str">
        <f t="shared" si="23"/>
      </c>
      <c r="FW235" s="91" t="str">
        <f t="shared" si="23"/>
      </c>
      <c r="FX235" s="91" t="str">
        <f t="shared" si="23"/>
      </c>
      <c r="FY235" s="91" t="str">
        <f t="shared" si="23"/>
      </c>
      <c r="FZ235" s="91" t="str">
        <f t="shared" si="23"/>
      </c>
      <c r="GA235" s="91" t="str">
        <f t="shared" si="23"/>
      </c>
      <c r="GB235" s="91" t="str">
        <f t="shared" si="23"/>
      </c>
      <c r="GC235" s="91" t="str">
        <f t="shared" si="23"/>
      </c>
      <c r="GD235" s="91" t="str">
        <f t="shared" si="23"/>
      </c>
      <c r="GE235" s="91" t="str">
        <f t="shared" si="23"/>
      </c>
      <c r="GF235" s="91" t="str">
        <f t="shared" si="23"/>
      </c>
      <c r="GG235" s="91" t="str">
        <f t="shared" si="23"/>
      </c>
      <c r="GH235" s="91" t="str">
        <f t="shared" si="23"/>
      </c>
      <c r="GI235" s="91" t="str">
        <f t="shared" si="23"/>
      </c>
      <c r="GJ235" s="91" t="str">
        <f t="shared" si="23"/>
      </c>
      <c r="GK235" s="91" t="str">
        <f t="shared" si="23"/>
      </c>
      <c r="GL235" s="91" t="str">
        <f t="shared" si="23"/>
      </c>
      <c r="GM235" s="91" t="str">
        <f t="shared" si="23"/>
      </c>
      <c r="GN235" s="91" t="str">
        <f t="shared" si="23"/>
      </c>
      <c r="GO235" s="91" t="str">
        <f t="shared" si="23"/>
      </c>
      <c r="GP235" s="91" t="str">
        <f t="shared" si="23"/>
      </c>
      <c r="GQ235" s="91" t="str">
        <f t="shared" si="23"/>
      </c>
      <c r="GR235" s="91" t="str">
        <f t="shared" si="23"/>
      </c>
      <c r="GS235" s="91" t="str">
        <f t="shared" si="23"/>
      </c>
      <c r="GT235" s="91" t="str">
        <f t="shared" si="23"/>
      </c>
      <c r="GU235" s="91" t="str">
        <f t="shared" si="23"/>
      </c>
      <c r="GV235" s="91" t="str">
        <f t="shared" si="23"/>
      </c>
      <c r="GW235" s="91" t="str">
        <f t="shared" si="23"/>
      </c>
      <c r="GX235" s="91" t="str">
        <f t="shared" si="23"/>
      </c>
      <c r="GY235" s="91" t="str">
        <f t="shared" si="23"/>
      </c>
      <c r="GZ235" s="91" t="str">
        <f t="shared" si="23"/>
      </c>
      <c r="HA235" s="91" t="str">
        <f t="shared" si="23"/>
      </c>
      <c r="HB235" s="91" t="str">
        <f t="shared" si="23"/>
      </c>
      <c r="HC235" s="91" t="str">
        <f t="shared" si="23"/>
      </c>
      <c r="HD235" s="91" t="str">
        <f t="shared" si="23"/>
      </c>
      <c r="HE235" s="91" t="str">
        <f t="shared" si="23"/>
      </c>
      <c r="HF235" s="91" t="str">
        <f t="shared" si="23"/>
      </c>
      <c r="HG235" s="91" t="str">
        <f t="shared" si="23"/>
      </c>
      <c r="HH235" s="91" t="str">
        <f t="shared" si="23"/>
      </c>
      <c r="HI235" s="91" t="str">
        <f t="shared" si="23"/>
      </c>
      <c r="HJ235" s="91" t="str">
        <f t="shared" si="23"/>
      </c>
      <c r="HK235" s="91" t="str">
        <f t="shared" si="23"/>
      </c>
      <c r="HL235" s="91" t="str">
        <f t="shared" si="23"/>
      </c>
      <c r="HM235" s="91" t="str">
        <f ref="HM235:IV235" t="shared" si="24">IF(SUM(HM216:HM234)&lt;&gt;0,SUM(HM216:HM234),"")</f>
      </c>
      <c r="HN235" s="91" t="str">
        <f t="shared" si="24"/>
      </c>
      <c r="HO235" s="91" t="str">
        <f t="shared" si="24"/>
      </c>
      <c r="HP235" s="91" t="str">
        <f t="shared" si="24"/>
      </c>
      <c r="HQ235" s="91" t="str">
        <f t="shared" si="24"/>
      </c>
      <c r="HR235" s="91" t="str">
        <f t="shared" si="24"/>
      </c>
      <c r="HS235" s="91" t="str">
        <f t="shared" si="24"/>
      </c>
      <c r="HT235" s="91" t="str">
        <f t="shared" si="24"/>
      </c>
      <c r="HU235" s="91" t="str">
        <f t="shared" si="24"/>
      </c>
      <c r="HV235" s="91" t="str">
        <f t="shared" si="24"/>
      </c>
      <c r="HW235" s="91" t="str">
        <f t="shared" si="24"/>
      </c>
      <c r="HX235" s="91" t="str">
        <f t="shared" si="24"/>
      </c>
      <c r="HY235" s="91" t="str">
        <f t="shared" si="24"/>
      </c>
      <c r="HZ235" s="91" t="str">
        <f t="shared" si="24"/>
      </c>
      <c r="IA235" s="91" t="str">
        <f t="shared" si="24"/>
      </c>
      <c r="IB235" s="91" t="str">
        <f t="shared" si="24"/>
      </c>
      <c r="IC235" s="91" t="str">
        <f t="shared" si="24"/>
      </c>
      <c r="ID235" s="91" t="str">
        <f t="shared" si="24"/>
      </c>
      <c r="IE235" s="91" t="str">
        <f t="shared" si="24"/>
      </c>
      <c r="IF235" s="91" t="str">
        <f t="shared" si="24"/>
      </c>
      <c r="IG235" s="91" t="str">
        <f t="shared" si="24"/>
      </c>
      <c r="IH235" s="91" t="str">
        <f t="shared" si="24"/>
      </c>
      <c r="II235" s="91" t="str">
        <f t="shared" si="24"/>
      </c>
      <c r="IJ235" s="91" t="str">
        <f t="shared" si="24"/>
      </c>
      <c r="IK235" s="91" t="str">
        <f t="shared" si="24"/>
      </c>
      <c r="IL235" s="91" t="str">
        <f t="shared" si="24"/>
      </c>
      <c r="IM235" s="91" t="str">
        <f t="shared" si="24"/>
      </c>
      <c r="IN235" s="91" t="str">
        <f t="shared" si="24"/>
      </c>
      <c r="IO235" s="91" t="str">
        <f t="shared" si="24"/>
      </c>
      <c r="IP235" s="91" t="str">
        <f t="shared" si="24"/>
      </c>
      <c r="IQ235" s="91" t="str">
        <f t="shared" si="24"/>
      </c>
      <c r="IR235" s="91" t="str">
        <f t="shared" si="24"/>
      </c>
      <c r="IS235" s="91" t="str">
        <f t="shared" si="24"/>
      </c>
      <c r="IT235" s="91" t="str">
        <f t="shared" si="24"/>
      </c>
      <c r="IU235" s="91" t="str">
        <f t="shared" si="24"/>
      </c>
      <c r="IV235" s="91" t="str">
        <f t="shared" si="24"/>
      </c>
    </row>
    <row r="236" hidden="1" ht="15">
      <c r="B236" s="311"/>
      <c r="C236" s="219"/>
      <c r="D236" s="219"/>
      <c r="E236" s="219"/>
      <c r="F236" s="219"/>
      <c r="G236" s="219"/>
      <c r="H236" s="219"/>
      <c r="I236" s="219"/>
      <c r="J236" s="219"/>
      <c r="K236" s="219"/>
    </row>
    <row r="237" hidden="1" ht="13.5"/>
    <row r="238" hidden="1" ht="13.5">
      <c r="C238" s="686" t="s">
        <v>108</v>
      </c>
      <c r="D238" s="687"/>
      <c r="E238" s="687"/>
      <c r="F238" s="687"/>
      <c r="G238" s="687"/>
      <c r="H238" s="687"/>
      <c r="I238" s="687"/>
      <c r="J238" s="687"/>
      <c r="K238" s="687"/>
      <c r="L238" s="687"/>
      <c r="M238" s="687"/>
      <c r="N238" s="687"/>
      <c r="O238" s="687"/>
      <c r="P238" s="687"/>
      <c r="Q238" s="687"/>
      <c r="R238" s="687"/>
      <c r="S238" s="687"/>
      <c r="T238" s="687"/>
      <c r="U238" s="687"/>
      <c r="V238" s="687"/>
      <c r="W238" s="687"/>
      <c r="X238" s="687"/>
      <c r="Y238" s="687"/>
      <c r="Z238" s="687"/>
      <c r="AA238" s="687"/>
      <c r="AB238" s="688"/>
    </row>
    <row r="239" hidden="1" ht="13.5">
      <c r="C239" s="435" t="str">
        <f> IF(C259&lt;&gt;"",TEXT(AUX!G$1,"dd-MMM-aa"),"")</f>
      </c>
      <c r="D239" s="435" t="str">
        <f> IF(D259&lt;&gt;"",TEXT(AUX!H$1,"dd-MMM-aa"),"")</f>
      </c>
      <c r="E239" s="435" t="str">
        <f> IF(E259&lt;&gt;"",TEXT(AUX!I$1,"dd-MMM-aa"),"")</f>
      </c>
      <c r="F239" s="435" t="str">
        <f> IF(F259&lt;&gt;"",TEXT(AUX!J$1,"dd-MMM-aa"),"")</f>
      </c>
      <c r="G239" s="435" t="str">
        <f> IF(G259&lt;&gt;"",TEXT(AUX!K$1,"dd-MMM-aa"),"")</f>
      </c>
      <c r="H239" s="435" t="str">
        <f> IF(H259&lt;&gt;"",TEXT(AUX!L$1,"dd-MMM-aa"),"")</f>
      </c>
      <c r="I239" s="435" t="str">
        <f> IF(I259&lt;&gt;"",TEXT(AUX!M$1,"dd-MMM-aa"),"")</f>
      </c>
      <c r="J239" s="435" t="str">
        <f> IF(J259&lt;&gt;"",TEXT(AUX!N$1,"dd-MMM-aa"),"")</f>
      </c>
      <c r="K239" s="435" t="str">
        <f> IF(K259&lt;&gt;"",TEXT(AUX!O$1,"dd-MMM-aa"),"")</f>
      </c>
      <c r="L239" s="435" t="str">
        <f> IF(L259&lt;&gt;"",TEXT(AUX!P$1,"dd-MMM-aa"),"")</f>
      </c>
      <c r="M239" s="435" t="str">
        <f> IF(M259&lt;&gt;"",TEXT(AUX!Q$1,"dd-MMM-aa"),"")</f>
      </c>
      <c r="N239" s="435" t="str">
        <f> IF(N259&lt;&gt;"",TEXT(AUX!R$1,"dd-MMM-aa"),"")</f>
      </c>
      <c r="O239" s="435" t="str">
        <f> IF(O259&lt;&gt;"",TEXT(AUX!S$1,"dd-MMM-aa"),"")</f>
      </c>
      <c r="P239" s="435" t="str">
        <f> IF(P259&lt;&gt;"",TEXT(AUX!T$1,"dd-MMM-aa"),"")</f>
      </c>
      <c r="Q239" s="435" t="str">
        <f> IF(Q259&lt;&gt;"",TEXT(AUX!U$1,"dd-MMM-aa"),"")</f>
      </c>
      <c r="R239" s="435" t="str">
        <f> IF(R259&lt;&gt;"",TEXT(AUX!V$1,"dd-MMM-aa"),"")</f>
      </c>
      <c r="S239" s="435" t="str">
        <f> IF(S259&lt;&gt;"",TEXT(AUX!W$1,"dd-MMM-aa"),"")</f>
      </c>
      <c r="T239" s="435" t="str">
        <f> IF(T259&lt;&gt;"",TEXT(AUX!X$1,"dd-MMM-aa"),"")</f>
      </c>
      <c r="U239" s="435" t="str">
        <f> IF(U259&lt;&gt;"",TEXT(AUX!Y$1,"dd-MMM-aa"),"")</f>
      </c>
      <c r="V239" s="435" t="str">
        <f> IF(V259&lt;&gt;"",TEXT(AUX!Z$1,"dd-MMM-aa"),"")</f>
      </c>
      <c r="W239" s="435" t="str">
        <f> IF(W259&lt;&gt;"",TEXT(AUX!AA$1,"dd-MMM-aa"),"")</f>
      </c>
      <c r="X239" s="435" t="str">
        <f> IF(X259&lt;&gt;"",TEXT(AUX!AB$1,"dd-MMM-aa"),"")</f>
      </c>
      <c r="Y239" s="435" t="str">
        <f> IF(Y259&lt;&gt;"",TEXT(AUX!AC$1,"dd-MMM-aa"),"")</f>
      </c>
      <c r="Z239" s="435" t="str">
        <f> IF(Z259&lt;&gt;"",TEXT(AUX!AD$1,"dd-MMM-aa"),"")</f>
      </c>
      <c r="AA239" s="435" t="str">
        <f> IF(AA259&lt;&gt;"",TEXT(AUX!AE$1,"dd-MMM-aa"),"")</f>
      </c>
      <c r="AB239" s="497" t="str">
        <f> IF(AB259&lt;&gt;"",TEXT(AUX!AF$1,"dd-MMM-aa"),"")</f>
      </c>
      <c r="AC239" s="496" t="str">
        <f> IF(AC259&lt;&gt;"",TEXT(AUX!AG$1,"dd-MMM-aa"),"")</f>
      </c>
      <c r="AD239" s="496" t="str">
        <f> IF(AD259&lt;&gt;"",TEXT(AUX!AH$1,"dd-MMM-aa"),"")</f>
      </c>
      <c r="AE239" s="496" t="str">
        <f> IF(AE259&lt;&gt;"",TEXT(AUX!AI$1,"dd-MMM-aa"),"")</f>
      </c>
      <c r="AF239" s="496" t="str">
        <f> IF(AF259&lt;&gt;"",TEXT(AUX!AJ$1,"dd-MMM-aa"),"")</f>
      </c>
      <c r="AG239" s="496" t="str">
        <f> IF(AG259&lt;&gt;"",TEXT(AUX!AK$1,"dd-MMM-aa"),"")</f>
      </c>
      <c r="AH239" s="496" t="str">
        <f> IF(AH259&lt;&gt;"",TEXT(AUX!AL$1,"dd-MMM-aa"),"")</f>
      </c>
      <c r="AI239" s="496" t="str">
        <f> IF(AI259&lt;&gt;"",TEXT(AUX!AM$1,"dd-MMM-aa"),"")</f>
      </c>
      <c r="AJ239" s="496" t="str">
        <f> IF(AJ259&lt;&gt;"",TEXT(AUX!AN$1,"dd-MMM-aa"),"")</f>
      </c>
      <c r="AK239" s="496" t="str">
        <f> IF(AK259&lt;&gt;"",TEXT(AUX!AO$1,"dd-MMM-aa"),"")</f>
      </c>
      <c r="AL239" s="496" t="str">
        <f> IF(AL259&lt;&gt;"",TEXT(AUX!AP$1,"dd-MMM-aa"),"")</f>
      </c>
      <c r="AM239" s="496" t="str">
        <f> IF(AM259&lt;&gt;"",TEXT(AUX!AQ$1,"dd-MMM-aa"),"")</f>
      </c>
      <c r="AN239" s="496" t="str">
        <f> IF(AN259&lt;&gt;"",TEXT(AUX!AR$1,"dd-MMM-aa"),"")</f>
      </c>
      <c r="AO239" s="496" t="str">
        <f> IF(AO259&lt;&gt;"",TEXT(AUX!AS$1,"dd-MMM-aa"),"")</f>
      </c>
      <c r="AP239" s="496" t="str">
        <f> IF(AP259&lt;&gt;"",TEXT(AUX!AT$1,"dd-MMM-aa"),"")</f>
      </c>
      <c r="AQ239" s="496" t="str">
        <f> IF(AQ259&lt;&gt;"",TEXT(AUX!AU$1,"dd-MMM-aa"),"")</f>
      </c>
      <c r="AR239" s="496" t="str">
        <f> IF(AR259&lt;&gt;"",TEXT(AUX!AV$1,"dd-MMM-aa"),"")</f>
      </c>
      <c r="AS239" s="496" t="str">
        <f> IF(AS259&lt;&gt;"",TEXT(AUX!AW$1,"dd-MMM-aa"),"")</f>
      </c>
      <c r="AT239" s="496" t="str">
        <f> IF(AT259&lt;&gt;"",TEXT(AUX!AX$1,"dd-MMM-aa"),"")</f>
      </c>
      <c r="AU239" s="496" t="str">
        <f> IF(AU259&lt;&gt;"",TEXT(AUX!AY$1,"dd-MMM-aa"),"")</f>
      </c>
      <c r="AV239" s="496" t="str">
        <f> IF(AV259&lt;&gt;"",TEXT(AUX!AZ$1,"dd-MMM-aa"),"")</f>
      </c>
      <c r="AW239" s="496" t="str">
        <f> IF(AW259&lt;&gt;"",TEXT(AUX!BA$1,"dd-MMM-aa"),"")</f>
      </c>
      <c r="AX239" s="496" t="str">
        <f> IF(AX259&lt;&gt;"",TEXT(AUX!BB$1,"dd-MMM-aa"),"")</f>
      </c>
      <c r="AY239" s="496" t="str">
        <f> IF(AY259&lt;&gt;"",TEXT(AUX!BC$1,"dd-MMM-aa"),"")</f>
      </c>
      <c r="AZ239" s="496" t="str">
        <f> IF(AZ259&lt;&gt;"",TEXT(AUX!BD$1,"dd-MMM-aa"),"")</f>
      </c>
      <c r="BA239" s="496" t="str">
        <f> IF(BA259&lt;&gt;"",TEXT(AUX!BE$1,"dd-MMM-aa"),"")</f>
      </c>
      <c r="BB239" s="496" t="str">
        <f> IF(BB259&lt;&gt;"",TEXT(AUX!BF$1,"dd-MMM-aa"),"")</f>
      </c>
      <c r="BC239" s="496" t="str">
        <f> IF(BC259&lt;&gt;"",TEXT(AUX!BG$1,"dd-MMM-aa"),"")</f>
      </c>
      <c r="BD239" s="496" t="str">
        <f> IF(BD259&lt;&gt;"",TEXT(AUX!BH$1,"dd-MMM-aa"),"")</f>
      </c>
      <c r="BE239" s="496" t="str">
        <f> IF(BE259&lt;&gt;"",TEXT(AUX!BI$1,"dd-MMM-aa"),"")</f>
      </c>
      <c r="BF239" s="496" t="str">
        <f> IF(BF259&lt;&gt;"",TEXT(AUX!BJ$1,"dd-MMM-aa"),"")</f>
      </c>
      <c r="BG239" s="496" t="str">
        <f> IF(BG259&lt;&gt;"",TEXT(AUX!BK$1,"dd-MMM-aa"),"")</f>
      </c>
      <c r="BH239" s="496" t="str">
        <f> IF(BH259&lt;&gt;"",TEXT(AUX!BL$1,"dd-MMM-aa"),"")</f>
      </c>
      <c r="BI239" s="496" t="str">
        <f> IF(BI259&lt;&gt;"",TEXT(AUX!BM$1,"dd-MMM-aa"),"")</f>
      </c>
      <c r="BJ239" s="496" t="str">
        <f> IF(BJ259&lt;&gt;"",TEXT(AUX!BN$1,"dd-MMM-aa"),"")</f>
      </c>
      <c r="BK239" s="496" t="str">
        <f> IF(BK259&lt;&gt;"",TEXT(AUX!BO$1,"dd-MMM-aa"),"")</f>
      </c>
      <c r="BL239" s="496" t="str">
        <f> IF(BL259&lt;&gt;"",TEXT(AUX!BP$1,"dd-MMM-aa"),"")</f>
      </c>
      <c r="BM239" s="496" t="str">
        <f> IF(BM259&lt;&gt;"",TEXT(AUX!BQ$1,"dd-MMM-aa"),"")</f>
      </c>
      <c r="BN239" s="496" t="str">
        <f> IF(BN259&lt;&gt;"",TEXT(AUX!BR$1,"dd-MMM-aa"),"")</f>
      </c>
      <c r="BO239" s="496" t="str">
        <f> IF(BO259&lt;&gt;"",TEXT(AUX!BS$1,"dd-MMM-aa"),"")</f>
      </c>
      <c r="BP239" s="496" t="str">
        <f> IF(BP259&lt;&gt;"",TEXT(AUX!BT$1,"dd-MMM-aa"),"")</f>
      </c>
      <c r="BQ239" s="496" t="str">
        <f> IF(BQ259&lt;&gt;"",TEXT(AUX!BU$1,"dd-MMM-aa"),"")</f>
      </c>
      <c r="BR239" s="496" t="str">
        <f> IF(BR259&lt;&gt;"",TEXT(AUX!BV$1,"dd-MMM-aa"),"")</f>
      </c>
      <c r="BS239" s="496" t="str">
        <f> IF(BS259&lt;&gt;"",TEXT(AUX!BW$1,"dd-MMM-aa"),"")</f>
      </c>
      <c r="BT239" s="496" t="str">
        <f> IF(BT259&lt;&gt;"",TEXT(AUX!BX$1,"dd-MMM-aa"),"")</f>
      </c>
      <c r="BU239" s="496" t="str">
        <f> IF(BU259&lt;&gt;"",TEXT(AUX!BY$1,"dd-MMM-aa"),"")</f>
      </c>
      <c r="BV239" s="496" t="str">
        <f> IF(BV259&lt;&gt;"",TEXT(AUX!BZ$1,"dd-MMM-aa"),"")</f>
      </c>
      <c r="BW239" s="496" t="str">
        <f> IF(BW259&lt;&gt;"",TEXT(AUX!CA$1,"dd-MMM-aa"),"")</f>
      </c>
      <c r="BX239" s="496" t="str">
        <f> IF(BX259&lt;&gt;"",TEXT(AUX!CB$1,"dd-MMM-aa"),"")</f>
      </c>
      <c r="BY239" s="496" t="str">
        <f> IF(BY259&lt;&gt;"",TEXT(AUX!CC$1,"dd-MMM-aa"),"")</f>
      </c>
      <c r="BZ239" s="496" t="str">
        <f> IF(BZ259&lt;&gt;"",TEXT(AUX!CD$1,"dd-MMM-aa"),"")</f>
      </c>
      <c r="CA239" s="496" t="str">
        <f> IF(CA259&lt;&gt;"",TEXT(AUX!CE$1,"dd-MMM-aa"),"")</f>
      </c>
      <c r="CB239" s="496" t="str">
        <f> IF(CB259&lt;&gt;"",TEXT(AUX!CF$1,"dd-MMM-aa"),"")</f>
      </c>
      <c r="CC239" s="496" t="str">
        <f> IF(CC259&lt;&gt;"",TEXT(AUX!CG$1,"dd-MMM-aa"),"")</f>
      </c>
      <c r="CD239" s="496" t="str">
        <f> IF(CD259&lt;&gt;"",TEXT(AUX!CH$1,"dd-MMM-aa"),"")</f>
      </c>
      <c r="CE239" s="496" t="str">
        <f> IF(CE259&lt;&gt;"",TEXT(AUX!CI$1,"dd-MMM-aa"),"")</f>
      </c>
      <c r="CF239" s="496" t="str">
        <f> IF(CF259&lt;&gt;"",TEXT(AUX!CJ$1,"dd-MMM-aa"),"")</f>
      </c>
      <c r="CG239" s="496" t="str">
        <f> IF(CG259&lt;&gt;"",TEXT(AUX!CK$1,"dd-MMM-aa"),"")</f>
      </c>
      <c r="CH239" s="496" t="str">
        <f> IF(CH259&lt;&gt;"",TEXT(AUX!CL$1,"dd-MMM-aa"),"")</f>
      </c>
      <c r="CI239" s="496" t="str">
        <f> IF(CI259&lt;&gt;"",TEXT(AUX!CM$1,"dd-MMM-aa"),"")</f>
      </c>
      <c r="CJ239" s="496" t="str">
        <f> IF(CJ259&lt;&gt;"",TEXT(AUX!CN$1,"dd-MMM-aa"),"")</f>
      </c>
      <c r="CK239" s="496" t="str">
        <f> IF(CK259&lt;&gt;"",TEXT(AUX!CO$1,"dd-MMM-aa"),"")</f>
      </c>
      <c r="CL239" s="496" t="str">
        <f> IF(CL259&lt;&gt;"",TEXT(AUX!CP$1,"dd-MMM-aa"),"")</f>
      </c>
      <c r="CM239" s="496" t="str">
        <f> IF(CM259&lt;&gt;"",TEXT(AUX!CQ$1,"dd-MMM-aa"),"")</f>
      </c>
      <c r="CN239" s="496" t="str">
        <f> IF(CN259&lt;&gt;"",TEXT(AUX!CR$1,"dd-MMM-aa"),"")</f>
      </c>
      <c r="CO239" s="496" t="str">
        <f> IF(CO259&lt;&gt;"",TEXT(AUX!CS$1,"dd-MMM-aa"),"")</f>
      </c>
      <c r="CP239" s="496" t="str">
        <f> IF(CP259&lt;&gt;"",TEXT(AUX!CT$1,"dd-MMM-aa"),"")</f>
      </c>
      <c r="CQ239" s="496" t="str">
        <f> IF(CQ259&lt;&gt;"",TEXT(AUX!CU$1,"dd-MMM-aa"),"")</f>
      </c>
      <c r="CR239" s="496" t="str">
        <f> IF(CR259&lt;&gt;"",TEXT(AUX!CV$1,"dd-MMM-aa"),"")</f>
      </c>
      <c r="CS239" s="496" t="str">
        <f> IF(CS259&lt;&gt;"",TEXT(AUX!CW$1,"dd-MMM-aa"),"")</f>
      </c>
      <c r="CT239" s="496" t="str">
        <f> IF(CT259&lt;&gt;"",TEXT(AUX!CX$1,"dd-MMM-aa"),"")</f>
      </c>
      <c r="CU239" s="496" t="str">
        <f> IF(CU259&lt;&gt;"",TEXT(AUX!CY$1,"dd-MMM-aa"),"")</f>
      </c>
      <c r="CV239" s="496" t="str">
        <f> IF(CV259&lt;&gt;"",TEXT(AUX!CZ$1,"dd-MMM-aa"),"")</f>
      </c>
      <c r="CW239" s="496" t="str">
        <f> IF(CW259&lt;&gt;"",TEXT(AUX!DA$1,"dd-MMM-aa"),"")</f>
      </c>
      <c r="CX239" s="496" t="str">
        <f> IF(CX259&lt;&gt;"",TEXT(AUX!DB$1,"dd-MMM-aa"),"")</f>
      </c>
      <c r="CY239" s="496" t="str">
        <f> IF(CY259&lt;&gt;"",TEXT(AUX!DC$1,"dd-MMM-aa"),"")</f>
      </c>
      <c r="CZ239" s="496" t="str">
        <f> IF(CZ259&lt;&gt;"",TEXT(AUX!DD$1,"dd-MMM-aa"),"")</f>
      </c>
      <c r="DA239" s="496" t="str">
        <f> IF(DA259&lt;&gt;"",TEXT(AUX!DE$1,"dd-MMM-aa"),"")</f>
      </c>
      <c r="DB239" s="496" t="str">
        <f> IF(DB259&lt;&gt;"",TEXT(AUX!DF$1,"dd-MMM-aa"),"")</f>
      </c>
      <c r="DC239" s="496" t="str">
        <f> IF(DC259&lt;&gt;"",TEXT(AUX!DG$1,"dd-MMM-aa"),"")</f>
      </c>
      <c r="DD239" s="496" t="str">
        <f> IF(DD259&lt;&gt;"",TEXT(AUX!DH$1,"dd-MMM-aa"),"")</f>
      </c>
      <c r="DE239" s="496" t="str">
        <f> IF(DE259&lt;&gt;"",TEXT(AUX!DI$1,"dd-MMM-aa"),"")</f>
      </c>
      <c r="DF239" s="496" t="str">
        <f> IF(DF259&lt;&gt;"",TEXT(AUX!DJ$1,"dd-MMM-aa"),"")</f>
      </c>
      <c r="DG239" s="496" t="str">
        <f> IF(DG259&lt;&gt;"",TEXT(AUX!DK$1,"dd-MMM-aa"),"")</f>
      </c>
      <c r="DH239" s="496" t="str">
        <f> IF(DH259&lt;&gt;"",TEXT(AUX!DL$1,"dd-MMM-aa"),"")</f>
      </c>
      <c r="DI239" s="496" t="str">
        <f> IF(DI259&lt;&gt;"",TEXT(AUX!DM$1,"dd-MMM-aa"),"")</f>
      </c>
      <c r="DJ239" s="496" t="str">
        <f> IF(DJ259&lt;&gt;"",TEXT(AUX!DN$1,"dd-MMM-aa"),"")</f>
      </c>
      <c r="DK239" s="496" t="str">
        <f> IF(DK259&lt;&gt;"",TEXT(AUX!DO$1,"dd-MMM-aa"),"")</f>
      </c>
      <c r="DL239" s="496" t="str">
        <f> IF(DL259&lt;&gt;"",TEXT(AUX!DP$1,"dd-MMM-aa"),"")</f>
      </c>
      <c r="DM239" s="496" t="str">
        <f> IF(DM259&lt;&gt;"",TEXT(AUX!DQ$1,"dd-MMM-aa"),"")</f>
      </c>
      <c r="DN239" s="496" t="str">
        <f> IF(DN259&lt;&gt;"",TEXT(AUX!DR$1,"dd-MMM-aa"),"")</f>
      </c>
      <c r="DO239" s="496" t="str">
        <f> IF(DO259&lt;&gt;"",TEXT(AUX!DS$1,"dd-MMM-aa"),"")</f>
      </c>
      <c r="DP239" s="496" t="str">
        <f> IF(DP259&lt;&gt;"",TEXT(AUX!DT$1,"dd-MMM-aa"),"")</f>
      </c>
      <c r="DQ239" s="496" t="str">
        <f> IF(DQ259&lt;&gt;"",TEXT(AUX!DU$1,"dd-MMM-aa"),"")</f>
      </c>
      <c r="DR239" s="496" t="str">
        <f> IF(DR259&lt;&gt;"",TEXT(AUX!DV$1,"dd-MMM-aa"),"")</f>
      </c>
      <c r="DS239" s="496" t="str">
        <f> IF(DS259&lt;&gt;"",TEXT(AUX!DW$1,"dd-MMM-aa"),"")</f>
      </c>
      <c r="DT239" s="496" t="str">
        <f> IF(DT259&lt;&gt;"",TEXT(AUX!DX$1,"dd-MMM-aa"),"")</f>
      </c>
      <c r="DU239" s="496" t="str">
        <f> IF(DU259&lt;&gt;"",TEXT(AUX!DY$1,"dd-MMM-aa"),"")</f>
      </c>
      <c r="DV239" s="496" t="str">
        <f> IF(DV259&lt;&gt;"",TEXT(AUX!DZ$1,"dd-MMM-aa"),"")</f>
      </c>
      <c r="DW239" s="496" t="str">
        <f> IF(DW259&lt;&gt;"",TEXT(AUX!EA$1,"dd-MMM-aa"),"")</f>
      </c>
      <c r="DX239" s="496" t="str">
        <f> IF(DX259&lt;&gt;"",TEXT(AUX!EB$1,"dd-MMM-aa"),"")</f>
      </c>
      <c r="DY239" s="496" t="str">
        <f> IF(DY259&lt;&gt;"",TEXT(AUX!EC$1,"dd-MMM-aa"),"")</f>
      </c>
      <c r="DZ239" s="496" t="str">
        <f> IF(DZ259&lt;&gt;"",TEXT(AUX!ED$1,"dd-MMM-aa"),"")</f>
      </c>
      <c r="EA239" s="496" t="str">
        <f> IF(EA259&lt;&gt;"",TEXT(AUX!EE$1,"dd-MMM-aa"),"")</f>
      </c>
      <c r="EB239" s="496" t="str">
        <f> IF(EB259&lt;&gt;"",TEXT(AUX!EF$1,"dd-MMM-aa"),"")</f>
      </c>
      <c r="EC239" s="496" t="str">
        <f> IF(EC259&lt;&gt;"",TEXT(AUX!EG$1,"dd-MMM-aa"),"")</f>
      </c>
      <c r="ED239" s="496" t="str">
        <f> IF(ED259&lt;&gt;"",TEXT(AUX!EH$1,"dd-MMM-aa"),"")</f>
      </c>
      <c r="EE239" s="496" t="str">
        <f> IF(EE259&lt;&gt;"",TEXT(AUX!EI$1,"dd-MMM-aa"),"")</f>
      </c>
      <c r="EF239" s="496" t="str">
        <f> IF(EF259&lt;&gt;"",TEXT(AUX!EJ$1,"dd-MMM-aa"),"")</f>
      </c>
      <c r="EG239" s="496" t="str">
        <f> IF(EG259&lt;&gt;"",TEXT(AUX!EK$1,"dd-MMM-aa"),"")</f>
      </c>
      <c r="EH239" s="496" t="str">
        <f> IF(EH259&lt;&gt;"",TEXT(AUX!EL$1,"dd-MMM-aa"),"")</f>
      </c>
      <c r="EI239" s="496" t="str">
        <f> IF(EI259&lt;&gt;"",TEXT(AUX!EM$1,"dd-MMM-aa"),"")</f>
      </c>
      <c r="EJ239" s="496" t="str">
        <f> IF(EJ259&lt;&gt;"",TEXT(AUX!EN$1,"dd-MMM-aa"),"")</f>
      </c>
      <c r="EK239" s="496" t="str">
        <f> IF(EK259&lt;&gt;"",TEXT(AUX!EO$1,"dd-MMM-aa"),"")</f>
      </c>
      <c r="EL239" s="496" t="str">
        <f> IF(EL259&lt;&gt;"",TEXT(AUX!EP$1,"dd-MMM-aa"),"")</f>
      </c>
      <c r="EM239" s="496" t="str">
        <f> IF(EM259&lt;&gt;"",TEXT(AUX!EQ$1,"dd-MMM-aa"),"")</f>
      </c>
      <c r="EN239" s="496" t="str">
        <f> IF(EN259&lt;&gt;"",TEXT(AUX!ER$1,"dd-MMM-aa"),"")</f>
      </c>
      <c r="EO239" s="496" t="str">
        <f> IF(EO259&lt;&gt;"",TEXT(AUX!ES$1,"dd-MMM-aa"),"")</f>
      </c>
      <c r="EP239" s="496" t="str">
        <f> IF(EP259&lt;&gt;"",TEXT(AUX!ET$1,"dd-MMM-aa"),"")</f>
      </c>
      <c r="EQ239" s="496" t="str">
        <f> IF(EQ259&lt;&gt;"",TEXT(AUX!EU$1,"dd-MMM-aa"),"")</f>
      </c>
      <c r="ER239" s="496" t="str">
        <f> IF(ER259&lt;&gt;"",TEXT(AUX!EV$1,"dd-MMM-aa"),"")</f>
      </c>
      <c r="ES239" s="496" t="str">
        <f> IF(ES259&lt;&gt;"",TEXT(AUX!EW$1,"dd-MMM-aa"),"")</f>
      </c>
      <c r="ET239" s="496" t="str">
        <f> IF(ET259&lt;&gt;"",TEXT(AUX!EX$1,"dd-MMM-aa"),"")</f>
      </c>
      <c r="EU239" s="496" t="str">
        <f> IF(EU259&lt;&gt;"",TEXT(AUX!EY$1,"dd-MMM-aa"),"")</f>
      </c>
      <c r="EV239" s="496" t="str">
        <f> IF(EV259&lt;&gt;"",TEXT(AUX!EZ$1,"dd-MMM-aa"),"")</f>
      </c>
      <c r="EW239" s="496" t="str">
        <f> IF(EW259&lt;&gt;"",TEXT(AUX!FA$1,"dd-MMM-aa"),"")</f>
      </c>
      <c r="EX239" s="496" t="str">
        <f> IF(EX259&lt;&gt;"",TEXT(AUX!FB$1,"dd-MMM-aa"),"")</f>
      </c>
      <c r="EY239" s="496" t="str">
        <f> IF(EY259&lt;&gt;"",TEXT(AUX!FC$1,"dd-MMM-aa"),"")</f>
      </c>
      <c r="EZ239" s="496" t="str">
        <f> IF(EZ259&lt;&gt;"",TEXT(AUX!FD$1,"dd-MMM-aa"),"")</f>
      </c>
      <c r="FA239" s="496" t="str">
        <f> IF(FA259&lt;&gt;"",TEXT(AUX!FE$1,"dd-MMM-aa"),"")</f>
      </c>
      <c r="FB239" s="496" t="str">
        <f> IF(FB259&lt;&gt;"",TEXT(AUX!FF$1,"dd-MMM-aa"),"")</f>
      </c>
      <c r="FC239" s="496" t="str">
        <f> IF(FC259&lt;&gt;"",TEXT(AUX!FG$1,"dd-MMM-aa"),"")</f>
      </c>
      <c r="FD239" s="496" t="str">
        <f> IF(FD259&lt;&gt;"",TEXT(AUX!FH$1,"dd-MMM-aa"),"")</f>
      </c>
      <c r="FE239" s="496" t="str">
        <f> IF(FE259&lt;&gt;"",TEXT(AUX!FI$1,"dd-MMM-aa"),"")</f>
      </c>
      <c r="FF239" s="496" t="str">
        <f> IF(FF259&lt;&gt;"",TEXT(AUX!FJ$1,"dd-MMM-aa"),"")</f>
      </c>
      <c r="FG239" s="496" t="str">
        <f> IF(FG259&lt;&gt;"",TEXT(AUX!FK$1,"dd-MMM-aa"),"")</f>
      </c>
      <c r="FH239" s="496" t="str">
        <f> IF(FH259&lt;&gt;"",TEXT(AUX!FL$1,"dd-MMM-aa"),"")</f>
      </c>
      <c r="FI239" s="496" t="str">
        <f> IF(FI259&lt;&gt;"",TEXT(AUX!FM$1,"dd-MMM-aa"),"")</f>
      </c>
      <c r="FJ239" s="496" t="str">
        <f> IF(FJ259&lt;&gt;"",TEXT(AUX!FN$1,"dd-MMM-aa"),"")</f>
      </c>
      <c r="FK239" s="496" t="str">
        <f> IF(FK259&lt;&gt;"",TEXT(AUX!FO$1,"dd-MMM-aa"),"")</f>
      </c>
      <c r="FL239" s="496" t="str">
        <f> IF(FL259&lt;&gt;"",TEXT(AUX!FP$1,"dd-MMM-aa"),"")</f>
      </c>
      <c r="FM239" s="496" t="str">
        <f> IF(FM259&lt;&gt;"",TEXT(AUX!FQ$1,"dd-MMM-aa"),"")</f>
      </c>
      <c r="FN239" s="496" t="str">
        <f> IF(FN259&lt;&gt;"",TEXT(AUX!FR$1,"dd-MMM-aa"),"")</f>
      </c>
      <c r="FO239" s="496" t="str">
        <f> IF(FO259&lt;&gt;"",TEXT(AUX!FS$1,"dd-MMM-aa"),"")</f>
      </c>
      <c r="FP239" s="496" t="str">
        <f> IF(FP259&lt;&gt;"",TEXT(AUX!FT$1,"dd-MMM-aa"),"")</f>
      </c>
      <c r="FQ239" s="496" t="str">
        <f> IF(FQ259&lt;&gt;"",TEXT(AUX!FU$1,"dd-MMM-aa"),"")</f>
      </c>
      <c r="FR239" s="496" t="str">
        <f> IF(FR259&lt;&gt;"",TEXT(AUX!FV$1,"dd-MMM-aa"),"")</f>
      </c>
      <c r="FS239" s="496" t="str">
        <f> IF(FS259&lt;&gt;"",TEXT(AUX!FW$1,"dd-MMM-aa"),"")</f>
      </c>
      <c r="FT239" s="496" t="str">
        <f> IF(FT259&lt;&gt;"",TEXT(AUX!FX$1,"dd-MMM-aa"),"")</f>
      </c>
      <c r="FU239" s="496" t="str">
        <f> IF(FU259&lt;&gt;"",TEXT(AUX!FY$1,"dd-MMM-aa"),"")</f>
      </c>
      <c r="FV239" s="496" t="str">
        <f> IF(FV259&lt;&gt;"",TEXT(AUX!FZ$1,"dd-MMM-aa"),"")</f>
      </c>
      <c r="FW239" s="496" t="str">
        <f> IF(FW259&lt;&gt;"",TEXT(AUX!GA$1,"dd-MMM-aa"),"")</f>
      </c>
      <c r="FX239" s="496" t="str">
        <f> IF(FX259&lt;&gt;"",TEXT(AUX!GB$1,"dd-MMM-aa"),"")</f>
      </c>
      <c r="FY239" s="496" t="str">
        <f> IF(FY259&lt;&gt;"",TEXT(AUX!GC$1,"dd-MMM-aa"),"")</f>
      </c>
      <c r="FZ239" s="496" t="str">
        <f> IF(FZ259&lt;&gt;"",TEXT(AUX!GD$1,"dd-MMM-aa"),"")</f>
      </c>
      <c r="GA239" s="496" t="str">
        <f> IF(GA259&lt;&gt;"",TEXT(AUX!GE$1,"dd-MMM-aa"),"")</f>
      </c>
      <c r="GB239" s="496" t="str">
        <f> IF(GB259&lt;&gt;"",TEXT(AUX!GF$1,"dd-MMM-aa"),"")</f>
      </c>
      <c r="GC239" s="496" t="str">
        <f> IF(GC259&lt;&gt;"",TEXT(AUX!GG$1,"dd-MMM-aa"),"")</f>
      </c>
      <c r="GD239" s="496" t="str">
        <f> IF(GD259&lt;&gt;"",TEXT(AUX!GH$1,"dd-MMM-aa"),"")</f>
      </c>
      <c r="GE239" s="496" t="str">
        <f> IF(GE259&lt;&gt;"",TEXT(AUX!GI$1,"dd-MMM-aa"),"")</f>
      </c>
      <c r="GF239" s="496" t="str">
        <f> IF(GF259&lt;&gt;"",TEXT(AUX!GJ$1,"dd-MMM-aa"),"")</f>
      </c>
      <c r="GG239" s="496" t="str">
        <f> IF(GG259&lt;&gt;"",TEXT(AUX!GK$1,"dd-MMM-aa"),"")</f>
      </c>
      <c r="GH239" s="496" t="str">
        <f> IF(GH259&lt;&gt;"",TEXT(AUX!GL$1,"dd-MMM-aa"),"")</f>
      </c>
      <c r="GI239" s="496" t="str">
        <f> IF(GI259&lt;&gt;"",TEXT(AUX!GM$1,"dd-MMM-aa"),"")</f>
      </c>
      <c r="GJ239" s="496" t="str">
        <f> IF(GJ259&lt;&gt;"",TEXT(AUX!GN$1,"dd-MMM-aa"),"")</f>
      </c>
      <c r="GK239" s="496" t="str">
        <f> IF(GK259&lt;&gt;"",TEXT(AUX!GO$1,"dd-MMM-aa"),"")</f>
      </c>
      <c r="GL239" s="496" t="str">
        <f> IF(GL259&lt;&gt;"",TEXT(AUX!GP$1,"dd-MMM-aa"),"")</f>
      </c>
      <c r="GM239" s="496" t="str">
        <f> IF(GM259&lt;&gt;"",TEXT(AUX!GQ$1,"dd-MMM-aa"),"")</f>
      </c>
      <c r="GN239" s="496" t="str">
        <f> IF(GN259&lt;&gt;"",TEXT(AUX!GR$1,"dd-MMM-aa"),"")</f>
      </c>
      <c r="GO239" s="496" t="str">
        <f> IF(GO259&lt;&gt;"",TEXT(AUX!GS$1,"dd-MMM-aa"),"")</f>
      </c>
      <c r="GP239" s="496" t="str">
        <f> IF(GP259&lt;&gt;"",TEXT(AUX!GT$1,"dd-MMM-aa"),"")</f>
      </c>
      <c r="GQ239" s="496" t="str">
        <f> IF(GQ259&lt;&gt;"",TEXT(AUX!GU$1,"dd-MMM-aa"),"")</f>
      </c>
      <c r="GR239" s="496" t="str">
        <f> IF(GR259&lt;&gt;"",TEXT(AUX!GV$1,"dd-MMM-aa"),"")</f>
      </c>
      <c r="GS239" s="496" t="str">
        <f> IF(GS259&lt;&gt;"",TEXT(AUX!GW$1,"dd-MMM-aa"),"")</f>
      </c>
      <c r="GT239" s="496" t="str">
        <f> IF(GT259&lt;&gt;"",TEXT(AUX!GX$1,"dd-MMM-aa"),"")</f>
      </c>
      <c r="GU239" s="496" t="str">
        <f> IF(GU259&lt;&gt;"",TEXT(AUX!GY$1,"dd-MMM-aa"),"")</f>
      </c>
      <c r="GV239" s="496" t="str">
        <f> IF(GV259&lt;&gt;"",TEXT(AUX!GZ$1,"dd-MMM-aa"),"")</f>
      </c>
      <c r="GW239" s="496" t="str">
        <f> IF(GW259&lt;&gt;"",TEXT(AUX!HA$1,"dd-MMM-aa"),"")</f>
      </c>
      <c r="GX239" s="496" t="str">
        <f> IF(GX259&lt;&gt;"",TEXT(AUX!HB$1,"dd-MMM-aa"),"")</f>
      </c>
      <c r="GY239" s="496" t="str">
        <f> IF(GY259&lt;&gt;"",TEXT(AUX!HC$1,"dd-MMM-aa"),"")</f>
      </c>
      <c r="GZ239" s="496" t="str">
        <f> IF(GZ259&lt;&gt;"",TEXT(AUX!HD$1,"dd-MMM-aa"),"")</f>
      </c>
      <c r="HA239" s="496" t="str">
        <f> IF(HA259&lt;&gt;"",TEXT(AUX!HE$1,"dd-MMM-aa"),"")</f>
      </c>
      <c r="HB239" s="496" t="str">
        <f> IF(HB259&lt;&gt;"",TEXT(AUX!HF$1,"dd-MMM-aa"),"")</f>
      </c>
      <c r="HC239" s="496" t="str">
        <f> IF(HC259&lt;&gt;"",TEXT(AUX!HG$1,"dd-MMM-aa"),"")</f>
      </c>
      <c r="HD239" s="496" t="str">
        <f> IF(HD259&lt;&gt;"",TEXT(AUX!HH$1,"dd-MMM-aa"),"")</f>
      </c>
      <c r="HE239" s="496" t="str">
        <f> IF(HE259&lt;&gt;"",TEXT(AUX!HI$1,"dd-MMM-aa"),"")</f>
      </c>
      <c r="HF239" s="496" t="str">
        <f> IF(HF259&lt;&gt;"",TEXT(AUX!HJ$1,"dd-MMM-aa"),"")</f>
      </c>
      <c r="HG239" s="496" t="str">
        <f> IF(HG259&lt;&gt;"",TEXT(AUX!HK$1,"dd-MMM-aa"),"")</f>
      </c>
      <c r="HH239" s="496" t="str">
        <f> IF(HH259&lt;&gt;"",TEXT(AUX!HL$1,"dd-MMM-aa"),"")</f>
      </c>
      <c r="HI239" s="496" t="str">
        <f> IF(HI259&lt;&gt;"",TEXT(AUX!HM$1,"dd-MMM-aa"),"")</f>
      </c>
      <c r="HJ239" s="496" t="str">
        <f> IF(HJ259&lt;&gt;"",TEXT(AUX!HN$1,"dd-MMM-aa"),"")</f>
      </c>
      <c r="HK239" s="496" t="str">
        <f> IF(HK259&lt;&gt;"",TEXT(AUX!HO$1,"dd-MMM-aa"),"")</f>
      </c>
      <c r="HL239" s="496" t="str">
        <f> IF(HL259&lt;&gt;"",TEXT(AUX!HP$1,"dd-MMM-aa"),"")</f>
      </c>
      <c r="HM239" s="496" t="str">
        <f> IF(HM259&lt;&gt;"",TEXT(AUX!HQ$1,"dd-MMM-aa"),"")</f>
      </c>
      <c r="HN239" s="496" t="str">
        <f> IF(HN259&lt;&gt;"",TEXT(AUX!HR$1,"dd-MMM-aa"),"")</f>
      </c>
      <c r="HO239" s="496" t="str">
        <f> IF(HO259&lt;&gt;"",TEXT(AUX!HS$1,"dd-MMM-aa"),"")</f>
      </c>
      <c r="HP239" s="496" t="str">
        <f> IF(HP259&lt;&gt;"",TEXT(AUX!HT$1,"dd-MMM-aa"),"")</f>
      </c>
      <c r="HQ239" s="496" t="str">
        <f> IF(HQ259&lt;&gt;"",TEXT(AUX!HU$1,"dd-MMM-aa"),"")</f>
      </c>
      <c r="HR239" s="496" t="str">
        <f> IF(HR259&lt;&gt;"",TEXT(AUX!HV$1,"dd-MMM-aa"),"")</f>
      </c>
      <c r="HS239" s="496" t="str">
        <f> IF(HS259&lt;&gt;"",TEXT(AUX!HW$1,"dd-MMM-aa"),"")</f>
      </c>
      <c r="HT239" s="496" t="str">
        <f> IF(HT259&lt;&gt;"",TEXT(AUX!HX$1,"dd-MMM-aa"),"")</f>
      </c>
      <c r="HU239" s="496" t="str">
        <f> IF(HU259&lt;&gt;"",TEXT(AUX!HY$1,"dd-MMM-aa"),"")</f>
      </c>
      <c r="HV239" s="496" t="str">
        <f> IF(HV259&lt;&gt;"",TEXT(AUX!HZ$1,"dd-MMM-aa"),"")</f>
      </c>
      <c r="HW239" s="496" t="str">
        <f> IF(HW259&lt;&gt;"",TEXT(AUX!IA$1,"dd-MMM-aa"),"")</f>
      </c>
      <c r="HX239" s="496" t="str">
        <f> IF(HX259&lt;&gt;"",TEXT(AUX!IB$1,"dd-MMM-aa"),"")</f>
      </c>
      <c r="HY239" s="496" t="str">
        <f> IF(HY259&lt;&gt;"",TEXT(AUX!IC$1,"dd-MMM-aa"),"")</f>
      </c>
      <c r="HZ239" s="496" t="str">
        <f> IF(HZ259&lt;&gt;"",TEXT(AUX!ID$1,"dd-MMM-aa"),"")</f>
      </c>
      <c r="IA239" s="496" t="str">
        <f> IF(IA259&lt;&gt;"",TEXT(AUX!IE$1,"dd-MMM-aa"),"")</f>
      </c>
      <c r="IB239" s="496" t="str">
        <f> IF(IB259&lt;&gt;"",TEXT(AUX!IF$1,"dd-MMM-aa"),"")</f>
      </c>
      <c r="IC239" s="496" t="str">
        <f> IF(IC259&lt;&gt;"",TEXT(AUX!IG$1,"dd-MMM-aa"),"")</f>
      </c>
      <c r="ID239" s="496" t="str">
        <f> IF(ID259&lt;&gt;"",TEXT(AUX!IH$1,"dd-MMM-aa"),"")</f>
      </c>
      <c r="IE239" s="496" t="str">
        <f> IF(IE259&lt;&gt;"",TEXT(AUX!II$1,"dd-MMM-aa"),"")</f>
      </c>
      <c r="IF239" s="496" t="str">
        <f> IF(IF259&lt;&gt;"",TEXT(AUX!IJ$1,"dd-MMM-aa"),"")</f>
      </c>
      <c r="IG239" s="496" t="str">
        <f> IF(IG259&lt;&gt;"",TEXT(AUX!IK$1,"dd-MMM-aa"),"")</f>
      </c>
      <c r="IH239" s="496" t="str">
        <f> IF(IH259&lt;&gt;"",TEXT(AUX!IL$1,"dd-MMM-aa"),"")</f>
      </c>
      <c r="II239" s="496" t="str">
        <f> IF(II259&lt;&gt;"",TEXT(AUX!IM$1,"dd-MMM-aa"),"")</f>
      </c>
      <c r="IJ239" s="496" t="str">
        <f> IF(IJ259&lt;&gt;"",TEXT(AUX!IN$1,"dd-MMM-aa"),"")</f>
      </c>
      <c r="IK239" s="496" t="str">
        <f> IF(IK259&lt;&gt;"",TEXT(AUX!IO$1,"dd-MMM-aa"),"")</f>
      </c>
      <c r="IL239" s="496" t="str">
        <f> IF(IL259&lt;&gt;"",TEXT(AUX!IP$1,"dd-MMM-aa"),"")</f>
      </c>
      <c r="IM239" s="496" t="str">
        <f> IF(IM259&lt;&gt;"",TEXT(AUX!IQ$1,"dd-MMM-aa"),"")</f>
      </c>
      <c r="IN239" s="496" t="str">
        <f> IF(IN259&lt;&gt;"",TEXT(AUX!IR$1,"dd-MMM-aa"),"")</f>
      </c>
      <c r="IO239" s="496" t="str">
        <f> IF(IO259&lt;&gt;"",TEXT(AUX!IS$1,"dd-MMM-aa"),"")</f>
      </c>
      <c r="IP239" s="496" t="str">
        <f> IF(IP259&lt;&gt;"",TEXT(AUX!IT$1,"dd-MMM-aa"),"")</f>
      </c>
      <c r="IQ239" s="496" t="str">
        <f> IF(IQ259&lt;&gt;"",TEXT(AUX!IU$1,"dd-MMM-aa"),"")</f>
      </c>
      <c r="IR239" s="496" t="str">
        <f> IF(IR259&lt;&gt;"",TEXT(AUX!IV$1,"dd-MMM-aa"),"")</f>
      </c>
      <c r="IS239" s="496" t="str">
        <f> IF(IS259&lt;&gt;"",TEXT(AUX!#REF!,"dd-MMM-aa"),"")</f>
      </c>
      <c r="IT239" s="496" t="str">
        <f> IF(IT259&lt;&gt;"",TEXT(AUX!#REF!,"dd-MMM-aa"),"")</f>
      </c>
      <c r="IU239" s="496" t="str">
        <f> IF(IU259&lt;&gt;"",TEXT(AUX!#REF!,"dd-MMM-aa"),"")</f>
      </c>
      <c r="IV239" s="496" t="str">
        <f> IF(IV259&lt;&gt;"",TEXT(AUX!#REF!,"dd-MMM-aa"),"")</f>
      </c>
    </row>
    <row r="240" hidden="1">
      <c r="B240" s="822" t="s">
        <v>8</v>
      </c>
      <c r="C240" s="823">
        <v>15799</v>
      </c>
      <c r="D240" s="823">
        <v>15856</v>
      </c>
      <c r="E240" s="823">
        <v>15792</v>
      </c>
      <c r="F240" s="823">
        <v>15858</v>
      </c>
      <c r="G240" s="823">
        <v>14953</v>
      </c>
      <c r="H240" s="823">
        <v>15020</v>
      </c>
      <c r="I240" s="823">
        <v>14887</v>
      </c>
      <c r="J240" s="823">
        <v>14968</v>
      </c>
      <c r="K240" s="823">
        <v>14985</v>
      </c>
      <c r="L240" s="823">
        <v>15000</v>
      </c>
      <c r="M240" s="823">
        <v>14931</v>
      </c>
      <c r="N240" s="823">
        <v>15086</v>
      </c>
      <c r="O240" s="823">
        <v>15149</v>
      </c>
      <c r="P240" s="823">
        <v>15343</v>
      </c>
      <c r="Q240" s="823">
        <v>18468</v>
      </c>
      <c r="R240" s="823">
        <v>18781</v>
      </c>
      <c r="S240" s="823">
        <v>19267</v>
      </c>
      <c r="T240" s="823">
        <v>19598</v>
      </c>
      <c r="U240" s="823">
        <v>19911</v>
      </c>
      <c r="V240" s="823">
        <v>20195</v>
      </c>
      <c r="W240" s="823">
        <v>20388</v>
      </c>
      <c r="X240" s="823">
        <v>20516</v>
      </c>
      <c r="Y240" s="823">
        <v>20660</v>
      </c>
      <c r="Z240" s="823">
        <v>20647</v>
      </c>
      <c r="AA240" s="823">
        <v>20470</v>
      </c>
      <c r="AB240" s="824">
        <v>20496</v>
      </c>
      <c r="AC240" s="825">
        <v>20169</v>
      </c>
      <c r="AD240" s="825">
        <v>20328</v>
      </c>
      <c r="AE240" s="825">
        <v>20535</v>
      </c>
      <c r="AF240" s="825">
        <v>20639</v>
      </c>
      <c r="AG240" s="825">
        <v>20721</v>
      </c>
      <c r="AH240" s="825">
        <v>20791</v>
      </c>
      <c r="AI240" s="825">
        <v>20736</v>
      </c>
      <c r="AJ240" s="825">
        <v>20728</v>
      </c>
      <c r="AK240" s="825">
        <v>20867</v>
      </c>
      <c r="AL240" s="825">
        <v>21044</v>
      </c>
      <c r="AM240" s="825">
        <v>18941</v>
      </c>
      <c r="AN240" s="825">
        <v>18884</v>
      </c>
      <c r="AO240" s="825">
        <v>18958</v>
      </c>
      <c r="AP240" s="825">
        <v>18807</v>
      </c>
    </row>
    <row r="241" hidden="1">
      <c r="B241" s="826" t="s">
        <v>9</v>
      </c>
      <c r="C241" s="827">
        <v>6461</v>
      </c>
      <c r="D241" s="827">
        <v>6442</v>
      </c>
      <c r="E241" s="827">
        <v>6375</v>
      </c>
      <c r="F241" s="827">
        <v>6373</v>
      </c>
      <c r="G241" s="827">
        <v>6250</v>
      </c>
      <c r="H241" s="827">
        <v>6262</v>
      </c>
      <c r="I241" s="827">
        <v>6178</v>
      </c>
      <c r="J241" s="827">
        <v>6177</v>
      </c>
      <c r="K241" s="827">
        <v>5710</v>
      </c>
      <c r="L241" s="827">
        <v>5720</v>
      </c>
      <c r="M241" s="827">
        <v>5646</v>
      </c>
      <c r="N241" s="827">
        <v>5613</v>
      </c>
      <c r="O241" s="827">
        <v>5438</v>
      </c>
      <c r="P241" s="827">
        <v>5428</v>
      </c>
      <c r="Q241" s="827">
        <v>5321</v>
      </c>
      <c r="R241" s="827">
        <v>5323</v>
      </c>
      <c r="S241" s="827">
        <v>5310</v>
      </c>
      <c r="T241" s="827">
        <v>5335</v>
      </c>
      <c r="U241" s="827">
        <v>5237</v>
      </c>
      <c r="V241" s="827">
        <v>5102</v>
      </c>
      <c r="W241" s="827">
        <v>5042</v>
      </c>
      <c r="X241" s="827">
        <v>4980</v>
      </c>
      <c r="Y241" s="827">
        <v>4899</v>
      </c>
      <c r="Z241" s="827">
        <v>4844</v>
      </c>
      <c r="AA241" s="827">
        <v>4830</v>
      </c>
      <c r="AB241" s="827">
        <v>4764</v>
      </c>
      <c r="AC241" s="828">
        <v>4755</v>
      </c>
      <c r="AD241" s="828">
        <v>4724</v>
      </c>
      <c r="AE241" s="828">
        <v>4735</v>
      </c>
      <c r="AF241" s="828">
        <v>4717</v>
      </c>
      <c r="AG241" s="828">
        <v>4741</v>
      </c>
      <c r="AH241" s="828">
        <v>4745</v>
      </c>
      <c r="AI241" s="828">
        <v>4755</v>
      </c>
      <c r="AJ241" s="828">
        <v>4763</v>
      </c>
      <c r="AK241" s="828">
        <v>4802</v>
      </c>
      <c r="AL241" s="828">
        <v>4871</v>
      </c>
      <c r="AM241" s="828">
        <v>4803</v>
      </c>
      <c r="AN241" s="828">
        <v>4738</v>
      </c>
      <c r="AO241" s="828">
        <v>4724</v>
      </c>
      <c r="AP241" s="828">
        <v>4692</v>
      </c>
    </row>
    <row r="242" hidden="1">
      <c r="B242" s="829" t="s">
        <v>10</v>
      </c>
      <c r="C242" s="823">
        <v>9424</v>
      </c>
      <c r="D242" s="823">
        <v>9331</v>
      </c>
      <c r="E242" s="823">
        <v>9293</v>
      </c>
      <c r="F242" s="823">
        <v>7147</v>
      </c>
      <c r="G242" s="823">
        <v>6810</v>
      </c>
      <c r="H242" s="823">
        <v>7178</v>
      </c>
      <c r="I242" s="823">
        <v>7432</v>
      </c>
      <c r="J242" s="823">
        <v>6350</v>
      </c>
      <c r="K242" s="823">
        <v>6433</v>
      </c>
      <c r="L242" s="823">
        <v>6263</v>
      </c>
      <c r="M242" s="823">
        <v>6172</v>
      </c>
      <c r="N242" s="823">
        <v>6470</v>
      </c>
      <c r="O242" s="823">
        <v>6394</v>
      </c>
      <c r="P242" s="823">
        <v>6536</v>
      </c>
      <c r="Q242" s="823">
        <v>6667</v>
      </c>
      <c r="R242" s="823">
        <v>6869</v>
      </c>
      <c r="S242" s="823">
        <v>6899</v>
      </c>
      <c r="T242" s="823">
        <v>7039</v>
      </c>
      <c r="U242" s="823">
        <v>6468</v>
      </c>
      <c r="V242" s="823">
        <v>6171</v>
      </c>
      <c r="W242" s="823">
        <v>6471</v>
      </c>
      <c r="X242" s="823">
        <v>6236</v>
      </c>
      <c r="Y242" s="823">
        <v>6521</v>
      </c>
      <c r="Z242" s="823">
        <v>6435</v>
      </c>
      <c r="AA242" s="823">
        <v>6656</v>
      </c>
      <c r="AB242" s="823">
        <v>6659</v>
      </c>
      <c r="AC242" s="825">
        <v>6790</v>
      </c>
      <c r="AD242" s="825">
        <v>6764</v>
      </c>
      <c r="AE242" s="825">
        <v>6979</v>
      </c>
      <c r="AF242" s="825">
        <v>6413</v>
      </c>
      <c r="AG242" s="825">
        <v>6711</v>
      </c>
      <c r="AH242" s="825">
        <v>6231</v>
      </c>
      <c r="AI242" s="825">
        <v>6505</v>
      </c>
      <c r="AJ242" s="825">
        <v>6393</v>
      </c>
      <c r="AK242" s="825">
        <v>6851</v>
      </c>
      <c r="AL242" s="825">
        <v>6648</v>
      </c>
      <c r="AM242" s="825">
        <v>6886</v>
      </c>
      <c r="AN242" s="825">
        <v>6724</v>
      </c>
      <c r="AO242" s="825">
        <v>6948</v>
      </c>
      <c r="AP242" s="825">
        <v>6772</v>
      </c>
    </row>
    <row r="243" hidden="1">
      <c r="B243" s="826" t="s">
        <v>11</v>
      </c>
      <c r="C243" s="827">
        <v>4795</v>
      </c>
      <c r="D243" s="827">
        <v>4690</v>
      </c>
      <c r="E243" s="827">
        <v>4657</v>
      </c>
      <c r="F243" s="827">
        <v>4626</v>
      </c>
      <c r="G243" s="827">
        <v>4494</v>
      </c>
      <c r="H243" s="827">
        <v>4404</v>
      </c>
      <c r="I243" s="827">
        <v>4397</v>
      </c>
      <c r="J243" s="827">
        <v>4349</v>
      </c>
      <c r="K243" s="827">
        <v>4332</v>
      </c>
      <c r="L243" s="827">
        <v>4277</v>
      </c>
      <c r="M243" s="827">
        <v>4362</v>
      </c>
      <c r="N243" s="827">
        <v>4397</v>
      </c>
      <c r="O243" s="827">
        <v>4411</v>
      </c>
      <c r="P243" s="827">
        <v>4450</v>
      </c>
      <c r="Q243" s="827">
        <v>4425</v>
      </c>
      <c r="R243" s="827">
        <v>4363</v>
      </c>
      <c r="S243" s="827">
        <v>4395</v>
      </c>
      <c r="T243" s="827">
        <v>4434</v>
      </c>
      <c r="U243" s="827">
        <v>4273</v>
      </c>
      <c r="V243" s="827">
        <v>4304</v>
      </c>
      <c r="W243" s="827">
        <v>4223</v>
      </c>
      <c r="X243" s="827">
        <v>4265</v>
      </c>
      <c r="Y243" s="827">
        <v>4136</v>
      </c>
      <c r="Z243" s="827">
        <v>4162</v>
      </c>
      <c r="AA243" s="827">
        <v>4023</v>
      </c>
      <c r="AB243" s="827">
        <v>4059</v>
      </c>
      <c r="AC243" s="828">
        <v>4114</v>
      </c>
      <c r="AD243" s="828">
        <v>4150</v>
      </c>
      <c r="AE243" s="828">
        <v>4176</v>
      </c>
      <c r="AF243" s="828">
        <v>4226</v>
      </c>
      <c r="AG243" s="828">
        <v>3816</v>
      </c>
      <c r="AH243" s="828">
        <v>3999</v>
      </c>
      <c r="AI243" s="828">
        <v>4102</v>
      </c>
      <c r="AJ243" s="828">
        <v>4165</v>
      </c>
      <c r="AK243" s="828">
        <v>4248</v>
      </c>
      <c r="AL243" s="828">
        <v>4319</v>
      </c>
      <c r="AM243" s="828">
        <v>4307</v>
      </c>
      <c r="AN243" s="828">
        <v>4314</v>
      </c>
      <c r="AO243" s="828">
        <v>4336</v>
      </c>
      <c r="AP243" s="828">
        <v>4279</v>
      </c>
    </row>
    <row r="244" hidden="1">
      <c r="B244" s="829" t="s">
        <v>12</v>
      </c>
      <c r="C244" s="823">
        <v>1811</v>
      </c>
      <c r="D244" s="823">
        <v>1915</v>
      </c>
      <c r="E244" s="823">
        <v>2184</v>
      </c>
      <c r="F244" s="823">
        <v>2254</v>
      </c>
      <c r="G244" s="823">
        <v>2342</v>
      </c>
      <c r="H244" s="823">
        <v>2442</v>
      </c>
      <c r="I244" s="823">
        <v>2565</v>
      </c>
      <c r="J244" s="823">
        <v>2069</v>
      </c>
      <c r="K244" s="823">
        <v>2049</v>
      </c>
      <c r="L244" s="823">
        <v>2072</v>
      </c>
      <c r="M244" s="823">
        <v>2004</v>
      </c>
      <c r="N244" s="823">
        <v>1995</v>
      </c>
      <c r="O244" s="823">
        <v>1911</v>
      </c>
      <c r="P244" s="823">
        <v>1882</v>
      </c>
      <c r="Q244" s="823">
        <v>1830</v>
      </c>
      <c r="R244" s="823">
        <v>1824</v>
      </c>
      <c r="S244" s="823">
        <v>1720</v>
      </c>
      <c r="T244" s="823">
        <v>1666</v>
      </c>
      <c r="U244" s="823">
        <v>1534</v>
      </c>
      <c r="V244" s="823">
        <v>1500</v>
      </c>
      <c r="W244" s="823">
        <v>1409</v>
      </c>
      <c r="X244" s="823">
        <v>1417</v>
      </c>
      <c r="Y244" s="823">
        <v>1320</v>
      </c>
      <c r="Z244" s="823">
        <v>1281</v>
      </c>
      <c r="AA244" s="823">
        <v>1190</v>
      </c>
      <c r="AB244" s="823">
        <v>1212</v>
      </c>
      <c r="AC244" s="825">
        <v>1195</v>
      </c>
      <c r="AD244" s="825">
        <v>1182</v>
      </c>
      <c r="AE244" s="825">
        <v>1115</v>
      </c>
      <c r="AF244" s="825">
        <v>1101</v>
      </c>
      <c r="AG244" s="825">
        <v>1078</v>
      </c>
      <c r="AH244" s="825">
        <v>1024</v>
      </c>
      <c r="AI244" s="825">
        <v>1030</v>
      </c>
      <c r="AJ244" s="825">
        <v>1023</v>
      </c>
      <c r="AK244" s="825">
        <v>1012</v>
      </c>
      <c r="AL244" s="825">
        <v>1019</v>
      </c>
      <c r="AM244" s="825">
        <v>981</v>
      </c>
      <c r="AN244" s="825">
        <v>967</v>
      </c>
      <c r="AO244" s="825">
        <v>950</v>
      </c>
      <c r="AP244" s="825">
        <v>952</v>
      </c>
    </row>
    <row r="245" hidden="1">
      <c r="B245" s="826" t="s">
        <v>13</v>
      </c>
      <c r="C245" s="827">
        <v>4567</v>
      </c>
      <c r="D245" s="827">
        <v>3391</v>
      </c>
      <c r="E245" s="827">
        <v>3570</v>
      </c>
      <c r="F245" s="827">
        <v>3708</v>
      </c>
      <c r="G245" s="827">
        <v>4274</v>
      </c>
      <c r="H245" s="827">
        <v>4534</v>
      </c>
      <c r="I245" s="827">
        <v>4742</v>
      </c>
      <c r="J245" s="827">
        <v>4886</v>
      </c>
      <c r="K245" s="827">
        <v>5008</v>
      </c>
      <c r="L245" s="827">
        <v>4333</v>
      </c>
      <c r="M245" s="827">
        <v>4724</v>
      </c>
      <c r="N245" s="827">
        <v>4245</v>
      </c>
      <c r="O245" s="827">
        <v>4282</v>
      </c>
      <c r="P245" s="827">
        <v>4254</v>
      </c>
      <c r="Q245" s="827">
        <v>4295</v>
      </c>
      <c r="R245" s="827">
        <v>3993</v>
      </c>
      <c r="S245" s="827">
        <v>4095</v>
      </c>
      <c r="T245" s="827">
        <v>4290</v>
      </c>
      <c r="U245" s="827">
        <v>4509</v>
      </c>
      <c r="V245" s="827">
        <v>4602</v>
      </c>
      <c r="W245" s="827">
        <v>4310</v>
      </c>
      <c r="X245" s="827">
        <v>4352</v>
      </c>
      <c r="Y245" s="827">
        <v>3456</v>
      </c>
      <c r="Z245" s="827">
        <v>3204</v>
      </c>
      <c r="AA245" s="827">
        <v>3469</v>
      </c>
      <c r="AB245" s="827">
        <v>3271</v>
      </c>
      <c r="AC245" s="828">
        <v>3446</v>
      </c>
      <c r="AD245" s="828">
        <v>3219</v>
      </c>
      <c r="AE245" s="828">
        <v>3337</v>
      </c>
      <c r="AF245" s="828">
        <v>3134</v>
      </c>
      <c r="AG245" s="828">
        <v>3372</v>
      </c>
      <c r="AH245" s="828">
        <v>3204</v>
      </c>
      <c r="AI245" s="828">
        <v>3364</v>
      </c>
      <c r="AJ245" s="828">
        <v>3190</v>
      </c>
      <c r="AK245" s="828">
        <v>3362</v>
      </c>
      <c r="AL245" s="828">
        <v>3169</v>
      </c>
      <c r="AM245" s="828">
        <v>3151</v>
      </c>
      <c r="AN245" s="828">
        <v>3182</v>
      </c>
      <c r="AO245" s="828">
        <v>3307</v>
      </c>
      <c r="AP245" s="828">
        <v>3442</v>
      </c>
    </row>
    <row r="246" hidden="1">
      <c r="B246" s="829" t="s">
        <v>109</v>
      </c>
      <c r="C246" s="823">
        <v>9427</v>
      </c>
      <c r="D246" s="823">
        <v>9026</v>
      </c>
      <c r="E246" s="823">
        <v>8156</v>
      </c>
      <c r="F246" s="823">
        <v>8046</v>
      </c>
      <c r="G246" s="823">
        <v>7684</v>
      </c>
      <c r="H246" s="823">
        <v>7574</v>
      </c>
      <c r="I246" s="823">
        <v>7352</v>
      </c>
      <c r="J246" s="823">
        <v>7089</v>
      </c>
      <c r="K246" s="823">
        <v>7047</v>
      </c>
      <c r="L246" s="823">
        <v>7014</v>
      </c>
      <c r="M246" s="823">
        <v>6957</v>
      </c>
      <c r="N246" s="823">
        <v>6935</v>
      </c>
      <c r="O246" s="823">
        <v>6724</v>
      </c>
      <c r="P246" s="823">
        <v>6781</v>
      </c>
      <c r="Q246" s="823">
        <v>6805</v>
      </c>
      <c r="R246" s="823">
        <v>6789</v>
      </c>
      <c r="S246" s="823">
        <v>6717</v>
      </c>
      <c r="T246" s="823">
        <v>6822</v>
      </c>
      <c r="U246" s="823">
        <v>6859</v>
      </c>
      <c r="V246" s="823">
        <v>6904</v>
      </c>
      <c r="W246" s="823">
        <v>6853</v>
      </c>
      <c r="X246" s="823">
        <v>6678</v>
      </c>
      <c r="Y246" s="823">
        <v>6656</v>
      </c>
      <c r="Z246" s="823">
        <v>6589</v>
      </c>
      <c r="AA246" s="823">
        <v>6357</v>
      </c>
      <c r="AB246" s="823">
        <v>6343</v>
      </c>
      <c r="AC246" s="825">
        <v>6239</v>
      </c>
      <c r="AD246" s="825">
        <v>6270</v>
      </c>
      <c r="AE246" s="825">
        <v>6037</v>
      </c>
      <c r="AF246" s="825">
        <v>6020</v>
      </c>
      <c r="AG246" s="825">
        <v>5949</v>
      </c>
      <c r="AH246" s="825">
        <v>5951</v>
      </c>
      <c r="AI246" s="825">
        <v>5958</v>
      </c>
      <c r="AJ246" s="825">
        <v>5671</v>
      </c>
      <c r="AK246" s="825">
        <v>5661</v>
      </c>
      <c r="AL246" s="825">
        <v>5685</v>
      </c>
      <c r="AM246" s="825">
        <v>5460</v>
      </c>
      <c r="AN246" s="825">
        <v>5463</v>
      </c>
      <c r="AO246" s="825">
        <v>5438</v>
      </c>
      <c r="AP246" s="825">
        <v>5459</v>
      </c>
    </row>
    <row r="247" hidden="1">
      <c r="B247" s="826" t="s">
        <v>110</v>
      </c>
      <c r="C247" s="827">
        <v>12766</v>
      </c>
      <c r="D247" s="827">
        <v>12890</v>
      </c>
      <c r="E247" s="827">
        <v>13089</v>
      </c>
      <c r="F247" s="827">
        <v>13091</v>
      </c>
      <c r="G247" s="827">
        <v>13099</v>
      </c>
      <c r="H247" s="827">
        <v>13049</v>
      </c>
      <c r="I247" s="827">
        <v>12660</v>
      </c>
      <c r="J247" s="827">
        <v>12663</v>
      </c>
      <c r="K247" s="827">
        <v>12528</v>
      </c>
      <c r="L247" s="827">
        <v>12275</v>
      </c>
      <c r="M247" s="827">
        <v>12095</v>
      </c>
      <c r="N247" s="827">
        <v>11689</v>
      </c>
      <c r="O247" s="827">
        <v>11452</v>
      </c>
      <c r="P247" s="827">
        <v>10861</v>
      </c>
      <c r="Q247" s="827">
        <v>11087</v>
      </c>
      <c r="R247" s="827">
        <v>10925</v>
      </c>
      <c r="S247" s="827">
        <v>11119</v>
      </c>
      <c r="T247" s="827">
        <v>11090</v>
      </c>
      <c r="U247" s="827">
        <v>11120</v>
      </c>
      <c r="V247" s="827">
        <v>11136</v>
      </c>
      <c r="W247" s="827">
        <v>11046</v>
      </c>
      <c r="X247" s="827">
        <v>11084</v>
      </c>
      <c r="Y247" s="827">
        <v>11055</v>
      </c>
      <c r="Z247" s="827">
        <v>10952</v>
      </c>
      <c r="AA247" s="827">
        <v>10821</v>
      </c>
      <c r="AB247" s="827">
        <v>10865</v>
      </c>
      <c r="AC247" s="828">
        <v>10847</v>
      </c>
      <c r="AD247" s="828">
        <v>10831</v>
      </c>
      <c r="AE247" s="828">
        <v>10782</v>
      </c>
      <c r="AF247" s="828">
        <v>10482</v>
      </c>
      <c r="AG247" s="828">
        <v>10523</v>
      </c>
      <c r="AH247" s="828">
        <v>10511</v>
      </c>
      <c r="AI247" s="828">
        <v>10521</v>
      </c>
      <c r="AJ247" s="828">
        <v>10570</v>
      </c>
      <c r="AK247" s="828">
        <v>10608</v>
      </c>
      <c r="AL247" s="828">
        <v>10535</v>
      </c>
      <c r="AM247" s="828">
        <v>10439</v>
      </c>
      <c r="AN247" s="828">
        <v>10448</v>
      </c>
      <c r="AO247" s="828">
        <v>10357</v>
      </c>
      <c r="AP247" s="828">
        <v>10351</v>
      </c>
    </row>
    <row r="248" hidden="1">
      <c r="B248" s="829" t="s">
        <v>16</v>
      </c>
      <c r="C248" s="823">
        <v>3408</v>
      </c>
      <c r="D248" s="823">
        <v>3466</v>
      </c>
      <c r="E248" s="823">
        <v>3442</v>
      </c>
      <c r="F248" s="823">
        <v>3416</v>
      </c>
      <c r="G248" s="823">
        <v>3417</v>
      </c>
      <c r="H248" s="823">
        <v>3432</v>
      </c>
      <c r="I248" s="823">
        <v>3438</v>
      </c>
      <c r="J248" s="823">
        <v>3444</v>
      </c>
      <c r="K248" s="823">
        <v>3452</v>
      </c>
      <c r="L248" s="823">
        <v>3500</v>
      </c>
      <c r="M248" s="823">
        <v>3502</v>
      </c>
      <c r="N248" s="823">
        <v>3466</v>
      </c>
      <c r="O248" s="823">
        <v>3463</v>
      </c>
      <c r="P248" s="823">
        <v>3488</v>
      </c>
      <c r="Q248" s="823">
        <v>3507</v>
      </c>
      <c r="R248" s="823">
        <v>3546</v>
      </c>
      <c r="S248" s="823">
        <v>3551</v>
      </c>
      <c r="T248" s="823">
        <v>3572</v>
      </c>
      <c r="U248" s="823">
        <v>3608</v>
      </c>
      <c r="V248" s="823">
        <v>3645</v>
      </c>
      <c r="W248" s="823">
        <v>3678</v>
      </c>
      <c r="X248" s="823">
        <v>3703</v>
      </c>
      <c r="Y248" s="823">
        <v>3699</v>
      </c>
      <c r="Z248" s="823">
        <v>3696</v>
      </c>
      <c r="AA248" s="823">
        <v>3724</v>
      </c>
      <c r="AB248" s="823">
        <v>3721</v>
      </c>
      <c r="AC248" s="825">
        <v>3694</v>
      </c>
      <c r="AD248" s="825">
        <v>3707</v>
      </c>
      <c r="AE248" s="825">
        <v>3720</v>
      </c>
      <c r="AF248" s="825">
        <v>3773</v>
      </c>
      <c r="AG248" s="825">
        <v>3852</v>
      </c>
      <c r="AH248" s="825">
        <v>3900</v>
      </c>
      <c r="AI248" s="825">
        <v>3887</v>
      </c>
      <c r="AJ248" s="825">
        <v>3937</v>
      </c>
      <c r="AK248" s="825">
        <v>4011</v>
      </c>
      <c r="AL248" s="825">
        <v>3968</v>
      </c>
      <c r="AM248" s="825">
        <v>3997</v>
      </c>
      <c r="AN248" s="825">
        <v>4110</v>
      </c>
      <c r="AO248" s="825">
        <v>4208</v>
      </c>
      <c r="AP248" s="825">
        <v>4284</v>
      </c>
    </row>
    <row r="249" hidden="1">
      <c r="B249" s="826" t="s">
        <v>17</v>
      </c>
      <c r="C249" s="827">
        <v>17992</v>
      </c>
      <c r="D249" s="827">
        <v>17747</v>
      </c>
      <c r="E249" s="827">
        <v>17889</v>
      </c>
      <c r="F249" s="827">
        <v>17990</v>
      </c>
      <c r="G249" s="827">
        <v>14225</v>
      </c>
      <c r="H249" s="827">
        <v>14480</v>
      </c>
      <c r="I249" s="827">
        <v>13342</v>
      </c>
      <c r="J249" s="827">
        <v>13614</v>
      </c>
      <c r="K249" s="827">
        <v>13909</v>
      </c>
      <c r="L249" s="827">
        <v>14083</v>
      </c>
      <c r="M249" s="827">
        <v>14285</v>
      </c>
      <c r="N249" s="827">
        <v>14431</v>
      </c>
      <c r="O249" s="827">
        <v>14752</v>
      </c>
      <c r="P249" s="827">
        <v>14989</v>
      </c>
      <c r="Q249" s="827">
        <v>14606</v>
      </c>
      <c r="R249" s="827">
        <v>14978</v>
      </c>
      <c r="S249" s="827">
        <v>14697</v>
      </c>
      <c r="T249" s="827">
        <v>15108</v>
      </c>
      <c r="U249" s="827">
        <v>15324</v>
      </c>
      <c r="V249" s="827">
        <v>15748</v>
      </c>
      <c r="W249" s="827">
        <v>15486</v>
      </c>
      <c r="X249" s="827">
        <v>15626</v>
      </c>
      <c r="Y249" s="827">
        <v>16233</v>
      </c>
      <c r="Z249" s="827">
        <v>16642</v>
      </c>
      <c r="AA249" s="827">
        <v>17051</v>
      </c>
      <c r="AB249" s="827">
        <v>16828</v>
      </c>
      <c r="AC249" s="828">
        <v>17259</v>
      </c>
      <c r="AD249" s="828">
        <v>17429</v>
      </c>
      <c r="AE249" s="828">
        <v>17746</v>
      </c>
      <c r="AF249" s="828">
        <v>17953</v>
      </c>
      <c r="AG249" s="828">
        <v>18327</v>
      </c>
      <c r="AH249" s="828">
        <v>18536</v>
      </c>
      <c r="AI249" s="828">
        <v>18834</v>
      </c>
      <c r="AJ249" s="828">
        <v>19037</v>
      </c>
      <c r="AK249" s="828">
        <v>19326</v>
      </c>
      <c r="AL249" s="828">
        <v>19522</v>
      </c>
      <c r="AM249" s="828">
        <v>19802</v>
      </c>
      <c r="AN249" s="828">
        <v>19948</v>
      </c>
      <c r="AO249" s="828">
        <v>20261</v>
      </c>
      <c r="AP249" s="828">
        <v>20442</v>
      </c>
    </row>
    <row r="250" hidden="1">
      <c r="B250" s="829" t="s">
        <v>18</v>
      </c>
      <c r="C250" s="823">
        <v>29907</v>
      </c>
      <c r="D250" s="823">
        <v>28860</v>
      </c>
      <c r="E250" s="823">
        <v>29312</v>
      </c>
      <c r="F250" s="823">
        <v>29900</v>
      </c>
      <c r="G250" s="823">
        <v>27597</v>
      </c>
      <c r="H250" s="823">
        <v>28224</v>
      </c>
      <c r="I250" s="823">
        <v>26597</v>
      </c>
      <c r="J250" s="823">
        <v>26427</v>
      </c>
      <c r="K250" s="823">
        <v>26106</v>
      </c>
      <c r="L250" s="823">
        <v>25082</v>
      </c>
      <c r="M250" s="823">
        <v>24675</v>
      </c>
      <c r="N250" s="823">
        <v>24456</v>
      </c>
      <c r="O250" s="823">
        <v>24339</v>
      </c>
      <c r="P250" s="823">
        <v>23850</v>
      </c>
      <c r="Q250" s="823">
        <v>23783</v>
      </c>
      <c r="R250" s="823">
        <v>23619</v>
      </c>
      <c r="S250" s="823">
        <v>23704</v>
      </c>
      <c r="T250" s="823">
        <v>23441</v>
      </c>
      <c r="U250" s="823">
        <v>23562</v>
      </c>
      <c r="V250" s="823">
        <v>23232</v>
      </c>
      <c r="W250" s="823">
        <v>22528</v>
      </c>
      <c r="X250" s="823">
        <v>22430</v>
      </c>
      <c r="Y250" s="823">
        <v>22521</v>
      </c>
      <c r="Z250" s="823">
        <v>22600</v>
      </c>
      <c r="AA250" s="823">
        <v>21819</v>
      </c>
      <c r="AB250" s="823">
        <v>21767</v>
      </c>
      <c r="AC250" s="825">
        <v>21666</v>
      </c>
      <c r="AD250" s="825">
        <v>21597</v>
      </c>
      <c r="AE250" s="825">
        <v>21741</v>
      </c>
      <c r="AF250" s="825">
        <v>21600</v>
      </c>
      <c r="AG250" s="825">
        <v>20795</v>
      </c>
      <c r="AH250" s="825">
        <v>20475</v>
      </c>
      <c r="AI250" s="825">
        <v>18519</v>
      </c>
      <c r="AJ250" s="825">
        <v>18060</v>
      </c>
      <c r="AK250" s="825">
        <v>17279</v>
      </c>
      <c r="AL250" s="825">
        <v>17116</v>
      </c>
      <c r="AM250" s="825">
        <v>17121</v>
      </c>
      <c r="AN250" s="825">
        <v>17144</v>
      </c>
      <c r="AO250" s="825">
        <v>16770</v>
      </c>
      <c r="AP250" s="825">
        <v>16527</v>
      </c>
    </row>
    <row r="251" hidden="1">
      <c r="B251" s="826" t="s">
        <v>19</v>
      </c>
      <c r="C251" s="827">
        <v>821</v>
      </c>
      <c r="D251" s="827">
        <v>818</v>
      </c>
      <c r="E251" s="827">
        <v>822</v>
      </c>
      <c r="F251" s="827">
        <v>816</v>
      </c>
      <c r="G251" s="827">
        <v>831</v>
      </c>
      <c r="H251" s="827">
        <v>847</v>
      </c>
      <c r="I251" s="827">
        <v>868</v>
      </c>
      <c r="J251" s="827">
        <v>894</v>
      </c>
      <c r="K251" s="827">
        <v>905</v>
      </c>
      <c r="L251" s="827">
        <v>917</v>
      </c>
      <c r="M251" s="827">
        <v>871</v>
      </c>
      <c r="N251" s="827">
        <v>878</v>
      </c>
      <c r="O251" s="827">
        <v>903</v>
      </c>
      <c r="P251" s="827">
        <v>920</v>
      </c>
      <c r="Q251" s="827">
        <v>835</v>
      </c>
      <c r="R251" s="827">
        <v>879</v>
      </c>
      <c r="S251" s="827">
        <v>899</v>
      </c>
      <c r="T251" s="827">
        <v>912</v>
      </c>
      <c r="U251" s="827">
        <v>931</v>
      </c>
      <c r="V251" s="827">
        <v>955</v>
      </c>
      <c r="W251" s="827">
        <v>961</v>
      </c>
      <c r="X251" s="827">
        <v>978</v>
      </c>
      <c r="Y251" s="827">
        <v>975</v>
      </c>
      <c r="Z251" s="827">
        <v>985</v>
      </c>
      <c r="AA251" s="827">
        <v>992</v>
      </c>
      <c r="AB251" s="827">
        <v>992</v>
      </c>
      <c r="AC251" s="828">
        <v>1005</v>
      </c>
      <c r="AD251" s="828">
        <v>1019</v>
      </c>
      <c r="AE251" s="828">
        <v>1003</v>
      </c>
      <c r="AF251" s="828">
        <v>1010</v>
      </c>
      <c r="AG251" s="828">
        <v>1010</v>
      </c>
      <c r="AH251" s="828">
        <v>1014</v>
      </c>
      <c r="AI251" s="828">
        <v>1032</v>
      </c>
      <c r="AJ251" s="828">
        <v>745</v>
      </c>
      <c r="AK251" s="828">
        <v>795</v>
      </c>
      <c r="AL251" s="828">
        <v>947</v>
      </c>
      <c r="AM251" s="828">
        <v>978</v>
      </c>
      <c r="AN251" s="828">
        <v>1007</v>
      </c>
      <c r="AO251" s="828">
        <v>1040</v>
      </c>
      <c r="AP251" s="828">
        <v>1091</v>
      </c>
    </row>
    <row r="252" hidden="1">
      <c r="B252" s="829" t="s">
        <v>20</v>
      </c>
      <c r="C252" s="823">
        <v>1990</v>
      </c>
      <c r="D252" s="823">
        <v>2055</v>
      </c>
      <c r="E252" s="823">
        <v>2186</v>
      </c>
      <c r="F252" s="823">
        <v>2190</v>
      </c>
      <c r="G252" s="823">
        <v>1931</v>
      </c>
      <c r="H252" s="823">
        <v>1916</v>
      </c>
      <c r="I252" s="823">
        <v>1931</v>
      </c>
      <c r="J252" s="823">
        <v>1995</v>
      </c>
      <c r="K252" s="823">
        <v>1861</v>
      </c>
      <c r="L252" s="823">
        <v>1873</v>
      </c>
      <c r="M252" s="823">
        <v>1659</v>
      </c>
      <c r="N252" s="823">
        <v>1671</v>
      </c>
      <c r="O252" s="823">
        <v>1750</v>
      </c>
      <c r="P252" s="823">
        <v>1785</v>
      </c>
      <c r="Q252" s="823">
        <v>1830</v>
      </c>
      <c r="R252" s="823">
        <v>1868</v>
      </c>
      <c r="S252" s="823">
        <v>1718</v>
      </c>
      <c r="T252" s="823">
        <v>1752</v>
      </c>
      <c r="U252" s="823">
        <v>1768</v>
      </c>
      <c r="V252" s="823">
        <v>1815</v>
      </c>
      <c r="W252" s="823">
        <v>1753</v>
      </c>
      <c r="X252" s="823">
        <v>1774</v>
      </c>
      <c r="Y252" s="823">
        <v>1800</v>
      </c>
      <c r="Z252" s="823">
        <v>1824</v>
      </c>
      <c r="AA252" s="823">
        <v>1857</v>
      </c>
      <c r="AB252" s="823">
        <v>1877</v>
      </c>
      <c r="AC252" s="825">
        <v>1907</v>
      </c>
      <c r="AD252" s="825">
        <v>1961</v>
      </c>
      <c r="AE252" s="825">
        <v>2026</v>
      </c>
      <c r="AF252" s="825">
        <v>2059</v>
      </c>
      <c r="AG252" s="825">
        <v>1743</v>
      </c>
      <c r="AH252" s="825">
        <v>1745</v>
      </c>
      <c r="AI252" s="825">
        <v>1765</v>
      </c>
      <c r="AJ252" s="825">
        <v>1763</v>
      </c>
      <c r="AK252" s="825">
        <v>1763</v>
      </c>
      <c r="AL252" s="825">
        <v>1743</v>
      </c>
      <c r="AM252" s="825">
        <v>1709</v>
      </c>
      <c r="AN252" s="825">
        <v>1716</v>
      </c>
      <c r="AO252" s="825">
        <v>1720</v>
      </c>
      <c r="AP252" s="825">
        <v>1704</v>
      </c>
    </row>
    <row r="253" hidden="1">
      <c r="B253" s="826" t="s">
        <v>21</v>
      </c>
      <c r="C253" s="827">
        <v>2803</v>
      </c>
      <c r="D253" s="827">
        <v>2770</v>
      </c>
      <c r="E253" s="827">
        <v>2692</v>
      </c>
      <c r="F253" s="827">
        <v>2718</v>
      </c>
      <c r="G253" s="827">
        <v>2685</v>
      </c>
      <c r="H253" s="827">
        <v>2675</v>
      </c>
      <c r="I253" s="827">
        <v>2653</v>
      </c>
      <c r="J253" s="827">
        <v>2673</v>
      </c>
      <c r="K253" s="827">
        <v>2655</v>
      </c>
      <c r="L253" s="827">
        <v>2653</v>
      </c>
      <c r="M253" s="827">
        <v>2652</v>
      </c>
      <c r="N253" s="827">
        <v>2629</v>
      </c>
      <c r="O253" s="827">
        <v>2626</v>
      </c>
      <c r="P253" s="827">
        <v>2623</v>
      </c>
      <c r="Q253" s="827">
        <v>2613</v>
      </c>
      <c r="R253" s="827">
        <v>2633</v>
      </c>
      <c r="S253" s="827">
        <v>2632</v>
      </c>
      <c r="T253" s="827">
        <v>2663</v>
      </c>
      <c r="U253" s="827">
        <v>2646</v>
      </c>
      <c r="V253" s="827">
        <v>2638</v>
      </c>
      <c r="W253" s="827">
        <v>2570</v>
      </c>
      <c r="X253" s="827">
        <v>2592</v>
      </c>
      <c r="Y253" s="827">
        <v>2574</v>
      </c>
      <c r="Z253" s="827">
        <v>2578</v>
      </c>
      <c r="AA253" s="827">
        <v>2502</v>
      </c>
      <c r="AB253" s="827">
        <v>2545</v>
      </c>
      <c r="AC253" s="828">
        <v>2531</v>
      </c>
      <c r="AD253" s="828">
        <v>2571</v>
      </c>
      <c r="AE253" s="828">
        <v>2600</v>
      </c>
      <c r="AF253" s="828">
        <v>2630</v>
      </c>
      <c r="AG253" s="828">
        <v>2623</v>
      </c>
      <c r="AH253" s="828">
        <v>2654</v>
      </c>
      <c r="AI253" s="828">
        <v>2659</v>
      </c>
      <c r="AJ253" s="828">
        <v>2680</v>
      </c>
      <c r="AK253" s="828">
        <v>2633</v>
      </c>
      <c r="AL253" s="828">
        <v>2656</v>
      </c>
      <c r="AM253" s="828">
        <v>2655</v>
      </c>
      <c r="AN253" s="828">
        <v>2690</v>
      </c>
      <c r="AO253" s="828">
        <v>2713</v>
      </c>
      <c r="AP253" s="828">
        <v>2762</v>
      </c>
    </row>
    <row r="254" hidden="1">
      <c r="B254" s="829" t="s">
        <v>22</v>
      </c>
      <c r="C254" s="823">
        <v>5792</v>
      </c>
      <c r="D254" s="823">
        <v>5955</v>
      </c>
      <c r="E254" s="823">
        <v>6155</v>
      </c>
      <c r="F254" s="823">
        <v>6305</v>
      </c>
      <c r="G254" s="823">
        <v>6561</v>
      </c>
      <c r="H254" s="823">
        <v>6805</v>
      </c>
      <c r="I254" s="823">
        <v>6789</v>
      </c>
      <c r="J254" s="823">
        <v>6935</v>
      </c>
      <c r="K254" s="823">
        <v>6841</v>
      </c>
      <c r="L254" s="823">
        <v>6912</v>
      </c>
      <c r="M254" s="823">
        <v>6401</v>
      </c>
      <c r="N254" s="823">
        <v>6495</v>
      </c>
      <c r="O254" s="823">
        <v>6635</v>
      </c>
      <c r="P254" s="823">
        <v>6763</v>
      </c>
      <c r="Q254" s="823">
        <v>6610</v>
      </c>
      <c r="R254" s="823">
        <v>6718</v>
      </c>
      <c r="S254" s="823">
        <v>6752</v>
      </c>
      <c r="T254" s="823">
        <v>6824</v>
      </c>
      <c r="U254" s="823">
        <v>6410</v>
      </c>
      <c r="V254" s="823">
        <v>6552</v>
      </c>
      <c r="W254" s="823">
        <v>6489</v>
      </c>
      <c r="X254" s="823">
        <v>6452</v>
      </c>
      <c r="Y254" s="823">
        <v>6343</v>
      </c>
      <c r="Z254" s="823">
        <v>6466</v>
      </c>
      <c r="AA254" s="823">
        <v>6463</v>
      </c>
      <c r="AB254" s="823">
        <v>6497</v>
      </c>
      <c r="AC254" s="825">
        <v>6380</v>
      </c>
      <c r="AD254" s="825">
        <v>6404</v>
      </c>
      <c r="AE254" s="825">
        <v>6436</v>
      </c>
      <c r="AF254" s="825">
        <v>6570</v>
      </c>
      <c r="AG254" s="825">
        <v>6805</v>
      </c>
      <c r="AH254" s="825">
        <v>6855</v>
      </c>
      <c r="AI254" s="825">
        <v>6846</v>
      </c>
      <c r="AJ254" s="825">
        <v>6784</v>
      </c>
      <c r="AK254" s="825">
        <v>6687</v>
      </c>
      <c r="AL254" s="825">
        <v>6702</v>
      </c>
      <c r="AM254" s="825">
        <v>6739</v>
      </c>
      <c r="AN254" s="825">
        <v>6840</v>
      </c>
      <c r="AO254" s="825">
        <v>6957</v>
      </c>
      <c r="AP254" s="825">
        <v>7051</v>
      </c>
    </row>
    <row r="255" hidden="1">
      <c r="B255" s="826" t="s">
        <v>23</v>
      </c>
      <c r="C255" s="827">
        <v>499</v>
      </c>
      <c r="D255" s="827">
        <v>499</v>
      </c>
      <c r="E255" s="827">
        <v>488</v>
      </c>
      <c r="F255" s="827">
        <v>456</v>
      </c>
      <c r="G255" s="827">
        <v>459</v>
      </c>
      <c r="H255" s="827">
        <v>463</v>
      </c>
      <c r="I255" s="827">
        <v>443</v>
      </c>
      <c r="J255" s="827">
        <v>441</v>
      </c>
      <c r="K255" s="827">
        <v>427</v>
      </c>
      <c r="L255" s="827">
        <v>425</v>
      </c>
      <c r="M255" s="827">
        <v>428</v>
      </c>
      <c r="N255" s="827">
        <v>429</v>
      </c>
      <c r="O255" s="827">
        <v>421</v>
      </c>
      <c r="P255" s="827">
        <v>415</v>
      </c>
      <c r="Q255" s="827">
        <v>401</v>
      </c>
      <c r="R255" s="827">
        <v>407</v>
      </c>
      <c r="S255" s="827">
        <v>415</v>
      </c>
      <c r="T255" s="827">
        <v>395</v>
      </c>
      <c r="U255" s="827">
        <v>400</v>
      </c>
      <c r="V255" s="827">
        <v>396</v>
      </c>
      <c r="W255" s="827">
        <v>396</v>
      </c>
      <c r="X255" s="827">
        <v>381</v>
      </c>
      <c r="Y255" s="827">
        <v>383</v>
      </c>
      <c r="Z255" s="827">
        <v>372</v>
      </c>
      <c r="AA255" s="827">
        <v>379</v>
      </c>
      <c r="AB255" s="827">
        <v>361</v>
      </c>
      <c r="AC255" s="828">
        <v>366</v>
      </c>
      <c r="AD255" s="828">
        <v>359</v>
      </c>
      <c r="AE255" s="828">
        <v>352</v>
      </c>
      <c r="AF255" s="828">
        <v>341</v>
      </c>
      <c r="AG255" s="828">
        <v>361</v>
      </c>
      <c r="AH255" s="828">
        <v>354</v>
      </c>
      <c r="AI255" s="828">
        <v>366</v>
      </c>
      <c r="AJ255" s="828">
        <v>346</v>
      </c>
      <c r="AK255" s="828">
        <v>352</v>
      </c>
      <c r="AL255" s="828">
        <v>339</v>
      </c>
      <c r="AM255" s="828">
        <v>346</v>
      </c>
      <c r="AN255" s="828">
        <v>336</v>
      </c>
      <c r="AO255" s="828">
        <v>343</v>
      </c>
      <c r="AP255" s="828">
        <v>357</v>
      </c>
    </row>
    <row r="256" hidden="1">
      <c r="B256" s="830" t="s">
        <v>24</v>
      </c>
      <c r="C256" s="823">
        <v>1840</v>
      </c>
      <c r="D256" s="823">
        <v>1774</v>
      </c>
      <c r="E256" s="823">
        <v>1681</v>
      </c>
      <c r="F256" s="823">
        <v>1624</v>
      </c>
      <c r="G256" s="823">
        <v>1573</v>
      </c>
      <c r="H256" s="823">
        <v>1540</v>
      </c>
      <c r="I256" s="823">
        <v>1512</v>
      </c>
      <c r="J256" s="823">
        <v>1488</v>
      </c>
      <c r="K256" s="823">
        <v>1478</v>
      </c>
      <c r="L256" s="823">
        <v>1462</v>
      </c>
      <c r="M256" s="823">
        <v>1449</v>
      </c>
      <c r="N256" s="823">
        <v>1439</v>
      </c>
      <c r="O256" s="823">
        <v>1406</v>
      </c>
      <c r="P256" s="823">
        <v>1409</v>
      </c>
      <c r="Q256" s="823">
        <v>1366</v>
      </c>
      <c r="R256" s="823">
        <v>1377</v>
      </c>
      <c r="S256" s="823">
        <v>1357</v>
      </c>
      <c r="T256" s="823">
        <v>1368</v>
      </c>
      <c r="U256" s="823">
        <v>1361</v>
      </c>
      <c r="V256" s="823">
        <v>1392</v>
      </c>
      <c r="W256" s="823">
        <v>1405</v>
      </c>
      <c r="X256" s="823">
        <v>1414</v>
      </c>
      <c r="Y256" s="823">
        <v>1400</v>
      </c>
      <c r="Z256" s="823">
        <v>1402</v>
      </c>
      <c r="AA256" s="823">
        <v>1372</v>
      </c>
      <c r="AB256" s="823">
        <v>1360</v>
      </c>
      <c r="AC256" s="825">
        <v>1350</v>
      </c>
      <c r="AD256" s="825">
        <v>1344</v>
      </c>
      <c r="AE256" s="825">
        <v>1336</v>
      </c>
      <c r="AF256" s="825">
        <v>1342</v>
      </c>
      <c r="AG256" s="825">
        <v>1324</v>
      </c>
      <c r="AH256" s="825">
        <v>1329</v>
      </c>
      <c r="AI256" s="825">
        <v>1326</v>
      </c>
      <c r="AJ256" s="825">
        <v>1332</v>
      </c>
      <c r="AK256" s="825">
        <v>1268</v>
      </c>
      <c r="AL256" s="825">
        <v>1269</v>
      </c>
      <c r="AM256" s="825">
        <v>1210</v>
      </c>
      <c r="AN256" s="825">
        <v>1231</v>
      </c>
      <c r="AO256" s="825">
        <v>1243</v>
      </c>
      <c r="AP256" s="825">
        <v>1266</v>
      </c>
    </row>
    <row r="257" hidden="1">
      <c r="B257" s="826" t="s">
        <v>25</v>
      </c>
      <c r="C257" s="827">
        <v>0</v>
      </c>
      <c r="D257" s="827">
        <v>0</v>
      </c>
      <c r="E257" s="827">
        <v>0</v>
      </c>
      <c r="F257" s="827">
        <v>0</v>
      </c>
      <c r="G257" s="827">
        <v>0</v>
      </c>
      <c r="H257" s="827">
        <v>5</v>
      </c>
      <c r="I257" s="827">
        <v>5</v>
      </c>
      <c r="J257" s="827">
        <v>5</v>
      </c>
      <c r="K257" s="827">
        <v>5</v>
      </c>
      <c r="L257" s="827">
        <v>5</v>
      </c>
      <c r="M257" s="827">
        <v>5</v>
      </c>
      <c r="N257" s="827">
        <v>5</v>
      </c>
      <c r="O257" s="827">
        <v>5</v>
      </c>
      <c r="P257" s="827">
        <v>5</v>
      </c>
      <c r="Q257" s="827">
        <v>5</v>
      </c>
      <c r="R257" s="827">
        <v>5</v>
      </c>
      <c r="S257" s="827">
        <v>5</v>
      </c>
      <c r="T257" s="827">
        <v>5</v>
      </c>
      <c r="U257" s="827">
        <v>5</v>
      </c>
      <c r="V257" s="827">
        <v>5</v>
      </c>
      <c r="W257" s="827">
        <v>5</v>
      </c>
      <c r="X257" s="827">
        <v>5</v>
      </c>
      <c r="Y257" s="827">
        <v>5</v>
      </c>
      <c r="Z257" s="827">
        <v>5</v>
      </c>
      <c r="AA257" s="827">
        <v>5</v>
      </c>
      <c r="AB257" s="827">
        <v>5</v>
      </c>
      <c r="AC257" s="828">
        <v>5</v>
      </c>
      <c r="AD257" s="828">
        <v>5</v>
      </c>
      <c r="AE257" s="828">
        <v>5</v>
      </c>
      <c r="AF257" s="828">
        <v>5</v>
      </c>
      <c r="AG257" s="828">
        <v>5</v>
      </c>
      <c r="AH257" s="828">
        <v>5</v>
      </c>
      <c r="AI257" s="828">
        <v>5</v>
      </c>
      <c r="AJ257" s="828">
        <v>5</v>
      </c>
      <c r="AK257" s="828">
        <v>5</v>
      </c>
      <c r="AL257" s="828">
        <v>5</v>
      </c>
      <c r="AM257" s="828">
        <v>5</v>
      </c>
      <c r="AN257" s="828">
        <v>5</v>
      </c>
      <c r="AO257" s="828">
        <v>5</v>
      </c>
      <c r="AP257" s="828">
        <v>5</v>
      </c>
    </row>
    <row r="258" hidden="1" ht="13.5">
      <c r="B258" s="831" t="s">
        <v>26</v>
      </c>
      <c r="C258" s="823">
        <v>0</v>
      </c>
      <c r="D258" s="823">
        <v>0</v>
      </c>
      <c r="E258" s="823">
        <v>0</v>
      </c>
      <c r="F258" s="823">
        <v>0</v>
      </c>
      <c r="G258" s="823">
        <v>0</v>
      </c>
      <c r="H258" s="823">
        <v>0</v>
      </c>
      <c r="I258" s="823">
        <v>0</v>
      </c>
      <c r="J258" s="823">
        <v>0</v>
      </c>
      <c r="K258" s="823">
        <v>0</v>
      </c>
      <c r="L258" s="823">
        <v>0</v>
      </c>
      <c r="M258" s="823">
        <v>4</v>
      </c>
      <c r="N258" s="823">
        <v>4</v>
      </c>
      <c r="O258" s="823">
        <v>5</v>
      </c>
      <c r="P258" s="823">
        <v>5</v>
      </c>
      <c r="Q258" s="823">
        <v>5</v>
      </c>
      <c r="R258" s="823">
        <v>5</v>
      </c>
      <c r="S258" s="823">
        <v>5</v>
      </c>
      <c r="T258" s="823">
        <v>5</v>
      </c>
      <c r="U258" s="823">
        <v>4</v>
      </c>
      <c r="V258" s="823">
        <v>4</v>
      </c>
      <c r="W258" s="823">
        <v>4</v>
      </c>
      <c r="X258" s="823">
        <v>4</v>
      </c>
      <c r="Y258" s="823">
        <v>4</v>
      </c>
      <c r="Z258" s="823">
        <v>5</v>
      </c>
      <c r="AA258" s="823">
        <v>5</v>
      </c>
      <c r="AB258" s="832">
        <v>6</v>
      </c>
      <c r="AC258" s="825">
        <v>6</v>
      </c>
      <c r="AD258" s="825">
        <v>6</v>
      </c>
      <c r="AE258" s="825">
        <v>6</v>
      </c>
      <c r="AF258" s="825">
        <v>6</v>
      </c>
      <c r="AG258" s="825">
        <v>7</v>
      </c>
      <c r="AH258" s="825">
        <v>7</v>
      </c>
      <c r="AI258" s="825">
        <v>9</v>
      </c>
      <c r="AJ258" s="825">
        <v>9</v>
      </c>
      <c r="AK258" s="825">
        <v>9</v>
      </c>
      <c r="AL258" s="825">
        <v>9</v>
      </c>
      <c r="AM258" s="825">
        <v>9</v>
      </c>
      <c r="AN258" s="825">
        <v>9</v>
      </c>
      <c r="AO258" s="825">
        <v>9</v>
      </c>
      <c r="AP258" s="825">
        <v>9</v>
      </c>
    </row>
    <row r="259" hidden="1" ht="13.5">
      <c r="B259" s="128" t="s">
        <v>7</v>
      </c>
      <c r="C259" s="129" t="str">
        <f>IF(SUM(C240:C258)&lt;&gt;0,SUM(C240:C258),"")</f>
      </c>
      <c r="D259" s="129" t="str">
        <f ref="D259:AA259" t="shared" si="25">IF(SUM(D240:D258)&lt;&gt;0,SUM(D240:D258),"")</f>
      </c>
      <c r="E259" s="129" t="str">
        <f t="shared" si="25"/>
      </c>
      <c r="F259" s="129" t="str">
        <f t="shared" si="25"/>
      </c>
      <c r="G259" s="129" t="str">
        <f t="shared" si="25"/>
      </c>
      <c r="H259" s="129" t="str">
        <f t="shared" si="25"/>
      </c>
      <c r="I259" s="129" t="str">
        <f t="shared" si="25"/>
      </c>
      <c r="J259" s="129" t="str">
        <f t="shared" si="25"/>
      </c>
      <c r="K259" s="129" t="str">
        <f t="shared" si="25"/>
      </c>
      <c r="L259" s="129" t="str">
        <f t="shared" si="25"/>
      </c>
      <c r="M259" s="129" t="str">
        <f t="shared" si="25"/>
      </c>
      <c r="N259" s="129" t="str">
        <f t="shared" si="25"/>
      </c>
      <c r="O259" s="129" t="str">
        <f t="shared" si="25"/>
      </c>
      <c r="P259" s="129" t="str">
        <f t="shared" si="25"/>
      </c>
      <c r="Q259" s="129" t="str">
        <f t="shared" si="25"/>
      </c>
      <c r="R259" s="129" t="str">
        <f t="shared" si="25"/>
      </c>
      <c r="S259" s="129" t="str">
        <f t="shared" si="25"/>
      </c>
      <c r="T259" s="129" t="str">
        <f t="shared" si="25"/>
      </c>
      <c r="U259" s="129" t="str">
        <f t="shared" si="25"/>
      </c>
      <c r="V259" s="129" t="str">
        <f t="shared" si="25"/>
      </c>
      <c r="W259" s="129" t="str">
        <f t="shared" si="25"/>
      </c>
      <c r="X259" s="129" t="str">
        <f t="shared" si="25"/>
      </c>
      <c r="Y259" s="129" t="str">
        <f t="shared" si="25"/>
      </c>
      <c r="Z259" s="129" t="str">
        <f t="shared" si="25"/>
      </c>
      <c r="AA259" s="129" t="str">
        <f t="shared" si="25"/>
      </c>
      <c r="AB259" s="130" t="str">
        <f>IF(SUM(AB240:AB258)&lt;&gt;0,SUM(AB240:AB258),"")</f>
      </c>
      <c r="AC259" s="91" t="str">
        <f ref="AC259:CN259" t="shared" si="26">IF(SUM(AC240:AC258)&lt;&gt;0,SUM(AC240:AC258),"")</f>
      </c>
      <c r="AD259" s="91" t="str">
        <f t="shared" si="26"/>
      </c>
      <c r="AE259" s="91" t="str">
        <f t="shared" si="26"/>
      </c>
      <c r="AF259" s="91" t="str">
        <f t="shared" si="26"/>
      </c>
      <c r="AG259" s="91" t="str">
        <f t="shared" si="26"/>
      </c>
      <c r="AH259" s="91" t="str">
        <f t="shared" si="26"/>
      </c>
      <c r="AI259" s="91" t="str">
        <f t="shared" si="26"/>
      </c>
      <c r="AJ259" s="91" t="str">
        <f t="shared" si="26"/>
      </c>
      <c r="AK259" s="91" t="str">
        <f t="shared" si="26"/>
      </c>
      <c r="AL259" s="91" t="str">
        <f t="shared" si="26"/>
      </c>
      <c r="AM259" s="91" t="str">
        <f t="shared" si="26"/>
      </c>
      <c r="AN259" s="91" t="str">
        <f t="shared" si="26"/>
      </c>
      <c r="AO259" s="91" t="str">
        <f t="shared" si="26"/>
      </c>
      <c r="AP259" s="91" t="str">
        <f t="shared" si="26"/>
      </c>
      <c r="AQ259" s="91" t="str">
        <f t="shared" si="26"/>
      </c>
      <c r="AR259" s="91" t="str">
        <f t="shared" si="26"/>
      </c>
      <c r="AS259" s="91" t="str">
        <f t="shared" si="26"/>
      </c>
      <c r="AT259" s="91" t="str">
        <f t="shared" si="26"/>
      </c>
      <c r="AU259" s="91" t="str">
        <f t="shared" si="26"/>
      </c>
      <c r="AV259" s="91" t="str">
        <f t="shared" si="26"/>
      </c>
      <c r="AW259" s="91" t="str">
        <f t="shared" si="26"/>
      </c>
      <c r="AX259" s="91" t="str">
        <f t="shared" si="26"/>
      </c>
      <c r="AY259" s="91" t="str">
        <f t="shared" si="26"/>
      </c>
      <c r="AZ259" s="91" t="str">
        <f t="shared" si="26"/>
      </c>
      <c r="BA259" s="91" t="str">
        <f t="shared" si="26"/>
      </c>
      <c r="BB259" s="91" t="str">
        <f t="shared" si="26"/>
      </c>
      <c r="BC259" s="91" t="str">
        <f t="shared" si="26"/>
      </c>
      <c r="BD259" s="91" t="str">
        <f t="shared" si="26"/>
      </c>
      <c r="BE259" s="91" t="str">
        <f t="shared" si="26"/>
      </c>
      <c r="BF259" s="91" t="str">
        <f t="shared" si="26"/>
      </c>
      <c r="BG259" s="91" t="str">
        <f t="shared" si="26"/>
      </c>
      <c r="BH259" s="91" t="str">
        <f t="shared" si="26"/>
      </c>
      <c r="BI259" s="91" t="str">
        <f t="shared" si="26"/>
      </c>
      <c r="BJ259" s="91" t="str">
        <f t="shared" si="26"/>
      </c>
      <c r="BK259" s="91" t="str">
        <f t="shared" si="26"/>
      </c>
      <c r="BL259" s="91" t="str">
        <f t="shared" si="26"/>
      </c>
      <c r="BM259" s="91" t="str">
        <f t="shared" si="26"/>
      </c>
      <c r="BN259" s="91" t="str">
        <f t="shared" si="26"/>
      </c>
      <c r="BO259" s="91" t="str">
        <f t="shared" si="26"/>
      </c>
      <c r="BP259" s="91" t="str">
        <f t="shared" si="26"/>
      </c>
      <c r="BQ259" s="91" t="str">
        <f t="shared" si="26"/>
      </c>
      <c r="BR259" s="91" t="str">
        <f t="shared" si="26"/>
      </c>
      <c r="BS259" s="91" t="str">
        <f t="shared" si="26"/>
      </c>
      <c r="BT259" s="91" t="str">
        <f t="shared" si="26"/>
      </c>
      <c r="BU259" s="91" t="str">
        <f t="shared" si="26"/>
      </c>
      <c r="BV259" s="91" t="str">
        <f t="shared" si="26"/>
      </c>
      <c r="BW259" s="91" t="str">
        <f t="shared" si="26"/>
      </c>
      <c r="BX259" s="91" t="str">
        <f t="shared" si="26"/>
      </c>
      <c r="BY259" s="91" t="str">
        <f t="shared" si="26"/>
      </c>
      <c r="BZ259" s="91" t="str">
        <f t="shared" si="26"/>
      </c>
      <c r="CA259" s="91" t="str">
        <f t="shared" si="26"/>
      </c>
      <c r="CB259" s="91" t="str">
        <f t="shared" si="26"/>
      </c>
      <c r="CC259" s="91" t="str">
        <f t="shared" si="26"/>
      </c>
      <c r="CD259" s="91" t="str">
        <f t="shared" si="26"/>
      </c>
      <c r="CE259" s="91" t="str">
        <f t="shared" si="26"/>
      </c>
      <c r="CF259" s="91" t="str">
        <f t="shared" si="26"/>
      </c>
      <c r="CG259" s="91" t="str">
        <f t="shared" si="26"/>
      </c>
      <c r="CH259" s="91" t="str">
        <f t="shared" si="26"/>
      </c>
      <c r="CI259" s="91" t="str">
        <f t="shared" si="26"/>
      </c>
      <c r="CJ259" s="91" t="str">
        <f t="shared" si="26"/>
      </c>
      <c r="CK259" s="91" t="str">
        <f t="shared" si="26"/>
      </c>
      <c r="CL259" s="91" t="str">
        <f t="shared" si="26"/>
      </c>
      <c r="CM259" s="91" t="str">
        <f t="shared" si="26"/>
      </c>
      <c r="CN259" s="91" t="str">
        <f t="shared" si="26"/>
      </c>
      <c r="CO259" s="91" t="str">
        <f ref="CO259:EZ259" t="shared" si="27">IF(SUM(CO240:CO258)&lt;&gt;0,SUM(CO240:CO258),"")</f>
      </c>
      <c r="CP259" s="91" t="str">
        <f t="shared" si="27"/>
      </c>
      <c r="CQ259" s="91" t="str">
        <f t="shared" si="27"/>
      </c>
      <c r="CR259" s="91" t="str">
        <f t="shared" si="27"/>
      </c>
      <c r="CS259" s="91" t="str">
        <f t="shared" si="27"/>
      </c>
      <c r="CT259" s="91" t="str">
        <f t="shared" si="27"/>
      </c>
      <c r="CU259" s="91" t="str">
        <f t="shared" si="27"/>
      </c>
      <c r="CV259" s="91" t="str">
        <f t="shared" si="27"/>
      </c>
      <c r="CW259" s="91" t="str">
        <f t="shared" si="27"/>
      </c>
      <c r="CX259" s="91" t="str">
        <f t="shared" si="27"/>
      </c>
      <c r="CY259" s="91" t="str">
        <f t="shared" si="27"/>
      </c>
      <c r="CZ259" s="91" t="str">
        <f t="shared" si="27"/>
      </c>
      <c r="DA259" s="91" t="str">
        <f t="shared" si="27"/>
      </c>
      <c r="DB259" s="91" t="str">
        <f t="shared" si="27"/>
      </c>
      <c r="DC259" s="91" t="str">
        <f t="shared" si="27"/>
      </c>
      <c r="DD259" s="91" t="str">
        <f t="shared" si="27"/>
      </c>
      <c r="DE259" s="91" t="str">
        <f t="shared" si="27"/>
      </c>
      <c r="DF259" s="91" t="str">
        <f t="shared" si="27"/>
      </c>
      <c r="DG259" s="91" t="str">
        <f t="shared" si="27"/>
      </c>
      <c r="DH259" s="91" t="str">
        <f t="shared" si="27"/>
      </c>
      <c r="DI259" s="91" t="str">
        <f t="shared" si="27"/>
      </c>
      <c r="DJ259" s="91" t="str">
        <f t="shared" si="27"/>
      </c>
      <c r="DK259" s="91" t="str">
        <f t="shared" si="27"/>
      </c>
      <c r="DL259" s="91" t="str">
        <f t="shared" si="27"/>
      </c>
      <c r="DM259" s="91" t="str">
        <f t="shared" si="27"/>
      </c>
      <c r="DN259" s="91" t="str">
        <f t="shared" si="27"/>
      </c>
      <c r="DO259" s="91" t="str">
        <f t="shared" si="27"/>
      </c>
      <c r="DP259" s="91" t="str">
        <f t="shared" si="27"/>
      </c>
      <c r="DQ259" s="91" t="str">
        <f t="shared" si="27"/>
      </c>
      <c r="DR259" s="91" t="str">
        <f t="shared" si="27"/>
      </c>
      <c r="DS259" s="91" t="str">
        <f t="shared" si="27"/>
      </c>
      <c r="DT259" s="91" t="str">
        <f t="shared" si="27"/>
      </c>
      <c r="DU259" s="91" t="str">
        <f t="shared" si="27"/>
      </c>
      <c r="DV259" s="91" t="str">
        <f t="shared" si="27"/>
      </c>
      <c r="DW259" s="91" t="str">
        <f t="shared" si="27"/>
      </c>
      <c r="DX259" s="91" t="str">
        <f t="shared" si="27"/>
      </c>
      <c r="DY259" s="91" t="str">
        <f t="shared" si="27"/>
      </c>
      <c r="DZ259" s="91" t="str">
        <f t="shared" si="27"/>
      </c>
      <c r="EA259" s="91" t="str">
        <f t="shared" si="27"/>
      </c>
      <c r="EB259" s="91" t="str">
        <f t="shared" si="27"/>
      </c>
      <c r="EC259" s="91" t="str">
        <f t="shared" si="27"/>
      </c>
      <c r="ED259" s="91" t="str">
        <f t="shared" si="27"/>
      </c>
      <c r="EE259" s="91" t="str">
        <f t="shared" si="27"/>
      </c>
      <c r="EF259" s="91" t="str">
        <f t="shared" si="27"/>
      </c>
      <c r="EG259" s="91" t="str">
        <f t="shared" si="27"/>
      </c>
      <c r="EH259" s="91" t="str">
        <f t="shared" si="27"/>
      </c>
      <c r="EI259" s="91" t="str">
        <f t="shared" si="27"/>
      </c>
      <c r="EJ259" s="91" t="str">
        <f t="shared" si="27"/>
      </c>
      <c r="EK259" s="91" t="str">
        <f t="shared" si="27"/>
      </c>
      <c r="EL259" s="91" t="str">
        <f t="shared" si="27"/>
      </c>
      <c r="EM259" s="91" t="str">
        <f t="shared" si="27"/>
      </c>
      <c r="EN259" s="91" t="str">
        <f t="shared" si="27"/>
      </c>
      <c r="EO259" s="91" t="str">
        <f t="shared" si="27"/>
      </c>
      <c r="EP259" s="91" t="str">
        <f t="shared" si="27"/>
      </c>
      <c r="EQ259" s="91" t="str">
        <f t="shared" si="27"/>
      </c>
      <c r="ER259" s="91" t="str">
        <f t="shared" si="27"/>
      </c>
      <c r="ES259" s="91" t="str">
        <f t="shared" si="27"/>
      </c>
      <c r="ET259" s="91" t="str">
        <f t="shared" si="27"/>
      </c>
      <c r="EU259" s="91" t="str">
        <f t="shared" si="27"/>
      </c>
      <c r="EV259" s="91" t="str">
        <f t="shared" si="27"/>
      </c>
      <c r="EW259" s="91" t="str">
        <f t="shared" si="27"/>
      </c>
      <c r="EX259" s="91" t="str">
        <f t="shared" si="27"/>
      </c>
      <c r="EY259" s="91" t="str">
        <f t="shared" si="27"/>
      </c>
      <c r="EZ259" s="91" t="str">
        <f t="shared" si="27"/>
      </c>
      <c r="FA259" s="91" t="str">
        <f ref="FA259:HL259" t="shared" si="28">IF(SUM(FA240:FA258)&lt;&gt;0,SUM(FA240:FA258),"")</f>
      </c>
      <c r="FB259" s="91" t="str">
        <f t="shared" si="28"/>
      </c>
      <c r="FC259" s="91" t="str">
        <f t="shared" si="28"/>
      </c>
      <c r="FD259" s="91" t="str">
        <f t="shared" si="28"/>
      </c>
      <c r="FE259" s="91" t="str">
        <f t="shared" si="28"/>
      </c>
      <c r="FF259" s="91" t="str">
        <f t="shared" si="28"/>
      </c>
      <c r="FG259" s="91" t="str">
        <f t="shared" si="28"/>
      </c>
      <c r="FH259" s="91" t="str">
        <f t="shared" si="28"/>
      </c>
      <c r="FI259" s="91" t="str">
        <f t="shared" si="28"/>
      </c>
      <c r="FJ259" s="91" t="str">
        <f t="shared" si="28"/>
      </c>
      <c r="FK259" s="91" t="str">
        <f t="shared" si="28"/>
      </c>
      <c r="FL259" s="91" t="str">
        <f t="shared" si="28"/>
      </c>
      <c r="FM259" s="91" t="str">
        <f t="shared" si="28"/>
      </c>
      <c r="FN259" s="91" t="str">
        <f t="shared" si="28"/>
      </c>
      <c r="FO259" s="91" t="str">
        <f t="shared" si="28"/>
      </c>
      <c r="FP259" s="91" t="str">
        <f t="shared" si="28"/>
      </c>
      <c r="FQ259" s="91" t="str">
        <f t="shared" si="28"/>
      </c>
      <c r="FR259" s="91" t="str">
        <f t="shared" si="28"/>
      </c>
      <c r="FS259" s="91" t="str">
        <f t="shared" si="28"/>
      </c>
      <c r="FT259" s="91" t="str">
        <f t="shared" si="28"/>
      </c>
      <c r="FU259" s="91" t="str">
        <f t="shared" si="28"/>
      </c>
      <c r="FV259" s="91" t="str">
        <f t="shared" si="28"/>
      </c>
      <c r="FW259" s="91" t="str">
        <f t="shared" si="28"/>
      </c>
      <c r="FX259" s="91" t="str">
        <f t="shared" si="28"/>
      </c>
      <c r="FY259" s="91" t="str">
        <f t="shared" si="28"/>
      </c>
      <c r="FZ259" s="91" t="str">
        <f t="shared" si="28"/>
      </c>
      <c r="GA259" s="91" t="str">
        <f t="shared" si="28"/>
      </c>
      <c r="GB259" s="91" t="str">
        <f t="shared" si="28"/>
      </c>
      <c r="GC259" s="91" t="str">
        <f t="shared" si="28"/>
      </c>
      <c r="GD259" s="91" t="str">
        <f t="shared" si="28"/>
      </c>
      <c r="GE259" s="91" t="str">
        <f t="shared" si="28"/>
      </c>
      <c r="GF259" s="91" t="str">
        <f t="shared" si="28"/>
      </c>
      <c r="GG259" s="91" t="str">
        <f t="shared" si="28"/>
      </c>
      <c r="GH259" s="91" t="str">
        <f t="shared" si="28"/>
      </c>
      <c r="GI259" s="91" t="str">
        <f t="shared" si="28"/>
      </c>
      <c r="GJ259" s="91" t="str">
        <f t="shared" si="28"/>
      </c>
      <c r="GK259" s="91" t="str">
        <f t="shared" si="28"/>
      </c>
      <c r="GL259" s="91" t="str">
        <f t="shared" si="28"/>
      </c>
      <c r="GM259" s="91" t="str">
        <f t="shared" si="28"/>
      </c>
      <c r="GN259" s="91" t="str">
        <f t="shared" si="28"/>
      </c>
      <c r="GO259" s="91" t="str">
        <f t="shared" si="28"/>
      </c>
      <c r="GP259" s="91" t="str">
        <f t="shared" si="28"/>
      </c>
      <c r="GQ259" s="91" t="str">
        <f t="shared" si="28"/>
      </c>
      <c r="GR259" s="91" t="str">
        <f t="shared" si="28"/>
      </c>
      <c r="GS259" s="91" t="str">
        <f t="shared" si="28"/>
      </c>
      <c r="GT259" s="91" t="str">
        <f t="shared" si="28"/>
      </c>
      <c r="GU259" s="91" t="str">
        <f t="shared" si="28"/>
      </c>
      <c r="GV259" s="91" t="str">
        <f t="shared" si="28"/>
      </c>
      <c r="GW259" s="91" t="str">
        <f t="shared" si="28"/>
      </c>
      <c r="GX259" s="91" t="str">
        <f t="shared" si="28"/>
      </c>
      <c r="GY259" s="91" t="str">
        <f t="shared" si="28"/>
      </c>
      <c r="GZ259" s="91" t="str">
        <f t="shared" si="28"/>
      </c>
      <c r="HA259" s="91" t="str">
        <f t="shared" si="28"/>
      </c>
      <c r="HB259" s="91" t="str">
        <f t="shared" si="28"/>
      </c>
      <c r="HC259" s="91" t="str">
        <f t="shared" si="28"/>
      </c>
      <c r="HD259" s="91" t="str">
        <f t="shared" si="28"/>
      </c>
      <c r="HE259" s="91" t="str">
        <f t="shared" si="28"/>
      </c>
      <c r="HF259" s="91" t="str">
        <f t="shared" si="28"/>
      </c>
      <c r="HG259" s="91" t="str">
        <f t="shared" si="28"/>
      </c>
      <c r="HH259" s="91" t="str">
        <f t="shared" si="28"/>
      </c>
      <c r="HI259" s="91" t="str">
        <f t="shared" si="28"/>
      </c>
      <c r="HJ259" s="91" t="str">
        <f t="shared" si="28"/>
      </c>
      <c r="HK259" s="91" t="str">
        <f t="shared" si="28"/>
      </c>
      <c r="HL259" s="91" t="str">
        <f t="shared" si="28"/>
      </c>
      <c r="HM259" s="91" t="str">
        <f ref="HM259:IV259" t="shared" si="29">IF(SUM(HM240:HM258)&lt;&gt;0,SUM(HM240:HM258),"")</f>
      </c>
      <c r="HN259" s="91" t="str">
        <f t="shared" si="29"/>
      </c>
      <c r="HO259" s="91" t="str">
        <f t="shared" si="29"/>
      </c>
      <c r="HP259" s="91" t="str">
        <f t="shared" si="29"/>
      </c>
      <c r="HQ259" s="91" t="str">
        <f t="shared" si="29"/>
      </c>
      <c r="HR259" s="91" t="str">
        <f t="shared" si="29"/>
      </c>
      <c r="HS259" s="91" t="str">
        <f t="shared" si="29"/>
      </c>
      <c r="HT259" s="91" t="str">
        <f t="shared" si="29"/>
      </c>
      <c r="HU259" s="91" t="str">
        <f t="shared" si="29"/>
      </c>
      <c r="HV259" s="91" t="str">
        <f t="shared" si="29"/>
      </c>
      <c r="HW259" s="91" t="str">
        <f t="shared" si="29"/>
      </c>
      <c r="HX259" s="91" t="str">
        <f t="shared" si="29"/>
      </c>
      <c r="HY259" s="91" t="str">
        <f t="shared" si="29"/>
      </c>
      <c r="HZ259" s="91" t="str">
        <f t="shared" si="29"/>
      </c>
      <c r="IA259" s="91" t="str">
        <f t="shared" si="29"/>
      </c>
      <c r="IB259" s="91" t="str">
        <f t="shared" si="29"/>
      </c>
      <c r="IC259" s="91" t="str">
        <f t="shared" si="29"/>
      </c>
      <c r="ID259" s="91" t="str">
        <f t="shared" si="29"/>
      </c>
      <c r="IE259" s="91" t="str">
        <f t="shared" si="29"/>
      </c>
      <c r="IF259" s="91" t="str">
        <f t="shared" si="29"/>
      </c>
      <c r="IG259" s="91" t="str">
        <f t="shared" si="29"/>
      </c>
      <c r="IH259" s="91" t="str">
        <f t="shared" si="29"/>
      </c>
      <c r="II259" s="91" t="str">
        <f t="shared" si="29"/>
      </c>
      <c r="IJ259" s="91" t="str">
        <f t="shared" si="29"/>
      </c>
      <c r="IK259" s="91" t="str">
        <f t="shared" si="29"/>
      </c>
      <c r="IL259" s="91" t="str">
        <f t="shared" si="29"/>
      </c>
      <c r="IM259" s="91" t="str">
        <f t="shared" si="29"/>
      </c>
      <c r="IN259" s="91" t="str">
        <f t="shared" si="29"/>
      </c>
      <c r="IO259" s="91" t="str">
        <f t="shared" si="29"/>
      </c>
      <c r="IP259" s="91" t="str">
        <f t="shared" si="29"/>
      </c>
      <c r="IQ259" s="91" t="str">
        <f t="shared" si="29"/>
      </c>
      <c r="IR259" s="91" t="str">
        <f t="shared" si="29"/>
      </c>
      <c r="IS259" s="91" t="str">
        <f t="shared" si="29"/>
      </c>
      <c r="IT259" s="91" t="str">
        <f t="shared" si="29"/>
      </c>
      <c r="IU259" s="91" t="str">
        <f t="shared" si="29"/>
      </c>
      <c r="IV259" s="91" t="str">
        <f t="shared" si="29"/>
      </c>
    </row>
    <row r="260" hidden="1"/>
    <row r="261" hidden="1"/>
    <row r="262" hidden="1"/>
    <row r="263" hidden="1"/>
    <row r="264" hidden="1" ht="13.5"/>
    <row r="265" hidden="1">
      <c r="B265" s="276" t="s">
        <v>194</v>
      </c>
      <c r="C265" s="312" t="str">
        <f>INDEX($C120:$II$139,$F$8,38)</f>
      </c>
    </row>
    <row r="266" hidden="1" ht="18">
      <c r="B266" s="277" t="s">
        <v>243</v>
      </c>
      <c r="C266" s="312" t="str">
        <f>INDEX($C144:$II$163,$F$8,38)</f>
      </c>
    </row>
    <row r="267" hidden="1" ht="18">
      <c r="B267" s="277" t="s">
        <v>244</v>
      </c>
      <c r="C267" s="312" t="str">
        <f>INDEX($C168:$II$187,$F$8,38)</f>
      </c>
    </row>
    <row r="268" hidden="1">
      <c r="B268" s="277" t="s">
        <v>241</v>
      </c>
      <c r="C268" s="312" t="str">
        <f>INDEX($C192:$II$211,$F$8,38)</f>
      </c>
    </row>
    <row r="269" hidden="1" ht="18.75">
      <c r="B269" s="278" t="s">
        <v>204</v>
      </c>
      <c r="C269" s="313" t="str">
        <f>INDEX($C216:$II$235,$F$8,38)</f>
      </c>
    </row>
    <row r="270" hidden="1"/>
  </sheetData>
  <sheetProtection sheet="1" autoFilter="0" objects="1" scenarios="1" sort="0" password="ed66"/>
  <mergeCells>
    <mergeCell ref="B9:E9"/>
    <mergeCell ref="C15:M15"/>
    <mergeCell ref="C14:M14"/>
    <mergeCell ref="C18:M18"/>
    <mergeCell ref="C26:M26"/>
    <mergeCell ref="C20:M20"/>
    <mergeCell ref="C22:M22"/>
    <mergeCell ref="C24:M24"/>
    <mergeCell ref="C190:AB190"/>
    <mergeCell ref="C214:AB214"/>
    <mergeCell ref="C238:AB238"/>
    <mergeCell ref="C28:M28"/>
    <mergeCell ref="C118:AB118"/>
    <mergeCell ref="C142:AB142"/>
    <mergeCell ref="C166:AB166"/>
  </mergeCells>
  <phoneticPr fontId="2" type="noConversion"/>
  <printOptions horizontalCentered="1"/>
  <pageMargins left="0.78740157480314965" right="0.78740157480314965" top="0.98425196850393704" bottom="0.98425196850393704" header="0" footer="0"/>
  <pageSetup paperSize="9" scale="47" orientation="portrait"/>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0417" r:id="rId4" name="Drop Down 1">
              <controlPr defaultSize="0" autoLine="0" autoPict="0">
                <anchor moveWithCells="1">
                  <from>
                    <xdr:col>5</xdr:col>
                    <xdr:colOff>9525</xdr:colOff>
                    <xdr:row>7</xdr:row>
                    <xdr:rowOff>9525</xdr:rowOff>
                  </from>
                  <to>
                    <xdr:col>7</xdr:col>
                    <xdr:colOff>342900</xdr:colOff>
                    <xdr:row>9</xdr:row>
                    <xdr:rowOff>9525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ontainsText" priority="20" operator="containsText" id="{41182133-F80C-47D1-AB14-953E813164DF}">
            <xm:f>NOT(ISERROR(SEARCH("",AC235)))</xm:f>
            <xm:f>""</xm:f>
            <x14:dxf>
              <numFmt numFmtId="3" formatCode="#,##0"/>
              <border>
                <left style="thin">
                  <color auto="1"/>
                </left>
                <right style="thin">
                  <color auto="1"/>
                </right>
                <top style="thin">
                  <color auto="1"/>
                </top>
                <bottom style="thin">
                  <color auto="1"/>
                </bottom>
                <vertical/>
                <horizontal/>
              </border>
            </x14:dxf>
          </x14:cfRule>
          <xm:sqref>AC235:IV235</xm:sqref>
        </x14:conditionalFormatting>
        <x14:conditionalFormatting xmlns:xm="http://schemas.microsoft.com/office/excel/2006/main">
          <x14:cfRule type="containsText" priority="19" operator="containsText" id="{C1996535-DEB5-47E7-87E1-1B51588B0343}">
            <xm:f>NOT(ISERROR(SEARCH("",C216)))</xm:f>
            <xm:f>""</xm:f>
            <x14:dxf>
              <numFmt numFmtId="3" formatCode="#,##0"/>
              <border>
                <right style="thin">
                  <color auto="1"/>
                </right>
                <top style="thin">
                  <color auto="1"/>
                </top>
                <bottom style="thin">
                  <color auto="1"/>
                </bottom>
                <vertical/>
                <horizontal/>
              </border>
            </x14:dxf>
          </x14:cfRule>
          <xm:sqref>C216:IV234</xm:sqref>
        </x14:conditionalFormatting>
        <x14:conditionalFormatting xmlns:xm="http://schemas.microsoft.com/office/excel/2006/main">
          <x14:cfRule type="containsText" priority="14" operator="containsText" id="{069ADD9F-2157-481B-B005-CBD889D74F8B}">
            <xm:f>NOT(ISERROR(SEARCH("",AD191)))</xm:f>
            <xm:f>""</xm:f>
            <x14:dxf>
              <numFmt numFmtId="3" formatCode="#,##0"/>
              <border>
                <left style="thin">
                  <color auto="1"/>
                </left>
                <right style="thin">
                  <color auto="1"/>
                </right>
                <top style="thin">
                  <color auto="1"/>
                </top>
                <bottom style="thin">
                  <color auto="1"/>
                </bottom>
                <vertical/>
                <horizontal/>
              </border>
            </x14:dxf>
          </x14:cfRule>
          <xm:sqref>AD191:AG191 AI191:AL191 AN191:AQ191 AS191:AV191 AX191:BA191 BC191:BF191 BH191:BK191 BM191:BP191 BR191:BU191 BW191:BZ191 CB191:CE191 CG191:CJ191 CL191:CO191 CQ191:CT191 CV191:CY191 DA191:DD191 DF191:DI191 DK191:DN191 DP191:DS191 DU191:DX191 DZ191:EC191 EE191:EH191 EJ191:EM191 EO191:ER191 ET191:EW191 EY191:FB191 FD191:FG191 FI191:FL191 FN191:FQ191 FS191:FV191 FX191:GA191 GC191:GF191 GH191:GK191 GM191:GP191 GR191:GU191 GW191:GZ191 HB191:HE191 HG191:HJ191 HL191:HO191 HQ191:HT191 HV191:HY191 IA191:ID191 IF191:II191 IK191:IN191 IP191:IS191 IU191:IV191</xm:sqref>
        </x14:conditionalFormatting>
        <x14:conditionalFormatting xmlns:xm="http://schemas.microsoft.com/office/excel/2006/main">
          <x14:cfRule type="containsText" priority="8" operator="containsText" id="{A1261C6E-3BB8-41BF-A9D6-2CB24CEB28C1}">
            <xm:f>NOT(ISERROR(SEARCH("",AC163)))</xm:f>
            <xm:f>""</xm:f>
            <x14:dxf>
              <numFmt numFmtId="3" formatCode="#,##0"/>
              <border>
                <left style="thin">
                  <color auto="1"/>
                </left>
                <right style="thin">
                  <color auto="1"/>
                </right>
                <top style="thin">
                  <color auto="1"/>
                </top>
                <bottom style="thin">
                  <color auto="1"/>
                </bottom>
                <vertical/>
                <horizontal/>
              </border>
            </x14:dxf>
          </x14:cfRule>
          <xm:sqref>AC163:IV163</xm:sqref>
        </x14:conditionalFormatting>
        <x14:conditionalFormatting xmlns:xm="http://schemas.microsoft.com/office/excel/2006/main">
          <x14:cfRule type="containsText" priority="7" operator="containsText" id="{4709EF30-7307-40CE-A1CB-07D78DD90F0F}">
            <xm:f>NOT(ISERROR(SEARCH("",C144)))</xm:f>
            <xm:f>""</xm:f>
            <x14:dxf>
              <numFmt numFmtId="3" formatCode="#,##0"/>
              <border>
                <right style="thin">
                  <color auto="1"/>
                </right>
                <top style="thin">
                  <color auto="1"/>
                </top>
                <bottom style="thin">
                  <color auto="1"/>
                </bottom>
                <vertical/>
                <horizontal/>
              </border>
            </x14:dxf>
          </x14:cfRule>
          <xm:sqref>C144:IV162</xm:sqref>
        </x14:conditionalFormatting>
        <x14:conditionalFormatting xmlns:xm="http://schemas.microsoft.com/office/excel/2006/main">
          <x14:cfRule type="containsText" priority="2" operator="containsText" id="{20854C0E-95B5-4804-8A77-2C5EDFE3AC6C}">
            <xm:f>NOT(ISERROR(SEARCH("",AD119)))</xm:f>
            <xm:f>""</xm:f>
            <x14:dxf>
              <numFmt numFmtId="3" formatCode="#,##0"/>
              <border>
                <left style="thin">
                  <color auto="1"/>
                </left>
                <right style="thin">
                  <color auto="1"/>
                </right>
                <top style="thin">
                  <color auto="1"/>
                </top>
                <bottom style="thin">
                  <color auto="1"/>
                </bottom>
                <vertical/>
                <horizontal/>
              </border>
            </x14:dxf>
          </x14:cfRule>
          <xm:sqref>AD119:AG119 AI119:AL119 AN119:AQ119 AS119:AV119 AX119:BA119 BC119:BF119 BH119:BK119 BM119:BP119 BR119:BU119 BW119:BZ119 CB119:CE119 CG119:CJ119 CL119:CO119 CQ119:CT119 CV119:CY119 DA119:DD119 DF119:DI119 DK119:DN119 DP119:DS119 DU119:DX119 DZ119:EC119 EE119:EH119 EJ119:EM119 EO119:ER119 ET119:EW119 EY119:FB119 FD119:FG119 FI119:FL119 FN119:FQ119 FS119:FV119 FX119:GA119 GC119:GF119 GH119:GK119 GM119:GP119 GR119:GU119 GW119:GZ119 HB119:HE119 HG119:HJ119 HL119:HO119 HQ119:HT119 HV119:HY119 IA119:ID119 IF119:II119 IK119:IN119 IP119:IS119 IU119:IV119</xm:sqref>
        </x14:conditionalFormatting>
        <x14:conditionalFormatting xmlns:xm="http://schemas.microsoft.com/office/excel/2006/main">
          <x14:cfRule type="containsText" priority="24" operator="containsText" id="{28506495-8675-4244-9AE4-712AC4A930DD}">
            <xm:f>NOT(ISERROR(SEARCH("",AC259)))</xm:f>
            <xm:f>""</xm:f>
            <x14:dxf>
              <numFmt numFmtId="3" formatCode="#,##0"/>
              <border>
                <left style="thin">
                  <color auto="1"/>
                </left>
                <right style="thin">
                  <color auto="1"/>
                </right>
                <top style="thin">
                  <color auto="1"/>
                </top>
                <bottom style="thin">
                  <color auto="1"/>
                </bottom>
                <vertical/>
                <horizontal/>
              </border>
            </x14:dxf>
          </x14:cfRule>
          <xm:sqref>AC259:IV259</xm:sqref>
        </x14:conditionalFormatting>
        <x14:conditionalFormatting xmlns:xm="http://schemas.microsoft.com/office/excel/2006/main">
          <x14:cfRule type="containsText" priority="23" operator="containsText" id="{FA7523E7-8AAD-4CFD-BCD3-EC969AB68F89}">
            <xm:f>NOT(ISERROR(SEARCH("",C240)))</xm:f>
            <xm:f>""</xm:f>
            <x14:dxf>
              <numFmt numFmtId="3" formatCode="#,##0"/>
              <border>
                <right style="thin">
                  <color auto="1"/>
                </right>
                <top style="thin">
                  <color auto="1"/>
                </top>
                <bottom style="thin">
                  <color auto="1"/>
                </bottom>
                <vertical/>
                <horizontal/>
              </border>
            </x14:dxf>
          </x14:cfRule>
          <xm:sqref>C240:IV258</xm:sqref>
        </x14:conditionalFormatting>
        <x14:conditionalFormatting xmlns:xm="http://schemas.microsoft.com/office/excel/2006/main">
          <x14:cfRule type="containsText" priority="22" operator="containsText" id="{8E45B69F-4B0C-4577-B8DE-7A13DF3F5424}">
            <xm:f>NOT(ISERROR(SEARCH("",AD239)))</xm:f>
            <xm:f>""</xm:f>
            <x14:dxf>
              <numFmt numFmtId="3" formatCode="#,##0"/>
              <border>
                <left style="thin">
                  <color auto="1"/>
                </left>
                <right style="thin">
                  <color auto="1"/>
                </right>
                <top style="thin">
                  <color auto="1"/>
                </top>
                <bottom style="thin">
                  <color auto="1"/>
                </bottom>
                <vertical/>
                <horizontal/>
              </border>
            </x14:dxf>
          </x14:cfRule>
          <xm:sqref>AD239:AG239 AI239:AL239 AN239:AQ239 AS239:AV239 AX239:BA239 BC239:BF239 BH239:BK239 BM239:BP239 BR239:BU239 BW239:BZ239 CB239:CE239 CG239:CJ239 CL239:CO239 CQ239:CT239 CV239:CY239 DA239:DD239 DF239:DI239 DK239:DN239 DP239:DS239 DU239:DX239 DZ239:EC239 EE239:EH239 EJ239:EM239 EO239:ER239 ET239:EW239 EY239:FB239 FD239:FG239 FI239:FL239 FN239:FQ239 FS239:FV239 FX239:GA239 GC239:GF239 GH239:GK239 GM239:GP239 GR239:GU239 GW239:GZ239 HB239:HE239 HG239:HJ239 HL239:HO239 HQ239:HT239 HV239:HY239 IA239:ID239 IF239:II239 IK239:IN239 IP239:IS239 IU239:IV239</xm:sqref>
        </x14:conditionalFormatting>
        <x14:conditionalFormatting xmlns:xm="http://schemas.microsoft.com/office/excel/2006/main">
          <x14:cfRule type="containsText" priority="21" operator="containsText" id="{40ABF456-FD42-4C75-B747-F466DA0765F7}">
            <xm:f>NOT(ISERROR(SEARCH("",AC239)))</xm:f>
            <xm:f>""</xm:f>
            <x14:dxf>
              <numFmt numFmtId="3" formatCode="#,##0"/>
              <border>
                <left style="thin">
                  <color auto="1"/>
                </left>
                <right style="thin">
                  <color auto="1"/>
                </right>
                <top style="thin">
                  <color auto="1"/>
                </top>
                <bottom style="thin">
                  <color auto="1"/>
                </bottom>
                <vertical/>
                <horizontal/>
              </border>
            </x14:dxf>
          </x14:cfRule>
          <xm:sqref>AC239 AH239 AM239 AR239 AW239 BB239 BG239 BL239 BQ239 BV239 CA239 CF239 CK239 CP239 CU239 CZ239 DE239 DJ239 DO239 DT239 DY239 ED239 EI239 EN239 ES239 EX239 FC239 FH239 FM239 FR239 FW239 GB239 GG239 GL239 GQ239 GV239 HA239 HF239 HK239 HP239 HU239 HZ239 IE239 IJ239 IO239 IT239</xm:sqref>
        </x14:conditionalFormatting>
        <x14:conditionalFormatting xmlns:xm="http://schemas.microsoft.com/office/excel/2006/main">
          <x14:cfRule type="containsText" priority="18" operator="containsText" id="{523080B6-A047-41E5-A000-FC3483BF8690}">
            <xm:f>NOT(ISERROR(SEARCH("",AD215)))</xm:f>
            <xm:f>""</xm:f>
            <x14:dxf>
              <numFmt numFmtId="3" formatCode="#,##0"/>
              <border>
                <left style="thin">
                  <color auto="1"/>
                </left>
                <right style="thin">
                  <color auto="1"/>
                </right>
                <top style="thin">
                  <color auto="1"/>
                </top>
                <bottom style="thin">
                  <color auto="1"/>
                </bottom>
                <vertical/>
                <horizontal/>
              </border>
            </x14:dxf>
          </x14:cfRule>
          <xm:sqref>AD215:AG215 AI215:AL215 AN215:AQ215 AS215:AV215 AX215:BA215 BC215:BF215 BH215:BK215 BM215:BP215 BR215:BU215 BW215:BZ215 CB215:CE215 CG215:CJ215 CL215:CO215 CQ215:CT215 CV215:CY215 DA215:DD215 DF215:DI215 DK215:DN215 DP215:DS215 DU215:DX215 DZ215:EC215 EE215:EH215 EJ215:EM215 EO215:ER215 ET215:EW215 EY215:FB215 FD215:FG215 FI215:FL215 FN215:FQ215 FS215:FV215 FX215:GA215 GC215:GF215 GH215:GK215 GM215:GP215 GR215:GU215 GW215:GZ215 HB215:HE215 HG215:HJ215 HL215:HO215 HQ215:HT215 HV215:HY215 IA215:ID215 IF215:II215 IK215:IN215 IP215:IS215 IU215:IV215</xm:sqref>
        </x14:conditionalFormatting>
        <x14:conditionalFormatting xmlns:xm="http://schemas.microsoft.com/office/excel/2006/main">
          <x14:cfRule type="containsText" priority="17" operator="containsText" id="{D503E205-084D-459E-A27B-4B63556D233B}">
            <xm:f>NOT(ISERROR(SEARCH("",AC215)))</xm:f>
            <xm:f>""</xm:f>
            <x14:dxf>
              <numFmt numFmtId="3" formatCode="#,##0"/>
              <border>
                <left style="thin">
                  <color auto="1"/>
                </left>
                <right style="thin">
                  <color auto="1"/>
                </right>
                <top style="thin">
                  <color auto="1"/>
                </top>
                <bottom style="thin">
                  <color auto="1"/>
                </bottom>
                <vertical/>
                <horizontal/>
              </border>
            </x14:dxf>
          </x14:cfRule>
          <xm:sqref>AC215 AH215 AM215 AR215 AW215 BB215 BG215 BL215 BQ215 BV215 CA215 CF215 CK215 CP215 CU215 CZ215 DE215 DJ215 DO215 DT215 DY215 ED215 EI215 EN215 ES215 EX215 FC215 FH215 FM215 FR215 FW215 GB215 GG215 GL215 GQ215 GV215 HA215 HF215 HK215 HP215 HU215 HZ215 IE215 IJ215 IO215 IT215</xm:sqref>
        </x14:conditionalFormatting>
        <x14:conditionalFormatting xmlns:xm="http://schemas.microsoft.com/office/excel/2006/main">
          <x14:cfRule type="containsText" priority="16" operator="containsText" id="{43B9B8D4-B007-4683-8949-9D48EE33E742}">
            <xm:f>NOT(ISERROR(SEARCH("",AC211)))</xm:f>
            <xm:f>""</xm:f>
            <x14:dxf>
              <numFmt numFmtId="3" formatCode="#,##0"/>
              <border>
                <left style="thin">
                  <color auto="1"/>
                </left>
                <right style="thin">
                  <color auto="1"/>
                </right>
                <top style="thin">
                  <color auto="1"/>
                </top>
                <bottom style="thin">
                  <color auto="1"/>
                </bottom>
                <vertical/>
                <horizontal/>
              </border>
            </x14:dxf>
          </x14:cfRule>
          <xm:sqref>AC211:IV211</xm:sqref>
        </x14:conditionalFormatting>
        <x14:conditionalFormatting xmlns:xm="http://schemas.microsoft.com/office/excel/2006/main">
          <x14:cfRule type="containsText" priority="15" operator="containsText" id="{3E8CFA52-3300-48C3-81C2-ED8545380F54}">
            <xm:f>NOT(ISERROR(SEARCH("",C192)))</xm:f>
            <xm:f>""</xm:f>
            <x14:dxf>
              <numFmt numFmtId="3" formatCode="#,##0"/>
              <border>
                <right style="thin">
                  <color auto="1"/>
                </right>
                <top style="thin">
                  <color auto="1"/>
                </top>
                <bottom style="thin">
                  <color auto="1"/>
                </bottom>
                <vertical/>
                <horizontal/>
              </border>
            </x14:dxf>
          </x14:cfRule>
          <xm:sqref>C192:IV210</xm:sqref>
        </x14:conditionalFormatting>
        <x14:conditionalFormatting xmlns:xm="http://schemas.microsoft.com/office/excel/2006/main">
          <x14:cfRule type="containsText" priority="13" operator="containsText" id="{B0C1D37D-4FA3-4638-A3DB-6C10ABCB5C9B}">
            <xm:f>NOT(ISERROR(SEARCH("",AC191)))</xm:f>
            <xm:f>""</xm:f>
            <x14:dxf>
              <numFmt numFmtId="3" formatCode="#,##0"/>
              <border>
                <left style="thin">
                  <color auto="1"/>
                </left>
                <right style="thin">
                  <color auto="1"/>
                </right>
                <top style="thin">
                  <color auto="1"/>
                </top>
                <bottom style="thin">
                  <color auto="1"/>
                </bottom>
                <vertical/>
                <horizontal/>
              </border>
            </x14:dxf>
          </x14:cfRule>
          <xm:sqref>AC191 AH191 AM191 AR191 AW191 BB191 BG191 BL191 BQ191 BV191 CA191 CF191 CK191 CP191 CU191 CZ191 DE191 DJ191 DO191 DT191 DY191 ED191 EI191 EN191 ES191 EX191 FC191 FH191 FM191 FR191 FW191 GB191 GG191 GL191 GQ191 GV191 HA191 HF191 HK191 HP191 HU191 HZ191 IE191 IJ191 IO191 IT191</xm:sqref>
        </x14:conditionalFormatting>
        <x14:conditionalFormatting xmlns:xm="http://schemas.microsoft.com/office/excel/2006/main">
          <x14:cfRule type="containsText" priority="12" operator="containsText" id="{DAA212E3-4D10-4F7D-95F9-1ED2A6FF33AB}">
            <xm:f>NOT(ISERROR(SEARCH("",AC187)))</xm:f>
            <xm:f>""</xm:f>
            <x14:dxf>
              <numFmt numFmtId="3" formatCode="#,##0"/>
              <border>
                <left style="thin">
                  <color auto="1"/>
                </left>
                <right style="thin">
                  <color auto="1"/>
                </right>
                <top style="thin">
                  <color auto="1"/>
                </top>
                <bottom style="thin">
                  <color auto="1"/>
                </bottom>
                <vertical/>
                <horizontal/>
              </border>
            </x14:dxf>
          </x14:cfRule>
          <xm:sqref>AC187:IV187</xm:sqref>
        </x14:conditionalFormatting>
        <x14:conditionalFormatting xmlns:xm="http://schemas.microsoft.com/office/excel/2006/main">
          <x14:cfRule type="containsText" priority="11" operator="containsText" id="{82F1EFFB-437B-4AF1-BB65-29F5FBC210CD}">
            <xm:f>NOT(ISERROR(SEARCH("",C168)))</xm:f>
            <xm:f>""</xm:f>
            <x14:dxf>
              <numFmt numFmtId="3" formatCode="#,##0"/>
              <border>
                <right style="thin">
                  <color auto="1"/>
                </right>
                <top style="thin">
                  <color auto="1"/>
                </top>
                <bottom style="thin">
                  <color auto="1"/>
                </bottom>
                <vertical/>
                <horizontal/>
              </border>
            </x14:dxf>
          </x14:cfRule>
          <xm:sqref>C168:IV186</xm:sqref>
        </x14:conditionalFormatting>
        <x14:conditionalFormatting xmlns:xm="http://schemas.microsoft.com/office/excel/2006/main">
          <x14:cfRule type="containsText" priority="10" operator="containsText" id="{31159F78-42C4-4CEA-BA06-6CD54F0F299C}">
            <xm:f>NOT(ISERROR(SEARCH("",AD167)))</xm:f>
            <xm:f>""</xm:f>
            <x14:dxf>
              <numFmt numFmtId="3" formatCode="#,##0"/>
              <border>
                <left style="thin">
                  <color auto="1"/>
                </left>
                <right style="thin">
                  <color auto="1"/>
                </right>
                <top style="thin">
                  <color auto="1"/>
                </top>
                <bottom style="thin">
                  <color auto="1"/>
                </bottom>
                <vertical/>
                <horizontal/>
              </border>
            </x14:dxf>
          </x14:cfRule>
          <xm:sqref>AD167:AG167 AI167:AL167 AN167:AQ167 AS167:AV167 AX167:BA167 BC167:BF167 BH167:BK167 BM167:BP167 BR167:BU167 BW167:BZ167 CB167:CE167 CG167:CJ167 CL167:CO167 CQ167:CT167 CV167:CY167 DA167:DD167 DF167:DI167 DK167:DN167 DP167:DS167 DU167:DX167 DZ167:EC167 EE167:EH167 EJ167:EM167 EO167:ER167 ET167:EW167 EY167:FB167 FD167:FG167 FI167:FL167 FN167:FQ167 FS167:FV167 FX167:GA167 GC167:GF167 GH167:GK167 GM167:GP167 GR167:GU167 GW167:GZ167 HB167:HE167 HG167:HJ167 HL167:HO167 HQ167:HT167 HV167:HY167 IA167:ID167 IF167:II167 IK167:IN167 IP167:IS167 IU167:IV167</xm:sqref>
        </x14:conditionalFormatting>
        <x14:conditionalFormatting xmlns:xm="http://schemas.microsoft.com/office/excel/2006/main">
          <x14:cfRule type="containsText" priority="9" operator="containsText" id="{79A8B21C-5F66-4CFD-82F7-EDFFB48565F5}">
            <xm:f>NOT(ISERROR(SEARCH("",AC167)))</xm:f>
            <xm:f>""</xm:f>
            <x14:dxf>
              <numFmt numFmtId="3" formatCode="#,##0"/>
              <border>
                <left style="thin">
                  <color auto="1"/>
                </left>
                <right style="thin">
                  <color auto="1"/>
                </right>
                <top style="thin">
                  <color auto="1"/>
                </top>
                <bottom style="thin">
                  <color auto="1"/>
                </bottom>
                <vertical/>
                <horizontal/>
              </border>
            </x14:dxf>
          </x14:cfRule>
          <xm:sqref>AC167 AH167 AM167 AR167 AW167 BB167 BG167 BL167 BQ167 BV167 CA167 CF167 CK167 CP167 CU167 CZ167 DE167 DJ167 DO167 DT167 DY167 ED167 EI167 EN167 ES167 EX167 FC167 FH167 FM167 FR167 FW167 GB167 GG167 GL167 GQ167 GV167 HA167 HF167 HK167 HP167 HU167 HZ167 IE167 IJ167 IO167 IT167</xm:sqref>
        </x14:conditionalFormatting>
        <x14:conditionalFormatting xmlns:xm="http://schemas.microsoft.com/office/excel/2006/main">
          <x14:cfRule type="containsText" priority="6" operator="containsText" id="{08104B94-A0C8-4390-99EE-0822D6C88C69}">
            <xm:f>NOT(ISERROR(SEARCH("",AD143)))</xm:f>
            <xm:f>""</xm:f>
            <x14:dxf>
              <numFmt numFmtId="3" formatCode="#,##0"/>
              <border>
                <left style="thin">
                  <color auto="1"/>
                </left>
                <right style="thin">
                  <color auto="1"/>
                </right>
                <top style="thin">
                  <color auto="1"/>
                </top>
                <bottom style="thin">
                  <color auto="1"/>
                </bottom>
                <vertical/>
                <horizontal/>
              </border>
            </x14:dxf>
          </x14:cfRule>
          <xm:sqref>AD143:AG143 AI143:AL143 AN143:AQ143 AS143:AV143 AX143:BA143 BC143:BF143 BH143:BK143 BM143:BP143 BR143:BU143 BW143:BZ143 CB143:CE143 CG143:CJ143 CL143:CO143 CQ143:CT143 CV143:CY143 DA143:DD143 DF143:DI143 DK143:DN143 DP143:DS143 DU143:DX143 DZ143:EC143 EE143:EH143 EJ143:EM143 EO143:ER143 ET143:EW143 EY143:FB143 FD143:FG143 FI143:FL143 FN143:FQ143 FS143:FV143 FX143:GA143 GC143:GF143 GH143:GK143 GM143:GP143 GR143:GU143 GW143:GZ143 HB143:HE143 HG143:HJ143 HL143:HO143 HQ143:HT143 HV143:HY143 IA143:ID143 IF143:II143 IK143:IN143 IP143:IS143 IU143:IV143</xm:sqref>
        </x14:conditionalFormatting>
        <x14:conditionalFormatting xmlns:xm="http://schemas.microsoft.com/office/excel/2006/main">
          <x14:cfRule type="containsText" priority="5" operator="containsText" id="{7DE81ACD-A900-4762-B88F-B9991B177B5B}">
            <xm:f>NOT(ISERROR(SEARCH("",AC143)))</xm:f>
            <xm:f>""</xm:f>
            <x14:dxf>
              <numFmt numFmtId="3" formatCode="#,##0"/>
              <border>
                <left style="thin">
                  <color auto="1"/>
                </left>
                <right style="thin">
                  <color auto="1"/>
                </right>
                <top style="thin">
                  <color auto="1"/>
                </top>
                <bottom style="thin">
                  <color auto="1"/>
                </bottom>
                <vertical/>
                <horizontal/>
              </border>
            </x14:dxf>
          </x14:cfRule>
          <xm:sqref>AC143 AH143 AM143 AR143 AW143 BB143 BG143 BL143 BQ143 BV143 CA143 CF143 CK143 CP143 CU143 CZ143 DE143 DJ143 DO143 DT143 DY143 ED143 EI143 EN143 ES143 EX143 FC143 FH143 FM143 FR143 FW143 GB143 GG143 GL143 GQ143 GV143 HA143 HF143 HK143 HP143 HU143 HZ143 IE143 IJ143 IO143 IT143</xm:sqref>
        </x14:conditionalFormatting>
        <x14:conditionalFormatting xmlns:xm="http://schemas.microsoft.com/office/excel/2006/main">
          <x14:cfRule type="containsText" priority="4" operator="containsText" id="{CF685C15-643F-478B-9CD6-C148CC78CC14}">
            <xm:f>NOT(ISERROR(SEARCH("",AC139)))</xm:f>
            <xm:f>""</xm:f>
            <x14:dxf>
              <numFmt numFmtId="3" formatCode="#,##0"/>
              <border>
                <left style="thin">
                  <color auto="1"/>
                </left>
                <right style="thin">
                  <color auto="1"/>
                </right>
                <top style="thin">
                  <color auto="1"/>
                </top>
                <bottom style="thin">
                  <color auto="1"/>
                </bottom>
                <vertical/>
                <horizontal/>
              </border>
            </x14:dxf>
          </x14:cfRule>
          <xm:sqref>AC139:IV139</xm:sqref>
        </x14:conditionalFormatting>
        <x14:conditionalFormatting xmlns:xm="http://schemas.microsoft.com/office/excel/2006/main">
          <x14:cfRule type="containsText" priority="3" operator="containsText" id="{623420D6-0E14-4750-BE1E-5AC1A646A05D}">
            <xm:f>NOT(ISERROR(SEARCH("",C120)))</xm:f>
            <xm:f>""</xm:f>
            <x14:dxf>
              <numFmt numFmtId="3" formatCode="#,##0"/>
              <border>
                <right style="thin">
                  <color auto="1"/>
                </right>
                <top style="thin">
                  <color auto="1"/>
                </top>
                <bottom style="thin">
                  <color auto="1"/>
                </bottom>
                <vertical/>
                <horizontal/>
              </border>
            </x14:dxf>
          </x14:cfRule>
          <xm:sqref>C120:IV138</xm:sqref>
        </x14:conditionalFormatting>
        <x14:conditionalFormatting xmlns:xm="http://schemas.microsoft.com/office/excel/2006/main">
          <x14:cfRule type="containsText" priority="1" operator="containsText" id="{7A8016C2-3F6D-42C9-A1E5-F683970FC115}">
            <xm:f>NOT(ISERROR(SEARCH("",AC119)))</xm:f>
            <xm:f>""</xm:f>
            <x14:dxf>
              <numFmt numFmtId="3" formatCode="#,##0"/>
              <border>
                <left style="thin">
                  <color auto="1"/>
                </left>
                <right style="thin">
                  <color auto="1"/>
                </right>
                <top style="thin">
                  <color auto="1"/>
                </top>
                <bottom style="thin">
                  <color auto="1"/>
                </bottom>
                <vertical/>
                <horizontal/>
              </border>
            </x14:dxf>
          </x14:cfRule>
          <xm:sqref>AC119 AH119 AM119 AR119 AW119 BB119 BG119 BL119 BQ119 BV119 CA119 CF119 CK119 CP119 CU119 CZ119 DE119 DJ119 DO119 DT119 DY119 ED119 EI119 EN119 ES119 EX119 FC119 FH119 FM119 FR119 FW119 GB119 GG119 GL119 GQ119 GV119 HA119 HF119 HK119 HP119 HU119 HZ119 IE119 IJ119 IO119 IT119</xm:sqref>
        </x14:conditionalFormatting>
      </x14:conditionalFormatting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mc:Ignorable="x14ac xr">
  <sheetPr codeName="Hoja16">
    <tabColor indexed="43"/>
  </sheetPr>
  <dimension ref="A1:IV160"/>
  <sheetViews>
    <sheetView showGridLines="0" view="pageBreakPreview" zoomScaleNormal="100" workbookViewId="0">
      <pane ySplit="9" topLeftCell="A10" activePane="bottomLeft" state="frozen"/>
      <selection pane="bottomLeft" activeCell="A7" sqref="A7"/>
    </sheetView>
  </sheetViews>
  <sheetFormatPr baseColWidth="10" defaultRowHeight="12.75"/>
  <cols>
    <col min="1" max="1" width="8.42578125" customWidth="1" style="51"/>
    <col min="2" max="2" width="15.28515625" customWidth="1" style="51"/>
    <col min="3" max="3" width="12.7109375" customWidth="1" style="51"/>
    <col min="4" max="11" width="11.7109375" customWidth="1" style="51"/>
    <col min="12" max="12" width="10.85546875" customWidth="1" style="51"/>
    <col min="13" max="13" width="11.5703125" customWidth="1" style="51"/>
    <col min="14" max="16384" width="11.42578125" customWidth="1" style="51"/>
  </cols>
  <sheetData>
    <row r="1">
      <c r="A1" s="46"/>
      <c r="B1" s="47"/>
      <c r="C1" s="47"/>
      <c r="D1" s="47"/>
      <c r="E1" s="47"/>
      <c r="F1" s="47"/>
      <c r="G1" s="47"/>
      <c r="H1" s="47"/>
      <c r="I1" s="47"/>
      <c r="J1" s="47"/>
      <c r="K1" s="47"/>
      <c r="L1" s="47"/>
      <c r="M1" s="47"/>
      <c r="N1" s="49"/>
    </row>
    <row r="2">
      <c r="A2" s="52"/>
      <c r="B2" s="49"/>
      <c r="C2" s="49"/>
      <c r="D2" s="49"/>
      <c r="E2" s="49"/>
      <c r="F2" s="49"/>
      <c r="G2" s="49"/>
      <c r="H2" s="49"/>
      <c r="I2" s="49"/>
      <c r="J2" s="49"/>
      <c r="K2" s="49"/>
      <c r="L2" s="49"/>
      <c r="M2" s="49"/>
      <c r="N2" s="49"/>
    </row>
    <row r="3">
      <c r="A3" s="52"/>
      <c r="B3" s="49"/>
      <c r="C3" s="49"/>
      <c r="D3" s="49"/>
      <c r="E3" s="49"/>
      <c r="F3" s="49"/>
      <c r="G3" s="49"/>
      <c r="H3" s="49"/>
      <c r="I3" s="49"/>
      <c r="J3" s="49"/>
      <c r="K3" s="49"/>
      <c r="L3" s="49"/>
      <c r="M3" s="49"/>
      <c r="N3" s="49"/>
    </row>
    <row r="4">
      <c r="A4" s="52"/>
      <c r="B4" s="49"/>
      <c r="C4" s="49"/>
      <c r="D4" s="49"/>
      <c r="E4" s="49"/>
      <c r="F4" s="49"/>
      <c r="G4" s="49"/>
      <c r="H4" s="49"/>
      <c r="I4" s="49"/>
      <c r="J4" s="49"/>
      <c r="K4" s="49"/>
      <c r="L4" s="49"/>
      <c r="M4" s="49"/>
      <c r="N4" s="49"/>
    </row>
    <row r="5">
      <c r="A5" s="52"/>
      <c r="B5" s="49"/>
      <c r="C5" s="49"/>
      <c r="D5" s="49"/>
      <c r="E5" s="49"/>
      <c r="F5" s="49"/>
      <c r="G5" s="49"/>
      <c r="H5" s="49"/>
      <c r="I5" s="49"/>
      <c r="J5" s="49"/>
      <c r="K5" s="49"/>
      <c r="L5" s="49"/>
      <c r="M5" s="49"/>
      <c r="N5" s="49"/>
    </row>
    <row r="6" ht="13.5">
      <c r="A6" s="54"/>
      <c r="B6" s="55"/>
      <c r="C6" s="55"/>
      <c r="D6" s="55"/>
      <c r="E6" s="55"/>
      <c r="F6" s="55"/>
      <c r="G6" s="55"/>
      <c r="H6" s="55"/>
      <c r="I6" s="55"/>
      <c r="J6" s="55"/>
      <c r="K6" s="55"/>
      <c r="L6" s="55"/>
      <c r="M6" s="55"/>
      <c r="N6" s="55"/>
    </row>
    <row r="7" s="57" customFormat="1">
      <c r="L7" s="58"/>
      <c r="M7" s="58"/>
    </row>
    <row r="8">
      <c r="F8" s="131">
        <v>20</v>
      </c>
      <c r="I8" s="51" t="s">
        <v>100</v>
      </c>
      <c r="J8" s="51" t="e">
        <f>LOOKUP(AUX!$E$10,AUX!$B:$B,AUX!$A:$A)</f>
        <v>#N/A</v>
      </c>
      <c r="L8" s="50"/>
      <c r="M8" s="50"/>
    </row>
    <row r="9">
      <c r="B9" s="597" t="s">
        <v>101</v>
      </c>
      <c r="C9" s="597"/>
      <c r="D9" s="597"/>
      <c r="E9" s="597"/>
      <c r="I9" s="51" t="s">
        <v>1</v>
      </c>
      <c r="J9" s="51" t="str">
        <f>LOOKUP(AUX!$E$11,AUX!$E1:$E5,AUX!$D1:$D5)</f>
        <v>6 meses</v>
      </c>
    </row>
    <row r="12" ht="13.5"/>
    <row r="13" ht="15.75">
      <c r="C13" s="706" t="s">
        <v>98</v>
      </c>
      <c r="D13" s="707"/>
      <c r="E13" s="707"/>
      <c r="F13" s="707"/>
      <c r="G13" s="707"/>
      <c r="H13" s="707"/>
      <c r="I13" s="707"/>
      <c r="J13" s="707"/>
      <c r="K13" s="707"/>
      <c r="L13" s="707"/>
      <c r="M13" s="708"/>
    </row>
    <row r="14" ht="16.5" customHeight="1">
      <c r="C14" s="709" t="s">
        <v>326</v>
      </c>
      <c r="D14" s="710"/>
      <c r="E14" s="710"/>
      <c r="F14" s="710"/>
      <c r="G14" s="710"/>
      <c r="H14" s="710"/>
      <c r="I14" s="710"/>
      <c r="J14" s="710"/>
      <c r="K14" s="710"/>
      <c r="L14" s="710"/>
      <c r="M14" s="711"/>
    </row>
    <row r="15" ht="15">
      <c r="C15" s="141"/>
      <c r="D15" s="142"/>
      <c r="E15" s="142"/>
      <c r="F15" s="314"/>
      <c r="G15" s="142"/>
      <c r="H15" s="142"/>
      <c r="I15" s="142"/>
      <c r="J15" s="142"/>
      <c r="K15" s="142"/>
      <c r="L15" s="142"/>
      <c r="M15" s="143"/>
    </row>
    <row r="16" ht="17.25" customHeight="1">
      <c r="B16" s="209"/>
      <c r="C16" s="315" t="e">
        <f>INDEX(AUX!$G$1:$IV$1,1,AUX!$E$10+(AUX!$E$11*AUX!G$2))</f>
        <v>#VALUE!</v>
      </c>
      <c r="D16" s="316">
        <f>INDEX(AUX!$G$1:$IV$1,1,AUX!$E$10+(AUX!$E$11*AUX!H$2))</f>
        <v>38899</v>
      </c>
      <c r="E16" s="316">
        <f>INDEX(AUX!$G$1:$IV$1,1,AUX!$E$10+(AUX!$E$11*AUX!I$2))</f>
        <v>39083</v>
      </c>
      <c r="F16" s="316">
        <f>INDEX(AUX!$G$1:$IV$1,1,AUX!$E$10+(AUX!$E$11*AUX!J$2))</f>
        <v>39264</v>
      </c>
      <c r="G16" s="316">
        <f>INDEX(AUX!$G$1:$IV$1,1,AUX!$E$10+(AUX!$E$11*AUX!K$2))</f>
        <v>39448</v>
      </c>
      <c r="H16" s="316">
        <f>INDEX(AUX!$G$1:$IV$1,1,AUX!$E$10+(AUX!$E$11*AUX!L$2))</f>
        <v>39630</v>
      </c>
      <c r="I16" s="316">
        <f>INDEX(AUX!$G$1:$IV$1,1,AUX!$E$10+(AUX!$E$11*AUX!M$2))</f>
        <v>39814</v>
      </c>
      <c r="J16" s="316">
        <f>INDEX(AUX!$G$1:$IV$1,1,AUX!$E$10+(AUX!$E$11*AUX!N$2))</f>
        <v>39995</v>
      </c>
      <c r="K16" s="316">
        <f>INDEX(AUX!$G$1:$IV$1,1,AUX!$E$10+(AUX!$E$11*AUX!O$2))</f>
        <v>40179</v>
      </c>
      <c r="L16" s="316">
        <f>INDEX(AUX!$G$1:$IV$1,1,AUX!$E$10+(AUX!$E$11*AUX!P$2))</f>
        <v>40360</v>
      </c>
      <c r="M16" s="317">
        <f>INDEX(AUX!$G$1:$IV$1,1,AUX!$E$10+(AUX!$E$11*AUX!Q$2))</f>
        <v>40544</v>
      </c>
    </row>
    <row r="17" ht="17.25" customHeight="1">
      <c r="B17" s="209"/>
      <c r="C17" s="712" t="s">
        <v>7</v>
      </c>
      <c r="D17" s="713"/>
      <c r="E17" s="713"/>
      <c r="F17" s="713"/>
      <c r="G17" s="713"/>
      <c r="H17" s="713"/>
      <c r="I17" s="713"/>
      <c r="J17" s="713"/>
      <c r="K17" s="713"/>
      <c r="L17" s="713"/>
      <c r="M17" s="714"/>
    </row>
    <row r="18" ht="17.25" customHeight="1">
      <c r="B18" s="318" t="str">
        <f>INDEX(B117:H136,$F$8,1)</f>
        <v>Total</v>
      </c>
      <c r="C18" s="319" t="str">
        <f>IF(INDEX($C$117:$II$136,$F$8,AUX!$E$10+(AUX!$E$11*AUX!G$2))="","--",IF(INDEX($C$117:$II$136,$F$8,AUX!$E$10+(AUX!$E$11*AUX!G$2))=0,"-",INDEX($C$117:$II$136,$F$8,AUX!$E$10+(AUX!$E$11*AUX!G$2))))</f>
        <v>--</v>
      </c>
      <c r="D18" s="320" t="str">
        <f>IF(INDEX($C$117:$II$136,$F$8,AUX!$E$10+(AUX!$E$11*AUX!H$2))="","--",IF(INDEX($C$117:$II$136,$F$8,AUX!$E$10+(AUX!$E$11*AUX!H$2))=0,"-",INDEX($C$117:$II$136,$F$8,AUX!$E$10+(AUX!$E$11*AUX!H$2))))</f>
        <v>--</v>
      </c>
      <c r="E18" s="320" t="str">
        <f>IF(INDEX($C$117:$II$136,$F$8,AUX!$E$10+(AUX!$E$11*AUX!I$2))="","--",IF(INDEX($C$117:$II$136,$F$8,AUX!$E$10+(AUX!$E$11*AUX!I$2))=0,"-",INDEX($C$117:$II$136,$F$8,AUX!$E$10+(AUX!$E$11*AUX!I$2))))</f>
        <v>--</v>
      </c>
      <c r="F18" s="320" t="str">
        <f>IF(INDEX($C$117:$II$136,$F$8,AUX!$E$10+(AUX!$E$11*AUX!J$2))="","--",IF(INDEX($C$117:$II$136,$F$8,AUX!$E$10+(AUX!$E$11*AUX!J$2))=0,"-",INDEX($C$117:$II$136,$F$8,AUX!$E$10+(AUX!$E$11*AUX!J$2))))</f>
        <v>--</v>
      </c>
      <c r="G18" s="320" t="str">
        <f>IF(INDEX($C$117:$II$136,$F$8,AUX!$E$10+(AUX!$E$11*AUX!K$2))="","--",IF(INDEX($C$117:$II$136,$F$8,AUX!$E$10+(AUX!$E$11*AUX!K$2))=0,"-",INDEX($C$117:$II$136,$F$8,AUX!$E$10+(AUX!$E$11*AUX!K$2))))</f>
        <v>--</v>
      </c>
      <c r="H18" s="320" t="str">
        <f>IF(INDEX($C$117:$II$136,$F$8,AUX!$E$10+(AUX!$E$11*AUX!L$2))="","--",IF(INDEX($C$117:$II$136,$F$8,AUX!$E$10+(AUX!$E$11*AUX!L$2))=0,"-",INDEX($C$117:$II$136,$F$8,AUX!$E$10+(AUX!$E$11*AUX!L$2))))</f>
        <v>--</v>
      </c>
      <c r="I18" s="320" t="str">
        <f>IF(INDEX($C$117:$II$136,$F$8,AUX!$E$10+(AUX!$E$11*AUX!M$2))="","--",IF(INDEX($C$117:$II$136,$F$8,AUX!$E$10+(AUX!$E$11*AUX!M$2))=0,"-",INDEX($C$117:$II$136,$F$8,AUX!$E$10+(AUX!$E$11*AUX!M$2))))</f>
        <v>--</v>
      </c>
      <c r="J18" s="320" t="str">
        <f>IF(INDEX($C$117:$II$136,$F$8,AUX!$E$10+(AUX!$E$11*AUX!N$2))="","--",IF(INDEX($C$117:$II$136,$F$8,AUX!$E$10+(AUX!$E$11*AUX!N$2))=0,"-",INDEX($C$117:$II$136,$F$8,AUX!$E$10+(AUX!$E$11*AUX!N$2))))</f>
        <v>--</v>
      </c>
      <c r="K18" s="320" t="str">
        <f>IF(INDEX($C$117:$II$136,$F$8,AUX!$E$10+(AUX!$E$11*AUX!O$2))="","--",IF(INDEX($C$117:$II$136,$F$8,AUX!$E$10+(AUX!$E$11*AUX!O$2))=0,"-",INDEX($C$117:$II$136,$F$8,AUX!$E$10+(AUX!$E$11*AUX!O$2))))</f>
        <v>--</v>
      </c>
      <c r="L18" s="320" t="str">
        <f>IF(INDEX($C$117:$II$136,$F$8,AUX!$E$10+(AUX!$E$11*AUX!P$2))="","--",IF(INDEX($C$117:$II$136,$F$8,AUX!$E$10+(AUX!$E$11*AUX!P$2))=0,"-",INDEX($C$117:$II$136,$F$8,AUX!$E$10+(AUX!$E$11*AUX!P$2))))</f>
        <v>--</v>
      </c>
      <c r="M18" s="321" t="str">
        <f>IF(INDEX($C$117:$II$136,$F$8,AUX!$E$10+(AUX!$E$11*AUX!Q$2))="","--",IF(INDEX($C$117:$II$136,$F$8,AUX!$E$10+(AUX!$E$11*AUX!Q$2))=0,"-",INDEX($C$117:$II$136,$F$8,AUX!$E$10+(AUX!$E$11*AUX!Q$2))))</f>
        <v>--</v>
      </c>
    </row>
    <row r="19" ht="14.25" customHeight="1">
      <c r="K19" s="322"/>
    </row>
    <row r="20" ht="14.25" customHeight="1">
      <c r="K20" s="322"/>
    </row>
    <row r="21" ht="14.25" customHeight="1">
      <c r="K21" s="322"/>
    </row>
    <row r="22" ht="13.5" customHeight="1"/>
    <row r="26">
      <c r="C26" s="57"/>
      <c r="D26" s="57"/>
      <c r="E26" s="57"/>
    </row>
    <row r="114">
      <c r="N114" s="50"/>
      <c r="O114" s="50"/>
    </row>
    <row r="115" hidden="1" ht="13.5">
      <c r="B115" s="50"/>
      <c r="C115" s="686" t="s">
        <v>7</v>
      </c>
      <c r="D115" s="687"/>
      <c r="E115" s="687"/>
      <c r="F115" s="687"/>
      <c r="G115" s="687"/>
      <c r="H115" s="687"/>
      <c r="I115" s="687"/>
      <c r="J115" s="687"/>
      <c r="K115" s="687"/>
      <c r="L115" s="687"/>
      <c r="M115" s="687"/>
      <c r="N115" s="687"/>
      <c r="O115" s="687"/>
      <c r="P115" s="687"/>
      <c r="Q115" s="687"/>
      <c r="R115" s="687"/>
      <c r="S115" s="687"/>
      <c r="T115" s="687"/>
      <c r="U115" s="687"/>
      <c r="V115" s="687"/>
      <c r="W115" s="687"/>
      <c r="X115" s="687"/>
      <c r="Y115" s="687"/>
      <c r="Z115" s="687"/>
      <c r="AA115" s="687"/>
      <c r="AB115" s="688"/>
    </row>
    <row r="116" hidden="1" ht="13.5">
      <c r="C116" s="435" t="str">
        <f> IF(C136&lt;&gt;"",TEXT(AUX!G$1,"dd-MMM-aa"),"")</f>
      </c>
      <c r="D116" s="435" t="str">
        <f> IF(D136&lt;&gt;"",TEXT(AUX!H$1,"dd-MMM-aa"),"")</f>
      </c>
      <c r="E116" s="435" t="str">
        <f> IF(E136&lt;&gt;"",TEXT(AUX!I$1,"dd-MMM-aa"),"")</f>
      </c>
      <c r="F116" s="435" t="str">
        <f> IF(F136&lt;&gt;"",TEXT(AUX!J$1,"dd-MMM-aa"),"")</f>
      </c>
      <c r="G116" s="435" t="str">
        <f> IF(G136&lt;&gt;"",TEXT(AUX!K$1,"dd-MMM-aa"),"")</f>
      </c>
      <c r="H116" s="435" t="str">
        <f> IF(H136&lt;&gt;"",TEXT(AUX!L$1,"dd-MMM-aa"),"")</f>
      </c>
      <c r="I116" s="435" t="str">
        <f> IF(I136&lt;&gt;"",TEXT(AUX!M$1,"dd-MMM-aa"),"")</f>
      </c>
      <c r="J116" s="435" t="str">
        <f> IF(J136&lt;&gt;"",TEXT(AUX!N$1,"dd-MMM-aa"),"")</f>
      </c>
      <c r="K116" s="435" t="str">
        <f> IF(K136&lt;&gt;"",TEXT(AUX!O$1,"dd-MMM-aa"),"")</f>
      </c>
      <c r="L116" s="435" t="str">
        <f> IF(L136&lt;&gt;"",TEXT(AUX!P$1,"dd-MMM-aa"),"")</f>
      </c>
      <c r="M116" s="435" t="str">
        <f> IF(M136&lt;&gt;"",TEXT(AUX!Q$1,"dd-MMM-aa"),"")</f>
      </c>
      <c r="N116" s="435" t="str">
        <f> IF(N136&lt;&gt;"",TEXT(AUX!R$1,"dd-MMM-aa"),"")</f>
      </c>
      <c r="O116" s="435" t="str">
        <f> IF(O136&lt;&gt;"",TEXT(AUX!S$1,"dd-MMM-aa"),"")</f>
      </c>
      <c r="P116" s="435" t="str">
        <f> IF(P136&lt;&gt;"",TEXT(AUX!T$1,"dd-MMM-aa"),"")</f>
      </c>
      <c r="Q116" s="435" t="str">
        <f> IF(Q136&lt;&gt;"",TEXT(AUX!U$1,"dd-MMM-aa"),"")</f>
      </c>
      <c r="R116" s="435" t="str">
        <f> IF(R136&lt;&gt;"",TEXT(AUX!V$1,"dd-MMM-aa"),"")</f>
      </c>
      <c r="S116" s="435" t="str">
        <f> IF(S136&lt;&gt;"",TEXT(AUX!W$1,"dd-MMM-aa"),"")</f>
      </c>
      <c r="T116" s="435" t="str">
        <f> IF(T136&lt;&gt;"",TEXT(AUX!X$1,"dd-MMM-aa"),"")</f>
      </c>
      <c r="U116" s="435" t="str">
        <f> IF(U136&lt;&gt;"",TEXT(AUX!Y$1,"dd-MMM-aa"),"")</f>
      </c>
      <c r="V116" s="435" t="str">
        <f> IF(V136&lt;&gt;"",TEXT(AUX!Z$1,"dd-MMM-aa"),"")</f>
      </c>
      <c r="W116" s="435" t="str">
        <f> IF(W136&lt;&gt;"",TEXT(AUX!AA$1,"dd-MMM-aa"),"")</f>
      </c>
      <c r="X116" s="435" t="str">
        <f> IF(X136&lt;&gt;"",TEXT(AUX!AB$1,"dd-MMM-aa"),"")</f>
      </c>
      <c r="Y116" s="435" t="str">
        <f> IF(Y136&lt;&gt;"",TEXT(AUX!AC$1,"dd-MMM-aa"),"")</f>
      </c>
      <c r="Z116" s="435" t="str">
        <f> IF(Z136&lt;&gt;"",TEXT(AUX!AD$1,"dd-MMM-aa"),"")</f>
      </c>
      <c r="AA116" s="435" t="str">
        <f> IF(AA136&lt;&gt;"",TEXT(AUX!AE$1,"dd-MMM-aa"),"")</f>
      </c>
      <c r="AB116" s="497" t="str">
        <f> IF(AB136&lt;&gt;"",TEXT(AUX!AF$1,"dd-MMM-aa"),"")</f>
      </c>
      <c r="AC116" s="496" t="str">
        <f> IF(AC136&lt;&gt;"",TEXT(AUX!AG$1,"dd-MMM-aa"),"")</f>
      </c>
      <c r="AD116" s="496" t="str">
        <f> IF(AD136&lt;&gt;"",TEXT(AUX!AH$1,"dd-MMM-aa"),"")</f>
      </c>
      <c r="AE116" s="496" t="str">
        <f> IF(AE136&lt;&gt;"",TEXT(AUX!AI$1,"dd-MMM-aa"),"")</f>
      </c>
      <c r="AF116" s="496" t="str">
        <f> IF(AF136&lt;&gt;"",TEXT(AUX!AJ$1,"dd-MMM-aa"),"")</f>
      </c>
      <c r="AG116" s="496" t="str">
        <f> IF(AG136&lt;&gt;"",TEXT(AUX!AK$1,"dd-MMM-aa"),"")</f>
      </c>
      <c r="AH116" s="496" t="str">
        <f> IF(AH136&lt;&gt;"",TEXT(AUX!AL$1,"dd-MMM-aa"),"")</f>
      </c>
      <c r="AI116" s="496" t="str">
        <f> IF(AI136&lt;&gt;"",TEXT(AUX!AM$1,"dd-MMM-aa"),"")</f>
      </c>
      <c r="AJ116" s="496" t="str">
        <f> IF(AJ136&lt;&gt;"",TEXT(AUX!AN$1,"dd-MMM-aa"),"")</f>
      </c>
      <c r="AK116" s="496" t="str">
        <f> IF(AK136&lt;&gt;"",TEXT(AUX!AO$1,"dd-MMM-aa"),"")</f>
      </c>
      <c r="AL116" s="496" t="str">
        <f> IF(AL136&lt;&gt;"",TEXT(AUX!AP$1,"dd-MMM-aa"),"")</f>
      </c>
      <c r="AM116" s="496" t="str">
        <f> IF(AM136&lt;&gt;"",TEXT(AUX!AQ$1,"dd-MMM-aa"),"")</f>
      </c>
      <c r="AN116" s="496" t="str">
        <f> IF(AN136&lt;&gt;"",TEXT(AUX!AR$1,"dd-MMM-aa"),"")</f>
      </c>
      <c r="AO116" s="496" t="str">
        <f> IF(AO136&lt;&gt;"",TEXT(AUX!AS$1,"dd-MMM-aa"),"")</f>
      </c>
      <c r="AP116" s="496" t="str">
        <f> IF(AP136&lt;&gt;"",TEXT(AUX!AT$1,"dd-MMM-aa"),"")</f>
      </c>
      <c r="AQ116" s="496" t="str">
        <f> IF(AQ136&lt;&gt;"",TEXT(AUX!AU$1,"dd-MMM-aa"),"")</f>
      </c>
      <c r="AR116" s="496" t="str">
        <f> IF(AR136&lt;&gt;"",TEXT(AUX!AV$1,"dd-MMM-aa"),"")</f>
      </c>
      <c r="AS116" s="496" t="str">
        <f> IF(AS136&lt;&gt;"",TEXT(AUX!AW$1,"dd-MMM-aa"),"")</f>
      </c>
      <c r="AT116" s="496" t="str">
        <f> IF(AT136&lt;&gt;"",TEXT(AUX!AX$1,"dd-MMM-aa"),"")</f>
      </c>
      <c r="AU116" s="496" t="str">
        <f> IF(AU136&lt;&gt;"",TEXT(AUX!AY$1,"dd-MMM-aa"),"")</f>
      </c>
      <c r="AV116" s="496" t="str">
        <f> IF(AV136&lt;&gt;"",TEXT(AUX!AZ$1,"dd-MMM-aa"),"")</f>
      </c>
      <c r="AW116" s="496" t="str">
        <f> IF(AW136&lt;&gt;"",TEXT(AUX!BA$1,"dd-MMM-aa"),"")</f>
      </c>
      <c r="AX116" s="496" t="str">
        <f> IF(AX136&lt;&gt;"",TEXT(AUX!BB$1,"dd-MMM-aa"),"")</f>
      </c>
      <c r="AY116" s="496" t="str">
        <f> IF(AY136&lt;&gt;"",TEXT(AUX!BC$1,"dd-MMM-aa"),"")</f>
      </c>
      <c r="AZ116" s="496" t="str">
        <f> IF(AZ136&lt;&gt;"",TEXT(AUX!BD$1,"dd-MMM-aa"),"")</f>
      </c>
      <c r="BA116" s="496" t="str">
        <f> IF(BA136&lt;&gt;"",TEXT(AUX!BE$1,"dd-MMM-aa"),"")</f>
      </c>
      <c r="BB116" s="496" t="str">
        <f> IF(BB136&lt;&gt;"",TEXT(AUX!BF$1,"dd-MMM-aa"),"")</f>
      </c>
      <c r="BC116" s="496" t="str">
        <f> IF(BC136&lt;&gt;"",TEXT(AUX!BG$1,"dd-MMM-aa"),"")</f>
      </c>
      <c r="BD116" s="496" t="str">
        <f> IF(BD136&lt;&gt;"",TEXT(AUX!BH$1,"dd-MMM-aa"),"")</f>
      </c>
      <c r="BE116" s="496" t="str">
        <f> IF(BE136&lt;&gt;"",TEXT(AUX!BI$1,"dd-MMM-aa"),"")</f>
      </c>
      <c r="BF116" s="496" t="str">
        <f> IF(BF136&lt;&gt;"",TEXT(AUX!BJ$1,"dd-MMM-aa"),"")</f>
      </c>
      <c r="BG116" s="496" t="str">
        <f> IF(BG136&lt;&gt;"",TEXT(AUX!BK$1,"dd-MMM-aa"),"")</f>
      </c>
      <c r="BH116" s="496" t="str">
        <f> IF(BH136&lt;&gt;"",TEXT(AUX!BL$1,"dd-MMM-aa"),"")</f>
      </c>
      <c r="BI116" s="496" t="str">
        <f> IF(BI136&lt;&gt;"",TEXT(AUX!BM$1,"dd-MMM-aa"),"")</f>
      </c>
      <c r="BJ116" s="496" t="str">
        <f> IF(BJ136&lt;&gt;"",TEXT(AUX!BN$1,"dd-MMM-aa"),"")</f>
      </c>
      <c r="BK116" s="496" t="str">
        <f> IF(BK136&lt;&gt;"",TEXT(AUX!BO$1,"dd-MMM-aa"),"")</f>
      </c>
      <c r="BL116" s="496" t="str">
        <f> IF(BL136&lt;&gt;"",TEXT(AUX!BP$1,"dd-MMM-aa"),"")</f>
      </c>
      <c r="BM116" s="496" t="str">
        <f> IF(BM136&lt;&gt;"",TEXT(AUX!BQ$1,"dd-MMM-aa"),"")</f>
      </c>
      <c r="BN116" s="496" t="str">
        <f> IF(BN136&lt;&gt;"",TEXT(AUX!BR$1,"dd-MMM-aa"),"")</f>
      </c>
      <c r="BO116" s="496" t="str">
        <f> IF(BO136&lt;&gt;"",TEXT(AUX!BS$1,"dd-MMM-aa"),"")</f>
      </c>
      <c r="BP116" s="496" t="str">
        <f> IF(BP136&lt;&gt;"",TEXT(AUX!BT$1,"dd-MMM-aa"),"")</f>
      </c>
      <c r="BQ116" s="496" t="str">
        <f> IF(BQ136&lt;&gt;"",TEXT(AUX!BU$1,"dd-MMM-aa"),"")</f>
      </c>
      <c r="BR116" s="496" t="str">
        <f> IF(BR136&lt;&gt;"",TEXT(AUX!BV$1,"dd-MMM-aa"),"")</f>
      </c>
      <c r="BS116" s="496" t="str">
        <f> IF(BS136&lt;&gt;"",TEXT(AUX!BW$1,"dd-MMM-aa"),"")</f>
      </c>
      <c r="BT116" s="496" t="str">
        <f> IF(BT136&lt;&gt;"",TEXT(AUX!BX$1,"dd-MMM-aa"),"")</f>
      </c>
      <c r="BU116" s="496" t="str">
        <f> IF(BU136&lt;&gt;"",TEXT(AUX!BY$1,"dd-MMM-aa"),"")</f>
      </c>
      <c r="BV116" s="496" t="str">
        <f> IF(BV136&lt;&gt;"",TEXT(AUX!BZ$1,"dd-MMM-aa"),"")</f>
      </c>
      <c r="BW116" s="496" t="str">
        <f> IF(BW136&lt;&gt;"",TEXT(AUX!CA$1,"dd-MMM-aa"),"")</f>
      </c>
      <c r="BX116" s="496" t="str">
        <f> IF(BX136&lt;&gt;"",TEXT(AUX!CB$1,"dd-MMM-aa"),"")</f>
      </c>
      <c r="BY116" s="496" t="str">
        <f> IF(BY136&lt;&gt;"",TEXT(AUX!CC$1,"dd-MMM-aa"),"")</f>
      </c>
      <c r="BZ116" s="496" t="str">
        <f> IF(BZ136&lt;&gt;"",TEXT(AUX!CD$1,"dd-MMM-aa"),"")</f>
      </c>
      <c r="CA116" s="496" t="str">
        <f> IF(CA136&lt;&gt;"",TEXT(AUX!CE$1,"dd-MMM-aa"),"")</f>
      </c>
      <c r="CB116" s="496" t="str">
        <f> IF(CB136&lt;&gt;"",TEXT(AUX!CF$1,"dd-MMM-aa"),"")</f>
      </c>
      <c r="CC116" s="496" t="str">
        <f> IF(CC136&lt;&gt;"",TEXT(AUX!CG$1,"dd-MMM-aa"),"")</f>
      </c>
      <c r="CD116" s="496" t="str">
        <f> IF(CD136&lt;&gt;"",TEXT(AUX!CH$1,"dd-MMM-aa"),"")</f>
      </c>
      <c r="CE116" s="496" t="str">
        <f> IF(CE136&lt;&gt;"",TEXT(AUX!CI$1,"dd-MMM-aa"),"")</f>
      </c>
      <c r="CF116" s="496" t="str">
        <f> IF(CF136&lt;&gt;"",TEXT(AUX!CJ$1,"dd-MMM-aa"),"")</f>
      </c>
      <c r="CG116" s="496" t="str">
        <f> IF(CG136&lt;&gt;"",TEXT(AUX!CK$1,"dd-MMM-aa"),"")</f>
      </c>
      <c r="CH116" s="496" t="str">
        <f> IF(CH136&lt;&gt;"",TEXT(AUX!CL$1,"dd-MMM-aa"),"")</f>
      </c>
      <c r="CI116" s="496" t="str">
        <f> IF(CI136&lt;&gt;"",TEXT(AUX!CM$1,"dd-MMM-aa"),"")</f>
      </c>
      <c r="CJ116" s="496" t="str">
        <f> IF(CJ136&lt;&gt;"",TEXT(AUX!CN$1,"dd-MMM-aa"),"")</f>
      </c>
      <c r="CK116" s="496" t="str">
        <f> IF(CK136&lt;&gt;"",TEXT(AUX!CO$1,"dd-MMM-aa"),"")</f>
      </c>
      <c r="CL116" s="496" t="str">
        <f> IF(CL136&lt;&gt;"",TEXT(AUX!CP$1,"dd-MMM-aa"),"")</f>
      </c>
      <c r="CM116" s="496" t="str">
        <f> IF(CM136&lt;&gt;"",TEXT(AUX!CQ$1,"dd-MMM-aa"),"")</f>
      </c>
      <c r="CN116" s="496" t="str">
        <f> IF(CN136&lt;&gt;"",TEXT(AUX!CR$1,"dd-MMM-aa"),"")</f>
      </c>
      <c r="CO116" s="496" t="str">
        <f> IF(CO136&lt;&gt;"",TEXT(AUX!CS$1,"dd-MMM-aa"),"")</f>
      </c>
      <c r="CP116" s="496" t="str">
        <f> IF(CP136&lt;&gt;"",TEXT(AUX!CT$1,"dd-MMM-aa"),"")</f>
      </c>
      <c r="CQ116" s="496" t="str">
        <f> IF(CQ136&lt;&gt;"",TEXT(AUX!CU$1,"dd-MMM-aa"),"")</f>
      </c>
      <c r="CR116" s="496" t="str">
        <f> IF(CR136&lt;&gt;"",TEXT(AUX!CV$1,"dd-MMM-aa"),"")</f>
      </c>
      <c r="CS116" s="496" t="str">
        <f> IF(CS136&lt;&gt;"",TEXT(AUX!CW$1,"dd-MMM-aa"),"")</f>
      </c>
      <c r="CT116" s="496" t="str">
        <f> IF(CT136&lt;&gt;"",TEXT(AUX!CX$1,"dd-MMM-aa"),"")</f>
      </c>
      <c r="CU116" s="496" t="str">
        <f> IF(CU136&lt;&gt;"",TEXT(AUX!CY$1,"dd-MMM-aa"),"")</f>
      </c>
      <c r="CV116" s="496" t="str">
        <f> IF(CV136&lt;&gt;"",TEXT(AUX!CZ$1,"dd-MMM-aa"),"")</f>
      </c>
      <c r="CW116" s="496" t="str">
        <f> IF(CW136&lt;&gt;"",TEXT(AUX!DA$1,"dd-MMM-aa"),"")</f>
      </c>
      <c r="CX116" s="496" t="str">
        <f> IF(CX136&lt;&gt;"",TEXT(AUX!DB$1,"dd-MMM-aa"),"")</f>
      </c>
      <c r="CY116" s="496" t="str">
        <f> IF(CY136&lt;&gt;"",TEXT(AUX!DC$1,"dd-MMM-aa"),"")</f>
      </c>
      <c r="CZ116" s="496" t="str">
        <f> IF(CZ136&lt;&gt;"",TEXT(AUX!DD$1,"dd-MMM-aa"),"")</f>
      </c>
      <c r="DA116" s="496" t="str">
        <f> IF(DA136&lt;&gt;"",TEXT(AUX!DE$1,"dd-MMM-aa"),"")</f>
      </c>
      <c r="DB116" s="496" t="str">
        <f> IF(DB136&lt;&gt;"",TEXT(AUX!DF$1,"dd-MMM-aa"),"")</f>
      </c>
      <c r="DC116" s="496" t="str">
        <f> IF(DC136&lt;&gt;"",TEXT(AUX!DG$1,"dd-MMM-aa"),"")</f>
      </c>
      <c r="DD116" s="496" t="str">
        <f> IF(DD136&lt;&gt;"",TEXT(AUX!DH$1,"dd-MMM-aa"),"")</f>
      </c>
      <c r="DE116" s="496" t="str">
        <f> IF(DE136&lt;&gt;"",TEXT(AUX!DI$1,"dd-MMM-aa"),"")</f>
      </c>
      <c r="DF116" s="496" t="str">
        <f> IF(DF136&lt;&gt;"",TEXT(AUX!DJ$1,"dd-MMM-aa"),"")</f>
      </c>
      <c r="DG116" s="496" t="str">
        <f> IF(DG136&lt;&gt;"",TEXT(AUX!DK$1,"dd-MMM-aa"),"")</f>
      </c>
      <c r="DH116" s="496" t="str">
        <f> IF(DH136&lt;&gt;"",TEXT(AUX!DL$1,"dd-MMM-aa"),"")</f>
      </c>
      <c r="DI116" s="496" t="str">
        <f> IF(DI136&lt;&gt;"",TEXT(AUX!DM$1,"dd-MMM-aa"),"")</f>
      </c>
      <c r="DJ116" s="496" t="str">
        <f> IF(DJ136&lt;&gt;"",TEXT(AUX!DN$1,"dd-MMM-aa"),"")</f>
      </c>
      <c r="DK116" s="496" t="str">
        <f> IF(DK136&lt;&gt;"",TEXT(AUX!DO$1,"dd-MMM-aa"),"")</f>
      </c>
      <c r="DL116" s="496" t="str">
        <f> IF(DL136&lt;&gt;"",TEXT(AUX!DP$1,"dd-MMM-aa"),"")</f>
      </c>
      <c r="DM116" s="496" t="str">
        <f> IF(DM136&lt;&gt;"",TEXT(AUX!DQ$1,"dd-MMM-aa"),"")</f>
      </c>
      <c r="DN116" s="496" t="str">
        <f> IF(DN136&lt;&gt;"",TEXT(AUX!DR$1,"dd-MMM-aa"),"")</f>
      </c>
      <c r="DO116" s="496" t="str">
        <f> IF(DO136&lt;&gt;"",TEXT(AUX!DS$1,"dd-MMM-aa"),"")</f>
      </c>
      <c r="DP116" s="496" t="str">
        <f> IF(DP136&lt;&gt;"",TEXT(AUX!DT$1,"dd-MMM-aa"),"")</f>
      </c>
      <c r="DQ116" s="496" t="str">
        <f> IF(DQ136&lt;&gt;"",TEXT(AUX!DU$1,"dd-MMM-aa"),"")</f>
      </c>
      <c r="DR116" s="496" t="str">
        <f> IF(DR136&lt;&gt;"",TEXT(AUX!DV$1,"dd-MMM-aa"),"")</f>
      </c>
      <c r="DS116" s="496" t="str">
        <f> IF(DS136&lt;&gt;"",TEXT(AUX!DW$1,"dd-MMM-aa"),"")</f>
      </c>
      <c r="DT116" s="496" t="str">
        <f> IF(DT136&lt;&gt;"",TEXT(AUX!DX$1,"dd-MMM-aa"),"")</f>
      </c>
      <c r="DU116" s="496" t="str">
        <f> IF(DU136&lt;&gt;"",TEXT(AUX!DY$1,"dd-MMM-aa"),"")</f>
      </c>
      <c r="DV116" s="496" t="str">
        <f> IF(DV136&lt;&gt;"",TEXT(AUX!DZ$1,"dd-MMM-aa"),"")</f>
      </c>
      <c r="DW116" s="496" t="str">
        <f> IF(DW136&lt;&gt;"",TEXT(AUX!EA$1,"dd-MMM-aa"),"")</f>
      </c>
      <c r="DX116" s="496" t="str">
        <f> IF(DX136&lt;&gt;"",TEXT(AUX!EB$1,"dd-MMM-aa"),"")</f>
      </c>
      <c r="DY116" s="496" t="str">
        <f> IF(DY136&lt;&gt;"",TEXT(AUX!EC$1,"dd-MMM-aa"),"")</f>
      </c>
      <c r="DZ116" s="496" t="str">
        <f> IF(DZ136&lt;&gt;"",TEXT(AUX!ED$1,"dd-MMM-aa"),"")</f>
      </c>
      <c r="EA116" s="496" t="str">
        <f> IF(EA136&lt;&gt;"",TEXT(AUX!EE$1,"dd-MMM-aa"),"")</f>
      </c>
      <c r="EB116" s="496" t="str">
        <f> IF(EB136&lt;&gt;"",TEXT(AUX!EF$1,"dd-MMM-aa"),"")</f>
      </c>
      <c r="EC116" s="496" t="str">
        <f> IF(EC136&lt;&gt;"",TEXT(AUX!EG$1,"dd-MMM-aa"),"")</f>
      </c>
      <c r="ED116" s="496" t="str">
        <f> IF(ED136&lt;&gt;"",TEXT(AUX!EH$1,"dd-MMM-aa"),"")</f>
      </c>
      <c r="EE116" s="496" t="str">
        <f> IF(EE136&lt;&gt;"",TEXT(AUX!EI$1,"dd-MMM-aa"),"")</f>
      </c>
      <c r="EF116" s="496" t="str">
        <f> IF(EF136&lt;&gt;"",TEXT(AUX!EJ$1,"dd-MMM-aa"),"")</f>
      </c>
      <c r="EG116" s="496" t="str">
        <f> IF(EG136&lt;&gt;"",TEXT(AUX!EK$1,"dd-MMM-aa"),"")</f>
      </c>
      <c r="EH116" s="496" t="str">
        <f> IF(EH136&lt;&gt;"",TEXT(AUX!EL$1,"dd-MMM-aa"),"")</f>
      </c>
      <c r="EI116" s="496" t="str">
        <f> IF(EI136&lt;&gt;"",TEXT(AUX!EM$1,"dd-MMM-aa"),"")</f>
      </c>
      <c r="EJ116" s="496" t="str">
        <f> IF(EJ136&lt;&gt;"",TEXT(AUX!EN$1,"dd-MMM-aa"),"")</f>
      </c>
      <c r="EK116" s="496" t="str">
        <f> IF(EK136&lt;&gt;"",TEXT(AUX!EO$1,"dd-MMM-aa"),"")</f>
      </c>
      <c r="EL116" s="496" t="str">
        <f> IF(EL136&lt;&gt;"",TEXT(AUX!EP$1,"dd-MMM-aa"),"")</f>
      </c>
      <c r="EM116" s="496" t="str">
        <f> IF(EM136&lt;&gt;"",TEXT(AUX!EQ$1,"dd-MMM-aa"),"")</f>
      </c>
      <c r="EN116" s="496" t="str">
        <f> IF(EN136&lt;&gt;"",TEXT(AUX!ER$1,"dd-MMM-aa"),"")</f>
      </c>
      <c r="EO116" s="496" t="str">
        <f> IF(EO136&lt;&gt;"",TEXT(AUX!ES$1,"dd-MMM-aa"),"")</f>
      </c>
      <c r="EP116" s="496" t="str">
        <f> IF(EP136&lt;&gt;"",TEXT(AUX!ET$1,"dd-MMM-aa"),"")</f>
      </c>
      <c r="EQ116" s="496" t="str">
        <f> IF(EQ136&lt;&gt;"",TEXT(AUX!EU$1,"dd-MMM-aa"),"")</f>
      </c>
      <c r="ER116" s="496" t="str">
        <f> IF(ER136&lt;&gt;"",TEXT(AUX!EV$1,"dd-MMM-aa"),"")</f>
      </c>
      <c r="ES116" s="496" t="str">
        <f> IF(ES136&lt;&gt;"",TEXT(AUX!EW$1,"dd-MMM-aa"),"")</f>
      </c>
      <c r="ET116" s="496" t="str">
        <f> IF(ET136&lt;&gt;"",TEXT(AUX!EX$1,"dd-MMM-aa"),"")</f>
      </c>
      <c r="EU116" s="496" t="str">
        <f> IF(EU136&lt;&gt;"",TEXT(AUX!EY$1,"dd-MMM-aa"),"")</f>
      </c>
      <c r="EV116" s="496" t="str">
        <f> IF(EV136&lt;&gt;"",TEXT(AUX!EZ$1,"dd-MMM-aa"),"")</f>
      </c>
      <c r="EW116" s="496" t="str">
        <f> IF(EW136&lt;&gt;"",TEXT(AUX!FA$1,"dd-MMM-aa"),"")</f>
      </c>
      <c r="EX116" s="496" t="str">
        <f> IF(EX136&lt;&gt;"",TEXT(AUX!FB$1,"dd-MMM-aa"),"")</f>
      </c>
      <c r="EY116" s="496" t="str">
        <f> IF(EY136&lt;&gt;"",TEXT(AUX!FC$1,"dd-MMM-aa"),"")</f>
      </c>
      <c r="EZ116" s="496" t="str">
        <f> IF(EZ136&lt;&gt;"",TEXT(AUX!FD$1,"dd-MMM-aa"),"")</f>
      </c>
      <c r="FA116" s="496" t="str">
        <f> IF(FA136&lt;&gt;"",TEXT(AUX!FE$1,"dd-MMM-aa"),"")</f>
      </c>
      <c r="FB116" s="496" t="str">
        <f> IF(FB136&lt;&gt;"",TEXT(AUX!FF$1,"dd-MMM-aa"),"")</f>
      </c>
      <c r="FC116" s="496" t="str">
        <f> IF(FC136&lt;&gt;"",TEXT(AUX!FG$1,"dd-MMM-aa"),"")</f>
      </c>
      <c r="FD116" s="496" t="str">
        <f> IF(FD136&lt;&gt;"",TEXT(AUX!FH$1,"dd-MMM-aa"),"")</f>
      </c>
      <c r="FE116" s="496" t="str">
        <f> IF(FE136&lt;&gt;"",TEXT(AUX!FI$1,"dd-MMM-aa"),"")</f>
      </c>
      <c r="FF116" s="496" t="str">
        <f> IF(FF136&lt;&gt;"",TEXT(AUX!FJ$1,"dd-MMM-aa"),"")</f>
      </c>
      <c r="FG116" s="496" t="str">
        <f> IF(FG136&lt;&gt;"",TEXT(AUX!FK$1,"dd-MMM-aa"),"")</f>
      </c>
      <c r="FH116" s="496" t="str">
        <f> IF(FH136&lt;&gt;"",TEXT(AUX!FL$1,"dd-MMM-aa"),"")</f>
      </c>
      <c r="FI116" s="496" t="str">
        <f> IF(FI136&lt;&gt;"",TEXT(AUX!FM$1,"dd-MMM-aa"),"")</f>
      </c>
      <c r="FJ116" s="496" t="str">
        <f> IF(FJ136&lt;&gt;"",TEXT(AUX!FN$1,"dd-MMM-aa"),"")</f>
      </c>
      <c r="FK116" s="496" t="str">
        <f> IF(FK136&lt;&gt;"",TEXT(AUX!FO$1,"dd-MMM-aa"),"")</f>
      </c>
      <c r="FL116" s="496" t="str">
        <f> IF(FL136&lt;&gt;"",TEXT(AUX!FP$1,"dd-MMM-aa"),"")</f>
      </c>
      <c r="FM116" s="496" t="str">
        <f> IF(FM136&lt;&gt;"",TEXT(AUX!FQ$1,"dd-MMM-aa"),"")</f>
      </c>
      <c r="FN116" s="496" t="str">
        <f> IF(FN136&lt;&gt;"",TEXT(AUX!FR$1,"dd-MMM-aa"),"")</f>
      </c>
      <c r="FO116" s="496" t="str">
        <f> IF(FO136&lt;&gt;"",TEXT(AUX!FS$1,"dd-MMM-aa"),"")</f>
      </c>
      <c r="FP116" s="496" t="str">
        <f> IF(FP136&lt;&gt;"",TEXT(AUX!FT$1,"dd-MMM-aa"),"")</f>
      </c>
      <c r="FQ116" s="496" t="str">
        <f> IF(FQ136&lt;&gt;"",TEXT(AUX!FU$1,"dd-MMM-aa"),"")</f>
      </c>
      <c r="FR116" s="496" t="str">
        <f> IF(FR136&lt;&gt;"",TEXT(AUX!FV$1,"dd-MMM-aa"),"")</f>
      </c>
      <c r="FS116" s="496" t="str">
        <f> IF(FS136&lt;&gt;"",TEXT(AUX!FW$1,"dd-MMM-aa"),"")</f>
      </c>
      <c r="FT116" s="496" t="str">
        <f> IF(FT136&lt;&gt;"",TEXT(AUX!FX$1,"dd-MMM-aa"),"")</f>
      </c>
      <c r="FU116" s="496" t="str">
        <f> IF(FU136&lt;&gt;"",TEXT(AUX!FY$1,"dd-MMM-aa"),"")</f>
      </c>
      <c r="FV116" s="496" t="str">
        <f> IF(FV136&lt;&gt;"",TEXT(AUX!FZ$1,"dd-MMM-aa"),"")</f>
      </c>
      <c r="FW116" s="496" t="str">
        <f> IF(FW136&lt;&gt;"",TEXT(AUX!GA$1,"dd-MMM-aa"),"")</f>
      </c>
      <c r="FX116" s="496" t="str">
        <f> IF(FX136&lt;&gt;"",TEXT(AUX!GB$1,"dd-MMM-aa"),"")</f>
      </c>
      <c r="FY116" s="496" t="str">
        <f> IF(FY136&lt;&gt;"",TEXT(AUX!GC$1,"dd-MMM-aa"),"")</f>
      </c>
      <c r="FZ116" s="496" t="str">
        <f> IF(FZ136&lt;&gt;"",TEXT(AUX!GD$1,"dd-MMM-aa"),"")</f>
      </c>
      <c r="GA116" s="496" t="str">
        <f> IF(GA136&lt;&gt;"",TEXT(AUX!GE$1,"dd-MMM-aa"),"")</f>
      </c>
      <c r="GB116" s="496" t="str">
        <f> IF(GB136&lt;&gt;"",TEXT(AUX!GF$1,"dd-MMM-aa"),"")</f>
      </c>
      <c r="GC116" s="496" t="str">
        <f> IF(GC136&lt;&gt;"",TEXT(AUX!GG$1,"dd-MMM-aa"),"")</f>
      </c>
      <c r="GD116" s="496" t="str">
        <f> IF(GD136&lt;&gt;"",TEXT(AUX!GH$1,"dd-MMM-aa"),"")</f>
      </c>
      <c r="GE116" s="496" t="str">
        <f> IF(GE136&lt;&gt;"",TEXT(AUX!GI$1,"dd-MMM-aa"),"")</f>
      </c>
      <c r="GF116" s="496" t="str">
        <f> IF(GF136&lt;&gt;"",TEXT(AUX!GJ$1,"dd-MMM-aa"),"")</f>
      </c>
      <c r="GG116" s="496" t="str">
        <f> IF(GG136&lt;&gt;"",TEXT(AUX!GK$1,"dd-MMM-aa"),"")</f>
      </c>
      <c r="GH116" s="496" t="str">
        <f> IF(GH136&lt;&gt;"",TEXT(AUX!GL$1,"dd-MMM-aa"),"")</f>
      </c>
      <c r="GI116" s="496" t="str">
        <f> IF(GI136&lt;&gt;"",TEXT(AUX!GM$1,"dd-MMM-aa"),"")</f>
      </c>
      <c r="GJ116" s="496" t="str">
        <f> IF(GJ136&lt;&gt;"",TEXT(AUX!GN$1,"dd-MMM-aa"),"")</f>
      </c>
      <c r="GK116" s="496" t="str">
        <f> IF(GK136&lt;&gt;"",TEXT(AUX!GO$1,"dd-MMM-aa"),"")</f>
      </c>
      <c r="GL116" s="496" t="str">
        <f> IF(GL136&lt;&gt;"",TEXT(AUX!GP$1,"dd-MMM-aa"),"")</f>
      </c>
      <c r="GM116" s="496" t="str">
        <f> IF(GM136&lt;&gt;"",TEXT(AUX!GQ$1,"dd-MMM-aa"),"")</f>
      </c>
      <c r="GN116" s="496" t="str">
        <f> IF(GN136&lt;&gt;"",TEXT(AUX!GR$1,"dd-MMM-aa"),"")</f>
      </c>
      <c r="GO116" s="496" t="str">
        <f> IF(GO136&lt;&gt;"",TEXT(AUX!GS$1,"dd-MMM-aa"),"")</f>
      </c>
      <c r="GP116" s="496" t="str">
        <f> IF(GP136&lt;&gt;"",TEXT(AUX!GT$1,"dd-MMM-aa"),"")</f>
      </c>
      <c r="GQ116" s="496" t="str">
        <f> IF(GQ136&lt;&gt;"",TEXT(AUX!GU$1,"dd-MMM-aa"),"")</f>
      </c>
      <c r="GR116" s="496" t="str">
        <f> IF(GR136&lt;&gt;"",TEXT(AUX!GV$1,"dd-MMM-aa"),"")</f>
      </c>
      <c r="GS116" s="496" t="str">
        <f> IF(GS136&lt;&gt;"",TEXT(AUX!GW$1,"dd-MMM-aa"),"")</f>
      </c>
      <c r="GT116" s="496" t="str">
        <f> IF(GT136&lt;&gt;"",TEXT(AUX!GX$1,"dd-MMM-aa"),"")</f>
      </c>
      <c r="GU116" s="496" t="str">
        <f> IF(GU136&lt;&gt;"",TEXT(AUX!GY$1,"dd-MMM-aa"),"")</f>
      </c>
      <c r="GV116" s="496" t="str">
        <f> IF(GV136&lt;&gt;"",TEXT(AUX!GZ$1,"dd-MMM-aa"),"")</f>
      </c>
      <c r="GW116" s="496" t="str">
        <f> IF(GW136&lt;&gt;"",TEXT(AUX!HA$1,"dd-MMM-aa"),"")</f>
      </c>
      <c r="GX116" s="496" t="str">
        <f> IF(GX136&lt;&gt;"",TEXT(AUX!HB$1,"dd-MMM-aa"),"")</f>
      </c>
      <c r="GY116" s="496" t="str">
        <f> IF(GY136&lt;&gt;"",TEXT(AUX!HC$1,"dd-MMM-aa"),"")</f>
      </c>
      <c r="GZ116" s="496" t="str">
        <f> IF(GZ136&lt;&gt;"",TEXT(AUX!HD$1,"dd-MMM-aa"),"")</f>
      </c>
      <c r="HA116" s="496" t="str">
        <f> IF(HA136&lt;&gt;"",TEXT(AUX!HE$1,"dd-MMM-aa"),"")</f>
      </c>
      <c r="HB116" s="496" t="str">
        <f> IF(HB136&lt;&gt;"",TEXT(AUX!HF$1,"dd-MMM-aa"),"")</f>
      </c>
      <c r="HC116" s="496" t="str">
        <f> IF(HC136&lt;&gt;"",TEXT(AUX!HG$1,"dd-MMM-aa"),"")</f>
      </c>
      <c r="HD116" s="496" t="str">
        <f> IF(HD136&lt;&gt;"",TEXT(AUX!HH$1,"dd-MMM-aa"),"")</f>
      </c>
      <c r="HE116" s="496" t="str">
        <f> IF(HE136&lt;&gt;"",TEXT(AUX!HI$1,"dd-MMM-aa"),"")</f>
      </c>
      <c r="HF116" s="496" t="str">
        <f> IF(HF136&lt;&gt;"",TEXT(AUX!HJ$1,"dd-MMM-aa"),"")</f>
      </c>
      <c r="HG116" s="496" t="str">
        <f> IF(HG136&lt;&gt;"",TEXT(AUX!HK$1,"dd-MMM-aa"),"")</f>
      </c>
      <c r="HH116" s="496" t="str">
        <f> IF(HH136&lt;&gt;"",TEXT(AUX!HL$1,"dd-MMM-aa"),"")</f>
      </c>
      <c r="HI116" s="496" t="str">
        <f> IF(HI136&lt;&gt;"",TEXT(AUX!HM$1,"dd-MMM-aa"),"")</f>
      </c>
      <c r="HJ116" s="496" t="str">
        <f> IF(HJ136&lt;&gt;"",TEXT(AUX!HN$1,"dd-MMM-aa"),"")</f>
      </c>
      <c r="HK116" s="496" t="str">
        <f> IF(HK136&lt;&gt;"",TEXT(AUX!HO$1,"dd-MMM-aa"),"")</f>
      </c>
      <c r="HL116" s="496" t="str">
        <f> IF(HL136&lt;&gt;"",TEXT(AUX!HP$1,"dd-MMM-aa"),"")</f>
      </c>
      <c r="HM116" s="496" t="str">
        <f> IF(HM136&lt;&gt;"",TEXT(AUX!HQ$1,"dd-MMM-aa"),"")</f>
      </c>
      <c r="HN116" s="496" t="str">
        <f> IF(HN136&lt;&gt;"",TEXT(AUX!HR$1,"dd-MMM-aa"),"")</f>
      </c>
      <c r="HO116" s="496" t="str">
        <f> IF(HO136&lt;&gt;"",TEXT(AUX!HS$1,"dd-MMM-aa"),"")</f>
      </c>
      <c r="HP116" s="496" t="str">
        <f> IF(HP136&lt;&gt;"",TEXT(AUX!HT$1,"dd-MMM-aa"),"")</f>
      </c>
      <c r="HQ116" s="496" t="str">
        <f> IF(HQ136&lt;&gt;"",TEXT(AUX!HU$1,"dd-MMM-aa"),"")</f>
      </c>
      <c r="HR116" s="496" t="str">
        <f> IF(HR136&lt;&gt;"",TEXT(AUX!HV$1,"dd-MMM-aa"),"")</f>
      </c>
      <c r="HS116" s="496" t="str">
        <f> IF(HS136&lt;&gt;"",TEXT(AUX!HW$1,"dd-MMM-aa"),"")</f>
      </c>
      <c r="HT116" s="496" t="str">
        <f> IF(HT136&lt;&gt;"",TEXT(AUX!HX$1,"dd-MMM-aa"),"")</f>
      </c>
      <c r="HU116" s="496" t="str">
        <f> IF(HU136&lt;&gt;"",TEXT(AUX!HY$1,"dd-MMM-aa"),"")</f>
      </c>
      <c r="HV116" s="496" t="str">
        <f> IF(HV136&lt;&gt;"",TEXT(AUX!HZ$1,"dd-MMM-aa"),"")</f>
      </c>
      <c r="HW116" s="496" t="str">
        <f> IF(HW136&lt;&gt;"",TEXT(AUX!IA$1,"dd-MMM-aa"),"")</f>
      </c>
      <c r="HX116" s="496" t="str">
        <f> IF(HX136&lt;&gt;"",TEXT(AUX!IB$1,"dd-MMM-aa"),"")</f>
      </c>
      <c r="HY116" s="496" t="str">
        <f> IF(HY136&lt;&gt;"",TEXT(AUX!IC$1,"dd-MMM-aa"),"")</f>
      </c>
      <c r="HZ116" s="496" t="str">
        <f> IF(HZ136&lt;&gt;"",TEXT(AUX!ID$1,"dd-MMM-aa"),"")</f>
      </c>
      <c r="IA116" s="496" t="str">
        <f> IF(IA136&lt;&gt;"",TEXT(AUX!IE$1,"dd-MMM-aa"),"")</f>
      </c>
      <c r="IB116" s="496" t="str">
        <f> IF(IB136&lt;&gt;"",TEXT(AUX!IF$1,"dd-MMM-aa"),"")</f>
      </c>
      <c r="IC116" s="496" t="str">
        <f> IF(IC136&lt;&gt;"",TEXT(AUX!IG$1,"dd-MMM-aa"),"")</f>
      </c>
      <c r="ID116" s="496" t="str">
        <f> IF(ID136&lt;&gt;"",TEXT(AUX!IH$1,"dd-MMM-aa"),"")</f>
      </c>
      <c r="IE116" s="496" t="str">
        <f> IF(IE136&lt;&gt;"",TEXT(AUX!II$1,"dd-MMM-aa"),"")</f>
      </c>
      <c r="IF116" s="496" t="str">
        <f> IF(IF136&lt;&gt;"",TEXT(AUX!IJ$1,"dd-MMM-aa"),"")</f>
      </c>
      <c r="IG116" s="496" t="str">
        <f> IF(IG136&lt;&gt;"",TEXT(AUX!IK$1,"dd-MMM-aa"),"")</f>
      </c>
      <c r="IH116" s="496" t="str">
        <f> IF(IH136&lt;&gt;"",TEXT(AUX!IL$1,"dd-MMM-aa"),"")</f>
      </c>
      <c r="II116" s="496" t="str">
        <f> IF(II136&lt;&gt;"",TEXT(AUX!IM$1,"dd-MMM-aa"),"")</f>
      </c>
      <c r="IJ116" s="496" t="str">
        <f> IF(IJ136&lt;&gt;"",TEXT(AUX!IN$1,"dd-MMM-aa"),"")</f>
      </c>
      <c r="IK116" s="496" t="str">
        <f> IF(IK136&lt;&gt;"",TEXT(AUX!IO$1,"dd-MMM-aa"),"")</f>
      </c>
      <c r="IL116" s="496" t="str">
        <f> IF(IL136&lt;&gt;"",TEXT(AUX!IP$1,"dd-MMM-aa"),"")</f>
      </c>
      <c r="IM116" s="496" t="str">
        <f> IF(IM136&lt;&gt;"",TEXT(AUX!IQ$1,"dd-MMM-aa"),"")</f>
      </c>
      <c r="IN116" s="496" t="str">
        <f> IF(IN136&lt;&gt;"",TEXT(AUX!IR$1,"dd-MMM-aa"),"")</f>
      </c>
      <c r="IO116" s="496" t="str">
        <f> IF(IO136&lt;&gt;"",TEXT(AUX!IS$1,"dd-MMM-aa"),"")</f>
      </c>
      <c r="IP116" s="496" t="str">
        <f> IF(IP136&lt;&gt;"",TEXT(AUX!IT$1,"dd-MMM-aa"),"")</f>
      </c>
      <c r="IQ116" s="496" t="str">
        <f> IF(IQ136&lt;&gt;"",TEXT(AUX!IU$1,"dd-MMM-aa"),"")</f>
      </c>
      <c r="IR116" s="496" t="str">
        <f> IF(IR136&lt;&gt;"",TEXT(AUX!IV$1,"dd-MMM-aa"),"")</f>
      </c>
      <c r="IS116" s="496" t="str">
        <f> IF(IS136&lt;&gt;"",TEXT(AUX!#REF!,"dd-MMM-aa"),"")</f>
      </c>
      <c r="IT116" s="496" t="str">
        <f> IF(IT136&lt;&gt;"",TEXT(AUX!#REF!,"dd-MMM-aa"),"")</f>
      </c>
      <c r="IU116" s="496" t="str">
        <f> IF(IU136&lt;&gt;"",TEXT(AUX!#REF!,"dd-MMM-aa"),"")</f>
      </c>
      <c r="IV116" s="496" t="str">
        <f> IF(IV136&lt;&gt;"",TEXT(AUX!#REF!,"dd-MMM-aa"),"")</f>
      </c>
    </row>
    <row r="117" hidden="1">
      <c r="B117" s="833" t="s">
        <v>8</v>
      </c>
      <c r="C117" s="827">
        <v>480450</v>
      </c>
      <c r="D117" s="827">
        <v>491078</v>
      </c>
      <c r="E117" s="827">
        <v>494355</v>
      </c>
      <c r="F117" s="827">
        <v>509923</v>
      </c>
      <c r="G117" s="827">
        <v>526239</v>
      </c>
      <c r="H117" s="827">
        <v>526774</v>
      </c>
      <c r="I117" s="827">
        <v>524293</v>
      </c>
      <c r="J117" s="827">
        <v>529419</v>
      </c>
      <c r="K117" s="827">
        <v>535117</v>
      </c>
      <c r="L117" s="827">
        <v>534261</v>
      </c>
      <c r="M117" s="827">
        <v>546709</v>
      </c>
      <c r="N117" s="827">
        <v>553220</v>
      </c>
      <c r="O117" s="827">
        <v>567083</v>
      </c>
      <c r="P117" s="827">
        <v>570891</v>
      </c>
      <c r="Q117" s="827">
        <v>570066</v>
      </c>
      <c r="R117" s="827">
        <v>576601</v>
      </c>
      <c r="S117" s="827">
        <v>555251</v>
      </c>
      <c r="T117" s="827">
        <v>542422</v>
      </c>
      <c r="U117" s="827">
        <v>609360</v>
      </c>
      <c r="V117" s="827">
        <v>612171</v>
      </c>
      <c r="W117" s="827">
        <v>606387</v>
      </c>
      <c r="X117" s="827">
        <v>608186</v>
      </c>
      <c r="Y117" s="827">
        <v>608727</v>
      </c>
      <c r="Z117" s="827">
        <v>611535</v>
      </c>
      <c r="AA117" s="827">
        <v>613135</v>
      </c>
      <c r="AB117" s="834">
        <v>615645</v>
      </c>
      <c r="AC117" s="828">
        <v>639580</v>
      </c>
      <c r="AD117" s="828">
        <v>644658</v>
      </c>
      <c r="AE117" s="828">
        <v>641884</v>
      </c>
      <c r="AF117" s="828">
        <v>644217</v>
      </c>
      <c r="AG117" s="828">
        <v>642734</v>
      </c>
      <c r="AH117" s="828">
        <v>648256</v>
      </c>
      <c r="AI117" s="828">
        <v>634611</v>
      </c>
      <c r="AJ117" s="828">
        <v>644716</v>
      </c>
      <c r="AK117" s="828">
        <v>616806</v>
      </c>
      <c r="AL117" s="828">
        <v>608190</v>
      </c>
      <c r="AM117" s="828">
        <v>588887</v>
      </c>
      <c r="AN117" s="828">
        <v>585176</v>
      </c>
      <c r="AO117" s="828">
        <v>579114</v>
      </c>
      <c r="AP117" s="828">
        <v>576732</v>
      </c>
    </row>
    <row r="118" hidden="1">
      <c r="B118" s="829" t="s">
        <v>9</v>
      </c>
      <c r="C118" s="823">
        <v>95506</v>
      </c>
      <c r="D118" s="823">
        <v>91136</v>
      </c>
      <c r="E118" s="823">
        <v>91339</v>
      </c>
      <c r="F118" s="823">
        <v>91765</v>
      </c>
      <c r="G118" s="823">
        <v>92073</v>
      </c>
      <c r="H118" s="823">
        <v>92073</v>
      </c>
      <c r="I118" s="823">
        <v>99769</v>
      </c>
      <c r="J118" s="823">
        <v>101028</v>
      </c>
      <c r="K118" s="823">
        <v>109315</v>
      </c>
      <c r="L118" s="823">
        <v>107231</v>
      </c>
      <c r="M118" s="823">
        <v>115293</v>
      </c>
      <c r="N118" s="823">
        <v>112661</v>
      </c>
      <c r="O118" s="823">
        <v>112661</v>
      </c>
      <c r="P118" s="823">
        <v>105067</v>
      </c>
      <c r="Q118" s="823">
        <v>102747</v>
      </c>
      <c r="R118" s="823">
        <v>104052</v>
      </c>
      <c r="S118" s="823">
        <v>109324</v>
      </c>
      <c r="T118" s="823">
        <v>110022</v>
      </c>
      <c r="U118" s="823">
        <v>117650</v>
      </c>
      <c r="V118" s="823">
        <v>117939</v>
      </c>
      <c r="W118" s="823">
        <v>118238</v>
      </c>
      <c r="X118" s="823">
        <v>118492</v>
      </c>
      <c r="Y118" s="823">
        <v>120057</v>
      </c>
      <c r="Z118" s="823">
        <v>120883</v>
      </c>
      <c r="AA118" s="823">
        <v>120638</v>
      </c>
      <c r="AB118" s="823">
        <v>123107</v>
      </c>
      <c r="AC118" s="825">
        <v>130486</v>
      </c>
      <c r="AD118" s="825">
        <v>126674</v>
      </c>
      <c r="AE118" s="825">
        <v>123333</v>
      </c>
      <c r="AF118" s="825">
        <v>124440</v>
      </c>
      <c r="AG118" s="825">
        <v>123537</v>
      </c>
      <c r="AH118" s="825">
        <v>123724</v>
      </c>
      <c r="AI118" s="825">
        <v>123104</v>
      </c>
      <c r="AJ118" s="825">
        <v>122964</v>
      </c>
      <c r="AK118" s="825">
        <v>119623</v>
      </c>
      <c r="AL118" s="825">
        <v>119616</v>
      </c>
      <c r="AM118" s="825">
        <v>115674</v>
      </c>
      <c r="AN118" s="825">
        <v>115704</v>
      </c>
      <c r="AO118" s="825">
        <v>114699</v>
      </c>
      <c r="AP118" s="825">
        <v>114996</v>
      </c>
    </row>
    <row r="119" hidden="1">
      <c r="B119" s="826" t="s">
        <v>10</v>
      </c>
      <c r="C119" s="827">
        <v>20131</v>
      </c>
      <c r="D119" s="827">
        <v>20127</v>
      </c>
      <c r="E119" s="827">
        <v>24682</v>
      </c>
      <c r="F119" s="827">
        <v>24686</v>
      </c>
      <c r="G119" s="827">
        <v>27156</v>
      </c>
      <c r="H119" s="827">
        <v>27031</v>
      </c>
      <c r="I119" s="827">
        <v>28363</v>
      </c>
      <c r="J119" s="827">
        <v>28447</v>
      </c>
      <c r="K119" s="827">
        <v>28997</v>
      </c>
      <c r="L119" s="827">
        <v>29021</v>
      </c>
      <c r="M119" s="827">
        <v>29805</v>
      </c>
      <c r="N119" s="827">
        <v>29982</v>
      </c>
      <c r="O119" s="827">
        <v>30905</v>
      </c>
      <c r="P119" s="827">
        <v>31345</v>
      </c>
      <c r="Q119" s="827">
        <v>31546</v>
      </c>
      <c r="R119" s="827">
        <v>31397</v>
      </c>
      <c r="S119" s="827">
        <v>34026</v>
      </c>
      <c r="T119" s="827">
        <v>33013</v>
      </c>
      <c r="U119" s="827">
        <v>36960</v>
      </c>
      <c r="V119" s="827">
        <v>37673</v>
      </c>
      <c r="W119" s="827">
        <v>41198</v>
      </c>
      <c r="X119" s="827">
        <v>40522</v>
      </c>
      <c r="Y119" s="827">
        <v>44600</v>
      </c>
      <c r="Z119" s="827">
        <v>43228</v>
      </c>
      <c r="AA119" s="827">
        <v>49168</v>
      </c>
      <c r="AB119" s="827">
        <v>49182</v>
      </c>
      <c r="AC119" s="828">
        <v>51644</v>
      </c>
      <c r="AD119" s="828">
        <v>52042</v>
      </c>
      <c r="AE119" s="828">
        <v>53684</v>
      </c>
      <c r="AF119" s="828">
        <v>53909</v>
      </c>
      <c r="AG119" s="828">
        <v>56675</v>
      </c>
      <c r="AH119" s="828">
        <v>56775</v>
      </c>
      <c r="AI119" s="828">
        <v>58965</v>
      </c>
      <c r="AJ119" s="828">
        <v>59591</v>
      </c>
      <c r="AK119" s="828">
        <v>60433</v>
      </c>
      <c r="AL119" s="828">
        <v>60314</v>
      </c>
      <c r="AM119" s="828">
        <v>60583</v>
      </c>
      <c r="AN119" s="828">
        <v>61027</v>
      </c>
      <c r="AO119" s="828">
        <v>62908</v>
      </c>
      <c r="AP119" s="828">
        <v>62967</v>
      </c>
    </row>
    <row r="120" hidden="1">
      <c r="B120" s="829" t="s">
        <v>11</v>
      </c>
      <c r="C120" s="823">
        <v>11019</v>
      </c>
      <c r="D120" s="823">
        <v>11238</v>
      </c>
      <c r="E120" s="823">
        <v>10933</v>
      </c>
      <c r="F120" s="823">
        <v>10941</v>
      </c>
      <c r="G120" s="823">
        <v>10941</v>
      </c>
      <c r="H120" s="823">
        <v>10511</v>
      </c>
      <c r="I120" s="823">
        <v>9980</v>
      </c>
      <c r="J120" s="823">
        <v>9742</v>
      </c>
      <c r="K120" s="823">
        <v>10278</v>
      </c>
      <c r="L120" s="823">
        <v>10243</v>
      </c>
      <c r="M120" s="823">
        <v>9967</v>
      </c>
      <c r="N120" s="823">
        <v>10010</v>
      </c>
      <c r="O120" s="823">
        <v>9825</v>
      </c>
      <c r="P120" s="823">
        <v>9818</v>
      </c>
      <c r="Q120" s="823">
        <v>9739</v>
      </c>
      <c r="R120" s="823">
        <v>9839</v>
      </c>
      <c r="S120" s="823">
        <v>10558</v>
      </c>
      <c r="T120" s="823">
        <v>10684</v>
      </c>
      <c r="U120" s="823">
        <v>10474</v>
      </c>
      <c r="V120" s="823">
        <v>10589</v>
      </c>
      <c r="W120" s="823">
        <v>10768</v>
      </c>
      <c r="X120" s="823">
        <v>10510</v>
      </c>
      <c r="Y120" s="823">
        <v>10337</v>
      </c>
      <c r="Z120" s="823">
        <v>10435</v>
      </c>
      <c r="AA120" s="823">
        <v>10288</v>
      </c>
      <c r="AB120" s="823">
        <v>10410</v>
      </c>
      <c r="AC120" s="825">
        <v>11236</v>
      </c>
      <c r="AD120" s="825">
        <v>11454</v>
      </c>
      <c r="AE120" s="825">
        <v>12315</v>
      </c>
      <c r="AF120" s="825">
        <v>12683</v>
      </c>
      <c r="AG120" s="825">
        <v>13353</v>
      </c>
      <c r="AH120" s="825">
        <v>14189</v>
      </c>
      <c r="AI120" s="825">
        <v>13619</v>
      </c>
      <c r="AJ120" s="825">
        <v>14080</v>
      </c>
      <c r="AK120" s="825">
        <v>14156</v>
      </c>
      <c r="AL120" s="825">
        <v>14546</v>
      </c>
      <c r="AM120" s="825">
        <v>15552</v>
      </c>
      <c r="AN120" s="825">
        <v>15583</v>
      </c>
      <c r="AO120" s="825">
        <v>16125</v>
      </c>
      <c r="AP120" s="825">
        <v>8559</v>
      </c>
    </row>
    <row r="121" hidden="1">
      <c r="B121" s="826" t="s">
        <v>12</v>
      </c>
      <c r="C121" s="827">
        <v>26366</v>
      </c>
      <c r="D121" s="827">
        <v>27079</v>
      </c>
      <c r="E121" s="827">
        <v>28998</v>
      </c>
      <c r="F121" s="827">
        <v>29472</v>
      </c>
      <c r="G121" s="827">
        <v>28886</v>
      </c>
      <c r="H121" s="827">
        <v>29389</v>
      </c>
      <c r="I121" s="827">
        <v>29972</v>
      </c>
      <c r="J121" s="827">
        <v>25773</v>
      </c>
      <c r="K121" s="827">
        <v>28157</v>
      </c>
      <c r="L121" s="827">
        <v>28617</v>
      </c>
      <c r="M121" s="827">
        <v>30201</v>
      </c>
      <c r="N121" s="827">
        <v>32428</v>
      </c>
      <c r="O121" s="827">
        <v>33281</v>
      </c>
      <c r="P121" s="827">
        <v>33660</v>
      </c>
      <c r="Q121" s="827">
        <v>31415</v>
      </c>
      <c r="R121" s="827">
        <v>32613</v>
      </c>
      <c r="S121" s="827">
        <v>32566</v>
      </c>
      <c r="T121" s="827">
        <v>34805</v>
      </c>
      <c r="U121" s="827">
        <v>36818</v>
      </c>
      <c r="V121" s="827">
        <v>38021</v>
      </c>
      <c r="W121" s="827">
        <v>38487</v>
      </c>
      <c r="X121" s="827">
        <v>39108</v>
      </c>
      <c r="Y121" s="827">
        <v>38909</v>
      </c>
      <c r="Z121" s="827">
        <v>38705</v>
      </c>
      <c r="AA121" s="827">
        <v>34681</v>
      </c>
      <c r="AB121" s="827">
        <v>34711</v>
      </c>
      <c r="AC121" s="828">
        <v>35037</v>
      </c>
      <c r="AD121" s="828">
        <v>36424</v>
      </c>
      <c r="AE121" s="828">
        <v>33336</v>
      </c>
      <c r="AF121" s="828">
        <v>33820</v>
      </c>
      <c r="AG121" s="828">
        <v>33709</v>
      </c>
      <c r="AH121" s="828">
        <v>34196</v>
      </c>
      <c r="AI121" s="828">
        <v>35069</v>
      </c>
      <c r="AJ121" s="828">
        <v>35508</v>
      </c>
      <c r="AK121" s="828">
        <v>35134</v>
      </c>
      <c r="AL121" s="828">
        <v>35600</v>
      </c>
      <c r="AM121" s="828">
        <v>34041</v>
      </c>
      <c r="AN121" s="828">
        <v>34573</v>
      </c>
      <c r="AO121" s="828">
        <v>32050</v>
      </c>
      <c r="AP121" s="828">
        <v>32352</v>
      </c>
    </row>
    <row r="122" hidden="1">
      <c r="B122" s="829" t="s">
        <v>13</v>
      </c>
      <c r="C122" s="823">
        <v>12315</v>
      </c>
      <c r="D122" s="823">
        <v>12557</v>
      </c>
      <c r="E122" s="823">
        <v>17298</v>
      </c>
      <c r="F122" s="823">
        <v>18318</v>
      </c>
      <c r="G122" s="823">
        <v>15088</v>
      </c>
      <c r="H122" s="823">
        <v>12640</v>
      </c>
      <c r="I122" s="823">
        <v>12669</v>
      </c>
      <c r="J122" s="823">
        <v>10850</v>
      </c>
      <c r="K122" s="823">
        <v>12183</v>
      </c>
      <c r="L122" s="823">
        <v>11481</v>
      </c>
      <c r="M122" s="823">
        <v>11514</v>
      </c>
      <c r="N122" s="823">
        <v>9823</v>
      </c>
      <c r="O122" s="823">
        <v>9359</v>
      </c>
      <c r="P122" s="823">
        <v>8869</v>
      </c>
      <c r="Q122" s="823">
        <v>9948</v>
      </c>
      <c r="R122" s="823">
        <v>9617</v>
      </c>
      <c r="S122" s="823">
        <v>9500</v>
      </c>
      <c r="T122" s="823">
        <v>9490</v>
      </c>
      <c r="U122" s="823">
        <v>11162</v>
      </c>
      <c r="V122" s="823">
        <v>11076</v>
      </c>
      <c r="W122" s="823">
        <v>12048</v>
      </c>
      <c r="X122" s="823">
        <v>13192</v>
      </c>
      <c r="Y122" s="823">
        <v>13883</v>
      </c>
      <c r="Z122" s="823">
        <v>13777</v>
      </c>
      <c r="AA122" s="823">
        <v>14778</v>
      </c>
      <c r="AB122" s="823">
        <v>14681</v>
      </c>
      <c r="AC122" s="825">
        <v>16223</v>
      </c>
      <c r="AD122" s="825">
        <v>17025</v>
      </c>
      <c r="AE122" s="825">
        <v>17801</v>
      </c>
      <c r="AF122" s="825">
        <v>17499</v>
      </c>
      <c r="AG122" s="825">
        <v>18547</v>
      </c>
      <c r="AH122" s="825">
        <v>18165</v>
      </c>
      <c r="AI122" s="825">
        <v>20314</v>
      </c>
      <c r="AJ122" s="825">
        <v>20146</v>
      </c>
      <c r="AK122" s="825">
        <v>20530</v>
      </c>
      <c r="AL122" s="825">
        <v>20862</v>
      </c>
      <c r="AM122" s="825">
        <v>20900</v>
      </c>
      <c r="AN122" s="825">
        <v>20834</v>
      </c>
      <c r="AO122" s="825">
        <v>21077</v>
      </c>
      <c r="AP122" s="825">
        <v>21182</v>
      </c>
    </row>
    <row r="123" hidden="1" ht="12.75" customHeight="1">
      <c r="B123" s="826" t="s">
        <v>109</v>
      </c>
      <c r="C123" s="827">
        <v>151427</v>
      </c>
      <c r="D123" s="827">
        <v>150949</v>
      </c>
      <c r="E123" s="827">
        <v>154131</v>
      </c>
      <c r="F123" s="827">
        <v>154849</v>
      </c>
      <c r="G123" s="827">
        <v>171017</v>
      </c>
      <c r="H123" s="827">
        <v>170560</v>
      </c>
      <c r="I123" s="827">
        <v>166733</v>
      </c>
      <c r="J123" s="827">
        <v>166736</v>
      </c>
      <c r="K123" s="827">
        <v>168319</v>
      </c>
      <c r="L123" s="827">
        <v>167985</v>
      </c>
      <c r="M123" s="827">
        <v>165753</v>
      </c>
      <c r="N123" s="827">
        <v>166218</v>
      </c>
      <c r="O123" s="827">
        <v>169926</v>
      </c>
      <c r="P123" s="827">
        <v>169594</v>
      </c>
      <c r="Q123" s="827">
        <v>159851</v>
      </c>
      <c r="R123" s="827">
        <v>157051</v>
      </c>
      <c r="S123" s="827">
        <v>163392</v>
      </c>
      <c r="T123" s="827">
        <v>164988</v>
      </c>
      <c r="U123" s="827">
        <v>178999</v>
      </c>
      <c r="V123" s="827">
        <v>182190</v>
      </c>
      <c r="W123" s="827">
        <v>185851</v>
      </c>
      <c r="X123" s="827">
        <v>185087</v>
      </c>
      <c r="Y123" s="827">
        <v>186077</v>
      </c>
      <c r="Z123" s="827">
        <v>186808</v>
      </c>
      <c r="AA123" s="827">
        <v>187222</v>
      </c>
      <c r="AB123" s="827">
        <v>188358</v>
      </c>
      <c r="AC123" s="828">
        <v>203058</v>
      </c>
      <c r="AD123" s="828">
        <v>204922</v>
      </c>
      <c r="AE123" s="828">
        <v>204693</v>
      </c>
      <c r="AF123" s="828">
        <v>204733</v>
      </c>
      <c r="AG123" s="828">
        <v>207181</v>
      </c>
      <c r="AH123" s="828">
        <v>208766</v>
      </c>
      <c r="AI123" s="828">
        <v>212552</v>
      </c>
      <c r="AJ123" s="828">
        <v>213056</v>
      </c>
      <c r="AK123" s="828">
        <v>215084</v>
      </c>
      <c r="AL123" s="828">
        <v>215127</v>
      </c>
      <c r="AM123" s="828">
        <v>211499</v>
      </c>
      <c r="AN123" s="828">
        <v>213067</v>
      </c>
      <c r="AO123" s="828">
        <v>214139</v>
      </c>
      <c r="AP123" s="828">
        <v>214850</v>
      </c>
    </row>
    <row r="124" hidden="1">
      <c r="B124" s="829" t="s">
        <v>110</v>
      </c>
      <c r="C124" s="823">
        <v>367684</v>
      </c>
      <c r="D124" s="823">
        <v>376900</v>
      </c>
      <c r="E124" s="823">
        <v>380724</v>
      </c>
      <c r="F124" s="823">
        <v>388293</v>
      </c>
      <c r="G124" s="823">
        <v>396988</v>
      </c>
      <c r="H124" s="823">
        <v>394967</v>
      </c>
      <c r="I124" s="823">
        <v>401810</v>
      </c>
      <c r="J124" s="823">
        <v>407083</v>
      </c>
      <c r="K124" s="823">
        <v>405497</v>
      </c>
      <c r="L124" s="823">
        <v>408629</v>
      </c>
      <c r="M124" s="823">
        <v>402874</v>
      </c>
      <c r="N124" s="823">
        <v>396189</v>
      </c>
      <c r="O124" s="823">
        <v>376108</v>
      </c>
      <c r="P124" s="823">
        <v>369462</v>
      </c>
      <c r="Q124" s="823">
        <v>371280</v>
      </c>
      <c r="R124" s="823">
        <v>367891</v>
      </c>
      <c r="S124" s="823">
        <v>382871</v>
      </c>
      <c r="T124" s="823">
        <v>387677</v>
      </c>
      <c r="U124" s="823">
        <v>406566</v>
      </c>
      <c r="V124" s="823">
        <v>411938</v>
      </c>
      <c r="W124" s="823">
        <v>437289</v>
      </c>
      <c r="X124" s="823">
        <v>438829</v>
      </c>
      <c r="Y124" s="823">
        <v>446990</v>
      </c>
      <c r="Z124" s="823">
        <v>446277</v>
      </c>
      <c r="AA124" s="823">
        <v>439631</v>
      </c>
      <c r="AB124" s="823">
        <v>444296</v>
      </c>
      <c r="AC124" s="825">
        <v>462711</v>
      </c>
      <c r="AD124" s="825">
        <v>462420</v>
      </c>
      <c r="AE124" s="825">
        <v>453212</v>
      </c>
      <c r="AF124" s="825">
        <v>451151</v>
      </c>
      <c r="AG124" s="825">
        <v>446744</v>
      </c>
      <c r="AH124" s="825">
        <v>451908</v>
      </c>
      <c r="AI124" s="825">
        <v>447487</v>
      </c>
      <c r="AJ124" s="825">
        <v>447250</v>
      </c>
      <c r="AK124" s="825">
        <v>442728</v>
      </c>
      <c r="AL124" s="825">
        <v>438116</v>
      </c>
      <c r="AM124" s="825">
        <v>428641</v>
      </c>
      <c r="AN124" s="825">
        <v>430092</v>
      </c>
      <c r="AO124" s="825">
        <v>430997</v>
      </c>
      <c r="AP124" s="825">
        <v>429397</v>
      </c>
    </row>
    <row r="125" hidden="1">
      <c r="B125" s="826" t="s">
        <v>16</v>
      </c>
      <c r="C125" s="827">
        <v>85163</v>
      </c>
      <c r="D125" s="827">
        <v>11577</v>
      </c>
      <c r="E125" s="827">
        <v>96653</v>
      </c>
      <c r="F125" s="827">
        <v>99181</v>
      </c>
      <c r="G125" s="827">
        <v>102761</v>
      </c>
      <c r="H125" s="827">
        <v>103280</v>
      </c>
      <c r="I125" s="827">
        <v>101392</v>
      </c>
      <c r="J125" s="827">
        <v>102499</v>
      </c>
      <c r="K125" s="827">
        <v>104824</v>
      </c>
      <c r="L125" s="827">
        <v>104802</v>
      </c>
      <c r="M125" s="827">
        <v>104440</v>
      </c>
      <c r="N125" s="827">
        <v>103757</v>
      </c>
      <c r="O125" s="827">
        <v>108872</v>
      </c>
      <c r="P125" s="827">
        <v>46263</v>
      </c>
      <c r="Q125" s="827">
        <v>90767</v>
      </c>
      <c r="R125" s="827">
        <v>91825</v>
      </c>
      <c r="S125" s="827">
        <v>100717</v>
      </c>
      <c r="T125" s="827">
        <v>101329</v>
      </c>
      <c r="U125" s="827">
        <v>112908</v>
      </c>
      <c r="V125" s="827">
        <v>113722</v>
      </c>
      <c r="W125" s="827">
        <v>113722</v>
      </c>
      <c r="X125" s="827">
        <v>113722</v>
      </c>
      <c r="Y125" s="827">
        <v>113722</v>
      </c>
      <c r="Z125" s="827">
        <v>113722</v>
      </c>
      <c r="AA125" s="827">
        <v>122790</v>
      </c>
      <c r="AB125" s="827">
        <v>121504</v>
      </c>
      <c r="AC125" s="828">
        <v>126612</v>
      </c>
      <c r="AD125" s="828">
        <v>127447</v>
      </c>
      <c r="AE125" s="828">
        <v>127059</v>
      </c>
      <c r="AF125" s="828">
        <v>128237</v>
      </c>
      <c r="AG125" s="828">
        <v>129544</v>
      </c>
      <c r="AH125" s="828">
        <v>128668</v>
      </c>
      <c r="AI125" s="828">
        <v>127030</v>
      </c>
      <c r="AJ125" s="828">
        <v>126513</v>
      </c>
      <c r="AK125" s="828">
        <v>123874</v>
      </c>
      <c r="AL125" s="828">
        <v>122227</v>
      </c>
      <c r="AM125" s="828">
        <v>117068</v>
      </c>
      <c r="AN125" s="828">
        <v>118364</v>
      </c>
      <c r="AO125" s="828">
        <v>122973</v>
      </c>
      <c r="AP125" s="828">
        <v>122526</v>
      </c>
    </row>
    <row r="126" hidden="1">
      <c r="B126" s="829" t="s">
        <v>17</v>
      </c>
      <c r="C126" s="823">
        <v>352446</v>
      </c>
      <c r="D126" s="823">
        <v>363295</v>
      </c>
      <c r="E126" s="823">
        <v>364640</v>
      </c>
      <c r="F126" s="823">
        <v>363738</v>
      </c>
      <c r="G126" s="823">
        <v>372023</v>
      </c>
      <c r="H126" s="823">
        <v>376259</v>
      </c>
      <c r="I126" s="823">
        <v>404718</v>
      </c>
      <c r="J126" s="823">
        <v>406711</v>
      </c>
      <c r="K126" s="823">
        <v>430054</v>
      </c>
      <c r="L126" s="823">
        <v>431660</v>
      </c>
      <c r="M126" s="823">
        <v>447554</v>
      </c>
      <c r="N126" s="823">
        <v>455391</v>
      </c>
      <c r="O126" s="823">
        <v>472391</v>
      </c>
      <c r="P126" s="823">
        <v>471921</v>
      </c>
      <c r="Q126" s="823">
        <v>502487</v>
      </c>
      <c r="R126" s="823">
        <v>507695</v>
      </c>
      <c r="S126" s="823">
        <v>520860</v>
      </c>
      <c r="T126" s="823">
        <v>525041</v>
      </c>
      <c r="U126" s="823">
        <v>598609</v>
      </c>
      <c r="V126" s="823">
        <v>605701</v>
      </c>
      <c r="W126" s="823">
        <v>608567</v>
      </c>
      <c r="X126" s="823">
        <v>609957</v>
      </c>
      <c r="Y126" s="823">
        <v>630836</v>
      </c>
      <c r="Z126" s="823">
        <v>634983</v>
      </c>
      <c r="AA126" s="823">
        <v>640020</v>
      </c>
      <c r="AB126" s="823">
        <v>648482</v>
      </c>
      <c r="AC126" s="825">
        <v>680901</v>
      </c>
      <c r="AD126" s="825">
        <v>681574</v>
      </c>
      <c r="AE126" s="825">
        <v>671239</v>
      </c>
      <c r="AF126" s="825">
        <v>676257</v>
      </c>
      <c r="AG126" s="825">
        <v>669413</v>
      </c>
      <c r="AH126" s="825">
        <v>669891</v>
      </c>
      <c r="AI126" s="825">
        <v>669150</v>
      </c>
      <c r="AJ126" s="825">
        <v>671934</v>
      </c>
      <c r="AK126" s="825">
        <v>665988</v>
      </c>
      <c r="AL126" s="825">
        <v>661861</v>
      </c>
      <c r="AM126" s="825">
        <v>655338</v>
      </c>
      <c r="AN126" s="825">
        <v>658047</v>
      </c>
      <c r="AO126" s="825">
        <v>662704</v>
      </c>
      <c r="AP126" s="825">
        <v>661640</v>
      </c>
    </row>
    <row r="127" hidden="1">
      <c r="B127" s="826" t="s">
        <v>18</v>
      </c>
      <c r="C127" s="827">
        <v>8599</v>
      </c>
      <c r="D127" s="827">
        <v>26672</v>
      </c>
      <c r="E127" s="827">
        <v>75321</v>
      </c>
      <c r="F127" s="827">
        <v>76914</v>
      </c>
      <c r="G127" s="827">
        <v>89866</v>
      </c>
      <c r="H127" s="827">
        <v>92674</v>
      </c>
      <c r="I127" s="827">
        <v>91429</v>
      </c>
      <c r="J127" s="827">
        <v>96670</v>
      </c>
      <c r="K127" s="827">
        <v>90116</v>
      </c>
      <c r="L127" s="827">
        <v>83064</v>
      </c>
      <c r="M127" s="827">
        <v>90857</v>
      </c>
      <c r="N127" s="827">
        <v>96138</v>
      </c>
      <c r="O127" s="827">
        <v>96773</v>
      </c>
      <c r="P127" s="827">
        <v>105604</v>
      </c>
      <c r="Q127" s="827">
        <v>108952</v>
      </c>
      <c r="R127" s="827">
        <v>111119</v>
      </c>
      <c r="S127" s="827">
        <v>108724</v>
      </c>
      <c r="T127" s="827">
        <v>113673</v>
      </c>
      <c r="U127" s="827">
        <v>120826</v>
      </c>
      <c r="V127" s="827">
        <v>129710</v>
      </c>
      <c r="W127" s="827">
        <v>145751</v>
      </c>
      <c r="X127" s="827">
        <v>148811</v>
      </c>
      <c r="Y127" s="827">
        <v>160766</v>
      </c>
      <c r="Z127" s="827">
        <v>166024</v>
      </c>
      <c r="AA127" s="827">
        <v>170376</v>
      </c>
      <c r="AB127" s="827">
        <v>172219</v>
      </c>
      <c r="AC127" s="828">
        <v>178159</v>
      </c>
      <c r="AD127" s="828">
        <v>180700</v>
      </c>
      <c r="AE127" s="828">
        <v>199529</v>
      </c>
      <c r="AF127" s="828">
        <v>202647</v>
      </c>
      <c r="AG127" s="828">
        <v>202393</v>
      </c>
      <c r="AH127" s="828">
        <v>205406</v>
      </c>
      <c r="AI127" s="828">
        <v>219096</v>
      </c>
      <c r="AJ127" s="828">
        <v>220961</v>
      </c>
      <c r="AK127" s="828">
        <v>231323</v>
      </c>
      <c r="AL127" s="828">
        <v>232502</v>
      </c>
      <c r="AM127" s="828">
        <v>220621</v>
      </c>
      <c r="AN127" s="828">
        <v>221248</v>
      </c>
      <c r="AO127" s="828">
        <v>221498</v>
      </c>
      <c r="AP127" s="828">
        <v>222374</v>
      </c>
    </row>
    <row r="128" hidden="1">
      <c r="B128" s="829" t="s">
        <v>19</v>
      </c>
      <c r="C128" s="823">
        <v>10829</v>
      </c>
      <c r="D128" s="823">
        <v>11550</v>
      </c>
      <c r="E128" s="823">
        <v>11153</v>
      </c>
      <c r="F128" s="823">
        <v>9980</v>
      </c>
      <c r="G128" s="823">
        <v>10804</v>
      </c>
      <c r="H128" s="823">
        <v>10964</v>
      </c>
      <c r="I128" s="823">
        <v>11193</v>
      </c>
      <c r="J128" s="823">
        <v>11489</v>
      </c>
      <c r="K128" s="823">
        <v>11899</v>
      </c>
      <c r="L128" s="823">
        <v>11768</v>
      </c>
      <c r="M128" s="823">
        <v>8426</v>
      </c>
      <c r="N128" s="823">
        <v>8960</v>
      </c>
      <c r="O128" s="823">
        <v>9959</v>
      </c>
      <c r="P128" s="823">
        <v>9999</v>
      </c>
      <c r="Q128" s="823">
        <v>9331</v>
      </c>
      <c r="R128" s="823">
        <v>9408</v>
      </c>
      <c r="S128" s="823">
        <v>9752</v>
      </c>
      <c r="T128" s="823">
        <v>9965</v>
      </c>
      <c r="U128" s="823">
        <v>10495</v>
      </c>
      <c r="V128" s="823">
        <v>10828</v>
      </c>
      <c r="W128" s="823">
        <v>12320</v>
      </c>
      <c r="X128" s="823">
        <v>12443</v>
      </c>
      <c r="Y128" s="823">
        <v>13002</v>
      </c>
      <c r="Z128" s="823">
        <v>13043</v>
      </c>
      <c r="AA128" s="823">
        <v>13027</v>
      </c>
      <c r="AB128" s="823">
        <v>13227</v>
      </c>
      <c r="AC128" s="825">
        <v>14345</v>
      </c>
      <c r="AD128" s="825">
        <v>14741</v>
      </c>
      <c r="AE128" s="825">
        <v>14424</v>
      </c>
      <c r="AF128" s="825">
        <v>14430</v>
      </c>
      <c r="AG128" s="825">
        <v>16213</v>
      </c>
      <c r="AH128" s="825">
        <v>16234</v>
      </c>
      <c r="AI128" s="825">
        <v>16414</v>
      </c>
      <c r="AJ128" s="825">
        <v>14738</v>
      </c>
      <c r="AK128" s="825">
        <v>15887</v>
      </c>
      <c r="AL128" s="825">
        <v>16313</v>
      </c>
      <c r="AM128" s="825">
        <v>17032</v>
      </c>
      <c r="AN128" s="825">
        <v>17105</v>
      </c>
      <c r="AO128" s="825">
        <v>18658</v>
      </c>
      <c r="AP128" s="825">
        <v>19013</v>
      </c>
    </row>
    <row r="129" hidden="1" ht="12.75" customHeight="1">
      <c r="B129" s="826" t="s">
        <v>20</v>
      </c>
      <c r="C129" s="827">
        <v>79970</v>
      </c>
      <c r="D129" s="827">
        <v>80127</v>
      </c>
      <c r="E129" s="827">
        <v>80444</v>
      </c>
      <c r="F129" s="827">
        <v>90300</v>
      </c>
      <c r="G129" s="827">
        <v>81631</v>
      </c>
      <c r="H129" s="827">
        <v>81999</v>
      </c>
      <c r="I129" s="827">
        <v>80428</v>
      </c>
      <c r="J129" s="827">
        <v>81345</v>
      </c>
      <c r="K129" s="827">
        <v>81901</v>
      </c>
      <c r="L129" s="827">
        <v>89179</v>
      </c>
      <c r="M129" s="827">
        <v>91212</v>
      </c>
      <c r="N129" s="827">
        <v>91071</v>
      </c>
      <c r="O129" s="827">
        <v>90691</v>
      </c>
      <c r="P129" s="827">
        <v>90269</v>
      </c>
      <c r="Q129" s="827">
        <v>91767</v>
      </c>
      <c r="R129" s="827">
        <v>91270</v>
      </c>
      <c r="S129" s="827">
        <v>93716</v>
      </c>
      <c r="T129" s="827">
        <v>94842</v>
      </c>
      <c r="U129" s="827">
        <v>96445</v>
      </c>
      <c r="V129" s="827">
        <v>97032</v>
      </c>
      <c r="W129" s="827">
        <v>99822</v>
      </c>
      <c r="X129" s="827">
        <v>99923</v>
      </c>
      <c r="Y129" s="827">
        <v>111753</v>
      </c>
      <c r="Z129" s="827">
        <v>112938</v>
      </c>
      <c r="AA129" s="827">
        <v>127204</v>
      </c>
      <c r="AB129" s="827">
        <v>128358</v>
      </c>
      <c r="AC129" s="828">
        <v>130945</v>
      </c>
      <c r="AD129" s="828">
        <v>133877</v>
      </c>
      <c r="AE129" s="828">
        <v>136932</v>
      </c>
      <c r="AF129" s="828">
        <v>137998</v>
      </c>
      <c r="AG129" s="828">
        <v>111163</v>
      </c>
      <c r="AH129" s="828">
        <v>112045</v>
      </c>
      <c r="AI129" s="828">
        <v>116427</v>
      </c>
      <c r="AJ129" s="828">
        <v>117430</v>
      </c>
      <c r="AK129" s="828">
        <v>114003</v>
      </c>
      <c r="AL129" s="828">
        <v>114788</v>
      </c>
      <c r="AM129" s="828">
        <v>112687</v>
      </c>
      <c r="AN129" s="828">
        <v>112575</v>
      </c>
      <c r="AO129" s="828">
        <v>109606</v>
      </c>
      <c r="AP129" s="828">
        <v>110465</v>
      </c>
    </row>
    <row r="130" hidden="1">
      <c r="B130" s="829" t="s">
        <v>21</v>
      </c>
      <c r="C130" s="823">
        <v>13068</v>
      </c>
      <c r="D130" s="823">
        <v>12089</v>
      </c>
      <c r="E130" s="823">
        <v>12056</v>
      </c>
      <c r="F130" s="823">
        <v>12239</v>
      </c>
      <c r="G130" s="823">
        <v>12095</v>
      </c>
      <c r="H130" s="823">
        <v>12271</v>
      </c>
      <c r="I130" s="823">
        <v>11924</v>
      </c>
      <c r="J130" s="823">
        <v>12033</v>
      </c>
      <c r="K130" s="823">
        <v>12012</v>
      </c>
      <c r="L130" s="823">
        <v>12095</v>
      </c>
      <c r="M130" s="823">
        <v>12148</v>
      </c>
      <c r="N130" s="823">
        <v>12139</v>
      </c>
      <c r="O130" s="823">
        <v>11864</v>
      </c>
      <c r="P130" s="823">
        <v>11178</v>
      </c>
      <c r="Q130" s="823">
        <v>11671</v>
      </c>
      <c r="R130" s="823">
        <v>11899</v>
      </c>
      <c r="S130" s="823">
        <v>12951</v>
      </c>
      <c r="T130" s="823">
        <v>13323</v>
      </c>
      <c r="U130" s="823">
        <v>14208</v>
      </c>
      <c r="V130" s="823">
        <v>14225</v>
      </c>
      <c r="W130" s="823">
        <v>14482</v>
      </c>
      <c r="X130" s="823">
        <v>14566</v>
      </c>
      <c r="Y130" s="823">
        <v>14968</v>
      </c>
      <c r="Z130" s="823">
        <v>14724</v>
      </c>
      <c r="AA130" s="823">
        <v>15360</v>
      </c>
      <c r="AB130" s="823">
        <v>15498</v>
      </c>
      <c r="AC130" s="825">
        <v>15634</v>
      </c>
      <c r="AD130" s="825">
        <v>16226</v>
      </c>
      <c r="AE130" s="825">
        <v>17023</v>
      </c>
      <c r="AF130" s="825">
        <v>17719</v>
      </c>
      <c r="AG130" s="825">
        <v>17962</v>
      </c>
      <c r="AH130" s="825">
        <v>18391</v>
      </c>
      <c r="AI130" s="825">
        <v>19125</v>
      </c>
      <c r="AJ130" s="825">
        <v>18874</v>
      </c>
      <c r="AK130" s="825">
        <v>20099</v>
      </c>
      <c r="AL130" s="825">
        <v>20377</v>
      </c>
      <c r="AM130" s="825">
        <v>20188</v>
      </c>
      <c r="AN130" s="825">
        <v>20781</v>
      </c>
      <c r="AO130" s="825">
        <v>20869</v>
      </c>
      <c r="AP130" s="825">
        <v>20607</v>
      </c>
    </row>
    <row r="131" hidden="1" ht="12.75" customHeight="1">
      <c r="B131" s="826" t="s">
        <v>22</v>
      </c>
      <c r="C131" s="827">
        <v>9680</v>
      </c>
      <c r="D131" s="827">
        <v>9680</v>
      </c>
      <c r="E131" s="827">
        <v>9680</v>
      </c>
      <c r="F131" s="827">
        <v>9680</v>
      </c>
      <c r="G131" s="827">
        <v>17902</v>
      </c>
      <c r="H131" s="827">
        <v>24645</v>
      </c>
      <c r="I131" s="827">
        <v>25695</v>
      </c>
      <c r="J131" s="827">
        <v>26339</v>
      </c>
      <c r="K131" s="827">
        <v>27674</v>
      </c>
      <c r="L131" s="827">
        <v>25660</v>
      </c>
      <c r="M131" s="827">
        <v>26538</v>
      </c>
      <c r="N131" s="827">
        <v>26509</v>
      </c>
      <c r="O131" s="827">
        <v>26278</v>
      </c>
      <c r="P131" s="827">
        <v>25716</v>
      </c>
      <c r="Q131" s="827">
        <v>26983</v>
      </c>
      <c r="R131" s="827">
        <v>26768</v>
      </c>
      <c r="S131" s="827">
        <v>25971</v>
      </c>
      <c r="T131" s="827">
        <v>26018</v>
      </c>
      <c r="U131" s="827">
        <v>23102</v>
      </c>
      <c r="V131" s="827">
        <v>22510</v>
      </c>
      <c r="W131" s="827">
        <v>24082</v>
      </c>
      <c r="X131" s="827">
        <v>23543</v>
      </c>
      <c r="Y131" s="827">
        <v>24224</v>
      </c>
      <c r="Z131" s="827">
        <v>24271</v>
      </c>
      <c r="AA131" s="827">
        <v>25732</v>
      </c>
      <c r="AB131" s="827">
        <v>25460</v>
      </c>
      <c r="AC131" s="828">
        <v>28436</v>
      </c>
      <c r="AD131" s="828">
        <v>28919</v>
      </c>
      <c r="AE131" s="828">
        <v>30834</v>
      </c>
      <c r="AF131" s="828">
        <v>32358</v>
      </c>
      <c r="AG131" s="828">
        <v>34309</v>
      </c>
      <c r="AH131" s="828">
        <v>34297</v>
      </c>
      <c r="AI131" s="828">
        <v>32797</v>
      </c>
      <c r="AJ131" s="828">
        <v>32081</v>
      </c>
      <c r="AK131" s="828">
        <v>31805</v>
      </c>
      <c r="AL131" s="828">
        <v>30825</v>
      </c>
      <c r="AM131" s="828">
        <v>28518</v>
      </c>
      <c r="AN131" s="828">
        <v>28437</v>
      </c>
      <c r="AO131" s="828">
        <v>28078</v>
      </c>
      <c r="AP131" s="828">
        <v>28369</v>
      </c>
    </row>
    <row r="132" hidden="1">
      <c r="B132" s="829" t="s">
        <v>23</v>
      </c>
      <c r="C132" s="823">
        <v>15787</v>
      </c>
      <c r="D132" s="823">
        <v>16043</v>
      </c>
      <c r="E132" s="823">
        <v>15715</v>
      </c>
      <c r="F132" s="823">
        <v>15945</v>
      </c>
      <c r="G132" s="823">
        <v>17605</v>
      </c>
      <c r="H132" s="823">
        <v>17358</v>
      </c>
      <c r="I132" s="823">
        <v>17765</v>
      </c>
      <c r="J132" s="823">
        <v>17759</v>
      </c>
      <c r="K132" s="823">
        <v>19977</v>
      </c>
      <c r="L132" s="823">
        <v>19165</v>
      </c>
      <c r="M132" s="823">
        <v>18422</v>
      </c>
      <c r="N132" s="823">
        <v>18081</v>
      </c>
      <c r="O132" s="823">
        <v>16144</v>
      </c>
      <c r="P132" s="823">
        <v>16157</v>
      </c>
      <c r="Q132" s="823">
        <v>16478</v>
      </c>
      <c r="R132" s="823">
        <v>16370</v>
      </c>
      <c r="S132" s="823">
        <v>17862</v>
      </c>
      <c r="T132" s="823">
        <v>17862</v>
      </c>
      <c r="U132" s="823">
        <v>18771</v>
      </c>
      <c r="V132" s="823">
        <v>18775</v>
      </c>
      <c r="W132" s="823">
        <v>21419</v>
      </c>
      <c r="X132" s="823">
        <v>22475</v>
      </c>
      <c r="Y132" s="823">
        <v>21570</v>
      </c>
      <c r="Z132" s="823">
        <v>21564</v>
      </c>
      <c r="AA132" s="823">
        <v>20883</v>
      </c>
      <c r="AB132" s="823">
        <v>20871</v>
      </c>
      <c r="AC132" s="825">
        <v>24309</v>
      </c>
      <c r="AD132" s="825">
        <v>24307</v>
      </c>
      <c r="AE132" s="825">
        <v>25320</v>
      </c>
      <c r="AF132" s="825">
        <v>25297</v>
      </c>
      <c r="AG132" s="825">
        <v>27556</v>
      </c>
      <c r="AH132" s="825">
        <v>27197</v>
      </c>
      <c r="AI132" s="825">
        <v>27479</v>
      </c>
      <c r="AJ132" s="825">
        <v>27470</v>
      </c>
      <c r="AK132" s="825">
        <v>27969</v>
      </c>
      <c r="AL132" s="825">
        <v>27947</v>
      </c>
      <c r="AM132" s="825">
        <v>27296</v>
      </c>
      <c r="AN132" s="825">
        <v>27275</v>
      </c>
      <c r="AO132" s="825">
        <v>27446</v>
      </c>
      <c r="AP132" s="825">
        <v>27445</v>
      </c>
    </row>
    <row r="133" hidden="1">
      <c r="B133" s="835" t="s">
        <v>24</v>
      </c>
      <c r="C133" s="827">
        <v>442552</v>
      </c>
      <c r="D133" s="827">
        <v>437952</v>
      </c>
      <c r="E133" s="827">
        <v>426678</v>
      </c>
      <c r="F133" s="827">
        <v>418272</v>
      </c>
      <c r="G133" s="827">
        <v>413961</v>
      </c>
      <c r="H133" s="827">
        <v>416933</v>
      </c>
      <c r="I133" s="827">
        <v>411711</v>
      </c>
      <c r="J133" s="827">
        <v>410019</v>
      </c>
      <c r="K133" s="827">
        <v>400946</v>
      </c>
      <c r="L133" s="827">
        <v>397526</v>
      </c>
      <c r="M133" s="827">
        <v>400190</v>
      </c>
      <c r="N133" s="827">
        <v>402084</v>
      </c>
      <c r="O133" s="827">
        <v>392541</v>
      </c>
      <c r="P133" s="827">
        <v>386160</v>
      </c>
      <c r="Q133" s="827">
        <v>367995</v>
      </c>
      <c r="R133" s="827">
        <v>369880</v>
      </c>
      <c r="S133" s="827">
        <v>370287</v>
      </c>
      <c r="T133" s="827">
        <v>373197</v>
      </c>
      <c r="U133" s="827">
        <v>365910</v>
      </c>
      <c r="V133" s="827">
        <v>368140</v>
      </c>
      <c r="W133" s="827">
        <v>375324</v>
      </c>
      <c r="X133" s="827">
        <v>372728</v>
      </c>
      <c r="Y133" s="827">
        <v>362899</v>
      </c>
      <c r="Z133" s="827">
        <v>364546</v>
      </c>
      <c r="AA133" s="827">
        <v>359411</v>
      </c>
      <c r="AB133" s="827">
        <v>369346</v>
      </c>
      <c r="AC133" s="828">
        <v>374194</v>
      </c>
      <c r="AD133" s="828">
        <v>373087</v>
      </c>
      <c r="AE133" s="828">
        <v>360372</v>
      </c>
      <c r="AF133" s="828">
        <v>364385</v>
      </c>
      <c r="AG133" s="828">
        <v>348499</v>
      </c>
      <c r="AH133" s="828">
        <v>352906</v>
      </c>
      <c r="AI133" s="828">
        <v>339053</v>
      </c>
      <c r="AJ133" s="828">
        <v>339895</v>
      </c>
      <c r="AK133" s="828">
        <v>316312</v>
      </c>
      <c r="AL133" s="828">
        <v>312294</v>
      </c>
      <c r="AM133" s="828">
        <v>296946</v>
      </c>
      <c r="AN133" s="828">
        <v>295764</v>
      </c>
      <c r="AO133" s="828">
        <v>279504</v>
      </c>
      <c r="AP133" s="828">
        <v>280109</v>
      </c>
    </row>
    <row r="134" hidden="1">
      <c r="B134" s="829" t="s">
        <v>25</v>
      </c>
      <c r="C134" s="823">
        <v>0</v>
      </c>
      <c r="D134" s="823">
        <v>0</v>
      </c>
      <c r="E134" s="823">
        <v>0</v>
      </c>
      <c r="F134" s="823">
        <v>0</v>
      </c>
      <c r="G134" s="823">
        <v>0</v>
      </c>
      <c r="H134" s="823">
        <v>0</v>
      </c>
      <c r="I134" s="823">
        <v>0</v>
      </c>
      <c r="J134" s="823">
        <v>0</v>
      </c>
      <c r="K134" s="823">
        <v>0</v>
      </c>
      <c r="L134" s="823">
        <v>0</v>
      </c>
      <c r="M134" s="823">
        <v>0</v>
      </c>
      <c r="N134" s="823">
        <v>0</v>
      </c>
      <c r="O134" s="823">
        <v>0</v>
      </c>
      <c r="P134" s="823">
        <v>0</v>
      </c>
      <c r="Q134" s="823">
        <v>0</v>
      </c>
      <c r="R134" s="823">
        <v>0</v>
      </c>
      <c r="S134" s="823">
        <v>0</v>
      </c>
      <c r="T134" s="823">
        <v>0</v>
      </c>
      <c r="U134" s="823">
        <v>0</v>
      </c>
      <c r="V134" s="823">
        <v>0</v>
      </c>
      <c r="W134" s="823">
        <v>0</v>
      </c>
      <c r="X134" s="823">
        <v>0</v>
      </c>
      <c r="Y134" s="823">
        <v>0</v>
      </c>
      <c r="Z134" s="823">
        <v>0</v>
      </c>
      <c r="AA134" s="823">
        <v>0</v>
      </c>
      <c r="AB134" s="823">
        <v>0</v>
      </c>
      <c r="AC134" s="825">
        <v>0</v>
      </c>
      <c r="AD134" s="825">
        <v>0</v>
      </c>
      <c r="AE134" s="825">
        <v>0</v>
      </c>
      <c r="AF134" s="825">
        <v>0</v>
      </c>
      <c r="AG134" s="825">
        <v>0</v>
      </c>
      <c r="AH134" s="825">
        <v>0</v>
      </c>
      <c r="AI134" s="825">
        <v>0</v>
      </c>
      <c r="AJ134" s="825">
        <v>0</v>
      </c>
      <c r="AK134" s="825">
        <v>0</v>
      </c>
      <c r="AL134" s="825">
        <v>0</v>
      </c>
      <c r="AM134" s="825">
        <v>0</v>
      </c>
      <c r="AN134" s="825">
        <v>0</v>
      </c>
      <c r="AO134" s="825">
        <v>0</v>
      </c>
      <c r="AP134" s="825">
        <v>0</v>
      </c>
    </row>
    <row r="135" hidden="1" ht="13.5">
      <c r="B135" s="836" t="s">
        <v>26</v>
      </c>
      <c r="C135" s="827">
        <v>0</v>
      </c>
      <c r="D135" s="827">
        <v>0</v>
      </c>
      <c r="E135" s="827">
        <v>0</v>
      </c>
      <c r="F135" s="827">
        <v>0</v>
      </c>
      <c r="G135" s="827">
        <v>0</v>
      </c>
      <c r="H135" s="827">
        <v>0</v>
      </c>
      <c r="I135" s="827">
        <v>0</v>
      </c>
      <c r="J135" s="827">
        <v>0</v>
      </c>
      <c r="K135" s="827">
        <v>0</v>
      </c>
      <c r="L135" s="827">
        <v>0</v>
      </c>
      <c r="M135" s="827">
        <v>0</v>
      </c>
      <c r="N135" s="827">
        <v>0</v>
      </c>
      <c r="O135" s="827">
        <v>0</v>
      </c>
      <c r="P135" s="827">
        <v>0</v>
      </c>
      <c r="Q135" s="827">
        <v>0</v>
      </c>
      <c r="R135" s="827">
        <v>0</v>
      </c>
      <c r="S135" s="827">
        <v>0</v>
      </c>
      <c r="T135" s="827">
        <v>0</v>
      </c>
      <c r="U135" s="827">
        <v>0</v>
      </c>
      <c r="V135" s="827">
        <v>0</v>
      </c>
      <c r="W135" s="827">
        <v>0</v>
      </c>
      <c r="X135" s="827">
        <v>0</v>
      </c>
      <c r="Y135" s="827">
        <v>0</v>
      </c>
      <c r="Z135" s="827">
        <v>0</v>
      </c>
      <c r="AA135" s="827">
        <v>0</v>
      </c>
      <c r="AB135" s="837">
        <v>0</v>
      </c>
      <c r="AC135" s="828">
        <v>0</v>
      </c>
      <c r="AD135" s="828">
        <v>0</v>
      </c>
      <c r="AE135" s="828">
        <v>0</v>
      </c>
      <c r="AF135" s="828">
        <v>0</v>
      </c>
      <c r="AG135" s="828">
        <v>0</v>
      </c>
      <c r="AH135" s="828">
        <v>0</v>
      </c>
      <c r="AI135" s="828">
        <v>0</v>
      </c>
      <c r="AJ135" s="828">
        <v>0</v>
      </c>
      <c r="AK135" s="828">
        <v>0</v>
      </c>
      <c r="AL135" s="828">
        <v>0</v>
      </c>
      <c r="AM135" s="828">
        <v>0</v>
      </c>
      <c r="AN135" s="828">
        <v>0</v>
      </c>
      <c r="AO135" s="828">
        <v>0</v>
      </c>
      <c r="AP135" s="828">
        <v>0</v>
      </c>
    </row>
    <row r="136" hidden="1" ht="13.5">
      <c r="B136" s="128" t="s">
        <v>7</v>
      </c>
      <c r="C136" s="129" t="str">
        <f>IF(SUM(C117:C135)&lt;&gt;0,SUM(C117:C135),"")</f>
      </c>
      <c r="D136" s="129" t="str">
        <f ref="D136:AA136" t="shared" si="0">IF(SUM(D117:D135)&lt;&gt;0,SUM(D117:D135),"")</f>
      </c>
      <c r="E136" s="129" t="str">
        <f t="shared" si="0"/>
      </c>
      <c r="F136" s="129" t="str">
        <f t="shared" si="0"/>
      </c>
      <c r="G136" s="129" t="str">
        <f t="shared" si="0"/>
      </c>
      <c r="H136" s="129" t="str">
        <f t="shared" si="0"/>
      </c>
      <c r="I136" s="129" t="str">
        <f t="shared" si="0"/>
      </c>
      <c r="J136" s="129" t="str">
        <f t="shared" si="0"/>
      </c>
      <c r="K136" s="129" t="str">
        <f t="shared" si="0"/>
      </c>
      <c r="L136" s="129" t="str">
        <f t="shared" si="0"/>
      </c>
      <c r="M136" s="129" t="str">
        <f t="shared" si="0"/>
      </c>
      <c r="N136" s="129" t="str">
        <f t="shared" si="0"/>
      </c>
      <c r="O136" s="129" t="str">
        <f t="shared" si="0"/>
      </c>
      <c r="P136" s="129" t="str">
        <f t="shared" si="0"/>
      </c>
      <c r="Q136" s="129" t="str">
        <f t="shared" si="0"/>
      </c>
      <c r="R136" s="129" t="str">
        <f t="shared" si="0"/>
      </c>
      <c r="S136" s="129" t="str">
        <f t="shared" si="0"/>
      </c>
      <c r="T136" s="129" t="str">
        <f t="shared" si="0"/>
      </c>
      <c r="U136" s="129" t="str">
        <f t="shared" si="0"/>
      </c>
      <c r="V136" s="129" t="str">
        <f t="shared" si="0"/>
      </c>
      <c r="W136" s="129" t="str">
        <f t="shared" si="0"/>
      </c>
      <c r="X136" s="129" t="str">
        <f t="shared" si="0"/>
      </c>
      <c r="Y136" s="129" t="str">
        <f t="shared" si="0"/>
      </c>
      <c r="Z136" s="129" t="str">
        <f t="shared" si="0"/>
      </c>
      <c r="AA136" s="129" t="str">
        <f t="shared" si="0"/>
      </c>
      <c r="AB136" s="130" t="str">
        <f>IF(SUM(AB117:AB135)&lt;&gt;0,SUM(AB117:AB135),"")</f>
      </c>
      <c r="AC136" s="91" t="str">
        <f ref="AC136:CN136" t="shared" si="1">IF(SUM(AC117:AC135)&lt;&gt;0,SUM(AC117:AC135),"")</f>
      </c>
      <c r="AD136" s="91" t="str">
        <f t="shared" si="1"/>
      </c>
      <c r="AE136" s="91" t="str">
        <f t="shared" si="1"/>
      </c>
      <c r="AF136" s="91" t="str">
        <f t="shared" si="1"/>
      </c>
      <c r="AG136" s="91" t="str">
        <f t="shared" si="1"/>
      </c>
      <c r="AH136" s="91" t="str">
        <f t="shared" si="1"/>
      </c>
      <c r="AI136" s="91" t="str">
        <f t="shared" si="1"/>
      </c>
      <c r="AJ136" s="91" t="str">
        <f t="shared" si="1"/>
      </c>
      <c r="AK136" s="91" t="str">
        <f t="shared" si="1"/>
      </c>
      <c r="AL136" s="91" t="str">
        <f t="shared" si="1"/>
      </c>
      <c r="AM136" s="91" t="str">
        <f t="shared" si="1"/>
      </c>
      <c r="AN136" s="91" t="str">
        <f t="shared" si="1"/>
      </c>
      <c r="AO136" s="91" t="str">
        <f t="shared" si="1"/>
      </c>
      <c r="AP136" s="91" t="str">
        <f t="shared" si="1"/>
      </c>
      <c r="AQ136" s="91" t="str">
        <f t="shared" si="1"/>
      </c>
      <c r="AR136" s="91" t="str">
        <f t="shared" si="1"/>
      </c>
      <c r="AS136" s="91" t="str">
        <f t="shared" si="1"/>
      </c>
      <c r="AT136" s="91" t="str">
        <f t="shared" si="1"/>
      </c>
      <c r="AU136" s="91" t="str">
        <f t="shared" si="1"/>
      </c>
      <c r="AV136" s="91" t="str">
        <f t="shared" si="1"/>
      </c>
      <c r="AW136" s="91" t="str">
        <f t="shared" si="1"/>
      </c>
      <c r="AX136" s="91" t="str">
        <f t="shared" si="1"/>
      </c>
      <c r="AY136" s="91" t="str">
        <f t="shared" si="1"/>
      </c>
      <c r="AZ136" s="91" t="str">
        <f t="shared" si="1"/>
      </c>
      <c r="BA136" s="91" t="str">
        <f t="shared" si="1"/>
      </c>
      <c r="BB136" s="91" t="str">
        <f t="shared" si="1"/>
      </c>
      <c r="BC136" s="91" t="str">
        <f t="shared" si="1"/>
      </c>
      <c r="BD136" s="91" t="str">
        <f t="shared" si="1"/>
      </c>
      <c r="BE136" s="91" t="str">
        <f t="shared" si="1"/>
      </c>
      <c r="BF136" s="91" t="str">
        <f t="shared" si="1"/>
      </c>
      <c r="BG136" s="91" t="str">
        <f t="shared" si="1"/>
      </c>
      <c r="BH136" s="91" t="str">
        <f t="shared" si="1"/>
      </c>
      <c r="BI136" s="91" t="str">
        <f t="shared" si="1"/>
      </c>
      <c r="BJ136" s="91" t="str">
        <f t="shared" si="1"/>
      </c>
      <c r="BK136" s="91" t="str">
        <f t="shared" si="1"/>
      </c>
      <c r="BL136" s="91" t="str">
        <f t="shared" si="1"/>
      </c>
      <c r="BM136" s="91" t="str">
        <f t="shared" si="1"/>
      </c>
      <c r="BN136" s="91" t="str">
        <f t="shared" si="1"/>
      </c>
      <c r="BO136" s="91" t="str">
        <f t="shared" si="1"/>
      </c>
      <c r="BP136" s="91" t="str">
        <f t="shared" si="1"/>
      </c>
      <c r="BQ136" s="91" t="str">
        <f t="shared" si="1"/>
      </c>
      <c r="BR136" s="91" t="str">
        <f t="shared" si="1"/>
      </c>
      <c r="BS136" s="91" t="str">
        <f t="shared" si="1"/>
      </c>
      <c r="BT136" s="91" t="str">
        <f t="shared" si="1"/>
      </c>
      <c r="BU136" s="91" t="str">
        <f t="shared" si="1"/>
      </c>
      <c r="BV136" s="91" t="str">
        <f t="shared" si="1"/>
      </c>
      <c r="BW136" s="91" t="str">
        <f t="shared" si="1"/>
      </c>
      <c r="BX136" s="91" t="str">
        <f t="shared" si="1"/>
      </c>
      <c r="BY136" s="91" t="str">
        <f t="shared" si="1"/>
      </c>
      <c r="BZ136" s="91" t="str">
        <f t="shared" si="1"/>
      </c>
      <c r="CA136" s="91" t="str">
        <f t="shared" si="1"/>
      </c>
      <c r="CB136" s="91" t="str">
        <f t="shared" si="1"/>
      </c>
      <c r="CC136" s="91" t="str">
        <f t="shared" si="1"/>
      </c>
      <c r="CD136" s="91" t="str">
        <f t="shared" si="1"/>
      </c>
      <c r="CE136" s="91" t="str">
        <f t="shared" si="1"/>
      </c>
      <c r="CF136" s="91" t="str">
        <f t="shared" si="1"/>
      </c>
      <c r="CG136" s="91" t="str">
        <f t="shared" si="1"/>
      </c>
      <c r="CH136" s="91" t="str">
        <f t="shared" si="1"/>
      </c>
      <c r="CI136" s="91" t="str">
        <f t="shared" si="1"/>
      </c>
      <c r="CJ136" s="91" t="str">
        <f t="shared" si="1"/>
      </c>
      <c r="CK136" s="91" t="str">
        <f t="shared" si="1"/>
      </c>
      <c r="CL136" s="91" t="str">
        <f t="shared" si="1"/>
      </c>
      <c r="CM136" s="91" t="str">
        <f t="shared" si="1"/>
      </c>
      <c r="CN136" s="91" t="str">
        <f t="shared" si="1"/>
      </c>
      <c r="CO136" s="91" t="str">
        <f ref="CO136:EZ136" t="shared" si="2">IF(SUM(CO117:CO135)&lt;&gt;0,SUM(CO117:CO135),"")</f>
      </c>
      <c r="CP136" s="91" t="str">
        <f t="shared" si="2"/>
      </c>
      <c r="CQ136" s="91" t="str">
        <f t="shared" si="2"/>
      </c>
      <c r="CR136" s="91" t="str">
        <f t="shared" si="2"/>
      </c>
      <c r="CS136" s="91" t="str">
        <f t="shared" si="2"/>
      </c>
      <c r="CT136" s="91" t="str">
        <f t="shared" si="2"/>
      </c>
      <c r="CU136" s="91" t="str">
        <f t="shared" si="2"/>
      </c>
      <c r="CV136" s="91" t="str">
        <f t="shared" si="2"/>
      </c>
      <c r="CW136" s="91" t="str">
        <f t="shared" si="2"/>
      </c>
      <c r="CX136" s="91" t="str">
        <f t="shared" si="2"/>
      </c>
      <c r="CY136" s="91" t="str">
        <f t="shared" si="2"/>
      </c>
      <c r="CZ136" s="91" t="str">
        <f t="shared" si="2"/>
      </c>
      <c r="DA136" s="91" t="str">
        <f t="shared" si="2"/>
      </c>
      <c r="DB136" s="91" t="str">
        <f t="shared" si="2"/>
      </c>
      <c r="DC136" s="91" t="str">
        <f t="shared" si="2"/>
      </c>
      <c r="DD136" s="91" t="str">
        <f t="shared" si="2"/>
      </c>
      <c r="DE136" s="91" t="str">
        <f t="shared" si="2"/>
      </c>
      <c r="DF136" s="91" t="str">
        <f t="shared" si="2"/>
      </c>
      <c r="DG136" s="91" t="str">
        <f t="shared" si="2"/>
      </c>
      <c r="DH136" s="91" t="str">
        <f t="shared" si="2"/>
      </c>
      <c r="DI136" s="91" t="str">
        <f t="shared" si="2"/>
      </c>
      <c r="DJ136" s="91" t="str">
        <f t="shared" si="2"/>
      </c>
      <c r="DK136" s="91" t="str">
        <f t="shared" si="2"/>
      </c>
      <c r="DL136" s="91" t="str">
        <f t="shared" si="2"/>
      </c>
      <c r="DM136" s="91" t="str">
        <f t="shared" si="2"/>
      </c>
      <c r="DN136" s="91" t="str">
        <f t="shared" si="2"/>
      </c>
      <c r="DO136" s="91" t="str">
        <f t="shared" si="2"/>
      </c>
      <c r="DP136" s="91" t="str">
        <f t="shared" si="2"/>
      </c>
      <c r="DQ136" s="91" t="str">
        <f t="shared" si="2"/>
      </c>
      <c r="DR136" s="91" t="str">
        <f t="shared" si="2"/>
      </c>
      <c r="DS136" s="91" t="str">
        <f t="shared" si="2"/>
      </c>
      <c r="DT136" s="91" t="str">
        <f t="shared" si="2"/>
      </c>
      <c r="DU136" s="91" t="str">
        <f t="shared" si="2"/>
      </c>
      <c r="DV136" s="91" t="str">
        <f t="shared" si="2"/>
      </c>
      <c r="DW136" s="91" t="str">
        <f t="shared" si="2"/>
      </c>
      <c r="DX136" s="91" t="str">
        <f t="shared" si="2"/>
      </c>
      <c r="DY136" s="91" t="str">
        <f t="shared" si="2"/>
      </c>
      <c r="DZ136" s="91" t="str">
        <f t="shared" si="2"/>
      </c>
      <c r="EA136" s="91" t="str">
        <f t="shared" si="2"/>
      </c>
      <c r="EB136" s="91" t="str">
        <f t="shared" si="2"/>
      </c>
      <c r="EC136" s="91" t="str">
        <f t="shared" si="2"/>
      </c>
      <c r="ED136" s="91" t="str">
        <f t="shared" si="2"/>
      </c>
      <c r="EE136" s="91" t="str">
        <f t="shared" si="2"/>
      </c>
      <c r="EF136" s="91" t="str">
        <f t="shared" si="2"/>
      </c>
      <c r="EG136" s="91" t="str">
        <f t="shared" si="2"/>
      </c>
      <c r="EH136" s="91" t="str">
        <f t="shared" si="2"/>
      </c>
      <c r="EI136" s="91" t="str">
        <f t="shared" si="2"/>
      </c>
      <c r="EJ136" s="91" t="str">
        <f t="shared" si="2"/>
      </c>
      <c r="EK136" s="91" t="str">
        <f t="shared" si="2"/>
      </c>
      <c r="EL136" s="91" t="str">
        <f t="shared" si="2"/>
      </c>
      <c r="EM136" s="91" t="str">
        <f t="shared" si="2"/>
      </c>
      <c r="EN136" s="91" t="str">
        <f t="shared" si="2"/>
      </c>
      <c r="EO136" s="91" t="str">
        <f t="shared" si="2"/>
      </c>
      <c r="EP136" s="91" t="str">
        <f t="shared" si="2"/>
      </c>
      <c r="EQ136" s="91" t="str">
        <f t="shared" si="2"/>
      </c>
      <c r="ER136" s="91" t="str">
        <f t="shared" si="2"/>
      </c>
      <c r="ES136" s="91" t="str">
        <f t="shared" si="2"/>
      </c>
      <c r="ET136" s="91" t="str">
        <f t="shared" si="2"/>
      </c>
      <c r="EU136" s="91" t="str">
        <f t="shared" si="2"/>
      </c>
      <c r="EV136" s="91" t="str">
        <f t="shared" si="2"/>
      </c>
      <c r="EW136" s="91" t="str">
        <f t="shared" si="2"/>
      </c>
      <c r="EX136" s="91" t="str">
        <f t="shared" si="2"/>
      </c>
      <c r="EY136" s="91" t="str">
        <f t="shared" si="2"/>
      </c>
      <c r="EZ136" s="91" t="str">
        <f t="shared" si="2"/>
      </c>
      <c r="FA136" s="91" t="str">
        <f ref="FA136:HL136" t="shared" si="3">IF(SUM(FA117:FA135)&lt;&gt;0,SUM(FA117:FA135),"")</f>
      </c>
      <c r="FB136" s="91" t="str">
        <f t="shared" si="3"/>
      </c>
      <c r="FC136" s="91" t="str">
        <f t="shared" si="3"/>
      </c>
      <c r="FD136" s="91" t="str">
        <f t="shared" si="3"/>
      </c>
      <c r="FE136" s="91" t="str">
        <f t="shared" si="3"/>
      </c>
      <c r="FF136" s="91" t="str">
        <f t="shared" si="3"/>
      </c>
      <c r="FG136" s="91" t="str">
        <f t="shared" si="3"/>
      </c>
      <c r="FH136" s="91" t="str">
        <f t="shared" si="3"/>
      </c>
      <c r="FI136" s="91" t="str">
        <f t="shared" si="3"/>
      </c>
      <c r="FJ136" s="91" t="str">
        <f t="shared" si="3"/>
      </c>
      <c r="FK136" s="91" t="str">
        <f t="shared" si="3"/>
      </c>
      <c r="FL136" s="91" t="str">
        <f t="shared" si="3"/>
      </c>
      <c r="FM136" s="91" t="str">
        <f t="shared" si="3"/>
      </c>
      <c r="FN136" s="91" t="str">
        <f t="shared" si="3"/>
      </c>
      <c r="FO136" s="91" t="str">
        <f t="shared" si="3"/>
      </c>
      <c r="FP136" s="91" t="str">
        <f t="shared" si="3"/>
      </c>
      <c r="FQ136" s="91" t="str">
        <f t="shared" si="3"/>
      </c>
      <c r="FR136" s="91" t="str">
        <f t="shared" si="3"/>
      </c>
      <c r="FS136" s="91" t="str">
        <f t="shared" si="3"/>
      </c>
      <c r="FT136" s="91" t="str">
        <f t="shared" si="3"/>
      </c>
      <c r="FU136" s="91" t="str">
        <f t="shared" si="3"/>
      </c>
      <c r="FV136" s="91" t="str">
        <f t="shared" si="3"/>
      </c>
      <c r="FW136" s="91" t="str">
        <f t="shared" si="3"/>
      </c>
      <c r="FX136" s="91" t="str">
        <f t="shared" si="3"/>
      </c>
      <c r="FY136" s="91" t="str">
        <f t="shared" si="3"/>
      </c>
      <c r="FZ136" s="91" t="str">
        <f t="shared" si="3"/>
      </c>
      <c r="GA136" s="91" t="str">
        <f t="shared" si="3"/>
      </c>
      <c r="GB136" s="91" t="str">
        <f t="shared" si="3"/>
      </c>
      <c r="GC136" s="91" t="str">
        <f t="shared" si="3"/>
      </c>
      <c r="GD136" s="91" t="str">
        <f t="shared" si="3"/>
      </c>
      <c r="GE136" s="91" t="str">
        <f t="shared" si="3"/>
      </c>
      <c r="GF136" s="91" t="str">
        <f t="shared" si="3"/>
      </c>
      <c r="GG136" s="91" t="str">
        <f t="shared" si="3"/>
      </c>
      <c r="GH136" s="91" t="str">
        <f t="shared" si="3"/>
      </c>
      <c r="GI136" s="91" t="str">
        <f t="shared" si="3"/>
      </c>
      <c r="GJ136" s="91" t="str">
        <f t="shared" si="3"/>
      </c>
      <c r="GK136" s="91" t="str">
        <f t="shared" si="3"/>
      </c>
      <c r="GL136" s="91" t="str">
        <f t="shared" si="3"/>
      </c>
      <c r="GM136" s="91" t="str">
        <f t="shared" si="3"/>
      </c>
      <c r="GN136" s="91" t="str">
        <f t="shared" si="3"/>
      </c>
      <c r="GO136" s="91" t="str">
        <f t="shared" si="3"/>
      </c>
      <c r="GP136" s="91" t="str">
        <f t="shared" si="3"/>
      </c>
      <c r="GQ136" s="91" t="str">
        <f t="shared" si="3"/>
      </c>
      <c r="GR136" s="91" t="str">
        <f t="shared" si="3"/>
      </c>
      <c r="GS136" s="91" t="str">
        <f t="shared" si="3"/>
      </c>
      <c r="GT136" s="91" t="str">
        <f t="shared" si="3"/>
      </c>
      <c r="GU136" s="91" t="str">
        <f t="shared" si="3"/>
      </c>
      <c r="GV136" s="91" t="str">
        <f t="shared" si="3"/>
      </c>
      <c r="GW136" s="91" t="str">
        <f t="shared" si="3"/>
      </c>
      <c r="GX136" s="91" t="str">
        <f t="shared" si="3"/>
      </c>
      <c r="GY136" s="91" t="str">
        <f t="shared" si="3"/>
      </c>
      <c r="GZ136" s="91" t="str">
        <f t="shared" si="3"/>
      </c>
      <c r="HA136" s="91" t="str">
        <f t="shared" si="3"/>
      </c>
      <c r="HB136" s="91" t="str">
        <f t="shared" si="3"/>
      </c>
      <c r="HC136" s="91" t="str">
        <f t="shared" si="3"/>
      </c>
      <c r="HD136" s="91" t="str">
        <f t="shared" si="3"/>
      </c>
      <c r="HE136" s="91" t="str">
        <f t="shared" si="3"/>
      </c>
      <c r="HF136" s="91" t="str">
        <f t="shared" si="3"/>
      </c>
      <c r="HG136" s="91" t="str">
        <f t="shared" si="3"/>
      </c>
      <c r="HH136" s="91" t="str">
        <f t="shared" si="3"/>
      </c>
      <c r="HI136" s="91" t="str">
        <f t="shared" si="3"/>
      </c>
      <c r="HJ136" s="91" t="str">
        <f t="shared" si="3"/>
      </c>
      <c r="HK136" s="91" t="str">
        <f t="shared" si="3"/>
      </c>
      <c r="HL136" s="91" t="str">
        <f t="shared" si="3"/>
      </c>
      <c r="HM136" s="91" t="str">
        <f ref="HM136:IV136" t="shared" si="4">IF(SUM(HM117:HM135)&lt;&gt;0,SUM(HM117:HM135),"")</f>
      </c>
      <c r="HN136" s="91" t="str">
        <f t="shared" si="4"/>
      </c>
      <c r="HO136" s="91" t="str">
        <f t="shared" si="4"/>
      </c>
      <c r="HP136" s="91" t="str">
        <f t="shared" si="4"/>
      </c>
      <c r="HQ136" s="91" t="str">
        <f t="shared" si="4"/>
      </c>
      <c r="HR136" s="91" t="str">
        <f t="shared" si="4"/>
      </c>
      <c r="HS136" s="91" t="str">
        <f t="shared" si="4"/>
      </c>
      <c r="HT136" s="91" t="str">
        <f t="shared" si="4"/>
      </c>
      <c r="HU136" s="91" t="str">
        <f t="shared" si="4"/>
      </c>
      <c r="HV136" s="91" t="str">
        <f t="shared" si="4"/>
      </c>
      <c r="HW136" s="91" t="str">
        <f t="shared" si="4"/>
      </c>
      <c r="HX136" s="91" t="str">
        <f t="shared" si="4"/>
      </c>
      <c r="HY136" s="91" t="str">
        <f t="shared" si="4"/>
      </c>
      <c r="HZ136" s="91" t="str">
        <f t="shared" si="4"/>
      </c>
      <c r="IA136" s="91" t="str">
        <f t="shared" si="4"/>
      </c>
      <c r="IB136" s="91" t="str">
        <f t="shared" si="4"/>
      </c>
      <c r="IC136" s="91" t="str">
        <f t="shared" si="4"/>
      </c>
      <c r="ID136" s="91" t="str">
        <f t="shared" si="4"/>
      </c>
      <c r="IE136" s="91" t="str">
        <f t="shared" si="4"/>
      </c>
      <c r="IF136" s="91" t="str">
        <f t="shared" si="4"/>
      </c>
      <c r="IG136" s="91" t="str">
        <f t="shared" si="4"/>
      </c>
      <c r="IH136" s="91" t="str">
        <f t="shared" si="4"/>
      </c>
      <c r="II136" s="91" t="str">
        <f t="shared" si="4"/>
      </c>
      <c r="IJ136" s="91" t="str">
        <f t="shared" si="4"/>
      </c>
      <c r="IK136" s="91" t="str">
        <f t="shared" si="4"/>
      </c>
      <c r="IL136" s="91" t="str">
        <f t="shared" si="4"/>
      </c>
      <c r="IM136" s="91" t="str">
        <f t="shared" si="4"/>
      </c>
      <c r="IN136" s="91" t="str">
        <f t="shared" si="4"/>
      </c>
      <c r="IO136" s="91" t="str">
        <f t="shared" si="4"/>
      </c>
      <c r="IP136" s="91" t="str">
        <f t="shared" si="4"/>
      </c>
      <c r="IQ136" s="91" t="str">
        <f t="shared" si="4"/>
      </c>
      <c r="IR136" s="91" t="str">
        <f t="shared" si="4"/>
      </c>
      <c r="IS136" s="91" t="str">
        <f t="shared" si="4"/>
      </c>
      <c r="IT136" s="91" t="str">
        <f t="shared" si="4"/>
      </c>
      <c r="IU136" s="91" t="str">
        <f t="shared" si="4"/>
      </c>
      <c r="IV136" s="91" t="str">
        <f t="shared" si="4"/>
      </c>
    </row>
    <row r="137" hidden="1" ht="13.5">
      <c r="N137" s="215"/>
      <c r="O137" s="284"/>
    </row>
    <row r="138" hidden="1">
      <c r="B138" s="509" t="s">
        <v>8</v>
      </c>
      <c r="C138" s="505" t="e">
        <f>INDIRECT(ADDRESS(117,MATCH(9000000000+307,'9.1- APICULTURA (CENSO)'!117:117,1),1,,"9.1- APICULTURA (CENSO)"))</f>
        <v>#N/A</v>
      </c>
      <c r="I138" s="50"/>
      <c r="J138" s="50"/>
      <c r="K138" s="50"/>
      <c r="N138" s="215"/>
      <c r="O138" s="283"/>
    </row>
    <row r="139" hidden="1">
      <c r="B139" s="507" t="s">
        <v>9</v>
      </c>
      <c r="C139" s="505" t="e">
        <f>INDIRECT(ADDRESS(118,MATCH(9000000000+307,'9.1- APICULTURA (CENSO)'!118:118,1),1,,"9.1- APICULTURA (CENSO)"))</f>
        <v>#N/A</v>
      </c>
      <c r="I139" s="50"/>
      <c r="J139" s="283"/>
      <c r="K139" s="283"/>
      <c r="N139" s="50"/>
      <c r="O139" s="50"/>
    </row>
    <row r="140" hidden="1">
      <c r="B140" s="507" t="s">
        <v>10</v>
      </c>
      <c r="C140" s="505" t="e">
        <f>INDIRECT(ADDRESS(119,MATCH(9000000000+307,'9.1- APICULTURA (CENSO)'!119:119,1),1,,"9.1- APICULTURA (CENSO)"))</f>
        <v>#N/A</v>
      </c>
      <c r="I140" s="50"/>
      <c r="J140" s="283"/>
      <c r="K140" s="50"/>
    </row>
    <row r="141" hidden="1">
      <c r="B141" s="507" t="s">
        <v>11</v>
      </c>
      <c r="C141" s="505" t="e">
        <f>INDIRECT(ADDRESS(120,MATCH(9000000000+307,'9.1- APICULTURA (CENSO)'!120:120,1),1,,"9.1- APICULTURA (CENSO)"))</f>
        <v>#N/A</v>
      </c>
      <c r="I141" s="50"/>
      <c r="J141" s="283"/>
      <c r="K141" s="50"/>
    </row>
    <row r="142" hidden="1">
      <c r="B142" s="507" t="s">
        <v>12</v>
      </c>
      <c r="C142" s="505" t="e">
        <f>INDIRECT(ADDRESS(121,MATCH(9000000000+307,'9.1- APICULTURA (CENSO)'!121:121,1),1,,"9.1- APICULTURA (CENSO)"))</f>
        <v>#N/A</v>
      </c>
      <c r="I142" s="50"/>
      <c r="J142" s="283"/>
      <c r="K142" s="50"/>
    </row>
    <row r="143" hidden="1">
      <c r="B143" s="507" t="s">
        <v>13</v>
      </c>
      <c r="C143" s="505" t="e">
        <f>INDIRECT(ADDRESS(122,MATCH(9000000000+307,'9.1- APICULTURA (CENSO)'!122:122,1),1,,"9.1- APICULTURA (CENSO)"))</f>
        <v>#N/A</v>
      </c>
      <c r="I143" s="50"/>
      <c r="J143" s="283"/>
      <c r="K143" s="50"/>
    </row>
    <row r="144" hidden="1">
      <c r="B144" s="507" t="s">
        <v>109</v>
      </c>
      <c r="C144" s="505" t="e">
        <f>INDIRECT(ADDRESS(123,MATCH(9000000000+307,'9.1- APICULTURA (CENSO)'!123:123,1),1,,"9.1- APICULTURA (CENSO)"))</f>
        <v>#N/A</v>
      </c>
      <c r="I144" s="50"/>
      <c r="J144" s="283"/>
      <c r="K144" s="50"/>
    </row>
    <row r="145" hidden="1">
      <c r="B145" s="507" t="s">
        <v>110</v>
      </c>
      <c r="C145" s="505" t="e">
        <f>INDIRECT(ADDRESS(124,MATCH(9000000000+307,'9.1- APICULTURA (CENSO)'!124:124,1),1,,"9.1- APICULTURA (CENSO)"))</f>
        <v>#N/A</v>
      </c>
      <c r="I145" s="50"/>
      <c r="J145" s="283"/>
      <c r="K145" s="50"/>
    </row>
    <row r="146" hidden="1">
      <c r="B146" s="507" t="s">
        <v>16</v>
      </c>
      <c r="C146" s="505" t="e">
        <f>INDIRECT(ADDRESS(125,MATCH(9000000000+307,'9.1- APICULTURA (CENSO)'!125:125,1),1,,"9.1- APICULTURA (CENSO)"))</f>
        <v>#N/A</v>
      </c>
      <c r="I146" s="50"/>
      <c r="J146" s="283"/>
      <c r="K146" s="50"/>
    </row>
    <row r="147" hidden="1">
      <c r="B147" s="507" t="s">
        <v>17</v>
      </c>
      <c r="C147" s="505" t="e">
        <f>INDIRECT(ADDRESS(126,MATCH(9000000000+307,'9.1- APICULTURA (CENSO)'!126:126,1),1,,"9.1- APICULTURA (CENSO)"))</f>
        <v>#N/A</v>
      </c>
      <c r="I147" s="50"/>
      <c r="J147" s="283"/>
      <c r="K147" s="50"/>
    </row>
    <row r="148" hidden="1">
      <c r="B148" s="507" t="s">
        <v>18</v>
      </c>
      <c r="C148" s="505" t="e">
        <f>INDIRECT(ADDRESS(127,MATCH(9000000000+307,'9.1- APICULTURA (CENSO)'!127:127,1),1,,"9.1- APICULTURA (CENSO)"))</f>
        <v>#N/A</v>
      </c>
      <c r="I148" s="50"/>
      <c r="J148" s="283"/>
      <c r="K148" s="50"/>
    </row>
    <row r="149" hidden="1">
      <c r="B149" s="507" t="s">
        <v>19</v>
      </c>
      <c r="C149" s="505" t="e">
        <f>INDIRECT(ADDRESS(128,MATCH(9000000000+307,'9.1- APICULTURA (CENSO)'!128:128,1),1,,"9.1- APICULTURA (CENSO)"))</f>
        <v>#N/A</v>
      </c>
      <c r="I149" s="50"/>
      <c r="J149" s="283"/>
      <c r="K149" s="50"/>
    </row>
    <row r="150" hidden="1">
      <c r="B150" s="507" t="s">
        <v>20</v>
      </c>
      <c r="C150" s="505" t="e">
        <f>INDIRECT(ADDRESS(129,MATCH(9000000000+307,'9.1- APICULTURA (CENSO)'!129:129,1),1,,"9.1- APICULTURA (CENSO)"))</f>
        <v>#N/A</v>
      </c>
      <c r="I150" s="50"/>
      <c r="J150" s="283"/>
      <c r="K150" s="50"/>
    </row>
    <row r="151" hidden="1">
      <c r="B151" s="507" t="s">
        <v>21</v>
      </c>
      <c r="C151" s="505" t="e">
        <f>INDIRECT(ADDRESS(130,MATCH(9000000000+307,'9.1- APICULTURA (CENSO)'!130:130,1),1,,"9.1- APICULTURA (CENSO)"))</f>
        <v>#N/A</v>
      </c>
      <c r="I151" s="50"/>
      <c r="J151" s="283"/>
      <c r="K151" s="50"/>
    </row>
    <row r="152" hidden="1">
      <c r="B152" s="507" t="s">
        <v>22</v>
      </c>
      <c r="C152" s="505" t="e">
        <f>INDIRECT(ADDRESS(131,MATCH(9000000000+307,'9.1- APICULTURA (CENSO)'!131:131,1),1,,"9.1- APICULTURA (CENSO)"))</f>
        <v>#N/A</v>
      </c>
      <c r="I152" s="50"/>
      <c r="J152" s="283"/>
      <c r="K152" s="50"/>
    </row>
    <row r="153" hidden="1">
      <c r="B153" s="507" t="s">
        <v>23</v>
      </c>
      <c r="C153" s="505" t="e">
        <f>INDIRECT(ADDRESS(132,MATCH(9000000000+307,'9.1- APICULTURA (CENSO)'!132:132,1),1,,"9.1- APICULTURA (CENSO)"))</f>
        <v>#N/A</v>
      </c>
      <c r="I153" s="50"/>
      <c r="J153" s="283"/>
      <c r="K153" s="50"/>
    </row>
    <row r="154" hidden="1">
      <c r="B154" s="508" t="s">
        <v>24</v>
      </c>
      <c r="C154" s="505" t="e">
        <f>INDIRECT(ADDRESS(133,MATCH(9000000000+307,'9.1- APICULTURA (CENSO)'!133:133,1),1,,"9.1- APICULTURA (CENSO)"))</f>
        <v>#N/A</v>
      </c>
      <c r="I154" s="50"/>
      <c r="J154" s="283"/>
      <c r="K154" s="50"/>
    </row>
    <row r="155" hidden="1">
      <c r="B155" s="507" t="s">
        <v>25</v>
      </c>
      <c r="C155" s="505" t="e">
        <f>INDIRECT(ADDRESS(134,MATCH(9000000000+307,'9.1- APICULTURA (CENSO)'!134:134,1),1,,"9.1- APICULTURA (CENSO)"))</f>
        <v>#N/A</v>
      </c>
      <c r="I155" s="50"/>
      <c r="J155" s="283"/>
      <c r="K155" s="50"/>
    </row>
    <row r="156" hidden="1" ht="13.5">
      <c r="B156" s="506" t="s">
        <v>26</v>
      </c>
      <c r="C156" s="505" t="e">
        <f>INDIRECT(ADDRESS(135,MATCH(9000000000+307,'9.1- APICULTURA (CENSO)'!135:135,1),1,,"9.1- APICULTURA (CENSO)"))</f>
        <v>#N/A</v>
      </c>
      <c r="I156" s="50"/>
      <c r="J156" s="284"/>
      <c r="K156" s="50"/>
    </row>
    <row r="157">
      <c r="I157" s="50"/>
      <c r="J157" s="284"/>
      <c r="K157" s="50"/>
    </row>
    <row r="158">
      <c r="I158" s="50"/>
      <c r="J158" s="283"/>
      <c r="K158" s="50"/>
    </row>
    <row r="159">
      <c r="I159" s="50"/>
      <c r="J159" s="50"/>
      <c r="K159" s="50"/>
    </row>
    <row r="160">
      <c r="I160" s="50"/>
      <c r="J160" s="50"/>
      <c r="K160" s="50"/>
    </row>
  </sheetData>
  <sheetProtection sheet="1" autoFilter="0" objects="1" scenarios="1" sort="0" password="ed66"/>
  <mergeCells>
    <mergeCell ref="B9:E9"/>
    <mergeCell ref="C13:M13"/>
    <mergeCell ref="C14:M14"/>
    <mergeCell ref="C17:M17"/>
    <mergeCell ref="C115:AB115"/>
  </mergeCells>
  <phoneticPr fontId="2" type="noConversion"/>
  <printOptions horizontalCentered="1"/>
  <pageMargins left="0.78740157480314965" right="0.78740157480314965" top="0.98425196850393704" bottom="0.98425196850393704" header="0" footer="0"/>
  <pageSetup paperSize="9" scale="52" orientation="portrait"/>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5537" r:id="rId4" name="Drop Down 1">
              <controlPr defaultSize="0" autoLine="0" autoPict="0">
                <anchor moveWithCells="1">
                  <from>
                    <xdr:col>5</xdr:col>
                    <xdr:colOff>0</xdr:colOff>
                    <xdr:row>7</xdr:row>
                    <xdr:rowOff>0</xdr:rowOff>
                  </from>
                  <to>
                    <xdr:col>7</xdr:col>
                    <xdr:colOff>200025</xdr:colOff>
                    <xdr:row>9</xdr:row>
                    <xdr:rowOff>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ontainsText" priority="3" operator="containsText" id="{51A0D70A-B03E-4EE8-8C48-A44437AFA185}">
            <xm:f>NOT(ISERROR(SEARCH("",AD116)))</xm:f>
            <xm:f>""</xm:f>
            <x14:dxf>
              <numFmt numFmtId="3" formatCode="#,##0"/>
              <border>
                <left style="thin">
                  <color auto="1"/>
                </left>
                <right style="thin">
                  <color auto="1"/>
                </right>
                <top style="thin">
                  <color auto="1"/>
                </top>
                <bottom style="thin">
                  <color auto="1"/>
                </bottom>
                <vertical/>
                <horizontal/>
              </border>
            </x14:dxf>
          </x14:cfRule>
          <xm:sqref>AD116:AG116 AI116:AL116 AN116:AQ116 AS116:AV116 AX116:BA116 BC116:BF116 BH116:BK116 BM116:BP116 BR116:BU116 BW116:BZ116 CB116:CE116 CG116:CJ116 CL116:CO116 CQ116:CT116 CV116:CY116 DA116:DD116 DF116:DI116 DK116:DN116 DP116:DS116 DU116:DX116 DZ116:EC116 EE116:EH116 EJ116:EM116 EO116:ER116 ET116:EW116 EY116:FB116 FD116:FG116 FI116:FL116 FN116:FQ116 FS116:FV116 FX116:GA116 GC116:GF116 GH116:GK116 GM116:GP116 GR116:GU116 GW116:GZ116 HB116:HE116 HG116:HJ116 HL116:HO116 HQ116:HT116 HV116:HY116 IA116:ID116 IF116:II116 IK116:IN116 IP116:IS116 IU116:IV116</xm:sqref>
        </x14:conditionalFormatting>
        <x14:conditionalFormatting xmlns:xm="http://schemas.microsoft.com/office/excel/2006/main">
          <x14:cfRule type="containsText" priority="5" operator="containsText" id="{E4AF48E8-1843-4215-8AFD-23188933D662}">
            <xm:f>NOT(ISERROR(SEARCH("",AC136)))</xm:f>
            <xm:f>""</xm:f>
            <x14:dxf>
              <numFmt numFmtId="3" formatCode="#,##0"/>
              <border>
                <left style="thin">
                  <color auto="1"/>
                </left>
                <right style="thin">
                  <color auto="1"/>
                </right>
                <top style="thin">
                  <color auto="1"/>
                </top>
                <bottom style="thin">
                  <color auto="1"/>
                </bottom>
                <vertical/>
                <horizontal/>
              </border>
            </x14:dxf>
          </x14:cfRule>
          <xm:sqref>AC136:IV136</xm:sqref>
        </x14:conditionalFormatting>
        <x14:conditionalFormatting xmlns:xm="http://schemas.microsoft.com/office/excel/2006/main">
          <x14:cfRule type="containsText" priority="4" operator="containsText" id="{FF73510B-5BA1-433E-92F0-7849F5372DAF}">
            <xm:f>NOT(ISERROR(SEARCH("",C117)))</xm:f>
            <xm:f>""</xm:f>
            <x14:dxf>
              <numFmt numFmtId="3" formatCode="#,##0"/>
              <border>
                <right style="thin">
                  <color auto="1"/>
                </right>
                <top style="thin">
                  <color auto="1"/>
                </top>
                <bottom style="thin">
                  <color auto="1"/>
                </bottom>
                <vertical/>
                <horizontal/>
              </border>
            </x14:dxf>
          </x14:cfRule>
          <xm:sqref>C117:IV135</xm:sqref>
        </x14:conditionalFormatting>
        <x14:conditionalFormatting xmlns:xm="http://schemas.microsoft.com/office/excel/2006/main">
          <x14:cfRule type="containsText" priority="2" operator="containsText" id="{00BB4DF2-984A-4A54-A011-7DD280E71641}">
            <xm:f>NOT(ISERROR(SEARCH("",AC116)))</xm:f>
            <xm:f>""</xm:f>
            <x14:dxf>
              <numFmt numFmtId="3" formatCode="#,##0"/>
              <border>
                <left style="thin">
                  <color auto="1"/>
                </left>
                <right style="thin">
                  <color auto="1"/>
                </right>
                <top style="thin">
                  <color auto="1"/>
                </top>
                <bottom style="thin">
                  <color auto="1"/>
                </bottom>
                <vertical/>
                <horizontal/>
              </border>
            </x14:dxf>
          </x14:cfRule>
          <xm:sqref>AC116 AH116 AM116 AR116 AW116 BB116 BG116 BL116 BQ116 BV116 CA116 CF116 CK116 CP116 CU116 CZ116 DE116 DJ116 DO116 DT116 DY116 ED116 EI116 EN116 ES116 EX116 FC116 FH116 FM116 FR116 FW116 GB116 GG116 GL116 GQ116 GV116 HA116 HF116 HK116 HP116 HU116 HZ116 IE116 IJ116 IO116 IT116</xm:sqref>
        </x14:conditionalFormatting>
        <x14:conditionalFormatting xmlns:xm="http://schemas.microsoft.com/office/excel/2006/main">
          <x14:cfRule type="containsText" priority="1" operator="containsText" id="{B1E222CC-35A6-42DC-AE01-CEDDD7CE89AC}">
            <xm:f>NOT(ISERROR(SEARCH("",C138)))</xm:f>
            <xm:f>""</xm:f>
            <x14:dxf>
              <numFmt numFmtId="3" formatCode="#,##0"/>
              <border>
                <right style="thin">
                  <color auto="1"/>
                </right>
                <top style="thin">
                  <color auto="1"/>
                </top>
                <bottom style="thin">
                  <color auto="1"/>
                </bottom>
                <vertical/>
                <horizontal/>
              </border>
            </x14:dxf>
          </x14:cfRule>
          <xm:sqref>C138:C156</xm:sqref>
        </x14:conditionalFormatting>
      </x14:conditionalFormatting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mc:Ignorable="x14ac xr">
  <sheetPr codeName="Hoja17">
    <tabColor indexed="43"/>
  </sheetPr>
  <dimension ref="A1:IV319"/>
  <sheetViews>
    <sheetView showGridLines="0" view="pageBreakPreview" zoomScaleNormal="100" workbookViewId="0">
      <pane ySplit="9" topLeftCell="A10" activePane="bottomLeft" state="frozen"/>
      <selection pane="bottomLeft" activeCell="A7" sqref="A7"/>
    </sheetView>
  </sheetViews>
  <sheetFormatPr baseColWidth="10" defaultRowHeight="12.75"/>
  <cols>
    <col min="1" max="1" width="11.42578125" customWidth="1" style="51"/>
    <col min="2" max="2" width="17.28515625" customWidth="1" style="51"/>
    <col min="3" max="11" width="11.7109375" customWidth="1" style="51"/>
    <col min="12" max="12" width="11.42578125" customWidth="1" style="51"/>
    <col min="13" max="13" bestFit="1" width="13.7109375" customWidth="1" style="51"/>
    <col min="14" max="16384" width="11.42578125" customWidth="1" style="51"/>
  </cols>
  <sheetData>
    <row r="1">
      <c r="A1" s="46"/>
      <c r="B1" s="47"/>
      <c r="C1" s="47"/>
      <c r="D1" s="47"/>
      <c r="E1" s="47"/>
      <c r="F1" s="47"/>
      <c r="G1" s="47"/>
      <c r="H1" s="47"/>
      <c r="I1" s="47"/>
      <c r="J1" s="47"/>
      <c r="K1" s="47"/>
      <c r="L1" s="47"/>
      <c r="M1" s="47"/>
      <c r="N1" s="48"/>
    </row>
    <row r="2">
      <c r="A2" s="52"/>
      <c r="B2" s="49"/>
      <c r="C2" s="49"/>
      <c r="D2" s="49"/>
      <c r="E2" s="49"/>
      <c r="F2" s="49"/>
      <c r="G2" s="49"/>
      <c r="H2" s="49"/>
      <c r="I2" s="49"/>
      <c r="J2" s="49"/>
      <c r="K2" s="49"/>
      <c r="L2" s="49"/>
      <c r="M2" s="49"/>
      <c r="N2" s="53"/>
    </row>
    <row r="3">
      <c r="A3" s="52"/>
      <c r="B3" s="49"/>
      <c r="C3" s="49"/>
      <c r="D3" s="49"/>
      <c r="E3" s="49"/>
      <c r="F3" s="49"/>
      <c r="G3" s="49"/>
      <c r="H3" s="49"/>
      <c r="I3" s="49"/>
      <c r="J3" s="49"/>
      <c r="K3" s="49"/>
      <c r="L3" s="49"/>
      <c r="M3" s="49"/>
      <c r="N3" s="53"/>
    </row>
    <row r="4">
      <c r="A4" s="52"/>
      <c r="B4" s="49"/>
      <c r="C4" s="49"/>
      <c r="D4" s="49"/>
      <c r="E4" s="49"/>
      <c r="F4" s="49"/>
      <c r="G4" s="49"/>
      <c r="H4" s="49"/>
      <c r="I4" s="49"/>
      <c r="J4" s="49"/>
      <c r="K4" s="49"/>
      <c r="L4" s="49"/>
      <c r="M4" s="49"/>
      <c r="N4" s="53"/>
    </row>
    <row r="5">
      <c r="A5" s="52"/>
      <c r="B5" s="49"/>
      <c r="C5" s="49"/>
      <c r="D5" s="49"/>
      <c r="E5" s="49"/>
      <c r="F5" s="49"/>
      <c r="G5" s="49"/>
      <c r="H5" s="49"/>
      <c r="I5" s="49"/>
      <c r="J5" s="49"/>
      <c r="K5" s="49"/>
      <c r="L5" s="49"/>
      <c r="M5" s="49"/>
      <c r="N5" s="53"/>
    </row>
    <row r="6" ht="13.5">
      <c r="A6" s="54"/>
      <c r="B6" s="55"/>
      <c r="C6" s="55"/>
      <c r="D6" s="55"/>
      <c r="E6" s="55"/>
      <c r="F6" s="55"/>
      <c r="G6" s="55"/>
      <c r="H6" s="55"/>
      <c r="I6" s="55"/>
      <c r="J6" s="55"/>
      <c r="K6" s="55"/>
      <c r="L6" s="55"/>
      <c r="M6" s="55"/>
      <c r="N6" s="56"/>
    </row>
    <row r="7" s="57" customFormat="1"/>
    <row r="8">
      <c r="F8" s="131">
        <v>20</v>
      </c>
      <c r="I8" s="51" t="s">
        <v>100</v>
      </c>
      <c r="J8" s="51" t="e">
        <f>LOOKUP(AUX!$E$10,AUX!$B:$B,AUX!$A:$A)</f>
        <v>#N/A</v>
      </c>
    </row>
    <row r="9">
      <c r="B9" s="597" t="s">
        <v>101</v>
      </c>
      <c r="C9" s="597"/>
      <c r="D9" s="597"/>
      <c r="E9" s="597"/>
      <c r="I9" s="51" t="s">
        <v>1</v>
      </c>
      <c r="J9" s="51" t="str">
        <f>LOOKUP(AUX!$E$11,AUX!$E1:$E5,AUX!$D1:$D5)</f>
        <v>6 meses</v>
      </c>
    </row>
    <row r="12" ht="13.5"/>
    <row r="13" ht="15.75">
      <c r="C13" s="706" t="s">
        <v>98</v>
      </c>
      <c r="D13" s="707"/>
      <c r="E13" s="707"/>
      <c r="F13" s="707"/>
      <c r="G13" s="707"/>
      <c r="H13" s="707"/>
      <c r="I13" s="707"/>
      <c r="J13" s="707"/>
      <c r="K13" s="707"/>
      <c r="L13" s="707"/>
      <c r="M13" s="708"/>
    </row>
    <row r="14" ht="15.75">
      <c r="B14" s="164"/>
      <c r="C14" s="718" t="s">
        <v>192</v>
      </c>
      <c r="D14" s="719"/>
      <c r="E14" s="719"/>
      <c r="F14" s="719"/>
      <c r="G14" s="719"/>
      <c r="H14" s="719"/>
      <c r="I14" s="719"/>
      <c r="J14" s="719"/>
      <c r="K14" s="719"/>
      <c r="L14" s="719"/>
      <c r="M14" s="720"/>
      <c r="N14" s="285"/>
      <c r="O14" s="285"/>
    </row>
    <row r="15">
      <c r="C15" s="141"/>
      <c r="D15" s="142"/>
      <c r="E15" s="142"/>
      <c r="F15" s="142"/>
      <c r="G15" s="142"/>
      <c r="H15" s="142"/>
      <c r="I15" s="142"/>
      <c r="J15" s="142"/>
      <c r="K15" s="142"/>
      <c r="L15" s="142"/>
      <c r="M15" s="143"/>
    </row>
    <row r="16" ht="15.75" customHeight="1">
      <c r="B16" s="209"/>
      <c r="C16" s="145" t="e">
        <f>INDEX(AUX!$G$1:$IV$1,1,AUX!$E$10+(AUX!$E$11*AUX!G$2))</f>
        <v>#VALUE!</v>
      </c>
      <c r="D16" s="146">
        <f>INDEX(AUX!$G$1:$IV$1,1,AUX!$E$10+(AUX!$E$11*AUX!H$2))</f>
        <v>38899</v>
      </c>
      <c r="E16" s="146">
        <f>INDEX(AUX!$G$1:$IV$1,1,AUX!$E$10+(AUX!$E$11*AUX!I$2))</f>
        <v>39083</v>
      </c>
      <c r="F16" s="146">
        <f>INDEX(AUX!$G$1:$IV$1,1,AUX!$E$10+(AUX!$E$11*AUX!J$2))</f>
        <v>39264</v>
      </c>
      <c r="G16" s="146">
        <f>INDEX(AUX!$G$1:$IV$1,1,AUX!$E$10+(AUX!$E$11*AUX!K$2))</f>
        <v>39448</v>
      </c>
      <c r="H16" s="146">
        <f>INDEX(AUX!$G$1:$IV$1,1,AUX!$E$10+(AUX!$E$11*AUX!L$2))</f>
        <v>39630</v>
      </c>
      <c r="I16" s="146">
        <f>INDEX(AUX!$G$1:$IV$1,1,AUX!$E$10+(AUX!$E$11*AUX!M$2))</f>
        <v>39814</v>
      </c>
      <c r="J16" s="146">
        <f>INDEX(AUX!$G$1:$IV$1,1,AUX!$E$10+(AUX!$E$11*AUX!N$2))</f>
        <v>39995</v>
      </c>
      <c r="K16" s="146">
        <f>INDEX(AUX!$G$1:$IV$1,1,AUX!$E$10+(AUX!$E$11*AUX!O$2))</f>
        <v>40179</v>
      </c>
      <c r="L16" s="146">
        <f>INDEX(AUX!$G$1:$IV$1,1,AUX!$E$10+(AUX!$E$11*AUX!P$2))</f>
        <v>40360</v>
      </c>
      <c r="M16" s="147">
        <f>INDEX(AUX!$G$1:$IV$1,1,AUX!$E$10+(AUX!$E$11*AUX!Q$2))</f>
        <v>40544</v>
      </c>
      <c r="N16" s="201"/>
    </row>
    <row r="17" ht="15.75" customHeight="1">
      <c r="B17" s="288"/>
      <c r="C17" s="715" t="s">
        <v>258</v>
      </c>
      <c r="D17" s="716"/>
      <c r="E17" s="716"/>
      <c r="F17" s="716"/>
      <c r="G17" s="716"/>
      <c r="H17" s="716"/>
      <c r="I17" s="716"/>
      <c r="J17" s="716"/>
      <c r="K17" s="716"/>
      <c r="L17" s="716"/>
      <c r="M17" s="717"/>
      <c r="N17" s="201"/>
    </row>
    <row r="18" ht="15.75" customHeight="1">
      <c r="B18" s="323" t="str">
        <f>INDEX($B$142:$H$161,$F$8,1)</f>
        <v>Total</v>
      </c>
      <c r="C18" s="289" t="str">
        <f>IF(INDEX($C$142:$II$161,$F$8,AUX!$E$10+(AUX!$E$11*AUX!G$2))="","--",INDEX($C$142:$II$161,$F$8,AUX!$E$10+(AUX!$E$11*AUX!G$2)))</f>
        <v>--</v>
      </c>
      <c r="D18" s="290" t="str">
        <f>IF(INDEX($C$142:$II$161,$F$8,AUX!$E$10+(AUX!$E$11*AUX!H$2))="","--",INDEX($C$142:$II$161,$F$8,AUX!$E$10+(AUX!$E$11*AUX!H$2)))</f>
        <v>--</v>
      </c>
      <c r="E18" s="290" t="str">
        <f>IF(INDEX($C$142:$II$161,$F$8,AUX!$E$10+(AUX!$E$11*AUX!I$2))="","--",INDEX($C$142:$II$161,$F$8,AUX!$E$10+(AUX!$E$11*AUX!I$2)))</f>
        <v>--</v>
      </c>
      <c r="F18" s="290" t="str">
        <f>IF(INDEX($C$142:$II$161,$F$8,AUX!$E$10+(AUX!$E$11*AUX!J$2))="","--",INDEX($C$142:$II$161,$F$8,AUX!$E$10+(AUX!$E$11*AUX!J$2)))</f>
        <v>--</v>
      </c>
      <c r="G18" s="290" t="str">
        <f>IF(INDEX($C$142:$II$161,$F$8,AUX!$E$10+(AUX!$E$11*AUX!K$2))="","--",INDEX($C$142:$II$161,$F$8,AUX!$E$10+(AUX!$E$11*AUX!K$2)))</f>
        <v>--</v>
      </c>
      <c r="H18" s="290" t="str">
        <f>IF(INDEX($C$142:$II$161,$F$8,AUX!$E$10+(AUX!$E$11*AUX!L$2))="","--",INDEX($C$142:$II$161,$F$8,AUX!$E$10+(AUX!$E$11*AUX!L$2)))</f>
        <v>--</v>
      </c>
      <c r="I18" s="290" t="str">
        <f>IF(INDEX($C$142:$II$161,$F$8,AUX!$E$10+(AUX!$E$11*AUX!M$2))="","--",INDEX($C$142:$II$161,$F$8,AUX!$E$10+(AUX!$E$11*AUX!M$2)))</f>
        <v>--</v>
      </c>
      <c r="J18" s="290" t="str">
        <f>IF(INDEX($C$142:$II$161,$F$8,AUX!$E$10+(AUX!$E$11*AUX!N$2))="","--",INDEX($C$142:$II$161,$F$8,AUX!$E$10+(AUX!$E$11*AUX!N$2)))</f>
        <v>--</v>
      </c>
      <c r="K18" s="290" t="str">
        <f>IF(INDEX($C$142:$II$161,$F$8,AUX!$E$10+(AUX!$E$11*AUX!O$2))="","--",INDEX($C$142:$II$161,$F$8,AUX!$E$10+(AUX!$E$11*AUX!O$2)))</f>
        <v>--</v>
      </c>
      <c r="L18" s="290" t="str">
        <f>IF(INDEX($C$142:$II$161,$F$8,AUX!$E$10+(AUX!$E$11*AUX!P$2))="","--",INDEX($C$142:$II$161,$F$8,AUX!$E$10+(AUX!$E$11*AUX!P$2)))</f>
        <v>--</v>
      </c>
      <c r="M18" s="291" t="str">
        <f>IF(INDEX($C$142:$II$161,$F$8,AUX!$E$10+(AUX!$E$11*AUX!Q$2))="","--",INDEX($C$142:$II$161,$F$8,AUX!$E$10+(AUX!$E$11*AUX!Q$2)))</f>
        <v>--</v>
      </c>
    </row>
    <row r="19" ht="15.75" customHeight="1">
      <c r="B19" s="209"/>
      <c r="C19" s="715" t="s">
        <v>426</v>
      </c>
      <c r="D19" s="716"/>
      <c r="E19" s="716"/>
      <c r="F19" s="716"/>
      <c r="G19" s="716"/>
      <c r="H19" s="716"/>
      <c r="I19" s="716"/>
      <c r="J19" s="716"/>
      <c r="K19" s="716"/>
      <c r="L19" s="716"/>
      <c r="M19" s="717"/>
      <c r="N19" s="201"/>
    </row>
    <row r="20" ht="15.75" customHeight="1">
      <c r="B20" s="209"/>
      <c r="C20" s="289" t="str">
        <f>IF(INDEX($C$167:$II$186,$F$8,AUX!$E$10+(AUX!$E$11*AUX!G$2))="","--",INDEX($C$167:$II$186,$F$8,AUX!$E$10+(AUX!$E$11*AUX!G$2)))</f>
        <v>--</v>
      </c>
      <c r="D20" s="290" t="str">
        <f>IF(INDEX($C$167:$II$186,$F$8,AUX!$E$10+(AUX!$E$11*AUX!H$2))="","--",INDEX($C$167:$II$186,$F$8,AUX!$E$10+(AUX!$E$11*AUX!H$2)))</f>
        <v>--</v>
      </c>
      <c r="E20" s="290" t="str">
        <f>IF(INDEX($C$167:$II$186,$F$8,AUX!$E$10+(AUX!$E$11*AUX!I$2))="","--",INDEX($C$167:$II$186,$F$8,AUX!$E$10+(AUX!$E$11*AUX!I$2)))</f>
        <v>--</v>
      </c>
      <c r="F20" s="290" t="str">
        <f>IF(INDEX($C$167:$II$186,$F$8,AUX!$E$10+(AUX!$E$11*AUX!J$2))="","--",INDEX($C$167:$II$186,$F$8,AUX!$E$10+(AUX!$E$11*AUX!J$2)))</f>
        <v>--</v>
      </c>
      <c r="G20" s="290" t="str">
        <f>IF(INDEX($C$167:$II$186,$F$8,AUX!$E$10+(AUX!$E$11*AUX!K$2))="","--",INDEX($C$167:$II$186,$F$8,AUX!$E$10+(AUX!$E$11*AUX!K$2)))</f>
        <v>--</v>
      </c>
      <c r="H20" s="290" t="str">
        <f>IF(INDEX($C$167:$II$186,$F$8,AUX!$E$10+(AUX!$E$11*AUX!L$2))="","--",INDEX($C$167:$II$186,$F$8,AUX!$E$10+(AUX!$E$11*AUX!L$2)))</f>
        <v>--</v>
      </c>
      <c r="I20" s="290" t="str">
        <f>IF(INDEX($C$167:$II$186,$F$8,AUX!$E$10+(AUX!$E$11*AUX!M$2))="","--",INDEX($C$167:$II$186,$F$8,AUX!$E$10+(AUX!$E$11*AUX!M$2)))</f>
        <v>--</v>
      </c>
      <c r="J20" s="290" t="str">
        <f>IF(INDEX($C$167:$II$186,$F$8,AUX!$E$10+(AUX!$E$11*AUX!N$2))="","--",INDEX($C$167:$II$186,$F$8,AUX!$E$10+(AUX!$E$11*AUX!N$2)))</f>
        <v>--</v>
      </c>
      <c r="K20" s="290" t="str">
        <f>IF(INDEX($C$167:$II$186,$F$8,AUX!$E$10+(AUX!$E$11*AUX!O$2))="","--",INDEX($C$167:$II$186,$F$8,AUX!$E$10+(AUX!$E$11*AUX!O$2)))</f>
        <v>--</v>
      </c>
      <c r="L20" s="290" t="str">
        <f>IF(INDEX($C$167:$II$186,$F$8,AUX!$E$10+(AUX!$E$11*AUX!P$2))="","--",INDEX($C$167:$II$186,$F$8,AUX!$E$10+(AUX!$E$11*AUX!P$2)))</f>
        <v>--</v>
      </c>
      <c r="M20" s="291" t="str">
        <f>IF(INDEX($C$167:$II$186,$F$8,AUX!$E$10+(AUX!$E$11*AUX!Q$2))="","--",INDEX($C$167:$II$186,$F$8,AUX!$E$10+(AUX!$E$11*AUX!Q$2)))</f>
        <v>--</v>
      </c>
    </row>
    <row r="21" ht="15.75" customHeight="1">
      <c r="B21" s="209"/>
      <c r="C21" s="715" t="s">
        <v>427</v>
      </c>
      <c r="D21" s="716"/>
      <c r="E21" s="716"/>
      <c r="F21" s="716"/>
      <c r="G21" s="716"/>
      <c r="H21" s="716"/>
      <c r="I21" s="716"/>
      <c r="J21" s="716"/>
      <c r="K21" s="716"/>
      <c r="L21" s="716"/>
      <c r="M21" s="717"/>
      <c r="N21" s="201"/>
    </row>
    <row r="22" ht="15.75" customHeight="1">
      <c r="B22" s="209"/>
      <c r="C22" s="289" t="str">
        <f>IF(INDEX($C$192:$II$211,$F$8,AUX!$E$10+(AUX!$E$11*AUX!G$2))="","--",INDEX($C$192:$II$211,$F$8,AUX!$E$10+(AUX!$E$11*AUX!G$2)))</f>
        <v>--</v>
      </c>
      <c r="D22" s="290" t="str">
        <f>IF(INDEX($C$192:$II$211,$F$8,AUX!$E$10+(AUX!$E$11*AUX!H$2))="","--",INDEX($C$192:$II$211,$F$8,AUX!$E$10+(AUX!$E$11*AUX!H$2)))</f>
        <v>--</v>
      </c>
      <c r="E22" s="290" t="str">
        <f>IF(INDEX($C$192:$II$211,$F$8,AUX!$E$10+(AUX!$E$11*AUX!I$2))="","--",INDEX($C$192:$II$211,$F$8,AUX!$E$10+(AUX!$E$11*AUX!I$2)))</f>
        <v>--</v>
      </c>
      <c r="F22" s="290" t="str">
        <f>IF(INDEX($C$192:$II$211,$F$8,AUX!$E$10+(AUX!$E$11*AUX!J$2))="","--",INDEX($C$192:$II$211,$F$8,AUX!$E$10+(AUX!$E$11*AUX!J$2)))</f>
        <v>--</v>
      </c>
      <c r="G22" s="290" t="str">
        <f>IF(INDEX($C$192:$II$211,$F$8,AUX!$E$10+(AUX!$E$11*AUX!K$2))="","--",INDEX($C$192:$II$211,$F$8,AUX!$E$10+(AUX!$E$11*AUX!K$2)))</f>
        <v>--</v>
      </c>
      <c r="H22" s="290" t="str">
        <f>IF(INDEX($C$192:$II$211,$F$8,AUX!$E$10+(AUX!$E$11*AUX!L$2))="","--",INDEX($C$192:$II$211,$F$8,AUX!$E$10+(AUX!$E$11*AUX!L$2)))</f>
        <v>--</v>
      </c>
      <c r="I22" s="290" t="str">
        <f>IF(INDEX($C$192:$II$211,$F$8,AUX!$E$10+(AUX!$E$11*AUX!M$2))="","--",INDEX($C$192:$II$211,$F$8,AUX!$E$10+(AUX!$E$11*AUX!M$2)))</f>
        <v>--</v>
      </c>
      <c r="J22" s="290" t="str">
        <f>IF(INDEX($C$192:$II$211,$F$8,AUX!$E$10+(AUX!$E$11*AUX!N$2))="","--",INDEX($C$192:$II$211,$F$8,AUX!$E$10+(AUX!$E$11*AUX!N$2)))</f>
        <v>--</v>
      </c>
      <c r="K22" s="290" t="str">
        <f>IF(INDEX($C$192:$II$211,$F$8,AUX!$E$10+(AUX!$E$11*AUX!O$2))="","--",INDEX($C$192:$II$211,$F$8,AUX!$E$10+(AUX!$E$11*AUX!O$2)))</f>
        <v>--</v>
      </c>
      <c r="L22" s="290" t="str">
        <f>IF(INDEX($C$192:$II$211,$F$8,AUX!$E$10+(AUX!$E$11*AUX!P$2))="","--",INDEX($C$192:$II$211,$F$8,AUX!$E$10+(AUX!$E$11*AUX!P$2)))</f>
        <v>--</v>
      </c>
      <c r="M22" s="291" t="str">
        <f>IF(INDEX($C$192:$II$211,$F$8,AUX!$E$10+(AUX!$E$11*AUX!Q$2))="","--",INDEX($C$192:$II$211,$F$8,AUX!$E$10+(AUX!$E$11*AUX!Q$2)))</f>
        <v>--</v>
      </c>
    </row>
    <row r="23" ht="15.75" customHeight="1">
      <c r="B23" s="209"/>
      <c r="C23" s="715" t="s">
        <v>428</v>
      </c>
      <c r="D23" s="716"/>
      <c r="E23" s="716"/>
      <c r="F23" s="716"/>
      <c r="G23" s="716"/>
      <c r="H23" s="716"/>
      <c r="I23" s="716"/>
      <c r="J23" s="716"/>
      <c r="K23" s="716"/>
      <c r="L23" s="716"/>
      <c r="M23" s="717"/>
      <c r="N23" s="202"/>
    </row>
    <row r="24" ht="15.75" customHeight="1">
      <c r="B24" s="209"/>
      <c r="C24" s="289" t="str">
        <f>IF(INDEX($C$217:$II$236,$F$8,AUX!$E$10+(AUX!$E$11*AUX!G$2))="","--",INDEX($C$217:$II$236,$F$8,AUX!$E$10+(AUX!$E$11*AUX!G$2)))</f>
        <v>--</v>
      </c>
      <c r="D24" s="290" t="str">
        <f>IF(INDEX($C$217:$II$236,$F$8,AUX!$E$10+(AUX!$E$11*AUX!H$2))="","--",INDEX($C$217:$II$236,$F$8,AUX!$E$10+(AUX!$E$11*AUX!H$2)))</f>
        <v>--</v>
      </c>
      <c r="E24" s="290" t="str">
        <f>IF(INDEX($C$217:$II$236,$F$8,AUX!$E$10+(AUX!$E$11*AUX!I$2))="","--",INDEX($C$217:$II$236,$F$8,AUX!$E$10+(AUX!$E$11*AUX!I$2)))</f>
        <v>--</v>
      </c>
      <c r="F24" s="290" t="str">
        <f>IF(INDEX($C$217:$II$236,$F$8,AUX!$E$10+(AUX!$E$11*AUX!J$2))="","--",INDEX($C$217:$II$236,$F$8,AUX!$E$10+(AUX!$E$11*AUX!J$2)))</f>
        <v>--</v>
      </c>
      <c r="G24" s="290" t="str">
        <f>IF(INDEX($C$217:$II$236,$F$8,AUX!$E$10+(AUX!$E$11*AUX!K$2))="","--",INDEX($C$217:$II$236,$F$8,AUX!$E$10+(AUX!$E$11*AUX!K$2)))</f>
        <v>--</v>
      </c>
      <c r="H24" s="290" t="str">
        <f>IF(INDEX($C$217:$II$236,$F$8,AUX!$E$10+(AUX!$E$11*AUX!L$2))="","--",INDEX($C$217:$II$236,$F$8,AUX!$E$10+(AUX!$E$11*AUX!L$2)))</f>
        <v>--</v>
      </c>
      <c r="I24" s="290" t="str">
        <f>IF(INDEX($C$217:$II$236,$F$8,AUX!$E$10+(AUX!$E$11*AUX!M$2))="","--",INDEX($C$217:$II$236,$F$8,AUX!$E$10+(AUX!$E$11*AUX!M$2)))</f>
        <v>--</v>
      </c>
      <c r="J24" s="290" t="str">
        <f>IF(INDEX($C$217:$II$236,$F$8,AUX!$E$10+(AUX!$E$11*AUX!N$2))="","--",INDEX($C$217:$II$236,$F$8,AUX!$E$10+(AUX!$E$11*AUX!N$2)))</f>
        <v>--</v>
      </c>
      <c r="K24" s="290" t="str">
        <f>IF(INDEX($C$217:$II$236,$F$8,AUX!$E$10+(AUX!$E$11*AUX!O$2))="","--",INDEX($C$217:$II$236,$F$8,AUX!$E$10+(AUX!$E$11*AUX!O$2)))</f>
        <v>--</v>
      </c>
      <c r="L24" s="290" t="str">
        <f>IF(INDEX($C$217:$II$236,$F$8,AUX!$E$10+(AUX!$E$11*AUX!P$2))="","--",INDEX($C$217:$II$236,$F$8,AUX!$E$10+(AUX!$E$11*AUX!P$2)))</f>
        <v>--</v>
      </c>
      <c r="M24" s="291" t="str">
        <f>IF(INDEX($C$217:$II$236,$F$8,AUX!$E$10+(AUX!$E$11*AUX!Q$2))="","--",INDEX($C$217:$II$236,$F$8,AUX!$E$10+(AUX!$E$11*AUX!Q$2)))</f>
        <v>--</v>
      </c>
    </row>
    <row r="25" ht="15.75" customHeight="1">
      <c r="B25" s="209"/>
      <c r="C25" s="715" t="s">
        <v>204</v>
      </c>
      <c r="D25" s="716"/>
      <c r="E25" s="716"/>
      <c r="F25" s="716"/>
      <c r="G25" s="716"/>
      <c r="H25" s="716"/>
      <c r="I25" s="716"/>
      <c r="J25" s="716"/>
      <c r="K25" s="716"/>
      <c r="L25" s="716"/>
      <c r="M25" s="717"/>
    </row>
    <row r="26" ht="15.75" customHeight="1">
      <c r="B26" s="209"/>
      <c r="C26" s="289" t="str">
        <f>IF(INDEX($C$267:$II$286,$F$8,AUX!$E$10+(AUX!$E$11*AUX!G$2))="","--",INDEX($C$267:$II$286,$F$8,AUX!$E$10+(AUX!$E$11*AUX!G$2)))</f>
        <v>--</v>
      </c>
      <c r="D26" s="290" t="str">
        <f>IF(INDEX($C$267:$II$286,$F$8,AUX!$E$10+(AUX!$E$11*AUX!H$2))="","--",INDEX($C$267:$II$286,$F$8,AUX!$E$10+(AUX!$E$11*AUX!H$2)))</f>
        <v>--</v>
      </c>
      <c r="E26" s="290" t="str">
        <f>IF(INDEX($C$267:$II$286,$F$8,AUX!$E$10+(AUX!$E$11*AUX!I$2))="","--",INDEX($C$267:$II$286,$F$8,AUX!$E$10+(AUX!$E$11*AUX!I$2)))</f>
        <v>--</v>
      </c>
      <c r="F26" s="290" t="str">
        <f>IF(INDEX($C$267:$II$286,$F$8,AUX!$E$10+(AUX!$E$11*AUX!J$2))="","--",INDEX($C$267:$II$286,$F$8,AUX!$E$10+(AUX!$E$11*AUX!J$2)))</f>
        <v>--</v>
      </c>
      <c r="G26" s="290" t="str">
        <f>IF(INDEX($C$267:$II$286,$F$8,AUX!$E$10+(AUX!$E$11*AUX!K$2))="","--",INDEX($C$267:$II$286,$F$8,AUX!$E$10+(AUX!$E$11*AUX!K$2)))</f>
        <v>--</v>
      </c>
      <c r="H26" s="290" t="str">
        <f>IF(INDEX($C$267:$II$286,$F$8,AUX!$E$10+(AUX!$E$11*AUX!L$2))="","--",INDEX($C$267:$II$286,$F$8,AUX!$E$10+(AUX!$E$11*AUX!L$2)))</f>
        <v>--</v>
      </c>
      <c r="I26" s="290" t="str">
        <f>IF(INDEX($C$267:$II$286,$F$8,AUX!$E$10+(AUX!$E$11*AUX!M$2))="","--",INDEX($C$267:$II$286,$F$8,AUX!$E$10+(AUX!$E$11*AUX!M$2)))</f>
        <v>--</v>
      </c>
      <c r="J26" s="290" t="str">
        <f>IF(INDEX($C$267:$II$286,$F$8,AUX!$E$10+(AUX!$E$11*AUX!N$2))="","--",INDEX($C$267:$II$286,$F$8,AUX!$E$10+(AUX!$E$11*AUX!N$2)))</f>
        <v>--</v>
      </c>
      <c r="K26" s="290" t="str">
        <f>IF(INDEX($C$267:$II$286,$F$8,AUX!$E$10+(AUX!$E$11*AUX!O$2))="","--",INDEX($C$267:$II$286,$F$8,AUX!$E$10+(AUX!$E$11*AUX!O$2)))</f>
        <v>--</v>
      </c>
      <c r="L26" s="290" t="str">
        <f>IF(INDEX($C$267:$II$286,$F$8,AUX!$E$10+(AUX!$E$11*AUX!P$2))="","--",INDEX($C$267:$II$286,$F$8,AUX!$E$10+(AUX!$E$11*AUX!P$2)))</f>
        <v>--</v>
      </c>
      <c r="M26" s="291" t="str">
        <f>IF(INDEX($C$267:$II$286,$F$8,AUX!$E$10+(AUX!$E$11*AUX!Q$2))="","--",INDEX($C$267:$II$286,$F$8,AUX!$E$10+(AUX!$E$11*AUX!Q$2)))</f>
        <v>--</v>
      </c>
    </row>
    <row r="27" ht="15.75" customHeight="1">
      <c r="B27" s="209"/>
      <c r="C27" s="715" t="s">
        <v>106</v>
      </c>
      <c r="D27" s="716"/>
      <c r="E27" s="716"/>
      <c r="F27" s="716"/>
      <c r="G27" s="716"/>
      <c r="H27" s="716"/>
      <c r="I27" s="716"/>
      <c r="J27" s="716"/>
      <c r="K27" s="716"/>
      <c r="L27" s="716"/>
      <c r="M27" s="717"/>
    </row>
    <row r="28" ht="15.75" customHeight="1">
      <c r="B28" s="209"/>
      <c r="C28" s="292" t="str">
        <f>IF(INDEX($C$292:$II$311,$F$8,AUX!$E$10+(AUX!$E$11*AUX!G$2))="","--",INDEX($C$292:$II$311,$F$8,AUX!$E$10+(AUX!$E$11*AUX!G$2)))</f>
        <v>--</v>
      </c>
      <c r="D28" s="293" t="str">
        <f>IF(INDEX($C$292:$II$311,$F$8,AUX!$E$10+(AUX!$E$11*AUX!H$2))="","--",INDEX($C$292:$II$311,$F$8,AUX!$E$10+(AUX!$E$11*AUX!H$2)))</f>
        <v>--</v>
      </c>
      <c r="E28" s="293" t="str">
        <f>IF(INDEX($C$292:$II$311,$F$8,AUX!$E$10+(AUX!$E$11*AUX!I$2))="","--",INDEX($C$292:$II$311,$F$8,AUX!$E$10+(AUX!$E$11*AUX!I$2)))</f>
        <v>--</v>
      </c>
      <c r="F28" s="293" t="str">
        <f>IF(INDEX($C$292:$II$311,$F$8,AUX!$E$10+(AUX!$E$11*AUX!J$2))="","--",INDEX($C$292:$II$311,$F$8,AUX!$E$10+(AUX!$E$11*AUX!J$2)))</f>
        <v>--</v>
      </c>
      <c r="G28" s="293" t="str">
        <f>IF(INDEX($C$292:$II$311,$F$8,AUX!$E$10+(AUX!$E$11*AUX!K$2))="","--",INDEX($C$292:$II$311,$F$8,AUX!$E$10+(AUX!$E$11*AUX!K$2)))</f>
        <v>--</v>
      </c>
      <c r="H28" s="293" t="str">
        <f>IF(INDEX($C$292:$II$311,$F$8,AUX!$E$10+(AUX!$E$11*AUX!L$2))="","--",INDEX($C$292:$II$311,$F$8,AUX!$E$10+(AUX!$E$11*AUX!L$2)))</f>
        <v>--</v>
      </c>
      <c r="I28" s="293" t="str">
        <f>IF(INDEX($C$292:$II$311,$F$8,AUX!$E$10+(AUX!$E$11*AUX!M$2))="","--",INDEX($C$292:$II$311,$F$8,AUX!$E$10+(AUX!$E$11*AUX!M$2)))</f>
        <v>--</v>
      </c>
      <c r="J28" s="293" t="str">
        <f>IF(INDEX($C$292:$II$311,$F$8,AUX!$E$10+(AUX!$E$11*AUX!N$2))="","--",INDEX($C$292:$II$311,$F$8,AUX!$E$10+(AUX!$E$11*AUX!N$2)))</f>
        <v>--</v>
      </c>
      <c r="K28" s="293" t="str">
        <f>IF(INDEX($C$292:$II$311,$F$8,AUX!$E$10+(AUX!$E$11*AUX!O$2))="","--",INDEX($C$292:$II$311,$F$8,AUX!$E$10+(AUX!$E$11*AUX!O$2)))</f>
        <v>--</v>
      </c>
      <c r="L28" s="293" t="str">
        <f>IF(INDEX($C$292:$II$311,$F$8,AUX!$E$10+(AUX!$E$11*AUX!P$2))="","--",INDEX($C$292:$II$311,$F$8,AUX!$E$10+(AUX!$E$11*AUX!P$2)))</f>
        <v>--</v>
      </c>
      <c r="M28" s="293" t="str">
        <f>IF(INDEX($C$292:$II$311,$F$8,AUX!$E$10+(AUX!$E$11*AUX!Q$2))="","--",INDEX($C$292:$II$311,$F$8,AUX!$E$10+(AUX!$E$11*AUX!Q$2)))</f>
        <v>--</v>
      </c>
    </row>
    <row r="31" ht="12.75" customHeight="1">
      <c r="C31"/>
      <c r="D31"/>
      <c r="E31"/>
      <c r="F31"/>
      <c r="G31"/>
      <c r="H31"/>
      <c r="I31"/>
      <c r="J31"/>
      <c r="K31"/>
      <c r="L31"/>
      <c r="M31"/>
    </row>
    <row r="32">
      <c r="A32" s="164"/>
      <c r="B32" s="164"/>
      <c r="C32"/>
      <c r="D32"/>
      <c r="E32"/>
      <c r="F32"/>
      <c r="G32"/>
      <c r="H32"/>
      <c r="I32"/>
      <c r="J32"/>
      <c r="K32"/>
      <c r="L32"/>
      <c r="M32"/>
    </row>
    <row r="92"/>
    <row r="102">
      <c r="C102" s="51" t="s">
        <v>108</v>
      </c>
    </row>
    <row r="139" hidden="1"/>
    <row r="140" hidden="1" ht="13.5">
      <c r="C140" s="686" t="s">
        <v>258</v>
      </c>
      <c r="D140" s="687"/>
      <c r="E140" s="687"/>
      <c r="F140" s="687"/>
      <c r="G140" s="687"/>
      <c r="H140" s="687"/>
      <c r="I140" s="687"/>
      <c r="J140" s="687"/>
      <c r="K140" s="687"/>
      <c r="L140" s="687"/>
      <c r="M140" s="687"/>
      <c r="N140" s="687"/>
      <c r="O140" s="687"/>
      <c r="P140" s="687"/>
      <c r="Q140" s="687"/>
      <c r="R140" s="687"/>
      <c r="S140" s="687"/>
      <c r="T140" s="687"/>
      <c r="U140" s="687"/>
      <c r="V140" s="687"/>
      <c r="W140" s="687"/>
      <c r="X140" s="687"/>
      <c r="Y140" s="687"/>
      <c r="Z140" s="687"/>
      <c r="AA140" s="687"/>
      <c r="AB140" s="688"/>
    </row>
    <row r="141" hidden="1" ht="13.5">
      <c r="C141" s="435" t="str">
        <f> IF(C161&lt;&gt;"",TEXT(AUX!G$1,"dd-MMM-aa"),"")</f>
      </c>
      <c r="D141" s="435" t="str">
        <f> IF(D161&lt;&gt;"",TEXT(AUX!H$1,"dd-MMM-aa"),"")</f>
      </c>
      <c r="E141" s="435" t="str">
        <f> IF(E161&lt;&gt;"",TEXT(AUX!I$1,"dd-MMM-aa"),"")</f>
      </c>
      <c r="F141" s="435" t="str">
        <f> IF(F161&lt;&gt;"",TEXT(AUX!J$1,"dd-MMM-aa"),"")</f>
      </c>
      <c r="G141" s="435" t="str">
        <f> IF(G161&lt;&gt;"",TEXT(AUX!K$1,"dd-MMM-aa"),"")</f>
      </c>
      <c r="H141" s="435" t="str">
        <f> IF(H161&lt;&gt;"",TEXT(AUX!L$1,"dd-MMM-aa"),"")</f>
      </c>
      <c r="I141" s="435" t="str">
        <f> IF(I161&lt;&gt;"",TEXT(AUX!M$1,"dd-MMM-aa"),"")</f>
      </c>
      <c r="J141" s="435" t="str">
        <f> IF(J161&lt;&gt;"",TEXT(AUX!N$1,"dd-MMM-aa"),"")</f>
      </c>
      <c r="K141" s="435" t="str">
        <f> IF(K161&lt;&gt;"",TEXT(AUX!O$1,"dd-MMM-aa"),"")</f>
      </c>
      <c r="L141" s="435" t="str">
        <f> IF(L161&lt;&gt;"",TEXT(AUX!P$1,"dd-MMM-aa"),"")</f>
      </c>
      <c r="M141" s="435" t="str">
        <f> IF(M161&lt;&gt;"",TEXT(AUX!Q$1,"dd-MMM-aa"),"")</f>
      </c>
      <c r="N141" s="435" t="str">
        <f> IF(N161&lt;&gt;"",TEXT(AUX!R$1,"dd-MMM-aa"),"")</f>
      </c>
      <c r="O141" s="435" t="str">
        <f> IF(O161&lt;&gt;"",TEXT(AUX!S$1,"dd-MMM-aa"),"")</f>
      </c>
      <c r="P141" s="435" t="str">
        <f> IF(P161&lt;&gt;"",TEXT(AUX!T$1,"dd-MMM-aa"),"")</f>
      </c>
      <c r="Q141" s="435" t="str">
        <f> IF(Q161&lt;&gt;"",TEXT(AUX!U$1,"dd-MMM-aa"),"")</f>
      </c>
      <c r="R141" s="435" t="str">
        <f> IF(R161&lt;&gt;"",TEXT(AUX!V$1,"dd-MMM-aa"),"")</f>
      </c>
      <c r="S141" s="435" t="str">
        <f> IF(S161&lt;&gt;"",TEXT(AUX!W$1,"dd-MMM-aa"),"")</f>
      </c>
      <c r="T141" s="435" t="str">
        <f> IF(T161&lt;&gt;"",TEXT(AUX!X$1,"dd-MMM-aa"),"")</f>
      </c>
      <c r="U141" s="435" t="str">
        <f> IF(U161&lt;&gt;"",TEXT(AUX!Y$1,"dd-MMM-aa"),"")</f>
      </c>
      <c r="V141" s="435" t="str">
        <f> IF(V161&lt;&gt;"",TEXT(AUX!Z$1,"dd-MMM-aa"),"")</f>
      </c>
      <c r="W141" s="435" t="str">
        <f> IF(W161&lt;&gt;"",TEXT(AUX!AA$1,"dd-MMM-aa"),"")</f>
      </c>
      <c r="X141" s="435" t="str">
        <f> IF(X161&lt;&gt;"",TEXT(AUX!AB$1,"dd-MMM-aa"),"")</f>
      </c>
      <c r="Y141" s="435" t="str">
        <f> IF(Y161&lt;&gt;"",TEXT(AUX!AC$1,"dd-MMM-aa"),"")</f>
      </c>
      <c r="Z141" s="435" t="str">
        <f> IF(Z161&lt;&gt;"",TEXT(AUX!AD$1,"dd-MMM-aa"),"")</f>
      </c>
      <c r="AA141" s="435" t="str">
        <f> IF(AA161&lt;&gt;"",TEXT(AUX!AE$1,"dd-MMM-aa"),"")</f>
      </c>
      <c r="AB141" s="497" t="str">
        <f> IF(AB161&lt;&gt;"",TEXT(AUX!AF$1,"dd-MMM-aa"),"")</f>
      </c>
      <c r="AC141" s="496" t="str">
        <f> IF(AC161&lt;&gt;"",TEXT(AUX!AG$1,"dd-MMM-aa"),"")</f>
      </c>
      <c r="AD141" s="496" t="str">
        <f> IF(AD161&lt;&gt;"",TEXT(AUX!AH$1,"dd-MMM-aa"),"")</f>
      </c>
      <c r="AE141" s="496" t="str">
        <f> IF(AE161&lt;&gt;"",TEXT(AUX!AI$1,"dd-MMM-aa"),"")</f>
      </c>
      <c r="AF141" s="496" t="str">
        <f> IF(AF161&lt;&gt;"",TEXT(AUX!AJ$1,"dd-MMM-aa"),"")</f>
      </c>
      <c r="AG141" s="496" t="str">
        <f> IF(AG161&lt;&gt;"",TEXT(AUX!AK$1,"dd-MMM-aa"),"")</f>
      </c>
      <c r="AH141" s="496" t="str">
        <f> IF(AH161&lt;&gt;"",TEXT(AUX!AL$1,"dd-MMM-aa"),"")</f>
      </c>
      <c r="AI141" s="496" t="str">
        <f> IF(AI161&lt;&gt;"",TEXT(AUX!AM$1,"dd-MMM-aa"),"")</f>
      </c>
      <c r="AJ141" s="496" t="str">
        <f> IF(AJ161&lt;&gt;"",TEXT(AUX!AN$1,"dd-MMM-aa"),"")</f>
      </c>
      <c r="AK141" s="496" t="str">
        <f> IF(AK161&lt;&gt;"",TEXT(AUX!AO$1,"dd-MMM-aa"),"")</f>
      </c>
      <c r="AL141" s="496" t="str">
        <f> IF(AL161&lt;&gt;"",TEXT(AUX!AP$1,"dd-MMM-aa"),"")</f>
      </c>
      <c r="AM141" s="496" t="str">
        <f> IF(AM161&lt;&gt;"",TEXT(AUX!AQ$1,"dd-MMM-aa"),"")</f>
      </c>
      <c r="AN141" s="496" t="str">
        <f> IF(AN161&lt;&gt;"",TEXT(AUX!AR$1,"dd-MMM-aa"),"")</f>
      </c>
      <c r="AO141" s="496" t="str">
        <f> IF(AO161&lt;&gt;"",TEXT(AUX!AS$1,"dd-MMM-aa"),"")</f>
      </c>
      <c r="AP141" s="496" t="str">
        <f> IF(AP161&lt;&gt;"",TEXT(AUX!AT$1,"dd-MMM-aa"),"")</f>
      </c>
      <c r="AQ141" s="496" t="str">
        <f> IF(AQ161&lt;&gt;"",TEXT(AUX!AU$1,"dd-MMM-aa"),"")</f>
      </c>
      <c r="AR141" s="496" t="str">
        <f> IF(AR161&lt;&gt;"",TEXT(AUX!AV$1,"dd-MMM-aa"),"")</f>
      </c>
      <c r="AS141" s="496" t="str">
        <f> IF(AS161&lt;&gt;"",TEXT(AUX!AW$1,"dd-MMM-aa"),"")</f>
      </c>
      <c r="AT141" s="496" t="str">
        <f> IF(AT161&lt;&gt;"",TEXT(AUX!AX$1,"dd-MMM-aa"),"")</f>
      </c>
      <c r="AU141" s="496" t="str">
        <f> IF(AU161&lt;&gt;"",TEXT(AUX!AY$1,"dd-MMM-aa"),"")</f>
      </c>
      <c r="AV141" s="496" t="str">
        <f> IF(AV161&lt;&gt;"",TEXT(AUX!AZ$1,"dd-MMM-aa"),"")</f>
      </c>
      <c r="AW141" s="496" t="str">
        <f> IF(AW161&lt;&gt;"",TEXT(AUX!BA$1,"dd-MMM-aa"),"")</f>
      </c>
      <c r="AX141" s="496" t="str">
        <f> IF(AX161&lt;&gt;"",TEXT(AUX!BB$1,"dd-MMM-aa"),"")</f>
      </c>
      <c r="AY141" s="496" t="str">
        <f> IF(AY161&lt;&gt;"",TEXT(AUX!BC$1,"dd-MMM-aa"),"")</f>
      </c>
      <c r="AZ141" s="496" t="str">
        <f> IF(AZ161&lt;&gt;"",TEXT(AUX!BD$1,"dd-MMM-aa"),"")</f>
      </c>
      <c r="BA141" s="496" t="str">
        <f> IF(BA161&lt;&gt;"",TEXT(AUX!BE$1,"dd-MMM-aa"),"")</f>
      </c>
      <c r="BB141" s="496" t="str">
        <f> IF(BB161&lt;&gt;"",TEXT(AUX!BF$1,"dd-MMM-aa"),"")</f>
      </c>
      <c r="BC141" s="496" t="str">
        <f> IF(BC161&lt;&gt;"",TEXT(AUX!BG$1,"dd-MMM-aa"),"")</f>
      </c>
      <c r="BD141" s="496" t="str">
        <f> IF(BD161&lt;&gt;"",TEXT(AUX!BH$1,"dd-MMM-aa"),"")</f>
      </c>
      <c r="BE141" s="496" t="str">
        <f> IF(BE161&lt;&gt;"",TEXT(AUX!BI$1,"dd-MMM-aa"),"")</f>
      </c>
      <c r="BF141" s="496" t="str">
        <f> IF(BF161&lt;&gt;"",TEXT(AUX!BJ$1,"dd-MMM-aa"),"")</f>
      </c>
      <c r="BG141" s="496" t="str">
        <f> IF(BG161&lt;&gt;"",TEXT(AUX!BK$1,"dd-MMM-aa"),"")</f>
      </c>
      <c r="BH141" s="496" t="str">
        <f> IF(BH161&lt;&gt;"",TEXT(AUX!BL$1,"dd-MMM-aa"),"")</f>
      </c>
      <c r="BI141" s="496" t="str">
        <f> IF(BI161&lt;&gt;"",TEXT(AUX!BM$1,"dd-MMM-aa"),"")</f>
      </c>
      <c r="BJ141" s="496" t="str">
        <f> IF(BJ161&lt;&gt;"",TEXT(AUX!BN$1,"dd-MMM-aa"),"")</f>
      </c>
      <c r="BK141" s="496" t="str">
        <f> IF(BK161&lt;&gt;"",TEXT(AUX!BO$1,"dd-MMM-aa"),"")</f>
      </c>
      <c r="BL141" s="496" t="str">
        <f> IF(BL161&lt;&gt;"",TEXT(AUX!BP$1,"dd-MMM-aa"),"")</f>
      </c>
      <c r="BM141" s="496" t="str">
        <f> IF(BM161&lt;&gt;"",TEXT(AUX!BQ$1,"dd-MMM-aa"),"")</f>
      </c>
      <c r="BN141" s="496" t="str">
        <f> IF(BN161&lt;&gt;"",TEXT(AUX!BR$1,"dd-MMM-aa"),"")</f>
      </c>
      <c r="BO141" s="496" t="str">
        <f> IF(BO161&lt;&gt;"",TEXT(AUX!BS$1,"dd-MMM-aa"),"")</f>
      </c>
      <c r="BP141" s="496" t="str">
        <f> IF(BP161&lt;&gt;"",TEXT(AUX!BT$1,"dd-MMM-aa"),"")</f>
      </c>
      <c r="BQ141" s="496" t="str">
        <f> IF(BQ161&lt;&gt;"",TEXT(AUX!BU$1,"dd-MMM-aa"),"")</f>
      </c>
      <c r="BR141" s="496" t="str">
        <f> IF(BR161&lt;&gt;"",TEXT(AUX!BV$1,"dd-MMM-aa"),"")</f>
      </c>
      <c r="BS141" s="496" t="str">
        <f> IF(BS161&lt;&gt;"",TEXT(AUX!BW$1,"dd-MMM-aa"),"")</f>
      </c>
      <c r="BT141" s="496" t="str">
        <f> IF(BT161&lt;&gt;"",TEXT(AUX!BX$1,"dd-MMM-aa"),"")</f>
      </c>
      <c r="BU141" s="496" t="str">
        <f> IF(BU161&lt;&gt;"",TEXT(AUX!BY$1,"dd-MMM-aa"),"")</f>
      </c>
      <c r="BV141" s="496" t="str">
        <f> IF(BV161&lt;&gt;"",TEXT(AUX!BZ$1,"dd-MMM-aa"),"")</f>
      </c>
      <c r="BW141" s="496" t="str">
        <f> IF(BW161&lt;&gt;"",TEXT(AUX!CA$1,"dd-MMM-aa"),"")</f>
      </c>
      <c r="BX141" s="496" t="str">
        <f> IF(BX161&lt;&gt;"",TEXT(AUX!CB$1,"dd-MMM-aa"),"")</f>
      </c>
      <c r="BY141" s="496" t="str">
        <f> IF(BY161&lt;&gt;"",TEXT(AUX!CC$1,"dd-MMM-aa"),"")</f>
      </c>
      <c r="BZ141" s="496" t="str">
        <f> IF(BZ161&lt;&gt;"",TEXT(AUX!CD$1,"dd-MMM-aa"),"")</f>
      </c>
      <c r="CA141" s="496" t="str">
        <f> IF(CA161&lt;&gt;"",TEXT(AUX!CE$1,"dd-MMM-aa"),"")</f>
      </c>
      <c r="CB141" s="496" t="str">
        <f> IF(CB161&lt;&gt;"",TEXT(AUX!CF$1,"dd-MMM-aa"),"")</f>
      </c>
      <c r="CC141" s="496" t="str">
        <f> IF(CC161&lt;&gt;"",TEXT(AUX!CG$1,"dd-MMM-aa"),"")</f>
      </c>
      <c r="CD141" s="496" t="str">
        <f> IF(CD161&lt;&gt;"",TEXT(AUX!CH$1,"dd-MMM-aa"),"")</f>
      </c>
      <c r="CE141" s="496" t="str">
        <f> IF(CE161&lt;&gt;"",TEXT(AUX!CI$1,"dd-MMM-aa"),"")</f>
      </c>
      <c r="CF141" s="496" t="str">
        <f> IF(CF161&lt;&gt;"",TEXT(AUX!CJ$1,"dd-MMM-aa"),"")</f>
      </c>
      <c r="CG141" s="496" t="str">
        <f> IF(CG161&lt;&gt;"",TEXT(AUX!CK$1,"dd-MMM-aa"),"")</f>
      </c>
      <c r="CH141" s="496" t="str">
        <f> IF(CH161&lt;&gt;"",TEXT(AUX!CL$1,"dd-MMM-aa"),"")</f>
      </c>
      <c r="CI141" s="496" t="str">
        <f> IF(CI161&lt;&gt;"",TEXT(AUX!CM$1,"dd-MMM-aa"),"")</f>
      </c>
      <c r="CJ141" s="496" t="str">
        <f> IF(CJ161&lt;&gt;"",TEXT(AUX!CN$1,"dd-MMM-aa"),"")</f>
      </c>
      <c r="CK141" s="496" t="str">
        <f> IF(CK161&lt;&gt;"",TEXT(AUX!CO$1,"dd-MMM-aa"),"")</f>
      </c>
      <c r="CL141" s="496" t="str">
        <f> IF(CL161&lt;&gt;"",TEXT(AUX!CP$1,"dd-MMM-aa"),"")</f>
      </c>
      <c r="CM141" s="496" t="str">
        <f> IF(CM161&lt;&gt;"",TEXT(AUX!CQ$1,"dd-MMM-aa"),"")</f>
      </c>
      <c r="CN141" s="496" t="str">
        <f> IF(CN161&lt;&gt;"",TEXT(AUX!CR$1,"dd-MMM-aa"),"")</f>
      </c>
      <c r="CO141" s="496" t="str">
        <f> IF(CO161&lt;&gt;"",TEXT(AUX!CS$1,"dd-MMM-aa"),"")</f>
      </c>
      <c r="CP141" s="496" t="str">
        <f> IF(CP161&lt;&gt;"",TEXT(AUX!CT$1,"dd-MMM-aa"),"")</f>
      </c>
      <c r="CQ141" s="496" t="str">
        <f> IF(CQ161&lt;&gt;"",TEXT(AUX!CU$1,"dd-MMM-aa"),"")</f>
      </c>
      <c r="CR141" s="496" t="str">
        <f> IF(CR161&lt;&gt;"",TEXT(AUX!CV$1,"dd-MMM-aa"),"")</f>
      </c>
      <c r="CS141" s="496" t="str">
        <f> IF(CS161&lt;&gt;"",TEXT(AUX!CW$1,"dd-MMM-aa"),"")</f>
      </c>
      <c r="CT141" s="496" t="str">
        <f> IF(CT161&lt;&gt;"",TEXT(AUX!CX$1,"dd-MMM-aa"),"")</f>
      </c>
      <c r="CU141" s="496" t="str">
        <f> IF(CU161&lt;&gt;"",TEXT(AUX!CY$1,"dd-MMM-aa"),"")</f>
      </c>
      <c r="CV141" s="496" t="str">
        <f> IF(CV161&lt;&gt;"",TEXT(AUX!CZ$1,"dd-MMM-aa"),"")</f>
      </c>
      <c r="CW141" s="496" t="str">
        <f> IF(CW161&lt;&gt;"",TEXT(AUX!DA$1,"dd-MMM-aa"),"")</f>
      </c>
      <c r="CX141" s="496" t="str">
        <f> IF(CX161&lt;&gt;"",TEXT(AUX!DB$1,"dd-MMM-aa"),"")</f>
      </c>
      <c r="CY141" s="496" t="str">
        <f> IF(CY161&lt;&gt;"",TEXT(AUX!DC$1,"dd-MMM-aa"),"")</f>
      </c>
      <c r="CZ141" s="496" t="str">
        <f> IF(CZ161&lt;&gt;"",TEXT(AUX!DD$1,"dd-MMM-aa"),"")</f>
      </c>
      <c r="DA141" s="496" t="str">
        <f> IF(DA161&lt;&gt;"",TEXT(AUX!DE$1,"dd-MMM-aa"),"")</f>
      </c>
      <c r="DB141" s="496" t="str">
        <f> IF(DB161&lt;&gt;"",TEXT(AUX!DF$1,"dd-MMM-aa"),"")</f>
      </c>
      <c r="DC141" s="496" t="str">
        <f> IF(DC161&lt;&gt;"",TEXT(AUX!DG$1,"dd-MMM-aa"),"")</f>
      </c>
      <c r="DD141" s="496" t="str">
        <f> IF(DD161&lt;&gt;"",TEXT(AUX!DH$1,"dd-MMM-aa"),"")</f>
      </c>
      <c r="DE141" s="496" t="str">
        <f> IF(DE161&lt;&gt;"",TEXT(AUX!DI$1,"dd-MMM-aa"),"")</f>
      </c>
      <c r="DF141" s="496" t="str">
        <f> IF(DF161&lt;&gt;"",TEXT(AUX!DJ$1,"dd-MMM-aa"),"")</f>
      </c>
      <c r="DG141" s="496" t="str">
        <f> IF(DG161&lt;&gt;"",TEXT(AUX!DK$1,"dd-MMM-aa"),"")</f>
      </c>
      <c r="DH141" s="496" t="str">
        <f> IF(DH161&lt;&gt;"",TEXT(AUX!DL$1,"dd-MMM-aa"),"")</f>
      </c>
      <c r="DI141" s="496" t="str">
        <f> IF(DI161&lt;&gt;"",TEXT(AUX!DM$1,"dd-MMM-aa"),"")</f>
      </c>
      <c r="DJ141" s="496" t="str">
        <f> IF(DJ161&lt;&gt;"",TEXT(AUX!DN$1,"dd-MMM-aa"),"")</f>
      </c>
      <c r="DK141" s="496" t="str">
        <f> IF(DK161&lt;&gt;"",TEXT(AUX!DO$1,"dd-MMM-aa"),"")</f>
      </c>
      <c r="DL141" s="496" t="str">
        <f> IF(DL161&lt;&gt;"",TEXT(AUX!DP$1,"dd-MMM-aa"),"")</f>
      </c>
      <c r="DM141" s="496" t="str">
        <f> IF(DM161&lt;&gt;"",TEXT(AUX!DQ$1,"dd-MMM-aa"),"")</f>
      </c>
      <c r="DN141" s="496" t="str">
        <f> IF(DN161&lt;&gt;"",TEXT(AUX!DR$1,"dd-MMM-aa"),"")</f>
      </c>
      <c r="DO141" s="496" t="str">
        <f> IF(DO161&lt;&gt;"",TEXT(AUX!DS$1,"dd-MMM-aa"),"")</f>
      </c>
      <c r="DP141" s="496" t="str">
        <f> IF(DP161&lt;&gt;"",TEXT(AUX!DT$1,"dd-MMM-aa"),"")</f>
      </c>
      <c r="DQ141" s="496" t="str">
        <f> IF(DQ161&lt;&gt;"",TEXT(AUX!DU$1,"dd-MMM-aa"),"")</f>
      </c>
      <c r="DR141" s="496" t="str">
        <f> IF(DR161&lt;&gt;"",TEXT(AUX!DV$1,"dd-MMM-aa"),"")</f>
      </c>
      <c r="DS141" s="496" t="str">
        <f> IF(DS161&lt;&gt;"",TEXT(AUX!DW$1,"dd-MMM-aa"),"")</f>
      </c>
      <c r="DT141" s="496" t="str">
        <f> IF(DT161&lt;&gt;"",TEXT(AUX!DX$1,"dd-MMM-aa"),"")</f>
      </c>
      <c r="DU141" s="496" t="str">
        <f> IF(DU161&lt;&gt;"",TEXT(AUX!DY$1,"dd-MMM-aa"),"")</f>
      </c>
      <c r="DV141" s="496" t="str">
        <f> IF(DV161&lt;&gt;"",TEXT(AUX!DZ$1,"dd-MMM-aa"),"")</f>
      </c>
      <c r="DW141" s="496" t="str">
        <f> IF(DW161&lt;&gt;"",TEXT(AUX!EA$1,"dd-MMM-aa"),"")</f>
      </c>
      <c r="DX141" s="496" t="str">
        <f> IF(DX161&lt;&gt;"",TEXT(AUX!EB$1,"dd-MMM-aa"),"")</f>
      </c>
      <c r="DY141" s="496" t="str">
        <f> IF(DY161&lt;&gt;"",TEXT(AUX!EC$1,"dd-MMM-aa"),"")</f>
      </c>
      <c r="DZ141" s="496" t="str">
        <f> IF(DZ161&lt;&gt;"",TEXT(AUX!ED$1,"dd-MMM-aa"),"")</f>
      </c>
      <c r="EA141" s="496" t="str">
        <f> IF(EA161&lt;&gt;"",TEXT(AUX!EE$1,"dd-MMM-aa"),"")</f>
      </c>
      <c r="EB141" s="496" t="str">
        <f> IF(EB161&lt;&gt;"",TEXT(AUX!EF$1,"dd-MMM-aa"),"")</f>
      </c>
      <c r="EC141" s="496" t="str">
        <f> IF(EC161&lt;&gt;"",TEXT(AUX!EG$1,"dd-MMM-aa"),"")</f>
      </c>
      <c r="ED141" s="496" t="str">
        <f> IF(ED161&lt;&gt;"",TEXT(AUX!EH$1,"dd-MMM-aa"),"")</f>
      </c>
      <c r="EE141" s="496" t="str">
        <f> IF(EE161&lt;&gt;"",TEXT(AUX!EI$1,"dd-MMM-aa"),"")</f>
      </c>
      <c r="EF141" s="496" t="str">
        <f> IF(EF161&lt;&gt;"",TEXT(AUX!EJ$1,"dd-MMM-aa"),"")</f>
      </c>
      <c r="EG141" s="496" t="str">
        <f> IF(EG161&lt;&gt;"",TEXT(AUX!EK$1,"dd-MMM-aa"),"")</f>
      </c>
      <c r="EH141" s="496" t="str">
        <f> IF(EH161&lt;&gt;"",TEXT(AUX!EL$1,"dd-MMM-aa"),"")</f>
      </c>
      <c r="EI141" s="496" t="str">
        <f> IF(EI161&lt;&gt;"",TEXT(AUX!EM$1,"dd-MMM-aa"),"")</f>
      </c>
      <c r="EJ141" s="496" t="str">
        <f> IF(EJ161&lt;&gt;"",TEXT(AUX!EN$1,"dd-MMM-aa"),"")</f>
      </c>
      <c r="EK141" s="496" t="str">
        <f> IF(EK161&lt;&gt;"",TEXT(AUX!EO$1,"dd-MMM-aa"),"")</f>
      </c>
      <c r="EL141" s="496" t="str">
        <f> IF(EL161&lt;&gt;"",TEXT(AUX!EP$1,"dd-MMM-aa"),"")</f>
      </c>
      <c r="EM141" s="496" t="str">
        <f> IF(EM161&lt;&gt;"",TEXT(AUX!EQ$1,"dd-MMM-aa"),"")</f>
      </c>
      <c r="EN141" s="496" t="str">
        <f> IF(EN161&lt;&gt;"",TEXT(AUX!ER$1,"dd-MMM-aa"),"")</f>
      </c>
      <c r="EO141" s="496" t="str">
        <f> IF(EO161&lt;&gt;"",TEXT(AUX!ES$1,"dd-MMM-aa"),"")</f>
      </c>
      <c r="EP141" s="496" t="str">
        <f> IF(EP161&lt;&gt;"",TEXT(AUX!ET$1,"dd-MMM-aa"),"")</f>
      </c>
      <c r="EQ141" s="496" t="str">
        <f> IF(EQ161&lt;&gt;"",TEXT(AUX!EU$1,"dd-MMM-aa"),"")</f>
      </c>
      <c r="ER141" s="496" t="str">
        <f> IF(ER161&lt;&gt;"",TEXT(AUX!EV$1,"dd-MMM-aa"),"")</f>
      </c>
      <c r="ES141" s="496" t="str">
        <f> IF(ES161&lt;&gt;"",TEXT(AUX!EW$1,"dd-MMM-aa"),"")</f>
      </c>
      <c r="ET141" s="496" t="str">
        <f> IF(ET161&lt;&gt;"",TEXT(AUX!EX$1,"dd-MMM-aa"),"")</f>
      </c>
      <c r="EU141" s="496" t="str">
        <f> IF(EU161&lt;&gt;"",TEXT(AUX!EY$1,"dd-MMM-aa"),"")</f>
      </c>
      <c r="EV141" s="496" t="str">
        <f> IF(EV161&lt;&gt;"",TEXT(AUX!EZ$1,"dd-MMM-aa"),"")</f>
      </c>
      <c r="EW141" s="496" t="str">
        <f> IF(EW161&lt;&gt;"",TEXT(AUX!FA$1,"dd-MMM-aa"),"")</f>
      </c>
      <c r="EX141" s="496" t="str">
        <f> IF(EX161&lt;&gt;"",TEXT(AUX!FB$1,"dd-MMM-aa"),"")</f>
      </c>
      <c r="EY141" s="496" t="str">
        <f> IF(EY161&lt;&gt;"",TEXT(AUX!FC$1,"dd-MMM-aa"),"")</f>
      </c>
      <c r="EZ141" s="496" t="str">
        <f> IF(EZ161&lt;&gt;"",TEXT(AUX!FD$1,"dd-MMM-aa"),"")</f>
      </c>
      <c r="FA141" s="496" t="str">
        <f> IF(FA161&lt;&gt;"",TEXT(AUX!FE$1,"dd-MMM-aa"),"")</f>
      </c>
      <c r="FB141" s="496" t="str">
        <f> IF(FB161&lt;&gt;"",TEXT(AUX!FF$1,"dd-MMM-aa"),"")</f>
      </c>
      <c r="FC141" s="496" t="str">
        <f> IF(FC161&lt;&gt;"",TEXT(AUX!FG$1,"dd-MMM-aa"),"")</f>
      </c>
      <c r="FD141" s="496" t="str">
        <f> IF(FD161&lt;&gt;"",TEXT(AUX!FH$1,"dd-MMM-aa"),"")</f>
      </c>
      <c r="FE141" s="496" t="str">
        <f> IF(FE161&lt;&gt;"",TEXT(AUX!FI$1,"dd-MMM-aa"),"")</f>
      </c>
      <c r="FF141" s="496" t="str">
        <f> IF(FF161&lt;&gt;"",TEXT(AUX!FJ$1,"dd-MMM-aa"),"")</f>
      </c>
      <c r="FG141" s="496" t="str">
        <f> IF(FG161&lt;&gt;"",TEXT(AUX!FK$1,"dd-MMM-aa"),"")</f>
      </c>
      <c r="FH141" s="496" t="str">
        <f> IF(FH161&lt;&gt;"",TEXT(AUX!FL$1,"dd-MMM-aa"),"")</f>
      </c>
      <c r="FI141" s="496" t="str">
        <f> IF(FI161&lt;&gt;"",TEXT(AUX!FM$1,"dd-MMM-aa"),"")</f>
      </c>
      <c r="FJ141" s="496" t="str">
        <f> IF(FJ161&lt;&gt;"",TEXT(AUX!FN$1,"dd-MMM-aa"),"")</f>
      </c>
      <c r="FK141" s="496" t="str">
        <f> IF(FK161&lt;&gt;"",TEXT(AUX!FO$1,"dd-MMM-aa"),"")</f>
      </c>
      <c r="FL141" s="496" t="str">
        <f> IF(FL161&lt;&gt;"",TEXT(AUX!FP$1,"dd-MMM-aa"),"")</f>
      </c>
      <c r="FM141" s="496" t="str">
        <f> IF(FM161&lt;&gt;"",TEXT(AUX!FQ$1,"dd-MMM-aa"),"")</f>
      </c>
      <c r="FN141" s="496" t="str">
        <f> IF(FN161&lt;&gt;"",TEXT(AUX!FR$1,"dd-MMM-aa"),"")</f>
      </c>
      <c r="FO141" s="496" t="str">
        <f> IF(FO161&lt;&gt;"",TEXT(AUX!FS$1,"dd-MMM-aa"),"")</f>
      </c>
      <c r="FP141" s="496" t="str">
        <f> IF(FP161&lt;&gt;"",TEXT(AUX!FT$1,"dd-MMM-aa"),"")</f>
      </c>
      <c r="FQ141" s="496" t="str">
        <f> IF(FQ161&lt;&gt;"",TEXT(AUX!FU$1,"dd-MMM-aa"),"")</f>
      </c>
      <c r="FR141" s="496" t="str">
        <f> IF(FR161&lt;&gt;"",TEXT(AUX!FV$1,"dd-MMM-aa"),"")</f>
      </c>
      <c r="FS141" s="496" t="str">
        <f> IF(FS161&lt;&gt;"",TEXT(AUX!FW$1,"dd-MMM-aa"),"")</f>
      </c>
      <c r="FT141" s="496" t="str">
        <f> IF(FT161&lt;&gt;"",TEXT(AUX!FX$1,"dd-MMM-aa"),"")</f>
      </c>
      <c r="FU141" s="496" t="str">
        <f> IF(FU161&lt;&gt;"",TEXT(AUX!FY$1,"dd-MMM-aa"),"")</f>
      </c>
      <c r="FV141" s="496" t="str">
        <f> IF(FV161&lt;&gt;"",TEXT(AUX!FZ$1,"dd-MMM-aa"),"")</f>
      </c>
      <c r="FW141" s="496" t="str">
        <f> IF(FW161&lt;&gt;"",TEXT(AUX!GA$1,"dd-MMM-aa"),"")</f>
      </c>
      <c r="FX141" s="496" t="str">
        <f> IF(FX161&lt;&gt;"",TEXT(AUX!GB$1,"dd-MMM-aa"),"")</f>
      </c>
      <c r="FY141" s="496" t="str">
        <f> IF(FY161&lt;&gt;"",TEXT(AUX!GC$1,"dd-MMM-aa"),"")</f>
      </c>
      <c r="FZ141" s="496" t="str">
        <f> IF(FZ161&lt;&gt;"",TEXT(AUX!GD$1,"dd-MMM-aa"),"")</f>
      </c>
      <c r="GA141" s="496" t="str">
        <f> IF(GA161&lt;&gt;"",TEXT(AUX!GE$1,"dd-MMM-aa"),"")</f>
      </c>
      <c r="GB141" s="496" t="str">
        <f> IF(GB161&lt;&gt;"",TEXT(AUX!GF$1,"dd-MMM-aa"),"")</f>
      </c>
      <c r="GC141" s="496" t="str">
        <f> IF(GC161&lt;&gt;"",TEXT(AUX!GG$1,"dd-MMM-aa"),"")</f>
      </c>
      <c r="GD141" s="496" t="str">
        <f> IF(GD161&lt;&gt;"",TEXT(AUX!GH$1,"dd-MMM-aa"),"")</f>
      </c>
      <c r="GE141" s="496" t="str">
        <f> IF(GE161&lt;&gt;"",TEXT(AUX!GI$1,"dd-MMM-aa"),"")</f>
      </c>
      <c r="GF141" s="496" t="str">
        <f> IF(GF161&lt;&gt;"",TEXT(AUX!GJ$1,"dd-MMM-aa"),"")</f>
      </c>
      <c r="GG141" s="496" t="str">
        <f> IF(GG161&lt;&gt;"",TEXT(AUX!GK$1,"dd-MMM-aa"),"")</f>
      </c>
      <c r="GH141" s="496" t="str">
        <f> IF(GH161&lt;&gt;"",TEXT(AUX!GL$1,"dd-MMM-aa"),"")</f>
      </c>
      <c r="GI141" s="496" t="str">
        <f> IF(GI161&lt;&gt;"",TEXT(AUX!GM$1,"dd-MMM-aa"),"")</f>
      </c>
      <c r="GJ141" s="496" t="str">
        <f> IF(GJ161&lt;&gt;"",TEXT(AUX!GN$1,"dd-MMM-aa"),"")</f>
      </c>
      <c r="GK141" s="496" t="str">
        <f> IF(GK161&lt;&gt;"",TEXT(AUX!GO$1,"dd-MMM-aa"),"")</f>
      </c>
      <c r="GL141" s="496" t="str">
        <f> IF(GL161&lt;&gt;"",TEXT(AUX!GP$1,"dd-MMM-aa"),"")</f>
      </c>
      <c r="GM141" s="496" t="str">
        <f> IF(GM161&lt;&gt;"",TEXT(AUX!GQ$1,"dd-MMM-aa"),"")</f>
      </c>
      <c r="GN141" s="496" t="str">
        <f> IF(GN161&lt;&gt;"",TEXT(AUX!GR$1,"dd-MMM-aa"),"")</f>
      </c>
      <c r="GO141" s="496" t="str">
        <f> IF(GO161&lt;&gt;"",TEXT(AUX!GS$1,"dd-MMM-aa"),"")</f>
      </c>
      <c r="GP141" s="496" t="str">
        <f> IF(GP161&lt;&gt;"",TEXT(AUX!GT$1,"dd-MMM-aa"),"")</f>
      </c>
      <c r="GQ141" s="496" t="str">
        <f> IF(GQ161&lt;&gt;"",TEXT(AUX!GU$1,"dd-MMM-aa"),"")</f>
      </c>
      <c r="GR141" s="496" t="str">
        <f> IF(GR161&lt;&gt;"",TEXT(AUX!GV$1,"dd-MMM-aa"),"")</f>
      </c>
      <c r="GS141" s="496" t="str">
        <f> IF(GS161&lt;&gt;"",TEXT(AUX!GW$1,"dd-MMM-aa"),"")</f>
      </c>
      <c r="GT141" s="496" t="str">
        <f> IF(GT161&lt;&gt;"",TEXT(AUX!GX$1,"dd-MMM-aa"),"")</f>
      </c>
      <c r="GU141" s="496" t="str">
        <f> IF(GU161&lt;&gt;"",TEXT(AUX!GY$1,"dd-MMM-aa"),"")</f>
      </c>
      <c r="GV141" s="496" t="str">
        <f> IF(GV161&lt;&gt;"",TEXT(AUX!GZ$1,"dd-MMM-aa"),"")</f>
      </c>
      <c r="GW141" s="496" t="str">
        <f> IF(GW161&lt;&gt;"",TEXT(AUX!HA$1,"dd-MMM-aa"),"")</f>
      </c>
      <c r="GX141" s="496" t="str">
        <f> IF(GX161&lt;&gt;"",TEXT(AUX!HB$1,"dd-MMM-aa"),"")</f>
      </c>
      <c r="GY141" s="496" t="str">
        <f> IF(GY161&lt;&gt;"",TEXT(AUX!HC$1,"dd-MMM-aa"),"")</f>
      </c>
      <c r="GZ141" s="496" t="str">
        <f> IF(GZ161&lt;&gt;"",TEXT(AUX!HD$1,"dd-MMM-aa"),"")</f>
      </c>
      <c r="HA141" s="496" t="str">
        <f> IF(HA161&lt;&gt;"",TEXT(AUX!HE$1,"dd-MMM-aa"),"")</f>
      </c>
      <c r="HB141" s="496" t="str">
        <f> IF(HB161&lt;&gt;"",TEXT(AUX!HF$1,"dd-MMM-aa"),"")</f>
      </c>
      <c r="HC141" s="496" t="str">
        <f> IF(HC161&lt;&gt;"",TEXT(AUX!HG$1,"dd-MMM-aa"),"")</f>
      </c>
      <c r="HD141" s="496" t="str">
        <f> IF(HD161&lt;&gt;"",TEXT(AUX!HH$1,"dd-MMM-aa"),"")</f>
      </c>
      <c r="HE141" s="496" t="str">
        <f> IF(HE161&lt;&gt;"",TEXT(AUX!HI$1,"dd-MMM-aa"),"")</f>
      </c>
      <c r="HF141" s="496" t="str">
        <f> IF(HF161&lt;&gt;"",TEXT(AUX!HJ$1,"dd-MMM-aa"),"")</f>
      </c>
      <c r="HG141" s="496" t="str">
        <f> IF(HG161&lt;&gt;"",TEXT(AUX!HK$1,"dd-MMM-aa"),"")</f>
      </c>
      <c r="HH141" s="496" t="str">
        <f> IF(HH161&lt;&gt;"",TEXT(AUX!HL$1,"dd-MMM-aa"),"")</f>
      </c>
      <c r="HI141" s="496" t="str">
        <f> IF(HI161&lt;&gt;"",TEXT(AUX!HM$1,"dd-MMM-aa"),"")</f>
      </c>
      <c r="HJ141" s="496" t="str">
        <f> IF(HJ161&lt;&gt;"",TEXT(AUX!HN$1,"dd-MMM-aa"),"")</f>
      </c>
      <c r="HK141" s="496" t="str">
        <f> IF(HK161&lt;&gt;"",TEXT(AUX!HO$1,"dd-MMM-aa"),"")</f>
      </c>
      <c r="HL141" s="496" t="str">
        <f> IF(HL161&lt;&gt;"",TEXT(AUX!HP$1,"dd-MMM-aa"),"")</f>
      </c>
      <c r="HM141" s="496" t="str">
        <f> IF(HM161&lt;&gt;"",TEXT(AUX!HQ$1,"dd-MMM-aa"),"")</f>
      </c>
      <c r="HN141" s="496" t="str">
        <f> IF(HN161&lt;&gt;"",TEXT(AUX!HR$1,"dd-MMM-aa"),"")</f>
      </c>
      <c r="HO141" s="496" t="str">
        <f> IF(HO161&lt;&gt;"",TEXT(AUX!HS$1,"dd-MMM-aa"),"")</f>
      </c>
      <c r="HP141" s="496" t="str">
        <f> IF(HP161&lt;&gt;"",TEXT(AUX!HT$1,"dd-MMM-aa"),"")</f>
      </c>
      <c r="HQ141" s="496" t="str">
        <f> IF(HQ161&lt;&gt;"",TEXT(AUX!HU$1,"dd-MMM-aa"),"")</f>
      </c>
      <c r="HR141" s="496" t="str">
        <f> IF(HR161&lt;&gt;"",TEXT(AUX!HV$1,"dd-MMM-aa"),"")</f>
      </c>
      <c r="HS141" s="496" t="str">
        <f> IF(HS161&lt;&gt;"",TEXT(AUX!HW$1,"dd-MMM-aa"),"")</f>
      </c>
      <c r="HT141" s="496" t="str">
        <f> IF(HT161&lt;&gt;"",TEXT(AUX!HX$1,"dd-MMM-aa"),"")</f>
      </c>
      <c r="HU141" s="496" t="str">
        <f> IF(HU161&lt;&gt;"",TEXT(AUX!HY$1,"dd-MMM-aa"),"")</f>
      </c>
      <c r="HV141" s="496" t="str">
        <f> IF(HV161&lt;&gt;"",TEXT(AUX!HZ$1,"dd-MMM-aa"),"")</f>
      </c>
      <c r="HW141" s="496" t="str">
        <f> IF(HW161&lt;&gt;"",TEXT(AUX!IA$1,"dd-MMM-aa"),"")</f>
      </c>
      <c r="HX141" s="496" t="str">
        <f> IF(HX161&lt;&gt;"",TEXT(AUX!IB$1,"dd-MMM-aa"),"")</f>
      </c>
      <c r="HY141" s="496" t="str">
        <f> IF(HY161&lt;&gt;"",TEXT(AUX!IC$1,"dd-MMM-aa"),"")</f>
      </c>
      <c r="HZ141" s="496" t="str">
        <f> IF(HZ161&lt;&gt;"",TEXT(AUX!ID$1,"dd-MMM-aa"),"")</f>
      </c>
      <c r="IA141" s="496" t="str">
        <f> IF(IA161&lt;&gt;"",TEXT(AUX!IE$1,"dd-MMM-aa"),"")</f>
      </c>
      <c r="IB141" s="496" t="str">
        <f> IF(IB161&lt;&gt;"",TEXT(AUX!IF$1,"dd-MMM-aa"),"")</f>
      </c>
      <c r="IC141" s="496" t="str">
        <f> IF(IC161&lt;&gt;"",TEXT(AUX!IG$1,"dd-MMM-aa"),"")</f>
      </c>
      <c r="ID141" s="496" t="str">
        <f> IF(ID161&lt;&gt;"",TEXT(AUX!IH$1,"dd-MMM-aa"),"")</f>
      </c>
      <c r="IE141" s="496" t="str">
        <f> IF(IE161&lt;&gt;"",TEXT(AUX!II$1,"dd-MMM-aa"),"")</f>
      </c>
      <c r="IF141" s="496" t="str">
        <f> IF(IF161&lt;&gt;"",TEXT(AUX!IJ$1,"dd-MMM-aa"),"")</f>
      </c>
      <c r="IG141" s="496" t="str">
        <f> IF(IG161&lt;&gt;"",TEXT(AUX!IK$1,"dd-MMM-aa"),"")</f>
      </c>
      <c r="IH141" s="496" t="str">
        <f> IF(IH161&lt;&gt;"",TEXT(AUX!IL$1,"dd-MMM-aa"),"")</f>
      </c>
      <c r="II141" s="496" t="str">
        <f> IF(II161&lt;&gt;"",TEXT(AUX!IM$1,"dd-MMM-aa"),"")</f>
      </c>
      <c r="IJ141" s="496" t="str">
        <f> IF(IJ161&lt;&gt;"",TEXT(AUX!IN$1,"dd-MMM-aa"),"")</f>
      </c>
      <c r="IK141" s="496" t="str">
        <f> IF(IK161&lt;&gt;"",TEXT(AUX!IO$1,"dd-MMM-aa"),"")</f>
      </c>
      <c r="IL141" s="496" t="str">
        <f> IF(IL161&lt;&gt;"",TEXT(AUX!IP$1,"dd-MMM-aa"),"")</f>
      </c>
      <c r="IM141" s="496" t="str">
        <f> IF(IM161&lt;&gt;"",TEXT(AUX!IQ$1,"dd-MMM-aa"),"")</f>
      </c>
      <c r="IN141" s="496" t="str">
        <f> IF(IN161&lt;&gt;"",TEXT(AUX!IR$1,"dd-MMM-aa"),"")</f>
      </c>
      <c r="IO141" s="496" t="str">
        <f> IF(IO161&lt;&gt;"",TEXT(AUX!IS$1,"dd-MMM-aa"),"")</f>
      </c>
      <c r="IP141" s="496" t="str">
        <f> IF(IP161&lt;&gt;"",TEXT(AUX!IT$1,"dd-MMM-aa"),"")</f>
      </c>
      <c r="IQ141" s="496" t="str">
        <f> IF(IQ161&lt;&gt;"",TEXT(AUX!IU$1,"dd-MMM-aa"),"")</f>
      </c>
      <c r="IR141" s="496" t="str">
        <f> IF(IR161&lt;&gt;"",TEXT(AUX!IV$1,"dd-MMM-aa"),"")</f>
      </c>
      <c r="IS141" s="496" t="str">
        <f> IF(IS161&lt;&gt;"",TEXT(AUX!#REF!,"dd-MMM-aa"),"")</f>
      </c>
      <c r="IT141" s="496" t="str">
        <f> IF(IT161&lt;&gt;"",TEXT(AUX!#REF!,"dd-MMM-aa"),"")</f>
      </c>
      <c r="IU141" s="496" t="str">
        <f> IF(IU161&lt;&gt;"",TEXT(AUX!#REF!,"dd-MMM-aa"),"")</f>
      </c>
      <c r="IV141" s="496" t="str">
        <f> IF(IV161&lt;&gt;"",TEXT(AUX!#REF!,"dd-MMM-aa"),"")</f>
      </c>
    </row>
    <row r="142" hidden="1">
      <c r="B142" s="822" t="s">
        <v>8</v>
      </c>
      <c r="C142" s="823">
        <v>1986</v>
      </c>
      <c r="D142" s="823">
        <v>1966</v>
      </c>
      <c r="E142" s="823">
        <v>1991</v>
      </c>
      <c r="F142" s="823">
        <v>2023</v>
      </c>
      <c r="G142" s="823">
        <v>2094</v>
      </c>
      <c r="H142" s="823">
        <v>2091</v>
      </c>
      <c r="I142" s="823">
        <v>2057</v>
      </c>
      <c r="J142" s="823">
        <v>2071</v>
      </c>
      <c r="K142" s="823">
        <v>2085</v>
      </c>
      <c r="L142" s="823">
        <v>2117</v>
      </c>
      <c r="M142" s="823">
        <v>2185</v>
      </c>
      <c r="N142" s="823">
        <v>2238</v>
      </c>
      <c r="O142" s="823">
        <v>2313</v>
      </c>
      <c r="P142" s="823">
        <v>2366</v>
      </c>
      <c r="Q142" s="823">
        <v>2457</v>
      </c>
      <c r="R142" s="823">
        <v>2529</v>
      </c>
      <c r="S142" s="823">
        <v>2653</v>
      </c>
      <c r="T142" s="823">
        <v>2733</v>
      </c>
      <c r="U142" s="823">
        <v>2881</v>
      </c>
      <c r="V142" s="823">
        <v>2963</v>
      </c>
      <c r="W142" s="823">
        <v>2991</v>
      </c>
      <c r="X142" s="823">
        <v>2925</v>
      </c>
      <c r="Y142" s="823">
        <v>3119</v>
      </c>
      <c r="Z142" s="823">
        <v>3160</v>
      </c>
      <c r="AA142" s="823">
        <v>3195</v>
      </c>
      <c r="AB142" s="824">
        <v>3256</v>
      </c>
      <c r="AC142" s="825">
        <v>3344</v>
      </c>
      <c r="AD142" s="825">
        <v>3372</v>
      </c>
      <c r="AE142" s="825">
        <v>3398</v>
      </c>
      <c r="AF142" s="825">
        <v>3463</v>
      </c>
      <c r="AG142" s="825">
        <v>3513</v>
      </c>
      <c r="AH142" s="825">
        <v>3547</v>
      </c>
      <c r="AI142" s="825">
        <v>3588</v>
      </c>
      <c r="AJ142" s="825">
        <v>3650</v>
      </c>
      <c r="AK142" s="825">
        <v>3671</v>
      </c>
      <c r="AL142" s="825">
        <v>3680</v>
      </c>
      <c r="AM142" s="825">
        <v>3657</v>
      </c>
      <c r="AN142" s="825">
        <v>3659</v>
      </c>
      <c r="AO142" s="825">
        <v>3646</v>
      </c>
      <c r="AP142" s="825">
        <v>3658</v>
      </c>
    </row>
    <row r="143" hidden="1">
      <c r="B143" s="826" t="s">
        <v>9</v>
      </c>
      <c r="C143" s="827">
        <v>246</v>
      </c>
      <c r="D143" s="827">
        <v>250</v>
      </c>
      <c r="E143" s="827">
        <v>253</v>
      </c>
      <c r="F143" s="827">
        <v>255</v>
      </c>
      <c r="G143" s="827">
        <v>260</v>
      </c>
      <c r="H143" s="827">
        <v>263</v>
      </c>
      <c r="I143" s="827">
        <v>268</v>
      </c>
      <c r="J143" s="827">
        <v>268</v>
      </c>
      <c r="K143" s="827">
        <v>272</v>
      </c>
      <c r="L143" s="827">
        <v>271</v>
      </c>
      <c r="M143" s="827">
        <v>275</v>
      </c>
      <c r="N143" s="827">
        <v>251</v>
      </c>
      <c r="O143" s="827">
        <v>242</v>
      </c>
      <c r="P143" s="827">
        <v>236</v>
      </c>
      <c r="Q143" s="827">
        <v>239</v>
      </c>
      <c r="R143" s="827">
        <v>235</v>
      </c>
      <c r="S143" s="827">
        <v>248</v>
      </c>
      <c r="T143" s="827">
        <v>250</v>
      </c>
      <c r="U143" s="827">
        <v>259</v>
      </c>
      <c r="V143" s="827">
        <v>260</v>
      </c>
      <c r="W143" s="827">
        <v>255</v>
      </c>
      <c r="X143" s="827">
        <v>256</v>
      </c>
      <c r="Y143" s="827">
        <v>265</v>
      </c>
      <c r="Z143" s="827">
        <v>264</v>
      </c>
      <c r="AA143" s="827">
        <v>260</v>
      </c>
      <c r="AB143" s="827">
        <v>265</v>
      </c>
      <c r="AC143" s="828">
        <v>272</v>
      </c>
      <c r="AD143" s="828">
        <v>250</v>
      </c>
      <c r="AE143" s="828">
        <v>261</v>
      </c>
      <c r="AF143" s="828">
        <v>265</v>
      </c>
      <c r="AG143" s="828">
        <v>271</v>
      </c>
      <c r="AH143" s="828">
        <v>275</v>
      </c>
      <c r="AI143" s="828">
        <v>287</v>
      </c>
      <c r="AJ143" s="828">
        <v>294</v>
      </c>
      <c r="AK143" s="828">
        <v>297</v>
      </c>
      <c r="AL143" s="828">
        <v>302</v>
      </c>
      <c r="AM143" s="828">
        <v>311</v>
      </c>
      <c r="AN143" s="828">
        <v>315</v>
      </c>
      <c r="AO143" s="828">
        <v>317</v>
      </c>
      <c r="AP143" s="828">
        <v>320</v>
      </c>
    </row>
    <row r="144" hidden="1">
      <c r="B144" s="829" t="s">
        <v>10</v>
      </c>
      <c r="C144" s="823">
        <v>192</v>
      </c>
      <c r="D144" s="823">
        <v>193</v>
      </c>
      <c r="E144" s="823">
        <v>191</v>
      </c>
      <c r="F144" s="823">
        <v>193</v>
      </c>
      <c r="G144" s="823">
        <v>191</v>
      </c>
      <c r="H144" s="823">
        <v>160</v>
      </c>
      <c r="I144" s="823">
        <v>160</v>
      </c>
      <c r="J144" s="823">
        <v>160</v>
      </c>
      <c r="K144" s="823">
        <v>144</v>
      </c>
      <c r="L144" s="823">
        <v>142</v>
      </c>
      <c r="M144" s="823">
        <v>148</v>
      </c>
      <c r="N144" s="823">
        <v>150</v>
      </c>
      <c r="O144" s="823">
        <v>153</v>
      </c>
      <c r="P144" s="823">
        <v>152</v>
      </c>
      <c r="Q144" s="823">
        <v>133</v>
      </c>
      <c r="R144" s="823">
        <v>136</v>
      </c>
      <c r="S144" s="823">
        <v>134</v>
      </c>
      <c r="T144" s="823">
        <v>138</v>
      </c>
      <c r="U144" s="823">
        <v>135</v>
      </c>
      <c r="V144" s="823">
        <v>131</v>
      </c>
      <c r="W144" s="823">
        <v>133</v>
      </c>
      <c r="X144" s="823">
        <v>133</v>
      </c>
      <c r="Y144" s="823">
        <v>136</v>
      </c>
      <c r="Z144" s="823">
        <v>129</v>
      </c>
      <c r="AA144" s="823">
        <v>132</v>
      </c>
      <c r="AB144" s="823">
        <v>127</v>
      </c>
      <c r="AC144" s="825">
        <v>133</v>
      </c>
      <c r="AD144" s="825">
        <v>134</v>
      </c>
      <c r="AE144" s="825">
        <v>135</v>
      </c>
      <c r="AF144" s="825">
        <v>136</v>
      </c>
      <c r="AG144" s="825">
        <v>126</v>
      </c>
      <c r="AH144" s="825">
        <v>126</v>
      </c>
      <c r="AI144" s="825">
        <v>127</v>
      </c>
      <c r="AJ144" s="825">
        <v>128</v>
      </c>
      <c r="AK144" s="825">
        <v>129</v>
      </c>
      <c r="AL144" s="825">
        <v>128</v>
      </c>
      <c r="AM144" s="825">
        <v>127</v>
      </c>
      <c r="AN144" s="825">
        <v>127</v>
      </c>
      <c r="AO144" s="825">
        <v>128</v>
      </c>
      <c r="AP144" s="825">
        <v>129</v>
      </c>
    </row>
    <row r="145" hidden="1">
      <c r="B145" s="826" t="s">
        <v>11</v>
      </c>
      <c r="C145" s="827">
        <v>18</v>
      </c>
      <c r="D145" s="827">
        <v>19</v>
      </c>
      <c r="E145" s="827">
        <v>16</v>
      </c>
      <c r="F145" s="827">
        <v>16</v>
      </c>
      <c r="G145" s="827">
        <v>14</v>
      </c>
      <c r="H145" s="827">
        <v>15</v>
      </c>
      <c r="I145" s="827">
        <v>15</v>
      </c>
      <c r="J145" s="827">
        <v>14</v>
      </c>
      <c r="K145" s="827">
        <v>15</v>
      </c>
      <c r="L145" s="827">
        <v>12</v>
      </c>
      <c r="M145" s="827">
        <v>18</v>
      </c>
      <c r="N145" s="827">
        <v>29</v>
      </c>
      <c r="O145" s="827">
        <v>38</v>
      </c>
      <c r="P145" s="827">
        <v>39</v>
      </c>
      <c r="Q145" s="827">
        <v>40</v>
      </c>
      <c r="R145" s="827">
        <v>39</v>
      </c>
      <c r="S145" s="827">
        <v>43</v>
      </c>
      <c r="T145" s="827">
        <v>45</v>
      </c>
      <c r="U145" s="827">
        <v>54</v>
      </c>
      <c r="V145" s="827">
        <v>52</v>
      </c>
      <c r="W145" s="827">
        <v>53</v>
      </c>
      <c r="X145" s="827">
        <v>55</v>
      </c>
      <c r="Y145" s="827">
        <v>52</v>
      </c>
      <c r="Z145" s="827">
        <v>26</v>
      </c>
      <c r="AA145" s="827">
        <v>27</v>
      </c>
      <c r="AB145" s="827">
        <v>29</v>
      </c>
      <c r="AC145" s="828">
        <v>28</v>
      </c>
      <c r="AD145" s="828">
        <v>30</v>
      </c>
      <c r="AE145" s="828">
        <v>30</v>
      </c>
      <c r="AF145" s="828">
        <v>36</v>
      </c>
      <c r="AG145" s="828">
        <v>38</v>
      </c>
      <c r="AH145" s="828">
        <v>43</v>
      </c>
      <c r="AI145" s="828">
        <v>48</v>
      </c>
      <c r="AJ145" s="828">
        <v>48</v>
      </c>
      <c r="AK145" s="828">
        <v>50</v>
      </c>
      <c r="AL145" s="828">
        <v>49</v>
      </c>
      <c r="AM145" s="828">
        <v>49</v>
      </c>
      <c r="AN145" s="828">
        <v>52</v>
      </c>
      <c r="AO145" s="828">
        <v>53</v>
      </c>
      <c r="AP145" s="828">
        <v>47</v>
      </c>
    </row>
    <row r="146" hidden="1">
      <c r="B146" s="829" t="s">
        <v>12</v>
      </c>
      <c r="C146" s="823">
        <v>31</v>
      </c>
      <c r="D146" s="823">
        <v>31</v>
      </c>
      <c r="E146" s="823">
        <v>19</v>
      </c>
      <c r="F146" s="823">
        <v>14</v>
      </c>
      <c r="G146" s="823">
        <v>14</v>
      </c>
      <c r="H146" s="823">
        <v>20</v>
      </c>
      <c r="I146" s="823">
        <v>21</v>
      </c>
      <c r="J146" s="823">
        <v>9</v>
      </c>
      <c r="K146" s="823">
        <v>10</v>
      </c>
      <c r="L146" s="823">
        <v>11</v>
      </c>
      <c r="M146" s="823">
        <v>14</v>
      </c>
      <c r="N146" s="823">
        <v>24</v>
      </c>
      <c r="O146" s="823">
        <v>28</v>
      </c>
      <c r="P146" s="823">
        <v>29</v>
      </c>
      <c r="Q146" s="823">
        <v>30</v>
      </c>
      <c r="R146" s="823">
        <v>39</v>
      </c>
      <c r="S146" s="823">
        <v>42</v>
      </c>
      <c r="T146" s="823">
        <v>47</v>
      </c>
      <c r="U146" s="823">
        <v>57</v>
      </c>
      <c r="V146" s="823">
        <v>67</v>
      </c>
      <c r="W146" s="823">
        <v>77</v>
      </c>
      <c r="X146" s="823">
        <v>83</v>
      </c>
      <c r="Y146" s="823">
        <v>84</v>
      </c>
      <c r="Z146" s="823">
        <v>87</v>
      </c>
      <c r="AA146" s="823">
        <v>81</v>
      </c>
      <c r="AB146" s="823">
        <v>88</v>
      </c>
      <c r="AC146" s="825">
        <v>100</v>
      </c>
      <c r="AD146" s="825">
        <v>110</v>
      </c>
      <c r="AE146" s="825">
        <v>115</v>
      </c>
      <c r="AF146" s="825">
        <v>127</v>
      </c>
      <c r="AG146" s="825">
        <v>142</v>
      </c>
      <c r="AH146" s="825">
        <v>156</v>
      </c>
      <c r="AI146" s="825">
        <v>179</v>
      </c>
      <c r="AJ146" s="825">
        <v>194</v>
      </c>
      <c r="AK146" s="825">
        <v>215</v>
      </c>
      <c r="AL146" s="825">
        <v>242</v>
      </c>
      <c r="AM146" s="825">
        <v>241</v>
      </c>
      <c r="AN146" s="825">
        <v>255</v>
      </c>
      <c r="AO146" s="825">
        <v>252</v>
      </c>
      <c r="AP146" s="825">
        <v>254</v>
      </c>
    </row>
    <row r="147" hidden="1">
      <c r="B147" s="826" t="s">
        <v>13</v>
      </c>
      <c r="C147" s="827">
        <v>0</v>
      </c>
      <c r="D147" s="827">
        <v>0</v>
      </c>
      <c r="E147" s="827">
        <v>0</v>
      </c>
      <c r="F147" s="827">
        <v>0</v>
      </c>
      <c r="G147" s="827">
        <v>0</v>
      </c>
      <c r="H147" s="827">
        <v>0</v>
      </c>
      <c r="I147" s="827">
        <v>0</v>
      </c>
      <c r="J147" s="827">
        <v>0</v>
      </c>
      <c r="K147" s="827">
        <v>1</v>
      </c>
      <c r="L147" s="827">
        <v>1</v>
      </c>
      <c r="M147" s="827">
        <v>0</v>
      </c>
      <c r="N147" s="827">
        <v>0</v>
      </c>
      <c r="O147" s="827">
        <v>0</v>
      </c>
      <c r="P147" s="827">
        <v>0</v>
      </c>
      <c r="Q147" s="827">
        <v>0</v>
      </c>
      <c r="R147" s="827">
        <v>0</v>
      </c>
      <c r="S147" s="827">
        <v>0</v>
      </c>
      <c r="T147" s="827">
        <v>0</v>
      </c>
      <c r="U147" s="827">
        <v>0</v>
      </c>
      <c r="V147" s="827">
        <v>1</v>
      </c>
      <c r="W147" s="827">
        <v>1</v>
      </c>
      <c r="X147" s="827">
        <v>1</v>
      </c>
      <c r="Y147" s="827">
        <v>3</v>
      </c>
      <c r="Z147" s="827">
        <v>3</v>
      </c>
      <c r="AA147" s="827">
        <v>3</v>
      </c>
      <c r="AB147" s="827">
        <v>1</v>
      </c>
      <c r="AC147" s="828">
        <v>0</v>
      </c>
      <c r="AD147" s="828">
        <v>0</v>
      </c>
      <c r="AE147" s="828">
        <v>1</v>
      </c>
      <c r="AF147" s="828">
        <v>1</v>
      </c>
      <c r="AG147" s="828">
        <v>1</v>
      </c>
      <c r="AH147" s="828">
        <v>1</v>
      </c>
      <c r="AI147" s="828">
        <v>1</v>
      </c>
      <c r="AJ147" s="828">
        <v>1</v>
      </c>
      <c r="AK147" s="828">
        <v>3</v>
      </c>
      <c r="AL147" s="828">
        <v>5</v>
      </c>
      <c r="AM147" s="828">
        <v>5</v>
      </c>
      <c r="AN147" s="828">
        <v>5</v>
      </c>
      <c r="AO147" s="828">
        <v>5</v>
      </c>
      <c r="AP147" s="828">
        <v>5</v>
      </c>
    </row>
    <row r="148" hidden="1">
      <c r="B148" s="829" t="s">
        <v>109</v>
      </c>
      <c r="C148" s="823">
        <v>71</v>
      </c>
      <c r="D148" s="823">
        <v>71</v>
      </c>
      <c r="E148" s="823">
        <v>72</v>
      </c>
      <c r="F148" s="823">
        <v>71</v>
      </c>
      <c r="G148" s="823">
        <v>70</v>
      </c>
      <c r="H148" s="823">
        <v>70</v>
      </c>
      <c r="I148" s="823">
        <v>64</v>
      </c>
      <c r="J148" s="823">
        <v>63</v>
      </c>
      <c r="K148" s="823">
        <v>63</v>
      </c>
      <c r="L148" s="823">
        <v>65</v>
      </c>
      <c r="M148" s="823">
        <v>69</v>
      </c>
      <c r="N148" s="823">
        <v>76</v>
      </c>
      <c r="O148" s="823">
        <v>88</v>
      </c>
      <c r="P148" s="823">
        <v>92</v>
      </c>
      <c r="Q148" s="823">
        <v>109</v>
      </c>
      <c r="R148" s="823">
        <v>118</v>
      </c>
      <c r="S148" s="823">
        <v>137</v>
      </c>
      <c r="T148" s="823">
        <v>144</v>
      </c>
      <c r="U148" s="823">
        <v>152</v>
      </c>
      <c r="V148" s="823">
        <v>176</v>
      </c>
      <c r="W148" s="823">
        <v>194</v>
      </c>
      <c r="X148" s="823">
        <v>204</v>
      </c>
      <c r="Y148" s="823">
        <v>204</v>
      </c>
      <c r="Z148" s="823">
        <v>207</v>
      </c>
      <c r="AA148" s="823">
        <v>211</v>
      </c>
      <c r="AB148" s="823">
        <v>224</v>
      </c>
      <c r="AC148" s="825">
        <v>238</v>
      </c>
      <c r="AD148" s="825">
        <v>248</v>
      </c>
      <c r="AE148" s="825">
        <v>256</v>
      </c>
      <c r="AF148" s="825">
        <v>267</v>
      </c>
      <c r="AG148" s="825">
        <v>266</v>
      </c>
      <c r="AH148" s="825">
        <v>280</v>
      </c>
      <c r="AI148" s="825">
        <v>289</v>
      </c>
      <c r="AJ148" s="825">
        <v>301</v>
      </c>
      <c r="AK148" s="825">
        <v>309</v>
      </c>
      <c r="AL148" s="825">
        <v>320</v>
      </c>
      <c r="AM148" s="825">
        <v>330</v>
      </c>
      <c r="AN148" s="825">
        <v>335</v>
      </c>
      <c r="AO148" s="825">
        <v>348</v>
      </c>
      <c r="AP148" s="825">
        <v>357</v>
      </c>
    </row>
    <row r="149" hidden="1">
      <c r="B149" s="826" t="s">
        <v>110</v>
      </c>
      <c r="C149" s="827">
        <v>2923</v>
      </c>
      <c r="D149" s="827">
        <v>2939</v>
      </c>
      <c r="E149" s="827">
        <v>2929</v>
      </c>
      <c r="F149" s="827">
        <v>2932</v>
      </c>
      <c r="G149" s="827">
        <v>2908</v>
      </c>
      <c r="H149" s="827">
        <v>2900</v>
      </c>
      <c r="I149" s="827">
        <v>2881</v>
      </c>
      <c r="J149" s="827">
        <v>2873</v>
      </c>
      <c r="K149" s="827">
        <v>2861</v>
      </c>
      <c r="L149" s="827">
        <v>2850</v>
      </c>
      <c r="M149" s="827">
        <v>2775</v>
      </c>
      <c r="N149" s="827">
        <v>2397</v>
      </c>
      <c r="O149" s="827">
        <v>1900</v>
      </c>
      <c r="P149" s="827">
        <v>1782</v>
      </c>
      <c r="Q149" s="827">
        <v>1823</v>
      </c>
      <c r="R149" s="827">
        <v>1729</v>
      </c>
      <c r="S149" s="827">
        <v>1816</v>
      </c>
      <c r="T149" s="827">
        <v>1786</v>
      </c>
      <c r="U149" s="827">
        <v>1898</v>
      </c>
      <c r="V149" s="827">
        <v>1949</v>
      </c>
      <c r="W149" s="827">
        <v>2028</v>
      </c>
      <c r="X149" s="827">
        <v>2044</v>
      </c>
      <c r="Y149" s="827">
        <v>2097</v>
      </c>
      <c r="Z149" s="827">
        <v>2057</v>
      </c>
      <c r="AA149" s="827">
        <v>2121</v>
      </c>
      <c r="AB149" s="827">
        <v>2138</v>
      </c>
      <c r="AC149" s="828">
        <v>2229</v>
      </c>
      <c r="AD149" s="828">
        <v>2241</v>
      </c>
      <c r="AE149" s="828">
        <v>2289</v>
      </c>
      <c r="AF149" s="828">
        <v>2227</v>
      </c>
      <c r="AG149" s="828">
        <v>2324</v>
      </c>
      <c r="AH149" s="828">
        <v>2339</v>
      </c>
      <c r="AI149" s="828">
        <v>2389</v>
      </c>
      <c r="AJ149" s="828">
        <v>2371</v>
      </c>
      <c r="AK149" s="828">
        <v>2398</v>
      </c>
      <c r="AL149" s="828">
        <v>2353</v>
      </c>
      <c r="AM149" s="828">
        <v>2377</v>
      </c>
      <c r="AN149" s="828">
        <v>2349</v>
      </c>
      <c r="AO149" s="828">
        <v>2343</v>
      </c>
      <c r="AP149" s="828">
        <v>2329</v>
      </c>
    </row>
    <row r="150" hidden="1">
      <c r="B150" s="829" t="s">
        <v>16</v>
      </c>
      <c r="C150" s="823">
        <v>315</v>
      </c>
      <c r="D150" s="823">
        <v>315</v>
      </c>
      <c r="E150" s="823">
        <v>326</v>
      </c>
      <c r="F150" s="823">
        <v>331</v>
      </c>
      <c r="G150" s="823">
        <v>343</v>
      </c>
      <c r="H150" s="823">
        <v>346</v>
      </c>
      <c r="I150" s="823">
        <v>352</v>
      </c>
      <c r="J150" s="823">
        <v>354</v>
      </c>
      <c r="K150" s="823">
        <v>358</v>
      </c>
      <c r="L150" s="823">
        <v>366</v>
      </c>
      <c r="M150" s="823">
        <v>371</v>
      </c>
      <c r="N150" s="823">
        <v>378</v>
      </c>
      <c r="O150" s="823">
        <v>377</v>
      </c>
      <c r="P150" s="823">
        <v>380</v>
      </c>
      <c r="Q150" s="823">
        <v>365</v>
      </c>
      <c r="R150" s="823">
        <v>376</v>
      </c>
      <c r="S150" s="823">
        <v>392</v>
      </c>
      <c r="T150" s="823">
        <v>404</v>
      </c>
      <c r="U150" s="823">
        <v>413</v>
      </c>
      <c r="V150" s="823">
        <v>419</v>
      </c>
      <c r="W150" s="823">
        <v>431</v>
      </c>
      <c r="X150" s="823">
        <v>439</v>
      </c>
      <c r="Y150" s="823">
        <v>462</v>
      </c>
      <c r="Z150" s="823">
        <v>471</v>
      </c>
      <c r="AA150" s="823">
        <v>473</v>
      </c>
      <c r="AB150" s="823">
        <v>479</v>
      </c>
      <c r="AC150" s="825">
        <v>473</v>
      </c>
      <c r="AD150" s="825">
        <v>469</v>
      </c>
      <c r="AE150" s="825">
        <v>471</v>
      </c>
      <c r="AF150" s="825">
        <v>473</v>
      </c>
      <c r="AG150" s="825">
        <v>485</v>
      </c>
      <c r="AH150" s="825">
        <v>487</v>
      </c>
      <c r="AI150" s="825">
        <v>497</v>
      </c>
      <c r="AJ150" s="825">
        <v>495</v>
      </c>
      <c r="AK150" s="825">
        <v>502</v>
      </c>
      <c r="AL150" s="825">
        <v>496</v>
      </c>
      <c r="AM150" s="825">
        <v>495</v>
      </c>
      <c r="AN150" s="825">
        <v>486</v>
      </c>
      <c r="AO150" s="825">
        <v>492</v>
      </c>
      <c r="AP150" s="825">
        <v>493</v>
      </c>
    </row>
    <row r="151" hidden="1">
      <c r="B151" s="826" t="s">
        <v>17</v>
      </c>
      <c r="C151" s="827">
        <v>590</v>
      </c>
      <c r="D151" s="827">
        <v>614</v>
      </c>
      <c r="E151" s="827">
        <v>624</v>
      </c>
      <c r="F151" s="827">
        <v>628</v>
      </c>
      <c r="G151" s="827">
        <v>672</v>
      </c>
      <c r="H151" s="827">
        <v>679</v>
      </c>
      <c r="I151" s="827">
        <v>683</v>
      </c>
      <c r="J151" s="827">
        <v>684</v>
      </c>
      <c r="K151" s="827">
        <v>707</v>
      </c>
      <c r="L151" s="827">
        <v>711</v>
      </c>
      <c r="M151" s="827">
        <v>733</v>
      </c>
      <c r="N151" s="827">
        <v>743</v>
      </c>
      <c r="O151" s="827">
        <v>758</v>
      </c>
      <c r="P151" s="827">
        <v>771</v>
      </c>
      <c r="Q151" s="827">
        <v>772</v>
      </c>
      <c r="R151" s="827">
        <v>800</v>
      </c>
      <c r="S151" s="827">
        <v>852</v>
      </c>
      <c r="T151" s="827">
        <v>882</v>
      </c>
      <c r="U151" s="827">
        <v>966</v>
      </c>
      <c r="V151" s="827">
        <v>985</v>
      </c>
      <c r="W151" s="827">
        <v>1055</v>
      </c>
      <c r="X151" s="827">
        <v>1067</v>
      </c>
      <c r="Y151" s="827">
        <v>1112</v>
      </c>
      <c r="Z151" s="827">
        <v>1134</v>
      </c>
      <c r="AA151" s="827">
        <v>1119</v>
      </c>
      <c r="AB151" s="827">
        <v>1160</v>
      </c>
      <c r="AC151" s="828">
        <v>1199</v>
      </c>
      <c r="AD151" s="828">
        <v>1210</v>
      </c>
      <c r="AE151" s="828">
        <v>1230</v>
      </c>
      <c r="AF151" s="828">
        <v>1249</v>
      </c>
      <c r="AG151" s="828">
        <v>1259</v>
      </c>
      <c r="AH151" s="828">
        <v>1260</v>
      </c>
      <c r="AI151" s="828">
        <v>1273</v>
      </c>
      <c r="AJ151" s="828">
        <v>1277</v>
      </c>
      <c r="AK151" s="828">
        <v>1280</v>
      </c>
      <c r="AL151" s="828">
        <v>1267</v>
      </c>
      <c r="AM151" s="828">
        <v>1275</v>
      </c>
      <c r="AN151" s="828">
        <v>1288</v>
      </c>
      <c r="AO151" s="828">
        <v>1297</v>
      </c>
      <c r="AP151" s="828">
        <v>1298</v>
      </c>
    </row>
    <row r="152" hidden="1">
      <c r="B152" s="829" t="s">
        <v>18</v>
      </c>
      <c r="C152" s="823">
        <v>0</v>
      </c>
      <c r="D152" s="823">
        <v>0</v>
      </c>
      <c r="E152" s="823">
        <v>0</v>
      </c>
      <c r="F152" s="823">
        <v>0</v>
      </c>
      <c r="G152" s="823">
        <v>0</v>
      </c>
      <c r="H152" s="823">
        <v>0</v>
      </c>
      <c r="I152" s="823">
        <v>0</v>
      </c>
      <c r="J152" s="823">
        <v>0</v>
      </c>
      <c r="K152" s="823">
        <v>0</v>
      </c>
      <c r="L152" s="823">
        <v>0</v>
      </c>
      <c r="M152" s="823">
        <v>0</v>
      </c>
      <c r="N152" s="823">
        <v>0</v>
      </c>
      <c r="O152" s="823">
        <v>0</v>
      </c>
      <c r="P152" s="823">
        <v>0</v>
      </c>
      <c r="Q152" s="823">
        <v>0</v>
      </c>
      <c r="R152" s="823">
        <v>6</v>
      </c>
      <c r="S152" s="823">
        <v>9</v>
      </c>
      <c r="T152" s="823">
        <v>13</v>
      </c>
      <c r="U152" s="823">
        <v>15</v>
      </c>
      <c r="V152" s="823">
        <v>22</v>
      </c>
      <c r="W152" s="823">
        <v>27</v>
      </c>
      <c r="X152" s="823">
        <v>31</v>
      </c>
      <c r="Y152" s="823">
        <v>34</v>
      </c>
      <c r="Z152" s="823">
        <v>36</v>
      </c>
      <c r="AA152" s="823">
        <v>38</v>
      </c>
      <c r="AB152" s="823">
        <v>37</v>
      </c>
      <c r="AC152" s="825">
        <v>48</v>
      </c>
      <c r="AD152" s="825">
        <v>60</v>
      </c>
      <c r="AE152" s="825">
        <v>67</v>
      </c>
      <c r="AF152" s="825">
        <v>71</v>
      </c>
      <c r="AG152" s="825">
        <v>81</v>
      </c>
      <c r="AH152" s="825">
        <v>89</v>
      </c>
      <c r="AI152" s="825">
        <v>90</v>
      </c>
      <c r="AJ152" s="825">
        <v>90</v>
      </c>
      <c r="AK152" s="825">
        <v>89</v>
      </c>
      <c r="AL152" s="825">
        <v>89</v>
      </c>
      <c r="AM152" s="825">
        <v>93</v>
      </c>
      <c r="AN152" s="825">
        <v>94</v>
      </c>
      <c r="AO152" s="825">
        <v>98</v>
      </c>
      <c r="AP152" s="825">
        <v>103</v>
      </c>
    </row>
    <row r="153" hidden="1">
      <c r="B153" s="826" t="s">
        <v>19</v>
      </c>
      <c r="C153" s="827">
        <v>21</v>
      </c>
      <c r="D153" s="827">
        <v>22</v>
      </c>
      <c r="E153" s="827">
        <v>21</v>
      </c>
      <c r="F153" s="827">
        <v>21</v>
      </c>
      <c r="G153" s="827">
        <v>22</v>
      </c>
      <c r="H153" s="827">
        <v>22</v>
      </c>
      <c r="I153" s="827">
        <v>21</v>
      </c>
      <c r="J153" s="827">
        <v>21</v>
      </c>
      <c r="K153" s="827">
        <v>15</v>
      </c>
      <c r="L153" s="827">
        <v>14</v>
      </c>
      <c r="M153" s="827">
        <v>4</v>
      </c>
      <c r="N153" s="827">
        <v>3</v>
      </c>
      <c r="O153" s="827">
        <v>3</v>
      </c>
      <c r="P153" s="827">
        <v>6</v>
      </c>
      <c r="Q153" s="827">
        <v>8</v>
      </c>
      <c r="R153" s="827">
        <v>9</v>
      </c>
      <c r="S153" s="827">
        <v>18</v>
      </c>
      <c r="T153" s="827">
        <v>22</v>
      </c>
      <c r="U153" s="827">
        <v>33</v>
      </c>
      <c r="V153" s="827">
        <v>40</v>
      </c>
      <c r="W153" s="827">
        <v>47</v>
      </c>
      <c r="X153" s="827">
        <v>51</v>
      </c>
      <c r="Y153" s="827">
        <v>56</v>
      </c>
      <c r="Z153" s="827">
        <v>56</v>
      </c>
      <c r="AA153" s="827">
        <v>63</v>
      </c>
      <c r="AB153" s="827">
        <v>64</v>
      </c>
      <c r="AC153" s="828">
        <v>72</v>
      </c>
      <c r="AD153" s="828">
        <v>85</v>
      </c>
      <c r="AE153" s="828">
        <v>91</v>
      </c>
      <c r="AF153" s="828">
        <v>101</v>
      </c>
      <c r="AG153" s="828">
        <v>107</v>
      </c>
      <c r="AH153" s="828">
        <v>126</v>
      </c>
      <c r="AI153" s="828">
        <v>140</v>
      </c>
      <c r="AJ153" s="828">
        <v>127</v>
      </c>
      <c r="AK153" s="828">
        <v>140</v>
      </c>
      <c r="AL153" s="828">
        <v>146</v>
      </c>
      <c r="AM153" s="828">
        <v>156</v>
      </c>
      <c r="AN153" s="828">
        <v>158</v>
      </c>
      <c r="AO153" s="828">
        <v>162</v>
      </c>
      <c r="AP153" s="828">
        <v>172</v>
      </c>
    </row>
    <row r="154" hidden="1">
      <c r="B154" s="829" t="s">
        <v>20</v>
      </c>
      <c r="C154" s="823">
        <v>334</v>
      </c>
      <c r="D154" s="823">
        <v>335</v>
      </c>
      <c r="E154" s="823">
        <v>337</v>
      </c>
      <c r="F154" s="823">
        <v>339</v>
      </c>
      <c r="G154" s="823">
        <v>336</v>
      </c>
      <c r="H154" s="823">
        <v>339</v>
      </c>
      <c r="I154" s="823">
        <v>350</v>
      </c>
      <c r="J154" s="823">
        <v>355</v>
      </c>
      <c r="K154" s="823">
        <v>357</v>
      </c>
      <c r="L154" s="823">
        <v>370</v>
      </c>
      <c r="M154" s="823">
        <v>386</v>
      </c>
      <c r="N154" s="823">
        <v>387</v>
      </c>
      <c r="O154" s="823">
        <v>407</v>
      </c>
      <c r="P154" s="823">
        <v>414</v>
      </c>
      <c r="Q154" s="823">
        <v>414</v>
      </c>
      <c r="R154" s="823">
        <v>412</v>
      </c>
      <c r="S154" s="823">
        <v>412</v>
      </c>
      <c r="T154" s="823">
        <v>412</v>
      </c>
      <c r="U154" s="823">
        <v>393</v>
      </c>
      <c r="V154" s="823">
        <v>400</v>
      </c>
      <c r="W154" s="823">
        <v>402</v>
      </c>
      <c r="X154" s="823">
        <v>405</v>
      </c>
      <c r="Y154" s="823">
        <v>449</v>
      </c>
      <c r="Z154" s="823">
        <v>454</v>
      </c>
      <c r="AA154" s="823">
        <v>515</v>
      </c>
      <c r="AB154" s="823">
        <v>524</v>
      </c>
      <c r="AC154" s="825">
        <v>540</v>
      </c>
      <c r="AD154" s="825">
        <v>567</v>
      </c>
      <c r="AE154" s="825">
        <v>642</v>
      </c>
      <c r="AF154" s="825">
        <v>656</v>
      </c>
      <c r="AG154" s="825">
        <v>396</v>
      </c>
      <c r="AH154" s="825">
        <v>425</v>
      </c>
      <c r="AI154" s="825">
        <v>434</v>
      </c>
      <c r="AJ154" s="825">
        <v>448</v>
      </c>
      <c r="AK154" s="825">
        <v>447</v>
      </c>
      <c r="AL154" s="825">
        <v>443</v>
      </c>
      <c r="AM154" s="825">
        <v>436</v>
      </c>
      <c r="AN154" s="825">
        <v>435</v>
      </c>
      <c r="AO154" s="825">
        <v>428</v>
      </c>
      <c r="AP154" s="825">
        <v>443</v>
      </c>
    </row>
    <row r="155" hidden="1">
      <c r="B155" s="826" t="s">
        <v>21</v>
      </c>
      <c r="C155" s="827">
        <v>1</v>
      </c>
      <c r="D155" s="827">
        <v>1</v>
      </c>
      <c r="E155" s="827">
        <v>2</v>
      </c>
      <c r="F155" s="827">
        <v>2</v>
      </c>
      <c r="G155" s="827">
        <v>2</v>
      </c>
      <c r="H155" s="827">
        <v>2</v>
      </c>
      <c r="I155" s="827">
        <v>2</v>
      </c>
      <c r="J155" s="827">
        <v>2</v>
      </c>
      <c r="K155" s="827">
        <v>2</v>
      </c>
      <c r="L155" s="827">
        <v>3</v>
      </c>
      <c r="M155" s="827">
        <v>3</v>
      </c>
      <c r="N155" s="827">
        <v>3</v>
      </c>
      <c r="O155" s="827">
        <v>4</v>
      </c>
      <c r="P155" s="827">
        <v>4</v>
      </c>
      <c r="Q155" s="827">
        <v>5</v>
      </c>
      <c r="R155" s="827">
        <v>7</v>
      </c>
      <c r="S155" s="827">
        <v>7</v>
      </c>
      <c r="T155" s="827">
        <v>7</v>
      </c>
      <c r="U155" s="827">
        <v>7</v>
      </c>
      <c r="V155" s="827">
        <v>7</v>
      </c>
      <c r="W155" s="827">
        <v>9</v>
      </c>
      <c r="X155" s="827">
        <v>10</v>
      </c>
      <c r="Y155" s="827">
        <v>11</v>
      </c>
      <c r="Z155" s="827">
        <v>10</v>
      </c>
      <c r="AA155" s="827">
        <v>10</v>
      </c>
      <c r="AB155" s="827">
        <v>10</v>
      </c>
      <c r="AC155" s="828">
        <v>6</v>
      </c>
      <c r="AD155" s="828">
        <v>7</v>
      </c>
      <c r="AE155" s="828">
        <v>6</v>
      </c>
      <c r="AF155" s="828">
        <v>5</v>
      </c>
      <c r="AG155" s="828">
        <v>5</v>
      </c>
      <c r="AH155" s="828">
        <v>4</v>
      </c>
      <c r="AI155" s="828">
        <v>0</v>
      </c>
      <c r="AJ155" s="828">
        <v>0</v>
      </c>
      <c r="AK155" s="828">
        <v>0</v>
      </c>
      <c r="AL155" s="828">
        <v>0</v>
      </c>
      <c r="AM155" s="828">
        <v>1</v>
      </c>
      <c r="AN155" s="828">
        <v>2</v>
      </c>
      <c r="AO155" s="828">
        <v>2</v>
      </c>
      <c r="AP155" s="828">
        <v>2</v>
      </c>
    </row>
    <row r="156" hidden="1">
      <c r="B156" s="829" t="s">
        <v>22</v>
      </c>
      <c r="C156" s="823">
        <v>32</v>
      </c>
      <c r="D156" s="823">
        <v>201</v>
      </c>
      <c r="E156" s="823">
        <v>201</v>
      </c>
      <c r="F156" s="823">
        <v>201</v>
      </c>
      <c r="G156" s="823">
        <v>204</v>
      </c>
      <c r="H156" s="823">
        <v>207</v>
      </c>
      <c r="I156" s="823">
        <v>208</v>
      </c>
      <c r="J156" s="823">
        <v>216</v>
      </c>
      <c r="K156" s="823">
        <v>218</v>
      </c>
      <c r="L156" s="823">
        <v>204</v>
      </c>
      <c r="M156" s="823">
        <v>209</v>
      </c>
      <c r="N156" s="823">
        <v>211</v>
      </c>
      <c r="O156" s="823">
        <v>199</v>
      </c>
      <c r="P156" s="823">
        <v>202</v>
      </c>
      <c r="Q156" s="823">
        <v>207</v>
      </c>
      <c r="R156" s="823">
        <v>207</v>
      </c>
      <c r="S156" s="823">
        <v>210</v>
      </c>
      <c r="T156" s="823">
        <v>215</v>
      </c>
      <c r="U156" s="823">
        <v>219</v>
      </c>
      <c r="V156" s="823">
        <v>181</v>
      </c>
      <c r="W156" s="823">
        <v>186</v>
      </c>
      <c r="X156" s="823">
        <v>187</v>
      </c>
      <c r="Y156" s="823">
        <v>186</v>
      </c>
      <c r="Z156" s="823">
        <v>188</v>
      </c>
      <c r="AA156" s="823">
        <v>188</v>
      </c>
      <c r="AB156" s="823">
        <v>197</v>
      </c>
      <c r="AC156" s="825">
        <v>195</v>
      </c>
      <c r="AD156" s="825">
        <v>195</v>
      </c>
      <c r="AE156" s="825">
        <v>191</v>
      </c>
      <c r="AF156" s="825">
        <v>194</v>
      </c>
      <c r="AG156" s="825">
        <v>187</v>
      </c>
      <c r="AH156" s="825">
        <v>183</v>
      </c>
      <c r="AI156" s="825">
        <v>140</v>
      </c>
      <c r="AJ156" s="825">
        <v>141</v>
      </c>
      <c r="AK156" s="825">
        <v>135</v>
      </c>
      <c r="AL156" s="825">
        <v>135</v>
      </c>
      <c r="AM156" s="825">
        <v>132</v>
      </c>
      <c r="AN156" s="825">
        <v>139</v>
      </c>
      <c r="AO156" s="825">
        <v>132</v>
      </c>
      <c r="AP156" s="825">
        <v>127</v>
      </c>
    </row>
    <row r="157" hidden="1">
      <c r="B157" s="826" t="s">
        <v>23</v>
      </c>
      <c r="C157" s="827">
        <v>151</v>
      </c>
      <c r="D157" s="827">
        <v>145</v>
      </c>
      <c r="E157" s="827">
        <v>119</v>
      </c>
      <c r="F157" s="827">
        <v>121</v>
      </c>
      <c r="G157" s="827">
        <v>121</v>
      </c>
      <c r="H157" s="827">
        <v>121</v>
      </c>
      <c r="I157" s="827">
        <v>119</v>
      </c>
      <c r="J157" s="827">
        <v>118</v>
      </c>
      <c r="K157" s="827">
        <v>120</v>
      </c>
      <c r="L157" s="827">
        <v>112</v>
      </c>
      <c r="M157" s="827">
        <v>103</v>
      </c>
      <c r="N157" s="827">
        <v>103</v>
      </c>
      <c r="O157" s="827">
        <v>97</v>
      </c>
      <c r="P157" s="827">
        <v>97</v>
      </c>
      <c r="Q157" s="827">
        <v>92</v>
      </c>
      <c r="R157" s="827">
        <v>92</v>
      </c>
      <c r="S157" s="827">
        <v>99</v>
      </c>
      <c r="T157" s="827">
        <v>102</v>
      </c>
      <c r="U157" s="827">
        <v>97</v>
      </c>
      <c r="V157" s="827">
        <v>106</v>
      </c>
      <c r="W157" s="827">
        <v>109</v>
      </c>
      <c r="X157" s="827">
        <v>113</v>
      </c>
      <c r="Y157" s="827">
        <v>108</v>
      </c>
      <c r="Z157" s="827">
        <v>109</v>
      </c>
      <c r="AA157" s="827">
        <v>106</v>
      </c>
      <c r="AB157" s="827">
        <v>95</v>
      </c>
      <c r="AC157" s="828">
        <v>90</v>
      </c>
      <c r="AD157" s="828">
        <v>90</v>
      </c>
      <c r="AE157" s="828">
        <v>87</v>
      </c>
      <c r="AF157" s="828">
        <v>90</v>
      </c>
      <c r="AG157" s="828">
        <v>89</v>
      </c>
      <c r="AH157" s="828">
        <v>90</v>
      </c>
      <c r="AI157" s="828">
        <v>85</v>
      </c>
      <c r="AJ157" s="828">
        <v>85</v>
      </c>
      <c r="AK157" s="828">
        <v>83</v>
      </c>
      <c r="AL157" s="828">
        <v>83</v>
      </c>
      <c r="AM157" s="828">
        <v>87</v>
      </c>
      <c r="AN157" s="828">
        <v>80</v>
      </c>
      <c r="AO157" s="828">
        <v>79</v>
      </c>
      <c r="AP157" s="828">
        <v>69</v>
      </c>
    </row>
    <row r="158" hidden="1">
      <c r="B158" s="830" t="s">
        <v>24</v>
      </c>
      <c r="C158" s="823">
        <v>61</v>
      </c>
      <c r="D158" s="823">
        <v>61</v>
      </c>
      <c r="E158" s="823">
        <v>56</v>
      </c>
      <c r="F158" s="823">
        <v>55</v>
      </c>
      <c r="G158" s="823">
        <v>52</v>
      </c>
      <c r="H158" s="823">
        <v>51</v>
      </c>
      <c r="I158" s="823">
        <v>50</v>
      </c>
      <c r="J158" s="823">
        <v>50</v>
      </c>
      <c r="K158" s="823">
        <v>48</v>
      </c>
      <c r="L158" s="823">
        <v>46</v>
      </c>
      <c r="M158" s="823">
        <v>45</v>
      </c>
      <c r="N158" s="823">
        <v>44</v>
      </c>
      <c r="O158" s="823">
        <v>44</v>
      </c>
      <c r="P158" s="823">
        <v>44</v>
      </c>
      <c r="Q158" s="823">
        <v>44</v>
      </c>
      <c r="R158" s="823">
        <v>44</v>
      </c>
      <c r="S158" s="823">
        <v>44</v>
      </c>
      <c r="T158" s="823">
        <v>53</v>
      </c>
      <c r="U158" s="823">
        <v>56</v>
      </c>
      <c r="V158" s="823">
        <v>62</v>
      </c>
      <c r="W158" s="823">
        <v>70</v>
      </c>
      <c r="X158" s="823">
        <v>79</v>
      </c>
      <c r="Y158" s="823">
        <v>90</v>
      </c>
      <c r="Z158" s="823">
        <v>105</v>
      </c>
      <c r="AA158" s="823">
        <v>124</v>
      </c>
      <c r="AB158" s="823">
        <v>141</v>
      </c>
      <c r="AC158" s="825">
        <v>158</v>
      </c>
      <c r="AD158" s="825">
        <v>173</v>
      </c>
      <c r="AE158" s="825">
        <v>189</v>
      </c>
      <c r="AF158" s="825">
        <v>208</v>
      </c>
      <c r="AG158" s="825">
        <v>220</v>
      </c>
      <c r="AH158" s="825">
        <v>235</v>
      </c>
      <c r="AI158" s="825">
        <v>248</v>
      </c>
      <c r="AJ158" s="825">
        <v>262</v>
      </c>
      <c r="AK158" s="825">
        <v>287</v>
      </c>
      <c r="AL158" s="825">
        <v>299</v>
      </c>
      <c r="AM158" s="825">
        <v>298</v>
      </c>
      <c r="AN158" s="825">
        <v>303</v>
      </c>
      <c r="AO158" s="825">
        <v>321</v>
      </c>
      <c r="AP158" s="825">
        <v>341</v>
      </c>
    </row>
    <row r="159" hidden="1">
      <c r="B159" s="826" t="s">
        <v>25</v>
      </c>
      <c r="C159" s="827">
        <v>0</v>
      </c>
      <c r="D159" s="827">
        <v>0</v>
      </c>
      <c r="E159" s="827">
        <v>0</v>
      </c>
      <c r="F159" s="827">
        <v>0</v>
      </c>
      <c r="G159" s="827">
        <v>0</v>
      </c>
      <c r="H159" s="827">
        <v>0</v>
      </c>
      <c r="I159" s="827">
        <v>0</v>
      </c>
      <c r="J159" s="827">
        <v>0</v>
      </c>
      <c r="K159" s="827">
        <v>0</v>
      </c>
      <c r="L159" s="827">
        <v>0</v>
      </c>
      <c r="M159" s="827">
        <v>0</v>
      </c>
      <c r="N159" s="827">
        <v>0</v>
      </c>
      <c r="O159" s="827">
        <v>0</v>
      </c>
      <c r="P159" s="827">
        <v>0</v>
      </c>
      <c r="Q159" s="827">
        <v>0</v>
      </c>
      <c r="R159" s="827">
        <v>0</v>
      </c>
      <c r="S159" s="827">
        <v>0</v>
      </c>
      <c r="T159" s="827">
        <v>0</v>
      </c>
      <c r="U159" s="827">
        <v>0</v>
      </c>
      <c r="V159" s="827">
        <v>0</v>
      </c>
      <c r="W159" s="827">
        <v>0</v>
      </c>
      <c r="X159" s="827">
        <v>0</v>
      </c>
      <c r="Y159" s="827">
        <v>0</v>
      </c>
      <c r="Z159" s="827">
        <v>0</v>
      </c>
      <c r="AA159" s="827">
        <v>0</v>
      </c>
      <c r="AB159" s="827">
        <v>0</v>
      </c>
      <c r="AC159" s="828">
        <v>0</v>
      </c>
      <c r="AD159" s="828">
        <v>0</v>
      </c>
      <c r="AE159" s="828">
        <v>0</v>
      </c>
      <c r="AF159" s="828">
        <v>0</v>
      </c>
      <c r="AG159" s="828">
        <v>0</v>
      </c>
      <c r="AH159" s="828">
        <v>0</v>
      </c>
      <c r="AI159" s="828">
        <v>0</v>
      </c>
      <c r="AJ159" s="828">
        <v>0</v>
      </c>
      <c r="AK159" s="828">
        <v>0</v>
      </c>
      <c r="AL159" s="828">
        <v>0</v>
      </c>
      <c r="AM159" s="828">
        <v>0</v>
      </c>
      <c r="AN159" s="828">
        <v>0</v>
      </c>
      <c r="AO159" s="828">
        <v>0</v>
      </c>
      <c r="AP159" s="828">
        <v>0</v>
      </c>
    </row>
    <row r="160" hidden="1" ht="13.5">
      <c r="B160" s="831" t="s">
        <v>26</v>
      </c>
      <c r="C160" s="823">
        <v>0</v>
      </c>
      <c r="D160" s="823">
        <v>0</v>
      </c>
      <c r="E160" s="823">
        <v>0</v>
      </c>
      <c r="F160" s="823">
        <v>0</v>
      </c>
      <c r="G160" s="823">
        <v>0</v>
      </c>
      <c r="H160" s="823">
        <v>0</v>
      </c>
      <c r="I160" s="823">
        <v>0</v>
      </c>
      <c r="J160" s="823">
        <v>0</v>
      </c>
      <c r="K160" s="823">
        <v>0</v>
      </c>
      <c r="L160" s="823">
        <v>0</v>
      </c>
      <c r="M160" s="823">
        <v>0</v>
      </c>
      <c r="N160" s="823">
        <v>0</v>
      </c>
      <c r="O160" s="823">
        <v>0</v>
      </c>
      <c r="P160" s="823">
        <v>0</v>
      </c>
      <c r="Q160" s="823">
        <v>0</v>
      </c>
      <c r="R160" s="823">
        <v>0</v>
      </c>
      <c r="S160" s="823">
        <v>0</v>
      </c>
      <c r="T160" s="823">
        <v>0</v>
      </c>
      <c r="U160" s="823">
        <v>0</v>
      </c>
      <c r="V160" s="823">
        <v>0</v>
      </c>
      <c r="W160" s="823">
        <v>0</v>
      </c>
      <c r="X160" s="823">
        <v>0</v>
      </c>
      <c r="Y160" s="823">
        <v>0</v>
      </c>
      <c r="Z160" s="823">
        <v>0</v>
      </c>
      <c r="AA160" s="823">
        <v>0</v>
      </c>
      <c r="AB160" s="832">
        <v>0</v>
      </c>
      <c r="AC160" s="825">
        <v>0</v>
      </c>
      <c r="AD160" s="825">
        <v>0</v>
      </c>
      <c r="AE160" s="825">
        <v>0</v>
      </c>
      <c r="AF160" s="825">
        <v>0</v>
      </c>
      <c r="AG160" s="825">
        <v>0</v>
      </c>
      <c r="AH160" s="825">
        <v>0</v>
      </c>
      <c r="AI160" s="825">
        <v>0</v>
      </c>
      <c r="AJ160" s="825">
        <v>0</v>
      </c>
      <c r="AK160" s="825">
        <v>0</v>
      </c>
      <c r="AL160" s="825">
        <v>0</v>
      </c>
      <c r="AM160" s="825">
        <v>0</v>
      </c>
      <c r="AN160" s="825">
        <v>0</v>
      </c>
      <c r="AO160" s="825">
        <v>0</v>
      </c>
      <c r="AP160" s="825">
        <v>0</v>
      </c>
    </row>
    <row r="161" hidden="1" ht="13.5">
      <c r="B161" s="128" t="s">
        <v>7</v>
      </c>
      <c r="C161" s="129" t="str">
        <f>IF(SUM(C142:C160)&lt;&gt;0,SUM(C142:C160),"")</f>
      </c>
      <c r="D161" s="129" t="str">
        <f ref="D161:AA161" t="shared" si="0">IF(SUM(D142:D160)&lt;&gt;0,SUM(D142:D160),"")</f>
      </c>
      <c r="E161" s="129" t="str">
        <f t="shared" si="0"/>
      </c>
      <c r="F161" s="129" t="str">
        <f t="shared" si="0"/>
      </c>
      <c r="G161" s="129" t="str">
        <f t="shared" si="0"/>
      </c>
      <c r="H161" s="129" t="str">
        <f t="shared" si="0"/>
      </c>
      <c r="I161" s="129" t="str">
        <f t="shared" si="0"/>
      </c>
      <c r="J161" s="129" t="str">
        <f t="shared" si="0"/>
      </c>
      <c r="K161" s="129" t="str">
        <f t="shared" si="0"/>
      </c>
      <c r="L161" s="129" t="str">
        <f t="shared" si="0"/>
      </c>
      <c r="M161" s="129" t="str">
        <f t="shared" si="0"/>
      </c>
      <c r="N161" s="129" t="str">
        <f t="shared" si="0"/>
      </c>
      <c r="O161" s="129" t="str">
        <f t="shared" si="0"/>
      </c>
      <c r="P161" s="129" t="str">
        <f t="shared" si="0"/>
      </c>
      <c r="Q161" s="129" t="str">
        <f t="shared" si="0"/>
      </c>
      <c r="R161" s="129" t="str">
        <f t="shared" si="0"/>
      </c>
      <c r="S161" s="129" t="str">
        <f t="shared" si="0"/>
      </c>
      <c r="T161" s="129" t="str">
        <f t="shared" si="0"/>
      </c>
      <c r="U161" s="129" t="str">
        <f t="shared" si="0"/>
      </c>
      <c r="V161" s="129" t="str">
        <f t="shared" si="0"/>
      </c>
      <c r="W161" s="129" t="str">
        <f t="shared" si="0"/>
      </c>
      <c r="X161" s="129" t="str">
        <f t="shared" si="0"/>
      </c>
      <c r="Y161" s="129" t="str">
        <f t="shared" si="0"/>
      </c>
      <c r="Z161" s="129" t="str">
        <f t="shared" si="0"/>
      </c>
      <c r="AA161" s="129" t="str">
        <f t="shared" si="0"/>
      </c>
      <c r="AB161" s="130" t="str">
        <f>IF(SUM(AB142:AB160)&lt;&gt;0,SUM(AB142:AB160),"")</f>
      </c>
      <c r="AC161" s="91" t="str">
        <f ref="AC161:CN161" t="shared" si="1">IF(SUM(AC142:AC160)&lt;&gt;0,SUM(AC142:AC160),"")</f>
      </c>
      <c r="AD161" s="91" t="str">
        <f t="shared" si="1"/>
      </c>
      <c r="AE161" s="91" t="str">
        <f t="shared" si="1"/>
      </c>
      <c r="AF161" s="91" t="str">
        <f t="shared" si="1"/>
      </c>
      <c r="AG161" s="91" t="str">
        <f t="shared" si="1"/>
      </c>
      <c r="AH161" s="91" t="str">
        <f t="shared" si="1"/>
      </c>
      <c r="AI161" s="91" t="str">
        <f t="shared" si="1"/>
      </c>
      <c r="AJ161" s="91" t="str">
        <f t="shared" si="1"/>
      </c>
      <c r="AK161" s="91" t="str">
        <f t="shared" si="1"/>
      </c>
      <c r="AL161" s="91" t="str">
        <f t="shared" si="1"/>
      </c>
      <c r="AM161" s="91" t="str">
        <f t="shared" si="1"/>
      </c>
      <c r="AN161" s="91" t="str">
        <f t="shared" si="1"/>
      </c>
      <c r="AO161" s="91" t="str">
        <f t="shared" si="1"/>
      </c>
      <c r="AP161" s="91" t="str">
        <f t="shared" si="1"/>
      </c>
      <c r="AQ161" s="91" t="str">
        <f t="shared" si="1"/>
      </c>
      <c r="AR161" s="91" t="str">
        <f t="shared" si="1"/>
      </c>
      <c r="AS161" s="91" t="str">
        <f t="shared" si="1"/>
      </c>
      <c r="AT161" s="91" t="str">
        <f t="shared" si="1"/>
      </c>
      <c r="AU161" s="91" t="str">
        <f t="shared" si="1"/>
      </c>
      <c r="AV161" s="91" t="str">
        <f t="shared" si="1"/>
      </c>
      <c r="AW161" s="91" t="str">
        <f t="shared" si="1"/>
      </c>
      <c r="AX161" s="91" t="str">
        <f t="shared" si="1"/>
      </c>
      <c r="AY161" s="91" t="str">
        <f t="shared" si="1"/>
      </c>
      <c r="AZ161" s="91" t="str">
        <f t="shared" si="1"/>
      </c>
      <c r="BA161" s="91" t="str">
        <f t="shared" si="1"/>
      </c>
      <c r="BB161" s="91" t="str">
        <f t="shared" si="1"/>
      </c>
      <c r="BC161" s="91" t="str">
        <f t="shared" si="1"/>
      </c>
      <c r="BD161" s="91" t="str">
        <f t="shared" si="1"/>
      </c>
      <c r="BE161" s="91" t="str">
        <f t="shared" si="1"/>
      </c>
      <c r="BF161" s="91" t="str">
        <f t="shared" si="1"/>
      </c>
      <c r="BG161" s="91" t="str">
        <f t="shared" si="1"/>
      </c>
      <c r="BH161" s="91" t="str">
        <f t="shared" si="1"/>
      </c>
      <c r="BI161" s="91" t="str">
        <f t="shared" si="1"/>
      </c>
      <c r="BJ161" s="91" t="str">
        <f t="shared" si="1"/>
      </c>
      <c r="BK161" s="91" t="str">
        <f t="shared" si="1"/>
      </c>
      <c r="BL161" s="91" t="str">
        <f t="shared" si="1"/>
      </c>
      <c r="BM161" s="91" t="str">
        <f t="shared" si="1"/>
      </c>
      <c r="BN161" s="91" t="str">
        <f t="shared" si="1"/>
      </c>
      <c r="BO161" s="91" t="str">
        <f t="shared" si="1"/>
      </c>
      <c r="BP161" s="91" t="str">
        <f t="shared" si="1"/>
      </c>
      <c r="BQ161" s="91" t="str">
        <f t="shared" si="1"/>
      </c>
      <c r="BR161" s="91" t="str">
        <f t="shared" si="1"/>
      </c>
      <c r="BS161" s="91" t="str">
        <f t="shared" si="1"/>
      </c>
      <c r="BT161" s="91" t="str">
        <f t="shared" si="1"/>
      </c>
      <c r="BU161" s="91" t="str">
        <f t="shared" si="1"/>
      </c>
      <c r="BV161" s="91" t="str">
        <f t="shared" si="1"/>
      </c>
      <c r="BW161" s="91" t="str">
        <f t="shared" si="1"/>
      </c>
      <c r="BX161" s="91" t="str">
        <f t="shared" si="1"/>
      </c>
      <c r="BY161" s="91" t="str">
        <f t="shared" si="1"/>
      </c>
      <c r="BZ161" s="91" t="str">
        <f t="shared" si="1"/>
      </c>
      <c r="CA161" s="91" t="str">
        <f t="shared" si="1"/>
      </c>
      <c r="CB161" s="91" t="str">
        <f t="shared" si="1"/>
      </c>
      <c r="CC161" s="91" t="str">
        <f t="shared" si="1"/>
      </c>
      <c r="CD161" s="91" t="str">
        <f t="shared" si="1"/>
      </c>
      <c r="CE161" s="91" t="str">
        <f t="shared" si="1"/>
      </c>
      <c r="CF161" s="91" t="str">
        <f t="shared" si="1"/>
      </c>
      <c r="CG161" s="91" t="str">
        <f t="shared" si="1"/>
      </c>
      <c r="CH161" s="91" t="str">
        <f t="shared" si="1"/>
      </c>
      <c r="CI161" s="91" t="str">
        <f t="shared" si="1"/>
      </c>
      <c r="CJ161" s="91" t="str">
        <f t="shared" si="1"/>
      </c>
      <c r="CK161" s="91" t="str">
        <f t="shared" si="1"/>
      </c>
      <c r="CL161" s="91" t="str">
        <f t="shared" si="1"/>
      </c>
      <c r="CM161" s="91" t="str">
        <f t="shared" si="1"/>
      </c>
      <c r="CN161" s="91" t="str">
        <f t="shared" si="1"/>
      </c>
      <c r="CO161" s="91" t="str">
        <f ref="CO161:EZ161" t="shared" si="2">IF(SUM(CO142:CO160)&lt;&gt;0,SUM(CO142:CO160),"")</f>
      </c>
      <c r="CP161" s="91" t="str">
        <f t="shared" si="2"/>
      </c>
      <c r="CQ161" s="91" t="str">
        <f t="shared" si="2"/>
      </c>
      <c r="CR161" s="91" t="str">
        <f t="shared" si="2"/>
      </c>
      <c r="CS161" s="91" t="str">
        <f t="shared" si="2"/>
      </c>
      <c r="CT161" s="91" t="str">
        <f t="shared" si="2"/>
      </c>
      <c r="CU161" s="91" t="str">
        <f t="shared" si="2"/>
      </c>
      <c r="CV161" s="91" t="str">
        <f t="shared" si="2"/>
      </c>
      <c r="CW161" s="91" t="str">
        <f t="shared" si="2"/>
      </c>
      <c r="CX161" s="91" t="str">
        <f t="shared" si="2"/>
      </c>
      <c r="CY161" s="91" t="str">
        <f t="shared" si="2"/>
      </c>
      <c r="CZ161" s="91" t="str">
        <f t="shared" si="2"/>
      </c>
      <c r="DA161" s="91" t="str">
        <f t="shared" si="2"/>
      </c>
      <c r="DB161" s="91" t="str">
        <f t="shared" si="2"/>
      </c>
      <c r="DC161" s="91" t="str">
        <f t="shared" si="2"/>
      </c>
      <c r="DD161" s="91" t="str">
        <f t="shared" si="2"/>
      </c>
      <c r="DE161" s="91" t="str">
        <f t="shared" si="2"/>
      </c>
      <c r="DF161" s="91" t="str">
        <f t="shared" si="2"/>
      </c>
      <c r="DG161" s="91" t="str">
        <f t="shared" si="2"/>
      </c>
      <c r="DH161" s="91" t="str">
        <f t="shared" si="2"/>
      </c>
      <c r="DI161" s="91" t="str">
        <f t="shared" si="2"/>
      </c>
      <c r="DJ161" s="91" t="str">
        <f t="shared" si="2"/>
      </c>
      <c r="DK161" s="91" t="str">
        <f t="shared" si="2"/>
      </c>
      <c r="DL161" s="91" t="str">
        <f t="shared" si="2"/>
      </c>
      <c r="DM161" s="91" t="str">
        <f t="shared" si="2"/>
      </c>
      <c r="DN161" s="91" t="str">
        <f t="shared" si="2"/>
      </c>
      <c r="DO161" s="91" t="str">
        <f t="shared" si="2"/>
      </c>
      <c r="DP161" s="91" t="str">
        <f t="shared" si="2"/>
      </c>
      <c r="DQ161" s="91" t="str">
        <f t="shared" si="2"/>
      </c>
      <c r="DR161" s="91" t="str">
        <f t="shared" si="2"/>
      </c>
      <c r="DS161" s="91" t="str">
        <f t="shared" si="2"/>
      </c>
      <c r="DT161" s="91" t="str">
        <f t="shared" si="2"/>
      </c>
      <c r="DU161" s="91" t="str">
        <f t="shared" si="2"/>
      </c>
      <c r="DV161" s="91" t="str">
        <f t="shared" si="2"/>
      </c>
      <c r="DW161" s="91" t="str">
        <f t="shared" si="2"/>
      </c>
      <c r="DX161" s="91" t="str">
        <f t="shared" si="2"/>
      </c>
      <c r="DY161" s="91" t="str">
        <f t="shared" si="2"/>
      </c>
      <c r="DZ161" s="91" t="str">
        <f t="shared" si="2"/>
      </c>
      <c r="EA161" s="91" t="str">
        <f t="shared" si="2"/>
      </c>
      <c r="EB161" s="91" t="str">
        <f t="shared" si="2"/>
      </c>
      <c r="EC161" s="91" t="str">
        <f t="shared" si="2"/>
      </c>
      <c r="ED161" s="91" t="str">
        <f t="shared" si="2"/>
      </c>
      <c r="EE161" s="91" t="str">
        <f t="shared" si="2"/>
      </c>
      <c r="EF161" s="91" t="str">
        <f t="shared" si="2"/>
      </c>
      <c r="EG161" s="91" t="str">
        <f t="shared" si="2"/>
      </c>
      <c r="EH161" s="91" t="str">
        <f t="shared" si="2"/>
      </c>
      <c r="EI161" s="91" t="str">
        <f t="shared" si="2"/>
      </c>
      <c r="EJ161" s="91" t="str">
        <f t="shared" si="2"/>
      </c>
      <c r="EK161" s="91" t="str">
        <f t="shared" si="2"/>
      </c>
      <c r="EL161" s="91" t="str">
        <f t="shared" si="2"/>
      </c>
      <c r="EM161" s="91" t="str">
        <f t="shared" si="2"/>
      </c>
      <c r="EN161" s="91" t="str">
        <f t="shared" si="2"/>
      </c>
      <c r="EO161" s="91" t="str">
        <f t="shared" si="2"/>
      </c>
      <c r="EP161" s="91" t="str">
        <f t="shared" si="2"/>
      </c>
      <c r="EQ161" s="91" t="str">
        <f t="shared" si="2"/>
      </c>
      <c r="ER161" s="91" t="str">
        <f t="shared" si="2"/>
      </c>
      <c r="ES161" s="91" t="str">
        <f t="shared" si="2"/>
      </c>
      <c r="ET161" s="91" t="str">
        <f t="shared" si="2"/>
      </c>
      <c r="EU161" s="91" t="str">
        <f t="shared" si="2"/>
      </c>
      <c r="EV161" s="91" t="str">
        <f t="shared" si="2"/>
      </c>
      <c r="EW161" s="91" t="str">
        <f t="shared" si="2"/>
      </c>
      <c r="EX161" s="91" t="str">
        <f t="shared" si="2"/>
      </c>
      <c r="EY161" s="91" t="str">
        <f t="shared" si="2"/>
      </c>
      <c r="EZ161" s="91" t="str">
        <f t="shared" si="2"/>
      </c>
      <c r="FA161" s="91" t="str">
        <f ref="FA161:HL161" t="shared" si="3">IF(SUM(FA142:FA160)&lt;&gt;0,SUM(FA142:FA160),"")</f>
      </c>
      <c r="FB161" s="91" t="str">
        <f t="shared" si="3"/>
      </c>
      <c r="FC161" s="91" t="str">
        <f t="shared" si="3"/>
      </c>
      <c r="FD161" s="91" t="str">
        <f t="shared" si="3"/>
      </c>
      <c r="FE161" s="91" t="str">
        <f t="shared" si="3"/>
      </c>
      <c r="FF161" s="91" t="str">
        <f t="shared" si="3"/>
      </c>
      <c r="FG161" s="91" t="str">
        <f t="shared" si="3"/>
      </c>
      <c r="FH161" s="91" t="str">
        <f t="shared" si="3"/>
      </c>
      <c r="FI161" s="91" t="str">
        <f t="shared" si="3"/>
      </c>
      <c r="FJ161" s="91" t="str">
        <f t="shared" si="3"/>
      </c>
      <c r="FK161" s="91" t="str">
        <f t="shared" si="3"/>
      </c>
      <c r="FL161" s="91" t="str">
        <f t="shared" si="3"/>
      </c>
      <c r="FM161" s="91" t="str">
        <f t="shared" si="3"/>
      </c>
      <c r="FN161" s="91" t="str">
        <f t="shared" si="3"/>
      </c>
      <c r="FO161" s="91" t="str">
        <f t="shared" si="3"/>
      </c>
      <c r="FP161" s="91" t="str">
        <f t="shared" si="3"/>
      </c>
      <c r="FQ161" s="91" t="str">
        <f t="shared" si="3"/>
      </c>
      <c r="FR161" s="91" t="str">
        <f t="shared" si="3"/>
      </c>
      <c r="FS161" s="91" t="str">
        <f t="shared" si="3"/>
      </c>
      <c r="FT161" s="91" t="str">
        <f t="shared" si="3"/>
      </c>
      <c r="FU161" s="91" t="str">
        <f t="shared" si="3"/>
      </c>
      <c r="FV161" s="91" t="str">
        <f t="shared" si="3"/>
      </c>
      <c r="FW161" s="91" t="str">
        <f t="shared" si="3"/>
      </c>
      <c r="FX161" s="91" t="str">
        <f t="shared" si="3"/>
      </c>
      <c r="FY161" s="91" t="str">
        <f t="shared" si="3"/>
      </c>
      <c r="FZ161" s="91" t="str">
        <f t="shared" si="3"/>
      </c>
      <c r="GA161" s="91" t="str">
        <f t="shared" si="3"/>
      </c>
      <c r="GB161" s="91" t="str">
        <f t="shared" si="3"/>
      </c>
      <c r="GC161" s="91" t="str">
        <f t="shared" si="3"/>
      </c>
      <c r="GD161" s="91" t="str">
        <f t="shared" si="3"/>
      </c>
      <c r="GE161" s="91" t="str">
        <f t="shared" si="3"/>
      </c>
      <c r="GF161" s="91" t="str">
        <f t="shared" si="3"/>
      </c>
      <c r="GG161" s="91" t="str">
        <f t="shared" si="3"/>
      </c>
      <c r="GH161" s="91" t="str">
        <f t="shared" si="3"/>
      </c>
      <c r="GI161" s="91" t="str">
        <f t="shared" si="3"/>
      </c>
      <c r="GJ161" s="91" t="str">
        <f t="shared" si="3"/>
      </c>
      <c r="GK161" s="91" t="str">
        <f t="shared" si="3"/>
      </c>
      <c r="GL161" s="91" t="str">
        <f t="shared" si="3"/>
      </c>
      <c r="GM161" s="91" t="str">
        <f t="shared" si="3"/>
      </c>
      <c r="GN161" s="91" t="str">
        <f t="shared" si="3"/>
      </c>
      <c r="GO161" s="91" t="str">
        <f t="shared" si="3"/>
      </c>
      <c r="GP161" s="91" t="str">
        <f t="shared" si="3"/>
      </c>
      <c r="GQ161" s="91" t="str">
        <f t="shared" si="3"/>
      </c>
      <c r="GR161" s="91" t="str">
        <f t="shared" si="3"/>
      </c>
      <c r="GS161" s="91" t="str">
        <f t="shared" si="3"/>
      </c>
      <c r="GT161" s="91" t="str">
        <f t="shared" si="3"/>
      </c>
      <c r="GU161" s="91" t="str">
        <f t="shared" si="3"/>
      </c>
      <c r="GV161" s="91" t="str">
        <f t="shared" si="3"/>
      </c>
      <c r="GW161" s="91" t="str">
        <f t="shared" si="3"/>
      </c>
      <c r="GX161" s="91" t="str">
        <f t="shared" si="3"/>
      </c>
      <c r="GY161" s="91" t="str">
        <f t="shared" si="3"/>
      </c>
      <c r="GZ161" s="91" t="str">
        <f t="shared" si="3"/>
      </c>
      <c r="HA161" s="91" t="str">
        <f t="shared" si="3"/>
      </c>
      <c r="HB161" s="91" t="str">
        <f t="shared" si="3"/>
      </c>
      <c r="HC161" s="91" t="str">
        <f t="shared" si="3"/>
      </c>
      <c r="HD161" s="91" t="str">
        <f t="shared" si="3"/>
      </c>
      <c r="HE161" s="91" t="str">
        <f t="shared" si="3"/>
      </c>
      <c r="HF161" s="91" t="str">
        <f t="shared" si="3"/>
      </c>
      <c r="HG161" s="91" t="str">
        <f t="shared" si="3"/>
      </c>
      <c r="HH161" s="91" t="str">
        <f t="shared" si="3"/>
      </c>
      <c r="HI161" s="91" t="str">
        <f t="shared" si="3"/>
      </c>
      <c r="HJ161" s="91" t="str">
        <f t="shared" si="3"/>
      </c>
      <c r="HK161" s="91" t="str">
        <f t="shared" si="3"/>
      </c>
      <c r="HL161" s="91" t="str">
        <f t="shared" si="3"/>
      </c>
      <c r="HM161" s="91" t="str">
        <f ref="HM161:IV161" t="shared" si="4">IF(SUM(HM142:HM160)&lt;&gt;0,SUM(HM142:HM160),"")</f>
      </c>
      <c r="HN161" s="91" t="str">
        <f t="shared" si="4"/>
      </c>
      <c r="HO161" s="91" t="str">
        <f t="shared" si="4"/>
      </c>
      <c r="HP161" s="91" t="str">
        <f t="shared" si="4"/>
      </c>
      <c r="HQ161" s="91" t="str">
        <f t="shared" si="4"/>
      </c>
      <c r="HR161" s="91" t="str">
        <f t="shared" si="4"/>
      </c>
      <c r="HS161" s="91" t="str">
        <f t="shared" si="4"/>
      </c>
      <c r="HT161" s="91" t="str">
        <f t="shared" si="4"/>
      </c>
      <c r="HU161" s="91" t="str">
        <f t="shared" si="4"/>
      </c>
      <c r="HV161" s="91" t="str">
        <f t="shared" si="4"/>
      </c>
      <c r="HW161" s="91" t="str">
        <f t="shared" si="4"/>
      </c>
      <c r="HX161" s="91" t="str">
        <f t="shared" si="4"/>
      </c>
      <c r="HY161" s="91" t="str">
        <f t="shared" si="4"/>
      </c>
      <c r="HZ161" s="91" t="str">
        <f t="shared" si="4"/>
      </c>
      <c r="IA161" s="91" t="str">
        <f t="shared" si="4"/>
      </c>
      <c r="IB161" s="91" t="str">
        <f t="shared" si="4"/>
      </c>
      <c r="IC161" s="91" t="str">
        <f t="shared" si="4"/>
      </c>
      <c r="ID161" s="91" t="str">
        <f t="shared" si="4"/>
      </c>
      <c r="IE161" s="91" t="str">
        <f t="shared" si="4"/>
      </c>
      <c r="IF161" s="91" t="str">
        <f t="shared" si="4"/>
      </c>
      <c r="IG161" s="91" t="str">
        <f t="shared" si="4"/>
      </c>
      <c r="IH161" s="91" t="str">
        <f t="shared" si="4"/>
      </c>
      <c r="II161" s="91" t="str">
        <f t="shared" si="4"/>
      </c>
      <c r="IJ161" s="91" t="str">
        <f t="shared" si="4"/>
      </c>
      <c r="IK161" s="91" t="str">
        <f t="shared" si="4"/>
      </c>
      <c r="IL161" s="91" t="str">
        <f t="shared" si="4"/>
      </c>
      <c r="IM161" s="91" t="str">
        <f t="shared" si="4"/>
      </c>
      <c r="IN161" s="91" t="str">
        <f t="shared" si="4"/>
      </c>
      <c r="IO161" s="91" t="str">
        <f t="shared" si="4"/>
      </c>
      <c r="IP161" s="91" t="str">
        <f t="shared" si="4"/>
      </c>
      <c r="IQ161" s="91" t="str">
        <f t="shared" si="4"/>
      </c>
      <c r="IR161" s="91" t="str">
        <f t="shared" si="4"/>
      </c>
      <c r="IS161" s="91" t="str">
        <f t="shared" si="4"/>
      </c>
      <c r="IT161" s="91" t="str">
        <f t="shared" si="4"/>
      </c>
      <c r="IU161" s="91" t="str">
        <f t="shared" si="4"/>
      </c>
      <c r="IV161" s="91" t="str">
        <f t="shared" si="4"/>
      </c>
    </row>
    <row r="162" hidden="1" ht="15">
      <c r="B162" s="324"/>
      <c r="C162" s="219"/>
      <c r="D162" s="219"/>
      <c r="E162" s="219"/>
      <c r="F162" s="219"/>
      <c r="G162" s="219"/>
      <c r="H162" s="219"/>
      <c r="I162" s="219"/>
      <c r="J162" s="219"/>
      <c r="K162" s="219"/>
    </row>
    <row r="163" hidden="1" ht="15">
      <c r="B163" s="324"/>
      <c r="C163" s="219"/>
      <c r="D163" s="219"/>
      <c r="E163" s="219"/>
      <c r="F163" s="219"/>
      <c r="G163" s="219"/>
      <c r="H163" s="219"/>
      <c r="I163" s="219"/>
      <c r="J163" s="219"/>
      <c r="K163" s="219"/>
    </row>
    <row r="164" hidden="1" ht="13.5"/>
    <row r="165" hidden="1" ht="15.75" customHeight="1">
      <c r="C165" s="686" t="s">
        <v>426</v>
      </c>
      <c r="D165" s="687"/>
      <c r="E165" s="687"/>
      <c r="F165" s="687"/>
      <c r="G165" s="687"/>
      <c r="H165" s="687"/>
      <c r="I165" s="687"/>
      <c r="J165" s="687"/>
      <c r="K165" s="687"/>
      <c r="L165" s="687"/>
      <c r="M165" s="687"/>
      <c r="N165" s="687"/>
      <c r="O165" s="687"/>
      <c r="P165" s="687"/>
      <c r="Q165" s="687"/>
      <c r="R165" s="687"/>
      <c r="S165" s="687"/>
      <c r="T165" s="687"/>
      <c r="U165" s="687"/>
      <c r="V165" s="687"/>
      <c r="W165" s="687"/>
      <c r="X165" s="687"/>
      <c r="Y165" s="687"/>
      <c r="Z165" s="687"/>
      <c r="AA165" s="687"/>
      <c r="AB165" s="688"/>
    </row>
    <row r="166" hidden="1" ht="15" customHeight="1">
      <c r="C166" s="435" t="str">
        <f> IF(C186&lt;&gt;"",TEXT(AUX!G$1,"dd-MMM-aa"),"")</f>
      </c>
      <c r="D166" s="435" t="str">
        <f> IF(D186&lt;&gt;"",TEXT(AUX!H$1,"dd-MMM-aa"),"")</f>
      </c>
      <c r="E166" s="435" t="str">
        <f> IF(E186&lt;&gt;"",TEXT(AUX!I$1,"dd-MMM-aa"),"")</f>
      </c>
      <c r="F166" s="435" t="str">
        <f> IF(F186&lt;&gt;"",TEXT(AUX!J$1,"dd-MMM-aa"),"")</f>
      </c>
      <c r="G166" s="435" t="str">
        <f> IF(G186&lt;&gt;"",TEXT(AUX!K$1,"dd-MMM-aa"),"")</f>
      </c>
      <c r="H166" s="435" t="str">
        <f> IF(H186&lt;&gt;"",TEXT(AUX!L$1,"dd-MMM-aa"),"")</f>
      </c>
      <c r="I166" s="435" t="str">
        <f> IF(I186&lt;&gt;"",TEXT(AUX!M$1,"dd-MMM-aa"),"")</f>
      </c>
      <c r="J166" s="435" t="str">
        <f> IF(J186&lt;&gt;"",TEXT(AUX!N$1,"dd-MMM-aa"),"")</f>
      </c>
      <c r="K166" s="435" t="str">
        <f> IF(K186&lt;&gt;"",TEXT(AUX!O$1,"dd-MMM-aa"),"")</f>
      </c>
      <c r="L166" s="435" t="str">
        <f> IF(L186&lt;&gt;"",TEXT(AUX!P$1,"dd-MMM-aa"),"")</f>
      </c>
      <c r="M166" s="435" t="str">
        <f> IF(M186&lt;&gt;"",TEXT(AUX!Q$1,"dd-MMM-aa"),"")</f>
      </c>
      <c r="N166" s="435" t="str">
        <f> IF(N186&lt;&gt;"",TEXT(AUX!R$1,"dd-MMM-aa"),"")</f>
      </c>
      <c r="O166" s="435" t="str">
        <f> IF(O186&lt;&gt;"",TEXT(AUX!S$1,"dd-MMM-aa"),"")</f>
      </c>
      <c r="P166" s="435" t="str">
        <f> IF(P186&lt;&gt;"",TEXT(AUX!T$1,"dd-MMM-aa"),"")</f>
      </c>
      <c r="Q166" s="435" t="str">
        <f> IF(Q186&lt;&gt;"",TEXT(AUX!U$1,"dd-MMM-aa"),"")</f>
      </c>
      <c r="R166" s="435" t="str">
        <f> IF(R186&lt;&gt;"",TEXT(AUX!V$1,"dd-MMM-aa"),"")</f>
      </c>
      <c r="S166" s="435" t="str">
        <f> IF(S186&lt;&gt;"",TEXT(AUX!W$1,"dd-MMM-aa"),"")</f>
      </c>
      <c r="T166" s="435" t="str">
        <f> IF(T186&lt;&gt;"",TEXT(AUX!X$1,"dd-MMM-aa"),"")</f>
      </c>
      <c r="U166" s="435" t="str">
        <f> IF(U186&lt;&gt;"",TEXT(AUX!Y$1,"dd-MMM-aa"),"")</f>
      </c>
      <c r="V166" s="435" t="str">
        <f> IF(V186&lt;&gt;"",TEXT(AUX!Z$1,"dd-MMM-aa"),"")</f>
      </c>
      <c r="W166" s="435" t="str">
        <f> IF(W186&lt;&gt;"",TEXT(AUX!AA$1,"dd-MMM-aa"),"")</f>
      </c>
      <c r="X166" s="435" t="str">
        <f> IF(X186&lt;&gt;"",TEXT(AUX!AB$1,"dd-MMM-aa"),"")</f>
      </c>
      <c r="Y166" s="435" t="str">
        <f> IF(Y186&lt;&gt;"",TEXT(AUX!AC$1,"dd-MMM-aa"),"")</f>
      </c>
      <c r="Z166" s="435" t="str">
        <f> IF(Z186&lt;&gt;"",TEXT(AUX!AD$1,"dd-MMM-aa"),"")</f>
      </c>
      <c r="AA166" s="435" t="str">
        <f> IF(AA186&lt;&gt;"",TEXT(AUX!AE$1,"dd-MMM-aa"),"")</f>
      </c>
      <c r="AB166" s="497" t="str">
        <f> IF(AB186&lt;&gt;"",TEXT(AUX!AF$1,"dd-MMM-aa"),"")</f>
      </c>
      <c r="AC166" s="496" t="str">
        <f> IF(AC186&lt;&gt;"",TEXT(AUX!AG$1,"dd-MMM-aa"),"")</f>
      </c>
      <c r="AD166" s="496" t="str">
        <f> IF(AD186&lt;&gt;"",TEXT(AUX!AH$1,"dd-MMM-aa"),"")</f>
      </c>
      <c r="AE166" s="496" t="str">
        <f> IF(AE186&lt;&gt;"",TEXT(AUX!AI$1,"dd-MMM-aa"),"")</f>
      </c>
      <c r="AF166" s="496" t="str">
        <f> IF(AF186&lt;&gt;"",TEXT(AUX!AJ$1,"dd-MMM-aa"),"")</f>
      </c>
      <c r="AG166" s="496" t="str">
        <f> IF(AG186&lt;&gt;"",TEXT(AUX!AK$1,"dd-MMM-aa"),"")</f>
      </c>
      <c r="AH166" s="496" t="str">
        <f> IF(AH186&lt;&gt;"",TEXT(AUX!AL$1,"dd-MMM-aa"),"")</f>
      </c>
      <c r="AI166" s="496" t="str">
        <f> IF(AI186&lt;&gt;"",TEXT(AUX!AM$1,"dd-MMM-aa"),"")</f>
      </c>
      <c r="AJ166" s="496" t="str">
        <f> IF(AJ186&lt;&gt;"",TEXT(AUX!AN$1,"dd-MMM-aa"),"")</f>
      </c>
      <c r="AK166" s="496" t="str">
        <f> IF(AK186&lt;&gt;"",TEXT(AUX!AO$1,"dd-MMM-aa"),"")</f>
      </c>
      <c r="AL166" s="496" t="str">
        <f> IF(AL186&lt;&gt;"",TEXT(AUX!AP$1,"dd-MMM-aa"),"")</f>
      </c>
      <c r="AM166" s="496" t="str">
        <f> IF(AM186&lt;&gt;"",TEXT(AUX!AQ$1,"dd-MMM-aa"),"")</f>
      </c>
      <c r="AN166" s="496" t="str">
        <f> IF(AN186&lt;&gt;"",TEXT(AUX!AR$1,"dd-MMM-aa"),"")</f>
      </c>
      <c r="AO166" s="496" t="str">
        <f> IF(AO186&lt;&gt;"",TEXT(AUX!AS$1,"dd-MMM-aa"),"")</f>
      </c>
      <c r="AP166" s="496" t="str">
        <f> IF(AP186&lt;&gt;"",TEXT(AUX!AT$1,"dd-MMM-aa"),"")</f>
      </c>
      <c r="AQ166" s="496" t="str">
        <f> IF(AQ186&lt;&gt;"",TEXT(AUX!AU$1,"dd-MMM-aa"),"")</f>
      </c>
      <c r="AR166" s="496" t="str">
        <f> IF(AR186&lt;&gt;"",TEXT(AUX!AV$1,"dd-MMM-aa"),"")</f>
      </c>
      <c r="AS166" s="496" t="str">
        <f> IF(AS186&lt;&gt;"",TEXT(AUX!AW$1,"dd-MMM-aa"),"")</f>
      </c>
      <c r="AT166" s="496" t="str">
        <f> IF(AT186&lt;&gt;"",TEXT(AUX!AX$1,"dd-MMM-aa"),"")</f>
      </c>
      <c r="AU166" s="496" t="str">
        <f> IF(AU186&lt;&gt;"",TEXT(AUX!AY$1,"dd-MMM-aa"),"")</f>
      </c>
      <c r="AV166" s="496" t="str">
        <f> IF(AV186&lt;&gt;"",TEXT(AUX!AZ$1,"dd-MMM-aa"),"")</f>
      </c>
      <c r="AW166" s="496" t="str">
        <f> IF(AW186&lt;&gt;"",TEXT(AUX!BA$1,"dd-MMM-aa"),"")</f>
      </c>
      <c r="AX166" s="496" t="str">
        <f> IF(AX186&lt;&gt;"",TEXT(AUX!BB$1,"dd-MMM-aa"),"")</f>
      </c>
      <c r="AY166" s="496" t="str">
        <f> IF(AY186&lt;&gt;"",TEXT(AUX!BC$1,"dd-MMM-aa"),"")</f>
      </c>
      <c r="AZ166" s="496" t="str">
        <f> IF(AZ186&lt;&gt;"",TEXT(AUX!BD$1,"dd-MMM-aa"),"")</f>
      </c>
      <c r="BA166" s="496" t="str">
        <f> IF(BA186&lt;&gt;"",TEXT(AUX!BE$1,"dd-MMM-aa"),"")</f>
      </c>
      <c r="BB166" s="496" t="str">
        <f> IF(BB186&lt;&gt;"",TEXT(AUX!BF$1,"dd-MMM-aa"),"")</f>
      </c>
      <c r="BC166" s="496" t="str">
        <f> IF(BC186&lt;&gt;"",TEXT(AUX!BG$1,"dd-MMM-aa"),"")</f>
      </c>
      <c r="BD166" s="496" t="str">
        <f> IF(BD186&lt;&gt;"",TEXT(AUX!BH$1,"dd-MMM-aa"),"")</f>
      </c>
      <c r="BE166" s="496" t="str">
        <f> IF(BE186&lt;&gt;"",TEXT(AUX!BI$1,"dd-MMM-aa"),"")</f>
      </c>
      <c r="BF166" s="496" t="str">
        <f> IF(BF186&lt;&gt;"",TEXT(AUX!BJ$1,"dd-MMM-aa"),"")</f>
      </c>
      <c r="BG166" s="496" t="str">
        <f> IF(BG186&lt;&gt;"",TEXT(AUX!BK$1,"dd-MMM-aa"),"")</f>
      </c>
      <c r="BH166" s="496" t="str">
        <f> IF(BH186&lt;&gt;"",TEXT(AUX!BL$1,"dd-MMM-aa"),"")</f>
      </c>
      <c r="BI166" s="496" t="str">
        <f> IF(BI186&lt;&gt;"",TEXT(AUX!BM$1,"dd-MMM-aa"),"")</f>
      </c>
      <c r="BJ166" s="496" t="str">
        <f> IF(BJ186&lt;&gt;"",TEXT(AUX!BN$1,"dd-MMM-aa"),"")</f>
      </c>
      <c r="BK166" s="496" t="str">
        <f> IF(BK186&lt;&gt;"",TEXT(AUX!BO$1,"dd-MMM-aa"),"")</f>
      </c>
      <c r="BL166" s="496" t="str">
        <f> IF(BL186&lt;&gt;"",TEXT(AUX!BP$1,"dd-MMM-aa"),"")</f>
      </c>
      <c r="BM166" s="496" t="str">
        <f> IF(BM186&lt;&gt;"",TEXT(AUX!BQ$1,"dd-MMM-aa"),"")</f>
      </c>
      <c r="BN166" s="496" t="str">
        <f> IF(BN186&lt;&gt;"",TEXT(AUX!BR$1,"dd-MMM-aa"),"")</f>
      </c>
      <c r="BO166" s="496" t="str">
        <f> IF(BO186&lt;&gt;"",TEXT(AUX!BS$1,"dd-MMM-aa"),"")</f>
      </c>
      <c r="BP166" s="496" t="str">
        <f> IF(BP186&lt;&gt;"",TEXT(AUX!BT$1,"dd-MMM-aa"),"")</f>
      </c>
      <c r="BQ166" s="496" t="str">
        <f> IF(BQ186&lt;&gt;"",TEXT(AUX!BU$1,"dd-MMM-aa"),"")</f>
      </c>
      <c r="BR166" s="496" t="str">
        <f> IF(BR186&lt;&gt;"",TEXT(AUX!BV$1,"dd-MMM-aa"),"")</f>
      </c>
      <c r="BS166" s="496" t="str">
        <f> IF(BS186&lt;&gt;"",TEXT(AUX!BW$1,"dd-MMM-aa"),"")</f>
      </c>
      <c r="BT166" s="496" t="str">
        <f> IF(BT186&lt;&gt;"",TEXT(AUX!BX$1,"dd-MMM-aa"),"")</f>
      </c>
      <c r="BU166" s="496" t="str">
        <f> IF(BU186&lt;&gt;"",TEXT(AUX!BY$1,"dd-MMM-aa"),"")</f>
      </c>
      <c r="BV166" s="496" t="str">
        <f> IF(BV186&lt;&gt;"",TEXT(AUX!BZ$1,"dd-MMM-aa"),"")</f>
      </c>
      <c r="BW166" s="496" t="str">
        <f> IF(BW186&lt;&gt;"",TEXT(AUX!CA$1,"dd-MMM-aa"),"")</f>
      </c>
      <c r="BX166" s="496" t="str">
        <f> IF(BX186&lt;&gt;"",TEXT(AUX!CB$1,"dd-MMM-aa"),"")</f>
      </c>
      <c r="BY166" s="496" t="str">
        <f> IF(BY186&lt;&gt;"",TEXT(AUX!CC$1,"dd-MMM-aa"),"")</f>
      </c>
      <c r="BZ166" s="496" t="str">
        <f> IF(BZ186&lt;&gt;"",TEXT(AUX!CD$1,"dd-MMM-aa"),"")</f>
      </c>
      <c r="CA166" s="496" t="str">
        <f> IF(CA186&lt;&gt;"",TEXT(AUX!CE$1,"dd-MMM-aa"),"")</f>
      </c>
      <c r="CB166" s="496" t="str">
        <f> IF(CB186&lt;&gt;"",TEXT(AUX!CF$1,"dd-MMM-aa"),"")</f>
      </c>
      <c r="CC166" s="496" t="str">
        <f> IF(CC186&lt;&gt;"",TEXT(AUX!CG$1,"dd-MMM-aa"),"")</f>
      </c>
      <c r="CD166" s="496" t="str">
        <f> IF(CD186&lt;&gt;"",TEXT(AUX!CH$1,"dd-MMM-aa"),"")</f>
      </c>
      <c r="CE166" s="496" t="str">
        <f> IF(CE186&lt;&gt;"",TEXT(AUX!CI$1,"dd-MMM-aa"),"")</f>
      </c>
      <c r="CF166" s="496" t="str">
        <f> IF(CF186&lt;&gt;"",TEXT(AUX!CJ$1,"dd-MMM-aa"),"")</f>
      </c>
      <c r="CG166" s="496" t="str">
        <f> IF(CG186&lt;&gt;"",TEXT(AUX!CK$1,"dd-MMM-aa"),"")</f>
      </c>
      <c r="CH166" s="496" t="str">
        <f> IF(CH186&lt;&gt;"",TEXT(AUX!CL$1,"dd-MMM-aa"),"")</f>
      </c>
      <c r="CI166" s="496" t="str">
        <f> IF(CI186&lt;&gt;"",TEXT(AUX!CM$1,"dd-MMM-aa"),"")</f>
      </c>
      <c r="CJ166" s="496" t="str">
        <f> IF(CJ186&lt;&gt;"",TEXT(AUX!CN$1,"dd-MMM-aa"),"")</f>
      </c>
      <c r="CK166" s="496" t="str">
        <f> IF(CK186&lt;&gt;"",TEXT(AUX!CO$1,"dd-MMM-aa"),"")</f>
      </c>
      <c r="CL166" s="496" t="str">
        <f> IF(CL186&lt;&gt;"",TEXT(AUX!CP$1,"dd-MMM-aa"),"")</f>
      </c>
      <c r="CM166" s="496" t="str">
        <f> IF(CM186&lt;&gt;"",TEXT(AUX!CQ$1,"dd-MMM-aa"),"")</f>
      </c>
      <c r="CN166" s="496" t="str">
        <f> IF(CN186&lt;&gt;"",TEXT(AUX!CR$1,"dd-MMM-aa"),"")</f>
      </c>
      <c r="CO166" s="496" t="str">
        <f> IF(CO186&lt;&gt;"",TEXT(AUX!CS$1,"dd-MMM-aa"),"")</f>
      </c>
      <c r="CP166" s="496" t="str">
        <f> IF(CP186&lt;&gt;"",TEXT(AUX!CT$1,"dd-MMM-aa"),"")</f>
      </c>
      <c r="CQ166" s="496" t="str">
        <f> IF(CQ186&lt;&gt;"",TEXT(AUX!CU$1,"dd-MMM-aa"),"")</f>
      </c>
      <c r="CR166" s="496" t="str">
        <f> IF(CR186&lt;&gt;"",TEXT(AUX!CV$1,"dd-MMM-aa"),"")</f>
      </c>
      <c r="CS166" s="496" t="str">
        <f> IF(CS186&lt;&gt;"",TEXT(AUX!CW$1,"dd-MMM-aa"),"")</f>
      </c>
      <c r="CT166" s="496" t="str">
        <f> IF(CT186&lt;&gt;"",TEXT(AUX!CX$1,"dd-MMM-aa"),"")</f>
      </c>
      <c r="CU166" s="496" t="str">
        <f> IF(CU186&lt;&gt;"",TEXT(AUX!CY$1,"dd-MMM-aa"),"")</f>
      </c>
      <c r="CV166" s="496" t="str">
        <f> IF(CV186&lt;&gt;"",TEXT(AUX!CZ$1,"dd-MMM-aa"),"")</f>
      </c>
      <c r="CW166" s="496" t="str">
        <f> IF(CW186&lt;&gt;"",TEXT(AUX!DA$1,"dd-MMM-aa"),"")</f>
      </c>
      <c r="CX166" s="496" t="str">
        <f> IF(CX186&lt;&gt;"",TEXT(AUX!DB$1,"dd-MMM-aa"),"")</f>
      </c>
      <c r="CY166" s="496" t="str">
        <f> IF(CY186&lt;&gt;"",TEXT(AUX!DC$1,"dd-MMM-aa"),"")</f>
      </c>
      <c r="CZ166" s="496" t="str">
        <f> IF(CZ186&lt;&gt;"",TEXT(AUX!DD$1,"dd-MMM-aa"),"")</f>
      </c>
      <c r="DA166" s="496" t="str">
        <f> IF(DA186&lt;&gt;"",TEXT(AUX!DE$1,"dd-MMM-aa"),"")</f>
      </c>
      <c r="DB166" s="496" t="str">
        <f> IF(DB186&lt;&gt;"",TEXT(AUX!DF$1,"dd-MMM-aa"),"")</f>
      </c>
      <c r="DC166" s="496" t="str">
        <f> IF(DC186&lt;&gt;"",TEXT(AUX!DG$1,"dd-MMM-aa"),"")</f>
      </c>
      <c r="DD166" s="496" t="str">
        <f> IF(DD186&lt;&gt;"",TEXT(AUX!DH$1,"dd-MMM-aa"),"")</f>
      </c>
      <c r="DE166" s="496" t="str">
        <f> IF(DE186&lt;&gt;"",TEXT(AUX!DI$1,"dd-MMM-aa"),"")</f>
      </c>
      <c r="DF166" s="496" t="str">
        <f> IF(DF186&lt;&gt;"",TEXT(AUX!DJ$1,"dd-MMM-aa"),"")</f>
      </c>
      <c r="DG166" s="496" t="str">
        <f> IF(DG186&lt;&gt;"",TEXT(AUX!DK$1,"dd-MMM-aa"),"")</f>
      </c>
      <c r="DH166" s="496" t="str">
        <f> IF(DH186&lt;&gt;"",TEXT(AUX!DL$1,"dd-MMM-aa"),"")</f>
      </c>
      <c r="DI166" s="496" t="str">
        <f> IF(DI186&lt;&gt;"",TEXT(AUX!DM$1,"dd-MMM-aa"),"")</f>
      </c>
      <c r="DJ166" s="496" t="str">
        <f> IF(DJ186&lt;&gt;"",TEXT(AUX!DN$1,"dd-MMM-aa"),"")</f>
      </c>
      <c r="DK166" s="496" t="str">
        <f> IF(DK186&lt;&gt;"",TEXT(AUX!DO$1,"dd-MMM-aa"),"")</f>
      </c>
      <c r="DL166" s="496" t="str">
        <f> IF(DL186&lt;&gt;"",TEXT(AUX!DP$1,"dd-MMM-aa"),"")</f>
      </c>
      <c r="DM166" s="496" t="str">
        <f> IF(DM186&lt;&gt;"",TEXT(AUX!DQ$1,"dd-MMM-aa"),"")</f>
      </c>
      <c r="DN166" s="496" t="str">
        <f> IF(DN186&lt;&gt;"",TEXT(AUX!DR$1,"dd-MMM-aa"),"")</f>
      </c>
      <c r="DO166" s="496" t="str">
        <f> IF(DO186&lt;&gt;"",TEXT(AUX!DS$1,"dd-MMM-aa"),"")</f>
      </c>
      <c r="DP166" s="496" t="str">
        <f> IF(DP186&lt;&gt;"",TEXT(AUX!DT$1,"dd-MMM-aa"),"")</f>
      </c>
      <c r="DQ166" s="496" t="str">
        <f> IF(DQ186&lt;&gt;"",TEXT(AUX!DU$1,"dd-MMM-aa"),"")</f>
      </c>
      <c r="DR166" s="496" t="str">
        <f> IF(DR186&lt;&gt;"",TEXT(AUX!DV$1,"dd-MMM-aa"),"")</f>
      </c>
      <c r="DS166" s="496" t="str">
        <f> IF(DS186&lt;&gt;"",TEXT(AUX!DW$1,"dd-MMM-aa"),"")</f>
      </c>
      <c r="DT166" s="496" t="str">
        <f> IF(DT186&lt;&gt;"",TEXT(AUX!DX$1,"dd-MMM-aa"),"")</f>
      </c>
      <c r="DU166" s="496" t="str">
        <f> IF(DU186&lt;&gt;"",TEXT(AUX!DY$1,"dd-MMM-aa"),"")</f>
      </c>
      <c r="DV166" s="496" t="str">
        <f> IF(DV186&lt;&gt;"",TEXT(AUX!DZ$1,"dd-MMM-aa"),"")</f>
      </c>
      <c r="DW166" s="496" t="str">
        <f> IF(DW186&lt;&gt;"",TEXT(AUX!EA$1,"dd-MMM-aa"),"")</f>
      </c>
      <c r="DX166" s="496" t="str">
        <f> IF(DX186&lt;&gt;"",TEXT(AUX!EB$1,"dd-MMM-aa"),"")</f>
      </c>
      <c r="DY166" s="496" t="str">
        <f> IF(DY186&lt;&gt;"",TEXT(AUX!EC$1,"dd-MMM-aa"),"")</f>
      </c>
      <c r="DZ166" s="496" t="str">
        <f> IF(DZ186&lt;&gt;"",TEXT(AUX!ED$1,"dd-MMM-aa"),"")</f>
      </c>
      <c r="EA166" s="496" t="str">
        <f> IF(EA186&lt;&gt;"",TEXT(AUX!EE$1,"dd-MMM-aa"),"")</f>
      </c>
      <c r="EB166" s="496" t="str">
        <f> IF(EB186&lt;&gt;"",TEXT(AUX!EF$1,"dd-MMM-aa"),"")</f>
      </c>
      <c r="EC166" s="496" t="str">
        <f> IF(EC186&lt;&gt;"",TEXT(AUX!EG$1,"dd-MMM-aa"),"")</f>
      </c>
      <c r="ED166" s="496" t="str">
        <f> IF(ED186&lt;&gt;"",TEXT(AUX!EH$1,"dd-MMM-aa"),"")</f>
      </c>
      <c r="EE166" s="496" t="str">
        <f> IF(EE186&lt;&gt;"",TEXT(AUX!EI$1,"dd-MMM-aa"),"")</f>
      </c>
      <c r="EF166" s="496" t="str">
        <f> IF(EF186&lt;&gt;"",TEXT(AUX!EJ$1,"dd-MMM-aa"),"")</f>
      </c>
      <c r="EG166" s="496" t="str">
        <f> IF(EG186&lt;&gt;"",TEXT(AUX!EK$1,"dd-MMM-aa"),"")</f>
      </c>
      <c r="EH166" s="496" t="str">
        <f> IF(EH186&lt;&gt;"",TEXT(AUX!EL$1,"dd-MMM-aa"),"")</f>
      </c>
      <c r="EI166" s="496" t="str">
        <f> IF(EI186&lt;&gt;"",TEXT(AUX!EM$1,"dd-MMM-aa"),"")</f>
      </c>
      <c r="EJ166" s="496" t="str">
        <f> IF(EJ186&lt;&gt;"",TEXT(AUX!EN$1,"dd-MMM-aa"),"")</f>
      </c>
      <c r="EK166" s="496" t="str">
        <f> IF(EK186&lt;&gt;"",TEXT(AUX!EO$1,"dd-MMM-aa"),"")</f>
      </c>
      <c r="EL166" s="496" t="str">
        <f> IF(EL186&lt;&gt;"",TEXT(AUX!EP$1,"dd-MMM-aa"),"")</f>
      </c>
      <c r="EM166" s="496" t="str">
        <f> IF(EM186&lt;&gt;"",TEXT(AUX!EQ$1,"dd-MMM-aa"),"")</f>
      </c>
      <c r="EN166" s="496" t="str">
        <f> IF(EN186&lt;&gt;"",TEXT(AUX!ER$1,"dd-MMM-aa"),"")</f>
      </c>
      <c r="EO166" s="496" t="str">
        <f> IF(EO186&lt;&gt;"",TEXT(AUX!ES$1,"dd-MMM-aa"),"")</f>
      </c>
      <c r="EP166" s="496" t="str">
        <f> IF(EP186&lt;&gt;"",TEXT(AUX!ET$1,"dd-MMM-aa"),"")</f>
      </c>
      <c r="EQ166" s="496" t="str">
        <f> IF(EQ186&lt;&gt;"",TEXT(AUX!EU$1,"dd-MMM-aa"),"")</f>
      </c>
      <c r="ER166" s="496" t="str">
        <f> IF(ER186&lt;&gt;"",TEXT(AUX!EV$1,"dd-MMM-aa"),"")</f>
      </c>
      <c r="ES166" s="496" t="str">
        <f> IF(ES186&lt;&gt;"",TEXT(AUX!EW$1,"dd-MMM-aa"),"")</f>
      </c>
      <c r="ET166" s="496" t="str">
        <f> IF(ET186&lt;&gt;"",TEXT(AUX!EX$1,"dd-MMM-aa"),"")</f>
      </c>
      <c r="EU166" s="496" t="str">
        <f> IF(EU186&lt;&gt;"",TEXT(AUX!EY$1,"dd-MMM-aa"),"")</f>
      </c>
      <c r="EV166" s="496" t="str">
        <f> IF(EV186&lt;&gt;"",TEXT(AUX!EZ$1,"dd-MMM-aa"),"")</f>
      </c>
      <c r="EW166" s="496" t="str">
        <f> IF(EW186&lt;&gt;"",TEXT(AUX!FA$1,"dd-MMM-aa"),"")</f>
      </c>
      <c r="EX166" s="496" t="str">
        <f> IF(EX186&lt;&gt;"",TEXT(AUX!FB$1,"dd-MMM-aa"),"")</f>
      </c>
      <c r="EY166" s="496" t="str">
        <f> IF(EY186&lt;&gt;"",TEXT(AUX!FC$1,"dd-MMM-aa"),"")</f>
      </c>
      <c r="EZ166" s="496" t="str">
        <f> IF(EZ186&lt;&gt;"",TEXT(AUX!FD$1,"dd-MMM-aa"),"")</f>
      </c>
      <c r="FA166" s="496" t="str">
        <f> IF(FA186&lt;&gt;"",TEXT(AUX!FE$1,"dd-MMM-aa"),"")</f>
      </c>
      <c r="FB166" s="496" t="str">
        <f> IF(FB186&lt;&gt;"",TEXT(AUX!FF$1,"dd-MMM-aa"),"")</f>
      </c>
      <c r="FC166" s="496" t="str">
        <f> IF(FC186&lt;&gt;"",TEXT(AUX!FG$1,"dd-MMM-aa"),"")</f>
      </c>
      <c r="FD166" s="496" t="str">
        <f> IF(FD186&lt;&gt;"",TEXT(AUX!FH$1,"dd-MMM-aa"),"")</f>
      </c>
      <c r="FE166" s="496" t="str">
        <f> IF(FE186&lt;&gt;"",TEXT(AUX!FI$1,"dd-MMM-aa"),"")</f>
      </c>
      <c r="FF166" s="496" t="str">
        <f> IF(FF186&lt;&gt;"",TEXT(AUX!FJ$1,"dd-MMM-aa"),"")</f>
      </c>
      <c r="FG166" s="496" t="str">
        <f> IF(FG186&lt;&gt;"",TEXT(AUX!FK$1,"dd-MMM-aa"),"")</f>
      </c>
      <c r="FH166" s="496" t="str">
        <f> IF(FH186&lt;&gt;"",TEXT(AUX!FL$1,"dd-MMM-aa"),"")</f>
      </c>
      <c r="FI166" s="496" t="str">
        <f> IF(FI186&lt;&gt;"",TEXT(AUX!FM$1,"dd-MMM-aa"),"")</f>
      </c>
      <c r="FJ166" s="496" t="str">
        <f> IF(FJ186&lt;&gt;"",TEXT(AUX!FN$1,"dd-MMM-aa"),"")</f>
      </c>
      <c r="FK166" s="496" t="str">
        <f> IF(FK186&lt;&gt;"",TEXT(AUX!FO$1,"dd-MMM-aa"),"")</f>
      </c>
      <c r="FL166" s="496" t="str">
        <f> IF(FL186&lt;&gt;"",TEXT(AUX!FP$1,"dd-MMM-aa"),"")</f>
      </c>
      <c r="FM166" s="496" t="str">
        <f> IF(FM186&lt;&gt;"",TEXT(AUX!FQ$1,"dd-MMM-aa"),"")</f>
      </c>
      <c r="FN166" s="496" t="str">
        <f> IF(FN186&lt;&gt;"",TEXT(AUX!FR$1,"dd-MMM-aa"),"")</f>
      </c>
      <c r="FO166" s="496" t="str">
        <f> IF(FO186&lt;&gt;"",TEXT(AUX!FS$1,"dd-MMM-aa"),"")</f>
      </c>
      <c r="FP166" s="496" t="str">
        <f> IF(FP186&lt;&gt;"",TEXT(AUX!FT$1,"dd-MMM-aa"),"")</f>
      </c>
      <c r="FQ166" s="496" t="str">
        <f> IF(FQ186&lt;&gt;"",TEXT(AUX!FU$1,"dd-MMM-aa"),"")</f>
      </c>
      <c r="FR166" s="496" t="str">
        <f> IF(FR186&lt;&gt;"",TEXT(AUX!FV$1,"dd-MMM-aa"),"")</f>
      </c>
      <c r="FS166" s="496" t="str">
        <f> IF(FS186&lt;&gt;"",TEXT(AUX!FW$1,"dd-MMM-aa"),"")</f>
      </c>
      <c r="FT166" s="496" t="str">
        <f> IF(FT186&lt;&gt;"",TEXT(AUX!FX$1,"dd-MMM-aa"),"")</f>
      </c>
      <c r="FU166" s="496" t="str">
        <f> IF(FU186&lt;&gt;"",TEXT(AUX!FY$1,"dd-MMM-aa"),"")</f>
      </c>
      <c r="FV166" s="496" t="str">
        <f> IF(FV186&lt;&gt;"",TEXT(AUX!FZ$1,"dd-MMM-aa"),"")</f>
      </c>
      <c r="FW166" s="496" t="str">
        <f> IF(FW186&lt;&gt;"",TEXT(AUX!GA$1,"dd-MMM-aa"),"")</f>
      </c>
      <c r="FX166" s="496" t="str">
        <f> IF(FX186&lt;&gt;"",TEXT(AUX!GB$1,"dd-MMM-aa"),"")</f>
      </c>
      <c r="FY166" s="496" t="str">
        <f> IF(FY186&lt;&gt;"",TEXT(AUX!GC$1,"dd-MMM-aa"),"")</f>
      </c>
      <c r="FZ166" s="496" t="str">
        <f> IF(FZ186&lt;&gt;"",TEXT(AUX!GD$1,"dd-MMM-aa"),"")</f>
      </c>
      <c r="GA166" s="496" t="str">
        <f> IF(GA186&lt;&gt;"",TEXT(AUX!GE$1,"dd-MMM-aa"),"")</f>
      </c>
      <c r="GB166" s="496" t="str">
        <f> IF(GB186&lt;&gt;"",TEXT(AUX!GF$1,"dd-MMM-aa"),"")</f>
      </c>
      <c r="GC166" s="496" t="str">
        <f> IF(GC186&lt;&gt;"",TEXT(AUX!GG$1,"dd-MMM-aa"),"")</f>
      </c>
      <c r="GD166" s="496" t="str">
        <f> IF(GD186&lt;&gt;"",TEXT(AUX!GH$1,"dd-MMM-aa"),"")</f>
      </c>
      <c r="GE166" s="496" t="str">
        <f> IF(GE186&lt;&gt;"",TEXT(AUX!GI$1,"dd-MMM-aa"),"")</f>
      </c>
      <c r="GF166" s="496" t="str">
        <f> IF(GF186&lt;&gt;"",TEXT(AUX!GJ$1,"dd-MMM-aa"),"")</f>
      </c>
      <c r="GG166" s="496" t="str">
        <f> IF(GG186&lt;&gt;"",TEXT(AUX!GK$1,"dd-MMM-aa"),"")</f>
      </c>
      <c r="GH166" s="496" t="str">
        <f> IF(GH186&lt;&gt;"",TEXT(AUX!GL$1,"dd-MMM-aa"),"")</f>
      </c>
      <c r="GI166" s="496" t="str">
        <f> IF(GI186&lt;&gt;"",TEXT(AUX!GM$1,"dd-MMM-aa"),"")</f>
      </c>
      <c r="GJ166" s="496" t="str">
        <f> IF(GJ186&lt;&gt;"",TEXT(AUX!GN$1,"dd-MMM-aa"),"")</f>
      </c>
      <c r="GK166" s="496" t="str">
        <f> IF(GK186&lt;&gt;"",TEXT(AUX!GO$1,"dd-MMM-aa"),"")</f>
      </c>
      <c r="GL166" s="496" t="str">
        <f> IF(GL186&lt;&gt;"",TEXT(AUX!GP$1,"dd-MMM-aa"),"")</f>
      </c>
      <c r="GM166" s="496" t="str">
        <f> IF(GM186&lt;&gt;"",TEXT(AUX!GQ$1,"dd-MMM-aa"),"")</f>
      </c>
      <c r="GN166" s="496" t="str">
        <f> IF(GN186&lt;&gt;"",TEXT(AUX!GR$1,"dd-MMM-aa"),"")</f>
      </c>
      <c r="GO166" s="496" t="str">
        <f> IF(GO186&lt;&gt;"",TEXT(AUX!GS$1,"dd-MMM-aa"),"")</f>
      </c>
      <c r="GP166" s="496" t="str">
        <f> IF(GP186&lt;&gt;"",TEXT(AUX!GT$1,"dd-MMM-aa"),"")</f>
      </c>
      <c r="GQ166" s="496" t="str">
        <f> IF(GQ186&lt;&gt;"",TEXT(AUX!GU$1,"dd-MMM-aa"),"")</f>
      </c>
      <c r="GR166" s="496" t="str">
        <f> IF(GR186&lt;&gt;"",TEXT(AUX!GV$1,"dd-MMM-aa"),"")</f>
      </c>
      <c r="GS166" s="496" t="str">
        <f> IF(GS186&lt;&gt;"",TEXT(AUX!GW$1,"dd-MMM-aa"),"")</f>
      </c>
      <c r="GT166" s="496" t="str">
        <f> IF(GT186&lt;&gt;"",TEXT(AUX!GX$1,"dd-MMM-aa"),"")</f>
      </c>
      <c r="GU166" s="496" t="str">
        <f> IF(GU186&lt;&gt;"",TEXT(AUX!GY$1,"dd-MMM-aa"),"")</f>
      </c>
      <c r="GV166" s="496" t="str">
        <f> IF(GV186&lt;&gt;"",TEXT(AUX!GZ$1,"dd-MMM-aa"),"")</f>
      </c>
      <c r="GW166" s="496" t="str">
        <f> IF(GW186&lt;&gt;"",TEXT(AUX!HA$1,"dd-MMM-aa"),"")</f>
      </c>
      <c r="GX166" s="496" t="str">
        <f> IF(GX186&lt;&gt;"",TEXT(AUX!HB$1,"dd-MMM-aa"),"")</f>
      </c>
      <c r="GY166" s="496" t="str">
        <f> IF(GY186&lt;&gt;"",TEXT(AUX!HC$1,"dd-MMM-aa"),"")</f>
      </c>
      <c r="GZ166" s="496" t="str">
        <f> IF(GZ186&lt;&gt;"",TEXT(AUX!HD$1,"dd-MMM-aa"),"")</f>
      </c>
      <c r="HA166" s="496" t="str">
        <f> IF(HA186&lt;&gt;"",TEXT(AUX!HE$1,"dd-MMM-aa"),"")</f>
      </c>
      <c r="HB166" s="496" t="str">
        <f> IF(HB186&lt;&gt;"",TEXT(AUX!HF$1,"dd-MMM-aa"),"")</f>
      </c>
      <c r="HC166" s="496" t="str">
        <f> IF(HC186&lt;&gt;"",TEXT(AUX!HG$1,"dd-MMM-aa"),"")</f>
      </c>
      <c r="HD166" s="496" t="str">
        <f> IF(HD186&lt;&gt;"",TEXT(AUX!HH$1,"dd-MMM-aa"),"")</f>
      </c>
      <c r="HE166" s="496" t="str">
        <f> IF(HE186&lt;&gt;"",TEXT(AUX!HI$1,"dd-MMM-aa"),"")</f>
      </c>
      <c r="HF166" s="496" t="str">
        <f> IF(HF186&lt;&gt;"",TEXT(AUX!HJ$1,"dd-MMM-aa"),"")</f>
      </c>
      <c r="HG166" s="496" t="str">
        <f> IF(HG186&lt;&gt;"",TEXT(AUX!HK$1,"dd-MMM-aa"),"")</f>
      </c>
      <c r="HH166" s="496" t="str">
        <f> IF(HH186&lt;&gt;"",TEXT(AUX!HL$1,"dd-MMM-aa"),"")</f>
      </c>
      <c r="HI166" s="496" t="str">
        <f> IF(HI186&lt;&gt;"",TEXT(AUX!HM$1,"dd-MMM-aa"),"")</f>
      </c>
      <c r="HJ166" s="496" t="str">
        <f> IF(HJ186&lt;&gt;"",TEXT(AUX!HN$1,"dd-MMM-aa"),"")</f>
      </c>
      <c r="HK166" s="496" t="str">
        <f> IF(HK186&lt;&gt;"",TEXT(AUX!HO$1,"dd-MMM-aa"),"")</f>
      </c>
      <c r="HL166" s="496" t="str">
        <f> IF(HL186&lt;&gt;"",TEXT(AUX!HP$1,"dd-MMM-aa"),"")</f>
      </c>
      <c r="HM166" s="496" t="str">
        <f> IF(HM186&lt;&gt;"",TEXT(AUX!HQ$1,"dd-MMM-aa"),"")</f>
      </c>
      <c r="HN166" s="496" t="str">
        <f> IF(HN186&lt;&gt;"",TEXT(AUX!HR$1,"dd-MMM-aa"),"")</f>
      </c>
      <c r="HO166" s="496" t="str">
        <f> IF(HO186&lt;&gt;"",TEXT(AUX!HS$1,"dd-MMM-aa"),"")</f>
      </c>
      <c r="HP166" s="496" t="str">
        <f> IF(HP186&lt;&gt;"",TEXT(AUX!HT$1,"dd-MMM-aa"),"")</f>
      </c>
      <c r="HQ166" s="496" t="str">
        <f> IF(HQ186&lt;&gt;"",TEXT(AUX!HU$1,"dd-MMM-aa"),"")</f>
      </c>
      <c r="HR166" s="496" t="str">
        <f> IF(HR186&lt;&gt;"",TEXT(AUX!HV$1,"dd-MMM-aa"),"")</f>
      </c>
      <c r="HS166" s="496" t="str">
        <f> IF(HS186&lt;&gt;"",TEXT(AUX!HW$1,"dd-MMM-aa"),"")</f>
      </c>
      <c r="HT166" s="496" t="str">
        <f> IF(HT186&lt;&gt;"",TEXT(AUX!HX$1,"dd-MMM-aa"),"")</f>
      </c>
      <c r="HU166" s="496" t="str">
        <f> IF(HU186&lt;&gt;"",TEXT(AUX!HY$1,"dd-MMM-aa"),"")</f>
      </c>
      <c r="HV166" s="496" t="str">
        <f> IF(HV186&lt;&gt;"",TEXT(AUX!HZ$1,"dd-MMM-aa"),"")</f>
      </c>
      <c r="HW166" s="496" t="str">
        <f> IF(HW186&lt;&gt;"",TEXT(AUX!IA$1,"dd-MMM-aa"),"")</f>
      </c>
      <c r="HX166" s="496" t="str">
        <f> IF(HX186&lt;&gt;"",TEXT(AUX!IB$1,"dd-MMM-aa"),"")</f>
      </c>
      <c r="HY166" s="496" t="str">
        <f> IF(HY186&lt;&gt;"",TEXT(AUX!IC$1,"dd-MMM-aa"),"")</f>
      </c>
      <c r="HZ166" s="496" t="str">
        <f> IF(HZ186&lt;&gt;"",TEXT(AUX!ID$1,"dd-MMM-aa"),"")</f>
      </c>
      <c r="IA166" s="496" t="str">
        <f> IF(IA186&lt;&gt;"",TEXT(AUX!IE$1,"dd-MMM-aa"),"")</f>
      </c>
      <c r="IB166" s="496" t="str">
        <f> IF(IB186&lt;&gt;"",TEXT(AUX!IF$1,"dd-MMM-aa"),"")</f>
      </c>
      <c r="IC166" s="496" t="str">
        <f> IF(IC186&lt;&gt;"",TEXT(AUX!IG$1,"dd-MMM-aa"),"")</f>
      </c>
      <c r="ID166" s="496" t="str">
        <f> IF(ID186&lt;&gt;"",TEXT(AUX!IH$1,"dd-MMM-aa"),"")</f>
      </c>
      <c r="IE166" s="496" t="str">
        <f> IF(IE186&lt;&gt;"",TEXT(AUX!II$1,"dd-MMM-aa"),"")</f>
      </c>
      <c r="IF166" s="496" t="str">
        <f> IF(IF186&lt;&gt;"",TEXT(AUX!IJ$1,"dd-MMM-aa"),"")</f>
      </c>
      <c r="IG166" s="496" t="str">
        <f> IF(IG186&lt;&gt;"",TEXT(AUX!IK$1,"dd-MMM-aa"),"")</f>
      </c>
      <c r="IH166" s="496" t="str">
        <f> IF(IH186&lt;&gt;"",TEXT(AUX!IL$1,"dd-MMM-aa"),"")</f>
      </c>
      <c r="II166" s="496" t="str">
        <f> IF(II186&lt;&gt;"",TEXT(AUX!IM$1,"dd-MMM-aa"),"")</f>
      </c>
      <c r="IJ166" s="496" t="str">
        <f> IF(IJ186&lt;&gt;"",TEXT(AUX!IN$1,"dd-MMM-aa"),"")</f>
      </c>
      <c r="IK166" s="496" t="str">
        <f> IF(IK186&lt;&gt;"",TEXT(AUX!IO$1,"dd-MMM-aa"),"")</f>
      </c>
      <c r="IL166" s="496" t="str">
        <f> IF(IL186&lt;&gt;"",TEXT(AUX!IP$1,"dd-MMM-aa"),"")</f>
      </c>
      <c r="IM166" s="496" t="str">
        <f> IF(IM186&lt;&gt;"",TEXT(AUX!IQ$1,"dd-MMM-aa"),"")</f>
      </c>
      <c r="IN166" s="496" t="str">
        <f> IF(IN186&lt;&gt;"",TEXT(AUX!IR$1,"dd-MMM-aa"),"")</f>
      </c>
      <c r="IO166" s="496" t="str">
        <f> IF(IO186&lt;&gt;"",TEXT(AUX!IS$1,"dd-MMM-aa"),"")</f>
      </c>
      <c r="IP166" s="496" t="str">
        <f> IF(IP186&lt;&gt;"",TEXT(AUX!IT$1,"dd-MMM-aa"),"")</f>
      </c>
      <c r="IQ166" s="496" t="str">
        <f> IF(IQ186&lt;&gt;"",TEXT(AUX!IU$1,"dd-MMM-aa"),"")</f>
      </c>
      <c r="IR166" s="496" t="str">
        <f> IF(IR186&lt;&gt;"",TEXT(AUX!IV$1,"dd-MMM-aa"),"")</f>
      </c>
      <c r="IS166" s="496" t="str">
        <f> IF(IS186&lt;&gt;"",TEXT(AUX!#REF!,"dd-MMM-aa"),"")</f>
      </c>
      <c r="IT166" s="496" t="str">
        <f> IF(IT186&lt;&gt;"",TEXT(AUX!#REF!,"dd-MMM-aa"),"")</f>
      </c>
      <c r="IU166" s="496" t="str">
        <f> IF(IU186&lt;&gt;"",TEXT(AUX!#REF!,"dd-MMM-aa"),"")</f>
      </c>
      <c r="IV166" s="496" t="str">
        <f> IF(IV186&lt;&gt;"",TEXT(AUX!#REF!,"dd-MMM-aa"),"")</f>
      </c>
    </row>
    <row r="167" hidden="1">
      <c r="B167" s="833" t="s">
        <v>8</v>
      </c>
      <c r="C167" s="827">
        <v>775</v>
      </c>
      <c r="D167" s="827">
        <v>768</v>
      </c>
      <c r="E167" s="827">
        <v>796</v>
      </c>
      <c r="F167" s="827">
        <v>807</v>
      </c>
      <c r="G167" s="827">
        <v>865</v>
      </c>
      <c r="H167" s="827">
        <v>882</v>
      </c>
      <c r="I167" s="827">
        <v>881</v>
      </c>
      <c r="J167" s="827">
        <v>921</v>
      </c>
      <c r="K167" s="827">
        <v>951</v>
      </c>
      <c r="L167" s="827">
        <v>988</v>
      </c>
      <c r="M167" s="827">
        <v>1015</v>
      </c>
      <c r="N167" s="827">
        <v>1043</v>
      </c>
      <c r="O167" s="827">
        <v>1099</v>
      </c>
      <c r="P167" s="827">
        <v>1132</v>
      </c>
      <c r="Q167" s="827">
        <v>1179</v>
      </c>
      <c r="R167" s="827">
        <v>1222</v>
      </c>
      <c r="S167" s="827">
        <v>1285</v>
      </c>
      <c r="T167" s="827">
        <v>1350</v>
      </c>
      <c r="U167" s="827">
        <v>1382</v>
      </c>
      <c r="V167" s="827">
        <v>1429</v>
      </c>
      <c r="W167" s="827">
        <v>1479</v>
      </c>
      <c r="X167" s="827">
        <v>1459</v>
      </c>
      <c r="Y167" s="827">
        <v>1562</v>
      </c>
      <c r="Z167" s="827">
        <v>1590</v>
      </c>
      <c r="AA167" s="827">
        <v>1629</v>
      </c>
      <c r="AB167" s="834">
        <v>1667</v>
      </c>
      <c r="AC167" s="828">
        <v>1713</v>
      </c>
      <c r="AD167" s="828">
        <v>1743</v>
      </c>
      <c r="AE167" s="828">
        <v>1762</v>
      </c>
      <c r="AF167" s="828">
        <v>1789</v>
      </c>
      <c r="AG167" s="828">
        <v>1832</v>
      </c>
      <c r="AH167" s="828">
        <v>1869</v>
      </c>
      <c r="AI167" s="828">
        <v>1867</v>
      </c>
      <c r="AJ167" s="828">
        <v>1918</v>
      </c>
      <c r="AK167" s="828">
        <v>1930</v>
      </c>
      <c r="AL167" s="828">
        <v>1956</v>
      </c>
      <c r="AM167" s="828">
        <v>1965</v>
      </c>
      <c r="AN167" s="828">
        <v>1972</v>
      </c>
      <c r="AO167" s="828">
        <v>1984</v>
      </c>
      <c r="AP167" s="828">
        <v>1980</v>
      </c>
    </row>
    <row r="168" hidden="1">
      <c r="B168" s="829" t="s">
        <v>9</v>
      </c>
      <c r="C168" s="823">
        <v>1230</v>
      </c>
      <c r="D168" s="823">
        <v>1022</v>
      </c>
      <c r="E168" s="823">
        <v>972</v>
      </c>
      <c r="F168" s="823">
        <v>993</v>
      </c>
      <c r="G168" s="823">
        <v>1008</v>
      </c>
      <c r="H168" s="823">
        <v>1017</v>
      </c>
      <c r="I168" s="823">
        <v>1045</v>
      </c>
      <c r="J168" s="823">
        <v>1064</v>
      </c>
      <c r="K168" s="823">
        <v>1081</v>
      </c>
      <c r="L168" s="823">
        <v>1075</v>
      </c>
      <c r="M168" s="823">
        <v>1061</v>
      </c>
      <c r="N168" s="823">
        <v>1052</v>
      </c>
      <c r="O168" s="823">
        <v>1032</v>
      </c>
      <c r="P168" s="823">
        <v>1007</v>
      </c>
      <c r="Q168" s="823">
        <v>1016</v>
      </c>
      <c r="R168" s="823">
        <v>1040</v>
      </c>
      <c r="S168" s="823">
        <v>1106</v>
      </c>
      <c r="T168" s="823">
        <v>1136</v>
      </c>
      <c r="U168" s="823">
        <v>1192</v>
      </c>
      <c r="V168" s="823">
        <v>1210</v>
      </c>
      <c r="W168" s="823">
        <v>1236</v>
      </c>
      <c r="X168" s="823">
        <v>1259</v>
      </c>
      <c r="Y168" s="823">
        <v>1276</v>
      </c>
      <c r="Z168" s="823">
        <v>1298</v>
      </c>
      <c r="AA168" s="823">
        <v>1312</v>
      </c>
      <c r="AB168" s="823">
        <v>1334</v>
      </c>
      <c r="AC168" s="825">
        <v>1369</v>
      </c>
      <c r="AD168" s="825">
        <v>1269</v>
      </c>
      <c r="AE168" s="825">
        <v>1295</v>
      </c>
      <c r="AF168" s="825">
        <v>1333</v>
      </c>
      <c r="AG168" s="825">
        <v>1384</v>
      </c>
      <c r="AH168" s="825">
        <v>1412</v>
      </c>
      <c r="AI168" s="825">
        <v>1423</v>
      </c>
      <c r="AJ168" s="825">
        <v>1428</v>
      </c>
      <c r="AK168" s="825">
        <v>1433</v>
      </c>
      <c r="AL168" s="825">
        <v>1433</v>
      </c>
      <c r="AM168" s="825">
        <v>1417</v>
      </c>
      <c r="AN168" s="825">
        <v>1413</v>
      </c>
      <c r="AO168" s="825">
        <v>1395</v>
      </c>
      <c r="AP168" s="825">
        <v>1402</v>
      </c>
    </row>
    <row r="169" hidden="1">
      <c r="B169" s="826" t="s">
        <v>10</v>
      </c>
      <c r="C169" s="827">
        <v>1502</v>
      </c>
      <c r="D169" s="827">
        <v>1523</v>
      </c>
      <c r="E169" s="827">
        <v>1518</v>
      </c>
      <c r="F169" s="827">
        <v>1545</v>
      </c>
      <c r="G169" s="827">
        <v>1525</v>
      </c>
      <c r="H169" s="827">
        <v>1185</v>
      </c>
      <c r="I169" s="827">
        <v>1204</v>
      </c>
      <c r="J169" s="827">
        <v>1254</v>
      </c>
      <c r="K169" s="827">
        <v>1116</v>
      </c>
      <c r="L169" s="827">
        <v>1154</v>
      </c>
      <c r="M169" s="827">
        <v>1184</v>
      </c>
      <c r="N169" s="827">
        <v>1233</v>
      </c>
      <c r="O169" s="827">
        <v>1256</v>
      </c>
      <c r="P169" s="827">
        <v>1341</v>
      </c>
      <c r="Q169" s="827">
        <v>1204</v>
      </c>
      <c r="R169" s="827">
        <v>1289</v>
      </c>
      <c r="S169" s="827">
        <v>1334</v>
      </c>
      <c r="T169" s="827">
        <v>1384</v>
      </c>
      <c r="U169" s="827">
        <v>1361</v>
      </c>
      <c r="V169" s="827">
        <v>1400</v>
      </c>
      <c r="W169" s="827">
        <v>1481</v>
      </c>
      <c r="X169" s="827">
        <v>1513</v>
      </c>
      <c r="Y169" s="827">
        <v>1593</v>
      </c>
      <c r="Z169" s="827">
        <v>1528</v>
      </c>
      <c r="AA169" s="827">
        <v>1636</v>
      </c>
      <c r="AB169" s="827">
        <v>1609</v>
      </c>
      <c r="AC169" s="828">
        <v>1695</v>
      </c>
      <c r="AD169" s="828">
        <v>1718</v>
      </c>
      <c r="AE169" s="828">
        <v>1796</v>
      </c>
      <c r="AF169" s="828">
        <v>1874</v>
      </c>
      <c r="AG169" s="828">
        <v>997</v>
      </c>
      <c r="AH169" s="828">
        <v>1015</v>
      </c>
      <c r="AI169" s="828">
        <v>1022</v>
      </c>
      <c r="AJ169" s="828">
        <v>1024</v>
      </c>
      <c r="AK169" s="828">
        <v>1038</v>
      </c>
      <c r="AL169" s="828">
        <v>1048</v>
      </c>
      <c r="AM169" s="828">
        <v>1046</v>
      </c>
      <c r="AN169" s="828">
        <v>1043</v>
      </c>
      <c r="AO169" s="828">
        <v>1046</v>
      </c>
      <c r="AP169" s="828">
        <v>1052</v>
      </c>
    </row>
    <row r="170" hidden="1">
      <c r="B170" s="829" t="s">
        <v>11</v>
      </c>
      <c r="C170" s="823">
        <v>470</v>
      </c>
      <c r="D170" s="823">
        <v>459</v>
      </c>
      <c r="E170" s="823">
        <v>468</v>
      </c>
      <c r="F170" s="823">
        <v>470</v>
      </c>
      <c r="G170" s="823">
        <v>446</v>
      </c>
      <c r="H170" s="823">
        <v>419</v>
      </c>
      <c r="I170" s="823">
        <v>430</v>
      </c>
      <c r="J170" s="823">
        <v>418</v>
      </c>
      <c r="K170" s="823">
        <v>436</v>
      </c>
      <c r="L170" s="823">
        <v>349</v>
      </c>
      <c r="M170" s="823">
        <v>360</v>
      </c>
      <c r="N170" s="823">
        <v>368</v>
      </c>
      <c r="O170" s="823">
        <v>417</v>
      </c>
      <c r="P170" s="823">
        <v>428</v>
      </c>
      <c r="Q170" s="823">
        <v>438</v>
      </c>
      <c r="R170" s="823">
        <v>440</v>
      </c>
      <c r="S170" s="823">
        <v>475</v>
      </c>
      <c r="T170" s="823">
        <v>483</v>
      </c>
      <c r="U170" s="823">
        <v>480</v>
      </c>
      <c r="V170" s="823">
        <v>486</v>
      </c>
      <c r="W170" s="823">
        <v>479</v>
      </c>
      <c r="X170" s="823">
        <v>485</v>
      </c>
      <c r="Y170" s="823">
        <v>469</v>
      </c>
      <c r="Z170" s="823">
        <v>324</v>
      </c>
      <c r="AA170" s="823">
        <v>311</v>
      </c>
      <c r="AB170" s="823">
        <v>305</v>
      </c>
      <c r="AC170" s="825">
        <v>292</v>
      </c>
      <c r="AD170" s="825">
        <v>293</v>
      </c>
      <c r="AE170" s="825">
        <v>295</v>
      </c>
      <c r="AF170" s="825">
        <v>299</v>
      </c>
      <c r="AG170" s="825">
        <v>289</v>
      </c>
      <c r="AH170" s="825">
        <v>295</v>
      </c>
      <c r="AI170" s="825">
        <v>298</v>
      </c>
      <c r="AJ170" s="825">
        <v>299</v>
      </c>
      <c r="AK170" s="825">
        <v>300</v>
      </c>
      <c r="AL170" s="825">
        <v>302</v>
      </c>
      <c r="AM170" s="825">
        <v>302</v>
      </c>
      <c r="AN170" s="825">
        <v>306</v>
      </c>
      <c r="AO170" s="825">
        <v>309</v>
      </c>
      <c r="AP170" s="825">
        <v>305</v>
      </c>
    </row>
    <row r="171" hidden="1">
      <c r="B171" s="826" t="s">
        <v>12</v>
      </c>
      <c r="C171" s="827">
        <v>1062</v>
      </c>
      <c r="D171" s="827">
        <v>1093</v>
      </c>
      <c r="E171" s="827">
        <v>1182</v>
      </c>
      <c r="F171" s="827">
        <v>1214</v>
      </c>
      <c r="G171" s="827">
        <v>1256</v>
      </c>
      <c r="H171" s="827">
        <v>1263</v>
      </c>
      <c r="I171" s="827">
        <v>1318</v>
      </c>
      <c r="J171" s="827">
        <v>1102</v>
      </c>
      <c r="K171" s="827">
        <v>1090</v>
      </c>
      <c r="L171" s="827">
        <v>1111</v>
      </c>
      <c r="M171" s="827">
        <v>1145</v>
      </c>
      <c r="N171" s="827">
        <v>1194</v>
      </c>
      <c r="O171" s="827">
        <v>1196</v>
      </c>
      <c r="P171" s="827">
        <v>1213</v>
      </c>
      <c r="Q171" s="827">
        <v>1235</v>
      </c>
      <c r="R171" s="827">
        <v>1270</v>
      </c>
      <c r="S171" s="827">
        <v>1265</v>
      </c>
      <c r="T171" s="827">
        <v>1317</v>
      </c>
      <c r="U171" s="827">
        <v>1332</v>
      </c>
      <c r="V171" s="827">
        <v>1373</v>
      </c>
      <c r="W171" s="827">
        <v>1377</v>
      </c>
      <c r="X171" s="827">
        <v>1410</v>
      </c>
      <c r="Y171" s="827">
        <v>1388</v>
      </c>
      <c r="Z171" s="827">
        <v>1402</v>
      </c>
      <c r="AA171" s="827">
        <v>1364</v>
      </c>
      <c r="AB171" s="827">
        <v>1377</v>
      </c>
      <c r="AC171" s="828">
        <v>1272</v>
      </c>
      <c r="AD171" s="828">
        <v>1280</v>
      </c>
      <c r="AE171" s="828">
        <v>1104</v>
      </c>
      <c r="AF171" s="828">
        <v>1112</v>
      </c>
      <c r="AG171" s="828">
        <v>1072</v>
      </c>
      <c r="AH171" s="828">
        <v>1083</v>
      </c>
      <c r="AI171" s="828">
        <v>1060</v>
      </c>
      <c r="AJ171" s="828">
        <v>1068</v>
      </c>
      <c r="AK171" s="828">
        <v>1031</v>
      </c>
      <c r="AL171" s="828">
        <v>1038</v>
      </c>
      <c r="AM171" s="828">
        <v>1005</v>
      </c>
      <c r="AN171" s="828">
        <v>1007</v>
      </c>
      <c r="AO171" s="828">
        <v>991</v>
      </c>
      <c r="AP171" s="828">
        <v>1005</v>
      </c>
    </row>
    <row r="172" hidden="1">
      <c r="B172" s="829" t="s">
        <v>13</v>
      </c>
      <c r="C172" s="823">
        <v>424</v>
      </c>
      <c r="D172" s="823">
        <v>424</v>
      </c>
      <c r="E172" s="823">
        <v>436</v>
      </c>
      <c r="F172" s="823">
        <v>450</v>
      </c>
      <c r="G172" s="823">
        <v>456</v>
      </c>
      <c r="H172" s="823">
        <v>359</v>
      </c>
      <c r="I172" s="823">
        <v>360</v>
      </c>
      <c r="J172" s="823">
        <v>360</v>
      </c>
      <c r="K172" s="823">
        <v>376</v>
      </c>
      <c r="L172" s="823">
        <v>376</v>
      </c>
      <c r="M172" s="823">
        <v>383</v>
      </c>
      <c r="N172" s="823">
        <v>212</v>
      </c>
      <c r="O172" s="823">
        <v>235</v>
      </c>
      <c r="P172" s="823">
        <v>223</v>
      </c>
      <c r="Q172" s="823">
        <v>247</v>
      </c>
      <c r="R172" s="823">
        <v>244</v>
      </c>
      <c r="S172" s="823">
        <v>241</v>
      </c>
      <c r="T172" s="823">
        <v>241</v>
      </c>
      <c r="U172" s="823">
        <v>266</v>
      </c>
      <c r="V172" s="823">
        <v>259</v>
      </c>
      <c r="W172" s="823">
        <v>302</v>
      </c>
      <c r="X172" s="823">
        <v>306</v>
      </c>
      <c r="Y172" s="823">
        <v>378</v>
      </c>
      <c r="Z172" s="823">
        <v>360</v>
      </c>
      <c r="AA172" s="823">
        <v>381</v>
      </c>
      <c r="AB172" s="823">
        <v>343</v>
      </c>
      <c r="AC172" s="825">
        <v>368</v>
      </c>
      <c r="AD172" s="825">
        <v>346</v>
      </c>
      <c r="AE172" s="825">
        <v>369</v>
      </c>
      <c r="AF172" s="825">
        <v>351</v>
      </c>
      <c r="AG172" s="825">
        <v>386</v>
      </c>
      <c r="AH172" s="825">
        <v>359</v>
      </c>
      <c r="AI172" s="825">
        <v>398</v>
      </c>
      <c r="AJ172" s="825">
        <v>377</v>
      </c>
      <c r="AK172" s="825">
        <v>405</v>
      </c>
      <c r="AL172" s="825">
        <v>382</v>
      </c>
      <c r="AM172" s="825">
        <v>416</v>
      </c>
      <c r="AN172" s="825">
        <v>403</v>
      </c>
      <c r="AO172" s="825">
        <v>411</v>
      </c>
      <c r="AP172" s="825">
        <v>413</v>
      </c>
    </row>
    <row r="173" hidden="1">
      <c r="B173" s="826" t="s">
        <v>109</v>
      </c>
      <c r="C173" s="827">
        <v>1586</v>
      </c>
      <c r="D173" s="827">
        <v>1581</v>
      </c>
      <c r="E173" s="827">
        <v>1568</v>
      </c>
      <c r="F173" s="827">
        <v>1535</v>
      </c>
      <c r="G173" s="827">
        <v>1509</v>
      </c>
      <c r="H173" s="827">
        <v>1526</v>
      </c>
      <c r="I173" s="827">
        <v>1549</v>
      </c>
      <c r="J173" s="827">
        <v>1549</v>
      </c>
      <c r="K173" s="827">
        <v>1569</v>
      </c>
      <c r="L173" s="827">
        <v>1585</v>
      </c>
      <c r="M173" s="827">
        <v>1580</v>
      </c>
      <c r="N173" s="827">
        <v>1633</v>
      </c>
      <c r="O173" s="827">
        <v>1626</v>
      </c>
      <c r="P173" s="827">
        <v>1667</v>
      </c>
      <c r="Q173" s="827">
        <v>1644</v>
      </c>
      <c r="R173" s="827">
        <v>1662</v>
      </c>
      <c r="S173" s="827">
        <v>1723</v>
      </c>
      <c r="T173" s="827">
        <v>1778</v>
      </c>
      <c r="U173" s="827">
        <v>1863</v>
      </c>
      <c r="V173" s="827">
        <v>1913</v>
      </c>
      <c r="W173" s="827">
        <v>1970</v>
      </c>
      <c r="X173" s="827">
        <v>1987</v>
      </c>
      <c r="Y173" s="827">
        <v>1944</v>
      </c>
      <c r="Z173" s="827">
        <v>1963</v>
      </c>
      <c r="AA173" s="827">
        <v>1985</v>
      </c>
      <c r="AB173" s="827">
        <v>2050</v>
      </c>
      <c r="AC173" s="828">
        <v>2073</v>
      </c>
      <c r="AD173" s="828">
        <v>2124</v>
      </c>
      <c r="AE173" s="828">
        <v>2110</v>
      </c>
      <c r="AF173" s="828">
        <v>2159</v>
      </c>
      <c r="AG173" s="828">
        <v>2188</v>
      </c>
      <c r="AH173" s="828">
        <v>2243</v>
      </c>
      <c r="AI173" s="828">
        <v>2233</v>
      </c>
      <c r="AJ173" s="828">
        <v>2276</v>
      </c>
      <c r="AK173" s="828">
        <v>2241</v>
      </c>
      <c r="AL173" s="828">
        <v>2248</v>
      </c>
      <c r="AM173" s="828">
        <v>2251</v>
      </c>
      <c r="AN173" s="828">
        <v>2275</v>
      </c>
      <c r="AO173" s="828">
        <v>2218</v>
      </c>
      <c r="AP173" s="828">
        <v>2237</v>
      </c>
    </row>
    <row r="174" hidden="1">
      <c r="B174" s="829" t="s">
        <v>110</v>
      </c>
      <c r="C174" s="823">
        <v>599</v>
      </c>
      <c r="D174" s="823">
        <v>660</v>
      </c>
      <c r="E174" s="823">
        <v>756</v>
      </c>
      <c r="F174" s="823">
        <v>813</v>
      </c>
      <c r="G174" s="823">
        <v>881</v>
      </c>
      <c r="H174" s="823">
        <v>947</v>
      </c>
      <c r="I174" s="823">
        <v>1013</v>
      </c>
      <c r="J174" s="823">
        <v>1090</v>
      </c>
      <c r="K174" s="823">
        <v>1144</v>
      </c>
      <c r="L174" s="823">
        <v>1183</v>
      </c>
      <c r="M174" s="823">
        <v>1190</v>
      </c>
      <c r="N174" s="823">
        <v>1040</v>
      </c>
      <c r="O174" s="823">
        <v>755</v>
      </c>
      <c r="P174" s="823">
        <v>728</v>
      </c>
      <c r="Q174" s="823">
        <v>769</v>
      </c>
      <c r="R174" s="823">
        <v>703</v>
      </c>
      <c r="S174" s="823">
        <v>757</v>
      </c>
      <c r="T174" s="823">
        <v>764</v>
      </c>
      <c r="U174" s="823">
        <v>894</v>
      </c>
      <c r="V174" s="823">
        <v>950</v>
      </c>
      <c r="W174" s="823">
        <v>1090</v>
      </c>
      <c r="X174" s="823">
        <v>1142</v>
      </c>
      <c r="Y174" s="823">
        <v>1197</v>
      </c>
      <c r="Z174" s="823">
        <v>1198</v>
      </c>
      <c r="AA174" s="823">
        <v>1251</v>
      </c>
      <c r="AB174" s="823">
        <v>1275</v>
      </c>
      <c r="AC174" s="825">
        <v>1337</v>
      </c>
      <c r="AD174" s="825">
        <v>1365</v>
      </c>
      <c r="AE174" s="825">
        <v>1415</v>
      </c>
      <c r="AF174" s="825">
        <v>1377</v>
      </c>
      <c r="AG174" s="825">
        <v>1488</v>
      </c>
      <c r="AH174" s="825">
        <v>1490</v>
      </c>
      <c r="AI174" s="825">
        <v>1492</v>
      </c>
      <c r="AJ174" s="825">
        <v>1465</v>
      </c>
      <c r="AK174" s="825">
        <v>1457</v>
      </c>
      <c r="AL174" s="825">
        <v>1415</v>
      </c>
      <c r="AM174" s="825">
        <v>1405</v>
      </c>
      <c r="AN174" s="825">
        <v>1352</v>
      </c>
      <c r="AO174" s="825">
        <v>1351</v>
      </c>
      <c r="AP174" s="825">
        <v>1317</v>
      </c>
    </row>
    <row r="175" hidden="1">
      <c r="B175" s="826" t="s">
        <v>16</v>
      </c>
      <c r="C175" s="827">
        <v>687</v>
      </c>
      <c r="D175" s="827">
        <v>703</v>
      </c>
      <c r="E175" s="827">
        <v>719</v>
      </c>
      <c r="F175" s="827">
        <v>740</v>
      </c>
      <c r="G175" s="827">
        <v>751</v>
      </c>
      <c r="H175" s="827">
        <v>758</v>
      </c>
      <c r="I175" s="827">
        <v>787</v>
      </c>
      <c r="J175" s="827">
        <v>794</v>
      </c>
      <c r="K175" s="827">
        <v>823</v>
      </c>
      <c r="L175" s="827">
        <v>845</v>
      </c>
      <c r="M175" s="827">
        <v>881</v>
      </c>
      <c r="N175" s="827">
        <v>873</v>
      </c>
      <c r="O175" s="827">
        <v>910</v>
      </c>
      <c r="P175" s="827">
        <v>921</v>
      </c>
      <c r="Q175" s="827">
        <v>888</v>
      </c>
      <c r="R175" s="827">
        <v>947</v>
      </c>
      <c r="S175" s="827">
        <v>1026</v>
      </c>
      <c r="T175" s="827">
        <v>1075</v>
      </c>
      <c r="U175" s="827">
        <v>1120</v>
      </c>
      <c r="V175" s="827">
        <v>1183</v>
      </c>
      <c r="W175" s="827">
        <v>1228</v>
      </c>
      <c r="X175" s="827">
        <v>1278</v>
      </c>
      <c r="Y175" s="827">
        <v>1322</v>
      </c>
      <c r="Z175" s="827">
        <v>1361</v>
      </c>
      <c r="AA175" s="827">
        <v>1403</v>
      </c>
      <c r="AB175" s="827">
        <v>1429</v>
      </c>
      <c r="AC175" s="828">
        <v>1409</v>
      </c>
      <c r="AD175" s="828">
        <v>1415</v>
      </c>
      <c r="AE175" s="828">
        <v>1440</v>
      </c>
      <c r="AF175" s="828">
        <v>1473</v>
      </c>
      <c r="AG175" s="828">
        <v>1526</v>
      </c>
      <c r="AH175" s="828">
        <v>1557</v>
      </c>
      <c r="AI175" s="828">
        <v>1576</v>
      </c>
      <c r="AJ175" s="828">
        <v>1587</v>
      </c>
      <c r="AK175" s="828">
        <v>1582</v>
      </c>
      <c r="AL175" s="828">
        <v>1610</v>
      </c>
      <c r="AM175" s="828">
        <v>1604</v>
      </c>
      <c r="AN175" s="828">
        <v>1602</v>
      </c>
      <c r="AO175" s="828">
        <v>1594</v>
      </c>
      <c r="AP175" s="828">
        <v>1599</v>
      </c>
    </row>
    <row r="176" hidden="1">
      <c r="B176" s="829" t="s">
        <v>17</v>
      </c>
      <c r="C176" s="823">
        <v>217</v>
      </c>
      <c r="D176" s="823">
        <v>215</v>
      </c>
      <c r="E176" s="823">
        <v>214</v>
      </c>
      <c r="F176" s="823">
        <v>215</v>
      </c>
      <c r="G176" s="823">
        <v>216</v>
      </c>
      <c r="H176" s="823">
        <v>190</v>
      </c>
      <c r="I176" s="823">
        <v>194</v>
      </c>
      <c r="J176" s="823">
        <v>197</v>
      </c>
      <c r="K176" s="823">
        <v>201</v>
      </c>
      <c r="L176" s="823">
        <v>204</v>
      </c>
      <c r="M176" s="823">
        <v>216</v>
      </c>
      <c r="N176" s="823">
        <v>226</v>
      </c>
      <c r="O176" s="823">
        <v>234</v>
      </c>
      <c r="P176" s="823">
        <v>238</v>
      </c>
      <c r="Q176" s="823">
        <v>237</v>
      </c>
      <c r="R176" s="823">
        <v>259</v>
      </c>
      <c r="S176" s="823">
        <v>283</v>
      </c>
      <c r="T176" s="823">
        <v>298</v>
      </c>
      <c r="U176" s="823">
        <v>326</v>
      </c>
      <c r="V176" s="823">
        <v>339</v>
      </c>
      <c r="W176" s="823">
        <v>381</v>
      </c>
      <c r="X176" s="823">
        <v>382</v>
      </c>
      <c r="Y176" s="823">
        <v>396</v>
      </c>
      <c r="Z176" s="823">
        <v>407</v>
      </c>
      <c r="AA176" s="823">
        <v>407</v>
      </c>
      <c r="AB176" s="823">
        <v>444</v>
      </c>
      <c r="AC176" s="825">
        <v>468</v>
      </c>
      <c r="AD176" s="825">
        <v>479</v>
      </c>
      <c r="AE176" s="825">
        <v>508</v>
      </c>
      <c r="AF176" s="825">
        <v>527</v>
      </c>
      <c r="AG176" s="825">
        <v>540</v>
      </c>
      <c r="AH176" s="825">
        <v>540</v>
      </c>
      <c r="AI176" s="825">
        <v>547</v>
      </c>
      <c r="AJ176" s="825">
        <v>562</v>
      </c>
      <c r="AK176" s="825">
        <v>574</v>
      </c>
      <c r="AL176" s="825">
        <v>574</v>
      </c>
      <c r="AM176" s="825">
        <v>574</v>
      </c>
      <c r="AN176" s="825">
        <v>564</v>
      </c>
      <c r="AO176" s="825">
        <v>573</v>
      </c>
      <c r="AP176" s="825">
        <v>581</v>
      </c>
    </row>
    <row r="177" hidden="1">
      <c r="B177" s="826" t="s">
        <v>18</v>
      </c>
      <c r="C177" s="827">
        <v>3269</v>
      </c>
      <c r="D177" s="827">
        <v>3302</v>
      </c>
      <c r="E177" s="827">
        <v>3279</v>
      </c>
      <c r="F177" s="827">
        <v>3370</v>
      </c>
      <c r="G177" s="827">
        <v>3403</v>
      </c>
      <c r="H177" s="827">
        <v>3444</v>
      </c>
      <c r="I177" s="827">
        <v>3466</v>
      </c>
      <c r="J177" s="827">
        <v>3426</v>
      </c>
      <c r="K177" s="827">
        <v>3445</v>
      </c>
      <c r="L177" s="827">
        <v>3410</v>
      </c>
      <c r="M177" s="827">
        <v>3465</v>
      </c>
      <c r="N177" s="827">
        <v>3526</v>
      </c>
      <c r="O177" s="827">
        <v>3566</v>
      </c>
      <c r="P177" s="827">
        <v>3664</v>
      </c>
      <c r="Q177" s="827">
        <v>3771</v>
      </c>
      <c r="R177" s="827">
        <v>3797</v>
      </c>
      <c r="S177" s="827">
        <v>3388</v>
      </c>
      <c r="T177" s="827">
        <v>3529</v>
      </c>
      <c r="U177" s="827">
        <v>3436</v>
      </c>
      <c r="V177" s="827">
        <v>3621</v>
      </c>
      <c r="W177" s="827">
        <v>3750</v>
      </c>
      <c r="X177" s="827">
        <v>3872</v>
      </c>
      <c r="Y177" s="827">
        <v>3963</v>
      </c>
      <c r="Z177" s="827">
        <v>4111</v>
      </c>
      <c r="AA177" s="827">
        <v>4217</v>
      </c>
      <c r="AB177" s="827">
        <v>4283</v>
      </c>
      <c r="AC177" s="828">
        <v>4439</v>
      </c>
      <c r="AD177" s="828">
        <v>4564</v>
      </c>
      <c r="AE177" s="828">
        <v>4635</v>
      </c>
      <c r="AF177" s="828">
        <v>4803</v>
      </c>
      <c r="AG177" s="828">
        <v>4636</v>
      </c>
      <c r="AH177" s="828">
        <v>4771</v>
      </c>
      <c r="AI177" s="828">
        <v>4736</v>
      </c>
      <c r="AJ177" s="828">
        <v>4623</v>
      </c>
      <c r="AK177" s="828">
        <v>4234</v>
      </c>
      <c r="AL177" s="828">
        <v>4161</v>
      </c>
      <c r="AM177" s="828">
        <v>4271</v>
      </c>
      <c r="AN177" s="828">
        <v>4331</v>
      </c>
      <c r="AO177" s="828">
        <v>4292</v>
      </c>
      <c r="AP177" s="828">
        <v>4389</v>
      </c>
    </row>
    <row r="178" hidden="1">
      <c r="B178" s="829" t="s">
        <v>19</v>
      </c>
      <c r="C178" s="823">
        <v>149</v>
      </c>
      <c r="D178" s="823">
        <v>156</v>
      </c>
      <c r="E178" s="823">
        <v>147</v>
      </c>
      <c r="F178" s="823">
        <v>151</v>
      </c>
      <c r="G178" s="823">
        <v>153</v>
      </c>
      <c r="H178" s="823">
        <v>157</v>
      </c>
      <c r="I178" s="823">
        <v>160</v>
      </c>
      <c r="J178" s="823">
        <v>170</v>
      </c>
      <c r="K178" s="823">
        <v>180</v>
      </c>
      <c r="L178" s="823">
        <v>185</v>
      </c>
      <c r="M178" s="823">
        <v>150</v>
      </c>
      <c r="N178" s="823">
        <v>160</v>
      </c>
      <c r="O178" s="823">
        <v>170</v>
      </c>
      <c r="P178" s="823">
        <v>185</v>
      </c>
      <c r="Q178" s="823">
        <v>193</v>
      </c>
      <c r="R178" s="823">
        <v>209</v>
      </c>
      <c r="S178" s="823">
        <v>228</v>
      </c>
      <c r="T178" s="823">
        <v>244</v>
      </c>
      <c r="U178" s="823">
        <v>253</v>
      </c>
      <c r="V178" s="823">
        <v>269</v>
      </c>
      <c r="W178" s="823">
        <v>302</v>
      </c>
      <c r="X178" s="823">
        <v>312</v>
      </c>
      <c r="Y178" s="823">
        <v>330</v>
      </c>
      <c r="Z178" s="823">
        <v>346</v>
      </c>
      <c r="AA178" s="823">
        <v>359</v>
      </c>
      <c r="AB178" s="823">
        <v>365</v>
      </c>
      <c r="AC178" s="825">
        <v>375</v>
      </c>
      <c r="AD178" s="825">
        <v>394</v>
      </c>
      <c r="AE178" s="825">
        <v>411</v>
      </c>
      <c r="AF178" s="825">
        <v>429</v>
      </c>
      <c r="AG178" s="825">
        <v>439</v>
      </c>
      <c r="AH178" s="825">
        <v>449</v>
      </c>
      <c r="AI178" s="825">
        <v>467</v>
      </c>
      <c r="AJ178" s="825">
        <v>395</v>
      </c>
      <c r="AK178" s="825">
        <v>410</v>
      </c>
      <c r="AL178" s="825">
        <v>427</v>
      </c>
      <c r="AM178" s="825">
        <v>433</v>
      </c>
      <c r="AN178" s="825">
        <v>449</v>
      </c>
      <c r="AO178" s="825">
        <v>450</v>
      </c>
      <c r="AP178" s="825">
        <v>466</v>
      </c>
    </row>
    <row r="179" hidden="1">
      <c r="B179" s="826" t="s">
        <v>20</v>
      </c>
      <c r="C179" s="827">
        <v>9</v>
      </c>
      <c r="D179" s="827">
        <v>12</v>
      </c>
      <c r="E179" s="827">
        <v>13</v>
      </c>
      <c r="F179" s="827">
        <v>24</v>
      </c>
      <c r="G179" s="827">
        <v>29</v>
      </c>
      <c r="H179" s="827">
        <v>29</v>
      </c>
      <c r="I179" s="827">
        <v>34</v>
      </c>
      <c r="J179" s="827">
        <v>33</v>
      </c>
      <c r="K179" s="827">
        <v>34</v>
      </c>
      <c r="L179" s="827">
        <v>41</v>
      </c>
      <c r="M179" s="827">
        <v>47</v>
      </c>
      <c r="N179" s="827">
        <v>49</v>
      </c>
      <c r="O179" s="827">
        <v>58</v>
      </c>
      <c r="P179" s="827">
        <v>61</v>
      </c>
      <c r="Q179" s="827">
        <v>61</v>
      </c>
      <c r="R179" s="827">
        <v>61</v>
      </c>
      <c r="S179" s="827">
        <v>60</v>
      </c>
      <c r="T179" s="827">
        <v>60</v>
      </c>
      <c r="U179" s="827">
        <v>59</v>
      </c>
      <c r="V179" s="827">
        <v>58</v>
      </c>
      <c r="W179" s="827">
        <v>58</v>
      </c>
      <c r="X179" s="827">
        <v>58</v>
      </c>
      <c r="Y179" s="827">
        <v>69</v>
      </c>
      <c r="Z179" s="827">
        <v>68</v>
      </c>
      <c r="AA179" s="827">
        <v>72</v>
      </c>
      <c r="AB179" s="827">
        <v>72</v>
      </c>
      <c r="AC179" s="828">
        <v>76</v>
      </c>
      <c r="AD179" s="828">
        <v>84</v>
      </c>
      <c r="AE179" s="828">
        <v>104</v>
      </c>
      <c r="AF179" s="828">
        <v>110</v>
      </c>
      <c r="AG179" s="828">
        <v>69</v>
      </c>
      <c r="AH179" s="828">
        <v>80</v>
      </c>
      <c r="AI179" s="828">
        <v>71</v>
      </c>
      <c r="AJ179" s="828">
        <v>66</v>
      </c>
      <c r="AK179" s="828">
        <v>67</v>
      </c>
      <c r="AL179" s="828">
        <v>65</v>
      </c>
      <c r="AM179" s="828">
        <v>66</v>
      </c>
      <c r="AN179" s="828">
        <v>65</v>
      </c>
      <c r="AO179" s="828">
        <v>58</v>
      </c>
      <c r="AP179" s="828">
        <v>60</v>
      </c>
    </row>
    <row r="180" hidden="1">
      <c r="B180" s="829" t="s">
        <v>21</v>
      </c>
      <c r="C180" s="823">
        <v>479</v>
      </c>
      <c r="D180" s="823">
        <v>470</v>
      </c>
      <c r="E180" s="823">
        <v>440</v>
      </c>
      <c r="F180" s="823">
        <v>445</v>
      </c>
      <c r="G180" s="823">
        <v>437</v>
      </c>
      <c r="H180" s="823">
        <v>434</v>
      </c>
      <c r="I180" s="823">
        <v>375</v>
      </c>
      <c r="J180" s="823">
        <v>387</v>
      </c>
      <c r="K180" s="823">
        <v>397</v>
      </c>
      <c r="L180" s="823">
        <v>394</v>
      </c>
      <c r="M180" s="823">
        <v>394</v>
      </c>
      <c r="N180" s="823">
        <v>405</v>
      </c>
      <c r="O180" s="823">
        <v>421</v>
      </c>
      <c r="P180" s="823">
        <v>366</v>
      </c>
      <c r="Q180" s="823">
        <v>400</v>
      </c>
      <c r="R180" s="823">
        <v>413</v>
      </c>
      <c r="S180" s="823">
        <v>447</v>
      </c>
      <c r="T180" s="823">
        <v>463</v>
      </c>
      <c r="U180" s="823">
        <v>490</v>
      </c>
      <c r="V180" s="823">
        <v>495</v>
      </c>
      <c r="W180" s="823">
        <v>507</v>
      </c>
      <c r="X180" s="823">
        <v>517</v>
      </c>
      <c r="Y180" s="823">
        <v>527</v>
      </c>
      <c r="Z180" s="823">
        <v>506</v>
      </c>
      <c r="AA180" s="823">
        <v>524</v>
      </c>
      <c r="AB180" s="823">
        <v>542</v>
      </c>
      <c r="AC180" s="825">
        <v>452</v>
      </c>
      <c r="AD180" s="825">
        <v>465</v>
      </c>
      <c r="AE180" s="825">
        <v>488</v>
      </c>
      <c r="AF180" s="825">
        <v>484</v>
      </c>
      <c r="AG180" s="825">
        <v>480</v>
      </c>
      <c r="AH180" s="825">
        <v>461</v>
      </c>
      <c r="AI180" s="825">
        <v>301</v>
      </c>
      <c r="AJ180" s="825">
        <v>298</v>
      </c>
      <c r="AK180" s="825">
        <v>322</v>
      </c>
      <c r="AL180" s="825">
        <v>337</v>
      </c>
      <c r="AM180" s="825">
        <v>368</v>
      </c>
      <c r="AN180" s="825">
        <v>323</v>
      </c>
      <c r="AO180" s="825">
        <v>330</v>
      </c>
      <c r="AP180" s="825">
        <v>333</v>
      </c>
    </row>
    <row r="181" hidden="1">
      <c r="B181" s="826" t="s">
        <v>22</v>
      </c>
      <c r="C181" s="827">
        <v>1057</v>
      </c>
      <c r="D181" s="827">
        <v>898</v>
      </c>
      <c r="E181" s="827">
        <v>901</v>
      </c>
      <c r="F181" s="827">
        <v>902</v>
      </c>
      <c r="G181" s="827">
        <v>918</v>
      </c>
      <c r="H181" s="827">
        <v>1398</v>
      </c>
      <c r="I181" s="827">
        <v>1406</v>
      </c>
      <c r="J181" s="827">
        <v>1437</v>
      </c>
      <c r="K181" s="827">
        <v>1475</v>
      </c>
      <c r="L181" s="827">
        <v>1445</v>
      </c>
      <c r="M181" s="827">
        <v>1330</v>
      </c>
      <c r="N181" s="827">
        <v>1349</v>
      </c>
      <c r="O181" s="827">
        <v>1263</v>
      </c>
      <c r="P181" s="827">
        <v>1200</v>
      </c>
      <c r="Q181" s="827">
        <v>1246</v>
      </c>
      <c r="R181" s="827">
        <v>1258</v>
      </c>
      <c r="S181" s="827">
        <v>1253</v>
      </c>
      <c r="T181" s="827">
        <v>1275</v>
      </c>
      <c r="U181" s="827">
        <v>870</v>
      </c>
      <c r="V181" s="827">
        <v>792</v>
      </c>
      <c r="W181" s="827">
        <v>778</v>
      </c>
      <c r="X181" s="827">
        <v>776</v>
      </c>
      <c r="Y181" s="827">
        <v>764</v>
      </c>
      <c r="Z181" s="827">
        <v>777</v>
      </c>
      <c r="AA181" s="827">
        <v>804</v>
      </c>
      <c r="AB181" s="827">
        <v>827</v>
      </c>
      <c r="AC181" s="828">
        <v>844</v>
      </c>
      <c r="AD181" s="828">
        <v>863</v>
      </c>
      <c r="AE181" s="828">
        <v>893</v>
      </c>
      <c r="AF181" s="828">
        <v>957</v>
      </c>
      <c r="AG181" s="828">
        <v>1222</v>
      </c>
      <c r="AH181" s="828">
        <v>1271</v>
      </c>
      <c r="AI181" s="828">
        <v>1073</v>
      </c>
      <c r="AJ181" s="828">
        <v>1078</v>
      </c>
      <c r="AK181" s="828">
        <v>1057</v>
      </c>
      <c r="AL181" s="828">
        <v>1069</v>
      </c>
      <c r="AM181" s="828">
        <v>1043</v>
      </c>
      <c r="AN181" s="828">
        <v>1014</v>
      </c>
      <c r="AO181" s="828">
        <v>994</v>
      </c>
      <c r="AP181" s="828">
        <v>1008</v>
      </c>
    </row>
    <row r="182" hidden="1">
      <c r="B182" s="829" t="s">
        <v>23</v>
      </c>
      <c r="C182" s="823">
        <v>111</v>
      </c>
      <c r="D182" s="823">
        <v>125</v>
      </c>
      <c r="E182" s="823">
        <v>148</v>
      </c>
      <c r="F182" s="823">
        <v>149</v>
      </c>
      <c r="G182" s="823">
        <v>153</v>
      </c>
      <c r="H182" s="823">
        <v>156</v>
      </c>
      <c r="I182" s="823">
        <v>156</v>
      </c>
      <c r="J182" s="823">
        <v>158</v>
      </c>
      <c r="K182" s="823">
        <v>156</v>
      </c>
      <c r="L182" s="823">
        <v>159</v>
      </c>
      <c r="M182" s="823">
        <v>155</v>
      </c>
      <c r="N182" s="823">
        <v>158</v>
      </c>
      <c r="O182" s="823">
        <v>163</v>
      </c>
      <c r="P182" s="823">
        <v>172</v>
      </c>
      <c r="Q182" s="823">
        <v>172</v>
      </c>
      <c r="R182" s="823">
        <v>175</v>
      </c>
      <c r="S182" s="823">
        <v>187</v>
      </c>
      <c r="T182" s="823">
        <v>194</v>
      </c>
      <c r="U182" s="823">
        <v>205</v>
      </c>
      <c r="V182" s="823">
        <v>218</v>
      </c>
      <c r="W182" s="823">
        <v>232</v>
      </c>
      <c r="X182" s="823">
        <v>240</v>
      </c>
      <c r="Y182" s="823">
        <v>257</v>
      </c>
      <c r="Z182" s="823">
        <v>261</v>
      </c>
      <c r="AA182" s="823">
        <v>272</v>
      </c>
      <c r="AB182" s="823">
        <v>233</v>
      </c>
      <c r="AC182" s="825">
        <v>221</v>
      </c>
      <c r="AD182" s="825">
        <v>226</v>
      </c>
      <c r="AE182" s="825">
        <v>228</v>
      </c>
      <c r="AF182" s="825">
        <v>225</v>
      </c>
      <c r="AG182" s="825">
        <v>224</v>
      </c>
      <c r="AH182" s="825">
        <v>222</v>
      </c>
      <c r="AI182" s="825">
        <v>195</v>
      </c>
      <c r="AJ182" s="825">
        <v>193</v>
      </c>
      <c r="AK182" s="825">
        <v>188</v>
      </c>
      <c r="AL182" s="825">
        <v>189</v>
      </c>
      <c r="AM182" s="825">
        <v>178</v>
      </c>
      <c r="AN182" s="825">
        <v>184</v>
      </c>
      <c r="AO182" s="825">
        <v>177</v>
      </c>
      <c r="AP182" s="825">
        <v>128</v>
      </c>
    </row>
    <row r="183" hidden="1">
      <c r="B183" s="835" t="s">
        <v>24</v>
      </c>
      <c r="C183" s="827">
        <v>2004</v>
      </c>
      <c r="D183" s="827">
        <v>1973</v>
      </c>
      <c r="E183" s="827">
        <v>1755</v>
      </c>
      <c r="F183" s="827">
        <v>1715</v>
      </c>
      <c r="G183" s="827">
        <v>1693</v>
      </c>
      <c r="H183" s="827">
        <v>1683</v>
      </c>
      <c r="I183" s="827">
        <v>1677</v>
      </c>
      <c r="J183" s="827">
        <v>1679</v>
      </c>
      <c r="K183" s="827">
        <v>1694</v>
      </c>
      <c r="L183" s="827">
        <v>1677</v>
      </c>
      <c r="M183" s="827">
        <v>1689</v>
      </c>
      <c r="N183" s="827">
        <v>1712</v>
      </c>
      <c r="O183" s="827">
        <v>1744</v>
      </c>
      <c r="P183" s="827">
        <v>1752</v>
      </c>
      <c r="Q183" s="827">
        <v>1809</v>
      </c>
      <c r="R183" s="827">
        <v>1844</v>
      </c>
      <c r="S183" s="827">
        <v>1932</v>
      </c>
      <c r="T183" s="827">
        <v>1978</v>
      </c>
      <c r="U183" s="827">
        <v>2042</v>
      </c>
      <c r="V183" s="827">
        <v>2091</v>
      </c>
      <c r="W183" s="827">
        <v>2141</v>
      </c>
      <c r="X183" s="827">
        <v>2169</v>
      </c>
      <c r="Y183" s="827">
        <v>2161</v>
      </c>
      <c r="Z183" s="827">
        <v>2203</v>
      </c>
      <c r="AA183" s="827">
        <v>2224</v>
      </c>
      <c r="AB183" s="827">
        <v>2277</v>
      </c>
      <c r="AC183" s="828">
        <v>2331</v>
      </c>
      <c r="AD183" s="828">
        <v>2334</v>
      </c>
      <c r="AE183" s="828">
        <v>2348</v>
      </c>
      <c r="AF183" s="828">
        <v>2387</v>
      </c>
      <c r="AG183" s="828">
        <v>2375</v>
      </c>
      <c r="AH183" s="828">
        <v>2398</v>
      </c>
      <c r="AI183" s="828">
        <v>2379</v>
      </c>
      <c r="AJ183" s="828">
        <v>2386</v>
      </c>
      <c r="AK183" s="828">
        <v>2318</v>
      </c>
      <c r="AL183" s="828">
        <v>2303</v>
      </c>
      <c r="AM183" s="828">
        <v>2199</v>
      </c>
      <c r="AN183" s="828">
        <v>2196</v>
      </c>
      <c r="AO183" s="828">
        <v>2150</v>
      </c>
      <c r="AP183" s="828">
        <v>2147</v>
      </c>
    </row>
    <row r="184" hidden="1">
      <c r="B184" s="829" t="s">
        <v>25</v>
      </c>
      <c r="C184" s="823">
        <v>0</v>
      </c>
      <c r="D184" s="823">
        <v>0</v>
      </c>
      <c r="E184" s="823">
        <v>0</v>
      </c>
      <c r="F184" s="823">
        <v>0</v>
      </c>
      <c r="G184" s="823">
        <v>0</v>
      </c>
      <c r="H184" s="823">
        <v>0</v>
      </c>
      <c r="I184" s="823">
        <v>0</v>
      </c>
      <c r="J184" s="823">
        <v>0</v>
      </c>
      <c r="K184" s="823">
        <v>0</v>
      </c>
      <c r="L184" s="823">
        <v>0</v>
      </c>
      <c r="M184" s="823">
        <v>0</v>
      </c>
      <c r="N184" s="823">
        <v>0</v>
      </c>
      <c r="O184" s="823">
        <v>0</v>
      </c>
      <c r="P184" s="823">
        <v>0</v>
      </c>
      <c r="Q184" s="823">
        <v>0</v>
      </c>
      <c r="R184" s="823">
        <v>0</v>
      </c>
      <c r="S184" s="823">
        <v>0</v>
      </c>
      <c r="T184" s="823">
        <v>0</v>
      </c>
      <c r="U184" s="823">
        <v>0</v>
      </c>
      <c r="V184" s="823">
        <v>0</v>
      </c>
      <c r="W184" s="823">
        <v>0</v>
      </c>
      <c r="X184" s="823">
        <v>0</v>
      </c>
      <c r="Y184" s="823">
        <v>0</v>
      </c>
      <c r="Z184" s="823">
        <v>0</v>
      </c>
      <c r="AA184" s="823">
        <v>0</v>
      </c>
      <c r="AB184" s="823">
        <v>0</v>
      </c>
      <c r="AC184" s="825">
        <v>0</v>
      </c>
      <c r="AD184" s="825">
        <v>0</v>
      </c>
      <c r="AE184" s="825">
        <v>0</v>
      </c>
      <c r="AF184" s="825">
        <v>0</v>
      </c>
      <c r="AG184" s="825">
        <v>0</v>
      </c>
      <c r="AH184" s="825">
        <v>0</v>
      </c>
      <c r="AI184" s="825">
        <v>0</v>
      </c>
      <c r="AJ184" s="825">
        <v>0</v>
      </c>
      <c r="AK184" s="825">
        <v>0</v>
      </c>
      <c r="AL184" s="825">
        <v>0</v>
      </c>
      <c r="AM184" s="825">
        <v>0</v>
      </c>
      <c r="AN184" s="825">
        <v>0</v>
      </c>
      <c r="AO184" s="825">
        <v>0</v>
      </c>
      <c r="AP184" s="825">
        <v>0</v>
      </c>
    </row>
    <row r="185" hidden="1" ht="13.5">
      <c r="B185" s="836" t="s">
        <v>26</v>
      </c>
      <c r="C185" s="827">
        <v>0</v>
      </c>
      <c r="D185" s="827">
        <v>0</v>
      </c>
      <c r="E185" s="827">
        <v>0</v>
      </c>
      <c r="F185" s="827">
        <v>0</v>
      </c>
      <c r="G185" s="827">
        <v>0</v>
      </c>
      <c r="H185" s="827">
        <v>0</v>
      </c>
      <c r="I185" s="827">
        <v>0</v>
      </c>
      <c r="J185" s="827">
        <v>0</v>
      </c>
      <c r="K185" s="827">
        <v>0</v>
      </c>
      <c r="L185" s="827">
        <v>0</v>
      </c>
      <c r="M185" s="827">
        <v>0</v>
      </c>
      <c r="N185" s="827">
        <v>0</v>
      </c>
      <c r="O185" s="827">
        <v>0</v>
      </c>
      <c r="P185" s="827">
        <v>0</v>
      </c>
      <c r="Q185" s="827">
        <v>0</v>
      </c>
      <c r="R185" s="827">
        <v>0</v>
      </c>
      <c r="S185" s="827">
        <v>0</v>
      </c>
      <c r="T185" s="827">
        <v>0</v>
      </c>
      <c r="U185" s="827">
        <v>0</v>
      </c>
      <c r="V185" s="827">
        <v>0</v>
      </c>
      <c r="W185" s="827">
        <v>0</v>
      </c>
      <c r="X185" s="827">
        <v>0</v>
      </c>
      <c r="Y185" s="827">
        <v>0</v>
      </c>
      <c r="Z185" s="827">
        <v>0</v>
      </c>
      <c r="AA185" s="827">
        <v>0</v>
      </c>
      <c r="AB185" s="837">
        <v>0</v>
      </c>
      <c r="AC185" s="828">
        <v>0</v>
      </c>
      <c r="AD185" s="828">
        <v>0</v>
      </c>
      <c r="AE185" s="828">
        <v>0</v>
      </c>
      <c r="AF185" s="828">
        <v>0</v>
      </c>
      <c r="AG185" s="828">
        <v>0</v>
      </c>
      <c r="AH185" s="828">
        <v>0</v>
      </c>
      <c r="AI185" s="828">
        <v>0</v>
      </c>
      <c r="AJ185" s="828">
        <v>0</v>
      </c>
      <c r="AK185" s="828">
        <v>0</v>
      </c>
      <c r="AL185" s="828">
        <v>0</v>
      </c>
      <c r="AM185" s="828">
        <v>0</v>
      </c>
      <c r="AN185" s="828">
        <v>0</v>
      </c>
      <c r="AO185" s="828">
        <v>0</v>
      </c>
      <c r="AP185" s="828">
        <v>0</v>
      </c>
    </row>
    <row r="186" hidden="1" ht="13.5">
      <c r="B186" s="128" t="s">
        <v>7</v>
      </c>
      <c r="C186" s="129" t="str">
        <f>IF(SUM(C167:C185)&lt;&gt;0,SUM(C167:C185),"")</f>
      </c>
      <c r="D186" s="129" t="str">
        <f ref="D186:AA186" t="shared" si="5">IF(SUM(D167:D185)&lt;&gt;0,SUM(D167:D185),"")</f>
      </c>
      <c r="E186" s="129" t="str">
        <f t="shared" si="5"/>
      </c>
      <c r="F186" s="129" t="str">
        <f t="shared" si="5"/>
      </c>
      <c r="G186" s="129" t="str">
        <f t="shared" si="5"/>
      </c>
      <c r="H186" s="129" t="str">
        <f t="shared" si="5"/>
      </c>
      <c r="I186" s="129" t="str">
        <f t="shared" si="5"/>
      </c>
      <c r="J186" s="129" t="str">
        <f t="shared" si="5"/>
      </c>
      <c r="K186" s="129" t="str">
        <f t="shared" si="5"/>
      </c>
      <c r="L186" s="129" t="str">
        <f t="shared" si="5"/>
      </c>
      <c r="M186" s="129" t="str">
        <f t="shared" si="5"/>
      </c>
      <c r="N186" s="129" t="str">
        <f t="shared" si="5"/>
      </c>
      <c r="O186" s="129" t="str">
        <f t="shared" si="5"/>
      </c>
      <c r="P186" s="129" t="str">
        <f t="shared" si="5"/>
      </c>
      <c r="Q186" s="129" t="str">
        <f t="shared" si="5"/>
      </c>
      <c r="R186" s="129" t="str">
        <f t="shared" si="5"/>
      </c>
      <c r="S186" s="129" t="str">
        <f t="shared" si="5"/>
      </c>
      <c r="T186" s="129" t="str">
        <f t="shared" si="5"/>
      </c>
      <c r="U186" s="129" t="str">
        <f t="shared" si="5"/>
      </c>
      <c r="V186" s="129" t="str">
        <f t="shared" si="5"/>
      </c>
      <c r="W186" s="129" t="str">
        <f t="shared" si="5"/>
      </c>
      <c r="X186" s="129" t="str">
        <f t="shared" si="5"/>
      </c>
      <c r="Y186" s="129" t="str">
        <f t="shared" si="5"/>
      </c>
      <c r="Z186" s="129" t="str">
        <f t="shared" si="5"/>
      </c>
      <c r="AA186" s="129" t="str">
        <f t="shared" si="5"/>
      </c>
      <c r="AB186" s="130" t="str">
        <f>IF(SUM(AB167:AB185)&lt;&gt;0,SUM(AB167:AB185),"")</f>
      </c>
      <c r="AC186" s="91" t="str">
        <f ref="AC186:CN186" t="shared" si="6">IF(SUM(AC167:AC185)&lt;&gt;0,SUM(AC167:AC185),"")</f>
      </c>
      <c r="AD186" s="91" t="str">
        <f t="shared" si="6"/>
      </c>
      <c r="AE186" s="91" t="str">
        <f t="shared" si="6"/>
      </c>
      <c r="AF186" s="91" t="str">
        <f t="shared" si="6"/>
      </c>
      <c r="AG186" s="91" t="str">
        <f t="shared" si="6"/>
      </c>
      <c r="AH186" s="91" t="str">
        <f t="shared" si="6"/>
      </c>
      <c r="AI186" s="91" t="str">
        <f t="shared" si="6"/>
      </c>
      <c r="AJ186" s="91" t="str">
        <f t="shared" si="6"/>
      </c>
      <c r="AK186" s="91" t="str">
        <f t="shared" si="6"/>
      </c>
      <c r="AL186" s="91" t="str">
        <f t="shared" si="6"/>
      </c>
      <c r="AM186" s="91" t="str">
        <f t="shared" si="6"/>
      </c>
      <c r="AN186" s="91" t="str">
        <f t="shared" si="6"/>
      </c>
      <c r="AO186" s="91" t="str">
        <f t="shared" si="6"/>
      </c>
      <c r="AP186" s="91" t="str">
        <f t="shared" si="6"/>
      </c>
      <c r="AQ186" s="91" t="str">
        <f t="shared" si="6"/>
      </c>
      <c r="AR186" s="91" t="str">
        <f t="shared" si="6"/>
      </c>
      <c r="AS186" s="91" t="str">
        <f t="shared" si="6"/>
      </c>
      <c r="AT186" s="91" t="str">
        <f t="shared" si="6"/>
      </c>
      <c r="AU186" s="91" t="str">
        <f t="shared" si="6"/>
      </c>
      <c r="AV186" s="91" t="str">
        <f t="shared" si="6"/>
      </c>
      <c r="AW186" s="91" t="str">
        <f t="shared" si="6"/>
      </c>
      <c r="AX186" s="91" t="str">
        <f t="shared" si="6"/>
      </c>
      <c r="AY186" s="91" t="str">
        <f t="shared" si="6"/>
      </c>
      <c r="AZ186" s="91" t="str">
        <f t="shared" si="6"/>
      </c>
      <c r="BA186" s="91" t="str">
        <f t="shared" si="6"/>
      </c>
      <c r="BB186" s="91" t="str">
        <f t="shared" si="6"/>
      </c>
      <c r="BC186" s="91" t="str">
        <f t="shared" si="6"/>
      </c>
      <c r="BD186" s="91" t="str">
        <f t="shared" si="6"/>
      </c>
      <c r="BE186" s="91" t="str">
        <f t="shared" si="6"/>
      </c>
      <c r="BF186" s="91" t="str">
        <f t="shared" si="6"/>
      </c>
      <c r="BG186" s="91" t="str">
        <f t="shared" si="6"/>
      </c>
      <c r="BH186" s="91" t="str">
        <f t="shared" si="6"/>
      </c>
      <c r="BI186" s="91" t="str">
        <f t="shared" si="6"/>
      </c>
      <c r="BJ186" s="91" t="str">
        <f t="shared" si="6"/>
      </c>
      <c r="BK186" s="91" t="str">
        <f t="shared" si="6"/>
      </c>
      <c r="BL186" s="91" t="str">
        <f t="shared" si="6"/>
      </c>
      <c r="BM186" s="91" t="str">
        <f t="shared" si="6"/>
      </c>
      <c r="BN186" s="91" t="str">
        <f t="shared" si="6"/>
      </c>
      <c r="BO186" s="91" t="str">
        <f t="shared" si="6"/>
      </c>
      <c r="BP186" s="91" t="str">
        <f t="shared" si="6"/>
      </c>
      <c r="BQ186" s="91" t="str">
        <f t="shared" si="6"/>
      </c>
      <c r="BR186" s="91" t="str">
        <f t="shared" si="6"/>
      </c>
      <c r="BS186" s="91" t="str">
        <f t="shared" si="6"/>
      </c>
      <c r="BT186" s="91" t="str">
        <f t="shared" si="6"/>
      </c>
      <c r="BU186" s="91" t="str">
        <f t="shared" si="6"/>
      </c>
      <c r="BV186" s="91" t="str">
        <f t="shared" si="6"/>
      </c>
      <c r="BW186" s="91" t="str">
        <f t="shared" si="6"/>
      </c>
      <c r="BX186" s="91" t="str">
        <f t="shared" si="6"/>
      </c>
      <c r="BY186" s="91" t="str">
        <f t="shared" si="6"/>
      </c>
      <c r="BZ186" s="91" t="str">
        <f t="shared" si="6"/>
      </c>
      <c r="CA186" s="91" t="str">
        <f t="shared" si="6"/>
      </c>
      <c r="CB186" s="91" t="str">
        <f t="shared" si="6"/>
      </c>
      <c r="CC186" s="91" t="str">
        <f t="shared" si="6"/>
      </c>
      <c r="CD186" s="91" t="str">
        <f t="shared" si="6"/>
      </c>
      <c r="CE186" s="91" t="str">
        <f t="shared" si="6"/>
      </c>
      <c r="CF186" s="91" t="str">
        <f t="shared" si="6"/>
      </c>
      <c r="CG186" s="91" t="str">
        <f t="shared" si="6"/>
      </c>
      <c r="CH186" s="91" t="str">
        <f t="shared" si="6"/>
      </c>
      <c r="CI186" s="91" t="str">
        <f t="shared" si="6"/>
      </c>
      <c r="CJ186" s="91" t="str">
        <f t="shared" si="6"/>
      </c>
      <c r="CK186" s="91" t="str">
        <f t="shared" si="6"/>
      </c>
      <c r="CL186" s="91" t="str">
        <f t="shared" si="6"/>
      </c>
      <c r="CM186" s="91" t="str">
        <f t="shared" si="6"/>
      </c>
      <c r="CN186" s="91" t="str">
        <f t="shared" si="6"/>
      </c>
      <c r="CO186" s="91" t="str">
        <f ref="CO186:EZ186" t="shared" si="7">IF(SUM(CO167:CO185)&lt;&gt;0,SUM(CO167:CO185),"")</f>
      </c>
      <c r="CP186" s="91" t="str">
        <f t="shared" si="7"/>
      </c>
      <c r="CQ186" s="91" t="str">
        <f t="shared" si="7"/>
      </c>
      <c r="CR186" s="91" t="str">
        <f t="shared" si="7"/>
      </c>
      <c r="CS186" s="91" t="str">
        <f t="shared" si="7"/>
      </c>
      <c r="CT186" s="91" t="str">
        <f t="shared" si="7"/>
      </c>
      <c r="CU186" s="91" t="str">
        <f t="shared" si="7"/>
      </c>
      <c r="CV186" s="91" t="str">
        <f t="shared" si="7"/>
      </c>
      <c r="CW186" s="91" t="str">
        <f t="shared" si="7"/>
      </c>
      <c r="CX186" s="91" t="str">
        <f t="shared" si="7"/>
      </c>
      <c r="CY186" s="91" t="str">
        <f t="shared" si="7"/>
      </c>
      <c r="CZ186" s="91" t="str">
        <f t="shared" si="7"/>
      </c>
      <c r="DA186" s="91" t="str">
        <f t="shared" si="7"/>
      </c>
      <c r="DB186" s="91" t="str">
        <f t="shared" si="7"/>
      </c>
      <c r="DC186" s="91" t="str">
        <f t="shared" si="7"/>
      </c>
      <c r="DD186" s="91" t="str">
        <f t="shared" si="7"/>
      </c>
      <c r="DE186" s="91" t="str">
        <f t="shared" si="7"/>
      </c>
      <c r="DF186" s="91" t="str">
        <f t="shared" si="7"/>
      </c>
      <c r="DG186" s="91" t="str">
        <f t="shared" si="7"/>
      </c>
      <c r="DH186" s="91" t="str">
        <f t="shared" si="7"/>
      </c>
      <c r="DI186" s="91" t="str">
        <f t="shared" si="7"/>
      </c>
      <c r="DJ186" s="91" t="str">
        <f t="shared" si="7"/>
      </c>
      <c r="DK186" s="91" t="str">
        <f t="shared" si="7"/>
      </c>
      <c r="DL186" s="91" t="str">
        <f t="shared" si="7"/>
      </c>
      <c r="DM186" s="91" t="str">
        <f t="shared" si="7"/>
      </c>
      <c r="DN186" s="91" t="str">
        <f t="shared" si="7"/>
      </c>
      <c r="DO186" s="91" t="str">
        <f t="shared" si="7"/>
      </c>
      <c r="DP186" s="91" t="str">
        <f t="shared" si="7"/>
      </c>
      <c r="DQ186" s="91" t="str">
        <f t="shared" si="7"/>
      </c>
      <c r="DR186" s="91" t="str">
        <f t="shared" si="7"/>
      </c>
      <c r="DS186" s="91" t="str">
        <f t="shared" si="7"/>
      </c>
      <c r="DT186" s="91" t="str">
        <f t="shared" si="7"/>
      </c>
      <c r="DU186" s="91" t="str">
        <f t="shared" si="7"/>
      </c>
      <c r="DV186" s="91" t="str">
        <f t="shared" si="7"/>
      </c>
      <c r="DW186" s="91" t="str">
        <f t="shared" si="7"/>
      </c>
      <c r="DX186" s="91" t="str">
        <f t="shared" si="7"/>
      </c>
      <c r="DY186" s="91" t="str">
        <f t="shared" si="7"/>
      </c>
      <c r="DZ186" s="91" t="str">
        <f t="shared" si="7"/>
      </c>
      <c r="EA186" s="91" t="str">
        <f t="shared" si="7"/>
      </c>
      <c r="EB186" s="91" t="str">
        <f t="shared" si="7"/>
      </c>
      <c r="EC186" s="91" t="str">
        <f t="shared" si="7"/>
      </c>
      <c r="ED186" s="91" t="str">
        <f t="shared" si="7"/>
      </c>
      <c r="EE186" s="91" t="str">
        <f t="shared" si="7"/>
      </c>
      <c r="EF186" s="91" t="str">
        <f t="shared" si="7"/>
      </c>
      <c r="EG186" s="91" t="str">
        <f t="shared" si="7"/>
      </c>
      <c r="EH186" s="91" t="str">
        <f t="shared" si="7"/>
      </c>
      <c r="EI186" s="91" t="str">
        <f t="shared" si="7"/>
      </c>
      <c r="EJ186" s="91" t="str">
        <f t="shared" si="7"/>
      </c>
      <c r="EK186" s="91" t="str">
        <f t="shared" si="7"/>
      </c>
      <c r="EL186" s="91" t="str">
        <f t="shared" si="7"/>
      </c>
      <c r="EM186" s="91" t="str">
        <f t="shared" si="7"/>
      </c>
      <c r="EN186" s="91" t="str">
        <f t="shared" si="7"/>
      </c>
      <c r="EO186" s="91" t="str">
        <f t="shared" si="7"/>
      </c>
      <c r="EP186" s="91" t="str">
        <f t="shared" si="7"/>
      </c>
      <c r="EQ186" s="91" t="str">
        <f t="shared" si="7"/>
      </c>
      <c r="ER186" s="91" t="str">
        <f t="shared" si="7"/>
      </c>
      <c r="ES186" s="91" t="str">
        <f t="shared" si="7"/>
      </c>
      <c r="ET186" s="91" t="str">
        <f t="shared" si="7"/>
      </c>
      <c r="EU186" s="91" t="str">
        <f t="shared" si="7"/>
      </c>
      <c r="EV186" s="91" t="str">
        <f t="shared" si="7"/>
      </c>
      <c r="EW186" s="91" t="str">
        <f t="shared" si="7"/>
      </c>
      <c r="EX186" s="91" t="str">
        <f t="shared" si="7"/>
      </c>
      <c r="EY186" s="91" t="str">
        <f t="shared" si="7"/>
      </c>
      <c r="EZ186" s="91" t="str">
        <f t="shared" si="7"/>
      </c>
      <c r="FA186" s="91" t="str">
        <f ref="FA186:HL186" t="shared" si="8">IF(SUM(FA167:FA185)&lt;&gt;0,SUM(FA167:FA185),"")</f>
      </c>
      <c r="FB186" s="91" t="str">
        <f t="shared" si="8"/>
      </c>
      <c r="FC186" s="91" t="str">
        <f t="shared" si="8"/>
      </c>
      <c r="FD186" s="91" t="str">
        <f t="shared" si="8"/>
      </c>
      <c r="FE186" s="91" t="str">
        <f t="shared" si="8"/>
      </c>
      <c r="FF186" s="91" t="str">
        <f t="shared" si="8"/>
      </c>
      <c r="FG186" s="91" t="str">
        <f t="shared" si="8"/>
      </c>
      <c r="FH186" s="91" t="str">
        <f t="shared" si="8"/>
      </c>
      <c r="FI186" s="91" t="str">
        <f t="shared" si="8"/>
      </c>
      <c r="FJ186" s="91" t="str">
        <f t="shared" si="8"/>
      </c>
      <c r="FK186" s="91" t="str">
        <f t="shared" si="8"/>
      </c>
      <c r="FL186" s="91" t="str">
        <f t="shared" si="8"/>
      </c>
      <c r="FM186" s="91" t="str">
        <f t="shared" si="8"/>
      </c>
      <c r="FN186" s="91" t="str">
        <f t="shared" si="8"/>
      </c>
      <c r="FO186" s="91" t="str">
        <f t="shared" si="8"/>
      </c>
      <c r="FP186" s="91" t="str">
        <f t="shared" si="8"/>
      </c>
      <c r="FQ186" s="91" t="str">
        <f t="shared" si="8"/>
      </c>
      <c r="FR186" s="91" t="str">
        <f t="shared" si="8"/>
      </c>
      <c r="FS186" s="91" t="str">
        <f t="shared" si="8"/>
      </c>
      <c r="FT186" s="91" t="str">
        <f t="shared" si="8"/>
      </c>
      <c r="FU186" s="91" t="str">
        <f t="shared" si="8"/>
      </c>
      <c r="FV186" s="91" t="str">
        <f t="shared" si="8"/>
      </c>
      <c r="FW186" s="91" t="str">
        <f t="shared" si="8"/>
      </c>
      <c r="FX186" s="91" t="str">
        <f t="shared" si="8"/>
      </c>
      <c r="FY186" s="91" t="str">
        <f t="shared" si="8"/>
      </c>
      <c r="FZ186" s="91" t="str">
        <f t="shared" si="8"/>
      </c>
      <c r="GA186" s="91" t="str">
        <f t="shared" si="8"/>
      </c>
      <c r="GB186" s="91" t="str">
        <f t="shared" si="8"/>
      </c>
      <c r="GC186" s="91" t="str">
        <f t="shared" si="8"/>
      </c>
      <c r="GD186" s="91" t="str">
        <f t="shared" si="8"/>
      </c>
      <c r="GE186" s="91" t="str">
        <f t="shared" si="8"/>
      </c>
      <c r="GF186" s="91" t="str">
        <f t="shared" si="8"/>
      </c>
      <c r="GG186" s="91" t="str">
        <f t="shared" si="8"/>
      </c>
      <c r="GH186" s="91" t="str">
        <f t="shared" si="8"/>
      </c>
      <c r="GI186" s="91" t="str">
        <f t="shared" si="8"/>
      </c>
      <c r="GJ186" s="91" t="str">
        <f t="shared" si="8"/>
      </c>
      <c r="GK186" s="91" t="str">
        <f t="shared" si="8"/>
      </c>
      <c r="GL186" s="91" t="str">
        <f t="shared" si="8"/>
      </c>
      <c r="GM186" s="91" t="str">
        <f t="shared" si="8"/>
      </c>
      <c r="GN186" s="91" t="str">
        <f t="shared" si="8"/>
      </c>
      <c r="GO186" s="91" t="str">
        <f t="shared" si="8"/>
      </c>
      <c r="GP186" s="91" t="str">
        <f t="shared" si="8"/>
      </c>
      <c r="GQ186" s="91" t="str">
        <f t="shared" si="8"/>
      </c>
      <c r="GR186" s="91" t="str">
        <f t="shared" si="8"/>
      </c>
      <c r="GS186" s="91" t="str">
        <f t="shared" si="8"/>
      </c>
      <c r="GT186" s="91" t="str">
        <f t="shared" si="8"/>
      </c>
      <c r="GU186" s="91" t="str">
        <f t="shared" si="8"/>
      </c>
      <c r="GV186" s="91" t="str">
        <f t="shared" si="8"/>
      </c>
      <c r="GW186" s="91" t="str">
        <f t="shared" si="8"/>
      </c>
      <c r="GX186" s="91" t="str">
        <f t="shared" si="8"/>
      </c>
      <c r="GY186" s="91" t="str">
        <f t="shared" si="8"/>
      </c>
      <c r="GZ186" s="91" t="str">
        <f t="shared" si="8"/>
      </c>
      <c r="HA186" s="91" t="str">
        <f t="shared" si="8"/>
      </c>
      <c r="HB186" s="91" t="str">
        <f t="shared" si="8"/>
      </c>
      <c r="HC186" s="91" t="str">
        <f t="shared" si="8"/>
      </c>
      <c r="HD186" s="91" t="str">
        <f t="shared" si="8"/>
      </c>
      <c r="HE186" s="91" t="str">
        <f t="shared" si="8"/>
      </c>
      <c r="HF186" s="91" t="str">
        <f t="shared" si="8"/>
      </c>
      <c r="HG186" s="91" t="str">
        <f t="shared" si="8"/>
      </c>
      <c r="HH186" s="91" t="str">
        <f t="shared" si="8"/>
      </c>
      <c r="HI186" s="91" t="str">
        <f t="shared" si="8"/>
      </c>
      <c r="HJ186" s="91" t="str">
        <f t="shared" si="8"/>
      </c>
      <c r="HK186" s="91" t="str">
        <f t="shared" si="8"/>
      </c>
      <c r="HL186" s="91" t="str">
        <f t="shared" si="8"/>
      </c>
      <c r="HM186" s="91" t="str">
        <f ref="HM186:IV186" t="shared" si="9">IF(SUM(HM167:HM185)&lt;&gt;0,SUM(HM167:HM185),"")</f>
      </c>
      <c r="HN186" s="91" t="str">
        <f t="shared" si="9"/>
      </c>
      <c r="HO186" s="91" t="str">
        <f t="shared" si="9"/>
      </c>
      <c r="HP186" s="91" t="str">
        <f t="shared" si="9"/>
      </c>
      <c r="HQ186" s="91" t="str">
        <f t="shared" si="9"/>
      </c>
      <c r="HR186" s="91" t="str">
        <f t="shared" si="9"/>
      </c>
      <c r="HS186" s="91" t="str">
        <f t="shared" si="9"/>
      </c>
      <c r="HT186" s="91" t="str">
        <f t="shared" si="9"/>
      </c>
      <c r="HU186" s="91" t="str">
        <f t="shared" si="9"/>
      </c>
      <c r="HV186" s="91" t="str">
        <f t="shared" si="9"/>
      </c>
      <c r="HW186" s="91" t="str">
        <f t="shared" si="9"/>
      </c>
      <c r="HX186" s="91" t="str">
        <f t="shared" si="9"/>
      </c>
      <c r="HY186" s="91" t="str">
        <f t="shared" si="9"/>
      </c>
      <c r="HZ186" s="91" t="str">
        <f t="shared" si="9"/>
      </c>
      <c r="IA186" s="91" t="str">
        <f t="shared" si="9"/>
      </c>
      <c r="IB186" s="91" t="str">
        <f t="shared" si="9"/>
      </c>
      <c r="IC186" s="91" t="str">
        <f t="shared" si="9"/>
      </c>
      <c r="ID186" s="91" t="str">
        <f t="shared" si="9"/>
      </c>
      <c r="IE186" s="91" t="str">
        <f t="shared" si="9"/>
      </c>
      <c r="IF186" s="91" t="str">
        <f t="shared" si="9"/>
      </c>
      <c r="IG186" s="91" t="str">
        <f t="shared" si="9"/>
      </c>
      <c r="IH186" s="91" t="str">
        <f t="shared" si="9"/>
      </c>
      <c r="II186" s="91" t="str">
        <f t="shared" si="9"/>
      </c>
      <c r="IJ186" s="91" t="str">
        <f t="shared" si="9"/>
      </c>
      <c r="IK186" s="91" t="str">
        <f t="shared" si="9"/>
      </c>
      <c r="IL186" s="91" t="str">
        <f t="shared" si="9"/>
      </c>
      <c r="IM186" s="91" t="str">
        <f t="shared" si="9"/>
      </c>
      <c r="IN186" s="91" t="str">
        <f t="shared" si="9"/>
      </c>
      <c r="IO186" s="91" t="str">
        <f t="shared" si="9"/>
      </c>
      <c r="IP186" s="91" t="str">
        <f t="shared" si="9"/>
      </c>
      <c r="IQ186" s="91" t="str">
        <f t="shared" si="9"/>
      </c>
      <c r="IR186" s="91" t="str">
        <f t="shared" si="9"/>
      </c>
      <c r="IS186" s="91" t="str">
        <f t="shared" si="9"/>
      </c>
      <c r="IT186" s="91" t="str">
        <f t="shared" si="9"/>
      </c>
      <c r="IU186" s="91" t="str">
        <f t="shared" si="9"/>
      </c>
      <c r="IV186" s="91" t="str">
        <f t="shared" si="9"/>
      </c>
    </row>
    <row r="187" hidden="1" ht="15">
      <c r="B187" s="324"/>
      <c r="C187" s="219"/>
      <c r="D187" s="219"/>
      <c r="E187" s="219"/>
      <c r="F187" s="219"/>
      <c r="G187" s="219"/>
      <c r="H187" s="219"/>
      <c r="I187" s="219"/>
      <c r="J187" s="219"/>
      <c r="K187" s="219"/>
    </row>
    <row r="188" hidden="1" ht="15">
      <c r="B188" s="324"/>
      <c r="C188" s="219"/>
      <c r="D188" s="219"/>
      <c r="E188" s="219"/>
      <c r="F188" s="219"/>
      <c r="G188" s="219"/>
      <c r="H188" s="219"/>
      <c r="I188" s="219"/>
      <c r="J188" s="219"/>
      <c r="K188" s="219"/>
    </row>
    <row r="189" hidden="1" ht="13.5"/>
    <row r="190" hidden="1" ht="15.75" customHeight="1">
      <c r="C190" s="686" t="s">
        <v>427</v>
      </c>
      <c r="D190" s="687"/>
      <c r="E190" s="687"/>
      <c r="F190" s="687"/>
      <c r="G190" s="687"/>
      <c r="H190" s="687"/>
      <c r="I190" s="687"/>
      <c r="J190" s="687"/>
      <c r="K190" s="687"/>
      <c r="L190" s="687"/>
      <c r="M190" s="687"/>
      <c r="N190" s="687"/>
      <c r="O190" s="687"/>
      <c r="P190" s="687"/>
      <c r="Q190" s="687"/>
      <c r="R190" s="687"/>
      <c r="S190" s="687"/>
      <c r="T190" s="687"/>
      <c r="U190" s="687"/>
      <c r="V190" s="687"/>
      <c r="W190" s="687"/>
      <c r="X190" s="687"/>
      <c r="Y190" s="687"/>
      <c r="Z190" s="687"/>
      <c r="AA190" s="687"/>
      <c r="AB190" s="688"/>
    </row>
    <row r="191" hidden="1" ht="15" customHeight="1">
      <c r="C191" s="435" t="str">
        <f> IF(C211&lt;&gt;"",TEXT(AUX!G$1,"dd-MMM-aa"),"")</f>
      </c>
      <c r="D191" s="435" t="str">
        <f> IF(D211&lt;&gt;"",TEXT(AUX!H$1,"dd-MMM-aa"),"")</f>
      </c>
      <c r="E191" s="435" t="str">
        <f> IF(E211&lt;&gt;"",TEXT(AUX!I$1,"dd-MMM-aa"),"")</f>
      </c>
      <c r="F191" s="435" t="str">
        <f> IF(F211&lt;&gt;"",TEXT(AUX!J$1,"dd-MMM-aa"),"")</f>
      </c>
      <c r="G191" s="435" t="str">
        <f> IF(G211&lt;&gt;"",TEXT(AUX!K$1,"dd-MMM-aa"),"")</f>
      </c>
      <c r="H191" s="435" t="str">
        <f> IF(H211&lt;&gt;"",TEXT(AUX!L$1,"dd-MMM-aa"),"")</f>
      </c>
      <c r="I191" s="435" t="str">
        <f> IF(I211&lt;&gt;"",TEXT(AUX!M$1,"dd-MMM-aa"),"")</f>
      </c>
      <c r="J191" s="435" t="str">
        <f> IF(J211&lt;&gt;"",TEXT(AUX!N$1,"dd-MMM-aa"),"")</f>
      </c>
      <c r="K191" s="435" t="str">
        <f> IF(K211&lt;&gt;"",TEXT(AUX!O$1,"dd-MMM-aa"),"")</f>
      </c>
      <c r="L191" s="435" t="str">
        <f> IF(L211&lt;&gt;"",TEXT(AUX!P$1,"dd-MMM-aa"),"")</f>
      </c>
      <c r="M191" s="435" t="str">
        <f> IF(M211&lt;&gt;"",TEXT(AUX!Q$1,"dd-MMM-aa"),"")</f>
      </c>
      <c r="N191" s="435" t="str">
        <f> IF(N211&lt;&gt;"",TEXT(AUX!R$1,"dd-MMM-aa"),"")</f>
      </c>
      <c r="O191" s="435" t="str">
        <f> IF(O211&lt;&gt;"",TEXT(AUX!S$1,"dd-MMM-aa"),"")</f>
      </c>
      <c r="P191" s="435" t="str">
        <f> IF(P211&lt;&gt;"",TEXT(AUX!T$1,"dd-MMM-aa"),"")</f>
      </c>
      <c r="Q191" s="435" t="str">
        <f> IF(Q211&lt;&gt;"",TEXT(AUX!U$1,"dd-MMM-aa"),"")</f>
      </c>
      <c r="R191" s="435" t="str">
        <f> IF(R211&lt;&gt;"",TEXT(AUX!V$1,"dd-MMM-aa"),"")</f>
      </c>
      <c r="S191" s="435" t="str">
        <f> IF(S211&lt;&gt;"",TEXT(AUX!W$1,"dd-MMM-aa"),"")</f>
      </c>
      <c r="T191" s="435" t="str">
        <f> IF(T211&lt;&gt;"",TEXT(AUX!X$1,"dd-MMM-aa"),"")</f>
      </c>
      <c r="U191" s="435" t="str">
        <f> IF(U211&lt;&gt;"",TEXT(AUX!Y$1,"dd-MMM-aa"),"")</f>
      </c>
      <c r="V191" s="435" t="str">
        <f> IF(V211&lt;&gt;"",TEXT(AUX!Z$1,"dd-MMM-aa"),"")</f>
      </c>
      <c r="W191" s="435" t="str">
        <f> IF(W211&lt;&gt;"",TEXT(AUX!AA$1,"dd-MMM-aa"),"")</f>
      </c>
      <c r="X191" s="435" t="str">
        <f> IF(X211&lt;&gt;"",TEXT(AUX!AB$1,"dd-MMM-aa"),"")</f>
      </c>
      <c r="Y191" s="435" t="str">
        <f> IF(Y211&lt;&gt;"",TEXT(AUX!AC$1,"dd-MMM-aa"),"")</f>
      </c>
      <c r="Z191" s="435" t="str">
        <f> IF(Z211&lt;&gt;"",TEXT(AUX!AD$1,"dd-MMM-aa"),"")</f>
      </c>
      <c r="AA191" s="435" t="str">
        <f> IF(AA211&lt;&gt;"",TEXT(AUX!AE$1,"dd-MMM-aa"),"")</f>
      </c>
      <c r="AB191" s="497" t="str">
        <f> IF(AB211&lt;&gt;"",TEXT(AUX!AF$1,"dd-MMM-aa"),"")</f>
      </c>
      <c r="AC191" s="496" t="str">
        <f> IF(AC211&lt;&gt;"",TEXT(AUX!AG$1,"dd-MMM-aa"),"")</f>
      </c>
      <c r="AD191" s="496" t="str">
        <f> IF(AD211&lt;&gt;"",TEXT(AUX!AH$1,"dd-MMM-aa"),"")</f>
      </c>
      <c r="AE191" s="496" t="str">
        <f> IF(AE211&lt;&gt;"",TEXT(AUX!AI$1,"dd-MMM-aa"),"")</f>
      </c>
      <c r="AF191" s="496" t="str">
        <f> IF(AF211&lt;&gt;"",TEXT(AUX!AJ$1,"dd-MMM-aa"),"")</f>
      </c>
      <c r="AG191" s="496" t="str">
        <f> IF(AG211&lt;&gt;"",TEXT(AUX!AK$1,"dd-MMM-aa"),"")</f>
      </c>
      <c r="AH191" s="496" t="str">
        <f> IF(AH211&lt;&gt;"",TEXT(AUX!AL$1,"dd-MMM-aa"),"")</f>
      </c>
      <c r="AI191" s="496" t="str">
        <f> IF(AI211&lt;&gt;"",TEXT(AUX!AM$1,"dd-MMM-aa"),"")</f>
      </c>
      <c r="AJ191" s="496" t="str">
        <f> IF(AJ211&lt;&gt;"",TEXT(AUX!AN$1,"dd-MMM-aa"),"")</f>
      </c>
      <c r="AK191" s="496" t="str">
        <f> IF(AK211&lt;&gt;"",TEXT(AUX!AO$1,"dd-MMM-aa"),"")</f>
      </c>
      <c r="AL191" s="496" t="str">
        <f> IF(AL211&lt;&gt;"",TEXT(AUX!AP$1,"dd-MMM-aa"),"")</f>
      </c>
      <c r="AM191" s="496" t="str">
        <f> IF(AM211&lt;&gt;"",TEXT(AUX!AQ$1,"dd-MMM-aa"),"")</f>
      </c>
      <c r="AN191" s="496" t="str">
        <f> IF(AN211&lt;&gt;"",TEXT(AUX!AR$1,"dd-MMM-aa"),"")</f>
      </c>
      <c r="AO191" s="496" t="str">
        <f> IF(AO211&lt;&gt;"",TEXT(AUX!AS$1,"dd-MMM-aa"),"")</f>
      </c>
      <c r="AP191" s="496" t="str">
        <f> IF(AP211&lt;&gt;"",TEXT(AUX!AT$1,"dd-MMM-aa"),"")</f>
      </c>
      <c r="AQ191" s="496" t="str">
        <f> IF(AQ211&lt;&gt;"",TEXT(AUX!AU$1,"dd-MMM-aa"),"")</f>
      </c>
      <c r="AR191" s="496" t="str">
        <f> IF(AR211&lt;&gt;"",TEXT(AUX!AV$1,"dd-MMM-aa"),"")</f>
      </c>
      <c r="AS191" s="496" t="str">
        <f> IF(AS211&lt;&gt;"",TEXT(AUX!AW$1,"dd-MMM-aa"),"")</f>
      </c>
      <c r="AT191" s="496" t="str">
        <f> IF(AT211&lt;&gt;"",TEXT(AUX!AX$1,"dd-MMM-aa"),"")</f>
      </c>
      <c r="AU191" s="496" t="str">
        <f> IF(AU211&lt;&gt;"",TEXT(AUX!AY$1,"dd-MMM-aa"),"")</f>
      </c>
      <c r="AV191" s="496" t="str">
        <f> IF(AV211&lt;&gt;"",TEXT(AUX!AZ$1,"dd-MMM-aa"),"")</f>
      </c>
      <c r="AW191" s="496" t="str">
        <f> IF(AW211&lt;&gt;"",TEXT(AUX!BA$1,"dd-MMM-aa"),"")</f>
      </c>
      <c r="AX191" s="496" t="str">
        <f> IF(AX211&lt;&gt;"",TEXT(AUX!BB$1,"dd-MMM-aa"),"")</f>
      </c>
      <c r="AY191" s="496" t="str">
        <f> IF(AY211&lt;&gt;"",TEXT(AUX!BC$1,"dd-MMM-aa"),"")</f>
      </c>
      <c r="AZ191" s="496" t="str">
        <f> IF(AZ211&lt;&gt;"",TEXT(AUX!BD$1,"dd-MMM-aa"),"")</f>
      </c>
      <c r="BA191" s="496" t="str">
        <f> IF(BA211&lt;&gt;"",TEXT(AUX!BE$1,"dd-MMM-aa"),"")</f>
      </c>
      <c r="BB191" s="496" t="str">
        <f> IF(BB211&lt;&gt;"",TEXT(AUX!BF$1,"dd-MMM-aa"),"")</f>
      </c>
      <c r="BC191" s="496" t="str">
        <f> IF(BC211&lt;&gt;"",TEXT(AUX!BG$1,"dd-MMM-aa"),"")</f>
      </c>
      <c r="BD191" s="496" t="str">
        <f> IF(BD211&lt;&gt;"",TEXT(AUX!BH$1,"dd-MMM-aa"),"")</f>
      </c>
      <c r="BE191" s="496" t="str">
        <f> IF(BE211&lt;&gt;"",TEXT(AUX!BI$1,"dd-MMM-aa"),"")</f>
      </c>
      <c r="BF191" s="496" t="str">
        <f> IF(BF211&lt;&gt;"",TEXT(AUX!BJ$1,"dd-MMM-aa"),"")</f>
      </c>
      <c r="BG191" s="496" t="str">
        <f> IF(BG211&lt;&gt;"",TEXT(AUX!BK$1,"dd-MMM-aa"),"")</f>
      </c>
      <c r="BH191" s="496" t="str">
        <f> IF(BH211&lt;&gt;"",TEXT(AUX!BL$1,"dd-MMM-aa"),"")</f>
      </c>
      <c r="BI191" s="496" t="str">
        <f> IF(BI211&lt;&gt;"",TEXT(AUX!BM$1,"dd-MMM-aa"),"")</f>
      </c>
      <c r="BJ191" s="496" t="str">
        <f> IF(BJ211&lt;&gt;"",TEXT(AUX!BN$1,"dd-MMM-aa"),"")</f>
      </c>
      <c r="BK191" s="496" t="str">
        <f> IF(BK211&lt;&gt;"",TEXT(AUX!BO$1,"dd-MMM-aa"),"")</f>
      </c>
      <c r="BL191" s="496" t="str">
        <f> IF(BL211&lt;&gt;"",TEXT(AUX!BP$1,"dd-MMM-aa"),"")</f>
      </c>
      <c r="BM191" s="496" t="str">
        <f> IF(BM211&lt;&gt;"",TEXT(AUX!BQ$1,"dd-MMM-aa"),"")</f>
      </c>
      <c r="BN191" s="496" t="str">
        <f> IF(BN211&lt;&gt;"",TEXT(AUX!BR$1,"dd-MMM-aa"),"")</f>
      </c>
      <c r="BO191" s="496" t="str">
        <f> IF(BO211&lt;&gt;"",TEXT(AUX!BS$1,"dd-MMM-aa"),"")</f>
      </c>
      <c r="BP191" s="496" t="str">
        <f> IF(BP211&lt;&gt;"",TEXT(AUX!BT$1,"dd-MMM-aa"),"")</f>
      </c>
      <c r="BQ191" s="496" t="str">
        <f> IF(BQ211&lt;&gt;"",TEXT(AUX!BU$1,"dd-MMM-aa"),"")</f>
      </c>
      <c r="BR191" s="496" t="str">
        <f> IF(BR211&lt;&gt;"",TEXT(AUX!BV$1,"dd-MMM-aa"),"")</f>
      </c>
      <c r="BS191" s="496" t="str">
        <f> IF(BS211&lt;&gt;"",TEXT(AUX!BW$1,"dd-MMM-aa"),"")</f>
      </c>
      <c r="BT191" s="496" t="str">
        <f> IF(BT211&lt;&gt;"",TEXT(AUX!BX$1,"dd-MMM-aa"),"")</f>
      </c>
      <c r="BU191" s="496" t="str">
        <f> IF(BU211&lt;&gt;"",TEXT(AUX!BY$1,"dd-MMM-aa"),"")</f>
      </c>
      <c r="BV191" s="496" t="str">
        <f> IF(BV211&lt;&gt;"",TEXT(AUX!BZ$1,"dd-MMM-aa"),"")</f>
      </c>
      <c r="BW191" s="496" t="str">
        <f> IF(BW211&lt;&gt;"",TEXT(AUX!CA$1,"dd-MMM-aa"),"")</f>
      </c>
      <c r="BX191" s="496" t="str">
        <f> IF(BX211&lt;&gt;"",TEXT(AUX!CB$1,"dd-MMM-aa"),"")</f>
      </c>
      <c r="BY191" s="496" t="str">
        <f> IF(BY211&lt;&gt;"",TEXT(AUX!CC$1,"dd-MMM-aa"),"")</f>
      </c>
      <c r="BZ191" s="496" t="str">
        <f> IF(BZ211&lt;&gt;"",TEXT(AUX!CD$1,"dd-MMM-aa"),"")</f>
      </c>
      <c r="CA191" s="496" t="str">
        <f> IF(CA211&lt;&gt;"",TEXT(AUX!CE$1,"dd-MMM-aa"),"")</f>
      </c>
      <c r="CB191" s="496" t="str">
        <f> IF(CB211&lt;&gt;"",TEXT(AUX!CF$1,"dd-MMM-aa"),"")</f>
      </c>
      <c r="CC191" s="496" t="str">
        <f> IF(CC211&lt;&gt;"",TEXT(AUX!CG$1,"dd-MMM-aa"),"")</f>
      </c>
      <c r="CD191" s="496" t="str">
        <f> IF(CD211&lt;&gt;"",TEXT(AUX!CH$1,"dd-MMM-aa"),"")</f>
      </c>
      <c r="CE191" s="496" t="str">
        <f> IF(CE211&lt;&gt;"",TEXT(AUX!CI$1,"dd-MMM-aa"),"")</f>
      </c>
      <c r="CF191" s="496" t="str">
        <f> IF(CF211&lt;&gt;"",TEXT(AUX!CJ$1,"dd-MMM-aa"),"")</f>
      </c>
      <c r="CG191" s="496" t="str">
        <f> IF(CG211&lt;&gt;"",TEXT(AUX!CK$1,"dd-MMM-aa"),"")</f>
      </c>
      <c r="CH191" s="496" t="str">
        <f> IF(CH211&lt;&gt;"",TEXT(AUX!CL$1,"dd-MMM-aa"),"")</f>
      </c>
      <c r="CI191" s="496" t="str">
        <f> IF(CI211&lt;&gt;"",TEXT(AUX!CM$1,"dd-MMM-aa"),"")</f>
      </c>
      <c r="CJ191" s="496" t="str">
        <f> IF(CJ211&lt;&gt;"",TEXT(AUX!CN$1,"dd-MMM-aa"),"")</f>
      </c>
      <c r="CK191" s="496" t="str">
        <f> IF(CK211&lt;&gt;"",TEXT(AUX!CO$1,"dd-MMM-aa"),"")</f>
      </c>
      <c r="CL191" s="496" t="str">
        <f> IF(CL211&lt;&gt;"",TEXT(AUX!CP$1,"dd-MMM-aa"),"")</f>
      </c>
      <c r="CM191" s="496" t="str">
        <f> IF(CM211&lt;&gt;"",TEXT(AUX!CQ$1,"dd-MMM-aa"),"")</f>
      </c>
      <c r="CN191" s="496" t="str">
        <f> IF(CN211&lt;&gt;"",TEXT(AUX!CR$1,"dd-MMM-aa"),"")</f>
      </c>
      <c r="CO191" s="496" t="str">
        <f> IF(CO211&lt;&gt;"",TEXT(AUX!CS$1,"dd-MMM-aa"),"")</f>
      </c>
      <c r="CP191" s="496" t="str">
        <f> IF(CP211&lt;&gt;"",TEXT(AUX!CT$1,"dd-MMM-aa"),"")</f>
      </c>
      <c r="CQ191" s="496" t="str">
        <f> IF(CQ211&lt;&gt;"",TEXT(AUX!CU$1,"dd-MMM-aa"),"")</f>
      </c>
      <c r="CR191" s="496" t="str">
        <f> IF(CR211&lt;&gt;"",TEXT(AUX!CV$1,"dd-MMM-aa"),"")</f>
      </c>
      <c r="CS191" s="496" t="str">
        <f> IF(CS211&lt;&gt;"",TEXT(AUX!CW$1,"dd-MMM-aa"),"")</f>
      </c>
      <c r="CT191" s="496" t="str">
        <f> IF(CT211&lt;&gt;"",TEXT(AUX!CX$1,"dd-MMM-aa"),"")</f>
      </c>
      <c r="CU191" s="496" t="str">
        <f> IF(CU211&lt;&gt;"",TEXT(AUX!CY$1,"dd-MMM-aa"),"")</f>
      </c>
      <c r="CV191" s="496" t="str">
        <f> IF(CV211&lt;&gt;"",TEXT(AUX!CZ$1,"dd-MMM-aa"),"")</f>
      </c>
      <c r="CW191" s="496" t="str">
        <f> IF(CW211&lt;&gt;"",TEXT(AUX!DA$1,"dd-MMM-aa"),"")</f>
      </c>
      <c r="CX191" s="496" t="str">
        <f> IF(CX211&lt;&gt;"",TEXT(AUX!DB$1,"dd-MMM-aa"),"")</f>
      </c>
      <c r="CY191" s="496" t="str">
        <f> IF(CY211&lt;&gt;"",TEXT(AUX!DC$1,"dd-MMM-aa"),"")</f>
      </c>
      <c r="CZ191" s="496" t="str">
        <f> IF(CZ211&lt;&gt;"",TEXT(AUX!DD$1,"dd-MMM-aa"),"")</f>
      </c>
      <c r="DA191" s="496" t="str">
        <f> IF(DA211&lt;&gt;"",TEXT(AUX!DE$1,"dd-MMM-aa"),"")</f>
      </c>
      <c r="DB191" s="496" t="str">
        <f> IF(DB211&lt;&gt;"",TEXT(AUX!DF$1,"dd-MMM-aa"),"")</f>
      </c>
      <c r="DC191" s="496" t="str">
        <f> IF(DC211&lt;&gt;"",TEXT(AUX!DG$1,"dd-MMM-aa"),"")</f>
      </c>
      <c r="DD191" s="496" t="str">
        <f> IF(DD211&lt;&gt;"",TEXT(AUX!DH$1,"dd-MMM-aa"),"")</f>
      </c>
      <c r="DE191" s="496" t="str">
        <f> IF(DE211&lt;&gt;"",TEXT(AUX!DI$1,"dd-MMM-aa"),"")</f>
      </c>
      <c r="DF191" s="496" t="str">
        <f> IF(DF211&lt;&gt;"",TEXT(AUX!DJ$1,"dd-MMM-aa"),"")</f>
      </c>
      <c r="DG191" s="496" t="str">
        <f> IF(DG211&lt;&gt;"",TEXT(AUX!DK$1,"dd-MMM-aa"),"")</f>
      </c>
      <c r="DH191" s="496" t="str">
        <f> IF(DH211&lt;&gt;"",TEXT(AUX!DL$1,"dd-MMM-aa"),"")</f>
      </c>
      <c r="DI191" s="496" t="str">
        <f> IF(DI211&lt;&gt;"",TEXT(AUX!DM$1,"dd-MMM-aa"),"")</f>
      </c>
      <c r="DJ191" s="496" t="str">
        <f> IF(DJ211&lt;&gt;"",TEXT(AUX!DN$1,"dd-MMM-aa"),"")</f>
      </c>
      <c r="DK191" s="496" t="str">
        <f> IF(DK211&lt;&gt;"",TEXT(AUX!DO$1,"dd-MMM-aa"),"")</f>
      </c>
      <c r="DL191" s="496" t="str">
        <f> IF(DL211&lt;&gt;"",TEXT(AUX!DP$1,"dd-MMM-aa"),"")</f>
      </c>
      <c r="DM191" s="496" t="str">
        <f> IF(DM211&lt;&gt;"",TEXT(AUX!DQ$1,"dd-MMM-aa"),"")</f>
      </c>
      <c r="DN191" s="496" t="str">
        <f> IF(DN211&lt;&gt;"",TEXT(AUX!DR$1,"dd-MMM-aa"),"")</f>
      </c>
      <c r="DO191" s="496" t="str">
        <f> IF(DO211&lt;&gt;"",TEXT(AUX!DS$1,"dd-MMM-aa"),"")</f>
      </c>
      <c r="DP191" s="496" t="str">
        <f> IF(DP211&lt;&gt;"",TEXT(AUX!DT$1,"dd-MMM-aa"),"")</f>
      </c>
      <c r="DQ191" s="496" t="str">
        <f> IF(DQ211&lt;&gt;"",TEXT(AUX!DU$1,"dd-MMM-aa"),"")</f>
      </c>
      <c r="DR191" s="496" t="str">
        <f> IF(DR211&lt;&gt;"",TEXT(AUX!DV$1,"dd-MMM-aa"),"")</f>
      </c>
      <c r="DS191" s="496" t="str">
        <f> IF(DS211&lt;&gt;"",TEXT(AUX!DW$1,"dd-MMM-aa"),"")</f>
      </c>
      <c r="DT191" s="496" t="str">
        <f> IF(DT211&lt;&gt;"",TEXT(AUX!DX$1,"dd-MMM-aa"),"")</f>
      </c>
      <c r="DU191" s="496" t="str">
        <f> IF(DU211&lt;&gt;"",TEXT(AUX!DY$1,"dd-MMM-aa"),"")</f>
      </c>
      <c r="DV191" s="496" t="str">
        <f> IF(DV211&lt;&gt;"",TEXT(AUX!DZ$1,"dd-MMM-aa"),"")</f>
      </c>
      <c r="DW191" s="496" t="str">
        <f> IF(DW211&lt;&gt;"",TEXT(AUX!EA$1,"dd-MMM-aa"),"")</f>
      </c>
      <c r="DX191" s="496" t="str">
        <f> IF(DX211&lt;&gt;"",TEXT(AUX!EB$1,"dd-MMM-aa"),"")</f>
      </c>
      <c r="DY191" s="496" t="str">
        <f> IF(DY211&lt;&gt;"",TEXT(AUX!EC$1,"dd-MMM-aa"),"")</f>
      </c>
      <c r="DZ191" s="496" t="str">
        <f> IF(DZ211&lt;&gt;"",TEXT(AUX!ED$1,"dd-MMM-aa"),"")</f>
      </c>
      <c r="EA191" s="496" t="str">
        <f> IF(EA211&lt;&gt;"",TEXT(AUX!EE$1,"dd-MMM-aa"),"")</f>
      </c>
      <c r="EB191" s="496" t="str">
        <f> IF(EB211&lt;&gt;"",TEXT(AUX!EF$1,"dd-MMM-aa"),"")</f>
      </c>
      <c r="EC191" s="496" t="str">
        <f> IF(EC211&lt;&gt;"",TEXT(AUX!EG$1,"dd-MMM-aa"),"")</f>
      </c>
      <c r="ED191" s="496" t="str">
        <f> IF(ED211&lt;&gt;"",TEXT(AUX!EH$1,"dd-MMM-aa"),"")</f>
      </c>
      <c r="EE191" s="496" t="str">
        <f> IF(EE211&lt;&gt;"",TEXT(AUX!EI$1,"dd-MMM-aa"),"")</f>
      </c>
      <c r="EF191" s="496" t="str">
        <f> IF(EF211&lt;&gt;"",TEXT(AUX!EJ$1,"dd-MMM-aa"),"")</f>
      </c>
      <c r="EG191" s="496" t="str">
        <f> IF(EG211&lt;&gt;"",TEXT(AUX!EK$1,"dd-MMM-aa"),"")</f>
      </c>
      <c r="EH191" s="496" t="str">
        <f> IF(EH211&lt;&gt;"",TEXT(AUX!EL$1,"dd-MMM-aa"),"")</f>
      </c>
      <c r="EI191" s="496" t="str">
        <f> IF(EI211&lt;&gt;"",TEXT(AUX!EM$1,"dd-MMM-aa"),"")</f>
      </c>
      <c r="EJ191" s="496" t="str">
        <f> IF(EJ211&lt;&gt;"",TEXT(AUX!EN$1,"dd-MMM-aa"),"")</f>
      </c>
      <c r="EK191" s="496" t="str">
        <f> IF(EK211&lt;&gt;"",TEXT(AUX!EO$1,"dd-MMM-aa"),"")</f>
      </c>
      <c r="EL191" s="496" t="str">
        <f> IF(EL211&lt;&gt;"",TEXT(AUX!EP$1,"dd-MMM-aa"),"")</f>
      </c>
      <c r="EM191" s="496" t="str">
        <f> IF(EM211&lt;&gt;"",TEXT(AUX!EQ$1,"dd-MMM-aa"),"")</f>
      </c>
      <c r="EN191" s="496" t="str">
        <f> IF(EN211&lt;&gt;"",TEXT(AUX!ER$1,"dd-MMM-aa"),"")</f>
      </c>
      <c r="EO191" s="496" t="str">
        <f> IF(EO211&lt;&gt;"",TEXT(AUX!ES$1,"dd-MMM-aa"),"")</f>
      </c>
      <c r="EP191" s="496" t="str">
        <f> IF(EP211&lt;&gt;"",TEXT(AUX!ET$1,"dd-MMM-aa"),"")</f>
      </c>
      <c r="EQ191" s="496" t="str">
        <f> IF(EQ211&lt;&gt;"",TEXT(AUX!EU$1,"dd-MMM-aa"),"")</f>
      </c>
      <c r="ER191" s="496" t="str">
        <f> IF(ER211&lt;&gt;"",TEXT(AUX!EV$1,"dd-MMM-aa"),"")</f>
      </c>
      <c r="ES191" s="496" t="str">
        <f> IF(ES211&lt;&gt;"",TEXT(AUX!EW$1,"dd-MMM-aa"),"")</f>
      </c>
      <c r="ET191" s="496" t="str">
        <f> IF(ET211&lt;&gt;"",TEXT(AUX!EX$1,"dd-MMM-aa"),"")</f>
      </c>
      <c r="EU191" s="496" t="str">
        <f> IF(EU211&lt;&gt;"",TEXT(AUX!EY$1,"dd-MMM-aa"),"")</f>
      </c>
      <c r="EV191" s="496" t="str">
        <f> IF(EV211&lt;&gt;"",TEXT(AUX!EZ$1,"dd-MMM-aa"),"")</f>
      </c>
      <c r="EW191" s="496" t="str">
        <f> IF(EW211&lt;&gt;"",TEXT(AUX!FA$1,"dd-MMM-aa"),"")</f>
      </c>
      <c r="EX191" s="496" t="str">
        <f> IF(EX211&lt;&gt;"",TEXT(AUX!FB$1,"dd-MMM-aa"),"")</f>
      </c>
      <c r="EY191" s="496" t="str">
        <f> IF(EY211&lt;&gt;"",TEXT(AUX!FC$1,"dd-MMM-aa"),"")</f>
      </c>
      <c r="EZ191" s="496" t="str">
        <f> IF(EZ211&lt;&gt;"",TEXT(AUX!FD$1,"dd-MMM-aa"),"")</f>
      </c>
      <c r="FA191" s="496" t="str">
        <f> IF(FA211&lt;&gt;"",TEXT(AUX!FE$1,"dd-MMM-aa"),"")</f>
      </c>
      <c r="FB191" s="496" t="str">
        <f> IF(FB211&lt;&gt;"",TEXT(AUX!FF$1,"dd-MMM-aa"),"")</f>
      </c>
      <c r="FC191" s="496" t="str">
        <f> IF(FC211&lt;&gt;"",TEXT(AUX!FG$1,"dd-MMM-aa"),"")</f>
      </c>
      <c r="FD191" s="496" t="str">
        <f> IF(FD211&lt;&gt;"",TEXT(AUX!FH$1,"dd-MMM-aa"),"")</f>
      </c>
      <c r="FE191" s="496" t="str">
        <f> IF(FE211&lt;&gt;"",TEXT(AUX!FI$1,"dd-MMM-aa"),"")</f>
      </c>
      <c r="FF191" s="496" t="str">
        <f> IF(FF211&lt;&gt;"",TEXT(AUX!FJ$1,"dd-MMM-aa"),"")</f>
      </c>
      <c r="FG191" s="496" t="str">
        <f> IF(FG211&lt;&gt;"",TEXT(AUX!FK$1,"dd-MMM-aa"),"")</f>
      </c>
      <c r="FH191" s="496" t="str">
        <f> IF(FH211&lt;&gt;"",TEXT(AUX!FL$1,"dd-MMM-aa"),"")</f>
      </c>
      <c r="FI191" s="496" t="str">
        <f> IF(FI211&lt;&gt;"",TEXT(AUX!FM$1,"dd-MMM-aa"),"")</f>
      </c>
      <c r="FJ191" s="496" t="str">
        <f> IF(FJ211&lt;&gt;"",TEXT(AUX!FN$1,"dd-MMM-aa"),"")</f>
      </c>
      <c r="FK191" s="496" t="str">
        <f> IF(FK211&lt;&gt;"",TEXT(AUX!FO$1,"dd-MMM-aa"),"")</f>
      </c>
      <c r="FL191" s="496" t="str">
        <f> IF(FL211&lt;&gt;"",TEXT(AUX!FP$1,"dd-MMM-aa"),"")</f>
      </c>
      <c r="FM191" s="496" t="str">
        <f> IF(FM211&lt;&gt;"",TEXT(AUX!FQ$1,"dd-MMM-aa"),"")</f>
      </c>
      <c r="FN191" s="496" t="str">
        <f> IF(FN211&lt;&gt;"",TEXT(AUX!FR$1,"dd-MMM-aa"),"")</f>
      </c>
      <c r="FO191" s="496" t="str">
        <f> IF(FO211&lt;&gt;"",TEXT(AUX!FS$1,"dd-MMM-aa"),"")</f>
      </c>
      <c r="FP191" s="496" t="str">
        <f> IF(FP211&lt;&gt;"",TEXT(AUX!FT$1,"dd-MMM-aa"),"")</f>
      </c>
      <c r="FQ191" s="496" t="str">
        <f> IF(FQ211&lt;&gt;"",TEXT(AUX!FU$1,"dd-MMM-aa"),"")</f>
      </c>
      <c r="FR191" s="496" t="str">
        <f> IF(FR211&lt;&gt;"",TEXT(AUX!FV$1,"dd-MMM-aa"),"")</f>
      </c>
      <c r="FS191" s="496" t="str">
        <f> IF(FS211&lt;&gt;"",TEXT(AUX!FW$1,"dd-MMM-aa"),"")</f>
      </c>
      <c r="FT191" s="496" t="str">
        <f> IF(FT211&lt;&gt;"",TEXT(AUX!FX$1,"dd-MMM-aa"),"")</f>
      </c>
      <c r="FU191" s="496" t="str">
        <f> IF(FU211&lt;&gt;"",TEXT(AUX!FY$1,"dd-MMM-aa"),"")</f>
      </c>
      <c r="FV191" s="496" t="str">
        <f> IF(FV211&lt;&gt;"",TEXT(AUX!FZ$1,"dd-MMM-aa"),"")</f>
      </c>
      <c r="FW191" s="496" t="str">
        <f> IF(FW211&lt;&gt;"",TEXT(AUX!GA$1,"dd-MMM-aa"),"")</f>
      </c>
      <c r="FX191" s="496" t="str">
        <f> IF(FX211&lt;&gt;"",TEXT(AUX!GB$1,"dd-MMM-aa"),"")</f>
      </c>
      <c r="FY191" s="496" t="str">
        <f> IF(FY211&lt;&gt;"",TEXT(AUX!GC$1,"dd-MMM-aa"),"")</f>
      </c>
      <c r="FZ191" s="496" t="str">
        <f> IF(FZ211&lt;&gt;"",TEXT(AUX!GD$1,"dd-MMM-aa"),"")</f>
      </c>
      <c r="GA191" s="496" t="str">
        <f> IF(GA211&lt;&gt;"",TEXT(AUX!GE$1,"dd-MMM-aa"),"")</f>
      </c>
      <c r="GB191" s="496" t="str">
        <f> IF(GB211&lt;&gt;"",TEXT(AUX!GF$1,"dd-MMM-aa"),"")</f>
      </c>
      <c r="GC191" s="496" t="str">
        <f> IF(GC211&lt;&gt;"",TEXT(AUX!GG$1,"dd-MMM-aa"),"")</f>
      </c>
      <c r="GD191" s="496" t="str">
        <f> IF(GD211&lt;&gt;"",TEXT(AUX!GH$1,"dd-MMM-aa"),"")</f>
      </c>
      <c r="GE191" s="496" t="str">
        <f> IF(GE211&lt;&gt;"",TEXT(AUX!GI$1,"dd-MMM-aa"),"")</f>
      </c>
      <c r="GF191" s="496" t="str">
        <f> IF(GF211&lt;&gt;"",TEXT(AUX!GJ$1,"dd-MMM-aa"),"")</f>
      </c>
      <c r="GG191" s="496" t="str">
        <f> IF(GG211&lt;&gt;"",TEXT(AUX!GK$1,"dd-MMM-aa"),"")</f>
      </c>
      <c r="GH191" s="496" t="str">
        <f> IF(GH211&lt;&gt;"",TEXT(AUX!GL$1,"dd-MMM-aa"),"")</f>
      </c>
      <c r="GI191" s="496" t="str">
        <f> IF(GI211&lt;&gt;"",TEXT(AUX!GM$1,"dd-MMM-aa"),"")</f>
      </c>
      <c r="GJ191" s="496" t="str">
        <f> IF(GJ211&lt;&gt;"",TEXT(AUX!GN$1,"dd-MMM-aa"),"")</f>
      </c>
      <c r="GK191" s="496" t="str">
        <f> IF(GK211&lt;&gt;"",TEXT(AUX!GO$1,"dd-MMM-aa"),"")</f>
      </c>
      <c r="GL191" s="496" t="str">
        <f> IF(GL211&lt;&gt;"",TEXT(AUX!GP$1,"dd-MMM-aa"),"")</f>
      </c>
      <c r="GM191" s="496" t="str">
        <f> IF(GM211&lt;&gt;"",TEXT(AUX!GQ$1,"dd-MMM-aa"),"")</f>
      </c>
      <c r="GN191" s="496" t="str">
        <f> IF(GN211&lt;&gt;"",TEXT(AUX!GR$1,"dd-MMM-aa"),"")</f>
      </c>
      <c r="GO191" s="496" t="str">
        <f> IF(GO211&lt;&gt;"",TEXT(AUX!GS$1,"dd-MMM-aa"),"")</f>
      </c>
      <c r="GP191" s="496" t="str">
        <f> IF(GP211&lt;&gt;"",TEXT(AUX!GT$1,"dd-MMM-aa"),"")</f>
      </c>
      <c r="GQ191" s="496" t="str">
        <f> IF(GQ211&lt;&gt;"",TEXT(AUX!GU$1,"dd-MMM-aa"),"")</f>
      </c>
      <c r="GR191" s="496" t="str">
        <f> IF(GR211&lt;&gt;"",TEXT(AUX!GV$1,"dd-MMM-aa"),"")</f>
      </c>
      <c r="GS191" s="496" t="str">
        <f> IF(GS211&lt;&gt;"",TEXT(AUX!GW$1,"dd-MMM-aa"),"")</f>
      </c>
      <c r="GT191" s="496" t="str">
        <f> IF(GT211&lt;&gt;"",TEXT(AUX!GX$1,"dd-MMM-aa"),"")</f>
      </c>
      <c r="GU191" s="496" t="str">
        <f> IF(GU211&lt;&gt;"",TEXT(AUX!GY$1,"dd-MMM-aa"),"")</f>
      </c>
      <c r="GV191" s="496" t="str">
        <f> IF(GV211&lt;&gt;"",TEXT(AUX!GZ$1,"dd-MMM-aa"),"")</f>
      </c>
      <c r="GW191" s="496" t="str">
        <f> IF(GW211&lt;&gt;"",TEXT(AUX!HA$1,"dd-MMM-aa"),"")</f>
      </c>
      <c r="GX191" s="496" t="str">
        <f> IF(GX211&lt;&gt;"",TEXT(AUX!HB$1,"dd-MMM-aa"),"")</f>
      </c>
      <c r="GY191" s="496" t="str">
        <f> IF(GY211&lt;&gt;"",TEXT(AUX!HC$1,"dd-MMM-aa"),"")</f>
      </c>
      <c r="GZ191" s="496" t="str">
        <f> IF(GZ211&lt;&gt;"",TEXT(AUX!HD$1,"dd-MMM-aa"),"")</f>
      </c>
      <c r="HA191" s="496" t="str">
        <f> IF(HA211&lt;&gt;"",TEXT(AUX!HE$1,"dd-MMM-aa"),"")</f>
      </c>
      <c r="HB191" s="496" t="str">
        <f> IF(HB211&lt;&gt;"",TEXT(AUX!HF$1,"dd-MMM-aa"),"")</f>
      </c>
      <c r="HC191" s="496" t="str">
        <f> IF(HC211&lt;&gt;"",TEXT(AUX!HG$1,"dd-MMM-aa"),"")</f>
      </c>
      <c r="HD191" s="496" t="str">
        <f> IF(HD211&lt;&gt;"",TEXT(AUX!HH$1,"dd-MMM-aa"),"")</f>
      </c>
      <c r="HE191" s="496" t="str">
        <f> IF(HE211&lt;&gt;"",TEXT(AUX!HI$1,"dd-MMM-aa"),"")</f>
      </c>
      <c r="HF191" s="496" t="str">
        <f> IF(HF211&lt;&gt;"",TEXT(AUX!HJ$1,"dd-MMM-aa"),"")</f>
      </c>
      <c r="HG191" s="496" t="str">
        <f> IF(HG211&lt;&gt;"",TEXT(AUX!HK$1,"dd-MMM-aa"),"")</f>
      </c>
      <c r="HH191" s="496" t="str">
        <f> IF(HH211&lt;&gt;"",TEXT(AUX!HL$1,"dd-MMM-aa"),"")</f>
      </c>
      <c r="HI191" s="496" t="str">
        <f> IF(HI211&lt;&gt;"",TEXT(AUX!HM$1,"dd-MMM-aa"),"")</f>
      </c>
      <c r="HJ191" s="496" t="str">
        <f> IF(HJ211&lt;&gt;"",TEXT(AUX!HN$1,"dd-MMM-aa"),"")</f>
      </c>
      <c r="HK191" s="496" t="str">
        <f> IF(HK211&lt;&gt;"",TEXT(AUX!HO$1,"dd-MMM-aa"),"")</f>
      </c>
      <c r="HL191" s="496" t="str">
        <f> IF(HL211&lt;&gt;"",TEXT(AUX!HP$1,"dd-MMM-aa"),"")</f>
      </c>
      <c r="HM191" s="496" t="str">
        <f> IF(HM211&lt;&gt;"",TEXT(AUX!HQ$1,"dd-MMM-aa"),"")</f>
      </c>
      <c r="HN191" s="496" t="str">
        <f> IF(HN211&lt;&gt;"",TEXT(AUX!HR$1,"dd-MMM-aa"),"")</f>
      </c>
      <c r="HO191" s="496" t="str">
        <f> IF(HO211&lt;&gt;"",TEXT(AUX!HS$1,"dd-MMM-aa"),"")</f>
      </c>
      <c r="HP191" s="496" t="str">
        <f> IF(HP211&lt;&gt;"",TEXT(AUX!HT$1,"dd-MMM-aa"),"")</f>
      </c>
      <c r="HQ191" s="496" t="str">
        <f> IF(HQ211&lt;&gt;"",TEXT(AUX!HU$1,"dd-MMM-aa"),"")</f>
      </c>
      <c r="HR191" s="496" t="str">
        <f> IF(HR211&lt;&gt;"",TEXT(AUX!HV$1,"dd-MMM-aa"),"")</f>
      </c>
      <c r="HS191" s="496" t="str">
        <f> IF(HS211&lt;&gt;"",TEXT(AUX!HW$1,"dd-MMM-aa"),"")</f>
      </c>
      <c r="HT191" s="496" t="str">
        <f> IF(HT211&lt;&gt;"",TEXT(AUX!HX$1,"dd-MMM-aa"),"")</f>
      </c>
      <c r="HU191" s="496" t="str">
        <f> IF(HU211&lt;&gt;"",TEXT(AUX!HY$1,"dd-MMM-aa"),"")</f>
      </c>
      <c r="HV191" s="496" t="str">
        <f> IF(HV211&lt;&gt;"",TEXT(AUX!HZ$1,"dd-MMM-aa"),"")</f>
      </c>
      <c r="HW191" s="496" t="str">
        <f> IF(HW211&lt;&gt;"",TEXT(AUX!IA$1,"dd-MMM-aa"),"")</f>
      </c>
      <c r="HX191" s="496" t="str">
        <f> IF(HX211&lt;&gt;"",TEXT(AUX!IB$1,"dd-MMM-aa"),"")</f>
      </c>
      <c r="HY191" s="496" t="str">
        <f> IF(HY211&lt;&gt;"",TEXT(AUX!IC$1,"dd-MMM-aa"),"")</f>
      </c>
      <c r="HZ191" s="496" t="str">
        <f> IF(HZ211&lt;&gt;"",TEXT(AUX!ID$1,"dd-MMM-aa"),"")</f>
      </c>
      <c r="IA191" s="496" t="str">
        <f> IF(IA211&lt;&gt;"",TEXT(AUX!IE$1,"dd-MMM-aa"),"")</f>
      </c>
      <c r="IB191" s="496" t="str">
        <f> IF(IB211&lt;&gt;"",TEXT(AUX!IF$1,"dd-MMM-aa"),"")</f>
      </c>
      <c r="IC191" s="496" t="str">
        <f> IF(IC211&lt;&gt;"",TEXT(AUX!IG$1,"dd-MMM-aa"),"")</f>
      </c>
      <c r="ID191" s="496" t="str">
        <f> IF(ID211&lt;&gt;"",TEXT(AUX!IH$1,"dd-MMM-aa"),"")</f>
      </c>
      <c r="IE191" s="496" t="str">
        <f> IF(IE211&lt;&gt;"",TEXT(AUX!II$1,"dd-MMM-aa"),"")</f>
      </c>
      <c r="IF191" s="496" t="str">
        <f> IF(IF211&lt;&gt;"",TEXT(AUX!IJ$1,"dd-MMM-aa"),"")</f>
      </c>
      <c r="IG191" s="496" t="str">
        <f> IF(IG211&lt;&gt;"",TEXT(AUX!IK$1,"dd-MMM-aa"),"")</f>
      </c>
      <c r="IH191" s="496" t="str">
        <f> IF(IH211&lt;&gt;"",TEXT(AUX!IL$1,"dd-MMM-aa"),"")</f>
      </c>
      <c r="II191" s="496" t="str">
        <f> IF(II211&lt;&gt;"",TEXT(AUX!IM$1,"dd-MMM-aa"),"")</f>
      </c>
      <c r="IJ191" s="496" t="str">
        <f> IF(IJ211&lt;&gt;"",TEXT(AUX!IN$1,"dd-MMM-aa"),"")</f>
      </c>
      <c r="IK191" s="496" t="str">
        <f> IF(IK211&lt;&gt;"",TEXT(AUX!IO$1,"dd-MMM-aa"),"")</f>
      </c>
      <c r="IL191" s="496" t="str">
        <f> IF(IL211&lt;&gt;"",TEXT(AUX!IP$1,"dd-MMM-aa"),"")</f>
      </c>
      <c r="IM191" s="496" t="str">
        <f> IF(IM211&lt;&gt;"",TEXT(AUX!IQ$1,"dd-MMM-aa"),"")</f>
      </c>
      <c r="IN191" s="496" t="str">
        <f> IF(IN211&lt;&gt;"",TEXT(AUX!IR$1,"dd-MMM-aa"),"")</f>
      </c>
      <c r="IO191" s="496" t="str">
        <f> IF(IO211&lt;&gt;"",TEXT(AUX!IS$1,"dd-MMM-aa"),"")</f>
      </c>
      <c r="IP191" s="496" t="str">
        <f> IF(IP211&lt;&gt;"",TEXT(AUX!IT$1,"dd-MMM-aa"),"")</f>
      </c>
      <c r="IQ191" s="496" t="str">
        <f> IF(IQ211&lt;&gt;"",TEXT(AUX!IU$1,"dd-MMM-aa"),"")</f>
      </c>
      <c r="IR191" s="496" t="str">
        <f> IF(IR211&lt;&gt;"",TEXT(AUX!IV$1,"dd-MMM-aa"),"")</f>
      </c>
      <c r="IS191" s="496" t="str">
        <f> IF(IS211&lt;&gt;"",TEXT(AUX!#REF!,"dd-MMM-aa"),"")</f>
      </c>
      <c r="IT191" s="496" t="str">
        <f> IF(IT211&lt;&gt;"",TEXT(AUX!#REF!,"dd-MMM-aa"),"")</f>
      </c>
      <c r="IU191" s="496" t="str">
        <f> IF(IU211&lt;&gt;"",TEXT(AUX!#REF!,"dd-MMM-aa"),"")</f>
      </c>
      <c r="IV191" s="496" t="str">
        <f> IF(IV211&lt;&gt;"",TEXT(AUX!#REF!,"dd-MMM-aa"),"")</f>
      </c>
    </row>
    <row r="192" hidden="1">
      <c r="B192" s="822" t="s">
        <v>8</v>
      </c>
      <c r="C192" s="823">
        <v>8</v>
      </c>
      <c r="D192" s="823">
        <v>8</v>
      </c>
      <c r="E192" s="823">
        <v>8</v>
      </c>
      <c r="F192" s="823">
        <v>9</v>
      </c>
      <c r="G192" s="823">
        <v>9</v>
      </c>
      <c r="H192" s="823">
        <v>9</v>
      </c>
      <c r="I192" s="823">
        <v>8</v>
      </c>
      <c r="J192" s="823">
        <v>8</v>
      </c>
      <c r="K192" s="823">
        <v>7</v>
      </c>
      <c r="L192" s="823">
        <v>6</v>
      </c>
      <c r="M192" s="823">
        <v>8</v>
      </c>
      <c r="N192" s="823">
        <v>8</v>
      </c>
      <c r="O192" s="823">
        <v>7</v>
      </c>
      <c r="P192" s="823">
        <v>7</v>
      </c>
      <c r="Q192" s="823">
        <v>7</v>
      </c>
      <c r="R192" s="823">
        <v>9</v>
      </c>
      <c r="S192" s="823">
        <v>10</v>
      </c>
      <c r="T192" s="823">
        <v>9</v>
      </c>
      <c r="U192" s="823">
        <v>11</v>
      </c>
      <c r="V192" s="823">
        <v>10</v>
      </c>
      <c r="W192" s="823">
        <v>10</v>
      </c>
      <c r="X192" s="823">
        <v>10</v>
      </c>
      <c r="Y192" s="823">
        <v>10</v>
      </c>
      <c r="Z192" s="823">
        <v>10</v>
      </c>
      <c r="AA192" s="823">
        <v>10</v>
      </c>
      <c r="AB192" s="824">
        <v>9</v>
      </c>
      <c r="AC192" s="825">
        <v>10</v>
      </c>
      <c r="AD192" s="825">
        <v>10</v>
      </c>
      <c r="AE192" s="825">
        <v>10</v>
      </c>
      <c r="AF192" s="825">
        <v>10</v>
      </c>
      <c r="AG192" s="825">
        <v>10</v>
      </c>
      <c r="AH192" s="825">
        <v>10</v>
      </c>
      <c r="AI192" s="825">
        <v>12</v>
      </c>
      <c r="AJ192" s="825">
        <v>12</v>
      </c>
      <c r="AK192" s="825">
        <v>12</v>
      </c>
      <c r="AL192" s="825">
        <v>12</v>
      </c>
      <c r="AM192" s="825">
        <v>13</v>
      </c>
      <c r="AN192" s="825">
        <v>13</v>
      </c>
      <c r="AO192" s="825">
        <v>13</v>
      </c>
      <c r="AP192" s="825">
        <v>13</v>
      </c>
    </row>
    <row r="193" hidden="1">
      <c r="B193" s="826" t="s">
        <v>9</v>
      </c>
      <c r="C193" s="827">
        <v>3</v>
      </c>
      <c r="D193" s="827">
        <v>3</v>
      </c>
      <c r="E193" s="827">
        <v>3</v>
      </c>
      <c r="F193" s="827">
        <v>3</v>
      </c>
      <c r="G193" s="827">
        <v>4</v>
      </c>
      <c r="H193" s="827">
        <v>4</v>
      </c>
      <c r="I193" s="827">
        <v>4</v>
      </c>
      <c r="J193" s="827">
        <v>4</v>
      </c>
      <c r="K193" s="827">
        <v>3</v>
      </c>
      <c r="L193" s="827">
        <v>3</v>
      </c>
      <c r="M193" s="827">
        <v>3</v>
      </c>
      <c r="N193" s="827">
        <v>3</v>
      </c>
      <c r="O193" s="827">
        <v>2</v>
      </c>
      <c r="P193" s="827">
        <v>2</v>
      </c>
      <c r="Q193" s="827">
        <v>2</v>
      </c>
      <c r="R193" s="827">
        <v>2</v>
      </c>
      <c r="S193" s="827">
        <v>2</v>
      </c>
      <c r="T193" s="827">
        <v>2</v>
      </c>
      <c r="U193" s="827">
        <v>3</v>
      </c>
      <c r="V193" s="827">
        <v>3</v>
      </c>
      <c r="W193" s="827">
        <v>5</v>
      </c>
      <c r="X193" s="827">
        <v>5</v>
      </c>
      <c r="Y193" s="827">
        <v>5</v>
      </c>
      <c r="Z193" s="827">
        <v>5</v>
      </c>
      <c r="AA193" s="827">
        <v>5</v>
      </c>
      <c r="AB193" s="827">
        <v>5</v>
      </c>
      <c r="AC193" s="828">
        <v>5</v>
      </c>
      <c r="AD193" s="828">
        <v>4</v>
      </c>
      <c r="AE193" s="828">
        <v>5</v>
      </c>
      <c r="AF193" s="828">
        <v>5</v>
      </c>
      <c r="AG193" s="828">
        <v>5</v>
      </c>
      <c r="AH193" s="828">
        <v>5</v>
      </c>
      <c r="AI193" s="828">
        <v>5</v>
      </c>
      <c r="AJ193" s="828">
        <v>5</v>
      </c>
      <c r="AK193" s="828">
        <v>5</v>
      </c>
      <c r="AL193" s="828">
        <v>5</v>
      </c>
      <c r="AM193" s="828">
        <v>5</v>
      </c>
      <c r="AN193" s="828">
        <v>5</v>
      </c>
      <c r="AO193" s="828">
        <v>5</v>
      </c>
      <c r="AP193" s="828">
        <v>5</v>
      </c>
    </row>
    <row r="194" hidden="1">
      <c r="B194" s="829" t="s">
        <v>10</v>
      </c>
      <c r="C194" s="823">
        <v>0</v>
      </c>
      <c r="D194" s="823">
        <v>0</v>
      </c>
      <c r="E194" s="823">
        <v>0</v>
      </c>
      <c r="F194" s="823">
        <v>0</v>
      </c>
      <c r="G194" s="823">
        <v>0</v>
      </c>
      <c r="H194" s="823">
        <v>0</v>
      </c>
      <c r="I194" s="823">
        <v>0</v>
      </c>
      <c r="J194" s="823">
        <v>0</v>
      </c>
      <c r="K194" s="823">
        <v>0</v>
      </c>
      <c r="L194" s="823">
        <v>0</v>
      </c>
      <c r="M194" s="823">
        <v>0</v>
      </c>
      <c r="N194" s="823">
        <v>0</v>
      </c>
      <c r="O194" s="823">
        <v>0</v>
      </c>
      <c r="P194" s="823">
        <v>0</v>
      </c>
      <c r="Q194" s="823">
        <v>0</v>
      </c>
      <c r="R194" s="823">
        <v>0</v>
      </c>
      <c r="S194" s="823">
        <v>0</v>
      </c>
      <c r="T194" s="823">
        <v>0</v>
      </c>
      <c r="U194" s="823">
        <v>0</v>
      </c>
      <c r="V194" s="823">
        <v>0</v>
      </c>
      <c r="W194" s="823">
        <v>0</v>
      </c>
      <c r="X194" s="823">
        <v>0</v>
      </c>
      <c r="Y194" s="823">
        <v>0</v>
      </c>
      <c r="Z194" s="823">
        <v>0</v>
      </c>
      <c r="AA194" s="823">
        <v>0</v>
      </c>
      <c r="AB194" s="823">
        <v>0</v>
      </c>
      <c r="AC194" s="825">
        <v>0</v>
      </c>
      <c r="AD194" s="825">
        <v>0</v>
      </c>
      <c r="AE194" s="825">
        <v>0</v>
      </c>
      <c r="AF194" s="825">
        <v>0</v>
      </c>
      <c r="AG194" s="825">
        <v>0</v>
      </c>
      <c r="AH194" s="825">
        <v>0</v>
      </c>
      <c r="AI194" s="825">
        <v>0</v>
      </c>
      <c r="AJ194" s="825">
        <v>0</v>
      </c>
      <c r="AK194" s="825">
        <v>0</v>
      </c>
      <c r="AL194" s="825">
        <v>0</v>
      </c>
      <c r="AM194" s="825">
        <v>0</v>
      </c>
      <c r="AN194" s="825">
        <v>0</v>
      </c>
      <c r="AO194" s="825">
        <v>0</v>
      </c>
      <c r="AP194" s="825">
        <v>0</v>
      </c>
    </row>
    <row r="195" hidden="1">
      <c r="B195" s="826" t="s">
        <v>11</v>
      </c>
      <c r="C195" s="827">
        <v>0</v>
      </c>
      <c r="D195" s="827">
        <v>1</v>
      </c>
      <c r="E195" s="827">
        <v>1</v>
      </c>
      <c r="F195" s="827">
        <v>1</v>
      </c>
      <c r="G195" s="827">
        <v>1</v>
      </c>
      <c r="H195" s="827">
        <v>1</v>
      </c>
      <c r="I195" s="827">
        <v>1</v>
      </c>
      <c r="J195" s="827">
        <v>0</v>
      </c>
      <c r="K195" s="827">
        <v>0</v>
      </c>
      <c r="L195" s="827">
        <v>0</v>
      </c>
      <c r="M195" s="827">
        <v>0</v>
      </c>
      <c r="N195" s="827">
        <v>0</v>
      </c>
      <c r="O195" s="827">
        <v>0</v>
      </c>
      <c r="P195" s="827">
        <v>0</v>
      </c>
      <c r="Q195" s="827">
        <v>0</v>
      </c>
      <c r="R195" s="827">
        <v>0</v>
      </c>
      <c r="S195" s="827">
        <v>0</v>
      </c>
      <c r="T195" s="827">
        <v>0</v>
      </c>
      <c r="U195" s="827">
        <v>0</v>
      </c>
      <c r="V195" s="827">
        <v>0</v>
      </c>
      <c r="W195" s="827">
        <v>0</v>
      </c>
      <c r="X195" s="827">
        <v>0</v>
      </c>
      <c r="Y195" s="827">
        <v>0</v>
      </c>
      <c r="Z195" s="827">
        <v>0</v>
      </c>
      <c r="AA195" s="827">
        <v>0</v>
      </c>
      <c r="AB195" s="827">
        <v>0</v>
      </c>
      <c r="AC195" s="828">
        <v>1</v>
      </c>
      <c r="AD195" s="828">
        <v>1</v>
      </c>
      <c r="AE195" s="828">
        <v>1</v>
      </c>
      <c r="AF195" s="828">
        <v>1</v>
      </c>
      <c r="AG195" s="828">
        <v>1</v>
      </c>
      <c r="AH195" s="828">
        <v>1</v>
      </c>
      <c r="AI195" s="828">
        <v>2</v>
      </c>
      <c r="AJ195" s="828">
        <v>2</v>
      </c>
      <c r="AK195" s="828">
        <v>2</v>
      </c>
      <c r="AL195" s="828">
        <v>3</v>
      </c>
      <c r="AM195" s="828">
        <v>3</v>
      </c>
      <c r="AN195" s="828">
        <v>3</v>
      </c>
      <c r="AO195" s="828">
        <v>3</v>
      </c>
      <c r="AP195" s="828">
        <v>3</v>
      </c>
    </row>
    <row r="196" hidden="1">
      <c r="B196" s="829" t="s">
        <v>12</v>
      </c>
      <c r="C196" s="823">
        <v>0</v>
      </c>
      <c r="D196" s="823">
        <v>0</v>
      </c>
      <c r="E196" s="823">
        <v>1</v>
      </c>
      <c r="F196" s="823">
        <v>1</v>
      </c>
      <c r="G196" s="823">
        <v>2</v>
      </c>
      <c r="H196" s="823">
        <v>3</v>
      </c>
      <c r="I196" s="823">
        <v>3</v>
      </c>
      <c r="J196" s="823">
        <v>2</v>
      </c>
      <c r="K196" s="823">
        <v>2</v>
      </c>
      <c r="L196" s="823">
        <v>1</v>
      </c>
      <c r="M196" s="823">
        <v>1</v>
      </c>
      <c r="N196" s="823">
        <v>1</v>
      </c>
      <c r="O196" s="823">
        <v>1</v>
      </c>
      <c r="P196" s="823">
        <v>1</v>
      </c>
      <c r="Q196" s="823">
        <v>1</v>
      </c>
      <c r="R196" s="823">
        <v>1</v>
      </c>
      <c r="S196" s="823">
        <v>1</v>
      </c>
      <c r="T196" s="823">
        <v>2</v>
      </c>
      <c r="U196" s="823">
        <v>2</v>
      </c>
      <c r="V196" s="823">
        <v>2</v>
      </c>
      <c r="W196" s="823">
        <v>2</v>
      </c>
      <c r="X196" s="823">
        <v>2</v>
      </c>
      <c r="Y196" s="823">
        <v>2</v>
      </c>
      <c r="Z196" s="823">
        <v>2</v>
      </c>
      <c r="AA196" s="823">
        <v>2</v>
      </c>
      <c r="AB196" s="823">
        <v>2</v>
      </c>
      <c r="AC196" s="825">
        <v>2</v>
      </c>
      <c r="AD196" s="825">
        <v>2</v>
      </c>
      <c r="AE196" s="825">
        <v>2</v>
      </c>
      <c r="AF196" s="825">
        <v>2</v>
      </c>
      <c r="AG196" s="825">
        <v>3</v>
      </c>
      <c r="AH196" s="825">
        <v>3</v>
      </c>
      <c r="AI196" s="825">
        <v>3</v>
      </c>
      <c r="AJ196" s="825">
        <v>5</v>
      </c>
      <c r="AK196" s="825">
        <v>6</v>
      </c>
      <c r="AL196" s="825">
        <v>7</v>
      </c>
      <c r="AM196" s="825">
        <v>7</v>
      </c>
      <c r="AN196" s="825">
        <v>8</v>
      </c>
      <c r="AO196" s="825">
        <v>8</v>
      </c>
      <c r="AP196" s="825">
        <v>8</v>
      </c>
    </row>
    <row r="197" hidden="1">
      <c r="B197" s="826" t="s">
        <v>13</v>
      </c>
      <c r="C197" s="827">
        <v>0</v>
      </c>
      <c r="D197" s="827">
        <v>0</v>
      </c>
      <c r="E197" s="827">
        <v>0</v>
      </c>
      <c r="F197" s="827">
        <v>0</v>
      </c>
      <c r="G197" s="827">
        <v>0</v>
      </c>
      <c r="H197" s="827">
        <v>0</v>
      </c>
      <c r="I197" s="827">
        <v>0</v>
      </c>
      <c r="J197" s="827">
        <v>0</v>
      </c>
      <c r="K197" s="827">
        <v>2</v>
      </c>
      <c r="L197" s="827">
        <v>2</v>
      </c>
      <c r="M197" s="827">
        <v>2</v>
      </c>
      <c r="N197" s="827">
        <v>2</v>
      </c>
      <c r="O197" s="827">
        <v>1</v>
      </c>
      <c r="P197" s="827">
        <v>1</v>
      </c>
      <c r="Q197" s="827">
        <v>1</v>
      </c>
      <c r="R197" s="827">
        <v>2</v>
      </c>
      <c r="S197" s="827">
        <v>2</v>
      </c>
      <c r="T197" s="827">
        <v>2</v>
      </c>
      <c r="U197" s="827">
        <v>2</v>
      </c>
      <c r="V197" s="827">
        <v>2</v>
      </c>
      <c r="W197" s="827">
        <v>1</v>
      </c>
      <c r="X197" s="827">
        <v>1</v>
      </c>
      <c r="Y197" s="827">
        <v>2</v>
      </c>
      <c r="Z197" s="827">
        <v>2</v>
      </c>
      <c r="AA197" s="827">
        <v>2</v>
      </c>
      <c r="AB197" s="827">
        <v>2</v>
      </c>
      <c r="AC197" s="828">
        <v>3</v>
      </c>
      <c r="AD197" s="828">
        <v>3</v>
      </c>
      <c r="AE197" s="828">
        <v>3</v>
      </c>
      <c r="AF197" s="828">
        <v>3</v>
      </c>
      <c r="AG197" s="828">
        <v>3</v>
      </c>
      <c r="AH197" s="828">
        <v>3</v>
      </c>
      <c r="AI197" s="828">
        <v>2</v>
      </c>
      <c r="AJ197" s="828">
        <v>3</v>
      </c>
      <c r="AK197" s="828">
        <v>1</v>
      </c>
      <c r="AL197" s="828">
        <v>1</v>
      </c>
      <c r="AM197" s="828">
        <v>1</v>
      </c>
      <c r="AN197" s="828">
        <v>1</v>
      </c>
      <c r="AO197" s="828">
        <v>1</v>
      </c>
      <c r="AP197" s="828">
        <v>1</v>
      </c>
    </row>
    <row r="198" hidden="1">
      <c r="B198" s="829" t="s">
        <v>109</v>
      </c>
      <c r="C198" s="823">
        <v>0</v>
      </c>
      <c r="D198" s="823">
        <v>0</v>
      </c>
      <c r="E198" s="823">
        <v>0</v>
      </c>
      <c r="F198" s="823">
        <v>0</v>
      </c>
      <c r="G198" s="823">
        <v>0</v>
      </c>
      <c r="H198" s="823">
        <v>0</v>
      </c>
      <c r="I198" s="823">
        <v>0</v>
      </c>
      <c r="J198" s="823">
        <v>0</v>
      </c>
      <c r="K198" s="823">
        <v>0</v>
      </c>
      <c r="L198" s="823">
        <v>0</v>
      </c>
      <c r="M198" s="823">
        <v>0</v>
      </c>
      <c r="N198" s="823">
        <v>0</v>
      </c>
      <c r="O198" s="823">
        <v>0</v>
      </c>
      <c r="P198" s="823">
        <v>1</v>
      </c>
      <c r="Q198" s="823">
        <v>1</v>
      </c>
      <c r="R198" s="823">
        <v>1</v>
      </c>
      <c r="S198" s="823">
        <v>1</v>
      </c>
      <c r="T198" s="823">
        <v>1</v>
      </c>
      <c r="U198" s="823">
        <v>0</v>
      </c>
      <c r="V198" s="823">
        <v>0</v>
      </c>
      <c r="W198" s="823">
        <v>0</v>
      </c>
      <c r="X198" s="823">
        <v>0</v>
      </c>
      <c r="Y198" s="823">
        <v>0</v>
      </c>
      <c r="Z198" s="823">
        <v>0</v>
      </c>
      <c r="AA198" s="823">
        <v>0</v>
      </c>
      <c r="AB198" s="823">
        <v>0</v>
      </c>
      <c r="AC198" s="825">
        <v>0</v>
      </c>
      <c r="AD198" s="825">
        <v>0</v>
      </c>
      <c r="AE198" s="825">
        <v>0</v>
      </c>
      <c r="AF198" s="825">
        <v>0</v>
      </c>
      <c r="AG198" s="825">
        <v>0</v>
      </c>
      <c r="AH198" s="825">
        <v>0</v>
      </c>
      <c r="AI198" s="825">
        <v>0</v>
      </c>
      <c r="AJ198" s="825">
        <v>0</v>
      </c>
      <c r="AK198" s="825">
        <v>0</v>
      </c>
      <c r="AL198" s="825">
        <v>0</v>
      </c>
      <c r="AM198" s="825">
        <v>0</v>
      </c>
      <c r="AN198" s="825">
        <v>0</v>
      </c>
      <c r="AO198" s="825">
        <v>0</v>
      </c>
      <c r="AP198" s="825">
        <v>0</v>
      </c>
    </row>
    <row r="199" hidden="1">
      <c r="B199" s="826" t="s">
        <v>110</v>
      </c>
      <c r="C199" s="827">
        <v>1</v>
      </c>
      <c r="D199" s="827">
        <v>1</v>
      </c>
      <c r="E199" s="827">
        <v>1</v>
      </c>
      <c r="F199" s="827">
        <v>1</v>
      </c>
      <c r="G199" s="827">
        <v>1</v>
      </c>
      <c r="H199" s="827">
        <v>1</v>
      </c>
      <c r="I199" s="827">
        <v>1</v>
      </c>
      <c r="J199" s="827">
        <v>1</v>
      </c>
      <c r="K199" s="827">
        <v>1</v>
      </c>
      <c r="L199" s="827">
        <v>1</v>
      </c>
      <c r="M199" s="827">
        <v>0</v>
      </c>
      <c r="N199" s="827">
        <v>0</v>
      </c>
      <c r="O199" s="827">
        <v>0</v>
      </c>
      <c r="P199" s="827">
        <v>0</v>
      </c>
      <c r="Q199" s="827">
        <v>0</v>
      </c>
      <c r="R199" s="827">
        <v>0</v>
      </c>
      <c r="S199" s="827">
        <v>0</v>
      </c>
      <c r="T199" s="827">
        <v>0</v>
      </c>
      <c r="U199" s="827">
        <v>0</v>
      </c>
      <c r="V199" s="827">
        <v>0</v>
      </c>
      <c r="W199" s="827">
        <v>1</v>
      </c>
      <c r="X199" s="827">
        <v>1</v>
      </c>
      <c r="Y199" s="827">
        <v>2</v>
      </c>
      <c r="Z199" s="827">
        <v>2</v>
      </c>
      <c r="AA199" s="827">
        <v>0</v>
      </c>
      <c r="AB199" s="827">
        <v>0</v>
      </c>
      <c r="AC199" s="828">
        <v>0</v>
      </c>
      <c r="AD199" s="828">
        <v>0</v>
      </c>
      <c r="AE199" s="828">
        <v>1</v>
      </c>
      <c r="AF199" s="828">
        <v>1</v>
      </c>
      <c r="AG199" s="828">
        <v>1</v>
      </c>
      <c r="AH199" s="828">
        <v>1</v>
      </c>
      <c r="AI199" s="828">
        <v>4</v>
      </c>
      <c r="AJ199" s="828">
        <v>5</v>
      </c>
      <c r="AK199" s="828">
        <v>4</v>
      </c>
      <c r="AL199" s="828">
        <v>4</v>
      </c>
      <c r="AM199" s="828">
        <v>4</v>
      </c>
      <c r="AN199" s="828">
        <v>5</v>
      </c>
      <c r="AO199" s="828">
        <v>5</v>
      </c>
      <c r="AP199" s="828">
        <v>4</v>
      </c>
    </row>
    <row r="200" hidden="1">
      <c r="B200" s="829" t="s">
        <v>16</v>
      </c>
      <c r="C200" s="823">
        <v>1</v>
      </c>
      <c r="D200" s="823">
        <v>1</v>
      </c>
      <c r="E200" s="823">
        <v>1</v>
      </c>
      <c r="F200" s="823">
        <v>1</v>
      </c>
      <c r="G200" s="823">
        <v>1</v>
      </c>
      <c r="H200" s="823">
        <v>1</v>
      </c>
      <c r="I200" s="823">
        <v>1</v>
      </c>
      <c r="J200" s="823">
        <v>1</v>
      </c>
      <c r="K200" s="823">
        <v>1</v>
      </c>
      <c r="L200" s="823">
        <v>1</v>
      </c>
      <c r="M200" s="823">
        <v>1</v>
      </c>
      <c r="N200" s="823">
        <v>1</v>
      </c>
      <c r="O200" s="823">
        <v>1</v>
      </c>
      <c r="P200" s="823">
        <v>1</v>
      </c>
      <c r="Q200" s="823">
        <v>1</v>
      </c>
      <c r="R200" s="823">
        <v>2</v>
      </c>
      <c r="S200" s="823">
        <v>3</v>
      </c>
      <c r="T200" s="823">
        <v>3</v>
      </c>
      <c r="U200" s="823">
        <v>3</v>
      </c>
      <c r="V200" s="823">
        <v>3</v>
      </c>
      <c r="W200" s="823">
        <v>3</v>
      </c>
      <c r="X200" s="823">
        <v>3</v>
      </c>
      <c r="Y200" s="823">
        <v>5</v>
      </c>
      <c r="Z200" s="823">
        <v>5</v>
      </c>
      <c r="AA200" s="823">
        <v>6</v>
      </c>
      <c r="AB200" s="823">
        <v>7</v>
      </c>
      <c r="AC200" s="825">
        <v>5</v>
      </c>
      <c r="AD200" s="825">
        <v>5</v>
      </c>
      <c r="AE200" s="825">
        <v>6</v>
      </c>
      <c r="AF200" s="825">
        <v>6</v>
      </c>
      <c r="AG200" s="825">
        <v>6</v>
      </c>
      <c r="AH200" s="825">
        <v>7</v>
      </c>
      <c r="AI200" s="825">
        <v>6</v>
      </c>
      <c r="AJ200" s="825">
        <v>7</v>
      </c>
      <c r="AK200" s="825">
        <v>8</v>
      </c>
      <c r="AL200" s="825">
        <v>8</v>
      </c>
      <c r="AM200" s="825">
        <v>7</v>
      </c>
      <c r="AN200" s="825">
        <v>7</v>
      </c>
      <c r="AO200" s="825">
        <v>7</v>
      </c>
      <c r="AP200" s="825">
        <v>7</v>
      </c>
    </row>
    <row r="201" hidden="1">
      <c r="B201" s="826" t="s">
        <v>17</v>
      </c>
      <c r="C201" s="827">
        <v>3</v>
      </c>
      <c r="D201" s="827">
        <v>3</v>
      </c>
      <c r="E201" s="827">
        <v>3</v>
      </c>
      <c r="F201" s="827">
        <v>3</v>
      </c>
      <c r="G201" s="827">
        <v>3</v>
      </c>
      <c r="H201" s="827">
        <v>2</v>
      </c>
      <c r="I201" s="827">
        <v>2</v>
      </c>
      <c r="J201" s="827">
        <v>3</v>
      </c>
      <c r="K201" s="827">
        <v>3</v>
      </c>
      <c r="L201" s="827">
        <v>4</v>
      </c>
      <c r="M201" s="827">
        <v>4</v>
      </c>
      <c r="N201" s="827">
        <v>4</v>
      </c>
      <c r="O201" s="827">
        <v>3</v>
      </c>
      <c r="P201" s="827">
        <v>3</v>
      </c>
      <c r="Q201" s="827">
        <v>4</v>
      </c>
      <c r="R201" s="827">
        <v>5</v>
      </c>
      <c r="S201" s="827">
        <v>5</v>
      </c>
      <c r="T201" s="827">
        <v>5</v>
      </c>
      <c r="U201" s="827">
        <v>5</v>
      </c>
      <c r="V201" s="827">
        <v>5</v>
      </c>
      <c r="W201" s="827">
        <v>5</v>
      </c>
      <c r="X201" s="827">
        <v>5</v>
      </c>
      <c r="Y201" s="827">
        <v>5</v>
      </c>
      <c r="Z201" s="827">
        <v>7</v>
      </c>
      <c r="AA201" s="827">
        <v>7</v>
      </c>
      <c r="AB201" s="827">
        <v>7</v>
      </c>
      <c r="AC201" s="828">
        <v>8</v>
      </c>
      <c r="AD201" s="828">
        <v>8</v>
      </c>
      <c r="AE201" s="828">
        <v>9</v>
      </c>
      <c r="AF201" s="828">
        <v>9</v>
      </c>
      <c r="AG201" s="828">
        <v>9</v>
      </c>
      <c r="AH201" s="828">
        <v>9</v>
      </c>
      <c r="AI201" s="828">
        <v>9</v>
      </c>
      <c r="AJ201" s="828">
        <v>10</v>
      </c>
      <c r="AK201" s="828">
        <v>11</v>
      </c>
      <c r="AL201" s="828">
        <v>11</v>
      </c>
      <c r="AM201" s="828">
        <v>11</v>
      </c>
      <c r="AN201" s="828">
        <v>11</v>
      </c>
      <c r="AO201" s="828">
        <v>11</v>
      </c>
      <c r="AP201" s="828">
        <v>11</v>
      </c>
    </row>
    <row r="202" hidden="1">
      <c r="B202" s="829" t="s">
        <v>18</v>
      </c>
      <c r="C202" s="823">
        <v>1</v>
      </c>
      <c r="D202" s="823">
        <v>2</v>
      </c>
      <c r="E202" s="823">
        <v>2</v>
      </c>
      <c r="F202" s="823">
        <v>3</v>
      </c>
      <c r="G202" s="823">
        <v>3</v>
      </c>
      <c r="H202" s="823">
        <v>4</v>
      </c>
      <c r="I202" s="823">
        <v>4</v>
      </c>
      <c r="J202" s="823">
        <v>6</v>
      </c>
      <c r="K202" s="823">
        <v>6</v>
      </c>
      <c r="L202" s="823">
        <v>6</v>
      </c>
      <c r="M202" s="823">
        <v>6</v>
      </c>
      <c r="N202" s="823">
        <v>6</v>
      </c>
      <c r="O202" s="823">
        <v>5</v>
      </c>
      <c r="P202" s="823">
        <v>6</v>
      </c>
      <c r="Q202" s="823">
        <v>8</v>
      </c>
      <c r="R202" s="823">
        <v>6</v>
      </c>
      <c r="S202" s="823">
        <v>7</v>
      </c>
      <c r="T202" s="823">
        <v>7</v>
      </c>
      <c r="U202" s="823">
        <v>7</v>
      </c>
      <c r="V202" s="823">
        <v>9</v>
      </c>
      <c r="W202" s="823">
        <v>8</v>
      </c>
      <c r="X202" s="823">
        <v>8</v>
      </c>
      <c r="Y202" s="823">
        <v>7</v>
      </c>
      <c r="Z202" s="823">
        <v>7</v>
      </c>
      <c r="AA202" s="823">
        <v>7</v>
      </c>
      <c r="AB202" s="823">
        <v>7</v>
      </c>
      <c r="AC202" s="825">
        <v>7</v>
      </c>
      <c r="AD202" s="825">
        <v>8</v>
      </c>
      <c r="AE202" s="825">
        <v>9</v>
      </c>
      <c r="AF202" s="825">
        <v>9</v>
      </c>
      <c r="AG202" s="825">
        <v>7</v>
      </c>
      <c r="AH202" s="825">
        <v>7</v>
      </c>
      <c r="AI202" s="825">
        <v>6</v>
      </c>
      <c r="AJ202" s="825">
        <v>6</v>
      </c>
      <c r="AK202" s="825">
        <v>6</v>
      </c>
      <c r="AL202" s="825">
        <v>6</v>
      </c>
      <c r="AM202" s="825">
        <v>5</v>
      </c>
      <c r="AN202" s="825">
        <v>5</v>
      </c>
      <c r="AO202" s="825">
        <v>5</v>
      </c>
      <c r="AP202" s="825">
        <v>5</v>
      </c>
    </row>
    <row r="203" hidden="1">
      <c r="B203" s="826" t="s">
        <v>19</v>
      </c>
      <c r="C203" s="827">
        <v>2</v>
      </c>
      <c r="D203" s="827">
        <v>2</v>
      </c>
      <c r="E203" s="827">
        <v>2</v>
      </c>
      <c r="F203" s="827">
        <v>3</v>
      </c>
      <c r="G203" s="827">
        <v>3</v>
      </c>
      <c r="H203" s="827">
        <v>3</v>
      </c>
      <c r="I203" s="827">
        <v>3</v>
      </c>
      <c r="J203" s="827">
        <v>3</v>
      </c>
      <c r="K203" s="827">
        <v>3</v>
      </c>
      <c r="L203" s="827">
        <v>3</v>
      </c>
      <c r="M203" s="827">
        <v>3</v>
      </c>
      <c r="N203" s="827">
        <v>3</v>
      </c>
      <c r="O203" s="827">
        <v>4</v>
      </c>
      <c r="P203" s="827">
        <v>4</v>
      </c>
      <c r="Q203" s="827">
        <v>3</v>
      </c>
      <c r="R203" s="827">
        <v>3</v>
      </c>
      <c r="S203" s="827">
        <v>3</v>
      </c>
      <c r="T203" s="827">
        <v>3</v>
      </c>
      <c r="U203" s="827">
        <v>3</v>
      </c>
      <c r="V203" s="827">
        <v>4</v>
      </c>
      <c r="W203" s="827">
        <v>5</v>
      </c>
      <c r="X203" s="827">
        <v>5</v>
      </c>
      <c r="Y203" s="827">
        <v>5</v>
      </c>
      <c r="Z203" s="827">
        <v>5</v>
      </c>
      <c r="AA203" s="827">
        <v>5</v>
      </c>
      <c r="AB203" s="827">
        <v>5</v>
      </c>
      <c r="AC203" s="828">
        <v>5</v>
      </c>
      <c r="AD203" s="828">
        <v>5</v>
      </c>
      <c r="AE203" s="828">
        <v>5</v>
      </c>
      <c r="AF203" s="828">
        <v>5</v>
      </c>
      <c r="AG203" s="828">
        <v>5</v>
      </c>
      <c r="AH203" s="828">
        <v>5</v>
      </c>
      <c r="AI203" s="828">
        <v>5</v>
      </c>
      <c r="AJ203" s="828">
        <v>5</v>
      </c>
      <c r="AK203" s="828">
        <v>5</v>
      </c>
      <c r="AL203" s="828">
        <v>5</v>
      </c>
      <c r="AM203" s="828">
        <v>5</v>
      </c>
      <c r="AN203" s="828">
        <v>5</v>
      </c>
      <c r="AO203" s="828">
        <v>5</v>
      </c>
      <c r="AP203" s="828">
        <v>6</v>
      </c>
    </row>
    <row r="204" hidden="1">
      <c r="B204" s="829" t="s">
        <v>20</v>
      </c>
      <c r="C204" s="823">
        <v>1</v>
      </c>
      <c r="D204" s="823">
        <v>1</v>
      </c>
      <c r="E204" s="823">
        <v>1</v>
      </c>
      <c r="F204" s="823">
        <v>1</v>
      </c>
      <c r="G204" s="823">
        <v>1</v>
      </c>
      <c r="H204" s="823">
        <v>1</v>
      </c>
      <c r="I204" s="823">
        <v>1</v>
      </c>
      <c r="J204" s="823">
        <v>1</v>
      </c>
      <c r="K204" s="823">
        <v>1</v>
      </c>
      <c r="L204" s="823">
        <v>1</v>
      </c>
      <c r="M204" s="823">
        <v>2</v>
      </c>
      <c r="N204" s="823">
        <v>1</v>
      </c>
      <c r="O204" s="823">
        <v>1</v>
      </c>
      <c r="P204" s="823">
        <v>1</v>
      </c>
      <c r="Q204" s="823">
        <v>1</v>
      </c>
      <c r="R204" s="823">
        <v>1</v>
      </c>
      <c r="S204" s="823">
        <v>1</v>
      </c>
      <c r="T204" s="823">
        <v>1</v>
      </c>
      <c r="U204" s="823">
        <v>1</v>
      </c>
      <c r="V204" s="823">
        <v>1</v>
      </c>
      <c r="W204" s="823">
        <v>1</v>
      </c>
      <c r="X204" s="823">
        <v>1</v>
      </c>
      <c r="Y204" s="823">
        <v>1</v>
      </c>
      <c r="Z204" s="823">
        <v>1</v>
      </c>
      <c r="AA204" s="823">
        <v>1</v>
      </c>
      <c r="AB204" s="823">
        <v>1</v>
      </c>
      <c r="AC204" s="825">
        <v>1</v>
      </c>
      <c r="AD204" s="825">
        <v>1</v>
      </c>
      <c r="AE204" s="825">
        <v>1</v>
      </c>
      <c r="AF204" s="825">
        <v>1</v>
      </c>
      <c r="AG204" s="825">
        <v>0</v>
      </c>
      <c r="AH204" s="825">
        <v>0</v>
      </c>
      <c r="AI204" s="825">
        <v>1</v>
      </c>
      <c r="AJ204" s="825">
        <v>1</v>
      </c>
      <c r="AK204" s="825">
        <v>1</v>
      </c>
      <c r="AL204" s="825">
        <v>1</v>
      </c>
      <c r="AM204" s="825">
        <v>2</v>
      </c>
      <c r="AN204" s="825">
        <v>1</v>
      </c>
      <c r="AO204" s="825">
        <v>1</v>
      </c>
      <c r="AP204" s="825">
        <v>1</v>
      </c>
    </row>
    <row r="205" hidden="1">
      <c r="B205" s="826" t="s">
        <v>21</v>
      </c>
      <c r="C205" s="827">
        <v>0</v>
      </c>
      <c r="D205" s="827">
        <v>0</v>
      </c>
      <c r="E205" s="827">
        <v>0</v>
      </c>
      <c r="F205" s="827">
        <v>0</v>
      </c>
      <c r="G205" s="827">
        <v>1</v>
      </c>
      <c r="H205" s="827">
        <v>1</v>
      </c>
      <c r="I205" s="827">
        <v>1</v>
      </c>
      <c r="J205" s="827">
        <v>1</v>
      </c>
      <c r="K205" s="827">
        <v>1</v>
      </c>
      <c r="L205" s="827">
        <v>1</v>
      </c>
      <c r="M205" s="827">
        <v>1</v>
      </c>
      <c r="N205" s="827">
        <v>1</v>
      </c>
      <c r="O205" s="827">
        <v>1</v>
      </c>
      <c r="P205" s="827">
        <v>1</v>
      </c>
      <c r="Q205" s="827">
        <v>1</v>
      </c>
      <c r="R205" s="827">
        <v>1</v>
      </c>
      <c r="S205" s="827">
        <v>1</v>
      </c>
      <c r="T205" s="827">
        <v>1</v>
      </c>
      <c r="U205" s="827">
        <v>1</v>
      </c>
      <c r="V205" s="827">
        <v>1</v>
      </c>
      <c r="W205" s="827">
        <v>1</v>
      </c>
      <c r="X205" s="827">
        <v>1</v>
      </c>
      <c r="Y205" s="827">
        <v>1</v>
      </c>
      <c r="Z205" s="827">
        <v>1</v>
      </c>
      <c r="AA205" s="827">
        <v>1</v>
      </c>
      <c r="AB205" s="827">
        <v>1</v>
      </c>
      <c r="AC205" s="828">
        <v>0</v>
      </c>
      <c r="AD205" s="828">
        <v>0</v>
      </c>
      <c r="AE205" s="828">
        <v>0</v>
      </c>
      <c r="AF205" s="828">
        <v>0</v>
      </c>
      <c r="AG205" s="828">
        <v>0</v>
      </c>
      <c r="AH205" s="828">
        <v>0</v>
      </c>
      <c r="AI205" s="828">
        <v>0</v>
      </c>
      <c r="AJ205" s="828">
        <v>0</v>
      </c>
      <c r="AK205" s="828">
        <v>0</v>
      </c>
      <c r="AL205" s="828">
        <v>0</v>
      </c>
      <c r="AM205" s="828">
        <v>0</v>
      </c>
      <c r="AN205" s="828">
        <v>0</v>
      </c>
      <c r="AO205" s="828">
        <v>0</v>
      </c>
      <c r="AP205" s="828">
        <v>0</v>
      </c>
    </row>
    <row r="206" hidden="1">
      <c r="B206" s="829" t="s">
        <v>22</v>
      </c>
      <c r="C206" s="823">
        <v>51</v>
      </c>
      <c r="D206" s="823">
        <v>52</v>
      </c>
      <c r="E206" s="823">
        <v>52</v>
      </c>
      <c r="F206" s="823">
        <v>52</v>
      </c>
      <c r="G206" s="823">
        <v>52</v>
      </c>
      <c r="H206" s="823">
        <v>52</v>
      </c>
      <c r="I206" s="823">
        <v>52</v>
      </c>
      <c r="J206" s="823">
        <v>52</v>
      </c>
      <c r="K206" s="823">
        <v>9</v>
      </c>
      <c r="L206" s="823">
        <v>9</v>
      </c>
      <c r="M206" s="823">
        <v>10</v>
      </c>
      <c r="N206" s="823">
        <v>10</v>
      </c>
      <c r="O206" s="823">
        <v>7</v>
      </c>
      <c r="P206" s="823">
        <v>7</v>
      </c>
      <c r="Q206" s="823">
        <v>7</v>
      </c>
      <c r="R206" s="823">
        <v>7</v>
      </c>
      <c r="S206" s="823">
        <v>7</v>
      </c>
      <c r="T206" s="823">
        <v>7</v>
      </c>
      <c r="U206" s="823">
        <v>5</v>
      </c>
      <c r="V206" s="823">
        <v>5</v>
      </c>
      <c r="W206" s="823">
        <v>5</v>
      </c>
      <c r="X206" s="823">
        <v>5</v>
      </c>
      <c r="Y206" s="823">
        <v>5</v>
      </c>
      <c r="Z206" s="823">
        <v>7</v>
      </c>
      <c r="AA206" s="823">
        <v>7</v>
      </c>
      <c r="AB206" s="823">
        <v>7</v>
      </c>
      <c r="AC206" s="825">
        <v>7</v>
      </c>
      <c r="AD206" s="825">
        <v>8</v>
      </c>
      <c r="AE206" s="825">
        <v>11</v>
      </c>
      <c r="AF206" s="825">
        <v>10</v>
      </c>
      <c r="AG206" s="825">
        <v>12</v>
      </c>
      <c r="AH206" s="825">
        <v>12</v>
      </c>
      <c r="AI206" s="825">
        <v>9</v>
      </c>
      <c r="AJ206" s="825">
        <v>9</v>
      </c>
      <c r="AK206" s="825">
        <v>9</v>
      </c>
      <c r="AL206" s="825">
        <v>9</v>
      </c>
      <c r="AM206" s="825">
        <v>8</v>
      </c>
      <c r="AN206" s="825">
        <v>7</v>
      </c>
      <c r="AO206" s="825">
        <v>6</v>
      </c>
      <c r="AP206" s="825">
        <v>6</v>
      </c>
    </row>
    <row r="207" hidden="1">
      <c r="B207" s="826" t="s">
        <v>23</v>
      </c>
      <c r="C207" s="827">
        <v>0</v>
      </c>
      <c r="D207" s="827">
        <v>0</v>
      </c>
      <c r="E207" s="827">
        <v>0</v>
      </c>
      <c r="F207" s="827">
        <v>0</v>
      </c>
      <c r="G207" s="827">
        <v>0</v>
      </c>
      <c r="H207" s="827">
        <v>0</v>
      </c>
      <c r="I207" s="827">
        <v>0</v>
      </c>
      <c r="J207" s="827">
        <v>0</v>
      </c>
      <c r="K207" s="827">
        <v>0</v>
      </c>
      <c r="L207" s="827">
        <v>0</v>
      </c>
      <c r="M207" s="827">
        <v>0</v>
      </c>
      <c r="N207" s="827">
        <v>0</v>
      </c>
      <c r="O207" s="827">
        <v>0</v>
      </c>
      <c r="P207" s="827">
        <v>0</v>
      </c>
      <c r="Q207" s="827">
        <v>0</v>
      </c>
      <c r="R207" s="827">
        <v>0</v>
      </c>
      <c r="S207" s="827">
        <v>0</v>
      </c>
      <c r="T207" s="827">
        <v>0</v>
      </c>
      <c r="U207" s="827">
        <v>1</v>
      </c>
      <c r="V207" s="827">
        <v>1</v>
      </c>
      <c r="W207" s="827">
        <v>1</v>
      </c>
      <c r="X207" s="827">
        <v>1</v>
      </c>
      <c r="Y207" s="827">
        <v>1</v>
      </c>
      <c r="Z207" s="827">
        <v>1</v>
      </c>
      <c r="AA207" s="827">
        <v>1</v>
      </c>
      <c r="AB207" s="827">
        <v>1</v>
      </c>
      <c r="AC207" s="828">
        <v>1</v>
      </c>
      <c r="AD207" s="828">
        <v>1</v>
      </c>
      <c r="AE207" s="828">
        <v>1</v>
      </c>
      <c r="AF207" s="828">
        <v>1</v>
      </c>
      <c r="AG207" s="828">
        <v>1</v>
      </c>
      <c r="AH207" s="828">
        <v>1</v>
      </c>
      <c r="AI207" s="828">
        <v>1</v>
      </c>
      <c r="AJ207" s="828">
        <v>1</v>
      </c>
      <c r="AK207" s="828">
        <v>1</v>
      </c>
      <c r="AL207" s="828">
        <v>1</v>
      </c>
      <c r="AM207" s="828">
        <v>1</v>
      </c>
      <c r="AN207" s="828">
        <v>1</v>
      </c>
      <c r="AO207" s="828">
        <v>2</v>
      </c>
      <c r="AP207" s="828">
        <v>2</v>
      </c>
    </row>
    <row r="208" hidden="1">
      <c r="B208" s="830" t="s">
        <v>24</v>
      </c>
      <c r="C208" s="823">
        <v>3</v>
      </c>
      <c r="D208" s="823">
        <v>3</v>
      </c>
      <c r="E208" s="823">
        <v>3</v>
      </c>
      <c r="F208" s="823">
        <v>3</v>
      </c>
      <c r="G208" s="823">
        <v>2</v>
      </c>
      <c r="H208" s="823">
        <v>2</v>
      </c>
      <c r="I208" s="823">
        <v>2</v>
      </c>
      <c r="J208" s="823">
        <v>2</v>
      </c>
      <c r="K208" s="823">
        <v>2</v>
      </c>
      <c r="L208" s="823">
        <v>2</v>
      </c>
      <c r="M208" s="823">
        <v>2</v>
      </c>
      <c r="N208" s="823">
        <v>2</v>
      </c>
      <c r="O208" s="823">
        <v>2</v>
      </c>
      <c r="P208" s="823">
        <v>2</v>
      </c>
      <c r="Q208" s="823">
        <v>2</v>
      </c>
      <c r="R208" s="823">
        <v>2</v>
      </c>
      <c r="S208" s="823">
        <v>2</v>
      </c>
      <c r="T208" s="823">
        <v>2</v>
      </c>
      <c r="U208" s="823">
        <v>2</v>
      </c>
      <c r="V208" s="823">
        <v>3</v>
      </c>
      <c r="W208" s="823">
        <v>3</v>
      </c>
      <c r="X208" s="823">
        <v>3</v>
      </c>
      <c r="Y208" s="823">
        <v>3</v>
      </c>
      <c r="Z208" s="823">
        <v>3</v>
      </c>
      <c r="AA208" s="823">
        <v>3</v>
      </c>
      <c r="AB208" s="823">
        <v>3</v>
      </c>
      <c r="AC208" s="825">
        <v>3</v>
      </c>
      <c r="AD208" s="825">
        <v>3</v>
      </c>
      <c r="AE208" s="825">
        <v>5</v>
      </c>
      <c r="AF208" s="825">
        <v>5</v>
      </c>
      <c r="AG208" s="825">
        <v>5</v>
      </c>
      <c r="AH208" s="825">
        <v>5</v>
      </c>
      <c r="AI208" s="825">
        <v>6</v>
      </c>
      <c r="AJ208" s="825">
        <v>6</v>
      </c>
      <c r="AK208" s="825">
        <v>9</v>
      </c>
      <c r="AL208" s="825">
        <v>8</v>
      </c>
      <c r="AM208" s="825">
        <v>10</v>
      </c>
      <c r="AN208" s="825">
        <v>11</v>
      </c>
      <c r="AO208" s="825">
        <v>11</v>
      </c>
      <c r="AP208" s="825">
        <v>11</v>
      </c>
    </row>
    <row r="209" hidden="1">
      <c r="B209" s="826" t="s">
        <v>25</v>
      </c>
      <c r="C209" s="827">
        <v>0</v>
      </c>
      <c r="D209" s="827">
        <v>0</v>
      </c>
      <c r="E209" s="827">
        <v>0</v>
      </c>
      <c r="F209" s="827">
        <v>0</v>
      </c>
      <c r="G209" s="827">
        <v>0</v>
      </c>
      <c r="H209" s="827">
        <v>0</v>
      </c>
      <c r="I209" s="827">
        <v>0</v>
      </c>
      <c r="J209" s="827">
        <v>0</v>
      </c>
      <c r="K209" s="827">
        <v>0</v>
      </c>
      <c r="L209" s="827">
        <v>0</v>
      </c>
      <c r="M209" s="827">
        <v>0</v>
      </c>
      <c r="N209" s="827">
        <v>0</v>
      </c>
      <c r="O209" s="827">
        <v>0</v>
      </c>
      <c r="P209" s="827">
        <v>0</v>
      </c>
      <c r="Q209" s="827">
        <v>0</v>
      </c>
      <c r="R209" s="827">
        <v>0</v>
      </c>
      <c r="S209" s="827">
        <v>0</v>
      </c>
      <c r="T209" s="827">
        <v>0</v>
      </c>
      <c r="U209" s="827">
        <v>0</v>
      </c>
      <c r="V209" s="827">
        <v>0</v>
      </c>
      <c r="W209" s="827">
        <v>0</v>
      </c>
      <c r="X209" s="827">
        <v>0</v>
      </c>
      <c r="Y209" s="827">
        <v>0</v>
      </c>
      <c r="Z209" s="827">
        <v>0</v>
      </c>
      <c r="AA209" s="827">
        <v>0</v>
      </c>
      <c r="AB209" s="827">
        <v>0</v>
      </c>
      <c r="AC209" s="828">
        <v>0</v>
      </c>
      <c r="AD209" s="828">
        <v>0</v>
      </c>
      <c r="AE209" s="828">
        <v>0</v>
      </c>
      <c r="AF209" s="828">
        <v>0</v>
      </c>
      <c r="AG209" s="828">
        <v>0</v>
      </c>
      <c r="AH209" s="828">
        <v>0</v>
      </c>
      <c r="AI209" s="828">
        <v>0</v>
      </c>
      <c r="AJ209" s="828">
        <v>0</v>
      </c>
      <c r="AK209" s="828">
        <v>0</v>
      </c>
      <c r="AL209" s="828">
        <v>0</v>
      </c>
      <c r="AM209" s="828">
        <v>0</v>
      </c>
      <c r="AN209" s="828">
        <v>0</v>
      </c>
      <c r="AO209" s="828">
        <v>0</v>
      </c>
      <c r="AP209" s="828">
        <v>0</v>
      </c>
    </row>
    <row r="210" hidden="1" ht="13.5">
      <c r="B210" s="831" t="s">
        <v>26</v>
      </c>
      <c r="C210" s="823">
        <v>0</v>
      </c>
      <c r="D210" s="823">
        <v>0</v>
      </c>
      <c r="E210" s="823">
        <v>0</v>
      </c>
      <c r="F210" s="823">
        <v>0</v>
      </c>
      <c r="G210" s="823">
        <v>0</v>
      </c>
      <c r="H210" s="823">
        <v>0</v>
      </c>
      <c r="I210" s="823">
        <v>0</v>
      </c>
      <c r="J210" s="823">
        <v>0</v>
      </c>
      <c r="K210" s="823">
        <v>0</v>
      </c>
      <c r="L210" s="823">
        <v>0</v>
      </c>
      <c r="M210" s="823">
        <v>0</v>
      </c>
      <c r="N210" s="823">
        <v>0</v>
      </c>
      <c r="O210" s="823">
        <v>0</v>
      </c>
      <c r="P210" s="823">
        <v>0</v>
      </c>
      <c r="Q210" s="823">
        <v>0</v>
      </c>
      <c r="R210" s="823">
        <v>0</v>
      </c>
      <c r="S210" s="823">
        <v>0</v>
      </c>
      <c r="T210" s="823">
        <v>0</v>
      </c>
      <c r="U210" s="823">
        <v>0</v>
      </c>
      <c r="V210" s="823">
        <v>0</v>
      </c>
      <c r="W210" s="823">
        <v>0</v>
      </c>
      <c r="X210" s="823">
        <v>0</v>
      </c>
      <c r="Y210" s="823">
        <v>0</v>
      </c>
      <c r="Z210" s="823">
        <v>0</v>
      </c>
      <c r="AA210" s="823">
        <v>0</v>
      </c>
      <c r="AB210" s="832">
        <v>0</v>
      </c>
      <c r="AC210" s="825">
        <v>0</v>
      </c>
      <c r="AD210" s="825">
        <v>0</v>
      </c>
      <c r="AE210" s="825">
        <v>0</v>
      </c>
      <c r="AF210" s="825">
        <v>0</v>
      </c>
      <c r="AG210" s="825">
        <v>0</v>
      </c>
      <c r="AH210" s="825">
        <v>0</v>
      </c>
      <c r="AI210" s="825">
        <v>0</v>
      </c>
      <c r="AJ210" s="825">
        <v>0</v>
      </c>
      <c r="AK210" s="825">
        <v>0</v>
      </c>
      <c r="AL210" s="825">
        <v>0</v>
      </c>
      <c r="AM210" s="825">
        <v>0</v>
      </c>
      <c r="AN210" s="825">
        <v>0</v>
      </c>
      <c r="AO210" s="825">
        <v>0</v>
      </c>
      <c r="AP210" s="825">
        <v>0</v>
      </c>
    </row>
    <row r="211" hidden="1" ht="13.5">
      <c r="B211" s="128" t="s">
        <v>7</v>
      </c>
      <c r="C211" s="129" t="str">
        <f>IF(SUM(C192:C210)&lt;&gt;0,SUM(C192:C210),"")</f>
      </c>
      <c r="D211" s="129" t="str">
        <f ref="D211:AA211" t="shared" si="10">IF(SUM(D192:D210)&lt;&gt;0,SUM(D192:D210),"")</f>
      </c>
      <c r="E211" s="129" t="str">
        <f t="shared" si="10"/>
      </c>
      <c r="F211" s="129" t="str">
        <f t="shared" si="10"/>
      </c>
      <c r="G211" s="129" t="str">
        <f t="shared" si="10"/>
      </c>
      <c r="H211" s="129" t="str">
        <f t="shared" si="10"/>
      </c>
      <c r="I211" s="129" t="str">
        <f t="shared" si="10"/>
      </c>
      <c r="J211" s="129" t="str">
        <f t="shared" si="10"/>
      </c>
      <c r="K211" s="129" t="str">
        <f t="shared" si="10"/>
      </c>
      <c r="L211" s="129" t="str">
        <f t="shared" si="10"/>
      </c>
      <c r="M211" s="129" t="str">
        <f t="shared" si="10"/>
      </c>
      <c r="N211" s="129" t="str">
        <f t="shared" si="10"/>
      </c>
      <c r="O211" s="129" t="str">
        <f t="shared" si="10"/>
      </c>
      <c r="P211" s="129" t="str">
        <f t="shared" si="10"/>
      </c>
      <c r="Q211" s="129" t="str">
        <f t="shared" si="10"/>
      </c>
      <c r="R211" s="129" t="str">
        <f t="shared" si="10"/>
      </c>
      <c r="S211" s="129" t="str">
        <f t="shared" si="10"/>
      </c>
      <c r="T211" s="129" t="str">
        <f t="shared" si="10"/>
      </c>
      <c r="U211" s="129" t="str">
        <f t="shared" si="10"/>
      </c>
      <c r="V211" s="129" t="str">
        <f t="shared" si="10"/>
      </c>
      <c r="W211" s="129" t="str">
        <f t="shared" si="10"/>
      </c>
      <c r="X211" s="129" t="str">
        <f t="shared" si="10"/>
      </c>
      <c r="Y211" s="129" t="str">
        <f t="shared" si="10"/>
      </c>
      <c r="Z211" s="129" t="str">
        <f t="shared" si="10"/>
      </c>
      <c r="AA211" s="129" t="str">
        <f t="shared" si="10"/>
      </c>
      <c r="AB211" s="130" t="str">
        <f>IF(SUM(AB192:AB210)&lt;&gt;0,SUM(AB192:AB210),"")</f>
      </c>
      <c r="AC211" s="91" t="str">
        <f ref="AC211:CN211" t="shared" si="11">IF(SUM(AC192:AC210)&lt;&gt;0,SUM(AC192:AC210),"")</f>
      </c>
      <c r="AD211" s="91" t="str">
        <f t="shared" si="11"/>
      </c>
      <c r="AE211" s="91" t="str">
        <f t="shared" si="11"/>
      </c>
      <c r="AF211" s="91" t="str">
        <f t="shared" si="11"/>
      </c>
      <c r="AG211" s="91" t="str">
        <f t="shared" si="11"/>
      </c>
      <c r="AH211" s="91" t="str">
        <f t="shared" si="11"/>
      </c>
      <c r="AI211" s="91" t="str">
        <f t="shared" si="11"/>
      </c>
      <c r="AJ211" s="91" t="str">
        <f t="shared" si="11"/>
      </c>
      <c r="AK211" s="91" t="str">
        <f t="shared" si="11"/>
      </c>
      <c r="AL211" s="91" t="str">
        <f t="shared" si="11"/>
      </c>
      <c r="AM211" s="91" t="str">
        <f t="shared" si="11"/>
      </c>
      <c r="AN211" s="91" t="str">
        <f t="shared" si="11"/>
      </c>
      <c r="AO211" s="91" t="str">
        <f t="shared" si="11"/>
      </c>
      <c r="AP211" s="91" t="str">
        <f t="shared" si="11"/>
      </c>
      <c r="AQ211" s="91" t="str">
        <f t="shared" si="11"/>
      </c>
      <c r="AR211" s="91" t="str">
        <f t="shared" si="11"/>
      </c>
      <c r="AS211" s="91" t="str">
        <f t="shared" si="11"/>
      </c>
      <c r="AT211" s="91" t="str">
        <f t="shared" si="11"/>
      </c>
      <c r="AU211" s="91" t="str">
        <f t="shared" si="11"/>
      </c>
      <c r="AV211" s="91" t="str">
        <f t="shared" si="11"/>
      </c>
      <c r="AW211" s="91" t="str">
        <f t="shared" si="11"/>
      </c>
      <c r="AX211" s="91" t="str">
        <f t="shared" si="11"/>
      </c>
      <c r="AY211" s="91" t="str">
        <f t="shared" si="11"/>
      </c>
      <c r="AZ211" s="91" t="str">
        <f t="shared" si="11"/>
      </c>
      <c r="BA211" s="91" t="str">
        <f t="shared" si="11"/>
      </c>
      <c r="BB211" s="91" t="str">
        <f t="shared" si="11"/>
      </c>
      <c r="BC211" s="91" t="str">
        <f t="shared" si="11"/>
      </c>
      <c r="BD211" s="91" t="str">
        <f t="shared" si="11"/>
      </c>
      <c r="BE211" s="91" t="str">
        <f t="shared" si="11"/>
      </c>
      <c r="BF211" s="91" t="str">
        <f t="shared" si="11"/>
      </c>
      <c r="BG211" s="91" t="str">
        <f t="shared" si="11"/>
      </c>
      <c r="BH211" s="91" t="str">
        <f t="shared" si="11"/>
      </c>
      <c r="BI211" s="91" t="str">
        <f t="shared" si="11"/>
      </c>
      <c r="BJ211" s="91" t="str">
        <f t="shared" si="11"/>
      </c>
      <c r="BK211" s="91" t="str">
        <f t="shared" si="11"/>
      </c>
      <c r="BL211" s="91" t="str">
        <f t="shared" si="11"/>
      </c>
      <c r="BM211" s="91" t="str">
        <f t="shared" si="11"/>
      </c>
      <c r="BN211" s="91" t="str">
        <f t="shared" si="11"/>
      </c>
      <c r="BO211" s="91" t="str">
        <f t="shared" si="11"/>
      </c>
      <c r="BP211" s="91" t="str">
        <f t="shared" si="11"/>
      </c>
      <c r="BQ211" s="91" t="str">
        <f t="shared" si="11"/>
      </c>
      <c r="BR211" s="91" t="str">
        <f t="shared" si="11"/>
      </c>
      <c r="BS211" s="91" t="str">
        <f t="shared" si="11"/>
      </c>
      <c r="BT211" s="91" t="str">
        <f t="shared" si="11"/>
      </c>
      <c r="BU211" s="91" t="str">
        <f t="shared" si="11"/>
      </c>
      <c r="BV211" s="91" t="str">
        <f t="shared" si="11"/>
      </c>
      <c r="BW211" s="91" t="str">
        <f t="shared" si="11"/>
      </c>
      <c r="BX211" s="91" t="str">
        <f t="shared" si="11"/>
      </c>
      <c r="BY211" s="91" t="str">
        <f t="shared" si="11"/>
      </c>
      <c r="BZ211" s="91" t="str">
        <f t="shared" si="11"/>
      </c>
      <c r="CA211" s="91" t="str">
        <f t="shared" si="11"/>
      </c>
      <c r="CB211" s="91" t="str">
        <f t="shared" si="11"/>
      </c>
      <c r="CC211" s="91" t="str">
        <f t="shared" si="11"/>
      </c>
      <c r="CD211" s="91" t="str">
        <f t="shared" si="11"/>
      </c>
      <c r="CE211" s="91" t="str">
        <f t="shared" si="11"/>
      </c>
      <c r="CF211" s="91" t="str">
        <f t="shared" si="11"/>
      </c>
      <c r="CG211" s="91" t="str">
        <f t="shared" si="11"/>
      </c>
      <c r="CH211" s="91" t="str">
        <f t="shared" si="11"/>
      </c>
      <c r="CI211" s="91" t="str">
        <f t="shared" si="11"/>
      </c>
      <c r="CJ211" s="91" t="str">
        <f t="shared" si="11"/>
      </c>
      <c r="CK211" s="91" t="str">
        <f t="shared" si="11"/>
      </c>
      <c r="CL211" s="91" t="str">
        <f t="shared" si="11"/>
      </c>
      <c r="CM211" s="91" t="str">
        <f t="shared" si="11"/>
      </c>
      <c r="CN211" s="91" t="str">
        <f t="shared" si="11"/>
      </c>
      <c r="CO211" s="91" t="str">
        <f ref="CO211:EZ211" t="shared" si="12">IF(SUM(CO192:CO210)&lt;&gt;0,SUM(CO192:CO210),"")</f>
      </c>
      <c r="CP211" s="91" t="str">
        <f t="shared" si="12"/>
      </c>
      <c r="CQ211" s="91" t="str">
        <f t="shared" si="12"/>
      </c>
      <c r="CR211" s="91" t="str">
        <f t="shared" si="12"/>
      </c>
      <c r="CS211" s="91" t="str">
        <f t="shared" si="12"/>
      </c>
      <c r="CT211" s="91" t="str">
        <f t="shared" si="12"/>
      </c>
      <c r="CU211" s="91" t="str">
        <f t="shared" si="12"/>
      </c>
      <c r="CV211" s="91" t="str">
        <f t="shared" si="12"/>
      </c>
      <c r="CW211" s="91" t="str">
        <f t="shared" si="12"/>
      </c>
      <c r="CX211" s="91" t="str">
        <f t="shared" si="12"/>
      </c>
      <c r="CY211" s="91" t="str">
        <f t="shared" si="12"/>
      </c>
      <c r="CZ211" s="91" t="str">
        <f t="shared" si="12"/>
      </c>
      <c r="DA211" s="91" t="str">
        <f t="shared" si="12"/>
      </c>
      <c r="DB211" s="91" t="str">
        <f t="shared" si="12"/>
      </c>
      <c r="DC211" s="91" t="str">
        <f t="shared" si="12"/>
      </c>
      <c r="DD211" s="91" t="str">
        <f t="shared" si="12"/>
      </c>
      <c r="DE211" s="91" t="str">
        <f t="shared" si="12"/>
      </c>
      <c r="DF211" s="91" t="str">
        <f t="shared" si="12"/>
      </c>
      <c r="DG211" s="91" t="str">
        <f t="shared" si="12"/>
      </c>
      <c r="DH211" s="91" t="str">
        <f t="shared" si="12"/>
      </c>
      <c r="DI211" s="91" t="str">
        <f t="shared" si="12"/>
      </c>
      <c r="DJ211" s="91" t="str">
        <f t="shared" si="12"/>
      </c>
      <c r="DK211" s="91" t="str">
        <f t="shared" si="12"/>
      </c>
      <c r="DL211" s="91" t="str">
        <f t="shared" si="12"/>
      </c>
      <c r="DM211" s="91" t="str">
        <f t="shared" si="12"/>
      </c>
      <c r="DN211" s="91" t="str">
        <f t="shared" si="12"/>
      </c>
      <c r="DO211" s="91" t="str">
        <f t="shared" si="12"/>
      </c>
      <c r="DP211" s="91" t="str">
        <f t="shared" si="12"/>
      </c>
      <c r="DQ211" s="91" t="str">
        <f t="shared" si="12"/>
      </c>
      <c r="DR211" s="91" t="str">
        <f t="shared" si="12"/>
      </c>
      <c r="DS211" s="91" t="str">
        <f t="shared" si="12"/>
      </c>
      <c r="DT211" s="91" t="str">
        <f t="shared" si="12"/>
      </c>
      <c r="DU211" s="91" t="str">
        <f t="shared" si="12"/>
      </c>
      <c r="DV211" s="91" t="str">
        <f t="shared" si="12"/>
      </c>
      <c r="DW211" s="91" t="str">
        <f t="shared" si="12"/>
      </c>
      <c r="DX211" s="91" t="str">
        <f t="shared" si="12"/>
      </c>
      <c r="DY211" s="91" t="str">
        <f t="shared" si="12"/>
      </c>
      <c r="DZ211" s="91" t="str">
        <f t="shared" si="12"/>
      </c>
      <c r="EA211" s="91" t="str">
        <f t="shared" si="12"/>
      </c>
      <c r="EB211" s="91" t="str">
        <f t="shared" si="12"/>
      </c>
      <c r="EC211" s="91" t="str">
        <f t="shared" si="12"/>
      </c>
      <c r="ED211" s="91" t="str">
        <f t="shared" si="12"/>
      </c>
      <c r="EE211" s="91" t="str">
        <f t="shared" si="12"/>
      </c>
      <c r="EF211" s="91" t="str">
        <f t="shared" si="12"/>
      </c>
      <c r="EG211" s="91" t="str">
        <f t="shared" si="12"/>
      </c>
      <c r="EH211" s="91" t="str">
        <f t="shared" si="12"/>
      </c>
      <c r="EI211" s="91" t="str">
        <f t="shared" si="12"/>
      </c>
      <c r="EJ211" s="91" t="str">
        <f t="shared" si="12"/>
      </c>
      <c r="EK211" s="91" t="str">
        <f t="shared" si="12"/>
      </c>
      <c r="EL211" s="91" t="str">
        <f t="shared" si="12"/>
      </c>
      <c r="EM211" s="91" t="str">
        <f t="shared" si="12"/>
      </c>
      <c r="EN211" s="91" t="str">
        <f t="shared" si="12"/>
      </c>
      <c r="EO211" s="91" t="str">
        <f t="shared" si="12"/>
      </c>
      <c r="EP211" s="91" t="str">
        <f t="shared" si="12"/>
      </c>
      <c r="EQ211" s="91" t="str">
        <f t="shared" si="12"/>
      </c>
      <c r="ER211" s="91" t="str">
        <f t="shared" si="12"/>
      </c>
      <c r="ES211" s="91" t="str">
        <f t="shared" si="12"/>
      </c>
      <c r="ET211" s="91" t="str">
        <f t="shared" si="12"/>
      </c>
      <c r="EU211" s="91" t="str">
        <f t="shared" si="12"/>
      </c>
      <c r="EV211" s="91" t="str">
        <f t="shared" si="12"/>
      </c>
      <c r="EW211" s="91" t="str">
        <f t="shared" si="12"/>
      </c>
      <c r="EX211" s="91" t="str">
        <f t="shared" si="12"/>
      </c>
      <c r="EY211" s="91" t="str">
        <f t="shared" si="12"/>
      </c>
      <c r="EZ211" s="91" t="str">
        <f t="shared" si="12"/>
      </c>
      <c r="FA211" s="91" t="str">
        <f ref="FA211:HL211" t="shared" si="13">IF(SUM(FA192:FA210)&lt;&gt;0,SUM(FA192:FA210),"")</f>
      </c>
      <c r="FB211" s="91" t="str">
        <f t="shared" si="13"/>
      </c>
      <c r="FC211" s="91" t="str">
        <f t="shared" si="13"/>
      </c>
      <c r="FD211" s="91" t="str">
        <f t="shared" si="13"/>
      </c>
      <c r="FE211" s="91" t="str">
        <f t="shared" si="13"/>
      </c>
      <c r="FF211" s="91" t="str">
        <f t="shared" si="13"/>
      </c>
      <c r="FG211" s="91" t="str">
        <f t="shared" si="13"/>
      </c>
      <c r="FH211" s="91" t="str">
        <f t="shared" si="13"/>
      </c>
      <c r="FI211" s="91" t="str">
        <f t="shared" si="13"/>
      </c>
      <c r="FJ211" s="91" t="str">
        <f t="shared" si="13"/>
      </c>
      <c r="FK211" s="91" t="str">
        <f t="shared" si="13"/>
      </c>
      <c r="FL211" s="91" t="str">
        <f t="shared" si="13"/>
      </c>
      <c r="FM211" s="91" t="str">
        <f t="shared" si="13"/>
      </c>
      <c r="FN211" s="91" t="str">
        <f t="shared" si="13"/>
      </c>
      <c r="FO211" s="91" t="str">
        <f t="shared" si="13"/>
      </c>
      <c r="FP211" s="91" t="str">
        <f t="shared" si="13"/>
      </c>
      <c r="FQ211" s="91" t="str">
        <f t="shared" si="13"/>
      </c>
      <c r="FR211" s="91" t="str">
        <f t="shared" si="13"/>
      </c>
      <c r="FS211" s="91" t="str">
        <f t="shared" si="13"/>
      </c>
      <c r="FT211" s="91" t="str">
        <f t="shared" si="13"/>
      </c>
      <c r="FU211" s="91" t="str">
        <f t="shared" si="13"/>
      </c>
      <c r="FV211" s="91" t="str">
        <f t="shared" si="13"/>
      </c>
      <c r="FW211" s="91" t="str">
        <f t="shared" si="13"/>
      </c>
      <c r="FX211" s="91" t="str">
        <f t="shared" si="13"/>
      </c>
      <c r="FY211" s="91" t="str">
        <f t="shared" si="13"/>
      </c>
      <c r="FZ211" s="91" t="str">
        <f t="shared" si="13"/>
      </c>
      <c r="GA211" s="91" t="str">
        <f t="shared" si="13"/>
      </c>
      <c r="GB211" s="91" t="str">
        <f t="shared" si="13"/>
      </c>
      <c r="GC211" s="91" t="str">
        <f t="shared" si="13"/>
      </c>
      <c r="GD211" s="91" t="str">
        <f t="shared" si="13"/>
      </c>
      <c r="GE211" s="91" t="str">
        <f t="shared" si="13"/>
      </c>
      <c r="GF211" s="91" t="str">
        <f t="shared" si="13"/>
      </c>
      <c r="GG211" s="91" t="str">
        <f t="shared" si="13"/>
      </c>
      <c r="GH211" s="91" t="str">
        <f t="shared" si="13"/>
      </c>
      <c r="GI211" s="91" t="str">
        <f t="shared" si="13"/>
      </c>
      <c r="GJ211" s="91" t="str">
        <f t="shared" si="13"/>
      </c>
      <c r="GK211" s="91" t="str">
        <f t="shared" si="13"/>
      </c>
      <c r="GL211" s="91" t="str">
        <f t="shared" si="13"/>
      </c>
      <c r="GM211" s="91" t="str">
        <f t="shared" si="13"/>
      </c>
      <c r="GN211" s="91" t="str">
        <f t="shared" si="13"/>
      </c>
      <c r="GO211" s="91" t="str">
        <f t="shared" si="13"/>
      </c>
      <c r="GP211" s="91" t="str">
        <f t="shared" si="13"/>
      </c>
      <c r="GQ211" s="91" t="str">
        <f t="shared" si="13"/>
      </c>
      <c r="GR211" s="91" t="str">
        <f t="shared" si="13"/>
      </c>
      <c r="GS211" s="91" t="str">
        <f t="shared" si="13"/>
      </c>
      <c r="GT211" s="91" t="str">
        <f t="shared" si="13"/>
      </c>
      <c r="GU211" s="91" t="str">
        <f t="shared" si="13"/>
      </c>
      <c r="GV211" s="91" t="str">
        <f t="shared" si="13"/>
      </c>
      <c r="GW211" s="91" t="str">
        <f t="shared" si="13"/>
      </c>
      <c r="GX211" s="91" t="str">
        <f t="shared" si="13"/>
      </c>
      <c r="GY211" s="91" t="str">
        <f t="shared" si="13"/>
      </c>
      <c r="GZ211" s="91" t="str">
        <f t="shared" si="13"/>
      </c>
      <c r="HA211" s="91" t="str">
        <f t="shared" si="13"/>
      </c>
      <c r="HB211" s="91" t="str">
        <f t="shared" si="13"/>
      </c>
      <c r="HC211" s="91" t="str">
        <f t="shared" si="13"/>
      </c>
      <c r="HD211" s="91" t="str">
        <f t="shared" si="13"/>
      </c>
      <c r="HE211" s="91" t="str">
        <f t="shared" si="13"/>
      </c>
      <c r="HF211" s="91" t="str">
        <f t="shared" si="13"/>
      </c>
      <c r="HG211" s="91" t="str">
        <f t="shared" si="13"/>
      </c>
      <c r="HH211" s="91" t="str">
        <f t="shared" si="13"/>
      </c>
      <c r="HI211" s="91" t="str">
        <f t="shared" si="13"/>
      </c>
      <c r="HJ211" s="91" t="str">
        <f t="shared" si="13"/>
      </c>
      <c r="HK211" s="91" t="str">
        <f t="shared" si="13"/>
      </c>
      <c r="HL211" s="91" t="str">
        <f t="shared" si="13"/>
      </c>
      <c r="HM211" s="91" t="str">
        <f ref="HM211:IV211" t="shared" si="14">IF(SUM(HM192:HM210)&lt;&gt;0,SUM(HM192:HM210),"")</f>
      </c>
      <c r="HN211" s="91" t="str">
        <f t="shared" si="14"/>
      </c>
      <c r="HO211" s="91" t="str">
        <f t="shared" si="14"/>
      </c>
      <c r="HP211" s="91" t="str">
        <f t="shared" si="14"/>
      </c>
      <c r="HQ211" s="91" t="str">
        <f t="shared" si="14"/>
      </c>
      <c r="HR211" s="91" t="str">
        <f t="shared" si="14"/>
      </c>
      <c r="HS211" s="91" t="str">
        <f t="shared" si="14"/>
      </c>
      <c r="HT211" s="91" t="str">
        <f t="shared" si="14"/>
      </c>
      <c r="HU211" s="91" t="str">
        <f t="shared" si="14"/>
      </c>
      <c r="HV211" s="91" t="str">
        <f t="shared" si="14"/>
      </c>
      <c r="HW211" s="91" t="str">
        <f t="shared" si="14"/>
      </c>
      <c r="HX211" s="91" t="str">
        <f t="shared" si="14"/>
      </c>
      <c r="HY211" s="91" t="str">
        <f t="shared" si="14"/>
      </c>
      <c r="HZ211" s="91" t="str">
        <f t="shared" si="14"/>
      </c>
      <c r="IA211" s="91" t="str">
        <f t="shared" si="14"/>
      </c>
      <c r="IB211" s="91" t="str">
        <f t="shared" si="14"/>
      </c>
      <c r="IC211" s="91" t="str">
        <f t="shared" si="14"/>
      </c>
      <c r="ID211" s="91" t="str">
        <f t="shared" si="14"/>
      </c>
      <c r="IE211" s="91" t="str">
        <f t="shared" si="14"/>
      </c>
      <c r="IF211" s="91" t="str">
        <f t="shared" si="14"/>
      </c>
      <c r="IG211" s="91" t="str">
        <f t="shared" si="14"/>
      </c>
      <c r="IH211" s="91" t="str">
        <f t="shared" si="14"/>
      </c>
      <c r="II211" s="91" t="str">
        <f t="shared" si="14"/>
      </c>
      <c r="IJ211" s="91" t="str">
        <f t="shared" si="14"/>
      </c>
      <c r="IK211" s="91" t="str">
        <f t="shared" si="14"/>
      </c>
      <c r="IL211" s="91" t="str">
        <f t="shared" si="14"/>
      </c>
      <c r="IM211" s="91" t="str">
        <f t="shared" si="14"/>
      </c>
      <c r="IN211" s="91" t="str">
        <f t="shared" si="14"/>
      </c>
      <c r="IO211" s="91" t="str">
        <f t="shared" si="14"/>
      </c>
      <c r="IP211" s="91" t="str">
        <f t="shared" si="14"/>
      </c>
      <c r="IQ211" s="91" t="str">
        <f t="shared" si="14"/>
      </c>
      <c r="IR211" s="91" t="str">
        <f t="shared" si="14"/>
      </c>
      <c r="IS211" s="91" t="str">
        <f t="shared" si="14"/>
      </c>
      <c r="IT211" s="91" t="str">
        <f t="shared" si="14"/>
      </c>
      <c r="IU211" s="91" t="str">
        <f t="shared" si="14"/>
      </c>
      <c r="IV211" s="91" t="str">
        <f t="shared" si="14"/>
      </c>
    </row>
    <row r="212" hidden="1" ht="15">
      <c r="B212" s="324"/>
      <c r="C212" s="219"/>
      <c r="D212" s="219"/>
      <c r="E212" s="219"/>
      <c r="F212" s="219"/>
      <c r="G212" s="219"/>
      <c r="H212" s="219"/>
      <c r="I212" s="219"/>
      <c r="J212" s="219"/>
      <c r="K212" s="219"/>
    </row>
    <row r="213" hidden="1" ht="15">
      <c r="B213" s="324"/>
      <c r="C213" s="219"/>
      <c r="D213" s="219"/>
      <c r="E213" s="219"/>
      <c r="F213" s="219"/>
      <c r="G213" s="219"/>
      <c r="H213" s="219"/>
      <c r="I213" s="219"/>
      <c r="J213" s="219"/>
      <c r="K213" s="219"/>
    </row>
    <row r="214" hidden="1" ht="13.5"/>
    <row r="215" hidden="1" ht="13.5">
      <c r="C215" s="686" t="s">
        <v>428</v>
      </c>
      <c r="D215" s="687"/>
      <c r="E215" s="687"/>
      <c r="F215" s="687"/>
      <c r="G215" s="687"/>
      <c r="H215" s="687"/>
      <c r="I215" s="687"/>
      <c r="J215" s="687"/>
      <c r="K215" s="687"/>
      <c r="L215" s="687"/>
      <c r="M215" s="687"/>
      <c r="N215" s="687"/>
      <c r="O215" s="687"/>
      <c r="P215" s="687"/>
      <c r="Q215" s="687"/>
      <c r="R215" s="687"/>
      <c r="S215" s="687"/>
      <c r="T215" s="687"/>
      <c r="U215" s="687"/>
      <c r="V215" s="687"/>
      <c r="W215" s="687"/>
      <c r="X215" s="687"/>
      <c r="Y215" s="687"/>
      <c r="Z215" s="687"/>
      <c r="AA215" s="687"/>
      <c r="AB215" s="688"/>
    </row>
    <row r="216" hidden="1" ht="15" customHeight="1">
      <c r="C216" s="435" t="str">
        <f> IF(C236&lt;&gt;"",TEXT(AUX!G$1,"dd-MMM-aa"),"")</f>
      </c>
      <c r="D216" s="435" t="str">
        <f> IF(D236&lt;&gt;"",TEXT(AUX!H$1,"dd-MMM-aa"),"")</f>
      </c>
      <c r="E216" s="435" t="str">
        <f> IF(E236&lt;&gt;"",TEXT(AUX!I$1,"dd-MMM-aa"),"")</f>
      </c>
      <c r="F216" s="435" t="str">
        <f> IF(F236&lt;&gt;"",TEXT(AUX!J$1,"dd-MMM-aa"),"")</f>
      </c>
      <c r="G216" s="435" t="str">
        <f> IF(G236&lt;&gt;"",TEXT(AUX!K$1,"dd-MMM-aa"),"")</f>
      </c>
      <c r="H216" s="435" t="str">
        <f> IF(H236&lt;&gt;"",TEXT(AUX!L$1,"dd-MMM-aa"),"")</f>
      </c>
      <c r="I216" s="435" t="str">
        <f> IF(I236&lt;&gt;"",TEXT(AUX!M$1,"dd-MMM-aa"),"")</f>
      </c>
      <c r="J216" s="435" t="str">
        <f> IF(J236&lt;&gt;"",TEXT(AUX!N$1,"dd-MMM-aa"),"")</f>
      </c>
      <c r="K216" s="435" t="str">
        <f> IF(K236&lt;&gt;"",TEXT(AUX!O$1,"dd-MMM-aa"),"")</f>
      </c>
      <c r="L216" s="435" t="str">
        <f> IF(L236&lt;&gt;"",TEXT(AUX!P$1,"dd-MMM-aa"),"")</f>
      </c>
      <c r="M216" s="435" t="str">
        <f> IF(M236&lt;&gt;"",TEXT(AUX!Q$1,"dd-MMM-aa"),"")</f>
      </c>
      <c r="N216" s="435" t="str">
        <f> IF(N236&lt;&gt;"",TEXT(AUX!R$1,"dd-MMM-aa"),"")</f>
      </c>
      <c r="O216" s="435" t="str">
        <f> IF(O236&lt;&gt;"",TEXT(AUX!S$1,"dd-MMM-aa"),"")</f>
      </c>
      <c r="P216" s="435" t="str">
        <f> IF(P236&lt;&gt;"",TEXT(AUX!T$1,"dd-MMM-aa"),"")</f>
      </c>
      <c r="Q216" s="435" t="str">
        <f> IF(Q236&lt;&gt;"",TEXT(AUX!U$1,"dd-MMM-aa"),"")</f>
      </c>
      <c r="R216" s="435" t="str">
        <f> IF(R236&lt;&gt;"",TEXT(AUX!V$1,"dd-MMM-aa"),"")</f>
      </c>
      <c r="S216" s="435" t="str">
        <f> IF(S236&lt;&gt;"",TEXT(AUX!W$1,"dd-MMM-aa"),"")</f>
      </c>
      <c r="T216" s="435" t="str">
        <f> IF(T236&lt;&gt;"",TEXT(AUX!X$1,"dd-MMM-aa"),"")</f>
      </c>
      <c r="U216" s="435" t="str">
        <f> IF(U236&lt;&gt;"",TEXT(AUX!Y$1,"dd-MMM-aa"),"")</f>
      </c>
      <c r="V216" s="435" t="str">
        <f> IF(V236&lt;&gt;"",TEXT(AUX!Z$1,"dd-MMM-aa"),"")</f>
      </c>
      <c r="W216" s="435" t="str">
        <f> IF(W236&lt;&gt;"",TEXT(AUX!AA$1,"dd-MMM-aa"),"")</f>
      </c>
      <c r="X216" s="435" t="str">
        <f> IF(X236&lt;&gt;"",TEXT(AUX!AB$1,"dd-MMM-aa"),"")</f>
      </c>
      <c r="Y216" s="435" t="str">
        <f> IF(Y236&lt;&gt;"",TEXT(AUX!AC$1,"dd-MMM-aa"),"")</f>
      </c>
      <c r="Z216" s="435" t="str">
        <f> IF(Z236&lt;&gt;"",TEXT(AUX!AD$1,"dd-MMM-aa"),"")</f>
      </c>
      <c r="AA216" s="435" t="str">
        <f> IF(AA236&lt;&gt;"",TEXT(AUX!AE$1,"dd-MMM-aa"),"")</f>
      </c>
      <c r="AB216" s="497" t="str">
        <f> IF(AB236&lt;&gt;"",TEXT(AUX!AF$1,"dd-MMM-aa"),"")</f>
      </c>
      <c r="AC216" s="496" t="str">
        <f> IF(AC236&lt;&gt;"",TEXT(AUX!AG$1,"dd-MMM-aa"),"")</f>
      </c>
      <c r="AD216" s="496" t="str">
        <f> IF(AD236&lt;&gt;"",TEXT(AUX!AH$1,"dd-MMM-aa"),"")</f>
      </c>
      <c r="AE216" s="496" t="str">
        <f> IF(AE236&lt;&gt;"",TEXT(AUX!AI$1,"dd-MMM-aa"),"")</f>
      </c>
      <c r="AF216" s="496" t="str">
        <f> IF(AF236&lt;&gt;"",TEXT(AUX!AJ$1,"dd-MMM-aa"),"")</f>
      </c>
      <c r="AG216" s="496" t="str">
        <f> IF(AG236&lt;&gt;"",TEXT(AUX!AK$1,"dd-MMM-aa"),"")</f>
      </c>
      <c r="AH216" s="496" t="str">
        <f> IF(AH236&lt;&gt;"",TEXT(AUX!AL$1,"dd-MMM-aa"),"")</f>
      </c>
      <c r="AI216" s="496" t="str">
        <f> IF(AI236&lt;&gt;"",TEXT(AUX!AM$1,"dd-MMM-aa"),"")</f>
      </c>
      <c r="AJ216" s="496" t="str">
        <f> IF(AJ236&lt;&gt;"",TEXT(AUX!AN$1,"dd-MMM-aa"),"")</f>
      </c>
      <c r="AK216" s="496" t="str">
        <f> IF(AK236&lt;&gt;"",TEXT(AUX!AO$1,"dd-MMM-aa"),"")</f>
      </c>
      <c r="AL216" s="496" t="str">
        <f> IF(AL236&lt;&gt;"",TEXT(AUX!AP$1,"dd-MMM-aa"),"")</f>
      </c>
      <c r="AM216" s="496" t="str">
        <f> IF(AM236&lt;&gt;"",TEXT(AUX!AQ$1,"dd-MMM-aa"),"")</f>
      </c>
      <c r="AN216" s="496" t="str">
        <f> IF(AN236&lt;&gt;"",TEXT(AUX!AR$1,"dd-MMM-aa"),"")</f>
      </c>
      <c r="AO216" s="496" t="str">
        <f> IF(AO236&lt;&gt;"",TEXT(AUX!AS$1,"dd-MMM-aa"),"")</f>
      </c>
      <c r="AP216" s="496" t="str">
        <f> IF(AP236&lt;&gt;"",TEXT(AUX!AT$1,"dd-MMM-aa"),"")</f>
      </c>
      <c r="AQ216" s="496" t="str">
        <f> IF(AQ236&lt;&gt;"",TEXT(AUX!AU$1,"dd-MMM-aa"),"")</f>
      </c>
      <c r="AR216" s="496" t="str">
        <f> IF(AR236&lt;&gt;"",TEXT(AUX!AV$1,"dd-MMM-aa"),"")</f>
      </c>
      <c r="AS216" s="496" t="str">
        <f> IF(AS236&lt;&gt;"",TEXT(AUX!AW$1,"dd-MMM-aa"),"")</f>
      </c>
      <c r="AT216" s="496" t="str">
        <f> IF(AT236&lt;&gt;"",TEXT(AUX!AX$1,"dd-MMM-aa"),"")</f>
      </c>
      <c r="AU216" s="496" t="str">
        <f> IF(AU236&lt;&gt;"",TEXT(AUX!AY$1,"dd-MMM-aa"),"")</f>
      </c>
      <c r="AV216" s="496" t="str">
        <f> IF(AV236&lt;&gt;"",TEXT(AUX!AZ$1,"dd-MMM-aa"),"")</f>
      </c>
      <c r="AW216" s="496" t="str">
        <f> IF(AW236&lt;&gt;"",TEXT(AUX!BA$1,"dd-MMM-aa"),"")</f>
      </c>
      <c r="AX216" s="496" t="str">
        <f> IF(AX236&lt;&gt;"",TEXT(AUX!BB$1,"dd-MMM-aa"),"")</f>
      </c>
      <c r="AY216" s="496" t="str">
        <f> IF(AY236&lt;&gt;"",TEXT(AUX!BC$1,"dd-MMM-aa"),"")</f>
      </c>
      <c r="AZ216" s="496" t="str">
        <f> IF(AZ236&lt;&gt;"",TEXT(AUX!BD$1,"dd-MMM-aa"),"")</f>
      </c>
      <c r="BA216" s="496" t="str">
        <f> IF(BA236&lt;&gt;"",TEXT(AUX!BE$1,"dd-MMM-aa"),"")</f>
      </c>
      <c r="BB216" s="496" t="str">
        <f> IF(BB236&lt;&gt;"",TEXT(AUX!BF$1,"dd-MMM-aa"),"")</f>
      </c>
      <c r="BC216" s="496" t="str">
        <f> IF(BC236&lt;&gt;"",TEXT(AUX!BG$1,"dd-MMM-aa"),"")</f>
      </c>
      <c r="BD216" s="496" t="str">
        <f> IF(BD236&lt;&gt;"",TEXT(AUX!BH$1,"dd-MMM-aa"),"")</f>
      </c>
      <c r="BE216" s="496" t="str">
        <f> IF(BE236&lt;&gt;"",TEXT(AUX!BI$1,"dd-MMM-aa"),"")</f>
      </c>
      <c r="BF216" s="496" t="str">
        <f> IF(BF236&lt;&gt;"",TEXT(AUX!BJ$1,"dd-MMM-aa"),"")</f>
      </c>
      <c r="BG216" s="496" t="str">
        <f> IF(BG236&lt;&gt;"",TEXT(AUX!BK$1,"dd-MMM-aa"),"")</f>
      </c>
      <c r="BH216" s="496" t="str">
        <f> IF(BH236&lt;&gt;"",TEXT(AUX!BL$1,"dd-MMM-aa"),"")</f>
      </c>
      <c r="BI216" s="496" t="str">
        <f> IF(BI236&lt;&gt;"",TEXT(AUX!BM$1,"dd-MMM-aa"),"")</f>
      </c>
      <c r="BJ216" s="496" t="str">
        <f> IF(BJ236&lt;&gt;"",TEXT(AUX!BN$1,"dd-MMM-aa"),"")</f>
      </c>
      <c r="BK216" s="496" t="str">
        <f> IF(BK236&lt;&gt;"",TEXT(AUX!BO$1,"dd-MMM-aa"),"")</f>
      </c>
      <c r="BL216" s="496" t="str">
        <f> IF(BL236&lt;&gt;"",TEXT(AUX!BP$1,"dd-MMM-aa"),"")</f>
      </c>
      <c r="BM216" s="496" t="str">
        <f> IF(BM236&lt;&gt;"",TEXT(AUX!BQ$1,"dd-MMM-aa"),"")</f>
      </c>
      <c r="BN216" s="496" t="str">
        <f> IF(BN236&lt;&gt;"",TEXT(AUX!BR$1,"dd-MMM-aa"),"")</f>
      </c>
      <c r="BO216" s="496" t="str">
        <f> IF(BO236&lt;&gt;"",TEXT(AUX!BS$1,"dd-MMM-aa"),"")</f>
      </c>
      <c r="BP216" s="496" t="str">
        <f> IF(BP236&lt;&gt;"",TEXT(AUX!BT$1,"dd-MMM-aa"),"")</f>
      </c>
      <c r="BQ216" s="496" t="str">
        <f> IF(BQ236&lt;&gt;"",TEXT(AUX!BU$1,"dd-MMM-aa"),"")</f>
      </c>
      <c r="BR216" s="496" t="str">
        <f> IF(BR236&lt;&gt;"",TEXT(AUX!BV$1,"dd-MMM-aa"),"")</f>
      </c>
      <c r="BS216" s="496" t="str">
        <f> IF(BS236&lt;&gt;"",TEXT(AUX!BW$1,"dd-MMM-aa"),"")</f>
      </c>
      <c r="BT216" s="496" t="str">
        <f> IF(BT236&lt;&gt;"",TEXT(AUX!BX$1,"dd-MMM-aa"),"")</f>
      </c>
      <c r="BU216" s="496" t="str">
        <f> IF(BU236&lt;&gt;"",TEXT(AUX!BY$1,"dd-MMM-aa"),"")</f>
      </c>
      <c r="BV216" s="496" t="str">
        <f> IF(BV236&lt;&gt;"",TEXT(AUX!BZ$1,"dd-MMM-aa"),"")</f>
      </c>
      <c r="BW216" s="496" t="str">
        <f> IF(BW236&lt;&gt;"",TEXT(AUX!CA$1,"dd-MMM-aa"),"")</f>
      </c>
      <c r="BX216" s="496" t="str">
        <f> IF(BX236&lt;&gt;"",TEXT(AUX!CB$1,"dd-MMM-aa"),"")</f>
      </c>
      <c r="BY216" s="496" t="str">
        <f> IF(BY236&lt;&gt;"",TEXT(AUX!CC$1,"dd-MMM-aa"),"")</f>
      </c>
      <c r="BZ216" s="496" t="str">
        <f> IF(BZ236&lt;&gt;"",TEXT(AUX!CD$1,"dd-MMM-aa"),"")</f>
      </c>
      <c r="CA216" s="496" t="str">
        <f> IF(CA236&lt;&gt;"",TEXT(AUX!CE$1,"dd-MMM-aa"),"")</f>
      </c>
      <c r="CB216" s="496" t="str">
        <f> IF(CB236&lt;&gt;"",TEXT(AUX!CF$1,"dd-MMM-aa"),"")</f>
      </c>
      <c r="CC216" s="496" t="str">
        <f> IF(CC236&lt;&gt;"",TEXT(AUX!CG$1,"dd-MMM-aa"),"")</f>
      </c>
      <c r="CD216" s="496" t="str">
        <f> IF(CD236&lt;&gt;"",TEXT(AUX!CH$1,"dd-MMM-aa"),"")</f>
      </c>
      <c r="CE216" s="496" t="str">
        <f> IF(CE236&lt;&gt;"",TEXT(AUX!CI$1,"dd-MMM-aa"),"")</f>
      </c>
      <c r="CF216" s="496" t="str">
        <f> IF(CF236&lt;&gt;"",TEXT(AUX!CJ$1,"dd-MMM-aa"),"")</f>
      </c>
      <c r="CG216" s="496" t="str">
        <f> IF(CG236&lt;&gt;"",TEXT(AUX!CK$1,"dd-MMM-aa"),"")</f>
      </c>
      <c r="CH216" s="496" t="str">
        <f> IF(CH236&lt;&gt;"",TEXT(AUX!CL$1,"dd-MMM-aa"),"")</f>
      </c>
      <c r="CI216" s="496" t="str">
        <f> IF(CI236&lt;&gt;"",TEXT(AUX!CM$1,"dd-MMM-aa"),"")</f>
      </c>
      <c r="CJ216" s="496" t="str">
        <f> IF(CJ236&lt;&gt;"",TEXT(AUX!CN$1,"dd-MMM-aa"),"")</f>
      </c>
      <c r="CK216" s="496" t="str">
        <f> IF(CK236&lt;&gt;"",TEXT(AUX!CO$1,"dd-MMM-aa"),"")</f>
      </c>
      <c r="CL216" s="496" t="str">
        <f> IF(CL236&lt;&gt;"",TEXT(AUX!CP$1,"dd-MMM-aa"),"")</f>
      </c>
      <c r="CM216" s="496" t="str">
        <f> IF(CM236&lt;&gt;"",TEXT(AUX!CQ$1,"dd-MMM-aa"),"")</f>
      </c>
      <c r="CN216" s="496" t="str">
        <f> IF(CN236&lt;&gt;"",TEXT(AUX!CR$1,"dd-MMM-aa"),"")</f>
      </c>
      <c r="CO216" s="496" t="str">
        <f> IF(CO236&lt;&gt;"",TEXT(AUX!CS$1,"dd-MMM-aa"),"")</f>
      </c>
      <c r="CP216" s="496" t="str">
        <f> IF(CP236&lt;&gt;"",TEXT(AUX!CT$1,"dd-MMM-aa"),"")</f>
      </c>
      <c r="CQ216" s="496" t="str">
        <f> IF(CQ236&lt;&gt;"",TEXT(AUX!CU$1,"dd-MMM-aa"),"")</f>
      </c>
      <c r="CR216" s="496" t="str">
        <f> IF(CR236&lt;&gt;"",TEXT(AUX!CV$1,"dd-MMM-aa"),"")</f>
      </c>
      <c r="CS216" s="496" t="str">
        <f> IF(CS236&lt;&gt;"",TEXT(AUX!CW$1,"dd-MMM-aa"),"")</f>
      </c>
      <c r="CT216" s="496" t="str">
        <f> IF(CT236&lt;&gt;"",TEXT(AUX!CX$1,"dd-MMM-aa"),"")</f>
      </c>
      <c r="CU216" s="496" t="str">
        <f> IF(CU236&lt;&gt;"",TEXT(AUX!CY$1,"dd-MMM-aa"),"")</f>
      </c>
      <c r="CV216" s="496" t="str">
        <f> IF(CV236&lt;&gt;"",TEXT(AUX!CZ$1,"dd-MMM-aa"),"")</f>
      </c>
      <c r="CW216" s="496" t="str">
        <f> IF(CW236&lt;&gt;"",TEXT(AUX!DA$1,"dd-MMM-aa"),"")</f>
      </c>
      <c r="CX216" s="496" t="str">
        <f> IF(CX236&lt;&gt;"",TEXT(AUX!DB$1,"dd-MMM-aa"),"")</f>
      </c>
      <c r="CY216" s="496" t="str">
        <f> IF(CY236&lt;&gt;"",TEXT(AUX!DC$1,"dd-MMM-aa"),"")</f>
      </c>
      <c r="CZ216" s="496" t="str">
        <f> IF(CZ236&lt;&gt;"",TEXT(AUX!DD$1,"dd-MMM-aa"),"")</f>
      </c>
      <c r="DA216" s="496" t="str">
        <f> IF(DA236&lt;&gt;"",TEXT(AUX!DE$1,"dd-MMM-aa"),"")</f>
      </c>
      <c r="DB216" s="496" t="str">
        <f> IF(DB236&lt;&gt;"",TEXT(AUX!DF$1,"dd-MMM-aa"),"")</f>
      </c>
      <c r="DC216" s="496" t="str">
        <f> IF(DC236&lt;&gt;"",TEXT(AUX!DG$1,"dd-MMM-aa"),"")</f>
      </c>
      <c r="DD216" s="496" t="str">
        <f> IF(DD236&lt;&gt;"",TEXT(AUX!DH$1,"dd-MMM-aa"),"")</f>
      </c>
      <c r="DE216" s="496" t="str">
        <f> IF(DE236&lt;&gt;"",TEXT(AUX!DI$1,"dd-MMM-aa"),"")</f>
      </c>
      <c r="DF216" s="496" t="str">
        <f> IF(DF236&lt;&gt;"",TEXT(AUX!DJ$1,"dd-MMM-aa"),"")</f>
      </c>
      <c r="DG216" s="496" t="str">
        <f> IF(DG236&lt;&gt;"",TEXT(AUX!DK$1,"dd-MMM-aa"),"")</f>
      </c>
      <c r="DH216" s="496" t="str">
        <f> IF(DH236&lt;&gt;"",TEXT(AUX!DL$1,"dd-MMM-aa"),"")</f>
      </c>
      <c r="DI216" s="496" t="str">
        <f> IF(DI236&lt;&gt;"",TEXT(AUX!DM$1,"dd-MMM-aa"),"")</f>
      </c>
      <c r="DJ216" s="496" t="str">
        <f> IF(DJ236&lt;&gt;"",TEXT(AUX!DN$1,"dd-MMM-aa"),"")</f>
      </c>
      <c r="DK216" s="496" t="str">
        <f> IF(DK236&lt;&gt;"",TEXT(AUX!DO$1,"dd-MMM-aa"),"")</f>
      </c>
      <c r="DL216" s="496" t="str">
        <f> IF(DL236&lt;&gt;"",TEXT(AUX!DP$1,"dd-MMM-aa"),"")</f>
      </c>
      <c r="DM216" s="496" t="str">
        <f> IF(DM236&lt;&gt;"",TEXT(AUX!DQ$1,"dd-MMM-aa"),"")</f>
      </c>
      <c r="DN216" s="496" t="str">
        <f> IF(DN236&lt;&gt;"",TEXT(AUX!DR$1,"dd-MMM-aa"),"")</f>
      </c>
      <c r="DO216" s="496" t="str">
        <f> IF(DO236&lt;&gt;"",TEXT(AUX!DS$1,"dd-MMM-aa"),"")</f>
      </c>
      <c r="DP216" s="496" t="str">
        <f> IF(DP236&lt;&gt;"",TEXT(AUX!DT$1,"dd-MMM-aa"),"")</f>
      </c>
      <c r="DQ216" s="496" t="str">
        <f> IF(DQ236&lt;&gt;"",TEXT(AUX!DU$1,"dd-MMM-aa"),"")</f>
      </c>
      <c r="DR216" s="496" t="str">
        <f> IF(DR236&lt;&gt;"",TEXT(AUX!DV$1,"dd-MMM-aa"),"")</f>
      </c>
      <c r="DS216" s="496" t="str">
        <f> IF(DS236&lt;&gt;"",TEXT(AUX!DW$1,"dd-MMM-aa"),"")</f>
      </c>
      <c r="DT216" s="496" t="str">
        <f> IF(DT236&lt;&gt;"",TEXT(AUX!DX$1,"dd-MMM-aa"),"")</f>
      </c>
      <c r="DU216" s="496" t="str">
        <f> IF(DU236&lt;&gt;"",TEXT(AUX!DY$1,"dd-MMM-aa"),"")</f>
      </c>
      <c r="DV216" s="496" t="str">
        <f> IF(DV236&lt;&gt;"",TEXT(AUX!DZ$1,"dd-MMM-aa"),"")</f>
      </c>
      <c r="DW216" s="496" t="str">
        <f> IF(DW236&lt;&gt;"",TEXT(AUX!EA$1,"dd-MMM-aa"),"")</f>
      </c>
      <c r="DX216" s="496" t="str">
        <f> IF(DX236&lt;&gt;"",TEXT(AUX!EB$1,"dd-MMM-aa"),"")</f>
      </c>
      <c r="DY216" s="496" t="str">
        <f> IF(DY236&lt;&gt;"",TEXT(AUX!EC$1,"dd-MMM-aa"),"")</f>
      </c>
      <c r="DZ216" s="496" t="str">
        <f> IF(DZ236&lt;&gt;"",TEXT(AUX!ED$1,"dd-MMM-aa"),"")</f>
      </c>
      <c r="EA216" s="496" t="str">
        <f> IF(EA236&lt;&gt;"",TEXT(AUX!EE$1,"dd-MMM-aa"),"")</f>
      </c>
      <c r="EB216" s="496" t="str">
        <f> IF(EB236&lt;&gt;"",TEXT(AUX!EF$1,"dd-MMM-aa"),"")</f>
      </c>
      <c r="EC216" s="496" t="str">
        <f> IF(EC236&lt;&gt;"",TEXT(AUX!EG$1,"dd-MMM-aa"),"")</f>
      </c>
      <c r="ED216" s="496" t="str">
        <f> IF(ED236&lt;&gt;"",TEXT(AUX!EH$1,"dd-MMM-aa"),"")</f>
      </c>
      <c r="EE216" s="496" t="str">
        <f> IF(EE236&lt;&gt;"",TEXT(AUX!EI$1,"dd-MMM-aa"),"")</f>
      </c>
      <c r="EF216" s="496" t="str">
        <f> IF(EF236&lt;&gt;"",TEXT(AUX!EJ$1,"dd-MMM-aa"),"")</f>
      </c>
      <c r="EG216" s="496" t="str">
        <f> IF(EG236&lt;&gt;"",TEXT(AUX!EK$1,"dd-MMM-aa"),"")</f>
      </c>
      <c r="EH216" s="496" t="str">
        <f> IF(EH236&lt;&gt;"",TEXT(AUX!EL$1,"dd-MMM-aa"),"")</f>
      </c>
      <c r="EI216" s="496" t="str">
        <f> IF(EI236&lt;&gt;"",TEXT(AUX!EM$1,"dd-MMM-aa"),"")</f>
      </c>
      <c r="EJ216" s="496" t="str">
        <f> IF(EJ236&lt;&gt;"",TEXT(AUX!EN$1,"dd-MMM-aa"),"")</f>
      </c>
      <c r="EK216" s="496" t="str">
        <f> IF(EK236&lt;&gt;"",TEXT(AUX!EO$1,"dd-MMM-aa"),"")</f>
      </c>
      <c r="EL216" s="496" t="str">
        <f> IF(EL236&lt;&gt;"",TEXT(AUX!EP$1,"dd-MMM-aa"),"")</f>
      </c>
      <c r="EM216" s="496" t="str">
        <f> IF(EM236&lt;&gt;"",TEXT(AUX!EQ$1,"dd-MMM-aa"),"")</f>
      </c>
      <c r="EN216" s="496" t="str">
        <f> IF(EN236&lt;&gt;"",TEXT(AUX!ER$1,"dd-MMM-aa"),"")</f>
      </c>
      <c r="EO216" s="496" t="str">
        <f> IF(EO236&lt;&gt;"",TEXT(AUX!ES$1,"dd-MMM-aa"),"")</f>
      </c>
      <c r="EP216" s="496" t="str">
        <f> IF(EP236&lt;&gt;"",TEXT(AUX!ET$1,"dd-MMM-aa"),"")</f>
      </c>
      <c r="EQ216" s="496" t="str">
        <f> IF(EQ236&lt;&gt;"",TEXT(AUX!EU$1,"dd-MMM-aa"),"")</f>
      </c>
      <c r="ER216" s="496" t="str">
        <f> IF(ER236&lt;&gt;"",TEXT(AUX!EV$1,"dd-MMM-aa"),"")</f>
      </c>
      <c r="ES216" s="496" t="str">
        <f> IF(ES236&lt;&gt;"",TEXT(AUX!EW$1,"dd-MMM-aa"),"")</f>
      </c>
      <c r="ET216" s="496" t="str">
        <f> IF(ET236&lt;&gt;"",TEXT(AUX!EX$1,"dd-MMM-aa"),"")</f>
      </c>
      <c r="EU216" s="496" t="str">
        <f> IF(EU236&lt;&gt;"",TEXT(AUX!EY$1,"dd-MMM-aa"),"")</f>
      </c>
      <c r="EV216" s="496" t="str">
        <f> IF(EV236&lt;&gt;"",TEXT(AUX!EZ$1,"dd-MMM-aa"),"")</f>
      </c>
      <c r="EW216" s="496" t="str">
        <f> IF(EW236&lt;&gt;"",TEXT(AUX!FA$1,"dd-MMM-aa"),"")</f>
      </c>
      <c r="EX216" s="496" t="str">
        <f> IF(EX236&lt;&gt;"",TEXT(AUX!FB$1,"dd-MMM-aa"),"")</f>
      </c>
      <c r="EY216" s="496" t="str">
        <f> IF(EY236&lt;&gt;"",TEXT(AUX!FC$1,"dd-MMM-aa"),"")</f>
      </c>
      <c r="EZ216" s="496" t="str">
        <f> IF(EZ236&lt;&gt;"",TEXT(AUX!FD$1,"dd-MMM-aa"),"")</f>
      </c>
      <c r="FA216" s="496" t="str">
        <f> IF(FA236&lt;&gt;"",TEXT(AUX!FE$1,"dd-MMM-aa"),"")</f>
      </c>
      <c r="FB216" s="496" t="str">
        <f> IF(FB236&lt;&gt;"",TEXT(AUX!FF$1,"dd-MMM-aa"),"")</f>
      </c>
      <c r="FC216" s="496" t="str">
        <f> IF(FC236&lt;&gt;"",TEXT(AUX!FG$1,"dd-MMM-aa"),"")</f>
      </c>
      <c r="FD216" s="496" t="str">
        <f> IF(FD236&lt;&gt;"",TEXT(AUX!FH$1,"dd-MMM-aa"),"")</f>
      </c>
      <c r="FE216" s="496" t="str">
        <f> IF(FE236&lt;&gt;"",TEXT(AUX!FI$1,"dd-MMM-aa"),"")</f>
      </c>
      <c r="FF216" s="496" t="str">
        <f> IF(FF236&lt;&gt;"",TEXT(AUX!FJ$1,"dd-MMM-aa"),"")</f>
      </c>
      <c r="FG216" s="496" t="str">
        <f> IF(FG236&lt;&gt;"",TEXT(AUX!FK$1,"dd-MMM-aa"),"")</f>
      </c>
      <c r="FH216" s="496" t="str">
        <f> IF(FH236&lt;&gt;"",TEXT(AUX!FL$1,"dd-MMM-aa"),"")</f>
      </c>
      <c r="FI216" s="496" t="str">
        <f> IF(FI236&lt;&gt;"",TEXT(AUX!FM$1,"dd-MMM-aa"),"")</f>
      </c>
      <c r="FJ216" s="496" t="str">
        <f> IF(FJ236&lt;&gt;"",TEXT(AUX!FN$1,"dd-MMM-aa"),"")</f>
      </c>
      <c r="FK216" s="496" t="str">
        <f> IF(FK236&lt;&gt;"",TEXT(AUX!FO$1,"dd-MMM-aa"),"")</f>
      </c>
      <c r="FL216" s="496" t="str">
        <f> IF(FL236&lt;&gt;"",TEXT(AUX!FP$1,"dd-MMM-aa"),"")</f>
      </c>
      <c r="FM216" s="496" t="str">
        <f> IF(FM236&lt;&gt;"",TEXT(AUX!FQ$1,"dd-MMM-aa"),"")</f>
      </c>
      <c r="FN216" s="496" t="str">
        <f> IF(FN236&lt;&gt;"",TEXT(AUX!FR$1,"dd-MMM-aa"),"")</f>
      </c>
      <c r="FO216" s="496" t="str">
        <f> IF(FO236&lt;&gt;"",TEXT(AUX!FS$1,"dd-MMM-aa"),"")</f>
      </c>
      <c r="FP216" s="496" t="str">
        <f> IF(FP236&lt;&gt;"",TEXT(AUX!FT$1,"dd-MMM-aa"),"")</f>
      </c>
      <c r="FQ216" s="496" t="str">
        <f> IF(FQ236&lt;&gt;"",TEXT(AUX!FU$1,"dd-MMM-aa"),"")</f>
      </c>
      <c r="FR216" s="496" t="str">
        <f> IF(FR236&lt;&gt;"",TEXT(AUX!FV$1,"dd-MMM-aa"),"")</f>
      </c>
      <c r="FS216" s="496" t="str">
        <f> IF(FS236&lt;&gt;"",TEXT(AUX!FW$1,"dd-MMM-aa"),"")</f>
      </c>
      <c r="FT216" s="496" t="str">
        <f> IF(FT236&lt;&gt;"",TEXT(AUX!FX$1,"dd-MMM-aa"),"")</f>
      </c>
      <c r="FU216" s="496" t="str">
        <f> IF(FU236&lt;&gt;"",TEXT(AUX!FY$1,"dd-MMM-aa"),"")</f>
      </c>
      <c r="FV216" s="496" t="str">
        <f> IF(FV236&lt;&gt;"",TEXT(AUX!FZ$1,"dd-MMM-aa"),"")</f>
      </c>
      <c r="FW216" s="496" t="str">
        <f> IF(FW236&lt;&gt;"",TEXT(AUX!GA$1,"dd-MMM-aa"),"")</f>
      </c>
      <c r="FX216" s="496" t="str">
        <f> IF(FX236&lt;&gt;"",TEXT(AUX!GB$1,"dd-MMM-aa"),"")</f>
      </c>
      <c r="FY216" s="496" t="str">
        <f> IF(FY236&lt;&gt;"",TEXT(AUX!GC$1,"dd-MMM-aa"),"")</f>
      </c>
      <c r="FZ216" s="496" t="str">
        <f> IF(FZ236&lt;&gt;"",TEXT(AUX!GD$1,"dd-MMM-aa"),"")</f>
      </c>
      <c r="GA216" s="496" t="str">
        <f> IF(GA236&lt;&gt;"",TEXT(AUX!GE$1,"dd-MMM-aa"),"")</f>
      </c>
      <c r="GB216" s="496" t="str">
        <f> IF(GB236&lt;&gt;"",TEXT(AUX!GF$1,"dd-MMM-aa"),"")</f>
      </c>
      <c r="GC216" s="496" t="str">
        <f> IF(GC236&lt;&gt;"",TEXT(AUX!GG$1,"dd-MMM-aa"),"")</f>
      </c>
      <c r="GD216" s="496" t="str">
        <f> IF(GD236&lt;&gt;"",TEXT(AUX!GH$1,"dd-MMM-aa"),"")</f>
      </c>
      <c r="GE216" s="496" t="str">
        <f> IF(GE236&lt;&gt;"",TEXT(AUX!GI$1,"dd-MMM-aa"),"")</f>
      </c>
      <c r="GF216" s="496" t="str">
        <f> IF(GF236&lt;&gt;"",TEXT(AUX!GJ$1,"dd-MMM-aa"),"")</f>
      </c>
      <c r="GG216" s="496" t="str">
        <f> IF(GG236&lt;&gt;"",TEXT(AUX!GK$1,"dd-MMM-aa"),"")</f>
      </c>
      <c r="GH216" s="496" t="str">
        <f> IF(GH236&lt;&gt;"",TEXT(AUX!GL$1,"dd-MMM-aa"),"")</f>
      </c>
      <c r="GI216" s="496" t="str">
        <f> IF(GI236&lt;&gt;"",TEXT(AUX!GM$1,"dd-MMM-aa"),"")</f>
      </c>
      <c r="GJ216" s="496" t="str">
        <f> IF(GJ236&lt;&gt;"",TEXT(AUX!GN$1,"dd-MMM-aa"),"")</f>
      </c>
      <c r="GK216" s="496" t="str">
        <f> IF(GK236&lt;&gt;"",TEXT(AUX!GO$1,"dd-MMM-aa"),"")</f>
      </c>
      <c r="GL216" s="496" t="str">
        <f> IF(GL236&lt;&gt;"",TEXT(AUX!GP$1,"dd-MMM-aa"),"")</f>
      </c>
      <c r="GM216" s="496" t="str">
        <f> IF(GM236&lt;&gt;"",TEXT(AUX!GQ$1,"dd-MMM-aa"),"")</f>
      </c>
      <c r="GN216" s="496" t="str">
        <f> IF(GN236&lt;&gt;"",TEXT(AUX!GR$1,"dd-MMM-aa"),"")</f>
      </c>
      <c r="GO216" s="496" t="str">
        <f> IF(GO236&lt;&gt;"",TEXT(AUX!GS$1,"dd-MMM-aa"),"")</f>
      </c>
      <c r="GP216" s="496" t="str">
        <f> IF(GP236&lt;&gt;"",TEXT(AUX!GT$1,"dd-MMM-aa"),"")</f>
      </c>
      <c r="GQ216" s="496" t="str">
        <f> IF(GQ236&lt;&gt;"",TEXT(AUX!GU$1,"dd-MMM-aa"),"")</f>
      </c>
      <c r="GR216" s="496" t="str">
        <f> IF(GR236&lt;&gt;"",TEXT(AUX!GV$1,"dd-MMM-aa"),"")</f>
      </c>
      <c r="GS216" s="496" t="str">
        <f> IF(GS236&lt;&gt;"",TEXT(AUX!GW$1,"dd-MMM-aa"),"")</f>
      </c>
      <c r="GT216" s="496" t="str">
        <f> IF(GT236&lt;&gt;"",TEXT(AUX!GX$1,"dd-MMM-aa"),"")</f>
      </c>
      <c r="GU216" s="496" t="str">
        <f> IF(GU236&lt;&gt;"",TEXT(AUX!GY$1,"dd-MMM-aa"),"")</f>
      </c>
      <c r="GV216" s="496" t="str">
        <f> IF(GV236&lt;&gt;"",TEXT(AUX!GZ$1,"dd-MMM-aa"),"")</f>
      </c>
      <c r="GW216" s="496" t="str">
        <f> IF(GW236&lt;&gt;"",TEXT(AUX!HA$1,"dd-MMM-aa"),"")</f>
      </c>
      <c r="GX216" s="496" t="str">
        <f> IF(GX236&lt;&gt;"",TEXT(AUX!HB$1,"dd-MMM-aa"),"")</f>
      </c>
      <c r="GY216" s="496" t="str">
        <f> IF(GY236&lt;&gt;"",TEXT(AUX!HC$1,"dd-MMM-aa"),"")</f>
      </c>
      <c r="GZ216" s="496" t="str">
        <f> IF(GZ236&lt;&gt;"",TEXT(AUX!HD$1,"dd-MMM-aa"),"")</f>
      </c>
      <c r="HA216" s="496" t="str">
        <f> IF(HA236&lt;&gt;"",TEXT(AUX!HE$1,"dd-MMM-aa"),"")</f>
      </c>
      <c r="HB216" s="496" t="str">
        <f> IF(HB236&lt;&gt;"",TEXT(AUX!HF$1,"dd-MMM-aa"),"")</f>
      </c>
      <c r="HC216" s="496" t="str">
        <f> IF(HC236&lt;&gt;"",TEXT(AUX!HG$1,"dd-MMM-aa"),"")</f>
      </c>
      <c r="HD216" s="496" t="str">
        <f> IF(HD236&lt;&gt;"",TEXT(AUX!HH$1,"dd-MMM-aa"),"")</f>
      </c>
      <c r="HE216" s="496" t="str">
        <f> IF(HE236&lt;&gt;"",TEXT(AUX!HI$1,"dd-MMM-aa"),"")</f>
      </c>
      <c r="HF216" s="496" t="str">
        <f> IF(HF236&lt;&gt;"",TEXT(AUX!HJ$1,"dd-MMM-aa"),"")</f>
      </c>
      <c r="HG216" s="496" t="str">
        <f> IF(HG236&lt;&gt;"",TEXT(AUX!HK$1,"dd-MMM-aa"),"")</f>
      </c>
      <c r="HH216" s="496" t="str">
        <f> IF(HH236&lt;&gt;"",TEXT(AUX!HL$1,"dd-MMM-aa"),"")</f>
      </c>
      <c r="HI216" s="496" t="str">
        <f> IF(HI236&lt;&gt;"",TEXT(AUX!HM$1,"dd-MMM-aa"),"")</f>
      </c>
      <c r="HJ216" s="496" t="str">
        <f> IF(HJ236&lt;&gt;"",TEXT(AUX!HN$1,"dd-MMM-aa"),"")</f>
      </c>
      <c r="HK216" s="496" t="str">
        <f> IF(HK236&lt;&gt;"",TEXT(AUX!HO$1,"dd-MMM-aa"),"")</f>
      </c>
      <c r="HL216" s="496" t="str">
        <f> IF(HL236&lt;&gt;"",TEXT(AUX!HP$1,"dd-MMM-aa"),"")</f>
      </c>
      <c r="HM216" s="496" t="str">
        <f> IF(HM236&lt;&gt;"",TEXT(AUX!HQ$1,"dd-MMM-aa"),"")</f>
      </c>
      <c r="HN216" s="496" t="str">
        <f> IF(HN236&lt;&gt;"",TEXT(AUX!HR$1,"dd-MMM-aa"),"")</f>
      </c>
      <c r="HO216" s="496" t="str">
        <f> IF(HO236&lt;&gt;"",TEXT(AUX!HS$1,"dd-MMM-aa"),"")</f>
      </c>
      <c r="HP216" s="496" t="str">
        <f> IF(HP236&lt;&gt;"",TEXT(AUX!HT$1,"dd-MMM-aa"),"")</f>
      </c>
      <c r="HQ216" s="496" t="str">
        <f> IF(HQ236&lt;&gt;"",TEXT(AUX!HU$1,"dd-MMM-aa"),"")</f>
      </c>
      <c r="HR216" s="496" t="str">
        <f> IF(HR236&lt;&gt;"",TEXT(AUX!HV$1,"dd-MMM-aa"),"")</f>
      </c>
      <c r="HS216" s="496" t="str">
        <f> IF(HS236&lt;&gt;"",TEXT(AUX!HW$1,"dd-MMM-aa"),"")</f>
      </c>
      <c r="HT216" s="496" t="str">
        <f> IF(HT236&lt;&gt;"",TEXT(AUX!HX$1,"dd-MMM-aa"),"")</f>
      </c>
      <c r="HU216" s="496" t="str">
        <f> IF(HU236&lt;&gt;"",TEXT(AUX!HY$1,"dd-MMM-aa"),"")</f>
      </c>
      <c r="HV216" s="496" t="str">
        <f> IF(HV236&lt;&gt;"",TEXT(AUX!HZ$1,"dd-MMM-aa"),"")</f>
      </c>
      <c r="HW216" s="496" t="str">
        <f> IF(HW236&lt;&gt;"",TEXT(AUX!IA$1,"dd-MMM-aa"),"")</f>
      </c>
      <c r="HX216" s="496" t="str">
        <f> IF(HX236&lt;&gt;"",TEXT(AUX!IB$1,"dd-MMM-aa"),"")</f>
      </c>
      <c r="HY216" s="496" t="str">
        <f> IF(HY236&lt;&gt;"",TEXT(AUX!IC$1,"dd-MMM-aa"),"")</f>
      </c>
      <c r="HZ216" s="496" t="str">
        <f> IF(HZ236&lt;&gt;"",TEXT(AUX!ID$1,"dd-MMM-aa"),"")</f>
      </c>
      <c r="IA216" s="496" t="str">
        <f> IF(IA236&lt;&gt;"",TEXT(AUX!IE$1,"dd-MMM-aa"),"")</f>
      </c>
      <c r="IB216" s="496" t="str">
        <f> IF(IB236&lt;&gt;"",TEXT(AUX!IF$1,"dd-MMM-aa"),"")</f>
      </c>
      <c r="IC216" s="496" t="str">
        <f> IF(IC236&lt;&gt;"",TEXT(AUX!IG$1,"dd-MMM-aa"),"")</f>
      </c>
      <c r="ID216" s="496" t="str">
        <f> IF(ID236&lt;&gt;"",TEXT(AUX!IH$1,"dd-MMM-aa"),"")</f>
      </c>
      <c r="IE216" s="496" t="str">
        <f> IF(IE236&lt;&gt;"",TEXT(AUX!II$1,"dd-MMM-aa"),"")</f>
      </c>
      <c r="IF216" s="496" t="str">
        <f> IF(IF236&lt;&gt;"",TEXT(AUX!IJ$1,"dd-MMM-aa"),"")</f>
      </c>
      <c r="IG216" s="496" t="str">
        <f> IF(IG236&lt;&gt;"",TEXT(AUX!IK$1,"dd-MMM-aa"),"")</f>
      </c>
      <c r="IH216" s="496" t="str">
        <f> IF(IH236&lt;&gt;"",TEXT(AUX!IL$1,"dd-MMM-aa"),"")</f>
      </c>
      <c r="II216" s="496" t="str">
        <f> IF(II236&lt;&gt;"",TEXT(AUX!IM$1,"dd-MMM-aa"),"")</f>
      </c>
      <c r="IJ216" s="496" t="str">
        <f> IF(IJ236&lt;&gt;"",TEXT(AUX!IN$1,"dd-MMM-aa"),"")</f>
      </c>
      <c r="IK216" s="496" t="str">
        <f> IF(IK236&lt;&gt;"",TEXT(AUX!IO$1,"dd-MMM-aa"),"")</f>
      </c>
      <c r="IL216" s="496" t="str">
        <f> IF(IL236&lt;&gt;"",TEXT(AUX!IP$1,"dd-MMM-aa"),"")</f>
      </c>
      <c r="IM216" s="496" t="str">
        <f> IF(IM236&lt;&gt;"",TEXT(AUX!IQ$1,"dd-MMM-aa"),"")</f>
      </c>
      <c r="IN216" s="496" t="str">
        <f> IF(IN236&lt;&gt;"",TEXT(AUX!IR$1,"dd-MMM-aa"),"")</f>
      </c>
      <c r="IO216" s="496" t="str">
        <f> IF(IO236&lt;&gt;"",TEXT(AUX!IS$1,"dd-MMM-aa"),"")</f>
      </c>
      <c r="IP216" s="496" t="str">
        <f> IF(IP236&lt;&gt;"",TEXT(AUX!IT$1,"dd-MMM-aa"),"")</f>
      </c>
      <c r="IQ216" s="496" t="str">
        <f> IF(IQ236&lt;&gt;"",TEXT(AUX!IU$1,"dd-MMM-aa"),"")</f>
      </c>
      <c r="IR216" s="496" t="str">
        <f> IF(IR236&lt;&gt;"",TEXT(AUX!IV$1,"dd-MMM-aa"),"")</f>
      </c>
      <c r="IS216" s="496" t="str">
        <f> IF(IS236&lt;&gt;"",TEXT(AUX!#REF!,"dd-MMM-aa"),"")</f>
      </c>
      <c r="IT216" s="496" t="str">
        <f> IF(IT236&lt;&gt;"",TEXT(AUX!#REF!,"dd-MMM-aa"),"")</f>
      </c>
      <c r="IU216" s="496" t="str">
        <f> IF(IU236&lt;&gt;"",TEXT(AUX!#REF!,"dd-MMM-aa"),"")</f>
      </c>
      <c r="IV216" s="496" t="str">
        <f> IF(IV236&lt;&gt;"",TEXT(AUX!#REF!,"dd-MMM-aa"),"")</f>
      </c>
    </row>
    <row r="217" hidden="1">
      <c r="B217" s="833" t="s">
        <v>8</v>
      </c>
      <c r="C217" s="827">
        <v>143</v>
      </c>
      <c r="D217" s="827">
        <v>114</v>
      </c>
      <c r="E217" s="827">
        <v>116</v>
      </c>
      <c r="F217" s="827">
        <v>124</v>
      </c>
      <c r="G217" s="827">
        <v>122</v>
      </c>
      <c r="H217" s="827">
        <v>120</v>
      </c>
      <c r="I217" s="827">
        <v>121</v>
      </c>
      <c r="J217" s="827">
        <v>128</v>
      </c>
      <c r="K217" s="827">
        <v>130</v>
      </c>
      <c r="L217" s="827">
        <v>132</v>
      </c>
      <c r="M217" s="827">
        <v>129</v>
      </c>
      <c r="N217" s="827">
        <v>132</v>
      </c>
      <c r="O217" s="827">
        <v>138</v>
      </c>
      <c r="P217" s="827">
        <v>141</v>
      </c>
      <c r="Q217" s="827">
        <v>153</v>
      </c>
      <c r="R217" s="827">
        <v>156</v>
      </c>
      <c r="S217" s="827">
        <v>157</v>
      </c>
      <c r="T217" s="827">
        <v>159</v>
      </c>
      <c r="U217" s="827">
        <v>161</v>
      </c>
      <c r="V217" s="827">
        <v>165</v>
      </c>
      <c r="W217" s="827">
        <v>155</v>
      </c>
      <c r="X217" s="827">
        <v>155</v>
      </c>
      <c r="Y217" s="827">
        <v>160</v>
      </c>
      <c r="Z217" s="827">
        <v>159</v>
      </c>
      <c r="AA217" s="827">
        <v>160</v>
      </c>
      <c r="AB217" s="834">
        <v>165</v>
      </c>
      <c r="AC217" s="828">
        <v>160</v>
      </c>
      <c r="AD217" s="828">
        <v>166</v>
      </c>
      <c r="AE217" s="828">
        <v>165</v>
      </c>
      <c r="AF217" s="828">
        <v>166</v>
      </c>
      <c r="AG217" s="828">
        <v>167</v>
      </c>
      <c r="AH217" s="828">
        <v>167</v>
      </c>
      <c r="AI217" s="828">
        <v>166</v>
      </c>
      <c r="AJ217" s="828">
        <v>165</v>
      </c>
      <c r="AK217" s="828">
        <v>163</v>
      </c>
      <c r="AL217" s="828">
        <v>158</v>
      </c>
      <c r="AM217" s="828">
        <v>153</v>
      </c>
      <c r="AN217" s="828">
        <v>151</v>
      </c>
      <c r="AO217" s="828">
        <v>151</v>
      </c>
      <c r="AP217" s="828">
        <v>152</v>
      </c>
    </row>
    <row r="218" hidden="1">
      <c r="B218" s="829" t="s">
        <v>9</v>
      </c>
      <c r="C218" s="823">
        <v>11</v>
      </c>
      <c r="D218" s="823">
        <v>11</v>
      </c>
      <c r="E218" s="823">
        <v>12</v>
      </c>
      <c r="F218" s="823">
        <v>13</v>
      </c>
      <c r="G218" s="823">
        <v>13</v>
      </c>
      <c r="H218" s="823">
        <v>23</v>
      </c>
      <c r="I218" s="823">
        <v>23</v>
      </c>
      <c r="J218" s="823">
        <v>23</v>
      </c>
      <c r="K218" s="823">
        <v>23</v>
      </c>
      <c r="L218" s="823">
        <v>23</v>
      </c>
      <c r="M218" s="823">
        <v>24</v>
      </c>
      <c r="N218" s="823">
        <v>19</v>
      </c>
      <c r="O218" s="823">
        <v>20</v>
      </c>
      <c r="P218" s="823">
        <v>20</v>
      </c>
      <c r="Q218" s="823">
        <v>19</v>
      </c>
      <c r="R218" s="823">
        <v>19</v>
      </c>
      <c r="S218" s="823">
        <v>19</v>
      </c>
      <c r="T218" s="823">
        <v>21</v>
      </c>
      <c r="U218" s="823">
        <v>23</v>
      </c>
      <c r="V218" s="823">
        <v>24</v>
      </c>
      <c r="W218" s="823">
        <v>26</v>
      </c>
      <c r="X218" s="823">
        <v>27</v>
      </c>
      <c r="Y218" s="823">
        <v>28</v>
      </c>
      <c r="Z218" s="823">
        <v>28</v>
      </c>
      <c r="AA218" s="823">
        <v>25</v>
      </c>
      <c r="AB218" s="823">
        <v>25</v>
      </c>
      <c r="AC218" s="825">
        <v>26</v>
      </c>
      <c r="AD218" s="825">
        <v>22</v>
      </c>
      <c r="AE218" s="825">
        <v>22</v>
      </c>
      <c r="AF218" s="825">
        <v>23</v>
      </c>
      <c r="AG218" s="825">
        <v>25</v>
      </c>
      <c r="AH218" s="825">
        <v>25</v>
      </c>
      <c r="AI218" s="825">
        <v>25</v>
      </c>
      <c r="AJ218" s="825">
        <v>26</v>
      </c>
      <c r="AK218" s="825">
        <v>25</v>
      </c>
      <c r="AL218" s="825">
        <v>25</v>
      </c>
      <c r="AM218" s="825">
        <v>23</v>
      </c>
      <c r="AN218" s="825">
        <v>22</v>
      </c>
      <c r="AO218" s="825">
        <v>25</v>
      </c>
      <c r="AP218" s="825">
        <v>26</v>
      </c>
    </row>
    <row r="219" hidden="1">
      <c r="B219" s="826" t="s">
        <v>10</v>
      </c>
      <c r="C219" s="827">
        <v>11</v>
      </c>
      <c r="D219" s="827">
        <v>11</v>
      </c>
      <c r="E219" s="827">
        <v>11</v>
      </c>
      <c r="F219" s="827">
        <v>11</v>
      </c>
      <c r="G219" s="827">
        <v>11</v>
      </c>
      <c r="H219" s="827">
        <v>5</v>
      </c>
      <c r="I219" s="827">
        <v>6</v>
      </c>
      <c r="J219" s="827">
        <v>6</v>
      </c>
      <c r="K219" s="827">
        <v>4</v>
      </c>
      <c r="L219" s="827">
        <v>5</v>
      </c>
      <c r="M219" s="827">
        <v>6</v>
      </c>
      <c r="N219" s="827">
        <v>7</v>
      </c>
      <c r="O219" s="827">
        <v>8</v>
      </c>
      <c r="P219" s="827">
        <v>9</v>
      </c>
      <c r="Q219" s="827">
        <v>11</v>
      </c>
      <c r="R219" s="827">
        <v>12</v>
      </c>
      <c r="S219" s="827">
        <v>13</v>
      </c>
      <c r="T219" s="827">
        <v>13</v>
      </c>
      <c r="U219" s="827">
        <v>13</v>
      </c>
      <c r="V219" s="827">
        <v>13</v>
      </c>
      <c r="W219" s="827">
        <v>12</v>
      </c>
      <c r="X219" s="827">
        <v>12</v>
      </c>
      <c r="Y219" s="827">
        <v>13</v>
      </c>
      <c r="Z219" s="827">
        <v>12</v>
      </c>
      <c r="AA219" s="827">
        <v>12</v>
      </c>
      <c r="AB219" s="827">
        <v>12</v>
      </c>
      <c r="AC219" s="828">
        <v>12</v>
      </c>
      <c r="AD219" s="828">
        <v>12</v>
      </c>
      <c r="AE219" s="828">
        <v>12</v>
      </c>
      <c r="AF219" s="828">
        <v>11</v>
      </c>
      <c r="AG219" s="828">
        <v>6</v>
      </c>
      <c r="AH219" s="828">
        <v>7</v>
      </c>
      <c r="AI219" s="828">
        <v>7</v>
      </c>
      <c r="AJ219" s="828">
        <v>7</v>
      </c>
      <c r="AK219" s="828">
        <v>7</v>
      </c>
      <c r="AL219" s="828">
        <v>7</v>
      </c>
      <c r="AM219" s="828">
        <v>6</v>
      </c>
      <c r="AN219" s="828">
        <v>6</v>
      </c>
      <c r="AO219" s="828">
        <v>6</v>
      </c>
      <c r="AP219" s="828">
        <v>6</v>
      </c>
    </row>
    <row r="220" hidden="1">
      <c r="B220" s="829" t="s">
        <v>11</v>
      </c>
      <c r="C220" s="823">
        <v>4</v>
      </c>
      <c r="D220" s="823">
        <v>4</v>
      </c>
      <c r="E220" s="823">
        <v>4</v>
      </c>
      <c r="F220" s="823">
        <v>4</v>
      </c>
      <c r="G220" s="823">
        <v>5</v>
      </c>
      <c r="H220" s="823">
        <v>5</v>
      </c>
      <c r="I220" s="823">
        <v>5</v>
      </c>
      <c r="J220" s="823">
        <v>5</v>
      </c>
      <c r="K220" s="823">
        <v>5</v>
      </c>
      <c r="L220" s="823">
        <v>5</v>
      </c>
      <c r="M220" s="823">
        <v>5</v>
      </c>
      <c r="N220" s="823">
        <v>7</v>
      </c>
      <c r="O220" s="823">
        <v>9</v>
      </c>
      <c r="P220" s="823">
        <v>9</v>
      </c>
      <c r="Q220" s="823">
        <v>9</v>
      </c>
      <c r="R220" s="823">
        <v>9</v>
      </c>
      <c r="S220" s="823">
        <v>11</v>
      </c>
      <c r="T220" s="823">
        <v>12</v>
      </c>
      <c r="U220" s="823">
        <v>13</v>
      </c>
      <c r="V220" s="823">
        <v>13</v>
      </c>
      <c r="W220" s="823">
        <v>13</v>
      </c>
      <c r="X220" s="823">
        <v>14</v>
      </c>
      <c r="Y220" s="823">
        <v>15</v>
      </c>
      <c r="Z220" s="823">
        <v>10</v>
      </c>
      <c r="AA220" s="823">
        <v>11</v>
      </c>
      <c r="AB220" s="823">
        <v>11</v>
      </c>
      <c r="AC220" s="825">
        <v>8</v>
      </c>
      <c r="AD220" s="825">
        <v>10</v>
      </c>
      <c r="AE220" s="825">
        <v>10</v>
      </c>
      <c r="AF220" s="825">
        <v>10</v>
      </c>
      <c r="AG220" s="825">
        <v>8</v>
      </c>
      <c r="AH220" s="825">
        <v>8</v>
      </c>
      <c r="AI220" s="825">
        <v>8</v>
      </c>
      <c r="AJ220" s="825">
        <v>8</v>
      </c>
      <c r="AK220" s="825">
        <v>9</v>
      </c>
      <c r="AL220" s="825">
        <v>9</v>
      </c>
      <c r="AM220" s="825">
        <v>9</v>
      </c>
      <c r="AN220" s="825">
        <v>9</v>
      </c>
      <c r="AO220" s="825">
        <v>10</v>
      </c>
      <c r="AP220" s="825">
        <v>10</v>
      </c>
    </row>
    <row r="221" hidden="1">
      <c r="B221" s="826" t="s">
        <v>12</v>
      </c>
      <c r="C221" s="827">
        <v>1</v>
      </c>
      <c r="D221" s="827">
        <v>1</v>
      </c>
      <c r="E221" s="827">
        <v>0</v>
      </c>
      <c r="F221" s="827">
        <v>0</v>
      </c>
      <c r="G221" s="827">
        <v>1</v>
      </c>
      <c r="H221" s="827">
        <v>2</v>
      </c>
      <c r="I221" s="827">
        <v>3</v>
      </c>
      <c r="J221" s="827">
        <v>4</v>
      </c>
      <c r="K221" s="827">
        <v>5</v>
      </c>
      <c r="L221" s="827">
        <v>5</v>
      </c>
      <c r="M221" s="827">
        <v>8</v>
      </c>
      <c r="N221" s="827">
        <v>11</v>
      </c>
      <c r="O221" s="827">
        <v>11</v>
      </c>
      <c r="P221" s="827">
        <v>11</v>
      </c>
      <c r="Q221" s="827">
        <v>9</v>
      </c>
      <c r="R221" s="827">
        <v>9</v>
      </c>
      <c r="S221" s="827">
        <v>8</v>
      </c>
      <c r="T221" s="827">
        <v>13</v>
      </c>
      <c r="U221" s="827">
        <v>12</v>
      </c>
      <c r="V221" s="827">
        <v>14</v>
      </c>
      <c r="W221" s="827">
        <v>15</v>
      </c>
      <c r="X221" s="827">
        <v>17</v>
      </c>
      <c r="Y221" s="827">
        <v>14</v>
      </c>
      <c r="Z221" s="827">
        <v>14</v>
      </c>
      <c r="AA221" s="827">
        <v>15</v>
      </c>
      <c r="AB221" s="827">
        <v>15</v>
      </c>
      <c r="AC221" s="828">
        <v>14</v>
      </c>
      <c r="AD221" s="828">
        <v>17</v>
      </c>
      <c r="AE221" s="828">
        <v>17</v>
      </c>
      <c r="AF221" s="828">
        <v>18</v>
      </c>
      <c r="AG221" s="828">
        <v>24</v>
      </c>
      <c r="AH221" s="828">
        <v>27</v>
      </c>
      <c r="AI221" s="828">
        <v>31</v>
      </c>
      <c r="AJ221" s="828">
        <v>33</v>
      </c>
      <c r="AK221" s="828">
        <v>31</v>
      </c>
      <c r="AL221" s="828">
        <v>34</v>
      </c>
      <c r="AM221" s="828">
        <v>38</v>
      </c>
      <c r="AN221" s="828">
        <v>40</v>
      </c>
      <c r="AO221" s="828">
        <v>42</v>
      </c>
      <c r="AP221" s="828">
        <v>49</v>
      </c>
    </row>
    <row r="222" hidden="1">
      <c r="B222" s="829" t="s">
        <v>13</v>
      </c>
      <c r="C222" s="823">
        <v>2</v>
      </c>
      <c r="D222" s="823">
        <v>2</v>
      </c>
      <c r="E222" s="823">
        <v>0</v>
      </c>
      <c r="F222" s="823">
        <v>0</v>
      </c>
      <c r="G222" s="823">
        <v>0</v>
      </c>
      <c r="H222" s="823">
        <v>0</v>
      </c>
      <c r="I222" s="823">
        <v>0</v>
      </c>
      <c r="J222" s="823">
        <v>0</v>
      </c>
      <c r="K222" s="823">
        <v>0</v>
      </c>
      <c r="L222" s="823">
        <v>0</v>
      </c>
      <c r="M222" s="823">
        <v>0</v>
      </c>
      <c r="N222" s="823">
        <v>1</v>
      </c>
      <c r="O222" s="823">
        <v>1</v>
      </c>
      <c r="P222" s="823">
        <v>0</v>
      </c>
      <c r="Q222" s="823">
        <v>1</v>
      </c>
      <c r="R222" s="823">
        <v>1</v>
      </c>
      <c r="S222" s="823">
        <v>1</v>
      </c>
      <c r="T222" s="823">
        <v>1</v>
      </c>
      <c r="U222" s="823">
        <v>1</v>
      </c>
      <c r="V222" s="823">
        <v>1</v>
      </c>
      <c r="W222" s="823">
        <v>1</v>
      </c>
      <c r="X222" s="823">
        <v>1</v>
      </c>
      <c r="Y222" s="823">
        <v>1</v>
      </c>
      <c r="Z222" s="823">
        <v>1</v>
      </c>
      <c r="AA222" s="823">
        <v>4</v>
      </c>
      <c r="AB222" s="823">
        <v>4</v>
      </c>
      <c r="AC222" s="825">
        <v>6</v>
      </c>
      <c r="AD222" s="825">
        <v>5</v>
      </c>
      <c r="AE222" s="825">
        <v>5</v>
      </c>
      <c r="AF222" s="825">
        <v>3</v>
      </c>
      <c r="AG222" s="825">
        <v>4</v>
      </c>
      <c r="AH222" s="825">
        <v>4</v>
      </c>
      <c r="AI222" s="825">
        <v>4</v>
      </c>
      <c r="AJ222" s="825">
        <v>3</v>
      </c>
      <c r="AK222" s="825">
        <v>3</v>
      </c>
      <c r="AL222" s="825">
        <v>3</v>
      </c>
      <c r="AM222" s="825">
        <v>2</v>
      </c>
      <c r="AN222" s="825">
        <v>2</v>
      </c>
      <c r="AO222" s="825">
        <v>3</v>
      </c>
      <c r="AP222" s="825">
        <v>3</v>
      </c>
    </row>
    <row r="223" hidden="1">
      <c r="B223" s="826" t="s">
        <v>109</v>
      </c>
      <c r="C223" s="827">
        <v>7</v>
      </c>
      <c r="D223" s="827">
        <v>7</v>
      </c>
      <c r="E223" s="827">
        <v>7</v>
      </c>
      <c r="F223" s="827">
        <v>6</v>
      </c>
      <c r="G223" s="827">
        <v>5</v>
      </c>
      <c r="H223" s="827">
        <v>7</v>
      </c>
      <c r="I223" s="827">
        <v>7</v>
      </c>
      <c r="J223" s="827">
        <v>8</v>
      </c>
      <c r="K223" s="827">
        <v>8</v>
      </c>
      <c r="L223" s="827">
        <v>9</v>
      </c>
      <c r="M223" s="827">
        <v>9</v>
      </c>
      <c r="N223" s="827">
        <v>10</v>
      </c>
      <c r="O223" s="827">
        <v>13</v>
      </c>
      <c r="P223" s="827">
        <v>13</v>
      </c>
      <c r="Q223" s="827">
        <v>11</v>
      </c>
      <c r="R223" s="827">
        <v>11</v>
      </c>
      <c r="S223" s="827">
        <v>11</v>
      </c>
      <c r="T223" s="827">
        <v>11</v>
      </c>
      <c r="U223" s="827">
        <v>12</v>
      </c>
      <c r="V223" s="827">
        <v>12</v>
      </c>
      <c r="W223" s="827">
        <v>12</v>
      </c>
      <c r="X223" s="827">
        <v>12</v>
      </c>
      <c r="Y223" s="827">
        <v>11</v>
      </c>
      <c r="Z223" s="827">
        <v>11</v>
      </c>
      <c r="AA223" s="827">
        <v>10</v>
      </c>
      <c r="AB223" s="827">
        <v>10</v>
      </c>
      <c r="AC223" s="828">
        <v>10</v>
      </c>
      <c r="AD223" s="828">
        <v>10</v>
      </c>
      <c r="AE223" s="828">
        <v>10</v>
      </c>
      <c r="AF223" s="828">
        <v>10</v>
      </c>
      <c r="AG223" s="828">
        <v>11</v>
      </c>
      <c r="AH223" s="828">
        <v>11</v>
      </c>
      <c r="AI223" s="828">
        <v>12</v>
      </c>
      <c r="AJ223" s="828">
        <v>12</v>
      </c>
      <c r="AK223" s="828">
        <v>11</v>
      </c>
      <c r="AL223" s="828">
        <v>11</v>
      </c>
      <c r="AM223" s="828">
        <v>10</v>
      </c>
      <c r="AN223" s="828">
        <v>10</v>
      </c>
      <c r="AO223" s="828">
        <v>10</v>
      </c>
      <c r="AP223" s="828">
        <v>10</v>
      </c>
    </row>
    <row r="224" hidden="1">
      <c r="B224" s="829" t="s">
        <v>110</v>
      </c>
      <c r="C224" s="823">
        <v>21</v>
      </c>
      <c r="D224" s="823">
        <v>22</v>
      </c>
      <c r="E224" s="823">
        <v>22</v>
      </c>
      <c r="F224" s="823">
        <v>24</v>
      </c>
      <c r="G224" s="823">
        <v>24</v>
      </c>
      <c r="H224" s="823">
        <v>26</v>
      </c>
      <c r="I224" s="823">
        <v>28</v>
      </c>
      <c r="J224" s="823">
        <v>27</v>
      </c>
      <c r="K224" s="823">
        <v>27</v>
      </c>
      <c r="L224" s="823">
        <v>27</v>
      </c>
      <c r="M224" s="823">
        <v>27</v>
      </c>
      <c r="N224" s="823">
        <v>21</v>
      </c>
      <c r="O224" s="823">
        <v>14</v>
      </c>
      <c r="P224" s="823">
        <v>15</v>
      </c>
      <c r="Q224" s="823">
        <v>15</v>
      </c>
      <c r="R224" s="823">
        <v>14</v>
      </c>
      <c r="S224" s="823">
        <v>14</v>
      </c>
      <c r="T224" s="823">
        <v>14</v>
      </c>
      <c r="U224" s="823">
        <v>14</v>
      </c>
      <c r="V224" s="823">
        <v>15</v>
      </c>
      <c r="W224" s="823">
        <v>15</v>
      </c>
      <c r="X224" s="823">
        <v>15</v>
      </c>
      <c r="Y224" s="823">
        <v>14</v>
      </c>
      <c r="Z224" s="823">
        <v>13</v>
      </c>
      <c r="AA224" s="823">
        <v>13</v>
      </c>
      <c r="AB224" s="823">
        <v>12</v>
      </c>
      <c r="AC224" s="825">
        <v>13</v>
      </c>
      <c r="AD224" s="825">
        <v>13</v>
      </c>
      <c r="AE224" s="825">
        <v>13</v>
      </c>
      <c r="AF224" s="825">
        <v>14</v>
      </c>
      <c r="AG224" s="825">
        <v>13</v>
      </c>
      <c r="AH224" s="825">
        <v>10</v>
      </c>
      <c r="AI224" s="825">
        <v>11</v>
      </c>
      <c r="AJ224" s="825">
        <v>11</v>
      </c>
      <c r="AK224" s="825">
        <v>12</v>
      </c>
      <c r="AL224" s="825">
        <v>11</v>
      </c>
      <c r="AM224" s="825">
        <v>11</v>
      </c>
      <c r="AN224" s="825">
        <v>10</v>
      </c>
      <c r="AO224" s="825">
        <v>9</v>
      </c>
      <c r="AP224" s="825">
        <v>9</v>
      </c>
    </row>
    <row r="225" hidden="1">
      <c r="B225" s="826" t="s">
        <v>16</v>
      </c>
      <c r="C225" s="827">
        <v>52</v>
      </c>
      <c r="D225" s="827">
        <v>54</v>
      </c>
      <c r="E225" s="827">
        <v>55</v>
      </c>
      <c r="F225" s="827">
        <v>56</v>
      </c>
      <c r="G225" s="827">
        <v>57</v>
      </c>
      <c r="H225" s="827">
        <v>57</v>
      </c>
      <c r="I225" s="827">
        <v>58</v>
      </c>
      <c r="J225" s="827">
        <v>60</v>
      </c>
      <c r="K225" s="827">
        <v>62</v>
      </c>
      <c r="L225" s="827">
        <v>65</v>
      </c>
      <c r="M225" s="827">
        <v>65</v>
      </c>
      <c r="N225" s="827">
        <v>64</v>
      </c>
      <c r="O225" s="827">
        <v>64</v>
      </c>
      <c r="P225" s="827">
        <v>67</v>
      </c>
      <c r="Q225" s="827">
        <v>65</v>
      </c>
      <c r="R225" s="827">
        <v>67</v>
      </c>
      <c r="S225" s="827">
        <v>67</v>
      </c>
      <c r="T225" s="827">
        <v>67</v>
      </c>
      <c r="U225" s="827">
        <v>68</v>
      </c>
      <c r="V225" s="827">
        <v>71</v>
      </c>
      <c r="W225" s="827">
        <v>70</v>
      </c>
      <c r="X225" s="827">
        <v>73</v>
      </c>
      <c r="Y225" s="827">
        <v>71</v>
      </c>
      <c r="Z225" s="827">
        <v>71</v>
      </c>
      <c r="AA225" s="827">
        <v>75</v>
      </c>
      <c r="AB225" s="827">
        <v>76</v>
      </c>
      <c r="AC225" s="828">
        <v>71</v>
      </c>
      <c r="AD225" s="828">
        <v>72</v>
      </c>
      <c r="AE225" s="828">
        <v>70</v>
      </c>
      <c r="AF225" s="828">
        <v>69</v>
      </c>
      <c r="AG225" s="828">
        <v>72</v>
      </c>
      <c r="AH225" s="828">
        <v>69</v>
      </c>
      <c r="AI225" s="828">
        <v>68</v>
      </c>
      <c r="AJ225" s="828">
        <v>68</v>
      </c>
      <c r="AK225" s="828">
        <v>65</v>
      </c>
      <c r="AL225" s="828">
        <v>63</v>
      </c>
      <c r="AM225" s="828">
        <v>65</v>
      </c>
      <c r="AN225" s="828">
        <v>63</v>
      </c>
      <c r="AO225" s="828">
        <v>65</v>
      </c>
      <c r="AP225" s="828">
        <v>66</v>
      </c>
    </row>
    <row r="226" hidden="1">
      <c r="B226" s="829" t="s">
        <v>17</v>
      </c>
      <c r="C226" s="823">
        <v>7</v>
      </c>
      <c r="D226" s="823">
        <v>7</v>
      </c>
      <c r="E226" s="823">
        <v>8</v>
      </c>
      <c r="F226" s="823">
        <v>8</v>
      </c>
      <c r="G226" s="823">
        <v>8</v>
      </c>
      <c r="H226" s="823">
        <v>8</v>
      </c>
      <c r="I226" s="823">
        <v>8</v>
      </c>
      <c r="J226" s="823">
        <v>8</v>
      </c>
      <c r="K226" s="823">
        <v>8</v>
      </c>
      <c r="L226" s="823">
        <v>8</v>
      </c>
      <c r="M226" s="823">
        <v>8</v>
      </c>
      <c r="N226" s="823">
        <v>9</v>
      </c>
      <c r="O226" s="823">
        <v>9</v>
      </c>
      <c r="P226" s="823">
        <v>10</v>
      </c>
      <c r="Q226" s="823">
        <v>9</v>
      </c>
      <c r="R226" s="823">
        <v>9</v>
      </c>
      <c r="S226" s="823">
        <v>9</v>
      </c>
      <c r="T226" s="823">
        <v>9</v>
      </c>
      <c r="U226" s="823">
        <v>9</v>
      </c>
      <c r="V226" s="823">
        <v>9</v>
      </c>
      <c r="W226" s="823">
        <v>11</v>
      </c>
      <c r="X226" s="823">
        <v>11</v>
      </c>
      <c r="Y226" s="823">
        <v>14</v>
      </c>
      <c r="Z226" s="823">
        <v>14</v>
      </c>
      <c r="AA226" s="823">
        <v>12</v>
      </c>
      <c r="AB226" s="823">
        <v>12</v>
      </c>
      <c r="AC226" s="825">
        <v>13</v>
      </c>
      <c r="AD226" s="825">
        <v>14</v>
      </c>
      <c r="AE226" s="825">
        <v>14</v>
      </c>
      <c r="AF226" s="825">
        <v>14</v>
      </c>
      <c r="AG226" s="825">
        <v>13</v>
      </c>
      <c r="AH226" s="825">
        <v>12</v>
      </c>
      <c r="AI226" s="825">
        <v>12</v>
      </c>
      <c r="AJ226" s="825">
        <v>12</v>
      </c>
      <c r="AK226" s="825">
        <v>12</v>
      </c>
      <c r="AL226" s="825">
        <v>12</v>
      </c>
      <c r="AM226" s="825">
        <v>13</v>
      </c>
      <c r="AN226" s="825">
        <v>13</v>
      </c>
      <c r="AO226" s="825">
        <v>13</v>
      </c>
      <c r="AP226" s="825">
        <v>13</v>
      </c>
    </row>
    <row r="227" hidden="1">
      <c r="B227" s="826" t="s">
        <v>18</v>
      </c>
      <c r="C227" s="827">
        <v>0</v>
      </c>
      <c r="D227" s="827">
        <v>1</v>
      </c>
      <c r="E227" s="827">
        <v>1</v>
      </c>
      <c r="F227" s="827">
        <v>4</v>
      </c>
      <c r="G227" s="827">
        <v>4</v>
      </c>
      <c r="H227" s="827">
        <v>4</v>
      </c>
      <c r="I227" s="827">
        <v>4</v>
      </c>
      <c r="J227" s="827">
        <v>4</v>
      </c>
      <c r="K227" s="827">
        <v>4</v>
      </c>
      <c r="L227" s="827">
        <v>4</v>
      </c>
      <c r="M227" s="827">
        <v>4</v>
      </c>
      <c r="N227" s="827">
        <v>4</v>
      </c>
      <c r="O227" s="827">
        <v>5</v>
      </c>
      <c r="P227" s="827">
        <v>5</v>
      </c>
      <c r="Q227" s="827">
        <v>5</v>
      </c>
      <c r="R227" s="827">
        <v>5</v>
      </c>
      <c r="S227" s="827">
        <v>5</v>
      </c>
      <c r="T227" s="827">
        <v>5</v>
      </c>
      <c r="U227" s="827">
        <v>5</v>
      </c>
      <c r="V227" s="827">
        <v>5</v>
      </c>
      <c r="W227" s="827">
        <v>5</v>
      </c>
      <c r="X227" s="827">
        <v>5</v>
      </c>
      <c r="Y227" s="827">
        <v>5</v>
      </c>
      <c r="Z227" s="827">
        <v>5</v>
      </c>
      <c r="AA227" s="827">
        <v>3</v>
      </c>
      <c r="AB227" s="827">
        <v>3</v>
      </c>
      <c r="AC227" s="828">
        <v>4</v>
      </c>
      <c r="AD227" s="828">
        <v>5</v>
      </c>
      <c r="AE227" s="828">
        <v>6</v>
      </c>
      <c r="AF227" s="828">
        <v>7</v>
      </c>
      <c r="AG227" s="828">
        <v>6</v>
      </c>
      <c r="AH227" s="828">
        <v>7</v>
      </c>
      <c r="AI227" s="828">
        <v>7</v>
      </c>
      <c r="AJ227" s="828">
        <v>6</v>
      </c>
      <c r="AK227" s="828">
        <v>4</v>
      </c>
      <c r="AL227" s="828">
        <v>3</v>
      </c>
      <c r="AM227" s="828">
        <v>3</v>
      </c>
      <c r="AN227" s="828">
        <v>3</v>
      </c>
      <c r="AO227" s="828">
        <v>3</v>
      </c>
      <c r="AP227" s="828">
        <v>3</v>
      </c>
    </row>
    <row r="228" hidden="1">
      <c r="B228" s="829" t="s">
        <v>19</v>
      </c>
      <c r="C228" s="823">
        <v>1</v>
      </c>
      <c r="D228" s="823">
        <v>1</v>
      </c>
      <c r="E228" s="823">
        <v>2</v>
      </c>
      <c r="F228" s="823">
        <v>4</v>
      </c>
      <c r="G228" s="823">
        <v>4</v>
      </c>
      <c r="H228" s="823">
        <v>4</v>
      </c>
      <c r="I228" s="823">
        <v>4</v>
      </c>
      <c r="J228" s="823">
        <v>4</v>
      </c>
      <c r="K228" s="823">
        <v>4</v>
      </c>
      <c r="L228" s="823">
        <v>5</v>
      </c>
      <c r="M228" s="823">
        <v>5</v>
      </c>
      <c r="N228" s="823">
        <v>5</v>
      </c>
      <c r="O228" s="823">
        <v>5</v>
      </c>
      <c r="P228" s="823">
        <v>5</v>
      </c>
      <c r="Q228" s="823">
        <v>5</v>
      </c>
      <c r="R228" s="823">
        <v>5</v>
      </c>
      <c r="S228" s="823">
        <v>5</v>
      </c>
      <c r="T228" s="823">
        <v>5</v>
      </c>
      <c r="U228" s="823">
        <v>5</v>
      </c>
      <c r="V228" s="823">
        <v>5</v>
      </c>
      <c r="W228" s="823">
        <v>6</v>
      </c>
      <c r="X228" s="823">
        <v>6</v>
      </c>
      <c r="Y228" s="823">
        <v>7</v>
      </c>
      <c r="Z228" s="823">
        <v>9</v>
      </c>
      <c r="AA228" s="823">
        <v>9</v>
      </c>
      <c r="AB228" s="823">
        <v>9</v>
      </c>
      <c r="AC228" s="825">
        <v>9</v>
      </c>
      <c r="AD228" s="825">
        <v>9</v>
      </c>
      <c r="AE228" s="825">
        <v>9</v>
      </c>
      <c r="AF228" s="825">
        <v>9</v>
      </c>
      <c r="AG228" s="825">
        <v>9</v>
      </c>
      <c r="AH228" s="825">
        <v>9</v>
      </c>
      <c r="AI228" s="825">
        <v>9</v>
      </c>
      <c r="AJ228" s="825">
        <v>7</v>
      </c>
      <c r="AK228" s="825">
        <v>8</v>
      </c>
      <c r="AL228" s="825">
        <v>8</v>
      </c>
      <c r="AM228" s="825">
        <v>9</v>
      </c>
      <c r="AN228" s="825">
        <v>10</v>
      </c>
      <c r="AO228" s="825">
        <v>9</v>
      </c>
      <c r="AP228" s="825">
        <v>9</v>
      </c>
    </row>
    <row r="229" hidden="1">
      <c r="B229" s="826" t="s">
        <v>20</v>
      </c>
      <c r="C229" s="827">
        <v>5</v>
      </c>
      <c r="D229" s="827">
        <v>5</v>
      </c>
      <c r="E229" s="827">
        <v>5</v>
      </c>
      <c r="F229" s="827">
        <v>5</v>
      </c>
      <c r="G229" s="827">
        <v>5</v>
      </c>
      <c r="H229" s="827">
        <v>5</v>
      </c>
      <c r="I229" s="827">
        <v>5</v>
      </c>
      <c r="J229" s="827">
        <v>6</v>
      </c>
      <c r="K229" s="827">
        <v>4</v>
      </c>
      <c r="L229" s="827">
        <v>4</v>
      </c>
      <c r="M229" s="827">
        <v>4</v>
      </c>
      <c r="N229" s="827">
        <v>4</v>
      </c>
      <c r="O229" s="827">
        <v>4</v>
      </c>
      <c r="P229" s="827">
        <v>5</v>
      </c>
      <c r="Q229" s="827">
        <v>5</v>
      </c>
      <c r="R229" s="827">
        <v>5</v>
      </c>
      <c r="S229" s="827">
        <v>5</v>
      </c>
      <c r="T229" s="827">
        <v>5</v>
      </c>
      <c r="U229" s="827">
        <v>4</v>
      </c>
      <c r="V229" s="827">
        <v>4</v>
      </c>
      <c r="W229" s="827">
        <v>4</v>
      </c>
      <c r="X229" s="827">
        <v>4</v>
      </c>
      <c r="Y229" s="827">
        <v>4</v>
      </c>
      <c r="Z229" s="827">
        <v>4</v>
      </c>
      <c r="AA229" s="827">
        <v>4</v>
      </c>
      <c r="AB229" s="827">
        <v>5</v>
      </c>
      <c r="AC229" s="828">
        <v>5</v>
      </c>
      <c r="AD229" s="828">
        <v>6</v>
      </c>
      <c r="AE229" s="828">
        <v>8</v>
      </c>
      <c r="AF229" s="828">
        <v>9</v>
      </c>
      <c r="AG229" s="828">
        <v>7</v>
      </c>
      <c r="AH229" s="828">
        <v>9</v>
      </c>
      <c r="AI229" s="828">
        <v>8</v>
      </c>
      <c r="AJ229" s="828">
        <v>8</v>
      </c>
      <c r="AK229" s="828">
        <v>7</v>
      </c>
      <c r="AL229" s="828">
        <v>6</v>
      </c>
      <c r="AM229" s="828">
        <v>5</v>
      </c>
      <c r="AN229" s="828">
        <v>6</v>
      </c>
      <c r="AO229" s="828">
        <v>6</v>
      </c>
      <c r="AP229" s="828">
        <v>8</v>
      </c>
    </row>
    <row r="230" hidden="1">
      <c r="B230" s="829" t="s">
        <v>21</v>
      </c>
      <c r="C230" s="823">
        <v>0</v>
      </c>
      <c r="D230" s="823">
        <v>0</v>
      </c>
      <c r="E230" s="823">
        <v>0</v>
      </c>
      <c r="F230" s="823">
        <v>0</v>
      </c>
      <c r="G230" s="823">
        <v>0</v>
      </c>
      <c r="H230" s="823">
        <v>0</v>
      </c>
      <c r="I230" s="823">
        <v>0</v>
      </c>
      <c r="J230" s="823">
        <v>0</v>
      </c>
      <c r="K230" s="823">
        <v>0</v>
      </c>
      <c r="L230" s="823">
        <v>0</v>
      </c>
      <c r="M230" s="823">
        <v>0</v>
      </c>
      <c r="N230" s="823">
        <v>0</v>
      </c>
      <c r="O230" s="823">
        <v>0</v>
      </c>
      <c r="P230" s="823">
        <v>0</v>
      </c>
      <c r="Q230" s="823">
        <v>0</v>
      </c>
      <c r="R230" s="823">
        <v>0</v>
      </c>
      <c r="S230" s="823">
        <v>1</v>
      </c>
      <c r="T230" s="823">
        <v>2</v>
      </c>
      <c r="U230" s="823">
        <v>3</v>
      </c>
      <c r="V230" s="823">
        <v>3</v>
      </c>
      <c r="W230" s="823">
        <v>3</v>
      </c>
      <c r="X230" s="823">
        <v>3</v>
      </c>
      <c r="Y230" s="823">
        <v>3</v>
      </c>
      <c r="Z230" s="823">
        <v>2</v>
      </c>
      <c r="AA230" s="823">
        <v>3</v>
      </c>
      <c r="AB230" s="823">
        <v>3</v>
      </c>
      <c r="AC230" s="825">
        <v>3</v>
      </c>
      <c r="AD230" s="825">
        <v>3</v>
      </c>
      <c r="AE230" s="825">
        <v>3</v>
      </c>
      <c r="AF230" s="825">
        <v>2</v>
      </c>
      <c r="AG230" s="825">
        <v>2</v>
      </c>
      <c r="AH230" s="825">
        <v>2</v>
      </c>
      <c r="AI230" s="825">
        <v>2</v>
      </c>
      <c r="AJ230" s="825">
        <v>1</v>
      </c>
      <c r="AK230" s="825">
        <v>1</v>
      </c>
      <c r="AL230" s="825">
        <v>1</v>
      </c>
      <c r="AM230" s="825">
        <v>2</v>
      </c>
      <c r="AN230" s="825">
        <v>2</v>
      </c>
      <c r="AO230" s="825">
        <v>2</v>
      </c>
      <c r="AP230" s="825">
        <v>2</v>
      </c>
    </row>
    <row r="231" hidden="1">
      <c r="B231" s="826" t="s">
        <v>22</v>
      </c>
      <c r="C231" s="827">
        <v>5</v>
      </c>
      <c r="D231" s="827">
        <v>23</v>
      </c>
      <c r="E231" s="827">
        <v>23</v>
      </c>
      <c r="F231" s="827">
        <v>23</v>
      </c>
      <c r="G231" s="827">
        <v>24</v>
      </c>
      <c r="H231" s="827">
        <v>26</v>
      </c>
      <c r="I231" s="827">
        <v>26</v>
      </c>
      <c r="J231" s="827">
        <v>26</v>
      </c>
      <c r="K231" s="827">
        <v>27</v>
      </c>
      <c r="L231" s="827">
        <v>23</v>
      </c>
      <c r="M231" s="827">
        <v>24</v>
      </c>
      <c r="N231" s="827">
        <v>26</v>
      </c>
      <c r="O231" s="827">
        <v>28</v>
      </c>
      <c r="P231" s="827">
        <v>28</v>
      </c>
      <c r="Q231" s="827">
        <v>28</v>
      </c>
      <c r="R231" s="827">
        <v>31</v>
      </c>
      <c r="S231" s="827">
        <v>32</v>
      </c>
      <c r="T231" s="827">
        <v>34</v>
      </c>
      <c r="U231" s="827">
        <v>30</v>
      </c>
      <c r="V231" s="827">
        <v>20</v>
      </c>
      <c r="W231" s="827">
        <v>21</v>
      </c>
      <c r="X231" s="827">
        <v>20</v>
      </c>
      <c r="Y231" s="827">
        <v>22</v>
      </c>
      <c r="Z231" s="827">
        <v>23</v>
      </c>
      <c r="AA231" s="827">
        <v>22</v>
      </c>
      <c r="AB231" s="827">
        <v>23</v>
      </c>
      <c r="AC231" s="828">
        <v>24</v>
      </c>
      <c r="AD231" s="828">
        <v>24</v>
      </c>
      <c r="AE231" s="828">
        <v>27</v>
      </c>
      <c r="AF231" s="828">
        <v>28</v>
      </c>
      <c r="AG231" s="828">
        <v>29</v>
      </c>
      <c r="AH231" s="828">
        <v>29</v>
      </c>
      <c r="AI231" s="828">
        <v>26</v>
      </c>
      <c r="AJ231" s="828">
        <v>27</v>
      </c>
      <c r="AK231" s="828">
        <v>28</v>
      </c>
      <c r="AL231" s="828">
        <v>28</v>
      </c>
      <c r="AM231" s="828">
        <v>26</v>
      </c>
      <c r="AN231" s="828">
        <v>27</v>
      </c>
      <c r="AO231" s="828">
        <v>26</v>
      </c>
      <c r="AP231" s="828">
        <v>30</v>
      </c>
    </row>
    <row r="232" hidden="1">
      <c r="B232" s="829" t="s">
        <v>23</v>
      </c>
      <c r="C232" s="823">
        <v>1</v>
      </c>
      <c r="D232" s="823">
        <v>1</v>
      </c>
      <c r="E232" s="823">
        <v>2</v>
      </c>
      <c r="F232" s="823">
        <v>2</v>
      </c>
      <c r="G232" s="823">
        <v>3</v>
      </c>
      <c r="H232" s="823">
        <v>3</v>
      </c>
      <c r="I232" s="823">
        <v>2</v>
      </c>
      <c r="J232" s="823">
        <v>2</v>
      </c>
      <c r="K232" s="823">
        <v>2</v>
      </c>
      <c r="L232" s="823">
        <v>2</v>
      </c>
      <c r="M232" s="823">
        <v>1</v>
      </c>
      <c r="N232" s="823">
        <v>1</v>
      </c>
      <c r="O232" s="823">
        <v>1</v>
      </c>
      <c r="P232" s="823">
        <v>1</v>
      </c>
      <c r="Q232" s="823">
        <v>2</v>
      </c>
      <c r="R232" s="823">
        <v>2</v>
      </c>
      <c r="S232" s="823">
        <v>2</v>
      </c>
      <c r="T232" s="823">
        <v>2</v>
      </c>
      <c r="U232" s="823">
        <v>2</v>
      </c>
      <c r="V232" s="823">
        <v>2</v>
      </c>
      <c r="W232" s="823">
        <v>3</v>
      </c>
      <c r="X232" s="823">
        <v>3</v>
      </c>
      <c r="Y232" s="823">
        <v>4</v>
      </c>
      <c r="Z232" s="823">
        <v>4</v>
      </c>
      <c r="AA232" s="823">
        <v>4</v>
      </c>
      <c r="AB232" s="823">
        <v>4</v>
      </c>
      <c r="AC232" s="825">
        <v>4</v>
      </c>
      <c r="AD232" s="825">
        <v>4</v>
      </c>
      <c r="AE232" s="825">
        <v>4</v>
      </c>
      <c r="AF232" s="825">
        <v>4</v>
      </c>
      <c r="AG232" s="825">
        <v>4</v>
      </c>
      <c r="AH232" s="825">
        <v>4</v>
      </c>
      <c r="AI232" s="825">
        <v>4</v>
      </c>
      <c r="AJ232" s="825">
        <v>4</v>
      </c>
      <c r="AK232" s="825">
        <v>4</v>
      </c>
      <c r="AL232" s="825">
        <v>4</v>
      </c>
      <c r="AM232" s="825">
        <v>4</v>
      </c>
      <c r="AN232" s="825">
        <v>4</v>
      </c>
      <c r="AO232" s="825">
        <v>4</v>
      </c>
      <c r="AP232" s="825">
        <v>2</v>
      </c>
    </row>
    <row r="233" hidden="1">
      <c r="B233" s="835" t="s">
        <v>24</v>
      </c>
      <c r="C233" s="827">
        <v>4</v>
      </c>
      <c r="D233" s="827">
        <v>4</v>
      </c>
      <c r="E233" s="827">
        <v>4</v>
      </c>
      <c r="F233" s="827">
        <v>4</v>
      </c>
      <c r="G233" s="827">
        <v>4</v>
      </c>
      <c r="H233" s="827">
        <v>3</v>
      </c>
      <c r="I233" s="827">
        <v>2</v>
      </c>
      <c r="J233" s="827">
        <v>3</v>
      </c>
      <c r="K233" s="827">
        <v>3</v>
      </c>
      <c r="L233" s="827">
        <v>3</v>
      </c>
      <c r="M233" s="827">
        <v>2</v>
      </c>
      <c r="N233" s="827">
        <v>2</v>
      </c>
      <c r="O233" s="827">
        <v>2</v>
      </c>
      <c r="P233" s="827">
        <v>2</v>
      </c>
      <c r="Q233" s="827">
        <v>2</v>
      </c>
      <c r="R233" s="827">
        <v>2</v>
      </c>
      <c r="S233" s="827">
        <v>2</v>
      </c>
      <c r="T233" s="827">
        <v>2</v>
      </c>
      <c r="U233" s="827">
        <v>2</v>
      </c>
      <c r="V233" s="827">
        <v>2</v>
      </c>
      <c r="W233" s="827">
        <v>2</v>
      </c>
      <c r="X233" s="827">
        <v>2</v>
      </c>
      <c r="Y233" s="827">
        <v>2</v>
      </c>
      <c r="Z233" s="827">
        <v>2</v>
      </c>
      <c r="AA233" s="827">
        <v>2</v>
      </c>
      <c r="AB233" s="827">
        <v>4</v>
      </c>
      <c r="AC233" s="828">
        <v>3</v>
      </c>
      <c r="AD233" s="828">
        <v>3</v>
      </c>
      <c r="AE233" s="828">
        <v>8</v>
      </c>
      <c r="AF233" s="828">
        <v>9</v>
      </c>
      <c r="AG233" s="828">
        <v>9</v>
      </c>
      <c r="AH233" s="828">
        <v>9</v>
      </c>
      <c r="AI233" s="828">
        <v>9</v>
      </c>
      <c r="AJ233" s="828">
        <v>10</v>
      </c>
      <c r="AK233" s="828">
        <v>12</v>
      </c>
      <c r="AL233" s="828">
        <v>12</v>
      </c>
      <c r="AM233" s="828">
        <v>11</v>
      </c>
      <c r="AN233" s="828">
        <v>11</v>
      </c>
      <c r="AO233" s="828">
        <v>13</v>
      </c>
      <c r="AP233" s="828">
        <v>14</v>
      </c>
    </row>
    <row r="234" hidden="1">
      <c r="B234" s="829" t="s">
        <v>25</v>
      </c>
      <c r="C234" s="823">
        <v>0</v>
      </c>
      <c r="D234" s="823">
        <v>0</v>
      </c>
      <c r="E234" s="823">
        <v>0</v>
      </c>
      <c r="F234" s="823">
        <v>0</v>
      </c>
      <c r="G234" s="823">
        <v>0</v>
      </c>
      <c r="H234" s="823">
        <v>0</v>
      </c>
      <c r="I234" s="823">
        <v>0</v>
      </c>
      <c r="J234" s="823">
        <v>0</v>
      </c>
      <c r="K234" s="823">
        <v>0</v>
      </c>
      <c r="L234" s="823">
        <v>0</v>
      </c>
      <c r="M234" s="823">
        <v>0</v>
      </c>
      <c r="N234" s="823">
        <v>0</v>
      </c>
      <c r="O234" s="823">
        <v>0</v>
      </c>
      <c r="P234" s="823">
        <v>0</v>
      </c>
      <c r="Q234" s="823">
        <v>0</v>
      </c>
      <c r="R234" s="823">
        <v>0</v>
      </c>
      <c r="S234" s="823">
        <v>0</v>
      </c>
      <c r="T234" s="823">
        <v>0</v>
      </c>
      <c r="U234" s="823">
        <v>0</v>
      </c>
      <c r="V234" s="823">
        <v>0</v>
      </c>
      <c r="W234" s="823">
        <v>0</v>
      </c>
      <c r="X234" s="823">
        <v>0</v>
      </c>
      <c r="Y234" s="823">
        <v>0</v>
      </c>
      <c r="Z234" s="823">
        <v>0</v>
      </c>
      <c r="AA234" s="823">
        <v>0</v>
      </c>
      <c r="AB234" s="823">
        <v>0</v>
      </c>
      <c r="AC234" s="825">
        <v>0</v>
      </c>
      <c r="AD234" s="825">
        <v>0</v>
      </c>
      <c r="AE234" s="825">
        <v>0</v>
      </c>
      <c r="AF234" s="825">
        <v>0</v>
      </c>
      <c r="AG234" s="825">
        <v>0</v>
      </c>
      <c r="AH234" s="825">
        <v>0</v>
      </c>
      <c r="AI234" s="825">
        <v>0</v>
      </c>
      <c r="AJ234" s="825">
        <v>0</v>
      </c>
      <c r="AK234" s="825">
        <v>0</v>
      </c>
      <c r="AL234" s="825">
        <v>0</v>
      </c>
      <c r="AM234" s="825">
        <v>0</v>
      </c>
      <c r="AN234" s="825">
        <v>0</v>
      </c>
      <c r="AO234" s="825">
        <v>0</v>
      </c>
      <c r="AP234" s="825">
        <v>0</v>
      </c>
    </row>
    <row r="235" hidden="1" ht="13.5">
      <c r="B235" s="836" t="s">
        <v>26</v>
      </c>
      <c r="C235" s="827">
        <v>0</v>
      </c>
      <c r="D235" s="827">
        <v>0</v>
      </c>
      <c r="E235" s="827">
        <v>0</v>
      </c>
      <c r="F235" s="827">
        <v>0</v>
      </c>
      <c r="G235" s="827">
        <v>0</v>
      </c>
      <c r="H235" s="827">
        <v>0</v>
      </c>
      <c r="I235" s="827">
        <v>0</v>
      </c>
      <c r="J235" s="827">
        <v>0</v>
      </c>
      <c r="K235" s="827">
        <v>0</v>
      </c>
      <c r="L235" s="827">
        <v>0</v>
      </c>
      <c r="M235" s="827">
        <v>0</v>
      </c>
      <c r="N235" s="827">
        <v>0</v>
      </c>
      <c r="O235" s="827">
        <v>0</v>
      </c>
      <c r="P235" s="827">
        <v>0</v>
      </c>
      <c r="Q235" s="827">
        <v>0</v>
      </c>
      <c r="R235" s="827">
        <v>0</v>
      </c>
      <c r="S235" s="827">
        <v>0</v>
      </c>
      <c r="T235" s="827">
        <v>0</v>
      </c>
      <c r="U235" s="827">
        <v>0</v>
      </c>
      <c r="V235" s="827">
        <v>0</v>
      </c>
      <c r="W235" s="827">
        <v>0</v>
      </c>
      <c r="X235" s="827">
        <v>0</v>
      </c>
      <c r="Y235" s="827">
        <v>0</v>
      </c>
      <c r="Z235" s="827">
        <v>0</v>
      </c>
      <c r="AA235" s="827">
        <v>0</v>
      </c>
      <c r="AB235" s="837">
        <v>0</v>
      </c>
      <c r="AC235" s="828">
        <v>0</v>
      </c>
      <c r="AD235" s="828">
        <v>0</v>
      </c>
      <c r="AE235" s="828">
        <v>0</v>
      </c>
      <c r="AF235" s="828">
        <v>0</v>
      </c>
      <c r="AG235" s="828">
        <v>0</v>
      </c>
      <c r="AH235" s="828">
        <v>0</v>
      </c>
      <c r="AI235" s="828">
        <v>0</v>
      </c>
      <c r="AJ235" s="828">
        <v>0</v>
      </c>
      <c r="AK235" s="828">
        <v>0</v>
      </c>
      <c r="AL235" s="828">
        <v>0</v>
      </c>
      <c r="AM235" s="828">
        <v>0</v>
      </c>
      <c r="AN235" s="828">
        <v>0</v>
      </c>
      <c r="AO235" s="828">
        <v>0</v>
      </c>
      <c r="AP235" s="828">
        <v>0</v>
      </c>
    </row>
    <row r="236" hidden="1" ht="13.5">
      <c r="B236" s="128" t="s">
        <v>7</v>
      </c>
      <c r="C236" s="129" t="str">
        <f>IF(SUM(C217:C235)&lt;&gt;0,SUM(C217:C235),"")</f>
      </c>
      <c r="D236" s="129" t="str">
        <f ref="D236:AA236" t="shared" si="15">IF(SUM(D217:D235)&lt;&gt;0,SUM(D217:D235),"")</f>
      </c>
      <c r="E236" s="129" t="str">
        <f t="shared" si="15"/>
      </c>
      <c r="F236" s="129" t="str">
        <f t="shared" si="15"/>
      </c>
      <c r="G236" s="129" t="str">
        <f t="shared" si="15"/>
      </c>
      <c r="H236" s="129" t="str">
        <f t="shared" si="15"/>
      </c>
      <c r="I236" s="129" t="str">
        <f t="shared" si="15"/>
      </c>
      <c r="J236" s="129" t="str">
        <f t="shared" si="15"/>
      </c>
      <c r="K236" s="129" t="str">
        <f t="shared" si="15"/>
      </c>
      <c r="L236" s="129" t="str">
        <f t="shared" si="15"/>
      </c>
      <c r="M236" s="129" t="str">
        <f t="shared" si="15"/>
      </c>
      <c r="N236" s="129" t="str">
        <f t="shared" si="15"/>
      </c>
      <c r="O236" s="129" t="str">
        <f t="shared" si="15"/>
      </c>
      <c r="P236" s="129" t="str">
        <f t="shared" si="15"/>
      </c>
      <c r="Q236" s="129" t="str">
        <f t="shared" si="15"/>
      </c>
      <c r="R236" s="129" t="str">
        <f t="shared" si="15"/>
      </c>
      <c r="S236" s="129" t="str">
        <f t="shared" si="15"/>
      </c>
      <c r="T236" s="129" t="str">
        <f t="shared" si="15"/>
      </c>
      <c r="U236" s="129" t="str">
        <f t="shared" si="15"/>
      </c>
      <c r="V236" s="129" t="str">
        <f t="shared" si="15"/>
      </c>
      <c r="W236" s="129" t="str">
        <f t="shared" si="15"/>
      </c>
      <c r="X236" s="129" t="str">
        <f t="shared" si="15"/>
      </c>
      <c r="Y236" s="129" t="str">
        <f t="shared" si="15"/>
      </c>
      <c r="Z236" s="129" t="str">
        <f t="shared" si="15"/>
      </c>
      <c r="AA236" s="129" t="str">
        <f t="shared" si="15"/>
      </c>
      <c r="AB236" s="130" t="str">
        <f>IF(SUM(AB217:AB235)&lt;&gt;0,SUM(AB217:AB235),"")</f>
      </c>
      <c r="AC236" s="91" t="str">
        <f ref="AC236:CN236" t="shared" si="16">IF(SUM(AC217:AC235)&lt;&gt;0,SUM(AC217:AC235),"")</f>
      </c>
      <c r="AD236" s="91" t="str">
        <f t="shared" si="16"/>
      </c>
      <c r="AE236" s="91" t="str">
        <f t="shared" si="16"/>
      </c>
      <c r="AF236" s="91" t="str">
        <f t="shared" si="16"/>
      </c>
      <c r="AG236" s="91" t="str">
        <f t="shared" si="16"/>
      </c>
      <c r="AH236" s="91" t="str">
        <f t="shared" si="16"/>
      </c>
      <c r="AI236" s="91" t="str">
        <f t="shared" si="16"/>
      </c>
      <c r="AJ236" s="91" t="str">
        <f t="shared" si="16"/>
      </c>
      <c r="AK236" s="91" t="str">
        <f t="shared" si="16"/>
      </c>
      <c r="AL236" s="91" t="str">
        <f t="shared" si="16"/>
      </c>
      <c r="AM236" s="91" t="str">
        <f t="shared" si="16"/>
      </c>
      <c r="AN236" s="91" t="str">
        <f t="shared" si="16"/>
      </c>
      <c r="AO236" s="91" t="str">
        <f t="shared" si="16"/>
      </c>
      <c r="AP236" s="91" t="str">
        <f t="shared" si="16"/>
      </c>
      <c r="AQ236" s="91" t="str">
        <f t="shared" si="16"/>
      </c>
      <c r="AR236" s="91" t="str">
        <f t="shared" si="16"/>
      </c>
      <c r="AS236" s="91" t="str">
        <f t="shared" si="16"/>
      </c>
      <c r="AT236" s="91" t="str">
        <f t="shared" si="16"/>
      </c>
      <c r="AU236" s="91" t="str">
        <f t="shared" si="16"/>
      </c>
      <c r="AV236" s="91" t="str">
        <f t="shared" si="16"/>
      </c>
      <c r="AW236" s="91" t="str">
        <f t="shared" si="16"/>
      </c>
      <c r="AX236" s="91" t="str">
        <f t="shared" si="16"/>
      </c>
      <c r="AY236" s="91" t="str">
        <f t="shared" si="16"/>
      </c>
      <c r="AZ236" s="91" t="str">
        <f t="shared" si="16"/>
      </c>
      <c r="BA236" s="91" t="str">
        <f t="shared" si="16"/>
      </c>
      <c r="BB236" s="91" t="str">
        <f t="shared" si="16"/>
      </c>
      <c r="BC236" s="91" t="str">
        <f t="shared" si="16"/>
      </c>
      <c r="BD236" s="91" t="str">
        <f t="shared" si="16"/>
      </c>
      <c r="BE236" s="91" t="str">
        <f t="shared" si="16"/>
      </c>
      <c r="BF236" s="91" t="str">
        <f t="shared" si="16"/>
      </c>
      <c r="BG236" s="91" t="str">
        <f t="shared" si="16"/>
      </c>
      <c r="BH236" s="91" t="str">
        <f t="shared" si="16"/>
      </c>
      <c r="BI236" s="91" t="str">
        <f t="shared" si="16"/>
      </c>
      <c r="BJ236" s="91" t="str">
        <f t="shared" si="16"/>
      </c>
      <c r="BK236" s="91" t="str">
        <f t="shared" si="16"/>
      </c>
      <c r="BL236" s="91" t="str">
        <f t="shared" si="16"/>
      </c>
      <c r="BM236" s="91" t="str">
        <f t="shared" si="16"/>
      </c>
      <c r="BN236" s="91" t="str">
        <f t="shared" si="16"/>
      </c>
      <c r="BO236" s="91" t="str">
        <f t="shared" si="16"/>
      </c>
      <c r="BP236" s="91" t="str">
        <f t="shared" si="16"/>
      </c>
      <c r="BQ236" s="91" t="str">
        <f t="shared" si="16"/>
      </c>
      <c r="BR236" s="91" t="str">
        <f t="shared" si="16"/>
      </c>
      <c r="BS236" s="91" t="str">
        <f t="shared" si="16"/>
      </c>
      <c r="BT236" s="91" t="str">
        <f t="shared" si="16"/>
      </c>
      <c r="BU236" s="91" t="str">
        <f t="shared" si="16"/>
      </c>
      <c r="BV236" s="91" t="str">
        <f t="shared" si="16"/>
      </c>
      <c r="BW236" s="91" t="str">
        <f t="shared" si="16"/>
      </c>
      <c r="BX236" s="91" t="str">
        <f t="shared" si="16"/>
      </c>
      <c r="BY236" s="91" t="str">
        <f t="shared" si="16"/>
      </c>
      <c r="BZ236" s="91" t="str">
        <f t="shared" si="16"/>
      </c>
      <c r="CA236" s="91" t="str">
        <f t="shared" si="16"/>
      </c>
      <c r="CB236" s="91" t="str">
        <f t="shared" si="16"/>
      </c>
      <c r="CC236" s="91" t="str">
        <f t="shared" si="16"/>
      </c>
      <c r="CD236" s="91" t="str">
        <f t="shared" si="16"/>
      </c>
      <c r="CE236" s="91" t="str">
        <f t="shared" si="16"/>
      </c>
      <c r="CF236" s="91" t="str">
        <f t="shared" si="16"/>
      </c>
      <c r="CG236" s="91" t="str">
        <f t="shared" si="16"/>
      </c>
      <c r="CH236" s="91" t="str">
        <f t="shared" si="16"/>
      </c>
      <c r="CI236" s="91" t="str">
        <f t="shared" si="16"/>
      </c>
      <c r="CJ236" s="91" t="str">
        <f t="shared" si="16"/>
      </c>
      <c r="CK236" s="91" t="str">
        <f t="shared" si="16"/>
      </c>
      <c r="CL236" s="91" t="str">
        <f t="shared" si="16"/>
      </c>
      <c r="CM236" s="91" t="str">
        <f t="shared" si="16"/>
      </c>
      <c r="CN236" s="91" t="str">
        <f t="shared" si="16"/>
      </c>
      <c r="CO236" s="91" t="str">
        <f ref="CO236:EZ236" t="shared" si="17">IF(SUM(CO217:CO235)&lt;&gt;0,SUM(CO217:CO235),"")</f>
      </c>
      <c r="CP236" s="91" t="str">
        <f t="shared" si="17"/>
      </c>
      <c r="CQ236" s="91" t="str">
        <f t="shared" si="17"/>
      </c>
      <c r="CR236" s="91" t="str">
        <f t="shared" si="17"/>
      </c>
      <c r="CS236" s="91" t="str">
        <f t="shared" si="17"/>
      </c>
      <c r="CT236" s="91" t="str">
        <f t="shared" si="17"/>
      </c>
      <c r="CU236" s="91" t="str">
        <f t="shared" si="17"/>
      </c>
      <c r="CV236" s="91" t="str">
        <f t="shared" si="17"/>
      </c>
      <c r="CW236" s="91" t="str">
        <f t="shared" si="17"/>
      </c>
      <c r="CX236" s="91" t="str">
        <f t="shared" si="17"/>
      </c>
      <c r="CY236" s="91" t="str">
        <f t="shared" si="17"/>
      </c>
      <c r="CZ236" s="91" t="str">
        <f t="shared" si="17"/>
      </c>
      <c r="DA236" s="91" t="str">
        <f t="shared" si="17"/>
      </c>
      <c r="DB236" s="91" t="str">
        <f t="shared" si="17"/>
      </c>
      <c r="DC236" s="91" t="str">
        <f t="shared" si="17"/>
      </c>
      <c r="DD236" s="91" t="str">
        <f t="shared" si="17"/>
      </c>
      <c r="DE236" s="91" t="str">
        <f t="shared" si="17"/>
      </c>
      <c r="DF236" s="91" t="str">
        <f t="shared" si="17"/>
      </c>
      <c r="DG236" s="91" t="str">
        <f t="shared" si="17"/>
      </c>
      <c r="DH236" s="91" t="str">
        <f t="shared" si="17"/>
      </c>
      <c r="DI236" s="91" t="str">
        <f t="shared" si="17"/>
      </c>
      <c r="DJ236" s="91" t="str">
        <f t="shared" si="17"/>
      </c>
      <c r="DK236" s="91" t="str">
        <f t="shared" si="17"/>
      </c>
      <c r="DL236" s="91" t="str">
        <f t="shared" si="17"/>
      </c>
      <c r="DM236" s="91" t="str">
        <f t="shared" si="17"/>
      </c>
      <c r="DN236" s="91" t="str">
        <f t="shared" si="17"/>
      </c>
      <c r="DO236" s="91" t="str">
        <f t="shared" si="17"/>
      </c>
      <c r="DP236" s="91" t="str">
        <f t="shared" si="17"/>
      </c>
      <c r="DQ236" s="91" t="str">
        <f t="shared" si="17"/>
      </c>
      <c r="DR236" s="91" t="str">
        <f t="shared" si="17"/>
      </c>
      <c r="DS236" s="91" t="str">
        <f t="shared" si="17"/>
      </c>
      <c r="DT236" s="91" t="str">
        <f t="shared" si="17"/>
      </c>
      <c r="DU236" s="91" t="str">
        <f t="shared" si="17"/>
      </c>
      <c r="DV236" s="91" t="str">
        <f t="shared" si="17"/>
      </c>
      <c r="DW236" s="91" t="str">
        <f t="shared" si="17"/>
      </c>
      <c r="DX236" s="91" t="str">
        <f t="shared" si="17"/>
      </c>
      <c r="DY236" s="91" t="str">
        <f t="shared" si="17"/>
      </c>
      <c r="DZ236" s="91" t="str">
        <f t="shared" si="17"/>
      </c>
      <c r="EA236" s="91" t="str">
        <f t="shared" si="17"/>
      </c>
      <c r="EB236" s="91" t="str">
        <f t="shared" si="17"/>
      </c>
      <c r="EC236" s="91" t="str">
        <f t="shared" si="17"/>
      </c>
      <c r="ED236" s="91" t="str">
        <f t="shared" si="17"/>
      </c>
      <c r="EE236" s="91" t="str">
        <f t="shared" si="17"/>
      </c>
      <c r="EF236" s="91" t="str">
        <f t="shared" si="17"/>
      </c>
      <c r="EG236" s="91" t="str">
        <f t="shared" si="17"/>
      </c>
      <c r="EH236" s="91" t="str">
        <f t="shared" si="17"/>
      </c>
      <c r="EI236" s="91" t="str">
        <f t="shared" si="17"/>
      </c>
      <c r="EJ236" s="91" t="str">
        <f t="shared" si="17"/>
      </c>
      <c r="EK236" s="91" t="str">
        <f t="shared" si="17"/>
      </c>
      <c r="EL236" s="91" t="str">
        <f t="shared" si="17"/>
      </c>
      <c r="EM236" s="91" t="str">
        <f t="shared" si="17"/>
      </c>
      <c r="EN236" s="91" t="str">
        <f t="shared" si="17"/>
      </c>
      <c r="EO236" s="91" t="str">
        <f t="shared" si="17"/>
      </c>
      <c r="EP236" s="91" t="str">
        <f t="shared" si="17"/>
      </c>
      <c r="EQ236" s="91" t="str">
        <f t="shared" si="17"/>
      </c>
      <c r="ER236" s="91" t="str">
        <f t="shared" si="17"/>
      </c>
      <c r="ES236" s="91" t="str">
        <f t="shared" si="17"/>
      </c>
      <c r="ET236" s="91" t="str">
        <f t="shared" si="17"/>
      </c>
      <c r="EU236" s="91" t="str">
        <f t="shared" si="17"/>
      </c>
      <c r="EV236" s="91" t="str">
        <f t="shared" si="17"/>
      </c>
      <c r="EW236" s="91" t="str">
        <f t="shared" si="17"/>
      </c>
      <c r="EX236" s="91" t="str">
        <f t="shared" si="17"/>
      </c>
      <c r="EY236" s="91" t="str">
        <f t="shared" si="17"/>
      </c>
      <c r="EZ236" s="91" t="str">
        <f t="shared" si="17"/>
      </c>
      <c r="FA236" s="91" t="str">
        <f ref="FA236:HL236" t="shared" si="18">IF(SUM(FA217:FA235)&lt;&gt;0,SUM(FA217:FA235),"")</f>
      </c>
      <c r="FB236" s="91" t="str">
        <f t="shared" si="18"/>
      </c>
      <c r="FC236" s="91" t="str">
        <f t="shared" si="18"/>
      </c>
      <c r="FD236" s="91" t="str">
        <f t="shared" si="18"/>
      </c>
      <c r="FE236" s="91" t="str">
        <f t="shared" si="18"/>
      </c>
      <c r="FF236" s="91" t="str">
        <f t="shared" si="18"/>
      </c>
      <c r="FG236" s="91" t="str">
        <f t="shared" si="18"/>
      </c>
      <c r="FH236" s="91" t="str">
        <f t="shared" si="18"/>
      </c>
      <c r="FI236" s="91" t="str">
        <f t="shared" si="18"/>
      </c>
      <c r="FJ236" s="91" t="str">
        <f t="shared" si="18"/>
      </c>
      <c r="FK236" s="91" t="str">
        <f t="shared" si="18"/>
      </c>
      <c r="FL236" s="91" t="str">
        <f t="shared" si="18"/>
      </c>
      <c r="FM236" s="91" t="str">
        <f t="shared" si="18"/>
      </c>
      <c r="FN236" s="91" t="str">
        <f t="shared" si="18"/>
      </c>
      <c r="FO236" s="91" t="str">
        <f t="shared" si="18"/>
      </c>
      <c r="FP236" s="91" t="str">
        <f t="shared" si="18"/>
      </c>
      <c r="FQ236" s="91" t="str">
        <f t="shared" si="18"/>
      </c>
      <c r="FR236" s="91" t="str">
        <f t="shared" si="18"/>
      </c>
      <c r="FS236" s="91" t="str">
        <f t="shared" si="18"/>
      </c>
      <c r="FT236" s="91" t="str">
        <f t="shared" si="18"/>
      </c>
      <c r="FU236" s="91" t="str">
        <f t="shared" si="18"/>
      </c>
      <c r="FV236" s="91" t="str">
        <f t="shared" si="18"/>
      </c>
      <c r="FW236" s="91" t="str">
        <f t="shared" si="18"/>
      </c>
      <c r="FX236" s="91" t="str">
        <f t="shared" si="18"/>
      </c>
      <c r="FY236" s="91" t="str">
        <f t="shared" si="18"/>
      </c>
      <c r="FZ236" s="91" t="str">
        <f t="shared" si="18"/>
      </c>
      <c r="GA236" s="91" t="str">
        <f t="shared" si="18"/>
      </c>
      <c r="GB236" s="91" t="str">
        <f t="shared" si="18"/>
      </c>
      <c r="GC236" s="91" t="str">
        <f t="shared" si="18"/>
      </c>
      <c r="GD236" s="91" t="str">
        <f t="shared" si="18"/>
      </c>
      <c r="GE236" s="91" t="str">
        <f t="shared" si="18"/>
      </c>
      <c r="GF236" s="91" t="str">
        <f t="shared" si="18"/>
      </c>
      <c r="GG236" s="91" t="str">
        <f t="shared" si="18"/>
      </c>
      <c r="GH236" s="91" t="str">
        <f t="shared" si="18"/>
      </c>
      <c r="GI236" s="91" t="str">
        <f t="shared" si="18"/>
      </c>
      <c r="GJ236" s="91" t="str">
        <f t="shared" si="18"/>
      </c>
      <c r="GK236" s="91" t="str">
        <f t="shared" si="18"/>
      </c>
      <c r="GL236" s="91" t="str">
        <f t="shared" si="18"/>
      </c>
      <c r="GM236" s="91" t="str">
        <f t="shared" si="18"/>
      </c>
      <c r="GN236" s="91" t="str">
        <f t="shared" si="18"/>
      </c>
      <c r="GO236" s="91" t="str">
        <f t="shared" si="18"/>
      </c>
      <c r="GP236" s="91" t="str">
        <f t="shared" si="18"/>
      </c>
      <c r="GQ236" s="91" t="str">
        <f t="shared" si="18"/>
      </c>
      <c r="GR236" s="91" t="str">
        <f t="shared" si="18"/>
      </c>
      <c r="GS236" s="91" t="str">
        <f t="shared" si="18"/>
      </c>
      <c r="GT236" s="91" t="str">
        <f t="shared" si="18"/>
      </c>
      <c r="GU236" s="91" t="str">
        <f t="shared" si="18"/>
      </c>
      <c r="GV236" s="91" t="str">
        <f t="shared" si="18"/>
      </c>
      <c r="GW236" s="91" t="str">
        <f t="shared" si="18"/>
      </c>
      <c r="GX236" s="91" t="str">
        <f t="shared" si="18"/>
      </c>
      <c r="GY236" s="91" t="str">
        <f t="shared" si="18"/>
      </c>
      <c r="GZ236" s="91" t="str">
        <f t="shared" si="18"/>
      </c>
      <c r="HA236" s="91" t="str">
        <f t="shared" si="18"/>
      </c>
      <c r="HB236" s="91" t="str">
        <f t="shared" si="18"/>
      </c>
      <c r="HC236" s="91" t="str">
        <f t="shared" si="18"/>
      </c>
      <c r="HD236" s="91" t="str">
        <f t="shared" si="18"/>
      </c>
      <c r="HE236" s="91" t="str">
        <f t="shared" si="18"/>
      </c>
      <c r="HF236" s="91" t="str">
        <f t="shared" si="18"/>
      </c>
      <c r="HG236" s="91" t="str">
        <f t="shared" si="18"/>
      </c>
      <c r="HH236" s="91" t="str">
        <f t="shared" si="18"/>
      </c>
      <c r="HI236" s="91" t="str">
        <f t="shared" si="18"/>
      </c>
      <c r="HJ236" s="91" t="str">
        <f t="shared" si="18"/>
      </c>
      <c r="HK236" s="91" t="str">
        <f t="shared" si="18"/>
      </c>
      <c r="HL236" s="91" t="str">
        <f t="shared" si="18"/>
      </c>
      <c r="HM236" s="91" t="str">
        <f ref="HM236:IV236" t="shared" si="19">IF(SUM(HM217:HM235)&lt;&gt;0,SUM(HM217:HM235),"")</f>
      </c>
      <c r="HN236" s="91" t="str">
        <f t="shared" si="19"/>
      </c>
      <c r="HO236" s="91" t="str">
        <f t="shared" si="19"/>
      </c>
      <c r="HP236" s="91" t="str">
        <f t="shared" si="19"/>
      </c>
      <c r="HQ236" s="91" t="str">
        <f t="shared" si="19"/>
      </c>
      <c r="HR236" s="91" t="str">
        <f t="shared" si="19"/>
      </c>
      <c r="HS236" s="91" t="str">
        <f t="shared" si="19"/>
      </c>
      <c r="HT236" s="91" t="str">
        <f t="shared" si="19"/>
      </c>
      <c r="HU236" s="91" t="str">
        <f t="shared" si="19"/>
      </c>
      <c r="HV236" s="91" t="str">
        <f t="shared" si="19"/>
      </c>
      <c r="HW236" s="91" t="str">
        <f t="shared" si="19"/>
      </c>
      <c r="HX236" s="91" t="str">
        <f t="shared" si="19"/>
      </c>
      <c r="HY236" s="91" t="str">
        <f t="shared" si="19"/>
      </c>
      <c r="HZ236" s="91" t="str">
        <f t="shared" si="19"/>
      </c>
      <c r="IA236" s="91" t="str">
        <f t="shared" si="19"/>
      </c>
      <c r="IB236" s="91" t="str">
        <f t="shared" si="19"/>
      </c>
      <c r="IC236" s="91" t="str">
        <f t="shared" si="19"/>
      </c>
      <c r="ID236" s="91" t="str">
        <f t="shared" si="19"/>
      </c>
      <c r="IE236" s="91" t="str">
        <f t="shared" si="19"/>
      </c>
      <c r="IF236" s="91" t="str">
        <f t="shared" si="19"/>
      </c>
      <c r="IG236" s="91" t="str">
        <f t="shared" si="19"/>
      </c>
      <c r="IH236" s="91" t="str">
        <f t="shared" si="19"/>
      </c>
      <c r="II236" s="91" t="str">
        <f t="shared" si="19"/>
      </c>
      <c r="IJ236" s="91" t="str">
        <f t="shared" si="19"/>
      </c>
      <c r="IK236" s="91" t="str">
        <f t="shared" si="19"/>
      </c>
      <c r="IL236" s="91" t="str">
        <f t="shared" si="19"/>
      </c>
      <c r="IM236" s="91" t="str">
        <f t="shared" si="19"/>
      </c>
      <c r="IN236" s="91" t="str">
        <f t="shared" si="19"/>
      </c>
      <c r="IO236" s="91" t="str">
        <f t="shared" si="19"/>
      </c>
      <c r="IP236" s="91" t="str">
        <f t="shared" si="19"/>
      </c>
      <c r="IQ236" s="91" t="str">
        <f t="shared" si="19"/>
      </c>
      <c r="IR236" s="91" t="str">
        <f t="shared" si="19"/>
      </c>
      <c r="IS236" s="91" t="str">
        <f t="shared" si="19"/>
      </c>
      <c r="IT236" s="91" t="str">
        <f t="shared" si="19"/>
      </c>
      <c r="IU236" s="91" t="str">
        <f t="shared" si="19"/>
      </c>
      <c r="IV236" s="91" t="str">
        <f t="shared" si="19"/>
      </c>
    </row>
    <row r="237" hidden="1" ht="15">
      <c r="B237" s="324"/>
      <c r="C237" s="219"/>
      <c r="D237" s="219"/>
      <c r="E237" s="219"/>
      <c r="F237" s="219"/>
      <c r="G237" s="219"/>
      <c r="H237" s="219"/>
      <c r="I237" s="219"/>
      <c r="J237" s="219"/>
      <c r="K237" s="219"/>
    </row>
    <row r="238" hidden="1" ht="15">
      <c r="B238" s="324"/>
      <c r="C238" s="219"/>
      <c r="D238" s="219"/>
      <c r="E238" s="219"/>
      <c r="F238" s="219"/>
      <c r="G238" s="219"/>
      <c r="H238" s="219"/>
      <c r="I238" s="219"/>
      <c r="J238" s="219"/>
      <c r="K238" s="219"/>
    </row>
    <row r="239" hidden="1"/>
    <row r="240" hidden="1" ht="15.75" customHeight="1"/>
    <row r="241" hidden="1" ht="15" customHeight="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ht="15">
      <c r="B263" s="324"/>
      <c r="C263" s="219"/>
      <c r="D263" s="219"/>
      <c r="E263" s="219"/>
      <c r="F263" s="219"/>
      <c r="G263" s="219"/>
      <c r="H263" s="219"/>
      <c r="I263" s="219"/>
      <c r="J263" s="219"/>
      <c r="K263" s="219"/>
    </row>
    <row r="264" hidden="1" ht="13.5"/>
    <row r="265" hidden="1" ht="13.5" customHeight="1">
      <c r="C265" s="686" t="s">
        <v>204</v>
      </c>
      <c r="D265" s="687"/>
      <c r="E265" s="687"/>
      <c r="F265" s="687"/>
      <c r="G265" s="687"/>
      <c r="H265" s="687"/>
      <c r="I265" s="687"/>
      <c r="J265" s="687"/>
      <c r="K265" s="687"/>
      <c r="L265" s="687"/>
      <c r="M265" s="687"/>
      <c r="N265" s="687"/>
      <c r="O265" s="687"/>
      <c r="P265" s="687"/>
      <c r="Q265" s="687"/>
      <c r="R265" s="687"/>
      <c r="S265" s="687"/>
      <c r="T265" s="687"/>
      <c r="U265" s="687"/>
      <c r="V265" s="687"/>
      <c r="W265" s="687"/>
      <c r="X265" s="687"/>
      <c r="Y265" s="687"/>
      <c r="Z265" s="687"/>
      <c r="AA265" s="687"/>
      <c r="AB265" s="688"/>
    </row>
    <row r="266" hidden="1" ht="13.5">
      <c r="C266" s="435" t="str">
        <f> IF(C286&lt;&gt;"",TEXT(AUX!G$1,"dd-MMM-aa"),"")</f>
      </c>
      <c r="D266" s="435" t="str">
        <f> IF(D286&lt;&gt;"",TEXT(AUX!H$1,"dd-MMM-aa"),"")</f>
      </c>
      <c r="E266" s="435" t="str">
        <f> IF(E286&lt;&gt;"",TEXT(AUX!I$1,"dd-MMM-aa"),"")</f>
      </c>
      <c r="F266" s="435" t="str">
        <f> IF(F286&lt;&gt;"",TEXT(AUX!J$1,"dd-MMM-aa"),"")</f>
      </c>
      <c r="G266" s="435" t="str">
        <f> IF(G286&lt;&gt;"",TEXT(AUX!K$1,"dd-MMM-aa"),"")</f>
      </c>
      <c r="H266" s="435" t="str">
        <f> IF(H286&lt;&gt;"",TEXT(AUX!L$1,"dd-MMM-aa"),"")</f>
      </c>
      <c r="I266" s="435" t="str">
        <f> IF(I286&lt;&gt;"",TEXT(AUX!M$1,"dd-MMM-aa"),"")</f>
      </c>
      <c r="J266" s="435" t="str">
        <f> IF(J286&lt;&gt;"",TEXT(AUX!N$1,"dd-MMM-aa"),"")</f>
      </c>
      <c r="K266" s="435" t="str">
        <f> IF(K286&lt;&gt;"",TEXT(AUX!O$1,"dd-MMM-aa"),"")</f>
      </c>
      <c r="L266" s="435" t="str">
        <f> IF(L286&lt;&gt;"",TEXT(AUX!P$1,"dd-MMM-aa"),"")</f>
      </c>
      <c r="M266" s="435" t="str">
        <f> IF(M286&lt;&gt;"",TEXT(AUX!Q$1,"dd-MMM-aa"),"")</f>
      </c>
      <c r="N266" s="435" t="str">
        <f> IF(N286&lt;&gt;"",TEXT(AUX!R$1,"dd-MMM-aa"),"")</f>
      </c>
      <c r="O266" s="435" t="str">
        <f> IF(O286&lt;&gt;"",TEXT(AUX!S$1,"dd-MMM-aa"),"")</f>
      </c>
      <c r="P266" s="435" t="str">
        <f> IF(P286&lt;&gt;"",TEXT(AUX!T$1,"dd-MMM-aa"),"")</f>
      </c>
      <c r="Q266" s="435" t="str">
        <f> IF(Q286&lt;&gt;"",TEXT(AUX!U$1,"dd-MMM-aa"),"")</f>
      </c>
      <c r="R266" s="435" t="str">
        <f> IF(R286&lt;&gt;"",TEXT(AUX!V$1,"dd-MMM-aa"),"")</f>
      </c>
      <c r="S266" s="435" t="str">
        <f> IF(S286&lt;&gt;"",TEXT(AUX!W$1,"dd-MMM-aa"),"")</f>
      </c>
      <c r="T266" s="435" t="str">
        <f> IF(T286&lt;&gt;"",TEXT(AUX!X$1,"dd-MMM-aa"),"")</f>
      </c>
      <c r="U266" s="435" t="str">
        <f> IF(U286&lt;&gt;"",TEXT(AUX!Y$1,"dd-MMM-aa"),"")</f>
      </c>
      <c r="V266" s="435" t="str">
        <f> IF(V286&lt;&gt;"",TEXT(AUX!Z$1,"dd-MMM-aa"),"")</f>
      </c>
      <c r="W266" s="435" t="str">
        <f> IF(W286&lt;&gt;"",TEXT(AUX!AA$1,"dd-MMM-aa"),"")</f>
      </c>
      <c r="X266" s="435" t="str">
        <f> IF(X286&lt;&gt;"",TEXT(AUX!AB$1,"dd-MMM-aa"),"")</f>
      </c>
      <c r="Y266" s="435" t="str">
        <f> IF(Y286&lt;&gt;"",TEXT(AUX!AC$1,"dd-MMM-aa"),"")</f>
      </c>
      <c r="Z266" s="435" t="str">
        <f> IF(Z286&lt;&gt;"",TEXT(AUX!AD$1,"dd-MMM-aa"),"")</f>
      </c>
      <c r="AA266" s="435" t="str">
        <f> IF(AA286&lt;&gt;"",TEXT(AUX!AE$1,"dd-MMM-aa"),"")</f>
      </c>
      <c r="AB266" s="497" t="str">
        <f> IF(AB286&lt;&gt;"",TEXT(AUX!AF$1,"dd-MMM-aa"),"")</f>
      </c>
      <c r="AC266" s="496" t="str">
        <f> IF(AC286&lt;&gt;"",TEXT(AUX!AG$1,"dd-MMM-aa"),"")</f>
      </c>
      <c r="AD266" s="496" t="str">
        <f> IF(AD286&lt;&gt;"",TEXT(AUX!AH$1,"dd-MMM-aa"),"")</f>
      </c>
      <c r="AE266" s="496" t="str">
        <f> IF(AE286&lt;&gt;"",TEXT(AUX!AI$1,"dd-MMM-aa"),"")</f>
      </c>
      <c r="AF266" s="496" t="str">
        <f> IF(AF286&lt;&gt;"",TEXT(AUX!AJ$1,"dd-MMM-aa"),"")</f>
      </c>
      <c r="AG266" s="496" t="str">
        <f> IF(AG286&lt;&gt;"",TEXT(AUX!AK$1,"dd-MMM-aa"),"")</f>
      </c>
      <c r="AH266" s="496" t="str">
        <f> IF(AH286&lt;&gt;"",TEXT(AUX!AL$1,"dd-MMM-aa"),"")</f>
      </c>
      <c r="AI266" s="496" t="str">
        <f> IF(AI286&lt;&gt;"",TEXT(AUX!AM$1,"dd-MMM-aa"),"")</f>
      </c>
      <c r="AJ266" s="496" t="str">
        <f> IF(AJ286&lt;&gt;"",TEXT(AUX!AN$1,"dd-MMM-aa"),"")</f>
      </c>
      <c r="AK266" s="496" t="str">
        <f> IF(AK286&lt;&gt;"",TEXT(AUX!AO$1,"dd-MMM-aa"),"")</f>
      </c>
      <c r="AL266" s="496" t="str">
        <f> IF(AL286&lt;&gt;"",TEXT(AUX!AP$1,"dd-MMM-aa"),"")</f>
      </c>
      <c r="AM266" s="496" t="str">
        <f> IF(AM286&lt;&gt;"",TEXT(AUX!AQ$1,"dd-MMM-aa"),"")</f>
      </c>
      <c r="AN266" s="496" t="str">
        <f> IF(AN286&lt;&gt;"",TEXT(AUX!AR$1,"dd-MMM-aa"),"")</f>
      </c>
      <c r="AO266" s="496" t="str">
        <f> IF(AO286&lt;&gt;"",TEXT(AUX!AS$1,"dd-MMM-aa"),"")</f>
      </c>
      <c r="AP266" s="496" t="str">
        <f> IF(AP286&lt;&gt;"",TEXT(AUX!AT$1,"dd-MMM-aa"),"")</f>
      </c>
      <c r="AQ266" s="496" t="str">
        <f> IF(AQ286&lt;&gt;"",TEXT(AUX!AU$1,"dd-MMM-aa"),"")</f>
      </c>
      <c r="AR266" s="496" t="str">
        <f> IF(AR286&lt;&gt;"",TEXT(AUX!AV$1,"dd-MMM-aa"),"")</f>
      </c>
      <c r="AS266" s="496" t="str">
        <f> IF(AS286&lt;&gt;"",TEXT(AUX!AW$1,"dd-MMM-aa"),"")</f>
      </c>
      <c r="AT266" s="496" t="str">
        <f> IF(AT286&lt;&gt;"",TEXT(AUX!AX$1,"dd-MMM-aa"),"")</f>
      </c>
      <c r="AU266" s="496" t="str">
        <f> IF(AU286&lt;&gt;"",TEXT(AUX!AY$1,"dd-MMM-aa"),"")</f>
      </c>
      <c r="AV266" s="496" t="str">
        <f> IF(AV286&lt;&gt;"",TEXT(AUX!AZ$1,"dd-MMM-aa"),"")</f>
      </c>
      <c r="AW266" s="496" t="str">
        <f> IF(AW286&lt;&gt;"",TEXT(AUX!BA$1,"dd-MMM-aa"),"")</f>
      </c>
      <c r="AX266" s="496" t="str">
        <f> IF(AX286&lt;&gt;"",TEXT(AUX!BB$1,"dd-MMM-aa"),"")</f>
      </c>
      <c r="AY266" s="496" t="str">
        <f> IF(AY286&lt;&gt;"",TEXT(AUX!BC$1,"dd-MMM-aa"),"")</f>
      </c>
      <c r="AZ266" s="496" t="str">
        <f> IF(AZ286&lt;&gt;"",TEXT(AUX!BD$1,"dd-MMM-aa"),"")</f>
      </c>
      <c r="BA266" s="496" t="str">
        <f> IF(BA286&lt;&gt;"",TEXT(AUX!BE$1,"dd-MMM-aa"),"")</f>
      </c>
      <c r="BB266" s="496" t="str">
        <f> IF(BB286&lt;&gt;"",TEXT(AUX!BF$1,"dd-MMM-aa"),"")</f>
      </c>
      <c r="BC266" s="496" t="str">
        <f> IF(BC286&lt;&gt;"",TEXT(AUX!BG$1,"dd-MMM-aa"),"")</f>
      </c>
      <c r="BD266" s="496" t="str">
        <f> IF(BD286&lt;&gt;"",TEXT(AUX!BH$1,"dd-MMM-aa"),"")</f>
      </c>
      <c r="BE266" s="496" t="str">
        <f> IF(BE286&lt;&gt;"",TEXT(AUX!BI$1,"dd-MMM-aa"),"")</f>
      </c>
      <c r="BF266" s="496" t="str">
        <f> IF(BF286&lt;&gt;"",TEXT(AUX!BJ$1,"dd-MMM-aa"),"")</f>
      </c>
      <c r="BG266" s="496" t="str">
        <f> IF(BG286&lt;&gt;"",TEXT(AUX!BK$1,"dd-MMM-aa"),"")</f>
      </c>
      <c r="BH266" s="496" t="str">
        <f> IF(BH286&lt;&gt;"",TEXT(AUX!BL$1,"dd-MMM-aa"),"")</f>
      </c>
      <c r="BI266" s="496" t="str">
        <f> IF(BI286&lt;&gt;"",TEXT(AUX!BM$1,"dd-MMM-aa"),"")</f>
      </c>
      <c r="BJ266" s="496" t="str">
        <f> IF(BJ286&lt;&gt;"",TEXT(AUX!BN$1,"dd-MMM-aa"),"")</f>
      </c>
      <c r="BK266" s="496" t="str">
        <f> IF(BK286&lt;&gt;"",TEXT(AUX!BO$1,"dd-MMM-aa"),"")</f>
      </c>
      <c r="BL266" s="496" t="str">
        <f> IF(BL286&lt;&gt;"",TEXT(AUX!BP$1,"dd-MMM-aa"),"")</f>
      </c>
      <c r="BM266" s="496" t="str">
        <f> IF(BM286&lt;&gt;"",TEXT(AUX!BQ$1,"dd-MMM-aa"),"")</f>
      </c>
      <c r="BN266" s="496" t="str">
        <f> IF(BN286&lt;&gt;"",TEXT(AUX!BR$1,"dd-MMM-aa"),"")</f>
      </c>
      <c r="BO266" s="496" t="str">
        <f> IF(BO286&lt;&gt;"",TEXT(AUX!BS$1,"dd-MMM-aa"),"")</f>
      </c>
      <c r="BP266" s="496" t="str">
        <f> IF(BP286&lt;&gt;"",TEXT(AUX!BT$1,"dd-MMM-aa"),"")</f>
      </c>
      <c r="BQ266" s="496" t="str">
        <f> IF(BQ286&lt;&gt;"",TEXT(AUX!BU$1,"dd-MMM-aa"),"")</f>
      </c>
      <c r="BR266" s="496" t="str">
        <f> IF(BR286&lt;&gt;"",TEXT(AUX!BV$1,"dd-MMM-aa"),"")</f>
      </c>
      <c r="BS266" s="496" t="str">
        <f> IF(BS286&lt;&gt;"",TEXT(AUX!BW$1,"dd-MMM-aa"),"")</f>
      </c>
      <c r="BT266" s="496" t="str">
        <f> IF(BT286&lt;&gt;"",TEXT(AUX!BX$1,"dd-MMM-aa"),"")</f>
      </c>
      <c r="BU266" s="496" t="str">
        <f> IF(BU286&lt;&gt;"",TEXT(AUX!BY$1,"dd-MMM-aa"),"")</f>
      </c>
      <c r="BV266" s="496" t="str">
        <f> IF(BV286&lt;&gt;"",TEXT(AUX!BZ$1,"dd-MMM-aa"),"")</f>
      </c>
      <c r="BW266" s="496" t="str">
        <f> IF(BW286&lt;&gt;"",TEXT(AUX!CA$1,"dd-MMM-aa"),"")</f>
      </c>
      <c r="BX266" s="496" t="str">
        <f> IF(BX286&lt;&gt;"",TEXT(AUX!CB$1,"dd-MMM-aa"),"")</f>
      </c>
      <c r="BY266" s="496" t="str">
        <f> IF(BY286&lt;&gt;"",TEXT(AUX!CC$1,"dd-MMM-aa"),"")</f>
      </c>
      <c r="BZ266" s="496" t="str">
        <f> IF(BZ286&lt;&gt;"",TEXT(AUX!CD$1,"dd-MMM-aa"),"")</f>
      </c>
      <c r="CA266" s="496" t="str">
        <f> IF(CA286&lt;&gt;"",TEXT(AUX!CE$1,"dd-MMM-aa"),"")</f>
      </c>
      <c r="CB266" s="496" t="str">
        <f> IF(CB286&lt;&gt;"",TEXT(AUX!CF$1,"dd-MMM-aa"),"")</f>
      </c>
      <c r="CC266" s="496" t="str">
        <f> IF(CC286&lt;&gt;"",TEXT(AUX!CG$1,"dd-MMM-aa"),"")</f>
      </c>
      <c r="CD266" s="496" t="str">
        <f> IF(CD286&lt;&gt;"",TEXT(AUX!CH$1,"dd-MMM-aa"),"")</f>
      </c>
      <c r="CE266" s="496" t="str">
        <f> IF(CE286&lt;&gt;"",TEXT(AUX!CI$1,"dd-MMM-aa"),"")</f>
      </c>
      <c r="CF266" s="496" t="str">
        <f> IF(CF286&lt;&gt;"",TEXT(AUX!CJ$1,"dd-MMM-aa"),"")</f>
      </c>
      <c r="CG266" s="496" t="str">
        <f> IF(CG286&lt;&gt;"",TEXT(AUX!CK$1,"dd-MMM-aa"),"")</f>
      </c>
      <c r="CH266" s="496" t="str">
        <f> IF(CH286&lt;&gt;"",TEXT(AUX!CL$1,"dd-MMM-aa"),"")</f>
      </c>
      <c r="CI266" s="496" t="str">
        <f> IF(CI286&lt;&gt;"",TEXT(AUX!CM$1,"dd-MMM-aa"),"")</f>
      </c>
      <c r="CJ266" s="496" t="str">
        <f> IF(CJ286&lt;&gt;"",TEXT(AUX!CN$1,"dd-MMM-aa"),"")</f>
      </c>
      <c r="CK266" s="496" t="str">
        <f> IF(CK286&lt;&gt;"",TEXT(AUX!CO$1,"dd-MMM-aa"),"")</f>
      </c>
      <c r="CL266" s="496" t="str">
        <f> IF(CL286&lt;&gt;"",TEXT(AUX!CP$1,"dd-MMM-aa"),"")</f>
      </c>
      <c r="CM266" s="496" t="str">
        <f> IF(CM286&lt;&gt;"",TEXT(AUX!CQ$1,"dd-MMM-aa"),"")</f>
      </c>
      <c r="CN266" s="496" t="str">
        <f> IF(CN286&lt;&gt;"",TEXT(AUX!CR$1,"dd-MMM-aa"),"")</f>
      </c>
      <c r="CO266" s="496" t="str">
        <f> IF(CO286&lt;&gt;"",TEXT(AUX!CS$1,"dd-MMM-aa"),"")</f>
      </c>
      <c r="CP266" s="496" t="str">
        <f> IF(CP286&lt;&gt;"",TEXT(AUX!CT$1,"dd-MMM-aa"),"")</f>
      </c>
      <c r="CQ266" s="496" t="str">
        <f> IF(CQ286&lt;&gt;"",TEXT(AUX!CU$1,"dd-MMM-aa"),"")</f>
      </c>
      <c r="CR266" s="496" t="str">
        <f> IF(CR286&lt;&gt;"",TEXT(AUX!CV$1,"dd-MMM-aa"),"")</f>
      </c>
      <c r="CS266" s="496" t="str">
        <f> IF(CS286&lt;&gt;"",TEXT(AUX!CW$1,"dd-MMM-aa"),"")</f>
      </c>
      <c r="CT266" s="496" t="str">
        <f> IF(CT286&lt;&gt;"",TEXT(AUX!CX$1,"dd-MMM-aa"),"")</f>
      </c>
      <c r="CU266" s="496" t="str">
        <f> IF(CU286&lt;&gt;"",TEXT(AUX!CY$1,"dd-MMM-aa"),"")</f>
      </c>
      <c r="CV266" s="496" t="str">
        <f> IF(CV286&lt;&gt;"",TEXT(AUX!CZ$1,"dd-MMM-aa"),"")</f>
      </c>
      <c r="CW266" s="496" t="str">
        <f> IF(CW286&lt;&gt;"",TEXT(AUX!DA$1,"dd-MMM-aa"),"")</f>
      </c>
      <c r="CX266" s="496" t="str">
        <f> IF(CX286&lt;&gt;"",TEXT(AUX!DB$1,"dd-MMM-aa"),"")</f>
      </c>
      <c r="CY266" s="496" t="str">
        <f> IF(CY286&lt;&gt;"",TEXT(AUX!DC$1,"dd-MMM-aa"),"")</f>
      </c>
      <c r="CZ266" s="496" t="str">
        <f> IF(CZ286&lt;&gt;"",TEXT(AUX!DD$1,"dd-MMM-aa"),"")</f>
      </c>
      <c r="DA266" s="496" t="str">
        <f> IF(DA286&lt;&gt;"",TEXT(AUX!DE$1,"dd-MMM-aa"),"")</f>
      </c>
      <c r="DB266" s="496" t="str">
        <f> IF(DB286&lt;&gt;"",TEXT(AUX!DF$1,"dd-MMM-aa"),"")</f>
      </c>
      <c r="DC266" s="496" t="str">
        <f> IF(DC286&lt;&gt;"",TEXT(AUX!DG$1,"dd-MMM-aa"),"")</f>
      </c>
      <c r="DD266" s="496" t="str">
        <f> IF(DD286&lt;&gt;"",TEXT(AUX!DH$1,"dd-MMM-aa"),"")</f>
      </c>
      <c r="DE266" s="496" t="str">
        <f> IF(DE286&lt;&gt;"",TEXT(AUX!DI$1,"dd-MMM-aa"),"")</f>
      </c>
      <c r="DF266" s="496" t="str">
        <f> IF(DF286&lt;&gt;"",TEXT(AUX!DJ$1,"dd-MMM-aa"),"")</f>
      </c>
      <c r="DG266" s="496" t="str">
        <f> IF(DG286&lt;&gt;"",TEXT(AUX!DK$1,"dd-MMM-aa"),"")</f>
      </c>
      <c r="DH266" s="496" t="str">
        <f> IF(DH286&lt;&gt;"",TEXT(AUX!DL$1,"dd-MMM-aa"),"")</f>
      </c>
      <c r="DI266" s="496" t="str">
        <f> IF(DI286&lt;&gt;"",TEXT(AUX!DM$1,"dd-MMM-aa"),"")</f>
      </c>
      <c r="DJ266" s="496" t="str">
        <f> IF(DJ286&lt;&gt;"",TEXT(AUX!DN$1,"dd-MMM-aa"),"")</f>
      </c>
      <c r="DK266" s="496" t="str">
        <f> IF(DK286&lt;&gt;"",TEXT(AUX!DO$1,"dd-MMM-aa"),"")</f>
      </c>
      <c r="DL266" s="496" t="str">
        <f> IF(DL286&lt;&gt;"",TEXT(AUX!DP$1,"dd-MMM-aa"),"")</f>
      </c>
      <c r="DM266" s="496" t="str">
        <f> IF(DM286&lt;&gt;"",TEXT(AUX!DQ$1,"dd-MMM-aa"),"")</f>
      </c>
      <c r="DN266" s="496" t="str">
        <f> IF(DN286&lt;&gt;"",TEXT(AUX!DR$1,"dd-MMM-aa"),"")</f>
      </c>
      <c r="DO266" s="496" t="str">
        <f> IF(DO286&lt;&gt;"",TEXT(AUX!DS$1,"dd-MMM-aa"),"")</f>
      </c>
      <c r="DP266" s="496" t="str">
        <f> IF(DP286&lt;&gt;"",TEXT(AUX!DT$1,"dd-MMM-aa"),"")</f>
      </c>
      <c r="DQ266" s="496" t="str">
        <f> IF(DQ286&lt;&gt;"",TEXT(AUX!DU$1,"dd-MMM-aa"),"")</f>
      </c>
      <c r="DR266" s="496" t="str">
        <f> IF(DR286&lt;&gt;"",TEXT(AUX!DV$1,"dd-MMM-aa"),"")</f>
      </c>
      <c r="DS266" s="496" t="str">
        <f> IF(DS286&lt;&gt;"",TEXT(AUX!DW$1,"dd-MMM-aa"),"")</f>
      </c>
      <c r="DT266" s="496" t="str">
        <f> IF(DT286&lt;&gt;"",TEXT(AUX!DX$1,"dd-MMM-aa"),"")</f>
      </c>
      <c r="DU266" s="496" t="str">
        <f> IF(DU286&lt;&gt;"",TEXT(AUX!DY$1,"dd-MMM-aa"),"")</f>
      </c>
      <c r="DV266" s="496" t="str">
        <f> IF(DV286&lt;&gt;"",TEXT(AUX!DZ$1,"dd-MMM-aa"),"")</f>
      </c>
      <c r="DW266" s="496" t="str">
        <f> IF(DW286&lt;&gt;"",TEXT(AUX!EA$1,"dd-MMM-aa"),"")</f>
      </c>
      <c r="DX266" s="496" t="str">
        <f> IF(DX286&lt;&gt;"",TEXT(AUX!EB$1,"dd-MMM-aa"),"")</f>
      </c>
      <c r="DY266" s="496" t="str">
        <f> IF(DY286&lt;&gt;"",TEXT(AUX!EC$1,"dd-MMM-aa"),"")</f>
      </c>
      <c r="DZ266" s="496" t="str">
        <f> IF(DZ286&lt;&gt;"",TEXT(AUX!ED$1,"dd-MMM-aa"),"")</f>
      </c>
      <c r="EA266" s="496" t="str">
        <f> IF(EA286&lt;&gt;"",TEXT(AUX!EE$1,"dd-MMM-aa"),"")</f>
      </c>
      <c r="EB266" s="496" t="str">
        <f> IF(EB286&lt;&gt;"",TEXT(AUX!EF$1,"dd-MMM-aa"),"")</f>
      </c>
      <c r="EC266" s="496" t="str">
        <f> IF(EC286&lt;&gt;"",TEXT(AUX!EG$1,"dd-MMM-aa"),"")</f>
      </c>
      <c r="ED266" s="496" t="str">
        <f> IF(ED286&lt;&gt;"",TEXT(AUX!EH$1,"dd-MMM-aa"),"")</f>
      </c>
      <c r="EE266" s="496" t="str">
        <f> IF(EE286&lt;&gt;"",TEXT(AUX!EI$1,"dd-MMM-aa"),"")</f>
      </c>
      <c r="EF266" s="496" t="str">
        <f> IF(EF286&lt;&gt;"",TEXT(AUX!EJ$1,"dd-MMM-aa"),"")</f>
      </c>
      <c r="EG266" s="496" t="str">
        <f> IF(EG286&lt;&gt;"",TEXT(AUX!EK$1,"dd-MMM-aa"),"")</f>
      </c>
      <c r="EH266" s="496" t="str">
        <f> IF(EH286&lt;&gt;"",TEXT(AUX!EL$1,"dd-MMM-aa"),"")</f>
      </c>
      <c r="EI266" s="496" t="str">
        <f> IF(EI286&lt;&gt;"",TEXT(AUX!EM$1,"dd-MMM-aa"),"")</f>
      </c>
      <c r="EJ266" s="496" t="str">
        <f> IF(EJ286&lt;&gt;"",TEXT(AUX!EN$1,"dd-MMM-aa"),"")</f>
      </c>
      <c r="EK266" s="496" t="str">
        <f> IF(EK286&lt;&gt;"",TEXT(AUX!EO$1,"dd-MMM-aa"),"")</f>
      </c>
      <c r="EL266" s="496" t="str">
        <f> IF(EL286&lt;&gt;"",TEXT(AUX!EP$1,"dd-MMM-aa"),"")</f>
      </c>
      <c r="EM266" s="496" t="str">
        <f> IF(EM286&lt;&gt;"",TEXT(AUX!EQ$1,"dd-MMM-aa"),"")</f>
      </c>
      <c r="EN266" s="496" t="str">
        <f> IF(EN286&lt;&gt;"",TEXT(AUX!ER$1,"dd-MMM-aa"),"")</f>
      </c>
      <c r="EO266" s="496" t="str">
        <f> IF(EO286&lt;&gt;"",TEXT(AUX!ES$1,"dd-MMM-aa"),"")</f>
      </c>
      <c r="EP266" s="496" t="str">
        <f> IF(EP286&lt;&gt;"",TEXT(AUX!ET$1,"dd-MMM-aa"),"")</f>
      </c>
      <c r="EQ266" s="496" t="str">
        <f> IF(EQ286&lt;&gt;"",TEXT(AUX!EU$1,"dd-MMM-aa"),"")</f>
      </c>
      <c r="ER266" s="496" t="str">
        <f> IF(ER286&lt;&gt;"",TEXT(AUX!EV$1,"dd-MMM-aa"),"")</f>
      </c>
      <c r="ES266" s="496" t="str">
        <f> IF(ES286&lt;&gt;"",TEXT(AUX!EW$1,"dd-MMM-aa"),"")</f>
      </c>
      <c r="ET266" s="496" t="str">
        <f> IF(ET286&lt;&gt;"",TEXT(AUX!EX$1,"dd-MMM-aa"),"")</f>
      </c>
      <c r="EU266" s="496" t="str">
        <f> IF(EU286&lt;&gt;"",TEXT(AUX!EY$1,"dd-MMM-aa"),"")</f>
      </c>
      <c r="EV266" s="496" t="str">
        <f> IF(EV286&lt;&gt;"",TEXT(AUX!EZ$1,"dd-MMM-aa"),"")</f>
      </c>
      <c r="EW266" s="496" t="str">
        <f> IF(EW286&lt;&gt;"",TEXT(AUX!FA$1,"dd-MMM-aa"),"")</f>
      </c>
      <c r="EX266" s="496" t="str">
        <f> IF(EX286&lt;&gt;"",TEXT(AUX!FB$1,"dd-MMM-aa"),"")</f>
      </c>
      <c r="EY266" s="496" t="str">
        <f> IF(EY286&lt;&gt;"",TEXT(AUX!FC$1,"dd-MMM-aa"),"")</f>
      </c>
      <c r="EZ266" s="496" t="str">
        <f> IF(EZ286&lt;&gt;"",TEXT(AUX!FD$1,"dd-MMM-aa"),"")</f>
      </c>
      <c r="FA266" s="496" t="str">
        <f> IF(FA286&lt;&gt;"",TEXT(AUX!FE$1,"dd-MMM-aa"),"")</f>
      </c>
      <c r="FB266" s="496" t="str">
        <f> IF(FB286&lt;&gt;"",TEXT(AUX!FF$1,"dd-MMM-aa"),"")</f>
      </c>
      <c r="FC266" s="496" t="str">
        <f> IF(FC286&lt;&gt;"",TEXT(AUX!FG$1,"dd-MMM-aa"),"")</f>
      </c>
      <c r="FD266" s="496" t="str">
        <f> IF(FD286&lt;&gt;"",TEXT(AUX!FH$1,"dd-MMM-aa"),"")</f>
      </c>
      <c r="FE266" s="496" t="str">
        <f> IF(FE286&lt;&gt;"",TEXT(AUX!FI$1,"dd-MMM-aa"),"")</f>
      </c>
      <c r="FF266" s="496" t="str">
        <f> IF(FF286&lt;&gt;"",TEXT(AUX!FJ$1,"dd-MMM-aa"),"")</f>
      </c>
      <c r="FG266" s="496" t="str">
        <f> IF(FG286&lt;&gt;"",TEXT(AUX!FK$1,"dd-MMM-aa"),"")</f>
      </c>
      <c r="FH266" s="496" t="str">
        <f> IF(FH286&lt;&gt;"",TEXT(AUX!FL$1,"dd-MMM-aa"),"")</f>
      </c>
      <c r="FI266" s="496" t="str">
        <f> IF(FI286&lt;&gt;"",TEXT(AUX!FM$1,"dd-MMM-aa"),"")</f>
      </c>
      <c r="FJ266" s="496" t="str">
        <f> IF(FJ286&lt;&gt;"",TEXT(AUX!FN$1,"dd-MMM-aa"),"")</f>
      </c>
      <c r="FK266" s="496" t="str">
        <f> IF(FK286&lt;&gt;"",TEXT(AUX!FO$1,"dd-MMM-aa"),"")</f>
      </c>
      <c r="FL266" s="496" t="str">
        <f> IF(FL286&lt;&gt;"",TEXT(AUX!FP$1,"dd-MMM-aa"),"")</f>
      </c>
      <c r="FM266" s="496" t="str">
        <f> IF(FM286&lt;&gt;"",TEXT(AUX!FQ$1,"dd-MMM-aa"),"")</f>
      </c>
      <c r="FN266" s="496" t="str">
        <f> IF(FN286&lt;&gt;"",TEXT(AUX!FR$1,"dd-MMM-aa"),"")</f>
      </c>
      <c r="FO266" s="496" t="str">
        <f> IF(FO286&lt;&gt;"",TEXT(AUX!FS$1,"dd-MMM-aa"),"")</f>
      </c>
      <c r="FP266" s="496" t="str">
        <f> IF(FP286&lt;&gt;"",TEXT(AUX!FT$1,"dd-MMM-aa"),"")</f>
      </c>
      <c r="FQ266" s="496" t="str">
        <f> IF(FQ286&lt;&gt;"",TEXT(AUX!FU$1,"dd-MMM-aa"),"")</f>
      </c>
      <c r="FR266" s="496" t="str">
        <f> IF(FR286&lt;&gt;"",TEXT(AUX!FV$1,"dd-MMM-aa"),"")</f>
      </c>
      <c r="FS266" s="496" t="str">
        <f> IF(FS286&lt;&gt;"",TEXT(AUX!FW$1,"dd-MMM-aa"),"")</f>
      </c>
      <c r="FT266" s="496" t="str">
        <f> IF(FT286&lt;&gt;"",TEXT(AUX!FX$1,"dd-MMM-aa"),"")</f>
      </c>
      <c r="FU266" s="496" t="str">
        <f> IF(FU286&lt;&gt;"",TEXT(AUX!FY$1,"dd-MMM-aa"),"")</f>
      </c>
      <c r="FV266" s="496" t="str">
        <f> IF(FV286&lt;&gt;"",TEXT(AUX!FZ$1,"dd-MMM-aa"),"")</f>
      </c>
      <c r="FW266" s="496" t="str">
        <f> IF(FW286&lt;&gt;"",TEXT(AUX!GA$1,"dd-MMM-aa"),"")</f>
      </c>
      <c r="FX266" s="496" t="str">
        <f> IF(FX286&lt;&gt;"",TEXT(AUX!GB$1,"dd-MMM-aa"),"")</f>
      </c>
      <c r="FY266" s="496" t="str">
        <f> IF(FY286&lt;&gt;"",TEXT(AUX!GC$1,"dd-MMM-aa"),"")</f>
      </c>
      <c r="FZ266" s="496" t="str">
        <f> IF(FZ286&lt;&gt;"",TEXT(AUX!GD$1,"dd-MMM-aa"),"")</f>
      </c>
      <c r="GA266" s="496" t="str">
        <f> IF(GA286&lt;&gt;"",TEXT(AUX!GE$1,"dd-MMM-aa"),"")</f>
      </c>
      <c r="GB266" s="496" t="str">
        <f> IF(GB286&lt;&gt;"",TEXT(AUX!GF$1,"dd-MMM-aa"),"")</f>
      </c>
      <c r="GC266" s="496" t="str">
        <f> IF(GC286&lt;&gt;"",TEXT(AUX!GG$1,"dd-MMM-aa"),"")</f>
      </c>
      <c r="GD266" s="496" t="str">
        <f> IF(GD286&lt;&gt;"",TEXT(AUX!GH$1,"dd-MMM-aa"),"")</f>
      </c>
      <c r="GE266" s="496" t="str">
        <f> IF(GE286&lt;&gt;"",TEXT(AUX!GI$1,"dd-MMM-aa"),"")</f>
      </c>
      <c r="GF266" s="496" t="str">
        <f> IF(GF286&lt;&gt;"",TEXT(AUX!GJ$1,"dd-MMM-aa"),"")</f>
      </c>
      <c r="GG266" s="496" t="str">
        <f> IF(GG286&lt;&gt;"",TEXT(AUX!GK$1,"dd-MMM-aa"),"")</f>
      </c>
      <c r="GH266" s="496" t="str">
        <f> IF(GH286&lt;&gt;"",TEXT(AUX!GL$1,"dd-MMM-aa"),"")</f>
      </c>
      <c r="GI266" s="496" t="str">
        <f> IF(GI286&lt;&gt;"",TEXT(AUX!GM$1,"dd-MMM-aa"),"")</f>
      </c>
      <c r="GJ266" s="496" t="str">
        <f> IF(GJ286&lt;&gt;"",TEXT(AUX!GN$1,"dd-MMM-aa"),"")</f>
      </c>
      <c r="GK266" s="496" t="str">
        <f> IF(GK286&lt;&gt;"",TEXT(AUX!GO$1,"dd-MMM-aa"),"")</f>
      </c>
      <c r="GL266" s="496" t="str">
        <f> IF(GL286&lt;&gt;"",TEXT(AUX!GP$1,"dd-MMM-aa"),"")</f>
      </c>
      <c r="GM266" s="496" t="str">
        <f> IF(GM286&lt;&gt;"",TEXT(AUX!GQ$1,"dd-MMM-aa"),"")</f>
      </c>
      <c r="GN266" s="496" t="str">
        <f> IF(GN286&lt;&gt;"",TEXT(AUX!GR$1,"dd-MMM-aa"),"")</f>
      </c>
      <c r="GO266" s="496" t="str">
        <f> IF(GO286&lt;&gt;"",TEXT(AUX!GS$1,"dd-MMM-aa"),"")</f>
      </c>
      <c r="GP266" s="496" t="str">
        <f> IF(GP286&lt;&gt;"",TEXT(AUX!GT$1,"dd-MMM-aa"),"")</f>
      </c>
      <c r="GQ266" s="496" t="str">
        <f> IF(GQ286&lt;&gt;"",TEXT(AUX!GU$1,"dd-MMM-aa"),"")</f>
      </c>
      <c r="GR266" s="496" t="str">
        <f> IF(GR286&lt;&gt;"",TEXT(AUX!GV$1,"dd-MMM-aa"),"")</f>
      </c>
      <c r="GS266" s="496" t="str">
        <f> IF(GS286&lt;&gt;"",TEXT(AUX!GW$1,"dd-MMM-aa"),"")</f>
      </c>
      <c r="GT266" s="496" t="str">
        <f> IF(GT286&lt;&gt;"",TEXT(AUX!GX$1,"dd-MMM-aa"),"")</f>
      </c>
      <c r="GU266" s="496" t="str">
        <f> IF(GU286&lt;&gt;"",TEXT(AUX!GY$1,"dd-MMM-aa"),"")</f>
      </c>
      <c r="GV266" s="496" t="str">
        <f> IF(GV286&lt;&gt;"",TEXT(AUX!GZ$1,"dd-MMM-aa"),"")</f>
      </c>
      <c r="GW266" s="496" t="str">
        <f> IF(GW286&lt;&gt;"",TEXT(AUX!HA$1,"dd-MMM-aa"),"")</f>
      </c>
      <c r="GX266" s="496" t="str">
        <f> IF(GX286&lt;&gt;"",TEXT(AUX!HB$1,"dd-MMM-aa"),"")</f>
      </c>
      <c r="GY266" s="496" t="str">
        <f> IF(GY286&lt;&gt;"",TEXT(AUX!HC$1,"dd-MMM-aa"),"")</f>
      </c>
      <c r="GZ266" s="496" t="str">
        <f> IF(GZ286&lt;&gt;"",TEXT(AUX!HD$1,"dd-MMM-aa"),"")</f>
      </c>
      <c r="HA266" s="496" t="str">
        <f> IF(HA286&lt;&gt;"",TEXT(AUX!HE$1,"dd-MMM-aa"),"")</f>
      </c>
      <c r="HB266" s="496" t="str">
        <f> IF(HB286&lt;&gt;"",TEXT(AUX!HF$1,"dd-MMM-aa"),"")</f>
      </c>
      <c r="HC266" s="496" t="str">
        <f> IF(HC286&lt;&gt;"",TEXT(AUX!HG$1,"dd-MMM-aa"),"")</f>
      </c>
      <c r="HD266" s="496" t="str">
        <f> IF(HD286&lt;&gt;"",TEXT(AUX!HH$1,"dd-MMM-aa"),"")</f>
      </c>
      <c r="HE266" s="496" t="str">
        <f> IF(HE286&lt;&gt;"",TEXT(AUX!HI$1,"dd-MMM-aa"),"")</f>
      </c>
      <c r="HF266" s="496" t="str">
        <f> IF(HF286&lt;&gt;"",TEXT(AUX!HJ$1,"dd-MMM-aa"),"")</f>
      </c>
      <c r="HG266" s="496" t="str">
        <f> IF(HG286&lt;&gt;"",TEXT(AUX!HK$1,"dd-MMM-aa"),"")</f>
      </c>
      <c r="HH266" s="496" t="str">
        <f> IF(HH286&lt;&gt;"",TEXT(AUX!HL$1,"dd-MMM-aa"),"")</f>
      </c>
      <c r="HI266" s="496" t="str">
        <f> IF(HI286&lt;&gt;"",TEXT(AUX!HM$1,"dd-MMM-aa"),"")</f>
      </c>
      <c r="HJ266" s="496" t="str">
        <f> IF(HJ286&lt;&gt;"",TEXT(AUX!HN$1,"dd-MMM-aa"),"")</f>
      </c>
      <c r="HK266" s="496" t="str">
        <f> IF(HK286&lt;&gt;"",TEXT(AUX!HO$1,"dd-MMM-aa"),"")</f>
      </c>
      <c r="HL266" s="496" t="str">
        <f> IF(HL286&lt;&gt;"",TEXT(AUX!HP$1,"dd-MMM-aa"),"")</f>
      </c>
      <c r="HM266" s="496" t="str">
        <f> IF(HM286&lt;&gt;"",TEXT(AUX!HQ$1,"dd-MMM-aa"),"")</f>
      </c>
      <c r="HN266" s="496" t="str">
        <f> IF(HN286&lt;&gt;"",TEXT(AUX!HR$1,"dd-MMM-aa"),"")</f>
      </c>
      <c r="HO266" s="496" t="str">
        <f> IF(HO286&lt;&gt;"",TEXT(AUX!HS$1,"dd-MMM-aa"),"")</f>
      </c>
      <c r="HP266" s="496" t="str">
        <f> IF(HP286&lt;&gt;"",TEXT(AUX!HT$1,"dd-MMM-aa"),"")</f>
      </c>
      <c r="HQ266" s="496" t="str">
        <f> IF(HQ286&lt;&gt;"",TEXT(AUX!HU$1,"dd-MMM-aa"),"")</f>
      </c>
      <c r="HR266" s="496" t="str">
        <f> IF(HR286&lt;&gt;"",TEXT(AUX!HV$1,"dd-MMM-aa"),"")</f>
      </c>
      <c r="HS266" s="496" t="str">
        <f> IF(HS286&lt;&gt;"",TEXT(AUX!HW$1,"dd-MMM-aa"),"")</f>
      </c>
      <c r="HT266" s="496" t="str">
        <f> IF(HT286&lt;&gt;"",TEXT(AUX!HX$1,"dd-MMM-aa"),"")</f>
      </c>
      <c r="HU266" s="496" t="str">
        <f> IF(HU286&lt;&gt;"",TEXT(AUX!HY$1,"dd-MMM-aa"),"")</f>
      </c>
      <c r="HV266" s="496" t="str">
        <f> IF(HV286&lt;&gt;"",TEXT(AUX!HZ$1,"dd-MMM-aa"),"")</f>
      </c>
      <c r="HW266" s="496" t="str">
        <f> IF(HW286&lt;&gt;"",TEXT(AUX!IA$1,"dd-MMM-aa"),"")</f>
      </c>
      <c r="HX266" s="496" t="str">
        <f> IF(HX286&lt;&gt;"",TEXT(AUX!IB$1,"dd-MMM-aa"),"")</f>
      </c>
      <c r="HY266" s="496" t="str">
        <f> IF(HY286&lt;&gt;"",TEXT(AUX!IC$1,"dd-MMM-aa"),"")</f>
      </c>
      <c r="HZ266" s="496" t="str">
        <f> IF(HZ286&lt;&gt;"",TEXT(AUX!ID$1,"dd-MMM-aa"),"")</f>
      </c>
      <c r="IA266" s="496" t="str">
        <f> IF(IA286&lt;&gt;"",TEXT(AUX!IE$1,"dd-MMM-aa"),"")</f>
      </c>
      <c r="IB266" s="496" t="str">
        <f> IF(IB286&lt;&gt;"",TEXT(AUX!IF$1,"dd-MMM-aa"),"")</f>
      </c>
      <c r="IC266" s="496" t="str">
        <f> IF(IC286&lt;&gt;"",TEXT(AUX!IG$1,"dd-MMM-aa"),"")</f>
      </c>
      <c r="ID266" s="496" t="str">
        <f> IF(ID286&lt;&gt;"",TEXT(AUX!IH$1,"dd-MMM-aa"),"")</f>
      </c>
      <c r="IE266" s="496" t="str">
        <f> IF(IE286&lt;&gt;"",TEXT(AUX!II$1,"dd-MMM-aa"),"")</f>
      </c>
      <c r="IF266" s="496" t="str">
        <f> IF(IF286&lt;&gt;"",TEXT(AUX!IJ$1,"dd-MMM-aa"),"")</f>
      </c>
      <c r="IG266" s="496" t="str">
        <f> IF(IG286&lt;&gt;"",TEXT(AUX!IK$1,"dd-MMM-aa"),"")</f>
      </c>
      <c r="IH266" s="496" t="str">
        <f> IF(IH286&lt;&gt;"",TEXT(AUX!IL$1,"dd-MMM-aa"),"")</f>
      </c>
      <c r="II266" s="496" t="str">
        <f> IF(II286&lt;&gt;"",TEXT(AUX!IM$1,"dd-MMM-aa"),"")</f>
      </c>
      <c r="IJ266" s="496" t="str">
        <f> IF(IJ286&lt;&gt;"",TEXT(AUX!IN$1,"dd-MMM-aa"),"")</f>
      </c>
      <c r="IK266" s="496" t="str">
        <f> IF(IK286&lt;&gt;"",TEXT(AUX!IO$1,"dd-MMM-aa"),"")</f>
      </c>
      <c r="IL266" s="496" t="str">
        <f> IF(IL286&lt;&gt;"",TEXT(AUX!IP$1,"dd-MMM-aa"),"")</f>
      </c>
      <c r="IM266" s="496" t="str">
        <f> IF(IM286&lt;&gt;"",TEXT(AUX!IQ$1,"dd-MMM-aa"),"")</f>
      </c>
      <c r="IN266" s="496" t="str">
        <f> IF(IN286&lt;&gt;"",TEXT(AUX!IR$1,"dd-MMM-aa"),"")</f>
      </c>
      <c r="IO266" s="496" t="str">
        <f> IF(IO286&lt;&gt;"",TEXT(AUX!IS$1,"dd-MMM-aa"),"")</f>
      </c>
      <c r="IP266" s="496" t="str">
        <f> IF(IP286&lt;&gt;"",TEXT(AUX!IT$1,"dd-MMM-aa"),"")</f>
      </c>
      <c r="IQ266" s="496" t="str">
        <f> IF(IQ286&lt;&gt;"",TEXT(AUX!IU$1,"dd-MMM-aa"),"")</f>
      </c>
      <c r="IR266" s="496" t="str">
        <f> IF(IR286&lt;&gt;"",TEXT(AUX!IV$1,"dd-MMM-aa"),"")</f>
      </c>
      <c r="IS266" s="496" t="str">
        <f> IF(IS286&lt;&gt;"",TEXT(AUX!A$1,"dd-MMM-aa"),"")</f>
      </c>
      <c r="IT266" s="496" t="str">
        <f> IF(IT286&lt;&gt;"",TEXT(AUX!B$1,"dd-MMM-aa"),"")</f>
      </c>
      <c r="IU266" s="496" t="str">
        <f> IF(IU286&lt;&gt;"",TEXT(AUX!C$1,"dd-MMM-aa"),"")</f>
      </c>
      <c r="IV266" s="496" t="str">
        <f> IF(IV286&lt;&gt;"",TEXT(AUX!D$1,"dd-MMM-aa"),"")</f>
      </c>
    </row>
    <row r="267" hidden="1">
      <c r="B267" s="833" t="s">
        <v>8</v>
      </c>
      <c r="C267" s="827">
        <v>38</v>
      </c>
      <c r="D267" s="827">
        <v>37</v>
      </c>
      <c r="E267" s="827">
        <v>36</v>
      </c>
      <c r="F267" s="827">
        <v>35</v>
      </c>
      <c r="G267" s="827">
        <v>38</v>
      </c>
      <c r="H267" s="827">
        <v>38</v>
      </c>
      <c r="I267" s="827">
        <v>38</v>
      </c>
      <c r="J267" s="827">
        <v>44</v>
      </c>
      <c r="K267" s="827">
        <v>44</v>
      </c>
      <c r="L267" s="827">
        <v>46</v>
      </c>
      <c r="M267" s="827">
        <v>45</v>
      </c>
      <c r="N267" s="827">
        <v>48</v>
      </c>
      <c r="O267" s="827">
        <v>48</v>
      </c>
      <c r="P267" s="827">
        <v>49</v>
      </c>
      <c r="Q267" s="827">
        <v>51</v>
      </c>
      <c r="R267" s="827">
        <v>52</v>
      </c>
      <c r="S267" s="827">
        <v>52</v>
      </c>
      <c r="T267" s="827">
        <v>54</v>
      </c>
      <c r="U267" s="827">
        <v>59</v>
      </c>
      <c r="V267" s="827">
        <v>61</v>
      </c>
      <c r="W267" s="827">
        <v>59</v>
      </c>
      <c r="X267" s="827">
        <v>253</v>
      </c>
      <c r="Y267" s="827">
        <v>61</v>
      </c>
      <c r="Z267" s="827">
        <v>62</v>
      </c>
      <c r="AA267" s="827">
        <v>61</v>
      </c>
      <c r="AB267" s="834">
        <v>62</v>
      </c>
      <c r="AC267" s="828">
        <v>62</v>
      </c>
      <c r="AD267" s="828">
        <v>60</v>
      </c>
      <c r="AE267" s="828">
        <v>62</v>
      </c>
      <c r="AF267" s="828">
        <v>63</v>
      </c>
      <c r="AG267" s="828">
        <v>64</v>
      </c>
      <c r="AH267" s="828">
        <v>63</v>
      </c>
      <c r="AI267" s="828">
        <v>61</v>
      </c>
      <c r="AJ267" s="828">
        <v>62</v>
      </c>
      <c r="AK267" s="828">
        <v>63</v>
      </c>
      <c r="AL267" s="828">
        <v>63</v>
      </c>
      <c r="AM267" s="828">
        <v>63</v>
      </c>
      <c r="AN267" s="828">
        <v>63</v>
      </c>
      <c r="AO267" s="828">
        <v>66</v>
      </c>
      <c r="AP267" s="828">
        <v>65</v>
      </c>
    </row>
    <row r="268" hidden="1">
      <c r="B268" s="829" t="s">
        <v>9</v>
      </c>
      <c r="C268" s="823">
        <v>13</v>
      </c>
      <c r="D268" s="823">
        <v>16</v>
      </c>
      <c r="E268" s="823">
        <v>17</v>
      </c>
      <c r="F268" s="823">
        <v>18</v>
      </c>
      <c r="G268" s="823">
        <v>19</v>
      </c>
      <c r="H268" s="823">
        <v>20</v>
      </c>
      <c r="I268" s="823">
        <v>20</v>
      </c>
      <c r="J268" s="823">
        <v>20</v>
      </c>
      <c r="K268" s="823">
        <v>20</v>
      </c>
      <c r="L268" s="823">
        <v>18</v>
      </c>
      <c r="M268" s="823">
        <v>18</v>
      </c>
      <c r="N268" s="823">
        <v>17</v>
      </c>
      <c r="O268" s="823">
        <v>19</v>
      </c>
      <c r="P268" s="823">
        <v>16</v>
      </c>
      <c r="Q268" s="823">
        <v>15</v>
      </c>
      <c r="R268" s="823">
        <v>15</v>
      </c>
      <c r="S268" s="823">
        <v>13</v>
      </c>
      <c r="T268" s="823">
        <v>13</v>
      </c>
      <c r="U268" s="823">
        <v>12</v>
      </c>
      <c r="V268" s="823">
        <v>11</v>
      </c>
      <c r="W268" s="823">
        <v>11</v>
      </c>
      <c r="X268" s="823">
        <v>11</v>
      </c>
      <c r="Y268" s="823">
        <v>10</v>
      </c>
      <c r="Z268" s="823">
        <v>12</v>
      </c>
      <c r="AA268" s="823">
        <v>12</v>
      </c>
      <c r="AB268" s="823">
        <v>12</v>
      </c>
      <c r="AC268" s="825">
        <v>13</v>
      </c>
      <c r="AD268" s="825">
        <v>14</v>
      </c>
      <c r="AE268" s="825">
        <v>14</v>
      </c>
      <c r="AF268" s="825">
        <v>16</v>
      </c>
      <c r="AG268" s="825">
        <v>15</v>
      </c>
      <c r="AH268" s="825">
        <v>15</v>
      </c>
      <c r="AI268" s="825">
        <v>15</v>
      </c>
      <c r="AJ268" s="825">
        <v>16</v>
      </c>
      <c r="AK268" s="825">
        <v>16</v>
      </c>
      <c r="AL268" s="825">
        <v>16</v>
      </c>
      <c r="AM268" s="825">
        <v>17</v>
      </c>
      <c r="AN268" s="825">
        <v>17</v>
      </c>
      <c r="AO268" s="825">
        <v>17</v>
      </c>
      <c r="AP268" s="825">
        <v>16</v>
      </c>
    </row>
    <row r="269" hidden="1">
      <c r="B269" s="826" t="s">
        <v>10</v>
      </c>
      <c r="C269" s="827">
        <v>2</v>
      </c>
      <c r="D269" s="827">
        <v>2</v>
      </c>
      <c r="E269" s="827">
        <v>2</v>
      </c>
      <c r="F269" s="827">
        <v>2</v>
      </c>
      <c r="G269" s="827">
        <v>2</v>
      </c>
      <c r="H269" s="827">
        <v>1</v>
      </c>
      <c r="I269" s="827">
        <v>1</v>
      </c>
      <c r="J269" s="827">
        <v>1</v>
      </c>
      <c r="K269" s="827">
        <v>1</v>
      </c>
      <c r="L269" s="827">
        <v>1</v>
      </c>
      <c r="M269" s="827">
        <v>1</v>
      </c>
      <c r="N269" s="827">
        <v>1</v>
      </c>
      <c r="O269" s="827">
        <v>1</v>
      </c>
      <c r="P269" s="827">
        <v>1</v>
      </c>
      <c r="Q269" s="827">
        <v>2</v>
      </c>
      <c r="R269" s="827">
        <v>2</v>
      </c>
      <c r="S269" s="827">
        <v>2</v>
      </c>
      <c r="T269" s="827">
        <v>2</v>
      </c>
      <c r="U269" s="827">
        <v>2</v>
      </c>
      <c r="V269" s="827">
        <v>2</v>
      </c>
      <c r="W269" s="827">
        <v>2</v>
      </c>
      <c r="X269" s="827">
        <v>2</v>
      </c>
      <c r="Y269" s="827">
        <v>2</v>
      </c>
      <c r="Z269" s="827">
        <v>3</v>
      </c>
      <c r="AA269" s="827">
        <v>3</v>
      </c>
      <c r="AB269" s="827">
        <v>6</v>
      </c>
      <c r="AC269" s="828">
        <v>6</v>
      </c>
      <c r="AD269" s="828">
        <v>7</v>
      </c>
      <c r="AE269" s="828">
        <v>7</v>
      </c>
      <c r="AF269" s="828">
        <v>8</v>
      </c>
      <c r="AG269" s="828">
        <v>995</v>
      </c>
      <c r="AH269" s="828">
        <v>1028</v>
      </c>
      <c r="AI269" s="828">
        <v>1061</v>
      </c>
      <c r="AJ269" s="828">
        <v>1088</v>
      </c>
      <c r="AK269" s="828">
        <v>1114</v>
      </c>
      <c r="AL269" s="828">
        <v>1150</v>
      </c>
      <c r="AM269" s="828">
        <v>1191</v>
      </c>
      <c r="AN269" s="828">
        <v>1257</v>
      </c>
      <c r="AO269" s="828">
        <v>1279</v>
      </c>
      <c r="AP269" s="828">
        <v>1302</v>
      </c>
    </row>
    <row r="270" hidden="1">
      <c r="B270" s="829" t="s">
        <v>11</v>
      </c>
      <c r="C270" s="823">
        <v>11</v>
      </c>
      <c r="D270" s="823">
        <v>10</v>
      </c>
      <c r="E270" s="823">
        <v>10</v>
      </c>
      <c r="F270" s="823">
        <v>10</v>
      </c>
      <c r="G270" s="823">
        <v>8</v>
      </c>
      <c r="H270" s="823">
        <v>8</v>
      </c>
      <c r="I270" s="823">
        <v>8</v>
      </c>
      <c r="J270" s="823">
        <v>7</v>
      </c>
      <c r="K270" s="823">
        <v>7</v>
      </c>
      <c r="L270" s="823">
        <v>95</v>
      </c>
      <c r="M270" s="823">
        <v>85</v>
      </c>
      <c r="N270" s="823">
        <v>69</v>
      </c>
      <c r="O270" s="823">
        <v>29</v>
      </c>
      <c r="P270" s="823">
        <v>18</v>
      </c>
      <c r="Q270" s="823">
        <v>16</v>
      </c>
      <c r="R270" s="823">
        <v>14</v>
      </c>
      <c r="S270" s="823">
        <v>15</v>
      </c>
      <c r="T270" s="823">
        <v>15</v>
      </c>
      <c r="U270" s="823">
        <v>15</v>
      </c>
      <c r="V270" s="823">
        <v>15</v>
      </c>
      <c r="W270" s="823">
        <v>14</v>
      </c>
      <c r="X270" s="823">
        <v>14</v>
      </c>
      <c r="Y270" s="823">
        <v>14</v>
      </c>
      <c r="Z270" s="823">
        <v>202</v>
      </c>
      <c r="AA270" s="823">
        <v>217</v>
      </c>
      <c r="AB270" s="823">
        <v>236</v>
      </c>
      <c r="AC270" s="825">
        <v>277</v>
      </c>
      <c r="AD270" s="825">
        <v>305</v>
      </c>
      <c r="AE270" s="825">
        <v>322</v>
      </c>
      <c r="AF270" s="825">
        <v>355</v>
      </c>
      <c r="AG270" s="825">
        <v>343</v>
      </c>
      <c r="AH270" s="825">
        <v>386</v>
      </c>
      <c r="AI270" s="825">
        <v>401</v>
      </c>
      <c r="AJ270" s="825">
        <v>429</v>
      </c>
      <c r="AK270" s="825">
        <v>464</v>
      </c>
      <c r="AL270" s="825">
        <v>502</v>
      </c>
      <c r="AM270" s="825">
        <v>544</v>
      </c>
      <c r="AN270" s="825">
        <v>572</v>
      </c>
      <c r="AO270" s="825">
        <v>597</v>
      </c>
      <c r="AP270" s="825">
        <v>586</v>
      </c>
    </row>
    <row r="271" hidden="1">
      <c r="B271" s="826" t="s">
        <v>12</v>
      </c>
      <c r="C271" s="827">
        <v>4</v>
      </c>
      <c r="D271" s="827">
        <v>4</v>
      </c>
      <c r="E271" s="827">
        <v>4</v>
      </c>
      <c r="F271" s="827">
        <v>4</v>
      </c>
      <c r="G271" s="827">
        <v>4</v>
      </c>
      <c r="H271" s="827">
        <v>4</v>
      </c>
      <c r="I271" s="827">
        <v>4</v>
      </c>
      <c r="J271" s="827">
        <v>4</v>
      </c>
      <c r="K271" s="827">
        <v>4</v>
      </c>
      <c r="L271" s="827">
        <v>4</v>
      </c>
      <c r="M271" s="827">
        <v>4</v>
      </c>
      <c r="N271" s="827">
        <v>4</v>
      </c>
      <c r="O271" s="827">
        <v>4</v>
      </c>
      <c r="P271" s="827">
        <v>4</v>
      </c>
      <c r="Q271" s="827">
        <v>4</v>
      </c>
      <c r="R271" s="827">
        <v>4</v>
      </c>
      <c r="S271" s="827">
        <v>4</v>
      </c>
      <c r="T271" s="827">
        <v>4</v>
      </c>
      <c r="U271" s="827">
        <v>4</v>
      </c>
      <c r="V271" s="827">
        <v>5</v>
      </c>
      <c r="W271" s="827">
        <v>5</v>
      </c>
      <c r="X271" s="827">
        <v>5</v>
      </c>
      <c r="Y271" s="827">
        <v>6</v>
      </c>
      <c r="Z271" s="827">
        <v>5</v>
      </c>
      <c r="AA271" s="827">
        <v>5</v>
      </c>
      <c r="AB271" s="827">
        <v>6</v>
      </c>
      <c r="AC271" s="828">
        <v>8</v>
      </c>
      <c r="AD271" s="828">
        <v>8</v>
      </c>
      <c r="AE271" s="828">
        <v>8</v>
      </c>
      <c r="AF271" s="828">
        <v>7</v>
      </c>
      <c r="AG271" s="828">
        <v>7</v>
      </c>
      <c r="AH271" s="828">
        <v>10</v>
      </c>
      <c r="AI271" s="828">
        <v>17</v>
      </c>
      <c r="AJ271" s="828">
        <v>17</v>
      </c>
      <c r="AK271" s="828">
        <v>16</v>
      </c>
      <c r="AL271" s="828">
        <v>17</v>
      </c>
      <c r="AM271" s="828">
        <v>18</v>
      </c>
      <c r="AN271" s="828">
        <v>19</v>
      </c>
      <c r="AO271" s="828">
        <v>21</v>
      </c>
      <c r="AP271" s="828">
        <v>22</v>
      </c>
    </row>
    <row r="272" hidden="1">
      <c r="B272" s="829" t="s">
        <v>13</v>
      </c>
      <c r="C272" s="823">
        <v>0</v>
      </c>
      <c r="D272" s="823">
        <v>0</v>
      </c>
      <c r="E272" s="823">
        <v>1</v>
      </c>
      <c r="F272" s="823">
        <v>2</v>
      </c>
      <c r="G272" s="823">
        <v>1</v>
      </c>
      <c r="H272" s="823">
        <v>1</v>
      </c>
      <c r="I272" s="823">
        <v>1</v>
      </c>
      <c r="J272" s="823">
        <v>1</v>
      </c>
      <c r="K272" s="823">
        <v>1</v>
      </c>
      <c r="L272" s="823">
        <v>1</v>
      </c>
      <c r="M272" s="823">
        <v>2</v>
      </c>
      <c r="N272" s="823">
        <v>1</v>
      </c>
      <c r="O272" s="823">
        <v>1</v>
      </c>
      <c r="P272" s="823">
        <v>1</v>
      </c>
      <c r="Q272" s="823">
        <v>2</v>
      </c>
      <c r="R272" s="823">
        <v>1</v>
      </c>
      <c r="S272" s="823">
        <v>1</v>
      </c>
      <c r="T272" s="823">
        <v>1</v>
      </c>
      <c r="U272" s="823">
        <v>1</v>
      </c>
      <c r="V272" s="823">
        <v>1</v>
      </c>
      <c r="W272" s="823">
        <v>1</v>
      </c>
      <c r="X272" s="823">
        <v>1</v>
      </c>
      <c r="Y272" s="823">
        <v>3</v>
      </c>
      <c r="Z272" s="823">
        <v>2</v>
      </c>
      <c r="AA272" s="823">
        <v>2</v>
      </c>
      <c r="AB272" s="823">
        <v>2</v>
      </c>
      <c r="AC272" s="825">
        <v>2</v>
      </c>
      <c r="AD272" s="825">
        <v>2</v>
      </c>
      <c r="AE272" s="825">
        <v>2</v>
      </c>
      <c r="AF272" s="825">
        <v>2</v>
      </c>
      <c r="AG272" s="825">
        <v>2</v>
      </c>
      <c r="AH272" s="825">
        <v>2</v>
      </c>
      <c r="AI272" s="825">
        <v>2</v>
      </c>
      <c r="AJ272" s="825">
        <v>2</v>
      </c>
      <c r="AK272" s="825">
        <v>2</v>
      </c>
      <c r="AL272" s="825">
        <v>2</v>
      </c>
      <c r="AM272" s="825">
        <v>2</v>
      </c>
      <c r="AN272" s="825">
        <v>2</v>
      </c>
      <c r="AO272" s="825">
        <v>2</v>
      </c>
      <c r="AP272" s="825">
        <v>1</v>
      </c>
    </row>
    <row r="273" hidden="1">
      <c r="B273" s="826" t="s">
        <v>109</v>
      </c>
      <c r="C273" s="827">
        <v>8</v>
      </c>
      <c r="D273" s="827">
        <v>8</v>
      </c>
      <c r="E273" s="827">
        <v>9</v>
      </c>
      <c r="F273" s="827">
        <v>10</v>
      </c>
      <c r="G273" s="827">
        <v>10</v>
      </c>
      <c r="H273" s="827">
        <v>9</v>
      </c>
      <c r="I273" s="827">
        <v>8</v>
      </c>
      <c r="J273" s="827">
        <v>7</v>
      </c>
      <c r="K273" s="827">
        <v>7</v>
      </c>
      <c r="L273" s="827">
        <v>8</v>
      </c>
      <c r="M273" s="827">
        <v>8</v>
      </c>
      <c r="N273" s="827">
        <v>8</v>
      </c>
      <c r="O273" s="827">
        <v>9</v>
      </c>
      <c r="P273" s="827">
        <v>9</v>
      </c>
      <c r="Q273" s="827">
        <v>8</v>
      </c>
      <c r="R273" s="827">
        <v>8</v>
      </c>
      <c r="S273" s="827">
        <v>8</v>
      </c>
      <c r="T273" s="827">
        <v>10</v>
      </c>
      <c r="U273" s="827">
        <v>8</v>
      </c>
      <c r="V273" s="827">
        <v>8</v>
      </c>
      <c r="W273" s="827">
        <v>8</v>
      </c>
      <c r="X273" s="827">
        <v>8</v>
      </c>
      <c r="Y273" s="827">
        <v>7</v>
      </c>
      <c r="Z273" s="827">
        <v>7</v>
      </c>
      <c r="AA273" s="827">
        <v>20</v>
      </c>
      <c r="AB273" s="827">
        <v>19</v>
      </c>
      <c r="AC273" s="828">
        <v>13</v>
      </c>
      <c r="AD273" s="828">
        <v>12</v>
      </c>
      <c r="AE273" s="828">
        <v>8</v>
      </c>
      <c r="AF273" s="828">
        <v>8</v>
      </c>
      <c r="AG273" s="828">
        <v>6</v>
      </c>
      <c r="AH273" s="828">
        <v>6</v>
      </c>
      <c r="AI273" s="828">
        <v>6</v>
      </c>
      <c r="AJ273" s="828">
        <v>6</v>
      </c>
      <c r="AK273" s="828">
        <v>7</v>
      </c>
      <c r="AL273" s="828">
        <v>7</v>
      </c>
      <c r="AM273" s="828">
        <v>8</v>
      </c>
      <c r="AN273" s="828">
        <v>7</v>
      </c>
      <c r="AO273" s="828">
        <v>8</v>
      </c>
      <c r="AP273" s="828">
        <v>8</v>
      </c>
    </row>
    <row r="274" hidden="1">
      <c r="B274" s="829" t="s">
        <v>110</v>
      </c>
      <c r="C274" s="823">
        <v>15</v>
      </c>
      <c r="D274" s="823">
        <v>15</v>
      </c>
      <c r="E274" s="823">
        <v>15</v>
      </c>
      <c r="F274" s="823">
        <v>17</v>
      </c>
      <c r="G274" s="823">
        <v>18</v>
      </c>
      <c r="H274" s="823">
        <v>19</v>
      </c>
      <c r="I274" s="823">
        <v>25</v>
      </c>
      <c r="J274" s="823">
        <v>25</v>
      </c>
      <c r="K274" s="823">
        <v>25</v>
      </c>
      <c r="L274" s="823">
        <v>46</v>
      </c>
      <c r="M274" s="823">
        <v>152</v>
      </c>
      <c r="N274" s="823">
        <v>411</v>
      </c>
      <c r="O274" s="823">
        <v>1121</v>
      </c>
      <c r="P274" s="823">
        <v>1196</v>
      </c>
      <c r="Q274" s="823">
        <v>1348</v>
      </c>
      <c r="R274" s="823">
        <v>1555</v>
      </c>
      <c r="S274" s="823">
        <v>1696</v>
      </c>
      <c r="T274" s="823">
        <v>1814</v>
      </c>
      <c r="U274" s="823">
        <v>1922</v>
      </c>
      <c r="V274" s="823">
        <v>1995</v>
      </c>
      <c r="W274" s="823">
        <v>2060</v>
      </c>
      <c r="X274" s="823">
        <v>2088</v>
      </c>
      <c r="Y274" s="823">
        <v>2128</v>
      </c>
      <c r="Z274" s="823">
        <v>2131</v>
      </c>
      <c r="AA274" s="823">
        <v>2145</v>
      </c>
      <c r="AB274" s="823">
        <v>2211</v>
      </c>
      <c r="AC274" s="825">
        <v>2256</v>
      </c>
      <c r="AD274" s="825">
        <v>2286</v>
      </c>
      <c r="AE274" s="825">
        <v>2295</v>
      </c>
      <c r="AF274" s="825">
        <v>2359</v>
      </c>
      <c r="AG274" s="825">
        <v>2425</v>
      </c>
      <c r="AH274" s="825">
        <v>2483</v>
      </c>
      <c r="AI274" s="825">
        <v>2526</v>
      </c>
      <c r="AJ274" s="825">
        <v>2567</v>
      </c>
      <c r="AK274" s="825">
        <v>2590</v>
      </c>
      <c r="AL274" s="825">
        <v>2590</v>
      </c>
      <c r="AM274" s="825">
        <v>2556</v>
      </c>
      <c r="AN274" s="825">
        <v>2585</v>
      </c>
      <c r="AO274" s="825">
        <v>2559</v>
      </c>
      <c r="AP274" s="825">
        <v>2582</v>
      </c>
    </row>
    <row r="275" hidden="1">
      <c r="B275" s="826" t="s">
        <v>16</v>
      </c>
      <c r="C275" s="827">
        <v>90</v>
      </c>
      <c r="D275" s="827">
        <v>88</v>
      </c>
      <c r="E275" s="827">
        <v>87</v>
      </c>
      <c r="F275" s="827">
        <v>87</v>
      </c>
      <c r="G275" s="827">
        <v>79</v>
      </c>
      <c r="H275" s="827">
        <v>79</v>
      </c>
      <c r="I275" s="827">
        <v>81</v>
      </c>
      <c r="J275" s="827">
        <v>82</v>
      </c>
      <c r="K275" s="827">
        <v>83</v>
      </c>
      <c r="L275" s="827">
        <v>81</v>
      </c>
      <c r="M275" s="827">
        <v>79</v>
      </c>
      <c r="N275" s="827">
        <v>78</v>
      </c>
      <c r="O275" s="827">
        <v>76</v>
      </c>
      <c r="P275" s="827">
        <v>74</v>
      </c>
      <c r="Q275" s="827">
        <v>63</v>
      </c>
      <c r="R275" s="827">
        <v>64</v>
      </c>
      <c r="S275" s="827">
        <v>64</v>
      </c>
      <c r="T275" s="827">
        <v>65</v>
      </c>
      <c r="U275" s="827">
        <v>62</v>
      </c>
      <c r="V275" s="827">
        <v>64</v>
      </c>
      <c r="W275" s="827">
        <v>68</v>
      </c>
      <c r="X275" s="827">
        <v>68</v>
      </c>
      <c r="Y275" s="827">
        <v>66</v>
      </c>
      <c r="Z275" s="827">
        <v>66</v>
      </c>
      <c r="AA275" s="827">
        <v>65</v>
      </c>
      <c r="AB275" s="827">
        <v>66</v>
      </c>
      <c r="AC275" s="828">
        <v>63</v>
      </c>
      <c r="AD275" s="828">
        <v>63</v>
      </c>
      <c r="AE275" s="828">
        <v>51</v>
      </c>
      <c r="AF275" s="828">
        <v>51</v>
      </c>
      <c r="AG275" s="828">
        <v>48</v>
      </c>
      <c r="AH275" s="828">
        <v>50</v>
      </c>
      <c r="AI275" s="828">
        <v>57</v>
      </c>
      <c r="AJ275" s="828">
        <v>59</v>
      </c>
      <c r="AK275" s="828">
        <v>63</v>
      </c>
      <c r="AL275" s="828">
        <v>66</v>
      </c>
      <c r="AM275" s="828">
        <v>70</v>
      </c>
      <c r="AN275" s="828">
        <v>69</v>
      </c>
      <c r="AO275" s="828">
        <v>71</v>
      </c>
      <c r="AP275" s="828">
        <v>71</v>
      </c>
    </row>
    <row r="276" hidden="1">
      <c r="B276" s="829" t="s">
        <v>17</v>
      </c>
      <c r="C276" s="823">
        <v>131</v>
      </c>
      <c r="D276" s="823">
        <v>131</v>
      </c>
      <c r="E276" s="823">
        <v>131</v>
      </c>
      <c r="F276" s="823">
        <v>130</v>
      </c>
      <c r="G276" s="823">
        <v>129</v>
      </c>
      <c r="H276" s="823">
        <v>17</v>
      </c>
      <c r="I276" s="823">
        <v>16</v>
      </c>
      <c r="J276" s="823">
        <v>18</v>
      </c>
      <c r="K276" s="823">
        <v>17</v>
      </c>
      <c r="L276" s="823">
        <v>20</v>
      </c>
      <c r="M276" s="823">
        <v>20</v>
      </c>
      <c r="N276" s="823">
        <v>19</v>
      </c>
      <c r="O276" s="823">
        <v>21</v>
      </c>
      <c r="P276" s="823">
        <v>21</v>
      </c>
      <c r="Q276" s="823">
        <v>20</v>
      </c>
      <c r="R276" s="823">
        <v>20</v>
      </c>
      <c r="S276" s="823">
        <v>22</v>
      </c>
      <c r="T276" s="823">
        <v>23</v>
      </c>
      <c r="U276" s="823">
        <v>26</v>
      </c>
      <c r="V276" s="823">
        <v>26</v>
      </c>
      <c r="W276" s="823">
        <v>27</v>
      </c>
      <c r="X276" s="823">
        <v>28</v>
      </c>
      <c r="Y276" s="823">
        <v>28</v>
      </c>
      <c r="Z276" s="823">
        <v>30</v>
      </c>
      <c r="AA276" s="823">
        <v>26</v>
      </c>
      <c r="AB276" s="823">
        <v>26</v>
      </c>
      <c r="AC276" s="825">
        <v>25</v>
      </c>
      <c r="AD276" s="825">
        <v>25</v>
      </c>
      <c r="AE276" s="825">
        <v>25</v>
      </c>
      <c r="AF276" s="825">
        <v>25</v>
      </c>
      <c r="AG276" s="825">
        <v>39</v>
      </c>
      <c r="AH276" s="825">
        <v>50</v>
      </c>
      <c r="AI276" s="825">
        <v>52</v>
      </c>
      <c r="AJ276" s="825">
        <v>51</v>
      </c>
      <c r="AK276" s="825">
        <v>53</v>
      </c>
      <c r="AL276" s="825">
        <v>74</v>
      </c>
      <c r="AM276" s="825">
        <v>76</v>
      </c>
      <c r="AN276" s="825">
        <v>97</v>
      </c>
      <c r="AO276" s="825">
        <v>99</v>
      </c>
      <c r="AP276" s="825">
        <v>98</v>
      </c>
    </row>
    <row r="277" hidden="1">
      <c r="B277" s="826" t="s">
        <v>18</v>
      </c>
      <c r="C277" s="827">
        <v>2</v>
      </c>
      <c r="D277" s="827">
        <v>2</v>
      </c>
      <c r="E277" s="827">
        <v>2</v>
      </c>
      <c r="F277" s="827">
        <v>3</v>
      </c>
      <c r="G277" s="827">
        <v>4</v>
      </c>
      <c r="H277" s="827">
        <v>3</v>
      </c>
      <c r="I277" s="827">
        <v>3</v>
      </c>
      <c r="J277" s="827">
        <v>4</v>
      </c>
      <c r="K277" s="827">
        <v>5</v>
      </c>
      <c r="L277" s="827">
        <v>5</v>
      </c>
      <c r="M277" s="827">
        <v>3</v>
      </c>
      <c r="N277" s="827">
        <v>3</v>
      </c>
      <c r="O277" s="827">
        <v>3</v>
      </c>
      <c r="P277" s="827">
        <v>3</v>
      </c>
      <c r="Q277" s="827">
        <v>3</v>
      </c>
      <c r="R277" s="827">
        <v>4</v>
      </c>
      <c r="S277" s="827">
        <v>4</v>
      </c>
      <c r="T277" s="827">
        <v>3</v>
      </c>
      <c r="U277" s="827">
        <v>5</v>
      </c>
      <c r="V277" s="827">
        <v>6</v>
      </c>
      <c r="W277" s="827">
        <v>6</v>
      </c>
      <c r="X277" s="827">
        <v>7</v>
      </c>
      <c r="Y277" s="827">
        <v>61</v>
      </c>
      <c r="Z277" s="827">
        <v>60</v>
      </c>
      <c r="AA277" s="827">
        <v>11</v>
      </c>
      <c r="AB277" s="827">
        <v>10</v>
      </c>
      <c r="AC277" s="828">
        <v>9</v>
      </c>
      <c r="AD277" s="828">
        <v>9</v>
      </c>
      <c r="AE277" s="828">
        <v>9</v>
      </c>
      <c r="AF277" s="828">
        <v>9</v>
      </c>
      <c r="AG277" s="828">
        <v>9</v>
      </c>
      <c r="AH277" s="828">
        <v>9</v>
      </c>
      <c r="AI277" s="828">
        <v>120</v>
      </c>
      <c r="AJ277" s="828">
        <v>344</v>
      </c>
      <c r="AK277" s="828">
        <v>608</v>
      </c>
      <c r="AL277" s="828">
        <v>714</v>
      </c>
      <c r="AM277" s="828">
        <v>556</v>
      </c>
      <c r="AN277" s="828">
        <v>430</v>
      </c>
      <c r="AO277" s="828">
        <v>386</v>
      </c>
      <c r="AP277" s="828">
        <v>361</v>
      </c>
    </row>
    <row r="278" hidden="1">
      <c r="B278" s="829" t="s">
        <v>19</v>
      </c>
      <c r="C278" s="823">
        <v>9</v>
      </c>
      <c r="D278" s="823">
        <v>9</v>
      </c>
      <c r="E278" s="823">
        <v>9</v>
      </c>
      <c r="F278" s="823">
        <v>9</v>
      </c>
      <c r="G278" s="823">
        <v>9</v>
      </c>
      <c r="H278" s="823">
        <v>12</v>
      </c>
      <c r="I278" s="823">
        <v>12</v>
      </c>
      <c r="J278" s="823">
        <v>12</v>
      </c>
      <c r="K278" s="823">
        <v>12</v>
      </c>
      <c r="L278" s="823">
        <v>12</v>
      </c>
      <c r="M278" s="823">
        <v>11</v>
      </c>
      <c r="N278" s="823">
        <v>11</v>
      </c>
      <c r="O278" s="823">
        <v>11</v>
      </c>
      <c r="P278" s="823">
        <v>11</v>
      </c>
      <c r="Q278" s="823">
        <v>8</v>
      </c>
      <c r="R278" s="823">
        <v>9</v>
      </c>
      <c r="S278" s="823">
        <v>9</v>
      </c>
      <c r="T278" s="823">
        <v>9</v>
      </c>
      <c r="U278" s="823">
        <v>9</v>
      </c>
      <c r="V278" s="823">
        <v>9</v>
      </c>
      <c r="W278" s="823">
        <v>9</v>
      </c>
      <c r="X278" s="823">
        <v>9</v>
      </c>
      <c r="Y278" s="823">
        <v>8</v>
      </c>
      <c r="Z278" s="823">
        <v>8</v>
      </c>
      <c r="AA278" s="823">
        <v>9</v>
      </c>
      <c r="AB278" s="823">
        <v>9</v>
      </c>
      <c r="AC278" s="825">
        <v>9</v>
      </c>
      <c r="AD278" s="825">
        <v>9</v>
      </c>
      <c r="AE278" s="825">
        <v>9</v>
      </c>
      <c r="AF278" s="825">
        <v>9</v>
      </c>
      <c r="AG278" s="825">
        <v>9</v>
      </c>
      <c r="AH278" s="825">
        <v>9</v>
      </c>
      <c r="AI278" s="825">
        <v>9</v>
      </c>
      <c r="AJ278" s="825">
        <v>9</v>
      </c>
      <c r="AK278" s="825">
        <v>9</v>
      </c>
      <c r="AL278" s="825">
        <v>9</v>
      </c>
      <c r="AM278" s="825">
        <v>9</v>
      </c>
      <c r="AN278" s="825">
        <v>9</v>
      </c>
      <c r="AO278" s="825">
        <v>12</v>
      </c>
      <c r="AP278" s="825">
        <v>12</v>
      </c>
    </row>
    <row r="279" hidden="1">
      <c r="B279" s="826" t="s">
        <v>20</v>
      </c>
      <c r="C279" s="827">
        <v>3</v>
      </c>
      <c r="D279" s="827">
        <v>3</v>
      </c>
      <c r="E279" s="827">
        <v>3</v>
      </c>
      <c r="F279" s="827">
        <v>3</v>
      </c>
      <c r="G279" s="827">
        <v>3</v>
      </c>
      <c r="H279" s="827">
        <v>3</v>
      </c>
      <c r="I279" s="827">
        <v>3</v>
      </c>
      <c r="J279" s="827">
        <v>3</v>
      </c>
      <c r="K279" s="827">
        <v>3</v>
      </c>
      <c r="L279" s="827">
        <v>8</v>
      </c>
      <c r="M279" s="827">
        <v>8</v>
      </c>
      <c r="N279" s="827">
        <v>7</v>
      </c>
      <c r="O279" s="827">
        <v>8</v>
      </c>
      <c r="P279" s="827">
        <v>8</v>
      </c>
      <c r="Q279" s="827">
        <v>8</v>
      </c>
      <c r="R279" s="827">
        <v>8</v>
      </c>
      <c r="S279" s="827">
        <v>8</v>
      </c>
      <c r="T279" s="827">
        <v>8</v>
      </c>
      <c r="U279" s="827">
        <v>71</v>
      </c>
      <c r="V279" s="827">
        <v>71</v>
      </c>
      <c r="W279" s="827">
        <v>72</v>
      </c>
      <c r="X279" s="827">
        <v>72</v>
      </c>
      <c r="Y279" s="827">
        <v>72</v>
      </c>
      <c r="Z279" s="827">
        <v>73</v>
      </c>
      <c r="AA279" s="827">
        <v>85</v>
      </c>
      <c r="AB279" s="827">
        <v>88</v>
      </c>
      <c r="AC279" s="828">
        <v>88</v>
      </c>
      <c r="AD279" s="828">
        <v>87</v>
      </c>
      <c r="AE279" s="828">
        <v>88</v>
      </c>
      <c r="AF279" s="828">
        <v>88</v>
      </c>
      <c r="AG279" s="828">
        <v>85</v>
      </c>
      <c r="AH279" s="828">
        <v>85</v>
      </c>
      <c r="AI279" s="828">
        <v>87</v>
      </c>
      <c r="AJ279" s="828">
        <v>88</v>
      </c>
      <c r="AK279" s="828">
        <v>94</v>
      </c>
      <c r="AL279" s="828">
        <v>101</v>
      </c>
      <c r="AM279" s="828">
        <v>103</v>
      </c>
      <c r="AN279" s="828">
        <v>105</v>
      </c>
      <c r="AO279" s="828">
        <v>105</v>
      </c>
      <c r="AP279" s="828">
        <v>106</v>
      </c>
    </row>
    <row r="280" hidden="1">
      <c r="B280" s="829" t="s">
        <v>21</v>
      </c>
      <c r="C280" s="823">
        <v>273</v>
      </c>
      <c r="D280" s="823">
        <v>273</v>
      </c>
      <c r="E280" s="823">
        <v>273</v>
      </c>
      <c r="F280" s="823">
        <v>273</v>
      </c>
      <c r="G280" s="823">
        <v>255</v>
      </c>
      <c r="H280" s="823">
        <v>251</v>
      </c>
      <c r="I280" s="823">
        <v>18</v>
      </c>
      <c r="J280" s="823">
        <v>19</v>
      </c>
      <c r="K280" s="823">
        <v>22</v>
      </c>
      <c r="L280" s="823">
        <v>22</v>
      </c>
      <c r="M280" s="823">
        <v>23</v>
      </c>
      <c r="N280" s="823">
        <v>23</v>
      </c>
      <c r="O280" s="823">
        <v>25</v>
      </c>
      <c r="P280" s="823">
        <v>25</v>
      </c>
      <c r="Q280" s="823">
        <v>26</v>
      </c>
      <c r="R280" s="823">
        <v>26</v>
      </c>
      <c r="S280" s="823">
        <v>28</v>
      </c>
      <c r="T280" s="823">
        <v>31</v>
      </c>
      <c r="U280" s="823">
        <v>31</v>
      </c>
      <c r="V280" s="823">
        <v>32</v>
      </c>
      <c r="W280" s="823">
        <v>33</v>
      </c>
      <c r="X280" s="823">
        <v>33</v>
      </c>
      <c r="Y280" s="823">
        <v>34</v>
      </c>
      <c r="Z280" s="823">
        <v>33</v>
      </c>
      <c r="AA280" s="823">
        <v>33</v>
      </c>
      <c r="AB280" s="823">
        <v>33</v>
      </c>
      <c r="AC280" s="825">
        <v>97</v>
      </c>
      <c r="AD280" s="825">
        <v>110</v>
      </c>
      <c r="AE280" s="825">
        <v>120</v>
      </c>
      <c r="AF280" s="825">
        <v>125</v>
      </c>
      <c r="AG280" s="825">
        <v>143</v>
      </c>
      <c r="AH280" s="825">
        <v>154</v>
      </c>
      <c r="AI280" s="825">
        <v>328</v>
      </c>
      <c r="AJ280" s="825">
        <v>307</v>
      </c>
      <c r="AK280" s="825">
        <v>286</v>
      </c>
      <c r="AL280" s="825">
        <v>288</v>
      </c>
      <c r="AM280" s="825">
        <v>270</v>
      </c>
      <c r="AN280" s="825">
        <v>332</v>
      </c>
      <c r="AO280" s="825">
        <v>338</v>
      </c>
      <c r="AP280" s="825">
        <v>344</v>
      </c>
    </row>
    <row r="281" hidden="1">
      <c r="B281" s="826" t="s">
        <v>22</v>
      </c>
      <c r="C281" s="827">
        <v>18</v>
      </c>
      <c r="D281" s="827">
        <v>18</v>
      </c>
      <c r="E281" s="827">
        <v>18</v>
      </c>
      <c r="F281" s="827">
        <v>18</v>
      </c>
      <c r="G281" s="827">
        <v>18</v>
      </c>
      <c r="H281" s="827">
        <v>18</v>
      </c>
      <c r="I281" s="827">
        <v>18</v>
      </c>
      <c r="J281" s="827">
        <v>18</v>
      </c>
      <c r="K281" s="827">
        <v>19</v>
      </c>
      <c r="L281" s="827">
        <v>19</v>
      </c>
      <c r="M281" s="827">
        <v>20</v>
      </c>
      <c r="N281" s="827">
        <v>20</v>
      </c>
      <c r="O281" s="827">
        <v>20</v>
      </c>
      <c r="P281" s="827">
        <v>24</v>
      </c>
      <c r="Q281" s="827">
        <v>29</v>
      </c>
      <c r="R281" s="827">
        <v>29</v>
      </c>
      <c r="S281" s="827">
        <v>32</v>
      </c>
      <c r="T281" s="827">
        <v>32</v>
      </c>
      <c r="U281" s="827">
        <v>30</v>
      </c>
      <c r="V281" s="827">
        <v>30</v>
      </c>
      <c r="W281" s="827">
        <v>27</v>
      </c>
      <c r="X281" s="827">
        <v>27</v>
      </c>
      <c r="Y281" s="827">
        <v>25</v>
      </c>
      <c r="Z281" s="827">
        <v>25</v>
      </c>
      <c r="AA281" s="827">
        <v>24</v>
      </c>
      <c r="AB281" s="827">
        <v>24</v>
      </c>
      <c r="AC281" s="828">
        <v>28</v>
      </c>
      <c r="AD281" s="828">
        <v>35</v>
      </c>
      <c r="AE281" s="828">
        <v>42</v>
      </c>
      <c r="AF281" s="828">
        <v>47</v>
      </c>
      <c r="AG281" s="828">
        <v>53</v>
      </c>
      <c r="AH281" s="828">
        <v>55</v>
      </c>
      <c r="AI281" s="828">
        <v>66</v>
      </c>
      <c r="AJ281" s="828">
        <v>75</v>
      </c>
      <c r="AK281" s="828">
        <v>65</v>
      </c>
      <c r="AL281" s="828">
        <v>71</v>
      </c>
      <c r="AM281" s="828">
        <v>65</v>
      </c>
      <c r="AN281" s="828">
        <v>56</v>
      </c>
      <c r="AO281" s="828">
        <v>95</v>
      </c>
      <c r="AP281" s="828">
        <v>90</v>
      </c>
    </row>
    <row r="282" hidden="1">
      <c r="B282" s="829" t="s">
        <v>23</v>
      </c>
      <c r="C282" s="823">
        <v>0</v>
      </c>
      <c r="D282" s="823">
        <v>0</v>
      </c>
      <c r="E282" s="823">
        <v>0</v>
      </c>
      <c r="F282" s="823">
        <v>0</v>
      </c>
      <c r="G282" s="823">
        <v>0</v>
      </c>
      <c r="H282" s="823">
        <v>0</v>
      </c>
      <c r="I282" s="823">
        <v>0</v>
      </c>
      <c r="J282" s="823">
        <v>0</v>
      </c>
      <c r="K282" s="823">
        <v>0</v>
      </c>
      <c r="L282" s="823">
        <v>0</v>
      </c>
      <c r="M282" s="823">
        <v>0</v>
      </c>
      <c r="N282" s="823">
        <v>0</v>
      </c>
      <c r="O282" s="823">
        <v>0</v>
      </c>
      <c r="P282" s="823">
        <v>0</v>
      </c>
      <c r="Q282" s="823">
        <v>0</v>
      </c>
      <c r="R282" s="823">
        <v>1</v>
      </c>
      <c r="S282" s="823">
        <v>1</v>
      </c>
      <c r="T282" s="823">
        <v>1</v>
      </c>
      <c r="U282" s="823">
        <v>1</v>
      </c>
      <c r="V282" s="823">
        <v>1</v>
      </c>
      <c r="W282" s="823">
        <v>1</v>
      </c>
      <c r="X282" s="823">
        <v>1</v>
      </c>
      <c r="Y282" s="823">
        <v>1</v>
      </c>
      <c r="Z282" s="823">
        <v>2</v>
      </c>
      <c r="AA282" s="823">
        <v>3</v>
      </c>
      <c r="AB282" s="823">
        <v>69</v>
      </c>
      <c r="AC282" s="825">
        <v>109</v>
      </c>
      <c r="AD282" s="825">
        <v>119</v>
      </c>
      <c r="AE282" s="825">
        <v>138</v>
      </c>
      <c r="AF282" s="825">
        <v>152</v>
      </c>
      <c r="AG282" s="825">
        <v>176</v>
      </c>
      <c r="AH282" s="825">
        <v>182</v>
      </c>
      <c r="AI282" s="825">
        <v>222</v>
      </c>
      <c r="AJ282" s="825">
        <v>230</v>
      </c>
      <c r="AK282" s="825">
        <v>230</v>
      </c>
      <c r="AL282" s="825">
        <v>233</v>
      </c>
      <c r="AM282" s="825">
        <v>251</v>
      </c>
      <c r="AN282" s="825">
        <v>258</v>
      </c>
      <c r="AO282" s="825">
        <v>273</v>
      </c>
      <c r="AP282" s="825">
        <v>345</v>
      </c>
    </row>
    <row r="283" hidden="1">
      <c r="B283" s="835" t="s">
        <v>24</v>
      </c>
      <c r="C283" s="827">
        <v>0</v>
      </c>
      <c r="D283" s="827">
        <v>2</v>
      </c>
      <c r="E283" s="827">
        <v>2</v>
      </c>
      <c r="F283" s="827">
        <v>2</v>
      </c>
      <c r="G283" s="827">
        <v>2</v>
      </c>
      <c r="H283" s="827">
        <v>2</v>
      </c>
      <c r="I283" s="827">
        <v>2</v>
      </c>
      <c r="J283" s="827">
        <v>2</v>
      </c>
      <c r="K283" s="827">
        <v>2</v>
      </c>
      <c r="L283" s="827">
        <v>2</v>
      </c>
      <c r="M283" s="827">
        <v>5</v>
      </c>
      <c r="N283" s="827">
        <v>5</v>
      </c>
      <c r="O283" s="827">
        <v>5</v>
      </c>
      <c r="P283" s="827">
        <v>5</v>
      </c>
      <c r="Q283" s="827">
        <v>4</v>
      </c>
      <c r="R283" s="827">
        <v>4</v>
      </c>
      <c r="S283" s="827">
        <v>6</v>
      </c>
      <c r="T283" s="827">
        <v>7</v>
      </c>
      <c r="U283" s="827">
        <v>9</v>
      </c>
      <c r="V283" s="827">
        <v>9</v>
      </c>
      <c r="W283" s="827">
        <v>10</v>
      </c>
      <c r="X283" s="827">
        <v>10</v>
      </c>
      <c r="Y283" s="827">
        <v>9</v>
      </c>
      <c r="Z283" s="827">
        <v>10</v>
      </c>
      <c r="AA283" s="827">
        <v>11</v>
      </c>
      <c r="AB283" s="827">
        <v>11</v>
      </c>
      <c r="AC283" s="828">
        <v>10</v>
      </c>
      <c r="AD283" s="828">
        <v>10</v>
      </c>
      <c r="AE283" s="828">
        <v>11</v>
      </c>
      <c r="AF283" s="828">
        <v>12</v>
      </c>
      <c r="AG283" s="828">
        <v>14</v>
      </c>
      <c r="AH283" s="828">
        <v>15</v>
      </c>
      <c r="AI283" s="828">
        <v>12</v>
      </c>
      <c r="AJ283" s="828">
        <v>13</v>
      </c>
      <c r="AK283" s="828">
        <v>11</v>
      </c>
      <c r="AL283" s="828">
        <v>12</v>
      </c>
      <c r="AM283" s="828">
        <v>13</v>
      </c>
      <c r="AN283" s="828">
        <v>13</v>
      </c>
      <c r="AO283" s="828">
        <v>12</v>
      </c>
      <c r="AP283" s="828">
        <v>12</v>
      </c>
    </row>
    <row r="284" hidden="1">
      <c r="B284" s="829" t="s">
        <v>25</v>
      </c>
      <c r="C284" s="823">
        <v>0</v>
      </c>
      <c r="D284" s="823">
        <v>0</v>
      </c>
      <c r="E284" s="823">
        <v>0</v>
      </c>
      <c r="F284" s="823">
        <v>0</v>
      </c>
      <c r="G284" s="823">
        <v>0</v>
      </c>
      <c r="H284" s="823">
        <v>0</v>
      </c>
      <c r="I284" s="823">
        <v>0</v>
      </c>
      <c r="J284" s="823">
        <v>0</v>
      </c>
      <c r="K284" s="823">
        <v>0</v>
      </c>
      <c r="L284" s="823">
        <v>0</v>
      </c>
      <c r="M284" s="823">
        <v>0</v>
      </c>
      <c r="N284" s="823">
        <v>0</v>
      </c>
      <c r="O284" s="823">
        <v>0</v>
      </c>
      <c r="P284" s="823">
        <v>0</v>
      </c>
      <c r="Q284" s="823">
        <v>0</v>
      </c>
      <c r="R284" s="823">
        <v>0</v>
      </c>
      <c r="S284" s="823">
        <v>0</v>
      </c>
      <c r="T284" s="823">
        <v>0</v>
      </c>
      <c r="U284" s="823">
        <v>0</v>
      </c>
      <c r="V284" s="823">
        <v>0</v>
      </c>
      <c r="W284" s="823">
        <v>0</v>
      </c>
      <c r="X284" s="823">
        <v>0</v>
      </c>
      <c r="Y284" s="823">
        <v>0</v>
      </c>
      <c r="Z284" s="823">
        <v>0</v>
      </c>
      <c r="AA284" s="823">
        <v>0</v>
      </c>
      <c r="AB284" s="823">
        <v>0</v>
      </c>
      <c r="AC284" s="825">
        <v>0</v>
      </c>
      <c r="AD284" s="825">
        <v>0</v>
      </c>
      <c r="AE284" s="825">
        <v>0</v>
      </c>
      <c r="AF284" s="825">
        <v>0</v>
      </c>
      <c r="AG284" s="825">
        <v>0</v>
      </c>
      <c r="AH284" s="825">
        <v>0</v>
      </c>
      <c r="AI284" s="825">
        <v>0</v>
      </c>
      <c r="AJ284" s="825">
        <v>0</v>
      </c>
      <c r="AK284" s="825">
        <v>0</v>
      </c>
      <c r="AL284" s="825">
        <v>0</v>
      </c>
      <c r="AM284" s="825">
        <v>0</v>
      </c>
      <c r="AN284" s="825">
        <v>0</v>
      </c>
      <c r="AO284" s="825">
        <v>0</v>
      </c>
      <c r="AP284" s="825">
        <v>0</v>
      </c>
    </row>
    <row r="285" hidden="1" ht="13.5">
      <c r="B285" s="836" t="s">
        <v>26</v>
      </c>
      <c r="C285" s="827">
        <v>0</v>
      </c>
      <c r="D285" s="827">
        <v>0</v>
      </c>
      <c r="E285" s="827">
        <v>0</v>
      </c>
      <c r="F285" s="827">
        <v>0</v>
      </c>
      <c r="G285" s="827">
        <v>0</v>
      </c>
      <c r="H285" s="827">
        <v>0</v>
      </c>
      <c r="I285" s="827">
        <v>0</v>
      </c>
      <c r="J285" s="827">
        <v>0</v>
      </c>
      <c r="K285" s="827">
        <v>0</v>
      </c>
      <c r="L285" s="827">
        <v>0</v>
      </c>
      <c r="M285" s="827">
        <v>0</v>
      </c>
      <c r="N285" s="827">
        <v>0</v>
      </c>
      <c r="O285" s="827">
        <v>0</v>
      </c>
      <c r="P285" s="827">
        <v>0</v>
      </c>
      <c r="Q285" s="827">
        <v>0</v>
      </c>
      <c r="R285" s="827">
        <v>0</v>
      </c>
      <c r="S285" s="827">
        <v>0</v>
      </c>
      <c r="T285" s="827">
        <v>0</v>
      </c>
      <c r="U285" s="827">
        <v>0</v>
      </c>
      <c r="V285" s="827">
        <v>0</v>
      </c>
      <c r="W285" s="827">
        <v>0</v>
      </c>
      <c r="X285" s="827">
        <v>0</v>
      </c>
      <c r="Y285" s="827">
        <v>0</v>
      </c>
      <c r="Z285" s="827">
        <v>0</v>
      </c>
      <c r="AA285" s="827">
        <v>0</v>
      </c>
      <c r="AB285" s="837">
        <v>0</v>
      </c>
      <c r="AC285" s="828">
        <v>0</v>
      </c>
      <c r="AD285" s="828">
        <v>0</v>
      </c>
      <c r="AE285" s="828">
        <v>0</v>
      </c>
      <c r="AF285" s="828">
        <v>0</v>
      </c>
      <c r="AG285" s="828">
        <v>0</v>
      </c>
      <c r="AH285" s="828">
        <v>0</v>
      </c>
      <c r="AI285" s="828">
        <v>0</v>
      </c>
      <c r="AJ285" s="828">
        <v>0</v>
      </c>
      <c r="AK285" s="828">
        <v>0</v>
      </c>
      <c r="AL285" s="828">
        <v>0</v>
      </c>
      <c r="AM285" s="828">
        <v>0</v>
      </c>
      <c r="AN285" s="828">
        <v>0</v>
      </c>
      <c r="AO285" s="828">
        <v>0</v>
      </c>
      <c r="AP285" s="828">
        <v>0</v>
      </c>
    </row>
    <row r="286" hidden="1" ht="13.5">
      <c r="B286" s="128" t="s">
        <v>7</v>
      </c>
      <c r="C286" s="129" t="str">
        <f>IF(SUM(C267:C285)&lt;&gt;0,SUM(C267:C285),"")</f>
      </c>
      <c r="D286" s="129" t="str">
        <f ref="D286:AA286" t="shared" si="20">IF(SUM(D267:D285)&lt;&gt;0,SUM(D267:D285),"")</f>
      </c>
      <c r="E286" s="129" t="str">
        <f t="shared" si="20"/>
      </c>
      <c r="F286" s="129" t="str">
        <f t="shared" si="20"/>
      </c>
      <c r="G286" s="129" t="str">
        <f t="shared" si="20"/>
      </c>
      <c r="H286" s="129" t="str">
        <f t="shared" si="20"/>
      </c>
      <c r="I286" s="129" t="str">
        <f t="shared" si="20"/>
      </c>
      <c r="J286" s="129" t="str">
        <f t="shared" si="20"/>
      </c>
      <c r="K286" s="129" t="str">
        <f t="shared" si="20"/>
      </c>
      <c r="L286" s="129" t="str">
        <f t="shared" si="20"/>
      </c>
      <c r="M286" s="129" t="str">
        <f t="shared" si="20"/>
      </c>
      <c r="N286" s="129" t="str">
        <f t="shared" si="20"/>
      </c>
      <c r="O286" s="129" t="str">
        <f t="shared" si="20"/>
      </c>
      <c r="P286" s="129" t="str">
        <f t="shared" si="20"/>
      </c>
      <c r="Q286" s="129" t="str">
        <f t="shared" si="20"/>
      </c>
      <c r="R286" s="129" t="str">
        <f t="shared" si="20"/>
      </c>
      <c r="S286" s="129" t="str">
        <f t="shared" si="20"/>
      </c>
      <c r="T286" s="129" t="str">
        <f t="shared" si="20"/>
      </c>
      <c r="U286" s="129" t="str">
        <f t="shared" si="20"/>
      </c>
      <c r="V286" s="129" t="str">
        <f t="shared" si="20"/>
      </c>
      <c r="W286" s="129" t="str">
        <f t="shared" si="20"/>
      </c>
      <c r="X286" s="129" t="str">
        <f t="shared" si="20"/>
      </c>
      <c r="Y286" s="129" t="str">
        <f t="shared" si="20"/>
      </c>
      <c r="Z286" s="129" t="str">
        <f t="shared" si="20"/>
      </c>
      <c r="AA286" s="129" t="str">
        <f t="shared" si="20"/>
      </c>
      <c r="AB286" s="130" t="str">
        <f>IF(SUM(AB267:AB285)&lt;&gt;0,SUM(AB267:AB285),"")</f>
      </c>
      <c r="AC286" s="91" t="str">
        <f ref="AC286:CN286" t="shared" si="21">IF(SUM(AC267:AC285)&lt;&gt;0,SUM(AC267:AC285),"")</f>
      </c>
      <c r="AD286" s="91" t="str">
        <f t="shared" si="21"/>
      </c>
      <c r="AE286" s="91" t="str">
        <f t="shared" si="21"/>
      </c>
      <c r="AF286" s="91" t="str">
        <f t="shared" si="21"/>
      </c>
      <c r="AG286" s="91" t="str">
        <f t="shared" si="21"/>
      </c>
      <c r="AH286" s="91" t="str">
        <f t="shared" si="21"/>
      </c>
      <c r="AI286" s="91" t="str">
        <f t="shared" si="21"/>
      </c>
      <c r="AJ286" s="91" t="str">
        <f t="shared" si="21"/>
      </c>
      <c r="AK286" s="91" t="str">
        <f t="shared" si="21"/>
      </c>
      <c r="AL286" s="91" t="str">
        <f t="shared" si="21"/>
      </c>
      <c r="AM286" s="91" t="str">
        <f t="shared" si="21"/>
      </c>
      <c r="AN286" s="91" t="str">
        <f t="shared" si="21"/>
      </c>
      <c r="AO286" s="91" t="str">
        <f t="shared" si="21"/>
      </c>
      <c r="AP286" s="91" t="str">
        <f t="shared" si="21"/>
      </c>
      <c r="AQ286" s="91" t="str">
        <f t="shared" si="21"/>
      </c>
      <c r="AR286" s="91" t="str">
        <f t="shared" si="21"/>
      </c>
      <c r="AS286" s="91" t="str">
        <f t="shared" si="21"/>
      </c>
      <c r="AT286" s="91" t="str">
        <f t="shared" si="21"/>
      </c>
      <c r="AU286" s="91" t="str">
        <f t="shared" si="21"/>
      </c>
      <c r="AV286" s="91" t="str">
        <f t="shared" si="21"/>
      </c>
      <c r="AW286" s="91" t="str">
        <f t="shared" si="21"/>
      </c>
      <c r="AX286" s="91" t="str">
        <f t="shared" si="21"/>
      </c>
      <c r="AY286" s="91" t="str">
        <f t="shared" si="21"/>
      </c>
      <c r="AZ286" s="91" t="str">
        <f t="shared" si="21"/>
      </c>
      <c r="BA286" s="91" t="str">
        <f t="shared" si="21"/>
      </c>
      <c r="BB286" s="91" t="str">
        <f t="shared" si="21"/>
      </c>
      <c r="BC286" s="91" t="str">
        <f t="shared" si="21"/>
      </c>
      <c r="BD286" s="91" t="str">
        <f t="shared" si="21"/>
      </c>
      <c r="BE286" s="91" t="str">
        <f t="shared" si="21"/>
      </c>
      <c r="BF286" s="91" t="str">
        <f t="shared" si="21"/>
      </c>
      <c r="BG286" s="91" t="str">
        <f t="shared" si="21"/>
      </c>
      <c r="BH286" s="91" t="str">
        <f t="shared" si="21"/>
      </c>
      <c r="BI286" s="91" t="str">
        <f t="shared" si="21"/>
      </c>
      <c r="BJ286" s="91" t="str">
        <f t="shared" si="21"/>
      </c>
      <c r="BK286" s="91" t="str">
        <f t="shared" si="21"/>
      </c>
      <c r="BL286" s="91" t="str">
        <f t="shared" si="21"/>
      </c>
      <c r="BM286" s="91" t="str">
        <f t="shared" si="21"/>
      </c>
      <c r="BN286" s="91" t="str">
        <f t="shared" si="21"/>
      </c>
      <c r="BO286" s="91" t="str">
        <f t="shared" si="21"/>
      </c>
      <c r="BP286" s="91" t="str">
        <f t="shared" si="21"/>
      </c>
      <c r="BQ286" s="91" t="str">
        <f t="shared" si="21"/>
      </c>
      <c r="BR286" s="91" t="str">
        <f t="shared" si="21"/>
      </c>
      <c r="BS286" s="91" t="str">
        <f t="shared" si="21"/>
      </c>
      <c r="BT286" s="91" t="str">
        <f t="shared" si="21"/>
      </c>
      <c r="BU286" s="91" t="str">
        <f t="shared" si="21"/>
      </c>
      <c r="BV286" s="91" t="str">
        <f t="shared" si="21"/>
      </c>
      <c r="BW286" s="91" t="str">
        <f t="shared" si="21"/>
      </c>
      <c r="BX286" s="91" t="str">
        <f t="shared" si="21"/>
      </c>
      <c r="BY286" s="91" t="str">
        <f t="shared" si="21"/>
      </c>
      <c r="BZ286" s="91" t="str">
        <f t="shared" si="21"/>
      </c>
      <c r="CA286" s="91" t="str">
        <f t="shared" si="21"/>
      </c>
      <c r="CB286" s="91" t="str">
        <f t="shared" si="21"/>
      </c>
      <c r="CC286" s="91" t="str">
        <f t="shared" si="21"/>
      </c>
      <c r="CD286" s="91" t="str">
        <f t="shared" si="21"/>
      </c>
      <c r="CE286" s="91" t="str">
        <f t="shared" si="21"/>
      </c>
      <c r="CF286" s="91" t="str">
        <f t="shared" si="21"/>
      </c>
      <c r="CG286" s="91" t="str">
        <f t="shared" si="21"/>
      </c>
      <c r="CH286" s="91" t="str">
        <f t="shared" si="21"/>
      </c>
      <c r="CI286" s="91" t="str">
        <f t="shared" si="21"/>
      </c>
      <c r="CJ286" s="91" t="str">
        <f t="shared" si="21"/>
      </c>
      <c r="CK286" s="91" t="str">
        <f t="shared" si="21"/>
      </c>
      <c r="CL286" s="91" t="str">
        <f t="shared" si="21"/>
      </c>
      <c r="CM286" s="91" t="str">
        <f t="shared" si="21"/>
      </c>
      <c r="CN286" s="91" t="str">
        <f t="shared" si="21"/>
      </c>
      <c r="CO286" s="91" t="str">
        <f ref="CO286:EZ286" t="shared" si="22">IF(SUM(CO267:CO285)&lt;&gt;0,SUM(CO267:CO285),"")</f>
      </c>
      <c r="CP286" s="91" t="str">
        <f t="shared" si="22"/>
      </c>
      <c r="CQ286" s="91" t="str">
        <f t="shared" si="22"/>
      </c>
      <c r="CR286" s="91" t="str">
        <f t="shared" si="22"/>
      </c>
      <c r="CS286" s="91" t="str">
        <f t="shared" si="22"/>
      </c>
      <c r="CT286" s="91" t="str">
        <f t="shared" si="22"/>
      </c>
      <c r="CU286" s="91" t="str">
        <f t="shared" si="22"/>
      </c>
      <c r="CV286" s="91" t="str">
        <f t="shared" si="22"/>
      </c>
      <c r="CW286" s="91" t="str">
        <f t="shared" si="22"/>
      </c>
      <c r="CX286" s="91" t="str">
        <f t="shared" si="22"/>
      </c>
      <c r="CY286" s="91" t="str">
        <f t="shared" si="22"/>
      </c>
      <c r="CZ286" s="91" t="str">
        <f t="shared" si="22"/>
      </c>
      <c r="DA286" s="91" t="str">
        <f t="shared" si="22"/>
      </c>
      <c r="DB286" s="91" t="str">
        <f t="shared" si="22"/>
      </c>
      <c r="DC286" s="91" t="str">
        <f t="shared" si="22"/>
      </c>
      <c r="DD286" s="91" t="str">
        <f t="shared" si="22"/>
      </c>
      <c r="DE286" s="91" t="str">
        <f t="shared" si="22"/>
      </c>
      <c r="DF286" s="91" t="str">
        <f t="shared" si="22"/>
      </c>
      <c r="DG286" s="91" t="str">
        <f t="shared" si="22"/>
      </c>
      <c r="DH286" s="91" t="str">
        <f t="shared" si="22"/>
      </c>
      <c r="DI286" s="91" t="str">
        <f t="shared" si="22"/>
      </c>
      <c r="DJ286" s="91" t="str">
        <f t="shared" si="22"/>
      </c>
      <c r="DK286" s="91" t="str">
        <f t="shared" si="22"/>
      </c>
      <c r="DL286" s="91" t="str">
        <f t="shared" si="22"/>
      </c>
      <c r="DM286" s="91" t="str">
        <f t="shared" si="22"/>
      </c>
      <c r="DN286" s="91" t="str">
        <f t="shared" si="22"/>
      </c>
      <c r="DO286" s="91" t="str">
        <f t="shared" si="22"/>
      </c>
      <c r="DP286" s="91" t="str">
        <f t="shared" si="22"/>
      </c>
      <c r="DQ286" s="91" t="str">
        <f t="shared" si="22"/>
      </c>
      <c r="DR286" s="91" t="str">
        <f t="shared" si="22"/>
      </c>
      <c r="DS286" s="91" t="str">
        <f t="shared" si="22"/>
      </c>
      <c r="DT286" s="91" t="str">
        <f t="shared" si="22"/>
      </c>
      <c r="DU286" s="91" t="str">
        <f t="shared" si="22"/>
      </c>
      <c r="DV286" s="91" t="str">
        <f t="shared" si="22"/>
      </c>
      <c r="DW286" s="91" t="str">
        <f t="shared" si="22"/>
      </c>
      <c r="DX286" s="91" t="str">
        <f t="shared" si="22"/>
      </c>
      <c r="DY286" s="91" t="str">
        <f t="shared" si="22"/>
      </c>
      <c r="DZ286" s="91" t="str">
        <f t="shared" si="22"/>
      </c>
      <c r="EA286" s="91" t="str">
        <f t="shared" si="22"/>
      </c>
      <c r="EB286" s="91" t="str">
        <f t="shared" si="22"/>
      </c>
      <c r="EC286" s="91" t="str">
        <f t="shared" si="22"/>
      </c>
      <c r="ED286" s="91" t="str">
        <f t="shared" si="22"/>
      </c>
      <c r="EE286" s="91" t="str">
        <f t="shared" si="22"/>
      </c>
      <c r="EF286" s="91" t="str">
        <f t="shared" si="22"/>
      </c>
      <c r="EG286" s="91" t="str">
        <f t="shared" si="22"/>
      </c>
      <c r="EH286" s="91" t="str">
        <f t="shared" si="22"/>
      </c>
      <c r="EI286" s="91" t="str">
        <f t="shared" si="22"/>
      </c>
      <c r="EJ286" s="91" t="str">
        <f t="shared" si="22"/>
      </c>
      <c r="EK286" s="91" t="str">
        <f t="shared" si="22"/>
      </c>
      <c r="EL286" s="91" t="str">
        <f t="shared" si="22"/>
      </c>
      <c r="EM286" s="91" t="str">
        <f t="shared" si="22"/>
      </c>
      <c r="EN286" s="91" t="str">
        <f t="shared" si="22"/>
      </c>
      <c r="EO286" s="91" t="str">
        <f t="shared" si="22"/>
      </c>
      <c r="EP286" s="91" t="str">
        <f t="shared" si="22"/>
      </c>
      <c r="EQ286" s="91" t="str">
        <f t="shared" si="22"/>
      </c>
      <c r="ER286" s="91" t="str">
        <f t="shared" si="22"/>
      </c>
      <c r="ES286" s="91" t="str">
        <f t="shared" si="22"/>
      </c>
      <c r="ET286" s="91" t="str">
        <f t="shared" si="22"/>
      </c>
      <c r="EU286" s="91" t="str">
        <f t="shared" si="22"/>
      </c>
      <c r="EV286" s="91" t="str">
        <f t="shared" si="22"/>
      </c>
      <c r="EW286" s="91" t="str">
        <f t="shared" si="22"/>
      </c>
      <c r="EX286" s="91" t="str">
        <f t="shared" si="22"/>
      </c>
      <c r="EY286" s="91" t="str">
        <f t="shared" si="22"/>
      </c>
      <c r="EZ286" s="91" t="str">
        <f t="shared" si="22"/>
      </c>
      <c r="FA286" s="91" t="str">
        <f ref="FA286:HL286" t="shared" si="23">IF(SUM(FA267:FA285)&lt;&gt;0,SUM(FA267:FA285),"")</f>
      </c>
      <c r="FB286" s="91" t="str">
        <f t="shared" si="23"/>
      </c>
      <c r="FC286" s="91" t="str">
        <f t="shared" si="23"/>
      </c>
      <c r="FD286" s="91" t="str">
        <f t="shared" si="23"/>
      </c>
      <c r="FE286" s="91" t="str">
        <f t="shared" si="23"/>
      </c>
      <c r="FF286" s="91" t="str">
        <f t="shared" si="23"/>
      </c>
      <c r="FG286" s="91" t="str">
        <f t="shared" si="23"/>
      </c>
      <c r="FH286" s="91" t="str">
        <f t="shared" si="23"/>
      </c>
      <c r="FI286" s="91" t="str">
        <f t="shared" si="23"/>
      </c>
      <c r="FJ286" s="91" t="str">
        <f t="shared" si="23"/>
      </c>
      <c r="FK286" s="91" t="str">
        <f t="shared" si="23"/>
      </c>
      <c r="FL286" s="91" t="str">
        <f t="shared" si="23"/>
      </c>
      <c r="FM286" s="91" t="str">
        <f t="shared" si="23"/>
      </c>
      <c r="FN286" s="91" t="str">
        <f t="shared" si="23"/>
      </c>
      <c r="FO286" s="91" t="str">
        <f t="shared" si="23"/>
      </c>
      <c r="FP286" s="91" t="str">
        <f t="shared" si="23"/>
      </c>
      <c r="FQ286" s="91" t="str">
        <f t="shared" si="23"/>
      </c>
      <c r="FR286" s="91" t="str">
        <f t="shared" si="23"/>
      </c>
      <c r="FS286" s="91" t="str">
        <f t="shared" si="23"/>
      </c>
      <c r="FT286" s="91" t="str">
        <f t="shared" si="23"/>
      </c>
      <c r="FU286" s="91" t="str">
        <f t="shared" si="23"/>
      </c>
      <c r="FV286" s="91" t="str">
        <f t="shared" si="23"/>
      </c>
      <c r="FW286" s="91" t="str">
        <f t="shared" si="23"/>
      </c>
      <c r="FX286" s="91" t="str">
        <f t="shared" si="23"/>
      </c>
      <c r="FY286" s="91" t="str">
        <f t="shared" si="23"/>
      </c>
      <c r="FZ286" s="91" t="str">
        <f t="shared" si="23"/>
      </c>
      <c r="GA286" s="91" t="str">
        <f t="shared" si="23"/>
      </c>
      <c r="GB286" s="91" t="str">
        <f t="shared" si="23"/>
      </c>
      <c r="GC286" s="91" t="str">
        <f t="shared" si="23"/>
      </c>
      <c r="GD286" s="91" t="str">
        <f t="shared" si="23"/>
      </c>
      <c r="GE286" s="91" t="str">
        <f t="shared" si="23"/>
      </c>
      <c r="GF286" s="91" t="str">
        <f t="shared" si="23"/>
      </c>
      <c r="GG286" s="91" t="str">
        <f t="shared" si="23"/>
      </c>
      <c r="GH286" s="91" t="str">
        <f t="shared" si="23"/>
      </c>
      <c r="GI286" s="91" t="str">
        <f t="shared" si="23"/>
      </c>
      <c r="GJ286" s="91" t="str">
        <f t="shared" si="23"/>
      </c>
      <c r="GK286" s="91" t="str">
        <f t="shared" si="23"/>
      </c>
      <c r="GL286" s="91" t="str">
        <f t="shared" si="23"/>
      </c>
      <c r="GM286" s="91" t="str">
        <f t="shared" si="23"/>
      </c>
      <c r="GN286" s="91" t="str">
        <f t="shared" si="23"/>
      </c>
      <c r="GO286" s="91" t="str">
        <f t="shared" si="23"/>
      </c>
      <c r="GP286" s="91" t="str">
        <f t="shared" si="23"/>
      </c>
      <c r="GQ286" s="91" t="str">
        <f t="shared" si="23"/>
      </c>
      <c r="GR286" s="91" t="str">
        <f t="shared" si="23"/>
      </c>
      <c r="GS286" s="91" t="str">
        <f t="shared" si="23"/>
      </c>
      <c r="GT286" s="91" t="str">
        <f t="shared" si="23"/>
      </c>
      <c r="GU286" s="91" t="str">
        <f t="shared" si="23"/>
      </c>
      <c r="GV286" s="91" t="str">
        <f t="shared" si="23"/>
      </c>
      <c r="GW286" s="91" t="str">
        <f t="shared" si="23"/>
      </c>
      <c r="GX286" s="91" t="str">
        <f t="shared" si="23"/>
      </c>
      <c r="GY286" s="91" t="str">
        <f t="shared" si="23"/>
      </c>
      <c r="GZ286" s="91" t="str">
        <f t="shared" si="23"/>
      </c>
      <c r="HA286" s="91" t="str">
        <f t="shared" si="23"/>
      </c>
      <c r="HB286" s="91" t="str">
        <f t="shared" si="23"/>
      </c>
      <c r="HC286" s="91" t="str">
        <f t="shared" si="23"/>
      </c>
      <c r="HD286" s="91" t="str">
        <f t="shared" si="23"/>
      </c>
      <c r="HE286" s="91" t="str">
        <f t="shared" si="23"/>
      </c>
      <c r="HF286" s="91" t="str">
        <f t="shared" si="23"/>
      </c>
      <c r="HG286" s="91" t="str">
        <f t="shared" si="23"/>
      </c>
      <c r="HH286" s="91" t="str">
        <f t="shared" si="23"/>
      </c>
      <c r="HI286" s="91" t="str">
        <f t="shared" si="23"/>
      </c>
      <c r="HJ286" s="91" t="str">
        <f t="shared" si="23"/>
      </c>
      <c r="HK286" s="91" t="str">
        <f t="shared" si="23"/>
      </c>
      <c r="HL286" s="91" t="str">
        <f t="shared" si="23"/>
      </c>
      <c r="HM286" s="91" t="str">
        <f ref="HM286:IV286" t="shared" si="24">IF(SUM(HM267:HM285)&lt;&gt;0,SUM(HM267:HM285),"")</f>
      </c>
      <c r="HN286" s="91" t="str">
        <f t="shared" si="24"/>
      </c>
      <c r="HO286" s="91" t="str">
        <f t="shared" si="24"/>
      </c>
      <c r="HP286" s="91" t="str">
        <f t="shared" si="24"/>
      </c>
      <c r="HQ286" s="91" t="str">
        <f t="shared" si="24"/>
      </c>
      <c r="HR286" s="91" t="str">
        <f t="shared" si="24"/>
      </c>
      <c r="HS286" s="91" t="str">
        <f t="shared" si="24"/>
      </c>
      <c r="HT286" s="91" t="str">
        <f t="shared" si="24"/>
      </c>
      <c r="HU286" s="91" t="str">
        <f t="shared" si="24"/>
      </c>
      <c r="HV286" s="91" t="str">
        <f t="shared" si="24"/>
      </c>
      <c r="HW286" s="91" t="str">
        <f t="shared" si="24"/>
      </c>
      <c r="HX286" s="91" t="str">
        <f t="shared" si="24"/>
      </c>
      <c r="HY286" s="91" t="str">
        <f t="shared" si="24"/>
      </c>
      <c r="HZ286" s="91" t="str">
        <f t="shared" si="24"/>
      </c>
      <c r="IA286" s="91" t="str">
        <f t="shared" si="24"/>
      </c>
      <c r="IB286" s="91" t="str">
        <f t="shared" si="24"/>
      </c>
      <c r="IC286" s="91" t="str">
        <f t="shared" si="24"/>
      </c>
      <c r="ID286" s="91" t="str">
        <f t="shared" si="24"/>
      </c>
      <c r="IE286" s="91" t="str">
        <f t="shared" si="24"/>
      </c>
      <c r="IF286" s="91" t="str">
        <f t="shared" si="24"/>
      </c>
      <c r="IG286" s="91" t="str">
        <f t="shared" si="24"/>
      </c>
      <c r="IH286" s="91" t="str">
        <f t="shared" si="24"/>
      </c>
      <c r="II286" s="91" t="str">
        <f t="shared" si="24"/>
      </c>
      <c r="IJ286" s="91" t="str">
        <f t="shared" si="24"/>
      </c>
      <c r="IK286" s="91" t="str">
        <f t="shared" si="24"/>
      </c>
      <c r="IL286" s="91" t="str">
        <f t="shared" si="24"/>
      </c>
      <c r="IM286" s="91" t="str">
        <f t="shared" si="24"/>
      </c>
      <c r="IN286" s="91" t="str">
        <f t="shared" si="24"/>
      </c>
      <c r="IO286" s="91" t="str">
        <f t="shared" si="24"/>
      </c>
      <c r="IP286" s="91" t="str">
        <f t="shared" si="24"/>
      </c>
      <c r="IQ286" s="91" t="str">
        <f t="shared" si="24"/>
      </c>
      <c r="IR286" s="91" t="str">
        <f t="shared" si="24"/>
      </c>
      <c r="IS286" s="91" t="str">
        <f t="shared" si="24"/>
      </c>
      <c r="IT286" s="91" t="str">
        <f t="shared" si="24"/>
      </c>
      <c r="IU286" s="91" t="str">
        <f t="shared" si="24"/>
      </c>
      <c r="IV286" s="91" t="str">
        <f t="shared" si="24"/>
      </c>
    </row>
    <row r="287" hidden="1" ht="15">
      <c r="B287" s="324"/>
      <c r="C287" s="219"/>
      <c r="D287" s="219"/>
      <c r="E287" s="219"/>
      <c r="F287" s="219"/>
      <c r="G287" s="219"/>
      <c r="H287" s="219"/>
      <c r="I287" s="219"/>
      <c r="J287" s="219"/>
      <c r="K287" s="219"/>
    </row>
    <row r="288" hidden="1" ht="15">
      <c r="B288" s="324"/>
      <c r="C288" s="219"/>
      <c r="D288" s="219"/>
      <c r="E288" s="219"/>
      <c r="F288" s="219"/>
      <c r="G288" s="219"/>
      <c r="H288" s="219"/>
      <c r="I288" s="219"/>
      <c r="J288" s="219"/>
      <c r="K288" s="219"/>
    </row>
    <row r="289" hidden="1" ht="13.5"/>
    <row r="290" hidden="1" ht="13.5">
      <c r="C290" s="686" t="s">
        <v>108</v>
      </c>
      <c r="D290" s="687"/>
      <c r="E290" s="687"/>
      <c r="F290" s="687"/>
      <c r="G290" s="687"/>
      <c r="H290" s="687"/>
      <c r="I290" s="687"/>
      <c r="J290" s="687"/>
      <c r="K290" s="687"/>
      <c r="L290" s="687"/>
      <c r="M290" s="687"/>
      <c r="N290" s="687"/>
      <c r="O290" s="687"/>
      <c r="P290" s="687"/>
      <c r="Q290" s="687"/>
      <c r="R290" s="687"/>
      <c r="S290" s="687"/>
      <c r="T290" s="687"/>
      <c r="U290" s="687"/>
      <c r="V290" s="687"/>
      <c r="W290" s="687"/>
      <c r="X290" s="687"/>
      <c r="Y290" s="687"/>
      <c r="Z290" s="687"/>
      <c r="AA290" s="687"/>
      <c r="AB290" s="688"/>
    </row>
    <row r="291" hidden="1" ht="13.5">
      <c r="C291" s="435" t="str">
        <f> IF(C311&lt;&gt;"",TEXT(AUX!G$1,"dd-MMM-aa"),"")</f>
      </c>
      <c r="D291" s="435" t="str">
        <f> IF(D311&lt;&gt;"",TEXT(AUX!H$1,"dd-MMM-aa"),"")</f>
      </c>
      <c r="E291" s="435" t="str">
        <f> IF(E311&lt;&gt;"",TEXT(AUX!I$1,"dd-MMM-aa"),"")</f>
      </c>
      <c r="F291" s="435" t="str">
        <f> IF(F311&lt;&gt;"",TEXT(AUX!J$1,"dd-MMM-aa"),"")</f>
      </c>
      <c r="G291" s="435" t="str">
        <f> IF(G311&lt;&gt;"",TEXT(AUX!K$1,"dd-MMM-aa"),"")</f>
      </c>
      <c r="H291" s="435" t="str">
        <f> IF(H311&lt;&gt;"",TEXT(AUX!L$1,"dd-MMM-aa"),"")</f>
      </c>
      <c r="I291" s="435" t="str">
        <f> IF(I311&lt;&gt;"",TEXT(AUX!M$1,"dd-MMM-aa"),"")</f>
      </c>
      <c r="J291" s="435" t="str">
        <f> IF(J311&lt;&gt;"",TEXT(AUX!N$1,"dd-MMM-aa"),"")</f>
      </c>
      <c r="K291" s="435" t="str">
        <f> IF(K311&lt;&gt;"",TEXT(AUX!O$1,"dd-MMM-aa"),"")</f>
      </c>
      <c r="L291" s="435" t="str">
        <f> IF(L311&lt;&gt;"",TEXT(AUX!P$1,"dd-MMM-aa"),"")</f>
      </c>
      <c r="M291" s="435" t="str">
        <f> IF(M311&lt;&gt;"",TEXT(AUX!Q$1,"dd-MMM-aa"),"")</f>
      </c>
      <c r="N291" s="435" t="str">
        <f> IF(N311&lt;&gt;"",TEXT(AUX!R$1,"dd-MMM-aa"),"")</f>
      </c>
      <c r="O291" s="435" t="str">
        <f> IF(O311&lt;&gt;"",TEXT(AUX!S$1,"dd-MMM-aa"),"")</f>
      </c>
      <c r="P291" s="435" t="str">
        <f> IF(P311&lt;&gt;"",TEXT(AUX!T$1,"dd-MMM-aa"),"")</f>
      </c>
      <c r="Q291" s="435" t="str">
        <f> IF(Q311&lt;&gt;"",TEXT(AUX!U$1,"dd-MMM-aa"),"")</f>
      </c>
      <c r="R291" s="435" t="str">
        <f> IF(R311&lt;&gt;"",TEXT(AUX!V$1,"dd-MMM-aa"),"")</f>
      </c>
      <c r="S291" s="435" t="str">
        <f> IF(S311&lt;&gt;"",TEXT(AUX!W$1,"dd-MMM-aa"),"")</f>
      </c>
      <c r="T291" s="435" t="str">
        <f> IF(T311&lt;&gt;"",TEXT(AUX!X$1,"dd-MMM-aa"),"")</f>
      </c>
      <c r="U291" s="435" t="str">
        <f> IF(U311&lt;&gt;"",TEXT(AUX!Y$1,"dd-MMM-aa"),"")</f>
      </c>
      <c r="V291" s="435" t="str">
        <f> IF(V311&lt;&gt;"",TEXT(AUX!Z$1,"dd-MMM-aa"),"")</f>
      </c>
      <c r="W291" s="435" t="str">
        <f> IF(W311&lt;&gt;"",TEXT(AUX!AA$1,"dd-MMM-aa"),"")</f>
      </c>
      <c r="X291" s="435" t="str">
        <f> IF(X311&lt;&gt;"",TEXT(AUX!AB$1,"dd-MMM-aa"),"")</f>
      </c>
      <c r="Y291" s="435" t="str">
        <f> IF(Y311&lt;&gt;"",TEXT(AUX!AC$1,"dd-MMM-aa"),"")</f>
      </c>
      <c r="Z291" s="435" t="str">
        <f> IF(Z311&lt;&gt;"",TEXT(AUX!AD$1,"dd-MMM-aa"),"")</f>
      </c>
      <c r="AA291" s="435" t="str">
        <f> IF(AA311&lt;&gt;"",TEXT(AUX!AE$1,"dd-MMM-aa"),"")</f>
      </c>
      <c r="AB291" s="497" t="str">
        <f> IF(AB311&lt;&gt;"",TEXT(AUX!AF$1,"dd-MMM-aa"),"")</f>
      </c>
      <c r="AC291" s="496" t="str">
        <f> IF(AC311&lt;&gt;"",TEXT(AUX!AG$1,"dd-MMM-aa"),"")</f>
      </c>
      <c r="AD291" s="496" t="str">
        <f> IF(AD311&lt;&gt;"",TEXT(AUX!AH$1,"dd-MMM-aa"),"")</f>
      </c>
      <c r="AE291" s="496" t="str">
        <f> IF(AE311&lt;&gt;"",TEXT(AUX!AI$1,"dd-MMM-aa"),"")</f>
      </c>
      <c r="AF291" s="496" t="str">
        <f> IF(AF311&lt;&gt;"",TEXT(AUX!AJ$1,"dd-MMM-aa"),"")</f>
      </c>
      <c r="AG291" s="496" t="str">
        <f> IF(AG311&lt;&gt;"",TEXT(AUX!AK$1,"dd-MMM-aa"),"")</f>
      </c>
      <c r="AH291" s="496" t="str">
        <f> IF(AH311&lt;&gt;"",TEXT(AUX!AL$1,"dd-MMM-aa"),"")</f>
      </c>
      <c r="AI291" s="496" t="str">
        <f> IF(AI311&lt;&gt;"",TEXT(AUX!AM$1,"dd-MMM-aa"),"")</f>
      </c>
      <c r="AJ291" s="496" t="str">
        <f> IF(AJ311&lt;&gt;"",TEXT(AUX!AN$1,"dd-MMM-aa"),"")</f>
      </c>
      <c r="AK291" s="496" t="str">
        <f> IF(AK311&lt;&gt;"",TEXT(AUX!AO$1,"dd-MMM-aa"),"")</f>
      </c>
      <c r="AL291" s="496" t="str">
        <f> IF(AL311&lt;&gt;"",TEXT(AUX!AP$1,"dd-MMM-aa"),"")</f>
      </c>
      <c r="AM291" s="496" t="str">
        <f> IF(AM311&lt;&gt;"",TEXT(AUX!AQ$1,"dd-MMM-aa"),"")</f>
      </c>
      <c r="AN291" s="496" t="str">
        <f> IF(AN311&lt;&gt;"",TEXT(AUX!AR$1,"dd-MMM-aa"),"")</f>
      </c>
      <c r="AO291" s="496" t="str">
        <f> IF(AO311&lt;&gt;"",TEXT(AUX!AS$1,"dd-MMM-aa"),"")</f>
      </c>
      <c r="AP291" s="496" t="str">
        <f> IF(AP311&lt;&gt;"",TEXT(AUX!AT$1,"dd-MMM-aa"),"")</f>
      </c>
      <c r="AQ291" s="496" t="str">
        <f> IF(AQ311&lt;&gt;"",TEXT(AUX!AU$1,"dd-MMM-aa"),"")</f>
      </c>
      <c r="AR291" s="496" t="str">
        <f> IF(AR311&lt;&gt;"",TEXT(AUX!AV$1,"dd-MMM-aa"),"")</f>
      </c>
      <c r="AS291" s="496" t="str">
        <f> IF(AS311&lt;&gt;"",TEXT(AUX!AW$1,"dd-MMM-aa"),"")</f>
      </c>
      <c r="AT291" s="496" t="str">
        <f> IF(AT311&lt;&gt;"",TEXT(AUX!AX$1,"dd-MMM-aa"),"")</f>
      </c>
      <c r="AU291" s="496" t="str">
        <f> IF(AU311&lt;&gt;"",TEXT(AUX!AY$1,"dd-MMM-aa"),"")</f>
      </c>
      <c r="AV291" s="496" t="str">
        <f> IF(AV311&lt;&gt;"",TEXT(AUX!AZ$1,"dd-MMM-aa"),"")</f>
      </c>
      <c r="AW291" s="496" t="str">
        <f> IF(AW311&lt;&gt;"",TEXT(AUX!BA$1,"dd-MMM-aa"),"")</f>
      </c>
      <c r="AX291" s="496" t="str">
        <f> IF(AX311&lt;&gt;"",TEXT(AUX!BB$1,"dd-MMM-aa"),"")</f>
      </c>
      <c r="AY291" s="496" t="str">
        <f> IF(AY311&lt;&gt;"",TEXT(AUX!BC$1,"dd-MMM-aa"),"")</f>
      </c>
      <c r="AZ291" s="496" t="str">
        <f> IF(AZ311&lt;&gt;"",TEXT(AUX!BD$1,"dd-MMM-aa"),"")</f>
      </c>
      <c r="BA291" s="496" t="str">
        <f> IF(BA311&lt;&gt;"",TEXT(AUX!BE$1,"dd-MMM-aa"),"")</f>
      </c>
      <c r="BB291" s="496" t="str">
        <f> IF(BB311&lt;&gt;"",TEXT(AUX!BF$1,"dd-MMM-aa"),"")</f>
      </c>
      <c r="BC291" s="496" t="str">
        <f> IF(BC311&lt;&gt;"",TEXT(AUX!BG$1,"dd-MMM-aa"),"")</f>
      </c>
      <c r="BD291" s="496" t="str">
        <f> IF(BD311&lt;&gt;"",TEXT(AUX!BH$1,"dd-MMM-aa"),"")</f>
      </c>
      <c r="BE291" s="496" t="str">
        <f> IF(BE311&lt;&gt;"",TEXT(AUX!BI$1,"dd-MMM-aa"),"")</f>
      </c>
      <c r="BF291" s="496" t="str">
        <f> IF(BF311&lt;&gt;"",TEXT(AUX!BJ$1,"dd-MMM-aa"),"")</f>
      </c>
      <c r="BG291" s="496" t="str">
        <f> IF(BG311&lt;&gt;"",TEXT(AUX!BK$1,"dd-MMM-aa"),"")</f>
      </c>
      <c r="BH291" s="496" t="str">
        <f> IF(BH311&lt;&gt;"",TEXT(AUX!BL$1,"dd-MMM-aa"),"")</f>
      </c>
      <c r="BI291" s="496" t="str">
        <f> IF(BI311&lt;&gt;"",TEXT(AUX!BM$1,"dd-MMM-aa"),"")</f>
      </c>
      <c r="BJ291" s="496" t="str">
        <f> IF(BJ311&lt;&gt;"",TEXT(AUX!BN$1,"dd-MMM-aa"),"")</f>
      </c>
      <c r="BK291" s="496" t="str">
        <f> IF(BK311&lt;&gt;"",TEXT(AUX!BO$1,"dd-MMM-aa"),"")</f>
      </c>
      <c r="BL291" s="496" t="str">
        <f> IF(BL311&lt;&gt;"",TEXT(AUX!BP$1,"dd-MMM-aa"),"")</f>
      </c>
      <c r="BM291" s="496" t="str">
        <f> IF(BM311&lt;&gt;"",TEXT(AUX!BQ$1,"dd-MMM-aa"),"")</f>
      </c>
      <c r="BN291" s="496" t="str">
        <f> IF(BN311&lt;&gt;"",TEXT(AUX!BR$1,"dd-MMM-aa"),"")</f>
      </c>
      <c r="BO291" s="496" t="str">
        <f> IF(BO311&lt;&gt;"",TEXT(AUX!BS$1,"dd-MMM-aa"),"")</f>
      </c>
      <c r="BP291" s="496" t="str">
        <f> IF(BP311&lt;&gt;"",TEXT(AUX!BT$1,"dd-MMM-aa"),"")</f>
      </c>
      <c r="BQ291" s="496" t="str">
        <f> IF(BQ311&lt;&gt;"",TEXT(AUX!BU$1,"dd-MMM-aa"),"")</f>
      </c>
      <c r="BR291" s="496" t="str">
        <f> IF(BR311&lt;&gt;"",TEXT(AUX!BV$1,"dd-MMM-aa"),"")</f>
      </c>
      <c r="BS291" s="496" t="str">
        <f> IF(BS311&lt;&gt;"",TEXT(AUX!BW$1,"dd-MMM-aa"),"")</f>
      </c>
      <c r="BT291" s="496" t="str">
        <f> IF(BT311&lt;&gt;"",TEXT(AUX!BX$1,"dd-MMM-aa"),"")</f>
      </c>
      <c r="BU291" s="496" t="str">
        <f> IF(BU311&lt;&gt;"",TEXT(AUX!BY$1,"dd-MMM-aa"),"")</f>
      </c>
      <c r="BV291" s="496" t="str">
        <f> IF(BV311&lt;&gt;"",TEXT(AUX!BZ$1,"dd-MMM-aa"),"")</f>
      </c>
      <c r="BW291" s="496" t="str">
        <f> IF(BW311&lt;&gt;"",TEXT(AUX!CA$1,"dd-MMM-aa"),"")</f>
      </c>
      <c r="BX291" s="496" t="str">
        <f> IF(BX311&lt;&gt;"",TEXT(AUX!CB$1,"dd-MMM-aa"),"")</f>
      </c>
      <c r="BY291" s="496" t="str">
        <f> IF(BY311&lt;&gt;"",TEXT(AUX!CC$1,"dd-MMM-aa"),"")</f>
      </c>
      <c r="BZ291" s="496" t="str">
        <f> IF(BZ311&lt;&gt;"",TEXT(AUX!CD$1,"dd-MMM-aa"),"")</f>
      </c>
      <c r="CA291" s="496" t="str">
        <f> IF(CA311&lt;&gt;"",TEXT(AUX!CE$1,"dd-MMM-aa"),"")</f>
      </c>
      <c r="CB291" s="496" t="str">
        <f> IF(CB311&lt;&gt;"",TEXT(AUX!CF$1,"dd-MMM-aa"),"")</f>
      </c>
      <c r="CC291" s="496" t="str">
        <f> IF(CC311&lt;&gt;"",TEXT(AUX!CG$1,"dd-MMM-aa"),"")</f>
      </c>
      <c r="CD291" s="496" t="str">
        <f> IF(CD311&lt;&gt;"",TEXT(AUX!CH$1,"dd-MMM-aa"),"")</f>
      </c>
      <c r="CE291" s="496" t="str">
        <f> IF(CE311&lt;&gt;"",TEXT(AUX!CI$1,"dd-MMM-aa"),"")</f>
      </c>
      <c r="CF291" s="496" t="str">
        <f> IF(CF311&lt;&gt;"",TEXT(AUX!CJ$1,"dd-MMM-aa"),"")</f>
      </c>
      <c r="CG291" s="496" t="str">
        <f> IF(CG311&lt;&gt;"",TEXT(AUX!CK$1,"dd-MMM-aa"),"")</f>
      </c>
      <c r="CH291" s="496" t="str">
        <f> IF(CH311&lt;&gt;"",TEXT(AUX!CL$1,"dd-MMM-aa"),"")</f>
      </c>
      <c r="CI291" s="496" t="str">
        <f> IF(CI311&lt;&gt;"",TEXT(AUX!CM$1,"dd-MMM-aa"),"")</f>
      </c>
      <c r="CJ291" s="496" t="str">
        <f> IF(CJ311&lt;&gt;"",TEXT(AUX!CN$1,"dd-MMM-aa"),"")</f>
      </c>
      <c r="CK291" s="496" t="str">
        <f> IF(CK311&lt;&gt;"",TEXT(AUX!CO$1,"dd-MMM-aa"),"")</f>
      </c>
      <c r="CL291" s="496" t="str">
        <f> IF(CL311&lt;&gt;"",TEXT(AUX!CP$1,"dd-MMM-aa"),"")</f>
      </c>
      <c r="CM291" s="496" t="str">
        <f> IF(CM311&lt;&gt;"",TEXT(AUX!CQ$1,"dd-MMM-aa"),"")</f>
      </c>
      <c r="CN291" s="496" t="str">
        <f> IF(CN311&lt;&gt;"",TEXT(AUX!CR$1,"dd-MMM-aa"),"")</f>
      </c>
      <c r="CO291" s="496" t="str">
        <f> IF(CO311&lt;&gt;"",TEXT(AUX!CS$1,"dd-MMM-aa"),"")</f>
      </c>
      <c r="CP291" s="496" t="str">
        <f> IF(CP311&lt;&gt;"",TEXT(AUX!CT$1,"dd-MMM-aa"),"")</f>
      </c>
      <c r="CQ291" s="496" t="str">
        <f> IF(CQ311&lt;&gt;"",TEXT(AUX!CU$1,"dd-MMM-aa"),"")</f>
      </c>
      <c r="CR291" s="496" t="str">
        <f> IF(CR311&lt;&gt;"",TEXT(AUX!CV$1,"dd-MMM-aa"),"")</f>
      </c>
      <c r="CS291" s="496" t="str">
        <f> IF(CS311&lt;&gt;"",TEXT(AUX!CW$1,"dd-MMM-aa"),"")</f>
      </c>
      <c r="CT291" s="496" t="str">
        <f> IF(CT311&lt;&gt;"",TEXT(AUX!CX$1,"dd-MMM-aa"),"")</f>
      </c>
      <c r="CU291" s="496" t="str">
        <f> IF(CU311&lt;&gt;"",TEXT(AUX!CY$1,"dd-MMM-aa"),"")</f>
      </c>
      <c r="CV291" s="496" t="str">
        <f> IF(CV311&lt;&gt;"",TEXT(AUX!CZ$1,"dd-MMM-aa"),"")</f>
      </c>
      <c r="CW291" s="496" t="str">
        <f> IF(CW311&lt;&gt;"",TEXT(AUX!DA$1,"dd-MMM-aa"),"")</f>
      </c>
      <c r="CX291" s="496" t="str">
        <f> IF(CX311&lt;&gt;"",TEXT(AUX!DB$1,"dd-MMM-aa"),"")</f>
      </c>
      <c r="CY291" s="496" t="str">
        <f> IF(CY311&lt;&gt;"",TEXT(AUX!DC$1,"dd-MMM-aa"),"")</f>
      </c>
      <c r="CZ291" s="496" t="str">
        <f> IF(CZ311&lt;&gt;"",TEXT(AUX!DD$1,"dd-MMM-aa"),"")</f>
      </c>
      <c r="DA291" s="496" t="str">
        <f> IF(DA311&lt;&gt;"",TEXT(AUX!DE$1,"dd-MMM-aa"),"")</f>
      </c>
      <c r="DB291" s="496" t="str">
        <f> IF(DB311&lt;&gt;"",TEXT(AUX!DF$1,"dd-MMM-aa"),"")</f>
      </c>
      <c r="DC291" s="496" t="str">
        <f> IF(DC311&lt;&gt;"",TEXT(AUX!DG$1,"dd-MMM-aa"),"")</f>
      </c>
      <c r="DD291" s="496" t="str">
        <f> IF(DD311&lt;&gt;"",TEXT(AUX!DH$1,"dd-MMM-aa"),"")</f>
      </c>
      <c r="DE291" s="496" t="str">
        <f> IF(DE311&lt;&gt;"",TEXT(AUX!DI$1,"dd-MMM-aa"),"")</f>
      </c>
      <c r="DF291" s="496" t="str">
        <f> IF(DF311&lt;&gt;"",TEXT(AUX!DJ$1,"dd-MMM-aa"),"")</f>
      </c>
      <c r="DG291" s="496" t="str">
        <f> IF(DG311&lt;&gt;"",TEXT(AUX!DK$1,"dd-MMM-aa"),"")</f>
      </c>
      <c r="DH291" s="496" t="str">
        <f> IF(DH311&lt;&gt;"",TEXT(AUX!DL$1,"dd-MMM-aa"),"")</f>
      </c>
      <c r="DI291" s="496" t="str">
        <f> IF(DI311&lt;&gt;"",TEXT(AUX!DM$1,"dd-MMM-aa"),"")</f>
      </c>
      <c r="DJ291" s="496" t="str">
        <f> IF(DJ311&lt;&gt;"",TEXT(AUX!DN$1,"dd-MMM-aa"),"")</f>
      </c>
      <c r="DK291" s="496" t="str">
        <f> IF(DK311&lt;&gt;"",TEXT(AUX!DO$1,"dd-MMM-aa"),"")</f>
      </c>
      <c r="DL291" s="496" t="str">
        <f> IF(DL311&lt;&gt;"",TEXT(AUX!DP$1,"dd-MMM-aa"),"")</f>
      </c>
      <c r="DM291" s="496" t="str">
        <f> IF(DM311&lt;&gt;"",TEXT(AUX!DQ$1,"dd-MMM-aa"),"")</f>
      </c>
      <c r="DN291" s="496" t="str">
        <f> IF(DN311&lt;&gt;"",TEXT(AUX!DR$1,"dd-MMM-aa"),"")</f>
      </c>
      <c r="DO291" s="496" t="str">
        <f> IF(DO311&lt;&gt;"",TEXT(AUX!DS$1,"dd-MMM-aa"),"")</f>
      </c>
      <c r="DP291" s="496" t="str">
        <f> IF(DP311&lt;&gt;"",TEXT(AUX!DT$1,"dd-MMM-aa"),"")</f>
      </c>
      <c r="DQ291" s="496" t="str">
        <f> IF(DQ311&lt;&gt;"",TEXT(AUX!DU$1,"dd-MMM-aa"),"")</f>
      </c>
      <c r="DR291" s="496" t="str">
        <f> IF(DR311&lt;&gt;"",TEXT(AUX!DV$1,"dd-MMM-aa"),"")</f>
      </c>
      <c r="DS291" s="496" t="str">
        <f> IF(DS311&lt;&gt;"",TEXT(AUX!DW$1,"dd-MMM-aa"),"")</f>
      </c>
      <c r="DT291" s="496" t="str">
        <f> IF(DT311&lt;&gt;"",TEXT(AUX!DX$1,"dd-MMM-aa"),"")</f>
      </c>
      <c r="DU291" s="496" t="str">
        <f> IF(DU311&lt;&gt;"",TEXT(AUX!DY$1,"dd-MMM-aa"),"")</f>
      </c>
      <c r="DV291" s="496" t="str">
        <f> IF(DV311&lt;&gt;"",TEXT(AUX!DZ$1,"dd-MMM-aa"),"")</f>
      </c>
      <c r="DW291" s="496" t="str">
        <f> IF(DW311&lt;&gt;"",TEXT(AUX!EA$1,"dd-MMM-aa"),"")</f>
      </c>
      <c r="DX291" s="496" t="str">
        <f> IF(DX311&lt;&gt;"",TEXT(AUX!EB$1,"dd-MMM-aa"),"")</f>
      </c>
      <c r="DY291" s="496" t="str">
        <f> IF(DY311&lt;&gt;"",TEXT(AUX!EC$1,"dd-MMM-aa"),"")</f>
      </c>
      <c r="DZ291" s="496" t="str">
        <f> IF(DZ311&lt;&gt;"",TEXT(AUX!ED$1,"dd-MMM-aa"),"")</f>
      </c>
      <c r="EA291" s="496" t="str">
        <f> IF(EA311&lt;&gt;"",TEXT(AUX!EE$1,"dd-MMM-aa"),"")</f>
      </c>
      <c r="EB291" s="496" t="str">
        <f> IF(EB311&lt;&gt;"",TEXT(AUX!EF$1,"dd-MMM-aa"),"")</f>
      </c>
      <c r="EC291" s="496" t="str">
        <f> IF(EC311&lt;&gt;"",TEXT(AUX!EG$1,"dd-MMM-aa"),"")</f>
      </c>
      <c r="ED291" s="496" t="str">
        <f> IF(ED311&lt;&gt;"",TEXT(AUX!EH$1,"dd-MMM-aa"),"")</f>
      </c>
      <c r="EE291" s="496" t="str">
        <f> IF(EE311&lt;&gt;"",TEXT(AUX!EI$1,"dd-MMM-aa"),"")</f>
      </c>
      <c r="EF291" s="496" t="str">
        <f> IF(EF311&lt;&gt;"",TEXT(AUX!EJ$1,"dd-MMM-aa"),"")</f>
      </c>
      <c r="EG291" s="496" t="str">
        <f> IF(EG311&lt;&gt;"",TEXT(AUX!EK$1,"dd-MMM-aa"),"")</f>
      </c>
      <c r="EH291" s="496" t="str">
        <f> IF(EH311&lt;&gt;"",TEXT(AUX!EL$1,"dd-MMM-aa"),"")</f>
      </c>
      <c r="EI291" s="496" t="str">
        <f> IF(EI311&lt;&gt;"",TEXT(AUX!EM$1,"dd-MMM-aa"),"")</f>
      </c>
      <c r="EJ291" s="496" t="str">
        <f> IF(EJ311&lt;&gt;"",TEXT(AUX!EN$1,"dd-MMM-aa"),"")</f>
      </c>
      <c r="EK291" s="496" t="str">
        <f> IF(EK311&lt;&gt;"",TEXT(AUX!EO$1,"dd-MMM-aa"),"")</f>
      </c>
      <c r="EL291" s="496" t="str">
        <f> IF(EL311&lt;&gt;"",TEXT(AUX!EP$1,"dd-MMM-aa"),"")</f>
      </c>
      <c r="EM291" s="496" t="str">
        <f> IF(EM311&lt;&gt;"",TEXT(AUX!EQ$1,"dd-MMM-aa"),"")</f>
      </c>
      <c r="EN291" s="496" t="str">
        <f> IF(EN311&lt;&gt;"",TEXT(AUX!ER$1,"dd-MMM-aa"),"")</f>
      </c>
      <c r="EO291" s="496" t="str">
        <f> IF(EO311&lt;&gt;"",TEXT(AUX!ES$1,"dd-MMM-aa"),"")</f>
      </c>
      <c r="EP291" s="496" t="str">
        <f> IF(EP311&lt;&gt;"",TEXT(AUX!ET$1,"dd-MMM-aa"),"")</f>
      </c>
      <c r="EQ291" s="496" t="str">
        <f> IF(EQ311&lt;&gt;"",TEXT(AUX!EU$1,"dd-MMM-aa"),"")</f>
      </c>
      <c r="ER291" s="496" t="str">
        <f> IF(ER311&lt;&gt;"",TEXT(AUX!EV$1,"dd-MMM-aa"),"")</f>
      </c>
      <c r="ES291" s="496" t="str">
        <f> IF(ES311&lt;&gt;"",TEXT(AUX!EW$1,"dd-MMM-aa"),"")</f>
      </c>
      <c r="ET291" s="496" t="str">
        <f> IF(ET311&lt;&gt;"",TEXT(AUX!EX$1,"dd-MMM-aa"),"")</f>
      </c>
      <c r="EU291" s="496" t="str">
        <f> IF(EU311&lt;&gt;"",TEXT(AUX!EY$1,"dd-MMM-aa"),"")</f>
      </c>
      <c r="EV291" s="496" t="str">
        <f> IF(EV311&lt;&gt;"",TEXT(AUX!EZ$1,"dd-MMM-aa"),"")</f>
      </c>
      <c r="EW291" s="496" t="str">
        <f> IF(EW311&lt;&gt;"",TEXT(AUX!FA$1,"dd-MMM-aa"),"")</f>
      </c>
      <c r="EX291" s="496" t="str">
        <f> IF(EX311&lt;&gt;"",TEXT(AUX!FB$1,"dd-MMM-aa"),"")</f>
      </c>
      <c r="EY291" s="496" t="str">
        <f> IF(EY311&lt;&gt;"",TEXT(AUX!FC$1,"dd-MMM-aa"),"")</f>
      </c>
      <c r="EZ291" s="496" t="str">
        <f> IF(EZ311&lt;&gt;"",TEXT(AUX!FD$1,"dd-MMM-aa"),"")</f>
      </c>
      <c r="FA291" s="496" t="str">
        <f> IF(FA311&lt;&gt;"",TEXT(AUX!FE$1,"dd-MMM-aa"),"")</f>
      </c>
      <c r="FB291" s="496" t="str">
        <f> IF(FB311&lt;&gt;"",TEXT(AUX!FF$1,"dd-MMM-aa"),"")</f>
      </c>
      <c r="FC291" s="496" t="str">
        <f> IF(FC311&lt;&gt;"",TEXT(AUX!FG$1,"dd-MMM-aa"),"")</f>
      </c>
      <c r="FD291" s="496" t="str">
        <f> IF(FD311&lt;&gt;"",TEXT(AUX!FH$1,"dd-MMM-aa"),"")</f>
      </c>
      <c r="FE291" s="496" t="str">
        <f> IF(FE311&lt;&gt;"",TEXT(AUX!FI$1,"dd-MMM-aa"),"")</f>
      </c>
      <c r="FF291" s="496" t="str">
        <f> IF(FF311&lt;&gt;"",TEXT(AUX!FJ$1,"dd-MMM-aa"),"")</f>
      </c>
      <c r="FG291" s="496" t="str">
        <f> IF(FG311&lt;&gt;"",TEXT(AUX!FK$1,"dd-MMM-aa"),"")</f>
      </c>
      <c r="FH291" s="496" t="str">
        <f> IF(FH311&lt;&gt;"",TEXT(AUX!FL$1,"dd-MMM-aa"),"")</f>
      </c>
      <c r="FI291" s="496" t="str">
        <f> IF(FI311&lt;&gt;"",TEXT(AUX!FM$1,"dd-MMM-aa"),"")</f>
      </c>
      <c r="FJ291" s="496" t="str">
        <f> IF(FJ311&lt;&gt;"",TEXT(AUX!FN$1,"dd-MMM-aa"),"")</f>
      </c>
      <c r="FK291" s="496" t="str">
        <f> IF(FK311&lt;&gt;"",TEXT(AUX!FO$1,"dd-MMM-aa"),"")</f>
      </c>
      <c r="FL291" s="496" t="str">
        <f> IF(FL311&lt;&gt;"",TEXT(AUX!FP$1,"dd-MMM-aa"),"")</f>
      </c>
      <c r="FM291" s="496" t="str">
        <f> IF(FM311&lt;&gt;"",TEXT(AUX!FQ$1,"dd-MMM-aa"),"")</f>
      </c>
      <c r="FN291" s="496" t="str">
        <f> IF(FN311&lt;&gt;"",TEXT(AUX!FR$1,"dd-MMM-aa"),"")</f>
      </c>
      <c r="FO291" s="496" t="str">
        <f> IF(FO311&lt;&gt;"",TEXT(AUX!FS$1,"dd-MMM-aa"),"")</f>
      </c>
      <c r="FP291" s="496" t="str">
        <f> IF(FP311&lt;&gt;"",TEXT(AUX!FT$1,"dd-MMM-aa"),"")</f>
      </c>
      <c r="FQ291" s="496" t="str">
        <f> IF(FQ311&lt;&gt;"",TEXT(AUX!FU$1,"dd-MMM-aa"),"")</f>
      </c>
      <c r="FR291" s="496" t="str">
        <f> IF(FR311&lt;&gt;"",TEXT(AUX!FV$1,"dd-MMM-aa"),"")</f>
      </c>
      <c r="FS291" s="496" t="str">
        <f> IF(FS311&lt;&gt;"",TEXT(AUX!FW$1,"dd-MMM-aa"),"")</f>
      </c>
      <c r="FT291" s="496" t="str">
        <f> IF(FT311&lt;&gt;"",TEXT(AUX!FX$1,"dd-MMM-aa"),"")</f>
      </c>
      <c r="FU291" s="496" t="str">
        <f> IF(FU311&lt;&gt;"",TEXT(AUX!FY$1,"dd-MMM-aa"),"")</f>
      </c>
      <c r="FV291" s="496" t="str">
        <f> IF(FV311&lt;&gt;"",TEXT(AUX!FZ$1,"dd-MMM-aa"),"")</f>
      </c>
      <c r="FW291" s="496" t="str">
        <f> IF(FW311&lt;&gt;"",TEXT(AUX!GA$1,"dd-MMM-aa"),"")</f>
      </c>
      <c r="FX291" s="496" t="str">
        <f> IF(FX311&lt;&gt;"",TEXT(AUX!GB$1,"dd-MMM-aa"),"")</f>
      </c>
      <c r="FY291" s="496" t="str">
        <f> IF(FY311&lt;&gt;"",TEXT(AUX!GC$1,"dd-MMM-aa"),"")</f>
      </c>
      <c r="FZ291" s="496" t="str">
        <f> IF(FZ311&lt;&gt;"",TEXT(AUX!GD$1,"dd-MMM-aa"),"")</f>
      </c>
      <c r="GA291" s="496" t="str">
        <f> IF(GA311&lt;&gt;"",TEXT(AUX!GE$1,"dd-MMM-aa"),"")</f>
      </c>
      <c r="GB291" s="496" t="str">
        <f> IF(GB311&lt;&gt;"",TEXT(AUX!GF$1,"dd-MMM-aa"),"")</f>
      </c>
      <c r="GC291" s="496" t="str">
        <f> IF(GC311&lt;&gt;"",TEXT(AUX!GG$1,"dd-MMM-aa"),"")</f>
      </c>
      <c r="GD291" s="496" t="str">
        <f> IF(GD311&lt;&gt;"",TEXT(AUX!GH$1,"dd-MMM-aa"),"")</f>
      </c>
      <c r="GE291" s="496" t="str">
        <f> IF(GE311&lt;&gt;"",TEXT(AUX!GI$1,"dd-MMM-aa"),"")</f>
      </c>
      <c r="GF291" s="496" t="str">
        <f> IF(GF311&lt;&gt;"",TEXT(AUX!GJ$1,"dd-MMM-aa"),"")</f>
      </c>
      <c r="GG291" s="496" t="str">
        <f> IF(GG311&lt;&gt;"",TEXT(AUX!GK$1,"dd-MMM-aa"),"")</f>
      </c>
      <c r="GH291" s="496" t="str">
        <f> IF(GH311&lt;&gt;"",TEXT(AUX!GL$1,"dd-MMM-aa"),"")</f>
      </c>
      <c r="GI291" s="496" t="str">
        <f> IF(GI311&lt;&gt;"",TEXT(AUX!GM$1,"dd-MMM-aa"),"")</f>
      </c>
      <c r="GJ291" s="496" t="str">
        <f> IF(GJ311&lt;&gt;"",TEXT(AUX!GN$1,"dd-MMM-aa"),"")</f>
      </c>
      <c r="GK291" s="496" t="str">
        <f> IF(GK311&lt;&gt;"",TEXT(AUX!GO$1,"dd-MMM-aa"),"")</f>
      </c>
      <c r="GL291" s="496" t="str">
        <f> IF(GL311&lt;&gt;"",TEXT(AUX!GP$1,"dd-MMM-aa"),"")</f>
      </c>
      <c r="GM291" s="496" t="str">
        <f> IF(GM311&lt;&gt;"",TEXT(AUX!GQ$1,"dd-MMM-aa"),"")</f>
      </c>
      <c r="GN291" s="496" t="str">
        <f> IF(GN311&lt;&gt;"",TEXT(AUX!GR$1,"dd-MMM-aa"),"")</f>
      </c>
      <c r="GO291" s="496" t="str">
        <f> IF(GO311&lt;&gt;"",TEXT(AUX!GS$1,"dd-MMM-aa"),"")</f>
      </c>
      <c r="GP291" s="496" t="str">
        <f> IF(GP311&lt;&gt;"",TEXT(AUX!GT$1,"dd-MMM-aa"),"")</f>
      </c>
      <c r="GQ291" s="496" t="str">
        <f> IF(GQ311&lt;&gt;"",TEXT(AUX!GU$1,"dd-MMM-aa"),"")</f>
      </c>
      <c r="GR291" s="496" t="str">
        <f> IF(GR311&lt;&gt;"",TEXT(AUX!GV$1,"dd-MMM-aa"),"")</f>
      </c>
      <c r="GS291" s="496" t="str">
        <f> IF(GS311&lt;&gt;"",TEXT(AUX!GW$1,"dd-MMM-aa"),"")</f>
      </c>
      <c r="GT291" s="496" t="str">
        <f> IF(GT311&lt;&gt;"",TEXT(AUX!GX$1,"dd-MMM-aa"),"")</f>
      </c>
      <c r="GU291" s="496" t="str">
        <f> IF(GU311&lt;&gt;"",TEXT(AUX!GY$1,"dd-MMM-aa"),"")</f>
      </c>
      <c r="GV291" s="496" t="str">
        <f> IF(GV311&lt;&gt;"",TEXT(AUX!GZ$1,"dd-MMM-aa"),"")</f>
      </c>
      <c r="GW291" s="496" t="str">
        <f> IF(GW311&lt;&gt;"",TEXT(AUX!HA$1,"dd-MMM-aa"),"")</f>
      </c>
      <c r="GX291" s="496" t="str">
        <f> IF(GX311&lt;&gt;"",TEXT(AUX!HB$1,"dd-MMM-aa"),"")</f>
      </c>
      <c r="GY291" s="496" t="str">
        <f> IF(GY311&lt;&gt;"",TEXT(AUX!HC$1,"dd-MMM-aa"),"")</f>
      </c>
      <c r="GZ291" s="496" t="str">
        <f> IF(GZ311&lt;&gt;"",TEXT(AUX!HD$1,"dd-MMM-aa"),"")</f>
      </c>
      <c r="HA291" s="496" t="str">
        <f> IF(HA311&lt;&gt;"",TEXT(AUX!HE$1,"dd-MMM-aa"),"")</f>
      </c>
      <c r="HB291" s="496" t="str">
        <f> IF(HB311&lt;&gt;"",TEXT(AUX!HF$1,"dd-MMM-aa"),"")</f>
      </c>
      <c r="HC291" s="496" t="str">
        <f> IF(HC311&lt;&gt;"",TEXT(AUX!HG$1,"dd-MMM-aa"),"")</f>
      </c>
      <c r="HD291" s="496" t="str">
        <f> IF(HD311&lt;&gt;"",TEXT(AUX!HH$1,"dd-MMM-aa"),"")</f>
      </c>
      <c r="HE291" s="496" t="str">
        <f> IF(HE311&lt;&gt;"",TEXT(AUX!HI$1,"dd-MMM-aa"),"")</f>
      </c>
      <c r="HF291" s="496" t="str">
        <f> IF(HF311&lt;&gt;"",TEXT(AUX!HJ$1,"dd-MMM-aa"),"")</f>
      </c>
      <c r="HG291" s="496" t="str">
        <f> IF(HG311&lt;&gt;"",TEXT(AUX!HK$1,"dd-MMM-aa"),"")</f>
      </c>
      <c r="HH291" s="496" t="str">
        <f> IF(HH311&lt;&gt;"",TEXT(AUX!HL$1,"dd-MMM-aa"),"")</f>
      </c>
      <c r="HI291" s="496" t="str">
        <f> IF(HI311&lt;&gt;"",TEXT(AUX!HM$1,"dd-MMM-aa"),"")</f>
      </c>
      <c r="HJ291" s="496" t="str">
        <f> IF(HJ311&lt;&gt;"",TEXT(AUX!HN$1,"dd-MMM-aa"),"")</f>
      </c>
      <c r="HK291" s="496" t="str">
        <f> IF(HK311&lt;&gt;"",TEXT(AUX!HO$1,"dd-MMM-aa"),"")</f>
      </c>
      <c r="HL291" s="496" t="str">
        <f> IF(HL311&lt;&gt;"",TEXT(AUX!HP$1,"dd-MMM-aa"),"")</f>
      </c>
      <c r="HM291" s="496" t="str">
        <f> IF(HM311&lt;&gt;"",TEXT(AUX!HQ$1,"dd-MMM-aa"),"")</f>
      </c>
      <c r="HN291" s="496" t="str">
        <f> IF(HN311&lt;&gt;"",TEXT(AUX!HR$1,"dd-MMM-aa"),"")</f>
      </c>
      <c r="HO291" s="496" t="str">
        <f> IF(HO311&lt;&gt;"",TEXT(AUX!HS$1,"dd-MMM-aa"),"")</f>
      </c>
      <c r="HP291" s="496" t="str">
        <f> IF(HP311&lt;&gt;"",TEXT(AUX!HT$1,"dd-MMM-aa"),"")</f>
      </c>
      <c r="HQ291" s="496" t="str">
        <f> IF(HQ311&lt;&gt;"",TEXT(AUX!HU$1,"dd-MMM-aa"),"")</f>
      </c>
      <c r="HR291" s="496" t="str">
        <f> IF(HR311&lt;&gt;"",TEXT(AUX!HV$1,"dd-MMM-aa"),"")</f>
      </c>
      <c r="HS291" s="496" t="str">
        <f> IF(HS311&lt;&gt;"",TEXT(AUX!HW$1,"dd-MMM-aa"),"")</f>
      </c>
      <c r="HT291" s="496" t="str">
        <f> IF(HT311&lt;&gt;"",TEXT(AUX!HX$1,"dd-MMM-aa"),"")</f>
      </c>
      <c r="HU291" s="496" t="str">
        <f> IF(HU311&lt;&gt;"",TEXT(AUX!HY$1,"dd-MMM-aa"),"")</f>
      </c>
      <c r="HV291" s="496" t="str">
        <f> IF(HV311&lt;&gt;"",TEXT(AUX!HZ$1,"dd-MMM-aa"),"")</f>
      </c>
      <c r="HW291" s="496" t="str">
        <f> IF(HW311&lt;&gt;"",TEXT(AUX!IA$1,"dd-MMM-aa"),"")</f>
      </c>
      <c r="HX291" s="496" t="str">
        <f> IF(HX311&lt;&gt;"",TEXT(AUX!IB$1,"dd-MMM-aa"),"")</f>
      </c>
      <c r="HY291" s="496" t="str">
        <f> IF(HY311&lt;&gt;"",TEXT(AUX!IC$1,"dd-MMM-aa"),"")</f>
      </c>
      <c r="HZ291" s="496" t="str">
        <f> IF(HZ311&lt;&gt;"",TEXT(AUX!ID$1,"dd-MMM-aa"),"")</f>
      </c>
      <c r="IA291" s="496" t="str">
        <f> IF(IA311&lt;&gt;"",TEXT(AUX!IE$1,"dd-MMM-aa"),"")</f>
      </c>
      <c r="IB291" s="496" t="str">
        <f> IF(IB311&lt;&gt;"",TEXT(AUX!IF$1,"dd-MMM-aa"),"")</f>
      </c>
      <c r="IC291" s="496" t="str">
        <f> IF(IC311&lt;&gt;"",TEXT(AUX!IG$1,"dd-MMM-aa"),"")</f>
      </c>
      <c r="ID291" s="496" t="str">
        <f> IF(ID311&lt;&gt;"",TEXT(AUX!IH$1,"dd-MMM-aa"),"")</f>
      </c>
      <c r="IE291" s="496" t="str">
        <f> IF(IE311&lt;&gt;"",TEXT(AUX!II$1,"dd-MMM-aa"),"")</f>
      </c>
      <c r="IF291" s="496" t="str">
        <f> IF(IF311&lt;&gt;"",TEXT(AUX!IJ$1,"dd-MMM-aa"),"")</f>
      </c>
      <c r="IG291" s="496" t="str">
        <f> IF(IG311&lt;&gt;"",TEXT(AUX!IK$1,"dd-MMM-aa"),"")</f>
      </c>
      <c r="IH291" s="496" t="str">
        <f> IF(IH311&lt;&gt;"",TEXT(AUX!IL$1,"dd-MMM-aa"),"")</f>
      </c>
      <c r="II291" s="496" t="str">
        <f> IF(II311&lt;&gt;"",TEXT(AUX!IM$1,"dd-MMM-aa"),"")</f>
      </c>
      <c r="IJ291" s="496" t="str">
        <f> IF(IJ311&lt;&gt;"",TEXT(AUX!IN$1,"dd-MMM-aa"),"")</f>
      </c>
      <c r="IK291" s="496" t="str">
        <f> IF(IK311&lt;&gt;"",TEXT(AUX!IO$1,"dd-MMM-aa"),"")</f>
      </c>
      <c r="IL291" s="496" t="str">
        <f> IF(IL311&lt;&gt;"",TEXT(AUX!IP$1,"dd-MMM-aa"),"")</f>
      </c>
      <c r="IM291" s="496" t="str">
        <f> IF(IM311&lt;&gt;"",TEXT(AUX!IQ$1,"dd-MMM-aa"),"")</f>
      </c>
      <c r="IN291" s="496" t="str">
        <f> IF(IN311&lt;&gt;"",TEXT(AUX!IR$1,"dd-MMM-aa"),"")</f>
      </c>
      <c r="IO291" s="496" t="str">
        <f> IF(IO311&lt;&gt;"",TEXT(AUX!IS$1,"dd-MMM-aa"),"")</f>
      </c>
      <c r="IP291" s="496" t="str">
        <f> IF(IP311&lt;&gt;"",TEXT(AUX!IT$1,"dd-MMM-aa"),"")</f>
      </c>
      <c r="IQ291" s="496" t="str">
        <f> IF(IQ311&lt;&gt;"",TEXT(AUX!IU$1,"dd-MMM-aa"),"")</f>
      </c>
      <c r="IR291" s="496" t="str">
        <f> IF(IR311&lt;&gt;"",TEXT(AUX!IV$1,"dd-MMM-aa"),"")</f>
      </c>
      <c r="IS291" s="496" t="str">
        <f> IF(IS311&lt;&gt;"",TEXT(AUX!A$1,"dd-MMM-aa"),"")</f>
      </c>
      <c r="IT291" s="496" t="str">
        <f> IF(IT311&lt;&gt;"",TEXT(AUX!B$1,"dd-MMM-aa"),"")</f>
      </c>
      <c r="IU291" s="496" t="str">
        <f> IF(IU311&lt;&gt;"",TEXT(AUX!C$1,"dd-MMM-aa"),"")</f>
      </c>
      <c r="IV291" s="496" t="str">
        <f> IF(IV311&lt;&gt;"",TEXT(AUX!D$1,"dd-MMM-aa"),"")</f>
      </c>
    </row>
    <row r="292" hidden="1">
      <c r="B292" s="822" t="s">
        <v>8</v>
      </c>
      <c r="C292" s="823">
        <v>2950</v>
      </c>
      <c r="D292" s="823">
        <v>2893</v>
      </c>
      <c r="E292" s="823">
        <v>2947</v>
      </c>
      <c r="F292" s="823">
        <v>2998</v>
      </c>
      <c r="G292" s="823">
        <v>3128</v>
      </c>
      <c r="H292" s="823">
        <v>3140</v>
      </c>
      <c r="I292" s="823">
        <v>3105</v>
      </c>
      <c r="J292" s="823">
        <v>3172</v>
      </c>
      <c r="K292" s="823">
        <v>3217</v>
      </c>
      <c r="L292" s="823">
        <v>3289</v>
      </c>
      <c r="M292" s="823">
        <v>3382</v>
      </c>
      <c r="N292" s="823">
        <v>3469</v>
      </c>
      <c r="O292" s="823">
        <v>3605</v>
      </c>
      <c r="P292" s="823">
        <v>3695</v>
      </c>
      <c r="Q292" s="823">
        <v>3847</v>
      </c>
      <c r="R292" s="823">
        <v>3968</v>
      </c>
      <c r="S292" s="823">
        <v>4157</v>
      </c>
      <c r="T292" s="823">
        <v>4305</v>
      </c>
      <c r="U292" s="823">
        <v>4494</v>
      </c>
      <c r="V292" s="823">
        <v>4628</v>
      </c>
      <c r="W292" s="823">
        <v>4694</v>
      </c>
      <c r="X292" s="823">
        <v>4802</v>
      </c>
      <c r="Y292" s="823">
        <v>4912</v>
      </c>
      <c r="Z292" s="823">
        <v>4981</v>
      </c>
      <c r="AA292" s="823">
        <v>5055</v>
      </c>
      <c r="AB292" s="824">
        <v>5159</v>
      </c>
      <c r="AC292" s="825">
        <v>5289</v>
      </c>
      <c r="AD292" s="825">
        <v>5351</v>
      </c>
      <c r="AE292" s="825">
        <v>5397</v>
      </c>
      <c r="AF292" s="825">
        <v>5491</v>
      </c>
      <c r="AG292" s="825">
        <v>5586</v>
      </c>
      <c r="AH292" s="825">
        <v>5656</v>
      </c>
      <c r="AI292" s="825">
        <v>5694</v>
      </c>
      <c r="AJ292" s="825">
        <v>5807</v>
      </c>
      <c r="AK292" s="825">
        <v>5839</v>
      </c>
      <c r="AL292" s="825">
        <v>5869</v>
      </c>
      <c r="AM292" s="825">
        <v>5851</v>
      </c>
      <c r="AN292" s="825">
        <v>5858</v>
      </c>
      <c r="AO292" s="825">
        <v>5860</v>
      </c>
      <c r="AP292" s="825">
        <v>5868</v>
      </c>
    </row>
    <row r="293" hidden="1">
      <c r="B293" s="826" t="s">
        <v>9</v>
      </c>
      <c r="C293" s="827">
        <v>1503</v>
      </c>
      <c r="D293" s="827">
        <v>1302</v>
      </c>
      <c r="E293" s="827">
        <v>1257</v>
      </c>
      <c r="F293" s="827">
        <v>1282</v>
      </c>
      <c r="G293" s="827">
        <v>1304</v>
      </c>
      <c r="H293" s="827">
        <v>1327</v>
      </c>
      <c r="I293" s="827">
        <v>1360</v>
      </c>
      <c r="J293" s="827">
        <v>1379</v>
      </c>
      <c r="K293" s="827">
        <v>1399</v>
      </c>
      <c r="L293" s="827">
        <v>1390</v>
      </c>
      <c r="M293" s="827">
        <v>1381</v>
      </c>
      <c r="N293" s="827">
        <v>1342</v>
      </c>
      <c r="O293" s="827">
        <v>1315</v>
      </c>
      <c r="P293" s="827">
        <v>1281</v>
      </c>
      <c r="Q293" s="827">
        <v>1291</v>
      </c>
      <c r="R293" s="827">
        <v>1311</v>
      </c>
      <c r="S293" s="827">
        <v>1388</v>
      </c>
      <c r="T293" s="827">
        <v>1422</v>
      </c>
      <c r="U293" s="827">
        <v>1489</v>
      </c>
      <c r="V293" s="827">
        <v>1508</v>
      </c>
      <c r="W293" s="827">
        <v>1533</v>
      </c>
      <c r="X293" s="827">
        <v>1558</v>
      </c>
      <c r="Y293" s="827">
        <v>1584</v>
      </c>
      <c r="Z293" s="827">
        <v>1607</v>
      </c>
      <c r="AA293" s="827">
        <v>1614</v>
      </c>
      <c r="AB293" s="827">
        <v>1641</v>
      </c>
      <c r="AC293" s="828">
        <v>1685</v>
      </c>
      <c r="AD293" s="828">
        <v>1559</v>
      </c>
      <c r="AE293" s="828">
        <v>1597</v>
      </c>
      <c r="AF293" s="828">
        <v>1642</v>
      </c>
      <c r="AG293" s="828">
        <v>1700</v>
      </c>
      <c r="AH293" s="828">
        <v>1732</v>
      </c>
      <c r="AI293" s="828">
        <v>1755</v>
      </c>
      <c r="AJ293" s="828">
        <v>1769</v>
      </c>
      <c r="AK293" s="828">
        <v>1776</v>
      </c>
      <c r="AL293" s="828">
        <v>1781</v>
      </c>
      <c r="AM293" s="828">
        <v>1773</v>
      </c>
      <c r="AN293" s="828">
        <v>1772</v>
      </c>
      <c r="AO293" s="828">
        <v>1759</v>
      </c>
      <c r="AP293" s="828">
        <v>1769</v>
      </c>
    </row>
    <row r="294" hidden="1">
      <c r="B294" s="829" t="s">
        <v>10</v>
      </c>
      <c r="C294" s="823">
        <v>1707</v>
      </c>
      <c r="D294" s="823">
        <v>1729</v>
      </c>
      <c r="E294" s="823">
        <v>1722</v>
      </c>
      <c r="F294" s="823">
        <v>1751</v>
      </c>
      <c r="G294" s="823">
        <v>1729</v>
      </c>
      <c r="H294" s="823">
        <v>1351</v>
      </c>
      <c r="I294" s="823">
        <v>1371</v>
      </c>
      <c r="J294" s="823">
        <v>1421</v>
      </c>
      <c r="K294" s="823">
        <v>1265</v>
      </c>
      <c r="L294" s="823">
        <v>1302</v>
      </c>
      <c r="M294" s="823">
        <v>1339</v>
      </c>
      <c r="N294" s="823">
        <v>1391</v>
      </c>
      <c r="O294" s="823">
        <v>1418</v>
      </c>
      <c r="P294" s="823">
        <v>1503</v>
      </c>
      <c r="Q294" s="823">
        <v>1350</v>
      </c>
      <c r="R294" s="823">
        <v>1439</v>
      </c>
      <c r="S294" s="823">
        <v>1483</v>
      </c>
      <c r="T294" s="823">
        <v>1537</v>
      </c>
      <c r="U294" s="823">
        <v>1511</v>
      </c>
      <c r="V294" s="823">
        <v>1546</v>
      </c>
      <c r="W294" s="823">
        <v>1628</v>
      </c>
      <c r="X294" s="823">
        <v>1660</v>
      </c>
      <c r="Y294" s="823">
        <v>1744</v>
      </c>
      <c r="Z294" s="823">
        <v>1672</v>
      </c>
      <c r="AA294" s="823">
        <v>1783</v>
      </c>
      <c r="AB294" s="823">
        <v>1754</v>
      </c>
      <c r="AC294" s="825">
        <v>1846</v>
      </c>
      <c r="AD294" s="825">
        <v>1871</v>
      </c>
      <c r="AE294" s="825">
        <v>1950</v>
      </c>
      <c r="AF294" s="825">
        <v>2029</v>
      </c>
      <c r="AG294" s="825">
        <v>2124</v>
      </c>
      <c r="AH294" s="825">
        <v>2176</v>
      </c>
      <c r="AI294" s="825">
        <v>2217</v>
      </c>
      <c r="AJ294" s="825">
        <v>2247</v>
      </c>
      <c r="AK294" s="825">
        <v>2288</v>
      </c>
      <c r="AL294" s="825">
        <v>2333</v>
      </c>
      <c r="AM294" s="825">
        <v>2370</v>
      </c>
      <c r="AN294" s="825">
        <v>2433</v>
      </c>
      <c r="AO294" s="825">
        <v>2459</v>
      </c>
      <c r="AP294" s="825">
        <v>2489</v>
      </c>
    </row>
    <row r="295" hidden="1">
      <c r="B295" s="826" t="s">
        <v>11</v>
      </c>
      <c r="C295" s="827">
        <v>503</v>
      </c>
      <c r="D295" s="827">
        <v>493</v>
      </c>
      <c r="E295" s="827">
        <v>499</v>
      </c>
      <c r="F295" s="827">
        <v>501</v>
      </c>
      <c r="G295" s="827">
        <v>474</v>
      </c>
      <c r="H295" s="827">
        <v>448</v>
      </c>
      <c r="I295" s="827">
        <v>459</v>
      </c>
      <c r="J295" s="827">
        <v>444</v>
      </c>
      <c r="K295" s="827">
        <v>463</v>
      </c>
      <c r="L295" s="827">
        <v>461</v>
      </c>
      <c r="M295" s="827">
        <v>468</v>
      </c>
      <c r="N295" s="827">
        <v>473</v>
      </c>
      <c r="O295" s="827">
        <v>493</v>
      </c>
      <c r="P295" s="827">
        <v>494</v>
      </c>
      <c r="Q295" s="827">
        <v>503</v>
      </c>
      <c r="R295" s="827">
        <v>502</v>
      </c>
      <c r="S295" s="827">
        <v>544</v>
      </c>
      <c r="T295" s="827">
        <v>555</v>
      </c>
      <c r="U295" s="827">
        <v>562</v>
      </c>
      <c r="V295" s="827">
        <v>566</v>
      </c>
      <c r="W295" s="827">
        <v>559</v>
      </c>
      <c r="X295" s="827">
        <v>568</v>
      </c>
      <c r="Y295" s="827">
        <v>550</v>
      </c>
      <c r="Z295" s="827">
        <v>562</v>
      </c>
      <c r="AA295" s="827">
        <v>566</v>
      </c>
      <c r="AB295" s="827">
        <v>581</v>
      </c>
      <c r="AC295" s="828">
        <v>606</v>
      </c>
      <c r="AD295" s="828">
        <v>639</v>
      </c>
      <c r="AE295" s="828">
        <v>658</v>
      </c>
      <c r="AF295" s="828">
        <v>701</v>
      </c>
      <c r="AG295" s="828">
        <v>679</v>
      </c>
      <c r="AH295" s="828">
        <v>733</v>
      </c>
      <c r="AI295" s="828">
        <v>757</v>
      </c>
      <c r="AJ295" s="828">
        <v>786</v>
      </c>
      <c r="AK295" s="828">
        <v>825</v>
      </c>
      <c r="AL295" s="828">
        <v>865</v>
      </c>
      <c r="AM295" s="828">
        <v>907</v>
      </c>
      <c r="AN295" s="828">
        <v>942</v>
      </c>
      <c r="AO295" s="828">
        <v>972</v>
      </c>
      <c r="AP295" s="828">
        <v>951</v>
      </c>
    </row>
    <row r="296" hidden="1">
      <c r="B296" s="829" t="s">
        <v>12</v>
      </c>
      <c r="C296" s="823">
        <v>1098</v>
      </c>
      <c r="D296" s="823">
        <v>1129</v>
      </c>
      <c r="E296" s="823">
        <v>1206</v>
      </c>
      <c r="F296" s="823">
        <v>1233</v>
      </c>
      <c r="G296" s="823">
        <v>1277</v>
      </c>
      <c r="H296" s="823">
        <v>1292</v>
      </c>
      <c r="I296" s="823">
        <v>1349</v>
      </c>
      <c r="J296" s="823">
        <v>1121</v>
      </c>
      <c r="K296" s="823">
        <v>1111</v>
      </c>
      <c r="L296" s="823">
        <v>1132</v>
      </c>
      <c r="M296" s="823">
        <v>1172</v>
      </c>
      <c r="N296" s="823">
        <v>1234</v>
      </c>
      <c r="O296" s="823">
        <v>1240</v>
      </c>
      <c r="P296" s="823">
        <v>1258</v>
      </c>
      <c r="Q296" s="823">
        <v>1279</v>
      </c>
      <c r="R296" s="823">
        <v>1323</v>
      </c>
      <c r="S296" s="823">
        <v>1320</v>
      </c>
      <c r="T296" s="823">
        <v>1383</v>
      </c>
      <c r="U296" s="823">
        <v>1407</v>
      </c>
      <c r="V296" s="823">
        <v>1461</v>
      </c>
      <c r="W296" s="823">
        <v>1476</v>
      </c>
      <c r="X296" s="823">
        <v>1517</v>
      </c>
      <c r="Y296" s="823">
        <v>1494</v>
      </c>
      <c r="Z296" s="823">
        <v>1510</v>
      </c>
      <c r="AA296" s="823">
        <v>1467</v>
      </c>
      <c r="AB296" s="823">
        <v>1488</v>
      </c>
      <c r="AC296" s="825">
        <v>1396</v>
      </c>
      <c r="AD296" s="825">
        <v>1417</v>
      </c>
      <c r="AE296" s="825">
        <v>1246</v>
      </c>
      <c r="AF296" s="825">
        <v>1266</v>
      </c>
      <c r="AG296" s="825">
        <v>1248</v>
      </c>
      <c r="AH296" s="825">
        <v>1279</v>
      </c>
      <c r="AI296" s="825">
        <v>1290</v>
      </c>
      <c r="AJ296" s="825">
        <v>1317</v>
      </c>
      <c r="AK296" s="825">
        <v>1299</v>
      </c>
      <c r="AL296" s="825">
        <v>1338</v>
      </c>
      <c r="AM296" s="825">
        <v>1309</v>
      </c>
      <c r="AN296" s="825">
        <v>1329</v>
      </c>
      <c r="AO296" s="825">
        <v>1314</v>
      </c>
      <c r="AP296" s="825">
        <v>1338</v>
      </c>
    </row>
    <row r="297" hidden="1">
      <c r="B297" s="826" t="s">
        <v>13</v>
      </c>
      <c r="C297" s="827">
        <v>426</v>
      </c>
      <c r="D297" s="827">
        <v>426</v>
      </c>
      <c r="E297" s="827">
        <v>437</v>
      </c>
      <c r="F297" s="827">
        <v>452</v>
      </c>
      <c r="G297" s="827">
        <v>457</v>
      </c>
      <c r="H297" s="827">
        <v>360</v>
      </c>
      <c r="I297" s="827">
        <v>361</v>
      </c>
      <c r="J297" s="827">
        <v>361</v>
      </c>
      <c r="K297" s="827">
        <v>380</v>
      </c>
      <c r="L297" s="827">
        <v>380</v>
      </c>
      <c r="M297" s="827">
        <v>387</v>
      </c>
      <c r="N297" s="827">
        <v>216</v>
      </c>
      <c r="O297" s="827">
        <v>238</v>
      </c>
      <c r="P297" s="827">
        <v>225</v>
      </c>
      <c r="Q297" s="827">
        <v>251</v>
      </c>
      <c r="R297" s="827">
        <v>248</v>
      </c>
      <c r="S297" s="827">
        <v>245</v>
      </c>
      <c r="T297" s="827">
        <v>245</v>
      </c>
      <c r="U297" s="827">
        <v>270</v>
      </c>
      <c r="V297" s="827">
        <v>264</v>
      </c>
      <c r="W297" s="827">
        <v>306</v>
      </c>
      <c r="X297" s="827">
        <v>310</v>
      </c>
      <c r="Y297" s="827">
        <v>387</v>
      </c>
      <c r="Z297" s="827">
        <v>368</v>
      </c>
      <c r="AA297" s="827">
        <v>392</v>
      </c>
      <c r="AB297" s="827">
        <v>352</v>
      </c>
      <c r="AC297" s="828">
        <v>379</v>
      </c>
      <c r="AD297" s="828">
        <v>356</v>
      </c>
      <c r="AE297" s="828">
        <v>380</v>
      </c>
      <c r="AF297" s="828">
        <v>360</v>
      </c>
      <c r="AG297" s="828">
        <v>396</v>
      </c>
      <c r="AH297" s="828">
        <v>369</v>
      </c>
      <c r="AI297" s="828">
        <v>407</v>
      </c>
      <c r="AJ297" s="828">
        <v>386</v>
      </c>
      <c r="AK297" s="828">
        <v>414</v>
      </c>
      <c r="AL297" s="828">
        <v>393</v>
      </c>
      <c r="AM297" s="828">
        <v>426</v>
      </c>
      <c r="AN297" s="828">
        <v>413</v>
      </c>
      <c r="AO297" s="828">
        <v>422</v>
      </c>
      <c r="AP297" s="828">
        <v>423</v>
      </c>
    </row>
    <row r="298" hidden="1">
      <c r="B298" s="829" t="s">
        <v>109</v>
      </c>
      <c r="C298" s="823">
        <v>1672</v>
      </c>
      <c r="D298" s="823">
        <v>1667</v>
      </c>
      <c r="E298" s="823">
        <v>1656</v>
      </c>
      <c r="F298" s="823">
        <v>1622</v>
      </c>
      <c r="G298" s="823">
        <v>1594</v>
      </c>
      <c r="H298" s="823">
        <v>1612</v>
      </c>
      <c r="I298" s="823">
        <v>1628</v>
      </c>
      <c r="J298" s="823">
        <v>1627</v>
      </c>
      <c r="K298" s="823">
        <v>1647</v>
      </c>
      <c r="L298" s="823">
        <v>1667</v>
      </c>
      <c r="M298" s="823">
        <v>1666</v>
      </c>
      <c r="N298" s="823">
        <v>1727</v>
      </c>
      <c r="O298" s="823">
        <v>1736</v>
      </c>
      <c r="P298" s="823">
        <v>1782</v>
      </c>
      <c r="Q298" s="823">
        <v>1773</v>
      </c>
      <c r="R298" s="823">
        <v>1800</v>
      </c>
      <c r="S298" s="823">
        <v>1880</v>
      </c>
      <c r="T298" s="823">
        <v>1944</v>
      </c>
      <c r="U298" s="823">
        <v>2035</v>
      </c>
      <c r="V298" s="823">
        <v>2109</v>
      </c>
      <c r="W298" s="823">
        <v>2184</v>
      </c>
      <c r="X298" s="823">
        <v>2211</v>
      </c>
      <c r="Y298" s="823">
        <v>2166</v>
      </c>
      <c r="Z298" s="823">
        <v>2188</v>
      </c>
      <c r="AA298" s="823">
        <v>2226</v>
      </c>
      <c r="AB298" s="823">
        <v>2303</v>
      </c>
      <c r="AC298" s="825">
        <v>2334</v>
      </c>
      <c r="AD298" s="825">
        <v>2394</v>
      </c>
      <c r="AE298" s="825">
        <v>2384</v>
      </c>
      <c r="AF298" s="825">
        <v>2444</v>
      </c>
      <c r="AG298" s="825">
        <v>2471</v>
      </c>
      <c r="AH298" s="825">
        <v>2540</v>
      </c>
      <c r="AI298" s="825">
        <v>2540</v>
      </c>
      <c r="AJ298" s="825">
        <v>2595</v>
      </c>
      <c r="AK298" s="825">
        <v>2568</v>
      </c>
      <c r="AL298" s="825">
        <v>2586</v>
      </c>
      <c r="AM298" s="825">
        <v>2599</v>
      </c>
      <c r="AN298" s="825">
        <v>2627</v>
      </c>
      <c r="AO298" s="825">
        <v>2584</v>
      </c>
      <c r="AP298" s="825">
        <v>2612</v>
      </c>
    </row>
    <row r="299" hidden="1">
      <c r="B299" s="826" t="s">
        <v>110</v>
      </c>
      <c r="C299" s="827">
        <v>3559</v>
      </c>
      <c r="D299" s="827">
        <v>3637</v>
      </c>
      <c r="E299" s="827">
        <v>3723</v>
      </c>
      <c r="F299" s="827">
        <v>3787</v>
      </c>
      <c r="G299" s="827">
        <v>3832</v>
      </c>
      <c r="H299" s="827">
        <v>3893</v>
      </c>
      <c r="I299" s="827">
        <v>3948</v>
      </c>
      <c r="J299" s="827">
        <v>4016</v>
      </c>
      <c r="K299" s="827">
        <v>4058</v>
      </c>
      <c r="L299" s="827">
        <v>4107</v>
      </c>
      <c r="M299" s="827">
        <v>4144</v>
      </c>
      <c r="N299" s="827">
        <v>3869</v>
      </c>
      <c r="O299" s="827">
        <v>3790</v>
      </c>
      <c r="P299" s="827">
        <v>3721</v>
      </c>
      <c r="Q299" s="827">
        <v>3955</v>
      </c>
      <c r="R299" s="827">
        <v>4001</v>
      </c>
      <c r="S299" s="827">
        <v>4283</v>
      </c>
      <c r="T299" s="827">
        <v>4378</v>
      </c>
      <c r="U299" s="827">
        <v>4728</v>
      </c>
      <c r="V299" s="827">
        <v>4909</v>
      </c>
      <c r="W299" s="827">
        <v>5194</v>
      </c>
      <c r="X299" s="827">
        <v>5290</v>
      </c>
      <c r="Y299" s="827">
        <v>5438</v>
      </c>
      <c r="Z299" s="827">
        <v>5401</v>
      </c>
      <c r="AA299" s="827">
        <v>5530</v>
      </c>
      <c r="AB299" s="827">
        <v>5636</v>
      </c>
      <c r="AC299" s="828">
        <v>5835</v>
      </c>
      <c r="AD299" s="828">
        <v>5905</v>
      </c>
      <c r="AE299" s="828">
        <v>6013</v>
      </c>
      <c r="AF299" s="828">
        <v>5978</v>
      </c>
      <c r="AG299" s="828">
        <v>6251</v>
      </c>
      <c r="AH299" s="828">
        <v>6323</v>
      </c>
      <c r="AI299" s="828">
        <v>6422</v>
      </c>
      <c r="AJ299" s="828">
        <v>6419</v>
      </c>
      <c r="AK299" s="828">
        <v>6461</v>
      </c>
      <c r="AL299" s="828">
        <v>6373</v>
      </c>
      <c r="AM299" s="828">
        <v>6353</v>
      </c>
      <c r="AN299" s="828">
        <v>6301</v>
      </c>
      <c r="AO299" s="828">
        <v>6267</v>
      </c>
      <c r="AP299" s="828">
        <v>6241</v>
      </c>
    </row>
    <row r="300" hidden="1">
      <c r="B300" s="829" t="s">
        <v>16</v>
      </c>
      <c r="C300" s="823">
        <v>1145</v>
      </c>
      <c r="D300" s="823">
        <v>1161</v>
      </c>
      <c r="E300" s="823">
        <v>1188</v>
      </c>
      <c r="F300" s="823">
        <v>1215</v>
      </c>
      <c r="G300" s="823">
        <v>1231</v>
      </c>
      <c r="H300" s="823">
        <v>1241</v>
      </c>
      <c r="I300" s="823">
        <v>1279</v>
      </c>
      <c r="J300" s="823">
        <v>1291</v>
      </c>
      <c r="K300" s="823">
        <v>1327</v>
      </c>
      <c r="L300" s="823">
        <v>1358</v>
      </c>
      <c r="M300" s="823">
        <v>1397</v>
      </c>
      <c r="N300" s="823">
        <v>1394</v>
      </c>
      <c r="O300" s="823">
        <v>1428</v>
      </c>
      <c r="P300" s="823">
        <v>1443</v>
      </c>
      <c r="Q300" s="823">
        <v>1382</v>
      </c>
      <c r="R300" s="823">
        <v>1456</v>
      </c>
      <c r="S300" s="823">
        <v>1552</v>
      </c>
      <c r="T300" s="823">
        <v>1614</v>
      </c>
      <c r="U300" s="823">
        <v>1666</v>
      </c>
      <c r="V300" s="823">
        <v>1740</v>
      </c>
      <c r="W300" s="823">
        <v>1800</v>
      </c>
      <c r="X300" s="823">
        <v>1861</v>
      </c>
      <c r="Y300" s="823">
        <v>1926</v>
      </c>
      <c r="Z300" s="823">
        <v>1974</v>
      </c>
      <c r="AA300" s="823">
        <v>2022</v>
      </c>
      <c r="AB300" s="823">
        <v>2057</v>
      </c>
      <c r="AC300" s="825">
        <v>2021</v>
      </c>
      <c r="AD300" s="825">
        <v>2024</v>
      </c>
      <c r="AE300" s="825">
        <v>2038</v>
      </c>
      <c r="AF300" s="825">
        <v>2072</v>
      </c>
      <c r="AG300" s="825">
        <v>2137</v>
      </c>
      <c r="AH300" s="825">
        <v>2170</v>
      </c>
      <c r="AI300" s="825">
        <v>2204</v>
      </c>
      <c r="AJ300" s="825">
        <v>2216</v>
      </c>
      <c r="AK300" s="825">
        <v>2220</v>
      </c>
      <c r="AL300" s="825">
        <v>2243</v>
      </c>
      <c r="AM300" s="825">
        <v>2241</v>
      </c>
      <c r="AN300" s="825">
        <v>2227</v>
      </c>
      <c r="AO300" s="825">
        <v>2229</v>
      </c>
      <c r="AP300" s="825">
        <v>2236</v>
      </c>
    </row>
    <row r="301" hidden="1">
      <c r="B301" s="826" t="s">
        <v>17</v>
      </c>
      <c r="C301" s="827">
        <v>948</v>
      </c>
      <c r="D301" s="827">
        <v>970</v>
      </c>
      <c r="E301" s="827">
        <v>980</v>
      </c>
      <c r="F301" s="827">
        <v>984</v>
      </c>
      <c r="G301" s="827">
        <v>1028</v>
      </c>
      <c r="H301" s="827">
        <v>896</v>
      </c>
      <c r="I301" s="827">
        <v>903</v>
      </c>
      <c r="J301" s="827">
        <v>910</v>
      </c>
      <c r="K301" s="827">
        <v>936</v>
      </c>
      <c r="L301" s="827">
        <v>947</v>
      </c>
      <c r="M301" s="827">
        <v>981</v>
      </c>
      <c r="N301" s="827">
        <v>1001</v>
      </c>
      <c r="O301" s="827">
        <v>1025</v>
      </c>
      <c r="P301" s="827">
        <v>1043</v>
      </c>
      <c r="Q301" s="827">
        <v>1042</v>
      </c>
      <c r="R301" s="827">
        <v>1093</v>
      </c>
      <c r="S301" s="827">
        <v>1171</v>
      </c>
      <c r="T301" s="827">
        <v>1217</v>
      </c>
      <c r="U301" s="827">
        <v>1332</v>
      </c>
      <c r="V301" s="827">
        <v>1364</v>
      </c>
      <c r="W301" s="827">
        <v>1479</v>
      </c>
      <c r="X301" s="827">
        <v>1493</v>
      </c>
      <c r="Y301" s="827">
        <v>1555</v>
      </c>
      <c r="Z301" s="827">
        <v>1592</v>
      </c>
      <c r="AA301" s="827">
        <v>1571</v>
      </c>
      <c r="AB301" s="827">
        <v>1649</v>
      </c>
      <c r="AC301" s="828">
        <v>1713</v>
      </c>
      <c r="AD301" s="828">
        <v>1736</v>
      </c>
      <c r="AE301" s="828">
        <v>1786</v>
      </c>
      <c r="AF301" s="828">
        <v>1824</v>
      </c>
      <c r="AG301" s="828">
        <v>1860</v>
      </c>
      <c r="AH301" s="828">
        <v>1871</v>
      </c>
      <c r="AI301" s="828">
        <v>1893</v>
      </c>
      <c r="AJ301" s="828">
        <v>1912</v>
      </c>
      <c r="AK301" s="828">
        <v>1930</v>
      </c>
      <c r="AL301" s="828">
        <v>1938</v>
      </c>
      <c r="AM301" s="828">
        <v>1949</v>
      </c>
      <c r="AN301" s="828">
        <v>1973</v>
      </c>
      <c r="AO301" s="828">
        <v>1993</v>
      </c>
      <c r="AP301" s="828">
        <v>2001</v>
      </c>
    </row>
    <row r="302" hidden="1">
      <c r="B302" s="829" t="s">
        <v>18</v>
      </c>
      <c r="C302" s="823">
        <v>3272</v>
      </c>
      <c r="D302" s="823">
        <v>3307</v>
      </c>
      <c r="E302" s="823">
        <v>3284</v>
      </c>
      <c r="F302" s="823">
        <v>3380</v>
      </c>
      <c r="G302" s="823">
        <v>3414</v>
      </c>
      <c r="H302" s="823">
        <v>3455</v>
      </c>
      <c r="I302" s="823">
        <v>3477</v>
      </c>
      <c r="J302" s="823">
        <v>3440</v>
      </c>
      <c r="K302" s="823">
        <v>3460</v>
      </c>
      <c r="L302" s="823">
        <v>3425</v>
      </c>
      <c r="M302" s="823">
        <v>3478</v>
      </c>
      <c r="N302" s="823">
        <v>3539</v>
      </c>
      <c r="O302" s="823">
        <v>3579</v>
      </c>
      <c r="P302" s="823">
        <v>3678</v>
      </c>
      <c r="Q302" s="823">
        <v>3787</v>
      </c>
      <c r="R302" s="823">
        <v>3818</v>
      </c>
      <c r="S302" s="823">
        <v>3413</v>
      </c>
      <c r="T302" s="823">
        <v>3557</v>
      </c>
      <c r="U302" s="823">
        <v>3468</v>
      </c>
      <c r="V302" s="823">
        <v>3663</v>
      </c>
      <c r="W302" s="823">
        <v>3796</v>
      </c>
      <c r="X302" s="823">
        <v>3923</v>
      </c>
      <c r="Y302" s="823">
        <v>4070</v>
      </c>
      <c r="Z302" s="823">
        <v>4219</v>
      </c>
      <c r="AA302" s="823">
        <v>4276</v>
      </c>
      <c r="AB302" s="823">
        <v>4340</v>
      </c>
      <c r="AC302" s="825">
        <v>4507</v>
      </c>
      <c r="AD302" s="825">
        <v>4646</v>
      </c>
      <c r="AE302" s="825">
        <v>4726</v>
      </c>
      <c r="AF302" s="825">
        <v>4899</v>
      </c>
      <c r="AG302" s="825">
        <v>4739</v>
      </c>
      <c r="AH302" s="825">
        <v>4883</v>
      </c>
      <c r="AI302" s="825">
        <v>4959</v>
      </c>
      <c r="AJ302" s="825">
        <v>5069</v>
      </c>
      <c r="AK302" s="825">
        <v>4941</v>
      </c>
      <c r="AL302" s="825">
        <v>4973</v>
      </c>
      <c r="AM302" s="825">
        <v>4928</v>
      </c>
      <c r="AN302" s="825">
        <v>4863</v>
      </c>
      <c r="AO302" s="825">
        <v>4784</v>
      </c>
      <c r="AP302" s="825">
        <v>4861</v>
      </c>
    </row>
    <row r="303" hidden="1">
      <c r="B303" s="826" t="s">
        <v>19</v>
      </c>
      <c r="C303" s="827">
        <v>182</v>
      </c>
      <c r="D303" s="827">
        <v>190</v>
      </c>
      <c r="E303" s="827">
        <v>181</v>
      </c>
      <c r="F303" s="827">
        <v>188</v>
      </c>
      <c r="G303" s="827">
        <v>191</v>
      </c>
      <c r="H303" s="827">
        <v>198</v>
      </c>
      <c r="I303" s="827">
        <v>200</v>
      </c>
      <c r="J303" s="827">
        <v>210</v>
      </c>
      <c r="K303" s="827">
        <v>214</v>
      </c>
      <c r="L303" s="827">
        <v>219</v>
      </c>
      <c r="M303" s="827">
        <v>173</v>
      </c>
      <c r="N303" s="827">
        <v>182</v>
      </c>
      <c r="O303" s="827">
        <v>193</v>
      </c>
      <c r="P303" s="827">
        <v>211</v>
      </c>
      <c r="Q303" s="827">
        <v>217</v>
      </c>
      <c r="R303" s="827">
        <v>235</v>
      </c>
      <c r="S303" s="827">
        <v>263</v>
      </c>
      <c r="T303" s="827">
        <v>283</v>
      </c>
      <c r="U303" s="827">
        <v>303</v>
      </c>
      <c r="V303" s="827">
        <v>327</v>
      </c>
      <c r="W303" s="827">
        <v>369</v>
      </c>
      <c r="X303" s="827">
        <v>383</v>
      </c>
      <c r="Y303" s="827">
        <v>406</v>
      </c>
      <c r="Z303" s="827">
        <v>424</v>
      </c>
      <c r="AA303" s="827">
        <v>445</v>
      </c>
      <c r="AB303" s="827">
        <v>452</v>
      </c>
      <c r="AC303" s="828">
        <v>470</v>
      </c>
      <c r="AD303" s="828">
        <v>502</v>
      </c>
      <c r="AE303" s="828">
        <v>525</v>
      </c>
      <c r="AF303" s="828">
        <v>553</v>
      </c>
      <c r="AG303" s="828">
        <v>569</v>
      </c>
      <c r="AH303" s="828">
        <v>598</v>
      </c>
      <c r="AI303" s="828">
        <v>630</v>
      </c>
      <c r="AJ303" s="828">
        <v>543</v>
      </c>
      <c r="AK303" s="828">
        <v>572</v>
      </c>
      <c r="AL303" s="828">
        <v>595</v>
      </c>
      <c r="AM303" s="828">
        <v>612</v>
      </c>
      <c r="AN303" s="828">
        <v>631</v>
      </c>
      <c r="AO303" s="828">
        <v>638</v>
      </c>
      <c r="AP303" s="828">
        <v>665</v>
      </c>
    </row>
    <row r="304" hidden="1">
      <c r="B304" s="829" t="s">
        <v>20</v>
      </c>
      <c r="C304" s="823">
        <v>352</v>
      </c>
      <c r="D304" s="823">
        <v>356</v>
      </c>
      <c r="E304" s="823">
        <v>359</v>
      </c>
      <c r="F304" s="823">
        <v>372</v>
      </c>
      <c r="G304" s="823">
        <v>374</v>
      </c>
      <c r="H304" s="823">
        <v>377</v>
      </c>
      <c r="I304" s="823">
        <v>393</v>
      </c>
      <c r="J304" s="823">
        <v>398</v>
      </c>
      <c r="K304" s="823">
        <v>399</v>
      </c>
      <c r="L304" s="823">
        <v>424</v>
      </c>
      <c r="M304" s="823">
        <v>447</v>
      </c>
      <c r="N304" s="823">
        <v>448</v>
      </c>
      <c r="O304" s="823">
        <v>478</v>
      </c>
      <c r="P304" s="823">
        <v>489</v>
      </c>
      <c r="Q304" s="823">
        <v>489</v>
      </c>
      <c r="R304" s="823">
        <v>487</v>
      </c>
      <c r="S304" s="823">
        <v>486</v>
      </c>
      <c r="T304" s="823">
        <v>486</v>
      </c>
      <c r="U304" s="823">
        <v>528</v>
      </c>
      <c r="V304" s="823">
        <v>534</v>
      </c>
      <c r="W304" s="823">
        <v>537</v>
      </c>
      <c r="X304" s="823">
        <v>540</v>
      </c>
      <c r="Y304" s="823">
        <v>595</v>
      </c>
      <c r="Z304" s="823">
        <v>600</v>
      </c>
      <c r="AA304" s="823">
        <v>677</v>
      </c>
      <c r="AB304" s="823">
        <v>690</v>
      </c>
      <c r="AC304" s="825">
        <v>710</v>
      </c>
      <c r="AD304" s="825">
        <v>745</v>
      </c>
      <c r="AE304" s="825">
        <v>843</v>
      </c>
      <c r="AF304" s="825">
        <v>864</v>
      </c>
      <c r="AG304" s="825">
        <v>557</v>
      </c>
      <c r="AH304" s="825">
        <v>599</v>
      </c>
      <c r="AI304" s="825">
        <v>601</v>
      </c>
      <c r="AJ304" s="825">
        <v>611</v>
      </c>
      <c r="AK304" s="825">
        <v>616</v>
      </c>
      <c r="AL304" s="825">
        <v>616</v>
      </c>
      <c r="AM304" s="825">
        <v>612</v>
      </c>
      <c r="AN304" s="825">
        <v>612</v>
      </c>
      <c r="AO304" s="825">
        <v>598</v>
      </c>
      <c r="AP304" s="825">
        <v>618</v>
      </c>
    </row>
    <row r="305" hidden="1">
      <c r="B305" s="826" t="s">
        <v>21</v>
      </c>
      <c r="C305" s="827">
        <v>753</v>
      </c>
      <c r="D305" s="827">
        <v>744</v>
      </c>
      <c r="E305" s="827">
        <v>715</v>
      </c>
      <c r="F305" s="827">
        <v>720</v>
      </c>
      <c r="G305" s="827">
        <v>695</v>
      </c>
      <c r="H305" s="827">
        <v>688</v>
      </c>
      <c r="I305" s="827">
        <v>396</v>
      </c>
      <c r="J305" s="827">
        <v>409</v>
      </c>
      <c r="K305" s="827">
        <v>422</v>
      </c>
      <c r="L305" s="827">
        <v>420</v>
      </c>
      <c r="M305" s="827">
        <v>421</v>
      </c>
      <c r="N305" s="827">
        <v>432</v>
      </c>
      <c r="O305" s="827">
        <v>451</v>
      </c>
      <c r="P305" s="827">
        <v>396</v>
      </c>
      <c r="Q305" s="827">
        <v>432</v>
      </c>
      <c r="R305" s="827">
        <v>447</v>
      </c>
      <c r="S305" s="827">
        <v>484</v>
      </c>
      <c r="T305" s="827">
        <v>504</v>
      </c>
      <c r="U305" s="827">
        <v>532</v>
      </c>
      <c r="V305" s="827">
        <v>538</v>
      </c>
      <c r="W305" s="827">
        <v>553</v>
      </c>
      <c r="X305" s="827">
        <v>564</v>
      </c>
      <c r="Y305" s="827">
        <v>576</v>
      </c>
      <c r="Z305" s="827">
        <v>552</v>
      </c>
      <c r="AA305" s="827">
        <v>571</v>
      </c>
      <c r="AB305" s="827">
        <v>589</v>
      </c>
      <c r="AC305" s="828">
        <v>558</v>
      </c>
      <c r="AD305" s="828">
        <v>585</v>
      </c>
      <c r="AE305" s="828">
        <v>617</v>
      </c>
      <c r="AF305" s="828">
        <v>616</v>
      </c>
      <c r="AG305" s="828">
        <v>630</v>
      </c>
      <c r="AH305" s="828">
        <v>621</v>
      </c>
      <c r="AI305" s="828">
        <v>631</v>
      </c>
      <c r="AJ305" s="828">
        <v>606</v>
      </c>
      <c r="AK305" s="828">
        <v>609</v>
      </c>
      <c r="AL305" s="828">
        <v>626</v>
      </c>
      <c r="AM305" s="828">
        <v>641</v>
      </c>
      <c r="AN305" s="828">
        <v>659</v>
      </c>
      <c r="AO305" s="828">
        <v>672</v>
      </c>
      <c r="AP305" s="828">
        <v>681</v>
      </c>
    </row>
    <row r="306" hidden="1">
      <c r="B306" s="829" t="s">
        <v>22</v>
      </c>
      <c r="C306" s="823">
        <v>1163</v>
      </c>
      <c r="D306" s="823">
        <v>1192</v>
      </c>
      <c r="E306" s="823">
        <v>1195</v>
      </c>
      <c r="F306" s="823">
        <v>1196</v>
      </c>
      <c r="G306" s="823">
        <v>1216</v>
      </c>
      <c r="H306" s="823">
        <v>1701</v>
      </c>
      <c r="I306" s="823">
        <v>1710</v>
      </c>
      <c r="J306" s="823">
        <v>1749</v>
      </c>
      <c r="K306" s="823">
        <v>1748</v>
      </c>
      <c r="L306" s="823">
        <v>1700</v>
      </c>
      <c r="M306" s="823">
        <v>1593</v>
      </c>
      <c r="N306" s="823">
        <v>1616</v>
      </c>
      <c r="O306" s="823">
        <v>1517</v>
      </c>
      <c r="P306" s="823">
        <v>1461</v>
      </c>
      <c r="Q306" s="823">
        <v>1517</v>
      </c>
      <c r="R306" s="823">
        <v>1532</v>
      </c>
      <c r="S306" s="823">
        <v>1534</v>
      </c>
      <c r="T306" s="823">
        <v>1563</v>
      </c>
      <c r="U306" s="823">
        <v>1154</v>
      </c>
      <c r="V306" s="823">
        <v>1028</v>
      </c>
      <c r="W306" s="823">
        <v>1017</v>
      </c>
      <c r="X306" s="823">
        <v>1015</v>
      </c>
      <c r="Y306" s="823">
        <v>1002</v>
      </c>
      <c r="Z306" s="823">
        <v>1020</v>
      </c>
      <c r="AA306" s="823">
        <v>1045</v>
      </c>
      <c r="AB306" s="823">
        <v>1078</v>
      </c>
      <c r="AC306" s="825">
        <v>1098</v>
      </c>
      <c r="AD306" s="825">
        <v>1125</v>
      </c>
      <c r="AE306" s="825">
        <v>1164</v>
      </c>
      <c r="AF306" s="825">
        <v>1236</v>
      </c>
      <c r="AG306" s="825">
        <v>1503</v>
      </c>
      <c r="AH306" s="825">
        <v>1550</v>
      </c>
      <c r="AI306" s="825">
        <v>1314</v>
      </c>
      <c r="AJ306" s="825">
        <v>1330</v>
      </c>
      <c r="AK306" s="825">
        <v>1294</v>
      </c>
      <c r="AL306" s="825">
        <v>1312</v>
      </c>
      <c r="AM306" s="825">
        <v>1274</v>
      </c>
      <c r="AN306" s="825">
        <v>1243</v>
      </c>
      <c r="AO306" s="825">
        <v>1253</v>
      </c>
      <c r="AP306" s="825">
        <v>1261</v>
      </c>
    </row>
    <row r="307" hidden="1">
      <c r="B307" s="826" t="s">
        <v>23</v>
      </c>
      <c r="C307" s="827">
        <v>263</v>
      </c>
      <c r="D307" s="827">
        <v>271</v>
      </c>
      <c r="E307" s="827">
        <v>269</v>
      </c>
      <c r="F307" s="827">
        <v>272</v>
      </c>
      <c r="G307" s="827">
        <v>277</v>
      </c>
      <c r="H307" s="827">
        <v>280</v>
      </c>
      <c r="I307" s="827">
        <v>277</v>
      </c>
      <c r="J307" s="827">
        <v>278</v>
      </c>
      <c r="K307" s="827">
        <v>278</v>
      </c>
      <c r="L307" s="827">
        <v>273</v>
      </c>
      <c r="M307" s="827">
        <v>259</v>
      </c>
      <c r="N307" s="827">
        <v>262</v>
      </c>
      <c r="O307" s="827">
        <v>261</v>
      </c>
      <c r="P307" s="827">
        <v>270</v>
      </c>
      <c r="Q307" s="827">
        <v>266</v>
      </c>
      <c r="R307" s="827">
        <v>270</v>
      </c>
      <c r="S307" s="827">
        <v>289</v>
      </c>
      <c r="T307" s="827">
        <v>299</v>
      </c>
      <c r="U307" s="827">
        <v>306</v>
      </c>
      <c r="V307" s="827">
        <v>328</v>
      </c>
      <c r="W307" s="827">
        <v>346</v>
      </c>
      <c r="X307" s="827">
        <v>358</v>
      </c>
      <c r="Y307" s="827">
        <v>371</v>
      </c>
      <c r="Z307" s="827">
        <v>377</v>
      </c>
      <c r="AA307" s="827">
        <v>386</v>
      </c>
      <c r="AB307" s="827">
        <v>402</v>
      </c>
      <c r="AC307" s="828">
        <v>425</v>
      </c>
      <c r="AD307" s="828">
        <v>440</v>
      </c>
      <c r="AE307" s="828">
        <v>458</v>
      </c>
      <c r="AF307" s="828">
        <v>472</v>
      </c>
      <c r="AG307" s="828">
        <v>494</v>
      </c>
      <c r="AH307" s="828">
        <v>499</v>
      </c>
      <c r="AI307" s="828">
        <v>507</v>
      </c>
      <c r="AJ307" s="828">
        <v>513</v>
      </c>
      <c r="AK307" s="828">
        <v>506</v>
      </c>
      <c r="AL307" s="828">
        <v>510</v>
      </c>
      <c r="AM307" s="828">
        <v>521</v>
      </c>
      <c r="AN307" s="828">
        <v>527</v>
      </c>
      <c r="AO307" s="828">
        <v>535</v>
      </c>
      <c r="AP307" s="828">
        <v>546</v>
      </c>
    </row>
    <row r="308" hidden="1">
      <c r="B308" s="830" t="s">
        <v>24</v>
      </c>
      <c r="C308" s="823">
        <v>2072</v>
      </c>
      <c r="D308" s="823">
        <v>2043</v>
      </c>
      <c r="E308" s="823">
        <v>1820</v>
      </c>
      <c r="F308" s="823">
        <v>1779</v>
      </c>
      <c r="G308" s="823">
        <v>1753</v>
      </c>
      <c r="H308" s="823">
        <v>1741</v>
      </c>
      <c r="I308" s="823">
        <v>1733</v>
      </c>
      <c r="J308" s="823">
        <v>1736</v>
      </c>
      <c r="K308" s="823">
        <v>1749</v>
      </c>
      <c r="L308" s="823">
        <v>1730</v>
      </c>
      <c r="M308" s="823">
        <v>1743</v>
      </c>
      <c r="N308" s="823">
        <v>1765</v>
      </c>
      <c r="O308" s="823">
        <v>1797</v>
      </c>
      <c r="P308" s="823">
        <v>1805</v>
      </c>
      <c r="Q308" s="823">
        <v>1861</v>
      </c>
      <c r="R308" s="823">
        <v>1896</v>
      </c>
      <c r="S308" s="823">
        <v>1986</v>
      </c>
      <c r="T308" s="823">
        <v>2042</v>
      </c>
      <c r="U308" s="823">
        <v>2111</v>
      </c>
      <c r="V308" s="823">
        <v>2167</v>
      </c>
      <c r="W308" s="823">
        <v>2226</v>
      </c>
      <c r="X308" s="823">
        <v>2263</v>
      </c>
      <c r="Y308" s="823">
        <v>2265</v>
      </c>
      <c r="Z308" s="823">
        <v>2323</v>
      </c>
      <c r="AA308" s="823">
        <v>2364</v>
      </c>
      <c r="AB308" s="823">
        <v>2436</v>
      </c>
      <c r="AC308" s="825">
        <v>2505</v>
      </c>
      <c r="AD308" s="825">
        <v>2523</v>
      </c>
      <c r="AE308" s="825">
        <v>2561</v>
      </c>
      <c r="AF308" s="825">
        <v>2621</v>
      </c>
      <c r="AG308" s="825">
        <v>2623</v>
      </c>
      <c r="AH308" s="825">
        <v>2662</v>
      </c>
      <c r="AI308" s="825">
        <v>2654</v>
      </c>
      <c r="AJ308" s="825">
        <v>2677</v>
      </c>
      <c r="AK308" s="825">
        <v>2637</v>
      </c>
      <c r="AL308" s="825">
        <v>2634</v>
      </c>
      <c r="AM308" s="825">
        <v>2531</v>
      </c>
      <c r="AN308" s="825">
        <v>2534</v>
      </c>
      <c r="AO308" s="825">
        <v>2507</v>
      </c>
      <c r="AP308" s="825">
        <v>2525</v>
      </c>
    </row>
    <row r="309" hidden="1">
      <c r="B309" s="826" t="s">
        <v>25</v>
      </c>
      <c r="C309" s="827">
        <v>0</v>
      </c>
      <c r="D309" s="827">
        <v>0</v>
      </c>
      <c r="E309" s="827">
        <v>0</v>
      </c>
      <c r="F309" s="827">
        <v>0</v>
      </c>
      <c r="G309" s="827">
        <v>0</v>
      </c>
      <c r="H309" s="827">
        <v>0</v>
      </c>
      <c r="I309" s="827">
        <v>0</v>
      </c>
      <c r="J309" s="827">
        <v>0</v>
      </c>
      <c r="K309" s="827">
        <v>0</v>
      </c>
      <c r="L309" s="827">
        <v>0</v>
      </c>
      <c r="M309" s="827">
        <v>0</v>
      </c>
      <c r="N309" s="827">
        <v>0</v>
      </c>
      <c r="O309" s="827">
        <v>0</v>
      </c>
      <c r="P309" s="827">
        <v>0</v>
      </c>
      <c r="Q309" s="827">
        <v>0</v>
      </c>
      <c r="R309" s="827">
        <v>0</v>
      </c>
      <c r="S309" s="827">
        <v>0</v>
      </c>
      <c r="T309" s="827">
        <v>0</v>
      </c>
      <c r="U309" s="827">
        <v>0</v>
      </c>
      <c r="V309" s="827">
        <v>0</v>
      </c>
      <c r="W309" s="827">
        <v>0</v>
      </c>
      <c r="X309" s="827">
        <v>0</v>
      </c>
      <c r="Y309" s="827">
        <v>0</v>
      </c>
      <c r="Z309" s="827">
        <v>0</v>
      </c>
      <c r="AA309" s="827">
        <v>0</v>
      </c>
      <c r="AB309" s="827">
        <v>0</v>
      </c>
      <c r="AC309" s="828">
        <v>0</v>
      </c>
      <c r="AD309" s="828">
        <v>0</v>
      </c>
      <c r="AE309" s="828">
        <v>0</v>
      </c>
      <c r="AF309" s="828">
        <v>0</v>
      </c>
      <c r="AG309" s="828">
        <v>0</v>
      </c>
      <c r="AH309" s="828">
        <v>0</v>
      </c>
      <c r="AI309" s="828">
        <v>0</v>
      </c>
      <c r="AJ309" s="828">
        <v>0</v>
      </c>
      <c r="AK309" s="828">
        <v>0</v>
      </c>
      <c r="AL309" s="828">
        <v>0</v>
      </c>
      <c r="AM309" s="828">
        <v>0</v>
      </c>
      <c r="AN309" s="828">
        <v>0</v>
      </c>
      <c r="AO309" s="828">
        <v>0</v>
      </c>
      <c r="AP309" s="828">
        <v>0</v>
      </c>
    </row>
    <row r="310" hidden="1" ht="13.5">
      <c r="B310" s="831" t="s">
        <v>26</v>
      </c>
      <c r="C310" s="823">
        <v>0</v>
      </c>
      <c r="D310" s="823">
        <v>0</v>
      </c>
      <c r="E310" s="823">
        <v>0</v>
      </c>
      <c r="F310" s="823">
        <v>0</v>
      </c>
      <c r="G310" s="823">
        <v>0</v>
      </c>
      <c r="H310" s="823">
        <v>0</v>
      </c>
      <c r="I310" s="823">
        <v>0</v>
      </c>
      <c r="J310" s="823">
        <v>0</v>
      </c>
      <c r="K310" s="823">
        <v>0</v>
      </c>
      <c r="L310" s="823">
        <v>0</v>
      </c>
      <c r="M310" s="823">
        <v>0</v>
      </c>
      <c r="N310" s="823">
        <v>0</v>
      </c>
      <c r="O310" s="823">
        <v>0</v>
      </c>
      <c r="P310" s="823">
        <v>0</v>
      </c>
      <c r="Q310" s="823">
        <v>0</v>
      </c>
      <c r="R310" s="823">
        <v>0</v>
      </c>
      <c r="S310" s="823">
        <v>0</v>
      </c>
      <c r="T310" s="823">
        <v>0</v>
      </c>
      <c r="U310" s="823">
        <v>0</v>
      </c>
      <c r="V310" s="823">
        <v>0</v>
      </c>
      <c r="W310" s="823">
        <v>0</v>
      </c>
      <c r="X310" s="823">
        <v>0</v>
      </c>
      <c r="Y310" s="823">
        <v>0</v>
      </c>
      <c r="Z310" s="823">
        <v>0</v>
      </c>
      <c r="AA310" s="823">
        <v>0</v>
      </c>
      <c r="AB310" s="832">
        <v>0</v>
      </c>
      <c r="AC310" s="825">
        <v>0</v>
      </c>
      <c r="AD310" s="825">
        <v>0</v>
      </c>
      <c r="AE310" s="825">
        <v>0</v>
      </c>
      <c r="AF310" s="825">
        <v>0</v>
      </c>
      <c r="AG310" s="825">
        <v>0</v>
      </c>
      <c r="AH310" s="825">
        <v>0</v>
      </c>
      <c r="AI310" s="825">
        <v>0</v>
      </c>
      <c r="AJ310" s="825">
        <v>0</v>
      </c>
      <c r="AK310" s="825">
        <v>0</v>
      </c>
      <c r="AL310" s="825">
        <v>0</v>
      </c>
      <c r="AM310" s="825">
        <v>0</v>
      </c>
      <c r="AN310" s="825">
        <v>0</v>
      </c>
      <c r="AO310" s="825">
        <v>0</v>
      </c>
      <c r="AP310" s="825">
        <v>0</v>
      </c>
    </row>
    <row r="311" hidden="1" ht="13.5">
      <c r="B311" s="128" t="s">
        <v>7</v>
      </c>
      <c r="C311" s="129" t="str">
        <f>IF(SUM(C292:C310)&lt;&gt;0,SUM(C292:C310),"")</f>
      </c>
      <c r="D311" s="129" t="str">
        <f ref="D311:AA311" t="shared" si="25">IF(SUM(D292:D310)&lt;&gt;0,SUM(D292:D310),"")</f>
      </c>
      <c r="E311" s="129" t="str">
        <f t="shared" si="25"/>
      </c>
      <c r="F311" s="129" t="str">
        <f t="shared" si="25"/>
      </c>
      <c r="G311" s="129" t="str">
        <f t="shared" si="25"/>
      </c>
      <c r="H311" s="129" t="str">
        <f t="shared" si="25"/>
      </c>
      <c r="I311" s="129" t="str">
        <f t="shared" si="25"/>
      </c>
      <c r="J311" s="129" t="str">
        <f t="shared" si="25"/>
      </c>
      <c r="K311" s="129" t="str">
        <f t="shared" si="25"/>
      </c>
      <c r="L311" s="129" t="str">
        <f t="shared" si="25"/>
      </c>
      <c r="M311" s="129" t="str">
        <f t="shared" si="25"/>
      </c>
      <c r="N311" s="129" t="str">
        <f t="shared" si="25"/>
      </c>
      <c r="O311" s="129" t="str">
        <f t="shared" si="25"/>
      </c>
      <c r="P311" s="129" t="str">
        <f t="shared" si="25"/>
      </c>
      <c r="Q311" s="129" t="str">
        <f t="shared" si="25"/>
      </c>
      <c r="R311" s="129" t="str">
        <f t="shared" si="25"/>
      </c>
      <c r="S311" s="129" t="str">
        <f t="shared" si="25"/>
      </c>
      <c r="T311" s="129" t="str">
        <f t="shared" si="25"/>
      </c>
      <c r="U311" s="129" t="str">
        <f t="shared" si="25"/>
      </c>
      <c r="V311" s="129" t="str">
        <f t="shared" si="25"/>
      </c>
      <c r="W311" s="129" t="str">
        <f t="shared" si="25"/>
      </c>
      <c r="X311" s="129" t="str">
        <f t="shared" si="25"/>
      </c>
      <c r="Y311" s="129" t="str">
        <f t="shared" si="25"/>
      </c>
      <c r="Z311" s="129" t="str">
        <f t="shared" si="25"/>
      </c>
      <c r="AA311" s="129" t="str">
        <f t="shared" si="25"/>
      </c>
      <c r="AB311" s="130" t="str">
        <f>IF(SUM(AB292:AB310)&lt;&gt;0,SUM(AB292:AB310),"")</f>
      </c>
      <c r="AC311" s="91" t="str">
        <f ref="AC311:CN311" t="shared" si="26">IF(SUM(AC292:AC310)&lt;&gt;0,SUM(AC292:AC310),"")</f>
      </c>
      <c r="AD311" s="91" t="str">
        <f t="shared" si="26"/>
      </c>
      <c r="AE311" s="91" t="str">
        <f t="shared" si="26"/>
      </c>
      <c r="AF311" s="91" t="str">
        <f t="shared" si="26"/>
      </c>
      <c r="AG311" s="91" t="str">
        <f t="shared" si="26"/>
      </c>
      <c r="AH311" s="91" t="str">
        <f t="shared" si="26"/>
      </c>
      <c r="AI311" s="91" t="str">
        <f t="shared" si="26"/>
      </c>
      <c r="AJ311" s="91" t="str">
        <f t="shared" si="26"/>
      </c>
      <c r="AK311" s="91" t="str">
        <f t="shared" si="26"/>
      </c>
      <c r="AL311" s="91" t="str">
        <f t="shared" si="26"/>
      </c>
      <c r="AM311" s="91" t="str">
        <f t="shared" si="26"/>
      </c>
      <c r="AN311" s="91" t="str">
        <f t="shared" si="26"/>
      </c>
      <c r="AO311" s="91" t="str">
        <f t="shared" si="26"/>
      </c>
      <c r="AP311" s="91" t="str">
        <f t="shared" si="26"/>
      </c>
      <c r="AQ311" s="91" t="str">
        <f t="shared" si="26"/>
      </c>
      <c r="AR311" s="91" t="str">
        <f t="shared" si="26"/>
      </c>
      <c r="AS311" s="91" t="str">
        <f t="shared" si="26"/>
      </c>
      <c r="AT311" s="91" t="str">
        <f t="shared" si="26"/>
      </c>
      <c r="AU311" s="91" t="str">
        <f t="shared" si="26"/>
      </c>
      <c r="AV311" s="91" t="str">
        <f t="shared" si="26"/>
      </c>
      <c r="AW311" s="91" t="str">
        <f t="shared" si="26"/>
      </c>
      <c r="AX311" s="91" t="str">
        <f t="shared" si="26"/>
      </c>
      <c r="AY311" s="91" t="str">
        <f t="shared" si="26"/>
      </c>
      <c r="AZ311" s="91" t="str">
        <f t="shared" si="26"/>
      </c>
      <c r="BA311" s="91" t="str">
        <f t="shared" si="26"/>
      </c>
      <c r="BB311" s="91" t="str">
        <f t="shared" si="26"/>
      </c>
      <c r="BC311" s="91" t="str">
        <f t="shared" si="26"/>
      </c>
      <c r="BD311" s="91" t="str">
        <f t="shared" si="26"/>
      </c>
      <c r="BE311" s="91" t="str">
        <f t="shared" si="26"/>
      </c>
      <c r="BF311" s="91" t="str">
        <f t="shared" si="26"/>
      </c>
      <c r="BG311" s="91" t="str">
        <f t="shared" si="26"/>
      </c>
      <c r="BH311" s="91" t="str">
        <f t="shared" si="26"/>
      </c>
      <c r="BI311" s="91" t="str">
        <f t="shared" si="26"/>
      </c>
      <c r="BJ311" s="91" t="str">
        <f t="shared" si="26"/>
      </c>
      <c r="BK311" s="91" t="str">
        <f t="shared" si="26"/>
      </c>
      <c r="BL311" s="91" t="str">
        <f t="shared" si="26"/>
      </c>
      <c r="BM311" s="91" t="str">
        <f t="shared" si="26"/>
      </c>
      <c r="BN311" s="91" t="str">
        <f t="shared" si="26"/>
      </c>
      <c r="BO311" s="91" t="str">
        <f t="shared" si="26"/>
      </c>
      <c r="BP311" s="91" t="str">
        <f t="shared" si="26"/>
      </c>
      <c r="BQ311" s="91" t="str">
        <f t="shared" si="26"/>
      </c>
      <c r="BR311" s="91" t="str">
        <f t="shared" si="26"/>
      </c>
      <c r="BS311" s="91" t="str">
        <f t="shared" si="26"/>
      </c>
      <c r="BT311" s="91" t="str">
        <f t="shared" si="26"/>
      </c>
      <c r="BU311" s="91" t="str">
        <f t="shared" si="26"/>
      </c>
      <c r="BV311" s="91" t="str">
        <f t="shared" si="26"/>
      </c>
      <c r="BW311" s="91" t="str">
        <f t="shared" si="26"/>
      </c>
      <c r="BX311" s="91" t="str">
        <f t="shared" si="26"/>
      </c>
      <c r="BY311" s="91" t="str">
        <f t="shared" si="26"/>
      </c>
      <c r="BZ311" s="91" t="str">
        <f t="shared" si="26"/>
      </c>
      <c r="CA311" s="91" t="str">
        <f t="shared" si="26"/>
      </c>
      <c r="CB311" s="91" t="str">
        <f t="shared" si="26"/>
      </c>
      <c r="CC311" s="91" t="str">
        <f t="shared" si="26"/>
      </c>
      <c r="CD311" s="91" t="str">
        <f t="shared" si="26"/>
      </c>
      <c r="CE311" s="91" t="str">
        <f t="shared" si="26"/>
      </c>
      <c r="CF311" s="91" t="str">
        <f t="shared" si="26"/>
      </c>
      <c r="CG311" s="91" t="str">
        <f t="shared" si="26"/>
      </c>
      <c r="CH311" s="91" t="str">
        <f t="shared" si="26"/>
      </c>
      <c r="CI311" s="91" t="str">
        <f t="shared" si="26"/>
      </c>
      <c r="CJ311" s="91" t="str">
        <f t="shared" si="26"/>
      </c>
      <c r="CK311" s="91" t="str">
        <f t="shared" si="26"/>
      </c>
      <c r="CL311" s="91" t="str">
        <f t="shared" si="26"/>
      </c>
      <c r="CM311" s="91" t="str">
        <f t="shared" si="26"/>
      </c>
      <c r="CN311" s="91" t="str">
        <f t="shared" si="26"/>
      </c>
      <c r="CO311" s="91" t="str">
        <f ref="CO311:EZ311" t="shared" si="27">IF(SUM(CO292:CO310)&lt;&gt;0,SUM(CO292:CO310),"")</f>
      </c>
      <c r="CP311" s="91" t="str">
        <f t="shared" si="27"/>
      </c>
      <c r="CQ311" s="91" t="str">
        <f t="shared" si="27"/>
      </c>
      <c r="CR311" s="91" t="str">
        <f t="shared" si="27"/>
      </c>
      <c r="CS311" s="91" t="str">
        <f t="shared" si="27"/>
      </c>
      <c r="CT311" s="91" t="str">
        <f t="shared" si="27"/>
      </c>
      <c r="CU311" s="91" t="str">
        <f t="shared" si="27"/>
      </c>
      <c r="CV311" s="91" t="str">
        <f t="shared" si="27"/>
      </c>
      <c r="CW311" s="91" t="str">
        <f t="shared" si="27"/>
      </c>
      <c r="CX311" s="91" t="str">
        <f t="shared" si="27"/>
      </c>
      <c r="CY311" s="91" t="str">
        <f t="shared" si="27"/>
      </c>
      <c r="CZ311" s="91" t="str">
        <f t="shared" si="27"/>
      </c>
      <c r="DA311" s="91" t="str">
        <f t="shared" si="27"/>
      </c>
      <c r="DB311" s="91" t="str">
        <f t="shared" si="27"/>
      </c>
      <c r="DC311" s="91" t="str">
        <f t="shared" si="27"/>
      </c>
      <c r="DD311" s="91" t="str">
        <f t="shared" si="27"/>
      </c>
      <c r="DE311" s="91" t="str">
        <f t="shared" si="27"/>
      </c>
      <c r="DF311" s="91" t="str">
        <f t="shared" si="27"/>
      </c>
      <c r="DG311" s="91" t="str">
        <f t="shared" si="27"/>
      </c>
      <c r="DH311" s="91" t="str">
        <f t="shared" si="27"/>
      </c>
      <c r="DI311" s="91" t="str">
        <f t="shared" si="27"/>
      </c>
      <c r="DJ311" s="91" t="str">
        <f t="shared" si="27"/>
      </c>
      <c r="DK311" s="91" t="str">
        <f t="shared" si="27"/>
      </c>
      <c r="DL311" s="91" t="str">
        <f t="shared" si="27"/>
      </c>
      <c r="DM311" s="91" t="str">
        <f t="shared" si="27"/>
      </c>
      <c r="DN311" s="91" t="str">
        <f t="shared" si="27"/>
      </c>
      <c r="DO311" s="91" t="str">
        <f t="shared" si="27"/>
      </c>
      <c r="DP311" s="91" t="str">
        <f t="shared" si="27"/>
      </c>
      <c r="DQ311" s="91" t="str">
        <f t="shared" si="27"/>
      </c>
      <c r="DR311" s="91" t="str">
        <f t="shared" si="27"/>
      </c>
      <c r="DS311" s="91" t="str">
        <f t="shared" si="27"/>
      </c>
      <c r="DT311" s="91" t="str">
        <f t="shared" si="27"/>
      </c>
      <c r="DU311" s="91" t="str">
        <f t="shared" si="27"/>
      </c>
      <c r="DV311" s="91" t="str">
        <f t="shared" si="27"/>
      </c>
      <c r="DW311" s="91" t="str">
        <f t="shared" si="27"/>
      </c>
      <c r="DX311" s="91" t="str">
        <f t="shared" si="27"/>
      </c>
      <c r="DY311" s="91" t="str">
        <f t="shared" si="27"/>
      </c>
      <c r="DZ311" s="91" t="str">
        <f t="shared" si="27"/>
      </c>
      <c r="EA311" s="91" t="str">
        <f t="shared" si="27"/>
      </c>
      <c r="EB311" s="91" t="str">
        <f t="shared" si="27"/>
      </c>
      <c r="EC311" s="91" t="str">
        <f t="shared" si="27"/>
      </c>
      <c r="ED311" s="91" t="str">
        <f t="shared" si="27"/>
      </c>
      <c r="EE311" s="91" t="str">
        <f t="shared" si="27"/>
      </c>
      <c r="EF311" s="91" t="str">
        <f t="shared" si="27"/>
      </c>
      <c r="EG311" s="91" t="str">
        <f t="shared" si="27"/>
      </c>
      <c r="EH311" s="91" t="str">
        <f t="shared" si="27"/>
      </c>
      <c r="EI311" s="91" t="str">
        <f t="shared" si="27"/>
      </c>
      <c r="EJ311" s="91" t="str">
        <f t="shared" si="27"/>
      </c>
      <c r="EK311" s="91" t="str">
        <f t="shared" si="27"/>
      </c>
      <c r="EL311" s="91" t="str">
        <f t="shared" si="27"/>
      </c>
      <c r="EM311" s="91" t="str">
        <f t="shared" si="27"/>
      </c>
      <c r="EN311" s="91" t="str">
        <f t="shared" si="27"/>
      </c>
      <c r="EO311" s="91" t="str">
        <f t="shared" si="27"/>
      </c>
      <c r="EP311" s="91" t="str">
        <f t="shared" si="27"/>
      </c>
      <c r="EQ311" s="91" t="str">
        <f t="shared" si="27"/>
      </c>
      <c r="ER311" s="91" t="str">
        <f t="shared" si="27"/>
      </c>
      <c r="ES311" s="91" t="str">
        <f t="shared" si="27"/>
      </c>
      <c r="ET311" s="91" t="str">
        <f t="shared" si="27"/>
      </c>
      <c r="EU311" s="91" t="str">
        <f t="shared" si="27"/>
      </c>
      <c r="EV311" s="91" t="str">
        <f t="shared" si="27"/>
      </c>
      <c r="EW311" s="91" t="str">
        <f t="shared" si="27"/>
      </c>
      <c r="EX311" s="91" t="str">
        <f t="shared" si="27"/>
      </c>
      <c r="EY311" s="91" t="str">
        <f t="shared" si="27"/>
      </c>
      <c r="EZ311" s="91" t="str">
        <f t="shared" si="27"/>
      </c>
      <c r="FA311" s="91" t="str">
        <f ref="FA311:HL311" t="shared" si="28">IF(SUM(FA292:FA310)&lt;&gt;0,SUM(FA292:FA310),"")</f>
      </c>
      <c r="FB311" s="91" t="str">
        <f t="shared" si="28"/>
      </c>
      <c r="FC311" s="91" t="str">
        <f t="shared" si="28"/>
      </c>
      <c r="FD311" s="91" t="str">
        <f t="shared" si="28"/>
      </c>
      <c r="FE311" s="91" t="str">
        <f t="shared" si="28"/>
      </c>
      <c r="FF311" s="91" t="str">
        <f t="shared" si="28"/>
      </c>
      <c r="FG311" s="91" t="str">
        <f t="shared" si="28"/>
      </c>
      <c r="FH311" s="91" t="str">
        <f t="shared" si="28"/>
      </c>
      <c r="FI311" s="91" t="str">
        <f t="shared" si="28"/>
      </c>
      <c r="FJ311" s="91" t="str">
        <f t="shared" si="28"/>
      </c>
      <c r="FK311" s="91" t="str">
        <f t="shared" si="28"/>
      </c>
      <c r="FL311" s="91" t="str">
        <f t="shared" si="28"/>
      </c>
      <c r="FM311" s="91" t="str">
        <f t="shared" si="28"/>
      </c>
      <c r="FN311" s="91" t="str">
        <f t="shared" si="28"/>
      </c>
      <c r="FO311" s="91" t="str">
        <f t="shared" si="28"/>
      </c>
      <c r="FP311" s="91" t="str">
        <f t="shared" si="28"/>
      </c>
      <c r="FQ311" s="91" t="str">
        <f t="shared" si="28"/>
      </c>
      <c r="FR311" s="91" t="str">
        <f t="shared" si="28"/>
      </c>
      <c r="FS311" s="91" t="str">
        <f t="shared" si="28"/>
      </c>
      <c r="FT311" s="91" t="str">
        <f t="shared" si="28"/>
      </c>
      <c r="FU311" s="91" t="str">
        <f t="shared" si="28"/>
      </c>
      <c r="FV311" s="91" t="str">
        <f t="shared" si="28"/>
      </c>
      <c r="FW311" s="91" t="str">
        <f t="shared" si="28"/>
      </c>
      <c r="FX311" s="91" t="str">
        <f t="shared" si="28"/>
      </c>
      <c r="FY311" s="91" t="str">
        <f t="shared" si="28"/>
      </c>
      <c r="FZ311" s="91" t="str">
        <f t="shared" si="28"/>
      </c>
      <c r="GA311" s="91" t="str">
        <f t="shared" si="28"/>
      </c>
      <c r="GB311" s="91" t="str">
        <f t="shared" si="28"/>
      </c>
      <c r="GC311" s="91" t="str">
        <f t="shared" si="28"/>
      </c>
      <c r="GD311" s="91" t="str">
        <f t="shared" si="28"/>
      </c>
      <c r="GE311" s="91" t="str">
        <f t="shared" si="28"/>
      </c>
      <c r="GF311" s="91" t="str">
        <f t="shared" si="28"/>
      </c>
      <c r="GG311" s="91" t="str">
        <f t="shared" si="28"/>
      </c>
      <c r="GH311" s="91" t="str">
        <f t="shared" si="28"/>
      </c>
      <c r="GI311" s="91" t="str">
        <f t="shared" si="28"/>
      </c>
      <c r="GJ311" s="91" t="str">
        <f t="shared" si="28"/>
      </c>
      <c r="GK311" s="91" t="str">
        <f t="shared" si="28"/>
      </c>
      <c r="GL311" s="91" t="str">
        <f t="shared" si="28"/>
      </c>
      <c r="GM311" s="91" t="str">
        <f t="shared" si="28"/>
      </c>
      <c r="GN311" s="91" t="str">
        <f t="shared" si="28"/>
      </c>
      <c r="GO311" s="91" t="str">
        <f t="shared" si="28"/>
      </c>
      <c r="GP311" s="91" t="str">
        <f t="shared" si="28"/>
      </c>
      <c r="GQ311" s="91" t="str">
        <f t="shared" si="28"/>
      </c>
      <c r="GR311" s="91" t="str">
        <f t="shared" si="28"/>
      </c>
      <c r="GS311" s="91" t="str">
        <f t="shared" si="28"/>
      </c>
      <c r="GT311" s="91" t="str">
        <f t="shared" si="28"/>
      </c>
      <c r="GU311" s="91" t="str">
        <f t="shared" si="28"/>
      </c>
      <c r="GV311" s="91" t="str">
        <f t="shared" si="28"/>
      </c>
      <c r="GW311" s="91" t="str">
        <f t="shared" si="28"/>
      </c>
      <c r="GX311" s="91" t="str">
        <f t="shared" si="28"/>
      </c>
      <c r="GY311" s="91" t="str">
        <f t="shared" si="28"/>
      </c>
      <c r="GZ311" s="91" t="str">
        <f t="shared" si="28"/>
      </c>
      <c r="HA311" s="91" t="str">
        <f t="shared" si="28"/>
      </c>
      <c r="HB311" s="91" t="str">
        <f t="shared" si="28"/>
      </c>
      <c r="HC311" s="91" t="str">
        <f t="shared" si="28"/>
      </c>
      <c r="HD311" s="91" t="str">
        <f t="shared" si="28"/>
      </c>
      <c r="HE311" s="91" t="str">
        <f t="shared" si="28"/>
      </c>
      <c r="HF311" s="91" t="str">
        <f t="shared" si="28"/>
      </c>
      <c r="HG311" s="91" t="str">
        <f t="shared" si="28"/>
      </c>
      <c r="HH311" s="91" t="str">
        <f t="shared" si="28"/>
      </c>
      <c r="HI311" s="91" t="str">
        <f t="shared" si="28"/>
      </c>
      <c r="HJ311" s="91" t="str">
        <f t="shared" si="28"/>
      </c>
      <c r="HK311" s="91" t="str">
        <f t="shared" si="28"/>
      </c>
      <c r="HL311" s="91" t="str">
        <f t="shared" si="28"/>
      </c>
      <c r="HM311" s="91" t="str">
        <f ref="HM311:IV311" t="shared" si="29">IF(SUM(HM292:HM310)&lt;&gt;0,SUM(HM292:HM310),"")</f>
      </c>
      <c r="HN311" s="91" t="str">
        <f t="shared" si="29"/>
      </c>
      <c r="HO311" s="91" t="str">
        <f t="shared" si="29"/>
      </c>
      <c r="HP311" s="91" t="str">
        <f t="shared" si="29"/>
      </c>
      <c r="HQ311" s="91" t="str">
        <f t="shared" si="29"/>
      </c>
      <c r="HR311" s="91" t="str">
        <f t="shared" si="29"/>
      </c>
      <c r="HS311" s="91" t="str">
        <f t="shared" si="29"/>
      </c>
      <c r="HT311" s="91" t="str">
        <f t="shared" si="29"/>
      </c>
      <c r="HU311" s="91" t="str">
        <f t="shared" si="29"/>
      </c>
      <c r="HV311" s="91" t="str">
        <f t="shared" si="29"/>
      </c>
      <c r="HW311" s="91" t="str">
        <f t="shared" si="29"/>
      </c>
      <c r="HX311" s="91" t="str">
        <f t="shared" si="29"/>
      </c>
      <c r="HY311" s="91" t="str">
        <f t="shared" si="29"/>
      </c>
      <c r="HZ311" s="91" t="str">
        <f t="shared" si="29"/>
      </c>
      <c r="IA311" s="91" t="str">
        <f t="shared" si="29"/>
      </c>
      <c r="IB311" s="91" t="str">
        <f t="shared" si="29"/>
      </c>
      <c r="IC311" s="91" t="str">
        <f t="shared" si="29"/>
      </c>
      <c r="ID311" s="91" t="str">
        <f t="shared" si="29"/>
      </c>
      <c r="IE311" s="91" t="str">
        <f t="shared" si="29"/>
      </c>
      <c r="IF311" s="91" t="str">
        <f t="shared" si="29"/>
      </c>
      <c r="IG311" s="91" t="str">
        <f t="shared" si="29"/>
      </c>
      <c r="IH311" s="91" t="str">
        <f t="shared" si="29"/>
      </c>
      <c r="II311" s="91" t="str">
        <f t="shared" si="29"/>
      </c>
      <c r="IJ311" s="91" t="str">
        <f t="shared" si="29"/>
      </c>
      <c r="IK311" s="91" t="str">
        <f t="shared" si="29"/>
      </c>
      <c r="IL311" s="91" t="str">
        <f t="shared" si="29"/>
      </c>
      <c r="IM311" s="91" t="str">
        <f t="shared" si="29"/>
      </c>
      <c r="IN311" s="91" t="str">
        <f t="shared" si="29"/>
      </c>
      <c r="IO311" s="91" t="str">
        <f t="shared" si="29"/>
      </c>
      <c r="IP311" s="91" t="str">
        <f t="shared" si="29"/>
      </c>
      <c r="IQ311" s="91" t="str">
        <f t="shared" si="29"/>
      </c>
      <c r="IR311" s="91" t="str">
        <f t="shared" si="29"/>
      </c>
      <c r="IS311" s="91" t="str">
        <f t="shared" si="29"/>
      </c>
      <c r="IT311" s="91" t="str">
        <f t="shared" si="29"/>
      </c>
      <c r="IU311" s="91" t="str">
        <f t="shared" si="29"/>
      </c>
      <c r="IV311" s="91" t="str">
        <f t="shared" si="29"/>
      </c>
    </row>
    <row r="312" hidden="1" ht="15">
      <c r="B312" s="324"/>
      <c r="C312" s="219"/>
      <c r="D312" s="219"/>
      <c r="E312" s="219"/>
      <c r="F312" s="219"/>
      <c r="G312" s="219"/>
      <c r="H312" s="219"/>
      <c r="I312" s="219"/>
      <c r="J312" s="219"/>
      <c r="K312" s="219"/>
    </row>
    <row r="313" hidden="1" ht="15">
      <c r="B313" s="324"/>
      <c r="C313" s="219"/>
      <c r="D313" s="219"/>
      <c r="E313" s="219"/>
      <c r="F313" s="219"/>
      <c r="G313" s="219"/>
      <c r="H313" s="219"/>
      <c r="I313" s="219"/>
      <c r="J313" s="219"/>
      <c r="K313" s="219"/>
    </row>
    <row r="314" hidden="1" ht="13.5"/>
    <row r="315" hidden="1">
      <c r="B315" s="300" t="s">
        <v>258</v>
      </c>
      <c r="C315" s="167" t="str">
        <f>INDEX($C142:$II$161,$F$8,38)</f>
      </c>
    </row>
    <row r="316" hidden="1" ht="18">
      <c r="B316" s="301" t="s">
        <v>429</v>
      </c>
      <c r="C316" s="169" t="str">
        <f>INDEX($C167:$II$186,$F$8,38)</f>
      </c>
    </row>
    <row r="317" hidden="1" ht="18">
      <c r="B317" s="301" t="s">
        <v>427</v>
      </c>
      <c r="C317" s="169" t="str">
        <f>INDEX($C192:$II$211,$F$8,38)</f>
      </c>
    </row>
    <row r="318" hidden="1">
      <c r="B318" s="301" t="s">
        <v>428</v>
      </c>
      <c r="C318" s="169" t="str">
        <f>INDEX($C217:$II$236,$F$8,38)</f>
      </c>
    </row>
    <row r="319" hidden="1" ht="13.5">
      <c r="B319" s="302" t="s">
        <v>204</v>
      </c>
      <c r="C319" s="254" t="str">
        <f>INDEX($C267:$II$286,$F$8,38)</f>
      </c>
    </row>
    <row r="320" hidden="1"/>
  </sheetData>
  <sheetProtection sheet="1" autoFilter="0" objects="1" scenarios="1" sort="0" password="ed66"/>
  <mergeCells>
    <mergeCell ref="C27:M27"/>
    <mergeCell ref="C19:M19"/>
    <mergeCell ref="C21:M21"/>
    <mergeCell ref="C23:M23"/>
    <mergeCell ref="B9:E9"/>
    <mergeCell ref="C13:M13"/>
    <mergeCell ref="C14:M14"/>
    <mergeCell ref="C17:M17"/>
    <mergeCell ref="C25:M25"/>
    <mergeCell ref="C265:AB265"/>
    <mergeCell ref="C290:AB290"/>
    <mergeCell ref="C140:AB140"/>
    <mergeCell ref="C165:AB165"/>
    <mergeCell ref="C190:AB190"/>
    <mergeCell ref="C215:AB215"/>
  </mergeCells>
  <phoneticPr fontId="2" type="noConversion"/>
  <printOptions horizontalCentered="1"/>
  <pageMargins left="0.78740157480314965" right="0.78740157480314965" top="0.98425196850393704" bottom="0.98425196850393704" header="0" footer="0"/>
  <pageSetup paperSize="9" scale="50" orientation="portrait"/>
  <headerFooter alignWithMargins="0"/>
  <rowBreaks count="1" manualBreakCount="1">
    <brk id="92" max="1048575" man="1"/>
  </rowBreaks>
  <drawing r:id="rId2"/>
  <legacyDrawing r:id="rId3"/>
  <mc:AlternateContent xmlns:mc="http://schemas.openxmlformats.org/markup-compatibility/2006">
    <mc:Choice Requires="x14">
      <controls>
        <mc:AlternateContent xmlns:mc="http://schemas.openxmlformats.org/markup-compatibility/2006">
          <mc:Choice Requires="x14">
            <control shapeId="68609" r:id="rId4" name="Drop Down 1">
              <controlPr defaultSize="0" autoLine="0" autoPict="0">
                <anchor moveWithCells="1">
                  <from>
                    <xdr:col>4</xdr:col>
                    <xdr:colOff>523875</xdr:colOff>
                    <xdr:row>7</xdr:row>
                    <xdr:rowOff>0</xdr:rowOff>
                  </from>
                  <to>
                    <xdr:col>6</xdr:col>
                    <xdr:colOff>723900</xdr:colOff>
                    <xdr:row>9</xdr:row>
                    <xdr:rowOff>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ontainsText" priority="14" operator="containsText" id="{131936D8-B2AE-4591-B8E4-58E6AFBCCBD5}">
            <xm:f>NOT(ISERROR(SEARCH("",AD216)))</xm:f>
            <xm:f>""</xm:f>
            <x14:dxf>
              <numFmt numFmtId="3" formatCode="#,##0"/>
              <border>
                <left style="thin">
                  <color auto="1"/>
                </left>
                <right style="thin">
                  <color auto="1"/>
                </right>
                <top style="thin">
                  <color auto="1"/>
                </top>
                <bottom style="thin">
                  <color auto="1"/>
                </bottom>
                <vertical/>
                <horizontal/>
              </border>
            </x14:dxf>
          </x14:cfRule>
          <xm:sqref>AD216:AG216 AI216:AL216 AN216:AQ216 AS216:AV216 AX216:BA216 BC216:BF216 BH216:BK216 BM216:BP216 BR216:BU216 BW216:BZ216 CB216:CE216 CG216:CJ216 CL216:CO216 CQ216:CT216 CV216:CY216 DA216:DD216 DF216:DI216 DK216:DN216 DP216:DS216 DU216:DX216 DZ216:EC216 EE216:EH216 EJ216:EM216 EO216:ER216 ET216:EW216 EY216:FB216 FD216:FG216 FI216:FL216 FN216:FQ216 FS216:FV216 FX216:GA216 GC216:GF216 GH216:GK216 GM216:GP216 GR216:GU216 GW216:GZ216 HB216:HE216 HG216:HJ216 HL216:HO216 HQ216:HT216 HV216:HY216 IA216:ID216 IF216:II216 IK216:IN216 IP216:IS216 IU216:IV216</xm:sqref>
        </x14:conditionalFormatting>
        <x14:conditionalFormatting xmlns:xm="http://schemas.microsoft.com/office/excel/2006/main">
          <x14:cfRule type="containsText" priority="8" operator="containsText" id="{2A13F624-330B-4180-A186-3AFC0318578E}">
            <xm:f>NOT(ISERROR(SEARCH("",AC186)))</xm:f>
            <xm:f>""</xm:f>
            <x14:dxf>
              <numFmt numFmtId="3" formatCode="#,##0"/>
              <border>
                <left style="thin">
                  <color auto="1"/>
                </left>
                <right style="thin">
                  <color auto="1"/>
                </right>
                <top style="thin">
                  <color auto="1"/>
                </top>
                <bottom style="thin">
                  <color auto="1"/>
                </bottom>
                <vertical/>
                <horizontal/>
              </border>
            </x14:dxf>
          </x14:cfRule>
          <xm:sqref>AC186:IV186</xm:sqref>
        </x14:conditionalFormatting>
        <x14:conditionalFormatting xmlns:xm="http://schemas.microsoft.com/office/excel/2006/main">
          <x14:cfRule type="containsText" priority="7" operator="containsText" id="{154E315E-3532-4CC2-A2D3-2054FC29E4AD}">
            <xm:f>NOT(ISERROR(SEARCH("",C167)))</xm:f>
            <xm:f>""</xm:f>
            <x14:dxf>
              <numFmt numFmtId="3" formatCode="#,##0"/>
              <border>
                <right style="thin">
                  <color auto="1"/>
                </right>
                <top style="thin">
                  <color auto="1"/>
                </top>
                <bottom style="thin">
                  <color auto="1"/>
                </bottom>
                <vertical/>
                <horizontal/>
              </border>
            </x14:dxf>
          </x14:cfRule>
          <xm:sqref>C167:IV185</xm:sqref>
        </x14:conditionalFormatting>
        <x14:conditionalFormatting xmlns:xm="http://schemas.microsoft.com/office/excel/2006/main">
          <x14:cfRule type="containsText" priority="2" operator="containsText" id="{4CA9AA5E-4D8D-4968-AC1D-D76179122900}">
            <xm:f>NOT(ISERROR(SEARCH("",AD141)))</xm:f>
            <xm:f>""</xm:f>
            <x14:dxf>
              <numFmt numFmtId="3" formatCode="#,##0"/>
              <border>
                <left style="thin">
                  <color auto="1"/>
                </left>
                <right style="thin">
                  <color auto="1"/>
                </right>
                <top style="thin">
                  <color auto="1"/>
                </top>
                <bottom style="thin">
                  <color auto="1"/>
                </bottom>
                <vertical/>
                <horizontal/>
              </border>
            </x14:dxf>
          </x14:cfRule>
          <xm:sqref>AD141:AG141 AI141:AL141 AN141:AQ141 AS141:AV141 AX141:BA141 BC141:BF141 BH141:BK141 BM141:BP141 BR141:BU141 BW141:BZ141 CB141:CE141 CG141:CJ141 CL141:CO141 CQ141:CT141 CV141:CY141 DA141:DD141 DF141:DI141 DK141:DN141 DP141:DS141 DU141:DX141 DZ141:EC141 EE141:EH141 EJ141:EM141 EO141:ER141 ET141:EW141 EY141:FB141 FD141:FG141 FI141:FL141 FN141:FQ141 FS141:FV141 FX141:GA141 GC141:GF141 GH141:GK141 GM141:GP141 GR141:GU141 GW141:GZ141 HB141:HE141 HG141:HJ141 HL141:HO141 HQ141:HT141 HV141:HY141 IA141:ID141 IF141:II141 IK141:IN141 IP141:IS141 IU141:IV141</xm:sqref>
        </x14:conditionalFormatting>
        <x14:conditionalFormatting xmlns:xm="http://schemas.microsoft.com/office/excel/2006/main">
          <x14:cfRule type="containsText" priority="16" operator="containsText" id="{7FEA6D75-CA16-4E58-9577-EED6F3424F56}">
            <xm:f>NOT(ISERROR(SEARCH("",AC236)))</xm:f>
            <xm:f>""</xm:f>
            <x14:dxf>
              <numFmt numFmtId="3" formatCode="#,##0"/>
              <border>
                <left style="thin">
                  <color auto="1"/>
                </left>
                <right style="thin">
                  <color auto="1"/>
                </right>
                <top style="thin">
                  <color auto="1"/>
                </top>
                <bottom style="thin">
                  <color auto="1"/>
                </bottom>
                <vertical/>
                <horizontal/>
              </border>
            </x14:dxf>
          </x14:cfRule>
          <xm:sqref>AC236:IV236</xm:sqref>
        </x14:conditionalFormatting>
        <x14:conditionalFormatting xmlns:xm="http://schemas.microsoft.com/office/excel/2006/main">
          <x14:cfRule type="containsText" priority="15" operator="containsText" id="{53D0B753-C97A-4F37-8348-7A33EBFC2B12}">
            <xm:f>NOT(ISERROR(SEARCH("",C217)))</xm:f>
            <xm:f>""</xm:f>
            <x14:dxf>
              <numFmt numFmtId="3" formatCode="#,##0"/>
              <border>
                <right style="thin">
                  <color auto="1"/>
                </right>
                <top style="thin">
                  <color auto="1"/>
                </top>
                <bottom style="thin">
                  <color auto="1"/>
                </bottom>
                <vertical/>
                <horizontal/>
              </border>
            </x14:dxf>
          </x14:cfRule>
          <xm:sqref>C217:IV235</xm:sqref>
        </x14:conditionalFormatting>
        <x14:conditionalFormatting xmlns:xm="http://schemas.microsoft.com/office/excel/2006/main">
          <x14:cfRule type="containsText" priority="13" operator="containsText" id="{1331424C-C782-4F95-ACB1-CB9A29AFE31F}">
            <xm:f>NOT(ISERROR(SEARCH("",AC216)))</xm:f>
            <xm:f>""</xm:f>
            <x14:dxf>
              <numFmt numFmtId="3" formatCode="#,##0"/>
              <border>
                <left style="thin">
                  <color auto="1"/>
                </left>
                <right style="thin">
                  <color auto="1"/>
                </right>
                <top style="thin">
                  <color auto="1"/>
                </top>
                <bottom style="thin">
                  <color auto="1"/>
                </bottom>
                <vertical/>
                <horizontal/>
              </border>
            </x14:dxf>
          </x14:cfRule>
          <xm:sqref>AC216 AH216 AM216 AR216 AW216 BB216 BG216 BL216 BQ216 BV216 CA216 CF216 CK216 CP216 CU216 CZ216 DE216 DJ216 DO216 DT216 DY216 ED216 EI216 EN216 ES216 EX216 FC216 FH216 FM216 FR216 FW216 GB216 GG216 GL216 GQ216 GV216 HA216 HF216 HK216 HP216 HU216 HZ216 IE216 IJ216 IO216 IT216</xm:sqref>
        </x14:conditionalFormatting>
        <x14:conditionalFormatting xmlns:xm="http://schemas.microsoft.com/office/excel/2006/main">
          <x14:cfRule type="containsText" priority="12" operator="containsText" id="{C25A7395-AA9B-41BC-971D-642903712D20}">
            <xm:f>NOT(ISERROR(SEARCH("",AC211)))</xm:f>
            <xm:f>""</xm:f>
            <x14:dxf>
              <numFmt numFmtId="3" formatCode="#,##0"/>
              <border>
                <left style="thin">
                  <color auto="1"/>
                </left>
                <right style="thin">
                  <color auto="1"/>
                </right>
                <top style="thin">
                  <color auto="1"/>
                </top>
                <bottom style="thin">
                  <color auto="1"/>
                </bottom>
                <vertical/>
                <horizontal/>
              </border>
            </x14:dxf>
          </x14:cfRule>
          <xm:sqref>AC211:IV211</xm:sqref>
        </x14:conditionalFormatting>
        <x14:conditionalFormatting xmlns:xm="http://schemas.microsoft.com/office/excel/2006/main">
          <x14:cfRule type="containsText" priority="11" operator="containsText" id="{2925FDA8-1797-497A-86B0-82D62C5AC437}">
            <xm:f>NOT(ISERROR(SEARCH("",C192)))</xm:f>
            <xm:f>""</xm:f>
            <x14:dxf>
              <numFmt numFmtId="3" formatCode="#,##0"/>
              <border>
                <right style="thin">
                  <color auto="1"/>
                </right>
                <top style="thin">
                  <color auto="1"/>
                </top>
                <bottom style="thin">
                  <color auto="1"/>
                </bottom>
                <vertical/>
                <horizontal/>
              </border>
            </x14:dxf>
          </x14:cfRule>
          <xm:sqref>C192:IV210</xm:sqref>
        </x14:conditionalFormatting>
        <x14:conditionalFormatting xmlns:xm="http://schemas.microsoft.com/office/excel/2006/main">
          <x14:cfRule type="containsText" priority="10" operator="containsText" id="{28931BE8-B748-4F8D-8FED-1A81BA2D0374}">
            <xm:f>NOT(ISERROR(SEARCH("",AD191)))</xm:f>
            <xm:f>""</xm:f>
            <x14:dxf>
              <numFmt numFmtId="3" formatCode="#,##0"/>
              <border>
                <left style="thin">
                  <color auto="1"/>
                </left>
                <right style="thin">
                  <color auto="1"/>
                </right>
                <top style="thin">
                  <color auto="1"/>
                </top>
                <bottom style="thin">
                  <color auto="1"/>
                </bottom>
                <vertical/>
                <horizontal/>
              </border>
            </x14:dxf>
          </x14:cfRule>
          <xm:sqref>AD191:AG191 AI191:AL191 AN191:AQ191 AS191:AV191 AX191:BA191 BC191:BF191 BH191:BK191 BM191:BP191 BR191:BU191 BW191:BZ191 CB191:CE191 CG191:CJ191 CL191:CO191 CQ191:CT191 CV191:CY191 DA191:DD191 DF191:DI191 DK191:DN191 DP191:DS191 DU191:DX191 DZ191:EC191 EE191:EH191 EJ191:EM191 EO191:ER191 ET191:EW191 EY191:FB191 FD191:FG191 FI191:FL191 FN191:FQ191 FS191:FV191 FX191:GA191 GC191:GF191 GH191:GK191 GM191:GP191 GR191:GU191 GW191:GZ191 HB191:HE191 HG191:HJ191 HL191:HO191 HQ191:HT191 HV191:HY191 IA191:ID191 IF191:II191 IK191:IN191 IP191:IS191 IU191:IV191</xm:sqref>
        </x14:conditionalFormatting>
        <x14:conditionalFormatting xmlns:xm="http://schemas.microsoft.com/office/excel/2006/main">
          <x14:cfRule type="containsText" priority="9" operator="containsText" id="{D4612801-059A-4963-BA81-28004B662BF8}">
            <xm:f>NOT(ISERROR(SEARCH("",AC191)))</xm:f>
            <xm:f>""</xm:f>
            <x14:dxf>
              <numFmt numFmtId="3" formatCode="#,##0"/>
              <border>
                <left style="thin">
                  <color auto="1"/>
                </left>
                <right style="thin">
                  <color auto="1"/>
                </right>
                <top style="thin">
                  <color auto="1"/>
                </top>
                <bottom style="thin">
                  <color auto="1"/>
                </bottom>
                <vertical/>
                <horizontal/>
              </border>
            </x14:dxf>
          </x14:cfRule>
          <xm:sqref>AC191 AH191 AM191 AR191 AW191 BB191 BG191 BL191 BQ191 BV191 CA191 CF191 CK191 CP191 CU191 CZ191 DE191 DJ191 DO191 DT191 DY191 ED191 EI191 EN191 ES191 EX191 FC191 FH191 FM191 FR191 FW191 GB191 GG191 GL191 GQ191 GV191 HA191 HF191 HK191 HP191 HU191 HZ191 IE191 IJ191 IO191 IT191</xm:sqref>
        </x14:conditionalFormatting>
        <x14:conditionalFormatting xmlns:xm="http://schemas.microsoft.com/office/excel/2006/main">
          <x14:cfRule type="containsText" priority="6" operator="containsText" id="{A782AFBB-FD3B-494D-99AC-339D7E5DEE39}">
            <xm:f>NOT(ISERROR(SEARCH("",AD166)))</xm:f>
            <xm:f>""</xm:f>
            <x14:dxf>
              <numFmt numFmtId="3" formatCode="#,##0"/>
              <border>
                <left style="thin">
                  <color auto="1"/>
                </left>
                <right style="thin">
                  <color auto="1"/>
                </right>
                <top style="thin">
                  <color auto="1"/>
                </top>
                <bottom style="thin">
                  <color auto="1"/>
                </bottom>
                <vertical/>
                <horizontal/>
              </border>
            </x14:dxf>
          </x14:cfRule>
          <xm:sqref>AD166:AG166 AI166:AL166 AN166:AQ166 AS166:AV166 AX166:BA166 BC166:BF166 BH166:BK166 BM166:BP166 BR166:BU166 BW166:BZ166 CB166:CE166 CG166:CJ166 CL166:CO166 CQ166:CT166 CV166:CY166 DA166:DD166 DF166:DI166 DK166:DN166 DP166:DS166 DU166:DX166 DZ166:EC166 EE166:EH166 EJ166:EM166 EO166:ER166 ET166:EW166 EY166:FB166 FD166:FG166 FI166:FL166 FN166:FQ166 FS166:FV166 FX166:GA166 GC166:GF166 GH166:GK166 GM166:GP166 GR166:GU166 GW166:GZ166 HB166:HE166 HG166:HJ166 HL166:HO166 HQ166:HT166 HV166:HY166 IA166:ID166 IF166:II166 IK166:IN166 IP166:IS166 IU166:IV166</xm:sqref>
        </x14:conditionalFormatting>
        <x14:conditionalFormatting xmlns:xm="http://schemas.microsoft.com/office/excel/2006/main">
          <x14:cfRule type="containsText" priority="5" operator="containsText" id="{9BAA06C9-A9B3-4CD4-9A97-178973771754}">
            <xm:f>NOT(ISERROR(SEARCH("",AC166)))</xm:f>
            <xm:f>""</xm:f>
            <x14:dxf>
              <numFmt numFmtId="3" formatCode="#,##0"/>
              <border>
                <left style="thin">
                  <color auto="1"/>
                </left>
                <right style="thin">
                  <color auto="1"/>
                </right>
                <top style="thin">
                  <color auto="1"/>
                </top>
                <bottom style="thin">
                  <color auto="1"/>
                </bottom>
                <vertical/>
                <horizontal/>
              </border>
            </x14:dxf>
          </x14:cfRule>
          <xm:sqref>AC166 AH166 AM166 AR166 AW166 BB166 BG166 BL166 BQ166 BV166 CA166 CF166 CK166 CP166 CU166 CZ166 DE166 DJ166 DO166 DT166 DY166 ED166 EI166 EN166 ES166 EX166 FC166 FH166 FM166 FR166 FW166 GB166 GG166 GL166 GQ166 GV166 HA166 HF166 HK166 HP166 HU166 HZ166 IE166 IJ166 IO166 IT166</xm:sqref>
        </x14:conditionalFormatting>
        <x14:conditionalFormatting xmlns:xm="http://schemas.microsoft.com/office/excel/2006/main">
          <x14:cfRule type="containsText" priority="4" operator="containsText" id="{25FF7CB1-AA33-4771-8BFD-1B70E1D0DAC1}">
            <xm:f>NOT(ISERROR(SEARCH("",AC161)))</xm:f>
            <xm:f>""</xm:f>
            <x14:dxf>
              <numFmt numFmtId="3" formatCode="#,##0"/>
              <border>
                <left style="thin">
                  <color auto="1"/>
                </left>
                <right style="thin">
                  <color auto="1"/>
                </right>
                <top style="thin">
                  <color auto="1"/>
                </top>
                <bottom style="thin">
                  <color auto="1"/>
                </bottom>
                <vertical/>
                <horizontal/>
              </border>
            </x14:dxf>
          </x14:cfRule>
          <xm:sqref>AC161:IV161</xm:sqref>
        </x14:conditionalFormatting>
        <x14:conditionalFormatting xmlns:xm="http://schemas.microsoft.com/office/excel/2006/main">
          <x14:cfRule type="containsText" priority="3" operator="containsText" id="{3A3BBF41-4180-4873-AB52-45C59DF54BC8}">
            <xm:f>NOT(ISERROR(SEARCH("",C142)))</xm:f>
            <xm:f>""</xm:f>
            <x14:dxf>
              <numFmt numFmtId="3" formatCode="#,##0"/>
              <border>
                <right style="thin">
                  <color auto="1"/>
                </right>
                <top style="thin">
                  <color auto="1"/>
                </top>
                <bottom style="thin">
                  <color auto="1"/>
                </bottom>
                <vertical/>
                <horizontal/>
              </border>
            </x14:dxf>
          </x14:cfRule>
          <xm:sqref>C142:IV160</xm:sqref>
        </x14:conditionalFormatting>
        <x14:conditionalFormatting xmlns:xm="http://schemas.microsoft.com/office/excel/2006/main">
          <x14:cfRule type="containsText" priority="1" operator="containsText" id="{974A0857-EC38-47E0-83C6-F77DA02C59E2}">
            <xm:f>NOT(ISERROR(SEARCH("",AC141)))</xm:f>
            <xm:f>""</xm:f>
            <x14:dxf>
              <numFmt numFmtId="3" formatCode="#,##0"/>
              <border>
                <left style="thin">
                  <color auto="1"/>
                </left>
                <right style="thin">
                  <color auto="1"/>
                </right>
                <top style="thin">
                  <color auto="1"/>
                </top>
                <bottom style="thin">
                  <color auto="1"/>
                </bottom>
                <vertical/>
                <horizontal/>
              </border>
            </x14:dxf>
          </x14:cfRule>
          <xm:sqref>AC141 AH141 AM141 AR141 AW141 BB141 BG141 BL141 BQ141 BV141 CA141 CF141 CK141 CP141 CU141 CZ141 DE141 DJ141 DO141 DT141 DY141 ED141 EI141 EN141 ES141 EX141 FC141 FH141 FM141 FR141 FW141 GB141 GG141 GL141 GQ141 GV141 HA141 HF141 HK141 HP141 HU141 HZ141 IE141 IJ141 IO141 IT141</xm:sqref>
        </x14:conditionalFormatting>
      </x14:conditionalFormattings>
    </ext>
  </extLs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mc:Ignorable="x14ac xr">
  <sheetPr codeName="Hoja18">
    <tabColor indexed="50"/>
  </sheetPr>
  <dimension ref="A1:IV134"/>
  <sheetViews>
    <sheetView showGridLines="0" view="pageBreakPreview" zoomScaleNormal="100" workbookViewId="0">
      <pane ySplit="9" topLeftCell="A10" activePane="bottomLeft" state="frozen"/>
      <selection pane="bottomLeft" activeCell="A7" sqref="A7"/>
    </sheetView>
  </sheetViews>
  <sheetFormatPr baseColWidth="10" defaultRowHeight="12.75"/>
  <cols>
    <col min="1" max="1" bestFit="1" width="18" customWidth="1" style="51"/>
    <col min="2" max="2" width="11.85546875" customWidth="1" style="51"/>
    <col min="3" max="12" width="11.7109375" customWidth="1" style="51"/>
    <col min="13" max="16384" width="11.42578125" customWidth="1" style="51"/>
  </cols>
  <sheetData>
    <row r="1">
      <c r="A1" s="46"/>
      <c r="B1" s="47"/>
      <c r="C1" s="47"/>
      <c r="D1" s="47"/>
      <c r="E1" s="47"/>
      <c r="F1" s="47"/>
      <c r="G1" s="47"/>
      <c r="H1" s="47"/>
      <c r="I1" s="47"/>
      <c r="J1" s="47"/>
      <c r="K1" s="47"/>
      <c r="L1" s="47"/>
      <c r="M1" s="49"/>
    </row>
    <row r="2">
      <c r="A2" s="52"/>
      <c r="B2" s="49"/>
      <c r="C2" s="49"/>
      <c r="D2" s="49"/>
      <c r="E2" s="49"/>
      <c r="F2" s="49"/>
      <c r="G2" s="49"/>
      <c r="H2" s="49"/>
      <c r="I2" s="49"/>
      <c r="J2" s="49"/>
      <c r="K2" s="49"/>
      <c r="L2" s="49"/>
      <c r="M2" s="49"/>
    </row>
    <row r="3">
      <c r="A3" s="52"/>
      <c r="B3" s="49"/>
      <c r="C3" s="49"/>
      <c r="D3" s="49"/>
      <c r="E3" s="49"/>
      <c r="F3" s="49"/>
      <c r="G3" s="49"/>
      <c r="H3" s="49"/>
      <c r="I3" s="49"/>
      <c r="J3" s="49"/>
      <c r="K3" s="49"/>
      <c r="L3" s="49"/>
      <c r="M3" s="49"/>
    </row>
    <row r="4">
      <c r="A4" s="52"/>
      <c r="B4" s="49"/>
      <c r="C4" s="49"/>
      <c r="D4" s="49"/>
      <c r="E4" s="49"/>
      <c r="F4" s="49"/>
      <c r="G4" s="49"/>
      <c r="H4" s="49"/>
      <c r="I4" s="49"/>
      <c r="J4" s="49"/>
      <c r="K4" s="49"/>
      <c r="L4" s="49"/>
      <c r="M4" s="49"/>
    </row>
    <row r="5">
      <c r="A5" s="52"/>
      <c r="B5" s="49"/>
      <c r="C5" s="49"/>
      <c r="D5" s="49"/>
      <c r="E5" s="49"/>
      <c r="F5" s="49"/>
      <c r="G5" s="49"/>
      <c r="H5" s="49"/>
      <c r="I5" s="49"/>
      <c r="J5" s="49"/>
      <c r="K5" s="49"/>
      <c r="L5" s="49"/>
      <c r="M5" s="49"/>
    </row>
    <row r="6" ht="13.5">
      <c r="A6" s="54"/>
      <c r="B6" s="55"/>
      <c r="C6" s="55"/>
      <c r="D6" s="55"/>
      <c r="E6" s="55"/>
      <c r="F6" s="55"/>
      <c r="G6" s="55"/>
      <c r="H6" s="55"/>
      <c r="I6" s="55"/>
      <c r="J6" s="55"/>
      <c r="K6" s="55"/>
      <c r="L6" s="55"/>
      <c r="M6" s="55"/>
    </row>
    <row r="7" s="57" customFormat="1"/>
    <row r="8">
      <c r="E8" s="131">
        <v>20</v>
      </c>
      <c r="F8" s="131"/>
      <c r="H8" s="51" t="s">
        <v>100</v>
      </c>
      <c r="I8" s="51" t="e">
        <f>LOOKUP(AUX!$E$10,AUX!$B:$B,AUX!$A:$A)</f>
        <v>#N/A</v>
      </c>
    </row>
    <row r="9">
      <c r="A9" s="597" t="s">
        <v>101</v>
      </c>
      <c r="B9" s="597"/>
      <c r="C9" s="597"/>
      <c r="D9" s="597"/>
      <c r="H9" s="51" t="s">
        <v>1</v>
      </c>
      <c r="I9" s="51" t="str">
        <f>LOOKUP(AUX!$E$11,AUX!$E1:$E5,AUX!$D1:$D5)</f>
        <v>6 meses</v>
      </c>
    </row>
    <row r="10">
      <c r="B10" s="133"/>
      <c r="C10" s="133"/>
      <c r="D10" s="133"/>
      <c r="E10" s="133"/>
      <c r="F10" s="133"/>
    </row>
    <row r="11" ht="13.5">
      <c r="B11" s="133"/>
      <c r="C11" s="133"/>
      <c r="D11" s="133"/>
      <c r="E11" s="133"/>
      <c r="F11" s="133"/>
    </row>
    <row r="12" ht="16.5" customHeight="1">
      <c r="B12" s="724" t="s">
        <v>91</v>
      </c>
      <c r="C12" s="725"/>
      <c r="D12" s="725"/>
      <c r="E12" s="725"/>
      <c r="F12" s="725"/>
      <c r="G12" s="725"/>
      <c r="H12" s="725"/>
      <c r="I12" s="725"/>
      <c r="J12" s="725"/>
      <c r="K12" s="725"/>
      <c r="L12" s="726"/>
    </row>
    <row r="13" ht="16.5" customHeight="1">
      <c r="B13" s="721" t="s">
        <v>430</v>
      </c>
      <c r="C13" s="722"/>
      <c r="D13" s="722"/>
      <c r="E13" s="722"/>
      <c r="F13" s="722"/>
      <c r="G13" s="722"/>
      <c r="H13" s="722"/>
      <c r="I13" s="722"/>
      <c r="J13" s="722"/>
      <c r="K13" s="722"/>
      <c r="L13" s="723"/>
    </row>
    <row r="14">
      <c r="A14" s="58"/>
      <c r="B14" s="286"/>
      <c r="C14" s="262"/>
      <c r="D14" s="262"/>
      <c r="E14" s="262"/>
      <c r="F14" s="262"/>
      <c r="G14" s="262"/>
      <c r="H14" s="262"/>
      <c r="I14" s="262"/>
      <c r="J14" s="262"/>
      <c r="K14" s="262"/>
      <c r="L14" s="143"/>
    </row>
    <row r="15" ht="15">
      <c r="A15" s="325"/>
      <c r="B15" s="145" t="e">
        <f>INDEX(AUX!$G$1:$IV$1,1,AUX!$E$10+(AUX!$E$11*AUX!G$2))</f>
        <v>#VALUE!</v>
      </c>
      <c r="C15" s="146">
        <f>INDEX(AUX!$G$1:$IV$1,1,AUX!$E$10+(AUX!$E$11*AUX!H$2))</f>
        <v>38899</v>
      </c>
      <c r="D15" s="146">
        <f>INDEX(AUX!$G$1:$IV$1,1,AUX!$E$10+(AUX!$E$11*AUX!I$2))</f>
        <v>39083</v>
      </c>
      <c r="E15" s="146">
        <f>INDEX(AUX!$G$1:$IV$1,1,AUX!$E$10+(AUX!$E$11*AUX!J$2))</f>
        <v>39264</v>
      </c>
      <c r="F15" s="146">
        <f>INDEX(AUX!$G$1:$IV$1,1,AUX!$E$10+(AUX!$E$11*AUX!K$2))</f>
        <v>39448</v>
      </c>
      <c r="G15" s="146">
        <f>INDEX(AUX!$G$1:$IV$1,1,AUX!$E$10+(AUX!$E$11*AUX!L$2))</f>
        <v>39630</v>
      </c>
      <c r="H15" s="146">
        <f>INDEX(AUX!$G$1:$IV$1,1,AUX!$E$10+(AUX!$E$11*AUX!M$2))</f>
        <v>39814</v>
      </c>
      <c r="I15" s="146">
        <f>INDEX(AUX!$G$1:$IV$1,1,AUX!$E$10+(AUX!$E$11*AUX!N$2))</f>
        <v>39995</v>
      </c>
      <c r="J15" s="146">
        <f>INDEX(AUX!$G$1:$IV$1,1,AUX!$E$10+(AUX!$E$11*AUX!O$2))</f>
        <v>40179</v>
      </c>
      <c r="K15" s="146">
        <f>INDEX(AUX!$G$1:$IV$1,1,AUX!$E$10+(AUX!$E$11*AUX!P$2))</f>
        <v>40360</v>
      </c>
      <c r="L15" s="147">
        <f>INDEX(AUX!$G$1:$IV$1,1,AUX!$E$10+(AUX!$E$11*AUX!Q$2))</f>
        <v>40544</v>
      </c>
    </row>
    <row r="16" ht="15.75">
      <c r="A16" s="326"/>
      <c r="B16" s="727" t="s">
        <v>7</v>
      </c>
      <c r="C16" s="728"/>
      <c r="D16" s="728"/>
      <c r="E16" s="728"/>
      <c r="F16" s="728"/>
      <c r="G16" s="728"/>
      <c r="H16" s="728"/>
      <c r="I16" s="728"/>
      <c r="J16" s="728"/>
      <c r="K16" s="728"/>
      <c r="L16" s="729"/>
    </row>
    <row r="17" ht="15.75">
      <c r="A17" s="327" t="str">
        <f>INDEX(B89:B108,$E$8,1)</f>
        <v>Total</v>
      </c>
      <c r="B17" s="240" t="e">
        <f>IF(INDEX($C$89:$IJ$108,$E$8,AUX!$E$10+(AUX!$E$11*AUX!G$2))="","--",IF(INDEX($C$89:$IJ$108,$E$8,AUX!$E$10+(AUX!$E$11*AUX!G$2))=0,"-",INDEX($C$89:$IJ$108,$E$8,AUX!$E$10+(AUX!$E$11*AUX!G$2))))</f>
        <v>#VALUE!</v>
      </c>
      <c r="C17" s="241" t="str">
        <f>IF(INDEX($C$89:$IJ$108,$E$8,AUX!$E$10+(AUX!$E$11*AUX!H$2))="","--",IF(INDEX($C$89:$IJ$108,$E$8,AUX!$E$10+(AUX!$E$11*AUX!H$2))=0,"-",INDEX($C$89:$IJ$108,$E$8,AUX!$E$10+(AUX!$E$11*AUX!H$2))))</f>
        <v>--</v>
      </c>
      <c r="D17" s="241" t="str">
        <f>IF(INDEX($C$89:$IJ$108,$E$8,AUX!$E$10+(AUX!$E$11*AUX!I$2))="","--",IF(INDEX($C$89:$IJ$108,$E$8,AUX!$E$10+(AUX!$E$11*AUX!I$2))=0,"-",INDEX($C$89:$IJ$108,$E$8,AUX!$E$10+(AUX!$E$11*AUX!I$2))))</f>
        <v>--</v>
      </c>
      <c r="E17" s="241" t="str">
        <f>IF(INDEX($C$89:$IJ$108,$E$8,AUX!$E$10+(AUX!$E$11*AUX!J$2))="","--",IF(INDEX($C$89:$IJ$108,$E$8,AUX!$E$10+(AUX!$E$11*AUX!J$2))=0,"-",INDEX($C$89:$IJ$108,$E$8,AUX!$E$10+(AUX!$E$11*AUX!J$2))))</f>
        <v>--</v>
      </c>
      <c r="F17" s="241" t="str">
        <f>IF(INDEX($C$89:$IJ$108,$E$8,AUX!$E$10+(AUX!$E$11*AUX!K$2))="","--",IF(INDEX($C$89:$IJ$108,$E$8,AUX!$E$10+(AUX!$E$11*AUX!K$2))=0,"-",INDEX($C$89:$IJ$108,$E$8,AUX!$E$10+(AUX!$E$11*AUX!K$2))))</f>
        <v>--</v>
      </c>
      <c r="G17" s="241" t="str">
        <f>IF(INDEX($C$89:$IJ$108,$E$8,AUX!$E$10+(AUX!$E$11*AUX!L$2))="","--",IF(INDEX($C$89:$IJ$108,$E$8,AUX!$E$10+(AUX!$E$11*AUX!L$2))=0,"-",INDEX($C$89:$IJ$108,$E$8,AUX!$E$10+(AUX!$E$11*AUX!L$2))))</f>
        <v>--</v>
      </c>
      <c r="H17" s="241" t="str">
        <f>IF(INDEX($C$89:$IJ$108,$E$8,AUX!$E$10+(AUX!$E$11*AUX!M$2))="","--",IF(INDEX($C$89:$IJ$108,$E$8,AUX!$E$10+(AUX!$E$11*AUX!M$2))=0,"-",INDEX($C$89:$IJ$108,$E$8,AUX!$E$10+(AUX!$E$11*AUX!M$2))))</f>
        <v>--</v>
      </c>
      <c r="I17" s="241" t="str">
        <f>IF(INDEX($C$89:$IJ$108,$E$8,AUX!$E$10+(AUX!$E$11*AUX!N$2))="","--",IF(INDEX($C$89:$IJ$108,$E$8,AUX!$E$10+(AUX!$E$11*AUX!N$2))=0,"-",INDEX($C$89:$IJ$108,$E$8,AUX!$E$10+(AUX!$E$11*AUX!N$2))))</f>
        <v>--</v>
      </c>
      <c r="J17" s="241" t="str">
        <f>IF(INDEX($C$89:$IJ$108,$E$8,AUX!$E$10+(AUX!$E$11*AUX!O$2))="","--",IF(INDEX($C$89:$IJ$108,$E$8,AUX!$E$10+(AUX!$E$11*AUX!O$2))=0,"-",INDEX($C$89:$IJ$108,$E$8,AUX!$E$10+(AUX!$E$11*AUX!O$2))))</f>
        <v>--</v>
      </c>
      <c r="K17" s="241" t="str">
        <f>IF(INDEX($C$89:$IJ$108,$E$8,AUX!$E$10+(AUX!$E$11*AUX!P$2))="","--",IF(INDEX($C$89:$IJ$108,$E$8,AUX!$E$10+(AUX!$E$11*AUX!P$2))=0,"-",INDEX($C$89:$IJ$108,$E$8,AUX!$E$10+(AUX!$E$11*AUX!P$2))))</f>
        <v>--</v>
      </c>
      <c r="L17" s="242" t="str">
        <f>IF(INDEX($C$89:$IJ$108,$E$8,AUX!$E$10+(AUX!$E$11*AUX!Q$2))="","--",IF(INDEX($C$89:$IJ$108,$E$8,AUX!$E$10+(AUX!$E$11*AUX!Q$2))=0,"-",INDEX($C$89:$IJ$108,$E$8,AUX!$E$10+(AUX!$E$11*AUX!Q$2))))</f>
        <v>--</v>
      </c>
    </row>
    <row r="19">
      <c r="B19" s="730" t="s">
        <v>431</v>
      </c>
      <c r="C19" s="731"/>
      <c r="D19" s="731"/>
      <c r="E19" s="731"/>
      <c r="F19" s="731"/>
      <c r="G19" s="731"/>
      <c r="H19" s="731"/>
      <c r="I19" s="731"/>
      <c r="J19" s="731"/>
      <c r="K19" s="731"/>
      <c r="L19" s="731"/>
      <c r="M19" s="529"/>
    </row>
    <row r="25">
      <c r="B25" s="57"/>
      <c r="C25" s="57"/>
      <c r="D25" s="57"/>
    </row>
    <row r="81" ht="13.5" customHeight="1"/>
    <row r="82" ht="13.5" customHeight="1"/>
    <row r="83" ht="13.5" customHeight="1"/>
    <row r="84" ht="13.5" customHeight="1"/>
    <row r="85" ht="13.5" customHeight="1"/>
    <row r="86" hidden="1" ht="13.5" customHeight="1"/>
    <row r="87" hidden="1" ht="13.5" customHeight="1">
      <c r="C87" s="686" t="s">
        <v>432</v>
      </c>
      <c r="D87" s="687"/>
      <c r="E87" s="687"/>
      <c r="F87" s="687"/>
      <c r="G87" s="687"/>
      <c r="H87" s="687"/>
      <c r="I87" s="687"/>
      <c r="J87" s="687"/>
      <c r="K87" s="687"/>
      <c r="L87" s="687"/>
      <c r="M87" s="687"/>
      <c r="N87" s="687"/>
      <c r="O87" s="687"/>
      <c r="P87" s="687"/>
      <c r="Q87" s="687"/>
      <c r="R87" s="687"/>
      <c r="S87" s="687"/>
      <c r="T87" s="687"/>
      <c r="U87" s="687"/>
      <c r="V87" s="687"/>
      <c r="W87" s="687"/>
      <c r="X87" s="687"/>
      <c r="Y87" s="687"/>
      <c r="Z87" s="687"/>
      <c r="AA87" s="687"/>
      <c r="AB87" s="688"/>
    </row>
    <row r="88" hidden="1" ht="13.5" customHeight="1">
      <c r="C88" s="435" t="str">
        <f> IF(C108&lt;&gt;"",TEXT(AUX!F$1,"dd-MMM-aa"),"")</f>
      </c>
      <c r="D88" s="435" t="str">
        <f> IF(D108&lt;&gt;"",TEXT(AUX!G$1,"dd-MMM-aa"),"")</f>
      </c>
      <c r="E88" s="435" t="str">
        <f> IF(E108&lt;&gt;"",TEXT(AUX!H$1,"dd-MMM-aa"),"")</f>
      </c>
      <c r="F88" s="435" t="str">
        <f> IF(F108&lt;&gt;"",TEXT(AUX!I$1,"dd-MMM-aa"),"")</f>
      </c>
      <c r="G88" s="435" t="str">
        <f> IF(G108&lt;&gt;"",TEXT(AUX!J$1,"dd-MMM-aa"),"")</f>
      </c>
      <c r="H88" s="435" t="str">
        <f> IF(H108&lt;&gt;"",TEXT(AUX!K$1,"dd-MMM-aa"),"")</f>
      </c>
      <c r="I88" s="435" t="str">
        <f> IF(I108&lt;&gt;"",TEXT(AUX!L$1,"dd-MMM-aa"),"")</f>
      </c>
      <c r="J88" s="435" t="str">
        <f> IF(J108&lt;&gt;"",TEXT(AUX!M$1,"dd-MMM-aa"),"")</f>
      </c>
      <c r="K88" s="435" t="str">
        <f> IF(K108&lt;&gt;"",TEXT(AUX!N$1,"dd-MMM-aa"),"")</f>
      </c>
      <c r="L88" s="435" t="str">
        <f> IF(L108&lt;&gt;"",TEXT(AUX!O$1,"dd-MMM-aa"),"")</f>
      </c>
      <c r="M88" s="435" t="str">
        <f> IF(M108&lt;&gt;"",TEXT(AUX!P$1,"dd-MMM-aa"),"")</f>
      </c>
      <c r="N88" s="435" t="str">
        <f> IF(N108&lt;&gt;"",TEXT(AUX!Q$1,"dd-MMM-aa"),"")</f>
      </c>
      <c r="O88" s="435" t="str">
        <f> IF(O108&lt;&gt;"",TEXT(AUX!R$1,"dd-MMM-aa"),"")</f>
      </c>
      <c r="P88" s="435" t="str">
        <f> IF(P108&lt;&gt;"",TEXT(AUX!S$1,"dd-MMM-aa"),"")</f>
      </c>
      <c r="Q88" s="435" t="str">
        <f> IF(Q108&lt;&gt;"",TEXT(AUX!T$1,"dd-MMM-aa"),"")</f>
      </c>
      <c r="R88" s="435" t="str">
        <f> IF(R108&lt;&gt;"",TEXT(AUX!U$1,"dd-MMM-aa"),"")</f>
      </c>
      <c r="S88" s="435" t="str">
        <f> IF(S108&lt;&gt;"",TEXT(AUX!V$1,"dd-MMM-aa"),"")</f>
      </c>
      <c r="T88" s="435" t="str">
        <f> IF(T108&lt;&gt;"",TEXT(AUX!W$1,"dd-MMM-aa"),"")</f>
      </c>
      <c r="U88" s="435" t="str">
        <f> IF(U108&lt;&gt;"",TEXT(AUX!X$1,"dd-MMM-aa"),"")</f>
      </c>
      <c r="V88" s="435" t="str">
        <f> IF(V108&lt;&gt;"",TEXT(AUX!Y$1,"dd-MMM-aa"),"")</f>
      </c>
      <c r="W88" s="435" t="str">
        <f> IF(W108&lt;&gt;"",TEXT(AUX!Z$1,"dd-MMM-aa"),"")</f>
      </c>
      <c r="X88" s="435" t="str">
        <f> IF(X108&lt;&gt;"",TEXT(AUX!AA$1,"dd-MMM-aa"),"")</f>
      </c>
      <c r="Y88" s="435" t="str">
        <f> IF(Y108&lt;&gt;"",TEXT(AUX!AB$1,"dd-MMM-aa"),"")</f>
      </c>
      <c r="Z88" s="435" t="str">
        <f> IF(Z108&lt;&gt;"",TEXT(AUX!AC$1,"dd-MMM-aa"),"")</f>
      </c>
      <c r="AA88" s="435" t="str">
        <f> IF(AA108&lt;&gt;"",TEXT(AUX!AD$1,"dd-MMM-aa"),"")</f>
      </c>
      <c r="AB88" s="497" t="str">
        <f> IF(AB108&lt;&gt;"",TEXT(AUX!AE$1,"dd-MMM-aa"),"")</f>
      </c>
      <c r="AC88" s="496" t="str">
        <f> IF(AC108&lt;&gt;"",TEXT(AUX!AF$1,"dd-MMM-aa"),"")</f>
      </c>
      <c r="AD88" s="496" t="str">
        <f> IF(AD108&lt;&gt;"",TEXT(AUX!AG$1,"dd-MMM-aa"),"")</f>
      </c>
      <c r="AE88" s="496" t="str">
        <f> IF(AE108&lt;&gt;"",TEXT(AUX!AH$1,"dd-MMM-aa"),"")</f>
      </c>
      <c r="AF88" s="496" t="str">
        <f> IF(AF108&lt;&gt;"",TEXT(AUX!AI$1,"dd-MMM-aa"),"")</f>
      </c>
      <c r="AG88" s="496" t="str">
        <f> IF(AG108&lt;&gt;"",TEXT(AUX!AJ$1,"dd-MMM-aa"),"")</f>
      </c>
      <c r="AH88" s="496" t="str">
        <f> IF(AH108&lt;&gt;"",TEXT(AUX!AK$1,"dd-MMM-aa"),"")</f>
      </c>
      <c r="AI88" s="496" t="str">
        <f> IF(AI108&lt;&gt;"",TEXT(AUX!AL$1,"dd-MMM-aa"),"")</f>
      </c>
      <c r="AJ88" s="496" t="str">
        <f> IF(AJ108&lt;&gt;"",TEXT(AUX!AM$1,"dd-MMM-aa"),"")</f>
      </c>
      <c r="AK88" s="496" t="str">
        <f> IF(AK108&lt;&gt;"",TEXT(AUX!AN$1,"dd-MMM-aa"),"")</f>
      </c>
      <c r="AL88" s="496" t="str">
        <f> IF(AL108&lt;&gt;"",TEXT(AUX!AO$1,"dd-MMM-aa"),"")</f>
      </c>
      <c r="AM88" s="496" t="str">
        <f> IF(AM108&lt;&gt;"",TEXT(AUX!AP$1,"dd-MMM-aa"),"")</f>
      </c>
      <c r="AN88" s="496" t="str">
        <f> IF(AN108&lt;&gt;"",TEXT(AUX!AQ$1,"dd-MMM-aa"),"")</f>
      </c>
      <c r="AO88" s="496" t="str">
        <f> IF(AO108&lt;&gt;"",TEXT(AUX!AR$1,"dd-MMM-aa"),"")</f>
      </c>
      <c r="AP88" s="496" t="str">
        <f> IF(AP108&lt;&gt;"",TEXT(AUX!AS$1,"dd-MMM-aa"),"")</f>
      </c>
      <c r="AQ88" s="496" t="str">
        <f> IF(AQ108&lt;&gt;"",TEXT(AUX!AT$1,"dd-MMM-aa"),"")</f>
      </c>
      <c r="AR88" s="496" t="str">
        <f> IF(AR108&lt;&gt;"",TEXT(AUX!AU$1,"dd-MMM-aa"),"")</f>
      </c>
      <c r="AS88" s="496" t="str">
        <f> IF(AS108&lt;&gt;"",TEXT(AUX!AV$1,"dd-MMM-aa"),"")</f>
      </c>
      <c r="AT88" s="496" t="str">
        <f> IF(AT108&lt;&gt;"",TEXT(AUX!AW$1,"dd-MMM-aa"),"")</f>
      </c>
      <c r="AU88" s="496" t="str">
        <f> IF(AU108&lt;&gt;"",TEXT(AUX!AX$1,"dd-MMM-aa"),"")</f>
      </c>
      <c r="AV88" s="496" t="str">
        <f> IF(AV108&lt;&gt;"",TEXT(AUX!AY$1,"dd-MMM-aa"),"")</f>
      </c>
      <c r="AW88" s="496" t="str">
        <f> IF(AW108&lt;&gt;"",TEXT(AUX!AZ$1,"dd-MMM-aa"),"")</f>
      </c>
      <c r="AX88" s="496" t="str">
        <f> IF(AX108&lt;&gt;"",TEXT(AUX!BA$1,"dd-MMM-aa"),"")</f>
      </c>
      <c r="AY88" s="496" t="str">
        <f> IF(AY108&lt;&gt;"",TEXT(AUX!BB$1,"dd-MMM-aa"),"")</f>
      </c>
      <c r="AZ88" s="496" t="str">
        <f> IF(AZ108&lt;&gt;"",TEXT(AUX!BC$1,"dd-MMM-aa"),"")</f>
      </c>
      <c r="BA88" s="496" t="str">
        <f> IF(BA108&lt;&gt;"",TEXT(AUX!BD$1,"dd-MMM-aa"),"")</f>
      </c>
      <c r="BB88" s="496" t="str">
        <f> IF(BB108&lt;&gt;"",TEXT(AUX!BE$1,"dd-MMM-aa"),"")</f>
      </c>
      <c r="BC88" s="496" t="str">
        <f> IF(BC108&lt;&gt;"",TEXT(AUX!BF$1,"dd-MMM-aa"),"")</f>
      </c>
      <c r="BD88" s="496" t="str">
        <f> IF(BD108&lt;&gt;"",TEXT(AUX!BG$1,"dd-MMM-aa"),"")</f>
      </c>
      <c r="BE88" s="496" t="str">
        <f> IF(BE108&lt;&gt;"",TEXT(AUX!BH$1,"dd-MMM-aa"),"")</f>
      </c>
      <c r="BF88" s="496" t="str">
        <f> IF(BF108&lt;&gt;"",TEXT(AUX!BI$1,"dd-MMM-aa"),"")</f>
      </c>
      <c r="BG88" s="496" t="str">
        <f> IF(BG108&lt;&gt;"",TEXT(AUX!BJ$1,"dd-MMM-aa"),"")</f>
      </c>
      <c r="BH88" s="496" t="str">
        <f> IF(BH108&lt;&gt;"",TEXT(AUX!BK$1,"dd-MMM-aa"),"")</f>
      </c>
      <c r="BI88" s="496" t="str">
        <f> IF(BI108&lt;&gt;"",TEXT(AUX!BL$1,"dd-MMM-aa"),"")</f>
      </c>
      <c r="BJ88" s="496" t="str">
        <f> IF(BJ108&lt;&gt;"",TEXT(AUX!BM$1,"dd-MMM-aa"),"")</f>
      </c>
      <c r="BK88" s="496" t="str">
        <f> IF(BK108&lt;&gt;"",TEXT(AUX!BN$1,"dd-MMM-aa"),"")</f>
      </c>
      <c r="BL88" s="496" t="str">
        <f> IF(BL108&lt;&gt;"",TEXT(AUX!BO$1,"dd-MMM-aa"),"")</f>
      </c>
      <c r="BM88" s="496" t="str">
        <f> IF(BM108&lt;&gt;"",TEXT(AUX!BP$1,"dd-MMM-aa"),"")</f>
      </c>
      <c r="BN88" s="496" t="str">
        <f> IF(BN108&lt;&gt;"",TEXT(AUX!BQ$1,"dd-MMM-aa"),"")</f>
      </c>
      <c r="BO88" s="496" t="str">
        <f> IF(BO108&lt;&gt;"",TEXT(AUX!BR$1,"dd-MMM-aa"),"")</f>
      </c>
      <c r="BP88" s="496" t="str">
        <f> IF(BP108&lt;&gt;"",TEXT(AUX!BS$1,"dd-MMM-aa"),"")</f>
      </c>
      <c r="BQ88" s="496" t="str">
        <f> IF(BQ108&lt;&gt;"",TEXT(AUX!BT$1,"dd-MMM-aa"),"")</f>
      </c>
      <c r="BR88" s="496" t="str">
        <f> IF(BR108&lt;&gt;"",TEXT(AUX!BU$1,"dd-MMM-aa"),"")</f>
      </c>
      <c r="BS88" s="496" t="str">
        <f> IF(BS108&lt;&gt;"",TEXT(AUX!BV$1,"dd-MMM-aa"),"")</f>
      </c>
      <c r="BT88" s="496" t="str">
        <f> IF(BT108&lt;&gt;"",TEXT(AUX!BW$1,"dd-MMM-aa"),"")</f>
      </c>
      <c r="BU88" s="496" t="str">
        <f> IF(BU108&lt;&gt;"",TEXT(AUX!BX$1,"dd-MMM-aa"),"")</f>
      </c>
      <c r="BV88" s="496" t="str">
        <f> IF(BV108&lt;&gt;"",TEXT(AUX!BY$1,"dd-MMM-aa"),"")</f>
      </c>
      <c r="BW88" s="496" t="str">
        <f> IF(BW108&lt;&gt;"",TEXT(AUX!BZ$1,"dd-MMM-aa"),"")</f>
      </c>
      <c r="BX88" s="496" t="str">
        <f> IF(BX108&lt;&gt;"",TEXT(AUX!CA$1,"dd-MMM-aa"),"")</f>
      </c>
      <c r="BY88" s="496" t="str">
        <f> IF(BY108&lt;&gt;"",TEXT(AUX!CB$1,"dd-MMM-aa"),"")</f>
      </c>
      <c r="BZ88" s="496" t="str">
        <f> IF(BZ108&lt;&gt;"",TEXT(AUX!CC$1,"dd-MMM-aa"),"")</f>
      </c>
      <c r="CA88" s="496" t="str">
        <f> IF(CA108&lt;&gt;"",TEXT(AUX!CD$1,"dd-MMM-aa"),"")</f>
      </c>
      <c r="CB88" s="496" t="str">
        <f> IF(CB108&lt;&gt;"",TEXT(AUX!CE$1,"dd-MMM-aa"),"")</f>
      </c>
      <c r="CC88" s="496" t="str">
        <f> IF(CC108&lt;&gt;"",TEXT(AUX!CF$1,"dd-MMM-aa"),"")</f>
      </c>
      <c r="CD88" s="496" t="str">
        <f> IF(CD108&lt;&gt;"",TEXT(AUX!CG$1,"dd-MMM-aa"),"")</f>
      </c>
      <c r="CE88" s="496" t="str">
        <f> IF(CE108&lt;&gt;"",TEXT(AUX!CH$1,"dd-MMM-aa"),"")</f>
      </c>
      <c r="CF88" s="496" t="str">
        <f> IF(CF108&lt;&gt;"",TEXT(AUX!CI$1,"dd-MMM-aa"),"")</f>
      </c>
      <c r="CG88" s="496" t="str">
        <f> IF(CG108&lt;&gt;"",TEXT(AUX!CJ$1,"dd-MMM-aa"),"")</f>
      </c>
      <c r="CH88" s="496" t="str">
        <f> IF(CH108&lt;&gt;"",TEXT(AUX!CK$1,"dd-MMM-aa"),"")</f>
      </c>
      <c r="CI88" s="496" t="str">
        <f> IF(CI108&lt;&gt;"",TEXT(AUX!CL$1,"dd-MMM-aa"),"")</f>
      </c>
      <c r="CJ88" s="496" t="str">
        <f> IF(CJ108&lt;&gt;"",TEXT(AUX!CM$1,"dd-MMM-aa"),"")</f>
      </c>
      <c r="CK88" s="496" t="str">
        <f> IF(CK108&lt;&gt;"",TEXT(AUX!CN$1,"dd-MMM-aa"),"")</f>
      </c>
      <c r="CL88" s="496" t="str">
        <f> IF(CL108&lt;&gt;"",TEXT(AUX!CO$1,"dd-MMM-aa"),"")</f>
      </c>
      <c r="CM88" s="496" t="str">
        <f> IF(CM108&lt;&gt;"",TEXT(AUX!CP$1,"dd-MMM-aa"),"")</f>
      </c>
      <c r="CN88" s="496" t="str">
        <f> IF(CN108&lt;&gt;"",TEXT(AUX!CQ$1,"dd-MMM-aa"),"")</f>
      </c>
      <c r="CO88" s="496" t="str">
        <f> IF(CO108&lt;&gt;"",TEXT(AUX!CR$1,"dd-MMM-aa"),"")</f>
      </c>
      <c r="CP88" s="496" t="str">
        <f> IF(CP108&lt;&gt;"",TEXT(AUX!CS$1,"dd-MMM-aa"),"")</f>
      </c>
      <c r="CQ88" s="496" t="str">
        <f> IF(CQ108&lt;&gt;"",TEXT(AUX!CT$1,"dd-MMM-aa"),"")</f>
      </c>
      <c r="CR88" s="496" t="str">
        <f> IF(CR108&lt;&gt;"",TEXT(AUX!CU$1,"dd-MMM-aa"),"")</f>
      </c>
      <c r="CS88" s="496" t="str">
        <f> IF(CS108&lt;&gt;"",TEXT(AUX!CV$1,"dd-MMM-aa"),"")</f>
      </c>
      <c r="CT88" s="496" t="str">
        <f> IF(CT108&lt;&gt;"",TEXT(AUX!CW$1,"dd-MMM-aa"),"")</f>
      </c>
      <c r="CU88" s="496" t="str">
        <f> IF(CU108&lt;&gt;"",TEXT(AUX!CX$1,"dd-MMM-aa"),"")</f>
      </c>
      <c r="CV88" s="496" t="str">
        <f> IF(CV108&lt;&gt;"",TEXT(AUX!CY$1,"dd-MMM-aa"),"")</f>
      </c>
      <c r="CW88" s="496" t="str">
        <f> IF(CW108&lt;&gt;"",TEXT(AUX!CZ$1,"dd-MMM-aa"),"")</f>
      </c>
      <c r="CX88" s="496" t="str">
        <f> IF(CX108&lt;&gt;"",TEXT(AUX!DA$1,"dd-MMM-aa"),"")</f>
      </c>
      <c r="CY88" s="496" t="str">
        <f> IF(CY108&lt;&gt;"",TEXT(AUX!DB$1,"dd-MMM-aa"),"")</f>
      </c>
      <c r="CZ88" s="496" t="str">
        <f> IF(CZ108&lt;&gt;"",TEXT(AUX!DC$1,"dd-MMM-aa"),"")</f>
      </c>
      <c r="DA88" s="496" t="str">
        <f> IF(DA108&lt;&gt;"",TEXT(AUX!DD$1,"dd-MMM-aa"),"")</f>
      </c>
      <c r="DB88" s="496" t="str">
        <f> IF(DB108&lt;&gt;"",TEXT(AUX!DE$1,"dd-MMM-aa"),"")</f>
      </c>
      <c r="DC88" s="496" t="str">
        <f> IF(DC108&lt;&gt;"",TEXT(AUX!DF$1,"dd-MMM-aa"),"")</f>
      </c>
      <c r="DD88" s="496" t="str">
        <f> IF(DD108&lt;&gt;"",TEXT(AUX!DG$1,"dd-MMM-aa"),"")</f>
      </c>
      <c r="DE88" s="496" t="str">
        <f> IF(DE108&lt;&gt;"",TEXT(AUX!DH$1,"dd-MMM-aa"),"")</f>
      </c>
      <c r="DF88" s="496" t="str">
        <f> IF(DF108&lt;&gt;"",TEXT(AUX!DI$1,"dd-MMM-aa"),"")</f>
      </c>
      <c r="DG88" s="496" t="str">
        <f> IF(DG108&lt;&gt;"",TEXT(AUX!DJ$1,"dd-MMM-aa"),"")</f>
      </c>
      <c r="DH88" s="496" t="str">
        <f> IF(DH108&lt;&gt;"",TEXT(AUX!DK$1,"dd-MMM-aa"),"")</f>
      </c>
      <c r="DI88" s="496" t="str">
        <f> IF(DI108&lt;&gt;"",TEXT(AUX!DL$1,"dd-MMM-aa"),"")</f>
      </c>
      <c r="DJ88" s="496" t="str">
        <f> IF(DJ108&lt;&gt;"",TEXT(AUX!DM$1,"dd-MMM-aa"),"")</f>
      </c>
      <c r="DK88" s="496" t="str">
        <f> IF(DK108&lt;&gt;"",TEXT(AUX!DN$1,"dd-MMM-aa"),"")</f>
      </c>
      <c r="DL88" s="496" t="str">
        <f> IF(DL108&lt;&gt;"",TEXT(AUX!DO$1,"dd-MMM-aa"),"")</f>
      </c>
      <c r="DM88" s="496" t="str">
        <f> IF(DM108&lt;&gt;"",TEXT(AUX!DP$1,"dd-MMM-aa"),"")</f>
      </c>
      <c r="DN88" s="496" t="str">
        <f> IF(DN108&lt;&gt;"",TEXT(AUX!DQ$1,"dd-MMM-aa"),"")</f>
      </c>
      <c r="DO88" s="496" t="str">
        <f> IF(DO108&lt;&gt;"",TEXT(AUX!DR$1,"dd-MMM-aa"),"")</f>
      </c>
      <c r="DP88" s="496" t="str">
        <f> IF(DP108&lt;&gt;"",TEXT(AUX!DS$1,"dd-MMM-aa"),"")</f>
      </c>
      <c r="DQ88" s="496" t="str">
        <f> IF(DQ108&lt;&gt;"",TEXT(AUX!DT$1,"dd-MMM-aa"),"")</f>
      </c>
      <c r="DR88" s="496" t="str">
        <f> IF(DR108&lt;&gt;"",TEXT(AUX!DU$1,"dd-MMM-aa"),"")</f>
      </c>
      <c r="DS88" s="496" t="str">
        <f> IF(DS108&lt;&gt;"",TEXT(AUX!DV$1,"dd-MMM-aa"),"")</f>
      </c>
      <c r="DT88" s="496" t="str">
        <f> IF(DT108&lt;&gt;"",TEXT(AUX!DW$1,"dd-MMM-aa"),"")</f>
      </c>
      <c r="DU88" s="496" t="str">
        <f> IF(DU108&lt;&gt;"",TEXT(AUX!DX$1,"dd-MMM-aa"),"")</f>
      </c>
      <c r="DV88" s="496" t="str">
        <f> IF(DV108&lt;&gt;"",TEXT(AUX!DY$1,"dd-MMM-aa"),"")</f>
      </c>
      <c r="DW88" s="496" t="str">
        <f> IF(DW108&lt;&gt;"",TEXT(AUX!DZ$1,"dd-MMM-aa"),"")</f>
      </c>
      <c r="DX88" s="496" t="str">
        <f> IF(DX108&lt;&gt;"",TEXT(AUX!EA$1,"dd-MMM-aa"),"")</f>
      </c>
      <c r="DY88" s="496" t="str">
        <f> IF(DY108&lt;&gt;"",TEXT(AUX!EB$1,"dd-MMM-aa"),"")</f>
      </c>
      <c r="DZ88" s="496" t="str">
        <f> IF(DZ108&lt;&gt;"",TEXT(AUX!EC$1,"dd-MMM-aa"),"")</f>
      </c>
      <c r="EA88" s="496" t="str">
        <f> IF(EA108&lt;&gt;"",TEXT(AUX!ED$1,"dd-MMM-aa"),"")</f>
      </c>
      <c r="EB88" s="496" t="str">
        <f> IF(EB108&lt;&gt;"",TEXT(AUX!EE$1,"dd-MMM-aa"),"")</f>
      </c>
      <c r="EC88" s="496" t="str">
        <f> IF(EC108&lt;&gt;"",TEXT(AUX!EF$1,"dd-MMM-aa"),"")</f>
      </c>
      <c r="ED88" s="496" t="str">
        <f> IF(ED108&lt;&gt;"",TEXT(AUX!EG$1,"dd-MMM-aa"),"")</f>
      </c>
      <c r="EE88" s="496" t="str">
        <f> IF(EE108&lt;&gt;"",TEXT(AUX!EH$1,"dd-MMM-aa"),"")</f>
      </c>
      <c r="EF88" s="496" t="str">
        <f> IF(EF108&lt;&gt;"",TEXT(AUX!EI$1,"dd-MMM-aa"),"")</f>
      </c>
      <c r="EG88" s="496" t="str">
        <f> IF(EG108&lt;&gt;"",TEXT(AUX!EJ$1,"dd-MMM-aa"),"")</f>
      </c>
      <c r="EH88" s="496" t="str">
        <f> IF(EH108&lt;&gt;"",TEXT(AUX!EK$1,"dd-MMM-aa"),"")</f>
      </c>
      <c r="EI88" s="496" t="str">
        <f> IF(EI108&lt;&gt;"",TEXT(AUX!EL$1,"dd-MMM-aa"),"")</f>
      </c>
      <c r="EJ88" s="496" t="str">
        <f> IF(EJ108&lt;&gt;"",TEXT(AUX!EM$1,"dd-MMM-aa"),"")</f>
      </c>
      <c r="EK88" s="496" t="str">
        <f> IF(EK108&lt;&gt;"",TEXT(AUX!EN$1,"dd-MMM-aa"),"")</f>
      </c>
      <c r="EL88" s="496" t="str">
        <f> IF(EL108&lt;&gt;"",TEXT(AUX!EO$1,"dd-MMM-aa"),"")</f>
      </c>
      <c r="EM88" s="496" t="str">
        <f> IF(EM108&lt;&gt;"",TEXT(AUX!EP$1,"dd-MMM-aa"),"")</f>
      </c>
      <c r="EN88" s="496" t="str">
        <f> IF(EN108&lt;&gt;"",TEXT(AUX!EQ$1,"dd-MMM-aa"),"")</f>
      </c>
      <c r="EO88" s="496" t="str">
        <f> IF(EO108&lt;&gt;"",TEXT(AUX!ER$1,"dd-MMM-aa"),"")</f>
      </c>
      <c r="EP88" s="496" t="str">
        <f> IF(EP108&lt;&gt;"",TEXT(AUX!ES$1,"dd-MMM-aa"),"")</f>
      </c>
      <c r="EQ88" s="496" t="str">
        <f> IF(EQ108&lt;&gt;"",TEXT(AUX!ET$1,"dd-MMM-aa"),"")</f>
      </c>
      <c r="ER88" s="496" t="str">
        <f> IF(ER108&lt;&gt;"",TEXT(AUX!EU$1,"dd-MMM-aa"),"")</f>
      </c>
      <c r="ES88" s="496" t="str">
        <f> IF(ES108&lt;&gt;"",TEXT(AUX!EV$1,"dd-MMM-aa"),"")</f>
      </c>
      <c r="ET88" s="496" t="str">
        <f> IF(ET108&lt;&gt;"",TEXT(AUX!EW$1,"dd-MMM-aa"),"")</f>
      </c>
      <c r="EU88" s="496" t="str">
        <f> IF(EU108&lt;&gt;"",TEXT(AUX!EX$1,"dd-MMM-aa"),"")</f>
      </c>
      <c r="EV88" s="496" t="str">
        <f> IF(EV108&lt;&gt;"",TEXT(AUX!EY$1,"dd-MMM-aa"),"")</f>
      </c>
      <c r="EW88" s="496" t="str">
        <f> IF(EW108&lt;&gt;"",TEXT(AUX!EZ$1,"dd-MMM-aa"),"")</f>
      </c>
      <c r="EX88" s="496" t="str">
        <f> IF(EX108&lt;&gt;"",TEXT(AUX!FA$1,"dd-MMM-aa"),"")</f>
      </c>
      <c r="EY88" s="496" t="str">
        <f> IF(EY108&lt;&gt;"",TEXT(AUX!FB$1,"dd-MMM-aa"),"")</f>
      </c>
      <c r="EZ88" s="496" t="str">
        <f> IF(EZ108&lt;&gt;"",TEXT(AUX!FC$1,"dd-MMM-aa"),"")</f>
      </c>
      <c r="FA88" s="496" t="str">
        <f> IF(FA108&lt;&gt;"",TEXT(AUX!FD$1,"dd-MMM-aa"),"")</f>
      </c>
      <c r="FB88" s="496" t="str">
        <f> IF(FB108&lt;&gt;"",TEXT(AUX!FE$1,"dd-MMM-aa"),"")</f>
      </c>
      <c r="FC88" s="496" t="str">
        <f> IF(FC108&lt;&gt;"",TEXT(AUX!FF$1,"dd-MMM-aa"),"")</f>
      </c>
      <c r="FD88" s="496" t="str">
        <f> IF(FD108&lt;&gt;"",TEXT(AUX!FG$1,"dd-MMM-aa"),"")</f>
      </c>
      <c r="FE88" s="496" t="str">
        <f> IF(FE108&lt;&gt;"",TEXT(AUX!FH$1,"dd-MMM-aa"),"")</f>
      </c>
      <c r="FF88" s="496" t="str">
        <f> IF(FF108&lt;&gt;"",TEXT(AUX!FI$1,"dd-MMM-aa"),"")</f>
      </c>
      <c r="FG88" s="496" t="str">
        <f> IF(FG108&lt;&gt;"",TEXT(AUX!FJ$1,"dd-MMM-aa"),"")</f>
      </c>
      <c r="FH88" s="496" t="str">
        <f> IF(FH108&lt;&gt;"",TEXT(AUX!FK$1,"dd-MMM-aa"),"")</f>
      </c>
      <c r="FI88" s="496" t="str">
        <f> IF(FI108&lt;&gt;"",TEXT(AUX!FL$1,"dd-MMM-aa"),"")</f>
      </c>
      <c r="FJ88" s="496" t="str">
        <f> IF(FJ108&lt;&gt;"",TEXT(AUX!FM$1,"dd-MMM-aa"),"")</f>
      </c>
      <c r="FK88" s="496" t="str">
        <f> IF(FK108&lt;&gt;"",TEXT(AUX!FN$1,"dd-MMM-aa"),"")</f>
      </c>
      <c r="FL88" s="496" t="str">
        <f> IF(FL108&lt;&gt;"",TEXT(AUX!FO$1,"dd-MMM-aa"),"")</f>
      </c>
      <c r="FM88" s="496" t="str">
        <f> IF(FM108&lt;&gt;"",TEXT(AUX!FP$1,"dd-MMM-aa"),"")</f>
      </c>
      <c r="FN88" s="496" t="str">
        <f> IF(FN108&lt;&gt;"",TEXT(AUX!FQ$1,"dd-MMM-aa"),"")</f>
      </c>
      <c r="FO88" s="496" t="str">
        <f> IF(FO108&lt;&gt;"",TEXT(AUX!FR$1,"dd-MMM-aa"),"")</f>
      </c>
      <c r="FP88" s="496" t="str">
        <f> IF(FP108&lt;&gt;"",TEXT(AUX!FS$1,"dd-MMM-aa"),"")</f>
      </c>
      <c r="FQ88" s="496" t="str">
        <f> IF(FQ108&lt;&gt;"",TEXT(AUX!FT$1,"dd-MMM-aa"),"")</f>
      </c>
      <c r="FR88" s="496" t="str">
        <f> IF(FR108&lt;&gt;"",TEXT(AUX!FU$1,"dd-MMM-aa"),"")</f>
      </c>
      <c r="FS88" s="496" t="str">
        <f> IF(FS108&lt;&gt;"",TEXT(AUX!FV$1,"dd-MMM-aa"),"")</f>
      </c>
      <c r="FT88" s="496" t="str">
        <f> IF(FT108&lt;&gt;"",TEXT(AUX!FW$1,"dd-MMM-aa"),"")</f>
      </c>
      <c r="FU88" s="496" t="str">
        <f> IF(FU108&lt;&gt;"",TEXT(AUX!FX$1,"dd-MMM-aa"),"")</f>
      </c>
      <c r="FV88" s="496" t="str">
        <f> IF(FV108&lt;&gt;"",TEXT(AUX!FY$1,"dd-MMM-aa"),"")</f>
      </c>
      <c r="FW88" s="496" t="str">
        <f> IF(FW108&lt;&gt;"",TEXT(AUX!FZ$1,"dd-MMM-aa"),"")</f>
      </c>
      <c r="FX88" s="496" t="str">
        <f> IF(FX108&lt;&gt;"",TEXT(AUX!GA$1,"dd-MMM-aa"),"")</f>
      </c>
      <c r="FY88" s="496" t="str">
        <f> IF(FY108&lt;&gt;"",TEXT(AUX!GB$1,"dd-MMM-aa"),"")</f>
      </c>
      <c r="FZ88" s="496" t="str">
        <f> IF(FZ108&lt;&gt;"",TEXT(AUX!GC$1,"dd-MMM-aa"),"")</f>
      </c>
      <c r="GA88" s="496" t="str">
        <f> IF(GA108&lt;&gt;"",TEXT(AUX!GD$1,"dd-MMM-aa"),"")</f>
      </c>
      <c r="GB88" s="496" t="str">
        <f> IF(GB108&lt;&gt;"",TEXT(AUX!GE$1,"dd-MMM-aa"),"")</f>
      </c>
      <c r="GC88" s="496" t="str">
        <f> IF(GC108&lt;&gt;"",TEXT(AUX!GF$1,"dd-MMM-aa"),"")</f>
      </c>
      <c r="GD88" s="496" t="str">
        <f> IF(GD108&lt;&gt;"",TEXT(AUX!GG$1,"dd-MMM-aa"),"")</f>
      </c>
      <c r="GE88" s="496" t="str">
        <f> IF(GE108&lt;&gt;"",TEXT(AUX!GH$1,"dd-MMM-aa"),"")</f>
      </c>
      <c r="GF88" s="496" t="str">
        <f> IF(GF108&lt;&gt;"",TEXT(AUX!GI$1,"dd-MMM-aa"),"")</f>
      </c>
      <c r="GG88" s="496" t="str">
        <f> IF(GG108&lt;&gt;"",TEXT(AUX!GJ$1,"dd-MMM-aa"),"")</f>
      </c>
      <c r="GH88" s="496" t="str">
        <f> IF(GH108&lt;&gt;"",TEXT(AUX!GK$1,"dd-MMM-aa"),"")</f>
      </c>
      <c r="GI88" s="496" t="str">
        <f> IF(GI108&lt;&gt;"",TEXT(AUX!GL$1,"dd-MMM-aa"),"")</f>
      </c>
      <c r="GJ88" s="496" t="str">
        <f> IF(GJ108&lt;&gt;"",TEXT(AUX!GM$1,"dd-MMM-aa"),"")</f>
      </c>
      <c r="GK88" s="496" t="str">
        <f> IF(GK108&lt;&gt;"",TEXT(AUX!GN$1,"dd-MMM-aa"),"")</f>
      </c>
      <c r="GL88" s="496" t="str">
        <f> IF(GL108&lt;&gt;"",TEXT(AUX!GO$1,"dd-MMM-aa"),"")</f>
      </c>
      <c r="GM88" s="496" t="str">
        <f> IF(GM108&lt;&gt;"",TEXT(AUX!GP$1,"dd-MMM-aa"),"")</f>
      </c>
      <c r="GN88" s="496" t="str">
        <f> IF(GN108&lt;&gt;"",TEXT(AUX!GQ$1,"dd-MMM-aa"),"")</f>
      </c>
      <c r="GO88" s="496" t="str">
        <f> IF(GO108&lt;&gt;"",TEXT(AUX!GR$1,"dd-MMM-aa"),"")</f>
      </c>
      <c r="GP88" s="496" t="str">
        <f> IF(GP108&lt;&gt;"",TEXT(AUX!GS$1,"dd-MMM-aa"),"")</f>
      </c>
      <c r="GQ88" s="496" t="str">
        <f> IF(GQ108&lt;&gt;"",TEXT(AUX!GT$1,"dd-MMM-aa"),"")</f>
      </c>
      <c r="GR88" s="496" t="str">
        <f> IF(GR108&lt;&gt;"",TEXT(AUX!GU$1,"dd-MMM-aa"),"")</f>
      </c>
      <c r="GS88" s="496" t="str">
        <f> IF(GS108&lt;&gt;"",TEXT(AUX!GV$1,"dd-MMM-aa"),"")</f>
      </c>
      <c r="GT88" s="496" t="str">
        <f> IF(GT108&lt;&gt;"",TEXT(AUX!GW$1,"dd-MMM-aa"),"")</f>
      </c>
      <c r="GU88" s="496" t="str">
        <f> IF(GU108&lt;&gt;"",TEXT(AUX!GX$1,"dd-MMM-aa"),"")</f>
      </c>
      <c r="GV88" s="496" t="str">
        <f> IF(GV108&lt;&gt;"",TEXT(AUX!GY$1,"dd-MMM-aa"),"")</f>
      </c>
      <c r="GW88" s="496" t="str">
        <f> IF(GW108&lt;&gt;"",TEXT(AUX!GZ$1,"dd-MMM-aa"),"")</f>
      </c>
      <c r="GX88" s="496" t="str">
        <f> IF(GX108&lt;&gt;"",TEXT(AUX!HA$1,"dd-MMM-aa"),"")</f>
      </c>
      <c r="GY88" s="496" t="str">
        <f> IF(GY108&lt;&gt;"",TEXT(AUX!HB$1,"dd-MMM-aa"),"")</f>
      </c>
      <c r="GZ88" s="496" t="str">
        <f> IF(GZ108&lt;&gt;"",TEXT(AUX!HC$1,"dd-MMM-aa"),"")</f>
      </c>
      <c r="HA88" s="496" t="str">
        <f> IF(HA108&lt;&gt;"",TEXT(AUX!HD$1,"dd-MMM-aa"),"")</f>
      </c>
      <c r="HB88" s="496" t="str">
        <f> IF(HB108&lt;&gt;"",TEXT(AUX!HE$1,"dd-MMM-aa"),"")</f>
      </c>
      <c r="HC88" s="496" t="str">
        <f> IF(HC108&lt;&gt;"",TEXT(AUX!HF$1,"dd-MMM-aa"),"")</f>
      </c>
      <c r="HD88" s="496" t="str">
        <f> IF(HD108&lt;&gt;"",TEXT(AUX!HG$1,"dd-MMM-aa"),"")</f>
      </c>
      <c r="HE88" s="496" t="str">
        <f> IF(HE108&lt;&gt;"",TEXT(AUX!HH$1,"dd-MMM-aa"),"")</f>
      </c>
      <c r="HF88" s="496" t="str">
        <f> IF(HF108&lt;&gt;"",TEXT(AUX!HI$1,"dd-MMM-aa"),"")</f>
      </c>
      <c r="HG88" s="496" t="str">
        <f> IF(HG108&lt;&gt;"",TEXT(AUX!HJ$1,"dd-MMM-aa"),"")</f>
      </c>
      <c r="HH88" s="496" t="str">
        <f> IF(HH108&lt;&gt;"",TEXT(AUX!HK$1,"dd-MMM-aa"),"")</f>
      </c>
      <c r="HI88" s="496" t="str">
        <f> IF(HI108&lt;&gt;"",TEXT(AUX!HL$1,"dd-MMM-aa"),"")</f>
      </c>
      <c r="HJ88" s="496" t="str">
        <f> IF(HJ108&lt;&gt;"",TEXT(AUX!HM$1,"dd-MMM-aa"),"")</f>
      </c>
      <c r="HK88" s="496" t="str">
        <f> IF(HK108&lt;&gt;"",TEXT(AUX!HN$1,"dd-MMM-aa"),"")</f>
      </c>
      <c r="HL88" s="496" t="str">
        <f> IF(HL108&lt;&gt;"",TEXT(AUX!HO$1,"dd-MMM-aa"),"")</f>
      </c>
      <c r="HM88" s="496" t="str">
        <f> IF(HM108&lt;&gt;"",TEXT(AUX!HP$1,"dd-MMM-aa"),"")</f>
      </c>
      <c r="HN88" s="496" t="str">
        <f> IF(HN108&lt;&gt;"",TEXT(AUX!HQ$1,"dd-MMM-aa"),"")</f>
      </c>
      <c r="HO88" s="496" t="str">
        <f> IF(HO108&lt;&gt;"",TEXT(AUX!HR$1,"dd-MMM-aa"),"")</f>
      </c>
      <c r="HP88" s="496" t="str">
        <f> IF(HP108&lt;&gt;"",TEXT(AUX!HS$1,"dd-MMM-aa"),"")</f>
      </c>
      <c r="HQ88" s="496" t="str">
        <f> IF(HQ108&lt;&gt;"",TEXT(AUX!HT$1,"dd-MMM-aa"),"")</f>
      </c>
      <c r="HR88" s="496" t="str">
        <f> IF(HR108&lt;&gt;"",TEXT(AUX!HU$1,"dd-MMM-aa"),"")</f>
      </c>
      <c r="HS88" s="496" t="str">
        <f> IF(HS108&lt;&gt;"",TEXT(AUX!HV$1,"dd-MMM-aa"),"")</f>
      </c>
      <c r="HT88" s="496" t="str">
        <f> IF(HT108&lt;&gt;"",TEXT(AUX!HW$1,"dd-MMM-aa"),"")</f>
      </c>
      <c r="HU88" s="496" t="str">
        <f> IF(HU108&lt;&gt;"",TEXT(AUX!HX$1,"dd-MMM-aa"),"")</f>
      </c>
      <c r="HV88" s="496" t="str">
        <f> IF(HV108&lt;&gt;"",TEXT(AUX!HY$1,"dd-MMM-aa"),"")</f>
      </c>
      <c r="HW88" s="496" t="str">
        <f> IF(HW108&lt;&gt;"",TEXT(AUX!HZ$1,"dd-MMM-aa"),"")</f>
      </c>
      <c r="HX88" s="496" t="str">
        <f> IF(HX108&lt;&gt;"",TEXT(AUX!IA$1,"dd-MMM-aa"),"")</f>
      </c>
      <c r="HY88" s="496" t="str">
        <f> IF(HY108&lt;&gt;"",TEXT(AUX!IB$1,"dd-MMM-aa"),"")</f>
      </c>
      <c r="HZ88" s="496" t="str">
        <f> IF(HZ108&lt;&gt;"",TEXT(AUX!IC$1,"dd-MMM-aa"),"")</f>
      </c>
      <c r="IA88" s="496" t="str">
        <f> IF(IA108&lt;&gt;"",TEXT(AUX!ID$1,"dd-MMM-aa"),"")</f>
      </c>
      <c r="IB88" s="496" t="str">
        <f> IF(IB108&lt;&gt;"",TEXT(AUX!IE$1,"dd-MMM-aa"),"")</f>
      </c>
      <c r="IC88" s="496" t="str">
        <f> IF(IC108&lt;&gt;"",TEXT(AUX!IF$1,"dd-MMM-aa"),"")</f>
      </c>
      <c r="ID88" s="496" t="str">
        <f> IF(ID108&lt;&gt;"",TEXT(AUX!IG$1,"dd-MMM-aa"),"")</f>
      </c>
      <c r="IE88" s="496" t="str">
        <f> IF(IE108&lt;&gt;"",TEXT(AUX!IH$1,"dd-MMM-aa"),"")</f>
      </c>
      <c r="IF88" s="496" t="str">
        <f> IF(IF108&lt;&gt;"",TEXT(AUX!II$1,"dd-MMM-aa"),"")</f>
      </c>
      <c r="IG88" s="496" t="str">
        <f> IF(IG108&lt;&gt;"",TEXT(AUX!IJ$1,"dd-MMM-aa"),"")</f>
      </c>
      <c r="IH88" s="496" t="str">
        <f> IF(IH108&lt;&gt;"",TEXT(AUX!IK$1,"dd-MMM-aa"),"")</f>
      </c>
      <c r="II88" s="496" t="str">
        <f> IF(II108&lt;&gt;"",TEXT(AUX!IL$1,"dd-MMM-aa"),"")</f>
      </c>
      <c r="IJ88" s="496" t="str">
        <f> IF(IJ108&lt;&gt;"",TEXT(AUX!IM$1,"dd-MMM-aa"),"")</f>
      </c>
      <c r="IK88" s="496" t="str">
        <f> IF(IK108&lt;&gt;"",TEXT(AUX!IN$1,"dd-MMM-aa"),"")</f>
      </c>
      <c r="IL88" s="496" t="str">
        <f> IF(IL108&lt;&gt;"",TEXT(AUX!IO$1,"dd-MMM-aa"),"")</f>
      </c>
      <c r="IM88" s="496" t="str">
        <f> IF(IM108&lt;&gt;"",TEXT(AUX!IP$1,"dd-MMM-aa"),"")</f>
      </c>
      <c r="IN88" s="496" t="str">
        <f> IF(IN108&lt;&gt;"",TEXT(AUX!IQ$1,"dd-MMM-aa"),"")</f>
      </c>
      <c r="IO88" s="496" t="str">
        <f> IF(IO108&lt;&gt;"",TEXT(AUX!IR$1,"dd-MMM-aa"),"")</f>
      </c>
      <c r="IP88" s="496" t="str">
        <f> IF(IP108&lt;&gt;"",TEXT(AUX!IS$1,"dd-MMM-aa"),"")</f>
      </c>
      <c r="IQ88" s="496" t="str">
        <f> IF(IQ108&lt;&gt;"",TEXT(AUX!IT$1,"dd-MMM-aa"),"")</f>
      </c>
      <c r="IR88" s="496" t="str">
        <f> IF(IR108&lt;&gt;"",TEXT(AUX!IU$1,"dd-MMM-aa"),"")</f>
      </c>
      <c r="IS88" s="496" t="str">
        <f> IF(IS108&lt;&gt;"",TEXT(AUX!#REF!,"dd-MMM-aa"),"")</f>
      </c>
      <c r="IT88" s="496" t="str">
        <f> IF(IT108&lt;&gt;"",TEXT(AUX!#REF!,"dd-MMM-aa"),"")</f>
      </c>
      <c r="IU88" s="496" t="str">
        <f> IF(IU108&lt;&gt;"",TEXT(AUX!#REF!,"dd-MMM-aa"),"")</f>
      </c>
      <c r="IV88" s="496" t="str">
        <f> IF(IV108&lt;&gt;"",TEXT(AUX!#REF!,"dd-MMM-aa"),"")</f>
      </c>
    </row>
    <row r="89" hidden="1" ht="12.75" customHeight="1">
      <c r="B89" s="833" t="s">
        <v>8</v>
      </c>
      <c r="C89" s="827">
        <v>0</v>
      </c>
      <c r="D89" s="827">
        <v>52545</v>
      </c>
      <c r="E89" s="827">
        <v>136965</v>
      </c>
      <c r="F89" s="827">
        <v>176733</v>
      </c>
      <c r="G89" s="827">
        <v>201026</v>
      </c>
      <c r="H89" s="827">
        <v>211707</v>
      </c>
      <c r="I89" s="827">
        <v>218611</v>
      </c>
      <c r="J89" s="827">
        <v>226467</v>
      </c>
      <c r="K89" s="827">
        <v>227497</v>
      </c>
      <c r="L89" s="827">
        <v>230115</v>
      </c>
      <c r="M89" s="827">
        <v>231156</v>
      </c>
      <c r="N89" s="827">
        <v>231425</v>
      </c>
      <c r="O89" s="827">
        <v>227708</v>
      </c>
      <c r="P89" s="827">
        <v>221653</v>
      </c>
      <c r="Q89" s="827">
        <v>220493</v>
      </c>
      <c r="R89" s="827">
        <v>221247</v>
      </c>
      <c r="S89" s="827">
        <v>220621</v>
      </c>
      <c r="T89" s="827">
        <v>219234</v>
      </c>
      <c r="U89" s="827">
        <v>219253</v>
      </c>
      <c r="V89" s="827">
        <v>218735</v>
      </c>
      <c r="W89" s="827">
        <v>218256</v>
      </c>
      <c r="X89" s="827">
        <v>215444</v>
      </c>
      <c r="Y89" s="827">
        <v>212924</v>
      </c>
      <c r="Z89" s="827">
        <v>210967</v>
      </c>
      <c r="AA89" s="827">
        <v>209765</v>
      </c>
      <c r="AB89" s="834">
        <v>209385</v>
      </c>
      <c r="AC89" s="828">
        <v>208732</v>
      </c>
      <c r="AD89" s="828">
        <v>208702</v>
      </c>
      <c r="AE89" s="828">
        <v>207420</v>
      </c>
      <c r="AF89" s="828">
        <v>206933</v>
      </c>
      <c r="AG89" s="828">
        <v>193870</v>
      </c>
      <c r="AH89" s="828">
        <v>191874</v>
      </c>
      <c r="AI89" s="828">
        <v>190574</v>
      </c>
      <c r="AJ89" s="828">
        <v>190002</v>
      </c>
      <c r="AK89" s="828">
        <v>189410</v>
      </c>
      <c r="AL89" s="828">
        <v>188446</v>
      </c>
      <c r="AM89" s="828">
        <v>187947</v>
      </c>
      <c r="AN89" s="828">
        <v>342681</v>
      </c>
      <c r="AO89" s="828">
        <v>345835</v>
      </c>
      <c r="AP89" s="828">
        <v>350097</v>
      </c>
    </row>
    <row r="90" hidden="1" ht="12.75" customHeight="1">
      <c r="B90" s="829" t="s">
        <v>9</v>
      </c>
      <c r="C90" s="823">
        <v>10045</v>
      </c>
      <c r="D90" s="823">
        <v>11357</v>
      </c>
      <c r="E90" s="823">
        <v>11393</v>
      </c>
      <c r="F90" s="823">
        <v>11378</v>
      </c>
      <c r="G90" s="823">
        <v>11113</v>
      </c>
      <c r="H90" s="823">
        <v>11113</v>
      </c>
      <c r="I90" s="823">
        <v>11573</v>
      </c>
      <c r="J90" s="823">
        <v>11550</v>
      </c>
      <c r="K90" s="823">
        <v>11877</v>
      </c>
      <c r="L90" s="823">
        <v>11549</v>
      </c>
      <c r="M90" s="823">
        <v>11948</v>
      </c>
      <c r="N90" s="823">
        <v>12789</v>
      </c>
      <c r="O90" s="823">
        <v>12789</v>
      </c>
      <c r="P90" s="823">
        <v>11501</v>
      </c>
      <c r="Q90" s="823">
        <v>13774</v>
      </c>
      <c r="R90" s="823">
        <v>16493</v>
      </c>
      <c r="S90" s="823">
        <v>19271</v>
      </c>
      <c r="T90" s="823">
        <v>19831</v>
      </c>
      <c r="U90" s="823">
        <v>20274</v>
      </c>
      <c r="V90" s="823">
        <v>19833</v>
      </c>
      <c r="W90" s="823">
        <v>20674</v>
      </c>
      <c r="X90" s="823">
        <v>21933</v>
      </c>
      <c r="Y90" s="823">
        <v>22807</v>
      </c>
      <c r="Z90" s="823">
        <v>23545</v>
      </c>
      <c r="AA90" s="823">
        <v>24365</v>
      </c>
      <c r="AB90" s="823">
        <v>24388</v>
      </c>
      <c r="AC90" s="825">
        <v>25430</v>
      </c>
      <c r="AD90" s="825">
        <v>12463</v>
      </c>
      <c r="AE90" s="825">
        <v>12459</v>
      </c>
      <c r="AF90" s="825">
        <v>12293</v>
      </c>
      <c r="AG90" s="825">
        <v>12434</v>
      </c>
      <c r="AH90" s="825">
        <v>12760</v>
      </c>
      <c r="AI90" s="825">
        <v>12768</v>
      </c>
      <c r="AJ90" s="825">
        <v>12842</v>
      </c>
      <c r="AK90" s="825">
        <v>12937</v>
      </c>
      <c r="AL90" s="825">
        <v>12987</v>
      </c>
      <c r="AM90" s="825">
        <v>13190</v>
      </c>
      <c r="AN90" s="825">
        <v>19682</v>
      </c>
      <c r="AO90" s="825">
        <v>19169</v>
      </c>
      <c r="AP90" s="825">
        <v>20463</v>
      </c>
    </row>
    <row r="91" hidden="1" ht="12.75" customHeight="1">
      <c r="B91" s="826" t="s">
        <v>10</v>
      </c>
      <c r="C91" s="827">
        <v>4439</v>
      </c>
      <c r="D91" s="827">
        <v>4416</v>
      </c>
      <c r="E91" s="827">
        <v>10717</v>
      </c>
      <c r="F91" s="827">
        <v>10696</v>
      </c>
      <c r="G91" s="827">
        <v>11673</v>
      </c>
      <c r="H91" s="827">
        <v>14366</v>
      </c>
      <c r="I91" s="827">
        <v>24810</v>
      </c>
      <c r="J91" s="827">
        <v>24811</v>
      </c>
      <c r="K91" s="827">
        <v>47185</v>
      </c>
      <c r="L91" s="827">
        <v>47124</v>
      </c>
      <c r="M91" s="827">
        <v>50941</v>
      </c>
      <c r="N91" s="827">
        <v>51202</v>
      </c>
      <c r="O91" s="827">
        <v>42400</v>
      </c>
      <c r="P91" s="827">
        <v>42556</v>
      </c>
      <c r="Q91" s="827">
        <v>57560</v>
      </c>
      <c r="R91" s="827">
        <v>57570</v>
      </c>
      <c r="S91" s="827">
        <v>44558</v>
      </c>
      <c r="T91" s="827">
        <v>43374</v>
      </c>
      <c r="U91" s="827">
        <v>36934</v>
      </c>
      <c r="V91" s="827">
        <v>36837</v>
      </c>
      <c r="W91" s="827">
        <v>37593</v>
      </c>
      <c r="X91" s="827">
        <v>37513</v>
      </c>
      <c r="Y91" s="827">
        <v>40106</v>
      </c>
      <c r="Z91" s="827">
        <v>40043</v>
      </c>
      <c r="AA91" s="827">
        <v>36998</v>
      </c>
      <c r="AB91" s="827">
        <v>36901</v>
      </c>
      <c r="AC91" s="828">
        <v>37690</v>
      </c>
      <c r="AD91" s="828">
        <v>37621</v>
      </c>
      <c r="AE91" s="828">
        <v>39208</v>
      </c>
      <c r="AF91" s="828">
        <v>39074</v>
      </c>
      <c r="AG91" s="828">
        <v>42042</v>
      </c>
      <c r="AH91" s="828">
        <v>41905</v>
      </c>
      <c r="AI91" s="828">
        <v>41090</v>
      </c>
      <c r="AJ91" s="828">
        <v>40931</v>
      </c>
      <c r="AK91" s="828">
        <v>42495</v>
      </c>
      <c r="AL91" s="828">
        <v>42290</v>
      </c>
      <c r="AM91" s="828">
        <v>42307</v>
      </c>
      <c r="AN91" s="828">
        <v>80286</v>
      </c>
      <c r="AO91" s="828">
        <v>82395</v>
      </c>
      <c r="AP91" s="828">
        <v>85080</v>
      </c>
    </row>
    <row r="92" hidden="1" ht="12.75" customHeight="1">
      <c r="B92" s="829" t="s">
        <v>11</v>
      </c>
      <c r="C92" s="823">
        <v>8850</v>
      </c>
      <c r="D92" s="823">
        <v>9293</v>
      </c>
      <c r="E92" s="823">
        <v>9630</v>
      </c>
      <c r="F92" s="823">
        <v>9862</v>
      </c>
      <c r="G92" s="823">
        <v>10054</v>
      </c>
      <c r="H92" s="823">
        <v>9621</v>
      </c>
      <c r="I92" s="823">
        <v>10543</v>
      </c>
      <c r="J92" s="823">
        <v>10670</v>
      </c>
      <c r="K92" s="823">
        <v>10846</v>
      </c>
      <c r="L92" s="823">
        <v>10801</v>
      </c>
      <c r="M92" s="823">
        <v>23548</v>
      </c>
      <c r="N92" s="823">
        <v>24698</v>
      </c>
      <c r="O92" s="823">
        <v>25478</v>
      </c>
      <c r="P92" s="823">
        <v>27734</v>
      </c>
      <c r="Q92" s="823">
        <v>27644</v>
      </c>
      <c r="R92" s="823">
        <v>27390</v>
      </c>
      <c r="S92" s="823">
        <v>16437</v>
      </c>
      <c r="T92" s="823">
        <v>16151</v>
      </c>
      <c r="U92" s="823">
        <v>14678</v>
      </c>
      <c r="V92" s="823">
        <v>14792</v>
      </c>
      <c r="W92" s="823">
        <v>14689</v>
      </c>
      <c r="X92" s="823">
        <v>14886</v>
      </c>
      <c r="Y92" s="823">
        <v>14484</v>
      </c>
      <c r="Z92" s="823">
        <v>14656</v>
      </c>
      <c r="AA92" s="823">
        <v>14810</v>
      </c>
      <c r="AB92" s="823">
        <v>14912</v>
      </c>
      <c r="AC92" s="825">
        <v>15463</v>
      </c>
      <c r="AD92" s="825">
        <v>15677</v>
      </c>
      <c r="AE92" s="825">
        <v>16084</v>
      </c>
      <c r="AF92" s="825">
        <v>16495</v>
      </c>
      <c r="AG92" s="825">
        <v>15286</v>
      </c>
      <c r="AH92" s="825">
        <v>15957</v>
      </c>
      <c r="AI92" s="825">
        <v>16206</v>
      </c>
      <c r="AJ92" s="825">
        <v>16542</v>
      </c>
      <c r="AK92" s="825">
        <v>16766</v>
      </c>
      <c r="AL92" s="825">
        <v>17103</v>
      </c>
      <c r="AM92" s="825">
        <v>17543</v>
      </c>
      <c r="AN92" s="825">
        <v>27598</v>
      </c>
      <c r="AO92" s="825">
        <v>27718</v>
      </c>
      <c r="AP92" s="825">
        <v>28234</v>
      </c>
    </row>
    <row r="93" hidden="1" ht="12.75" customHeight="1">
      <c r="B93" s="826" t="s">
        <v>12</v>
      </c>
      <c r="C93" s="827">
        <v>5398</v>
      </c>
      <c r="D93" s="827">
        <v>6032</v>
      </c>
      <c r="E93" s="827">
        <v>6703</v>
      </c>
      <c r="F93" s="827">
        <v>7142</v>
      </c>
      <c r="G93" s="827">
        <v>7668</v>
      </c>
      <c r="H93" s="827">
        <v>7959</v>
      </c>
      <c r="I93" s="827">
        <v>8130</v>
      </c>
      <c r="J93" s="827">
        <v>5761</v>
      </c>
      <c r="K93" s="827">
        <v>5605</v>
      </c>
      <c r="L93" s="827">
        <v>5531</v>
      </c>
      <c r="M93" s="827">
        <v>5241</v>
      </c>
      <c r="N93" s="827">
        <v>5248</v>
      </c>
      <c r="O93" s="827">
        <v>5520</v>
      </c>
      <c r="P93" s="827">
        <v>5566</v>
      </c>
      <c r="Q93" s="827">
        <v>5618</v>
      </c>
      <c r="R93" s="827">
        <v>5788</v>
      </c>
      <c r="S93" s="827">
        <v>5580</v>
      </c>
      <c r="T93" s="827">
        <v>5703</v>
      </c>
      <c r="U93" s="827">
        <v>5661</v>
      </c>
      <c r="V93" s="827">
        <v>5693</v>
      </c>
      <c r="W93" s="827">
        <v>5530</v>
      </c>
      <c r="X93" s="827">
        <v>5567</v>
      </c>
      <c r="Y93" s="827">
        <v>5380</v>
      </c>
      <c r="Z93" s="827">
        <v>5405</v>
      </c>
      <c r="AA93" s="827">
        <v>4949</v>
      </c>
      <c r="AB93" s="827">
        <v>4935</v>
      </c>
      <c r="AC93" s="828">
        <v>4849</v>
      </c>
      <c r="AD93" s="828">
        <v>4828</v>
      </c>
      <c r="AE93" s="828">
        <v>4619</v>
      </c>
      <c r="AF93" s="828">
        <v>4629</v>
      </c>
      <c r="AG93" s="828">
        <v>4591</v>
      </c>
      <c r="AH93" s="828">
        <v>4627</v>
      </c>
      <c r="AI93" s="828">
        <v>4693</v>
      </c>
      <c r="AJ93" s="828">
        <v>4696</v>
      </c>
      <c r="AK93" s="828">
        <v>4734</v>
      </c>
      <c r="AL93" s="828">
        <v>4788</v>
      </c>
      <c r="AM93" s="828">
        <v>4669</v>
      </c>
      <c r="AN93" s="828">
        <v>7608</v>
      </c>
      <c r="AO93" s="828">
        <v>7627</v>
      </c>
      <c r="AP93" s="828">
        <v>7978</v>
      </c>
    </row>
    <row r="94" hidden="1" ht="12.75" customHeight="1">
      <c r="B94" s="829" t="s">
        <v>13</v>
      </c>
      <c r="C94" s="823">
        <v>28951</v>
      </c>
      <c r="D94" s="823">
        <v>34901</v>
      </c>
      <c r="E94" s="823">
        <v>34206</v>
      </c>
      <c r="F94" s="823">
        <v>39230</v>
      </c>
      <c r="G94" s="823">
        <v>46591</v>
      </c>
      <c r="H94" s="823">
        <v>45896</v>
      </c>
      <c r="I94" s="823">
        <v>44731</v>
      </c>
      <c r="J94" s="823">
        <v>44585</v>
      </c>
      <c r="K94" s="823">
        <v>38741</v>
      </c>
      <c r="L94" s="823">
        <v>65727</v>
      </c>
      <c r="M94" s="823">
        <v>67455</v>
      </c>
      <c r="N94" s="823">
        <v>32661</v>
      </c>
      <c r="O94" s="823">
        <v>24840</v>
      </c>
      <c r="P94" s="823">
        <v>23253</v>
      </c>
      <c r="Q94" s="823">
        <v>29102</v>
      </c>
      <c r="R94" s="823">
        <v>16198</v>
      </c>
      <c r="S94" s="823">
        <v>20521</v>
      </c>
      <c r="T94" s="823">
        <v>17039</v>
      </c>
      <c r="U94" s="823">
        <v>32067</v>
      </c>
      <c r="V94" s="823">
        <v>32297</v>
      </c>
      <c r="W94" s="823">
        <v>29355</v>
      </c>
      <c r="X94" s="823">
        <v>29491</v>
      </c>
      <c r="Y94" s="823">
        <v>27264</v>
      </c>
      <c r="Z94" s="823">
        <v>26245</v>
      </c>
      <c r="AA94" s="823">
        <v>26709</v>
      </c>
      <c r="AB94" s="823">
        <v>26176</v>
      </c>
      <c r="AC94" s="825">
        <v>26174</v>
      </c>
      <c r="AD94" s="825">
        <v>25089</v>
      </c>
      <c r="AE94" s="825">
        <v>26063</v>
      </c>
      <c r="AF94" s="825">
        <v>25802</v>
      </c>
      <c r="AG94" s="825">
        <v>27568</v>
      </c>
      <c r="AH94" s="825">
        <v>27298</v>
      </c>
      <c r="AI94" s="825">
        <v>28791</v>
      </c>
      <c r="AJ94" s="825">
        <v>28197</v>
      </c>
      <c r="AK94" s="825">
        <v>29287</v>
      </c>
      <c r="AL94" s="825">
        <v>28144</v>
      </c>
      <c r="AM94" s="825">
        <v>27090</v>
      </c>
      <c r="AN94" s="825">
        <v>73753</v>
      </c>
      <c r="AO94" s="825">
        <v>74069</v>
      </c>
      <c r="AP94" s="825">
        <v>76883</v>
      </c>
    </row>
    <row r="95" hidden="1" ht="12.75" customHeight="1">
      <c r="B95" s="826" t="s">
        <v>109</v>
      </c>
      <c r="C95" s="827">
        <v>13103</v>
      </c>
      <c r="D95" s="827">
        <v>13940</v>
      </c>
      <c r="E95" s="827">
        <v>18825</v>
      </c>
      <c r="F95" s="827">
        <v>20225</v>
      </c>
      <c r="G95" s="827">
        <v>22804</v>
      </c>
      <c r="H95" s="827">
        <v>22753</v>
      </c>
      <c r="I95" s="827">
        <v>24252</v>
      </c>
      <c r="J95" s="827">
        <v>24165</v>
      </c>
      <c r="K95" s="827">
        <v>25760</v>
      </c>
      <c r="L95" s="827">
        <v>25740</v>
      </c>
      <c r="M95" s="827">
        <v>26100</v>
      </c>
      <c r="N95" s="827">
        <v>26189</v>
      </c>
      <c r="O95" s="827">
        <v>26367</v>
      </c>
      <c r="P95" s="827">
        <v>26534</v>
      </c>
      <c r="Q95" s="827">
        <v>26110</v>
      </c>
      <c r="R95" s="827">
        <v>25342</v>
      </c>
      <c r="S95" s="827">
        <v>26181</v>
      </c>
      <c r="T95" s="827">
        <v>26168</v>
      </c>
      <c r="U95" s="827">
        <v>26590</v>
      </c>
      <c r="V95" s="827">
        <v>26666</v>
      </c>
      <c r="W95" s="827">
        <v>77124</v>
      </c>
      <c r="X95" s="827">
        <v>76817</v>
      </c>
      <c r="Y95" s="827">
        <v>25600</v>
      </c>
      <c r="Z95" s="827">
        <v>25719</v>
      </c>
      <c r="AA95" s="827">
        <v>25547</v>
      </c>
      <c r="AB95" s="827">
        <v>25573</v>
      </c>
      <c r="AC95" s="828">
        <v>23984</v>
      </c>
      <c r="AD95" s="828">
        <v>23932</v>
      </c>
      <c r="AE95" s="828">
        <v>23730</v>
      </c>
      <c r="AF95" s="828">
        <v>23751</v>
      </c>
      <c r="AG95" s="828">
        <v>23475</v>
      </c>
      <c r="AH95" s="828">
        <v>23535</v>
      </c>
      <c r="AI95" s="828">
        <v>23440</v>
      </c>
      <c r="AJ95" s="828">
        <v>21666</v>
      </c>
      <c r="AK95" s="828">
        <v>22733</v>
      </c>
      <c r="AL95" s="828">
        <v>22844</v>
      </c>
      <c r="AM95" s="828">
        <v>22773</v>
      </c>
      <c r="AN95" s="828">
        <v>39447</v>
      </c>
      <c r="AO95" s="828">
        <v>39813</v>
      </c>
      <c r="AP95" s="828">
        <v>40290</v>
      </c>
    </row>
    <row r="96" hidden="1" ht="13.5" customHeight="1">
      <c r="B96" s="829" t="s">
        <v>110</v>
      </c>
      <c r="C96" s="823">
        <v>66922</v>
      </c>
      <c r="D96" s="823">
        <v>36769</v>
      </c>
      <c r="E96" s="823">
        <v>41593</v>
      </c>
      <c r="F96" s="823">
        <v>44422</v>
      </c>
      <c r="G96" s="823">
        <v>49261</v>
      </c>
      <c r="H96" s="823">
        <v>51285</v>
      </c>
      <c r="I96" s="823">
        <v>55019</v>
      </c>
      <c r="J96" s="823">
        <v>56533</v>
      </c>
      <c r="K96" s="823">
        <v>62221</v>
      </c>
      <c r="L96" s="823">
        <v>64530</v>
      </c>
      <c r="M96" s="823">
        <v>66901</v>
      </c>
      <c r="N96" s="823">
        <v>66729</v>
      </c>
      <c r="O96" s="823">
        <v>68814</v>
      </c>
      <c r="P96" s="823">
        <v>68185</v>
      </c>
      <c r="Q96" s="823">
        <v>68738</v>
      </c>
      <c r="R96" s="823">
        <v>64766</v>
      </c>
      <c r="S96" s="823">
        <v>63846</v>
      </c>
      <c r="T96" s="823">
        <v>63536</v>
      </c>
      <c r="U96" s="823">
        <v>65063</v>
      </c>
      <c r="V96" s="823">
        <v>65128</v>
      </c>
      <c r="W96" s="823">
        <v>65965</v>
      </c>
      <c r="X96" s="823">
        <v>66501</v>
      </c>
      <c r="Y96" s="823">
        <v>65516</v>
      </c>
      <c r="Z96" s="823">
        <v>66037</v>
      </c>
      <c r="AA96" s="823">
        <v>65778</v>
      </c>
      <c r="AB96" s="823">
        <v>65764</v>
      </c>
      <c r="AC96" s="825">
        <v>66024</v>
      </c>
      <c r="AD96" s="825">
        <v>66738</v>
      </c>
      <c r="AE96" s="825">
        <v>67167</v>
      </c>
      <c r="AF96" s="825">
        <v>67876</v>
      </c>
      <c r="AG96" s="825">
        <v>68195</v>
      </c>
      <c r="AH96" s="825">
        <v>69199</v>
      </c>
      <c r="AI96" s="825">
        <v>69895</v>
      </c>
      <c r="AJ96" s="825">
        <v>70941</v>
      </c>
      <c r="AK96" s="825">
        <v>72690</v>
      </c>
      <c r="AL96" s="825">
        <v>73248</v>
      </c>
      <c r="AM96" s="825">
        <v>73784</v>
      </c>
      <c r="AN96" s="825">
        <v>117961</v>
      </c>
      <c r="AO96" s="825">
        <v>120998</v>
      </c>
      <c r="AP96" s="825">
        <v>122439</v>
      </c>
    </row>
    <row r="97" hidden="1" ht="13.5" customHeight="1">
      <c r="B97" s="826" t="s">
        <v>16</v>
      </c>
      <c r="C97" s="827">
        <v>19681</v>
      </c>
      <c r="D97" s="827">
        <v>5755</v>
      </c>
      <c r="E97" s="827">
        <v>23540</v>
      </c>
      <c r="F97" s="827">
        <v>23948</v>
      </c>
      <c r="G97" s="827">
        <v>26497</v>
      </c>
      <c r="H97" s="827">
        <v>27032</v>
      </c>
      <c r="I97" s="827">
        <v>27220</v>
      </c>
      <c r="J97" s="827">
        <v>27695</v>
      </c>
      <c r="K97" s="827">
        <v>28558</v>
      </c>
      <c r="L97" s="827">
        <v>29170</v>
      </c>
      <c r="M97" s="827">
        <v>29173</v>
      </c>
      <c r="N97" s="827">
        <v>29611</v>
      </c>
      <c r="O97" s="827">
        <v>30192</v>
      </c>
      <c r="P97" s="827">
        <v>28148</v>
      </c>
      <c r="Q97" s="827">
        <v>31960</v>
      </c>
      <c r="R97" s="827">
        <v>30146</v>
      </c>
      <c r="S97" s="827">
        <v>29533</v>
      </c>
      <c r="T97" s="827">
        <v>29415</v>
      </c>
      <c r="U97" s="827">
        <v>32353</v>
      </c>
      <c r="V97" s="827">
        <v>32661</v>
      </c>
      <c r="W97" s="827">
        <v>32661</v>
      </c>
      <c r="X97" s="827">
        <v>32661</v>
      </c>
      <c r="Y97" s="827">
        <v>32661</v>
      </c>
      <c r="Z97" s="827">
        <v>32661</v>
      </c>
      <c r="AA97" s="827">
        <v>35859</v>
      </c>
      <c r="AB97" s="827">
        <v>36066</v>
      </c>
      <c r="AC97" s="828">
        <v>35950</v>
      </c>
      <c r="AD97" s="828">
        <v>36219</v>
      </c>
      <c r="AE97" s="828">
        <v>37481</v>
      </c>
      <c r="AF97" s="828">
        <v>37366</v>
      </c>
      <c r="AG97" s="828">
        <v>37593</v>
      </c>
      <c r="AH97" s="828">
        <v>41206</v>
      </c>
      <c r="AI97" s="828">
        <v>39285</v>
      </c>
      <c r="AJ97" s="828">
        <v>39704</v>
      </c>
      <c r="AK97" s="828">
        <v>36876</v>
      </c>
      <c r="AL97" s="828">
        <v>35059</v>
      </c>
      <c r="AM97" s="828">
        <v>35081</v>
      </c>
      <c r="AN97" s="828">
        <v>90138</v>
      </c>
      <c r="AO97" s="828">
        <v>91829</v>
      </c>
      <c r="AP97" s="828">
        <v>93346</v>
      </c>
    </row>
    <row r="98" hidden="1" ht="12.75" customHeight="1">
      <c r="B98" s="829" t="s">
        <v>17</v>
      </c>
      <c r="C98" s="823">
        <v>35699</v>
      </c>
      <c r="D98" s="823">
        <v>36882</v>
      </c>
      <c r="E98" s="823">
        <v>38269</v>
      </c>
      <c r="F98" s="823">
        <v>40309</v>
      </c>
      <c r="G98" s="823">
        <v>42292</v>
      </c>
      <c r="H98" s="823">
        <v>44533</v>
      </c>
      <c r="I98" s="823">
        <v>45723</v>
      </c>
      <c r="J98" s="823">
        <v>47724</v>
      </c>
      <c r="K98" s="823">
        <v>48284</v>
      </c>
      <c r="L98" s="823">
        <v>50277</v>
      </c>
      <c r="M98" s="823">
        <v>50357</v>
      </c>
      <c r="N98" s="823">
        <v>50946</v>
      </c>
      <c r="O98" s="823">
        <v>51503</v>
      </c>
      <c r="P98" s="823">
        <v>51600</v>
      </c>
      <c r="Q98" s="823">
        <v>44178</v>
      </c>
      <c r="R98" s="823">
        <v>43943</v>
      </c>
      <c r="S98" s="823">
        <v>44289</v>
      </c>
      <c r="T98" s="823">
        <v>44202</v>
      </c>
      <c r="U98" s="823">
        <v>44406</v>
      </c>
      <c r="V98" s="823">
        <v>44168</v>
      </c>
      <c r="W98" s="823">
        <v>40886</v>
      </c>
      <c r="X98" s="823">
        <v>40660</v>
      </c>
      <c r="Y98" s="823">
        <v>40705</v>
      </c>
      <c r="Z98" s="823">
        <v>40780</v>
      </c>
      <c r="AA98" s="823">
        <v>41000</v>
      </c>
      <c r="AB98" s="823">
        <v>40849</v>
      </c>
      <c r="AC98" s="825">
        <v>40352</v>
      </c>
      <c r="AD98" s="825">
        <v>40292</v>
      </c>
      <c r="AE98" s="825">
        <v>40235</v>
      </c>
      <c r="AF98" s="825">
        <v>40223</v>
      </c>
      <c r="AG98" s="825">
        <v>40243</v>
      </c>
      <c r="AH98" s="825">
        <v>40053</v>
      </c>
      <c r="AI98" s="825">
        <v>40186</v>
      </c>
      <c r="AJ98" s="825">
        <v>40132</v>
      </c>
      <c r="AK98" s="825">
        <v>40448</v>
      </c>
      <c r="AL98" s="825">
        <v>40389</v>
      </c>
      <c r="AM98" s="825">
        <v>40027</v>
      </c>
      <c r="AN98" s="825">
        <v>63592</v>
      </c>
      <c r="AO98" s="825">
        <v>62466</v>
      </c>
      <c r="AP98" s="825">
        <v>65605</v>
      </c>
    </row>
    <row r="99" hidden="1" ht="12.75" customHeight="1">
      <c r="B99" s="826" t="s">
        <v>18</v>
      </c>
      <c r="C99" s="827">
        <v>0</v>
      </c>
      <c r="D99" s="827">
        <v>17609</v>
      </c>
      <c r="E99" s="827">
        <v>18973</v>
      </c>
      <c r="F99" s="827">
        <v>27151</v>
      </c>
      <c r="G99" s="827">
        <v>34929</v>
      </c>
      <c r="H99" s="827">
        <v>36110</v>
      </c>
      <c r="I99" s="827">
        <v>39990</v>
      </c>
      <c r="J99" s="827">
        <v>41343</v>
      </c>
      <c r="K99" s="827">
        <v>44210</v>
      </c>
      <c r="L99" s="827">
        <v>46499</v>
      </c>
      <c r="M99" s="827">
        <v>56454</v>
      </c>
      <c r="N99" s="827">
        <v>60466</v>
      </c>
      <c r="O99" s="827">
        <v>51115</v>
      </c>
      <c r="P99" s="827">
        <v>46668</v>
      </c>
      <c r="Q99" s="827">
        <v>46250</v>
      </c>
      <c r="R99" s="827">
        <v>54200</v>
      </c>
      <c r="S99" s="827">
        <v>53852</v>
      </c>
      <c r="T99" s="827">
        <v>54123</v>
      </c>
      <c r="U99" s="827">
        <v>54581</v>
      </c>
      <c r="V99" s="827">
        <v>53598</v>
      </c>
      <c r="W99" s="827">
        <v>54681</v>
      </c>
      <c r="X99" s="827">
        <v>64880</v>
      </c>
      <c r="Y99" s="827">
        <v>78194</v>
      </c>
      <c r="Z99" s="827">
        <v>41373</v>
      </c>
      <c r="AA99" s="827">
        <v>41071</v>
      </c>
      <c r="AB99" s="827">
        <v>40660</v>
      </c>
      <c r="AC99" s="828">
        <v>40980</v>
      </c>
      <c r="AD99" s="828">
        <v>40751</v>
      </c>
      <c r="AE99" s="828">
        <v>41075</v>
      </c>
      <c r="AF99" s="828">
        <v>41485</v>
      </c>
      <c r="AG99" s="828">
        <v>51699</v>
      </c>
      <c r="AH99" s="828">
        <v>61821</v>
      </c>
      <c r="AI99" s="828">
        <v>45650</v>
      </c>
      <c r="AJ99" s="828">
        <v>45767</v>
      </c>
      <c r="AK99" s="828">
        <v>49707</v>
      </c>
      <c r="AL99" s="828">
        <v>49171</v>
      </c>
      <c r="AM99" s="828">
        <v>47247</v>
      </c>
      <c r="AN99" s="828">
        <v>69847</v>
      </c>
      <c r="AO99" s="828">
        <v>71284</v>
      </c>
      <c r="AP99" s="828">
        <v>73239</v>
      </c>
    </row>
    <row r="100" hidden="1" ht="12.75" customHeight="1">
      <c r="B100" s="829" t="s">
        <v>19</v>
      </c>
      <c r="C100" s="823">
        <v>8058</v>
      </c>
      <c r="D100" s="823">
        <v>9585</v>
      </c>
      <c r="E100" s="823">
        <v>11053</v>
      </c>
      <c r="F100" s="823">
        <v>12137</v>
      </c>
      <c r="G100" s="823">
        <v>15107</v>
      </c>
      <c r="H100" s="823">
        <v>16103</v>
      </c>
      <c r="I100" s="823">
        <v>16452</v>
      </c>
      <c r="J100" s="823">
        <v>16670</v>
      </c>
      <c r="K100" s="823">
        <v>17343</v>
      </c>
      <c r="L100" s="823">
        <v>17823</v>
      </c>
      <c r="M100" s="823">
        <v>15627</v>
      </c>
      <c r="N100" s="823">
        <v>16054</v>
      </c>
      <c r="O100" s="823">
        <v>18514</v>
      </c>
      <c r="P100" s="823">
        <v>17383</v>
      </c>
      <c r="Q100" s="823">
        <v>18121</v>
      </c>
      <c r="R100" s="823">
        <v>17843</v>
      </c>
      <c r="S100" s="823">
        <v>18680</v>
      </c>
      <c r="T100" s="823">
        <v>18613</v>
      </c>
      <c r="U100" s="823">
        <v>19927</v>
      </c>
      <c r="V100" s="823">
        <v>20193</v>
      </c>
      <c r="W100" s="823">
        <v>20575</v>
      </c>
      <c r="X100" s="823">
        <v>20492</v>
      </c>
      <c r="Y100" s="823">
        <v>20837</v>
      </c>
      <c r="Z100" s="823">
        <v>20912</v>
      </c>
      <c r="AA100" s="823">
        <v>20902</v>
      </c>
      <c r="AB100" s="823">
        <v>21063</v>
      </c>
      <c r="AC100" s="825">
        <v>21243</v>
      </c>
      <c r="AD100" s="825">
        <v>21304</v>
      </c>
      <c r="AE100" s="825">
        <v>21168</v>
      </c>
      <c r="AF100" s="825">
        <v>21236</v>
      </c>
      <c r="AG100" s="825">
        <v>21171</v>
      </c>
      <c r="AH100" s="825">
        <v>21077</v>
      </c>
      <c r="AI100" s="825">
        <v>22131</v>
      </c>
      <c r="AJ100" s="825">
        <v>19999</v>
      </c>
      <c r="AK100" s="825">
        <v>21622</v>
      </c>
      <c r="AL100" s="825">
        <v>21809</v>
      </c>
      <c r="AM100" s="825">
        <v>22816</v>
      </c>
      <c r="AN100" s="825">
        <v>40640</v>
      </c>
      <c r="AO100" s="825">
        <v>41395</v>
      </c>
      <c r="AP100" s="825">
        <v>42166</v>
      </c>
    </row>
    <row r="101" hidden="1" ht="12.75" customHeight="1">
      <c r="B101" s="826" t="s">
        <v>20</v>
      </c>
      <c r="C101" s="827">
        <v>1581</v>
      </c>
      <c r="D101" s="827">
        <v>2410</v>
      </c>
      <c r="E101" s="827">
        <v>3827</v>
      </c>
      <c r="F101" s="827">
        <v>6338</v>
      </c>
      <c r="G101" s="827">
        <v>5870</v>
      </c>
      <c r="H101" s="827">
        <v>6339</v>
      </c>
      <c r="I101" s="827">
        <v>7680</v>
      </c>
      <c r="J101" s="827">
        <v>7889</v>
      </c>
      <c r="K101" s="827">
        <v>8547</v>
      </c>
      <c r="L101" s="827">
        <v>9107</v>
      </c>
      <c r="M101" s="827">
        <v>9533</v>
      </c>
      <c r="N101" s="827">
        <v>7470</v>
      </c>
      <c r="O101" s="827">
        <v>8209</v>
      </c>
      <c r="P101" s="827">
        <v>8229</v>
      </c>
      <c r="Q101" s="827">
        <v>8201</v>
      </c>
      <c r="R101" s="827">
        <v>8335</v>
      </c>
      <c r="S101" s="827">
        <v>8393</v>
      </c>
      <c r="T101" s="827">
        <v>8355</v>
      </c>
      <c r="U101" s="827">
        <v>8420</v>
      </c>
      <c r="V101" s="827">
        <v>8370</v>
      </c>
      <c r="W101" s="827">
        <v>8205</v>
      </c>
      <c r="X101" s="827">
        <v>8242</v>
      </c>
      <c r="Y101" s="827">
        <v>8606</v>
      </c>
      <c r="Z101" s="827">
        <v>8625</v>
      </c>
      <c r="AA101" s="827">
        <v>8969</v>
      </c>
      <c r="AB101" s="827">
        <v>8902</v>
      </c>
      <c r="AC101" s="828">
        <v>8849</v>
      </c>
      <c r="AD101" s="828">
        <v>8811</v>
      </c>
      <c r="AE101" s="828">
        <v>9237</v>
      </c>
      <c r="AF101" s="828">
        <v>9228</v>
      </c>
      <c r="AG101" s="828">
        <v>7586</v>
      </c>
      <c r="AH101" s="828">
        <v>7685</v>
      </c>
      <c r="AI101" s="828">
        <v>7596</v>
      </c>
      <c r="AJ101" s="828">
        <v>7556</v>
      </c>
      <c r="AK101" s="828">
        <v>7751</v>
      </c>
      <c r="AL101" s="828">
        <v>7743</v>
      </c>
      <c r="AM101" s="828">
        <v>8771</v>
      </c>
      <c r="AN101" s="828">
        <v>18619</v>
      </c>
      <c r="AO101" s="828">
        <v>18861</v>
      </c>
      <c r="AP101" s="828">
        <v>19132</v>
      </c>
    </row>
    <row r="102" hidden="1" ht="12.75" customHeight="1">
      <c r="B102" s="829" t="s">
        <v>21</v>
      </c>
      <c r="C102" s="823">
        <v>16199</v>
      </c>
      <c r="D102" s="823">
        <v>16506</v>
      </c>
      <c r="E102" s="823">
        <v>16703</v>
      </c>
      <c r="F102" s="823">
        <v>17065</v>
      </c>
      <c r="G102" s="823">
        <v>18189</v>
      </c>
      <c r="H102" s="823">
        <v>18462</v>
      </c>
      <c r="I102" s="823">
        <v>18970</v>
      </c>
      <c r="J102" s="823">
        <v>19797</v>
      </c>
      <c r="K102" s="823">
        <v>23164</v>
      </c>
      <c r="L102" s="823">
        <v>23430</v>
      </c>
      <c r="M102" s="823">
        <v>23111</v>
      </c>
      <c r="N102" s="823">
        <v>23652</v>
      </c>
      <c r="O102" s="823">
        <v>23877</v>
      </c>
      <c r="P102" s="823">
        <v>24074</v>
      </c>
      <c r="Q102" s="823">
        <v>24457</v>
      </c>
      <c r="R102" s="823">
        <v>24369</v>
      </c>
      <c r="S102" s="823">
        <v>24732</v>
      </c>
      <c r="T102" s="823">
        <v>24746</v>
      </c>
      <c r="U102" s="823">
        <v>25233</v>
      </c>
      <c r="V102" s="823">
        <v>25256</v>
      </c>
      <c r="W102" s="823">
        <v>25637</v>
      </c>
      <c r="X102" s="823">
        <v>26073</v>
      </c>
      <c r="Y102" s="823">
        <v>13167</v>
      </c>
      <c r="Z102" s="823">
        <v>11988</v>
      </c>
      <c r="AA102" s="823">
        <v>16973</v>
      </c>
      <c r="AB102" s="823">
        <v>29498</v>
      </c>
      <c r="AC102" s="825">
        <v>27805</v>
      </c>
      <c r="AD102" s="825">
        <v>29921</v>
      </c>
      <c r="AE102" s="825">
        <v>28568</v>
      </c>
      <c r="AF102" s="825">
        <v>29892</v>
      </c>
      <c r="AG102" s="825">
        <v>27787</v>
      </c>
      <c r="AH102" s="825">
        <v>30967</v>
      </c>
      <c r="AI102" s="825">
        <v>29369</v>
      </c>
      <c r="AJ102" s="825">
        <v>32216</v>
      </c>
      <c r="AK102" s="825">
        <v>31215</v>
      </c>
      <c r="AL102" s="825">
        <v>33000</v>
      </c>
      <c r="AM102" s="825">
        <v>32197</v>
      </c>
      <c r="AN102" s="825">
        <v>76129</v>
      </c>
      <c r="AO102" s="825">
        <v>77656</v>
      </c>
      <c r="AP102" s="825">
        <v>80036</v>
      </c>
    </row>
    <row r="103" hidden="1" ht="12.75" customHeight="1">
      <c r="B103" s="826" t="s">
        <v>22</v>
      </c>
      <c r="C103" s="827">
        <v>23244</v>
      </c>
      <c r="D103" s="827">
        <v>23231</v>
      </c>
      <c r="E103" s="827">
        <v>23206</v>
      </c>
      <c r="F103" s="827">
        <v>24715</v>
      </c>
      <c r="G103" s="827">
        <v>24965</v>
      </c>
      <c r="H103" s="827">
        <v>25433</v>
      </c>
      <c r="I103" s="827">
        <v>26044</v>
      </c>
      <c r="J103" s="827">
        <v>27058</v>
      </c>
      <c r="K103" s="827">
        <v>37721</v>
      </c>
      <c r="L103" s="827">
        <v>17550</v>
      </c>
      <c r="M103" s="827">
        <v>35986</v>
      </c>
      <c r="N103" s="827">
        <v>35936</v>
      </c>
      <c r="O103" s="827">
        <v>37682</v>
      </c>
      <c r="P103" s="827">
        <v>37804</v>
      </c>
      <c r="Q103" s="827">
        <v>35489</v>
      </c>
      <c r="R103" s="827">
        <v>34237</v>
      </c>
      <c r="S103" s="827">
        <v>34933</v>
      </c>
      <c r="T103" s="827">
        <v>34917</v>
      </c>
      <c r="U103" s="827">
        <v>34834</v>
      </c>
      <c r="V103" s="827">
        <v>34803</v>
      </c>
      <c r="W103" s="827">
        <v>34384</v>
      </c>
      <c r="X103" s="827">
        <v>33377</v>
      </c>
      <c r="Y103" s="827">
        <v>32924</v>
      </c>
      <c r="Z103" s="827">
        <v>32993</v>
      </c>
      <c r="AA103" s="827">
        <v>30286</v>
      </c>
      <c r="AB103" s="827">
        <v>30132</v>
      </c>
      <c r="AC103" s="828">
        <v>32366</v>
      </c>
      <c r="AD103" s="828">
        <v>32341</v>
      </c>
      <c r="AE103" s="828">
        <v>32368</v>
      </c>
      <c r="AF103" s="828">
        <v>33447</v>
      </c>
      <c r="AG103" s="828">
        <v>37253</v>
      </c>
      <c r="AH103" s="828">
        <v>37154</v>
      </c>
      <c r="AI103" s="828">
        <v>37322</v>
      </c>
      <c r="AJ103" s="828">
        <v>38137</v>
      </c>
      <c r="AK103" s="828">
        <v>39976</v>
      </c>
      <c r="AL103" s="828">
        <v>39839</v>
      </c>
      <c r="AM103" s="828">
        <v>40945</v>
      </c>
      <c r="AN103" s="828">
        <v>67411</v>
      </c>
      <c r="AO103" s="828">
        <v>68331</v>
      </c>
      <c r="AP103" s="828">
        <v>70928</v>
      </c>
    </row>
    <row r="104" hidden="1" ht="12.75" customHeight="1">
      <c r="B104" s="829" t="s">
        <v>23</v>
      </c>
      <c r="C104" s="823">
        <v>5507</v>
      </c>
      <c r="D104" s="823">
        <v>5546</v>
      </c>
      <c r="E104" s="823">
        <v>5549</v>
      </c>
      <c r="F104" s="823">
        <v>5567</v>
      </c>
      <c r="G104" s="823">
        <v>5089</v>
      </c>
      <c r="H104" s="823">
        <v>5147</v>
      </c>
      <c r="I104" s="823">
        <v>5206</v>
      </c>
      <c r="J104" s="823">
        <v>5190</v>
      </c>
      <c r="K104" s="823">
        <v>5574</v>
      </c>
      <c r="L104" s="823">
        <v>5534</v>
      </c>
      <c r="M104" s="823">
        <v>5812</v>
      </c>
      <c r="N104" s="823">
        <v>5820</v>
      </c>
      <c r="O104" s="823">
        <v>5624</v>
      </c>
      <c r="P104" s="823">
        <v>5627</v>
      </c>
      <c r="Q104" s="823">
        <v>5960</v>
      </c>
      <c r="R104" s="823">
        <v>5951</v>
      </c>
      <c r="S104" s="823">
        <v>5686</v>
      </c>
      <c r="T104" s="823">
        <v>5652</v>
      </c>
      <c r="U104" s="823">
        <v>5385</v>
      </c>
      <c r="V104" s="823">
        <v>5754</v>
      </c>
      <c r="W104" s="823">
        <v>5547</v>
      </c>
      <c r="X104" s="823">
        <v>5572</v>
      </c>
      <c r="Y104" s="823">
        <v>5004</v>
      </c>
      <c r="Z104" s="823">
        <v>4980</v>
      </c>
      <c r="AA104" s="823">
        <v>4803</v>
      </c>
      <c r="AB104" s="823">
        <v>4728</v>
      </c>
      <c r="AC104" s="825">
        <v>4890</v>
      </c>
      <c r="AD104" s="825">
        <v>4874</v>
      </c>
      <c r="AE104" s="825">
        <v>4819</v>
      </c>
      <c r="AF104" s="825">
        <v>4796</v>
      </c>
      <c r="AG104" s="825">
        <v>4957</v>
      </c>
      <c r="AH104" s="825">
        <v>4917</v>
      </c>
      <c r="AI104" s="825">
        <v>5051</v>
      </c>
      <c r="AJ104" s="825">
        <v>5048</v>
      </c>
      <c r="AK104" s="825">
        <v>5141</v>
      </c>
      <c r="AL104" s="825">
        <v>5112</v>
      </c>
      <c r="AM104" s="825">
        <v>5009</v>
      </c>
      <c r="AN104" s="825">
        <v>10828</v>
      </c>
      <c r="AO104" s="825">
        <v>10956</v>
      </c>
      <c r="AP104" s="825">
        <v>11479</v>
      </c>
    </row>
    <row r="105" hidden="1" ht="12.75" customHeight="1">
      <c r="B105" s="835" t="s">
        <v>24</v>
      </c>
      <c r="C105" s="827">
        <v>5368</v>
      </c>
      <c r="D105" s="827">
        <v>5206</v>
      </c>
      <c r="E105" s="827">
        <v>5472</v>
      </c>
      <c r="F105" s="827">
        <v>5674</v>
      </c>
      <c r="G105" s="827">
        <v>5724</v>
      </c>
      <c r="H105" s="827">
        <v>5739</v>
      </c>
      <c r="I105" s="827">
        <v>6016</v>
      </c>
      <c r="J105" s="827">
        <v>6448</v>
      </c>
      <c r="K105" s="827">
        <v>7707</v>
      </c>
      <c r="L105" s="827">
        <v>8563</v>
      </c>
      <c r="M105" s="827">
        <v>10368</v>
      </c>
      <c r="N105" s="827">
        <v>12588</v>
      </c>
      <c r="O105" s="827">
        <v>13679</v>
      </c>
      <c r="P105" s="827">
        <v>14374</v>
      </c>
      <c r="Q105" s="827">
        <v>15096</v>
      </c>
      <c r="R105" s="827">
        <v>15613</v>
      </c>
      <c r="S105" s="827">
        <v>15342</v>
      </c>
      <c r="T105" s="827">
        <v>15783</v>
      </c>
      <c r="U105" s="827">
        <v>17351</v>
      </c>
      <c r="V105" s="827">
        <v>18718</v>
      </c>
      <c r="W105" s="827">
        <v>20656</v>
      </c>
      <c r="X105" s="827">
        <v>20612</v>
      </c>
      <c r="Y105" s="827">
        <v>21501</v>
      </c>
      <c r="Z105" s="827">
        <v>21796</v>
      </c>
      <c r="AA105" s="827">
        <v>21926</v>
      </c>
      <c r="AB105" s="827">
        <v>22821</v>
      </c>
      <c r="AC105" s="828">
        <v>22766</v>
      </c>
      <c r="AD105" s="828">
        <v>22833</v>
      </c>
      <c r="AE105" s="828">
        <v>23611</v>
      </c>
      <c r="AF105" s="828">
        <v>23733</v>
      </c>
      <c r="AG105" s="828">
        <v>23535</v>
      </c>
      <c r="AH105" s="828">
        <v>23406</v>
      </c>
      <c r="AI105" s="828">
        <v>24356</v>
      </c>
      <c r="AJ105" s="828">
        <v>24394</v>
      </c>
      <c r="AK105" s="828">
        <v>24489</v>
      </c>
      <c r="AL105" s="828">
        <v>24494</v>
      </c>
      <c r="AM105" s="828">
        <v>24343</v>
      </c>
      <c r="AN105" s="828">
        <v>41196</v>
      </c>
      <c r="AO105" s="828">
        <v>41255</v>
      </c>
      <c r="AP105" s="828">
        <v>42163</v>
      </c>
    </row>
    <row r="106" hidden="1" ht="12.75" customHeight="1">
      <c r="B106" s="829" t="s">
        <v>25</v>
      </c>
      <c r="C106" s="823">
        <v>0</v>
      </c>
      <c r="D106" s="823">
        <v>0</v>
      </c>
      <c r="E106" s="823">
        <v>0</v>
      </c>
      <c r="F106" s="823">
        <v>0</v>
      </c>
      <c r="G106" s="823">
        <v>0</v>
      </c>
      <c r="H106" s="823">
        <v>0</v>
      </c>
      <c r="I106" s="823">
        <v>0</v>
      </c>
      <c r="J106" s="823">
        <v>0</v>
      </c>
      <c r="K106" s="823">
        <v>0</v>
      </c>
      <c r="L106" s="823">
        <v>0</v>
      </c>
      <c r="M106" s="823">
        <v>0</v>
      </c>
      <c r="N106" s="823">
        <v>0</v>
      </c>
      <c r="O106" s="823">
        <v>0</v>
      </c>
      <c r="P106" s="823">
        <v>0</v>
      </c>
      <c r="Q106" s="823">
        <v>0</v>
      </c>
      <c r="R106" s="823">
        <v>0</v>
      </c>
      <c r="S106" s="823">
        <v>0</v>
      </c>
      <c r="T106" s="823">
        <v>0</v>
      </c>
      <c r="U106" s="823">
        <v>0</v>
      </c>
      <c r="V106" s="823">
        <v>0</v>
      </c>
      <c r="W106" s="823">
        <v>0</v>
      </c>
      <c r="X106" s="823">
        <v>0</v>
      </c>
      <c r="Y106" s="823">
        <v>0</v>
      </c>
      <c r="Z106" s="823">
        <v>0</v>
      </c>
      <c r="AA106" s="823">
        <v>0</v>
      </c>
      <c r="AB106" s="823">
        <v>0</v>
      </c>
      <c r="AC106" s="825">
        <v>0</v>
      </c>
      <c r="AD106" s="825">
        <v>0</v>
      </c>
      <c r="AE106" s="825">
        <v>0</v>
      </c>
      <c r="AF106" s="825">
        <v>0</v>
      </c>
      <c r="AG106" s="825">
        <v>0</v>
      </c>
      <c r="AH106" s="825">
        <v>0</v>
      </c>
      <c r="AI106" s="825">
        <v>0</v>
      </c>
      <c r="AJ106" s="825">
        <v>0</v>
      </c>
      <c r="AK106" s="825">
        <v>0</v>
      </c>
      <c r="AL106" s="825">
        <v>0</v>
      </c>
      <c r="AM106" s="825">
        <v>0</v>
      </c>
      <c r="AN106" s="825">
        <v>117</v>
      </c>
      <c r="AO106" s="825">
        <v>117</v>
      </c>
      <c r="AP106" s="825">
        <v>109</v>
      </c>
    </row>
    <row r="107" hidden="1" ht="13.5" customHeight="1">
      <c r="B107" s="836" t="s">
        <v>26</v>
      </c>
      <c r="C107" s="827">
        <v>0</v>
      </c>
      <c r="D107" s="827">
        <v>0</v>
      </c>
      <c r="E107" s="827">
        <v>0</v>
      </c>
      <c r="F107" s="827">
        <v>0</v>
      </c>
      <c r="G107" s="827">
        <v>0</v>
      </c>
      <c r="H107" s="827">
        <v>0</v>
      </c>
      <c r="I107" s="827">
        <v>0</v>
      </c>
      <c r="J107" s="827">
        <v>0</v>
      </c>
      <c r="K107" s="827">
        <v>0</v>
      </c>
      <c r="L107" s="827">
        <v>0</v>
      </c>
      <c r="M107" s="827">
        <v>0</v>
      </c>
      <c r="N107" s="827">
        <v>0</v>
      </c>
      <c r="O107" s="827">
        <v>0</v>
      </c>
      <c r="P107" s="827">
        <v>0</v>
      </c>
      <c r="Q107" s="827">
        <v>0</v>
      </c>
      <c r="R107" s="827">
        <v>0</v>
      </c>
      <c r="S107" s="827">
        <v>0</v>
      </c>
      <c r="T107" s="827">
        <v>0</v>
      </c>
      <c r="U107" s="827">
        <v>0</v>
      </c>
      <c r="V107" s="827">
        <v>0</v>
      </c>
      <c r="W107" s="827">
        <v>0</v>
      </c>
      <c r="X107" s="827">
        <v>0</v>
      </c>
      <c r="Y107" s="827">
        <v>0</v>
      </c>
      <c r="Z107" s="827">
        <v>0</v>
      </c>
      <c r="AA107" s="827">
        <v>0</v>
      </c>
      <c r="AB107" s="837">
        <v>0</v>
      </c>
      <c r="AC107" s="828">
        <v>0</v>
      </c>
      <c r="AD107" s="828">
        <v>0</v>
      </c>
      <c r="AE107" s="828">
        <v>0</v>
      </c>
      <c r="AF107" s="828">
        <v>0</v>
      </c>
      <c r="AG107" s="828">
        <v>0</v>
      </c>
      <c r="AH107" s="828">
        <v>0</v>
      </c>
      <c r="AI107" s="828">
        <v>0</v>
      </c>
      <c r="AJ107" s="828">
        <v>0</v>
      </c>
      <c r="AK107" s="828">
        <v>0</v>
      </c>
      <c r="AL107" s="828">
        <v>0</v>
      </c>
      <c r="AM107" s="828">
        <v>0</v>
      </c>
      <c r="AN107" s="828">
        <v>25</v>
      </c>
      <c r="AO107" s="828">
        <v>27</v>
      </c>
      <c r="AP107" s="828">
        <v>31</v>
      </c>
    </row>
    <row r="108" hidden="1" ht="13.5" customHeight="1">
      <c r="B108" s="128" t="s">
        <v>7</v>
      </c>
      <c r="C108" s="129" t="str">
        <f>IF(SUM(C89:C107)&lt;&gt;0,SUM(C89:C107),"")</f>
      </c>
      <c r="D108" s="129" t="str">
        <f ref="D108:AA108" t="shared" si="0">IF(SUM(D89:D107)&lt;&gt;0,SUM(D89:D107),"")</f>
      </c>
      <c r="E108" s="129" t="str">
        <f t="shared" si="0"/>
      </c>
      <c r="F108" s="129" t="str">
        <f t="shared" si="0"/>
      </c>
      <c r="G108" s="129" t="str">
        <f t="shared" si="0"/>
      </c>
      <c r="H108" s="129" t="str">
        <f t="shared" si="0"/>
      </c>
      <c r="I108" s="129" t="str">
        <f t="shared" si="0"/>
      </c>
      <c r="J108" s="129" t="str">
        <f t="shared" si="0"/>
      </c>
      <c r="K108" s="129" t="str">
        <f t="shared" si="0"/>
      </c>
      <c r="L108" s="129" t="str">
        <f t="shared" si="0"/>
      </c>
      <c r="M108" s="129" t="str">
        <f t="shared" si="0"/>
      </c>
      <c r="N108" s="129" t="str">
        <f t="shared" si="0"/>
      </c>
      <c r="O108" s="129" t="str">
        <f t="shared" si="0"/>
      </c>
      <c r="P108" s="129" t="str">
        <f t="shared" si="0"/>
      </c>
      <c r="Q108" s="129" t="str">
        <f t="shared" si="0"/>
      </c>
      <c r="R108" s="129" t="str">
        <f t="shared" si="0"/>
      </c>
      <c r="S108" s="129" t="str">
        <f t="shared" si="0"/>
      </c>
      <c r="T108" s="129" t="str">
        <f t="shared" si="0"/>
      </c>
      <c r="U108" s="129" t="str">
        <f t="shared" si="0"/>
      </c>
      <c r="V108" s="129" t="str">
        <f t="shared" si="0"/>
      </c>
      <c r="W108" s="129" t="str">
        <f t="shared" si="0"/>
      </c>
      <c r="X108" s="129" t="str">
        <f t="shared" si="0"/>
      </c>
      <c r="Y108" s="129" t="str">
        <f t="shared" si="0"/>
      </c>
      <c r="Z108" s="129" t="str">
        <f t="shared" si="0"/>
      </c>
      <c r="AA108" s="129" t="str">
        <f t="shared" si="0"/>
      </c>
      <c r="AB108" s="130" t="str">
        <f>IF(SUM(AB89:AB107)&lt;&gt;0,SUM(AB89:AB107),"")</f>
      </c>
      <c r="AC108" s="91" t="str">
        <f ref="AC108:CN108" t="shared" si="1">IF(SUM(AC89:AC107)&lt;&gt;0,SUM(AC89:AC107),"")</f>
      </c>
      <c r="AD108" s="91" t="str">
        <f t="shared" si="1"/>
      </c>
      <c r="AE108" s="91" t="str">
        <f t="shared" si="1"/>
      </c>
      <c r="AF108" s="91" t="str">
        <f t="shared" si="1"/>
      </c>
      <c r="AG108" s="91" t="str">
        <f t="shared" si="1"/>
      </c>
      <c r="AH108" s="91" t="str">
        <f t="shared" si="1"/>
      </c>
      <c r="AI108" s="91" t="str">
        <f t="shared" si="1"/>
      </c>
      <c r="AJ108" s="91" t="str">
        <f t="shared" si="1"/>
      </c>
      <c r="AK108" s="91" t="str">
        <f t="shared" si="1"/>
      </c>
      <c r="AL108" s="91" t="str">
        <f t="shared" si="1"/>
      </c>
      <c r="AM108" s="91" t="str">
        <f t="shared" si="1"/>
      </c>
      <c r="AN108" s="91" t="str">
        <f t="shared" si="1"/>
      </c>
      <c r="AO108" s="91" t="str">
        <f t="shared" si="1"/>
      </c>
      <c r="AP108" s="91" t="str">
        <f t="shared" si="1"/>
      </c>
      <c r="AQ108" s="91" t="str">
        <f t="shared" si="1"/>
      </c>
      <c r="AR108" s="91" t="str">
        <f t="shared" si="1"/>
      </c>
      <c r="AS108" s="91" t="str">
        <f t="shared" si="1"/>
      </c>
      <c r="AT108" s="91" t="str">
        <f t="shared" si="1"/>
      </c>
      <c r="AU108" s="91" t="str">
        <f t="shared" si="1"/>
      </c>
      <c r="AV108" s="91" t="str">
        <f t="shared" si="1"/>
      </c>
      <c r="AW108" s="91" t="str">
        <f t="shared" si="1"/>
      </c>
      <c r="AX108" s="91" t="str">
        <f t="shared" si="1"/>
      </c>
      <c r="AY108" s="91" t="str">
        <f t="shared" si="1"/>
      </c>
      <c r="AZ108" s="91" t="str">
        <f t="shared" si="1"/>
      </c>
      <c r="BA108" s="91" t="str">
        <f t="shared" si="1"/>
      </c>
      <c r="BB108" s="91" t="str">
        <f t="shared" si="1"/>
      </c>
      <c r="BC108" s="91" t="str">
        <f t="shared" si="1"/>
      </c>
      <c r="BD108" s="91" t="str">
        <f t="shared" si="1"/>
      </c>
      <c r="BE108" s="91" t="str">
        <f t="shared" si="1"/>
      </c>
      <c r="BF108" s="91" t="str">
        <f t="shared" si="1"/>
      </c>
      <c r="BG108" s="91" t="str">
        <f t="shared" si="1"/>
      </c>
      <c r="BH108" s="91" t="str">
        <f t="shared" si="1"/>
      </c>
      <c r="BI108" s="91" t="str">
        <f t="shared" si="1"/>
      </c>
      <c r="BJ108" s="91" t="str">
        <f t="shared" si="1"/>
      </c>
      <c r="BK108" s="91" t="str">
        <f t="shared" si="1"/>
      </c>
      <c r="BL108" s="91" t="str">
        <f t="shared" si="1"/>
      </c>
      <c r="BM108" s="91" t="str">
        <f t="shared" si="1"/>
      </c>
      <c r="BN108" s="91" t="str">
        <f t="shared" si="1"/>
      </c>
      <c r="BO108" s="91" t="str">
        <f t="shared" si="1"/>
      </c>
      <c r="BP108" s="91" t="str">
        <f t="shared" si="1"/>
      </c>
      <c r="BQ108" s="91" t="str">
        <f t="shared" si="1"/>
      </c>
      <c r="BR108" s="91" t="str">
        <f t="shared" si="1"/>
      </c>
      <c r="BS108" s="91" t="str">
        <f t="shared" si="1"/>
      </c>
      <c r="BT108" s="91" t="str">
        <f t="shared" si="1"/>
      </c>
      <c r="BU108" s="91" t="str">
        <f t="shared" si="1"/>
      </c>
      <c r="BV108" s="91" t="str">
        <f t="shared" si="1"/>
      </c>
      <c r="BW108" s="91" t="str">
        <f t="shared" si="1"/>
      </c>
      <c r="BX108" s="91" t="str">
        <f t="shared" si="1"/>
      </c>
      <c r="BY108" s="91" t="str">
        <f t="shared" si="1"/>
      </c>
      <c r="BZ108" s="91" t="str">
        <f t="shared" si="1"/>
      </c>
      <c r="CA108" s="91" t="str">
        <f t="shared" si="1"/>
      </c>
      <c r="CB108" s="91" t="str">
        <f t="shared" si="1"/>
      </c>
      <c r="CC108" s="91" t="str">
        <f t="shared" si="1"/>
      </c>
      <c r="CD108" s="91" t="str">
        <f t="shared" si="1"/>
      </c>
      <c r="CE108" s="91" t="str">
        <f t="shared" si="1"/>
      </c>
      <c r="CF108" s="91" t="str">
        <f t="shared" si="1"/>
      </c>
      <c r="CG108" s="91" t="str">
        <f t="shared" si="1"/>
      </c>
      <c r="CH108" s="91" t="str">
        <f t="shared" si="1"/>
      </c>
      <c r="CI108" s="91" t="str">
        <f t="shared" si="1"/>
      </c>
      <c r="CJ108" s="91" t="str">
        <f t="shared" si="1"/>
      </c>
      <c r="CK108" s="91" t="str">
        <f t="shared" si="1"/>
      </c>
      <c r="CL108" s="91" t="str">
        <f t="shared" si="1"/>
      </c>
      <c r="CM108" s="91" t="str">
        <f t="shared" si="1"/>
      </c>
      <c r="CN108" s="91" t="str">
        <f t="shared" si="1"/>
      </c>
      <c r="CO108" s="91" t="str">
        <f ref="CO108:EZ108" t="shared" si="2">IF(SUM(CO89:CO107)&lt;&gt;0,SUM(CO89:CO107),"")</f>
      </c>
      <c r="CP108" s="91" t="str">
        <f t="shared" si="2"/>
      </c>
      <c r="CQ108" s="91" t="str">
        <f t="shared" si="2"/>
      </c>
      <c r="CR108" s="91" t="str">
        <f t="shared" si="2"/>
      </c>
      <c r="CS108" s="91" t="str">
        <f t="shared" si="2"/>
      </c>
      <c r="CT108" s="91" t="str">
        <f t="shared" si="2"/>
      </c>
      <c r="CU108" s="91" t="str">
        <f t="shared" si="2"/>
      </c>
      <c r="CV108" s="91" t="str">
        <f t="shared" si="2"/>
      </c>
      <c r="CW108" s="91" t="str">
        <f t="shared" si="2"/>
      </c>
      <c r="CX108" s="91" t="str">
        <f t="shared" si="2"/>
      </c>
      <c r="CY108" s="91" t="str">
        <f t="shared" si="2"/>
      </c>
      <c r="CZ108" s="91" t="str">
        <f t="shared" si="2"/>
      </c>
      <c r="DA108" s="91" t="str">
        <f t="shared" si="2"/>
      </c>
      <c r="DB108" s="91" t="str">
        <f t="shared" si="2"/>
      </c>
      <c r="DC108" s="91" t="str">
        <f t="shared" si="2"/>
      </c>
      <c r="DD108" s="91" t="str">
        <f t="shared" si="2"/>
      </c>
      <c r="DE108" s="91" t="str">
        <f t="shared" si="2"/>
      </c>
      <c r="DF108" s="91" t="str">
        <f t="shared" si="2"/>
      </c>
      <c r="DG108" s="91" t="str">
        <f t="shared" si="2"/>
      </c>
      <c r="DH108" s="91" t="str">
        <f t="shared" si="2"/>
      </c>
      <c r="DI108" s="91" t="str">
        <f t="shared" si="2"/>
      </c>
      <c r="DJ108" s="91" t="str">
        <f t="shared" si="2"/>
      </c>
      <c r="DK108" s="91" t="str">
        <f t="shared" si="2"/>
      </c>
      <c r="DL108" s="91" t="str">
        <f t="shared" si="2"/>
      </c>
      <c r="DM108" s="91" t="str">
        <f t="shared" si="2"/>
      </c>
      <c r="DN108" s="91" t="str">
        <f t="shared" si="2"/>
      </c>
      <c r="DO108" s="91" t="str">
        <f t="shared" si="2"/>
      </c>
      <c r="DP108" s="91" t="str">
        <f t="shared" si="2"/>
      </c>
      <c r="DQ108" s="91" t="str">
        <f t="shared" si="2"/>
      </c>
      <c r="DR108" s="91" t="str">
        <f t="shared" si="2"/>
      </c>
      <c r="DS108" s="91" t="str">
        <f t="shared" si="2"/>
      </c>
      <c r="DT108" s="91" t="str">
        <f t="shared" si="2"/>
      </c>
      <c r="DU108" s="91" t="str">
        <f t="shared" si="2"/>
      </c>
      <c r="DV108" s="91" t="str">
        <f t="shared" si="2"/>
      </c>
      <c r="DW108" s="91" t="str">
        <f t="shared" si="2"/>
      </c>
      <c r="DX108" s="91" t="str">
        <f t="shared" si="2"/>
      </c>
      <c r="DY108" s="91" t="str">
        <f t="shared" si="2"/>
      </c>
      <c r="DZ108" s="91" t="str">
        <f t="shared" si="2"/>
      </c>
      <c r="EA108" s="91" t="str">
        <f t="shared" si="2"/>
      </c>
      <c r="EB108" s="91" t="str">
        <f t="shared" si="2"/>
      </c>
      <c r="EC108" s="91" t="str">
        <f t="shared" si="2"/>
      </c>
      <c r="ED108" s="91" t="str">
        <f t="shared" si="2"/>
      </c>
      <c r="EE108" s="91" t="str">
        <f t="shared" si="2"/>
      </c>
      <c r="EF108" s="91" t="str">
        <f t="shared" si="2"/>
      </c>
      <c r="EG108" s="91" t="str">
        <f t="shared" si="2"/>
      </c>
      <c r="EH108" s="91" t="str">
        <f t="shared" si="2"/>
      </c>
      <c r="EI108" s="91" t="str">
        <f t="shared" si="2"/>
      </c>
      <c r="EJ108" s="91" t="str">
        <f t="shared" si="2"/>
      </c>
      <c r="EK108" s="91" t="str">
        <f t="shared" si="2"/>
      </c>
      <c r="EL108" s="91" t="str">
        <f t="shared" si="2"/>
      </c>
      <c r="EM108" s="91" t="str">
        <f t="shared" si="2"/>
      </c>
      <c r="EN108" s="91" t="str">
        <f t="shared" si="2"/>
      </c>
      <c r="EO108" s="91" t="str">
        <f t="shared" si="2"/>
      </c>
      <c r="EP108" s="91" t="str">
        <f t="shared" si="2"/>
      </c>
      <c r="EQ108" s="91" t="str">
        <f t="shared" si="2"/>
      </c>
      <c r="ER108" s="91" t="str">
        <f t="shared" si="2"/>
      </c>
      <c r="ES108" s="91" t="str">
        <f t="shared" si="2"/>
      </c>
      <c r="ET108" s="91" t="str">
        <f t="shared" si="2"/>
      </c>
      <c r="EU108" s="91" t="str">
        <f t="shared" si="2"/>
      </c>
      <c r="EV108" s="91" t="str">
        <f t="shared" si="2"/>
      </c>
      <c r="EW108" s="91" t="str">
        <f t="shared" si="2"/>
      </c>
      <c r="EX108" s="91" t="str">
        <f t="shared" si="2"/>
      </c>
      <c r="EY108" s="91" t="str">
        <f t="shared" si="2"/>
      </c>
      <c r="EZ108" s="91" t="str">
        <f t="shared" si="2"/>
      </c>
      <c r="FA108" s="91" t="str">
        <f ref="FA108:HL108" t="shared" si="3">IF(SUM(FA89:FA107)&lt;&gt;0,SUM(FA89:FA107),"")</f>
      </c>
      <c r="FB108" s="91" t="str">
        <f t="shared" si="3"/>
      </c>
      <c r="FC108" s="91" t="str">
        <f t="shared" si="3"/>
      </c>
      <c r="FD108" s="91" t="str">
        <f t="shared" si="3"/>
      </c>
      <c r="FE108" s="91" t="str">
        <f t="shared" si="3"/>
      </c>
      <c r="FF108" s="91" t="str">
        <f t="shared" si="3"/>
      </c>
      <c r="FG108" s="91" t="str">
        <f t="shared" si="3"/>
      </c>
      <c r="FH108" s="91" t="str">
        <f t="shared" si="3"/>
      </c>
      <c r="FI108" s="91" t="str">
        <f t="shared" si="3"/>
      </c>
      <c r="FJ108" s="91" t="str">
        <f t="shared" si="3"/>
      </c>
      <c r="FK108" s="91" t="str">
        <f t="shared" si="3"/>
      </c>
      <c r="FL108" s="91" t="str">
        <f t="shared" si="3"/>
      </c>
      <c r="FM108" s="91" t="str">
        <f t="shared" si="3"/>
      </c>
      <c r="FN108" s="91" t="str">
        <f t="shared" si="3"/>
      </c>
      <c r="FO108" s="91" t="str">
        <f t="shared" si="3"/>
      </c>
      <c r="FP108" s="91" t="str">
        <f t="shared" si="3"/>
      </c>
      <c r="FQ108" s="91" t="str">
        <f t="shared" si="3"/>
      </c>
      <c r="FR108" s="91" t="str">
        <f t="shared" si="3"/>
      </c>
      <c r="FS108" s="91" t="str">
        <f t="shared" si="3"/>
      </c>
      <c r="FT108" s="91" t="str">
        <f t="shared" si="3"/>
      </c>
      <c r="FU108" s="91" t="str">
        <f t="shared" si="3"/>
      </c>
      <c r="FV108" s="91" t="str">
        <f t="shared" si="3"/>
      </c>
      <c r="FW108" s="91" t="str">
        <f t="shared" si="3"/>
      </c>
      <c r="FX108" s="91" t="str">
        <f t="shared" si="3"/>
      </c>
      <c r="FY108" s="91" t="str">
        <f t="shared" si="3"/>
      </c>
      <c r="FZ108" s="91" t="str">
        <f t="shared" si="3"/>
      </c>
      <c r="GA108" s="91" t="str">
        <f t="shared" si="3"/>
      </c>
      <c r="GB108" s="91" t="str">
        <f t="shared" si="3"/>
      </c>
      <c r="GC108" s="91" t="str">
        <f t="shared" si="3"/>
      </c>
      <c r="GD108" s="91" t="str">
        <f t="shared" si="3"/>
      </c>
      <c r="GE108" s="91" t="str">
        <f t="shared" si="3"/>
      </c>
      <c r="GF108" s="91" t="str">
        <f t="shared" si="3"/>
      </c>
      <c r="GG108" s="91" t="str">
        <f t="shared" si="3"/>
      </c>
      <c r="GH108" s="91" t="str">
        <f t="shared" si="3"/>
      </c>
      <c r="GI108" s="91" t="str">
        <f t="shared" si="3"/>
      </c>
      <c r="GJ108" s="91" t="str">
        <f t="shared" si="3"/>
      </c>
      <c r="GK108" s="91" t="str">
        <f t="shared" si="3"/>
      </c>
      <c r="GL108" s="91" t="str">
        <f t="shared" si="3"/>
      </c>
      <c r="GM108" s="91" t="str">
        <f t="shared" si="3"/>
      </c>
      <c r="GN108" s="91" t="str">
        <f t="shared" si="3"/>
      </c>
      <c r="GO108" s="91" t="str">
        <f t="shared" si="3"/>
      </c>
      <c r="GP108" s="91" t="str">
        <f t="shared" si="3"/>
      </c>
      <c r="GQ108" s="91" t="str">
        <f t="shared" si="3"/>
      </c>
      <c r="GR108" s="91" t="str">
        <f t="shared" si="3"/>
      </c>
      <c r="GS108" s="91" t="str">
        <f t="shared" si="3"/>
      </c>
      <c r="GT108" s="91" t="str">
        <f t="shared" si="3"/>
      </c>
      <c r="GU108" s="91" t="str">
        <f t="shared" si="3"/>
      </c>
      <c r="GV108" s="91" t="str">
        <f t="shared" si="3"/>
      </c>
      <c r="GW108" s="91" t="str">
        <f t="shared" si="3"/>
      </c>
      <c r="GX108" s="91" t="str">
        <f t="shared" si="3"/>
      </c>
      <c r="GY108" s="91" t="str">
        <f t="shared" si="3"/>
      </c>
      <c r="GZ108" s="91" t="str">
        <f t="shared" si="3"/>
      </c>
      <c r="HA108" s="91" t="str">
        <f t="shared" si="3"/>
      </c>
      <c r="HB108" s="91" t="str">
        <f t="shared" si="3"/>
      </c>
      <c r="HC108" s="91" t="str">
        <f t="shared" si="3"/>
      </c>
      <c r="HD108" s="91" t="str">
        <f t="shared" si="3"/>
      </c>
      <c r="HE108" s="91" t="str">
        <f t="shared" si="3"/>
      </c>
      <c r="HF108" s="91" t="str">
        <f t="shared" si="3"/>
      </c>
      <c r="HG108" s="91" t="str">
        <f t="shared" si="3"/>
      </c>
      <c r="HH108" s="91" t="str">
        <f t="shared" si="3"/>
      </c>
      <c r="HI108" s="91" t="str">
        <f t="shared" si="3"/>
      </c>
      <c r="HJ108" s="91" t="str">
        <f t="shared" si="3"/>
      </c>
      <c r="HK108" s="91" t="str">
        <f t="shared" si="3"/>
      </c>
      <c r="HL108" s="91" t="str">
        <f t="shared" si="3"/>
      </c>
      <c r="HM108" s="91" t="str">
        <f ref="HM108:IV108" t="shared" si="4">IF(SUM(HM89:HM107)&lt;&gt;0,SUM(HM89:HM107),"")</f>
      </c>
      <c r="HN108" s="91" t="str">
        <f t="shared" si="4"/>
      </c>
      <c r="HO108" s="91" t="str">
        <f t="shared" si="4"/>
      </c>
      <c r="HP108" s="91" t="str">
        <f t="shared" si="4"/>
      </c>
      <c r="HQ108" s="91" t="str">
        <f t="shared" si="4"/>
      </c>
      <c r="HR108" s="91" t="str">
        <f t="shared" si="4"/>
      </c>
      <c r="HS108" s="91" t="str">
        <f t="shared" si="4"/>
      </c>
      <c r="HT108" s="91" t="str">
        <f t="shared" si="4"/>
      </c>
      <c r="HU108" s="91" t="str">
        <f t="shared" si="4"/>
      </c>
      <c r="HV108" s="91" t="str">
        <f t="shared" si="4"/>
      </c>
      <c r="HW108" s="91" t="str">
        <f t="shared" si="4"/>
      </c>
      <c r="HX108" s="91" t="str">
        <f t="shared" si="4"/>
      </c>
      <c r="HY108" s="91" t="str">
        <f t="shared" si="4"/>
      </c>
      <c r="HZ108" s="91" t="str">
        <f t="shared" si="4"/>
      </c>
      <c r="IA108" s="91" t="str">
        <f t="shared" si="4"/>
      </c>
      <c r="IB108" s="91" t="str">
        <f t="shared" si="4"/>
      </c>
      <c r="IC108" s="91" t="str">
        <f t="shared" si="4"/>
      </c>
      <c r="ID108" s="91" t="str">
        <f t="shared" si="4"/>
      </c>
      <c r="IE108" s="91" t="str">
        <f t="shared" si="4"/>
      </c>
      <c r="IF108" s="91" t="str">
        <f t="shared" si="4"/>
      </c>
      <c r="IG108" s="91" t="str">
        <f t="shared" si="4"/>
      </c>
      <c r="IH108" s="91" t="str">
        <f t="shared" si="4"/>
      </c>
      <c r="II108" s="91" t="str">
        <f t="shared" si="4"/>
      </c>
      <c r="IJ108" s="91" t="str">
        <f t="shared" si="4"/>
      </c>
      <c r="IK108" s="91" t="str">
        <f t="shared" si="4"/>
      </c>
      <c r="IL108" s="91" t="str">
        <f t="shared" si="4"/>
      </c>
      <c r="IM108" s="91" t="str">
        <f t="shared" si="4"/>
      </c>
      <c r="IN108" s="91" t="str">
        <f t="shared" si="4"/>
      </c>
      <c r="IO108" s="91" t="str">
        <f t="shared" si="4"/>
      </c>
      <c r="IP108" s="91" t="str">
        <f t="shared" si="4"/>
      </c>
      <c r="IQ108" s="91" t="str">
        <f t="shared" si="4"/>
      </c>
      <c r="IR108" s="91" t="str">
        <f t="shared" si="4"/>
      </c>
      <c r="IS108" s="91" t="str">
        <f t="shared" si="4"/>
      </c>
      <c r="IT108" s="91" t="str">
        <f t="shared" si="4"/>
      </c>
      <c r="IU108" s="91" t="str">
        <f t="shared" si="4"/>
      </c>
      <c r="IV108" s="91" t="str">
        <f t="shared" si="4"/>
      </c>
    </row>
    <row r="109" hidden="1" ht="13.5" customHeight="1">
      <c r="N109" s="283"/>
    </row>
    <row r="110" hidden="1" ht="12.75" customHeight="1">
      <c r="B110" s="509" t="s">
        <v>8</v>
      </c>
      <c r="C110" s="505" t="e">
        <f>INDIRECT(ADDRESS(89,MATCH(9000000000+307,'10.1- EQUINO (CENSO)'!89:89,1),1,,"10.1- EQUINO (CENSO)"))</f>
        <v>#N/A</v>
      </c>
      <c r="N110" s="284"/>
    </row>
    <row r="111" hidden="1" ht="12.75" customHeight="1">
      <c r="B111" s="507" t="s">
        <v>9</v>
      </c>
      <c r="C111" s="505" t="e">
        <f>INDIRECT(ADDRESS(90,MATCH(9000000000+307,'10.1- EQUINO (CENSO)'!90:90,1),1,,"10.1- EQUINO (CENSO)"))</f>
        <v>#N/A</v>
      </c>
      <c r="D111" s="328"/>
      <c r="E111" s="328"/>
      <c r="F111" s="328"/>
      <c r="G111" s="328"/>
      <c r="H111" s="328"/>
      <c r="I111" s="328"/>
      <c r="J111" s="328"/>
      <c r="K111" s="328"/>
      <c r="L111" s="328"/>
      <c r="M111" s="215"/>
      <c r="N111" s="284"/>
    </row>
    <row r="112" hidden="1" ht="12.75" customHeight="1">
      <c r="B112" s="507" t="s">
        <v>10</v>
      </c>
      <c r="C112" s="505" t="e">
        <f>INDIRECT(ADDRESS(91,MATCH(9000000000+307,'10.1- EQUINO (CENSO)'!91:91,1),1,,"10.1- EQUINO (CENSO)"))</f>
        <v>#N/A</v>
      </c>
      <c r="M112" s="215"/>
      <c r="N112" s="283"/>
    </row>
    <row r="113" hidden="1" ht="12.75" customHeight="1">
      <c r="B113" s="507" t="s">
        <v>11</v>
      </c>
      <c r="C113" s="505" t="e">
        <f>INDIRECT(ADDRESS(92,MATCH(9000000000+307,'10.1- EQUINO (CENSO)'!92:92,1),1,,"10.1- EQUINO (CENSO)"))</f>
        <v>#N/A</v>
      </c>
      <c r="M113" s="50"/>
      <c r="N113" s="50"/>
    </row>
    <row r="114" hidden="1" ht="12.75" customHeight="1">
      <c r="B114" s="507" t="s">
        <v>12</v>
      </c>
      <c r="C114" s="505" t="e">
        <f>INDIRECT(ADDRESS(93,MATCH(9000000000+307,'10.1- EQUINO (CENSO)'!93:93,1),1,,"10.1- EQUINO (CENSO)"))</f>
        <v>#N/A</v>
      </c>
    </row>
    <row r="115" hidden="1" ht="12.75" customHeight="1">
      <c r="B115" s="507" t="s">
        <v>13</v>
      </c>
      <c r="C115" s="505" t="e">
        <f>INDIRECT(ADDRESS(94,MATCH(9000000000+307,'10.1- EQUINO (CENSO)'!94:94,1),1,,"10.1- EQUINO (CENSO)"))</f>
        <v>#N/A</v>
      </c>
    </row>
    <row r="116" hidden="1" ht="18.75" customHeight="1">
      <c r="B116" s="507" t="s">
        <v>109</v>
      </c>
      <c r="C116" s="505" t="e">
        <f>INDIRECT(ADDRESS(95,MATCH(9000000000+307,'10.1- EQUINO (CENSO)'!95:95,1),1,,"10.1- EQUINO (CENSO)"))</f>
        <v>#N/A</v>
      </c>
    </row>
    <row r="117" hidden="1" ht="12.75" customHeight="1">
      <c r="B117" s="507" t="s">
        <v>110</v>
      </c>
      <c r="C117" s="505" t="e">
        <f>INDIRECT(ADDRESS(96,MATCH(9000000000+307,'10.1- EQUINO (CENSO)'!96:96,1),1,,"10.1- EQUINO (CENSO)"))</f>
        <v>#N/A</v>
      </c>
    </row>
    <row r="118" hidden="1" ht="12.75" customHeight="1">
      <c r="B118" s="507" t="s">
        <v>16</v>
      </c>
      <c r="C118" s="505" t="e">
        <f>INDIRECT(ADDRESS(97,MATCH(9000000000+307,'10.1- EQUINO (CENSO)'!97:97,1),1,,"10.1- EQUINO (CENSO)"))</f>
        <v>#N/A</v>
      </c>
    </row>
    <row r="119" hidden="1" ht="12.75" customHeight="1">
      <c r="B119" s="507" t="s">
        <v>17</v>
      </c>
      <c r="C119" s="505" t="e">
        <f>INDIRECT(ADDRESS(98,MATCH(9000000000+307,'10.1- EQUINO (CENSO)'!98:98,1),1,,"10.1- EQUINO (CENSO)"))</f>
        <v>#N/A</v>
      </c>
    </row>
    <row r="120" hidden="1" ht="12.75" customHeight="1">
      <c r="B120" s="507" t="s">
        <v>18</v>
      </c>
      <c r="C120" s="505" t="e">
        <f>INDIRECT(ADDRESS(99,MATCH(9000000000+307,'10.1- EQUINO (CENSO)'!99:99,1),1,,"10.1- EQUINO (CENSO)"))</f>
        <v>#N/A</v>
      </c>
    </row>
    <row r="121" hidden="1" ht="12.75" customHeight="1">
      <c r="B121" s="507" t="s">
        <v>19</v>
      </c>
      <c r="C121" s="505" t="e">
        <f>INDIRECT(ADDRESS(100,MATCH(9000000000+307,'10.1- EQUINO (CENSO)'!100:100,1),1,,"10.1- EQUINO (CENSO)"))</f>
        <v>#N/A</v>
      </c>
    </row>
    <row r="122" hidden="1" ht="12.75" customHeight="1">
      <c r="B122" s="507" t="s">
        <v>20</v>
      </c>
      <c r="C122" s="505" t="e">
        <f>INDIRECT(ADDRESS(101,MATCH(9000000000+307,'10.1- EQUINO (CENSO)'!101:101,1),1,,"10.1- EQUINO (CENSO)"))</f>
        <v>#N/A</v>
      </c>
    </row>
    <row r="123" hidden="1" ht="12.75" customHeight="1">
      <c r="B123" s="507" t="s">
        <v>21</v>
      </c>
      <c r="C123" s="505" t="e">
        <f>INDIRECT(ADDRESS(102,MATCH(9000000000+307,'10.1- EQUINO (CENSO)'!102:102,1),1,,"10.1- EQUINO (CENSO)"))</f>
        <v>#N/A</v>
      </c>
    </row>
    <row r="124" hidden="1" ht="12.75" customHeight="1">
      <c r="B124" s="507" t="s">
        <v>22</v>
      </c>
      <c r="C124" s="505" t="e">
        <f>INDIRECT(ADDRESS(103,MATCH(9000000000+307,'10.1- EQUINO (CENSO)'!103:103,1),1,,"10.1- EQUINO (CENSO)"))</f>
        <v>#N/A</v>
      </c>
    </row>
    <row r="125" hidden="1" ht="12.75" customHeight="1">
      <c r="B125" s="507" t="s">
        <v>23</v>
      </c>
      <c r="C125" s="505" t="e">
        <f>INDIRECT(ADDRESS(104,MATCH(9000000000+307,'10.1- EQUINO (CENSO)'!104:104,1),1,,"10.1- EQUINO (CENSO)"))</f>
        <v>#N/A</v>
      </c>
    </row>
    <row r="126" hidden="1" ht="12.75" customHeight="1">
      <c r="B126" s="508" t="s">
        <v>24</v>
      </c>
      <c r="C126" s="505" t="e">
        <f>INDIRECT(ADDRESS(105,MATCH(9000000000+307,'10.1- EQUINO (CENSO)'!105:105,1),1,,"10.1- EQUINO (CENSO)"))</f>
        <v>#N/A</v>
      </c>
    </row>
    <row r="127" hidden="1" ht="12.75" customHeight="1">
      <c r="B127" s="507" t="s">
        <v>25</v>
      </c>
      <c r="C127" s="505" t="e">
        <f>INDIRECT(ADDRESS(106,MATCH(9000000000+307,'10.1- EQUINO (CENSO)'!106:106,1),1,,"10.1- EQUINO (CENSO)"))</f>
        <v>#N/A</v>
      </c>
    </row>
    <row r="128" hidden="1" ht="13.5" customHeight="1">
      <c r="B128" s="506" t="s">
        <v>26</v>
      </c>
      <c r="C128" s="505" t="e">
        <f>INDIRECT(ADDRESS(107,MATCH(9000000000+307,'10.1- EQUINO (CENSO)'!107:107,1),1,,"10.1- EQUINO (CENSO)"))</f>
        <v>#N/A</v>
      </c>
    </row>
    <row r="129" hidden="1" ht="12.75" customHeight="1"/>
    <row r="134">
      <c r="H134" s="50"/>
      <c r="I134" s="50"/>
      <c r="J134" s="50"/>
    </row>
  </sheetData>
  <sheetProtection sheet="1" autoFilter="0" objects="1" scenarios="1" sort="0" password="ed66"/>
  <mergeCells>
    <mergeCell ref="A9:D9"/>
    <mergeCell ref="B13:L13"/>
    <mergeCell ref="B12:L12"/>
    <mergeCell ref="B16:L16"/>
    <mergeCell ref="C87:AB87"/>
    <mergeCell ref="B19:L19"/>
  </mergeCells>
  <phoneticPr fontId="2" type="noConversion"/>
  <printOptions horizontalCentered="1"/>
  <pageMargins left="0.23622047244094491" right="0.23622047244094491" top="0.98425196850393704" bottom="0.98425196850393704" header="0.15748031496062992" footer="0"/>
  <pageSetup paperSize="9" scale="59" orientation="portrait"/>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73729" r:id="rId4" name="Drop Down 1">
              <controlPr defaultSize="0" autoLine="0" autoPict="0">
                <anchor moveWithCells="1">
                  <from>
                    <xdr:col>4</xdr:col>
                    <xdr:colOff>9525</xdr:colOff>
                    <xdr:row>7</xdr:row>
                    <xdr:rowOff>0</xdr:rowOff>
                  </from>
                  <to>
                    <xdr:col>6</xdr:col>
                    <xdr:colOff>209550</xdr:colOff>
                    <xdr:row>9</xdr:row>
                    <xdr:rowOff>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ontainsText" priority="3" operator="containsText" id="{2C7A9EF4-16BF-4F7B-A1F3-E37C0BDFA1BC}">
            <xm:f>NOT(ISERROR(SEARCH("",AD88)))</xm:f>
            <xm:f>""</xm:f>
            <x14:dxf>
              <numFmt numFmtId="3" formatCode="#,##0"/>
              <border>
                <left style="thin">
                  <color auto="1"/>
                </left>
                <right style="thin">
                  <color auto="1"/>
                </right>
                <top style="thin">
                  <color auto="1"/>
                </top>
                <bottom style="thin">
                  <color auto="1"/>
                </bottom>
                <vertical/>
                <horizontal/>
              </border>
            </x14:dxf>
          </x14:cfRule>
          <xm:sqref>AD88:AG88 AI88:AL88 AN88:AQ88 AS88:AV88 AX88:BA88 BC88:BF88 BH88:BK88 BM88:BP88 BR88:BU88 BW88:BZ88 CB88:CE88 CG88:CJ88 CL88:CO88 CQ88:CT88 CV88:CY88 DA88:DD88 DF88:DI88 DK88:DN88 DP88:DS88 DU88:DX88 DZ88:EC88 EE88:EH88 EJ88:EM88 EO88:ER88 ET88:EW88 EY88:FB88 FD88:FG88 FI88:FL88 FN88:FQ88 FS88:FV88 FX88:GA88 GC88:GF88 GH88:GK88 GM88:GP88 GR88:GU88 GW88:GZ88 HB88:HE88 HG88:HJ88 HL88:HO88 HQ88:HT88 HV88:HY88 IA88:ID88 IF88:II88 IK88:IN88 IP88:IS88 IU88:IV88</xm:sqref>
        </x14:conditionalFormatting>
        <x14:conditionalFormatting xmlns:xm="http://schemas.microsoft.com/office/excel/2006/main">
          <x14:cfRule type="containsText" priority="5" operator="containsText" id="{2DB8FA55-217F-4751-BC55-C6E582586CB5}">
            <xm:f>NOT(ISERROR(SEARCH("",AC108)))</xm:f>
            <xm:f>""</xm:f>
            <x14:dxf>
              <numFmt numFmtId="3" formatCode="#,##0"/>
              <border>
                <left style="thin">
                  <color auto="1"/>
                </left>
                <right style="thin">
                  <color auto="1"/>
                </right>
                <top style="thin">
                  <color auto="1"/>
                </top>
                <bottom style="thin">
                  <color auto="1"/>
                </bottom>
                <vertical/>
                <horizontal/>
              </border>
            </x14:dxf>
          </x14:cfRule>
          <xm:sqref>AC108:IV108</xm:sqref>
        </x14:conditionalFormatting>
        <x14:conditionalFormatting xmlns:xm="http://schemas.microsoft.com/office/excel/2006/main">
          <x14:cfRule type="containsText" priority="4" operator="containsText" id="{8FE669D2-384B-450B-8059-E8B3CF74E64D}">
            <xm:f>NOT(ISERROR(SEARCH("",C89)))</xm:f>
            <xm:f>""</xm:f>
            <x14:dxf>
              <numFmt numFmtId="3" formatCode="#,##0"/>
              <border>
                <right style="thin">
                  <color auto="1"/>
                </right>
                <top style="thin">
                  <color auto="1"/>
                </top>
                <bottom style="thin">
                  <color auto="1"/>
                </bottom>
                <vertical/>
                <horizontal/>
              </border>
            </x14:dxf>
          </x14:cfRule>
          <xm:sqref>C89:IV107</xm:sqref>
        </x14:conditionalFormatting>
        <x14:conditionalFormatting xmlns:xm="http://schemas.microsoft.com/office/excel/2006/main">
          <x14:cfRule type="containsText" priority="2" operator="containsText" id="{EF4EDDC3-25BA-4323-B05F-02828DA5AEBC}">
            <xm:f>NOT(ISERROR(SEARCH("",AC88)))</xm:f>
            <xm:f>""</xm:f>
            <x14:dxf>
              <numFmt numFmtId="3" formatCode="#,##0"/>
              <border>
                <left style="thin">
                  <color auto="1"/>
                </left>
                <right style="thin">
                  <color auto="1"/>
                </right>
                <top style="thin">
                  <color auto="1"/>
                </top>
                <bottom style="thin">
                  <color auto="1"/>
                </bottom>
                <vertical/>
                <horizontal/>
              </border>
            </x14:dxf>
          </x14:cfRule>
          <xm:sqref>AC88 AH88 AM88 AR88 AW88 BB88 BG88 BL88 BQ88 BV88 CA88 CF88 CK88 CP88 CU88 CZ88 DE88 DJ88 DO88 DT88 DY88 ED88 EI88 EN88 ES88 EX88 FC88 FH88 FM88 FR88 FW88 GB88 GG88 GL88 GQ88 GV88 HA88 HF88 HK88 HP88 HU88 HZ88 IE88 IJ88 IO88 IT88</xm:sqref>
        </x14:conditionalFormatting>
        <x14:conditionalFormatting xmlns:xm="http://schemas.microsoft.com/office/excel/2006/main">
          <x14:cfRule type="containsText" priority="1" operator="containsText" id="{D20A1D0D-6837-4E1F-8F7C-6BE518D0FE21}">
            <xm:f>NOT(ISERROR(SEARCH("",C110)))</xm:f>
            <xm:f>""</xm:f>
            <x14:dxf>
              <numFmt numFmtId="3" formatCode="#,##0"/>
              <border>
                <right style="thin">
                  <color auto="1"/>
                </right>
                <top style="thin">
                  <color auto="1"/>
                </top>
                <bottom style="thin">
                  <color auto="1"/>
                </bottom>
                <vertical/>
                <horizontal/>
              </border>
            </x14:dxf>
          </x14:cfRule>
          <xm:sqref>C110:C128</xm:sqref>
        </x14:conditionalFormatting>
      </x14:conditionalFormattings>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mc:Ignorable="x14ac xr">
  <sheetPr codeName="Hoja19">
    <tabColor indexed="50"/>
  </sheetPr>
  <dimension ref="A1:IV505"/>
  <sheetViews>
    <sheetView showGridLines="0" view="pageBreakPreview" zoomScale="85" zoomScaleNormal="100" workbookViewId="0">
      <pane ySplit="9" topLeftCell="A10" activePane="bottomLeft" state="frozen"/>
      <selection pane="bottomLeft" activeCell="A7" sqref="A7"/>
    </sheetView>
  </sheetViews>
  <sheetFormatPr baseColWidth="10" defaultRowHeight="12.75"/>
  <cols>
    <col min="2" max="2" bestFit="1" width="19.5703125" customWidth="1"/>
    <col min="3" max="5" width="11.7109375" customWidth="1"/>
    <col min="6" max="6" width="11.85546875" customWidth="1"/>
    <col min="7" max="11" width="11.7109375" customWidth="1"/>
  </cols>
  <sheetData>
    <row r="1">
      <c r="A1" s="1"/>
      <c r="B1" s="2"/>
      <c r="C1" s="2"/>
      <c r="D1" s="2"/>
      <c r="E1" s="2"/>
      <c r="F1" s="2"/>
      <c r="G1" s="2"/>
      <c r="H1" s="2"/>
      <c r="I1" s="2"/>
      <c r="J1" s="2"/>
      <c r="K1" s="2"/>
      <c r="L1" s="2"/>
      <c r="M1" s="2"/>
      <c r="N1" s="3"/>
      <c r="O1" s="4"/>
      <c r="P1" s="5"/>
      <c r="Q1" s="5"/>
    </row>
    <row r="2">
      <c r="A2" s="6"/>
      <c r="B2" s="4"/>
      <c r="C2" s="4"/>
      <c r="D2" s="4"/>
      <c r="E2" s="4"/>
      <c r="F2" s="4"/>
      <c r="G2" s="4"/>
      <c r="H2" s="4"/>
      <c r="I2" s="4"/>
      <c r="J2" s="4"/>
      <c r="K2" s="4"/>
      <c r="L2" s="4"/>
      <c r="M2" s="4"/>
      <c r="N2" s="7"/>
      <c r="O2" s="4"/>
      <c r="P2" s="5"/>
      <c r="Q2" s="5"/>
    </row>
    <row r="3">
      <c r="A3" s="6"/>
      <c r="B3" s="4"/>
      <c r="C3" s="4"/>
      <c r="D3" s="4"/>
      <c r="E3" s="4"/>
      <c r="F3" s="4"/>
      <c r="G3" s="4"/>
      <c r="H3" s="4"/>
      <c r="I3" s="4"/>
      <c r="J3" s="4"/>
      <c r="K3" s="4"/>
      <c r="L3" s="4"/>
      <c r="M3" s="4"/>
      <c r="N3" s="7"/>
      <c r="O3" s="4"/>
      <c r="P3" s="5"/>
      <c r="Q3" s="5"/>
    </row>
    <row r="4">
      <c r="A4" s="6"/>
      <c r="B4" s="4"/>
      <c r="C4" s="4"/>
      <c r="D4" s="4"/>
      <c r="E4" s="4"/>
      <c r="F4" s="4"/>
      <c r="G4" s="4"/>
      <c r="H4" s="4"/>
      <c r="I4" s="4"/>
      <c r="J4" s="4"/>
      <c r="K4" s="4"/>
      <c r="L4" s="4"/>
      <c r="M4" s="4"/>
      <c r="N4" s="7"/>
      <c r="O4" s="4"/>
      <c r="P4" s="5"/>
      <c r="Q4" s="5"/>
    </row>
    <row r="5">
      <c r="A5" s="6"/>
      <c r="B5" s="4"/>
      <c r="C5" s="4"/>
      <c r="D5" s="4"/>
      <c r="E5" s="4"/>
      <c r="F5" s="4"/>
      <c r="G5" s="4"/>
      <c r="H5" s="4"/>
      <c r="I5" s="4"/>
      <c r="J5" s="4"/>
      <c r="K5" s="4"/>
      <c r="L5" s="4"/>
      <c r="M5" s="4"/>
      <c r="N5" s="7"/>
      <c r="O5" s="4"/>
      <c r="P5" s="5"/>
      <c r="Q5" s="5"/>
    </row>
    <row r="6" ht="13.5">
      <c r="A6" s="8"/>
      <c r="B6" s="9"/>
      <c r="C6" s="9"/>
      <c r="D6" s="9"/>
      <c r="E6" s="9"/>
      <c r="F6" s="9"/>
      <c r="G6" s="9"/>
      <c r="H6" s="9"/>
      <c r="I6" s="9"/>
      <c r="J6" s="9"/>
      <c r="K6" s="9"/>
      <c r="L6" s="9"/>
      <c r="M6" s="9"/>
      <c r="N6" s="10"/>
      <c r="O6" s="4"/>
      <c r="P6" s="5"/>
      <c r="Q6" s="5"/>
    </row>
    <row r="7" s="11" customFormat="1">
      <c r="O7" s="12"/>
      <c r="P7" s="12"/>
      <c r="Q7" s="12"/>
    </row>
    <row r="8">
      <c r="F8" s="131">
        <v>20</v>
      </c>
      <c r="I8" s="0" t="s">
        <v>100</v>
      </c>
      <c r="J8" s="0" t="e">
        <f>LOOKUP(AUX!$E$10,AUX!$B:$B,AUX!$A:$A)</f>
        <v>#N/A</v>
      </c>
      <c r="O8" s="5"/>
      <c r="P8" s="5"/>
      <c r="Q8" s="5"/>
    </row>
    <row r="9">
      <c r="B9" s="738" t="s">
        <v>101</v>
      </c>
      <c r="C9" s="738"/>
      <c r="D9" s="738"/>
      <c r="E9" s="738"/>
      <c r="I9" s="0" t="s">
        <v>1</v>
      </c>
      <c r="J9" s="0" t="str">
        <f>LOOKUP(AUX!$E$11,AUX!$E1:$E5,AUX!$D1:$D5)</f>
        <v>6 meses</v>
      </c>
      <c r="O9" s="5"/>
      <c r="P9" s="5"/>
      <c r="Q9" s="5"/>
    </row>
    <row r="10" hidden="1">
      <c r="O10" s="5"/>
      <c r="P10" s="5"/>
      <c r="Q10" s="5"/>
    </row>
    <row r="11" hidden="1">
      <c r="O11" s="5"/>
      <c r="P11" s="5"/>
      <c r="Q11" s="5"/>
    </row>
    <row r="12" hidden="1">
      <c r="O12" s="5"/>
      <c r="P12" s="5"/>
      <c r="Q12" s="5"/>
    </row>
    <row r="13" ht="13.5">
      <c r="O13" s="5"/>
      <c r="P13" s="5"/>
      <c r="Q13" s="5"/>
    </row>
    <row r="14" ht="15.75">
      <c r="C14" s="739" t="s">
        <v>91</v>
      </c>
      <c r="D14" s="740"/>
      <c r="E14" s="740"/>
      <c r="F14" s="740"/>
      <c r="G14" s="740"/>
      <c r="H14" s="740"/>
      <c r="I14" s="740"/>
      <c r="J14" s="740"/>
      <c r="K14" s="740"/>
      <c r="L14" s="740"/>
      <c r="M14" s="741"/>
      <c r="O14" s="5"/>
      <c r="P14" s="5"/>
      <c r="Q14" s="5"/>
    </row>
    <row r="15" ht="16.5" customHeight="1">
      <c r="B15" s="17"/>
      <c r="C15" s="742" t="s">
        <v>182</v>
      </c>
      <c r="D15" s="743"/>
      <c r="E15" s="743"/>
      <c r="F15" s="743"/>
      <c r="G15" s="743"/>
      <c r="H15" s="743"/>
      <c r="I15" s="743"/>
      <c r="J15" s="743"/>
      <c r="K15" s="743"/>
      <c r="L15" s="743"/>
      <c r="M15" s="744"/>
      <c r="N15" s="17"/>
      <c r="O15" s="23"/>
      <c r="P15" s="5"/>
      <c r="Q15" s="5"/>
    </row>
    <row r="16">
      <c r="C16" s="27"/>
      <c r="D16" s="16"/>
      <c r="E16" s="16"/>
      <c r="F16" s="16"/>
      <c r="G16" s="16"/>
      <c r="H16" s="16"/>
      <c r="I16" s="16"/>
      <c r="J16" s="16"/>
      <c r="K16" s="16"/>
      <c r="L16" s="16"/>
      <c r="M16" s="28"/>
      <c r="O16" s="5"/>
      <c r="P16" s="5"/>
      <c r="Q16" s="5"/>
    </row>
    <row r="17" ht="15.75" customHeight="1">
      <c r="B17" s="19"/>
      <c r="C17" s="29" t="e">
        <f>INDEX(AUX!$G$1:$IV$1,1,AUX!$E$10+(AUX!$E$11*AUX!G$2))</f>
        <v>#VALUE!</v>
      </c>
      <c r="D17" s="40">
        <f>INDEX(AUX!$G$1:$IV$1,1,AUX!$E$10+(AUX!$E$11*AUX!H$2))</f>
        <v>38899</v>
      </c>
      <c r="E17" s="40">
        <f>INDEX(AUX!$G$1:$IV$1,1,AUX!$E$10+(AUX!$E$11*AUX!I$2))</f>
        <v>39083</v>
      </c>
      <c r="F17" s="40">
        <f>INDEX(AUX!$G$1:$IV$1,1,AUX!$E$10+(AUX!$E$11*AUX!J$2))</f>
        <v>39264</v>
      </c>
      <c r="G17" s="40">
        <f>INDEX(AUX!$G$1:$IV$1,1,AUX!$E$10+(AUX!$E$11*AUX!K$2))</f>
        <v>39448</v>
      </c>
      <c r="H17" s="40">
        <f>INDEX(AUX!$G$1:$IV$1,1,AUX!$E$10+(AUX!$E$11*AUX!L$2))</f>
        <v>39630</v>
      </c>
      <c r="I17" s="40">
        <f>INDEX(AUX!$G$1:$IV$1,1,AUX!$E$10+(AUX!$E$11*AUX!M$2))</f>
        <v>39814</v>
      </c>
      <c r="J17" s="40">
        <f>INDEX(AUX!$G$1:$IV$1,1,AUX!$E$10+(AUX!$E$11*AUX!N$2))</f>
        <v>39995</v>
      </c>
      <c r="K17" s="40">
        <f>INDEX(AUX!$G$1:$IV$1,1,AUX!$E$10+(AUX!$E$11*AUX!O$2))</f>
        <v>40179</v>
      </c>
      <c r="L17" s="40">
        <f>INDEX(AUX!$G$1:$IV$1,1,AUX!$E$10+(AUX!$E$11*AUX!P$2))</f>
        <v>40360</v>
      </c>
      <c r="M17" s="41">
        <f>INDEX(AUX!$G$1:$IV$1,1,AUX!$E$10+(AUX!$E$11*AUX!Q$2))</f>
        <v>40544</v>
      </c>
      <c r="N17" s="5"/>
      <c r="O17" s="5"/>
      <c r="P17" s="5"/>
    </row>
    <row r="18" ht="15.75" customHeight="1">
      <c r="B18" s="22"/>
      <c r="C18" s="735" t="s">
        <v>194</v>
      </c>
      <c r="D18" s="736"/>
      <c r="E18" s="736"/>
      <c r="F18" s="736"/>
      <c r="G18" s="736"/>
      <c r="H18" s="736"/>
      <c r="I18" s="736"/>
      <c r="J18" s="736"/>
      <c r="K18" s="736"/>
      <c r="L18" s="736"/>
      <c r="M18" s="737"/>
      <c r="O18" s="5"/>
      <c r="P18" s="5"/>
      <c r="Q18" s="5"/>
    </row>
    <row r="19" ht="15.75" customHeight="1">
      <c r="B19" s="24" t="str">
        <f>INDEX($B$168:$H$187,$F$8,1)</f>
        <v>Total</v>
      </c>
      <c r="C19" s="30" t="str">
        <f>IF(INDEX($C$168:$II$187,$F$8,AUX!$E$10+(AUX!$E$11*AUX!G$2))="","--",INDEX($C$168:$II$187,$F$8,AUX!$E$10+(AUX!$E$11*AUX!G$2)))</f>
        <v>--</v>
      </c>
      <c r="D19" s="42" t="str">
        <f>IF(INDEX($C$168:$II$187,$F$8,AUX!$E$10+(AUX!$E$11*AUX!H$2))="","--",INDEX($C$168:$II$187,$F$8,AUX!$E$10+(AUX!$E$11*AUX!H$2)))</f>
        <v>--</v>
      </c>
      <c r="E19" s="42" t="str">
        <f>IF(INDEX($C$168:$II$187,$F$8,AUX!$E$10+(AUX!$E$11*AUX!I$2))="","--",INDEX($C$168:$II$187,$F$8,AUX!$E$10+(AUX!$E$11*AUX!I$2)))</f>
        <v>--</v>
      </c>
      <c r="F19" s="42" t="str">
        <f>IF(INDEX($C$168:$II$187,$F$8,AUX!$E$10+(AUX!$E$11*AUX!J$2))="","--",INDEX($C$168:$II$187,$F$8,AUX!$E$10+(AUX!$E$11*AUX!J$2)))</f>
        <v>--</v>
      </c>
      <c r="G19" s="42" t="str">
        <f>IF(INDEX($C$168:$II$187,$F$8,AUX!$E$10+(AUX!$E$11*AUX!K$2))="","--",INDEX($C$168:$II$187,$F$8,AUX!$E$10+(AUX!$E$11*AUX!K$2)))</f>
        <v>--</v>
      </c>
      <c r="H19" s="42" t="str">
        <f>IF(INDEX($C$168:$II$187,$F$8,AUX!$E$10+(AUX!$E$11*AUX!L$2))="","--",INDEX($C$168:$II$187,$F$8,AUX!$E$10+(AUX!$E$11*AUX!L$2)))</f>
        <v>--</v>
      </c>
      <c r="I19" s="42" t="str">
        <f>IF(INDEX($C$168:$II$187,$F$8,AUX!$E$10+(AUX!$E$11*AUX!M$2))="","--",INDEX($C$168:$II$187,$F$8,AUX!$E$10+(AUX!$E$11*AUX!M$2)))</f>
        <v>--</v>
      </c>
      <c r="J19" s="42" t="str">
        <f>IF(INDEX($C$168:$II$187,$F$8,AUX!$E$10+(AUX!$E$11*AUX!N$2))="","--",INDEX($C$168:$II$187,$F$8,AUX!$E$10+(AUX!$E$11*AUX!N$2)))</f>
        <v>--</v>
      </c>
      <c r="K19" s="42" t="str">
        <f>IF(INDEX($C$168:$II$187,$F$8,AUX!$E$10+(AUX!$E$11*AUX!O$2))="","--",INDEX($C$168:$II$187,$F$8,AUX!$E$10+(AUX!$E$11*AUX!O$2)))</f>
        <v>--</v>
      </c>
      <c r="L19" s="42" t="str">
        <f>IF(INDEX($C$168:$II$187,$F$8,AUX!$E$10+(AUX!$E$11*AUX!P$2))="","--",INDEX($C$168:$II$187,$F$8,AUX!$E$10+(AUX!$E$11*AUX!P$2)))</f>
        <v>--</v>
      </c>
      <c r="M19" s="43" t="str">
        <f>IF(INDEX($C$168:$II$187,$F$8,AUX!$E$10+(AUX!$E$11*AUX!Q$2))="","--",INDEX($C$168:$II$187,$F$8,AUX!$E$10+(AUX!$E$11*AUX!Q$2)))</f>
        <v>--</v>
      </c>
      <c r="N19" s="5"/>
      <c r="O19" s="5"/>
      <c r="P19" s="5"/>
    </row>
    <row r="20" ht="15.75" customHeight="1">
      <c r="B20" s="19"/>
      <c r="C20" s="735" t="s">
        <v>244</v>
      </c>
      <c r="D20" s="736"/>
      <c r="E20" s="736"/>
      <c r="F20" s="736"/>
      <c r="G20" s="736"/>
      <c r="H20" s="736"/>
      <c r="I20" s="736"/>
      <c r="J20" s="736"/>
      <c r="K20" s="736"/>
      <c r="L20" s="736"/>
      <c r="M20" s="737"/>
      <c r="O20" s="5"/>
      <c r="P20" s="5"/>
      <c r="Q20" s="5"/>
    </row>
    <row r="21" ht="15.75" customHeight="1">
      <c r="B21" s="19"/>
      <c r="C21" s="30" t="str">
        <f>IF(INDEX($C$191:$II$210,$F$8,AUX!$E$10+(AUX!$E$11*AUX!G$2))="","--",INDEX($C$191:$II$210,$F$8,AUX!$E$10+(AUX!$E$11*AUX!G$2)))</f>
        <v>--</v>
      </c>
      <c r="D21" s="42" t="str">
        <f>IF(INDEX($C$191:$II$210,$F$8,AUX!$E$10+(AUX!$E$11*AUX!H$2))="","--",INDEX($C$191:$II$210,$F$8,AUX!$E$10+(AUX!$E$11*AUX!H$2)))</f>
        <v>--</v>
      </c>
      <c r="E21" s="42" t="str">
        <f>IF(INDEX($C$191:$II$210,$F$8,AUX!$E$10+(AUX!$E$11*AUX!I$2))="","--",INDEX($C$191:$II$210,$F$8,AUX!$E$10+(AUX!$E$11*AUX!I$2)))</f>
        <v>--</v>
      </c>
      <c r="F21" s="42" t="str">
        <f>IF(INDEX($C$191:$II$210,$F$8,AUX!$E$10+(AUX!$E$11*AUX!J$2))="","--",INDEX($C$191:$II$210,$F$8,AUX!$E$10+(AUX!$E$11*AUX!J$2)))</f>
        <v>--</v>
      </c>
      <c r="G21" s="42" t="str">
        <f>IF(INDEX($C$191:$II$210,$F$8,AUX!$E$10+(AUX!$E$11*AUX!K$2))="","--",INDEX($C$191:$II$210,$F$8,AUX!$E$10+(AUX!$E$11*AUX!K$2)))</f>
        <v>--</v>
      </c>
      <c r="H21" s="42" t="str">
        <f>IF(INDEX($C$191:$II$210,$F$8,AUX!$E$10+(AUX!$E$11*AUX!L$2))="","--",INDEX($C$191:$II$210,$F$8,AUX!$E$10+(AUX!$E$11*AUX!L$2)))</f>
        <v>--</v>
      </c>
      <c r="I21" s="42" t="str">
        <f>IF(INDEX($C$191:$II$210,$F$8,AUX!$E$10+(AUX!$E$11*AUX!M$2))="","--",INDEX($C$191:$II$210,$F$8,AUX!$E$10+(AUX!$E$11*AUX!M$2)))</f>
        <v>--</v>
      </c>
      <c r="J21" s="42" t="str">
        <f>IF(INDEX($C$191:$II$210,$F$8,AUX!$E$10+(AUX!$E$11*AUX!N$2))="","--",INDEX($C$191:$II$210,$F$8,AUX!$E$10+(AUX!$E$11*AUX!N$2)))</f>
        <v>--</v>
      </c>
      <c r="K21" s="42" t="str">
        <f>IF(INDEX($C$191:$II$210,$F$8,AUX!$E$10+(AUX!$E$11*AUX!O$2))="","--",INDEX($C$191:$II$210,$F$8,AUX!$E$10+(AUX!$E$11*AUX!O$2)))</f>
        <v>--</v>
      </c>
      <c r="L21" s="42" t="str">
        <f>IF(INDEX($C$191:$II$210,$F$8,AUX!$E$10+(AUX!$E$11*AUX!P$2))="","--",INDEX($C$191:$II$210,$F$8,AUX!$E$10+(AUX!$E$11*AUX!P$2)))</f>
        <v>--</v>
      </c>
      <c r="M21" s="43" t="str">
        <f>IF(INDEX($C$191:$II$210,$F$8,AUX!$E$10+(AUX!$E$11*AUX!Q$2))="","--",INDEX($C$191:$II$210,$F$8,AUX!$E$10+(AUX!$E$11*AUX!Q$2)))</f>
        <v>--</v>
      </c>
      <c r="N21" s="5"/>
      <c r="O21" s="5"/>
      <c r="P21" s="5"/>
    </row>
    <row r="22" ht="15.75" customHeight="1">
      <c r="B22" s="19"/>
      <c r="C22" s="735" t="s">
        <v>415</v>
      </c>
      <c r="D22" s="736"/>
      <c r="E22" s="736"/>
      <c r="F22" s="736"/>
      <c r="G22" s="736"/>
      <c r="H22" s="736"/>
      <c r="I22" s="736"/>
      <c r="J22" s="736"/>
      <c r="K22" s="736"/>
      <c r="L22" s="736"/>
      <c r="M22" s="737"/>
      <c r="N22" s="5"/>
      <c r="O22" s="5"/>
      <c r="P22" s="5"/>
    </row>
    <row r="23" ht="15.75" customHeight="1">
      <c r="B23" s="19"/>
      <c r="C23" s="30" t="str">
        <f>IF(INDEX($C$486:$II$505,$F$8,AUX!$E$10+(AUX!$E$11*AUX!G$2))="","--",INDEX($C$486:$II$505,$F$8,AUX!$E$10+(AUX!$E$11*AUX!G$2)))</f>
        <v>--</v>
      </c>
      <c r="D23" s="42" t="str">
        <f>IF(INDEX($C$486:$II$505,$F$8,AUX!$E$10+(AUX!$E$11*AUX!H$2))="","--",INDEX($C$486:$II$505,$F$8,AUX!$E$10+(AUX!$E$11*AUX!H$2)))</f>
        <v>--</v>
      </c>
      <c r="E23" s="42" t="str">
        <f>IF(INDEX($C$486:$II$505,$F$8,AUX!$E$10+(AUX!$E$11*AUX!I$2))="","--",INDEX($C$486:$II$505,$F$8,AUX!$E$10+(AUX!$E$11*AUX!I$2)))</f>
        <v>--</v>
      </c>
      <c r="F23" s="42" t="str">
        <f>IF(INDEX($C$486:$II$505,$F$8,AUX!$E$10+(AUX!$E$11*AUX!J$2))="","--",INDEX($C$486:$II$505,$F$8,AUX!$E$10+(AUX!$E$11*AUX!J$2)))</f>
        <v>--</v>
      </c>
      <c r="G23" s="42" t="str">
        <f>IF(INDEX($C$486:$II$505,$F$8,AUX!$E$10+(AUX!$E$11*AUX!K$2))="","--",INDEX($C$486:$II$505,$F$8,AUX!$E$10+(AUX!$E$11*AUX!K$2)))</f>
        <v>--</v>
      </c>
      <c r="H23" s="42" t="str">
        <f>IF(INDEX($C$486:$II$505,$F$8,AUX!$E$10+(AUX!$E$11*AUX!L$2))="","--",INDEX($C$486:$II$505,$F$8,AUX!$E$10+(AUX!$E$11*AUX!L$2)))</f>
        <v>--</v>
      </c>
      <c r="I23" s="42" t="str">
        <f>IF(INDEX($C$486:$II$505,$F$8,AUX!$E$10+(AUX!$E$11*AUX!M$2))="","--",INDEX($C$486:$II$505,$F$8,AUX!$E$10+(AUX!$E$11*AUX!M$2)))</f>
        <v>--</v>
      </c>
      <c r="J23" s="42" t="str">
        <f>IF(INDEX($C$486:$II$505,$F$8,AUX!$E$10+(AUX!$E$11*AUX!N$2))="","--",INDEX($C$486:$II$505,$F$8,AUX!$E$10+(AUX!$E$11*AUX!N$2)))</f>
        <v>--</v>
      </c>
      <c r="K23" s="42" t="str">
        <f>IF(INDEX($C$486:$II$505,$F$8,AUX!$E$10+(AUX!$E$11*AUX!O$2))="","--",INDEX($C$486:$II$505,$F$8,AUX!$E$10+(AUX!$E$11*AUX!O$2)))</f>
        <v>--</v>
      </c>
      <c r="L23" s="42" t="str">
        <f>IF(INDEX($C$486:$II$505,$F$8,AUX!$E$10+(AUX!$E$11*AUX!P$2))="","--",INDEX($C$486:$II$505,$F$8,AUX!$E$10+(AUX!$E$11*AUX!P$2)))</f>
        <v>--</v>
      </c>
      <c r="M23" s="43" t="str">
        <f>IF(INDEX($C$486:$II$505,$F$8,AUX!$E$10+(AUX!$E$11*AUX!Q$2))="","--",INDEX($C$486:$II$505,$F$8,AUX!$E$10+(AUX!$E$11*AUX!Q$2)))</f>
        <v>--</v>
      </c>
      <c r="N23" s="5"/>
      <c r="O23" s="5"/>
      <c r="P23" s="5"/>
    </row>
    <row r="24" ht="15.75" customHeight="1">
      <c r="B24" s="19"/>
      <c r="C24" s="735" t="s">
        <v>120</v>
      </c>
      <c r="D24" s="736"/>
      <c r="E24" s="736"/>
      <c r="F24" s="736"/>
      <c r="G24" s="736"/>
      <c r="H24" s="736"/>
      <c r="I24" s="736"/>
      <c r="J24" s="736"/>
      <c r="K24" s="736"/>
      <c r="L24" s="736"/>
      <c r="M24" s="737"/>
      <c r="O24" s="5"/>
      <c r="P24" s="5"/>
      <c r="Q24" s="5"/>
    </row>
    <row r="25" ht="15.75" customHeight="1">
      <c r="B25" s="19"/>
      <c r="C25" s="30" t="str">
        <f>IF(INDEX($C$214:$II$233,$F$8,AUX!$E$10+(AUX!$E$11*AUX!G$2))="","--",INDEX($C$214:$II$233,$F$8,AUX!$E$10+(AUX!$E$11*AUX!G$2)))</f>
        <v>--</v>
      </c>
      <c r="D25" s="42" t="str">
        <f>IF(INDEX($C$214:$II$233,$F$8,AUX!$E$10+(AUX!$E$11*AUX!H$2))="","--",INDEX($C$214:$II$233,$F$8,AUX!$E$10+(AUX!$E$11*AUX!H$2)))</f>
        <v>--</v>
      </c>
      <c r="E25" s="42" t="str">
        <f>IF(INDEX($C$214:$II$233,$F$8,AUX!$E$10+(AUX!$E$11*AUX!I$2))="","--",INDEX($C$214:$II$233,$F$8,AUX!$E$10+(AUX!$E$11*AUX!I$2)))</f>
        <v>--</v>
      </c>
      <c r="F25" s="42" t="str">
        <f>IF(INDEX($C$214:$II$233,$F$8,AUX!$E$10+(AUX!$E$11*AUX!J$2))="","--",INDEX($C$214:$II$233,$F$8,AUX!$E$10+(AUX!$E$11*AUX!J$2)))</f>
        <v>--</v>
      </c>
      <c r="G25" s="42" t="str">
        <f>IF(INDEX($C$214:$II$233,$F$8,AUX!$E$10+(AUX!$E$11*AUX!K$2))="","--",INDEX($C$214:$II$233,$F$8,AUX!$E$10+(AUX!$E$11*AUX!K$2)))</f>
        <v>--</v>
      </c>
      <c r="H25" s="42" t="str">
        <f>IF(INDEX($C$214:$II$233,$F$8,AUX!$E$10+(AUX!$E$11*AUX!L$2))="","--",INDEX($C$214:$II$233,$F$8,AUX!$E$10+(AUX!$E$11*AUX!L$2)))</f>
        <v>--</v>
      </c>
      <c r="I25" s="42" t="str">
        <f>IF(INDEX($C$214:$II$233,$F$8,AUX!$E$10+(AUX!$E$11*AUX!M$2))="","--",INDEX($C$214:$II$233,$F$8,AUX!$E$10+(AUX!$E$11*AUX!M$2)))</f>
        <v>--</v>
      </c>
      <c r="J25" s="42" t="str">
        <f>IF(INDEX($C$214:$II$233,$F$8,AUX!$E$10+(AUX!$E$11*AUX!N$2))="","--",INDEX($C$214:$II$233,$F$8,AUX!$E$10+(AUX!$E$11*AUX!N$2)))</f>
        <v>--</v>
      </c>
      <c r="K25" s="42" t="str">
        <f>IF(INDEX($C$214:$II$233,$F$8,AUX!$E$10+(AUX!$E$11*AUX!O$2))="","--",INDEX($C$214:$II$233,$F$8,AUX!$E$10+(AUX!$E$11*AUX!O$2)))</f>
        <v>--</v>
      </c>
      <c r="L25" s="42" t="str">
        <f>IF(INDEX($C$214:$II$233,$F$8,AUX!$E$10+(AUX!$E$11*AUX!P$2))="","--",INDEX($C$214:$II$233,$F$8,AUX!$E$10+(AUX!$E$11*AUX!P$2)))</f>
        <v>--</v>
      </c>
      <c r="M25" s="43" t="str">
        <f>IF(INDEX($C$214:$II$233,$F$8,AUX!$E$10+(AUX!$E$11*AUX!Q$2))="","--",INDEX($C$214:$II$233,$F$8,AUX!$E$10+(AUX!$E$11*AUX!Q$2)))</f>
        <v>--</v>
      </c>
      <c r="N25" s="5"/>
      <c r="O25" s="5"/>
      <c r="P25" s="5"/>
    </row>
    <row r="26" ht="15.75" customHeight="1">
      <c r="B26" s="19"/>
      <c r="C26" s="735" t="s">
        <v>416</v>
      </c>
      <c r="D26" s="736"/>
      <c r="E26" s="736"/>
      <c r="F26" s="736"/>
      <c r="G26" s="736"/>
      <c r="H26" s="736"/>
      <c r="I26" s="736"/>
      <c r="J26" s="736"/>
      <c r="K26" s="736"/>
      <c r="L26" s="736"/>
      <c r="M26" s="737"/>
      <c r="O26" s="5"/>
      <c r="P26" s="5"/>
      <c r="Q26" s="5"/>
    </row>
    <row r="27" ht="15.75" customHeight="1">
      <c r="B27" s="19"/>
      <c r="C27" s="30" t="str">
        <f>IF(INDEX($C$237:$II$256,$F$8,AUX!$E$10+(AUX!$E$11*AUX!G$2))="","--",INDEX($C$237:$II$256,$F$8,AUX!$E$10+(AUX!$E$11*AUX!G$2)))</f>
        <v>--</v>
      </c>
      <c r="D27" s="42" t="str">
        <f>IF(INDEX($C$237:$II$256,$F$8,AUX!$E$10+(AUX!$E$11*AUX!H$2))="","--",INDEX($C$237:$II$256,$F$8,AUX!$E$10+(AUX!$E$11*AUX!H$2)))</f>
        <v>--</v>
      </c>
      <c r="E27" s="42" t="str">
        <f>IF(INDEX($C$237:$II$256,$F$8,AUX!$E$10+(AUX!$E$11*AUX!I$2))="","--",INDEX($C$237:$II$256,$F$8,AUX!$E$10+(AUX!$E$11*AUX!I$2)))</f>
        <v>--</v>
      </c>
      <c r="F27" s="42" t="str">
        <f>IF(INDEX($C$237:$II$256,$F$8,AUX!$E$10+(AUX!$E$11*AUX!J$2))="","--",INDEX($C$237:$II$256,$F$8,AUX!$E$10+(AUX!$E$11*AUX!J$2)))</f>
        <v>--</v>
      </c>
      <c r="G27" s="42" t="str">
        <f>IF(INDEX($C$237:$II$256,$F$8,AUX!$E$10+(AUX!$E$11*AUX!K$2))="","--",INDEX($C$237:$II$256,$F$8,AUX!$E$10+(AUX!$E$11*AUX!K$2)))</f>
        <v>--</v>
      </c>
      <c r="H27" s="42" t="str">
        <f>IF(INDEX($C$237:$II$256,$F$8,AUX!$E$10+(AUX!$E$11*AUX!L$2))="","--",INDEX($C$237:$II$256,$F$8,AUX!$E$10+(AUX!$E$11*AUX!L$2)))</f>
        <v>--</v>
      </c>
      <c r="I27" s="42" t="str">
        <f>IF(INDEX($C$237:$II$256,$F$8,AUX!$E$10+(AUX!$E$11*AUX!M$2))="","--",INDEX($C$237:$II$256,$F$8,AUX!$E$10+(AUX!$E$11*AUX!M$2)))</f>
        <v>--</v>
      </c>
      <c r="J27" s="42" t="str">
        <f>IF(INDEX($C$237:$II$256,$F$8,AUX!$E$10+(AUX!$E$11*AUX!N$2))="","--",INDEX($C$237:$II$256,$F$8,AUX!$E$10+(AUX!$E$11*AUX!N$2)))</f>
        <v>--</v>
      </c>
      <c r="K27" s="42" t="str">
        <f>IF(INDEX($C$237:$II$256,$F$8,AUX!$E$10+(AUX!$E$11*AUX!O$2))="","--",INDEX($C$237:$II$256,$F$8,AUX!$E$10+(AUX!$E$11*AUX!O$2)))</f>
        <v>--</v>
      </c>
      <c r="L27" s="42" t="str">
        <f>IF(INDEX($C$237:$II$256,$F$8,AUX!$E$10+(AUX!$E$11*AUX!P$2))="","--",INDEX($C$237:$II$256,$F$8,AUX!$E$10+(AUX!$E$11*AUX!P$2)))</f>
        <v>--</v>
      </c>
      <c r="M27" s="43" t="str">
        <f>IF(INDEX($C$237:$II$256,$F$8,AUX!$E$10+(AUX!$E$11*AUX!Q$2))="","--",INDEX($C$237:$II$256,$F$8,AUX!$E$10+(AUX!$E$11*AUX!Q$2)))</f>
        <v>--</v>
      </c>
      <c r="N27" s="5"/>
      <c r="O27" s="5"/>
      <c r="P27" s="5"/>
    </row>
    <row r="28" ht="15.75" customHeight="1">
      <c r="B28" s="19"/>
      <c r="C28" s="735" t="s">
        <v>417</v>
      </c>
      <c r="D28" s="736"/>
      <c r="E28" s="736"/>
      <c r="F28" s="736"/>
      <c r="G28" s="736"/>
      <c r="H28" s="736"/>
      <c r="I28" s="736"/>
      <c r="J28" s="736"/>
      <c r="K28" s="736"/>
      <c r="L28" s="736"/>
      <c r="M28" s="737"/>
      <c r="O28" s="5"/>
      <c r="P28" s="5"/>
      <c r="Q28" s="5"/>
    </row>
    <row r="29" ht="15.75" customHeight="1">
      <c r="B29" s="19"/>
      <c r="C29" s="30" t="str">
        <f>IF(INDEX($C$260:$II$279,$F$8,AUX!$E$10+(AUX!$E$11*AUX!G$2))="","--",INDEX($C$260:$II$279,$F$8,AUX!$E$10+(AUX!$E$11*AUX!G$2)))</f>
        <v>--</v>
      </c>
      <c r="D29" s="42" t="str">
        <f>IF(INDEX($C$260:$II$279,$F$8,AUX!$E$10+(AUX!$E$11*AUX!H$2))="","--",INDEX($C$260:$II$279,$F$8,AUX!$E$10+(AUX!$E$11*AUX!H$2)))</f>
        <v>--</v>
      </c>
      <c r="E29" s="42" t="str">
        <f>IF(INDEX($C$260:$II$279,$F$8,AUX!$E$10+(AUX!$E$11*AUX!I$2))="","--",INDEX($C$260:$II$279,$F$8,AUX!$E$10+(AUX!$E$11*AUX!I$2)))</f>
        <v>--</v>
      </c>
      <c r="F29" s="42" t="str">
        <f>IF(INDEX($C$260:$II$279,$F$8,AUX!$E$10+(AUX!$E$11*AUX!J$2))="","--",INDEX($C$260:$II$279,$F$8,AUX!$E$10+(AUX!$E$11*AUX!J$2)))</f>
        <v>--</v>
      </c>
      <c r="G29" s="42" t="str">
        <f>IF(INDEX($C$260:$II$279,$F$8,AUX!$E$10+(AUX!$E$11*AUX!K$2))="","--",INDEX($C$260:$II$279,$F$8,AUX!$E$10+(AUX!$E$11*AUX!K$2)))</f>
        <v>--</v>
      </c>
      <c r="H29" s="42" t="str">
        <f>IF(INDEX($C$260:$II$279,$F$8,AUX!$E$10+(AUX!$E$11*AUX!L$2))="","--",INDEX($C$260:$II$279,$F$8,AUX!$E$10+(AUX!$E$11*AUX!L$2)))</f>
        <v>--</v>
      </c>
      <c r="I29" s="42" t="str">
        <f>IF(INDEX($C$260:$II$279,$F$8,AUX!$E$10+(AUX!$E$11*AUX!M$2))="","--",INDEX($C$260:$II$279,$F$8,AUX!$E$10+(AUX!$E$11*AUX!M$2)))</f>
        <v>--</v>
      </c>
      <c r="J29" s="42" t="str">
        <f>IF(INDEX($C$260:$II$279,$F$8,AUX!$E$10+(AUX!$E$11*AUX!N$2))="","--",INDEX($C$260:$II$279,$F$8,AUX!$E$10+(AUX!$E$11*AUX!N$2)))</f>
        <v>--</v>
      </c>
      <c r="K29" s="42" t="str">
        <f>IF(INDEX($C$260:$II$279,$F$8,AUX!$E$10+(AUX!$E$11*AUX!O$2))="","--",INDEX($C$260:$II$279,$F$8,AUX!$E$10+(AUX!$E$11*AUX!O$2)))</f>
        <v>--</v>
      </c>
      <c r="L29" s="42" t="str">
        <f>IF(INDEX($C$260:$II$279,$F$8,AUX!$E$10+(AUX!$E$11*AUX!P$2))="","--",INDEX($C$260:$II$279,$F$8,AUX!$E$10+(AUX!$E$11*AUX!P$2)))</f>
        <v>--</v>
      </c>
      <c r="M29" s="43" t="str">
        <f>IF(INDEX($C$260:$II$279,$F$8,AUX!$E$10+(AUX!$E$11*AUX!Q$2))="","--",INDEX($C$260:$II$279,$F$8,AUX!$E$10+(AUX!$E$11*AUX!Q$2)))</f>
        <v>--</v>
      </c>
      <c r="N29" s="5"/>
      <c r="O29" s="5"/>
      <c r="P29" s="5"/>
    </row>
    <row r="30" ht="15.75" customHeight="1">
      <c r="B30" s="19"/>
      <c r="C30" s="735" t="s">
        <v>418</v>
      </c>
      <c r="D30" s="736"/>
      <c r="E30" s="736"/>
      <c r="F30" s="736"/>
      <c r="G30" s="736"/>
      <c r="H30" s="736"/>
      <c r="I30" s="736"/>
      <c r="J30" s="736"/>
      <c r="K30" s="736"/>
      <c r="L30" s="736"/>
      <c r="M30" s="737"/>
      <c r="O30" s="5"/>
      <c r="P30" s="5"/>
      <c r="Q30" s="5"/>
    </row>
    <row r="31" ht="15.75" customHeight="1">
      <c r="B31" s="19"/>
      <c r="C31" s="30" t="str">
        <f>IF(INDEX($C$283:$II$302,$F$8,AUX!$E$10+(AUX!$E$11*AUX!G$2))="","--",INDEX($C$283:$II$302,$F$8,AUX!$E$10+(AUX!$E$11*AUX!G$2)))</f>
        <v>--</v>
      </c>
      <c r="D31" s="42" t="str">
        <f>IF(INDEX($C$283:$II$302,$F$8,AUX!$E$10+(AUX!$E$11*AUX!H$2))="","--",INDEX($C$283:$II$302,$F$8,AUX!$E$10+(AUX!$E$11*AUX!H$2)))</f>
        <v>--</v>
      </c>
      <c r="E31" s="42" t="str">
        <f>IF(INDEX($C$283:$II$302,$F$8,AUX!$E$10+(AUX!$E$11*AUX!I$2))="","--",INDEX($C$283:$II$302,$F$8,AUX!$E$10+(AUX!$E$11*AUX!I$2)))</f>
        <v>--</v>
      </c>
      <c r="F31" s="42" t="str">
        <f>IF(INDEX($C$283:$II$302,$F$8,AUX!$E$10+(AUX!$E$11*AUX!J$2))="","--",INDEX($C$283:$II$302,$F$8,AUX!$E$10+(AUX!$E$11*AUX!J$2)))</f>
        <v>--</v>
      </c>
      <c r="G31" s="42" t="str">
        <f>IF(INDEX($C$283:$II$302,$F$8,AUX!$E$10+(AUX!$E$11*AUX!K$2))="","--",INDEX($C$283:$II$302,$F$8,AUX!$E$10+(AUX!$E$11*AUX!K$2)))</f>
        <v>--</v>
      </c>
      <c r="H31" s="42" t="str">
        <f>IF(INDEX($C$283:$II$302,$F$8,AUX!$E$10+(AUX!$E$11*AUX!L$2))="","--",INDEX($C$283:$II$302,$F$8,AUX!$E$10+(AUX!$E$11*AUX!L$2)))</f>
        <v>--</v>
      </c>
      <c r="I31" s="42" t="str">
        <f>IF(INDEX($C$283:$II$302,$F$8,AUX!$E$10+(AUX!$E$11*AUX!M$2))="","--",INDEX($C$283:$II$302,$F$8,AUX!$E$10+(AUX!$E$11*AUX!M$2)))</f>
        <v>--</v>
      </c>
      <c r="J31" s="42" t="str">
        <f>IF(INDEX($C$283:$II$302,$F$8,AUX!$E$10+(AUX!$E$11*AUX!N$2))="","--",INDEX($C$283:$II$302,$F$8,AUX!$E$10+(AUX!$E$11*AUX!N$2)))</f>
        <v>--</v>
      </c>
      <c r="K31" s="42" t="str">
        <f>IF(INDEX($C$283:$II$302,$F$8,AUX!$E$10+(AUX!$E$11*AUX!O$2))="","--",INDEX($C$283:$II$302,$F$8,AUX!$E$10+(AUX!$E$11*AUX!O$2)))</f>
        <v>--</v>
      </c>
      <c r="L31" s="42" t="str">
        <f>IF(INDEX($C$283:$II$302,$F$8,AUX!$E$10+(AUX!$E$11*AUX!P$2))="","--",INDEX($C$283:$II$302,$F$8,AUX!$E$10+(AUX!$E$11*AUX!P$2)))</f>
        <v>--</v>
      </c>
      <c r="M31" s="43" t="str">
        <f>IF(INDEX($C$283:$II$302,$F$8,AUX!$E$10+(AUX!$E$11*AUX!Q$2))="","--",INDEX($C$283:$II$302,$F$8,AUX!$E$10+(AUX!$E$11*AUX!Q$2)))</f>
        <v>--</v>
      </c>
      <c r="N31" s="5"/>
      <c r="O31" s="5"/>
      <c r="P31" s="5"/>
    </row>
    <row r="32" ht="15.75" customHeight="1">
      <c r="B32" s="19"/>
      <c r="C32" s="735" t="s">
        <v>419</v>
      </c>
      <c r="D32" s="736"/>
      <c r="E32" s="736"/>
      <c r="F32" s="736"/>
      <c r="G32" s="736"/>
      <c r="H32" s="736"/>
      <c r="I32" s="736"/>
      <c r="J32" s="736"/>
      <c r="K32" s="736"/>
      <c r="L32" s="736"/>
      <c r="M32" s="737"/>
      <c r="O32" s="5"/>
      <c r="P32" s="5"/>
      <c r="Q32" s="5"/>
    </row>
    <row r="33" ht="15.75" customHeight="1">
      <c r="B33" s="19"/>
      <c r="C33" s="30" t="str">
        <f>IF(INDEX($C$306:$II$325,$F$8,AUX!$E$10+(AUX!$E$11*AUX!G$2))="","--",INDEX($C$306:$II$325,$F$8,AUX!$E$10+(AUX!$E$11*AUX!G$2)))</f>
        <v>--</v>
      </c>
      <c r="D33" s="42" t="str">
        <f>IF(INDEX($C$306:$II$325,$F$8,AUX!$E$10+(AUX!$E$11*AUX!H$2))="","--",INDEX($C$306:$II$325,$F$8,AUX!$E$10+(AUX!$E$11*AUX!H$2)))</f>
        <v>--</v>
      </c>
      <c r="E33" s="42" t="str">
        <f>IF(INDEX($C$306:$II$325,$F$8,AUX!$E$10+(AUX!$E$11*AUX!I$2))="","--",INDEX($C$306:$II$325,$F$8,AUX!$E$10+(AUX!$E$11*AUX!I$2)))</f>
        <v>--</v>
      </c>
      <c r="F33" s="42" t="str">
        <f>IF(INDEX($C$306:$II$325,$F$8,AUX!$E$10+(AUX!$E$11*AUX!J$2))="","--",INDEX($C$306:$II$325,$F$8,AUX!$E$10+(AUX!$E$11*AUX!J$2)))</f>
        <v>--</v>
      </c>
      <c r="G33" s="42" t="str">
        <f>IF(INDEX($C$306:$II$325,$F$8,AUX!$E$10+(AUX!$E$11*AUX!K$2))="","--",INDEX($C$306:$II$325,$F$8,AUX!$E$10+(AUX!$E$11*AUX!K$2)))</f>
        <v>--</v>
      </c>
      <c r="H33" s="42" t="str">
        <f>IF(INDEX($C$306:$II$325,$F$8,AUX!$E$10+(AUX!$E$11*AUX!L$2))="","--",INDEX($C$306:$II$325,$F$8,AUX!$E$10+(AUX!$E$11*AUX!L$2)))</f>
        <v>--</v>
      </c>
      <c r="I33" s="42" t="str">
        <f>IF(INDEX($C$306:$II$325,$F$8,AUX!$E$10+(AUX!$E$11*AUX!M$2))="","--",INDEX($C$306:$II$325,$F$8,AUX!$E$10+(AUX!$E$11*AUX!M$2)))</f>
        <v>--</v>
      </c>
      <c r="J33" s="42" t="str">
        <f>IF(INDEX($C$306:$II$325,$F$8,AUX!$E$10+(AUX!$E$11*AUX!N$2))="","--",INDEX($C$306:$II$325,$F$8,AUX!$E$10+(AUX!$E$11*AUX!N$2)))</f>
        <v>--</v>
      </c>
      <c r="K33" s="42" t="str">
        <f>IF(INDEX($C$306:$II$325,$F$8,AUX!$E$10+(AUX!$E$11*AUX!O$2))="","--",INDEX($C$306:$II$325,$F$8,AUX!$E$10+(AUX!$E$11*AUX!O$2)))</f>
        <v>--</v>
      </c>
      <c r="L33" s="42" t="str">
        <f>IF(INDEX($C$306:$II$325,$F$8,AUX!$E$10+(AUX!$E$11*AUX!P$2))="","--",INDEX($C$306:$II$325,$F$8,AUX!$E$10+(AUX!$E$11*AUX!P$2)))</f>
        <v>--</v>
      </c>
      <c r="M33" s="43" t="str">
        <f>IF(INDEX($C$306:$II$325,$F$8,AUX!$E$10+(AUX!$E$11*AUX!Q$2))="","--",INDEX($C$306:$II$325,$F$8,AUX!$E$10+(AUX!$E$11*AUX!Q$2)))</f>
        <v>--</v>
      </c>
      <c r="N33" s="5"/>
      <c r="O33" s="5"/>
      <c r="P33" s="5"/>
    </row>
    <row r="34" ht="15.75" customHeight="1">
      <c r="B34" s="19"/>
      <c r="C34" s="735" t="s">
        <v>253</v>
      </c>
      <c r="D34" s="736"/>
      <c r="E34" s="736"/>
      <c r="F34" s="736"/>
      <c r="G34" s="736"/>
      <c r="H34" s="736"/>
      <c r="I34" s="736"/>
      <c r="J34" s="736"/>
      <c r="K34" s="736"/>
      <c r="L34" s="736"/>
      <c r="M34" s="737"/>
      <c r="O34" s="5"/>
      <c r="P34" s="5"/>
      <c r="Q34" s="5"/>
    </row>
    <row r="35" ht="15.75" customHeight="1">
      <c r="B35" s="19"/>
      <c r="C35" s="30" t="str">
        <f>IF(INDEX($C$329:$II$348,$F$8,AUX!$E$10+(AUX!$E$11*AUX!G$2))="","--",INDEX($C$329:$II$348,$F$8,AUX!$E$10+(AUX!$E$11*AUX!G$2)))</f>
        <v>--</v>
      </c>
      <c r="D35" s="42" t="str">
        <f>IF(INDEX($C$329:$II$348,$F$8,AUX!$E$10+(AUX!$E$11*AUX!H$2))="","--",INDEX($C$329:$II$348,$F$8,AUX!$E$10+(AUX!$E$11*AUX!H$2)))</f>
        <v>--</v>
      </c>
      <c r="E35" s="42" t="str">
        <f>IF(INDEX($C$329:$II$348,$F$8,AUX!$E$10+(AUX!$E$11*AUX!I$2))="","--",INDEX($C$329:$II$348,$F$8,AUX!$E$10+(AUX!$E$11*AUX!I$2)))</f>
        <v>--</v>
      </c>
      <c r="F35" s="42" t="str">
        <f>IF(INDEX($C$329:$II$348,$F$8,AUX!$E$10+(AUX!$E$11*AUX!J$2))="","--",INDEX($C$329:$II$348,$F$8,AUX!$E$10+(AUX!$E$11*AUX!J$2)))</f>
        <v>--</v>
      </c>
      <c r="G35" s="42" t="str">
        <f>IF(INDEX($C$329:$II$348,$F$8,AUX!$E$10+(AUX!$E$11*AUX!K$2))="","--",INDEX($C$329:$II$348,$F$8,AUX!$E$10+(AUX!$E$11*AUX!K$2)))</f>
        <v>--</v>
      </c>
      <c r="H35" s="42" t="str">
        <f>IF(INDEX($C$329:$II$348,$F$8,AUX!$E$10+(AUX!$E$11*AUX!L$2))="","--",INDEX($C$329:$II$348,$F$8,AUX!$E$10+(AUX!$E$11*AUX!L$2)))</f>
        <v>--</v>
      </c>
      <c r="I35" s="42" t="str">
        <f>IF(INDEX($C$329:$II$348,$F$8,AUX!$E$10+(AUX!$E$11*AUX!M$2))="","--",INDEX($C$329:$II$348,$F$8,AUX!$E$10+(AUX!$E$11*AUX!M$2)))</f>
        <v>--</v>
      </c>
      <c r="J35" s="42" t="str">
        <f>IF(INDEX($C$329:$II$348,$F$8,AUX!$E$10+(AUX!$E$11*AUX!N$2))="","--",INDEX($C$329:$II$348,$F$8,AUX!$E$10+(AUX!$E$11*AUX!N$2)))</f>
        <v>--</v>
      </c>
      <c r="K35" s="42" t="str">
        <f>IF(INDEX($C$329:$II$348,$F$8,AUX!$E$10+(AUX!$E$11*AUX!O$2))="","--",INDEX($C$329:$II$348,$F$8,AUX!$E$10+(AUX!$E$11*AUX!O$2)))</f>
        <v>--</v>
      </c>
      <c r="L35" s="42" t="str">
        <f>IF(INDEX($C$329:$II$348,$F$8,AUX!$E$10+(AUX!$E$11*AUX!P$2))="","--",INDEX($C$329:$II$348,$F$8,AUX!$E$10+(AUX!$E$11*AUX!P$2)))</f>
        <v>--</v>
      </c>
      <c r="M35" s="43" t="str">
        <f>IF(INDEX($C$329:$II$348,$F$8,AUX!$E$10+(AUX!$E$11*AUX!Q$2))="","--",INDEX($C$329:$II$348,$F$8,AUX!$E$10+(AUX!$E$11*AUX!Q$2)))</f>
        <v>--</v>
      </c>
    </row>
    <row r="36" ht="15.75" customHeight="1">
      <c r="B36" s="19"/>
      <c r="C36" s="735" t="s">
        <v>420</v>
      </c>
      <c r="D36" s="736"/>
      <c r="E36" s="736"/>
      <c r="F36" s="736"/>
      <c r="G36" s="736"/>
      <c r="H36" s="736"/>
      <c r="I36" s="736"/>
      <c r="J36" s="736"/>
      <c r="K36" s="736"/>
      <c r="L36" s="736"/>
      <c r="M36" s="737"/>
    </row>
    <row r="37" ht="15.75" customHeight="1">
      <c r="B37" s="19"/>
      <c r="C37" s="30" t="str">
        <f>IF(INDEX($C$390:$II$409,$F$8,AUX!$E$10+(AUX!$E$11*AUX!G$2))="","--",INDEX($C$390:$II$409,$F$8,AUX!$E$10+(AUX!$E$11*AUX!G$2)))</f>
        <v>--</v>
      </c>
      <c r="D37" s="42" t="str">
        <f>IF(INDEX($C$390:$II$409,$F$8,AUX!$E$10+(AUX!$E$11*AUX!H$2))="","--",INDEX($C$390:$II$409,$F$8,AUX!$E$10+(AUX!$E$11*AUX!H$2)))</f>
        <v>--</v>
      </c>
      <c r="E37" s="42" t="str">
        <f>IF(INDEX($C$390:$II$409,$F$8,AUX!$E$10+(AUX!$E$11*AUX!I$2))="","--",INDEX($C$390:$II$409,$F$8,AUX!$E$10+(AUX!$E$11*AUX!I$2)))</f>
        <v>--</v>
      </c>
      <c r="F37" s="42" t="str">
        <f>IF(INDEX($C$390:$II$409,$F$8,AUX!$E$10+(AUX!$E$11*AUX!J$2))="","--",INDEX($C$390:$II$409,$F$8,AUX!$E$10+(AUX!$E$11*AUX!J$2)))</f>
        <v>--</v>
      </c>
      <c r="G37" s="42" t="str">
        <f>IF(INDEX($C$390:$II$409,$F$8,AUX!$E$10+(AUX!$E$11*AUX!K$2))="","--",INDEX($C$390:$II$409,$F$8,AUX!$E$10+(AUX!$E$11*AUX!K$2)))</f>
        <v>--</v>
      </c>
      <c r="H37" s="42" t="str">
        <f>IF(INDEX($C$390:$II$409,$F$8,AUX!$E$10+(AUX!$E$11*AUX!L$2))="","--",INDEX($C$390:$II$409,$F$8,AUX!$E$10+(AUX!$E$11*AUX!L$2)))</f>
        <v>--</v>
      </c>
      <c r="I37" s="42" t="str">
        <f>IF(INDEX($C$390:$II$409,$F$8,AUX!$E$10+(AUX!$E$11*AUX!M$2))="","--",INDEX($C$390:$II$409,$F$8,AUX!$E$10+(AUX!$E$11*AUX!M$2)))</f>
        <v>--</v>
      </c>
      <c r="J37" s="42" t="str">
        <f>IF(INDEX($C$390:$II$409,$F$8,AUX!$E$10+(AUX!$E$11*AUX!N$2))="","--",INDEX($C$390:$II$409,$F$8,AUX!$E$10+(AUX!$E$11*AUX!N$2)))</f>
        <v>--</v>
      </c>
      <c r="K37" s="42" t="str">
        <f>IF(INDEX($C$390:$II$409,$F$8,AUX!$E$10+(AUX!$E$11*AUX!O$2))="","--",INDEX($C$390:$II$409,$F$8,AUX!$E$10+(AUX!$E$11*AUX!O$2)))</f>
        <v>--</v>
      </c>
      <c r="L37" s="42" t="str">
        <f>IF(INDEX($C$390:$II$409,$F$8,AUX!$E$10+(AUX!$E$11*AUX!P$2))="","--",INDEX($C$390:$II$409,$F$8,AUX!$E$10+(AUX!$E$11*AUX!P$2)))</f>
        <v>--</v>
      </c>
      <c r="M37" s="43" t="str">
        <f>IF(INDEX($C$390:$II$409,$F$8,AUX!$E$10+(AUX!$E$11*AUX!Q$2))="","--",INDEX($C$390:$II$409,$F$8,AUX!$E$10+(AUX!$E$11*AUX!Q$2)))</f>
        <v>--</v>
      </c>
    </row>
    <row r="38" ht="15.75" customHeight="1">
      <c r="B38" s="19"/>
      <c r="C38" s="735" t="s">
        <v>421</v>
      </c>
      <c r="D38" s="736"/>
      <c r="E38" s="736"/>
      <c r="F38" s="736"/>
      <c r="G38" s="736"/>
      <c r="H38" s="736"/>
      <c r="I38" s="736"/>
      <c r="J38" s="736"/>
      <c r="K38" s="736"/>
      <c r="L38" s="736"/>
      <c r="M38" s="737"/>
    </row>
    <row r="39" ht="15.75" customHeight="1">
      <c r="B39" s="19"/>
      <c r="C39" s="30" t="str">
        <f>IF(INDEX($C$414:$II$433,$F$8,AUX!$E$10+(AUX!$E$11*AUX!G$2))="","--",INDEX($C$414:$II$433,$F$8,AUX!$E$10+(AUX!$E$11*AUX!G$2)))</f>
        <v>--</v>
      </c>
      <c r="D39" s="42" t="str">
        <f>IF(INDEX($C$414:$II$433,$F$8,AUX!$E$10+(AUX!$E$11*AUX!H$2))="","--",INDEX($C$414:$II$433,$F$8,AUX!$E$10+(AUX!$E$11*AUX!H$2)))</f>
        <v>--</v>
      </c>
      <c r="E39" s="42" t="str">
        <f>IF(INDEX($C$414:$II$433,$F$8,AUX!$E$10+(AUX!$E$11*AUX!I$2))="","--",INDEX($C$414:$II$433,$F$8,AUX!$E$10+(AUX!$E$11*AUX!I$2)))</f>
        <v>--</v>
      </c>
      <c r="F39" s="42" t="str">
        <f>IF(INDEX($C$414:$II$433,$F$8,AUX!$E$10+(AUX!$E$11*AUX!J$2))="","--",INDEX($C$414:$II$433,$F$8,AUX!$E$10+(AUX!$E$11*AUX!J$2)))</f>
        <v>--</v>
      </c>
      <c r="G39" s="42" t="str">
        <f>IF(INDEX($C$414:$II$433,$F$8,AUX!$E$10+(AUX!$E$11*AUX!K$2))="","--",INDEX($C$414:$II$433,$F$8,AUX!$E$10+(AUX!$E$11*AUX!K$2)))</f>
        <v>--</v>
      </c>
      <c r="H39" s="42" t="str">
        <f>IF(INDEX($C$414:$II$433,$F$8,AUX!$E$10+(AUX!$E$11*AUX!L$2))="","--",INDEX($C$414:$II$433,$F$8,AUX!$E$10+(AUX!$E$11*AUX!L$2)))</f>
        <v>--</v>
      </c>
      <c r="I39" s="42" t="str">
        <f>IF(INDEX($C$414:$II$433,$F$8,AUX!$E$10+(AUX!$E$11*AUX!M$2))="","--",INDEX($C$414:$II$433,$F$8,AUX!$E$10+(AUX!$E$11*AUX!M$2)))</f>
        <v>--</v>
      </c>
      <c r="J39" s="42" t="str">
        <f>IF(INDEX($C$414:$II$433,$F$8,AUX!$E$10+(AUX!$E$11*AUX!N$2))="","--",INDEX($C$414:$II$433,$F$8,AUX!$E$10+(AUX!$E$11*AUX!N$2)))</f>
        <v>--</v>
      </c>
      <c r="K39" s="42" t="str">
        <f>IF(INDEX($C$414:$II$433,$F$8,AUX!$E$10+(AUX!$E$11*AUX!O$2))="","--",INDEX($C$414:$II$433,$F$8,AUX!$E$10+(AUX!$E$11*AUX!O$2)))</f>
        <v>--</v>
      </c>
      <c r="L39" s="42" t="str">
        <f>IF(INDEX($C$414:$II$433,$F$8,AUX!$E$10+(AUX!$E$11*AUX!P$2))="","--",INDEX($C$414:$II$433,$F$8,AUX!$E$10+(AUX!$E$11*AUX!P$2)))</f>
        <v>--</v>
      </c>
      <c r="M39" s="43" t="str">
        <f>IF(INDEX($C$414:$II$433,$F$8,AUX!$E$10+(AUX!$E$11*AUX!Q$2))="","--",INDEX($C$414:$II$433,$F$8,AUX!$E$10+(AUX!$E$11*AUX!Q$2)))</f>
        <v>--</v>
      </c>
    </row>
    <row r="40" ht="15.75" customHeight="1">
      <c r="B40" s="19"/>
      <c r="C40" s="735" t="s">
        <v>422</v>
      </c>
      <c r="D40" s="736"/>
      <c r="E40" s="736"/>
      <c r="F40" s="736"/>
      <c r="G40" s="736"/>
      <c r="H40" s="736"/>
      <c r="I40" s="736"/>
      <c r="J40" s="736"/>
      <c r="K40" s="736"/>
      <c r="L40" s="736"/>
      <c r="M40" s="737"/>
    </row>
    <row r="41" ht="15.75" customHeight="1">
      <c r="B41" s="19"/>
      <c r="C41" s="30" t="str">
        <f>IF(INDEX($C$438:$II$457,$F$8,AUX!$E$10+(AUX!$E$11*AUX!G$2))="","--",INDEX($C$438:$II$457,$F$8,AUX!$E$10+(AUX!$E$11*AUX!G$2)))</f>
        <v>--</v>
      </c>
      <c r="D41" s="42" t="str">
        <f>IF(INDEX($C$438:$II$457,$F$8,AUX!$E$10+(AUX!$E$11*AUX!H$2))="","--",INDEX($C$438:$II$457,$F$8,AUX!$E$10+(AUX!$E$11*AUX!H$2)))</f>
        <v>--</v>
      </c>
      <c r="E41" s="42" t="str">
        <f>IF(INDEX($C$438:$II$457,$F$8,AUX!$E$10+(AUX!$E$11*AUX!I$2))="","--",INDEX($C$438:$II$457,$F$8,AUX!$E$10+(AUX!$E$11*AUX!I$2)))</f>
        <v>--</v>
      </c>
      <c r="F41" s="42" t="str">
        <f>IF(INDEX($C$438:$II$457,$F$8,AUX!$E$10+(AUX!$E$11*AUX!J$2))="","--",INDEX($C$438:$II$457,$F$8,AUX!$E$10+(AUX!$E$11*AUX!J$2)))</f>
        <v>--</v>
      </c>
      <c r="G41" s="42" t="str">
        <f>IF(INDEX($C$438:$II$457,$F$8,AUX!$E$10+(AUX!$E$11*AUX!K$2))="","--",INDEX($C$438:$II$457,$F$8,AUX!$E$10+(AUX!$E$11*AUX!K$2)))</f>
        <v>--</v>
      </c>
      <c r="H41" s="42" t="str">
        <f>IF(INDEX($C$438:$II$457,$F$8,AUX!$E$10+(AUX!$E$11*AUX!L$2))="","--",INDEX($C$438:$II$457,$F$8,AUX!$E$10+(AUX!$E$11*AUX!L$2)))</f>
        <v>--</v>
      </c>
      <c r="I41" s="42" t="str">
        <f>IF(INDEX($C$438:$II$457,$F$8,AUX!$E$10+(AUX!$E$11*AUX!M$2))="","--",INDEX($C$438:$II$457,$F$8,AUX!$E$10+(AUX!$E$11*AUX!M$2)))</f>
        <v>--</v>
      </c>
      <c r="J41" s="42" t="str">
        <f>IF(INDEX($C$438:$II$457,$F$8,AUX!$E$10+(AUX!$E$11*AUX!N$2))="","--",INDEX($C$438:$II$457,$F$8,AUX!$E$10+(AUX!$E$11*AUX!N$2)))</f>
        <v>--</v>
      </c>
      <c r="K41" s="42" t="str">
        <f>IF(INDEX($C$438:$II$457,$F$8,AUX!$E$10+(AUX!$E$11*AUX!O$2))="","--",INDEX($C$438:$II$457,$F$8,AUX!$E$10+(AUX!$E$11*AUX!O$2)))</f>
        <v>--</v>
      </c>
      <c r="L41" s="42" t="str">
        <f>IF(INDEX($C$438:$II$457,$F$8,AUX!$E$10+(AUX!$E$11*AUX!P$2))="","--",INDEX($C$438:$II$457,$F$8,AUX!$E$10+(AUX!$E$11*AUX!P$2)))</f>
        <v>--</v>
      </c>
      <c r="M41" s="43" t="str">
        <f>IF(INDEX($C$438:$II$457,$F$8,AUX!$E$10+(AUX!$E$11*AUX!Q$2))="","--",INDEX($C$438:$II$457,$F$8,AUX!$E$10+(AUX!$E$11*AUX!Q$2)))</f>
        <v>--</v>
      </c>
    </row>
    <row r="42" ht="15.75" customHeight="1">
      <c r="B42" s="19"/>
      <c r="C42" s="735" t="s">
        <v>423</v>
      </c>
      <c r="D42" s="736"/>
      <c r="E42" s="736"/>
      <c r="F42" s="736"/>
      <c r="G42" s="736"/>
      <c r="H42" s="736"/>
      <c r="I42" s="736"/>
      <c r="J42" s="736"/>
      <c r="K42" s="736"/>
      <c r="L42" s="736"/>
      <c r="M42" s="737"/>
    </row>
    <row r="43" ht="15.75" customHeight="1">
      <c r="B43" s="19"/>
      <c r="C43" s="30" t="str">
        <f>IF(INDEX($C$462:$II$481,$F$8,AUX!$E$10+(AUX!$E$11*AUX!G$2))="","--",INDEX($C$462:$II$481,$F$8,AUX!$E$10+(AUX!$E$11*AUX!G$2)))</f>
        <v>--</v>
      </c>
      <c r="D43" s="42" t="str">
        <f>IF(INDEX($C$462:$II$481,$F$8,AUX!$E$10+(AUX!$E$11*AUX!H$2))="","--",INDEX($C$462:$II$481,$F$8,AUX!$E$10+(AUX!$E$11*AUX!H$2)))</f>
        <v>--</v>
      </c>
      <c r="E43" s="42" t="str">
        <f>IF(INDEX($C$462:$II$481,$F$8,AUX!$E$10+(AUX!$E$11*AUX!I$2))="","--",INDEX($C$462:$II$481,$F$8,AUX!$E$10+(AUX!$E$11*AUX!I$2)))</f>
        <v>--</v>
      </c>
      <c r="F43" s="42" t="str">
        <f>IF(INDEX($C$462:$II$481,$F$8,AUX!$E$10+(AUX!$E$11*AUX!J$2))="","--",INDEX($C$462:$II$481,$F$8,AUX!$E$10+(AUX!$E$11*AUX!J$2)))</f>
        <v>--</v>
      </c>
      <c r="G43" s="42" t="str">
        <f>IF(INDEX($C$462:$II$481,$F$8,AUX!$E$10+(AUX!$E$11*AUX!K$2))="","--",INDEX($C$462:$II$481,$F$8,AUX!$E$10+(AUX!$E$11*AUX!K$2)))</f>
        <v>--</v>
      </c>
      <c r="H43" s="42" t="str">
        <f>IF(INDEX($C$462:$II$481,$F$8,AUX!$E$10+(AUX!$E$11*AUX!L$2))="","--",INDEX($C$462:$II$481,$F$8,AUX!$E$10+(AUX!$E$11*AUX!L$2)))</f>
        <v>--</v>
      </c>
      <c r="I43" s="42" t="str">
        <f>IF(INDEX($C$462:$II$481,$F$8,AUX!$E$10+(AUX!$E$11*AUX!M$2))="","--",INDEX($C$462:$II$481,$F$8,AUX!$E$10+(AUX!$E$11*AUX!M$2)))</f>
        <v>--</v>
      </c>
      <c r="J43" s="42" t="str">
        <f>IF(INDEX($C$462:$II$481,$F$8,AUX!$E$10+(AUX!$E$11*AUX!N$2))="","--",INDEX($C$462:$II$481,$F$8,AUX!$E$10+(AUX!$E$11*AUX!N$2)))</f>
        <v>--</v>
      </c>
      <c r="K43" s="42" t="str">
        <f>IF(INDEX($C$462:$II$481,$F$8,AUX!$E$10+(AUX!$E$11*AUX!O$2))="","--",INDEX($C$462:$II$481,$F$8,AUX!$E$10+(AUX!$E$11*AUX!O$2)))</f>
        <v>--</v>
      </c>
      <c r="L43" s="42" t="str">
        <f>IF(INDEX($C$462:$II$481,$F$8,AUX!$E$10+(AUX!$E$11*AUX!P$2))="","--",INDEX($C$462:$II$481,$F$8,AUX!$E$10+(AUX!$E$11*AUX!P$2)))</f>
        <v>--</v>
      </c>
      <c r="M43" s="43" t="str">
        <f>IF(INDEX($C$462:$II$481,$F$8,AUX!$E$10+(AUX!$E$11*AUX!Q$2))="","--",INDEX($C$462:$II$481,$F$8,AUX!$E$10+(AUX!$E$11*AUX!Q$2)))</f>
        <v>--</v>
      </c>
    </row>
    <row r="44" ht="15.75" customHeight="1">
      <c r="B44" s="19"/>
      <c r="C44" s="735" t="s">
        <v>108</v>
      </c>
      <c r="D44" s="736"/>
      <c r="E44" s="736"/>
      <c r="F44" s="736"/>
      <c r="G44" s="736"/>
      <c r="H44" s="736"/>
      <c r="I44" s="736"/>
      <c r="J44" s="736"/>
      <c r="K44" s="736"/>
      <c r="L44" s="736"/>
      <c r="M44" s="737"/>
    </row>
    <row r="45" ht="15.75" customHeight="1">
      <c r="B45" s="19"/>
      <c r="C45" s="31" t="str">
        <f>IF(INDEX($C$352:$II$371,$F$8,AUX!$E$10+(AUX!$E$11*AUX!G$2))="","--",INDEX($C$352:$II$371,$F$8,AUX!$E$10+(AUX!$E$11*AUX!G$2)))</f>
        <v>--</v>
      </c>
      <c r="D45" s="44" t="str">
        <f>IF(INDEX($C$352:$II$371,$F$8,AUX!$E$10+(AUX!$E$11*AUX!H$2))="","--",INDEX($C$352:$II$371,$F$8,AUX!$E$10+(AUX!$E$11*AUX!H$2)))</f>
        <v>--</v>
      </c>
      <c r="E45" s="44" t="str">
        <f>IF(INDEX($C$352:$II$371,$F$8,AUX!$E$10+(AUX!$E$11*AUX!I$2))="","--",INDEX($C$352:$II$371,$F$8,AUX!$E$10+(AUX!$E$11*AUX!I$2)))</f>
        <v>--</v>
      </c>
      <c r="F45" s="44" t="str">
        <f>IF(INDEX($C$352:$II$371,$F$8,AUX!$E$10+(AUX!$E$11*AUX!J$2))="","--",INDEX($C$352:$II$371,$F$8,AUX!$E$10+(AUX!$E$11*AUX!J$2)))</f>
        <v>--</v>
      </c>
      <c r="G45" s="44" t="str">
        <f>IF(INDEX($C$352:$II$371,$F$8,AUX!$E$10+(AUX!$E$11*AUX!K$2))="","--",INDEX($C$352:$II$371,$F$8,AUX!$E$10+(AUX!$E$11*AUX!K$2)))</f>
        <v>--</v>
      </c>
      <c r="H45" s="44" t="str">
        <f>IF(INDEX($C$352:$II$371,$F$8,AUX!$E$10+(AUX!$E$11*AUX!L$2))="","--",INDEX($C$352:$II$371,$F$8,AUX!$E$10+(AUX!$E$11*AUX!L$2)))</f>
        <v>--</v>
      </c>
      <c r="I45" s="44" t="str">
        <f>IF(INDEX($C$352:$II$371,$F$8,AUX!$E$10+(AUX!$E$11*AUX!M$2))="","--",INDEX($C$352:$II$371,$F$8,AUX!$E$10+(AUX!$E$11*AUX!M$2)))</f>
        <v>--</v>
      </c>
      <c r="J45" s="44" t="str">
        <f>IF(INDEX($C$352:$II$371,$F$8,AUX!$E$10+(AUX!$E$11*AUX!N$2))="","--",INDEX($C$352:$II$371,$F$8,AUX!$E$10+(AUX!$E$11*AUX!N$2)))</f>
        <v>--</v>
      </c>
      <c r="K45" s="44" t="str">
        <f>IF(INDEX($C$352:$II$371,$F$8,AUX!$E$10+(AUX!$E$11*AUX!O$2))="","--",INDEX($C$352:$II$371,$F$8,AUX!$E$10+(AUX!$E$11*AUX!O$2)))</f>
        <v>--</v>
      </c>
      <c r="L45" s="44" t="str">
        <f>IF(INDEX($C$352:$II$371,$F$8,AUX!$E$10+(AUX!$E$11*AUX!P$2))="","--",INDEX($C$352:$II$371,$F$8,AUX!$E$10+(AUX!$E$11*AUX!P$2)))</f>
        <v>--</v>
      </c>
      <c r="M45" s="45" t="str">
        <f>IF(INDEX($C$352:$II$371,$F$8,AUX!$E$10+(AUX!$E$11*AUX!Q$2))="","--",INDEX($C$352:$II$371,$F$8,AUX!$E$10+(AUX!$E$11*AUX!Q$2)))</f>
        <v>--</v>
      </c>
    </row>
    <row r="46">
      <c r="C46" s="13" t="s">
        <v>424</v>
      </c>
      <c r="L46" s="5"/>
      <c r="M46" s="18"/>
    </row>
    <row r="99"/>
    <row r="156" ht="14.25" customHeight="1"/>
    <row r="165" hidden="1"/>
    <row r="166" hidden="1" ht="15.75" customHeight="1">
      <c r="C166" s="732" t="s">
        <v>194</v>
      </c>
      <c r="D166" s="733"/>
      <c r="E166" s="733"/>
      <c r="F166" s="733"/>
      <c r="G166" s="733"/>
      <c r="H166" s="733"/>
      <c r="I166" s="733"/>
      <c r="J166" s="733"/>
      <c r="K166" s="733"/>
      <c r="L166" s="733"/>
      <c r="M166" s="733"/>
      <c r="N166" s="733"/>
      <c r="O166" s="733"/>
      <c r="P166" s="733"/>
      <c r="Q166" s="733"/>
      <c r="R166" s="733"/>
      <c r="S166" s="733"/>
      <c r="T166" s="733"/>
      <c r="U166" s="733"/>
      <c r="V166" s="733"/>
      <c r="W166" s="733"/>
      <c r="X166" s="733"/>
      <c r="Y166" s="733"/>
      <c r="Z166" s="733"/>
      <c r="AA166" s="733"/>
      <c r="AB166" s="734"/>
    </row>
    <row r="167" hidden="1" ht="15" customHeight="1">
      <c r="B167" s="51"/>
      <c r="C167" s="435" t="str">
        <f> IF(C187&lt;&gt;"",TEXT(AUX!G$1,"dd-MMM-aa"),"")</f>
      </c>
      <c r="D167" s="435" t="str">
        <f> IF(D187&lt;&gt;"",TEXT(AUX!H$1,"dd-MMM-aa"),"")</f>
      </c>
      <c r="E167" s="435" t="str">
        <f> IF(E187&lt;&gt;"",TEXT(AUX!I$1,"dd-MMM-aa"),"")</f>
      </c>
      <c r="F167" s="435" t="str">
        <f> IF(F187&lt;&gt;"",TEXT(AUX!J$1,"dd-MMM-aa"),"")</f>
      </c>
      <c r="G167" s="435" t="str">
        <f> IF(G187&lt;&gt;"",TEXT(AUX!K$1,"dd-MMM-aa"),"")</f>
      </c>
      <c r="H167" s="435" t="str">
        <f> IF(H187&lt;&gt;"",TEXT(AUX!L$1,"dd-MMM-aa"),"")</f>
      </c>
      <c r="I167" s="435" t="str">
        <f> IF(I187&lt;&gt;"",TEXT(AUX!M$1,"dd-MMM-aa"),"")</f>
      </c>
      <c r="J167" s="435" t="str">
        <f> IF(J187&lt;&gt;"",TEXT(AUX!N$1,"dd-MMM-aa"),"")</f>
      </c>
      <c r="K167" s="435" t="str">
        <f> IF(K187&lt;&gt;"",TEXT(AUX!O$1,"dd-MMM-aa"),"")</f>
      </c>
      <c r="L167" s="435" t="str">
        <f> IF(L187&lt;&gt;"",TEXT(AUX!P$1,"dd-MMM-aa"),"")</f>
      </c>
      <c r="M167" s="435" t="str">
        <f> IF(M187&lt;&gt;"",TEXT(AUX!Q$1,"dd-MMM-aa"),"")</f>
      </c>
      <c r="N167" s="435" t="str">
        <f> IF(N187&lt;&gt;"",TEXT(AUX!R$1,"dd-MMM-aa"),"")</f>
      </c>
      <c r="O167" s="435" t="str">
        <f> IF(O187&lt;&gt;"",TEXT(AUX!S$1,"dd-MMM-aa"),"")</f>
      </c>
      <c r="P167" s="435" t="str">
        <f> IF(P187&lt;&gt;"",TEXT(AUX!T$1,"dd-MMM-aa"),"")</f>
      </c>
      <c r="Q167" s="435" t="str">
        <f> IF(Q187&lt;&gt;"",TEXT(AUX!U$1,"dd-MMM-aa"),"")</f>
      </c>
      <c r="R167" s="435" t="str">
        <f> IF(R187&lt;&gt;"",TEXT(AUX!V$1,"dd-MMM-aa"),"")</f>
      </c>
      <c r="S167" s="435" t="str">
        <f> IF(S187&lt;&gt;"",TEXT(AUX!W$1,"dd-MMM-aa"),"")</f>
      </c>
      <c r="T167" s="435" t="str">
        <f> IF(T187&lt;&gt;"",TEXT(AUX!X$1,"dd-MMM-aa"),"")</f>
      </c>
      <c r="U167" s="435" t="str">
        <f> IF(U187&lt;&gt;"",TEXT(AUX!Y$1,"dd-MMM-aa"),"")</f>
      </c>
      <c r="V167" s="435" t="str">
        <f> IF(V187&lt;&gt;"",TEXT(AUX!Z$1,"dd-MMM-aa"),"")</f>
      </c>
      <c r="W167" s="435" t="str">
        <f> IF(W187&lt;&gt;"",TEXT(AUX!AA$1,"dd-MMM-aa"),"")</f>
      </c>
      <c r="X167" s="435" t="str">
        <f> IF(X187&lt;&gt;"",TEXT(AUX!AB$1,"dd-MMM-aa"),"")</f>
      </c>
      <c r="Y167" s="435" t="str">
        <f> IF(Y187&lt;&gt;"",TEXT(AUX!AC$1,"dd-MMM-aa"),"")</f>
      </c>
      <c r="Z167" s="435" t="str">
        <f> IF(Z187&lt;&gt;"",TEXT(AUX!AD$1,"dd-MMM-aa"),"")</f>
      </c>
      <c r="AA167" s="435" t="str">
        <f> IF(AA187&lt;&gt;"",TEXT(AUX!AE$1,"dd-MMM-aa"),"")</f>
      </c>
      <c r="AB167" s="497" t="str">
        <f> IF(AB187&lt;&gt;"",TEXT(AUX!AF$1,"dd-MMM-aa"),"")</f>
      </c>
      <c r="AC167" s="496" t="str">
        <f> IF(AC187&lt;&gt;"",TEXT(AUX!AG$1,"dd-MMM-aa"),"")</f>
      </c>
      <c r="AD167" s="496" t="str">
        <f> IF(AD187&lt;&gt;"",TEXT(AUX!AH$1,"dd-MMM-aa"),"")</f>
      </c>
      <c r="AE167" s="496" t="str">
        <f> IF(AE187&lt;&gt;"",TEXT(AUX!AI$1,"dd-MMM-aa"),"")</f>
      </c>
      <c r="AF167" s="496" t="str">
        <f> IF(AF187&lt;&gt;"",TEXT(AUX!AJ$1,"dd-MMM-aa"),"")</f>
      </c>
      <c r="AG167" s="496" t="str">
        <f> IF(AG187&lt;&gt;"",TEXT(AUX!AK$1,"dd-MMM-aa"),"")</f>
      </c>
      <c r="AH167" s="496" t="str">
        <f> IF(AH187&lt;&gt;"",TEXT(AUX!AL$1,"dd-MMM-aa"),"")</f>
      </c>
      <c r="AI167" s="496" t="str">
        <f> IF(AI187&lt;&gt;"",TEXT(AUX!AM$1,"dd-MMM-aa"),"")</f>
      </c>
      <c r="AJ167" s="496" t="str">
        <f> IF(AJ187&lt;&gt;"",TEXT(AUX!AN$1,"dd-MMM-aa"),"")</f>
      </c>
      <c r="AK167" s="496" t="str">
        <f> IF(AK187&lt;&gt;"",TEXT(AUX!AO$1,"dd-MMM-aa"),"")</f>
      </c>
      <c r="AL167" s="496" t="str">
        <f> IF(AL187&lt;&gt;"",TEXT(AUX!AP$1,"dd-MMM-aa"),"")</f>
      </c>
      <c r="AM167" s="496" t="str">
        <f> IF(AM187&lt;&gt;"",TEXT(AUX!AQ$1,"dd-MMM-aa"),"")</f>
      </c>
      <c r="AN167" s="496" t="str">
        <f> IF(AN187&lt;&gt;"",TEXT(AUX!AR$1,"dd-MMM-aa"),"")</f>
      </c>
      <c r="AO167" s="496" t="str">
        <f> IF(AO187&lt;&gt;"",TEXT(AUX!AS$1,"dd-MMM-aa"),"")</f>
      </c>
      <c r="AP167" s="496" t="str">
        <f> IF(AP187&lt;&gt;"",TEXT(AUX!AT$1,"dd-MMM-aa"),"")</f>
      </c>
      <c r="AQ167" s="496" t="str">
        <f> IF(AQ187&lt;&gt;"",TEXT(AUX!AU$1,"dd-MMM-aa"),"")</f>
      </c>
      <c r="AR167" s="496" t="str">
        <f> IF(AR187&lt;&gt;"",TEXT(AUX!AV$1,"dd-MMM-aa"),"")</f>
      </c>
      <c r="AS167" s="496" t="str">
        <f> IF(AS187&lt;&gt;"",TEXT(AUX!AW$1,"dd-MMM-aa"),"")</f>
      </c>
      <c r="AT167" s="496" t="str">
        <f> IF(AT187&lt;&gt;"",TEXT(AUX!AX$1,"dd-MMM-aa"),"")</f>
      </c>
      <c r="AU167" s="496" t="str">
        <f> IF(AU187&lt;&gt;"",TEXT(AUX!AY$1,"dd-MMM-aa"),"")</f>
      </c>
      <c r="AV167" s="496" t="str">
        <f> IF(AV187&lt;&gt;"",TEXT(AUX!AZ$1,"dd-MMM-aa"),"")</f>
      </c>
      <c r="AW167" s="496" t="str">
        <f> IF(AW187&lt;&gt;"",TEXT(AUX!BA$1,"dd-MMM-aa"),"")</f>
      </c>
      <c r="AX167" s="496" t="str">
        <f> IF(AX187&lt;&gt;"",TEXT(AUX!BB$1,"dd-MMM-aa"),"")</f>
      </c>
      <c r="AY167" s="496" t="str">
        <f> IF(AY187&lt;&gt;"",TEXT(AUX!BC$1,"dd-MMM-aa"),"")</f>
      </c>
      <c r="AZ167" s="496" t="str">
        <f> IF(AZ187&lt;&gt;"",TEXT(AUX!BD$1,"dd-MMM-aa"),"")</f>
      </c>
      <c r="BA167" s="496" t="str">
        <f> IF(BA187&lt;&gt;"",TEXT(AUX!BE$1,"dd-MMM-aa"),"")</f>
      </c>
      <c r="BB167" s="496" t="str">
        <f> IF(BB187&lt;&gt;"",TEXT(AUX!BF$1,"dd-MMM-aa"),"")</f>
      </c>
      <c r="BC167" s="496" t="str">
        <f> IF(BC187&lt;&gt;"",TEXT(AUX!BG$1,"dd-MMM-aa"),"")</f>
      </c>
      <c r="BD167" s="496" t="str">
        <f> IF(BD187&lt;&gt;"",TEXT(AUX!BH$1,"dd-MMM-aa"),"")</f>
      </c>
      <c r="BE167" s="496" t="str">
        <f> IF(BE187&lt;&gt;"",TEXT(AUX!BI$1,"dd-MMM-aa"),"")</f>
      </c>
      <c r="BF167" s="496" t="str">
        <f> IF(BF187&lt;&gt;"",TEXT(AUX!BJ$1,"dd-MMM-aa"),"")</f>
      </c>
      <c r="BG167" s="496" t="str">
        <f> IF(BG187&lt;&gt;"",TEXT(AUX!BK$1,"dd-MMM-aa"),"")</f>
      </c>
      <c r="BH167" s="496" t="str">
        <f> IF(BH187&lt;&gt;"",TEXT(AUX!BL$1,"dd-MMM-aa"),"")</f>
      </c>
      <c r="BI167" s="496" t="str">
        <f> IF(BI187&lt;&gt;"",TEXT(AUX!BM$1,"dd-MMM-aa"),"")</f>
      </c>
      <c r="BJ167" s="496" t="str">
        <f> IF(BJ187&lt;&gt;"",TEXT(AUX!BN$1,"dd-MMM-aa"),"")</f>
      </c>
      <c r="BK167" s="496" t="str">
        <f> IF(BK187&lt;&gt;"",TEXT(AUX!BO$1,"dd-MMM-aa"),"")</f>
      </c>
      <c r="BL167" s="496" t="str">
        <f> IF(BL187&lt;&gt;"",TEXT(AUX!BP$1,"dd-MMM-aa"),"")</f>
      </c>
      <c r="BM167" s="496" t="str">
        <f> IF(BM187&lt;&gt;"",TEXT(AUX!BQ$1,"dd-MMM-aa"),"")</f>
      </c>
      <c r="BN167" s="496" t="str">
        <f> IF(BN187&lt;&gt;"",TEXT(AUX!BR$1,"dd-MMM-aa"),"")</f>
      </c>
      <c r="BO167" s="496" t="str">
        <f> IF(BO187&lt;&gt;"",TEXT(AUX!BS$1,"dd-MMM-aa"),"")</f>
      </c>
      <c r="BP167" s="496" t="str">
        <f> IF(BP187&lt;&gt;"",TEXT(AUX!BT$1,"dd-MMM-aa"),"")</f>
      </c>
      <c r="BQ167" s="496" t="str">
        <f> IF(BQ187&lt;&gt;"",TEXT(AUX!BU$1,"dd-MMM-aa"),"")</f>
      </c>
      <c r="BR167" s="496" t="str">
        <f> IF(BR187&lt;&gt;"",TEXT(AUX!BV$1,"dd-MMM-aa"),"")</f>
      </c>
      <c r="BS167" s="496" t="str">
        <f> IF(BS187&lt;&gt;"",TEXT(AUX!BW$1,"dd-MMM-aa"),"")</f>
      </c>
      <c r="BT167" s="496" t="str">
        <f> IF(BT187&lt;&gt;"",TEXT(AUX!BX$1,"dd-MMM-aa"),"")</f>
      </c>
      <c r="BU167" s="496" t="str">
        <f> IF(BU187&lt;&gt;"",TEXT(AUX!BY$1,"dd-MMM-aa"),"")</f>
      </c>
      <c r="BV167" s="496" t="str">
        <f> IF(BV187&lt;&gt;"",TEXT(AUX!BZ$1,"dd-MMM-aa"),"")</f>
      </c>
      <c r="BW167" s="496" t="str">
        <f> IF(BW187&lt;&gt;"",TEXT(AUX!CA$1,"dd-MMM-aa"),"")</f>
      </c>
      <c r="BX167" s="496" t="str">
        <f> IF(BX187&lt;&gt;"",TEXT(AUX!CB$1,"dd-MMM-aa"),"")</f>
      </c>
      <c r="BY167" s="496" t="str">
        <f> IF(BY187&lt;&gt;"",TEXT(AUX!CC$1,"dd-MMM-aa"),"")</f>
      </c>
      <c r="BZ167" s="496" t="str">
        <f> IF(BZ187&lt;&gt;"",TEXT(AUX!CD$1,"dd-MMM-aa"),"")</f>
      </c>
      <c r="CA167" s="496" t="str">
        <f> IF(CA187&lt;&gt;"",TEXT(AUX!CE$1,"dd-MMM-aa"),"")</f>
      </c>
      <c r="CB167" s="496" t="str">
        <f> IF(CB187&lt;&gt;"",TEXT(AUX!CF$1,"dd-MMM-aa"),"")</f>
      </c>
      <c r="CC167" s="496" t="str">
        <f> IF(CC187&lt;&gt;"",TEXT(AUX!CG$1,"dd-MMM-aa"),"")</f>
      </c>
      <c r="CD167" s="496" t="str">
        <f> IF(CD187&lt;&gt;"",TEXT(AUX!CH$1,"dd-MMM-aa"),"")</f>
      </c>
      <c r="CE167" s="496" t="str">
        <f> IF(CE187&lt;&gt;"",TEXT(AUX!CI$1,"dd-MMM-aa"),"")</f>
      </c>
      <c r="CF167" s="496" t="str">
        <f> IF(CF187&lt;&gt;"",TEXT(AUX!CJ$1,"dd-MMM-aa"),"")</f>
      </c>
      <c r="CG167" s="496" t="str">
        <f> IF(CG187&lt;&gt;"",TEXT(AUX!CK$1,"dd-MMM-aa"),"")</f>
      </c>
      <c r="CH167" s="496" t="str">
        <f> IF(CH187&lt;&gt;"",TEXT(AUX!CL$1,"dd-MMM-aa"),"")</f>
      </c>
      <c r="CI167" s="496" t="str">
        <f> IF(CI187&lt;&gt;"",TEXT(AUX!CM$1,"dd-MMM-aa"),"")</f>
      </c>
      <c r="CJ167" s="496" t="str">
        <f> IF(CJ187&lt;&gt;"",TEXT(AUX!CN$1,"dd-MMM-aa"),"")</f>
      </c>
      <c r="CK167" s="496" t="str">
        <f> IF(CK187&lt;&gt;"",TEXT(AUX!CO$1,"dd-MMM-aa"),"")</f>
      </c>
      <c r="CL167" s="496" t="str">
        <f> IF(CL187&lt;&gt;"",TEXT(AUX!CP$1,"dd-MMM-aa"),"")</f>
      </c>
      <c r="CM167" s="496" t="str">
        <f> IF(CM187&lt;&gt;"",TEXT(AUX!CQ$1,"dd-MMM-aa"),"")</f>
      </c>
      <c r="CN167" s="496" t="str">
        <f> IF(CN187&lt;&gt;"",TEXT(AUX!CR$1,"dd-MMM-aa"),"")</f>
      </c>
      <c r="CO167" s="496" t="str">
        <f> IF(CO187&lt;&gt;"",TEXT(AUX!CS$1,"dd-MMM-aa"),"")</f>
      </c>
      <c r="CP167" s="496" t="str">
        <f> IF(CP187&lt;&gt;"",TEXT(AUX!CT$1,"dd-MMM-aa"),"")</f>
      </c>
      <c r="CQ167" s="496" t="str">
        <f> IF(CQ187&lt;&gt;"",TEXT(AUX!CU$1,"dd-MMM-aa"),"")</f>
      </c>
      <c r="CR167" s="496" t="str">
        <f> IF(CR187&lt;&gt;"",TEXT(AUX!CV$1,"dd-MMM-aa"),"")</f>
      </c>
      <c r="CS167" s="496" t="str">
        <f> IF(CS187&lt;&gt;"",TEXT(AUX!CW$1,"dd-MMM-aa"),"")</f>
      </c>
      <c r="CT167" s="496" t="str">
        <f> IF(CT187&lt;&gt;"",TEXT(AUX!CX$1,"dd-MMM-aa"),"")</f>
      </c>
      <c r="CU167" s="496" t="str">
        <f> IF(CU187&lt;&gt;"",TEXT(AUX!CY$1,"dd-MMM-aa"),"")</f>
      </c>
      <c r="CV167" s="496" t="str">
        <f> IF(CV187&lt;&gt;"",TEXT(AUX!CZ$1,"dd-MMM-aa"),"")</f>
      </c>
      <c r="CW167" s="496" t="str">
        <f> IF(CW187&lt;&gt;"",TEXT(AUX!DA$1,"dd-MMM-aa"),"")</f>
      </c>
      <c r="CX167" s="496" t="str">
        <f> IF(CX187&lt;&gt;"",TEXT(AUX!DB$1,"dd-MMM-aa"),"")</f>
      </c>
      <c r="CY167" s="496" t="str">
        <f> IF(CY187&lt;&gt;"",TEXT(AUX!DC$1,"dd-MMM-aa"),"")</f>
      </c>
      <c r="CZ167" s="496" t="str">
        <f> IF(CZ187&lt;&gt;"",TEXT(AUX!DD$1,"dd-MMM-aa"),"")</f>
      </c>
      <c r="DA167" s="496" t="str">
        <f> IF(DA187&lt;&gt;"",TEXT(AUX!DE$1,"dd-MMM-aa"),"")</f>
      </c>
      <c r="DB167" s="496" t="str">
        <f> IF(DB187&lt;&gt;"",TEXT(AUX!DF$1,"dd-MMM-aa"),"")</f>
      </c>
      <c r="DC167" s="496" t="str">
        <f> IF(DC187&lt;&gt;"",TEXT(AUX!DG$1,"dd-MMM-aa"),"")</f>
      </c>
      <c r="DD167" s="496" t="str">
        <f> IF(DD187&lt;&gt;"",TEXT(AUX!DH$1,"dd-MMM-aa"),"")</f>
      </c>
      <c r="DE167" s="496" t="str">
        <f> IF(DE187&lt;&gt;"",TEXT(AUX!DI$1,"dd-MMM-aa"),"")</f>
      </c>
      <c r="DF167" s="496" t="str">
        <f> IF(DF187&lt;&gt;"",TEXT(AUX!DJ$1,"dd-MMM-aa"),"")</f>
      </c>
      <c r="DG167" s="496" t="str">
        <f> IF(DG187&lt;&gt;"",TEXT(AUX!DK$1,"dd-MMM-aa"),"")</f>
      </c>
      <c r="DH167" s="496" t="str">
        <f> IF(DH187&lt;&gt;"",TEXT(AUX!DL$1,"dd-MMM-aa"),"")</f>
      </c>
      <c r="DI167" s="496" t="str">
        <f> IF(DI187&lt;&gt;"",TEXT(AUX!DM$1,"dd-MMM-aa"),"")</f>
      </c>
      <c r="DJ167" s="496" t="str">
        <f> IF(DJ187&lt;&gt;"",TEXT(AUX!DN$1,"dd-MMM-aa"),"")</f>
      </c>
      <c r="DK167" s="496" t="str">
        <f> IF(DK187&lt;&gt;"",TEXT(AUX!DO$1,"dd-MMM-aa"),"")</f>
      </c>
      <c r="DL167" s="496" t="str">
        <f> IF(DL187&lt;&gt;"",TEXT(AUX!DP$1,"dd-MMM-aa"),"")</f>
      </c>
      <c r="DM167" s="496" t="str">
        <f> IF(DM187&lt;&gt;"",TEXT(AUX!DQ$1,"dd-MMM-aa"),"")</f>
      </c>
      <c r="DN167" s="496" t="str">
        <f> IF(DN187&lt;&gt;"",TEXT(AUX!DR$1,"dd-MMM-aa"),"")</f>
      </c>
      <c r="DO167" s="496" t="str">
        <f> IF(DO187&lt;&gt;"",TEXT(AUX!DS$1,"dd-MMM-aa"),"")</f>
      </c>
      <c r="DP167" s="496" t="str">
        <f> IF(DP187&lt;&gt;"",TEXT(AUX!DT$1,"dd-MMM-aa"),"")</f>
      </c>
      <c r="DQ167" s="496" t="str">
        <f> IF(DQ187&lt;&gt;"",TEXT(AUX!DU$1,"dd-MMM-aa"),"")</f>
      </c>
      <c r="DR167" s="496" t="str">
        <f> IF(DR187&lt;&gt;"",TEXT(AUX!DV$1,"dd-MMM-aa"),"")</f>
      </c>
      <c r="DS167" s="496" t="str">
        <f> IF(DS187&lt;&gt;"",TEXT(AUX!DW$1,"dd-MMM-aa"),"")</f>
      </c>
      <c r="DT167" s="496" t="str">
        <f> IF(DT187&lt;&gt;"",TEXT(AUX!DX$1,"dd-MMM-aa"),"")</f>
      </c>
      <c r="DU167" s="496" t="str">
        <f> IF(DU187&lt;&gt;"",TEXT(AUX!DY$1,"dd-MMM-aa"),"")</f>
      </c>
      <c r="DV167" s="496" t="str">
        <f> IF(DV187&lt;&gt;"",TEXT(AUX!DZ$1,"dd-MMM-aa"),"")</f>
      </c>
      <c r="DW167" s="496" t="str">
        <f> IF(DW187&lt;&gt;"",TEXT(AUX!EA$1,"dd-MMM-aa"),"")</f>
      </c>
      <c r="DX167" s="496" t="str">
        <f> IF(DX187&lt;&gt;"",TEXT(AUX!EB$1,"dd-MMM-aa"),"")</f>
      </c>
      <c r="DY167" s="496" t="str">
        <f> IF(DY187&lt;&gt;"",TEXT(AUX!EC$1,"dd-MMM-aa"),"")</f>
      </c>
      <c r="DZ167" s="496" t="str">
        <f> IF(DZ187&lt;&gt;"",TEXT(AUX!ED$1,"dd-MMM-aa"),"")</f>
      </c>
      <c r="EA167" s="496" t="str">
        <f> IF(EA187&lt;&gt;"",TEXT(AUX!EE$1,"dd-MMM-aa"),"")</f>
      </c>
      <c r="EB167" s="496" t="str">
        <f> IF(EB187&lt;&gt;"",TEXT(AUX!EF$1,"dd-MMM-aa"),"")</f>
      </c>
      <c r="EC167" s="496" t="str">
        <f> IF(EC187&lt;&gt;"",TEXT(AUX!EG$1,"dd-MMM-aa"),"")</f>
      </c>
      <c r="ED167" s="496" t="str">
        <f> IF(ED187&lt;&gt;"",TEXT(AUX!EH$1,"dd-MMM-aa"),"")</f>
      </c>
      <c r="EE167" s="496" t="str">
        <f> IF(EE187&lt;&gt;"",TEXT(AUX!EI$1,"dd-MMM-aa"),"")</f>
      </c>
      <c r="EF167" s="496" t="str">
        <f> IF(EF187&lt;&gt;"",TEXT(AUX!EJ$1,"dd-MMM-aa"),"")</f>
      </c>
      <c r="EG167" s="496" t="str">
        <f> IF(EG187&lt;&gt;"",TEXT(AUX!EK$1,"dd-MMM-aa"),"")</f>
      </c>
      <c r="EH167" s="496" t="str">
        <f> IF(EH187&lt;&gt;"",TEXT(AUX!EL$1,"dd-MMM-aa"),"")</f>
      </c>
      <c r="EI167" s="496" t="str">
        <f> IF(EI187&lt;&gt;"",TEXT(AUX!EM$1,"dd-MMM-aa"),"")</f>
      </c>
      <c r="EJ167" s="496" t="str">
        <f> IF(EJ187&lt;&gt;"",TEXT(AUX!EN$1,"dd-MMM-aa"),"")</f>
      </c>
      <c r="EK167" s="496" t="str">
        <f> IF(EK187&lt;&gt;"",TEXT(AUX!EO$1,"dd-MMM-aa"),"")</f>
      </c>
      <c r="EL167" s="496" t="str">
        <f> IF(EL187&lt;&gt;"",TEXT(AUX!EP$1,"dd-MMM-aa"),"")</f>
      </c>
      <c r="EM167" s="496" t="str">
        <f> IF(EM187&lt;&gt;"",TEXT(AUX!EQ$1,"dd-MMM-aa"),"")</f>
      </c>
      <c r="EN167" s="496" t="str">
        <f> IF(EN187&lt;&gt;"",TEXT(AUX!ER$1,"dd-MMM-aa"),"")</f>
      </c>
      <c r="EO167" s="496" t="str">
        <f> IF(EO187&lt;&gt;"",TEXT(AUX!ES$1,"dd-MMM-aa"),"")</f>
      </c>
      <c r="EP167" s="496" t="str">
        <f> IF(EP187&lt;&gt;"",TEXT(AUX!ET$1,"dd-MMM-aa"),"")</f>
      </c>
      <c r="EQ167" s="496" t="str">
        <f> IF(EQ187&lt;&gt;"",TEXT(AUX!EU$1,"dd-MMM-aa"),"")</f>
      </c>
      <c r="ER167" s="496" t="str">
        <f> IF(ER187&lt;&gt;"",TEXT(AUX!EV$1,"dd-MMM-aa"),"")</f>
      </c>
      <c r="ES167" s="496" t="str">
        <f> IF(ES187&lt;&gt;"",TEXT(AUX!EW$1,"dd-MMM-aa"),"")</f>
      </c>
      <c r="ET167" s="496" t="str">
        <f> IF(ET187&lt;&gt;"",TEXT(AUX!EX$1,"dd-MMM-aa"),"")</f>
      </c>
      <c r="EU167" s="496" t="str">
        <f> IF(EU187&lt;&gt;"",TEXT(AUX!EY$1,"dd-MMM-aa"),"")</f>
      </c>
      <c r="EV167" s="496" t="str">
        <f> IF(EV187&lt;&gt;"",TEXT(AUX!EZ$1,"dd-MMM-aa"),"")</f>
      </c>
      <c r="EW167" s="496" t="str">
        <f> IF(EW187&lt;&gt;"",TEXT(AUX!FA$1,"dd-MMM-aa"),"")</f>
      </c>
      <c r="EX167" s="496" t="str">
        <f> IF(EX187&lt;&gt;"",TEXT(AUX!FB$1,"dd-MMM-aa"),"")</f>
      </c>
      <c r="EY167" s="496" t="str">
        <f> IF(EY187&lt;&gt;"",TEXT(AUX!FC$1,"dd-MMM-aa"),"")</f>
      </c>
      <c r="EZ167" s="496" t="str">
        <f> IF(EZ187&lt;&gt;"",TEXT(AUX!FD$1,"dd-MMM-aa"),"")</f>
      </c>
      <c r="FA167" s="496" t="str">
        <f> IF(FA187&lt;&gt;"",TEXT(AUX!FE$1,"dd-MMM-aa"),"")</f>
      </c>
      <c r="FB167" s="496" t="str">
        <f> IF(FB187&lt;&gt;"",TEXT(AUX!FF$1,"dd-MMM-aa"),"")</f>
      </c>
      <c r="FC167" s="496" t="str">
        <f> IF(FC187&lt;&gt;"",TEXT(AUX!FG$1,"dd-MMM-aa"),"")</f>
      </c>
      <c r="FD167" s="496" t="str">
        <f> IF(FD187&lt;&gt;"",TEXT(AUX!FH$1,"dd-MMM-aa"),"")</f>
      </c>
      <c r="FE167" s="496" t="str">
        <f> IF(FE187&lt;&gt;"",TEXT(AUX!FI$1,"dd-MMM-aa"),"")</f>
      </c>
      <c r="FF167" s="496" t="str">
        <f> IF(FF187&lt;&gt;"",TEXT(AUX!FJ$1,"dd-MMM-aa"),"")</f>
      </c>
      <c r="FG167" s="496" t="str">
        <f> IF(FG187&lt;&gt;"",TEXT(AUX!FK$1,"dd-MMM-aa"),"")</f>
      </c>
      <c r="FH167" s="496" t="str">
        <f> IF(FH187&lt;&gt;"",TEXT(AUX!FL$1,"dd-MMM-aa"),"")</f>
      </c>
      <c r="FI167" s="496" t="str">
        <f> IF(FI187&lt;&gt;"",TEXT(AUX!FM$1,"dd-MMM-aa"),"")</f>
      </c>
      <c r="FJ167" s="496" t="str">
        <f> IF(FJ187&lt;&gt;"",TEXT(AUX!FN$1,"dd-MMM-aa"),"")</f>
      </c>
      <c r="FK167" s="496" t="str">
        <f> IF(FK187&lt;&gt;"",TEXT(AUX!FO$1,"dd-MMM-aa"),"")</f>
      </c>
      <c r="FL167" s="496" t="str">
        <f> IF(FL187&lt;&gt;"",TEXT(AUX!FP$1,"dd-MMM-aa"),"")</f>
      </c>
      <c r="FM167" s="496" t="str">
        <f> IF(FM187&lt;&gt;"",TEXT(AUX!FQ$1,"dd-MMM-aa"),"")</f>
      </c>
      <c r="FN167" s="496" t="str">
        <f> IF(FN187&lt;&gt;"",TEXT(AUX!FR$1,"dd-MMM-aa"),"")</f>
      </c>
      <c r="FO167" s="496" t="str">
        <f> IF(FO187&lt;&gt;"",TEXT(AUX!FS$1,"dd-MMM-aa"),"")</f>
      </c>
      <c r="FP167" s="496" t="str">
        <f> IF(FP187&lt;&gt;"",TEXT(AUX!FT$1,"dd-MMM-aa"),"")</f>
      </c>
      <c r="FQ167" s="496" t="str">
        <f> IF(FQ187&lt;&gt;"",TEXT(AUX!FU$1,"dd-MMM-aa"),"")</f>
      </c>
      <c r="FR167" s="496" t="str">
        <f> IF(FR187&lt;&gt;"",TEXT(AUX!FV$1,"dd-MMM-aa"),"")</f>
      </c>
      <c r="FS167" s="496" t="str">
        <f> IF(FS187&lt;&gt;"",TEXT(AUX!FW$1,"dd-MMM-aa"),"")</f>
      </c>
      <c r="FT167" s="496" t="str">
        <f> IF(FT187&lt;&gt;"",TEXT(AUX!FX$1,"dd-MMM-aa"),"")</f>
      </c>
      <c r="FU167" s="496" t="str">
        <f> IF(FU187&lt;&gt;"",TEXT(AUX!FY$1,"dd-MMM-aa"),"")</f>
      </c>
      <c r="FV167" s="496" t="str">
        <f> IF(FV187&lt;&gt;"",TEXT(AUX!FZ$1,"dd-MMM-aa"),"")</f>
      </c>
      <c r="FW167" s="496" t="str">
        <f> IF(FW187&lt;&gt;"",TEXT(AUX!GA$1,"dd-MMM-aa"),"")</f>
      </c>
      <c r="FX167" s="496" t="str">
        <f> IF(FX187&lt;&gt;"",TEXT(AUX!GB$1,"dd-MMM-aa"),"")</f>
      </c>
      <c r="FY167" s="496" t="str">
        <f> IF(FY187&lt;&gt;"",TEXT(AUX!GC$1,"dd-MMM-aa"),"")</f>
      </c>
      <c r="FZ167" s="496" t="str">
        <f> IF(FZ187&lt;&gt;"",TEXT(AUX!GD$1,"dd-MMM-aa"),"")</f>
      </c>
      <c r="GA167" s="496" t="str">
        <f> IF(GA187&lt;&gt;"",TEXT(AUX!GE$1,"dd-MMM-aa"),"")</f>
      </c>
      <c r="GB167" s="496" t="str">
        <f> IF(GB187&lt;&gt;"",TEXT(AUX!GF$1,"dd-MMM-aa"),"")</f>
      </c>
      <c r="GC167" s="496" t="str">
        <f> IF(GC187&lt;&gt;"",TEXT(AUX!GG$1,"dd-MMM-aa"),"")</f>
      </c>
      <c r="GD167" s="496" t="str">
        <f> IF(GD187&lt;&gt;"",TEXT(AUX!GH$1,"dd-MMM-aa"),"")</f>
      </c>
      <c r="GE167" s="496" t="str">
        <f> IF(GE187&lt;&gt;"",TEXT(AUX!GI$1,"dd-MMM-aa"),"")</f>
      </c>
      <c r="GF167" s="496" t="str">
        <f> IF(GF187&lt;&gt;"",TEXT(AUX!GJ$1,"dd-MMM-aa"),"")</f>
      </c>
      <c r="GG167" s="496" t="str">
        <f> IF(GG187&lt;&gt;"",TEXT(AUX!GK$1,"dd-MMM-aa"),"")</f>
      </c>
      <c r="GH167" s="496" t="str">
        <f> IF(GH187&lt;&gt;"",TEXT(AUX!GL$1,"dd-MMM-aa"),"")</f>
      </c>
      <c r="GI167" s="496" t="str">
        <f> IF(GI187&lt;&gt;"",TEXT(AUX!GM$1,"dd-MMM-aa"),"")</f>
      </c>
      <c r="GJ167" s="496" t="str">
        <f> IF(GJ187&lt;&gt;"",TEXT(AUX!GN$1,"dd-MMM-aa"),"")</f>
      </c>
      <c r="GK167" s="496" t="str">
        <f> IF(GK187&lt;&gt;"",TEXT(AUX!GO$1,"dd-MMM-aa"),"")</f>
      </c>
      <c r="GL167" s="496" t="str">
        <f> IF(GL187&lt;&gt;"",TEXT(AUX!GP$1,"dd-MMM-aa"),"")</f>
      </c>
      <c r="GM167" s="496" t="str">
        <f> IF(GM187&lt;&gt;"",TEXT(AUX!GQ$1,"dd-MMM-aa"),"")</f>
      </c>
      <c r="GN167" s="496" t="str">
        <f> IF(GN187&lt;&gt;"",TEXT(AUX!GR$1,"dd-MMM-aa"),"")</f>
      </c>
      <c r="GO167" s="496" t="str">
        <f> IF(GO187&lt;&gt;"",TEXT(AUX!GS$1,"dd-MMM-aa"),"")</f>
      </c>
      <c r="GP167" s="496" t="str">
        <f> IF(GP187&lt;&gt;"",TEXT(AUX!GT$1,"dd-MMM-aa"),"")</f>
      </c>
      <c r="GQ167" s="496" t="str">
        <f> IF(GQ187&lt;&gt;"",TEXT(AUX!GU$1,"dd-MMM-aa"),"")</f>
      </c>
      <c r="GR167" s="496" t="str">
        <f> IF(GR187&lt;&gt;"",TEXT(AUX!GV$1,"dd-MMM-aa"),"")</f>
      </c>
      <c r="GS167" s="496" t="str">
        <f> IF(GS187&lt;&gt;"",TEXT(AUX!GW$1,"dd-MMM-aa"),"")</f>
      </c>
      <c r="GT167" s="496" t="str">
        <f> IF(GT187&lt;&gt;"",TEXT(AUX!GX$1,"dd-MMM-aa"),"")</f>
      </c>
      <c r="GU167" s="496" t="str">
        <f> IF(GU187&lt;&gt;"",TEXT(AUX!GY$1,"dd-MMM-aa"),"")</f>
      </c>
      <c r="GV167" s="496" t="str">
        <f> IF(GV187&lt;&gt;"",TEXT(AUX!GZ$1,"dd-MMM-aa"),"")</f>
      </c>
      <c r="GW167" s="496" t="str">
        <f> IF(GW187&lt;&gt;"",TEXT(AUX!HA$1,"dd-MMM-aa"),"")</f>
      </c>
      <c r="GX167" s="496" t="str">
        <f> IF(GX187&lt;&gt;"",TEXT(AUX!HB$1,"dd-MMM-aa"),"")</f>
      </c>
      <c r="GY167" s="496" t="str">
        <f> IF(GY187&lt;&gt;"",TEXT(AUX!HC$1,"dd-MMM-aa"),"")</f>
      </c>
      <c r="GZ167" s="496" t="str">
        <f> IF(GZ187&lt;&gt;"",TEXT(AUX!HD$1,"dd-MMM-aa"),"")</f>
      </c>
      <c r="HA167" s="496" t="str">
        <f> IF(HA187&lt;&gt;"",TEXT(AUX!HE$1,"dd-MMM-aa"),"")</f>
      </c>
      <c r="HB167" s="496" t="str">
        <f> IF(HB187&lt;&gt;"",TEXT(AUX!HF$1,"dd-MMM-aa"),"")</f>
      </c>
      <c r="HC167" s="496" t="str">
        <f> IF(HC187&lt;&gt;"",TEXT(AUX!HG$1,"dd-MMM-aa"),"")</f>
      </c>
      <c r="HD167" s="496" t="str">
        <f> IF(HD187&lt;&gt;"",TEXT(AUX!HH$1,"dd-MMM-aa"),"")</f>
      </c>
      <c r="HE167" s="496" t="str">
        <f> IF(HE187&lt;&gt;"",TEXT(AUX!HI$1,"dd-MMM-aa"),"")</f>
      </c>
      <c r="HF167" s="496" t="str">
        <f> IF(HF187&lt;&gt;"",TEXT(AUX!HJ$1,"dd-MMM-aa"),"")</f>
      </c>
      <c r="HG167" s="496" t="str">
        <f> IF(HG187&lt;&gt;"",TEXT(AUX!HK$1,"dd-MMM-aa"),"")</f>
      </c>
      <c r="HH167" s="496" t="str">
        <f> IF(HH187&lt;&gt;"",TEXT(AUX!HL$1,"dd-MMM-aa"),"")</f>
      </c>
      <c r="HI167" s="496" t="str">
        <f> IF(HI187&lt;&gt;"",TEXT(AUX!HM$1,"dd-MMM-aa"),"")</f>
      </c>
      <c r="HJ167" s="496" t="str">
        <f> IF(HJ187&lt;&gt;"",TEXT(AUX!HN$1,"dd-MMM-aa"),"")</f>
      </c>
      <c r="HK167" s="496" t="str">
        <f> IF(HK187&lt;&gt;"",TEXT(AUX!HO$1,"dd-MMM-aa"),"")</f>
      </c>
      <c r="HL167" s="496" t="str">
        <f> IF(HL187&lt;&gt;"",TEXT(AUX!HP$1,"dd-MMM-aa"),"")</f>
      </c>
      <c r="HM167" s="496" t="str">
        <f> IF(HM187&lt;&gt;"",TEXT(AUX!HQ$1,"dd-MMM-aa"),"")</f>
      </c>
      <c r="HN167" s="496" t="str">
        <f> IF(HN187&lt;&gt;"",TEXT(AUX!HR$1,"dd-MMM-aa"),"")</f>
      </c>
      <c r="HO167" s="496" t="str">
        <f> IF(HO187&lt;&gt;"",TEXT(AUX!HS$1,"dd-MMM-aa"),"")</f>
      </c>
      <c r="HP167" s="496" t="str">
        <f> IF(HP187&lt;&gt;"",TEXT(AUX!HT$1,"dd-MMM-aa"),"")</f>
      </c>
      <c r="HQ167" s="496" t="str">
        <f> IF(HQ187&lt;&gt;"",TEXT(AUX!HU$1,"dd-MMM-aa"),"")</f>
      </c>
      <c r="HR167" s="496" t="str">
        <f> IF(HR187&lt;&gt;"",TEXT(AUX!HV$1,"dd-MMM-aa"),"")</f>
      </c>
      <c r="HS167" s="496" t="str">
        <f> IF(HS187&lt;&gt;"",TEXT(AUX!HW$1,"dd-MMM-aa"),"")</f>
      </c>
      <c r="HT167" s="496" t="str">
        <f> IF(HT187&lt;&gt;"",TEXT(AUX!HX$1,"dd-MMM-aa"),"")</f>
      </c>
      <c r="HU167" s="496" t="str">
        <f> IF(HU187&lt;&gt;"",TEXT(AUX!HY$1,"dd-MMM-aa"),"")</f>
      </c>
      <c r="HV167" s="496" t="str">
        <f> IF(HV187&lt;&gt;"",TEXT(AUX!HZ$1,"dd-MMM-aa"),"")</f>
      </c>
      <c r="HW167" s="496" t="str">
        <f> IF(HW187&lt;&gt;"",TEXT(AUX!IA$1,"dd-MMM-aa"),"")</f>
      </c>
      <c r="HX167" s="496" t="str">
        <f> IF(HX187&lt;&gt;"",TEXT(AUX!IB$1,"dd-MMM-aa"),"")</f>
      </c>
      <c r="HY167" s="496" t="str">
        <f> IF(HY187&lt;&gt;"",TEXT(AUX!IC$1,"dd-MMM-aa"),"")</f>
      </c>
      <c r="HZ167" s="496" t="str">
        <f> IF(HZ187&lt;&gt;"",TEXT(AUX!ID$1,"dd-MMM-aa"),"")</f>
      </c>
      <c r="IA167" s="496" t="str">
        <f> IF(IA187&lt;&gt;"",TEXT(AUX!IE$1,"dd-MMM-aa"),"")</f>
      </c>
      <c r="IB167" s="496" t="str">
        <f> IF(IB187&lt;&gt;"",TEXT(AUX!IF$1,"dd-MMM-aa"),"")</f>
      </c>
      <c r="IC167" s="496" t="str">
        <f> IF(IC187&lt;&gt;"",TEXT(AUX!IG$1,"dd-MMM-aa"),"")</f>
      </c>
      <c r="ID167" s="496" t="str">
        <f> IF(ID187&lt;&gt;"",TEXT(AUX!IH$1,"dd-MMM-aa"),"")</f>
      </c>
      <c r="IE167" s="496" t="str">
        <f> IF(IE187&lt;&gt;"",TEXT(AUX!II$1,"dd-MMM-aa"),"")</f>
      </c>
      <c r="IF167" s="496" t="str">
        <f> IF(IF187&lt;&gt;"",TEXT(AUX!IJ$1,"dd-MMM-aa"),"")</f>
      </c>
      <c r="IG167" s="496" t="str">
        <f> IF(IG187&lt;&gt;"",TEXT(AUX!IK$1,"dd-MMM-aa"),"")</f>
      </c>
      <c r="IH167" s="496" t="str">
        <f> IF(IH187&lt;&gt;"",TEXT(AUX!IL$1,"dd-MMM-aa"),"")</f>
      </c>
      <c r="II167" s="496" t="str">
        <f> IF(II187&lt;&gt;"",TEXT(AUX!IM$1,"dd-MMM-aa"),"")</f>
      </c>
      <c r="IJ167" s="496" t="str">
        <f> IF(IJ187&lt;&gt;"",TEXT(AUX!IN$1,"dd-MMM-aa"),"")</f>
      </c>
      <c r="IK167" s="496" t="str">
        <f> IF(IK187&lt;&gt;"",TEXT(AUX!IO$1,"dd-MMM-aa"),"")</f>
      </c>
      <c r="IL167" s="496" t="str">
        <f> IF(IL187&lt;&gt;"",TEXT(AUX!IP$1,"dd-MMM-aa"),"")</f>
      </c>
      <c r="IM167" s="496" t="str">
        <f> IF(IM187&lt;&gt;"",TEXT(AUX!IQ$1,"dd-MMM-aa"),"")</f>
      </c>
      <c r="IN167" s="496" t="str">
        <f> IF(IN187&lt;&gt;"",TEXT(AUX!IR$1,"dd-MMM-aa"),"")</f>
      </c>
      <c r="IO167" s="496" t="str">
        <f> IF(IO187&lt;&gt;"",TEXT(AUX!IS$1,"dd-MMM-aa"),"")</f>
      </c>
      <c r="IP167" s="496" t="str">
        <f> IF(IP187&lt;&gt;"",TEXT(AUX!IT$1,"dd-MMM-aa"),"")</f>
      </c>
      <c r="IQ167" s="496" t="str">
        <f> IF(IQ187&lt;&gt;"",TEXT(AUX!IU$1,"dd-MMM-aa"),"")</f>
      </c>
      <c r="IR167" s="496" t="str">
        <f> IF(IR187&lt;&gt;"",TEXT(AUX!IV$1,"dd-MMM-aa"),"")</f>
      </c>
      <c r="IS167" s="496" t="str">
        <f> IF(IS187&lt;&gt;"",TEXT(AUX!#REF!,"dd-MMM-aa"),"")</f>
      </c>
      <c r="IT167" s="496" t="str">
        <f> IF(IT187&lt;&gt;"",TEXT(AUX!#REF!,"dd-MMM-aa"),"")</f>
      </c>
      <c r="IU167" s="496" t="str">
        <f> IF(IU187&lt;&gt;"",TEXT(AUX!#REF!,"dd-MMM-aa"),"")</f>
      </c>
      <c r="IV167" s="496" t="str">
        <f> IF(IV187&lt;&gt;"",TEXT(AUX!#REF!,"dd-MMM-aa"),"")</f>
      </c>
    </row>
    <row r="168" hidden="1">
      <c r="B168" s="822" t="s">
        <v>8</v>
      </c>
      <c r="C168" s="823">
        <v>0</v>
      </c>
      <c r="D168" s="823">
        <v>4</v>
      </c>
      <c r="E168" s="823">
        <v>5</v>
      </c>
      <c r="F168" s="823">
        <v>5</v>
      </c>
      <c r="G168" s="823">
        <v>5</v>
      </c>
      <c r="H168" s="823">
        <v>5</v>
      </c>
      <c r="I168" s="823">
        <v>5</v>
      </c>
      <c r="J168" s="823">
        <v>5</v>
      </c>
      <c r="K168" s="823">
        <v>5</v>
      </c>
      <c r="L168" s="823">
        <v>12</v>
      </c>
      <c r="M168" s="823">
        <v>6</v>
      </c>
      <c r="N168" s="823">
        <v>7</v>
      </c>
      <c r="O168" s="823">
        <v>8</v>
      </c>
      <c r="P168" s="823">
        <v>9</v>
      </c>
      <c r="Q168" s="823">
        <v>7</v>
      </c>
      <c r="R168" s="823">
        <v>6</v>
      </c>
      <c r="S168" s="823">
        <v>6</v>
      </c>
      <c r="T168" s="823">
        <v>6</v>
      </c>
      <c r="U168" s="823">
        <v>6</v>
      </c>
      <c r="V168" s="823">
        <v>7</v>
      </c>
      <c r="W168" s="823">
        <v>7</v>
      </c>
      <c r="X168" s="823">
        <v>7</v>
      </c>
      <c r="Y168" s="823">
        <v>7</v>
      </c>
      <c r="Z168" s="823">
        <v>6</v>
      </c>
      <c r="AA168" s="823">
        <v>7</v>
      </c>
      <c r="AB168" s="824">
        <v>6</v>
      </c>
      <c r="AC168" s="825">
        <v>6</v>
      </c>
      <c r="AD168" s="825">
        <v>6</v>
      </c>
      <c r="AE168" s="825">
        <v>6</v>
      </c>
      <c r="AF168" s="825">
        <v>5</v>
      </c>
      <c r="AG168" s="825">
        <v>5</v>
      </c>
      <c r="AH168" s="825">
        <v>5</v>
      </c>
      <c r="AI168" s="825">
        <v>5</v>
      </c>
      <c r="AJ168" s="825">
        <v>4</v>
      </c>
      <c r="AK168" s="825">
        <v>4</v>
      </c>
      <c r="AL168" s="825">
        <v>4</v>
      </c>
      <c r="AM168" s="825">
        <v>4</v>
      </c>
      <c r="AN168" s="825">
        <v>4</v>
      </c>
      <c r="AO168" s="825">
        <v>4</v>
      </c>
      <c r="AP168" s="825">
        <v>5</v>
      </c>
      <c r="AQ168" s="51"/>
      <c r="AR168" s="51"/>
      <c r="AS168" s="51"/>
      <c r="AT168" s="51"/>
      <c r="AU168" s="51"/>
      <c r="AV168" s="51"/>
      <c r="AW168" s="51"/>
      <c r="AX168" s="51"/>
      <c r="AY168" s="51"/>
      <c r="AZ168" s="51"/>
      <c r="BA168" s="51"/>
      <c r="BB168" s="51"/>
      <c r="BC168" s="51"/>
      <c r="BD168" s="51"/>
      <c r="BE168" s="51"/>
      <c r="BF168" s="51"/>
      <c r="BG168" s="51"/>
      <c r="BH168" s="51"/>
      <c r="BI168" s="51"/>
      <c r="BJ168" s="51"/>
      <c r="BK168" s="51"/>
      <c r="BL168" s="51"/>
      <c r="BM168" s="51"/>
      <c r="BN168" s="51"/>
      <c r="BO168" s="51"/>
      <c r="BP168" s="51"/>
      <c r="BQ168" s="51"/>
      <c r="BR168" s="51"/>
      <c r="BS168" s="51"/>
      <c r="BT168" s="51"/>
      <c r="BU168" s="51"/>
      <c r="BV168" s="51"/>
      <c r="BW168" s="51"/>
      <c r="BX168" s="51"/>
      <c r="BY168" s="51"/>
      <c r="BZ168" s="51"/>
      <c r="CA168" s="51"/>
      <c r="CB168" s="51"/>
      <c r="CC168" s="51"/>
      <c r="CD168" s="51"/>
      <c r="CE168" s="51"/>
      <c r="CF168" s="51"/>
      <c r="CG168" s="51"/>
      <c r="CH168" s="51"/>
      <c r="CI168" s="51"/>
      <c r="CJ168" s="51"/>
      <c r="CK168" s="51"/>
      <c r="CL168" s="51"/>
      <c r="CM168" s="51"/>
      <c r="CN168" s="51"/>
      <c r="CO168" s="51"/>
      <c r="CP168" s="51"/>
      <c r="CQ168" s="51"/>
      <c r="CR168" s="51"/>
      <c r="CS168" s="51"/>
      <c r="CT168" s="51"/>
      <c r="CU168" s="51"/>
      <c r="CV168" s="51"/>
      <c r="CW168" s="51"/>
      <c r="CX168" s="51"/>
      <c r="CY168" s="51"/>
      <c r="CZ168" s="51"/>
      <c r="DA168" s="51"/>
      <c r="DB168" s="51"/>
      <c r="DC168" s="51"/>
      <c r="DD168" s="51"/>
      <c r="DE168" s="51"/>
      <c r="DF168" s="51"/>
      <c r="DG168" s="51"/>
      <c r="DH168" s="51"/>
      <c r="DI168" s="51"/>
      <c r="DJ168" s="51"/>
      <c r="DK168" s="51"/>
      <c r="DL168" s="51"/>
      <c r="DM168" s="51"/>
      <c r="DN168" s="51"/>
      <c r="DO168" s="51"/>
      <c r="DP168" s="51"/>
      <c r="DQ168" s="51"/>
      <c r="DR168" s="51"/>
      <c r="DS168" s="51"/>
      <c r="DT168" s="51"/>
      <c r="DU168" s="51"/>
      <c r="DV168" s="51"/>
      <c r="DW168" s="51"/>
      <c r="DX168" s="51"/>
      <c r="DY168" s="51"/>
      <c r="DZ168" s="51"/>
      <c r="EA168" s="51"/>
      <c r="EB168" s="51"/>
      <c r="EC168" s="51"/>
      <c r="ED168" s="51"/>
      <c r="EE168" s="51"/>
      <c r="EF168" s="51"/>
      <c r="EG168" s="51"/>
      <c r="EH168" s="51"/>
      <c r="EI168" s="51"/>
      <c r="EJ168" s="51"/>
      <c r="EK168" s="51"/>
      <c r="EL168" s="51"/>
      <c r="EM168" s="51"/>
      <c r="EN168" s="51"/>
      <c r="EO168" s="51"/>
      <c r="EP168" s="51"/>
      <c r="EQ168" s="51"/>
      <c r="ER168" s="51"/>
      <c r="ES168" s="51"/>
      <c r="ET168" s="51"/>
      <c r="EU168" s="51"/>
      <c r="EV168" s="51"/>
      <c r="EW168" s="51"/>
      <c r="EX168" s="51"/>
      <c r="EY168" s="51"/>
      <c r="EZ168" s="51"/>
      <c r="FA168" s="51"/>
      <c r="FB168" s="51"/>
      <c r="FC168" s="51"/>
      <c r="FD168" s="51"/>
      <c r="FE168" s="51"/>
      <c r="FF168" s="51"/>
      <c r="FG168" s="51"/>
      <c r="FH168" s="51"/>
      <c r="FI168" s="51"/>
      <c r="FJ168" s="51"/>
      <c r="FK168" s="51"/>
      <c r="FL168" s="51"/>
      <c r="FM168" s="51"/>
      <c r="FN168" s="51"/>
      <c r="FO168" s="51"/>
      <c r="FP168" s="51"/>
      <c r="FQ168" s="51"/>
      <c r="FR168" s="51"/>
      <c r="FS168" s="51"/>
      <c r="FT168" s="51"/>
      <c r="FU168" s="51"/>
      <c r="FV168" s="51"/>
      <c r="FW168" s="51"/>
      <c r="FX168" s="51"/>
      <c r="FY168" s="51"/>
      <c r="FZ168" s="51"/>
      <c r="GA168" s="51"/>
      <c r="GB168" s="51"/>
      <c r="GC168" s="51"/>
      <c r="GD168" s="51"/>
      <c r="GE168" s="51"/>
      <c r="GF168" s="51"/>
      <c r="GG168" s="51"/>
      <c r="GH168" s="51"/>
      <c r="GI168" s="51"/>
      <c r="GJ168" s="51"/>
      <c r="GK168" s="51"/>
      <c r="GL168" s="51"/>
      <c r="GM168" s="51"/>
      <c r="GN168" s="51"/>
      <c r="GO168" s="51"/>
      <c r="GP168" s="51"/>
      <c r="GQ168" s="51"/>
      <c r="GR168" s="51"/>
      <c r="GS168" s="51"/>
      <c r="GT168" s="51"/>
      <c r="GU168" s="51"/>
      <c r="GV168" s="51"/>
      <c r="GW168" s="51"/>
      <c r="GX168" s="51"/>
      <c r="GY168" s="51"/>
      <c r="GZ168" s="51"/>
      <c r="HA168" s="51"/>
      <c r="HB168" s="51"/>
      <c r="HC168" s="51"/>
      <c r="HD168" s="51"/>
      <c r="HE168" s="51"/>
      <c r="HF168" s="51"/>
      <c r="HG168" s="51"/>
      <c r="HH168" s="51"/>
      <c r="HI168" s="51"/>
      <c r="HJ168" s="51"/>
      <c r="HK168" s="51"/>
      <c r="HL168" s="51"/>
      <c r="HM168" s="51"/>
      <c r="HN168" s="51"/>
      <c r="HO168" s="51"/>
      <c r="HP168" s="51"/>
      <c r="HQ168" s="51"/>
      <c r="HR168" s="51"/>
      <c r="HS168" s="51"/>
      <c r="HT168" s="51"/>
      <c r="HU168" s="51"/>
      <c r="HV168" s="51"/>
      <c r="HW168" s="51"/>
      <c r="HX168" s="51"/>
      <c r="HY168" s="51"/>
      <c r="HZ168" s="51"/>
      <c r="IA168" s="51"/>
      <c r="IB168" s="51"/>
      <c r="IC168" s="51"/>
      <c r="ID168" s="51"/>
      <c r="IE168" s="51"/>
      <c r="IF168" s="51"/>
      <c r="IG168" s="51"/>
      <c r="IH168" s="51"/>
      <c r="II168" s="51"/>
      <c r="IJ168" s="51"/>
      <c r="IK168" s="51"/>
      <c r="IL168" s="51"/>
      <c r="IM168" s="51"/>
      <c r="IN168" s="51"/>
      <c r="IO168" s="51"/>
      <c r="IP168" s="51"/>
      <c r="IQ168" s="51"/>
      <c r="IR168" s="51"/>
      <c r="IS168" s="51"/>
      <c r="IT168" s="51"/>
      <c r="IU168" s="51"/>
      <c r="IV168" s="51"/>
    </row>
    <row r="169" hidden="1">
      <c r="B169" s="826" t="s">
        <v>9</v>
      </c>
      <c r="C169" s="827">
        <v>38</v>
      </c>
      <c r="D169" s="827">
        <v>39</v>
      </c>
      <c r="E169" s="827">
        <v>39</v>
      </c>
      <c r="F169" s="827">
        <v>39</v>
      </c>
      <c r="G169" s="827">
        <v>41</v>
      </c>
      <c r="H169" s="827">
        <v>43</v>
      </c>
      <c r="I169" s="827">
        <v>47</v>
      </c>
      <c r="J169" s="827">
        <v>46</v>
      </c>
      <c r="K169" s="827">
        <v>45</v>
      </c>
      <c r="L169" s="827">
        <v>44</v>
      </c>
      <c r="M169" s="827">
        <v>42</v>
      </c>
      <c r="N169" s="827">
        <v>44</v>
      </c>
      <c r="O169" s="827">
        <v>35</v>
      </c>
      <c r="P169" s="827">
        <v>33</v>
      </c>
      <c r="Q169" s="827">
        <v>29</v>
      </c>
      <c r="R169" s="827">
        <v>27</v>
      </c>
      <c r="S169" s="827">
        <v>24</v>
      </c>
      <c r="T169" s="827">
        <v>24</v>
      </c>
      <c r="U169" s="827">
        <v>23</v>
      </c>
      <c r="V169" s="827">
        <v>22</v>
      </c>
      <c r="W169" s="827">
        <v>23</v>
      </c>
      <c r="X169" s="827">
        <v>22</v>
      </c>
      <c r="Y169" s="827">
        <v>21</v>
      </c>
      <c r="Z169" s="827">
        <v>23</v>
      </c>
      <c r="AA169" s="827">
        <v>22</v>
      </c>
      <c r="AB169" s="827">
        <v>22</v>
      </c>
      <c r="AC169" s="828">
        <v>23</v>
      </c>
      <c r="AD169" s="828">
        <v>22</v>
      </c>
      <c r="AE169" s="828">
        <v>24</v>
      </c>
      <c r="AF169" s="828">
        <v>26</v>
      </c>
      <c r="AG169" s="828">
        <v>27</v>
      </c>
      <c r="AH169" s="828">
        <v>28</v>
      </c>
      <c r="AI169" s="828">
        <v>26</v>
      </c>
      <c r="AJ169" s="828">
        <v>26</v>
      </c>
      <c r="AK169" s="828">
        <v>28</v>
      </c>
      <c r="AL169" s="828">
        <v>28</v>
      </c>
      <c r="AM169" s="828">
        <v>26</v>
      </c>
      <c r="AN169" s="828">
        <v>26</v>
      </c>
      <c r="AO169" s="828">
        <v>25</v>
      </c>
      <c r="AP169" s="828">
        <v>26</v>
      </c>
      <c r="AQ169" s="51"/>
      <c r="AR169" s="51"/>
      <c r="AS169" s="51"/>
      <c r="AT169" s="51"/>
      <c r="AU169" s="51"/>
      <c r="AV169" s="51"/>
      <c r="AW169" s="51"/>
      <c r="AX169" s="51"/>
      <c r="AY169" s="51"/>
      <c r="AZ169" s="51"/>
      <c r="BA169" s="51"/>
      <c r="BB169" s="51"/>
      <c r="BC169" s="51"/>
      <c r="BD169" s="51"/>
      <c r="BE169" s="51"/>
      <c r="BF169" s="51"/>
      <c r="BG169" s="51"/>
      <c r="BH169" s="51"/>
      <c r="BI169" s="51"/>
      <c r="BJ169" s="51"/>
      <c r="BK169" s="51"/>
      <c r="BL169" s="51"/>
      <c r="BM169" s="51"/>
      <c r="BN169" s="51"/>
      <c r="BO169" s="51"/>
      <c r="BP169" s="51"/>
      <c r="BQ169" s="51"/>
      <c r="BR169" s="51"/>
      <c r="BS169" s="51"/>
      <c r="BT169" s="51"/>
      <c r="BU169" s="51"/>
      <c r="BV169" s="51"/>
      <c r="BW169" s="51"/>
      <c r="BX169" s="51"/>
      <c r="BY169" s="51"/>
      <c r="BZ169" s="51"/>
      <c r="CA169" s="51"/>
      <c r="CB169" s="51"/>
      <c r="CC169" s="51"/>
      <c r="CD169" s="51"/>
      <c r="CE169" s="51"/>
      <c r="CF169" s="51"/>
      <c r="CG169" s="51"/>
      <c r="CH169" s="51"/>
      <c r="CI169" s="51"/>
      <c r="CJ169" s="51"/>
      <c r="CK169" s="51"/>
      <c r="CL169" s="51"/>
      <c r="CM169" s="51"/>
      <c r="CN169" s="51"/>
      <c r="CO169" s="51"/>
      <c r="CP169" s="51"/>
      <c r="CQ169" s="51"/>
      <c r="CR169" s="51"/>
      <c r="CS169" s="51"/>
      <c r="CT169" s="51"/>
      <c r="CU169" s="51"/>
      <c r="CV169" s="51"/>
      <c r="CW169" s="51"/>
      <c r="CX169" s="51"/>
      <c r="CY169" s="51"/>
      <c r="CZ169" s="51"/>
      <c r="DA169" s="51"/>
      <c r="DB169" s="51"/>
      <c r="DC169" s="51"/>
      <c r="DD169" s="51"/>
      <c r="DE169" s="51"/>
      <c r="DF169" s="51"/>
      <c r="DG169" s="51"/>
      <c r="DH169" s="51"/>
      <c r="DI169" s="51"/>
      <c r="DJ169" s="51"/>
      <c r="DK169" s="51"/>
      <c r="DL169" s="51"/>
      <c r="DM169" s="51"/>
      <c r="DN169" s="51"/>
      <c r="DO169" s="51"/>
      <c r="DP169" s="51"/>
      <c r="DQ169" s="51"/>
      <c r="DR169" s="51"/>
      <c r="DS169" s="51"/>
      <c r="DT169" s="51"/>
      <c r="DU169" s="51"/>
      <c r="DV169" s="51"/>
      <c r="DW169" s="51"/>
      <c r="DX169" s="51"/>
      <c r="DY169" s="51"/>
      <c r="DZ169" s="51"/>
      <c r="EA169" s="51"/>
      <c r="EB169" s="51"/>
      <c r="EC169" s="51"/>
      <c r="ED169" s="51"/>
      <c r="EE169" s="51"/>
      <c r="EF169" s="51"/>
      <c r="EG169" s="51"/>
      <c r="EH169" s="51"/>
      <c r="EI169" s="51"/>
      <c r="EJ169" s="51"/>
      <c r="EK169" s="51"/>
      <c r="EL169" s="51"/>
      <c r="EM169" s="51"/>
      <c r="EN169" s="51"/>
      <c r="EO169" s="51"/>
      <c r="EP169" s="51"/>
      <c r="EQ169" s="51"/>
      <c r="ER169" s="51"/>
      <c r="ES169" s="51"/>
      <c r="ET169" s="51"/>
      <c r="EU169" s="51"/>
      <c r="EV169" s="51"/>
      <c r="EW169" s="51"/>
      <c r="EX169" s="51"/>
      <c r="EY169" s="51"/>
      <c r="EZ169" s="51"/>
      <c r="FA169" s="51"/>
      <c r="FB169" s="51"/>
      <c r="FC169" s="51"/>
      <c r="FD169" s="51"/>
      <c r="FE169" s="51"/>
      <c r="FF169" s="51"/>
      <c r="FG169" s="51"/>
      <c r="FH169" s="51"/>
      <c r="FI169" s="51"/>
      <c r="FJ169" s="51"/>
      <c r="FK169" s="51"/>
      <c r="FL169" s="51"/>
      <c r="FM169" s="51"/>
      <c r="FN169" s="51"/>
      <c r="FO169" s="51"/>
      <c r="FP169" s="51"/>
      <c r="FQ169" s="51"/>
      <c r="FR169" s="51"/>
      <c r="FS169" s="51"/>
      <c r="FT169" s="51"/>
      <c r="FU169" s="51"/>
      <c r="FV169" s="51"/>
      <c r="FW169" s="51"/>
      <c r="FX169" s="51"/>
      <c r="FY169" s="51"/>
      <c r="FZ169" s="51"/>
      <c r="GA169" s="51"/>
      <c r="GB169" s="51"/>
      <c r="GC169" s="51"/>
      <c r="GD169" s="51"/>
      <c r="GE169" s="51"/>
      <c r="GF169" s="51"/>
      <c r="GG169" s="51"/>
      <c r="GH169" s="51"/>
      <c r="GI169" s="51"/>
      <c r="GJ169" s="51"/>
      <c r="GK169" s="51"/>
      <c r="GL169" s="51"/>
      <c r="GM169" s="51"/>
      <c r="GN169" s="51"/>
      <c r="GO169" s="51"/>
      <c r="GP169" s="51"/>
      <c r="GQ169" s="51"/>
      <c r="GR169" s="51"/>
      <c r="GS169" s="51"/>
      <c r="GT169" s="51"/>
      <c r="GU169" s="51"/>
      <c r="GV169" s="51"/>
      <c r="GW169" s="51"/>
      <c r="GX169" s="51"/>
      <c r="GY169" s="51"/>
      <c r="GZ169" s="51"/>
      <c r="HA169" s="51"/>
      <c r="HB169" s="51"/>
      <c r="HC169" s="51"/>
      <c r="HD169" s="51"/>
      <c r="HE169" s="51"/>
      <c r="HF169" s="51"/>
      <c r="HG169" s="51"/>
      <c r="HH169" s="51"/>
      <c r="HI169" s="51"/>
      <c r="HJ169" s="51"/>
      <c r="HK169" s="51"/>
      <c r="HL169" s="51"/>
      <c r="HM169" s="51"/>
      <c r="HN169" s="51"/>
      <c r="HO169" s="51"/>
      <c r="HP169" s="51"/>
      <c r="HQ169" s="51"/>
      <c r="HR169" s="51"/>
      <c r="HS169" s="51"/>
      <c r="HT169" s="51"/>
      <c r="HU169" s="51"/>
      <c r="HV169" s="51"/>
      <c r="HW169" s="51"/>
      <c r="HX169" s="51"/>
      <c r="HY169" s="51"/>
      <c r="HZ169" s="51"/>
      <c r="IA169" s="51"/>
      <c r="IB169" s="51"/>
      <c r="IC169" s="51"/>
      <c r="ID169" s="51"/>
      <c r="IE169" s="51"/>
      <c r="IF169" s="51"/>
      <c r="IG169" s="51"/>
      <c r="IH169" s="51"/>
      <c r="II169" s="51"/>
      <c r="IJ169" s="51"/>
      <c r="IK169" s="51"/>
      <c r="IL169" s="51"/>
      <c r="IM169" s="51"/>
      <c r="IN169" s="51"/>
      <c r="IO169" s="51"/>
      <c r="IP169" s="51"/>
      <c r="IQ169" s="51"/>
      <c r="IR169" s="51"/>
      <c r="IS169" s="51"/>
      <c r="IT169" s="51"/>
      <c r="IU169" s="51"/>
      <c r="IV169" s="51"/>
    </row>
    <row r="170" hidden="1">
      <c r="B170" s="829" t="s">
        <v>10</v>
      </c>
      <c r="C170" s="823">
        <v>0</v>
      </c>
      <c r="D170" s="823">
        <v>0</v>
      </c>
      <c r="E170" s="823">
        <v>1</v>
      </c>
      <c r="F170" s="823">
        <v>1</v>
      </c>
      <c r="G170" s="823">
        <v>2</v>
      </c>
      <c r="H170" s="823">
        <v>2</v>
      </c>
      <c r="I170" s="823">
        <v>3</v>
      </c>
      <c r="J170" s="823">
        <v>4</v>
      </c>
      <c r="K170" s="823">
        <v>7</v>
      </c>
      <c r="L170" s="823">
        <v>7</v>
      </c>
      <c r="M170" s="823">
        <v>7</v>
      </c>
      <c r="N170" s="823">
        <v>6</v>
      </c>
      <c r="O170" s="823">
        <v>8</v>
      </c>
      <c r="P170" s="823">
        <v>10</v>
      </c>
      <c r="Q170" s="823">
        <v>5</v>
      </c>
      <c r="R170" s="823">
        <v>6</v>
      </c>
      <c r="S170" s="823">
        <v>6</v>
      </c>
      <c r="T170" s="823">
        <v>6</v>
      </c>
      <c r="U170" s="823">
        <v>6</v>
      </c>
      <c r="V170" s="823">
        <v>6</v>
      </c>
      <c r="W170" s="823">
        <v>5</v>
      </c>
      <c r="X170" s="823">
        <v>5</v>
      </c>
      <c r="Y170" s="823">
        <v>5</v>
      </c>
      <c r="Z170" s="823">
        <v>6</v>
      </c>
      <c r="AA170" s="823">
        <v>6</v>
      </c>
      <c r="AB170" s="823">
        <v>6</v>
      </c>
      <c r="AC170" s="825">
        <v>6</v>
      </c>
      <c r="AD170" s="825">
        <v>5</v>
      </c>
      <c r="AE170" s="825">
        <v>6</v>
      </c>
      <c r="AF170" s="825">
        <v>5</v>
      </c>
      <c r="AG170" s="825">
        <v>6</v>
      </c>
      <c r="AH170" s="825">
        <v>6</v>
      </c>
      <c r="AI170" s="825">
        <v>7</v>
      </c>
      <c r="AJ170" s="825">
        <v>6</v>
      </c>
      <c r="AK170" s="825">
        <v>7</v>
      </c>
      <c r="AL170" s="825">
        <v>5</v>
      </c>
      <c r="AM170" s="825">
        <v>5</v>
      </c>
      <c r="AN170" s="825">
        <v>4</v>
      </c>
      <c r="AO170" s="825">
        <v>4</v>
      </c>
      <c r="AP170" s="825">
        <v>3</v>
      </c>
      <c r="AQ170" s="51"/>
      <c r="AR170" s="51"/>
      <c r="AS170" s="51"/>
      <c r="AT170" s="51"/>
      <c r="AU170" s="51"/>
      <c r="AV170" s="51"/>
      <c r="AW170" s="51"/>
      <c r="AX170" s="51"/>
      <c r="AY170" s="51"/>
      <c r="AZ170" s="51"/>
      <c r="BA170" s="51"/>
      <c r="BB170" s="51"/>
      <c r="BC170" s="51"/>
      <c r="BD170" s="51"/>
      <c r="BE170" s="51"/>
      <c r="BF170" s="51"/>
      <c r="BG170" s="51"/>
      <c r="BH170" s="51"/>
      <c r="BI170" s="51"/>
      <c r="BJ170" s="51"/>
      <c r="BK170" s="51"/>
      <c r="BL170" s="51"/>
      <c r="BM170" s="51"/>
      <c r="BN170" s="51"/>
      <c r="BO170" s="51"/>
      <c r="BP170" s="51"/>
      <c r="BQ170" s="51"/>
      <c r="BR170" s="51"/>
      <c r="BS170" s="51"/>
      <c r="BT170" s="51"/>
      <c r="BU170" s="51"/>
      <c r="BV170" s="51"/>
      <c r="BW170" s="51"/>
      <c r="BX170" s="51"/>
      <c r="BY170" s="51"/>
      <c r="BZ170" s="51"/>
      <c r="CA170" s="51"/>
      <c r="CB170" s="51"/>
      <c r="CC170" s="51"/>
      <c r="CD170" s="51"/>
      <c r="CE170" s="51"/>
      <c r="CF170" s="51"/>
      <c r="CG170" s="51"/>
      <c r="CH170" s="51"/>
      <c r="CI170" s="51"/>
      <c r="CJ170" s="51"/>
      <c r="CK170" s="51"/>
      <c r="CL170" s="51"/>
      <c r="CM170" s="51"/>
      <c r="CN170" s="51"/>
      <c r="CO170" s="51"/>
      <c r="CP170" s="51"/>
      <c r="CQ170" s="51"/>
      <c r="CR170" s="51"/>
      <c r="CS170" s="51"/>
      <c r="CT170" s="51"/>
      <c r="CU170" s="51"/>
      <c r="CV170" s="51"/>
      <c r="CW170" s="51"/>
      <c r="CX170" s="51"/>
      <c r="CY170" s="51"/>
      <c r="CZ170" s="51"/>
      <c r="DA170" s="51"/>
      <c r="DB170" s="51"/>
      <c r="DC170" s="51"/>
      <c r="DD170" s="51"/>
      <c r="DE170" s="51"/>
      <c r="DF170" s="51"/>
      <c r="DG170" s="51"/>
      <c r="DH170" s="51"/>
      <c r="DI170" s="51"/>
      <c r="DJ170" s="51"/>
      <c r="DK170" s="51"/>
      <c r="DL170" s="51"/>
      <c r="DM170" s="51"/>
      <c r="DN170" s="51"/>
      <c r="DO170" s="51"/>
      <c r="DP170" s="51"/>
      <c r="DQ170" s="51"/>
      <c r="DR170" s="51"/>
      <c r="DS170" s="51"/>
      <c r="DT170" s="51"/>
      <c r="DU170" s="51"/>
      <c r="DV170" s="51"/>
      <c r="DW170" s="51"/>
      <c r="DX170" s="51"/>
      <c r="DY170" s="51"/>
      <c r="DZ170" s="51"/>
      <c r="EA170" s="51"/>
      <c r="EB170" s="51"/>
      <c r="EC170" s="51"/>
      <c r="ED170" s="51"/>
      <c r="EE170" s="51"/>
      <c r="EF170" s="51"/>
      <c r="EG170" s="51"/>
      <c r="EH170" s="51"/>
      <c r="EI170" s="51"/>
      <c r="EJ170" s="51"/>
      <c r="EK170" s="51"/>
      <c r="EL170" s="51"/>
      <c r="EM170" s="51"/>
      <c r="EN170" s="51"/>
      <c r="EO170" s="51"/>
      <c r="EP170" s="51"/>
      <c r="EQ170" s="51"/>
      <c r="ER170" s="51"/>
      <c r="ES170" s="51"/>
      <c r="ET170" s="51"/>
      <c r="EU170" s="51"/>
      <c r="EV170" s="51"/>
      <c r="EW170" s="51"/>
      <c r="EX170" s="51"/>
      <c r="EY170" s="51"/>
      <c r="EZ170" s="51"/>
      <c r="FA170" s="51"/>
      <c r="FB170" s="51"/>
      <c r="FC170" s="51"/>
      <c r="FD170" s="51"/>
      <c r="FE170" s="51"/>
      <c r="FF170" s="51"/>
      <c r="FG170" s="51"/>
      <c r="FH170" s="51"/>
      <c r="FI170" s="51"/>
      <c r="FJ170" s="51"/>
      <c r="FK170" s="51"/>
      <c r="FL170" s="51"/>
      <c r="FM170" s="51"/>
      <c r="FN170" s="51"/>
      <c r="FO170" s="51"/>
      <c r="FP170" s="51"/>
      <c r="FQ170" s="51"/>
      <c r="FR170" s="51"/>
      <c r="FS170" s="51"/>
      <c r="FT170" s="51"/>
      <c r="FU170" s="51"/>
      <c r="FV170" s="51"/>
      <c r="FW170" s="51"/>
      <c r="FX170" s="51"/>
      <c r="FY170" s="51"/>
      <c r="FZ170" s="51"/>
      <c r="GA170" s="51"/>
      <c r="GB170" s="51"/>
      <c r="GC170" s="51"/>
      <c r="GD170" s="51"/>
      <c r="GE170" s="51"/>
      <c r="GF170" s="51"/>
      <c r="GG170" s="51"/>
      <c r="GH170" s="51"/>
      <c r="GI170" s="51"/>
      <c r="GJ170" s="51"/>
      <c r="GK170" s="51"/>
      <c r="GL170" s="51"/>
      <c r="GM170" s="51"/>
      <c r="GN170" s="51"/>
      <c r="GO170" s="51"/>
      <c r="GP170" s="51"/>
      <c r="GQ170" s="51"/>
      <c r="GR170" s="51"/>
      <c r="GS170" s="51"/>
      <c r="GT170" s="51"/>
      <c r="GU170" s="51"/>
      <c r="GV170" s="51"/>
      <c r="GW170" s="51"/>
      <c r="GX170" s="51"/>
      <c r="GY170" s="51"/>
      <c r="GZ170" s="51"/>
      <c r="HA170" s="51"/>
      <c r="HB170" s="51"/>
      <c r="HC170" s="51"/>
      <c r="HD170" s="51"/>
      <c r="HE170" s="51"/>
      <c r="HF170" s="51"/>
      <c r="HG170" s="51"/>
      <c r="HH170" s="51"/>
      <c r="HI170" s="51"/>
      <c r="HJ170" s="51"/>
      <c r="HK170" s="51"/>
      <c r="HL170" s="51"/>
      <c r="HM170" s="51"/>
      <c r="HN170" s="51"/>
      <c r="HO170" s="51"/>
      <c r="HP170" s="51"/>
      <c r="HQ170" s="51"/>
      <c r="HR170" s="51"/>
      <c r="HS170" s="51"/>
      <c r="HT170" s="51"/>
      <c r="HU170" s="51"/>
      <c r="HV170" s="51"/>
      <c r="HW170" s="51"/>
      <c r="HX170" s="51"/>
      <c r="HY170" s="51"/>
      <c r="HZ170" s="51"/>
      <c r="IA170" s="51"/>
      <c r="IB170" s="51"/>
      <c r="IC170" s="51"/>
      <c r="ID170" s="51"/>
      <c r="IE170" s="51"/>
      <c r="IF170" s="51"/>
      <c r="IG170" s="51"/>
      <c r="IH170" s="51"/>
      <c r="II170" s="51"/>
      <c r="IJ170" s="51"/>
      <c r="IK170" s="51"/>
      <c r="IL170" s="51"/>
      <c r="IM170" s="51"/>
      <c r="IN170" s="51"/>
      <c r="IO170" s="51"/>
      <c r="IP170" s="51"/>
      <c r="IQ170" s="51"/>
      <c r="IR170" s="51"/>
      <c r="IS170" s="51"/>
      <c r="IT170" s="51"/>
      <c r="IU170" s="51"/>
      <c r="IV170" s="51"/>
    </row>
    <row r="171" hidden="1">
      <c r="B171" s="826" t="s">
        <v>11</v>
      </c>
      <c r="C171" s="827">
        <v>13</v>
      </c>
      <c r="D171" s="827">
        <v>12</v>
      </c>
      <c r="E171" s="827">
        <v>12</v>
      </c>
      <c r="F171" s="827">
        <v>12</v>
      </c>
      <c r="G171" s="827">
        <v>11</v>
      </c>
      <c r="H171" s="827">
        <v>9</v>
      </c>
      <c r="I171" s="827">
        <v>9</v>
      </c>
      <c r="J171" s="827">
        <v>8</v>
      </c>
      <c r="K171" s="827">
        <v>6</v>
      </c>
      <c r="L171" s="827">
        <v>6</v>
      </c>
      <c r="M171" s="827">
        <v>0</v>
      </c>
      <c r="N171" s="827">
        <v>1</v>
      </c>
      <c r="O171" s="827">
        <v>2</v>
      </c>
      <c r="P171" s="827">
        <v>2</v>
      </c>
      <c r="Q171" s="827">
        <v>4</v>
      </c>
      <c r="R171" s="827">
        <v>2</v>
      </c>
      <c r="S171" s="827">
        <v>1</v>
      </c>
      <c r="T171" s="827">
        <v>1</v>
      </c>
      <c r="U171" s="827">
        <v>1</v>
      </c>
      <c r="V171" s="827">
        <v>1</v>
      </c>
      <c r="W171" s="827">
        <v>1</v>
      </c>
      <c r="X171" s="827">
        <v>1</v>
      </c>
      <c r="Y171" s="827">
        <v>1</v>
      </c>
      <c r="Z171" s="827">
        <v>1</v>
      </c>
      <c r="AA171" s="827">
        <v>0</v>
      </c>
      <c r="AB171" s="827">
        <v>1</v>
      </c>
      <c r="AC171" s="828">
        <v>1</v>
      </c>
      <c r="AD171" s="828">
        <v>1</v>
      </c>
      <c r="AE171" s="828">
        <v>1</v>
      </c>
      <c r="AF171" s="828">
        <v>2</v>
      </c>
      <c r="AG171" s="828">
        <v>3</v>
      </c>
      <c r="AH171" s="828">
        <v>3</v>
      </c>
      <c r="AI171" s="828">
        <v>3</v>
      </c>
      <c r="AJ171" s="828">
        <v>3</v>
      </c>
      <c r="AK171" s="828">
        <v>3</v>
      </c>
      <c r="AL171" s="828">
        <v>3</v>
      </c>
      <c r="AM171" s="828">
        <v>3</v>
      </c>
      <c r="AN171" s="828">
        <v>2</v>
      </c>
      <c r="AO171" s="828">
        <v>1</v>
      </c>
      <c r="AP171" s="828">
        <v>1</v>
      </c>
      <c r="AQ171" s="51"/>
      <c r="AR171" s="51"/>
      <c r="AS171" s="51"/>
      <c r="AT171" s="51"/>
      <c r="AU171" s="51"/>
      <c r="AV171" s="51"/>
      <c r="AW171" s="51"/>
      <c r="AX171" s="51"/>
      <c r="AY171" s="51"/>
      <c r="AZ171" s="51"/>
      <c r="BA171" s="51"/>
      <c r="BB171" s="51"/>
      <c r="BC171" s="51"/>
      <c r="BD171" s="51"/>
      <c r="BE171" s="51"/>
      <c r="BF171" s="51"/>
      <c r="BG171" s="51"/>
      <c r="BH171" s="51"/>
      <c r="BI171" s="51"/>
      <c r="BJ171" s="51"/>
      <c r="BK171" s="51"/>
      <c r="BL171" s="51"/>
      <c r="BM171" s="51"/>
      <c r="BN171" s="51"/>
      <c r="BO171" s="51"/>
      <c r="BP171" s="51"/>
      <c r="BQ171" s="51"/>
      <c r="BR171" s="51"/>
      <c r="BS171" s="51"/>
      <c r="BT171" s="51"/>
      <c r="BU171" s="51"/>
      <c r="BV171" s="51"/>
      <c r="BW171" s="51"/>
      <c r="BX171" s="51"/>
      <c r="BY171" s="51"/>
      <c r="BZ171" s="51"/>
      <c r="CA171" s="51"/>
      <c r="CB171" s="51"/>
      <c r="CC171" s="51"/>
      <c r="CD171" s="51"/>
      <c r="CE171" s="51"/>
      <c r="CF171" s="51"/>
      <c r="CG171" s="51"/>
      <c r="CH171" s="51"/>
      <c r="CI171" s="51"/>
      <c r="CJ171" s="51"/>
      <c r="CK171" s="51"/>
      <c r="CL171" s="51"/>
      <c r="CM171" s="51"/>
      <c r="CN171" s="51"/>
      <c r="CO171" s="51"/>
      <c r="CP171" s="51"/>
      <c r="CQ171" s="51"/>
      <c r="CR171" s="51"/>
      <c r="CS171" s="51"/>
      <c r="CT171" s="51"/>
      <c r="CU171" s="51"/>
      <c r="CV171" s="51"/>
      <c r="CW171" s="51"/>
      <c r="CX171" s="51"/>
      <c r="CY171" s="51"/>
      <c r="CZ171" s="51"/>
      <c r="DA171" s="51"/>
      <c r="DB171" s="51"/>
      <c r="DC171" s="51"/>
      <c r="DD171" s="51"/>
      <c r="DE171" s="51"/>
      <c r="DF171" s="51"/>
      <c r="DG171" s="51"/>
      <c r="DH171" s="51"/>
      <c r="DI171" s="51"/>
      <c r="DJ171" s="51"/>
      <c r="DK171" s="51"/>
      <c r="DL171" s="51"/>
      <c r="DM171" s="51"/>
      <c r="DN171" s="51"/>
      <c r="DO171" s="51"/>
      <c r="DP171" s="51"/>
      <c r="DQ171" s="51"/>
      <c r="DR171" s="51"/>
      <c r="DS171" s="51"/>
      <c r="DT171" s="51"/>
      <c r="DU171" s="51"/>
      <c r="DV171" s="51"/>
      <c r="DW171" s="51"/>
      <c r="DX171" s="51"/>
      <c r="DY171" s="51"/>
      <c r="DZ171" s="51"/>
      <c r="EA171" s="51"/>
      <c r="EB171" s="51"/>
      <c r="EC171" s="51"/>
      <c r="ED171" s="51"/>
      <c r="EE171" s="51"/>
      <c r="EF171" s="51"/>
      <c r="EG171" s="51"/>
      <c r="EH171" s="51"/>
      <c r="EI171" s="51"/>
      <c r="EJ171" s="51"/>
      <c r="EK171" s="51"/>
      <c r="EL171" s="51"/>
      <c r="EM171" s="51"/>
      <c r="EN171" s="51"/>
      <c r="EO171" s="51"/>
      <c r="EP171" s="51"/>
      <c r="EQ171" s="51"/>
      <c r="ER171" s="51"/>
      <c r="ES171" s="51"/>
      <c r="ET171" s="51"/>
      <c r="EU171" s="51"/>
      <c r="EV171" s="51"/>
      <c r="EW171" s="51"/>
      <c r="EX171" s="51"/>
      <c r="EY171" s="51"/>
      <c r="EZ171" s="51"/>
      <c r="FA171" s="51"/>
      <c r="FB171" s="51"/>
      <c r="FC171" s="51"/>
      <c r="FD171" s="51"/>
      <c r="FE171" s="51"/>
      <c r="FF171" s="51"/>
      <c r="FG171" s="51"/>
      <c r="FH171" s="51"/>
      <c r="FI171" s="51"/>
      <c r="FJ171" s="51"/>
      <c r="FK171" s="51"/>
      <c r="FL171" s="51"/>
      <c r="FM171" s="51"/>
      <c r="FN171" s="51"/>
      <c r="FO171" s="51"/>
      <c r="FP171" s="51"/>
      <c r="FQ171" s="51"/>
      <c r="FR171" s="51"/>
      <c r="FS171" s="51"/>
      <c r="FT171" s="51"/>
      <c r="FU171" s="51"/>
      <c r="FV171" s="51"/>
      <c r="FW171" s="51"/>
      <c r="FX171" s="51"/>
      <c r="FY171" s="51"/>
      <c r="FZ171" s="51"/>
      <c r="GA171" s="51"/>
      <c r="GB171" s="51"/>
      <c r="GC171" s="51"/>
      <c r="GD171" s="51"/>
      <c r="GE171" s="51"/>
      <c r="GF171" s="51"/>
      <c r="GG171" s="51"/>
      <c r="GH171" s="51"/>
      <c r="GI171" s="51"/>
      <c r="GJ171" s="51"/>
      <c r="GK171" s="51"/>
      <c r="GL171" s="51"/>
      <c r="GM171" s="51"/>
      <c r="GN171" s="51"/>
      <c r="GO171" s="51"/>
      <c r="GP171" s="51"/>
      <c r="GQ171" s="51"/>
      <c r="GR171" s="51"/>
      <c r="GS171" s="51"/>
      <c r="GT171" s="51"/>
      <c r="GU171" s="51"/>
      <c r="GV171" s="51"/>
      <c r="GW171" s="51"/>
      <c r="GX171" s="51"/>
      <c r="GY171" s="51"/>
      <c r="GZ171" s="51"/>
      <c r="HA171" s="51"/>
      <c r="HB171" s="51"/>
      <c r="HC171" s="51"/>
      <c r="HD171" s="51"/>
      <c r="HE171" s="51"/>
      <c r="HF171" s="51"/>
      <c r="HG171" s="51"/>
      <c r="HH171" s="51"/>
      <c r="HI171" s="51"/>
      <c r="HJ171" s="51"/>
      <c r="HK171" s="51"/>
      <c r="HL171" s="51"/>
      <c r="HM171" s="51"/>
      <c r="HN171" s="51"/>
      <c r="HO171" s="51"/>
      <c r="HP171" s="51"/>
      <c r="HQ171" s="51"/>
      <c r="HR171" s="51"/>
      <c r="HS171" s="51"/>
      <c r="HT171" s="51"/>
      <c r="HU171" s="51"/>
      <c r="HV171" s="51"/>
      <c r="HW171" s="51"/>
      <c r="HX171" s="51"/>
      <c r="HY171" s="51"/>
      <c r="HZ171" s="51"/>
      <c r="IA171" s="51"/>
      <c r="IB171" s="51"/>
      <c r="IC171" s="51"/>
      <c r="ID171" s="51"/>
      <c r="IE171" s="51"/>
      <c r="IF171" s="51"/>
      <c r="IG171" s="51"/>
      <c r="IH171" s="51"/>
      <c r="II171" s="51"/>
      <c r="IJ171" s="51"/>
      <c r="IK171" s="51"/>
      <c r="IL171" s="51"/>
      <c r="IM171" s="51"/>
      <c r="IN171" s="51"/>
      <c r="IO171" s="51"/>
      <c r="IP171" s="51"/>
      <c r="IQ171" s="51"/>
      <c r="IR171" s="51"/>
      <c r="IS171" s="51"/>
      <c r="IT171" s="51"/>
      <c r="IU171" s="51"/>
      <c r="IV171" s="51"/>
    </row>
    <row r="172" hidden="1">
      <c r="B172" s="829" t="s">
        <v>12</v>
      </c>
      <c r="C172" s="823">
        <v>0</v>
      </c>
      <c r="D172" s="823">
        <v>0</v>
      </c>
      <c r="E172" s="823">
        <v>0</v>
      </c>
      <c r="F172" s="823">
        <v>0</v>
      </c>
      <c r="G172" s="823">
        <v>0</v>
      </c>
      <c r="H172" s="823">
        <v>0</v>
      </c>
      <c r="I172" s="823">
        <v>0</v>
      </c>
      <c r="J172" s="823">
        <v>1</v>
      </c>
      <c r="K172" s="823">
        <v>1</v>
      </c>
      <c r="L172" s="823">
        <v>1</v>
      </c>
      <c r="M172" s="823">
        <v>1</v>
      </c>
      <c r="N172" s="823">
        <v>0</v>
      </c>
      <c r="O172" s="823">
        <v>0</v>
      </c>
      <c r="P172" s="823">
        <v>1</v>
      </c>
      <c r="Q172" s="823">
        <v>1</v>
      </c>
      <c r="R172" s="823">
        <v>1</v>
      </c>
      <c r="S172" s="823">
        <v>1</v>
      </c>
      <c r="T172" s="823">
        <v>0</v>
      </c>
      <c r="U172" s="823">
        <v>0</v>
      </c>
      <c r="V172" s="823">
        <v>0</v>
      </c>
      <c r="W172" s="823">
        <v>0</v>
      </c>
      <c r="X172" s="823">
        <v>0</v>
      </c>
      <c r="Y172" s="823">
        <v>0</v>
      </c>
      <c r="Z172" s="823">
        <v>1</v>
      </c>
      <c r="AA172" s="823">
        <v>1</v>
      </c>
      <c r="AB172" s="823">
        <v>1</v>
      </c>
      <c r="AC172" s="825">
        <v>1</v>
      </c>
      <c r="AD172" s="825">
        <v>1</v>
      </c>
      <c r="AE172" s="825">
        <v>1</v>
      </c>
      <c r="AF172" s="825">
        <v>1</v>
      </c>
      <c r="AG172" s="825">
        <v>1</v>
      </c>
      <c r="AH172" s="825">
        <v>2</v>
      </c>
      <c r="AI172" s="825">
        <v>2</v>
      </c>
      <c r="AJ172" s="825">
        <v>2</v>
      </c>
      <c r="AK172" s="825">
        <v>1</v>
      </c>
      <c r="AL172" s="825">
        <v>1</v>
      </c>
      <c r="AM172" s="825">
        <v>1</v>
      </c>
      <c r="AN172" s="825">
        <v>1</v>
      </c>
      <c r="AO172" s="825">
        <v>1</v>
      </c>
      <c r="AP172" s="825">
        <v>1</v>
      </c>
      <c r="AQ172" s="51"/>
      <c r="AR172" s="51"/>
      <c r="AS172" s="51"/>
      <c r="AT172" s="51"/>
      <c r="AU172" s="51"/>
      <c r="AV172" s="51"/>
      <c r="AW172" s="51"/>
      <c r="AX172" s="51"/>
      <c r="AY172" s="51"/>
      <c r="AZ172" s="51"/>
      <c r="BA172" s="51"/>
      <c r="BB172" s="51"/>
      <c r="BC172" s="51"/>
      <c r="BD172" s="51"/>
      <c r="BE172" s="51"/>
      <c r="BF172" s="51"/>
      <c r="BG172" s="51"/>
      <c r="BH172" s="51"/>
      <c r="BI172" s="51"/>
      <c r="BJ172" s="51"/>
      <c r="BK172" s="51"/>
      <c r="BL172" s="51"/>
      <c r="BM172" s="51"/>
      <c r="BN172" s="51"/>
      <c r="BO172" s="51"/>
      <c r="BP172" s="51"/>
      <c r="BQ172" s="51"/>
      <c r="BR172" s="51"/>
      <c r="BS172" s="51"/>
      <c r="BT172" s="51"/>
      <c r="BU172" s="51"/>
      <c r="BV172" s="51"/>
      <c r="BW172" s="51"/>
      <c r="BX172" s="51"/>
      <c r="BY172" s="51"/>
      <c r="BZ172" s="51"/>
      <c r="CA172" s="51"/>
      <c r="CB172" s="51"/>
      <c r="CC172" s="51"/>
      <c r="CD172" s="51"/>
      <c r="CE172" s="51"/>
      <c r="CF172" s="51"/>
      <c r="CG172" s="51"/>
      <c r="CH172" s="51"/>
      <c r="CI172" s="51"/>
      <c r="CJ172" s="51"/>
      <c r="CK172" s="51"/>
      <c r="CL172" s="51"/>
      <c r="CM172" s="51"/>
      <c r="CN172" s="51"/>
      <c r="CO172" s="51"/>
      <c r="CP172" s="51"/>
      <c r="CQ172" s="51"/>
      <c r="CR172" s="51"/>
      <c r="CS172" s="51"/>
      <c r="CT172" s="51"/>
      <c r="CU172" s="51"/>
      <c r="CV172" s="51"/>
      <c r="CW172" s="51"/>
      <c r="CX172" s="51"/>
      <c r="CY172" s="51"/>
      <c r="CZ172" s="51"/>
      <c r="DA172" s="51"/>
      <c r="DB172" s="51"/>
      <c r="DC172" s="51"/>
      <c r="DD172" s="51"/>
      <c r="DE172" s="51"/>
      <c r="DF172" s="51"/>
      <c r="DG172" s="51"/>
      <c r="DH172" s="51"/>
      <c r="DI172" s="51"/>
      <c r="DJ172" s="51"/>
      <c r="DK172" s="51"/>
      <c r="DL172" s="51"/>
      <c r="DM172" s="51"/>
      <c r="DN172" s="51"/>
      <c r="DO172" s="51"/>
      <c r="DP172" s="51"/>
      <c r="DQ172" s="51"/>
      <c r="DR172" s="51"/>
      <c r="DS172" s="51"/>
      <c r="DT172" s="51"/>
      <c r="DU172" s="51"/>
      <c r="DV172" s="51"/>
      <c r="DW172" s="51"/>
      <c r="DX172" s="51"/>
      <c r="DY172" s="51"/>
      <c r="DZ172" s="51"/>
      <c r="EA172" s="51"/>
      <c r="EB172" s="51"/>
      <c r="EC172" s="51"/>
      <c r="ED172" s="51"/>
      <c r="EE172" s="51"/>
      <c r="EF172" s="51"/>
      <c r="EG172" s="51"/>
      <c r="EH172" s="51"/>
      <c r="EI172" s="51"/>
      <c r="EJ172" s="51"/>
      <c r="EK172" s="51"/>
      <c r="EL172" s="51"/>
      <c r="EM172" s="51"/>
      <c r="EN172" s="51"/>
      <c r="EO172" s="51"/>
      <c r="EP172" s="51"/>
      <c r="EQ172" s="51"/>
      <c r="ER172" s="51"/>
      <c r="ES172" s="51"/>
      <c r="ET172" s="51"/>
      <c r="EU172" s="51"/>
      <c r="EV172" s="51"/>
      <c r="EW172" s="51"/>
      <c r="EX172" s="51"/>
      <c r="EY172" s="51"/>
      <c r="EZ172" s="51"/>
      <c r="FA172" s="51"/>
      <c r="FB172" s="51"/>
      <c r="FC172" s="51"/>
      <c r="FD172" s="51"/>
      <c r="FE172" s="51"/>
      <c r="FF172" s="51"/>
      <c r="FG172" s="51"/>
      <c r="FH172" s="51"/>
      <c r="FI172" s="51"/>
      <c r="FJ172" s="51"/>
      <c r="FK172" s="51"/>
      <c r="FL172" s="51"/>
      <c r="FM172" s="51"/>
      <c r="FN172" s="51"/>
      <c r="FO172" s="51"/>
      <c r="FP172" s="51"/>
      <c r="FQ172" s="51"/>
      <c r="FR172" s="51"/>
      <c r="FS172" s="51"/>
      <c r="FT172" s="51"/>
      <c r="FU172" s="51"/>
      <c r="FV172" s="51"/>
      <c r="FW172" s="51"/>
      <c r="FX172" s="51"/>
      <c r="FY172" s="51"/>
      <c r="FZ172" s="51"/>
      <c r="GA172" s="51"/>
      <c r="GB172" s="51"/>
      <c r="GC172" s="51"/>
      <c r="GD172" s="51"/>
      <c r="GE172" s="51"/>
      <c r="GF172" s="51"/>
      <c r="GG172" s="51"/>
      <c r="GH172" s="51"/>
      <c r="GI172" s="51"/>
      <c r="GJ172" s="51"/>
      <c r="GK172" s="51"/>
      <c r="GL172" s="51"/>
      <c r="GM172" s="51"/>
      <c r="GN172" s="51"/>
      <c r="GO172" s="51"/>
      <c r="GP172" s="51"/>
      <c r="GQ172" s="51"/>
      <c r="GR172" s="51"/>
      <c r="GS172" s="51"/>
      <c r="GT172" s="51"/>
      <c r="GU172" s="51"/>
      <c r="GV172" s="51"/>
      <c r="GW172" s="51"/>
      <c r="GX172" s="51"/>
      <c r="GY172" s="51"/>
      <c r="GZ172" s="51"/>
      <c r="HA172" s="51"/>
      <c r="HB172" s="51"/>
      <c r="HC172" s="51"/>
      <c r="HD172" s="51"/>
      <c r="HE172" s="51"/>
      <c r="HF172" s="51"/>
      <c r="HG172" s="51"/>
      <c r="HH172" s="51"/>
      <c r="HI172" s="51"/>
      <c r="HJ172" s="51"/>
      <c r="HK172" s="51"/>
      <c r="HL172" s="51"/>
      <c r="HM172" s="51"/>
      <c r="HN172" s="51"/>
      <c r="HO172" s="51"/>
      <c r="HP172" s="51"/>
      <c r="HQ172" s="51"/>
      <c r="HR172" s="51"/>
      <c r="HS172" s="51"/>
      <c r="HT172" s="51"/>
      <c r="HU172" s="51"/>
      <c r="HV172" s="51"/>
      <c r="HW172" s="51"/>
      <c r="HX172" s="51"/>
      <c r="HY172" s="51"/>
      <c r="HZ172" s="51"/>
      <c r="IA172" s="51"/>
      <c r="IB172" s="51"/>
      <c r="IC172" s="51"/>
      <c r="ID172" s="51"/>
      <c r="IE172" s="51"/>
      <c r="IF172" s="51"/>
      <c r="IG172" s="51"/>
      <c r="IH172" s="51"/>
      <c r="II172" s="51"/>
      <c r="IJ172" s="51"/>
      <c r="IK172" s="51"/>
      <c r="IL172" s="51"/>
      <c r="IM172" s="51"/>
      <c r="IN172" s="51"/>
      <c r="IO172" s="51"/>
      <c r="IP172" s="51"/>
      <c r="IQ172" s="51"/>
      <c r="IR172" s="51"/>
      <c r="IS172" s="51"/>
      <c r="IT172" s="51"/>
      <c r="IU172" s="51"/>
      <c r="IV172" s="51"/>
    </row>
    <row r="173" hidden="1">
      <c r="B173" s="826" t="s">
        <v>13</v>
      </c>
      <c r="C173" s="827">
        <v>0</v>
      </c>
      <c r="D173" s="827">
        <v>0</v>
      </c>
      <c r="E173" s="827">
        <v>654</v>
      </c>
      <c r="F173" s="827">
        <v>571</v>
      </c>
      <c r="G173" s="827">
        <v>613</v>
      </c>
      <c r="H173" s="827">
        <v>4</v>
      </c>
      <c r="I173" s="827">
        <v>6</v>
      </c>
      <c r="J173" s="827">
        <v>7</v>
      </c>
      <c r="K173" s="827">
        <v>8</v>
      </c>
      <c r="L173" s="827">
        <v>6</v>
      </c>
      <c r="M173" s="827">
        <v>8</v>
      </c>
      <c r="N173" s="827">
        <v>3</v>
      </c>
      <c r="O173" s="827">
        <v>5</v>
      </c>
      <c r="P173" s="827">
        <v>4</v>
      </c>
      <c r="Q173" s="827">
        <v>4</v>
      </c>
      <c r="R173" s="827">
        <v>3</v>
      </c>
      <c r="S173" s="827">
        <v>1</v>
      </c>
      <c r="T173" s="827">
        <v>2</v>
      </c>
      <c r="U173" s="827">
        <v>2</v>
      </c>
      <c r="V173" s="827">
        <v>2</v>
      </c>
      <c r="W173" s="827">
        <v>2</v>
      </c>
      <c r="X173" s="827">
        <v>2</v>
      </c>
      <c r="Y173" s="827">
        <v>2</v>
      </c>
      <c r="Z173" s="827">
        <v>2</v>
      </c>
      <c r="AA173" s="827">
        <v>1</v>
      </c>
      <c r="AB173" s="827">
        <v>2</v>
      </c>
      <c r="AC173" s="828">
        <v>1</v>
      </c>
      <c r="AD173" s="828">
        <v>1</v>
      </c>
      <c r="AE173" s="828">
        <v>0</v>
      </c>
      <c r="AF173" s="828">
        <v>1</v>
      </c>
      <c r="AG173" s="828">
        <v>4</v>
      </c>
      <c r="AH173" s="828">
        <v>5</v>
      </c>
      <c r="AI173" s="828">
        <v>5</v>
      </c>
      <c r="AJ173" s="828">
        <v>6</v>
      </c>
      <c r="AK173" s="828">
        <v>6</v>
      </c>
      <c r="AL173" s="828">
        <v>7</v>
      </c>
      <c r="AM173" s="828">
        <v>6</v>
      </c>
      <c r="AN173" s="828">
        <v>4</v>
      </c>
      <c r="AO173" s="828">
        <v>4</v>
      </c>
      <c r="AP173" s="828">
        <v>6</v>
      </c>
      <c r="AQ173" s="51"/>
      <c r="AR173" s="51"/>
      <c r="AS173" s="51"/>
      <c r="AT173" s="51"/>
      <c r="AU173" s="51"/>
      <c r="AV173" s="51"/>
      <c r="AW173" s="51"/>
      <c r="AX173" s="51"/>
      <c r="AY173" s="51"/>
      <c r="AZ173" s="51"/>
      <c r="BA173" s="51"/>
      <c r="BB173" s="51"/>
      <c r="BC173" s="51"/>
      <c r="BD173" s="51"/>
      <c r="BE173" s="51"/>
      <c r="BF173" s="51"/>
      <c r="BG173" s="51"/>
      <c r="BH173" s="51"/>
      <c r="BI173" s="51"/>
      <c r="BJ173" s="51"/>
      <c r="BK173" s="51"/>
      <c r="BL173" s="51"/>
      <c r="BM173" s="51"/>
      <c r="BN173" s="51"/>
      <c r="BO173" s="51"/>
      <c r="BP173" s="51"/>
      <c r="BQ173" s="51"/>
      <c r="BR173" s="51"/>
      <c r="BS173" s="51"/>
      <c r="BT173" s="51"/>
      <c r="BU173" s="51"/>
      <c r="BV173" s="51"/>
      <c r="BW173" s="51"/>
      <c r="BX173" s="51"/>
      <c r="BY173" s="51"/>
      <c r="BZ173" s="51"/>
      <c r="CA173" s="51"/>
      <c r="CB173" s="51"/>
      <c r="CC173" s="51"/>
      <c r="CD173" s="51"/>
      <c r="CE173" s="51"/>
      <c r="CF173" s="51"/>
      <c r="CG173" s="51"/>
      <c r="CH173" s="51"/>
      <c r="CI173" s="51"/>
      <c r="CJ173" s="51"/>
      <c r="CK173" s="51"/>
      <c r="CL173" s="51"/>
      <c r="CM173" s="51"/>
      <c r="CN173" s="51"/>
      <c r="CO173" s="51"/>
      <c r="CP173" s="51"/>
      <c r="CQ173" s="51"/>
      <c r="CR173" s="51"/>
      <c r="CS173" s="51"/>
      <c r="CT173" s="51"/>
      <c r="CU173" s="51"/>
      <c r="CV173" s="51"/>
      <c r="CW173" s="51"/>
      <c r="CX173" s="51"/>
      <c r="CY173" s="51"/>
      <c r="CZ173" s="51"/>
      <c r="DA173" s="51"/>
      <c r="DB173" s="51"/>
      <c r="DC173" s="51"/>
      <c r="DD173" s="51"/>
      <c r="DE173" s="51"/>
      <c r="DF173" s="51"/>
      <c r="DG173" s="51"/>
      <c r="DH173" s="51"/>
      <c r="DI173" s="51"/>
      <c r="DJ173" s="51"/>
      <c r="DK173" s="51"/>
      <c r="DL173" s="51"/>
      <c r="DM173" s="51"/>
      <c r="DN173" s="51"/>
      <c r="DO173" s="51"/>
      <c r="DP173" s="51"/>
      <c r="DQ173" s="51"/>
      <c r="DR173" s="51"/>
      <c r="DS173" s="51"/>
      <c r="DT173" s="51"/>
      <c r="DU173" s="51"/>
      <c r="DV173" s="51"/>
      <c r="DW173" s="51"/>
      <c r="DX173" s="51"/>
      <c r="DY173" s="51"/>
      <c r="DZ173" s="51"/>
      <c r="EA173" s="51"/>
      <c r="EB173" s="51"/>
      <c r="EC173" s="51"/>
      <c r="ED173" s="51"/>
      <c r="EE173" s="51"/>
      <c r="EF173" s="51"/>
      <c r="EG173" s="51"/>
      <c r="EH173" s="51"/>
      <c r="EI173" s="51"/>
      <c r="EJ173" s="51"/>
      <c r="EK173" s="51"/>
      <c r="EL173" s="51"/>
      <c r="EM173" s="51"/>
      <c r="EN173" s="51"/>
      <c r="EO173" s="51"/>
      <c r="EP173" s="51"/>
      <c r="EQ173" s="51"/>
      <c r="ER173" s="51"/>
      <c r="ES173" s="51"/>
      <c r="ET173" s="51"/>
      <c r="EU173" s="51"/>
      <c r="EV173" s="51"/>
      <c r="EW173" s="51"/>
      <c r="EX173" s="51"/>
      <c r="EY173" s="51"/>
      <c r="EZ173" s="51"/>
      <c r="FA173" s="51"/>
      <c r="FB173" s="51"/>
      <c r="FC173" s="51"/>
      <c r="FD173" s="51"/>
      <c r="FE173" s="51"/>
      <c r="FF173" s="51"/>
      <c r="FG173" s="51"/>
      <c r="FH173" s="51"/>
      <c r="FI173" s="51"/>
      <c r="FJ173" s="51"/>
      <c r="FK173" s="51"/>
      <c r="FL173" s="51"/>
      <c r="FM173" s="51"/>
      <c r="FN173" s="51"/>
      <c r="FO173" s="51"/>
      <c r="FP173" s="51"/>
      <c r="FQ173" s="51"/>
      <c r="FR173" s="51"/>
      <c r="FS173" s="51"/>
      <c r="FT173" s="51"/>
      <c r="FU173" s="51"/>
      <c r="FV173" s="51"/>
      <c r="FW173" s="51"/>
      <c r="FX173" s="51"/>
      <c r="FY173" s="51"/>
      <c r="FZ173" s="51"/>
      <c r="GA173" s="51"/>
      <c r="GB173" s="51"/>
      <c r="GC173" s="51"/>
      <c r="GD173" s="51"/>
      <c r="GE173" s="51"/>
      <c r="GF173" s="51"/>
      <c r="GG173" s="51"/>
      <c r="GH173" s="51"/>
      <c r="GI173" s="51"/>
      <c r="GJ173" s="51"/>
      <c r="GK173" s="51"/>
      <c r="GL173" s="51"/>
      <c r="GM173" s="51"/>
      <c r="GN173" s="51"/>
      <c r="GO173" s="51"/>
      <c r="GP173" s="51"/>
      <c r="GQ173" s="51"/>
      <c r="GR173" s="51"/>
      <c r="GS173" s="51"/>
      <c r="GT173" s="51"/>
      <c r="GU173" s="51"/>
      <c r="GV173" s="51"/>
      <c r="GW173" s="51"/>
      <c r="GX173" s="51"/>
      <c r="GY173" s="51"/>
      <c r="GZ173" s="51"/>
      <c r="HA173" s="51"/>
      <c r="HB173" s="51"/>
      <c r="HC173" s="51"/>
      <c r="HD173" s="51"/>
      <c r="HE173" s="51"/>
      <c r="HF173" s="51"/>
      <c r="HG173" s="51"/>
      <c r="HH173" s="51"/>
      <c r="HI173" s="51"/>
      <c r="HJ173" s="51"/>
      <c r="HK173" s="51"/>
      <c r="HL173" s="51"/>
      <c r="HM173" s="51"/>
      <c r="HN173" s="51"/>
      <c r="HO173" s="51"/>
      <c r="HP173" s="51"/>
      <c r="HQ173" s="51"/>
      <c r="HR173" s="51"/>
      <c r="HS173" s="51"/>
      <c r="HT173" s="51"/>
      <c r="HU173" s="51"/>
      <c r="HV173" s="51"/>
      <c r="HW173" s="51"/>
      <c r="HX173" s="51"/>
      <c r="HY173" s="51"/>
      <c r="HZ173" s="51"/>
      <c r="IA173" s="51"/>
      <c r="IB173" s="51"/>
      <c r="IC173" s="51"/>
      <c r="ID173" s="51"/>
      <c r="IE173" s="51"/>
      <c r="IF173" s="51"/>
      <c r="IG173" s="51"/>
      <c r="IH173" s="51"/>
      <c r="II173" s="51"/>
      <c r="IJ173" s="51"/>
      <c r="IK173" s="51"/>
      <c r="IL173" s="51"/>
      <c r="IM173" s="51"/>
      <c r="IN173" s="51"/>
      <c r="IO173" s="51"/>
      <c r="IP173" s="51"/>
      <c r="IQ173" s="51"/>
      <c r="IR173" s="51"/>
      <c r="IS173" s="51"/>
      <c r="IT173" s="51"/>
      <c r="IU173" s="51"/>
      <c r="IV173" s="51"/>
    </row>
    <row r="174" hidden="1">
      <c r="B174" s="829" t="s">
        <v>109</v>
      </c>
      <c r="C174" s="823">
        <v>1</v>
      </c>
      <c r="D174" s="823">
        <v>3</v>
      </c>
      <c r="E174" s="823">
        <v>3</v>
      </c>
      <c r="F174" s="823">
        <v>3</v>
      </c>
      <c r="G174" s="823">
        <v>3</v>
      </c>
      <c r="H174" s="823">
        <v>3</v>
      </c>
      <c r="I174" s="823">
        <v>3</v>
      </c>
      <c r="J174" s="823">
        <v>3</v>
      </c>
      <c r="K174" s="823">
        <v>3</v>
      </c>
      <c r="L174" s="823">
        <v>3</v>
      </c>
      <c r="M174" s="823">
        <v>2</v>
      </c>
      <c r="N174" s="823">
        <v>2</v>
      </c>
      <c r="O174" s="823">
        <v>2</v>
      </c>
      <c r="P174" s="823">
        <v>2</v>
      </c>
      <c r="Q174" s="823">
        <v>0</v>
      </c>
      <c r="R174" s="823">
        <v>0</v>
      </c>
      <c r="S174" s="823">
        <v>0</v>
      </c>
      <c r="T174" s="823">
        <v>0</v>
      </c>
      <c r="U174" s="823">
        <v>1</v>
      </c>
      <c r="V174" s="823">
        <v>1</v>
      </c>
      <c r="W174" s="823">
        <v>1</v>
      </c>
      <c r="X174" s="823">
        <v>1</v>
      </c>
      <c r="Y174" s="823">
        <v>2</v>
      </c>
      <c r="Z174" s="823">
        <v>2</v>
      </c>
      <c r="AA174" s="823">
        <v>2</v>
      </c>
      <c r="AB174" s="823">
        <v>2</v>
      </c>
      <c r="AC174" s="825">
        <v>2</v>
      </c>
      <c r="AD174" s="825">
        <v>2</v>
      </c>
      <c r="AE174" s="825">
        <v>2</v>
      </c>
      <c r="AF174" s="825">
        <v>3</v>
      </c>
      <c r="AG174" s="825">
        <v>3</v>
      </c>
      <c r="AH174" s="825">
        <v>4</v>
      </c>
      <c r="AI174" s="825">
        <v>2</v>
      </c>
      <c r="AJ174" s="825">
        <v>2</v>
      </c>
      <c r="AK174" s="825">
        <v>2</v>
      </c>
      <c r="AL174" s="825">
        <v>2</v>
      </c>
      <c r="AM174" s="825">
        <v>2</v>
      </c>
      <c r="AN174" s="825">
        <v>2</v>
      </c>
      <c r="AO174" s="825">
        <v>2</v>
      </c>
      <c r="AP174" s="825">
        <v>2</v>
      </c>
      <c r="AQ174" s="51"/>
      <c r="AR174" s="51"/>
      <c r="AS174" s="51"/>
      <c r="AT174" s="51"/>
      <c r="AU174" s="51"/>
      <c r="AV174" s="51"/>
      <c r="AW174" s="51"/>
      <c r="AX174" s="51"/>
      <c r="AY174" s="51"/>
      <c r="AZ174" s="51"/>
      <c r="BA174" s="51"/>
      <c r="BB174" s="51"/>
      <c r="BC174" s="51"/>
      <c r="BD174" s="51"/>
      <c r="BE174" s="51"/>
      <c r="BF174" s="51"/>
      <c r="BG174" s="51"/>
      <c r="BH174" s="51"/>
      <c r="BI174" s="51"/>
      <c r="BJ174" s="51"/>
      <c r="BK174" s="51"/>
      <c r="BL174" s="51"/>
      <c r="BM174" s="51"/>
      <c r="BN174" s="51"/>
      <c r="BO174" s="51"/>
      <c r="BP174" s="51"/>
      <c r="BQ174" s="51"/>
      <c r="BR174" s="51"/>
      <c r="BS174" s="51"/>
      <c r="BT174" s="51"/>
      <c r="BU174" s="51"/>
      <c r="BV174" s="51"/>
      <c r="BW174" s="51"/>
      <c r="BX174" s="51"/>
      <c r="BY174" s="51"/>
      <c r="BZ174" s="51"/>
      <c r="CA174" s="51"/>
      <c r="CB174" s="51"/>
      <c r="CC174" s="51"/>
      <c r="CD174" s="51"/>
      <c r="CE174" s="51"/>
      <c r="CF174" s="51"/>
      <c r="CG174" s="51"/>
      <c r="CH174" s="51"/>
      <c r="CI174" s="51"/>
      <c r="CJ174" s="51"/>
      <c r="CK174" s="51"/>
      <c r="CL174" s="51"/>
      <c r="CM174" s="51"/>
      <c r="CN174" s="51"/>
      <c r="CO174" s="51"/>
      <c r="CP174" s="51"/>
      <c r="CQ174" s="51"/>
      <c r="CR174" s="51"/>
      <c r="CS174" s="51"/>
      <c r="CT174" s="51"/>
      <c r="CU174" s="51"/>
      <c r="CV174" s="51"/>
      <c r="CW174" s="51"/>
      <c r="CX174" s="51"/>
      <c r="CY174" s="51"/>
      <c r="CZ174" s="51"/>
      <c r="DA174" s="51"/>
      <c r="DB174" s="51"/>
      <c r="DC174" s="51"/>
      <c r="DD174" s="51"/>
      <c r="DE174" s="51"/>
      <c r="DF174" s="51"/>
      <c r="DG174" s="51"/>
      <c r="DH174" s="51"/>
      <c r="DI174" s="51"/>
      <c r="DJ174" s="51"/>
      <c r="DK174" s="51"/>
      <c r="DL174" s="51"/>
      <c r="DM174" s="51"/>
      <c r="DN174" s="51"/>
      <c r="DO174" s="51"/>
      <c r="DP174" s="51"/>
      <c r="DQ174" s="51"/>
      <c r="DR174" s="51"/>
      <c r="DS174" s="51"/>
      <c r="DT174" s="51"/>
      <c r="DU174" s="51"/>
      <c r="DV174" s="51"/>
      <c r="DW174" s="51"/>
      <c r="DX174" s="51"/>
      <c r="DY174" s="51"/>
      <c r="DZ174" s="51"/>
      <c r="EA174" s="51"/>
      <c r="EB174" s="51"/>
      <c r="EC174" s="51"/>
      <c r="ED174" s="51"/>
      <c r="EE174" s="51"/>
      <c r="EF174" s="51"/>
      <c r="EG174" s="51"/>
      <c r="EH174" s="51"/>
      <c r="EI174" s="51"/>
      <c r="EJ174" s="51"/>
      <c r="EK174" s="51"/>
      <c r="EL174" s="51"/>
      <c r="EM174" s="51"/>
      <c r="EN174" s="51"/>
      <c r="EO174" s="51"/>
      <c r="EP174" s="51"/>
      <c r="EQ174" s="51"/>
      <c r="ER174" s="51"/>
      <c r="ES174" s="51"/>
      <c r="ET174" s="51"/>
      <c r="EU174" s="51"/>
      <c r="EV174" s="51"/>
      <c r="EW174" s="51"/>
      <c r="EX174" s="51"/>
      <c r="EY174" s="51"/>
      <c r="EZ174" s="51"/>
      <c r="FA174" s="51"/>
      <c r="FB174" s="51"/>
      <c r="FC174" s="51"/>
      <c r="FD174" s="51"/>
      <c r="FE174" s="51"/>
      <c r="FF174" s="51"/>
      <c r="FG174" s="51"/>
      <c r="FH174" s="51"/>
      <c r="FI174" s="51"/>
      <c r="FJ174" s="51"/>
      <c r="FK174" s="51"/>
      <c r="FL174" s="51"/>
      <c r="FM174" s="51"/>
      <c r="FN174" s="51"/>
      <c r="FO174" s="51"/>
      <c r="FP174" s="51"/>
      <c r="FQ174" s="51"/>
      <c r="FR174" s="51"/>
      <c r="FS174" s="51"/>
      <c r="FT174" s="51"/>
      <c r="FU174" s="51"/>
      <c r="FV174" s="51"/>
      <c r="FW174" s="51"/>
      <c r="FX174" s="51"/>
      <c r="FY174" s="51"/>
      <c r="FZ174" s="51"/>
      <c r="GA174" s="51"/>
      <c r="GB174" s="51"/>
      <c r="GC174" s="51"/>
      <c r="GD174" s="51"/>
      <c r="GE174" s="51"/>
      <c r="GF174" s="51"/>
      <c r="GG174" s="51"/>
      <c r="GH174" s="51"/>
      <c r="GI174" s="51"/>
      <c r="GJ174" s="51"/>
      <c r="GK174" s="51"/>
      <c r="GL174" s="51"/>
      <c r="GM174" s="51"/>
      <c r="GN174" s="51"/>
      <c r="GO174" s="51"/>
      <c r="GP174" s="51"/>
      <c r="GQ174" s="51"/>
      <c r="GR174" s="51"/>
      <c r="GS174" s="51"/>
      <c r="GT174" s="51"/>
      <c r="GU174" s="51"/>
      <c r="GV174" s="51"/>
      <c r="GW174" s="51"/>
      <c r="GX174" s="51"/>
      <c r="GY174" s="51"/>
      <c r="GZ174" s="51"/>
      <c r="HA174" s="51"/>
      <c r="HB174" s="51"/>
      <c r="HC174" s="51"/>
      <c r="HD174" s="51"/>
      <c r="HE174" s="51"/>
      <c r="HF174" s="51"/>
      <c r="HG174" s="51"/>
      <c r="HH174" s="51"/>
      <c r="HI174" s="51"/>
      <c r="HJ174" s="51"/>
      <c r="HK174" s="51"/>
      <c r="HL174" s="51"/>
      <c r="HM174" s="51"/>
      <c r="HN174" s="51"/>
      <c r="HO174" s="51"/>
      <c r="HP174" s="51"/>
      <c r="HQ174" s="51"/>
      <c r="HR174" s="51"/>
      <c r="HS174" s="51"/>
      <c r="HT174" s="51"/>
      <c r="HU174" s="51"/>
      <c r="HV174" s="51"/>
      <c r="HW174" s="51"/>
      <c r="HX174" s="51"/>
      <c r="HY174" s="51"/>
      <c r="HZ174" s="51"/>
      <c r="IA174" s="51"/>
      <c r="IB174" s="51"/>
      <c r="IC174" s="51"/>
      <c r="ID174" s="51"/>
      <c r="IE174" s="51"/>
      <c r="IF174" s="51"/>
      <c r="IG174" s="51"/>
      <c r="IH174" s="51"/>
      <c r="II174" s="51"/>
      <c r="IJ174" s="51"/>
      <c r="IK174" s="51"/>
      <c r="IL174" s="51"/>
      <c r="IM174" s="51"/>
      <c r="IN174" s="51"/>
      <c r="IO174" s="51"/>
      <c r="IP174" s="51"/>
      <c r="IQ174" s="51"/>
      <c r="IR174" s="51"/>
      <c r="IS174" s="51"/>
      <c r="IT174" s="51"/>
      <c r="IU174" s="51"/>
      <c r="IV174" s="51"/>
    </row>
    <row r="175" hidden="1">
      <c r="B175" s="826" t="s">
        <v>110</v>
      </c>
      <c r="C175" s="827">
        <v>0</v>
      </c>
      <c r="D175" s="827">
        <v>0</v>
      </c>
      <c r="E175" s="827">
        <v>0</v>
      </c>
      <c r="F175" s="827">
        <v>0</v>
      </c>
      <c r="G175" s="827">
        <v>0</v>
      </c>
      <c r="H175" s="827">
        <v>0</v>
      </c>
      <c r="I175" s="827">
        <v>0</v>
      </c>
      <c r="J175" s="827">
        <v>0</v>
      </c>
      <c r="K175" s="827">
        <v>222</v>
      </c>
      <c r="L175" s="827">
        <v>235</v>
      </c>
      <c r="M175" s="827">
        <v>70</v>
      </c>
      <c r="N175" s="827">
        <v>66</v>
      </c>
      <c r="O175" s="827">
        <v>19</v>
      </c>
      <c r="P175" s="827">
        <v>19</v>
      </c>
      <c r="Q175" s="827">
        <v>16</v>
      </c>
      <c r="R175" s="827">
        <v>17</v>
      </c>
      <c r="S175" s="827">
        <v>15</v>
      </c>
      <c r="T175" s="827">
        <v>16</v>
      </c>
      <c r="U175" s="827">
        <v>20</v>
      </c>
      <c r="V175" s="827">
        <v>20</v>
      </c>
      <c r="W175" s="827">
        <v>22</v>
      </c>
      <c r="X175" s="827">
        <v>24</v>
      </c>
      <c r="Y175" s="827">
        <v>25</v>
      </c>
      <c r="Z175" s="827">
        <v>26</v>
      </c>
      <c r="AA175" s="827">
        <v>25</v>
      </c>
      <c r="AB175" s="827">
        <v>29</v>
      </c>
      <c r="AC175" s="828">
        <v>30</v>
      </c>
      <c r="AD175" s="828">
        <v>31</v>
      </c>
      <c r="AE175" s="828">
        <v>29</v>
      </c>
      <c r="AF175" s="828">
        <v>30</v>
      </c>
      <c r="AG175" s="828">
        <v>27</v>
      </c>
      <c r="AH175" s="828">
        <v>26</v>
      </c>
      <c r="AI175" s="828">
        <v>24</v>
      </c>
      <c r="AJ175" s="828">
        <v>26</v>
      </c>
      <c r="AK175" s="828">
        <v>31</v>
      </c>
      <c r="AL175" s="828">
        <v>32</v>
      </c>
      <c r="AM175" s="828">
        <v>31</v>
      </c>
      <c r="AN175" s="828">
        <v>31</v>
      </c>
      <c r="AO175" s="828">
        <v>29</v>
      </c>
      <c r="AP175" s="828">
        <v>27</v>
      </c>
      <c r="AQ175" s="51"/>
      <c r="AR175" s="51"/>
      <c r="AS175" s="51"/>
      <c r="AT175" s="51"/>
      <c r="AU175" s="51"/>
      <c r="AV175" s="51"/>
      <c r="AW175" s="51"/>
      <c r="AX175" s="51"/>
      <c r="AY175" s="51"/>
      <c r="AZ175" s="51"/>
      <c r="BA175" s="51"/>
      <c r="BB175" s="51"/>
      <c r="BC175" s="51"/>
      <c r="BD175" s="51"/>
      <c r="BE175" s="51"/>
      <c r="BF175" s="51"/>
      <c r="BG175" s="51"/>
      <c r="BH175" s="51"/>
      <c r="BI175" s="51"/>
      <c r="BJ175" s="51"/>
      <c r="BK175" s="51"/>
      <c r="BL175" s="51"/>
      <c r="BM175" s="51"/>
      <c r="BN175" s="51"/>
      <c r="BO175" s="51"/>
      <c r="BP175" s="51"/>
      <c r="BQ175" s="51"/>
      <c r="BR175" s="51"/>
      <c r="BS175" s="51"/>
      <c r="BT175" s="51"/>
      <c r="BU175" s="51"/>
      <c r="BV175" s="51"/>
      <c r="BW175" s="51"/>
      <c r="BX175" s="51"/>
      <c r="BY175" s="51"/>
      <c r="BZ175" s="51"/>
      <c r="CA175" s="51"/>
      <c r="CB175" s="51"/>
      <c r="CC175" s="51"/>
      <c r="CD175" s="51"/>
      <c r="CE175" s="51"/>
      <c r="CF175" s="51"/>
      <c r="CG175" s="51"/>
      <c r="CH175" s="51"/>
      <c r="CI175" s="51"/>
      <c r="CJ175" s="51"/>
      <c r="CK175" s="51"/>
      <c r="CL175" s="51"/>
      <c r="CM175" s="51"/>
      <c r="CN175" s="51"/>
      <c r="CO175" s="51"/>
      <c r="CP175" s="51"/>
      <c r="CQ175" s="51"/>
      <c r="CR175" s="51"/>
      <c r="CS175" s="51"/>
      <c r="CT175" s="51"/>
      <c r="CU175" s="51"/>
      <c r="CV175" s="51"/>
      <c r="CW175" s="51"/>
      <c r="CX175" s="51"/>
      <c r="CY175" s="51"/>
      <c r="CZ175" s="51"/>
      <c r="DA175" s="51"/>
      <c r="DB175" s="51"/>
      <c r="DC175" s="51"/>
      <c r="DD175" s="51"/>
      <c r="DE175" s="51"/>
      <c r="DF175" s="51"/>
      <c r="DG175" s="51"/>
      <c r="DH175" s="51"/>
      <c r="DI175" s="51"/>
      <c r="DJ175" s="51"/>
      <c r="DK175" s="51"/>
      <c r="DL175" s="51"/>
      <c r="DM175" s="51"/>
      <c r="DN175" s="51"/>
      <c r="DO175" s="51"/>
      <c r="DP175" s="51"/>
      <c r="DQ175" s="51"/>
      <c r="DR175" s="51"/>
      <c r="DS175" s="51"/>
      <c r="DT175" s="51"/>
      <c r="DU175" s="51"/>
      <c r="DV175" s="51"/>
      <c r="DW175" s="51"/>
      <c r="DX175" s="51"/>
      <c r="DY175" s="51"/>
      <c r="DZ175" s="51"/>
      <c r="EA175" s="51"/>
      <c r="EB175" s="51"/>
      <c r="EC175" s="51"/>
      <c r="ED175" s="51"/>
      <c r="EE175" s="51"/>
      <c r="EF175" s="51"/>
      <c r="EG175" s="51"/>
      <c r="EH175" s="51"/>
      <c r="EI175" s="51"/>
      <c r="EJ175" s="51"/>
      <c r="EK175" s="51"/>
      <c r="EL175" s="51"/>
      <c r="EM175" s="51"/>
      <c r="EN175" s="51"/>
      <c r="EO175" s="51"/>
      <c r="EP175" s="51"/>
      <c r="EQ175" s="51"/>
      <c r="ER175" s="51"/>
      <c r="ES175" s="51"/>
      <c r="ET175" s="51"/>
      <c r="EU175" s="51"/>
      <c r="EV175" s="51"/>
      <c r="EW175" s="51"/>
      <c r="EX175" s="51"/>
      <c r="EY175" s="51"/>
      <c r="EZ175" s="51"/>
      <c r="FA175" s="51"/>
      <c r="FB175" s="51"/>
      <c r="FC175" s="51"/>
      <c r="FD175" s="51"/>
      <c r="FE175" s="51"/>
      <c r="FF175" s="51"/>
      <c r="FG175" s="51"/>
      <c r="FH175" s="51"/>
      <c r="FI175" s="51"/>
      <c r="FJ175" s="51"/>
      <c r="FK175" s="51"/>
      <c r="FL175" s="51"/>
      <c r="FM175" s="51"/>
      <c r="FN175" s="51"/>
      <c r="FO175" s="51"/>
      <c r="FP175" s="51"/>
      <c r="FQ175" s="51"/>
      <c r="FR175" s="51"/>
      <c r="FS175" s="51"/>
      <c r="FT175" s="51"/>
      <c r="FU175" s="51"/>
      <c r="FV175" s="51"/>
      <c r="FW175" s="51"/>
      <c r="FX175" s="51"/>
      <c r="FY175" s="51"/>
      <c r="FZ175" s="51"/>
      <c r="GA175" s="51"/>
      <c r="GB175" s="51"/>
      <c r="GC175" s="51"/>
      <c r="GD175" s="51"/>
      <c r="GE175" s="51"/>
      <c r="GF175" s="51"/>
      <c r="GG175" s="51"/>
      <c r="GH175" s="51"/>
      <c r="GI175" s="51"/>
      <c r="GJ175" s="51"/>
      <c r="GK175" s="51"/>
      <c r="GL175" s="51"/>
      <c r="GM175" s="51"/>
      <c r="GN175" s="51"/>
      <c r="GO175" s="51"/>
      <c r="GP175" s="51"/>
      <c r="GQ175" s="51"/>
      <c r="GR175" s="51"/>
      <c r="GS175" s="51"/>
      <c r="GT175" s="51"/>
      <c r="GU175" s="51"/>
      <c r="GV175" s="51"/>
      <c r="GW175" s="51"/>
      <c r="GX175" s="51"/>
      <c r="GY175" s="51"/>
      <c r="GZ175" s="51"/>
      <c r="HA175" s="51"/>
      <c r="HB175" s="51"/>
      <c r="HC175" s="51"/>
      <c r="HD175" s="51"/>
      <c r="HE175" s="51"/>
      <c r="HF175" s="51"/>
      <c r="HG175" s="51"/>
      <c r="HH175" s="51"/>
      <c r="HI175" s="51"/>
      <c r="HJ175" s="51"/>
      <c r="HK175" s="51"/>
      <c r="HL175" s="51"/>
      <c r="HM175" s="51"/>
      <c r="HN175" s="51"/>
      <c r="HO175" s="51"/>
      <c r="HP175" s="51"/>
      <c r="HQ175" s="51"/>
      <c r="HR175" s="51"/>
      <c r="HS175" s="51"/>
      <c r="HT175" s="51"/>
      <c r="HU175" s="51"/>
      <c r="HV175" s="51"/>
      <c r="HW175" s="51"/>
      <c r="HX175" s="51"/>
      <c r="HY175" s="51"/>
      <c r="HZ175" s="51"/>
      <c r="IA175" s="51"/>
      <c r="IB175" s="51"/>
      <c r="IC175" s="51"/>
      <c r="ID175" s="51"/>
      <c r="IE175" s="51"/>
      <c r="IF175" s="51"/>
      <c r="IG175" s="51"/>
      <c r="IH175" s="51"/>
      <c r="II175" s="51"/>
      <c r="IJ175" s="51"/>
      <c r="IK175" s="51"/>
      <c r="IL175" s="51"/>
      <c r="IM175" s="51"/>
      <c r="IN175" s="51"/>
      <c r="IO175" s="51"/>
      <c r="IP175" s="51"/>
      <c r="IQ175" s="51"/>
      <c r="IR175" s="51"/>
      <c r="IS175" s="51"/>
      <c r="IT175" s="51"/>
      <c r="IU175" s="51"/>
      <c r="IV175" s="51"/>
    </row>
    <row r="176" hidden="1">
      <c r="B176" s="829" t="s">
        <v>16</v>
      </c>
      <c r="C176" s="823">
        <v>61</v>
      </c>
      <c r="D176" s="823">
        <v>1</v>
      </c>
      <c r="E176" s="823">
        <v>1</v>
      </c>
      <c r="F176" s="823">
        <v>1</v>
      </c>
      <c r="G176" s="823">
        <v>64</v>
      </c>
      <c r="H176" s="823">
        <v>66</v>
      </c>
      <c r="I176" s="823">
        <v>62</v>
      </c>
      <c r="J176" s="823">
        <v>66</v>
      </c>
      <c r="K176" s="823">
        <v>69</v>
      </c>
      <c r="L176" s="823">
        <v>69</v>
      </c>
      <c r="M176" s="823">
        <v>70</v>
      </c>
      <c r="N176" s="823">
        <v>70</v>
      </c>
      <c r="O176" s="823">
        <v>69</v>
      </c>
      <c r="P176" s="823">
        <v>66</v>
      </c>
      <c r="Q176" s="823">
        <v>174</v>
      </c>
      <c r="R176" s="823">
        <v>101</v>
      </c>
      <c r="S176" s="823">
        <v>83</v>
      </c>
      <c r="T176" s="823">
        <v>84</v>
      </c>
      <c r="U176" s="823">
        <v>89</v>
      </c>
      <c r="V176" s="823">
        <v>91</v>
      </c>
      <c r="W176" s="823">
        <v>90</v>
      </c>
      <c r="X176" s="823">
        <v>91</v>
      </c>
      <c r="Y176" s="823">
        <v>71</v>
      </c>
      <c r="Z176" s="823">
        <v>72</v>
      </c>
      <c r="AA176" s="823">
        <v>71</v>
      </c>
      <c r="AB176" s="823">
        <v>70</v>
      </c>
      <c r="AC176" s="825">
        <v>71</v>
      </c>
      <c r="AD176" s="825">
        <v>67</v>
      </c>
      <c r="AE176" s="825">
        <v>69</v>
      </c>
      <c r="AF176" s="825">
        <v>69</v>
      </c>
      <c r="AG176" s="825">
        <v>65</v>
      </c>
      <c r="AH176" s="825">
        <v>63</v>
      </c>
      <c r="AI176" s="825">
        <v>60</v>
      </c>
      <c r="AJ176" s="825">
        <v>57</v>
      </c>
      <c r="AK176" s="825">
        <v>54</v>
      </c>
      <c r="AL176" s="825">
        <v>53</v>
      </c>
      <c r="AM176" s="825">
        <v>53</v>
      </c>
      <c r="AN176" s="825">
        <v>53</v>
      </c>
      <c r="AO176" s="825">
        <v>54</v>
      </c>
      <c r="AP176" s="825">
        <v>53</v>
      </c>
      <c r="AQ176" s="51"/>
      <c r="AR176" s="51"/>
      <c r="AS176" s="51"/>
      <c r="AT176" s="51"/>
      <c r="AU176" s="51"/>
      <c r="AV176" s="51"/>
      <c r="AW176" s="51"/>
      <c r="AX176" s="51"/>
      <c r="AY176" s="51"/>
      <c r="AZ176" s="51"/>
      <c r="BA176" s="51"/>
      <c r="BB176" s="51"/>
      <c r="BC176" s="51"/>
      <c r="BD176" s="51"/>
      <c r="BE176" s="51"/>
      <c r="BF176" s="51"/>
      <c r="BG176" s="51"/>
      <c r="BH176" s="51"/>
      <c r="BI176" s="51"/>
      <c r="BJ176" s="51"/>
      <c r="BK176" s="51"/>
      <c r="BL176" s="51"/>
      <c r="BM176" s="51"/>
      <c r="BN176" s="51"/>
      <c r="BO176" s="51"/>
      <c r="BP176" s="51"/>
      <c r="BQ176" s="51"/>
      <c r="BR176" s="51"/>
      <c r="BS176" s="51"/>
      <c r="BT176" s="51"/>
      <c r="BU176" s="51"/>
      <c r="BV176" s="51"/>
      <c r="BW176" s="51"/>
      <c r="BX176" s="51"/>
      <c r="BY176" s="51"/>
      <c r="BZ176" s="51"/>
      <c r="CA176" s="51"/>
      <c r="CB176" s="51"/>
      <c r="CC176" s="51"/>
      <c r="CD176" s="51"/>
      <c r="CE176" s="51"/>
      <c r="CF176" s="51"/>
      <c r="CG176" s="51"/>
      <c r="CH176" s="51"/>
      <c r="CI176" s="51"/>
      <c r="CJ176" s="51"/>
      <c r="CK176" s="51"/>
      <c r="CL176" s="51"/>
      <c r="CM176" s="51"/>
      <c r="CN176" s="51"/>
      <c r="CO176" s="51"/>
      <c r="CP176" s="51"/>
      <c r="CQ176" s="51"/>
      <c r="CR176" s="51"/>
      <c r="CS176" s="51"/>
      <c r="CT176" s="51"/>
      <c r="CU176" s="51"/>
      <c r="CV176" s="51"/>
      <c r="CW176" s="51"/>
      <c r="CX176" s="51"/>
      <c r="CY176" s="51"/>
      <c r="CZ176" s="51"/>
      <c r="DA176" s="51"/>
      <c r="DB176" s="51"/>
      <c r="DC176" s="51"/>
      <c r="DD176" s="51"/>
      <c r="DE176" s="51"/>
      <c r="DF176" s="51"/>
      <c r="DG176" s="51"/>
      <c r="DH176" s="51"/>
      <c r="DI176" s="51"/>
      <c r="DJ176" s="51"/>
      <c r="DK176" s="51"/>
      <c r="DL176" s="51"/>
      <c r="DM176" s="51"/>
      <c r="DN176" s="51"/>
      <c r="DO176" s="51"/>
      <c r="DP176" s="51"/>
      <c r="DQ176" s="51"/>
      <c r="DR176" s="51"/>
      <c r="DS176" s="51"/>
      <c r="DT176" s="51"/>
      <c r="DU176" s="51"/>
      <c r="DV176" s="51"/>
      <c r="DW176" s="51"/>
      <c r="DX176" s="51"/>
      <c r="DY176" s="51"/>
      <c r="DZ176" s="51"/>
      <c r="EA176" s="51"/>
      <c r="EB176" s="51"/>
      <c r="EC176" s="51"/>
      <c r="ED176" s="51"/>
      <c r="EE176" s="51"/>
      <c r="EF176" s="51"/>
      <c r="EG176" s="51"/>
      <c r="EH176" s="51"/>
      <c r="EI176" s="51"/>
      <c r="EJ176" s="51"/>
      <c r="EK176" s="51"/>
      <c r="EL176" s="51"/>
      <c r="EM176" s="51"/>
      <c r="EN176" s="51"/>
      <c r="EO176" s="51"/>
      <c r="EP176" s="51"/>
      <c r="EQ176" s="51"/>
      <c r="ER176" s="51"/>
      <c r="ES176" s="51"/>
      <c r="ET176" s="51"/>
      <c r="EU176" s="51"/>
      <c r="EV176" s="51"/>
      <c r="EW176" s="51"/>
      <c r="EX176" s="51"/>
      <c r="EY176" s="51"/>
      <c r="EZ176" s="51"/>
      <c r="FA176" s="51"/>
      <c r="FB176" s="51"/>
      <c r="FC176" s="51"/>
      <c r="FD176" s="51"/>
      <c r="FE176" s="51"/>
      <c r="FF176" s="51"/>
      <c r="FG176" s="51"/>
      <c r="FH176" s="51"/>
      <c r="FI176" s="51"/>
      <c r="FJ176" s="51"/>
      <c r="FK176" s="51"/>
      <c r="FL176" s="51"/>
      <c r="FM176" s="51"/>
      <c r="FN176" s="51"/>
      <c r="FO176" s="51"/>
      <c r="FP176" s="51"/>
      <c r="FQ176" s="51"/>
      <c r="FR176" s="51"/>
      <c r="FS176" s="51"/>
      <c r="FT176" s="51"/>
      <c r="FU176" s="51"/>
      <c r="FV176" s="51"/>
      <c r="FW176" s="51"/>
      <c r="FX176" s="51"/>
      <c r="FY176" s="51"/>
      <c r="FZ176" s="51"/>
      <c r="GA176" s="51"/>
      <c r="GB176" s="51"/>
      <c r="GC176" s="51"/>
      <c r="GD176" s="51"/>
      <c r="GE176" s="51"/>
      <c r="GF176" s="51"/>
      <c r="GG176" s="51"/>
      <c r="GH176" s="51"/>
      <c r="GI176" s="51"/>
      <c r="GJ176" s="51"/>
      <c r="GK176" s="51"/>
      <c r="GL176" s="51"/>
      <c r="GM176" s="51"/>
      <c r="GN176" s="51"/>
      <c r="GO176" s="51"/>
      <c r="GP176" s="51"/>
      <c r="GQ176" s="51"/>
      <c r="GR176" s="51"/>
      <c r="GS176" s="51"/>
      <c r="GT176" s="51"/>
      <c r="GU176" s="51"/>
      <c r="GV176" s="51"/>
      <c r="GW176" s="51"/>
      <c r="GX176" s="51"/>
      <c r="GY176" s="51"/>
      <c r="GZ176" s="51"/>
      <c r="HA176" s="51"/>
      <c r="HB176" s="51"/>
      <c r="HC176" s="51"/>
      <c r="HD176" s="51"/>
      <c r="HE176" s="51"/>
      <c r="HF176" s="51"/>
      <c r="HG176" s="51"/>
      <c r="HH176" s="51"/>
      <c r="HI176" s="51"/>
      <c r="HJ176" s="51"/>
      <c r="HK176" s="51"/>
      <c r="HL176" s="51"/>
      <c r="HM176" s="51"/>
      <c r="HN176" s="51"/>
      <c r="HO176" s="51"/>
      <c r="HP176" s="51"/>
      <c r="HQ176" s="51"/>
      <c r="HR176" s="51"/>
      <c r="HS176" s="51"/>
      <c r="HT176" s="51"/>
      <c r="HU176" s="51"/>
      <c r="HV176" s="51"/>
      <c r="HW176" s="51"/>
      <c r="HX176" s="51"/>
      <c r="HY176" s="51"/>
      <c r="HZ176" s="51"/>
      <c r="IA176" s="51"/>
      <c r="IB176" s="51"/>
      <c r="IC176" s="51"/>
      <c r="ID176" s="51"/>
      <c r="IE176" s="51"/>
      <c r="IF176" s="51"/>
      <c r="IG176" s="51"/>
      <c r="IH176" s="51"/>
      <c r="II176" s="51"/>
      <c r="IJ176" s="51"/>
      <c r="IK176" s="51"/>
      <c r="IL176" s="51"/>
      <c r="IM176" s="51"/>
      <c r="IN176" s="51"/>
      <c r="IO176" s="51"/>
      <c r="IP176" s="51"/>
      <c r="IQ176" s="51"/>
      <c r="IR176" s="51"/>
      <c r="IS176" s="51"/>
      <c r="IT176" s="51"/>
      <c r="IU176" s="51"/>
      <c r="IV176" s="51"/>
    </row>
    <row r="177" hidden="1">
      <c r="B177" s="826" t="s">
        <v>17</v>
      </c>
      <c r="C177" s="827">
        <v>0</v>
      </c>
      <c r="D177" s="827">
        <v>0</v>
      </c>
      <c r="E177" s="827">
        <v>0</v>
      </c>
      <c r="F177" s="827">
        <v>0</v>
      </c>
      <c r="G177" s="827">
        <v>0</v>
      </c>
      <c r="H177" s="827">
        <v>0</v>
      </c>
      <c r="I177" s="827">
        <v>0</v>
      </c>
      <c r="J177" s="827">
        <v>0</v>
      </c>
      <c r="K177" s="827">
        <v>0</v>
      </c>
      <c r="L177" s="827">
        <v>0</v>
      </c>
      <c r="M177" s="827">
        <v>0</v>
      </c>
      <c r="N177" s="827">
        <v>0</v>
      </c>
      <c r="O177" s="827">
        <v>0</v>
      </c>
      <c r="P177" s="827">
        <v>0</v>
      </c>
      <c r="Q177" s="827">
        <v>0</v>
      </c>
      <c r="R177" s="827">
        <v>0</v>
      </c>
      <c r="S177" s="827">
        <v>0</v>
      </c>
      <c r="T177" s="827">
        <v>1</v>
      </c>
      <c r="U177" s="827">
        <v>1</v>
      </c>
      <c r="V177" s="827">
        <v>1</v>
      </c>
      <c r="W177" s="827">
        <v>0</v>
      </c>
      <c r="X177" s="827">
        <v>0</v>
      </c>
      <c r="Y177" s="827">
        <v>0</v>
      </c>
      <c r="Z177" s="827">
        <v>0</v>
      </c>
      <c r="AA177" s="827">
        <v>0</v>
      </c>
      <c r="AB177" s="827">
        <v>0</v>
      </c>
      <c r="AC177" s="828">
        <v>0</v>
      </c>
      <c r="AD177" s="828">
        <v>0</v>
      </c>
      <c r="AE177" s="828">
        <v>0</v>
      </c>
      <c r="AF177" s="828">
        <v>0</v>
      </c>
      <c r="AG177" s="828">
        <v>0</v>
      </c>
      <c r="AH177" s="828">
        <v>0</v>
      </c>
      <c r="AI177" s="828">
        <v>0</v>
      </c>
      <c r="AJ177" s="828">
        <v>0</v>
      </c>
      <c r="AK177" s="828">
        <v>0</v>
      </c>
      <c r="AL177" s="828">
        <v>3</v>
      </c>
      <c r="AM177" s="828">
        <v>0</v>
      </c>
      <c r="AN177" s="828">
        <v>0</v>
      </c>
      <c r="AO177" s="828">
        <v>1</v>
      </c>
      <c r="AP177" s="828">
        <v>1</v>
      </c>
      <c r="AQ177" s="51"/>
      <c r="AR177" s="51"/>
      <c r="AS177" s="51"/>
      <c r="AT177" s="51"/>
      <c r="AU177" s="51"/>
      <c r="AV177" s="51"/>
      <c r="AW177" s="51"/>
      <c r="AX177" s="51"/>
      <c r="AY177" s="51"/>
      <c r="AZ177" s="51"/>
      <c r="BA177" s="51"/>
      <c r="BB177" s="51"/>
      <c r="BC177" s="51"/>
      <c r="BD177" s="51"/>
      <c r="BE177" s="51"/>
      <c r="BF177" s="51"/>
      <c r="BG177" s="51"/>
      <c r="BH177" s="51"/>
      <c r="BI177" s="51"/>
      <c r="BJ177" s="51"/>
      <c r="BK177" s="51"/>
      <c r="BL177" s="51"/>
      <c r="BM177" s="51"/>
      <c r="BN177" s="51"/>
      <c r="BO177" s="51"/>
      <c r="BP177" s="51"/>
      <c r="BQ177" s="51"/>
      <c r="BR177" s="51"/>
      <c r="BS177" s="51"/>
      <c r="BT177" s="51"/>
      <c r="BU177" s="51"/>
      <c r="BV177" s="51"/>
      <c r="BW177" s="51"/>
      <c r="BX177" s="51"/>
      <c r="BY177" s="51"/>
      <c r="BZ177" s="51"/>
      <c r="CA177" s="51"/>
      <c r="CB177" s="51"/>
      <c r="CC177" s="51"/>
      <c r="CD177" s="51"/>
      <c r="CE177" s="51"/>
      <c r="CF177" s="51"/>
      <c r="CG177" s="51"/>
      <c r="CH177" s="51"/>
      <c r="CI177" s="51"/>
      <c r="CJ177" s="51"/>
      <c r="CK177" s="51"/>
      <c r="CL177" s="51"/>
      <c r="CM177" s="51"/>
      <c r="CN177" s="51"/>
      <c r="CO177" s="51"/>
      <c r="CP177" s="51"/>
      <c r="CQ177" s="51"/>
      <c r="CR177" s="51"/>
      <c r="CS177" s="51"/>
      <c r="CT177" s="51"/>
      <c r="CU177" s="51"/>
      <c r="CV177" s="51"/>
      <c r="CW177" s="51"/>
      <c r="CX177" s="51"/>
      <c r="CY177" s="51"/>
      <c r="CZ177" s="51"/>
      <c r="DA177" s="51"/>
      <c r="DB177" s="51"/>
      <c r="DC177" s="51"/>
      <c r="DD177" s="51"/>
      <c r="DE177" s="51"/>
      <c r="DF177" s="51"/>
      <c r="DG177" s="51"/>
      <c r="DH177" s="51"/>
      <c r="DI177" s="51"/>
      <c r="DJ177" s="51"/>
      <c r="DK177" s="51"/>
      <c r="DL177" s="51"/>
      <c r="DM177" s="51"/>
      <c r="DN177" s="51"/>
      <c r="DO177" s="51"/>
      <c r="DP177" s="51"/>
      <c r="DQ177" s="51"/>
      <c r="DR177" s="51"/>
      <c r="DS177" s="51"/>
      <c r="DT177" s="51"/>
      <c r="DU177" s="51"/>
      <c r="DV177" s="51"/>
      <c r="DW177" s="51"/>
      <c r="DX177" s="51"/>
      <c r="DY177" s="51"/>
      <c r="DZ177" s="51"/>
      <c r="EA177" s="51"/>
      <c r="EB177" s="51"/>
      <c r="EC177" s="51"/>
      <c r="ED177" s="51"/>
      <c r="EE177" s="51"/>
      <c r="EF177" s="51"/>
      <c r="EG177" s="51"/>
      <c r="EH177" s="51"/>
      <c r="EI177" s="51"/>
      <c r="EJ177" s="51"/>
      <c r="EK177" s="51"/>
      <c r="EL177" s="51"/>
      <c r="EM177" s="51"/>
      <c r="EN177" s="51"/>
      <c r="EO177" s="51"/>
      <c r="EP177" s="51"/>
      <c r="EQ177" s="51"/>
      <c r="ER177" s="51"/>
      <c r="ES177" s="51"/>
      <c r="ET177" s="51"/>
      <c r="EU177" s="51"/>
      <c r="EV177" s="51"/>
      <c r="EW177" s="51"/>
      <c r="EX177" s="51"/>
      <c r="EY177" s="51"/>
      <c r="EZ177" s="51"/>
      <c r="FA177" s="51"/>
      <c r="FB177" s="51"/>
      <c r="FC177" s="51"/>
      <c r="FD177" s="51"/>
      <c r="FE177" s="51"/>
      <c r="FF177" s="51"/>
      <c r="FG177" s="51"/>
      <c r="FH177" s="51"/>
      <c r="FI177" s="51"/>
      <c r="FJ177" s="51"/>
      <c r="FK177" s="51"/>
      <c r="FL177" s="51"/>
      <c r="FM177" s="51"/>
      <c r="FN177" s="51"/>
      <c r="FO177" s="51"/>
      <c r="FP177" s="51"/>
      <c r="FQ177" s="51"/>
      <c r="FR177" s="51"/>
      <c r="FS177" s="51"/>
      <c r="FT177" s="51"/>
      <c r="FU177" s="51"/>
      <c r="FV177" s="51"/>
      <c r="FW177" s="51"/>
      <c r="FX177" s="51"/>
      <c r="FY177" s="51"/>
      <c r="FZ177" s="51"/>
      <c r="GA177" s="51"/>
      <c r="GB177" s="51"/>
      <c r="GC177" s="51"/>
      <c r="GD177" s="51"/>
      <c r="GE177" s="51"/>
      <c r="GF177" s="51"/>
      <c r="GG177" s="51"/>
      <c r="GH177" s="51"/>
      <c r="GI177" s="51"/>
      <c r="GJ177" s="51"/>
      <c r="GK177" s="51"/>
      <c r="GL177" s="51"/>
      <c r="GM177" s="51"/>
      <c r="GN177" s="51"/>
      <c r="GO177" s="51"/>
      <c r="GP177" s="51"/>
      <c r="GQ177" s="51"/>
      <c r="GR177" s="51"/>
      <c r="GS177" s="51"/>
      <c r="GT177" s="51"/>
      <c r="GU177" s="51"/>
      <c r="GV177" s="51"/>
      <c r="GW177" s="51"/>
      <c r="GX177" s="51"/>
      <c r="GY177" s="51"/>
      <c r="GZ177" s="51"/>
      <c r="HA177" s="51"/>
      <c r="HB177" s="51"/>
      <c r="HC177" s="51"/>
      <c r="HD177" s="51"/>
      <c r="HE177" s="51"/>
      <c r="HF177" s="51"/>
      <c r="HG177" s="51"/>
      <c r="HH177" s="51"/>
      <c r="HI177" s="51"/>
      <c r="HJ177" s="51"/>
      <c r="HK177" s="51"/>
      <c r="HL177" s="51"/>
      <c r="HM177" s="51"/>
      <c r="HN177" s="51"/>
      <c r="HO177" s="51"/>
      <c r="HP177" s="51"/>
      <c r="HQ177" s="51"/>
      <c r="HR177" s="51"/>
      <c r="HS177" s="51"/>
      <c r="HT177" s="51"/>
      <c r="HU177" s="51"/>
      <c r="HV177" s="51"/>
      <c r="HW177" s="51"/>
      <c r="HX177" s="51"/>
      <c r="HY177" s="51"/>
      <c r="HZ177" s="51"/>
      <c r="IA177" s="51"/>
      <c r="IB177" s="51"/>
      <c r="IC177" s="51"/>
      <c r="ID177" s="51"/>
      <c r="IE177" s="51"/>
      <c r="IF177" s="51"/>
      <c r="IG177" s="51"/>
      <c r="IH177" s="51"/>
      <c r="II177" s="51"/>
      <c r="IJ177" s="51"/>
      <c r="IK177" s="51"/>
      <c r="IL177" s="51"/>
      <c r="IM177" s="51"/>
      <c r="IN177" s="51"/>
      <c r="IO177" s="51"/>
      <c r="IP177" s="51"/>
      <c r="IQ177" s="51"/>
      <c r="IR177" s="51"/>
      <c r="IS177" s="51"/>
      <c r="IT177" s="51"/>
      <c r="IU177" s="51"/>
      <c r="IV177" s="51"/>
    </row>
    <row r="178" hidden="1">
      <c r="B178" s="829" t="s">
        <v>18</v>
      </c>
      <c r="C178" s="823">
        <v>0</v>
      </c>
      <c r="D178" s="823">
        <v>0</v>
      </c>
      <c r="E178" s="823">
        <v>0</v>
      </c>
      <c r="F178" s="823">
        <v>0</v>
      </c>
      <c r="G178" s="823">
        <v>0</v>
      </c>
      <c r="H178" s="823">
        <v>0</v>
      </c>
      <c r="I178" s="823">
        <v>0</v>
      </c>
      <c r="J178" s="823">
        <v>0</v>
      </c>
      <c r="K178" s="823">
        <v>23</v>
      </c>
      <c r="L178" s="823">
        <v>23</v>
      </c>
      <c r="M178" s="823">
        <v>2</v>
      </c>
      <c r="N178" s="823">
        <v>2</v>
      </c>
      <c r="O178" s="823">
        <v>3</v>
      </c>
      <c r="P178" s="823">
        <v>3</v>
      </c>
      <c r="Q178" s="823">
        <v>3</v>
      </c>
      <c r="R178" s="823">
        <v>2</v>
      </c>
      <c r="S178" s="823">
        <v>3</v>
      </c>
      <c r="T178" s="823">
        <v>3</v>
      </c>
      <c r="U178" s="823">
        <v>3</v>
      </c>
      <c r="V178" s="823">
        <v>3</v>
      </c>
      <c r="W178" s="823">
        <v>4</v>
      </c>
      <c r="X178" s="823">
        <v>1</v>
      </c>
      <c r="Y178" s="823">
        <v>1</v>
      </c>
      <c r="Z178" s="823">
        <v>1</v>
      </c>
      <c r="AA178" s="823">
        <v>0</v>
      </c>
      <c r="AB178" s="823">
        <v>0</v>
      </c>
      <c r="AC178" s="825">
        <v>0</v>
      </c>
      <c r="AD178" s="825">
        <v>0</v>
      </c>
      <c r="AE178" s="825">
        <v>0</v>
      </c>
      <c r="AF178" s="825">
        <v>0</v>
      </c>
      <c r="AG178" s="825">
        <v>0</v>
      </c>
      <c r="AH178" s="825">
        <v>1</v>
      </c>
      <c r="AI178" s="825">
        <v>1</v>
      </c>
      <c r="AJ178" s="825">
        <v>1</v>
      </c>
      <c r="AK178" s="825">
        <v>2</v>
      </c>
      <c r="AL178" s="825">
        <v>2</v>
      </c>
      <c r="AM178" s="825">
        <v>2</v>
      </c>
      <c r="AN178" s="825">
        <v>1</v>
      </c>
      <c r="AO178" s="825">
        <v>1</v>
      </c>
      <c r="AP178" s="825">
        <v>1</v>
      </c>
      <c r="AQ178" s="51"/>
      <c r="AR178" s="51"/>
      <c r="AS178" s="51"/>
      <c r="AT178" s="51"/>
      <c r="AU178" s="51"/>
      <c r="AV178" s="51"/>
      <c r="AW178" s="51"/>
      <c r="AX178" s="51"/>
      <c r="AY178" s="51"/>
      <c r="AZ178" s="51"/>
      <c r="BA178" s="51"/>
      <c r="BB178" s="51"/>
      <c r="BC178" s="51"/>
      <c r="BD178" s="51"/>
      <c r="BE178" s="51"/>
      <c r="BF178" s="51"/>
      <c r="BG178" s="51"/>
      <c r="BH178" s="51"/>
      <c r="BI178" s="51"/>
      <c r="BJ178" s="51"/>
      <c r="BK178" s="51"/>
      <c r="BL178" s="51"/>
      <c r="BM178" s="51"/>
      <c r="BN178" s="51"/>
      <c r="BO178" s="51"/>
      <c r="BP178" s="51"/>
      <c r="BQ178" s="51"/>
      <c r="BR178" s="51"/>
      <c r="BS178" s="51"/>
      <c r="BT178" s="51"/>
      <c r="BU178" s="51"/>
      <c r="BV178" s="51"/>
      <c r="BW178" s="51"/>
      <c r="BX178" s="51"/>
      <c r="BY178" s="51"/>
      <c r="BZ178" s="51"/>
      <c r="CA178" s="51"/>
      <c r="CB178" s="51"/>
      <c r="CC178" s="51"/>
      <c r="CD178" s="51"/>
      <c r="CE178" s="51"/>
      <c r="CF178" s="51"/>
      <c r="CG178" s="51"/>
      <c r="CH178" s="51"/>
      <c r="CI178" s="51"/>
      <c r="CJ178" s="51"/>
      <c r="CK178" s="51"/>
      <c r="CL178" s="51"/>
      <c r="CM178" s="51"/>
      <c r="CN178" s="51"/>
      <c r="CO178" s="51"/>
      <c r="CP178" s="51"/>
      <c r="CQ178" s="51"/>
      <c r="CR178" s="51"/>
      <c r="CS178" s="51"/>
      <c r="CT178" s="51"/>
      <c r="CU178" s="51"/>
      <c r="CV178" s="51"/>
      <c r="CW178" s="51"/>
      <c r="CX178" s="51"/>
      <c r="CY178" s="51"/>
      <c r="CZ178" s="51"/>
      <c r="DA178" s="51"/>
      <c r="DB178" s="51"/>
      <c r="DC178" s="51"/>
      <c r="DD178" s="51"/>
      <c r="DE178" s="51"/>
      <c r="DF178" s="51"/>
      <c r="DG178" s="51"/>
      <c r="DH178" s="51"/>
      <c r="DI178" s="51"/>
      <c r="DJ178" s="51"/>
      <c r="DK178" s="51"/>
      <c r="DL178" s="51"/>
      <c r="DM178" s="51"/>
      <c r="DN178" s="51"/>
      <c r="DO178" s="51"/>
      <c r="DP178" s="51"/>
      <c r="DQ178" s="51"/>
      <c r="DR178" s="51"/>
      <c r="DS178" s="51"/>
      <c r="DT178" s="51"/>
      <c r="DU178" s="51"/>
      <c r="DV178" s="51"/>
      <c r="DW178" s="51"/>
      <c r="DX178" s="51"/>
      <c r="DY178" s="51"/>
      <c r="DZ178" s="51"/>
      <c r="EA178" s="51"/>
      <c r="EB178" s="51"/>
      <c r="EC178" s="51"/>
      <c r="ED178" s="51"/>
      <c r="EE178" s="51"/>
      <c r="EF178" s="51"/>
      <c r="EG178" s="51"/>
      <c r="EH178" s="51"/>
      <c r="EI178" s="51"/>
      <c r="EJ178" s="51"/>
      <c r="EK178" s="51"/>
      <c r="EL178" s="51"/>
      <c r="EM178" s="51"/>
      <c r="EN178" s="51"/>
      <c r="EO178" s="51"/>
      <c r="EP178" s="51"/>
      <c r="EQ178" s="51"/>
      <c r="ER178" s="51"/>
      <c r="ES178" s="51"/>
      <c r="ET178" s="51"/>
      <c r="EU178" s="51"/>
      <c r="EV178" s="51"/>
      <c r="EW178" s="51"/>
      <c r="EX178" s="51"/>
      <c r="EY178" s="51"/>
      <c r="EZ178" s="51"/>
      <c r="FA178" s="51"/>
      <c r="FB178" s="51"/>
      <c r="FC178" s="51"/>
      <c r="FD178" s="51"/>
      <c r="FE178" s="51"/>
      <c r="FF178" s="51"/>
      <c r="FG178" s="51"/>
      <c r="FH178" s="51"/>
      <c r="FI178" s="51"/>
      <c r="FJ178" s="51"/>
      <c r="FK178" s="51"/>
      <c r="FL178" s="51"/>
      <c r="FM178" s="51"/>
      <c r="FN178" s="51"/>
      <c r="FO178" s="51"/>
      <c r="FP178" s="51"/>
      <c r="FQ178" s="51"/>
      <c r="FR178" s="51"/>
      <c r="FS178" s="51"/>
      <c r="FT178" s="51"/>
      <c r="FU178" s="51"/>
      <c r="FV178" s="51"/>
      <c r="FW178" s="51"/>
      <c r="FX178" s="51"/>
      <c r="FY178" s="51"/>
      <c r="FZ178" s="51"/>
      <c r="GA178" s="51"/>
      <c r="GB178" s="51"/>
      <c r="GC178" s="51"/>
      <c r="GD178" s="51"/>
      <c r="GE178" s="51"/>
      <c r="GF178" s="51"/>
      <c r="GG178" s="51"/>
      <c r="GH178" s="51"/>
      <c r="GI178" s="51"/>
      <c r="GJ178" s="51"/>
      <c r="GK178" s="51"/>
      <c r="GL178" s="51"/>
      <c r="GM178" s="51"/>
      <c r="GN178" s="51"/>
      <c r="GO178" s="51"/>
      <c r="GP178" s="51"/>
      <c r="GQ178" s="51"/>
      <c r="GR178" s="51"/>
      <c r="GS178" s="51"/>
      <c r="GT178" s="51"/>
      <c r="GU178" s="51"/>
      <c r="GV178" s="51"/>
      <c r="GW178" s="51"/>
      <c r="GX178" s="51"/>
      <c r="GY178" s="51"/>
      <c r="GZ178" s="51"/>
      <c r="HA178" s="51"/>
      <c r="HB178" s="51"/>
      <c r="HC178" s="51"/>
      <c r="HD178" s="51"/>
      <c r="HE178" s="51"/>
      <c r="HF178" s="51"/>
      <c r="HG178" s="51"/>
      <c r="HH178" s="51"/>
      <c r="HI178" s="51"/>
      <c r="HJ178" s="51"/>
      <c r="HK178" s="51"/>
      <c r="HL178" s="51"/>
      <c r="HM178" s="51"/>
      <c r="HN178" s="51"/>
      <c r="HO178" s="51"/>
      <c r="HP178" s="51"/>
      <c r="HQ178" s="51"/>
      <c r="HR178" s="51"/>
      <c r="HS178" s="51"/>
      <c r="HT178" s="51"/>
      <c r="HU178" s="51"/>
      <c r="HV178" s="51"/>
      <c r="HW178" s="51"/>
      <c r="HX178" s="51"/>
      <c r="HY178" s="51"/>
      <c r="HZ178" s="51"/>
      <c r="IA178" s="51"/>
      <c r="IB178" s="51"/>
      <c r="IC178" s="51"/>
      <c r="ID178" s="51"/>
      <c r="IE178" s="51"/>
      <c r="IF178" s="51"/>
      <c r="IG178" s="51"/>
      <c r="IH178" s="51"/>
      <c r="II178" s="51"/>
      <c r="IJ178" s="51"/>
      <c r="IK178" s="51"/>
      <c r="IL178" s="51"/>
      <c r="IM178" s="51"/>
      <c r="IN178" s="51"/>
      <c r="IO178" s="51"/>
      <c r="IP178" s="51"/>
      <c r="IQ178" s="51"/>
      <c r="IR178" s="51"/>
      <c r="IS178" s="51"/>
      <c r="IT178" s="51"/>
      <c r="IU178" s="51"/>
      <c r="IV178" s="51"/>
    </row>
    <row r="179" hidden="1">
      <c r="B179" s="826" t="s">
        <v>19</v>
      </c>
      <c r="C179" s="827">
        <v>3</v>
      </c>
      <c r="D179" s="827">
        <v>2</v>
      </c>
      <c r="E179" s="827">
        <v>2</v>
      </c>
      <c r="F179" s="827">
        <v>2</v>
      </c>
      <c r="G179" s="827">
        <v>2</v>
      </c>
      <c r="H179" s="827">
        <v>2</v>
      </c>
      <c r="I179" s="827">
        <v>2</v>
      </c>
      <c r="J179" s="827">
        <v>2</v>
      </c>
      <c r="K179" s="827">
        <v>2</v>
      </c>
      <c r="L179" s="827">
        <v>2</v>
      </c>
      <c r="M179" s="827">
        <v>2</v>
      </c>
      <c r="N179" s="827">
        <v>2</v>
      </c>
      <c r="O179" s="827">
        <v>2</v>
      </c>
      <c r="P179" s="827">
        <v>2</v>
      </c>
      <c r="Q179" s="827">
        <v>2</v>
      </c>
      <c r="R179" s="827">
        <v>2</v>
      </c>
      <c r="S179" s="827">
        <v>1</v>
      </c>
      <c r="T179" s="827">
        <v>1</v>
      </c>
      <c r="U179" s="827">
        <v>1</v>
      </c>
      <c r="V179" s="827">
        <v>1</v>
      </c>
      <c r="W179" s="827">
        <v>1</v>
      </c>
      <c r="X179" s="827">
        <v>1</v>
      </c>
      <c r="Y179" s="827">
        <v>1</v>
      </c>
      <c r="Z179" s="827">
        <v>1</v>
      </c>
      <c r="AA179" s="827">
        <v>1</v>
      </c>
      <c r="AB179" s="827">
        <v>1</v>
      </c>
      <c r="AC179" s="828">
        <v>1</v>
      </c>
      <c r="AD179" s="828">
        <v>1</v>
      </c>
      <c r="AE179" s="828">
        <v>1</v>
      </c>
      <c r="AF179" s="828">
        <v>1</v>
      </c>
      <c r="AG179" s="828">
        <v>1</v>
      </c>
      <c r="AH179" s="828">
        <v>1</v>
      </c>
      <c r="AI179" s="828">
        <v>1</v>
      </c>
      <c r="AJ179" s="828">
        <v>0</v>
      </c>
      <c r="AK179" s="828">
        <v>0</v>
      </c>
      <c r="AL179" s="828">
        <v>0</v>
      </c>
      <c r="AM179" s="828">
        <v>0</v>
      </c>
      <c r="AN179" s="828">
        <v>0</v>
      </c>
      <c r="AO179" s="828">
        <v>0</v>
      </c>
      <c r="AP179" s="828">
        <v>0</v>
      </c>
      <c r="AQ179" s="51"/>
      <c r="AR179" s="51"/>
      <c r="AS179" s="51"/>
      <c r="AT179" s="51"/>
      <c r="AU179" s="51"/>
      <c r="AV179" s="51"/>
      <c r="AW179" s="51"/>
      <c r="AX179" s="51"/>
      <c r="AY179" s="51"/>
      <c r="AZ179" s="51"/>
      <c r="BA179" s="51"/>
      <c r="BB179" s="51"/>
      <c r="BC179" s="51"/>
      <c r="BD179" s="51"/>
      <c r="BE179" s="51"/>
      <c r="BF179" s="51"/>
      <c r="BG179" s="51"/>
      <c r="BH179" s="51"/>
      <c r="BI179" s="51"/>
      <c r="BJ179" s="51"/>
      <c r="BK179" s="51"/>
      <c r="BL179" s="51"/>
      <c r="BM179" s="51"/>
      <c r="BN179" s="51"/>
      <c r="BO179" s="51"/>
      <c r="BP179" s="51"/>
      <c r="BQ179" s="51"/>
      <c r="BR179" s="51"/>
      <c r="BS179" s="51"/>
      <c r="BT179" s="51"/>
      <c r="BU179" s="51"/>
      <c r="BV179" s="51"/>
      <c r="BW179" s="51"/>
      <c r="BX179" s="51"/>
      <c r="BY179" s="51"/>
      <c r="BZ179" s="51"/>
      <c r="CA179" s="51"/>
      <c r="CB179" s="51"/>
      <c r="CC179" s="51"/>
      <c r="CD179" s="51"/>
      <c r="CE179" s="51"/>
      <c r="CF179" s="51"/>
      <c r="CG179" s="51"/>
      <c r="CH179" s="51"/>
      <c r="CI179" s="51"/>
      <c r="CJ179" s="51"/>
      <c r="CK179" s="51"/>
      <c r="CL179" s="51"/>
      <c r="CM179" s="51"/>
      <c r="CN179" s="51"/>
      <c r="CO179" s="51"/>
      <c r="CP179" s="51"/>
      <c r="CQ179" s="51"/>
      <c r="CR179" s="51"/>
      <c r="CS179" s="51"/>
      <c r="CT179" s="51"/>
      <c r="CU179" s="51"/>
      <c r="CV179" s="51"/>
      <c r="CW179" s="51"/>
      <c r="CX179" s="51"/>
      <c r="CY179" s="51"/>
      <c r="CZ179" s="51"/>
      <c r="DA179" s="51"/>
      <c r="DB179" s="51"/>
      <c r="DC179" s="51"/>
      <c r="DD179" s="51"/>
      <c r="DE179" s="51"/>
      <c r="DF179" s="51"/>
      <c r="DG179" s="51"/>
      <c r="DH179" s="51"/>
      <c r="DI179" s="51"/>
      <c r="DJ179" s="51"/>
      <c r="DK179" s="51"/>
      <c r="DL179" s="51"/>
      <c r="DM179" s="51"/>
      <c r="DN179" s="51"/>
      <c r="DO179" s="51"/>
      <c r="DP179" s="51"/>
      <c r="DQ179" s="51"/>
      <c r="DR179" s="51"/>
      <c r="DS179" s="51"/>
      <c r="DT179" s="51"/>
      <c r="DU179" s="51"/>
      <c r="DV179" s="51"/>
      <c r="DW179" s="51"/>
      <c r="DX179" s="51"/>
      <c r="DY179" s="51"/>
      <c r="DZ179" s="51"/>
      <c r="EA179" s="51"/>
      <c r="EB179" s="51"/>
      <c r="EC179" s="51"/>
      <c r="ED179" s="51"/>
      <c r="EE179" s="51"/>
      <c r="EF179" s="51"/>
      <c r="EG179" s="51"/>
      <c r="EH179" s="51"/>
      <c r="EI179" s="51"/>
      <c r="EJ179" s="51"/>
      <c r="EK179" s="51"/>
      <c r="EL179" s="51"/>
      <c r="EM179" s="51"/>
      <c r="EN179" s="51"/>
      <c r="EO179" s="51"/>
      <c r="EP179" s="51"/>
      <c r="EQ179" s="51"/>
      <c r="ER179" s="51"/>
      <c r="ES179" s="51"/>
      <c r="ET179" s="51"/>
      <c r="EU179" s="51"/>
      <c r="EV179" s="51"/>
      <c r="EW179" s="51"/>
      <c r="EX179" s="51"/>
      <c r="EY179" s="51"/>
      <c r="EZ179" s="51"/>
      <c r="FA179" s="51"/>
      <c r="FB179" s="51"/>
      <c r="FC179" s="51"/>
      <c r="FD179" s="51"/>
      <c r="FE179" s="51"/>
      <c r="FF179" s="51"/>
      <c r="FG179" s="51"/>
      <c r="FH179" s="51"/>
      <c r="FI179" s="51"/>
      <c r="FJ179" s="51"/>
      <c r="FK179" s="51"/>
      <c r="FL179" s="51"/>
      <c r="FM179" s="51"/>
      <c r="FN179" s="51"/>
      <c r="FO179" s="51"/>
      <c r="FP179" s="51"/>
      <c r="FQ179" s="51"/>
      <c r="FR179" s="51"/>
      <c r="FS179" s="51"/>
      <c r="FT179" s="51"/>
      <c r="FU179" s="51"/>
      <c r="FV179" s="51"/>
      <c r="FW179" s="51"/>
      <c r="FX179" s="51"/>
      <c r="FY179" s="51"/>
      <c r="FZ179" s="51"/>
      <c r="GA179" s="51"/>
      <c r="GB179" s="51"/>
      <c r="GC179" s="51"/>
      <c r="GD179" s="51"/>
      <c r="GE179" s="51"/>
      <c r="GF179" s="51"/>
      <c r="GG179" s="51"/>
      <c r="GH179" s="51"/>
      <c r="GI179" s="51"/>
      <c r="GJ179" s="51"/>
      <c r="GK179" s="51"/>
      <c r="GL179" s="51"/>
      <c r="GM179" s="51"/>
      <c r="GN179" s="51"/>
      <c r="GO179" s="51"/>
      <c r="GP179" s="51"/>
      <c r="GQ179" s="51"/>
      <c r="GR179" s="51"/>
      <c r="GS179" s="51"/>
      <c r="GT179" s="51"/>
      <c r="GU179" s="51"/>
      <c r="GV179" s="51"/>
      <c r="GW179" s="51"/>
      <c r="GX179" s="51"/>
      <c r="GY179" s="51"/>
      <c r="GZ179" s="51"/>
      <c r="HA179" s="51"/>
      <c r="HB179" s="51"/>
      <c r="HC179" s="51"/>
      <c r="HD179" s="51"/>
      <c r="HE179" s="51"/>
      <c r="HF179" s="51"/>
      <c r="HG179" s="51"/>
      <c r="HH179" s="51"/>
      <c r="HI179" s="51"/>
      <c r="HJ179" s="51"/>
      <c r="HK179" s="51"/>
      <c r="HL179" s="51"/>
      <c r="HM179" s="51"/>
      <c r="HN179" s="51"/>
      <c r="HO179" s="51"/>
      <c r="HP179" s="51"/>
      <c r="HQ179" s="51"/>
      <c r="HR179" s="51"/>
      <c r="HS179" s="51"/>
      <c r="HT179" s="51"/>
      <c r="HU179" s="51"/>
      <c r="HV179" s="51"/>
      <c r="HW179" s="51"/>
      <c r="HX179" s="51"/>
      <c r="HY179" s="51"/>
      <c r="HZ179" s="51"/>
      <c r="IA179" s="51"/>
      <c r="IB179" s="51"/>
      <c r="IC179" s="51"/>
      <c r="ID179" s="51"/>
      <c r="IE179" s="51"/>
      <c r="IF179" s="51"/>
      <c r="IG179" s="51"/>
      <c r="IH179" s="51"/>
      <c r="II179" s="51"/>
      <c r="IJ179" s="51"/>
      <c r="IK179" s="51"/>
      <c r="IL179" s="51"/>
      <c r="IM179" s="51"/>
      <c r="IN179" s="51"/>
      <c r="IO179" s="51"/>
      <c r="IP179" s="51"/>
      <c r="IQ179" s="51"/>
      <c r="IR179" s="51"/>
      <c r="IS179" s="51"/>
      <c r="IT179" s="51"/>
      <c r="IU179" s="51"/>
      <c r="IV179" s="51"/>
    </row>
    <row r="180" hidden="1">
      <c r="B180" s="829" t="s">
        <v>20</v>
      </c>
      <c r="C180" s="823">
        <v>0</v>
      </c>
      <c r="D180" s="823">
        <v>0</v>
      </c>
      <c r="E180" s="823">
        <v>0</v>
      </c>
      <c r="F180" s="823">
        <v>0</v>
      </c>
      <c r="G180" s="823">
        <v>0</v>
      </c>
      <c r="H180" s="823">
        <v>0</v>
      </c>
      <c r="I180" s="823">
        <v>0</v>
      </c>
      <c r="J180" s="823">
        <v>0</v>
      </c>
      <c r="K180" s="823">
        <v>0</v>
      </c>
      <c r="L180" s="823">
        <v>0</v>
      </c>
      <c r="M180" s="823">
        <v>0</v>
      </c>
      <c r="N180" s="823">
        <v>0</v>
      </c>
      <c r="O180" s="823">
        <v>0</v>
      </c>
      <c r="P180" s="823">
        <v>0</v>
      </c>
      <c r="Q180" s="823">
        <v>0</v>
      </c>
      <c r="R180" s="823">
        <v>0</v>
      </c>
      <c r="S180" s="823">
        <v>0</v>
      </c>
      <c r="T180" s="823">
        <v>0</v>
      </c>
      <c r="U180" s="823">
        <v>0</v>
      </c>
      <c r="V180" s="823">
        <v>0</v>
      </c>
      <c r="W180" s="823">
        <v>0</v>
      </c>
      <c r="X180" s="823">
        <v>0</v>
      </c>
      <c r="Y180" s="823">
        <v>0</v>
      </c>
      <c r="Z180" s="823">
        <v>0</v>
      </c>
      <c r="AA180" s="823">
        <v>0</v>
      </c>
      <c r="AB180" s="823">
        <v>0</v>
      </c>
      <c r="AC180" s="825">
        <v>0</v>
      </c>
      <c r="AD180" s="825">
        <v>0</v>
      </c>
      <c r="AE180" s="825">
        <v>0</v>
      </c>
      <c r="AF180" s="825">
        <v>0</v>
      </c>
      <c r="AG180" s="825">
        <v>0</v>
      </c>
      <c r="AH180" s="825">
        <v>0</v>
      </c>
      <c r="AI180" s="825">
        <v>0</v>
      </c>
      <c r="AJ180" s="825">
        <v>0</v>
      </c>
      <c r="AK180" s="825">
        <v>0</v>
      </c>
      <c r="AL180" s="825">
        <v>0</v>
      </c>
      <c r="AM180" s="825">
        <v>0</v>
      </c>
      <c r="AN180" s="825">
        <v>0</v>
      </c>
      <c r="AO180" s="825">
        <v>0</v>
      </c>
      <c r="AP180" s="825">
        <v>0</v>
      </c>
      <c r="AQ180" s="51"/>
      <c r="AR180" s="51"/>
      <c r="AS180" s="51"/>
      <c r="AT180" s="51"/>
      <c r="AU180" s="51"/>
      <c r="AV180" s="51"/>
      <c r="AW180" s="51"/>
      <c r="AX180" s="51"/>
      <c r="AY180" s="51"/>
      <c r="AZ180" s="51"/>
      <c r="BA180" s="51"/>
      <c r="BB180" s="51"/>
      <c r="BC180" s="51"/>
      <c r="BD180" s="51"/>
      <c r="BE180" s="51"/>
      <c r="BF180" s="51"/>
      <c r="BG180" s="51"/>
      <c r="BH180" s="51"/>
      <c r="BI180" s="51"/>
      <c r="BJ180" s="51"/>
      <c r="BK180" s="51"/>
      <c r="BL180" s="51"/>
      <c r="BM180" s="51"/>
      <c r="BN180" s="51"/>
      <c r="BO180" s="51"/>
      <c r="BP180" s="51"/>
      <c r="BQ180" s="51"/>
      <c r="BR180" s="51"/>
      <c r="BS180" s="51"/>
      <c r="BT180" s="51"/>
      <c r="BU180" s="51"/>
      <c r="BV180" s="51"/>
      <c r="BW180" s="51"/>
      <c r="BX180" s="51"/>
      <c r="BY180" s="51"/>
      <c r="BZ180" s="51"/>
      <c r="CA180" s="51"/>
      <c r="CB180" s="51"/>
      <c r="CC180" s="51"/>
      <c r="CD180" s="51"/>
      <c r="CE180" s="51"/>
      <c r="CF180" s="51"/>
      <c r="CG180" s="51"/>
      <c r="CH180" s="51"/>
      <c r="CI180" s="51"/>
      <c r="CJ180" s="51"/>
      <c r="CK180" s="51"/>
      <c r="CL180" s="51"/>
      <c r="CM180" s="51"/>
      <c r="CN180" s="51"/>
      <c r="CO180" s="51"/>
      <c r="CP180" s="51"/>
      <c r="CQ180" s="51"/>
      <c r="CR180" s="51"/>
      <c r="CS180" s="51"/>
      <c r="CT180" s="51"/>
      <c r="CU180" s="51"/>
      <c r="CV180" s="51"/>
      <c r="CW180" s="51"/>
      <c r="CX180" s="51"/>
      <c r="CY180" s="51"/>
      <c r="CZ180" s="51"/>
      <c r="DA180" s="51"/>
      <c r="DB180" s="51"/>
      <c r="DC180" s="51"/>
      <c r="DD180" s="51"/>
      <c r="DE180" s="51"/>
      <c r="DF180" s="51"/>
      <c r="DG180" s="51"/>
      <c r="DH180" s="51"/>
      <c r="DI180" s="51"/>
      <c r="DJ180" s="51"/>
      <c r="DK180" s="51"/>
      <c r="DL180" s="51"/>
      <c r="DM180" s="51"/>
      <c r="DN180" s="51"/>
      <c r="DO180" s="51"/>
      <c r="DP180" s="51"/>
      <c r="DQ180" s="51"/>
      <c r="DR180" s="51"/>
      <c r="DS180" s="51"/>
      <c r="DT180" s="51"/>
      <c r="DU180" s="51"/>
      <c r="DV180" s="51"/>
      <c r="DW180" s="51"/>
      <c r="DX180" s="51"/>
      <c r="DY180" s="51"/>
      <c r="DZ180" s="51"/>
      <c r="EA180" s="51"/>
      <c r="EB180" s="51"/>
      <c r="EC180" s="51"/>
      <c r="ED180" s="51"/>
      <c r="EE180" s="51"/>
      <c r="EF180" s="51"/>
      <c r="EG180" s="51"/>
      <c r="EH180" s="51"/>
      <c r="EI180" s="51"/>
      <c r="EJ180" s="51"/>
      <c r="EK180" s="51"/>
      <c r="EL180" s="51"/>
      <c r="EM180" s="51"/>
      <c r="EN180" s="51"/>
      <c r="EO180" s="51"/>
      <c r="EP180" s="51"/>
      <c r="EQ180" s="51"/>
      <c r="ER180" s="51"/>
      <c r="ES180" s="51"/>
      <c r="ET180" s="51"/>
      <c r="EU180" s="51"/>
      <c r="EV180" s="51"/>
      <c r="EW180" s="51"/>
      <c r="EX180" s="51"/>
      <c r="EY180" s="51"/>
      <c r="EZ180" s="51"/>
      <c r="FA180" s="51"/>
      <c r="FB180" s="51"/>
      <c r="FC180" s="51"/>
      <c r="FD180" s="51"/>
      <c r="FE180" s="51"/>
      <c r="FF180" s="51"/>
      <c r="FG180" s="51"/>
      <c r="FH180" s="51"/>
      <c r="FI180" s="51"/>
      <c r="FJ180" s="51"/>
      <c r="FK180" s="51"/>
      <c r="FL180" s="51"/>
      <c r="FM180" s="51"/>
      <c r="FN180" s="51"/>
      <c r="FO180" s="51"/>
      <c r="FP180" s="51"/>
      <c r="FQ180" s="51"/>
      <c r="FR180" s="51"/>
      <c r="FS180" s="51"/>
      <c r="FT180" s="51"/>
      <c r="FU180" s="51"/>
      <c r="FV180" s="51"/>
      <c r="FW180" s="51"/>
      <c r="FX180" s="51"/>
      <c r="FY180" s="51"/>
      <c r="FZ180" s="51"/>
      <c r="GA180" s="51"/>
      <c r="GB180" s="51"/>
      <c r="GC180" s="51"/>
      <c r="GD180" s="51"/>
      <c r="GE180" s="51"/>
      <c r="GF180" s="51"/>
      <c r="GG180" s="51"/>
      <c r="GH180" s="51"/>
      <c r="GI180" s="51"/>
      <c r="GJ180" s="51"/>
      <c r="GK180" s="51"/>
      <c r="GL180" s="51"/>
      <c r="GM180" s="51"/>
      <c r="GN180" s="51"/>
      <c r="GO180" s="51"/>
      <c r="GP180" s="51"/>
      <c r="GQ180" s="51"/>
      <c r="GR180" s="51"/>
      <c r="GS180" s="51"/>
      <c r="GT180" s="51"/>
      <c r="GU180" s="51"/>
      <c r="GV180" s="51"/>
      <c r="GW180" s="51"/>
      <c r="GX180" s="51"/>
      <c r="GY180" s="51"/>
      <c r="GZ180" s="51"/>
      <c r="HA180" s="51"/>
      <c r="HB180" s="51"/>
      <c r="HC180" s="51"/>
      <c r="HD180" s="51"/>
      <c r="HE180" s="51"/>
      <c r="HF180" s="51"/>
      <c r="HG180" s="51"/>
      <c r="HH180" s="51"/>
      <c r="HI180" s="51"/>
      <c r="HJ180" s="51"/>
      <c r="HK180" s="51"/>
      <c r="HL180" s="51"/>
      <c r="HM180" s="51"/>
      <c r="HN180" s="51"/>
      <c r="HO180" s="51"/>
      <c r="HP180" s="51"/>
      <c r="HQ180" s="51"/>
      <c r="HR180" s="51"/>
      <c r="HS180" s="51"/>
      <c r="HT180" s="51"/>
      <c r="HU180" s="51"/>
      <c r="HV180" s="51"/>
      <c r="HW180" s="51"/>
      <c r="HX180" s="51"/>
      <c r="HY180" s="51"/>
      <c r="HZ180" s="51"/>
      <c r="IA180" s="51"/>
      <c r="IB180" s="51"/>
      <c r="IC180" s="51"/>
      <c r="ID180" s="51"/>
      <c r="IE180" s="51"/>
      <c r="IF180" s="51"/>
      <c r="IG180" s="51"/>
      <c r="IH180" s="51"/>
      <c r="II180" s="51"/>
      <c r="IJ180" s="51"/>
      <c r="IK180" s="51"/>
      <c r="IL180" s="51"/>
      <c r="IM180" s="51"/>
      <c r="IN180" s="51"/>
      <c r="IO180" s="51"/>
      <c r="IP180" s="51"/>
      <c r="IQ180" s="51"/>
      <c r="IR180" s="51"/>
      <c r="IS180" s="51"/>
      <c r="IT180" s="51"/>
      <c r="IU180" s="51"/>
      <c r="IV180" s="51"/>
    </row>
    <row r="181" hidden="1">
      <c r="B181" s="826" t="s">
        <v>21</v>
      </c>
      <c r="C181" s="827">
        <v>0</v>
      </c>
      <c r="D181" s="827">
        <v>5</v>
      </c>
      <c r="E181" s="827">
        <v>11</v>
      </c>
      <c r="F181" s="827">
        <v>11</v>
      </c>
      <c r="G181" s="827">
        <v>13</v>
      </c>
      <c r="H181" s="827">
        <v>14</v>
      </c>
      <c r="I181" s="827">
        <v>13</v>
      </c>
      <c r="J181" s="827">
        <v>14</v>
      </c>
      <c r="K181" s="827">
        <v>21</v>
      </c>
      <c r="L181" s="827">
        <v>21</v>
      </c>
      <c r="M181" s="827">
        <v>19</v>
      </c>
      <c r="N181" s="827">
        <v>25</v>
      </c>
      <c r="O181" s="827">
        <v>26</v>
      </c>
      <c r="P181" s="827">
        <v>19</v>
      </c>
      <c r="Q181" s="827">
        <v>20</v>
      </c>
      <c r="R181" s="827">
        <v>21</v>
      </c>
      <c r="S181" s="827">
        <v>23</v>
      </c>
      <c r="T181" s="827">
        <v>24</v>
      </c>
      <c r="U181" s="827">
        <v>25</v>
      </c>
      <c r="V181" s="827">
        <v>26</v>
      </c>
      <c r="W181" s="827">
        <v>25</v>
      </c>
      <c r="X181" s="827">
        <v>25</v>
      </c>
      <c r="Y181" s="827">
        <v>25</v>
      </c>
      <c r="Z181" s="827">
        <v>27</v>
      </c>
      <c r="AA181" s="827">
        <v>26</v>
      </c>
      <c r="AB181" s="827">
        <v>27</v>
      </c>
      <c r="AC181" s="828">
        <v>24</v>
      </c>
      <c r="AD181" s="828">
        <v>23</v>
      </c>
      <c r="AE181" s="828">
        <v>23</v>
      </c>
      <c r="AF181" s="828">
        <v>23</v>
      </c>
      <c r="AG181" s="828">
        <v>23</v>
      </c>
      <c r="AH181" s="828">
        <v>22</v>
      </c>
      <c r="AI181" s="828">
        <v>24</v>
      </c>
      <c r="AJ181" s="828">
        <v>24</v>
      </c>
      <c r="AK181" s="828">
        <v>24</v>
      </c>
      <c r="AL181" s="828">
        <v>25</v>
      </c>
      <c r="AM181" s="828">
        <v>21</v>
      </c>
      <c r="AN181" s="828">
        <v>21</v>
      </c>
      <c r="AO181" s="828">
        <v>22</v>
      </c>
      <c r="AP181" s="828">
        <v>21</v>
      </c>
      <c r="AQ181" s="51"/>
      <c r="AR181" s="51"/>
      <c r="AS181" s="51"/>
      <c r="AT181" s="51"/>
      <c r="AU181" s="51"/>
      <c r="AV181" s="51"/>
      <c r="AW181" s="51"/>
      <c r="AX181" s="51"/>
      <c r="AY181" s="51"/>
      <c r="AZ181" s="51"/>
      <c r="BA181" s="51"/>
      <c r="BB181" s="51"/>
      <c r="BC181" s="51"/>
      <c r="BD181" s="51"/>
      <c r="BE181" s="51"/>
      <c r="BF181" s="51"/>
      <c r="BG181" s="51"/>
      <c r="BH181" s="51"/>
      <c r="BI181" s="51"/>
      <c r="BJ181" s="51"/>
      <c r="BK181" s="51"/>
      <c r="BL181" s="51"/>
      <c r="BM181" s="51"/>
      <c r="BN181" s="51"/>
      <c r="BO181" s="51"/>
      <c r="BP181" s="51"/>
      <c r="BQ181" s="51"/>
      <c r="BR181" s="51"/>
      <c r="BS181" s="51"/>
      <c r="BT181" s="51"/>
      <c r="BU181" s="51"/>
      <c r="BV181" s="51"/>
      <c r="BW181" s="51"/>
      <c r="BX181" s="51"/>
      <c r="BY181" s="51"/>
      <c r="BZ181" s="51"/>
      <c r="CA181" s="51"/>
      <c r="CB181" s="51"/>
      <c r="CC181" s="51"/>
      <c r="CD181" s="51"/>
      <c r="CE181" s="51"/>
      <c r="CF181" s="51"/>
      <c r="CG181" s="51"/>
      <c r="CH181" s="51"/>
      <c r="CI181" s="51"/>
      <c r="CJ181" s="51"/>
      <c r="CK181" s="51"/>
      <c r="CL181" s="51"/>
      <c r="CM181" s="51"/>
      <c r="CN181" s="51"/>
      <c r="CO181" s="51"/>
      <c r="CP181" s="51"/>
      <c r="CQ181" s="51"/>
      <c r="CR181" s="51"/>
      <c r="CS181" s="51"/>
      <c r="CT181" s="51"/>
      <c r="CU181" s="51"/>
      <c r="CV181" s="51"/>
      <c r="CW181" s="51"/>
      <c r="CX181" s="51"/>
      <c r="CY181" s="51"/>
      <c r="CZ181" s="51"/>
      <c r="DA181" s="51"/>
      <c r="DB181" s="51"/>
      <c r="DC181" s="51"/>
      <c r="DD181" s="51"/>
      <c r="DE181" s="51"/>
      <c r="DF181" s="51"/>
      <c r="DG181" s="51"/>
      <c r="DH181" s="51"/>
      <c r="DI181" s="51"/>
      <c r="DJ181" s="51"/>
      <c r="DK181" s="51"/>
      <c r="DL181" s="51"/>
      <c r="DM181" s="51"/>
      <c r="DN181" s="51"/>
      <c r="DO181" s="51"/>
      <c r="DP181" s="51"/>
      <c r="DQ181" s="51"/>
      <c r="DR181" s="51"/>
      <c r="DS181" s="51"/>
      <c r="DT181" s="51"/>
      <c r="DU181" s="51"/>
      <c r="DV181" s="51"/>
      <c r="DW181" s="51"/>
      <c r="DX181" s="51"/>
      <c r="DY181" s="51"/>
      <c r="DZ181" s="51"/>
      <c r="EA181" s="51"/>
      <c r="EB181" s="51"/>
      <c r="EC181" s="51"/>
      <c r="ED181" s="51"/>
      <c r="EE181" s="51"/>
      <c r="EF181" s="51"/>
      <c r="EG181" s="51"/>
      <c r="EH181" s="51"/>
      <c r="EI181" s="51"/>
      <c r="EJ181" s="51"/>
      <c r="EK181" s="51"/>
      <c r="EL181" s="51"/>
      <c r="EM181" s="51"/>
      <c r="EN181" s="51"/>
      <c r="EO181" s="51"/>
      <c r="EP181" s="51"/>
      <c r="EQ181" s="51"/>
      <c r="ER181" s="51"/>
      <c r="ES181" s="51"/>
      <c r="ET181" s="51"/>
      <c r="EU181" s="51"/>
      <c r="EV181" s="51"/>
      <c r="EW181" s="51"/>
      <c r="EX181" s="51"/>
      <c r="EY181" s="51"/>
      <c r="EZ181" s="51"/>
      <c r="FA181" s="51"/>
      <c r="FB181" s="51"/>
      <c r="FC181" s="51"/>
      <c r="FD181" s="51"/>
      <c r="FE181" s="51"/>
      <c r="FF181" s="51"/>
      <c r="FG181" s="51"/>
      <c r="FH181" s="51"/>
      <c r="FI181" s="51"/>
      <c r="FJ181" s="51"/>
      <c r="FK181" s="51"/>
      <c r="FL181" s="51"/>
      <c r="FM181" s="51"/>
      <c r="FN181" s="51"/>
      <c r="FO181" s="51"/>
      <c r="FP181" s="51"/>
      <c r="FQ181" s="51"/>
      <c r="FR181" s="51"/>
      <c r="FS181" s="51"/>
      <c r="FT181" s="51"/>
      <c r="FU181" s="51"/>
      <c r="FV181" s="51"/>
      <c r="FW181" s="51"/>
      <c r="FX181" s="51"/>
      <c r="FY181" s="51"/>
      <c r="FZ181" s="51"/>
      <c r="GA181" s="51"/>
      <c r="GB181" s="51"/>
      <c r="GC181" s="51"/>
      <c r="GD181" s="51"/>
      <c r="GE181" s="51"/>
      <c r="GF181" s="51"/>
      <c r="GG181" s="51"/>
      <c r="GH181" s="51"/>
      <c r="GI181" s="51"/>
      <c r="GJ181" s="51"/>
      <c r="GK181" s="51"/>
      <c r="GL181" s="51"/>
      <c r="GM181" s="51"/>
      <c r="GN181" s="51"/>
      <c r="GO181" s="51"/>
      <c r="GP181" s="51"/>
      <c r="GQ181" s="51"/>
      <c r="GR181" s="51"/>
      <c r="GS181" s="51"/>
      <c r="GT181" s="51"/>
      <c r="GU181" s="51"/>
      <c r="GV181" s="51"/>
      <c r="GW181" s="51"/>
      <c r="GX181" s="51"/>
      <c r="GY181" s="51"/>
      <c r="GZ181" s="51"/>
      <c r="HA181" s="51"/>
      <c r="HB181" s="51"/>
      <c r="HC181" s="51"/>
      <c r="HD181" s="51"/>
      <c r="HE181" s="51"/>
      <c r="HF181" s="51"/>
      <c r="HG181" s="51"/>
      <c r="HH181" s="51"/>
      <c r="HI181" s="51"/>
      <c r="HJ181" s="51"/>
      <c r="HK181" s="51"/>
      <c r="HL181" s="51"/>
      <c r="HM181" s="51"/>
      <c r="HN181" s="51"/>
      <c r="HO181" s="51"/>
      <c r="HP181" s="51"/>
      <c r="HQ181" s="51"/>
      <c r="HR181" s="51"/>
      <c r="HS181" s="51"/>
      <c r="HT181" s="51"/>
      <c r="HU181" s="51"/>
      <c r="HV181" s="51"/>
      <c r="HW181" s="51"/>
      <c r="HX181" s="51"/>
      <c r="HY181" s="51"/>
      <c r="HZ181" s="51"/>
      <c r="IA181" s="51"/>
      <c r="IB181" s="51"/>
      <c r="IC181" s="51"/>
      <c r="ID181" s="51"/>
      <c r="IE181" s="51"/>
      <c r="IF181" s="51"/>
      <c r="IG181" s="51"/>
      <c r="IH181" s="51"/>
      <c r="II181" s="51"/>
      <c r="IJ181" s="51"/>
      <c r="IK181" s="51"/>
      <c r="IL181" s="51"/>
      <c r="IM181" s="51"/>
      <c r="IN181" s="51"/>
      <c r="IO181" s="51"/>
      <c r="IP181" s="51"/>
      <c r="IQ181" s="51"/>
      <c r="IR181" s="51"/>
      <c r="IS181" s="51"/>
      <c r="IT181" s="51"/>
      <c r="IU181" s="51"/>
      <c r="IV181" s="51"/>
    </row>
    <row r="182" hidden="1">
      <c r="B182" s="829" t="s">
        <v>22</v>
      </c>
      <c r="C182" s="823">
        <v>0</v>
      </c>
      <c r="D182" s="823">
        <v>0</v>
      </c>
      <c r="E182" s="823">
        <v>0</v>
      </c>
      <c r="F182" s="823">
        <v>4</v>
      </c>
      <c r="G182" s="823">
        <v>4</v>
      </c>
      <c r="H182" s="823">
        <v>5</v>
      </c>
      <c r="I182" s="823">
        <v>6</v>
      </c>
      <c r="J182" s="823">
        <v>7</v>
      </c>
      <c r="K182" s="823">
        <v>9</v>
      </c>
      <c r="L182" s="823">
        <v>14</v>
      </c>
      <c r="M182" s="823">
        <v>4</v>
      </c>
      <c r="N182" s="823">
        <v>10</v>
      </c>
      <c r="O182" s="823">
        <v>23</v>
      </c>
      <c r="P182" s="823">
        <v>26</v>
      </c>
      <c r="Q182" s="823">
        <v>28</v>
      </c>
      <c r="R182" s="823">
        <v>29</v>
      </c>
      <c r="S182" s="823">
        <v>27</v>
      </c>
      <c r="T182" s="823">
        <v>28</v>
      </c>
      <c r="U182" s="823">
        <v>25</v>
      </c>
      <c r="V182" s="823">
        <v>16</v>
      </c>
      <c r="W182" s="823">
        <v>15</v>
      </c>
      <c r="X182" s="823">
        <v>11</v>
      </c>
      <c r="Y182" s="823">
        <v>11</v>
      </c>
      <c r="Z182" s="823">
        <v>17</v>
      </c>
      <c r="AA182" s="823">
        <v>17</v>
      </c>
      <c r="AB182" s="823">
        <v>22</v>
      </c>
      <c r="AC182" s="825">
        <v>28</v>
      </c>
      <c r="AD182" s="825">
        <v>28</v>
      </c>
      <c r="AE182" s="825">
        <v>29</v>
      </c>
      <c r="AF182" s="825">
        <v>30</v>
      </c>
      <c r="AG182" s="825">
        <v>31</v>
      </c>
      <c r="AH182" s="825">
        <v>32</v>
      </c>
      <c r="AI182" s="825">
        <v>33</v>
      </c>
      <c r="AJ182" s="825">
        <v>33</v>
      </c>
      <c r="AK182" s="825">
        <v>23</v>
      </c>
      <c r="AL182" s="825">
        <v>23</v>
      </c>
      <c r="AM182" s="825">
        <v>24</v>
      </c>
      <c r="AN182" s="825">
        <v>24</v>
      </c>
      <c r="AO182" s="825">
        <v>22</v>
      </c>
      <c r="AP182" s="825">
        <v>22</v>
      </c>
      <c r="AQ182" s="51"/>
      <c r="AR182" s="51"/>
      <c r="AS182" s="51"/>
      <c r="AT182" s="51"/>
      <c r="AU182" s="51"/>
      <c r="AV182" s="51"/>
      <c r="AW182" s="51"/>
      <c r="AX182" s="51"/>
      <c r="AY182" s="51"/>
      <c r="AZ182" s="51"/>
      <c r="BA182" s="51"/>
      <c r="BB182" s="51"/>
      <c r="BC182" s="51"/>
      <c r="BD182" s="51"/>
      <c r="BE182" s="51"/>
      <c r="BF182" s="51"/>
      <c r="BG182" s="51"/>
      <c r="BH182" s="51"/>
      <c r="BI182" s="51"/>
      <c r="BJ182" s="51"/>
      <c r="BK182" s="51"/>
      <c r="BL182" s="51"/>
      <c r="BM182" s="51"/>
      <c r="BN182" s="51"/>
      <c r="BO182" s="51"/>
      <c r="BP182" s="51"/>
      <c r="BQ182" s="51"/>
      <c r="BR182" s="51"/>
      <c r="BS182" s="51"/>
      <c r="BT182" s="51"/>
      <c r="BU182" s="51"/>
      <c r="BV182" s="51"/>
      <c r="BW182" s="51"/>
      <c r="BX182" s="51"/>
      <c r="BY182" s="51"/>
      <c r="BZ182" s="51"/>
      <c r="CA182" s="51"/>
      <c r="CB182" s="51"/>
      <c r="CC182" s="51"/>
      <c r="CD182" s="51"/>
      <c r="CE182" s="51"/>
      <c r="CF182" s="51"/>
      <c r="CG182" s="51"/>
      <c r="CH182" s="51"/>
      <c r="CI182" s="51"/>
      <c r="CJ182" s="51"/>
      <c r="CK182" s="51"/>
      <c r="CL182" s="51"/>
      <c r="CM182" s="51"/>
      <c r="CN182" s="51"/>
      <c r="CO182" s="51"/>
      <c r="CP182" s="51"/>
      <c r="CQ182" s="51"/>
      <c r="CR182" s="51"/>
      <c r="CS182" s="51"/>
      <c r="CT182" s="51"/>
      <c r="CU182" s="51"/>
      <c r="CV182" s="51"/>
      <c r="CW182" s="51"/>
      <c r="CX182" s="51"/>
      <c r="CY182" s="51"/>
      <c r="CZ182" s="51"/>
      <c r="DA182" s="51"/>
      <c r="DB182" s="51"/>
      <c r="DC182" s="51"/>
      <c r="DD182" s="51"/>
      <c r="DE182" s="51"/>
      <c r="DF182" s="51"/>
      <c r="DG182" s="51"/>
      <c r="DH182" s="51"/>
      <c r="DI182" s="51"/>
      <c r="DJ182" s="51"/>
      <c r="DK182" s="51"/>
      <c r="DL182" s="51"/>
      <c r="DM182" s="51"/>
      <c r="DN182" s="51"/>
      <c r="DO182" s="51"/>
      <c r="DP182" s="51"/>
      <c r="DQ182" s="51"/>
      <c r="DR182" s="51"/>
      <c r="DS182" s="51"/>
      <c r="DT182" s="51"/>
      <c r="DU182" s="51"/>
      <c r="DV182" s="51"/>
      <c r="DW182" s="51"/>
      <c r="DX182" s="51"/>
      <c r="DY182" s="51"/>
      <c r="DZ182" s="51"/>
      <c r="EA182" s="51"/>
      <c r="EB182" s="51"/>
      <c r="EC182" s="51"/>
      <c r="ED182" s="51"/>
      <c r="EE182" s="51"/>
      <c r="EF182" s="51"/>
      <c r="EG182" s="51"/>
      <c r="EH182" s="51"/>
      <c r="EI182" s="51"/>
      <c r="EJ182" s="51"/>
      <c r="EK182" s="51"/>
      <c r="EL182" s="51"/>
      <c r="EM182" s="51"/>
      <c r="EN182" s="51"/>
      <c r="EO182" s="51"/>
      <c r="EP182" s="51"/>
      <c r="EQ182" s="51"/>
      <c r="ER182" s="51"/>
      <c r="ES182" s="51"/>
      <c r="ET182" s="51"/>
      <c r="EU182" s="51"/>
      <c r="EV182" s="51"/>
      <c r="EW182" s="51"/>
      <c r="EX182" s="51"/>
      <c r="EY182" s="51"/>
      <c r="EZ182" s="51"/>
      <c r="FA182" s="51"/>
      <c r="FB182" s="51"/>
      <c r="FC182" s="51"/>
      <c r="FD182" s="51"/>
      <c r="FE182" s="51"/>
      <c r="FF182" s="51"/>
      <c r="FG182" s="51"/>
      <c r="FH182" s="51"/>
      <c r="FI182" s="51"/>
      <c r="FJ182" s="51"/>
      <c r="FK182" s="51"/>
      <c r="FL182" s="51"/>
      <c r="FM182" s="51"/>
      <c r="FN182" s="51"/>
      <c r="FO182" s="51"/>
      <c r="FP182" s="51"/>
      <c r="FQ182" s="51"/>
      <c r="FR182" s="51"/>
      <c r="FS182" s="51"/>
      <c r="FT182" s="51"/>
      <c r="FU182" s="51"/>
      <c r="FV182" s="51"/>
      <c r="FW182" s="51"/>
      <c r="FX182" s="51"/>
      <c r="FY182" s="51"/>
      <c r="FZ182" s="51"/>
      <c r="GA182" s="51"/>
      <c r="GB182" s="51"/>
      <c r="GC182" s="51"/>
      <c r="GD182" s="51"/>
      <c r="GE182" s="51"/>
      <c r="GF182" s="51"/>
      <c r="GG182" s="51"/>
      <c r="GH182" s="51"/>
      <c r="GI182" s="51"/>
      <c r="GJ182" s="51"/>
      <c r="GK182" s="51"/>
      <c r="GL182" s="51"/>
      <c r="GM182" s="51"/>
      <c r="GN182" s="51"/>
      <c r="GO182" s="51"/>
      <c r="GP182" s="51"/>
      <c r="GQ182" s="51"/>
      <c r="GR182" s="51"/>
      <c r="GS182" s="51"/>
      <c r="GT182" s="51"/>
      <c r="GU182" s="51"/>
      <c r="GV182" s="51"/>
      <c r="GW182" s="51"/>
      <c r="GX182" s="51"/>
      <c r="GY182" s="51"/>
      <c r="GZ182" s="51"/>
      <c r="HA182" s="51"/>
      <c r="HB182" s="51"/>
      <c r="HC182" s="51"/>
      <c r="HD182" s="51"/>
      <c r="HE182" s="51"/>
      <c r="HF182" s="51"/>
      <c r="HG182" s="51"/>
      <c r="HH182" s="51"/>
      <c r="HI182" s="51"/>
      <c r="HJ182" s="51"/>
      <c r="HK182" s="51"/>
      <c r="HL182" s="51"/>
      <c r="HM182" s="51"/>
      <c r="HN182" s="51"/>
      <c r="HO182" s="51"/>
      <c r="HP182" s="51"/>
      <c r="HQ182" s="51"/>
      <c r="HR182" s="51"/>
      <c r="HS182" s="51"/>
      <c r="HT182" s="51"/>
      <c r="HU182" s="51"/>
      <c r="HV182" s="51"/>
      <c r="HW182" s="51"/>
      <c r="HX182" s="51"/>
      <c r="HY182" s="51"/>
      <c r="HZ182" s="51"/>
      <c r="IA182" s="51"/>
      <c r="IB182" s="51"/>
      <c r="IC182" s="51"/>
      <c r="ID182" s="51"/>
      <c r="IE182" s="51"/>
      <c r="IF182" s="51"/>
      <c r="IG182" s="51"/>
      <c r="IH182" s="51"/>
      <c r="II182" s="51"/>
      <c r="IJ182" s="51"/>
      <c r="IK182" s="51"/>
      <c r="IL182" s="51"/>
      <c r="IM182" s="51"/>
      <c r="IN182" s="51"/>
      <c r="IO182" s="51"/>
      <c r="IP182" s="51"/>
      <c r="IQ182" s="51"/>
      <c r="IR182" s="51"/>
      <c r="IS182" s="51"/>
      <c r="IT182" s="51"/>
      <c r="IU182" s="51"/>
      <c r="IV182" s="51"/>
    </row>
    <row r="183" hidden="1">
      <c r="B183" s="826" t="s">
        <v>23</v>
      </c>
      <c r="C183" s="827">
        <v>37</v>
      </c>
      <c r="D183" s="827">
        <v>45</v>
      </c>
      <c r="E183" s="827">
        <v>46</v>
      </c>
      <c r="F183" s="827">
        <v>46</v>
      </c>
      <c r="G183" s="827">
        <v>47</v>
      </c>
      <c r="H183" s="827">
        <v>47</v>
      </c>
      <c r="I183" s="827">
        <v>42</v>
      </c>
      <c r="J183" s="827">
        <v>41</v>
      </c>
      <c r="K183" s="827">
        <v>40</v>
      </c>
      <c r="L183" s="827">
        <v>37</v>
      </c>
      <c r="M183" s="827">
        <v>39</v>
      </c>
      <c r="N183" s="827">
        <v>38</v>
      </c>
      <c r="O183" s="827">
        <v>30</v>
      </c>
      <c r="P183" s="827">
        <v>27</v>
      </c>
      <c r="Q183" s="827">
        <v>28</v>
      </c>
      <c r="R183" s="827">
        <v>25</v>
      </c>
      <c r="S183" s="827">
        <v>25</v>
      </c>
      <c r="T183" s="827">
        <v>25</v>
      </c>
      <c r="U183" s="827">
        <v>24</v>
      </c>
      <c r="V183" s="827">
        <v>24</v>
      </c>
      <c r="W183" s="827">
        <v>22</v>
      </c>
      <c r="X183" s="827">
        <v>21</v>
      </c>
      <c r="Y183" s="827">
        <v>20</v>
      </c>
      <c r="Z183" s="827">
        <v>18</v>
      </c>
      <c r="AA183" s="827">
        <v>18</v>
      </c>
      <c r="AB183" s="827">
        <v>16</v>
      </c>
      <c r="AC183" s="828">
        <v>14</v>
      </c>
      <c r="AD183" s="828">
        <v>14</v>
      </c>
      <c r="AE183" s="828">
        <v>14</v>
      </c>
      <c r="AF183" s="828">
        <v>14</v>
      </c>
      <c r="AG183" s="828">
        <v>14</v>
      </c>
      <c r="AH183" s="828">
        <v>11</v>
      </c>
      <c r="AI183" s="828">
        <v>11</v>
      </c>
      <c r="AJ183" s="828">
        <v>9</v>
      </c>
      <c r="AK183" s="828">
        <v>9</v>
      </c>
      <c r="AL183" s="828">
        <v>10</v>
      </c>
      <c r="AM183" s="828">
        <v>10</v>
      </c>
      <c r="AN183" s="828">
        <v>10</v>
      </c>
      <c r="AO183" s="828">
        <v>10</v>
      </c>
      <c r="AP183" s="828">
        <v>9</v>
      </c>
      <c r="AQ183" s="51"/>
      <c r="AR183" s="51"/>
      <c r="AS183" s="51"/>
      <c r="AT183" s="51"/>
      <c r="AU183" s="51"/>
      <c r="AV183" s="51"/>
      <c r="AW183" s="51"/>
      <c r="AX183" s="51"/>
      <c r="AY183" s="51"/>
      <c r="AZ183" s="51"/>
      <c r="BA183" s="51"/>
      <c r="BB183" s="51"/>
      <c r="BC183" s="51"/>
      <c r="BD183" s="51"/>
      <c r="BE183" s="51"/>
      <c r="BF183" s="51"/>
      <c r="BG183" s="51"/>
      <c r="BH183" s="51"/>
      <c r="BI183" s="51"/>
      <c r="BJ183" s="51"/>
      <c r="BK183" s="51"/>
      <c r="BL183" s="51"/>
      <c r="BM183" s="51"/>
      <c r="BN183" s="51"/>
      <c r="BO183" s="51"/>
      <c r="BP183" s="51"/>
      <c r="BQ183" s="51"/>
      <c r="BR183" s="51"/>
      <c r="BS183" s="51"/>
      <c r="BT183" s="51"/>
      <c r="BU183" s="51"/>
      <c r="BV183" s="51"/>
      <c r="BW183" s="51"/>
      <c r="BX183" s="51"/>
      <c r="BY183" s="51"/>
      <c r="BZ183" s="51"/>
      <c r="CA183" s="51"/>
      <c r="CB183" s="51"/>
      <c r="CC183" s="51"/>
      <c r="CD183" s="51"/>
      <c r="CE183" s="51"/>
      <c r="CF183" s="51"/>
      <c r="CG183" s="51"/>
      <c r="CH183" s="51"/>
      <c r="CI183" s="51"/>
      <c r="CJ183" s="51"/>
      <c r="CK183" s="51"/>
      <c r="CL183" s="51"/>
      <c r="CM183" s="51"/>
      <c r="CN183" s="51"/>
      <c r="CO183" s="51"/>
      <c r="CP183" s="51"/>
      <c r="CQ183" s="51"/>
      <c r="CR183" s="51"/>
      <c r="CS183" s="51"/>
      <c r="CT183" s="51"/>
      <c r="CU183" s="51"/>
      <c r="CV183" s="51"/>
      <c r="CW183" s="51"/>
      <c r="CX183" s="51"/>
      <c r="CY183" s="51"/>
      <c r="CZ183" s="51"/>
      <c r="DA183" s="51"/>
      <c r="DB183" s="51"/>
      <c r="DC183" s="51"/>
      <c r="DD183" s="51"/>
      <c r="DE183" s="51"/>
      <c r="DF183" s="51"/>
      <c r="DG183" s="51"/>
      <c r="DH183" s="51"/>
      <c r="DI183" s="51"/>
      <c r="DJ183" s="51"/>
      <c r="DK183" s="51"/>
      <c r="DL183" s="51"/>
      <c r="DM183" s="51"/>
      <c r="DN183" s="51"/>
      <c r="DO183" s="51"/>
      <c r="DP183" s="51"/>
      <c r="DQ183" s="51"/>
      <c r="DR183" s="51"/>
      <c r="DS183" s="51"/>
      <c r="DT183" s="51"/>
      <c r="DU183" s="51"/>
      <c r="DV183" s="51"/>
      <c r="DW183" s="51"/>
      <c r="DX183" s="51"/>
      <c r="DY183" s="51"/>
      <c r="DZ183" s="51"/>
      <c r="EA183" s="51"/>
      <c r="EB183" s="51"/>
      <c r="EC183" s="51"/>
      <c r="ED183" s="51"/>
      <c r="EE183" s="51"/>
      <c r="EF183" s="51"/>
      <c r="EG183" s="51"/>
      <c r="EH183" s="51"/>
      <c r="EI183" s="51"/>
      <c r="EJ183" s="51"/>
      <c r="EK183" s="51"/>
      <c r="EL183" s="51"/>
      <c r="EM183" s="51"/>
      <c r="EN183" s="51"/>
      <c r="EO183" s="51"/>
      <c r="EP183" s="51"/>
      <c r="EQ183" s="51"/>
      <c r="ER183" s="51"/>
      <c r="ES183" s="51"/>
      <c r="ET183" s="51"/>
      <c r="EU183" s="51"/>
      <c r="EV183" s="51"/>
      <c r="EW183" s="51"/>
      <c r="EX183" s="51"/>
      <c r="EY183" s="51"/>
      <c r="EZ183" s="51"/>
      <c r="FA183" s="51"/>
      <c r="FB183" s="51"/>
      <c r="FC183" s="51"/>
      <c r="FD183" s="51"/>
      <c r="FE183" s="51"/>
      <c r="FF183" s="51"/>
      <c r="FG183" s="51"/>
      <c r="FH183" s="51"/>
      <c r="FI183" s="51"/>
      <c r="FJ183" s="51"/>
      <c r="FK183" s="51"/>
      <c r="FL183" s="51"/>
      <c r="FM183" s="51"/>
      <c r="FN183" s="51"/>
      <c r="FO183" s="51"/>
      <c r="FP183" s="51"/>
      <c r="FQ183" s="51"/>
      <c r="FR183" s="51"/>
      <c r="FS183" s="51"/>
      <c r="FT183" s="51"/>
      <c r="FU183" s="51"/>
      <c r="FV183" s="51"/>
      <c r="FW183" s="51"/>
      <c r="FX183" s="51"/>
      <c r="FY183" s="51"/>
      <c r="FZ183" s="51"/>
      <c r="GA183" s="51"/>
      <c r="GB183" s="51"/>
      <c r="GC183" s="51"/>
      <c r="GD183" s="51"/>
      <c r="GE183" s="51"/>
      <c r="GF183" s="51"/>
      <c r="GG183" s="51"/>
      <c r="GH183" s="51"/>
      <c r="GI183" s="51"/>
      <c r="GJ183" s="51"/>
      <c r="GK183" s="51"/>
      <c r="GL183" s="51"/>
      <c r="GM183" s="51"/>
      <c r="GN183" s="51"/>
      <c r="GO183" s="51"/>
      <c r="GP183" s="51"/>
      <c r="GQ183" s="51"/>
      <c r="GR183" s="51"/>
      <c r="GS183" s="51"/>
      <c r="GT183" s="51"/>
      <c r="GU183" s="51"/>
      <c r="GV183" s="51"/>
      <c r="GW183" s="51"/>
      <c r="GX183" s="51"/>
      <c r="GY183" s="51"/>
      <c r="GZ183" s="51"/>
      <c r="HA183" s="51"/>
      <c r="HB183" s="51"/>
      <c r="HC183" s="51"/>
      <c r="HD183" s="51"/>
      <c r="HE183" s="51"/>
      <c r="HF183" s="51"/>
      <c r="HG183" s="51"/>
      <c r="HH183" s="51"/>
      <c r="HI183" s="51"/>
      <c r="HJ183" s="51"/>
      <c r="HK183" s="51"/>
      <c r="HL183" s="51"/>
      <c r="HM183" s="51"/>
      <c r="HN183" s="51"/>
      <c r="HO183" s="51"/>
      <c r="HP183" s="51"/>
      <c r="HQ183" s="51"/>
      <c r="HR183" s="51"/>
      <c r="HS183" s="51"/>
      <c r="HT183" s="51"/>
      <c r="HU183" s="51"/>
      <c r="HV183" s="51"/>
      <c r="HW183" s="51"/>
      <c r="HX183" s="51"/>
      <c r="HY183" s="51"/>
      <c r="HZ183" s="51"/>
      <c r="IA183" s="51"/>
      <c r="IB183" s="51"/>
      <c r="IC183" s="51"/>
      <c r="ID183" s="51"/>
      <c r="IE183" s="51"/>
      <c r="IF183" s="51"/>
      <c r="IG183" s="51"/>
      <c r="IH183" s="51"/>
      <c r="II183" s="51"/>
      <c r="IJ183" s="51"/>
      <c r="IK183" s="51"/>
      <c r="IL183" s="51"/>
      <c r="IM183" s="51"/>
      <c r="IN183" s="51"/>
      <c r="IO183" s="51"/>
      <c r="IP183" s="51"/>
      <c r="IQ183" s="51"/>
      <c r="IR183" s="51"/>
      <c r="IS183" s="51"/>
      <c r="IT183" s="51"/>
      <c r="IU183" s="51"/>
      <c r="IV183" s="51"/>
    </row>
    <row r="184" hidden="1">
      <c r="B184" s="830" t="s">
        <v>24</v>
      </c>
      <c r="C184" s="823">
        <v>31</v>
      </c>
      <c r="D184" s="823">
        <v>28</v>
      </c>
      <c r="E184" s="823">
        <v>43</v>
      </c>
      <c r="F184" s="823">
        <v>43</v>
      </c>
      <c r="G184" s="823">
        <v>43</v>
      </c>
      <c r="H184" s="823">
        <v>40</v>
      </c>
      <c r="I184" s="823">
        <v>37</v>
      </c>
      <c r="J184" s="823">
        <v>38</v>
      </c>
      <c r="K184" s="823">
        <v>37</v>
      </c>
      <c r="L184" s="823">
        <v>39</v>
      </c>
      <c r="M184" s="823">
        <v>0</v>
      </c>
      <c r="N184" s="823">
        <v>42</v>
      </c>
      <c r="O184" s="823">
        <v>44</v>
      </c>
      <c r="P184" s="823">
        <v>43</v>
      </c>
      <c r="Q184" s="823">
        <v>43</v>
      </c>
      <c r="R184" s="823">
        <v>42</v>
      </c>
      <c r="S184" s="823">
        <v>43</v>
      </c>
      <c r="T184" s="823">
        <v>43</v>
      </c>
      <c r="U184" s="823">
        <v>42</v>
      </c>
      <c r="V184" s="823">
        <v>42</v>
      </c>
      <c r="W184" s="823">
        <v>43</v>
      </c>
      <c r="X184" s="823">
        <v>41</v>
      </c>
      <c r="Y184" s="823">
        <v>41</v>
      </c>
      <c r="Z184" s="823">
        <v>41</v>
      </c>
      <c r="AA184" s="823">
        <v>40</v>
      </c>
      <c r="AB184" s="823">
        <v>44</v>
      </c>
      <c r="AC184" s="825">
        <v>42</v>
      </c>
      <c r="AD184" s="825">
        <v>40</v>
      </c>
      <c r="AE184" s="825">
        <v>40</v>
      </c>
      <c r="AF184" s="825">
        <v>40</v>
      </c>
      <c r="AG184" s="825">
        <v>38</v>
      </c>
      <c r="AH184" s="825">
        <v>39</v>
      </c>
      <c r="AI184" s="825">
        <v>39</v>
      </c>
      <c r="AJ184" s="825">
        <v>40</v>
      </c>
      <c r="AK184" s="825">
        <v>38</v>
      </c>
      <c r="AL184" s="825">
        <v>36</v>
      </c>
      <c r="AM184" s="825">
        <v>36</v>
      </c>
      <c r="AN184" s="825">
        <v>32</v>
      </c>
      <c r="AO184" s="825">
        <v>33</v>
      </c>
      <c r="AP184" s="825">
        <v>33</v>
      </c>
      <c r="AQ184" s="51"/>
      <c r="AR184" s="51"/>
      <c r="AS184" s="51"/>
      <c r="AT184" s="51"/>
      <c r="AU184" s="51"/>
      <c r="AV184" s="51"/>
      <c r="AW184" s="51"/>
      <c r="AX184" s="51"/>
      <c r="AY184" s="51"/>
      <c r="AZ184" s="51"/>
      <c r="BA184" s="51"/>
      <c r="BB184" s="51"/>
      <c r="BC184" s="51"/>
      <c r="BD184" s="51"/>
      <c r="BE184" s="51"/>
      <c r="BF184" s="51"/>
      <c r="BG184" s="51"/>
      <c r="BH184" s="51"/>
      <c r="BI184" s="51"/>
      <c r="BJ184" s="51"/>
      <c r="BK184" s="51"/>
      <c r="BL184" s="51"/>
      <c r="BM184" s="51"/>
      <c r="BN184" s="51"/>
      <c r="BO184" s="51"/>
      <c r="BP184" s="51"/>
      <c r="BQ184" s="51"/>
      <c r="BR184" s="51"/>
      <c r="BS184" s="51"/>
      <c r="BT184" s="51"/>
      <c r="BU184" s="51"/>
      <c r="BV184" s="51"/>
      <c r="BW184" s="51"/>
      <c r="BX184" s="51"/>
      <c r="BY184" s="51"/>
      <c r="BZ184" s="51"/>
      <c r="CA184" s="51"/>
      <c r="CB184" s="51"/>
      <c r="CC184" s="51"/>
      <c r="CD184" s="51"/>
      <c r="CE184" s="51"/>
      <c r="CF184" s="51"/>
      <c r="CG184" s="51"/>
      <c r="CH184" s="51"/>
      <c r="CI184" s="51"/>
      <c r="CJ184" s="51"/>
      <c r="CK184" s="51"/>
      <c r="CL184" s="51"/>
      <c r="CM184" s="51"/>
      <c r="CN184" s="51"/>
      <c r="CO184" s="51"/>
      <c r="CP184" s="51"/>
      <c r="CQ184" s="51"/>
      <c r="CR184" s="51"/>
      <c r="CS184" s="51"/>
      <c r="CT184" s="51"/>
      <c r="CU184" s="51"/>
      <c r="CV184" s="51"/>
      <c r="CW184" s="51"/>
      <c r="CX184" s="51"/>
      <c r="CY184" s="51"/>
      <c r="CZ184" s="51"/>
      <c r="DA184" s="51"/>
      <c r="DB184" s="51"/>
      <c r="DC184" s="51"/>
      <c r="DD184" s="51"/>
      <c r="DE184" s="51"/>
      <c r="DF184" s="51"/>
      <c r="DG184" s="51"/>
      <c r="DH184" s="51"/>
      <c r="DI184" s="51"/>
      <c r="DJ184" s="51"/>
      <c r="DK184" s="51"/>
      <c r="DL184" s="51"/>
      <c r="DM184" s="51"/>
      <c r="DN184" s="51"/>
      <c r="DO184" s="51"/>
      <c r="DP184" s="51"/>
      <c r="DQ184" s="51"/>
      <c r="DR184" s="51"/>
      <c r="DS184" s="51"/>
      <c r="DT184" s="51"/>
      <c r="DU184" s="51"/>
      <c r="DV184" s="51"/>
      <c r="DW184" s="51"/>
      <c r="DX184" s="51"/>
      <c r="DY184" s="51"/>
      <c r="DZ184" s="51"/>
      <c r="EA184" s="51"/>
      <c r="EB184" s="51"/>
      <c r="EC184" s="51"/>
      <c r="ED184" s="51"/>
      <c r="EE184" s="51"/>
      <c r="EF184" s="51"/>
      <c r="EG184" s="51"/>
      <c r="EH184" s="51"/>
      <c r="EI184" s="51"/>
      <c r="EJ184" s="51"/>
      <c r="EK184" s="51"/>
      <c r="EL184" s="51"/>
      <c r="EM184" s="51"/>
      <c r="EN184" s="51"/>
      <c r="EO184" s="51"/>
      <c r="EP184" s="51"/>
      <c r="EQ184" s="51"/>
      <c r="ER184" s="51"/>
      <c r="ES184" s="51"/>
      <c r="ET184" s="51"/>
      <c r="EU184" s="51"/>
      <c r="EV184" s="51"/>
      <c r="EW184" s="51"/>
      <c r="EX184" s="51"/>
      <c r="EY184" s="51"/>
      <c r="EZ184" s="51"/>
      <c r="FA184" s="51"/>
      <c r="FB184" s="51"/>
      <c r="FC184" s="51"/>
      <c r="FD184" s="51"/>
      <c r="FE184" s="51"/>
      <c r="FF184" s="51"/>
      <c r="FG184" s="51"/>
      <c r="FH184" s="51"/>
      <c r="FI184" s="51"/>
      <c r="FJ184" s="51"/>
      <c r="FK184" s="51"/>
      <c r="FL184" s="51"/>
      <c r="FM184" s="51"/>
      <c r="FN184" s="51"/>
      <c r="FO184" s="51"/>
      <c r="FP184" s="51"/>
      <c r="FQ184" s="51"/>
      <c r="FR184" s="51"/>
      <c r="FS184" s="51"/>
      <c r="FT184" s="51"/>
      <c r="FU184" s="51"/>
      <c r="FV184" s="51"/>
      <c r="FW184" s="51"/>
      <c r="FX184" s="51"/>
      <c r="FY184" s="51"/>
      <c r="FZ184" s="51"/>
      <c r="GA184" s="51"/>
      <c r="GB184" s="51"/>
      <c r="GC184" s="51"/>
      <c r="GD184" s="51"/>
      <c r="GE184" s="51"/>
      <c r="GF184" s="51"/>
      <c r="GG184" s="51"/>
      <c r="GH184" s="51"/>
      <c r="GI184" s="51"/>
      <c r="GJ184" s="51"/>
      <c r="GK184" s="51"/>
      <c r="GL184" s="51"/>
      <c r="GM184" s="51"/>
      <c r="GN184" s="51"/>
      <c r="GO184" s="51"/>
      <c r="GP184" s="51"/>
      <c r="GQ184" s="51"/>
      <c r="GR184" s="51"/>
      <c r="GS184" s="51"/>
      <c r="GT184" s="51"/>
      <c r="GU184" s="51"/>
      <c r="GV184" s="51"/>
      <c r="GW184" s="51"/>
      <c r="GX184" s="51"/>
      <c r="GY184" s="51"/>
      <c r="GZ184" s="51"/>
      <c r="HA184" s="51"/>
      <c r="HB184" s="51"/>
      <c r="HC184" s="51"/>
      <c r="HD184" s="51"/>
      <c r="HE184" s="51"/>
      <c r="HF184" s="51"/>
      <c r="HG184" s="51"/>
      <c r="HH184" s="51"/>
      <c r="HI184" s="51"/>
      <c r="HJ184" s="51"/>
      <c r="HK184" s="51"/>
      <c r="HL184" s="51"/>
      <c r="HM184" s="51"/>
      <c r="HN184" s="51"/>
      <c r="HO184" s="51"/>
      <c r="HP184" s="51"/>
      <c r="HQ184" s="51"/>
      <c r="HR184" s="51"/>
      <c r="HS184" s="51"/>
      <c r="HT184" s="51"/>
      <c r="HU184" s="51"/>
      <c r="HV184" s="51"/>
      <c r="HW184" s="51"/>
      <c r="HX184" s="51"/>
      <c r="HY184" s="51"/>
      <c r="HZ184" s="51"/>
      <c r="IA184" s="51"/>
      <c r="IB184" s="51"/>
      <c r="IC184" s="51"/>
      <c r="ID184" s="51"/>
      <c r="IE184" s="51"/>
      <c r="IF184" s="51"/>
      <c r="IG184" s="51"/>
      <c r="IH184" s="51"/>
      <c r="II184" s="51"/>
      <c r="IJ184" s="51"/>
      <c r="IK184" s="51"/>
      <c r="IL184" s="51"/>
      <c r="IM184" s="51"/>
      <c r="IN184" s="51"/>
      <c r="IO184" s="51"/>
      <c r="IP184" s="51"/>
      <c r="IQ184" s="51"/>
      <c r="IR184" s="51"/>
      <c r="IS184" s="51"/>
      <c r="IT184" s="51"/>
      <c r="IU184" s="51"/>
      <c r="IV184" s="51"/>
    </row>
    <row r="185" hidden="1">
      <c r="B185" s="826" t="s">
        <v>25</v>
      </c>
      <c r="C185" s="827">
        <v>0</v>
      </c>
      <c r="D185" s="827">
        <v>0</v>
      </c>
      <c r="E185" s="827">
        <v>0</v>
      </c>
      <c r="F185" s="827">
        <v>0</v>
      </c>
      <c r="G185" s="827">
        <v>0</v>
      </c>
      <c r="H185" s="827">
        <v>0</v>
      </c>
      <c r="I185" s="827">
        <v>0</v>
      </c>
      <c r="J185" s="827">
        <v>0</v>
      </c>
      <c r="K185" s="827">
        <v>0</v>
      </c>
      <c r="L185" s="827">
        <v>0</v>
      </c>
      <c r="M185" s="827">
        <v>0</v>
      </c>
      <c r="N185" s="827">
        <v>0</v>
      </c>
      <c r="O185" s="827">
        <v>0</v>
      </c>
      <c r="P185" s="827">
        <v>0</v>
      </c>
      <c r="Q185" s="827">
        <v>0</v>
      </c>
      <c r="R185" s="827">
        <v>0</v>
      </c>
      <c r="S185" s="827">
        <v>0</v>
      </c>
      <c r="T185" s="827">
        <v>0</v>
      </c>
      <c r="U185" s="827">
        <v>0</v>
      </c>
      <c r="V185" s="827">
        <v>0</v>
      </c>
      <c r="W185" s="827">
        <v>0</v>
      </c>
      <c r="X185" s="827">
        <v>0</v>
      </c>
      <c r="Y185" s="827">
        <v>0</v>
      </c>
      <c r="Z185" s="827">
        <v>0</v>
      </c>
      <c r="AA185" s="827">
        <v>0</v>
      </c>
      <c r="AB185" s="827">
        <v>0</v>
      </c>
      <c r="AC185" s="828">
        <v>0</v>
      </c>
      <c r="AD185" s="828">
        <v>0</v>
      </c>
      <c r="AE185" s="828">
        <v>0</v>
      </c>
      <c r="AF185" s="828">
        <v>0</v>
      </c>
      <c r="AG185" s="828">
        <v>0</v>
      </c>
      <c r="AH185" s="828">
        <v>0</v>
      </c>
      <c r="AI185" s="828">
        <v>0</v>
      </c>
      <c r="AJ185" s="828">
        <v>0</v>
      </c>
      <c r="AK185" s="828">
        <v>0</v>
      </c>
      <c r="AL185" s="828">
        <v>0</v>
      </c>
      <c r="AM185" s="828">
        <v>0</v>
      </c>
      <c r="AN185" s="828">
        <v>0</v>
      </c>
      <c r="AO185" s="828">
        <v>0</v>
      </c>
      <c r="AP185" s="828">
        <v>0</v>
      </c>
      <c r="AQ185" s="51"/>
      <c r="AR185" s="51"/>
      <c r="AS185" s="51"/>
      <c r="AT185" s="51"/>
      <c r="AU185" s="51"/>
      <c r="AV185" s="51"/>
      <c r="AW185" s="51"/>
      <c r="AX185" s="51"/>
      <c r="AY185" s="51"/>
      <c r="AZ185" s="51"/>
      <c r="BA185" s="51"/>
      <c r="BB185" s="51"/>
      <c r="BC185" s="51"/>
      <c r="BD185" s="51"/>
      <c r="BE185" s="51"/>
      <c r="BF185" s="51"/>
      <c r="BG185" s="51"/>
      <c r="BH185" s="51"/>
      <c r="BI185" s="51"/>
      <c r="BJ185" s="51"/>
      <c r="BK185" s="51"/>
      <c r="BL185" s="51"/>
      <c r="BM185" s="51"/>
      <c r="BN185" s="51"/>
      <c r="BO185" s="51"/>
      <c r="BP185" s="51"/>
      <c r="BQ185" s="51"/>
      <c r="BR185" s="51"/>
      <c r="BS185" s="51"/>
      <c r="BT185" s="51"/>
      <c r="BU185" s="51"/>
      <c r="BV185" s="51"/>
      <c r="BW185" s="51"/>
      <c r="BX185" s="51"/>
      <c r="BY185" s="51"/>
      <c r="BZ185" s="51"/>
      <c r="CA185" s="51"/>
      <c r="CB185" s="51"/>
      <c r="CC185" s="51"/>
      <c r="CD185" s="51"/>
      <c r="CE185" s="51"/>
      <c r="CF185" s="51"/>
      <c r="CG185" s="51"/>
      <c r="CH185" s="51"/>
      <c r="CI185" s="51"/>
      <c r="CJ185" s="51"/>
      <c r="CK185" s="51"/>
      <c r="CL185" s="51"/>
      <c r="CM185" s="51"/>
      <c r="CN185" s="51"/>
      <c r="CO185" s="51"/>
      <c r="CP185" s="51"/>
      <c r="CQ185" s="51"/>
      <c r="CR185" s="51"/>
      <c r="CS185" s="51"/>
      <c r="CT185" s="51"/>
      <c r="CU185" s="51"/>
      <c r="CV185" s="51"/>
      <c r="CW185" s="51"/>
      <c r="CX185" s="51"/>
      <c r="CY185" s="51"/>
      <c r="CZ185" s="51"/>
      <c r="DA185" s="51"/>
      <c r="DB185" s="51"/>
      <c r="DC185" s="51"/>
      <c r="DD185" s="51"/>
      <c r="DE185" s="51"/>
      <c r="DF185" s="51"/>
      <c r="DG185" s="51"/>
      <c r="DH185" s="51"/>
      <c r="DI185" s="51"/>
      <c r="DJ185" s="51"/>
      <c r="DK185" s="51"/>
      <c r="DL185" s="51"/>
      <c r="DM185" s="51"/>
      <c r="DN185" s="51"/>
      <c r="DO185" s="51"/>
      <c r="DP185" s="51"/>
      <c r="DQ185" s="51"/>
      <c r="DR185" s="51"/>
      <c r="DS185" s="51"/>
      <c r="DT185" s="51"/>
      <c r="DU185" s="51"/>
      <c r="DV185" s="51"/>
      <c r="DW185" s="51"/>
      <c r="DX185" s="51"/>
      <c r="DY185" s="51"/>
      <c r="DZ185" s="51"/>
      <c r="EA185" s="51"/>
      <c r="EB185" s="51"/>
      <c r="EC185" s="51"/>
      <c r="ED185" s="51"/>
      <c r="EE185" s="51"/>
      <c r="EF185" s="51"/>
      <c r="EG185" s="51"/>
      <c r="EH185" s="51"/>
      <c r="EI185" s="51"/>
      <c r="EJ185" s="51"/>
      <c r="EK185" s="51"/>
      <c r="EL185" s="51"/>
      <c r="EM185" s="51"/>
      <c r="EN185" s="51"/>
      <c r="EO185" s="51"/>
      <c r="EP185" s="51"/>
      <c r="EQ185" s="51"/>
      <c r="ER185" s="51"/>
      <c r="ES185" s="51"/>
      <c r="ET185" s="51"/>
      <c r="EU185" s="51"/>
      <c r="EV185" s="51"/>
      <c r="EW185" s="51"/>
      <c r="EX185" s="51"/>
      <c r="EY185" s="51"/>
      <c r="EZ185" s="51"/>
      <c r="FA185" s="51"/>
      <c r="FB185" s="51"/>
      <c r="FC185" s="51"/>
      <c r="FD185" s="51"/>
      <c r="FE185" s="51"/>
      <c r="FF185" s="51"/>
      <c r="FG185" s="51"/>
      <c r="FH185" s="51"/>
      <c r="FI185" s="51"/>
      <c r="FJ185" s="51"/>
      <c r="FK185" s="51"/>
      <c r="FL185" s="51"/>
      <c r="FM185" s="51"/>
      <c r="FN185" s="51"/>
      <c r="FO185" s="51"/>
      <c r="FP185" s="51"/>
      <c r="FQ185" s="51"/>
      <c r="FR185" s="51"/>
      <c r="FS185" s="51"/>
      <c r="FT185" s="51"/>
      <c r="FU185" s="51"/>
      <c r="FV185" s="51"/>
      <c r="FW185" s="51"/>
      <c r="FX185" s="51"/>
      <c r="FY185" s="51"/>
      <c r="FZ185" s="51"/>
      <c r="GA185" s="51"/>
      <c r="GB185" s="51"/>
      <c r="GC185" s="51"/>
      <c r="GD185" s="51"/>
      <c r="GE185" s="51"/>
      <c r="GF185" s="51"/>
      <c r="GG185" s="51"/>
      <c r="GH185" s="51"/>
      <c r="GI185" s="51"/>
      <c r="GJ185" s="51"/>
      <c r="GK185" s="51"/>
      <c r="GL185" s="51"/>
      <c r="GM185" s="51"/>
      <c r="GN185" s="51"/>
      <c r="GO185" s="51"/>
      <c r="GP185" s="51"/>
      <c r="GQ185" s="51"/>
      <c r="GR185" s="51"/>
      <c r="GS185" s="51"/>
      <c r="GT185" s="51"/>
      <c r="GU185" s="51"/>
      <c r="GV185" s="51"/>
      <c r="GW185" s="51"/>
      <c r="GX185" s="51"/>
      <c r="GY185" s="51"/>
      <c r="GZ185" s="51"/>
      <c r="HA185" s="51"/>
      <c r="HB185" s="51"/>
      <c r="HC185" s="51"/>
      <c r="HD185" s="51"/>
      <c r="HE185" s="51"/>
      <c r="HF185" s="51"/>
      <c r="HG185" s="51"/>
      <c r="HH185" s="51"/>
      <c r="HI185" s="51"/>
      <c r="HJ185" s="51"/>
      <c r="HK185" s="51"/>
      <c r="HL185" s="51"/>
      <c r="HM185" s="51"/>
      <c r="HN185" s="51"/>
      <c r="HO185" s="51"/>
      <c r="HP185" s="51"/>
      <c r="HQ185" s="51"/>
      <c r="HR185" s="51"/>
      <c r="HS185" s="51"/>
      <c r="HT185" s="51"/>
      <c r="HU185" s="51"/>
      <c r="HV185" s="51"/>
      <c r="HW185" s="51"/>
      <c r="HX185" s="51"/>
      <c r="HY185" s="51"/>
      <c r="HZ185" s="51"/>
      <c r="IA185" s="51"/>
      <c r="IB185" s="51"/>
      <c r="IC185" s="51"/>
      <c r="ID185" s="51"/>
      <c r="IE185" s="51"/>
      <c r="IF185" s="51"/>
      <c r="IG185" s="51"/>
      <c r="IH185" s="51"/>
      <c r="II185" s="51"/>
      <c r="IJ185" s="51"/>
      <c r="IK185" s="51"/>
      <c r="IL185" s="51"/>
      <c r="IM185" s="51"/>
      <c r="IN185" s="51"/>
      <c r="IO185" s="51"/>
      <c r="IP185" s="51"/>
      <c r="IQ185" s="51"/>
      <c r="IR185" s="51"/>
      <c r="IS185" s="51"/>
      <c r="IT185" s="51"/>
      <c r="IU185" s="51"/>
      <c r="IV185" s="51"/>
    </row>
    <row r="186" hidden="1" ht="13.5">
      <c r="B186" s="831" t="s">
        <v>26</v>
      </c>
      <c r="C186" s="823">
        <v>0</v>
      </c>
      <c r="D186" s="823">
        <v>0</v>
      </c>
      <c r="E186" s="823">
        <v>0</v>
      </c>
      <c r="F186" s="823">
        <v>0</v>
      </c>
      <c r="G186" s="823">
        <v>0</v>
      </c>
      <c r="H186" s="823">
        <v>0</v>
      </c>
      <c r="I186" s="823">
        <v>0</v>
      </c>
      <c r="J186" s="823">
        <v>0</v>
      </c>
      <c r="K186" s="823">
        <v>0</v>
      </c>
      <c r="L186" s="823">
        <v>0</v>
      </c>
      <c r="M186" s="823">
        <v>0</v>
      </c>
      <c r="N186" s="823">
        <v>0</v>
      </c>
      <c r="O186" s="823">
        <v>0</v>
      </c>
      <c r="P186" s="823">
        <v>0</v>
      </c>
      <c r="Q186" s="823">
        <v>0</v>
      </c>
      <c r="R186" s="823">
        <v>0</v>
      </c>
      <c r="S186" s="823">
        <v>0</v>
      </c>
      <c r="T186" s="823">
        <v>0</v>
      </c>
      <c r="U186" s="823">
        <v>0</v>
      </c>
      <c r="V186" s="823">
        <v>0</v>
      </c>
      <c r="W186" s="823">
        <v>0</v>
      </c>
      <c r="X186" s="823">
        <v>0</v>
      </c>
      <c r="Y186" s="823">
        <v>0</v>
      </c>
      <c r="Z186" s="823">
        <v>0</v>
      </c>
      <c r="AA186" s="823">
        <v>0</v>
      </c>
      <c r="AB186" s="832">
        <v>0</v>
      </c>
      <c r="AC186" s="825">
        <v>0</v>
      </c>
      <c r="AD186" s="825">
        <v>0</v>
      </c>
      <c r="AE186" s="825">
        <v>0</v>
      </c>
      <c r="AF186" s="825">
        <v>0</v>
      </c>
      <c r="AG186" s="825">
        <v>0</v>
      </c>
      <c r="AH186" s="825">
        <v>0</v>
      </c>
      <c r="AI186" s="825">
        <v>0</v>
      </c>
      <c r="AJ186" s="825">
        <v>0</v>
      </c>
      <c r="AK186" s="825">
        <v>0</v>
      </c>
      <c r="AL186" s="825">
        <v>0</v>
      </c>
      <c r="AM186" s="825">
        <v>0</v>
      </c>
      <c r="AN186" s="825">
        <v>0</v>
      </c>
      <c r="AO186" s="825">
        <v>0</v>
      </c>
      <c r="AP186" s="825">
        <v>0</v>
      </c>
      <c r="AQ186" s="51"/>
      <c r="AR186" s="51"/>
      <c r="AS186" s="51"/>
      <c r="AT186" s="51"/>
      <c r="AU186" s="51"/>
      <c r="AV186" s="51"/>
      <c r="AW186" s="51"/>
      <c r="AX186" s="51"/>
      <c r="AY186" s="51"/>
      <c r="AZ186" s="51"/>
      <c r="BA186" s="51"/>
      <c r="BB186" s="51"/>
      <c r="BC186" s="51"/>
      <c r="BD186" s="51"/>
      <c r="BE186" s="51"/>
      <c r="BF186" s="51"/>
      <c r="BG186" s="51"/>
      <c r="BH186" s="51"/>
      <c r="BI186" s="51"/>
      <c r="BJ186" s="51"/>
      <c r="BK186" s="51"/>
      <c r="BL186" s="51"/>
      <c r="BM186" s="51"/>
      <c r="BN186" s="51"/>
      <c r="BO186" s="51"/>
      <c r="BP186" s="51"/>
      <c r="BQ186" s="51"/>
      <c r="BR186" s="51"/>
      <c r="BS186" s="51"/>
      <c r="BT186" s="51"/>
      <c r="BU186" s="51"/>
      <c r="BV186" s="51"/>
      <c r="BW186" s="51"/>
      <c r="BX186" s="51"/>
      <c r="BY186" s="51"/>
      <c r="BZ186" s="51"/>
      <c r="CA186" s="51"/>
      <c r="CB186" s="51"/>
      <c r="CC186" s="51"/>
      <c r="CD186" s="51"/>
      <c r="CE186" s="51"/>
      <c r="CF186" s="51"/>
      <c r="CG186" s="51"/>
      <c r="CH186" s="51"/>
      <c r="CI186" s="51"/>
      <c r="CJ186" s="51"/>
      <c r="CK186" s="51"/>
      <c r="CL186" s="51"/>
      <c r="CM186" s="51"/>
      <c r="CN186" s="51"/>
      <c r="CO186" s="51"/>
      <c r="CP186" s="51"/>
      <c r="CQ186" s="51"/>
      <c r="CR186" s="51"/>
      <c r="CS186" s="51"/>
      <c r="CT186" s="51"/>
      <c r="CU186" s="51"/>
      <c r="CV186" s="51"/>
      <c r="CW186" s="51"/>
      <c r="CX186" s="51"/>
      <c r="CY186" s="51"/>
      <c r="CZ186" s="51"/>
      <c r="DA186" s="51"/>
      <c r="DB186" s="51"/>
      <c r="DC186" s="51"/>
      <c r="DD186" s="51"/>
      <c r="DE186" s="51"/>
      <c r="DF186" s="51"/>
      <c r="DG186" s="51"/>
      <c r="DH186" s="51"/>
      <c r="DI186" s="51"/>
      <c r="DJ186" s="51"/>
      <c r="DK186" s="51"/>
      <c r="DL186" s="51"/>
      <c r="DM186" s="51"/>
      <c r="DN186" s="51"/>
      <c r="DO186" s="51"/>
      <c r="DP186" s="51"/>
      <c r="DQ186" s="51"/>
      <c r="DR186" s="51"/>
      <c r="DS186" s="51"/>
      <c r="DT186" s="51"/>
      <c r="DU186" s="51"/>
      <c r="DV186" s="51"/>
      <c r="DW186" s="51"/>
      <c r="DX186" s="51"/>
      <c r="DY186" s="51"/>
      <c r="DZ186" s="51"/>
      <c r="EA186" s="51"/>
      <c r="EB186" s="51"/>
      <c r="EC186" s="51"/>
      <c r="ED186" s="51"/>
      <c r="EE186" s="51"/>
      <c r="EF186" s="51"/>
      <c r="EG186" s="51"/>
      <c r="EH186" s="51"/>
      <c r="EI186" s="51"/>
      <c r="EJ186" s="51"/>
      <c r="EK186" s="51"/>
      <c r="EL186" s="51"/>
      <c r="EM186" s="51"/>
      <c r="EN186" s="51"/>
      <c r="EO186" s="51"/>
      <c r="EP186" s="51"/>
      <c r="EQ186" s="51"/>
      <c r="ER186" s="51"/>
      <c r="ES186" s="51"/>
      <c r="ET186" s="51"/>
      <c r="EU186" s="51"/>
      <c r="EV186" s="51"/>
      <c r="EW186" s="51"/>
      <c r="EX186" s="51"/>
      <c r="EY186" s="51"/>
      <c r="EZ186" s="51"/>
      <c r="FA186" s="51"/>
      <c r="FB186" s="51"/>
      <c r="FC186" s="51"/>
      <c r="FD186" s="51"/>
      <c r="FE186" s="51"/>
      <c r="FF186" s="51"/>
      <c r="FG186" s="51"/>
      <c r="FH186" s="51"/>
      <c r="FI186" s="51"/>
      <c r="FJ186" s="51"/>
      <c r="FK186" s="51"/>
      <c r="FL186" s="51"/>
      <c r="FM186" s="51"/>
      <c r="FN186" s="51"/>
      <c r="FO186" s="51"/>
      <c r="FP186" s="51"/>
      <c r="FQ186" s="51"/>
      <c r="FR186" s="51"/>
      <c r="FS186" s="51"/>
      <c r="FT186" s="51"/>
      <c r="FU186" s="51"/>
      <c r="FV186" s="51"/>
      <c r="FW186" s="51"/>
      <c r="FX186" s="51"/>
      <c r="FY186" s="51"/>
      <c r="FZ186" s="51"/>
      <c r="GA186" s="51"/>
      <c r="GB186" s="51"/>
      <c r="GC186" s="51"/>
      <c r="GD186" s="51"/>
      <c r="GE186" s="51"/>
      <c r="GF186" s="51"/>
      <c r="GG186" s="51"/>
      <c r="GH186" s="51"/>
      <c r="GI186" s="51"/>
      <c r="GJ186" s="51"/>
      <c r="GK186" s="51"/>
      <c r="GL186" s="51"/>
      <c r="GM186" s="51"/>
      <c r="GN186" s="51"/>
      <c r="GO186" s="51"/>
      <c r="GP186" s="51"/>
      <c r="GQ186" s="51"/>
      <c r="GR186" s="51"/>
      <c r="GS186" s="51"/>
      <c r="GT186" s="51"/>
      <c r="GU186" s="51"/>
      <c r="GV186" s="51"/>
      <c r="GW186" s="51"/>
      <c r="GX186" s="51"/>
      <c r="GY186" s="51"/>
      <c r="GZ186" s="51"/>
      <c r="HA186" s="51"/>
      <c r="HB186" s="51"/>
      <c r="HC186" s="51"/>
      <c r="HD186" s="51"/>
      <c r="HE186" s="51"/>
      <c r="HF186" s="51"/>
      <c r="HG186" s="51"/>
      <c r="HH186" s="51"/>
      <c r="HI186" s="51"/>
      <c r="HJ186" s="51"/>
      <c r="HK186" s="51"/>
      <c r="HL186" s="51"/>
      <c r="HM186" s="51"/>
      <c r="HN186" s="51"/>
      <c r="HO186" s="51"/>
      <c r="HP186" s="51"/>
      <c r="HQ186" s="51"/>
      <c r="HR186" s="51"/>
      <c r="HS186" s="51"/>
      <c r="HT186" s="51"/>
      <c r="HU186" s="51"/>
      <c r="HV186" s="51"/>
      <c r="HW186" s="51"/>
      <c r="HX186" s="51"/>
      <c r="HY186" s="51"/>
      <c r="HZ186" s="51"/>
      <c r="IA186" s="51"/>
      <c r="IB186" s="51"/>
      <c r="IC186" s="51"/>
      <c r="ID186" s="51"/>
      <c r="IE186" s="51"/>
      <c r="IF186" s="51"/>
      <c r="IG186" s="51"/>
      <c r="IH186" s="51"/>
      <c r="II186" s="51"/>
      <c r="IJ186" s="51"/>
      <c r="IK186" s="51"/>
      <c r="IL186" s="51"/>
      <c r="IM186" s="51"/>
      <c r="IN186" s="51"/>
      <c r="IO186" s="51"/>
      <c r="IP186" s="51"/>
      <c r="IQ186" s="51"/>
      <c r="IR186" s="51"/>
      <c r="IS186" s="51"/>
      <c r="IT186" s="51"/>
      <c r="IU186" s="51"/>
      <c r="IV186" s="51"/>
    </row>
    <row r="187" hidden="1" ht="13.5">
      <c r="B187" s="128" t="s">
        <v>7</v>
      </c>
      <c r="C187" s="129" t="str">
        <f>IF(SUM(C168:C186)&lt;&gt;0,SUM(C168:C186),"")</f>
      </c>
      <c r="D187" s="129" t="str">
        <f ref="D187:AA187" t="shared" si="0">IF(SUM(D168:D186)&lt;&gt;0,SUM(D168:D186),"")</f>
      </c>
      <c r="E187" s="129" t="str">
        <f t="shared" si="0"/>
      </c>
      <c r="F187" s="129" t="str">
        <f t="shared" si="0"/>
      </c>
      <c r="G187" s="129" t="str">
        <f t="shared" si="0"/>
      </c>
      <c r="H187" s="129" t="str">
        <f t="shared" si="0"/>
      </c>
      <c r="I187" s="129" t="str">
        <f t="shared" si="0"/>
      </c>
      <c r="J187" s="129" t="str">
        <f t="shared" si="0"/>
      </c>
      <c r="K187" s="129" t="str">
        <f t="shared" si="0"/>
      </c>
      <c r="L187" s="129" t="str">
        <f t="shared" si="0"/>
      </c>
      <c r="M187" s="129" t="str">
        <f t="shared" si="0"/>
      </c>
      <c r="N187" s="129" t="str">
        <f t="shared" si="0"/>
      </c>
      <c r="O187" s="129" t="str">
        <f t="shared" si="0"/>
      </c>
      <c r="P187" s="129" t="str">
        <f t="shared" si="0"/>
      </c>
      <c r="Q187" s="129" t="str">
        <f t="shared" si="0"/>
      </c>
      <c r="R187" s="129" t="str">
        <f t="shared" si="0"/>
      </c>
      <c r="S187" s="129" t="str">
        <f t="shared" si="0"/>
      </c>
      <c r="T187" s="129" t="str">
        <f t="shared" si="0"/>
      </c>
      <c r="U187" s="129" t="str">
        <f t="shared" si="0"/>
      </c>
      <c r="V187" s="129" t="str">
        <f t="shared" si="0"/>
      </c>
      <c r="W187" s="129" t="str">
        <f t="shared" si="0"/>
      </c>
      <c r="X187" s="129" t="str">
        <f t="shared" si="0"/>
      </c>
      <c r="Y187" s="129" t="str">
        <f t="shared" si="0"/>
      </c>
      <c r="Z187" s="129" t="str">
        <f t="shared" si="0"/>
      </c>
      <c r="AA187" s="129" t="str">
        <f t="shared" si="0"/>
      </c>
      <c r="AB187" s="130" t="str">
        <f>IF(SUM(AB168:AB186)&lt;&gt;0,SUM(AB168:AB186),"")</f>
      </c>
      <c r="AC187" s="91" t="str">
        <f ref="AC187:CN187" t="shared" si="1">IF(SUM(AC168:AC186)&lt;&gt;0,SUM(AC168:AC186),"")</f>
      </c>
      <c r="AD187" s="91" t="str">
        <f t="shared" si="1"/>
      </c>
      <c r="AE187" s="91" t="str">
        <f t="shared" si="1"/>
      </c>
      <c r="AF187" s="91" t="str">
        <f t="shared" si="1"/>
      </c>
      <c r="AG187" s="91" t="str">
        <f t="shared" si="1"/>
      </c>
      <c r="AH187" s="91" t="str">
        <f t="shared" si="1"/>
      </c>
      <c r="AI187" s="91" t="str">
        <f t="shared" si="1"/>
      </c>
      <c r="AJ187" s="91" t="str">
        <f t="shared" si="1"/>
      </c>
      <c r="AK187" s="91" t="str">
        <f t="shared" si="1"/>
      </c>
      <c r="AL187" s="91" t="str">
        <f t="shared" si="1"/>
      </c>
      <c r="AM187" s="91" t="str">
        <f t="shared" si="1"/>
      </c>
      <c r="AN187" s="91" t="str">
        <f t="shared" si="1"/>
      </c>
      <c r="AO187" s="91" t="str">
        <f t="shared" si="1"/>
      </c>
      <c r="AP187" s="91" t="str">
        <f t="shared" si="1"/>
      </c>
      <c r="AQ187" s="91" t="str">
        <f t="shared" si="1"/>
      </c>
      <c r="AR187" s="91" t="str">
        <f t="shared" si="1"/>
      </c>
      <c r="AS187" s="91" t="str">
        <f t="shared" si="1"/>
      </c>
      <c r="AT187" s="91" t="str">
        <f t="shared" si="1"/>
      </c>
      <c r="AU187" s="91" t="str">
        <f t="shared" si="1"/>
      </c>
      <c r="AV187" s="91" t="str">
        <f t="shared" si="1"/>
      </c>
      <c r="AW187" s="91" t="str">
        <f t="shared" si="1"/>
      </c>
      <c r="AX187" s="91" t="str">
        <f t="shared" si="1"/>
      </c>
      <c r="AY187" s="91" t="str">
        <f t="shared" si="1"/>
      </c>
      <c r="AZ187" s="91" t="str">
        <f t="shared" si="1"/>
      </c>
      <c r="BA187" s="91" t="str">
        <f t="shared" si="1"/>
      </c>
      <c r="BB187" s="91" t="str">
        <f t="shared" si="1"/>
      </c>
      <c r="BC187" s="91" t="str">
        <f t="shared" si="1"/>
      </c>
      <c r="BD187" s="91" t="str">
        <f t="shared" si="1"/>
      </c>
      <c r="BE187" s="91" t="str">
        <f t="shared" si="1"/>
      </c>
      <c r="BF187" s="91" t="str">
        <f t="shared" si="1"/>
      </c>
      <c r="BG187" s="91" t="str">
        <f t="shared" si="1"/>
      </c>
      <c r="BH187" s="91" t="str">
        <f t="shared" si="1"/>
      </c>
      <c r="BI187" s="91" t="str">
        <f t="shared" si="1"/>
      </c>
      <c r="BJ187" s="91" t="str">
        <f t="shared" si="1"/>
      </c>
      <c r="BK187" s="91" t="str">
        <f t="shared" si="1"/>
      </c>
      <c r="BL187" s="91" t="str">
        <f t="shared" si="1"/>
      </c>
      <c r="BM187" s="91" t="str">
        <f t="shared" si="1"/>
      </c>
      <c r="BN187" s="91" t="str">
        <f t="shared" si="1"/>
      </c>
      <c r="BO187" s="91" t="str">
        <f t="shared" si="1"/>
      </c>
      <c r="BP187" s="91" t="str">
        <f t="shared" si="1"/>
      </c>
      <c r="BQ187" s="91" t="str">
        <f t="shared" si="1"/>
      </c>
      <c r="BR187" s="91" t="str">
        <f t="shared" si="1"/>
      </c>
      <c r="BS187" s="91" t="str">
        <f t="shared" si="1"/>
      </c>
      <c r="BT187" s="91" t="str">
        <f t="shared" si="1"/>
      </c>
      <c r="BU187" s="91" t="str">
        <f t="shared" si="1"/>
      </c>
      <c r="BV187" s="91" t="str">
        <f t="shared" si="1"/>
      </c>
      <c r="BW187" s="91" t="str">
        <f t="shared" si="1"/>
      </c>
      <c r="BX187" s="91" t="str">
        <f t="shared" si="1"/>
      </c>
      <c r="BY187" s="91" t="str">
        <f t="shared" si="1"/>
      </c>
      <c r="BZ187" s="91" t="str">
        <f t="shared" si="1"/>
      </c>
      <c r="CA187" s="91" t="str">
        <f t="shared" si="1"/>
      </c>
      <c r="CB187" s="91" t="str">
        <f t="shared" si="1"/>
      </c>
      <c r="CC187" s="91" t="str">
        <f t="shared" si="1"/>
      </c>
      <c r="CD187" s="91" t="str">
        <f t="shared" si="1"/>
      </c>
      <c r="CE187" s="91" t="str">
        <f t="shared" si="1"/>
      </c>
      <c r="CF187" s="91" t="str">
        <f t="shared" si="1"/>
      </c>
      <c r="CG187" s="91" t="str">
        <f t="shared" si="1"/>
      </c>
      <c r="CH187" s="91" t="str">
        <f t="shared" si="1"/>
      </c>
      <c r="CI187" s="91" t="str">
        <f t="shared" si="1"/>
      </c>
      <c r="CJ187" s="91" t="str">
        <f t="shared" si="1"/>
      </c>
      <c r="CK187" s="91" t="str">
        <f t="shared" si="1"/>
      </c>
      <c r="CL187" s="91" t="str">
        <f t="shared" si="1"/>
      </c>
      <c r="CM187" s="91" t="str">
        <f t="shared" si="1"/>
      </c>
      <c r="CN187" s="91" t="str">
        <f t="shared" si="1"/>
      </c>
      <c r="CO187" s="91" t="str">
        <f ref="CO187:EZ187" t="shared" si="2">IF(SUM(CO168:CO186)&lt;&gt;0,SUM(CO168:CO186),"")</f>
      </c>
      <c r="CP187" s="91" t="str">
        <f t="shared" si="2"/>
      </c>
      <c r="CQ187" s="91" t="str">
        <f t="shared" si="2"/>
      </c>
      <c r="CR187" s="91" t="str">
        <f t="shared" si="2"/>
      </c>
      <c r="CS187" s="91" t="str">
        <f t="shared" si="2"/>
      </c>
      <c r="CT187" s="91" t="str">
        <f t="shared" si="2"/>
      </c>
      <c r="CU187" s="91" t="str">
        <f t="shared" si="2"/>
      </c>
      <c r="CV187" s="91" t="str">
        <f t="shared" si="2"/>
      </c>
      <c r="CW187" s="91" t="str">
        <f t="shared" si="2"/>
      </c>
      <c r="CX187" s="91" t="str">
        <f t="shared" si="2"/>
      </c>
      <c r="CY187" s="91" t="str">
        <f t="shared" si="2"/>
      </c>
      <c r="CZ187" s="91" t="str">
        <f t="shared" si="2"/>
      </c>
      <c r="DA187" s="91" t="str">
        <f t="shared" si="2"/>
      </c>
      <c r="DB187" s="91" t="str">
        <f t="shared" si="2"/>
      </c>
      <c r="DC187" s="91" t="str">
        <f t="shared" si="2"/>
      </c>
      <c r="DD187" s="91" t="str">
        <f t="shared" si="2"/>
      </c>
      <c r="DE187" s="91" t="str">
        <f t="shared" si="2"/>
      </c>
      <c r="DF187" s="91" t="str">
        <f t="shared" si="2"/>
      </c>
      <c r="DG187" s="91" t="str">
        <f t="shared" si="2"/>
      </c>
      <c r="DH187" s="91" t="str">
        <f t="shared" si="2"/>
      </c>
      <c r="DI187" s="91" t="str">
        <f t="shared" si="2"/>
      </c>
      <c r="DJ187" s="91" t="str">
        <f t="shared" si="2"/>
      </c>
      <c r="DK187" s="91" t="str">
        <f t="shared" si="2"/>
      </c>
      <c r="DL187" s="91" t="str">
        <f t="shared" si="2"/>
      </c>
      <c r="DM187" s="91" t="str">
        <f t="shared" si="2"/>
      </c>
      <c r="DN187" s="91" t="str">
        <f t="shared" si="2"/>
      </c>
      <c r="DO187" s="91" t="str">
        <f t="shared" si="2"/>
      </c>
      <c r="DP187" s="91" t="str">
        <f t="shared" si="2"/>
      </c>
      <c r="DQ187" s="91" t="str">
        <f t="shared" si="2"/>
      </c>
      <c r="DR187" s="91" t="str">
        <f t="shared" si="2"/>
      </c>
      <c r="DS187" s="91" t="str">
        <f t="shared" si="2"/>
      </c>
      <c r="DT187" s="91" t="str">
        <f t="shared" si="2"/>
      </c>
      <c r="DU187" s="91" t="str">
        <f t="shared" si="2"/>
      </c>
      <c r="DV187" s="91" t="str">
        <f t="shared" si="2"/>
      </c>
      <c r="DW187" s="91" t="str">
        <f t="shared" si="2"/>
      </c>
      <c r="DX187" s="91" t="str">
        <f t="shared" si="2"/>
      </c>
      <c r="DY187" s="91" t="str">
        <f t="shared" si="2"/>
      </c>
      <c r="DZ187" s="91" t="str">
        <f t="shared" si="2"/>
      </c>
      <c r="EA187" s="91" t="str">
        <f t="shared" si="2"/>
      </c>
      <c r="EB187" s="91" t="str">
        <f t="shared" si="2"/>
      </c>
      <c r="EC187" s="91" t="str">
        <f t="shared" si="2"/>
      </c>
      <c r="ED187" s="91" t="str">
        <f t="shared" si="2"/>
      </c>
      <c r="EE187" s="91" t="str">
        <f t="shared" si="2"/>
      </c>
      <c r="EF187" s="91" t="str">
        <f t="shared" si="2"/>
      </c>
      <c r="EG187" s="91" t="str">
        <f t="shared" si="2"/>
      </c>
      <c r="EH187" s="91" t="str">
        <f t="shared" si="2"/>
      </c>
      <c r="EI187" s="91" t="str">
        <f t="shared" si="2"/>
      </c>
      <c r="EJ187" s="91" t="str">
        <f t="shared" si="2"/>
      </c>
      <c r="EK187" s="91" t="str">
        <f t="shared" si="2"/>
      </c>
      <c r="EL187" s="91" t="str">
        <f t="shared" si="2"/>
      </c>
      <c r="EM187" s="91" t="str">
        <f t="shared" si="2"/>
      </c>
      <c r="EN187" s="91" t="str">
        <f t="shared" si="2"/>
      </c>
      <c r="EO187" s="91" t="str">
        <f t="shared" si="2"/>
      </c>
      <c r="EP187" s="91" t="str">
        <f t="shared" si="2"/>
      </c>
      <c r="EQ187" s="91" t="str">
        <f t="shared" si="2"/>
      </c>
      <c r="ER187" s="91" t="str">
        <f t="shared" si="2"/>
      </c>
      <c r="ES187" s="91" t="str">
        <f t="shared" si="2"/>
      </c>
      <c r="ET187" s="91" t="str">
        <f t="shared" si="2"/>
      </c>
      <c r="EU187" s="91" t="str">
        <f t="shared" si="2"/>
      </c>
      <c r="EV187" s="91" t="str">
        <f t="shared" si="2"/>
      </c>
      <c r="EW187" s="91" t="str">
        <f t="shared" si="2"/>
      </c>
      <c r="EX187" s="91" t="str">
        <f t="shared" si="2"/>
      </c>
      <c r="EY187" s="91" t="str">
        <f t="shared" si="2"/>
      </c>
      <c r="EZ187" s="91" t="str">
        <f t="shared" si="2"/>
      </c>
      <c r="FA187" s="91" t="str">
        <f ref="FA187:HL187" t="shared" si="3">IF(SUM(FA168:FA186)&lt;&gt;0,SUM(FA168:FA186),"")</f>
      </c>
      <c r="FB187" s="91" t="str">
        <f t="shared" si="3"/>
      </c>
      <c r="FC187" s="91" t="str">
        <f t="shared" si="3"/>
      </c>
      <c r="FD187" s="91" t="str">
        <f t="shared" si="3"/>
      </c>
      <c r="FE187" s="91" t="str">
        <f t="shared" si="3"/>
      </c>
      <c r="FF187" s="91" t="str">
        <f t="shared" si="3"/>
      </c>
      <c r="FG187" s="91" t="str">
        <f t="shared" si="3"/>
      </c>
      <c r="FH187" s="91" t="str">
        <f t="shared" si="3"/>
      </c>
      <c r="FI187" s="91" t="str">
        <f t="shared" si="3"/>
      </c>
      <c r="FJ187" s="91" t="str">
        <f t="shared" si="3"/>
      </c>
      <c r="FK187" s="91" t="str">
        <f t="shared" si="3"/>
      </c>
      <c r="FL187" s="91" t="str">
        <f t="shared" si="3"/>
      </c>
      <c r="FM187" s="91" t="str">
        <f t="shared" si="3"/>
      </c>
      <c r="FN187" s="91" t="str">
        <f t="shared" si="3"/>
      </c>
      <c r="FO187" s="91" t="str">
        <f t="shared" si="3"/>
      </c>
      <c r="FP187" s="91" t="str">
        <f t="shared" si="3"/>
      </c>
      <c r="FQ187" s="91" t="str">
        <f t="shared" si="3"/>
      </c>
      <c r="FR187" s="91" t="str">
        <f t="shared" si="3"/>
      </c>
      <c r="FS187" s="91" t="str">
        <f t="shared" si="3"/>
      </c>
      <c r="FT187" s="91" t="str">
        <f t="shared" si="3"/>
      </c>
      <c r="FU187" s="91" t="str">
        <f t="shared" si="3"/>
      </c>
      <c r="FV187" s="91" t="str">
        <f t="shared" si="3"/>
      </c>
      <c r="FW187" s="91" t="str">
        <f t="shared" si="3"/>
      </c>
      <c r="FX187" s="91" t="str">
        <f t="shared" si="3"/>
      </c>
      <c r="FY187" s="91" t="str">
        <f t="shared" si="3"/>
      </c>
      <c r="FZ187" s="91" t="str">
        <f t="shared" si="3"/>
      </c>
      <c r="GA187" s="91" t="str">
        <f t="shared" si="3"/>
      </c>
      <c r="GB187" s="91" t="str">
        <f t="shared" si="3"/>
      </c>
      <c r="GC187" s="91" t="str">
        <f t="shared" si="3"/>
      </c>
      <c r="GD187" s="91" t="str">
        <f t="shared" si="3"/>
      </c>
      <c r="GE187" s="91" t="str">
        <f t="shared" si="3"/>
      </c>
      <c r="GF187" s="91" t="str">
        <f t="shared" si="3"/>
      </c>
      <c r="GG187" s="91" t="str">
        <f t="shared" si="3"/>
      </c>
      <c r="GH187" s="91" t="str">
        <f t="shared" si="3"/>
      </c>
      <c r="GI187" s="91" t="str">
        <f t="shared" si="3"/>
      </c>
      <c r="GJ187" s="91" t="str">
        <f t="shared" si="3"/>
      </c>
      <c r="GK187" s="91" t="str">
        <f t="shared" si="3"/>
      </c>
      <c r="GL187" s="91" t="str">
        <f t="shared" si="3"/>
      </c>
      <c r="GM187" s="91" t="str">
        <f t="shared" si="3"/>
      </c>
      <c r="GN187" s="91" t="str">
        <f t="shared" si="3"/>
      </c>
      <c r="GO187" s="91" t="str">
        <f t="shared" si="3"/>
      </c>
      <c r="GP187" s="91" t="str">
        <f t="shared" si="3"/>
      </c>
      <c r="GQ187" s="91" t="str">
        <f t="shared" si="3"/>
      </c>
      <c r="GR187" s="91" t="str">
        <f t="shared" si="3"/>
      </c>
      <c r="GS187" s="91" t="str">
        <f t="shared" si="3"/>
      </c>
      <c r="GT187" s="91" t="str">
        <f t="shared" si="3"/>
      </c>
      <c r="GU187" s="91" t="str">
        <f t="shared" si="3"/>
      </c>
      <c r="GV187" s="91" t="str">
        <f t="shared" si="3"/>
      </c>
      <c r="GW187" s="91" t="str">
        <f t="shared" si="3"/>
      </c>
      <c r="GX187" s="91" t="str">
        <f t="shared" si="3"/>
      </c>
      <c r="GY187" s="91" t="str">
        <f t="shared" si="3"/>
      </c>
      <c r="GZ187" s="91" t="str">
        <f t="shared" si="3"/>
      </c>
      <c r="HA187" s="91" t="str">
        <f t="shared" si="3"/>
      </c>
      <c r="HB187" s="91" t="str">
        <f t="shared" si="3"/>
      </c>
      <c r="HC187" s="91" t="str">
        <f t="shared" si="3"/>
      </c>
      <c r="HD187" s="91" t="str">
        <f t="shared" si="3"/>
      </c>
      <c r="HE187" s="91" t="str">
        <f t="shared" si="3"/>
      </c>
      <c r="HF187" s="91" t="str">
        <f t="shared" si="3"/>
      </c>
      <c r="HG187" s="91" t="str">
        <f t="shared" si="3"/>
      </c>
      <c r="HH187" s="91" t="str">
        <f t="shared" si="3"/>
      </c>
      <c r="HI187" s="91" t="str">
        <f t="shared" si="3"/>
      </c>
      <c r="HJ187" s="91" t="str">
        <f t="shared" si="3"/>
      </c>
      <c r="HK187" s="91" t="str">
        <f t="shared" si="3"/>
      </c>
      <c r="HL187" s="91" t="str">
        <f t="shared" si="3"/>
      </c>
      <c r="HM187" s="91" t="str">
        <f ref="HM187:IV187" t="shared" si="4">IF(SUM(HM168:HM186)&lt;&gt;0,SUM(HM168:HM186),"")</f>
      </c>
      <c r="HN187" s="91" t="str">
        <f t="shared" si="4"/>
      </c>
      <c r="HO187" s="91" t="str">
        <f t="shared" si="4"/>
      </c>
      <c r="HP187" s="91" t="str">
        <f t="shared" si="4"/>
      </c>
      <c r="HQ187" s="91" t="str">
        <f t="shared" si="4"/>
      </c>
      <c r="HR187" s="91" t="str">
        <f t="shared" si="4"/>
      </c>
      <c r="HS187" s="91" t="str">
        <f t="shared" si="4"/>
      </c>
      <c r="HT187" s="91" t="str">
        <f t="shared" si="4"/>
      </c>
      <c r="HU187" s="91" t="str">
        <f t="shared" si="4"/>
      </c>
      <c r="HV187" s="91" t="str">
        <f t="shared" si="4"/>
      </c>
      <c r="HW187" s="91" t="str">
        <f t="shared" si="4"/>
      </c>
      <c r="HX187" s="91" t="str">
        <f t="shared" si="4"/>
      </c>
      <c r="HY187" s="91" t="str">
        <f t="shared" si="4"/>
      </c>
      <c r="HZ187" s="91" t="str">
        <f t="shared" si="4"/>
      </c>
      <c r="IA187" s="91" t="str">
        <f t="shared" si="4"/>
      </c>
      <c r="IB187" s="91" t="str">
        <f t="shared" si="4"/>
      </c>
      <c r="IC187" s="91" t="str">
        <f t="shared" si="4"/>
      </c>
      <c r="ID187" s="91" t="str">
        <f t="shared" si="4"/>
      </c>
      <c r="IE187" s="91" t="str">
        <f t="shared" si="4"/>
      </c>
      <c r="IF187" s="91" t="str">
        <f t="shared" si="4"/>
      </c>
      <c r="IG187" s="91" t="str">
        <f t="shared" si="4"/>
      </c>
      <c r="IH187" s="91" t="str">
        <f t="shared" si="4"/>
      </c>
      <c r="II187" s="91" t="str">
        <f t="shared" si="4"/>
      </c>
      <c r="IJ187" s="91" t="str">
        <f t="shared" si="4"/>
      </c>
      <c r="IK187" s="91" t="str">
        <f t="shared" si="4"/>
      </c>
      <c r="IL187" s="91" t="str">
        <f t="shared" si="4"/>
      </c>
      <c r="IM187" s="91" t="str">
        <f t="shared" si="4"/>
      </c>
      <c r="IN187" s="91" t="str">
        <f t="shared" si="4"/>
      </c>
      <c r="IO187" s="91" t="str">
        <f t="shared" si="4"/>
      </c>
      <c r="IP187" s="91" t="str">
        <f t="shared" si="4"/>
      </c>
      <c r="IQ187" s="91" t="str">
        <f t="shared" si="4"/>
      </c>
      <c r="IR187" s="91" t="str">
        <f t="shared" si="4"/>
      </c>
      <c r="IS187" s="91" t="str">
        <f t="shared" si="4"/>
      </c>
      <c r="IT187" s="91" t="str">
        <f t="shared" si="4"/>
      </c>
      <c r="IU187" s="91" t="str">
        <f t="shared" si="4"/>
      </c>
      <c r="IV187" s="91" t="str">
        <f t="shared" si="4"/>
      </c>
    </row>
    <row r="188" hidden="1" ht="13.5"/>
    <row r="189" hidden="1" ht="15.75" customHeight="1">
      <c r="C189" s="732" t="s">
        <v>244</v>
      </c>
      <c r="D189" s="733"/>
      <c r="E189" s="733"/>
      <c r="F189" s="733"/>
      <c r="G189" s="733"/>
      <c r="H189" s="733"/>
      <c r="I189" s="733"/>
      <c r="J189" s="733"/>
      <c r="K189" s="733"/>
      <c r="L189" s="733"/>
      <c r="M189" s="733"/>
      <c r="N189" s="733"/>
      <c r="O189" s="733"/>
      <c r="P189" s="733"/>
      <c r="Q189" s="733"/>
      <c r="R189" s="733"/>
      <c r="S189" s="733"/>
      <c r="T189" s="733"/>
      <c r="U189" s="733"/>
      <c r="V189" s="733"/>
      <c r="W189" s="733"/>
      <c r="X189" s="733"/>
      <c r="Y189" s="733"/>
      <c r="Z189" s="733"/>
      <c r="AA189" s="733"/>
      <c r="AB189" s="734"/>
    </row>
    <row r="190" hidden="1" ht="15" customHeight="1">
      <c r="B190" s="51"/>
      <c r="C190" s="435" t="str">
        <f> IF(C210&lt;&gt;"",TEXT(AUX!G$1,"dd-MMM-aa"),"")</f>
      </c>
      <c r="D190" s="435" t="str">
        <f> IF(D210&lt;&gt;"",TEXT(AUX!H$1,"dd-MMM-aa"),"")</f>
      </c>
      <c r="E190" s="435" t="str">
        <f> IF(E210&lt;&gt;"",TEXT(AUX!I$1,"dd-MMM-aa"),"")</f>
      </c>
      <c r="F190" s="435" t="str">
        <f> IF(F210&lt;&gt;"",TEXT(AUX!J$1,"dd-MMM-aa"),"")</f>
      </c>
      <c r="G190" s="435" t="str">
        <f> IF(G210&lt;&gt;"",TEXT(AUX!K$1,"dd-MMM-aa"),"")</f>
      </c>
      <c r="H190" s="435" t="str">
        <f> IF(H210&lt;&gt;"",TEXT(AUX!L$1,"dd-MMM-aa"),"")</f>
      </c>
      <c r="I190" s="435" t="str">
        <f> IF(I210&lt;&gt;"",TEXT(AUX!M$1,"dd-MMM-aa"),"")</f>
      </c>
      <c r="J190" s="435" t="str">
        <f> IF(J210&lt;&gt;"",TEXT(AUX!N$1,"dd-MMM-aa"),"")</f>
      </c>
      <c r="K190" s="435" t="str">
        <f> IF(K210&lt;&gt;"",TEXT(AUX!O$1,"dd-MMM-aa"),"")</f>
      </c>
      <c r="L190" s="435" t="str">
        <f> IF(L210&lt;&gt;"",TEXT(AUX!P$1,"dd-MMM-aa"),"")</f>
      </c>
      <c r="M190" s="435" t="str">
        <f> IF(M210&lt;&gt;"",TEXT(AUX!Q$1,"dd-MMM-aa"),"")</f>
      </c>
      <c r="N190" s="435" t="str">
        <f> IF(N210&lt;&gt;"",TEXT(AUX!R$1,"dd-MMM-aa"),"")</f>
      </c>
      <c r="O190" s="435" t="str">
        <f> IF(O210&lt;&gt;"",TEXT(AUX!S$1,"dd-MMM-aa"),"")</f>
      </c>
      <c r="P190" s="435" t="str">
        <f> IF(P210&lt;&gt;"",TEXT(AUX!T$1,"dd-MMM-aa"),"")</f>
      </c>
      <c r="Q190" s="435" t="str">
        <f> IF(Q210&lt;&gt;"",TEXT(AUX!U$1,"dd-MMM-aa"),"")</f>
      </c>
      <c r="R190" s="435" t="str">
        <f> IF(R210&lt;&gt;"",TEXT(AUX!V$1,"dd-MMM-aa"),"")</f>
      </c>
      <c r="S190" s="435" t="str">
        <f> IF(S210&lt;&gt;"",TEXT(AUX!W$1,"dd-MMM-aa"),"")</f>
      </c>
      <c r="T190" s="435" t="str">
        <f> IF(T210&lt;&gt;"",TEXT(AUX!X$1,"dd-MMM-aa"),"")</f>
      </c>
      <c r="U190" s="435" t="str">
        <f> IF(U210&lt;&gt;"",TEXT(AUX!Y$1,"dd-MMM-aa"),"")</f>
      </c>
      <c r="V190" s="435" t="str">
        <f> IF(V210&lt;&gt;"",TEXT(AUX!Z$1,"dd-MMM-aa"),"")</f>
      </c>
      <c r="W190" s="435" t="str">
        <f> IF(W210&lt;&gt;"",TEXT(AUX!AA$1,"dd-MMM-aa"),"")</f>
      </c>
      <c r="X190" s="435" t="str">
        <f> IF(X210&lt;&gt;"",TEXT(AUX!AB$1,"dd-MMM-aa"),"")</f>
      </c>
      <c r="Y190" s="435" t="str">
        <f> IF(Y210&lt;&gt;"",TEXT(AUX!AC$1,"dd-MMM-aa"),"")</f>
      </c>
      <c r="Z190" s="435" t="str">
        <f> IF(Z210&lt;&gt;"",TEXT(AUX!AD$1,"dd-MMM-aa"),"")</f>
      </c>
      <c r="AA190" s="435" t="str">
        <f> IF(AA210&lt;&gt;"",TEXT(AUX!AE$1,"dd-MMM-aa"),"")</f>
      </c>
      <c r="AB190" s="497" t="str">
        <f> IF(AB210&lt;&gt;"",TEXT(AUX!AF$1,"dd-MMM-aa"),"")</f>
      </c>
      <c r="AC190" s="496" t="str">
        <f> IF(AC210&lt;&gt;"",TEXT(AUX!AG$1,"dd-MMM-aa"),"")</f>
      </c>
      <c r="AD190" s="496" t="str">
        <f> IF(AD210&lt;&gt;"",TEXT(AUX!AH$1,"dd-MMM-aa"),"")</f>
      </c>
      <c r="AE190" s="496" t="str">
        <f> IF(AE210&lt;&gt;"",TEXT(AUX!AI$1,"dd-MMM-aa"),"")</f>
      </c>
      <c r="AF190" s="496" t="str">
        <f> IF(AF210&lt;&gt;"",TEXT(AUX!AJ$1,"dd-MMM-aa"),"")</f>
      </c>
      <c r="AG190" s="496" t="str">
        <f> IF(AG210&lt;&gt;"",TEXT(AUX!AK$1,"dd-MMM-aa"),"")</f>
      </c>
      <c r="AH190" s="496" t="str">
        <f> IF(AH210&lt;&gt;"",TEXT(AUX!AL$1,"dd-MMM-aa"),"")</f>
      </c>
      <c r="AI190" s="496" t="str">
        <f> IF(AI210&lt;&gt;"",TEXT(AUX!AM$1,"dd-MMM-aa"),"")</f>
      </c>
      <c r="AJ190" s="496" t="str">
        <f> IF(AJ210&lt;&gt;"",TEXT(AUX!AN$1,"dd-MMM-aa"),"")</f>
      </c>
      <c r="AK190" s="496" t="str">
        <f> IF(AK210&lt;&gt;"",TEXT(AUX!AO$1,"dd-MMM-aa"),"")</f>
      </c>
      <c r="AL190" s="496" t="str">
        <f> IF(AL210&lt;&gt;"",TEXT(AUX!AP$1,"dd-MMM-aa"),"")</f>
      </c>
      <c r="AM190" s="496" t="str">
        <f> IF(AM210&lt;&gt;"",TEXT(AUX!AQ$1,"dd-MMM-aa"),"")</f>
      </c>
      <c r="AN190" s="496" t="str">
        <f> IF(AN210&lt;&gt;"",TEXT(AUX!AR$1,"dd-MMM-aa"),"")</f>
      </c>
      <c r="AO190" s="496" t="str">
        <f> IF(AO210&lt;&gt;"",TEXT(AUX!AS$1,"dd-MMM-aa"),"")</f>
      </c>
      <c r="AP190" s="496" t="str">
        <f> IF(AP210&lt;&gt;"",TEXT(AUX!AT$1,"dd-MMM-aa"),"")</f>
      </c>
      <c r="AQ190" s="496" t="str">
        <f> IF(AQ210&lt;&gt;"",TEXT(AUX!AU$1,"dd-MMM-aa"),"")</f>
      </c>
      <c r="AR190" s="496" t="str">
        <f> IF(AR210&lt;&gt;"",TEXT(AUX!AV$1,"dd-MMM-aa"),"")</f>
      </c>
      <c r="AS190" s="496" t="str">
        <f> IF(AS210&lt;&gt;"",TEXT(AUX!AW$1,"dd-MMM-aa"),"")</f>
      </c>
      <c r="AT190" s="496" t="str">
        <f> IF(AT210&lt;&gt;"",TEXT(AUX!AX$1,"dd-MMM-aa"),"")</f>
      </c>
      <c r="AU190" s="496" t="str">
        <f> IF(AU210&lt;&gt;"",TEXT(AUX!AY$1,"dd-MMM-aa"),"")</f>
      </c>
      <c r="AV190" s="496" t="str">
        <f> IF(AV210&lt;&gt;"",TEXT(AUX!AZ$1,"dd-MMM-aa"),"")</f>
      </c>
      <c r="AW190" s="496" t="str">
        <f> IF(AW210&lt;&gt;"",TEXT(AUX!BA$1,"dd-MMM-aa"),"")</f>
      </c>
      <c r="AX190" s="496" t="str">
        <f> IF(AX210&lt;&gt;"",TEXT(AUX!BB$1,"dd-MMM-aa"),"")</f>
      </c>
      <c r="AY190" s="496" t="str">
        <f> IF(AY210&lt;&gt;"",TEXT(AUX!BC$1,"dd-MMM-aa"),"")</f>
      </c>
      <c r="AZ190" s="496" t="str">
        <f> IF(AZ210&lt;&gt;"",TEXT(AUX!BD$1,"dd-MMM-aa"),"")</f>
      </c>
      <c r="BA190" s="496" t="str">
        <f> IF(BA210&lt;&gt;"",TEXT(AUX!BE$1,"dd-MMM-aa"),"")</f>
      </c>
      <c r="BB190" s="496" t="str">
        <f> IF(BB210&lt;&gt;"",TEXT(AUX!BF$1,"dd-MMM-aa"),"")</f>
      </c>
      <c r="BC190" s="496" t="str">
        <f> IF(BC210&lt;&gt;"",TEXT(AUX!BG$1,"dd-MMM-aa"),"")</f>
      </c>
      <c r="BD190" s="496" t="str">
        <f> IF(BD210&lt;&gt;"",TEXT(AUX!BH$1,"dd-MMM-aa"),"")</f>
      </c>
      <c r="BE190" s="496" t="str">
        <f> IF(BE210&lt;&gt;"",TEXT(AUX!BI$1,"dd-MMM-aa"),"")</f>
      </c>
      <c r="BF190" s="496" t="str">
        <f> IF(BF210&lt;&gt;"",TEXT(AUX!BJ$1,"dd-MMM-aa"),"")</f>
      </c>
      <c r="BG190" s="496" t="str">
        <f> IF(BG210&lt;&gt;"",TEXT(AUX!BK$1,"dd-MMM-aa"),"")</f>
      </c>
      <c r="BH190" s="496" t="str">
        <f> IF(BH210&lt;&gt;"",TEXT(AUX!BL$1,"dd-MMM-aa"),"")</f>
      </c>
      <c r="BI190" s="496" t="str">
        <f> IF(BI210&lt;&gt;"",TEXT(AUX!BM$1,"dd-MMM-aa"),"")</f>
      </c>
      <c r="BJ190" s="496" t="str">
        <f> IF(BJ210&lt;&gt;"",TEXT(AUX!BN$1,"dd-MMM-aa"),"")</f>
      </c>
      <c r="BK190" s="496" t="str">
        <f> IF(BK210&lt;&gt;"",TEXT(AUX!BO$1,"dd-MMM-aa"),"")</f>
      </c>
      <c r="BL190" s="496" t="str">
        <f> IF(BL210&lt;&gt;"",TEXT(AUX!BP$1,"dd-MMM-aa"),"")</f>
      </c>
      <c r="BM190" s="496" t="str">
        <f> IF(BM210&lt;&gt;"",TEXT(AUX!BQ$1,"dd-MMM-aa"),"")</f>
      </c>
      <c r="BN190" s="496" t="str">
        <f> IF(BN210&lt;&gt;"",TEXT(AUX!BR$1,"dd-MMM-aa"),"")</f>
      </c>
      <c r="BO190" s="496" t="str">
        <f> IF(BO210&lt;&gt;"",TEXT(AUX!BS$1,"dd-MMM-aa"),"")</f>
      </c>
      <c r="BP190" s="496" t="str">
        <f> IF(BP210&lt;&gt;"",TEXT(AUX!BT$1,"dd-MMM-aa"),"")</f>
      </c>
      <c r="BQ190" s="496" t="str">
        <f> IF(BQ210&lt;&gt;"",TEXT(AUX!BU$1,"dd-MMM-aa"),"")</f>
      </c>
      <c r="BR190" s="496" t="str">
        <f> IF(BR210&lt;&gt;"",TEXT(AUX!BV$1,"dd-MMM-aa"),"")</f>
      </c>
      <c r="BS190" s="496" t="str">
        <f> IF(BS210&lt;&gt;"",TEXT(AUX!BW$1,"dd-MMM-aa"),"")</f>
      </c>
      <c r="BT190" s="496" t="str">
        <f> IF(BT210&lt;&gt;"",TEXT(AUX!BX$1,"dd-MMM-aa"),"")</f>
      </c>
      <c r="BU190" s="496" t="str">
        <f> IF(BU210&lt;&gt;"",TEXT(AUX!BY$1,"dd-MMM-aa"),"")</f>
      </c>
      <c r="BV190" s="496" t="str">
        <f> IF(BV210&lt;&gt;"",TEXT(AUX!BZ$1,"dd-MMM-aa"),"")</f>
      </c>
      <c r="BW190" s="496" t="str">
        <f> IF(BW210&lt;&gt;"",TEXT(AUX!CA$1,"dd-MMM-aa"),"")</f>
      </c>
      <c r="BX190" s="496" t="str">
        <f> IF(BX210&lt;&gt;"",TEXT(AUX!CB$1,"dd-MMM-aa"),"")</f>
      </c>
      <c r="BY190" s="496" t="str">
        <f> IF(BY210&lt;&gt;"",TEXT(AUX!CC$1,"dd-MMM-aa"),"")</f>
      </c>
      <c r="BZ190" s="496" t="str">
        <f> IF(BZ210&lt;&gt;"",TEXT(AUX!CD$1,"dd-MMM-aa"),"")</f>
      </c>
      <c r="CA190" s="496" t="str">
        <f> IF(CA210&lt;&gt;"",TEXT(AUX!CE$1,"dd-MMM-aa"),"")</f>
      </c>
      <c r="CB190" s="496" t="str">
        <f> IF(CB210&lt;&gt;"",TEXT(AUX!CF$1,"dd-MMM-aa"),"")</f>
      </c>
      <c r="CC190" s="496" t="str">
        <f> IF(CC210&lt;&gt;"",TEXT(AUX!CG$1,"dd-MMM-aa"),"")</f>
      </c>
      <c r="CD190" s="496" t="str">
        <f> IF(CD210&lt;&gt;"",TEXT(AUX!CH$1,"dd-MMM-aa"),"")</f>
      </c>
      <c r="CE190" s="496" t="str">
        <f> IF(CE210&lt;&gt;"",TEXT(AUX!CI$1,"dd-MMM-aa"),"")</f>
      </c>
      <c r="CF190" s="496" t="str">
        <f> IF(CF210&lt;&gt;"",TEXT(AUX!CJ$1,"dd-MMM-aa"),"")</f>
      </c>
      <c r="CG190" s="496" t="str">
        <f> IF(CG210&lt;&gt;"",TEXT(AUX!CK$1,"dd-MMM-aa"),"")</f>
      </c>
      <c r="CH190" s="496" t="str">
        <f> IF(CH210&lt;&gt;"",TEXT(AUX!CL$1,"dd-MMM-aa"),"")</f>
      </c>
      <c r="CI190" s="496" t="str">
        <f> IF(CI210&lt;&gt;"",TEXT(AUX!CM$1,"dd-MMM-aa"),"")</f>
      </c>
      <c r="CJ190" s="496" t="str">
        <f> IF(CJ210&lt;&gt;"",TEXT(AUX!CN$1,"dd-MMM-aa"),"")</f>
      </c>
      <c r="CK190" s="496" t="str">
        <f> IF(CK210&lt;&gt;"",TEXT(AUX!CO$1,"dd-MMM-aa"),"")</f>
      </c>
      <c r="CL190" s="496" t="str">
        <f> IF(CL210&lt;&gt;"",TEXT(AUX!CP$1,"dd-MMM-aa"),"")</f>
      </c>
      <c r="CM190" s="496" t="str">
        <f> IF(CM210&lt;&gt;"",TEXT(AUX!CQ$1,"dd-MMM-aa"),"")</f>
      </c>
      <c r="CN190" s="496" t="str">
        <f> IF(CN210&lt;&gt;"",TEXT(AUX!CR$1,"dd-MMM-aa"),"")</f>
      </c>
      <c r="CO190" s="496" t="str">
        <f> IF(CO210&lt;&gt;"",TEXT(AUX!CS$1,"dd-MMM-aa"),"")</f>
      </c>
      <c r="CP190" s="496" t="str">
        <f> IF(CP210&lt;&gt;"",TEXT(AUX!CT$1,"dd-MMM-aa"),"")</f>
      </c>
      <c r="CQ190" s="496" t="str">
        <f> IF(CQ210&lt;&gt;"",TEXT(AUX!CU$1,"dd-MMM-aa"),"")</f>
      </c>
      <c r="CR190" s="496" t="str">
        <f> IF(CR210&lt;&gt;"",TEXT(AUX!CV$1,"dd-MMM-aa"),"")</f>
      </c>
      <c r="CS190" s="496" t="str">
        <f> IF(CS210&lt;&gt;"",TEXT(AUX!CW$1,"dd-MMM-aa"),"")</f>
      </c>
      <c r="CT190" s="496" t="str">
        <f> IF(CT210&lt;&gt;"",TEXT(AUX!CX$1,"dd-MMM-aa"),"")</f>
      </c>
      <c r="CU190" s="496" t="str">
        <f> IF(CU210&lt;&gt;"",TEXT(AUX!CY$1,"dd-MMM-aa"),"")</f>
      </c>
      <c r="CV190" s="496" t="str">
        <f> IF(CV210&lt;&gt;"",TEXT(AUX!CZ$1,"dd-MMM-aa"),"")</f>
      </c>
      <c r="CW190" s="496" t="str">
        <f> IF(CW210&lt;&gt;"",TEXT(AUX!DA$1,"dd-MMM-aa"),"")</f>
      </c>
      <c r="CX190" s="496" t="str">
        <f> IF(CX210&lt;&gt;"",TEXT(AUX!DB$1,"dd-MMM-aa"),"")</f>
      </c>
      <c r="CY190" s="496" t="str">
        <f> IF(CY210&lt;&gt;"",TEXT(AUX!DC$1,"dd-MMM-aa"),"")</f>
      </c>
      <c r="CZ190" s="496" t="str">
        <f> IF(CZ210&lt;&gt;"",TEXT(AUX!DD$1,"dd-MMM-aa"),"")</f>
      </c>
      <c r="DA190" s="496" t="str">
        <f> IF(DA210&lt;&gt;"",TEXT(AUX!DE$1,"dd-MMM-aa"),"")</f>
      </c>
      <c r="DB190" s="496" t="str">
        <f> IF(DB210&lt;&gt;"",TEXT(AUX!DF$1,"dd-MMM-aa"),"")</f>
      </c>
      <c r="DC190" s="496" t="str">
        <f> IF(DC210&lt;&gt;"",TEXT(AUX!DG$1,"dd-MMM-aa"),"")</f>
      </c>
      <c r="DD190" s="496" t="str">
        <f> IF(DD210&lt;&gt;"",TEXT(AUX!DH$1,"dd-MMM-aa"),"")</f>
      </c>
      <c r="DE190" s="496" t="str">
        <f> IF(DE210&lt;&gt;"",TEXT(AUX!DI$1,"dd-MMM-aa"),"")</f>
      </c>
      <c r="DF190" s="496" t="str">
        <f> IF(DF210&lt;&gt;"",TEXT(AUX!DJ$1,"dd-MMM-aa"),"")</f>
      </c>
      <c r="DG190" s="496" t="str">
        <f> IF(DG210&lt;&gt;"",TEXT(AUX!DK$1,"dd-MMM-aa"),"")</f>
      </c>
      <c r="DH190" s="496" t="str">
        <f> IF(DH210&lt;&gt;"",TEXT(AUX!DL$1,"dd-MMM-aa"),"")</f>
      </c>
      <c r="DI190" s="496" t="str">
        <f> IF(DI210&lt;&gt;"",TEXT(AUX!DM$1,"dd-MMM-aa"),"")</f>
      </c>
      <c r="DJ190" s="496" t="str">
        <f> IF(DJ210&lt;&gt;"",TEXT(AUX!DN$1,"dd-MMM-aa"),"")</f>
      </c>
      <c r="DK190" s="496" t="str">
        <f> IF(DK210&lt;&gt;"",TEXT(AUX!DO$1,"dd-MMM-aa"),"")</f>
      </c>
      <c r="DL190" s="496" t="str">
        <f> IF(DL210&lt;&gt;"",TEXT(AUX!DP$1,"dd-MMM-aa"),"")</f>
      </c>
      <c r="DM190" s="496" t="str">
        <f> IF(DM210&lt;&gt;"",TEXT(AUX!DQ$1,"dd-MMM-aa"),"")</f>
      </c>
      <c r="DN190" s="496" t="str">
        <f> IF(DN210&lt;&gt;"",TEXT(AUX!DR$1,"dd-MMM-aa"),"")</f>
      </c>
      <c r="DO190" s="496" t="str">
        <f> IF(DO210&lt;&gt;"",TEXT(AUX!DS$1,"dd-MMM-aa"),"")</f>
      </c>
      <c r="DP190" s="496" t="str">
        <f> IF(DP210&lt;&gt;"",TEXT(AUX!DT$1,"dd-MMM-aa"),"")</f>
      </c>
      <c r="DQ190" s="496" t="str">
        <f> IF(DQ210&lt;&gt;"",TEXT(AUX!DU$1,"dd-MMM-aa"),"")</f>
      </c>
      <c r="DR190" s="496" t="str">
        <f> IF(DR210&lt;&gt;"",TEXT(AUX!DV$1,"dd-MMM-aa"),"")</f>
      </c>
      <c r="DS190" s="496" t="str">
        <f> IF(DS210&lt;&gt;"",TEXT(AUX!DW$1,"dd-MMM-aa"),"")</f>
      </c>
      <c r="DT190" s="496" t="str">
        <f> IF(DT210&lt;&gt;"",TEXT(AUX!DX$1,"dd-MMM-aa"),"")</f>
      </c>
      <c r="DU190" s="496" t="str">
        <f> IF(DU210&lt;&gt;"",TEXT(AUX!DY$1,"dd-MMM-aa"),"")</f>
      </c>
      <c r="DV190" s="496" t="str">
        <f> IF(DV210&lt;&gt;"",TEXT(AUX!DZ$1,"dd-MMM-aa"),"")</f>
      </c>
      <c r="DW190" s="496" t="str">
        <f> IF(DW210&lt;&gt;"",TEXT(AUX!EA$1,"dd-MMM-aa"),"")</f>
      </c>
      <c r="DX190" s="496" t="str">
        <f> IF(DX210&lt;&gt;"",TEXT(AUX!EB$1,"dd-MMM-aa"),"")</f>
      </c>
      <c r="DY190" s="496" t="str">
        <f> IF(DY210&lt;&gt;"",TEXT(AUX!EC$1,"dd-MMM-aa"),"")</f>
      </c>
      <c r="DZ190" s="496" t="str">
        <f> IF(DZ210&lt;&gt;"",TEXT(AUX!ED$1,"dd-MMM-aa"),"")</f>
      </c>
      <c r="EA190" s="496" t="str">
        <f> IF(EA210&lt;&gt;"",TEXT(AUX!EE$1,"dd-MMM-aa"),"")</f>
      </c>
      <c r="EB190" s="496" t="str">
        <f> IF(EB210&lt;&gt;"",TEXT(AUX!EF$1,"dd-MMM-aa"),"")</f>
      </c>
      <c r="EC190" s="496" t="str">
        <f> IF(EC210&lt;&gt;"",TEXT(AUX!EG$1,"dd-MMM-aa"),"")</f>
      </c>
      <c r="ED190" s="496" t="str">
        <f> IF(ED210&lt;&gt;"",TEXT(AUX!EH$1,"dd-MMM-aa"),"")</f>
      </c>
      <c r="EE190" s="496" t="str">
        <f> IF(EE210&lt;&gt;"",TEXT(AUX!EI$1,"dd-MMM-aa"),"")</f>
      </c>
      <c r="EF190" s="496" t="str">
        <f> IF(EF210&lt;&gt;"",TEXT(AUX!EJ$1,"dd-MMM-aa"),"")</f>
      </c>
      <c r="EG190" s="496" t="str">
        <f> IF(EG210&lt;&gt;"",TEXT(AUX!EK$1,"dd-MMM-aa"),"")</f>
      </c>
      <c r="EH190" s="496" t="str">
        <f> IF(EH210&lt;&gt;"",TEXT(AUX!EL$1,"dd-MMM-aa"),"")</f>
      </c>
      <c r="EI190" s="496" t="str">
        <f> IF(EI210&lt;&gt;"",TEXT(AUX!EM$1,"dd-MMM-aa"),"")</f>
      </c>
      <c r="EJ190" s="496" t="str">
        <f> IF(EJ210&lt;&gt;"",TEXT(AUX!EN$1,"dd-MMM-aa"),"")</f>
      </c>
      <c r="EK190" s="496" t="str">
        <f> IF(EK210&lt;&gt;"",TEXT(AUX!EO$1,"dd-MMM-aa"),"")</f>
      </c>
      <c r="EL190" s="496" t="str">
        <f> IF(EL210&lt;&gt;"",TEXT(AUX!EP$1,"dd-MMM-aa"),"")</f>
      </c>
      <c r="EM190" s="496" t="str">
        <f> IF(EM210&lt;&gt;"",TEXT(AUX!EQ$1,"dd-MMM-aa"),"")</f>
      </c>
      <c r="EN190" s="496" t="str">
        <f> IF(EN210&lt;&gt;"",TEXT(AUX!ER$1,"dd-MMM-aa"),"")</f>
      </c>
      <c r="EO190" s="496" t="str">
        <f> IF(EO210&lt;&gt;"",TEXT(AUX!ES$1,"dd-MMM-aa"),"")</f>
      </c>
      <c r="EP190" s="496" t="str">
        <f> IF(EP210&lt;&gt;"",TEXT(AUX!ET$1,"dd-MMM-aa"),"")</f>
      </c>
      <c r="EQ190" s="496" t="str">
        <f> IF(EQ210&lt;&gt;"",TEXT(AUX!EU$1,"dd-MMM-aa"),"")</f>
      </c>
      <c r="ER190" s="496" t="str">
        <f> IF(ER210&lt;&gt;"",TEXT(AUX!EV$1,"dd-MMM-aa"),"")</f>
      </c>
      <c r="ES190" s="496" t="str">
        <f> IF(ES210&lt;&gt;"",TEXT(AUX!EW$1,"dd-MMM-aa"),"")</f>
      </c>
      <c r="ET190" s="496" t="str">
        <f> IF(ET210&lt;&gt;"",TEXT(AUX!EX$1,"dd-MMM-aa"),"")</f>
      </c>
      <c r="EU190" s="496" t="str">
        <f> IF(EU210&lt;&gt;"",TEXT(AUX!EY$1,"dd-MMM-aa"),"")</f>
      </c>
      <c r="EV190" s="496" t="str">
        <f> IF(EV210&lt;&gt;"",TEXT(AUX!EZ$1,"dd-MMM-aa"),"")</f>
      </c>
      <c r="EW190" s="496" t="str">
        <f> IF(EW210&lt;&gt;"",TEXT(AUX!FA$1,"dd-MMM-aa"),"")</f>
      </c>
      <c r="EX190" s="496" t="str">
        <f> IF(EX210&lt;&gt;"",TEXT(AUX!FB$1,"dd-MMM-aa"),"")</f>
      </c>
      <c r="EY190" s="496" t="str">
        <f> IF(EY210&lt;&gt;"",TEXT(AUX!FC$1,"dd-MMM-aa"),"")</f>
      </c>
      <c r="EZ190" s="496" t="str">
        <f> IF(EZ210&lt;&gt;"",TEXT(AUX!FD$1,"dd-MMM-aa"),"")</f>
      </c>
      <c r="FA190" s="496" t="str">
        <f> IF(FA210&lt;&gt;"",TEXT(AUX!FE$1,"dd-MMM-aa"),"")</f>
      </c>
      <c r="FB190" s="496" t="str">
        <f> IF(FB210&lt;&gt;"",TEXT(AUX!FF$1,"dd-MMM-aa"),"")</f>
      </c>
      <c r="FC190" s="496" t="str">
        <f> IF(FC210&lt;&gt;"",TEXT(AUX!FG$1,"dd-MMM-aa"),"")</f>
      </c>
      <c r="FD190" s="496" t="str">
        <f> IF(FD210&lt;&gt;"",TEXT(AUX!FH$1,"dd-MMM-aa"),"")</f>
      </c>
      <c r="FE190" s="496" t="str">
        <f> IF(FE210&lt;&gt;"",TEXT(AUX!FI$1,"dd-MMM-aa"),"")</f>
      </c>
      <c r="FF190" s="496" t="str">
        <f> IF(FF210&lt;&gt;"",TEXT(AUX!FJ$1,"dd-MMM-aa"),"")</f>
      </c>
      <c r="FG190" s="496" t="str">
        <f> IF(FG210&lt;&gt;"",TEXT(AUX!FK$1,"dd-MMM-aa"),"")</f>
      </c>
      <c r="FH190" s="496" t="str">
        <f> IF(FH210&lt;&gt;"",TEXT(AUX!FL$1,"dd-MMM-aa"),"")</f>
      </c>
      <c r="FI190" s="496" t="str">
        <f> IF(FI210&lt;&gt;"",TEXT(AUX!FM$1,"dd-MMM-aa"),"")</f>
      </c>
      <c r="FJ190" s="496" t="str">
        <f> IF(FJ210&lt;&gt;"",TEXT(AUX!FN$1,"dd-MMM-aa"),"")</f>
      </c>
      <c r="FK190" s="496" t="str">
        <f> IF(FK210&lt;&gt;"",TEXT(AUX!FO$1,"dd-MMM-aa"),"")</f>
      </c>
      <c r="FL190" s="496" t="str">
        <f> IF(FL210&lt;&gt;"",TEXT(AUX!FP$1,"dd-MMM-aa"),"")</f>
      </c>
      <c r="FM190" s="496" t="str">
        <f> IF(FM210&lt;&gt;"",TEXT(AUX!FQ$1,"dd-MMM-aa"),"")</f>
      </c>
      <c r="FN190" s="496" t="str">
        <f> IF(FN210&lt;&gt;"",TEXT(AUX!FR$1,"dd-MMM-aa"),"")</f>
      </c>
      <c r="FO190" s="496" t="str">
        <f> IF(FO210&lt;&gt;"",TEXT(AUX!FS$1,"dd-MMM-aa"),"")</f>
      </c>
      <c r="FP190" s="496" t="str">
        <f> IF(FP210&lt;&gt;"",TEXT(AUX!FT$1,"dd-MMM-aa"),"")</f>
      </c>
      <c r="FQ190" s="496" t="str">
        <f> IF(FQ210&lt;&gt;"",TEXT(AUX!FU$1,"dd-MMM-aa"),"")</f>
      </c>
      <c r="FR190" s="496" t="str">
        <f> IF(FR210&lt;&gt;"",TEXT(AUX!FV$1,"dd-MMM-aa"),"")</f>
      </c>
      <c r="FS190" s="496" t="str">
        <f> IF(FS210&lt;&gt;"",TEXT(AUX!FW$1,"dd-MMM-aa"),"")</f>
      </c>
      <c r="FT190" s="496" t="str">
        <f> IF(FT210&lt;&gt;"",TEXT(AUX!FX$1,"dd-MMM-aa"),"")</f>
      </c>
      <c r="FU190" s="496" t="str">
        <f> IF(FU210&lt;&gt;"",TEXT(AUX!FY$1,"dd-MMM-aa"),"")</f>
      </c>
      <c r="FV190" s="496" t="str">
        <f> IF(FV210&lt;&gt;"",TEXT(AUX!FZ$1,"dd-MMM-aa"),"")</f>
      </c>
      <c r="FW190" s="496" t="str">
        <f> IF(FW210&lt;&gt;"",TEXT(AUX!GA$1,"dd-MMM-aa"),"")</f>
      </c>
      <c r="FX190" s="496" t="str">
        <f> IF(FX210&lt;&gt;"",TEXT(AUX!GB$1,"dd-MMM-aa"),"")</f>
      </c>
      <c r="FY190" s="496" t="str">
        <f> IF(FY210&lt;&gt;"",TEXT(AUX!GC$1,"dd-MMM-aa"),"")</f>
      </c>
      <c r="FZ190" s="496" t="str">
        <f> IF(FZ210&lt;&gt;"",TEXT(AUX!GD$1,"dd-MMM-aa"),"")</f>
      </c>
      <c r="GA190" s="496" t="str">
        <f> IF(GA210&lt;&gt;"",TEXT(AUX!GE$1,"dd-MMM-aa"),"")</f>
      </c>
      <c r="GB190" s="496" t="str">
        <f> IF(GB210&lt;&gt;"",TEXT(AUX!GF$1,"dd-MMM-aa"),"")</f>
      </c>
      <c r="GC190" s="496" t="str">
        <f> IF(GC210&lt;&gt;"",TEXT(AUX!GG$1,"dd-MMM-aa"),"")</f>
      </c>
      <c r="GD190" s="496" t="str">
        <f> IF(GD210&lt;&gt;"",TEXT(AUX!GH$1,"dd-MMM-aa"),"")</f>
      </c>
      <c r="GE190" s="496" t="str">
        <f> IF(GE210&lt;&gt;"",TEXT(AUX!GI$1,"dd-MMM-aa"),"")</f>
      </c>
      <c r="GF190" s="496" t="str">
        <f> IF(GF210&lt;&gt;"",TEXT(AUX!GJ$1,"dd-MMM-aa"),"")</f>
      </c>
      <c r="GG190" s="496" t="str">
        <f> IF(GG210&lt;&gt;"",TEXT(AUX!GK$1,"dd-MMM-aa"),"")</f>
      </c>
      <c r="GH190" s="496" t="str">
        <f> IF(GH210&lt;&gt;"",TEXT(AUX!GL$1,"dd-MMM-aa"),"")</f>
      </c>
      <c r="GI190" s="496" t="str">
        <f> IF(GI210&lt;&gt;"",TEXT(AUX!GM$1,"dd-MMM-aa"),"")</f>
      </c>
      <c r="GJ190" s="496" t="str">
        <f> IF(GJ210&lt;&gt;"",TEXT(AUX!GN$1,"dd-MMM-aa"),"")</f>
      </c>
      <c r="GK190" s="496" t="str">
        <f> IF(GK210&lt;&gt;"",TEXT(AUX!GO$1,"dd-MMM-aa"),"")</f>
      </c>
      <c r="GL190" s="496" t="str">
        <f> IF(GL210&lt;&gt;"",TEXT(AUX!GP$1,"dd-MMM-aa"),"")</f>
      </c>
      <c r="GM190" s="496" t="str">
        <f> IF(GM210&lt;&gt;"",TEXT(AUX!GQ$1,"dd-MMM-aa"),"")</f>
      </c>
      <c r="GN190" s="496" t="str">
        <f> IF(GN210&lt;&gt;"",TEXT(AUX!GR$1,"dd-MMM-aa"),"")</f>
      </c>
      <c r="GO190" s="496" t="str">
        <f> IF(GO210&lt;&gt;"",TEXT(AUX!GS$1,"dd-MMM-aa"),"")</f>
      </c>
      <c r="GP190" s="496" t="str">
        <f> IF(GP210&lt;&gt;"",TEXT(AUX!GT$1,"dd-MMM-aa"),"")</f>
      </c>
      <c r="GQ190" s="496" t="str">
        <f> IF(GQ210&lt;&gt;"",TEXT(AUX!GU$1,"dd-MMM-aa"),"")</f>
      </c>
      <c r="GR190" s="496" t="str">
        <f> IF(GR210&lt;&gt;"",TEXT(AUX!GV$1,"dd-MMM-aa"),"")</f>
      </c>
      <c r="GS190" s="496" t="str">
        <f> IF(GS210&lt;&gt;"",TEXT(AUX!GW$1,"dd-MMM-aa"),"")</f>
      </c>
      <c r="GT190" s="496" t="str">
        <f> IF(GT210&lt;&gt;"",TEXT(AUX!GX$1,"dd-MMM-aa"),"")</f>
      </c>
      <c r="GU190" s="496" t="str">
        <f> IF(GU210&lt;&gt;"",TEXT(AUX!GY$1,"dd-MMM-aa"),"")</f>
      </c>
      <c r="GV190" s="496" t="str">
        <f> IF(GV210&lt;&gt;"",TEXT(AUX!GZ$1,"dd-MMM-aa"),"")</f>
      </c>
      <c r="GW190" s="496" t="str">
        <f> IF(GW210&lt;&gt;"",TEXT(AUX!HA$1,"dd-MMM-aa"),"")</f>
      </c>
      <c r="GX190" s="496" t="str">
        <f> IF(GX210&lt;&gt;"",TEXT(AUX!HB$1,"dd-MMM-aa"),"")</f>
      </c>
      <c r="GY190" s="496" t="str">
        <f> IF(GY210&lt;&gt;"",TEXT(AUX!HC$1,"dd-MMM-aa"),"")</f>
      </c>
      <c r="GZ190" s="496" t="str">
        <f> IF(GZ210&lt;&gt;"",TEXT(AUX!HD$1,"dd-MMM-aa"),"")</f>
      </c>
      <c r="HA190" s="496" t="str">
        <f> IF(HA210&lt;&gt;"",TEXT(AUX!HE$1,"dd-MMM-aa"),"")</f>
      </c>
      <c r="HB190" s="496" t="str">
        <f> IF(HB210&lt;&gt;"",TEXT(AUX!HF$1,"dd-MMM-aa"),"")</f>
      </c>
      <c r="HC190" s="496" t="str">
        <f> IF(HC210&lt;&gt;"",TEXT(AUX!HG$1,"dd-MMM-aa"),"")</f>
      </c>
      <c r="HD190" s="496" t="str">
        <f> IF(HD210&lt;&gt;"",TEXT(AUX!HH$1,"dd-MMM-aa"),"")</f>
      </c>
      <c r="HE190" s="496" t="str">
        <f> IF(HE210&lt;&gt;"",TEXT(AUX!HI$1,"dd-MMM-aa"),"")</f>
      </c>
      <c r="HF190" s="496" t="str">
        <f> IF(HF210&lt;&gt;"",TEXT(AUX!HJ$1,"dd-MMM-aa"),"")</f>
      </c>
      <c r="HG190" s="496" t="str">
        <f> IF(HG210&lt;&gt;"",TEXT(AUX!HK$1,"dd-MMM-aa"),"")</f>
      </c>
      <c r="HH190" s="496" t="str">
        <f> IF(HH210&lt;&gt;"",TEXT(AUX!HL$1,"dd-MMM-aa"),"")</f>
      </c>
      <c r="HI190" s="496" t="str">
        <f> IF(HI210&lt;&gt;"",TEXT(AUX!HM$1,"dd-MMM-aa"),"")</f>
      </c>
      <c r="HJ190" s="496" t="str">
        <f> IF(HJ210&lt;&gt;"",TEXT(AUX!HN$1,"dd-MMM-aa"),"")</f>
      </c>
      <c r="HK190" s="496" t="str">
        <f> IF(HK210&lt;&gt;"",TEXT(AUX!HO$1,"dd-MMM-aa"),"")</f>
      </c>
      <c r="HL190" s="496" t="str">
        <f> IF(HL210&lt;&gt;"",TEXT(AUX!HP$1,"dd-MMM-aa"),"")</f>
      </c>
      <c r="HM190" s="496" t="str">
        <f> IF(HM210&lt;&gt;"",TEXT(AUX!HQ$1,"dd-MMM-aa"),"")</f>
      </c>
      <c r="HN190" s="496" t="str">
        <f> IF(HN210&lt;&gt;"",TEXT(AUX!HR$1,"dd-MMM-aa"),"")</f>
      </c>
      <c r="HO190" s="496" t="str">
        <f> IF(HO210&lt;&gt;"",TEXT(AUX!HS$1,"dd-MMM-aa"),"")</f>
      </c>
      <c r="HP190" s="496" t="str">
        <f> IF(HP210&lt;&gt;"",TEXT(AUX!HT$1,"dd-MMM-aa"),"")</f>
      </c>
      <c r="HQ190" s="496" t="str">
        <f> IF(HQ210&lt;&gt;"",TEXT(AUX!HU$1,"dd-MMM-aa"),"")</f>
      </c>
      <c r="HR190" s="496" t="str">
        <f> IF(HR210&lt;&gt;"",TEXT(AUX!HV$1,"dd-MMM-aa"),"")</f>
      </c>
      <c r="HS190" s="496" t="str">
        <f> IF(HS210&lt;&gt;"",TEXT(AUX!HW$1,"dd-MMM-aa"),"")</f>
      </c>
      <c r="HT190" s="496" t="str">
        <f> IF(HT210&lt;&gt;"",TEXT(AUX!HX$1,"dd-MMM-aa"),"")</f>
      </c>
      <c r="HU190" s="496" t="str">
        <f> IF(HU210&lt;&gt;"",TEXT(AUX!HY$1,"dd-MMM-aa"),"")</f>
      </c>
      <c r="HV190" s="496" t="str">
        <f> IF(HV210&lt;&gt;"",TEXT(AUX!HZ$1,"dd-MMM-aa"),"")</f>
      </c>
      <c r="HW190" s="496" t="str">
        <f> IF(HW210&lt;&gt;"",TEXT(AUX!IA$1,"dd-MMM-aa"),"")</f>
      </c>
      <c r="HX190" s="496" t="str">
        <f> IF(HX210&lt;&gt;"",TEXT(AUX!IB$1,"dd-MMM-aa"),"")</f>
      </c>
      <c r="HY190" s="496" t="str">
        <f> IF(HY210&lt;&gt;"",TEXT(AUX!IC$1,"dd-MMM-aa"),"")</f>
      </c>
      <c r="HZ190" s="496" t="str">
        <f> IF(HZ210&lt;&gt;"",TEXT(AUX!ID$1,"dd-MMM-aa"),"")</f>
      </c>
      <c r="IA190" s="496" t="str">
        <f> IF(IA210&lt;&gt;"",TEXT(AUX!IE$1,"dd-MMM-aa"),"")</f>
      </c>
      <c r="IB190" s="496" t="str">
        <f> IF(IB210&lt;&gt;"",TEXT(AUX!IF$1,"dd-MMM-aa"),"")</f>
      </c>
      <c r="IC190" s="496" t="str">
        <f> IF(IC210&lt;&gt;"",TEXT(AUX!IG$1,"dd-MMM-aa"),"")</f>
      </c>
      <c r="ID190" s="496" t="str">
        <f> IF(ID210&lt;&gt;"",TEXT(AUX!IH$1,"dd-MMM-aa"),"")</f>
      </c>
      <c r="IE190" s="496" t="str">
        <f> IF(IE210&lt;&gt;"",TEXT(AUX!II$1,"dd-MMM-aa"),"")</f>
      </c>
      <c r="IF190" s="496" t="str">
        <f> IF(IF210&lt;&gt;"",TEXT(AUX!IJ$1,"dd-MMM-aa"),"")</f>
      </c>
      <c r="IG190" s="496" t="str">
        <f> IF(IG210&lt;&gt;"",TEXT(AUX!IK$1,"dd-MMM-aa"),"")</f>
      </c>
      <c r="IH190" s="496" t="str">
        <f> IF(IH210&lt;&gt;"",TEXT(AUX!IL$1,"dd-MMM-aa"),"")</f>
      </c>
      <c r="II190" s="496" t="str">
        <f> IF(II210&lt;&gt;"",TEXT(AUX!IM$1,"dd-MMM-aa"),"")</f>
      </c>
      <c r="IJ190" s="496" t="str">
        <f> IF(IJ210&lt;&gt;"",TEXT(AUX!IN$1,"dd-MMM-aa"),"")</f>
      </c>
      <c r="IK190" s="496" t="str">
        <f> IF(IK210&lt;&gt;"",TEXT(AUX!IO$1,"dd-MMM-aa"),"")</f>
      </c>
      <c r="IL190" s="496" t="str">
        <f> IF(IL210&lt;&gt;"",TEXT(AUX!IP$1,"dd-MMM-aa"),"")</f>
      </c>
      <c r="IM190" s="496" t="str">
        <f> IF(IM210&lt;&gt;"",TEXT(AUX!IQ$1,"dd-MMM-aa"),"")</f>
      </c>
      <c r="IN190" s="496" t="str">
        <f> IF(IN210&lt;&gt;"",TEXT(AUX!IR$1,"dd-MMM-aa"),"")</f>
      </c>
      <c r="IO190" s="496" t="str">
        <f> IF(IO210&lt;&gt;"",TEXT(AUX!IS$1,"dd-MMM-aa"),"")</f>
      </c>
      <c r="IP190" s="496" t="str">
        <f> IF(IP210&lt;&gt;"",TEXT(AUX!IT$1,"dd-MMM-aa"),"")</f>
      </c>
      <c r="IQ190" s="496" t="str">
        <f> IF(IQ210&lt;&gt;"",TEXT(AUX!IU$1,"dd-MMM-aa"),"")</f>
      </c>
      <c r="IR190" s="496" t="str">
        <f> IF(IR210&lt;&gt;"",TEXT(AUX!IV$1,"dd-MMM-aa"),"")</f>
      </c>
      <c r="IS190" s="496" t="str">
        <f> IF(IS210&lt;&gt;"",TEXT(AUX!#REF!,"dd-MMM-aa"),"")</f>
      </c>
      <c r="IT190" s="496" t="str">
        <f> IF(IT210&lt;&gt;"",TEXT(AUX!#REF!,"dd-MMM-aa"),"")</f>
      </c>
      <c r="IU190" s="496" t="str">
        <f> IF(IU210&lt;&gt;"",TEXT(AUX!#REF!,"dd-MMM-aa"),"")</f>
      </c>
      <c r="IV190" s="496" t="str">
        <f> IF(IV210&lt;&gt;"",TEXT(AUX!#REF!,"dd-MMM-aa"),"")</f>
      </c>
    </row>
    <row r="191" hidden="1">
      <c r="B191" s="833" t="s">
        <v>8</v>
      </c>
      <c r="C191" s="827">
        <v>0</v>
      </c>
      <c r="D191" s="827">
        <v>0</v>
      </c>
      <c r="E191" s="827">
        <v>0</v>
      </c>
      <c r="F191" s="827">
        <v>0</v>
      </c>
      <c r="G191" s="827">
        <v>0</v>
      </c>
      <c r="H191" s="827">
        <v>0</v>
      </c>
      <c r="I191" s="827">
        <v>0</v>
      </c>
      <c r="J191" s="827">
        <v>0</v>
      </c>
      <c r="K191" s="827">
        <v>0</v>
      </c>
      <c r="L191" s="827">
        <v>0</v>
      </c>
      <c r="M191" s="827">
        <v>0</v>
      </c>
      <c r="N191" s="827">
        <v>0</v>
      </c>
      <c r="O191" s="827">
        <v>0</v>
      </c>
      <c r="P191" s="827">
        <v>0</v>
      </c>
      <c r="Q191" s="827">
        <v>0</v>
      </c>
      <c r="R191" s="827">
        <v>0</v>
      </c>
      <c r="S191" s="827">
        <v>0</v>
      </c>
      <c r="T191" s="827">
        <v>0</v>
      </c>
      <c r="U191" s="827">
        <v>5</v>
      </c>
      <c r="V191" s="827">
        <v>7</v>
      </c>
      <c r="W191" s="827">
        <v>19</v>
      </c>
      <c r="X191" s="827">
        <v>19</v>
      </c>
      <c r="Y191" s="827">
        <v>21</v>
      </c>
      <c r="Z191" s="827">
        <v>23</v>
      </c>
      <c r="AA191" s="827">
        <v>27</v>
      </c>
      <c r="AB191" s="834">
        <v>32</v>
      </c>
      <c r="AC191" s="828">
        <v>36</v>
      </c>
      <c r="AD191" s="828">
        <v>38</v>
      </c>
      <c r="AE191" s="828">
        <v>36</v>
      </c>
      <c r="AF191" s="828">
        <v>39</v>
      </c>
      <c r="AG191" s="828">
        <v>42</v>
      </c>
      <c r="AH191" s="828">
        <v>41</v>
      </c>
      <c r="AI191" s="828">
        <v>43</v>
      </c>
      <c r="AJ191" s="828">
        <v>42</v>
      </c>
      <c r="AK191" s="828">
        <v>46</v>
      </c>
      <c r="AL191" s="828">
        <v>47</v>
      </c>
      <c r="AM191" s="828">
        <v>58</v>
      </c>
      <c r="AN191" s="828">
        <v>59</v>
      </c>
      <c r="AO191" s="828">
        <v>58</v>
      </c>
      <c r="AP191" s="828">
        <v>57</v>
      </c>
      <c r="AQ191" s="51"/>
      <c r="AR191" s="51"/>
      <c r="AS191" s="51"/>
      <c r="AT191" s="51"/>
      <c r="AU191" s="51"/>
      <c r="AV191" s="51"/>
      <c r="AW191" s="51"/>
      <c r="AX191" s="51"/>
      <c r="AY191" s="51"/>
      <c r="AZ191" s="51"/>
      <c r="BA191" s="51"/>
      <c r="BB191" s="51"/>
      <c r="BC191" s="51"/>
      <c r="BD191" s="51"/>
      <c r="BE191" s="51"/>
      <c r="BF191" s="51"/>
      <c r="BG191" s="51"/>
      <c r="BH191" s="51"/>
      <c r="BI191" s="51"/>
      <c r="BJ191" s="51"/>
      <c r="BK191" s="51"/>
      <c r="BL191" s="51"/>
      <c r="BM191" s="51"/>
      <c r="BN191" s="51"/>
      <c r="BO191" s="51"/>
      <c r="BP191" s="51"/>
      <c r="BQ191" s="51"/>
      <c r="BR191" s="51"/>
      <c r="BS191" s="51"/>
      <c r="BT191" s="51"/>
      <c r="BU191" s="51"/>
      <c r="BV191" s="51"/>
      <c r="BW191" s="51"/>
      <c r="BX191" s="51"/>
      <c r="BY191" s="51"/>
      <c r="BZ191" s="51"/>
      <c r="CA191" s="51"/>
      <c r="CB191" s="51"/>
      <c r="CC191" s="51"/>
      <c r="CD191" s="51"/>
      <c r="CE191" s="51"/>
      <c r="CF191" s="51"/>
      <c r="CG191" s="51"/>
      <c r="CH191" s="51"/>
      <c r="CI191" s="51"/>
      <c r="CJ191" s="51"/>
      <c r="CK191" s="51"/>
      <c r="CL191" s="51"/>
      <c r="CM191" s="51"/>
      <c r="CN191" s="51"/>
      <c r="CO191" s="51"/>
      <c r="CP191" s="51"/>
      <c r="CQ191" s="51"/>
      <c r="CR191" s="51"/>
      <c r="CS191" s="51"/>
      <c r="CT191" s="51"/>
      <c r="CU191" s="51"/>
      <c r="CV191" s="51"/>
      <c r="CW191" s="51"/>
      <c r="CX191" s="51"/>
      <c r="CY191" s="51"/>
      <c r="CZ191" s="51"/>
      <c r="DA191" s="51"/>
      <c r="DB191" s="51"/>
      <c r="DC191" s="51"/>
      <c r="DD191" s="51"/>
      <c r="DE191" s="51"/>
      <c r="DF191" s="51"/>
      <c r="DG191" s="51"/>
      <c r="DH191" s="51"/>
      <c r="DI191" s="51"/>
      <c r="DJ191" s="51"/>
      <c r="DK191" s="51"/>
      <c r="DL191" s="51"/>
      <c r="DM191" s="51"/>
      <c r="DN191" s="51"/>
      <c r="DO191" s="51"/>
      <c r="DP191" s="51"/>
      <c r="DQ191" s="51"/>
      <c r="DR191" s="51"/>
      <c r="DS191" s="51"/>
      <c r="DT191" s="51"/>
      <c r="DU191" s="51"/>
      <c r="DV191" s="51"/>
      <c r="DW191" s="51"/>
      <c r="DX191" s="51"/>
      <c r="DY191" s="51"/>
      <c r="DZ191" s="51"/>
      <c r="EA191" s="51"/>
      <c r="EB191" s="51"/>
      <c r="EC191" s="51"/>
      <c r="ED191" s="51"/>
      <c r="EE191" s="51"/>
      <c r="EF191" s="51"/>
      <c r="EG191" s="51"/>
      <c r="EH191" s="51"/>
      <c r="EI191" s="51"/>
      <c r="EJ191" s="51"/>
      <c r="EK191" s="51"/>
      <c r="EL191" s="51"/>
      <c r="EM191" s="51"/>
      <c r="EN191" s="51"/>
      <c r="EO191" s="51"/>
      <c r="EP191" s="51"/>
      <c r="EQ191" s="51"/>
      <c r="ER191" s="51"/>
      <c r="ES191" s="51"/>
      <c r="ET191" s="51"/>
      <c r="EU191" s="51"/>
      <c r="EV191" s="51"/>
      <c r="EW191" s="51"/>
      <c r="EX191" s="51"/>
      <c r="EY191" s="51"/>
      <c r="EZ191" s="51"/>
      <c r="FA191" s="51"/>
      <c r="FB191" s="51"/>
      <c r="FC191" s="51"/>
      <c r="FD191" s="51"/>
      <c r="FE191" s="51"/>
      <c r="FF191" s="51"/>
      <c r="FG191" s="51"/>
      <c r="FH191" s="51"/>
      <c r="FI191" s="51"/>
      <c r="FJ191" s="51"/>
      <c r="FK191" s="51"/>
      <c r="FL191" s="51"/>
      <c r="FM191" s="51"/>
      <c r="FN191" s="51"/>
      <c r="FO191" s="51"/>
      <c r="FP191" s="51"/>
      <c r="FQ191" s="51"/>
      <c r="FR191" s="51"/>
      <c r="FS191" s="51"/>
      <c r="FT191" s="51"/>
      <c r="FU191" s="51"/>
      <c r="FV191" s="51"/>
      <c r="FW191" s="51"/>
      <c r="FX191" s="51"/>
      <c r="FY191" s="51"/>
      <c r="FZ191" s="51"/>
      <c r="GA191" s="51"/>
      <c r="GB191" s="51"/>
      <c r="GC191" s="51"/>
      <c r="GD191" s="51"/>
      <c r="GE191" s="51"/>
      <c r="GF191" s="51"/>
      <c r="GG191" s="51"/>
      <c r="GH191" s="51"/>
      <c r="GI191" s="51"/>
      <c r="GJ191" s="51"/>
      <c r="GK191" s="51"/>
      <c r="GL191" s="51"/>
      <c r="GM191" s="51"/>
      <c r="GN191" s="51"/>
      <c r="GO191" s="51"/>
      <c r="GP191" s="51"/>
      <c r="GQ191" s="51"/>
      <c r="GR191" s="51"/>
      <c r="GS191" s="51"/>
      <c r="GT191" s="51"/>
      <c r="GU191" s="51"/>
      <c r="GV191" s="51"/>
      <c r="GW191" s="51"/>
      <c r="GX191" s="51"/>
      <c r="GY191" s="51"/>
      <c r="GZ191" s="51"/>
      <c r="HA191" s="51"/>
      <c r="HB191" s="51"/>
      <c r="HC191" s="51"/>
      <c r="HD191" s="51"/>
      <c r="HE191" s="51"/>
      <c r="HF191" s="51"/>
      <c r="HG191" s="51"/>
      <c r="HH191" s="51"/>
      <c r="HI191" s="51"/>
      <c r="HJ191" s="51"/>
      <c r="HK191" s="51"/>
      <c r="HL191" s="51"/>
      <c r="HM191" s="51"/>
      <c r="HN191" s="51"/>
      <c r="HO191" s="51"/>
      <c r="HP191" s="51"/>
      <c r="HQ191" s="51"/>
      <c r="HR191" s="51"/>
      <c r="HS191" s="51"/>
      <c r="HT191" s="51"/>
      <c r="HU191" s="51"/>
      <c r="HV191" s="51"/>
      <c r="HW191" s="51"/>
      <c r="HX191" s="51"/>
      <c r="HY191" s="51"/>
      <c r="HZ191" s="51"/>
      <c r="IA191" s="51"/>
      <c r="IB191" s="51"/>
      <c r="IC191" s="51"/>
      <c r="ID191" s="51"/>
      <c r="IE191" s="51"/>
      <c r="IF191" s="51"/>
      <c r="IG191" s="51"/>
      <c r="IH191" s="51"/>
      <c r="II191" s="51"/>
      <c r="IJ191" s="51"/>
      <c r="IK191" s="51"/>
      <c r="IL191" s="51"/>
      <c r="IM191" s="51"/>
      <c r="IN191" s="51"/>
      <c r="IO191" s="51"/>
      <c r="IP191" s="51"/>
      <c r="IQ191" s="51"/>
      <c r="IR191" s="51"/>
      <c r="IS191" s="51"/>
      <c r="IT191" s="51"/>
      <c r="IU191" s="51"/>
      <c r="IV191" s="51"/>
    </row>
    <row r="192" hidden="1">
      <c r="B192" s="829" t="s">
        <v>9</v>
      </c>
      <c r="C192" s="823">
        <v>88</v>
      </c>
      <c r="D192" s="823">
        <v>95</v>
      </c>
      <c r="E192" s="823">
        <v>100</v>
      </c>
      <c r="F192" s="823">
        <v>107</v>
      </c>
      <c r="G192" s="823">
        <v>107</v>
      </c>
      <c r="H192" s="823">
        <v>108</v>
      </c>
      <c r="I192" s="823">
        <v>109</v>
      </c>
      <c r="J192" s="823">
        <v>116</v>
      </c>
      <c r="K192" s="823">
        <v>124</v>
      </c>
      <c r="L192" s="823">
        <v>115</v>
      </c>
      <c r="M192" s="823">
        <v>119</v>
      </c>
      <c r="N192" s="823">
        <v>124</v>
      </c>
      <c r="O192" s="823">
        <v>84</v>
      </c>
      <c r="P192" s="823">
        <v>86</v>
      </c>
      <c r="Q192" s="823">
        <v>87</v>
      </c>
      <c r="R192" s="823">
        <v>97</v>
      </c>
      <c r="S192" s="823">
        <v>102</v>
      </c>
      <c r="T192" s="823">
        <v>103</v>
      </c>
      <c r="U192" s="823">
        <v>106</v>
      </c>
      <c r="V192" s="823">
        <v>107</v>
      </c>
      <c r="W192" s="823">
        <v>106</v>
      </c>
      <c r="X192" s="823">
        <v>105</v>
      </c>
      <c r="Y192" s="823">
        <v>100</v>
      </c>
      <c r="Z192" s="823">
        <v>99</v>
      </c>
      <c r="AA192" s="823">
        <v>100</v>
      </c>
      <c r="AB192" s="823">
        <v>100</v>
      </c>
      <c r="AC192" s="825">
        <v>100</v>
      </c>
      <c r="AD192" s="825">
        <v>98</v>
      </c>
      <c r="AE192" s="825">
        <v>100</v>
      </c>
      <c r="AF192" s="825">
        <v>102</v>
      </c>
      <c r="AG192" s="825">
        <v>103</v>
      </c>
      <c r="AH192" s="825">
        <v>104</v>
      </c>
      <c r="AI192" s="825">
        <v>109</v>
      </c>
      <c r="AJ192" s="825">
        <v>110</v>
      </c>
      <c r="AK192" s="825">
        <v>111</v>
      </c>
      <c r="AL192" s="825">
        <v>119</v>
      </c>
      <c r="AM192" s="825">
        <v>125</v>
      </c>
      <c r="AN192" s="825">
        <v>126</v>
      </c>
      <c r="AO192" s="825">
        <v>135</v>
      </c>
      <c r="AP192" s="825">
        <v>135</v>
      </c>
      <c r="AQ192" s="51"/>
      <c r="AR192" s="51"/>
      <c r="AS192" s="51"/>
      <c r="AT192" s="51"/>
      <c r="AU192" s="51"/>
      <c r="AV192" s="51"/>
      <c r="AW192" s="51"/>
      <c r="AX192" s="51"/>
      <c r="AY192" s="51"/>
      <c r="AZ192" s="51"/>
      <c r="BA192" s="51"/>
      <c r="BB192" s="51"/>
      <c r="BC192" s="51"/>
      <c r="BD192" s="51"/>
      <c r="BE192" s="51"/>
      <c r="BF192" s="51"/>
      <c r="BG192" s="51"/>
      <c r="BH192" s="51"/>
      <c r="BI192" s="51"/>
      <c r="BJ192" s="51"/>
      <c r="BK192" s="51"/>
      <c r="BL192" s="51"/>
      <c r="BM192" s="51"/>
      <c r="BN192" s="51"/>
      <c r="BO192" s="51"/>
      <c r="BP192" s="51"/>
      <c r="BQ192" s="51"/>
      <c r="BR192" s="51"/>
      <c r="BS192" s="51"/>
      <c r="BT192" s="51"/>
      <c r="BU192" s="51"/>
      <c r="BV192" s="51"/>
      <c r="BW192" s="51"/>
      <c r="BX192" s="51"/>
      <c r="BY192" s="51"/>
      <c r="BZ192" s="51"/>
      <c r="CA192" s="51"/>
      <c r="CB192" s="51"/>
      <c r="CC192" s="51"/>
      <c r="CD192" s="51"/>
      <c r="CE192" s="51"/>
      <c r="CF192" s="51"/>
      <c r="CG192" s="51"/>
      <c r="CH192" s="51"/>
      <c r="CI192" s="51"/>
      <c r="CJ192" s="51"/>
      <c r="CK192" s="51"/>
      <c r="CL192" s="51"/>
      <c r="CM192" s="51"/>
      <c r="CN192" s="51"/>
      <c r="CO192" s="51"/>
      <c r="CP192" s="51"/>
      <c r="CQ192" s="51"/>
      <c r="CR192" s="51"/>
      <c r="CS192" s="51"/>
      <c r="CT192" s="51"/>
      <c r="CU192" s="51"/>
      <c r="CV192" s="51"/>
      <c r="CW192" s="51"/>
      <c r="CX192" s="51"/>
      <c r="CY192" s="51"/>
      <c r="CZ192" s="51"/>
      <c r="DA192" s="51"/>
      <c r="DB192" s="51"/>
      <c r="DC192" s="51"/>
      <c r="DD192" s="51"/>
      <c r="DE192" s="51"/>
      <c r="DF192" s="51"/>
      <c r="DG192" s="51"/>
      <c r="DH192" s="51"/>
      <c r="DI192" s="51"/>
      <c r="DJ192" s="51"/>
      <c r="DK192" s="51"/>
      <c r="DL192" s="51"/>
      <c r="DM192" s="51"/>
      <c r="DN192" s="51"/>
      <c r="DO192" s="51"/>
      <c r="DP192" s="51"/>
      <c r="DQ192" s="51"/>
      <c r="DR192" s="51"/>
      <c r="DS192" s="51"/>
      <c r="DT192" s="51"/>
      <c r="DU192" s="51"/>
      <c r="DV192" s="51"/>
      <c r="DW192" s="51"/>
      <c r="DX192" s="51"/>
      <c r="DY192" s="51"/>
      <c r="DZ192" s="51"/>
      <c r="EA192" s="51"/>
      <c r="EB192" s="51"/>
      <c r="EC192" s="51"/>
      <c r="ED192" s="51"/>
      <c r="EE192" s="51"/>
      <c r="EF192" s="51"/>
      <c r="EG192" s="51"/>
      <c r="EH192" s="51"/>
      <c r="EI192" s="51"/>
      <c r="EJ192" s="51"/>
      <c r="EK192" s="51"/>
      <c r="EL192" s="51"/>
      <c r="EM192" s="51"/>
      <c r="EN192" s="51"/>
      <c r="EO192" s="51"/>
      <c r="EP192" s="51"/>
      <c r="EQ192" s="51"/>
      <c r="ER192" s="51"/>
      <c r="ES192" s="51"/>
      <c r="ET192" s="51"/>
      <c r="EU192" s="51"/>
      <c r="EV192" s="51"/>
      <c r="EW192" s="51"/>
      <c r="EX192" s="51"/>
      <c r="EY192" s="51"/>
      <c r="EZ192" s="51"/>
      <c r="FA192" s="51"/>
      <c r="FB192" s="51"/>
      <c r="FC192" s="51"/>
      <c r="FD192" s="51"/>
      <c r="FE192" s="51"/>
      <c r="FF192" s="51"/>
      <c r="FG192" s="51"/>
      <c r="FH192" s="51"/>
      <c r="FI192" s="51"/>
      <c r="FJ192" s="51"/>
      <c r="FK192" s="51"/>
      <c r="FL192" s="51"/>
      <c r="FM192" s="51"/>
      <c r="FN192" s="51"/>
      <c r="FO192" s="51"/>
      <c r="FP192" s="51"/>
      <c r="FQ192" s="51"/>
      <c r="FR192" s="51"/>
      <c r="FS192" s="51"/>
      <c r="FT192" s="51"/>
      <c r="FU192" s="51"/>
      <c r="FV192" s="51"/>
      <c r="FW192" s="51"/>
      <c r="FX192" s="51"/>
      <c r="FY192" s="51"/>
      <c r="FZ192" s="51"/>
      <c r="GA192" s="51"/>
      <c r="GB192" s="51"/>
      <c r="GC192" s="51"/>
      <c r="GD192" s="51"/>
      <c r="GE192" s="51"/>
      <c r="GF192" s="51"/>
      <c r="GG192" s="51"/>
      <c r="GH192" s="51"/>
      <c r="GI192" s="51"/>
      <c r="GJ192" s="51"/>
      <c r="GK192" s="51"/>
      <c r="GL192" s="51"/>
      <c r="GM192" s="51"/>
      <c r="GN192" s="51"/>
      <c r="GO192" s="51"/>
      <c r="GP192" s="51"/>
      <c r="GQ192" s="51"/>
      <c r="GR192" s="51"/>
      <c r="GS192" s="51"/>
      <c r="GT192" s="51"/>
      <c r="GU192" s="51"/>
      <c r="GV192" s="51"/>
      <c r="GW192" s="51"/>
      <c r="GX192" s="51"/>
      <c r="GY192" s="51"/>
      <c r="GZ192" s="51"/>
      <c r="HA192" s="51"/>
      <c r="HB192" s="51"/>
      <c r="HC192" s="51"/>
      <c r="HD192" s="51"/>
      <c r="HE192" s="51"/>
      <c r="HF192" s="51"/>
      <c r="HG192" s="51"/>
      <c r="HH192" s="51"/>
      <c r="HI192" s="51"/>
      <c r="HJ192" s="51"/>
      <c r="HK192" s="51"/>
      <c r="HL192" s="51"/>
      <c r="HM192" s="51"/>
      <c r="HN192" s="51"/>
      <c r="HO192" s="51"/>
      <c r="HP192" s="51"/>
      <c r="HQ192" s="51"/>
      <c r="HR192" s="51"/>
      <c r="HS192" s="51"/>
      <c r="HT192" s="51"/>
      <c r="HU192" s="51"/>
      <c r="HV192" s="51"/>
      <c r="HW192" s="51"/>
      <c r="HX192" s="51"/>
      <c r="HY192" s="51"/>
      <c r="HZ192" s="51"/>
      <c r="IA192" s="51"/>
      <c r="IB192" s="51"/>
      <c r="IC192" s="51"/>
      <c r="ID192" s="51"/>
      <c r="IE192" s="51"/>
      <c r="IF192" s="51"/>
      <c r="IG192" s="51"/>
      <c r="IH192" s="51"/>
      <c r="II192" s="51"/>
      <c r="IJ192" s="51"/>
      <c r="IK192" s="51"/>
      <c r="IL192" s="51"/>
      <c r="IM192" s="51"/>
      <c r="IN192" s="51"/>
      <c r="IO192" s="51"/>
      <c r="IP192" s="51"/>
      <c r="IQ192" s="51"/>
      <c r="IR192" s="51"/>
      <c r="IS192" s="51"/>
      <c r="IT192" s="51"/>
      <c r="IU192" s="51"/>
      <c r="IV192" s="51"/>
    </row>
    <row r="193" hidden="1">
      <c r="B193" s="826" t="s">
        <v>10</v>
      </c>
      <c r="C193" s="827">
        <v>182</v>
      </c>
      <c r="D193" s="827">
        <v>399</v>
      </c>
      <c r="E193" s="827">
        <v>1358</v>
      </c>
      <c r="F193" s="827">
        <v>2225</v>
      </c>
      <c r="G193" s="827">
        <v>2796</v>
      </c>
      <c r="H193" s="827">
        <v>3338</v>
      </c>
      <c r="I193" s="827">
        <v>3868</v>
      </c>
      <c r="J193" s="827">
        <v>4120</v>
      </c>
      <c r="K193" s="827">
        <v>5799</v>
      </c>
      <c r="L193" s="827">
        <v>6668</v>
      </c>
      <c r="M193" s="827">
        <v>6983</v>
      </c>
      <c r="N193" s="827">
        <v>7184</v>
      </c>
      <c r="O193" s="827">
        <v>7683</v>
      </c>
      <c r="P193" s="827">
        <v>8010</v>
      </c>
      <c r="Q193" s="827">
        <v>8004</v>
      </c>
      <c r="R193" s="827">
        <v>8138</v>
      </c>
      <c r="S193" s="827">
        <v>8258</v>
      </c>
      <c r="T193" s="827">
        <v>7595</v>
      </c>
      <c r="U193" s="827">
        <v>7705</v>
      </c>
      <c r="V193" s="827">
        <v>6708</v>
      </c>
      <c r="W193" s="827">
        <v>6901</v>
      </c>
      <c r="X193" s="827">
        <v>6608</v>
      </c>
      <c r="Y193" s="827">
        <v>6723</v>
      </c>
      <c r="Z193" s="827">
        <v>6473</v>
      </c>
      <c r="AA193" s="827">
        <v>6622</v>
      </c>
      <c r="AB193" s="827">
        <v>6380</v>
      </c>
      <c r="AC193" s="828">
        <v>6548</v>
      </c>
      <c r="AD193" s="828">
        <v>6357</v>
      </c>
      <c r="AE193" s="828">
        <v>6570</v>
      </c>
      <c r="AF193" s="828">
        <v>6451</v>
      </c>
      <c r="AG193" s="828">
        <v>6689</v>
      </c>
      <c r="AH193" s="828">
        <v>6593</v>
      </c>
      <c r="AI193" s="828">
        <v>6784</v>
      </c>
      <c r="AJ193" s="828">
        <v>6645</v>
      </c>
      <c r="AK193" s="828">
        <v>6828</v>
      </c>
      <c r="AL193" s="828">
        <v>6668</v>
      </c>
      <c r="AM193" s="828">
        <v>6859</v>
      </c>
      <c r="AN193" s="828">
        <v>6739</v>
      </c>
      <c r="AO193" s="828">
        <v>6904</v>
      </c>
      <c r="AP193" s="828">
        <v>6763</v>
      </c>
      <c r="AQ193" s="51"/>
      <c r="AR193" s="51"/>
      <c r="AS193" s="51"/>
      <c r="AT193" s="51"/>
      <c r="AU193" s="51"/>
      <c r="AV193" s="51"/>
      <c r="AW193" s="51"/>
      <c r="AX193" s="51"/>
      <c r="AY193" s="51"/>
      <c r="AZ193" s="51"/>
      <c r="BA193" s="51"/>
      <c r="BB193" s="51"/>
      <c r="BC193" s="51"/>
      <c r="BD193" s="51"/>
      <c r="BE193" s="51"/>
      <c r="BF193" s="51"/>
      <c r="BG193" s="51"/>
      <c r="BH193" s="51"/>
      <c r="BI193" s="51"/>
      <c r="BJ193" s="51"/>
      <c r="BK193" s="51"/>
      <c r="BL193" s="51"/>
      <c r="BM193" s="51"/>
      <c r="BN193" s="51"/>
      <c r="BO193" s="51"/>
      <c r="BP193" s="51"/>
      <c r="BQ193" s="51"/>
      <c r="BR193" s="51"/>
      <c r="BS193" s="51"/>
      <c r="BT193" s="51"/>
      <c r="BU193" s="51"/>
      <c r="BV193" s="51"/>
      <c r="BW193" s="51"/>
      <c r="BX193" s="51"/>
      <c r="BY193" s="51"/>
      <c r="BZ193" s="51"/>
      <c r="CA193" s="51"/>
      <c r="CB193" s="51"/>
      <c r="CC193" s="51"/>
      <c r="CD193" s="51"/>
      <c r="CE193" s="51"/>
      <c r="CF193" s="51"/>
      <c r="CG193" s="51"/>
      <c r="CH193" s="51"/>
      <c r="CI193" s="51"/>
      <c r="CJ193" s="51"/>
      <c r="CK193" s="51"/>
      <c r="CL193" s="51"/>
      <c r="CM193" s="51"/>
      <c r="CN193" s="51"/>
      <c r="CO193" s="51"/>
      <c r="CP193" s="51"/>
      <c r="CQ193" s="51"/>
      <c r="CR193" s="51"/>
      <c r="CS193" s="51"/>
      <c r="CT193" s="51"/>
      <c r="CU193" s="51"/>
      <c r="CV193" s="51"/>
      <c r="CW193" s="51"/>
      <c r="CX193" s="51"/>
      <c r="CY193" s="51"/>
      <c r="CZ193" s="51"/>
      <c r="DA193" s="51"/>
      <c r="DB193" s="51"/>
      <c r="DC193" s="51"/>
      <c r="DD193" s="51"/>
      <c r="DE193" s="51"/>
      <c r="DF193" s="51"/>
      <c r="DG193" s="51"/>
      <c r="DH193" s="51"/>
      <c r="DI193" s="51"/>
      <c r="DJ193" s="51"/>
      <c r="DK193" s="51"/>
      <c r="DL193" s="51"/>
      <c r="DM193" s="51"/>
      <c r="DN193" s="51"/>
      <c r="DO193" s="51"/>
      <c r="DP193" s="51"/>
      <c r="DQ193" s="51"/>
      <c r="DR193" s="51"/>
      <c r="DS193" s="51"/>
      <c r="DT193" s="51"/>
      <c r="DU193" s="51"/>
      <c r="DV193" s="51"/>
      <c r="DW193" s="51"/>
      <c r="DX193" s="51"/>
      <c r="DY193" s="51"/>
      <c r="DZ193" s="51"/>
      <c r="EA193" s="51"/>
      <c r="EB193" s="51"/>
      <c r="EC193" s="51"/>
      <c r="ED193" s="51"/>
      <c r="EE193" s="51"/>
      <c r="EF193" s="51"/>
      <c r="EG193" s="51"/>
      <c r="EH193" s="51"/>
      <c r="EI193" s="51"/>
      <c r="EJ193" s="51"/>
      <c r="EK193" s="51"/>
      <c r="EL193" s="51"/>
      <c r="EM193" s="51"/>
      <c r="EN193" s="51"/>
      <c r="EO193" s="51"/>
      <c r="EP193" s="51"/>
      <c r="EQ193" s="51"/>
      <c r="ER193" s="51"/>
      <c r="ES193" s="51"/>
      <c r="ET193" s="51"/>
      <c r="EU193" s="51"/>
      <c r="EV193" s="51"/>
      <c r="EW193" s="51"/>
      <c r="EX193" s="51"/>
      <c r="EY193" s="51"/>
      <c r="EZ193" s="51"/>
      <c r="FA193" s="51"/>
      <c r="FB193" s="51"/>
      <c r="FC193" s="51"/>
      <c r="FD193" s="51"/>
      <c r="FE193" s="51"/>
      <c r="FF193" s="51"/>
      <c r="FG193" s="51"/>
      <c r="FH193" s="51"/>
      <c r="FI193" s="51"/>
      <c r="FJ193" s="51"/>
      <c r="FK193" s="51"/>
      <c r="FL193" s="51"/>
      <c r="FM193" s="51"/>
      <c r="FN193" s="51"/>
      <c r="FO193" s="51"/>
      <c r="FP193" s="51"/>
      <c r="FQ193" s="51"/>
      <c r="FR193" s="51"/>
      <c r="FS193" s="51"/>
      <c r="FT193" s="51"/>
      <c r="FU193" s="51"/>
      <c r="FV193" s="51"/>
      <c r="FW193" s="51"/>
      <c r="FX193" s="51"/>
      <c r="FY193" s="51"/>
      <c r="FZ193" s="51"/>
      <c r="GA193" s="51"/>
      <c r="GB193" s="51"/>
      <c r="GC193" s="51"/>
      <c r="GD193" s="51"/>
      <c r="GE193" s="51"/>
      <c r="GF193" s="51"/>
      <c r="GG193" s="51"/>
      <c r="GH193" s="51"/>
      <c r="GI193" s="51"/>
      <c r="GJ193" s="51"/>
      <c r="GK193" s="51"/>
      <c r="GL193" s="51"/>
      <c r="GM193" s="51"/>
      <c r="GN193" s="51"/>
      <c r="GO193" s="51"/>
      <c r="GP193" s="51"/>
      <c r="GQ193" s="51"/>
      <c r="GR193" s="51"/>
      <c r="GS193" s="51"/>
      <c r="GT193" s="51"/>
      <c r="GU193" s="51"/>
      <c r="GV193" s="51"/>
      <c r="GW193" s="51"/>
      <c r="GX193" s="51"/>
      <c r="GY193" s="51"/>
      <c r="GZ193" s="51"/>
      <c r="HA193" s="51"/>
      <c r="HB193" s="51"/>
      <c r="HC193" s="51"/>
      <c r="HD193" s="51"/>
      <c r="HE193" s="51"/>
      <c r="HF193" s="51"/>
      <c r="HG193" s="51"/>
      <c r="HH193" s="51"/>
      <c r="HI193" s="51"/>
      <c r="HJ193" s="51"/>
      <c r="HK193" s="51"/>
      <c r="HL193" s="51"/>
      <c r="HM193" s="51"/>
      <c r="HN193" s="51"/>
      <c r="HO193" s="51"/>
      <c r="HP193" s="51"/>
      <c r="HQ193" s="51"/>
      <c r="HR193" s="51"/>
      <c r="HS193" s="51"/>
      <c r="HT193" s="51"/>
      <c r="HU193" s="51"/>
      <c r="HV193" s="51"/>
      <c r="HW193" s="51"/>
      <c r="HX193" s="51"/>
      <c r="HY193" s="51"/>
      <c r="HZ193" s="51"/>
      <c r="IA193" s="51"/>
      <c r="IB193" s="51"/>
      <c r="IC193" s="51"/>
      <c r="ID193" s="51"/>
      <c r="IE193" s="51"/>
      <c r="IF193" s="51"/>
      <c r="IG193" s="51"/>
      <c r="IH193" s="51"/>
      <c r="II193" s="51"/>
      <c r="IJ193" s="51"/>
      <c r="IK193" s="51"/>
      <c r="IL193" s="51"/>
      <c r="IM193" s="51"/>
      <c r="IN193" s="51"/>
      <c r="IO193" s="51"/>
      <c r="IP193" s="51"/>
      <c r="IQ193" s="51"/>
      <c r="IR193" s="51"/>
      <c r="IS193" s="51"/>
      <c r="IT193" s="51"/>
      <c r="IU193" s="51"/>
      <c r="IV193" s="51"/>
    </row>
    <row r="194" hidden="1">
      <c r="B194" s="829" t="s">
        <v>11</v>
      </c>
      <c r="C194" s="823">
        <v>14</v>
      </c>
      <c r="D194" s="823">
        <v>15</v>
      </c>
      <c r="E194" s="823">
        <v>18</v>
      </c>
      <c r="F194" s="823">
        <v>19</v>
      </c>
      <c r="G194" s="823">
        <v>18</v>
      </c>
      <c r="H194" s="823">
        <v>19</v>
      </c>
      <c r="I194" s="823">
        <v>22</v>
      </c>
      <c r="J194" s="823">
        <v>18</v>
      </c>
      <c r="K194" s="823">
        <v>19</v>
      </c>
      <c r="L194" s="823">
        <v>19</v>
      </c>
      <c r="M194" s="823">
        <v>0</v>
      </c>
      <c r="N194" s="823">
        <v>0</v>
      </c>
      <c r="O194" s="823">
        <v>1</v>
      </c>
      <c r="P194" s="823">
        <v>2</v>
      </c>
      <c r="Q194" s="823">
        <v>2</v>
      </c>
      <c r="R194" s="823">
        <v>2</v>
      </c>
      <c r="S194" s="823">
        <v>2</v>
      </c>
      <c r="T194" s="823">
        <v>2</v>
      </c>
      <c r="U194" s="823">
        <v>2</v>
      </c>
      <c r="V194" s="823">
        <v>2</v>
      </c>
      <c r="W194" s="823">
        <v>2</v>
      </c>
      <c r="X194" s="823">
        <v>2</v>
      </c>
      <c r="Y194" s="823">
        <v>2</v>
      </c>
      <c r="Z194" s="823">
        <v>1</v>
      </c>
      <c r="AA194" s="823">
        <v>0</v>
      </c>
      <c r="AB194" s="823">
        <v>4</v>
      </c>
      <c r="AC194" s="825">
        <v>2</v>
      </c>
      <c r="AD194" s="825">
        <v>2</v>
      </c>
      <c r="AE194" s="825">
        <v>3</v>
      </c>
      <c r="AF194" s="825">
        <v>3</v>
      </c>
      <c r="AG194" s="825">
        <v>2</v>
      </c>
      <c r="AH194" s="825">
        <v>3</v>
      </c>
      <c r="AI194" s="825">
        <v>2</v>
      </c>
      <c r="AJ194" s="825">
        <v>2</v>
      </c>
      <c r="AK194" s="825">
        <v>2</v>
      </c>
      <c r="AL194" s="825">
        <v>3</v>
      </c>
      <c r="AM194" s="825">
        <v>4</v>
      </c>
      <c r="AN194" s="825">
        <v>5</v>
      </c>
      <c r="AO194" s="825">
        <v>5</v>
      </c>
      <c r="AP194" s="825">
        <v>3</v>
      </c>
      <c r="AQ194" s="51"/>
      <c r="AR194" s="51"/>
      <c r="AS194" s="51"/>
      <c r="AT194" s="51"/>
      <c r="AU194" s="51"/>
      <c r="AV194" s="51"/>
      <c r="AW194" s="51"/>
      <c r="AX194" s="51"/>
      <c r="AY194" s="51"/>
      <c r="AZ194" s="51"/>
      <c r="BA194" s="51"/>
      <c r="BB194" s="51"/>
      <c r="BC194" s="51"/>
      <c r="BD194" s="51"/>
      <c r="BE194" s="51"/>
      <c r="BF194" s="51"/>
      <c r="BG194" s="51"/>
      <c r="BH194" s="51"/>
      <c r="BI194" s="51"/>
      <c r="BJ194" s="51"/>
      <c r="BK194" s="51"/>
      <c r="BL194" s="51"/>
      <c r="BM194" s="51"/>
      <c r="BN194" s="51"/>
      <c r="BO194" s="51"/>
      <c r="BP194" s="51"/>
      <c r="BQ194" s="51"/>
      <c r="BR194" s="51"/>
      <c r="BS194" s="51"/>
      <c r="BT194" s="51"/>
      <c r="BU194" s="51"/>
      <c r="BV194" s="51"/>
      <c r="BW194" s="51"/>
      <c r="BX194" s="51"/>
      <c r="BY194" s="51"/>
      <c r="BZ194" s="51"/>
      <c r="CA194" s="51"/>
      <c r="CB194" s="51"/>
      <c r="CC194" s="51"/>
      <c r="CD194" s="51"/>
      <c r="CE194" s="51"/>
      <c r="CF194" s="51"/>
      <c r="CG194" s="51"/>
      <c r="CH194" s="51"/>
      <c r="CI194" s="51"/>
      <c r="CJ194" s="51"/>
      <c r="CK194" s="51"/>
      <c r="CL194" s="51"/>
      <c r="CM194" s="51"/>
      <c r="CN194" s="51"/>
      <c r="CO194" s="51"/>
      <c r="CP194" s="51"/>
      <c r="CQ194" s="51"/>
      <c r="CR194" s="51"/>
      <c r="CS194" s="51"/>
      <c r="CT194" s="51"/>
      <c r="CU194" s="51"/>
      <c r="CV194" s="51"/>
      <c r="CW194" s="51"/>
      <c r="CX194" s="51"/>
      <c r="CY194" s="51"/>
      <c r="CZ194" s="51"/>
      <c r="DA194" s="51"/>
      <c r="DB194" s="51"/>
      <c r="DC194" s="51"/>
      <c r="DD194" s="51"/>
      <c r="DE194" s="51"/>
      <c r="DF194" s="51"/>
      <c r="DG194" s="51"/>
      <c r="DH194" s="51"/>
      <c r="DI194" s="51"/>
      <c r="DJ194" s="51"/>
      <c r="DK194" s="51"/>
      <c r="DL194" s="51"/>
      <c r="DM194" s="51"/>
      <c r="DN194" s="51"/>
      <c r="DO194" s="51"/>
      <c r="DP194" s="51"/>
      <c r="DQ194" s="51"/>
      <c r="DR194" s="51"/>
      <c r="DS194" s="51"/>
      <c r="DT194" s="51"/>
      <c r="DU194" s="51"/>
      <c r="DV194" s="51"/>
      <c r="DW194" s="51"/>
      <c r="DX194" s="51"/>
      <c r="DY194" s="51"/>
      <c r="DZ194" s="51"/>
      <c r="EA194" s="51"/>
      <c r="EB194" s="51"/>
      <c r="EC194" s="51"/>
      <c r="ED194" s="51"/>
      <c r="EE194" s="51"/>
      <c r="EF194" s="51"/>
      <c r="EG194" s="51"/>
      <c r="EH194" s="51"/>
      <c r="EI194" s="51"/>
      <c r="EJ194" s="51"/>
      <c r="EK194" s="51"/>
      <c r="EL194" s="51"/>
      <c r="EM194" s="51"/>
      <c r="EN194" s="51"/>
      <c r="EO194" s="51"/>
      <c r="EP194" s="51"/>
      <c r="EQ194" s="51"/>
      <c r="ER194" s="51"/>
      <c r="ES194" s="51"/>
      <c r="ET194" s="51"/>
      <c r="EU194" s="51"/>
      <c r="EV194" s="51"/>
      <c r="EW194" s="51"/>
      <c r="EX194" s="51"/>
      <c r="EY194" s="51"/>
      <c r="EZ194" s="51"/>
      <c r="FA194" s="51"/>
      <c r="FB194" s="51"/>
      <c r="FC194" s="51"/>
      <c r="FD194" s="51"/>
      <c r="FE194" s="51"/>
      <c r="FF194" s="51"/>
      <c r="FG194" s="51"/>
      <c r="FH194" s="51"/>
      <c r="FI194" s="51"/>
      <c r="FJ194" s="51"/>
      <c r="FK194" s="51"/>
      <c r="FL194" s="51"/>
      <c r="FM194" s="51"/>
      <c r="FN194" s="51"/>
      <c r="FO194" s="51"/>
      <c r="FP194" s="51"/>
      <c r="FQ194" s="51"/>
      <c r="FR194" s="51"/>
      <c r="FS194" s="51"/>
      <c r="FT194" s="51"/>
      <c r="FU194" s="51"/>
      <c r="FV194" s="51"/>
      <c r="FW194" s="51"/>
      <c r="FX194" s="51"/>
      <c r="FY194" s="51"/>
      <c r="FZ194" s="51"/>
      <c r="GA194" s="51"/>
      <c r="GB194" s="51"/>
      <c r="GC194" s="51"/>
      <c r="GD194" s="51"/>
      <c r="GE194" s="51"/>
      <c r="GF194" s="51"/>
      <c r="GG194" s="51"/>
      <c r="GH194" s="51"/>
      <c r="GI194" s="51"/>
      <c r="GJ194" s="51"/>
      <c r="GK194" s="51"/>
      <c r="GL194" s="51"/>
      <c r="GM194" s="51"/>
      <c r="GN194" s="51"/>
      <c r="GO194" s="51"/>
      <c r="GP194" s="51"/>
      <c r="GQ194" s="51"/>
      <c r="GR194" s="51"/>
      <c r="GS194" s="51"/>
      <c r="GT194" s="51"/>
      <c r="GU194" s="51"/>
      <c r="GV194" s="51"/>
      <c r="GW194" s="51"/>
      <c r="GX194" s="51"/>
      <c r="GY194" s="51"/>
      <c r="GZ194" s="51"/>
      <c r="HA194" s="51"/>
      <c r="HB194" s="51"/>
      <c r="HC194" s="51"/>
      <c r="HD194" s="51"/>
      <c r="HE194" s="51"/>
      <c r="HF194" s="51"/>
      <c r="HG194" s="51"/>
      <c r="HH194" s="51"/>
      <c r="HI194" s="51"/>
      <c r="HJ194" s="51"/>
      <c r="HK194" s="51"/>
      <c r="HL194" s="51"/>
      <c r="HM194" s="51"/>
      <c r="HN194" s="51"/>
      <c r="HO194" s="51"/>
      <c r="HP194" s="51"/>
      <c r="HQ194" s="51"/>
      <c r="HR194" s="51"/>
      <c r="HS194" s="51"/>
      <c r="HT194" s="51"/>
      <c r="HU194" s="51"/>
      <c r="HV194" s="51"/>
      <c r="HW194" s="51"/>
      <c r="HX194" s="51"/>
      <c r="HY194" s="51"/>
      <c r="HZ194" s="51"/>
      <c r="IA194" s="51"/>
      <c r="IB194" s="51"/>
      <c r="IC194" s="51"/>
      <c r="ID194" s="51"/>
      <c r="IE194" s="51"/>
      <c r="IF194" s="51"/>
      <c r="IG194" s="51"/>
      <c r="IH194" s="51"/>
      <c r="II194" s="51"/>
      <c r="IJ194" s="51"/>
      <c r="IK194" s="51"/>
      <c r="IL194" s="51"/>
      <c r="IM194" s="51"/>
      <c r="IN194" s="51"/>
      <c r="IO194" s="51"/>
      <c r="IP194" s="51"/>
      <c r="IQ194" s="51"/>
      <c r="IR194" s="51"/>
      <c r="IS194" s="51"/>
      <c r="IT194" s="51"/>
      <c r="IU194" s="51"/>
      <c r="IV194" s="51"/>
    </row>
    <row r="195" hidden="1">
      <c r="B195" s="826" t="s">
        <v>12</v>
      </c>
      <c r="C195" s="827">
        <v>0</v>
      </c>
      <c r="D195" s="827">
        <v>0</v>
      </c>
      <c r="E195" s="827">
        <v>0</v>
      </c>
      <c r="F195" s="827">
        <v>0</v>
      </c>
      <c r="G195" s="827">
        <v>0</v>
      </c>
      <c r="H195" s="827">
        <v>0</v>
      </c>
      <c r="I195" s="827">
        <v>0</v>
      </c>
      <c r="J195" s="827">
        <v>0</v>
      </c>
      <c r="K195" s="827">
        <v>0</v>
      </c>
      <c r="L195" s="827">
        <v>0</v>
      </c>
      <c r="M195" s="827">
        <v>0</v>
      </c>
      <c r="N195" s="827">
        <v>0</v>
      </c>
      <c r="O195" s="827">
        <v>0</v>
      </c>
      <c r="P195" s="827">
        <v>0</v>
      </c>
      <c r="Q195" s="827">
        <v>0</v>
      </c>
      <c r="R195" s="827">
        <v>0</v>
      </c>
      <c r="S195" s="827">
        <v>0</v>
      </c>
      <c r="T195" s="827">
        <v>0</v>
      </c>
      <c r="U195" s="827">
        <v>0</v>
      </c>
      <c r="V195" s="827">
        <v>0</v>
      </c>
      <c r="W195" s="827">
        <v>0</v>
      </c>
      <c r="X195" s="827">
        <v>0</v>
      </c>
      <c r="Y195" s="827">
        <v>1</v>
      </c>
      <c r="Z195" s="827">
        <v>1</v>
      </c>
      <c r="AA195" s="827">
        <v>1</v>
      </c>
      <c r="AB195" s="827">
        <v>1</v>
      </c>
      <c r="AC195" s="828">
        <v>1</v>
      </c>
      <c r="AD195" s="828">
        <v>1</v>
      </c>
      <c r="AE195" s="828">
        <v>1</v>
      </c>
      <c r="AF195" s="828">
        <v>1</v>
      </c>
      <c r="AG195" s="828">
        <v>1</v>
      </c>
      <c r="AH195" s="828">
        <v>1</v>
      </c>
      <c r="AI195" s="828">
        <v>2</v>
      </c>
      <c r="AJ195" s="828">
        <v>4</v>
      </c>
      <c r="AK195" s="828">
        <v>4</v>
      </c>
      <c r="AL195" s="828">
        <v>4</v>
      </c>
      <c r="AM195" s="828">
        <v>4</v>
      </c>
      <c r="AN195" s="828">
        <v>3</v>
      </c>
      <c r="AO195" s="828">
        <v>3</v>
      </c>
      <c r="AP195" s="828">
        <v>3</v>
      </c>
      <c r="AQ195" s="51"/>
      <c r="AR195" s="51"/>
      <c r="AS195" s="51"/>
      <c r="AT195" s="51"/>
      <c r="AU195" s="51"/>
      <c r="AV195" s="51"/>
      <c r="AW195" s="51"/>
      <c r="AX195" s="51"/>
      <c r="AY195" s="51"/>
      <c r="AZ195" s="51"/>
      <c r="BA195" s="51"/>
      <c r="BB195" s="51"/>
      <c r="BC195" s="51"/>
      <c r="BD195" s="51"/>
      <c r="BE195" s="51"/>
      <c r="BF195" s="51"/>
      <c r="BG195" s="51"/>
      <c r="BH195" s="51"/>
      <c r="BI195" s="51"/>
      <c r="BJ195" s="51"/>
      <c r="BK195" s="51"/>
      <c r="BL195" s="51"/>
      <c r="BM195" s="51"/>
      <c r="BN195" s="51"/>
      <c r="BO195" s="51"/>
      <c r="BP195" s="51"/>
      <c r="BQ195" s="51"/>
      <c r="BR195" s="51"/>
      <c r="BS195" s="51"/>
      <c r="BT195" s="51"/>
      <c r="BU195" s="51"/>
      <c r="BV195" s="51"/>
      <c r="BW195" s="51"/>
      <c r="BX195" s="51"/>
      <c r="BY195" s="51"/>
      <c r="BZ195" s="51"/>
      <c r="CA195" s="51"/>
      <c r="CB195" s="51"/>
      <c r="CC195" s="51"/>
      <c r="CD195" s="51"/>
      <c r="CE195" s="51"/>
      <c r="CF195" s="51"/>
      <c r="CG195" s="51"/>
      <c r="CH195" s="51"/>
      <c r="CI195" s="51"/>
      <c r="CJ195" s="51"/>
      <c r="CK195" s="51"/>
      <c r="CL195" s="51"/>
      <c r="CM195" s="51"/>
      <c r="CN195" s="51"/>
      <c r="CO195" s="51"/>
      <c r="CP195" s="51"/>
      <c r="CQ195" s="51"/>
      <c r="CR195" s="51"/>
      <c r="CS195" s="51"/>
      <c r="CT195" s="51"/>
      <c r="CU195" s="51"/>
      <c r="CV195" s="51"/>
      <c r="CW195" s="51"/>
      <c r="CX195" s="51"/>
      <c r="CY195" s="51"/>
      <c r="CZ195" s="51"/>
      <c r="DA195" s="51"/>
      <c r="DB195" s="51"/>
      <c r="DC195" s="51"/>
      <c r="DD195" s="51"/>
      <c r="DE195" s="51"/>
      <c r="DF195" s="51"/>
      <c r="DG195" s="51"/>
      <c r="DH195" s="51"/>
      <c r="DI195" s="51"/>
      <c r="DJ195" s="51"/>
      <c r="DK195" s="51"/>
      <c r="DL195" s="51"/>
      <c r="DM195" s="51"/>
      <c r="DN195" s="51"/>
      <c r="DO195" s="51"/>
      <c r="DP195" s="51"/>
      <c r="DQ195" s="51"/>
      <c r="DR195" s="51"/>
      <c r="DS195" s="51"/>
      <c r="DT195" s="51"/>
      <c r="DU195" s="51"/>
      <c r="DV195" s="51"/>
      <c r="DW195" s="51"/>
      <c r="DX195" s="51"/>
      <c r="DY195" s="51"/>
      <c r="DZ195" s="51"/>
      <c r="EA195" s="51"/>
      <c r="EB195" s="51"/>
      <c r="EC195" s="51"/>
      <c r="ED195" s="51"/>
      <c r="EE195" s="51"/>
      <c r="EF195" s="51"/>
      <c r="EG195" s="51"/>
      <c r="EH195" s="51"/>
      <c r="EI195" s="51"/>
      <c r="EJ195" s="51"/>
      <c r="EK195" s="51"/>
      <c r="EL195" s="51"/>
      <c r="EM195" s="51"/>
      <c r="EN195" s="51"/>
      <c r="EO195" s="51"/>
      <c r="EP195" s="51"/>
      <c r="EQ195" s="51"/>
      <c r="ER195" s="51"/>
      <c r="ES195" s="51"/>
      <c r="ET195" s="51"/>
      <c r="EU195" s="51"/>
      <c r="EV195" s="51"/>
      <c r="EW195" s="51"/>
      <c r="EX195" s="51"/>
      <c r="EY195" s="51"/>
      <c r="EZ195" s="51"/>
      <c r="FA195" s="51"/>
      <c r="FB195" s="51"/>
      <c r="FC195" s="51"/>
      <c r="FD195" s="51"/>
      <c r="FE195" s="51"/>
      <c r="FF195" s="51"/>
      <c r="FG195" s="51"/>
      <c r="FH195" s="51"/>
      <c r="FI195" s="51"/>
      <c r="FJ195" s="51"/>
      <c r="FK195" s="51"/>
      <c r="FL195" s="51"/>
      <c r="FM195" s="51"/>
      <c r="FN195" s="51"/>
      <c r="FO195" s="51"/>
      <c r="FP195" s="51"/>
      <c r="FQ195" s="51"/>
      <c r="FR195" s="51"/>
      <c r="FS195" s="51"/>
      <c r="FT195" s="51"/>
      <c r="FU195" s="51"/>
      <c r="FV195" s="51"/>
      <c r="FW195" s="51"/>
      <c r="FX195" s="51"/>
      <c r="FY195" s="51"/>
      <c r="FZ195" s="51"/>
      <c r="GA195" s="51"/>
      <c r="GB195" s="51"/>
      <c r="GC195" s="51"/>
      <c r="GD195" s="51"/>
      <c r="GE195" s="51"/>
      <c r="GF195" s="51"/>
      <c r="GG195" s="51"/>
      <c r="GH195" s="51"/>
      <c r="GI195" s="51"/>
      <c r="GJ195" s="51"/>
      <c r="GK195" s="51"/>
      <c r="GL195" s="51"/>
      <c r="GM195" s="51"/>
      <c r="GN195" s="51"/>
      <c r="GO195" s="51"/>
      <c r="GP195" s="51"/>
      <c r="GQ195" s="51"/>
      <c r="GR195" s="51"/>
      <c r="GS195" s="51"/>
      <c r="GT195" s="51"/>
      <c r="GU195" s="51"/>
      <c r="GV195" s="51"/>
      <c r="GW195" s="51"/>
      <c r="GX195" s="51"/>
      <c r="GY195" s="51"/>
      <c r="GZ195" s="51"/>
      <c r="HA195" s="51"/>
      <c r="HB195" s="51"/>
      <c r="HC195" s="51"/>
      <c r="HD195" s="51"/>
      <c r="HE195" s="51"/>
      <c r="HF195" s="51"/>
      <c r="HG195" s="51"/>
      <c r="HH195" s="51"/>
      <c r="HI195" s="51"/>
      <c r="HJ195" s="51"/>
      <c r="HK195" s="51"/>
      <c r="HL195" s="51"/>
      <c r="HM195" s="51"/>
      <c r="HN195" s="51"/>
      <c r="HO195" s="51"/>
      <c r="HP195" s="51"/>
      <c r="HQ195" s="51"/>
      <c r="HR195" s="51"/>
      <c r="HS195" s="51"/>
      <c r="HT195" s="51"/>
      <c r="HU195" s="51"/>
      <c r="HV195" s="51"/>
      <c r="HW195" s="51"/>
      <c r="HX195" s="51"/>
      <c r="HY195" s="51"/>
      <c r="HZ195" s="51"/>
      <c r="IA195" s="51"/>
      <c r="IB195" s="51"/>
      <c r="IC195" s="51"/>
      <c r="ID195" s="51"/>
      <c r="IE195" s="51"/>
      <c r="IF195" s="51"/>
      <c r="IG195" s="51"/>
      <c r="IH195" s="51"/>
      <c r="II195" s="51"/>
      <c r="IJ195" s="51"/>
      <c r="IK195" s="51"/>
      <c r="IL195" s="51"/>
      <c r="IM195" s="51"/>
      <c r="IN195" s="51"/>
      <c r="IO195" s="51"/>
      <c r="IP195" s="51"/>
      <c r="IQ195" s="51"/>
      <c r="IR195" s="51"/>
      <c r="IS195" s="51"/>
      <c r="IT195" s="51"/>
      <c r="IU195" s="51"/>
      <c r="IV195" s="51"/>
    </row>
    <row r="196" hidden="1">
      <c r="B196" s="829" t="s">
        <v>13</v>
      </c>
      <c r="C196" s="823">
        <v>0</v>
      </c>
      <c r="D196" s="823">
        <v>0</v>
      </c>
      <c r="E196" s="823">
        <v>2062</v>
      </c>
      <c r="F196" s="823">
        <v>1941</v>
      </c>
      <c r="G196" s="823">
        <v>2246</v>
      </c>
      <c r="H196" s="823">
        <v>2969</v>
      </c>
      <c r="I196" s="823">
        <v>3010</v>
      </c>
      <c r="J196" s="823">
        <v>3073</v>
      </c>
      <c r="K196" s="823">
        <v>3162</v>
      </c>
      <c r="L196" s="823">
        <v>3111</v>
      </c>
      <c r="M196" s="823">
        <v>3322</v>
      </c>
      <c r="N196" s="823">
        <v>2047</v>
      </c>
      <c r="O196" s="823">
        <v>2423</v>
      </c>
      <c r="P196" s="823">
        <v>2489</v>
      </c>
      <c r="Q196" s="823">
        <v>2638</v>
      </c>
      <c r="R196" s="823">
        <v>2691</v>
      </c>
      <c r="S196" s="823">
        <v>2725</v>
      </c>
      <c r="T196" s="823">
        <v>2727</v>
      </c>
      <c r="U196" s="823">
        <v>2660</v>
      </c>
      <c r="V196" s="823">
        <v>2650</v>
      </c>
      <c r="W196" s="823">
        <v>2687</v>
      </c>
      <c r="X196" s="823">
        <v>2736</v>
      </c>
      <c r="Y196" s="823">
        <v>2314</v>
      </c>
      <c r="Z196" s="823">
        <v>2192</v>
      </c>
      <c r="AA196" s="823">
        <v>2149</v>
      </c>
      <c r="AB196" s="823">
        <v>2237</v>
      </c>
      <c r="AC196" s="825">
        <v>2147</v>
      </c>
      <c r="AD196" s="825">
        <v>2213</v>
      </c>
      <c r="AE196" s="825">
        <v>2180</v>
      </c>
      <c r="AF196" s="825">
        <v>2336</v>
      </c>
      <c r="AG196" s="825">
        <v>2386</v>
      </c>
      <c r="AH196" s="825">
        <v>2502</v>
      </c>
      <c r="AI196" s="825">
        <v>2468</v>
      </c>
      <c r="AJ196" s="825">
        <v>2573</v>
      </c>
      <c r="AK196" s="825">
        <v>2594</v>
      </c>
      <c r="AL196" s="825">
        <v>2713</v>
      </c>
      <c r="AM196" s="825">
        <v>2636</v>
      </c>
      <c r="AN196" s="825">
        <v>2807</v>
      </c>
      <c r="AO196" s="825">
        <v>2907</v>
      </c>
      <c r="AP196" s="825">
        <v>3193</v>
      </c>
      <c r="AQ196" s="51"/>
      <c r="AR196" s="51"/>
      <c r="AS196" s="51"/>
      <c r="AT196" s="51"/>
      <c r="AU196" s="51"/>
      <c r="AV196" s="51"/>
      <c r="AW196" s="51"/>
      <c r="AX196" s="51"/>
      <c r="AY196" s="51"/>
      <c r="AZ196" s="51"/>
      <c r="BA196" s="51"/>
      <c r="BB196" s="51"/>
      <c r="BC196" s="51"/>
      <c r="BD196" s="51"/>
      <c r="BE196" s="51"/>
      <c r="BF196" s="51"/>
      <c r="BG196" s="51"/>
      <c r="BH196" s="51"/>
      <c r="BI196" s="51"/>
      <c r="BJ196" s="51"/>
      <c r="BK196" s="51"/>
      <c r="BL196" s="51"/>
      <c r="BM196" s="51"/>
      <c r="BN196" s="51"/>
      <c r="BO196" s="51"/>
      <c r="BP196" s="51"/>
      <c r="BQ196" s="51"/>
      <c r="BR196" s="51"/>
      <c r="BS196" s="51"/>
      <c r="BT196" s="51"/>
      <c r="BU196" s="51"/>
      <c r="BV196" s="51"/>
      <c r="BW196" s="51"/>
      <c r="BX196" s="51"/>
      <c r="BY196" s="51"/>
      <c r="BZ196" s="51"/>
      <c r="CA196" s="51"/>
      <c r="CB196" s="51"/>
      <c r="CC196" s="51"/>
      <c r="CD196" s="51"/>
      <c r="CE196" s="51"/>
      <c r="CF196" s="51"/>
      <c r="CG196" s="51"/>
      <c r="CH196" s="51"/>
      <c r="CI196" s="51"/>
      <c r="CJ196" s="51"/>
      <c r="CK196" s="51"/>
      <c r="CL196" s="51"/>
      <c r="CM196" s="51"/>
      <c r="CN196" s="51"/>
      <c r="CO196" s="51"/>
      <c r="CP196" s="51"/>
      <c r="CQ196" s="51"/>
      <c r="CR196" s="51"/>
      <c r="CS196" s="51"/>
      <c r="CT196" s="51"/>
      <c r="CU196" s="51"/>
      <c r="CV196" s="51"/>
      <c r="CW196" s="51"/>
      <c r="CX196" s="51"/>
      <c r="CY196" s="51"/>
      <c r="CZ196" s="51"/>
      <c r="DA196" s="51"/>
      <c r="DB196" s="51"/>
      <c r="DC196" s="51"/>
      <c r="DD196" s="51"/>
      <c r="DE196" s="51"/>
      <c r="DF196" s="51"/>
      <c r="DG196" s="51"/>
      <c r="DH196" s="51"/>
      <c r="DI196" s="51"/>
      <c r="DJ196" s="51"/>
      <c r="DK196" s="51"/>
      <c r="DL196" s="51"/>
      <c r="DM196" s="51"/>
      <c r="DN196" s="51"/>
      <c r="DO196" s="51"/>
      <c r="DP196" s="51"/>
      <c r="DQ196" s="51"/>
      <c r="DR196" s="51"/>
      <c r="DS196" s="51"/>
      <c r="DT196" s="51"/>
      <c r="DU196" s="51"/>
      <c r="DV196" s="51"/>
      <c r="DW196" s="51"/>
      <c r="DX196" s="51"/>
      <c r="DY196" s="51"/>
      <c r="DZ196" s="51"/>
      <c r="EA196" s="51"/>
      <c r="EB196" s="51"/>
      <c r="EC196" s="51"/>
      <c r="ED196" s="51"/>
      <c r="EE196" s="51"/>
      <c r="EF196" s="51"/>
      <c r="EG196" s="51"/>
      <c r="EH196" s="51"/>
      <c r="EI196" s="51"/>
      <c r="EJ196" s="51"/>
      <c r="EK196" s="51"/>
      <c r="EL196" s="51"/>
      <c r="EM196" s="51"/>
      <c r="EN196" s="51"/>
      <c r="EO196" s="51"/>
      <c r="EP196" s="51"/>
      <c r="EQ196" s="51"/>
      <c r="ER196" s="51"/>
      <c r="ES196" s="51"/>
      <c r="ET196" s="51"/>
      <c r="EU196" s="51"/>
      <c r="EV196" s="51"/>
      <c r="EW196" s="51"/>
      <c r="EX196" s="51"/>
      <c r="EY196" s="51"/>
      <c r="EZ196" s="51"/>
      <c r="FA196" s="51"/>
      <c r="FB196" s="51"/>
      <c r="FC196" s="51"/>
      <c r="FD196" s="51"/>
      <c r="FE196" s="51"/>
      <c r="FF196" s="51"/>
      <c r="FG196" s="51"/>
      <c r="FH196" s="51"/>
      <c r="FI196" s="51"/>
      <c r="FJ196" s="51"/>
      <c r="FK196" s="51"/>
      <c r="FL196" s="51"/>
      <c r="FM196" s="51"/>
      <c r="FN196" s="51"/>
      <c r="FO196" s="51"/>
      <c r="FP196" s="51"/>
      <c r="FQ196" s="51"/>
      <c r="FR196" s="51"/>
      <c r="FS196" s="51"/>
      <c r="FT196" s="51"/>
      <c r="FU196" s="51"/>
      <c r="FV196" s="51"/>
      <c r="FW196" s="51"/>
      <c r="FX196" s="51"/>
      <c r="FY196" s="51"/>
      <c r="FZ196" s="51"/>
      <c r="GA196" s="51"/>
      <c r="GB196" s="51"/>
      <c r="GC196" s="51"/>
      <c r="GD196" s="51"/>
      <c r="GE196" s="51"/>
      <c r="GF196" s="51"/>
      <c r="GG196" s="51"/>
      <c r="GH196" s="51"/>
      <c r="GI196" s="51"/>
      <c r="GJ196" s="51"/>
      <c r="GK196" s="51"/>
      <c r="GL196" s="51"/>
      <c r="GM196" s="51"/>
      <c r="GN196" s="51"/>
      <c r="GO196" s="51"/>
      <c r="GP196" s="51"/>
      <c r="GQ196" s="51"/>
      <c r="GR196" s="51"/>
      <c r="GS196" s="51"/>
      <c r="GT196" s="51"/>
      <c r="GU196" s="51"/>
      <c r="GV196" s="51"/>
      <c r="GW196" s="51"/>
      <c r="GX196" s="51"/>
      <c r="GY196" s="51"/>
      <c r="GZ196" s="51"/>
      <c r="HA196" s="51"/>
      <c r="HB196" s="51"/>
      <c r="HC196" s="51"/>
      <c r="HD196" s="51"/>
      <c r="HE196" s="51"/>
      <c r="HF196" s="51"/>
      <c r="HG196" s="51"/>
      <c r="HH196" s="51"/>
      <c r="HI196" s="51"/>
      <c r="HJ196" s="51"/>
      <c r="HK196" s="51"/>
      <c r="HL196" s="51"/>
      <c r="HM196" s="51"/>
      <c r="HN196" s="51"/>
      <c r="HO196" s="51"/>
      <c r="HP196" s="51"/>
      <c r="HQ196" s="51"/>
      <c r="HR196" s="51"/>
      <c r="HS196" s="51"/>
      <c r="HT196" s="51"/>
      <c r="HU196" s="51"/>
      <c r="HV196" s="51"/>
      <c r="HW196" s="51"/>
      <c r="HX196" s="51"/>
      <c r="HY196" s="51"/>
      <c r="HZ196" s="51"/>
      <c r="IA196" s="51"/>
      <c r="IB196" s="51"/>
      <c r="IC196" s="51"/>
      <c r="ID196" s="51"/>
      <c r="IE196" s="51"/>
      <c r="IF196" s="51"/>
      <c r="IG196" s="51"/>
      <c r="IH196" s="51"/>
      <c r="II196" s="51"/>
      <c r="IJ196" s="51"/>
      <c r="IK196" s="51"/>
      <c r="IL196" s="51"/>
      <c r="IM196" s="51"/>
      <c r="IN196" s="51"/>
      <c r="IO196" s="51"/>
      <c r="IP196" s="51"/>
      <c r="IQ196" s="51"/>
      <c r="IR196" s="51"/>
      <c r="IS196" s="51"/>
      <c r="IT196" s="51"/>
      <c r="IU196" s="51"/>
      <c r="IV196" s="51"/>
    </row>
    <row r="197" hidden="1">
      <c r="B197" s="826" t="s">
        <v>109</v>
      </c>
      <c r="C197" s="827">
        <v>0</v>
      </c>
      <c r="D197" s="827">
        <v>0</v>
      </c>
      <c r="E197" s="827">
        <v>0</v>
      </c>
      <c r="F197" s="827">
        <v>0</v>
      </c>
      <c r="G197" s="827">
        <v>0</v>
      </c>
      <c r="H197" s="827">
        <v>0</v>
      </c>
      <c r="I197" s="827">
        <v>0</v>
      </c>
      <c r="J197" s="827">
        <v>0</v>
      </c>
      <c r="K197" s="827">
        <v>0</v>
      </c>
      <c r="L197" s="827">
        <v>0</v>
      </c>
      <c r="M197" s="827">
        <v>0</v>
      </c>
      <c r="N197" s="827">
        <v>3</v>
      </c>
      <c r="O197" s="827">
        <v>3</v>
      </c>
      <c r="P197" s="827">
        <v>5</v>
      </c>
      <c r="Q197" s="827">
        <v>8</v>
      </c>
      <c r="R197" s="827">
        <v>8</v>
      </c>
      <c r="S197" s="827">
        <v>9</v>
      </c>
      <c r="T197" s="827">
        <v>8</v>
      </c>
      <c r="U197" s="827">
        <v>7</v>
      </c>
      <c r="V197" s="827">
        <v>6</v>
      </c>
      <c r="W197" s="827">
        <v>6</v>
      </c>
      <c r="X197" s="827">
        <v>8</v>
      </c>
      <c r="Y197" s="827">
        <v>7</v>
      </c>
      <c r="Z197" s="827">
        <v>8</v>
      </c>
      <c r="AA197" s="827">
        <v>7</v>
      </c>
      <c r="AB197" s="827">
        <v>8</v>
      </c>
      <c r="AC197" s="828">
        <v>7</v>
      </c>
      <c r="AD197" s="828">
        <v>7</v>
      </c>
      <c r="AE197" s="828">
        <v>7</v>
      </c>
      <c r="AF197" s="828">
        <v>7</v>
      </c>
      <c r="AG197" s="828">
        <v>8</v>
      </c>
      <c r="AH197" s="828">
        <v>8</v>
      </c>
      <c r="AI197" s="828">
        <v>10</v>
      </c>
      <c r="AJ197" s="828">
        <v>7</v>
      </c>
      <c r="AK197" s="828">
        <v>8</v>
      </c>
      <c r="AL197" s="828">
        <v>13</v>
      </c>
      <c r="AM197" s="828">
        <v>13</v>
      </c>
      <c r="AN197" s="828">
        <v>13</v>
      </c>
      <c r="AO197" s="828">
        <v>15</v>
      </c>
      <c r="AP197" s="828">
        <v>19</v>
      </c>
      <c r="AQ197" s="51"/>
      <c r="AR197" s="51"/>
      <c r="AS197" s="51"/>
      <c r="AT197" s="51"/>
      <c r="AU197" s="51"/>
      <c r="AV197" s="51"/>
      <c r="AW197" s="51"/>
      <c r="AX197" s="51"/>
      <c r="AY197" s="51"/>
      <c r="AZ197" s="51"/>
      <c r="BA197" s="51"/>
      <c r="BB197" s="51"/>
      <c r="BC197" s="51"/>
      <c r="BD197" s="51"/>
      <c r="BE197" s="51"/>
      <c r="BF197" s="51"/>
      <c r="BG197" s="51"/>
      <c r="BH197" s="51"/>
      <c r="BI197" s="51"/>
      <c r="BJ197" s="51"/>
      <c r="BK197" s="51"/>
      <c r="BL197" s="51"/>
      <c r="BM197" s="51"/>
      <c r="BN197" s="51"/>
      <c r="BO197" s="51"/>
      <c r="BP197" s="51"/>
      <c r="BQ197" s="51"/>
      <c r="BR197" s="51"/>
      <c r="BS197" s="51"/>
      <c r="BT197" s="51"/>
      <c r="BU197" s="51"/>
      <c r="BV197" s="51"/>
      <c r="BW197" s="51"/>
      <c r="BX197" s="51"/>
      <c r="BY197" s="51"/>
      <c r="BZ197" s="51"/>
      <c r="CA197" s="51"/>
      <c r="CB197" s="51"/>
      <c r="CC197" s="51"/>
      <c r="CD197" s="51"/>
      <c r="CE197" s="51"/>
      <c r="CF197" s="51"/>
      <c r="CG197" s="51"/>
      <c r="CH197" s="51"/>
      <c r="CI197" s="51"/>
      <c r="CJ197" s="51"/>
      <c r="CK197" s="51"/>
      <c r="CL197" s="51"/>
      <c r="CM197" s="51"/>
      <c r="CN197" s="51"/>
      <c r="CO197" s="51"/>
      <c r="CP197" s="51"/>
      <c r="CQ197" s="51"/>
      <c r="CR197" s="51"/>
      <c r="CS197" s="51"/>
      <c r="CT197" s="51"/>
      <c r="CU197" s="51"/>
      <c r="CV197" s="51"/>
      <c r="CW197" s="51"/>
      <c r="CX197" s="51"/>
      <c r="CY197" s="51"/>
      <c r="CZ197" s="51"/>
      <c r="DA197" s="51"/>
      <c r="DB197" s="51"/>
      <c r="DC197" s="51"/>
      <c r="DD197" s="51"/>
      <c r="DE197" s="51"/>
      <c r="DF197" s="51"/>
      <c r="DG197" s="51"/>
      <c r="DH197" s="51"/>
      <c r="DI197" s="51"/>
      <c r="DJ197" s="51"/>
      <c r="DK197" s="51"/>
      <c r="DL197" s="51"/>
      <c r="DM197" s="51"/>
      <c r="DN197" s="51"/>
      <c r="DO197" s="51"/>
      <c r="DP197" s="51"/>
      <c r="DQ197" s="51"/>
      <c r="DR197" s="51"/>
      <c r="DS197" s="51"/>
      <c r="DT197" s="51"/>
      <c r="DU197" s="51"/>
      <c r="DV197" s="51"/>
      <c r="DW197" s="51"/>
      <c r="DX197" s="51"/>
      <c r="DY197" s="51"/>
      <c r="DZ197" s="51"/>
      <c r="EA197" s="51"/>
      <c r="EB197" s="51"/>
      <c r="EC197" s="51"/>
      <c r="ED197" s="51"/>
      <c r="EE197" s="51"/>
      <c r="EF197" s="51"/>
      <c r="EG197" s="51"/>
      <c r="EH197" s="51"/>
      <c r="EI197" s="51"/>
      <c r="EJ197" s="51"/>
      <c r="EK197" s="51"/>
      <c r="EL197" s="51"/>
      <c r="EM197" s="51"/>
      <c r="EN197" s="51"/>
      <c r="EO197" s="51"/>
      <c r="EP197" s="51"/>
      <c r="EQ197" s="51"/>
      <c r="ER197" s="51"/>
      <c r="ES197" s="51"/>
      <c r="ET197" s="51"/>
      <c r="EU197" s="51"/>
      <c r="EV197" s="51"/>
      <c r="EW197" s="51"/>
      <c r="EX197" s="51"/>
      <c r="EY197" s="51"/>
      <c r="EZ197" s="51"/>
      <c r="FA197" s="51"/>
      <c r="FB197" s="51"/>
      <c r="FC197" s="51"/>
      <c r="FD197" s="51"/>
      <c r="FE197" s="51"/>
      <c r="FF197" s="51"/>
      <c r="FG197" s="51"/>
      <c r="FH197" s="51"/>
      <c r="FI197" s="51"/>
      <c r="FJ197" s="51"/>
      <c r="FK197" s="51"/>
      <c r="FL197" s="51"/>
      <c r="FM197" s="51"/>
      <c r="FN197" s="51"/>
      <c r="FO197" s="51"/>
      <c r="FP197" s="51"/>
      <c r="FQ197" s="51"/>
      <c r="FR197" s="51"/>
      <c r="FS197" s="51"/>
      <c r="FT197" s="51"/>
      <c r="FU197" s="51"/>
      <c r="FV197" s="51"/>
      <c r="FW197" s="51"/>
      <c r="FX197" s="51"/>
      <c r="FY197" s="51"/>
      <c r="FZ197" s="51"/>
      <c r="GA197" s="51"/>
      <c r="GB197" s="51"/>
      <c r="GC197" s="51"/>
      <c r="GD197" s="51"/>
      <c r="GE197" s="51"/>
      <c r="GF197" s="51"/>
      <c r="GG197" s="51"/>
      <c r="GH197" s="51"/>
      <c r="GI197" s="51"/>
      <c r="GJ197" s="51"/>
      <c r="GK197" s="51"/>
      <c r="GL197" s="51"/>
      <c r="GM197" s="51"/>
      <c r="GN197" s="51"/>
      <c r="GO197" s="51"/>
      <c r="GP197" s="51"/>
      <c r="GQ197" s="51"/>
      <c r="GR197" s="51"/>
      <c r="GS197" s="51"/>
      <c r="GT197" s="51"/>
      <c r="GU197" s="51"/>
      <c r="GV197" s="51"/>
      <c r="GW197" s="51"/>
      <c r="GX197" s="51"/>
      <c r="GY197" s="51"/>
      <c r="GZ197" s="51"/>
      <c r="HA197" s="51"/>
      <c r="HB197" s="51"/>
      <c r="HC197" s="51"/>
      <c r="HD197" s="51"/>
      <c r="HE197" s="51"/>
      <c r="HF197" s="51"/>
      <c r="HG197" s="51"/>
      <c r="HH197" s="51"/>
      <c r="HI197" s="51"/>
      <c r="HJ197" s="51"/>
      <c r="HK197" s="51"/>
      <c r="HL197" s="51"/>
      <c r="HM197" s="51"/>
      <c r="HN197" s="51"/>
      <c r="HO197" s="51"/>
      <c r="HP197" s="51"/>
      <c r="HQ197" s="51"/>
      <c r="HR197" s="51"/>
      <c r="HS197" s="51"/>
      <c r="HT197" s="51"/>
      <c r="HU197" s="51"/>
      <c r="HV197" s="51"/>
      <c r="HW197" s="51"/>
      <c r="HX197" s="51"/>
      <c r="HY197" s="51"/>
      <c r="HZ197" s="51"/>
      <c r="IA197" s="51"/>
      <c r="IB197" s="51"/>
      <c r="IC197" s="51"/>
      <c r="ID197" s="51"/>
      <c r="IE197" s="51"/>
      <c r="IF197" s="51"/>
      <c r="IG197" s="51"/>
      <c r="IH197" s="51"/>
      <c r="II197" s="51"/>
      <c r="IJ197" s="51"/>
      <c r="IK197" s="51"/>
      <c r="IL197" s="51"/>
      <c r="IM197" s="51"/>
      <c r="IN197" s="51"/>
      <c r="IO197" s="51"/>
      <c r="IP197" s="51"/>
      <c r="IQ197" s="51"/>
      <c r="IR197" s="51"/>
      <c r="IS197" s="51"/>
      <c r="IT197" s="51"/>
      <c r="IU197" s="51"/>
      <c r="IV197" s="51"/>
    </row>
    <row r="198" hidden="1">
      <c r="B198" s="829" t="s">
        <v>110</v>
      </c>
      <c r="C198" s="823">
        <v>0</v>
      </c>
      <c r="D198" s="823">
        <v>0</v>
      </c>
      <c r="E198" s="823">
        <v>0</v>
      </c>
      <c r="F198" s="823">
        <v>0</v>
      </c>
      <c r="G198" s="823">
        <v>0</v>
      </c>
      <c r="H198" s="823">
        <v>0</v>
      </c>
      <c r="I198" s="823">
        <v>0</v>
      </c>
      <c r="J198" s="823">
        <v>0</v>
      </c>
      <c r="K198" s="823">
        <v>5424</v>
      </c>
      <c r="L198" s="823">
        <v>5721</v>
      </c>
      <c r="M198" s="823">
        <v>6015</v>
      </c>
      <c r="N198" s="823">
        <v>9615</v>
      </c>
      <c r="O198" s="823">
        <v>518</v>
      </c>
      <c r="P198" s="823">
        <v>570</v>
      </c>
      <c r="Q198" s="823">
        <v>614</v>
      </c>
      <c r="R198" s="823">
        <v>683</v>
      </c>
      <c r="S198" s="823">
        <v>748</v>
      </c>
      <c r="T198" s="823">
        <v>748</v>
      </c>
      <c r="U198" s="823">
        <v>791</v>
      </c>
      <c r="V198" s="823">
        <v>822</v>
      </c>
      <c r="W198" s="823">
        <v>831</v>
      </c>
      <c r="X198" s="823">
        <v>797</v>
      </c>
      <c r="Y198" s="823">
        <v>782</v>
      </c>
      <c r="Z198" s="823">
        <v>787</v>
      </c>
      <c r="AA198" s="823">
        <v>832</v>
      </c>
      <c r="AB198" s="823">
        <v>852</v>
      </c>
      <c r="AC198" s="825">
        <v>874</v>
      </c>
      <c r="AD198" s="825">
        <v>903</v>
      </c>
      <c r="AE198" s="825">
        <v>909</v>
      </c>
      <c r="AF198" s="825">
        <v>923</v>
      </c>
      <c r="AG198" s="825">
        <v>954</v>
      </c>
      <c r="AH198" s="825">
        <v>967</v>
      </c>
      <c r="AI198" s="825">
        <v>990</v>
      </c>
      <c r="AJ198" s="825">
        <v>1020</v>
      </c>
      <c r="AK198" s="825">
        <v>1182</v>
      </c>
      <c r="AL198" s="825">
        <v>1215</v>
      </c>
      <c r="AM198" s="825">
        <v>1241</v>
      </c>
      <c r="AN198" s="825">
        <v>1226</v>
      </c>
      <c r="AO198" s="825">
        <v>1237</v>
      </c>
      <c r="AP198" s="825">
        <v>1253</v>
      </c>
      <c r="AQ198" s="51"/>
      <c r="AR198" s="51"/>
      <c r="AS198" s="51"/>
      <c r="AT198" s="51"/>
      <c r="AU198" s="51"/>
      <c r="AV198" s="51"/>
      <c r="AW198" s="51"/>
      <c r="AX198" s="51"/>
      <c r="AY198" s="51"/>
      <c r="AZ198" s="51"/>
      <c r="BA198" s="51"/>
      <c r="BB198" s="51"/>
      <c r="BC198" s="51"/>
      <c r="BD198" s="51"/>
      <c r="BE198" s="51"/>
      <c r="BF198" s="51"/>
      <c r="BG198" s="51"/>
      <c r="BH198" s="51"/>
      <c r="BI198" s="51"/>
      <c r="BJ198" s="51"/>
      <c r="BK198" s="51"/>
      <c r="BL198" s="51"/>
      <c r="BM198" s="51"/>
      <c r="BN198" s="51"/>
      <c r="BO198" s="51"/>
      <c r="BP198" s="51"/>
      <c r="BQ198" s="51"/>
      <c r="BR198" s="51"/>
      <c r="BS198" s="51"/>
      <c r="BT198" s="51"/>
      <c r="BU198" s="51"/>
      <c r="BV198" s="51"/>
      <c r="BW198" s="51"/>
      <c r="BX198" s="51"/>
      <c r="BY198" s="51"/>
      <c r="BZ198" s="51"/>
      <c r="CA198" s="51"/>
      <c r="CB198" s="51"/>
      <c r="CC198" s="51"/>
      <c r="CD198" s="51"/>
      <c r="CE198" s="51"/>
      <c r="CF198" s="51"/>
      <c r="CG198" s="51"/>
      <c r="CH198" s="51"/>
      <c r="CI198" s="51"/>
      <c r="CJ198" s="51"/>
      <c r="CK198" s="51"/>
      <c r="CL198" s="51"/>
      <c r="CM198" s="51"/>
      <c r="CN198" s="51"/>
      <c r="CO198" s="51"/>
      <c r="CP198" s="51"/>
      <c r="CQ198" s="51"/>
      <c r="CR198" s="51"/>
      <c r="CS198" s="51"/>
      <c r="CT198" s="51"/>
      <c r="CU198" s="51"/>
      <c r="CV198" s="51"/>
      <c r="CW198" s="51"/>
      <c r="CX198" s="51"/>
      <c r="CY198" s="51"/>
      <c r="CZ198" s="51"/>
      <c r="DA198" s="51"/>
      <c r="DB198" s="51"/>
      <c r="DC198" s="51"/>
      <c r="DD198" s="51"/>
      <c r="DE198" s="51"/>
      <c r="DF198" s="51"/>
      <c r="DG198" s="51"/>
      <c r="DH198" s="51"/>
      <c r="DI198" s="51"/>
      <c r="DJ198" s="51"/>
      <c r="DK198" s="51"/>
      <c r="DL198" s="51"/>
      <c r="DM198" s="51"/>
      <c r="DN198" s="51"/>
      <c r="DO198" s="51"/>
      <c r="DP198" s="51"/>
      <c r="DQ198" s="51"/>
      <c r="DR198" s="51"/>
      <c r="DS198" s="51"/>
      <c r="DT198" s="51"/>
      <c r="DU198" s="51"/>
      <c r="DV198" s="51"/>
      <c r="DW198" s="51"/>
      <c r="DX198" s="51"/>
      <c r="DY198" s="51"/>
      <c r="DZ198" s="51"/>
      <c r="EA198" s="51"/>
      <c r="EB198" s="51"/>
      <c r="EC198" s="51"/>
      <c r="ED198" s="51"/>
      <c r="EE198" s="51"/>
      <c r="EF198" s="51"/>
      <c r="EG198" s="51"/>
      <c r="EH198" s="51"/>
      <c r="EI198" s="51"/>
      <c r="EJ198" s="51"/>
      <c r="EK198" s="51"/>
      <c r="EL198" s="51"/>
      <c r="EM198" s="51"/>
      <c r="EN198" s="51"/>
      <c r="EO198" s="51"/>
      <c r="EP198" s="51"/>
      <c r="EQ198" s="51"/>
      <c r="ER198" s="51"/>
      <c r="ES198" s="51"/>
      <c r="ET198" s="51"/>
      <c r="EU198" s="51"/>
      <c r="EV198" s="51"/>
      <c r="EW198" s="51"/>
      <c r="EX198" s="51"/>
      <c r="EY198" s="51"/>
      <c r="EZ198" s="51"/>
      <c r="FA198" s="51"/>
      <c r="FB198" s="51"/>
      <c r="FC198" s="51"/>
      <c r="FD198" s="51"/>
      <c r="FE198" s="51"/>
      <c r="FF198" s="51"/>
      <c r="FG198" s="51"/>
      <c r="FH198" s="51"/>
      <c r="FI198" s="51"/>
      <c r="FJ198" s="51"/>
      <c r="FK198" s="51"/>
      <c r="FL198" s="51"/>
      <c r="FM198" s="51"/>
      <c r="FN198" s="51"/>
      <c r="FO198" s="51"/>
      <c r="FP198" s="51"/>
      <c r="FQ198" s="51"/>
      <c r="FR198" s="51"/>
      <c r="FS198" s="51"/>
      <c r="FT198" s="51"/>
      <c r="FU198" s="51"/>
      <c r="FV198" s="51"/>
      <c r="FW198" s="51"/>
      <c r="FX198" s="51"/>
      <c r="FY198" s="51"/>
      <c r="FZ198" s="51"/>
      <c r="GA198" s="51"/>
      <c r="GB198" s="51"/>
      <c r="GC198" s="51"/>
      <c r="GD198" s="51"/>
      <c r="GE198" s="51"/>
      <c r="GF198" s="51"/>
      <c r="GG198" s="51"/>
      <c r="GH198" s="51"/>
      <c r="GI198" s="51"/>
      <c r="GJ198" s="51"/>
      <c r="GK198" s="51"/>
      <c r="GL198" s="51"/>
      <c r="GM198" s="51"/>
      <c r="GN198" s="51"/>
      <c r="GO198" s="51"/>
      <c r="GP198" s="51"/>
      <c r="GQ198" s="51"/>
      <c r="GR198" s="51"/>
      <c r="GS198" s="51"/>
      <c r="GT198" s="51"/>
      <c r="GU198" s="51"/>
      <c r="GV198" s="51"/>
      <c r="GW198" s="51"/>
      <c r="GX198" s="51"/>
      <c r="GY198" s="51"/>
      <c r="GZ198" s="51"/>
      <c r="HA198" s="51"/>
      <c r="HB198" s="51"/>
      <c r="HC198" s="51"/>
      <c r="HD198" s="51"/>
      <c r="HE198" s="51"/>
      <c r="HF198" s="51"/>
      <c r="HG198" s="51"/>
      <c r="HH198" s="51"/>
      <c r="HI198" s="51"/>
      <c r="HJ198" s="51"/>
      <c r="HK198" s="51"/>
      <c r="HL198" s="51"/>
      <c r="HM198" s="51"/>
      <c r="HN198" s="51"/>
      <c r="HO198" s="51"/>
      <c r="HP198" s="51"/>
      <c r="HQ198" s="51"/>
      <c r="HR198" s="51"/>
      <c r="HS198" s="51"/>
      <c r="HT198" s="51"/>
      <c r="HU198" s="51"/>
      <c r="HV198" s="51"/>
      <c r="HW198" s="51"/>
      <c r="HX198" s="51"/>
      <c r="HY198" s="51"/>
      <c r="HZ198" s="51"/>
      <c r="IA198" s="51"/>
      <c r="IB198" s="51"/>
      <c r="IC198" s="51"/>
      <c r="ID198" s="51"/>
      <c r="IE198" s="51"/>
      <c r="IF198" s="51"/>
      <c r="IG198" s="51"/>
      <c r="IH198" s="51"/>
      <c r="II198" s="51"/>
      <c r="IJ198" s="51"/>
      <c r="IK198" s="51"/>
      <c r="IL198" s="51"/>
      <c r="IM198" s="51"/>
      <c r="IN198" s="51"/>
      <c r="IO198" s="51"/>
      <c r="IP198" s="51"/>
      <c r="IQ198" s="51"/>
      <c r="IR198" s="51"/>
      <c r="IS198" s="51"/>
      <c r="IT198" s="51"/>
      <c r="IU198" s="51"/>
      <c r="IV198" s="51"/>
    </row>
    <row r="199" hidden="1">
      <c r="B199" s="826" t="s">
        <v>16</v>
      </c>
      <c r="C199" s="827">
        <v>559</v>
      </c>
      <c r="D199" s="827">
        <v>2</v>
      </c>
      <c r="E199" s="827">
        <v>2</v>
      </c>
      <c r="F199" s="827">
        <v>2</v>
      </c>
      <c r="G199" s="827">
        <v>592</v>
      </c>
      <c r="H199" s="827">
        <v>592</v>
      </c>
      <c r="I199" s="827">
        <v>601</v>
      </c>
      <c r="J199" s="827">
        <v>595</v>
      </c>
      <c r="K199" s="827">
        <v>628</v>
      </c>
      <c r="L199" s="827">
        <v>637</v>
      </c>
      <c r="M199" s="827">
        <v>666</v>
      </c>
      <c r="N199" s="827">
        <v>679</v>
      </c>
      <c r="O199" s="827">
        <v>681</v>
      </c>
      <c r="P199" s="827">
        <v>688</v>
      </c>
      <c r="Q199" s="827">
        <v>764</v>
      </c>
      <c r="R199" s="827">
        <v>702</v>
      </c>
      <c r="S199" s="827">
        <v>695</v>
      </c>
      <c r="T199" s="827">
        <v>702</v>
      </c>
      <c r="U199" s="827">
        <v>705</v>
      </c>
      <c r="V199" s="827">
        <v>705</v>
      </c>
      <c r="W199" s="827">
        <v>699</v>
      </c>
      <c r="X199" s="827">
        <v>704</v>
      </c>
      <c r="Y199" s="827">
        <v>664</v>
      </c>
      <c r="Z199" s="827">
        <v>662</v>
      </c>
      <c r="AA199" s="827">
        <v>658</v>
      </c>
      <c r="AB199" s="827">
        <v>660</v>
      </c>
      <c r="AC199" s="828">
        <v>662</v>
      </c>
      <c r="AD199" s="828">
        <v>662</v>
      </c>
      <c r="AE199" s="828">
        <v>663</v>
      </c>
      <c r="AF199" s="828">
        <v>663</v>
      </c>
      <c r="AG199" s="828">
        <v>655</v>
      </c>
      <c r="AH199" s="828">
        <v>623</v>
      </c>
      <c r="AI199" s="828">
        <v>615</v>
      </c>
      <c r="AJ199" s="828">
        <v>609</v>
      </c>
      <c r="AK199" s="828">
        <v>595</v>
      </c>
      <c r="AL199" s="828">
        <v>583</v>
      </c>
      <c r="AM199" s="828">
        <v>574</v>
      </c>
      <c r="AN199" s="828">
        <v>571</v>
      </c>
      <c r="AO199" s="828">
        <v>568</v>
      </c>
      <c r="AP199" s="828">
        <v>571</v>
      </c>
      <c r="AQ199" s="51"/>
      <c r="AR199" s="51"/>
      <c r="AS199" s="51"/>
      <c r="AT199" s="51"/>
      <c r="AU199" s="51"/>
      <c r="AV199" s="51"/>
      <c r="AW199" s="51"/>
      <c r="AX199" s="51"/>
      <c r="AY199" s="51"/>
      <c r="AZ199" s="51"/>
      <c r="BA199" s="51"/>
      <c r="BB199" s="51"/>
      <c r="BC199" s="51"/>
      <c r="BD199" s="51"/>
      <c r="BE199" s="51"/>
      <c r="BF199" s="51"/>
      <c r="BG199" s="51"/>
      <c r="BH199" s="51"/>
      <c r="BI199" s="51"/>
      <c r="BJ199" s="51"/>
      <c r="BK199" s="51"/>
      <c r="BL199" s="51"/>
      <c r="BM199" s="51"/>
      <c r="BN199" s="51"/>
      <c r="BO199" s="51"/>
      <c r="BP199" s="51"/>
      <c r="BQ199" s="51"/>
      <c r="BR199" s="51"/>
      <c r="BS199" s="51"/>
      <c r="BT199" s="51"/>
      <c r="BU199" s="51"/>
      <c r="BV199" s="51"/>
      <c r="BW199" s="51"/>
      <c r="BX199" s="51"/>
      <c r="BY199" s="51"/>
      <c r="BZ199" s="51"/>
      <c r="CA199" s="51"/>
      <c r="CB199" s="51"/>
      <c r="CC199" s="51"/>
      <c r="CD199" s="51"/>
      <c r="CE199" s="51"/>
      <c r="CF199" s="51"/>
      <c r="CG199" s="51"/>
      <c r="CH199" s="51"/>
      <c r="CI199" s="51"/>
      <c r="CJ199" s="51"/>
      <c r="CK199" s="51"/>
      <c r="CL199" s="51"/>
      <c r="CM199" s="51"/>
      <c r="CN199" s="51"/>
      <c r="CO199" s="51"/>
      <c r="CP199" s="51"/>
      <c r="CQ199" s="51"/>
      <c r="CR199" s="51"/>
      <c r="CS199" s="51"/>
      <c r="CT199" s="51"/>
      <c r="CU199" s="51"/>
      <c r="CV199" s="51"/>
      <c r="CW199" s="51"/>
      <c r="CX199" s="51"/>
      <c r="CY199" s="51"/>
      <c r="CZ199" s="51"/>
      <c r="DA199" s="51"/>
      <c r="DB199" s="51"/>
      <c r="DC199" s="51"/>
      <c r="DD199" s="51"/>
      <c r="DE199" s="51"/>
      <c r="DF199" s="51"/>
      <c r="DG199" s="51"/>
      <c r="DH199" s="51"/>
      <c r="DI199" s="51"/>
      <c r="DJ199" s="51"/>
      <c r="DK199" s="51"/>
      <c r="DL199" s="51"/>
      <c r="DM199" s="51"/>
      <c r="DN199" s="51"/>
      <c r="DO199" s="51"/>
      <c r="DP199" s="51"/>
      <c r="DQ199" s="51"/>
      <c r="DR199" s="51"/>
      <c r="DS199" s="51"/>
      <c r="DT199" s="51"/>
      <c r="DU199" s="51"/>
      <c r="DV199" s="51"/>
      <c r="DW199" s="51"/>
      <c r="DX199" s="51"/>
      <c r="DY199" s="51"/>
      <c r="DZ199" s="51"/>
      <c r="EA199" s="51"/>
      <c r="EB199" s="51"/>
      <c r="EC199" s="51"/>
      <c r="ED199" s="51"/>
      <c r="EE199" s="51"/>
      <c r="EF199" s="51"/>
      <c r="EG199" s="51"/>
      <c r="EH199" s="51"/>
      <c r="EI199" s="51"/>
      <c r="EJ199" s="51"/>
      <c r="EK199" s="51"/>
      <c r="EL199" s="51"/>
      <c r="EM199" s="51"/>
      <c r="EN199" s="51"/>
      <c r="EO199" s="51"/>
      <c r="EP199" s="51"/>
      <c r="EQ199" s="51"/>
      <c r="ER199" s="51"/>
      <c r="ES199" s="51"/>
      <c r="ET199" s="51"/>
      <c r="EU199" s="51"/>
      <c r="EV199" s="51"/>
      <c r="EW199" s="51"/>
      <c r="EX199" s="51"/>
      <c r="EY199" s="51"/>
      <c r="EZ199" s="51"/>
      <c r="FA199" s="51"/>
      <c r="FB199" s="51"/>
      <c r="FC199" s="51"/>
      <c r="FD199" s="51"/>
      <c r="FE199" s="51"/>
      <c r="FF199" s="51"/>
      <c r="FG199" s="51"/>
      <c r="FH199" s="51"/>
      <c r="FI199" s="51"/>
      <c r="FJ199" s="51"/>
      <c r="FK199" s="51"/>
      <c r="FL199" s="51"/>
      <c r="FM199" s="51"/>
      <c r="FN199" s="51"/>
      <c r="FO199" s="51"/>
      <c r="FP199" s="51"/>
      <c r="FQ199" s="51"/>
      <c r="FR199" s="51"/>
      <c r="FS199" s="51"/>
      <c r="FT199" s="51"/>
      <c r="FU199" s="51"/>
      <c r="FV199" s="51"/>
      <c r="FW199" s="51"/>
      <c r="FX199" s="51"/>
      <c r="FY199" s="51"/>
      <c r="FZ199" s="51"/>
      <c r="GA199" s="51"/>
      <c r="GB199" s="51"/>
      <c r="GC199" s="51"/>
      <c r="GD199" s="51"/>
      <c r="GE199" s="51"/>
      <c r="GF199" s="51"/>
      <c r="GG199" s="51"/>
      <c r="GH199" s="51"/>
      <c r="GI199" s="51"/>
      <c r="GJ199" s="51"/>
      <c r="GK199" s="51"/>
      <c r="GL199" s="51"/>
      <c r="GM199" s="51"/>
      <c r="GN199" s="51"/>
      <c r="GO199" s="51"/>
      <c r="GP199" s="51"/>
      <c r="GQ199" s="51"/>
      <c r="GR199" s="51"/>
      <c r="GS199" s="51"/>
      <c r="GT199" s="51"/>
      <c r="GU199" s="51"/>
      <c r="GV199" s="51"/>
      <c r="GW199" s="51"/>
      <c r="GX199" s="51"/>
      <c r="GY199" s="51"/>
      <c r="GZ199" s="51"/>
      <c r="HA199" s="51"/>
      <c r="HB199" s="51"/>
      <c r="HC199" s="51"/>
      <c r="HD199" s="51"/>
      <c r="HE199" s="51"/>
      <c r="HF199" s="51"/>
      <c r="HG199" s="51"/>
      <c r="HH199" s="51"/>
      <c r="HI199" s="51"/>
      <c r="HJ199" s="51"/>
      <c r="HK199" s="51"/>
      <c r="HL199" s="51"/>
      <c r="HM199" s="51"/>
      <c r="HN199" s="51"/>
      <c r="HO199" s="51"/>
      <c r="HP199" s="51"/>
      <c r="HQ199" s="51"/>
      <c r="HR199" s="51"/>
      <c r="HS199" s="51"/>
      <c r="HT199" s="51"/>
      <c r="HU199" s="51"/>
      <c r="HV199" s="51"/>
      <c r="HW199" s="51"/>
      <c r="HX199" s="51"/>
      <c r="HY199" s="51"/>
      <c r="HZ199" s="51"/>
      <c r="IA199" s="51"/>
      <c r="IB199" s="51"/>
      <c r="IC199" s="51"/>
      <c r="ID199" s="51"/>
      <c r="IE199" s="51"/>
      <c r="IF199" s="51"/>
      <c r="IG199" s="51"/>
      <c r="IH199" s="51"/>
      <c r="II199" s="51"/>
      <c r="IJ199" s="51"/>
      <c r="IK199" s="51"/>
      <c r="IL199" s="51"/>
      <c r="IM199" s="51"/>
      <c r="IN199" s="51"/>
      <c r="IO199" s="51"/>
      <c r="IP199" s="51"/>
      <c r="IQ199" s="51"/>
      <c r="IR199" s="51"/>
      <c r="IS199" s="51"/>
      <c r="IT199" s="51"/>
      <c r="IU199" s="51"/>
      <c r="IV199" s="51"/>
    </row>
    <row r="200" hidden="1">
      <c r="B200" s="829" t="s">
        <v>17</v>
      </c>
      <c r="C200" s="823">
        <v>7</v>
      </c>
      <c r="D200" s="823">
        <v>11</v>
      </c>
      <c r="E200" s="823">
        <v>13</v>
      </c>
      <c r="F200" s="823">
        <v>15</v>
      </c>
      <c r="G200" s="823">
        <v>17</v>
      </c>
      <c r="H200" s="823">
        <v>19</v>
      </c>
      <c r="I200" s="823">
        <v>20</v>
      </c>
      <c r="J200" s="823">
        <v>19</v>
      </c>
      <c r="K200" s="823">
        <v>20</v>
      </c>
      <c r="L200" s="823">
        <v>22</v>
      </c>
      <c r="M200" s="823">
        <v>15</v>
      </c>
      <c r="N200" s="823">
        <v>17</v>
      </c>
      <c r="O200" s="823">
        <v>19</v>
      </c>
      <c r="P200" s="823">
        <v>18</v>
      </c>
      <c r="Q200" s="823">
        <v>22</v>
      </c>
      <c r="R200" s="823">
        <v>30</v>
      </c>
      <c r="S200" s="823">
        <v>37</v>
      </c>
      <c r="T200" s="823">
        <v>40</v>
      </c>
      <c r="U200" s="823">
        <v>42</v>
      </c>
      <c r="V200" s="823">
        <v>54</v>
      </c>
      <c r="W200" s="823">
        <v>47</v>
      </c>
      <c r="X200" s="823">
        <v>54</v>
      </c>
      <c r="Y200" s="823">
        <v>57</v>
      </c>
      <c r="Z200" s="823">
        <v>76</v>
      </c>
      <c r="AA200" s="823">
        <v>79</v>
      </c>
      <c r="AB200" s="823">
        <v>72</v>
      </c>
      <c r="AC200" s="825">
        <v>79</v>
      </c>
      <c r="AD200" s="825">
        <v>81</v>
      </c>
      <c r="AE200" s="825">
        <v>84</v>
      </c>
      <c r="AF200" s="825">
        <v>85</v>
      </c>
      <c r="AG200" s="825">
        <v>88</v>
      </c>
      <c r="AH200" s="825">
        <v>91</v>
      </c>
      <c r="AI200" s="825">
        <v>92</v>
      </c>
      <c r="AJ200" s="825">
        <v>94</v>
      </c>
      <c r="AK200" s="825">
        <v>97</v>
      </c>
      <c r="AL200" s="825">
        <v>106</v>
      </c>
      <c r="AM200" s="825">
        <v>111</v>
      </c>
      <c r="AN200" s="825">
        <v>110</v>
      </c>
      <c r="AO200" s="825">
        <v>119</v>
      </c>
      <c r="AP200" s="825">
        <v>119</v>
      </c>
      <c r="AQ200" s="51"/>
      <c r="AR200" s="51"/>
      <c r="AS200" s="51"/>
      <c r="AT200" s="51"/>
      <c r="AU200" s="51"/>
      <c r="AV200" s="51"/>
      <c r="AW200" s="51"/>
      <c r="AX200" s="51"/>
      <c r="AY200" s="51"/>
      <c r="AZ200" s="51"/>
      <c r="BA200" s="51"/>
      <c r="BB200" s="51"/>
      <c r="BC200" s="51"/>
      <c r="BD200" s="51"/>
      <c r="BE200" s="51"/>
      <c r="BF200" s="51"/>
      <c r="BG200" s="51"/>
      <c r="BH200" s="51"/>
      <c r="BI200" s="51"/>
      <c r="BJ200" s="51"/>
      <c r="BK200" s="51"/>
      <c r="BL200" s="51"/>
      <c r="BM200" s="51"/>
      <c r="BN200" s="51"/>
      <c r="BO200" s="51"/>
      <c r="BP200" s="51"/>
      <c r="BQ200" s="51"/>
      <c r="BR200" s="51"/>
      <c r="BS200" s="51"/>
      <c r="BT200" s="51"/>
      <c r="BU200" s="51"/>
      <c r="BV200" s="51"/>
      <c r="BW200" s="51"/>
      <c r="BX200" s="51"/>
      <c r="BY200" s="51"/>
      <c r="BZ200" s="51"/>
      <c r="CA200" s="51"/>
      <c r="CB200" s="51"/>
      <c r="CC200" s="51"/>
      <c r="CD200" s="51"/>
      <c r="CE200" s="51"/>
      <c r="CF200" s="51"/>
      <c r="CG200" s="51"/>
      <c r="CH200" s="51"/>
      <c r="CI200" s="51"/>
      <c r="CJ200" s="51"/>
      <c r="CK200" s="51"/>
      <c r="CL200" s="51"/>
      <c r="CM200" s="51"/>
      <c r="CN200" s="51"/>
      <c r="CO200" s="51"/>
      <c r="CP200" s="51"/>
      <c r="CQ200" s="51"/>
      <c r="CR200" s="51"/>
      <c r="CS200" s="51"/>
      <c r="CT200" s="51"/>
      <c r="CU200" s="51"/>
      <c r="CV200" s="51"/>
      <c r="CW200" s="51"/>
      <c r="CX200" s="51"/>
      <c r="CY200" s="51"/>
      <c r="CZ200" s="51"/>
      <c r="DA200" s="51"/>
      <c r="DB200" s="51"/>
      <c r="DC200" s="51"/>
      <c r="DD200" s="51"/>
      <c r="DE200" s="51"/>
      <c r="DF200" s="51"/>
      <c r="DG200" s="51"/>
      <c r="DH200" s="51"/>
      <c r="DI200" s="51"/>
      <c r="DJ200" s="51"/>
      <c r="DK200" s="51"/>
      <c r="DL200" s="51"/>
      <c r="DM200" s="51"/>
      <c r="DN200" s="51"/>
      <c r="DO200" s="51"/>
      <c r="DP200" s="51"/>
      <c r="DQ200" s="51"/>
      <c r="DR200" s="51"/>
      <c r="DS200" s="51"/>
      <c r="DT200" s="51"/>
      <c r="DU200" s="51"/>
      <c r="DV200" s="51"/>
      <c r="DW200" s="51"/>
      <c r="DX200" s="51"/>
      <c r="DY200" s="51"/>
      <c r="DZ200" s="51"/>
      <c r="EA200" s="51"/>
      <c r="EB200" s="51"/>
      <c r="EC200" s="51"/>
      <c r="ED200" s="51"/>
      <c r="EE200" s="51"/>
      <c r="EF200" s="51"/>
      <c r="EG200" s="51"/>
      <c r="EH200" s="51"/>
      <c r="EI200" s="51"/>
      <c r="EJ200" s="51"/>
      <c r="EK200" s="51"/>
      <c r="EL200" s="51"/>
      <c r="EM200" s="51"/>
      <c r="EN200" s="51"/>
      <c r="EO200" s="51"/>
      <c r="EP200" s="51"/>
      <c r="EQ200" s="51"/>
      <c r="ER200" s="51"/>
      <c r="ES200" s="51"/>
      <c r="ET200" s="51"/>
      <c r="EU200" s="51"/>
      <c r="EV200" s="51"/>
      <c r="EW200" s="51"/>
      <c r="EX200" s="51"/>
      <c r="EY200" s="51"/>
      <c r="EZ200" s="51"/>
      <c r="FA200" s="51"/>
      <c r="FB200" s="51"/>
      <c r="FC200" s="51"/>
      <c r="FD200" s="51"/>
      <c r="FE200" s="51"/>
      <c r="FF200" s="51"/>
      <c r="FG200" s="51"/>
      <c r="FH200" s="51"/>
      <c r="FI200" s="51"/>
      <c r="FJ200" s="51"/>
      <c r="FK200" s="51"/>
      <c r="FL200" s="51"/>
      <c r="FM200" s="51"/>
      <c r="FN200" s="51"/>
      <c r="FO200" s="51"/>
      <c r="FP200" s="51"/>
      <c r="FQ200" s="51"/>
      <c r="FR200" s="51"/>
      <c r="FS200" s="51"/>
      <c r="FT200" s="51"/>
      <c r="FU200" s="51"/>
      <c r="FV200" s="51"/>
      <c r="FW200" s="51"/>
      <c r="FX200" s="51"/>
      <c r="FY200" s="51"/>
      <c r="FZ200" s="51"/>
      <c r="GA200" s="51"/>
      <c r="GB200" s="51"/>
      <c r="GC200" s="51"/>
      <c r="GD200" s="51"/>
      <c r="GE200" s="51"/>
      <c r="GF200" s="51"/>
      <c r="GG200" s="51"/>
      <c r="GH200" s="51"/>
      <c r="GI200" s="51"/>
      <c r="GJ200" s="51"/>
      <c r="GK200" s="51"/>
      <c r="GL200" s="51"/>
      <c r="GM200" s="51"/>
      <c r="GN200" s="51"/>
      <c r="GO200" s="51"/>
      <c r="GP200" s="51"/>
      <c r="GQ200" s="51"/>
      <c r="GR200" s="51"/>
      <c r="GS200" s="51"/>
      <c r="GT200" s="51"/>
      <c r="GU200" s="51"/>
      <c r="GV200" s="51"/>
      <c r="GW200" s="51"/>
      <c r="GX200" s="51"/>
      <c r="GY200" s="51"/>
      <c r="GZ200" s="51"/>
      <c r="HA200" s="51"/>
      <c r="HB200" s="51"/>
      <c r="HC200" s="51"/>
      <c r="HD200" s="51"/>
      <c r="HE200" s="51"/>
      <c r="HF200" s="51"/>
      <c r="HG200" s="51"/>
      <c r="HH200" s="51"/>
      <c r="HI200" s="51"/>
      <c r="HJ200" s="51"/>
      <c r="HK200" s="51"/>
      <c r="HL200" s="51"/>
      <c r="HM200" s="51"/>
      <c r="HN200" s="51"/>
      <c r="HO200" s="51"/>
      <c r="HP200" s="51"/>
      <c r="HQ200" s="51"/>
      <c r="HR200" s="51"/>
      <c r="HS200" s="51"/>
      <c r="HT200" s="51"/>
      <c r="HU200" s="51"/>
      <c r="HV200" s="51"/>
      <c r="HW200" s="51"/>
      <c r="HX200" s="51"/>
      <c r="HY200" s="51"/>
      <c r="HZ200" s="51"/>
      <c r="IA200" s="51"/>
      <c r="IB200" s="51"/>
      <c r="IC200" s="51"/>
      <c r="ID200" s="51"/>
      <c r="IE200" s="51"/>
      <c r="IF200" s="51"/>
      <c r="IG200" s="51"/>
      <c r="IH200" s="51"/>
      <c r="II200" s="51"/>
      <c r="IJ200" s="51"/>
      <c r="IK200" s="51"/>
      <c r="IL200" s="51"/>
      <c r="IM200" s="51"/>
      <c r="IN200" s="51"/>
      <c r="IO200" s="51"/>
      <c r="IP200" s="51"/>
      <c r="IQ200" s="51"/>
      <c r="IR200" s="51"/>
      <c r="IS200" s="51"/>
      <c r="IT200" s="51"/>
      <c r="IU200" s="51"/>
      <c r="IV200" s="51"/>
    </row>
    <row r="201" hidden="1">
      <c r="B201" s="826" t="s">
        <v>18</v>
      </c>
      <c r="C201" s="827">
        <v>0</v>
      </c>
      <c r="D201" s="827">
        <v>0</v>
      </c>
      <c r="E201" s="827">
        <v>0</v>
      </c>
      <c r="F201" s="827">
        <v>0</v>
      </c>
      <c r="G201" s="827">
        <v>0</v>
      </c>
      <c r="H201" s="827">
        <v>0</v>
      </c>
      <c r="I201" s="827">
        <v>0</v>
      </c>
      <c r="J201" s="827">
        <v>0</v>
      </c>
      <c r="K201" s="827">
        <v>623</v>
      </c>
      <c r="L201" s="827">
        <v>734</v>
      </c>
      <c r="M201" s="827">
        <v>808</v>
      </c>
      <c r="N201" s="827">
        <v>886</v>
      </c>
      <c r="O201" s="827">
        <v>1013</v>
      </c>
      <c r="P201" s="827">
        <v>1141</v>
      </c>
      <c r="Q201" s="827">
        <v>1276</v>
      </c>
      <c r="R201" s="827">
        <v>1357</v>
      </c>
      <c r="S201" s="827">
        <v>1436</v>
      </c>
      <c r="T201" s="827">
        <v>1493</v>
      </c>
      <c r="U201" s="827">
        <v>1532</v>
      </c>
      <c r="V201" s="827">
        <v>1535</v>
      </c>
      <c r="W201" s="827">
        <v>1519</v>
      </c>
      <c r="X201" s="827">
        <v>1283</v>
      </c>
      <c r="Y201" s="827">
        <v>1250</v>
      </c>
      <c r="Z201" s="827">
        <v>1273</v>
      </c>
      <c r="AA201" s="827">
        <v>1284</v>
      </c>
      <c r="AB201" s="827">
        <v>1281</v>
      </c>
      <c r="AC201" s="828">
        <v>1333</v>
      </c>
      <c r="AD201" s="828">
        <v>1364</v>
      </c>
      <c r="AE201" s="828">
        <v>1381</v>
      </c>
      <c r="AF201" s="828">
        <v>1395</v>
      </c>
      <c r="AG201" s="828">
        <v>1413</v>
      </c>
      <c r="AH201" s="828">
        <v>1425</v>
      </c>
      <c r="AI201" s="828">
        <v>1148</v>
      </c>
      <c r="AJ201" s="828">
        <v>1158</v>
      </c>
      <c r="AK201" s="828">
        <v>1166</v>
      </c>
      <c r="AL201" s="828">
        <v>1165</v>
      </c>
      <c r="AM201" s="828">
        <v>1175</v>
      </c>
      <c r="AN201" s="828">
        <v>1189</v>
      </c>
      <c r="AO201" s="828">
        <v>1171</v>
      </c>
      <c r="AP201" s="828">
        <v>1190</v>
      </c>
      <c r="AQ201" s="51"/>
      <c r="AR201" s="51"/>
      <c r="AS201" s="51"/>
      <c r="AT201" s="51"/>
      <c r="AU201" s="51"/>
      <c r="AV201" s="51"/>
      <c r="AW201" s="51"/>
      <c r="AX201" s="51"/>
      <c r="AY201" s="51"/>
      <c r="AZ201" s="51"/>
      <c r="BA201" s="51"/>
      <c r="BB201" s="51"/>
      <c r="BC201" s="51"/>
      <c r="BD201" s="51"/>
      <c r="BE201" s="51"/>
      <c r="BF201" s="51"/>
      <c r="BG201" s="51"/>
      <c r="BH201" s="51"/>
      <c r="BI201" s="51"/>
      <c r="BJ201" s="51"/>
      <c r="BK201" s="51"/>
      <c r="BL201" s="51"/>
      <c r="BM201" s="51"/>
      <c r="BN201" s="51"/>
      <c r="BO201" s="51"/>
      <c r="BP201" s="51"/>
      <c r="BQ201" s="51"/>
      <c r="BR201" s="51"/>
      <c r="BS201" s="51"/>
      <c r="BT201" s="51"/>
      <c r="BU201" s="51"/>
      <c r="BV201" s="51"/>
      <c r="BW201" s="51"/>
      <c r="BX201" s="51"/>
      <c r="BY201" s="51"/>
      <c r="BZ201" s="51"/>
      <c r="CA201" s="51"/>
      <c r="CB201" s="51"/>
      <c r="CC201" s="51"/>
      <c r="CD201" s="51"/>
      <c r="CE201" s="51"/>
      <c r="CF201" s="51"/>
      <c r="CG201" s="51"/>
      <c r="CH201" s="51"/>
      <c r="CI201" s="51"/>
      <c r="CJ201" s="51"/>
      <c r="CK201" s="51"/>
      <c r="CL201" s="51"/>
      <c r="CM201" s="51"/>
      <c r="CN201" s="51"/>
      <c r="CO201" s="51"/>
      <c r="CP201" s="51"/>
      <c r="CQ201" s="51"/>
      <c r="CR201" s="51"/>
      <c r="CS201" s="51"/>
      <c r="CT201" s="51"/>
      <c r="CU201" s="51"/>
      <c r="CV201" s="51"/>
      <c r="CW201" s="51"/>
      <c r="CX201" s="51"/>
      <c r="CY201" s="51"/>
      <c r="CZ201" s="51"/>
      <c r="DA201" s="51"/>
      <c r="DB201" s="51"/>
      <c r="DC201" s="51"/>
      <c r="DD201" s="51"/>
      <c r="DE201" s="51"/>
      <c r="DF201" s="51"/>
      <c r="DG201" s="51"/>
      <c r="DH201" s="51"/>
      <c r="DI201" s="51"/>
      <c r="DJ201" s="51"/>
      <c r="DK201" s="51"/>
      <c r="DL201" s="51"/>
      <c r="DM201" s="51"/>
      <c r="DN201" s="51"/>
      <c r="DO201" s="51"/>
      <c r="DP201" s="51"/>
      <c r="DQ201" s="51"/>
      <c r="DR201" s="51"/>
      <c r="DS201" s="51"/>
      <c r="DT201" s="51"/>
      <c r="DU201" s="51"/>
      <c r="DV201" s="51"/>
      <c r="DW201" s="51"/>
      <c r="DX201" s="51"/>
      <c r="DY201" s="51"/>
      <c r="DZ201" s="51"/>
      <c r="EA201" s="51"/>
      <c r="EB201" s="51"/>
      <c r="EC201" s="51"/>
      <c r="ED201" s="51"/>
      <c r="EE201" s="51"/>
      <c r="EF201" s="51"/>
      <c r="EG201" s="51"/>
      <c r="EH201" s="51"/>
      <c r="EI201" s="51"/>
      <c r="EJ201" s="51"/>
      <c r="EK201" s="51"/>
      <c r="EL201" s="51"/>
      <c r="EM201" s="51"/>
      <c r="EN201" s="51"/>
      <c r="EO201" s="51"/>
      <c r="EP201" s="51"/>
      <c r="EQ201" s="51"/>
      <c r="ER201" s="51"/>
      <c r="ES201" s="51"/>
      <c r="ET201" s="51"/>
      <c r="EU201" s="51"/>
      <c r="EV201" s="51"/>
      <c r="EW201" s="51"/>
      <c r="EX201" s="51"/>
      <c r="EY201" s="51"/>
      <c r="EZ201" s="51"/>
      <c r="FA201" s="51"/>
      <c r="FB201" s="51"/>
      <c r="FC201" s="51"/>
      <c r="FD201" s="51"/>
      <c r="FE201" s="51"/>
      <c r="FF201" s="51"/>
      <c r="FG201" s="51"/>
      <c r="FH201" s="51"/>
      <c r="FI201" s="51"/>
      <c r="FJ201" s="51"/>
      <c r="FK201" s="51"/>
      <c r="FL201" s="51"/>
      <c r="FM201" s="51"/>
      <c r="FN201" s="51"/>
      <c r="FO201" s="51"/>
      <c r="FP201" s="51"/>
      <c r="FQ201" s="51"/>
      <c r="FR201" s="51"/>
      <c r="FS201" s="51"/>
      <c r="FT201" s="51"/>
      <c r="FU201" s="51"/>
      <c r="FV201" s="51"/>
      <c r="FW201" s="51"/>
      <c r="FX201" s="51"/>
      <c r="FY201" s="51"/>
      <c r="FZ201" s="51"/>
      <c r="GA201" s="51"/>
      <c r="GB201" s="51"/>
      <c r="GC201" s="51"/>
      <c r="GD201" s="51"/>
      <c r="GE201" s="51"/>
      <c r="GF201" s="51"/>
      <c r="GG201" s="51"/>
      <c r="GH201" s="51"/>
      <c r="GI201" s="51"/>
      <c r="GJ201" s="51"/>
      <c r="GK201" s="51"/>
      <c r="GL201" s="51"/>
      <c r="GM201" s="51"/>
      <c r="GN201" s="51"/>
      <c r="GO201" s="51"/>
      <c r="GP201" s="51"/>
      <c r="GQ201" s="51"/>
      <c r="GR201" s="51"/>
      <c r="GS201" s="51"/>
      <c r="GT201" s="51"/>
      <c r="GU201" s="51"/>
      <c r="GV201" s="51"/>
      <c r="GW201" s="51"/>
      <c r="GX201" s="51"/>
      <c r="GY201" s="51"/>
      <c r="GZ201" s="51"/>
      <c r="HA201" s="51"/>
      <c r="HB201" s="51"/>
      <c r="HC201" s="51"/>
      <c r="HD201" s="51"/>
      <c r="HE201" s="51"/>
      <c r="HF201" s="51"/>
      <c r="HG201" s="51"/>
      <c r="HH201" s="51"/>
      <c r="HI201" s="51"/>
      <c r="HJ201" s="51"/>
      <c r="HK201" s="51"/>
      <c r="HL201" s="51"/>
      <c r="HM201" s="51"/>
      <c r="HN201" s="51"/>
      <c r="HO201" s="51"/>
      <c r="HP201" s="51"/>
      <c r="HQ201" s="51"/>
      <c r="HR201" s="51"/>
      <c r="HS201" s="51"/>
      <c r="HT201" s="51"/>
      <c r="HU201" s="51"/>
      <c r="HV201" s="51"/>
      <c r="HW201" s="51"/>
      <c r="HX201" s="51"/>
      <c r="HY201" s="51"/>
      <c r="HZ201" s="51"/>
      <c r="IA201" s="51"/>
      <c r="IB201" s="51"/>
      <c r="IC201" s="51"/>
      <c r="ID201" s="51"/>
      <c r="IE201" s="51"/>
      <c r="IF201" s="51"/>
      <c r="IG201" s="51"/>
      <c r="IH201" s="51"/>
      <c r="II201" s="51"/>
      <c r="IJ201" s="51"/>
      <c r="IK201" s="51"/>
      <c r="IL201" s="51"/>
      <c r="IM201" s="51"/>
      <c r="IN201" s="51"/>
      <c r="IO201" s="51"/>
      <c r="IP201" s="51"/>
      <c r="IQ201" s="51"/>
      <c r="IR201" s="51"/>
      <c r="IS201" s="51"/>
      <c r="IT201" s="51"/>
      <c r="IU201" s="51"/>
      <c r="IV201" s="51"/>
    </row>
    <row r="202" hidden="1">
      <c r="B202" s="829" t="s">
        <v>19</v>
      </c>
      <c r="C202" s="823">
        <v>10</v>
      </c>
      <c r="D202" s="823">
        <v>11</v>
      </c>
      <c r="E202" s="823">
        <v>13</v>
      </c>
      <c r="F202" s="823">
        <v>17</v>
      </c>
      <c r="G202" s="823">
        <v>21</v>
      </c>
      <c r="H202" s="823">
        <v>21</v>
      </c>
      <c r="I202" s="823">
        <v>22</v>
      </c>
      <c r="J202" s="823">
        <v>23</v>
      </c>
      <c r="K202" s="823">
        <v>22</v>
      </c>
      <c r="L202" s="823">
        <v>31</v>
      </c>
      <c r="M202" s="823">
        <v>41</v>
      </c>
      <c r="N202" s="823">
        <v>51</v>
      </c>
      <c r="O202" s="823">
        <v>63</v>
      </c>
      <c r="P202" s="823">
        <v>69</v>
      </c>
      <c r="Q202" s="823">
        <v>72</v>
      </c>
      <c r="R202" s="823">
        <v>79</v>
      </c>
      <c r="S202" s="823">
        <v>87</v>
      </c>
      <c r="T202" s="823">
        <v>91</v>
      </c>
      <c r="U202" s="823">
        <v>95</v>
      </c>
      <c r="V202" s="823">
        <v>98</v>
      </c>
      <c r="W202" s="823">
        <v>101</v>
      </c>
      <c r="X202" s="823">
        <v>94</v>
      </c>
      <c r="Y202" s="823">
        <v>98</v>
      </c>
      <c r="Z202" s="823">
        <v>100</v>
      </c>
      <c r="AA202" s="823">
        <v>100</v>
      </c>
      <c r="AB202" s="823">
        <v>101</v>
      </c>
      <c r="AC202" s="825">
        <v>101</v>
      </c>
      <c r="AD202" s="825">
        <v>101</v>
      </c>
      <c r="AE202" s="825">
        <v>100</v>
      </c>
      <c r="AF202" s="825">
        <v>100</v>
      </c>
      <c r="AG202" s="825">
        <v>100</v>
      </c>
      <c r="AH202" s="825">
        <v>102</v>
      </c>
      <c r="AI202" s="825">
        <v>103</v>
      </c>
      <c r="AJ202" s="825">
        <v>76</v>
      </c>
      <c r="AK202" s="825">
        <v>80</v>
      </c>
      <c r="AL202" s="825">
        <v>80</v>
      </c>
      <c r="AM202" s="825">
        <v>82</v>
      </c>
      <c r="AN202" s="825">
        <v>84</v>
      </c>
      <c r="AO202" s="825">
        <v>89</v>
      </c>
      <c r="AP202" s="825">
        <v>90</v>
      </c>
      <c r="AQ202" s="51"/>
      <c r="AR202" s="51"/>
      <c r="AS202" s="51"/>
      <c r="AT202" s="51"/>
      <c r="AU202" s="51"/>
      <c r="AV202" s="51"/>
      <c r="AW202" s="51"/>
      <c r="AX202" s="51"/>
      <c r="AY202" s="51"/>
      <c r="AZ202" s="51"/>
      <c r="BA202" s="51"/>
      <c r="BB202" s="51"/>
      <c r="BC202" s="51"/>
      <c r="BD202" s="51"/>
      <c r="BE202" s="51"/>
      <c r="BF202" s="51"/>
      <c r="BG202" s="51"/>
      <c r="BH202" s="51"/>
      <c r="BI202" s="51"/>
      <c r="BJ202" s="51"/>
      <c r="BK202" s="51"/>
      <c r="BL202" s="51"/>
      <c r="BM202" s="51"/>
      <c r="BN202" s="51"/>
      <c r="BO202" s="51"/>
      <c r="BP202" s="51"/>
      <c r="BQ202" s="51"/>
      <c r="BR202" s="51"/>
      <c r="BS202" s="51"/>
      <c r="BT202" s="51"/>
      <c r="BU202" s="51"/>
      <c r="BV202" s="51"/>
      <c r="BW202" s="51"/>
      <c r="BX202" s="51"/>
      <c r="BY202" s="51"/>
      <c r="BZ202" s="51"/>
      <c r="CA202" s="51"/>
      <c r="CB202" s="51"/>
      <c r="CC202" s="51"/>
      <c r="CD202" s="51"/>
      <c r="CE202" s="51"/>
      <c r="CF202" s="51"/>
      <c r="CG202" s="51"/>
      <c r="CH202" s="51"/>
      <c r="CI202" s="51"/>
      <c r="CJ202" s="51"/>
      <c r="CK202" s="51"/>
      <c r="CL202" s="51"/>
      <c r="CM202" s="51"/>
      <c r="CN202" s="51"/>
      <c r="CO202" s="51"/>
      <c r="CP202" s="51"/>
      <c r="CQ202" s="51"/>
      <c r="CR202" s="51"/>
      <c r="CS202" s="51"/>
      <c r="CT202" s="51"/>
      <c r="CU202" s="51"/>
      <c r="CV202" s="51"/>
      <c r="CW202" s="51"/>
      <c r="CX202" s="51"/>
      <c r="CY202" s="51"/>
      <c r="CZ202" s="51"/>
      <c r="DA202" s="51"/>
      <c r="DB202" s="51"/>
      <c r="DC202" s="51"/>
      <c r="DD202" s="51"/>
      <c r="DE202" s="51"/>
      <c r="DF202" s="51"/>
      <c r="DG202" s="51"/>
      <c r="DH202" s="51"/>
      <c r="DI202" s="51"/>
      <c r="DJ202" s="51"/>
      <c r="DK202" s="51"/>
      <c r="DL202" s="51"/>
      <c r="DM202" s="51"/>
      <c r="DN202" s="51"/>
      <c r="DO202" s="51"/>
      <c r="DP202" s="51"/>
      <c r="DQ202" s="51"/>
      <c r="DR202" s="51"/>
      <c r="DS202" s="51"/>
      <c r="DT202" s="51"/>
      <c r="DU202" s="51"/>
      <c r="DV202" s="51"/>
      <c r="DW202" s="51"/>
      <c r="DX202" s="51"/>
      <c r="DY202" s="51"/>
      <c r="DZ202" s="51"/>
      <c r="EA202" s="51"/>
      <c r="EB202" s="51"/>
      <c r="EC202" s="51"/>
      <c r="ED202" s="51"/>
      <c r="EE202" s="51"/>
      <c r="EF202" s="51"/>
      <c r="EG202" s="51"/>
      <c r="EH202" s="51"/>
      <c r="EI202" s="51"/>
      <c r="EJ202" s="51"/>
      <c r="EK202" s="51"/>
      <c r="EL202" s="51"/>
      <c r="EM202" s="51"/>
      <c r="EN202" s="51"/>
      <c r="EO202" s="51"/>
      <c r="EP202" s="51"/>
      <c r="EQ202" s="51"/>
      <c r="ER202" s="51"/>
      <c r="ES202" s="51"/>
      <c r="ET202" s="51"/>
      <c r="EU202" s="51"/>
      <c r="EV202" s="51"/>
      <c r="EW202" s="51"/>
      <c r="EX202" s="51"/>
      <c r="EY202" s="51"/>
      <c r="EZ202" s="51"/>
      <c r="FA202" s="51"/>
      <c r="FB202" s="51"/>
      <c r="FC202" s="51"/>
      <c r="FD202" s="51"/>
      <c r="FE202" s="51"/>
      <c r="FF202" s="51"/>
      <c r="FG202" s="51"/>
      <c r="FH202" s="51"/>
      <c r="FI202" s="51"/>
      <c r="FJ202" s="51"/>
      <c r="FK202" s="51"/>
      <c r="FL202" s="51"/>
      <c r="FM202" s="51"/>
      <c r="FN202" s="51"/>
      <c r="FO202" s="51"/>
      <c r="FP202" s="51"/>
      <c r="FQ202" s="51"/>
      <c r="FR202" s="51"/>
      <c r="FS202" s="51"/>
      <c r="FT202" s="51"/>
      <c r="FU202" s="51"/>
      <c r="FV202" s="51"/>
      <c r="FW202" s="51"/>
      <c r="FX202" s="51"/>
      <c r="FY202" s="51"/>
      <c r="FZ202" s="51"/>
      <c r="GA202" s="51"/>
      <c r="GB202" s="51"/>
      <c r="GC202" s="51"/>
      <c r="GD202" s="51"/>
      <c r="GE202" s="51"/>
      <c r="GF202" s="51"/>
      <c r="GG202" s="51"/>
      <c r="GH202" s="51"/>
      <c r="GI202" s="51"/>
      <c r="GJ202" s="51"/>
      <c r="GK202" s="51"/>
      <c r="GL202" s="51"/>
      <c r="GM202" s="51"/>
      <c r="GN202" s="51"/>
      <c r="GO202" s="51"/>
      <c r="GP202" s="51"/>
      <c r="GQ202" s="51"/>
      <c r="GR202" s="51"/>
      <c r="GS202" s="51"/>
      <c r="GT202" s="51"/>
      <c r="GU202" s="51"/>
      <c r="GV202" s="51"/>
      <c r="GW202" s="51"/>
      <c r="GX202" s="51"/>
      <c r="GY202" s="51"/>
      <c r="GZ202" s="51"/>
      <c r="HA202" s="51"/>
      <c r="HB202" s="51"/>
      <c r="HC202" s="51"/>
      <c r="HD202" s="51"/>
      <c r="HE202" s="51"/>
      <c r="HF202" s="51"/>
      <c r="HG202" s="51"/>
      <c r="HH202" s="51"/>
      <c r="HI202" s="51"/>
      <c r="HJ202" s="51"/>
      <c r="HK202" s="51"/>
      <c r="HL202" s="51"/>
      <c r="HM202" s="51"/>
      <c r="HN202" s="51"/>
      <c r="HO202" s="51"/>
      <c r="HP202" s="51"/>
      <c r="HQ202" s="51"/>
      <c r="HR202" s="51"/>
      <c r="HS202" s="51"/>
      <c r="HT202" s="51"/>
      <c r="HU202" s="51"/>
      <c r="HV202" s="51"/>
      <c r="HW202" s="51"/>
      <c r="HX202" s="51"/>
      <c r="HY202" s="51"/>
      <c r="HZ202" s="51"/>
      <c r="IA202" s="51"/>
      <c r="IB202" s="51"/>
      <c r="IC202" s="51"/>
      <c r="ID202" s="51"/>
      <c r="IE202" s="51"/>
      <c r="IF202" s="51"/>
      <c r="IG202" s="51"/>
      <c r="IH202" s="51"/>
      <c r="II202" s="51"/>
      <c r="IJ202" s="51"/>
      <c r="IK202" s="51"/>
      <c r="IL202" s="51"/>
      <c r="IM202" s="51"/>
      <c r="IN202" s="51"/>
      <c r="IO202" s="51"/>
      <c r="IP202" s="51"/>
      <c r="IQ202" s="51"/>
      <c r="IR202" s="51"/>
      <c r="IS202" s="51"/>
      <c r="IT202" s="51"/>
      <c r="IU202" s="51"/>
      <c r="IV202" s="51"/>
    </row>
    <row r="203" hidden="1">
      <c r="B203" s="826" t="s">
        <v>20</v>
      </c>
      <c r="C203" s="827">
        <v>0</v>
      </c>
      <c r="D203" s="827">
        <v>0</v>
      </c>
      <c r="E203" s="827">
        <v>0</v>
      </c>
      <c r="F203" s="827">
        <v>0</v>
      </c>
      <c r="G203" s="827">
        <v>0</v>
      </c>
      <c r="H203" s="827">
        <v>0</v>
      </c>
      <c r="I203" s="827">
        <v>0</v>
      </c>
      <c r="J203" s="827">
        <v>0</v>
      </c>
      <c r="K203" s="827">
        <v>0</v>
      </c>
      <c r="L203" s="827">
        <v>0</v>
      </c>
      <c r="M203" s="827">
        <v>0</v>
      </c>
      <c r="N203" s="827">
        <v>0</v>
      </c>
      <c r="O203" s="827">
        <v>0</v>
      </c>
      <c r="P203" s="827">
        <v>0</v>
      </c>
      <c r="Q203" s="827">
        <v>0</v>
      </c>
      <c r="R203" s="827">
        <v>0</v>
      </c>
      <c r="S203" s="827">
        <v>0</v>
      </c>
      <c r="T203" s="827">
        <v>0</v>
      </c>
      <c r="U203" s="827">
        <v>0</v>
      </c>
      <c r="V203" s="827">
        <v>0</v>
      </c>
      <c r="W203" s="827">
        <v>0</v>
      </c>
      <c r="X203" s="827">
        <v>0</v>
      </c>
      <c r="Y203" s="827">
        <v>0</v>
      </c>
      <c r="Z203" s="827">
        <v>0</v>
      </c>
      <c r="AA203" s="827">
        <v>0</v>
      </c>
      <c r="AB203" s="827">
        <v>0</v>
      </c>
      <c r="AC203" s="828">
        <v>0</v>
      </c>
      <c r="AD203" s="828">
        <v>0</v>
      </c>
      <c r="AE203" s="828">
        <v>0</v>
      </c>
      <c r="AF203" s="828">
        <v>0</v>
      </c>
      <c r="AG203" s="828">
        <v>0</v>
      </c>
      <c r="AH203" s="828">
        <v>0</v>
      </c>
      <c r="AI203" s="828">
        <v>0</v>
      </c>
      <c r="AJ203" s="828">
        <v>0</v>
      </c>
      <c r="AK203" s="828">
        <v>0</v>
      </c>
      <c r="AL203" s="828">
        <v>0</v>
      </c>
      <c r="AM203" s="828">
        <v>0</v>
      </c>
      <c r="AN203" s="828">
        <v>0</v>
      </c>
      <c r="AO203" s="828">
        <v>0</v>
      </c>
      <c r="AP203" s="828">
        <v>0</v>
      </c>
      <c r="AQ203" s="51"/>
      <c r="AR203" s="51"/>
      <c r="AS203" s="51"/>
      <c r="AT203" s="51"/>
      <c r="AU203" s="51"/>
      <c r="AV203" s="51"/>
      <c r="AW203" s="51"/>
      <c r="AX203" s="51"/>
      <c r="AY203" s="51"/>
      <c r="AZ203" s="51"/>
      <c r="BA203" s="51"/>
      <c r="BB203" s="51"/>
      <c r="BC203" s="51"/>
      <c r="BD203" s="51"/>
      <c r="BE203" s="51"/>
      <c r="BF203" s="51"/>
      <c r="BG203" s="51"/>
      <c r="BH203" s="51"/>
      <c r="BI203" s="51"/>
      <c r="BJ203" s="51"/>
      <c r="BK203" s="51"/>
      <c r="BL203" s="51"/>
      <c r="BM203" s="51"/>
      <c r="BN203" s="51"/>
      <c r="BO203" s="51"/>
      <c r="BP203" s="51"/>
      <c r="BQ203" s="51"/>
      <c r="BR203" s="51"/>
      <c r="BS203" s="51"/>
      <c r="BT203" s="51"/>
      <c r="BU203" s="51"/>
      <c r="BV203" s="51"/>
      <c r="BW203" s="51"/>
      <c r="BX203" s="51"/>
      <c r="BY203" s="51"/>
      <c r="BZ203" s="51"/>
      <c r="CA203" s="51"/>
      <c r="CB203" s="51"/>
      <c r="CC203" s="51"/>
      <c r="CD203" s="51"/>
      <c r="CE203" s="51"/>
      <c r="CF203" s="51"/>
      <c r="CG203" s="51"/>
      <c r="CH203" s="51"/>
      <c r="CI203" s="51"/>
      <c r="CJ203" s="51"/>
      <c r="CK203" s="51"/>
      <c r="CL203" s="51"/>
      <c r="CM203" s="51"/>
      <c r="CN203" s="51"/>
      <c r="CO203" s="51"/>
      <c r="CP203" s="51"/>
      <c r="CQ203" s="51"/>
      <c r="CR203" s="51"/>
      <c r="CS203" s="51"/>
      <c r="CT203" s="51"/>
      <c r="CU203" s="51"/>
      <c r="CV203" s="51"/>
      <c r="CW203" s="51"/>
      <c r="CX203" s="51"/>
      <c r="CY203" s="51"/>
      <c r="CZ203" s="51"/>
      <c r="DA203" s="51"/>
      <c r="DB203" s="51"/>
      <c r="DC203" s="51"/>
      <c r="DD203" s="51"/>
      <c r="DE203" s="51"/>
      <c r="DF203" s="51"/>
      <c r="DG203" s="51"/>
      <c r="DH203" s="51"/>
      <c r="DI203" s="51"/>
      <c r="DJ203" s="51"/>
      <c r="DK203" s="51"/>
      <c r="DL203" s="51"/>
      <c r="DM203" s="51"/>
      <c r="DN203" s="51"/>
      <c r="DO203" s="51"/>
      <c r="DP203" s="51"/>
      <c r="DQ203" s="51"/>
      <c r="DR203" s="51"/>
      <c r="DS203" s="51"/>
      <c r="DT203" s="51"/>
      <c r="DU203" s="51"/>
      <c r="DV203" s="51"/>
      <c r="DW203" s="51"/>
      <c r="DX203" s="51"/>
      <c r="DY203" s="51"/>
      <c r="DZ203" s="51"/>
      <c r="EA203" s="51"/>
      <c r="EB203" s="51"/>
      <c r="EC203" s="51"/>
      <c r="ED203" s="51"/>
      <c r="EE203" s="51"/>
      <c r="EF203" s="51"/>
      <c r="EG203" s="51"/>
      <c r="EH203" s="51"/>
      <c r="EI203" s="51"/>
      <c r="EJ203" s="51"/>
      <c r="EK203" s="51"/>
      <c r="EL203" s="51"/>
      <c r="EM203" s="51"/>
      <c r="EN203" s="51"/>
      <c r="EO203" s="51"/>
      <c r="EP203" s="51"/>
      <c r="EQ203" s="51"/>
      <c r="ER203" s="51"/>
      <c r="ES203" s="51"/>
      <c r="ET203" s="51"/>
      <c r="EU203" s="51"/>
      <c r="EV203" s="51"/>
      <c r="EW203" s="51"/>
      <c r="EX203" s="51"/>
      <c r="EY203" s="51"/>
      <c r="EZ203" s="51"/>
      <c r="FA203" s="51"/>
      <c r="FB203" s="51"/>
      <c r="FC203" s="51"/>
      <c r="FD203" s="51"/>
      <c r="FE203" s="51"/>
      <c r="FF203" s="51"/>
      <c r="FG203" s="51"/>
      <c r="FH203" s="51"/>
      <c r="FI203" s="51"/>
      <c r="FJ203" s="51"/>
      <c r="FK203" s="51"/>
      <c r="FL203" s="51"/>
      <c r="FM203" s="51"/>
      <c r="FN203" s="51"/>
      <c r="FO203" s="51"/>
      <c r="FP203" s="51"/>
      <c r="FQ203" s="51"/>
      <c r="FR203" s="51"/>
      <c r="FS203" s="51"/>
      <c r="FT203" s="51"/>
      <c r="FU203" s="51"/>
      <c r="FV203" s="51"/>
      <c r="FW203" s="51"/>
      <c r="FX203" s="51"/>
      <c r="FY203" s="51"/>
      <c r="FZ203" s="51"/>
      <c r="GA203" s="51"/>
      <c r="GB203" s="51"/>
      <c r="GC203" s="51"/>
      <c r="GD203" s="51"/>
      <c r="GE203" s="51"/>
      <c r="GF203" s="51"/>
      <c r="GG203" s="51"/>
      <c r="GH203" s="51"/>
      <c r="GI203" s="51"/>
      <c r="GJ203" s="51"/>
      <c r="GK203" s="51"/>
      <c r="GL203" s="51"/>
      <c r="GM203" s="51"/>
      <c r="GN203" s="51"/>
      <c r="GO203" s="51"/>
      <c r="GP203" s="51"/>
      <c r="GQ203" s="51"/>
      <c r="GR203" s="51"/>
      <c r="GS203" s="51"/>
      <c r="GT203" s="51"/>
      <c r="GU203" s="51"/>
      <c r="GV203" s="51"/>
      <c r="GW203" s="51"/>
      <c r="GX203" s="51"/>
      <c r="GY203" s="51"/>
      <c r="GZ203" s="51"/>
      <c r="HA203" s="51"/>
      <c r="HB203" s="51"/>
      <c r="HC203" s="51"/>
      <c r="HD203" s="51"/>
      <c r="HE203" s="51"/>
      <c r="HF203" s="51"/>
      <c r="HG203" s="51"/>
      <c r="HH203" s="51"/>
      <c r="HI203" s="51"/>
      <c r="HJ203" s="51"/>
      <c r="HK203" s="51"/>
      <c r="HL203" s="51"/>
      <c r="HM203" s="51"/>
      <c r="HN203" s="51"/>
      <c r="HO203" s="51"/>
      <c r="HP203" s="51"/>
      <c r="HQ203" s="51"/>
      <c r="HR203" s="51"/>
      <c r="HS203" s="51"/>
      <c r="HT203" s="51"/>
      <c r="HU203" s="51"/>
      <c r="HV203" s="51"/>
      <c r="HW203" s="51"/>
      <c r="HX203" s="51"/>
      <c r="HY203" s="51"/>
      <c r="HZ203" s="51"/>
      <c r="IA203" s="51"/>
      <c r="IB203" s="51"/>
      <c r="IC203" s="51"/>
      <c r="ID203" s="51"/>
      <c r="IE203" s="51"/>
      <c r="IF203" s="51"/>
      <c r="IG203" s="51"/>
      <c r="IH203" s="51"/>
      <c r="II203" s="51"/>
      <c r="IJ203" s="51"/>
      <c r="IK203" s="51"/>
      <c r="IL203" s="51"/>
      <c r="IM203" s="51"/>
      <c r="IN203" s="51"/>
      <c r="IO203" s="51"/>
      <c r="IP203" s="51"/>
      <c r="IQ203" s="51"/>
      <c r="IR203" s="51"/>
      <c r="IS203" s="51"/>
      <c r="IT203" s="51"/>
      <c r="IU203" s="51"/>
      <c r="IV203" s="51"/>
    </row>
    <row r="204" hidden="1">
      <c r="B204" s="829" t="s">
        <v>21</v>
      </c>
      <c r="C204" s="823">
        <v>0</v>
      </c>
      <c r="D204" s="823">
        <v>557</v>
      </c>
      <c r="E204" s="823">
        <v>761</v>
      </c>
      <c r="F204" s="823">
        <v>809</v>
      </c>
      <c r="G204" s="823">
        <v>878</v>
      </c>
      <c r="H204" s="823">
        <v>897</v>
      </c>
      <c r="I204" s="823">
        <v>905</v>
      </c>
      <c r="J204" s="823">
        <v>933</v>
      </c>
      <c r="K204" s="823">
        <v>1104</v>
      </c>
      <c r="L204" s="823">
        <v>1126</v>
      </c>
      <c r="M204" s="823">
        <v>1147</v>
      </c>
      <c r="N204" s="823">
        <v>1213</v>
      </c>
      <c r="O204" s="823">
        <v>1211</v>
      </c>
      <c r="P204" s="823">
        <v>1244</v>
      </c>
      <c r="Q204" s="823">
        <v>1253</v>
      </c>
      <c r="R204" s="823">
        <v>1234</v>
      </c>
      <c r="S204" s="823">
        <v>1288</v>
      </c>
      <c r="T204" s="823">
        <v>1309</v>
      </c>
      <c r="U204" s="823">
        <v>1321</v>
      </c>
      <c r="V204" s="823">
        <v>1351</v>
      </c>
      <c r="W204" s="823">
        <v>1344</v>
      </c>
      <c r="X204" s="823">
        <v>1369</v>
      </c>
      <c r="Y204" s="823">
        <v>1330</v>
      </c>
      <c r="Z204" s="823">
        <v>1365</v>
      </c>
      <c r="AA204" s="823">
        <v>1472</v>
      </c>
      <c r="AB204" s="823">
        <v>1501</v>
      </c>
      <c r="AC204" s="825">
        <v>1457</v>
      </c>
      <c r="AD204" s="825">
        <v>1506</v>
      </c>
      <c r="AE204" s="825">
        <v>1553</v>
      </c>
      <c r="AF204" s="825">
        <v>1559</v>
      </c>
      <c r="AG204" s="825">
        <v>1575</v>
      </c>
      <c r="AH204" s="825">
        <v>1611</v>
      </c>
      <c r="AI204" s="825">
        <v>1636</v>
      </c>
      <c r="AJ204" s="825">
        <v>1646</v>
      </c>
      <c r="AK204" s="825">
        <v>1673</v>
      </c>
      <c r="AL204" s="825">
        <v>1735</v>
      </c>
      <c r="AM204" s="825">
        <v>1770</v>
      </c>
      <c r="AN204" s="825">
        <v>1801</v>
      </c>
      <c r="AO204" s="825">
        <v>1852</v>
      </c>
      <c r="AP204" s="825">
        <v>1903</v>
      </c>
      <c r="AQ204" s="51"/>
      <c r="AR204" s="51"/>
      <c r="AS204" s="51"/>
      <c r="AT204" s="51"/>
      <c r="AU204" s="51"/>
      <c r="AV204" s="51"/>
      <c r="AW204" s="51"/>
      <c r="AX204" s="51"/>
      <c r="AY204" s="51"/>
      <c r="AZ204" s="51"/>
      <c r="BA204" s="51"/>
      <c r="BB204" s="51"/>
      <c r="BC204" s="51"/>
      <c r="BD204" s="51"/>
      <c r="BE204" s="51"/>
      <c r="BF204" s="51"/>
      <c r="BG204" s="51"/>
      <c r="BH204" s="51"/>
      <c r="BI204" s="51"/>
      <c r="BJ204" s="51"/>
      <c r="BK204" s="51"/>
      <c r="BL204" s="51"/>
      <c r="BM204" s="51"/>
      <c r="BN204" s="51"/>
      <c r="BO204" s="51"/>
      <c r="BP204" s="51"/>
      <c r="BQ204" s="51"/>
      <c r="BR204" s="51"/>
      <c r="BS204" s="51"/>
      <c r="BT204" s="51"/>
      <c r="BU204" s="51"/>
      <c r="BV204" s="51"/>
      <c r="BW204" s="51"/>
      <c r="BX204" s="51"/>
      <c r="BY204" s="51"/>
      <c r="BZ204" s="51"/>
      <c r="CA204" s="51"/>
      <c r="CB204" s="51"/>
      <c r="CC204" s="51"/>
      <c r="CD204" s="51"/>
      <c r="CE204" s="51"/>
      <c r="CF204" s="51"/>
      <c r="CG204" s="51"/>
      <c r="CH204" s="51"/>
      <c r="CI204" s="51"/>
      <c r="CJ204" s="51"/>
      <c r="CK204" s="51"/>
      <c r="CL204" s="51"/>
      <c r="CM204" s="51"/>
      <c r="CN204" s="51"/>
      <c r="CO204" s="51"/>
      <c r="CP204" s="51"/>
      <c r="CQ204" s="51"/>
      <c r="CR204" s="51"/>
      <c r="CS204" s="51"/>
      <c r="CT204" s="51"/>
      <c r="CU204" s="51"/>
      <c r="CV204" s="51"/>
      <c r="CW204" s="51"/>
      <c r="CX204" s="51"/>
      <c r="CY204" s="51"/>
      <c r="CZ204" s="51"/>
      <c r="DA204" s="51"/>
      <c r="DB204" s="51"/>
      <c r="DC204" s="51"/>
      <c r="DD204" s="51"/>
      <c r="DE204" s="51"/>
      <c r="DF204" s="51"/>
      <c r="DG204" s="51"/>
      <c r="DH204" s="51"/>
      <c r="DI204" s="51"/>
      <c r="DJ204" s="51"/>
      <c r="DK204" s="51"/>
      <c r="DL204" s="51"/>
      <c r="DM204" s="51"/>
      <c r="DN204" s="51"/>
      <c r="DO204" s="51"/>
      <c r="DP204" s="51"/>
      <c r="DQ204" s="51"/>
      <c r="DR204" s="51"/>
      <c r="DS204" s="51"/>
      <c r="DT204" s="51"/>
      <c r="DU204" s="51"/>
      <c r="DV204" s="51"/>
      <c r="DW204" s="51"/>
      <c r="DX204" s="51"/>
      <c r="DY204" s="51"/>
      <c r="DZ204" s="51"/>
      <c r="EA204" s="51"/>
      <c r="EB204" s="51"/>
      <c r="EC204" s="51"/>
      <c r="ED204" s="51"/>
      <c r="EE204" s="51"/>
      <c r="EF204" s="51"/>
      <c r="EG204" s="51"/>
      <c r="EH204" s="51"/>
      <c r="EI204" s="51"/>
      <c r="EJ204" s="51"/>
      <c r="EK204" s="51"/>
      <c r="EL204" s="51"/>
      <c r="EM204" s="51"/>
      <c r="EN204" s="51"/>
      <c r="EO204" s="51"/>
      <c r="EP204" s="51"/>
      <c r="EQ204" s="51"/>
      <c r="ER204" s="51"/>
      <c r="ES204" s="51"/>
      <c r="ET204" s="51"/>
      <c r="EU204" s="51"/>
      <c r="EV204" s="51"/>
      <c r="EW204" s="51"/>
      <c r="EX204" s="51"/>
      <c r="EY204" s="51"/>
      <c r="EZ204" s="51"/>
      <c r="FA204" s="51"/>
      <c r="FB204" s="51"/>
      <c r="FC204" s="51"/>
      <c r="FD204" s="51"/>
      <c r="FE204" s="51"/>
      <c r="FF204" s="51"/>
      <c r="FG204" s="51"/>
      <c r="FH204" s="51"/>
      <c r="FI204" s="51"/>
      <c r="FJ204" s="51"/>
      <c r="FK204" s="51"/>
      <c r="FL204" s="51"/>
      <c r="FM204" s="51"/>
      <c r="FN204" s="51"/>
      <c r="FO204" s="51"/>
      <c r="FP204" s="51"/>
      <c r="FQ204" s="51"/>
      <c r="FR204" s="51"/>
      <c r="FS204" s="51"/>
      <c r="FT204" s="51"/>
      <c r="FU204" s="51"/>
      <c r="FV204" s="51"/>
      <c r="FW204" s="51"/>
      <c r="FX204" s="51"/>
      <c r="FY204" s="51"/>
      <c r="FZ204" s="51"/>
      <c r="GA204" s="51"/>
      <c r="GB204" s="51"/>
      <c r="GC204" s="51"/>
      <c r="GD204" s="51"/>
      <c r="GE204" s="51"/>
      <c r="GF204" s="51"/>
      <c r="GG204" s="51"/>
      <c r="GH204" s="51"/>
      <c r="GI204" s="51"/>
      <c r="GJ204" s="51"/>
      <c r="GK204" s="51"/>
      <c r="GL204" s="51"/>
      <c r="GM204" s="51"/>
      <c r="GN204" s="51"/>
      <c r="GO204" s="51"/>
      <c r="GP204" s="51"/>
      <c r="GQ204" s="51"/>
      <c r="GR204" s="51"/>
      <c r="GS204" s="51"/>
      <c r="GT204" s="51"/>
      <c r="GU204" s="51"/>
      <c r="GV204" s="51"/>
      <c r="GW204" s="51"/>
      <c r="GX204" s="51"/>
      <c r="GY204" s="51"/>
      <c r="GZ204" s="51"/>
      <c r="HA204" s="51"/>
      <c r="HB204" s="51"/>
      <c r="HC204" s="51"/>
      <c r="HD204" s="51"/>
      <c r="HE204" s="51"/>
      <c r="HF204" s="51"/>
      <c r="HG204" s="51"/>
      <c r="HH204" s="51"/>
      <c r="HI204" s="51"/>
      <c r="HJ204" s="51"/>
      <c r="HK204" s="51"/>
      <c r="HL204" s="51"/>
      <c r="HM204" s="51"/>
      <c r="HN204" s="51"/>
      <c r="HO204" s="51"/>
      <c r="HP204" s="51"/>
      <c r="HQ204" s="51"/>
      <c r="HR204" s="51"/>
      <c r="HS204" s="51"/>
      <c r="HT204" s="51"/>
      <c r="HU204" s="51"/>
      <c r="HV204" s="51"/>
      <c r="HW204" s="51"/>
      <c r="HX204" s="51"/>
      <c r="HY204" s="51"/>
      <c r="HZ204" s="51"/>
      <c r="IA204" s="51"/>
      <c r="IB204" s="51"/>
      <c r="IC204" s="51"/>
      <c r="ID204" s="51"/>
      <c r="IE204" s="51"/>
      <c r="IF204" s="51"/>
      <c r="IG204" s="51"/>
      <c r="IH204" s="51"/>
      <c r="II204" s="51"/>
      <c r="IJ204" s="51"/>
      <c r="IK204" s="51"/>
      <c r="IL204" s="51"/>
      <c r="IM204" s="51"/>
      <c r="IN204" s="51"/>
      <c r="IO204" s="51"/>
      <c r="IP204" s="51"/>
      <c r="IQ204" s="51"/>
      <c r="IR204" s="51"/>
      <c r="IS204" s="51"/>
      <c r="IT204" s="51"/>
      <c r="IU204" s="51"/>
      <c r="IV204" s="51"/>
    </row>
    <row r="205" hidden="1">
      <c r="B205" s="826" t="s">
        <v>22</v>
      </c>
      <c r="C205" s="827">
        <v>0</v>
      </c>
      <c r="D205" s="827">
        <v>1</v>
      </c>
      <c r="E205" s="827">
        <v>1</v>
      </c>
      <c r="F205" s="827">
        <v>190</v>
      </c>
      <c r="G205" s="827">
        <v>200</v>
      </c>
      <c r="H205" s="827">
        <v>204</v>
      </c>
      <c r="I205" s="827">
        <v>202</v>
      </c>
      <c r="J205" s="827">
        <v>216</v>
      </c>
      <c r="K205" s="827">
        <v>210</v>
      </c>
      <c r="L205" s="827">
        <v>233</v>
      </c>
      <c r="M205" s="827">
        <v>245</v>
      </c>
      <c r="N205" s="827">
        <v>262</v>
      </c>
      <c r="O205" s="827">
        <v>637</v>
      </c>
      <c r="P205" s="827">
        <v>682</v>
      </c>
      <c r="Q205" s="827">
        <v>740</v>
      </c>
      <c r="R205" s="827">
        <v>807</v>
      </c>
      <c r="S205" s="827">
        <v>3207</v>
      </c>
      <c r="T205" s="827">
        <v>3268</v>
      </c>
      <c r="U205" s="827">
        <v>3475</v>
      </c>
      <c r="V205" s="827">
        <v>2036</v>
      </c>
      <c r="W205" s="827">
        <v>2092</v>
      </c>
      <c r="X205" s="827">
        <v>1759</v>
      </c>
      <c r="Y205" s="827">
        <v>1829</v>
      </c>
      <c r="Z205" s="827">
        <v>1875</v>
      </c>
      <c r="AA205" s="827">
        <v>2348</v>
      </c>
      <c r="AB205" s="827">
        <v>2388</v>
      </c>
      <c r="AC205" s="828">
        <v>2398</v>
      </c>
      <c r="AD205" s="828">
        <v>2437</v>
      </c>
      <c r="AE205" s="828">
        <v>1843</v>
      </c>
      <c r="AF205" s="828">
        <v>1925</v>
      </c>
      <c r="AG205" s="828">
        <v>2225</v>
      </c>
      <c r="AH205" s="828">
        <v>2299</v>
      </c>
      <c r="AI205" s="828">
        <v>2364</v>
      </c>
      <c r="AJ205" s="828">
        <v>2430</v>
      </c>
      <c r="AK205" s="828">
        <v>2478</v>
      </c>
      <c r="AL205" s="828">
        <v>2556</v>
      </c>
      <c r="AM205" s="828">
        <v>2612</v>
      </c>
      <c r="AN205" s="828">
        <v>2675</v>
      </c>
      <c r="AO205" s="828">
        <v>2868</v>
      </c>
      <c r="AP205" s="828">
        <v>2917</v>
      </c>
      <c r="AQ205" s="51"/>
      <c r="AR205" s="51"/>
      <c r="AS205" s="51"/>
      <c r="AT205" s="51"/>
      <c r="AU205" s="51"/>
      <c r="AV205" s="51"/>
      <c r="AW205" s="51"/>
      <c r="AX205" s="51"/>
      <c r="AY205" s="51"/>
      <c r="AZ205" s="51"/>
      <c r="BA205" s="51"/>
      <c r="BB205" s="51"/>
      <c r="BC205" s="51"/>
      <c r="BD205" s="51"/>
      <c r="BE205" s="51"/>
      <c r="BF205" s="51"/>
      <c r="BG205" s="51"/>
      <c r="BH205" s="51"/>
      <c r="BI205" s="51"/>
      <c r="BJ205" s="51"/>
      <c r="BK205" s="51"/>
      <c r="BL205" s="51"/>
      <c r="BM205" s="51"/>
      <c r="BN205" s="51"/>
      <c r="BO205" s="51"/>
      <c r="BP205" s="51"/>
      <c r="BQ205" s="51"/>
      <c r="BR205" s="51"/>
      <c r="BS205" s="51"/>
      <c r="BT205" s="51"/>
      <c r="BU205" s="51"/>
      <c r="BV205" s="51"/>
      <c r="BW205" s="51"/>
      <c r="BX205" s="51"/>
      <c r="BY205" s="51"/>
      <c r="BZ205" s="51"/>
      <c r="CA205" s="51"/>
      <c r="CB205" s="51"/>
      <c r="CC205" s="51"/>
      <c r="CD205" s="51"/>
      <c r="CE205" s="51"/>
      <c r="CF205" s="51"/>
      <c r="CG205" s="51"/>
      <c r="CH205" s="51"/>
      <c r="CI205" s="51"/>
      <c r="CJ205" s="51"/>
      <c r="CK205" s="51"/>
      <c r="CL205" s="51"/>
      <c r="CM205" s="51"/>
      <c r="CN205" s="51"/>
      <c r="CO205" s="51"/>
      <c r="CP205" s="51"/>
      <c r="CQ205" s="51"/>
      <c r="CR205" s="51"/>
      <c r="CS205" s="51"/>
      <c r="CT205" s="51"/>
      <c r="CU205" s="51"/>
      <c r="CV205" s="51"/>
      <c r="CW205" s="51"/>
      <c r="CX205" s="51"/>
      <c r="CY205" s="51"/>
      <c r="CZ205" s="51"/>
      <c r="DA205" s="51"/>
      <c r="DB205" s="51"/>
      <c r="DC205" s="51"/>
      <c r="DD205" s="51"/>
      <c r="DE205" s="51"/>
      <c r="DF205" s="51"/>
      <c r="DG205" s="51"/>
      <c r="DH205" s="51"/>
      <c r="DI205" s="51"/>
      <c r="DJ205" s="51"/>
      <c r="DK205" s="51"/>
      <c r="DL205" s="51"/>
      <c r="DM205" s="51"/>
      <c r="DN205" s="51"/>
      <c r="DO205" s="51"/>
      <c r="DP205" s="51"/>
      <c r="DQ205" s="51"/>
      <c r="DR205" s="51"/>
      <c r="DS205" s="51"/>
      <c r="DT205" s="51"/>
      <c r="DU205" s="51"/>
      <c r="DV205" s="51"/>
      <c r="DW205" s="51"/>
      <c r="DX205" s="51"/>
      <c r="DY205" s="51"/>
      <c r="DZ205" s="51"/>
      <c r="EA205" s="51"/>
      <c r="EB205" s="51"/>
      <c r="EC205" s="51"/>
      <c r="ED205" s="51"/>
      <c r="EE205" s="51"/>
      <c r="EF205" s="51"/>
      <c r="EG205" s="51"/>
      <c r="EH205" s="51"/>
      <c r="EI205" s="51"/>
      <c r="EJ205" s="51"/>
      <c r="EK205" s="51"/>
      <c r="EL205" s="51"/>
      <c r="EM205" s="51"/>
      <c r="EN205" s="51"/>
      <c r="EO205" s="51"/>
      <c r="EP205" s="51"/>
      <c r="EQ205" s="51"/>
      <c r="ER205" s="51"/>
      <c r="ES205" s="51"/>
      <c r="ET205" s="51"/>
      <c r="EU205" s="51"/>
      <c r="EV205" s="51"/>
      <c r="EW205" s="51"/>
      <c r="EX205" s="51"/>
      <c r="EY205" s="51"/>
      <c r="EZ205" s="51"/>
      <c r="FA205" s="51"/>
      <c r="FB205" s="51"/>
      <c r="FC205" s="51"/>
      <c r="FD205" s="51"/>
      <c r="FE205" s="51"/>
      <c r="FF205" s="51"/>
      <c r="FG205" s="51"/>
      <c r="FH205" s="51"/>
      <c r="FI205" s="51"/>
      <c r="FJ205" s="51"/>
      <c r="FK205" s="51"/>
      <c r="FL205" s="51"/>
      <c r="FM205" s="51"/>
      <c r="FN205" s="51"/>
      <c r="FO205" s="51"/>
      <c r="FP205" s="51"/>
      <c r="FQ205" s="51"/>
      <c r="FR205" s="51"/>
      <c r="FS205" s="51"/>
      <c r="FT205" s="51"/>
      <c r="FU205" s="51"/>
      <c r="FV205" s="51"/>
      <c r="FW205" s="51"/>
      <c r="FX205" s="51"/>
      <c r="FY205" s="51"/>
      <c r="FZ205" s="51"/>
      <c r="GA205" s="51"/>
      <c r="GB205" s="51"/>
      <c r="GC205" s="51"/>
      <c r="GD205" s="51"/>
      <c r="GE205" s="51"/>
      <c r="GF205" s="51"/>
      <c r="GG205" s="51"/>
      <c r="GH205" s="51"/>
      <c r="GI205" s="51"/>
      <c r="GJ205" s="51"/>
      <c r="GK205" s="51"/>
      <c r="GL205" s="51"/>
      <c r="GM205" s="51"/>
      <c r="GN205" s="51"/>
      <c r="GO205" s="51"/>
      <c r="GP205" s="51"/>
      <c r="GQ205" s="51"/>
      <c r="GR205" s="51"/>
      <c r="GS205" s="51"/>
      <c r="GT205" s="51"/>
      <c r="GU205" s="51"/>
      <c r="GV205" s="51"/>
      <c r="GW205" s="51"/>
      <c r="GX205" s="51"/>
      <c r="GY205" s="51"/>
      <c r="GZ205" s="51"/>
      <c r="HA205" s="51"/>
      <c r="HB205" s="51"/>
      <c r="HC205" s="51"/>
      <c r="HD205" s="51"/>
      <c r="HE205" s="51"/>
      <c r="HF205" s="51"/>
      <c r="HG205" s="51"/>
      <c r="HH205" s="51"/>
      <c r="HI205" s="51"/>
      <c r="HJ205" s="51"/>
      <c r="HK205" s="51"/>
      <c r="HL205" s="51"/>
      <c r="HM205" s="51"/>
      <c r="HN205" s="51"/>
      <c r="HO205" s="51"/>
      <c r="HP205" s="51"/>
      <c r="HQ205" s="51"/>
      <c r="HR205" s="51"/>
      <c r="HS205" s="51"/>
      <c r="HT205" s="51"/>
      <c r="HU205" s="51"/>
      <c r="HV205" s="51"/>
      <c r="HW205" s="51"/>
      <c r="HX205" s="51"/>
      <c r="HY205" s="51"/>
      <c r="HZ205" s="51"/>
      <c r="IA205" s="51"/>
      <c r="IB205" s="51"/>
      <c r="IC205" s="51"/>
      <c r="ID205" s="51"/>
      <c r="IE205" s="51"/>
      <c r="IF205" s="51"/>
      <c r="IG205" s="51"/>
      <c r="IH205" s="51"/>
      <c r="II205" s="51"/>
      <c r="IJ205" s="51"/>
      <c r="IK205" s="51"/>
      <c r="IL205" s="51"/>
      <c r="IM205" s="51"/>
      <c r="IN205" s="51"/>
      <c r="IO205" s="51"/>
      <c r="IP205" s="51"/>
      <c r="IQ205" s="51"/>
      <c r="IR205" s="51"/>
      <c r="IS205" s="51"/>
      <c r="IT205" s="51"/>
      <c r="IU205" s="51"/>
      <c r="IV205" s="51"/>
    </row>
    <row r="206" hidden="1">
      <c r="B206" s="829" t="s">
        <v>23</v>
      </c>
      <c r="C206" s="823">
        <v>232</v>
      </c>
      <c r="D206" s="823">
        <v>267</v>
      </c>
      <c r="E206" s="823">
        <v>260</v>
      </c>
      <c r="F206" s="823">
        <v>260</v>
      </c>
      <c r="G206" s="823">
        <v>260</v>
      </c>
      <c r="H206" s="823">
        <v>267</v>
      </c>
      <c r="I206" s="823">
        <v>265</v>
      </c>
      <c r="J206" s="823">
        <v>264</v>
      </c>
      <c r="K206" s="823">
        <v>258</v>
      </c>
      <c r="L206" s="823">
        <v>241</v>
      </c>
      <c r="M206" s="823">
        <v>229</v>
      </c>
      <c r="N206" s="823">
        <v>229</v>
      </c>
      <c r="O206" s="823">
        <v>207</v>
      </c>
      <c r="P206" s="823">
        <v>195</v>
      </c>
      <c r="Q206" s="823">
        <v>181</v>
      </c>
      <c r="R206" s="823">
        <v>184</v>
      </c>
      <c r="S206" s="823">
        <v>186</v>
      </c>
      <c r="T206" s="823">
        <v>179</v>
      </c>
      <c r="U206" s="823">
        <v>180</v>
      </c>
      <c r="V206" s="823">
        <v>178</v>
      </c>
      <c r="W206" s="823">
        <v>180</v>
      </c>
      <c r="X206" s="823">
        <v>182</v>
      </c>
      <c r="Y206" s="823">
        <v>180</v>
      </c>
      <c r="Z206" s="823">
        <v>166</v>
      </c>
      <c r="AA206" s="823">
        <v>166</v>
      </c>
      <c r="AB206" s="823">
        <v>161</v>
      </c>
      <c r="AC206" s="825">
        <v>160</v>
      </c>
      <c r="AD206" s="825">
        <v>159</v>
      </c>
      <c r="AE206" s="825">
        <v>161</v>
      </c>
      <c r="AF206" s="825">
        <v>161</v>
      </c>
      <c r="AG206" s="825">
        <v>164</v>
      </c>
      <c r="AH206" s="825">
        <v>179</v>
      </c>
      <c r="AI206" s="825">
        <v>188</v>
      </c>
      <c r="AJ206" s="825">
        <v>186</v>
      </c>
      <c r="AK206" s="825">
        <v>185</v>
      </c>
      <c r="AL206" s="825">
        <v>187</v>
      </c>
      <c r="AM206" s="825">
        <v>190</v>
      </c>
      <c r="AN206" s="825">
        <v>188</v>
      </c>
      <c r="AO206" s="825">
        <v>193</v>
      </c>
      <c r="AP206" s="825">
        <v>198</v>
      </c>
      <c r="AQ206" s="51"/>
      <c r="AR206" s="51"/>
      <c r="AS206" s="51"/>
      <c r="AT206" s="51"/>
      <c r="AU206" s="51"/>
      <c r="AV206" s="51"/>
      <c r="AW206" s="51"/>
      <c r="AX206" s="51"/>
      <c r="AY206" s="51"/>
      <c r="AZ206" s="51"/>
      <c r="BA206" s="51"/>
      <c r="BB206" s="51"/>
      <c r="BC206" s="51"/>
      <c r="BD206" s="51"/>
      <c r="BE206" s="51"/>
      <c r="BF206" s="51"/>
      <c r="BG206" s="51"/>
      <c r="BH206" s="51"/>
      <c r="BI206" s="51"/>
      <c r="BJ206" s="51"/>
      <c r="BK206" s="51"/>
      <c r="BL206" s="51"/>
      <c r="BM206" s="51"/>
      <c r="BN206" s="51"/>
      <c r="BO206" s="51"/>
      <c r="BP206" s="51"/>
      <c r="BQ206" s="51"/>
      <c r="BR206" s="51"/>
      <c r="BS206" s="51"/>
      <c r="BT206" s="51"/>
      <c r="BU206" s="51"/>
      <c r="BV206" s="51"/>
      <c r="BW206" s="51"/>
      <c r="BX206" s="51"/>
      <c r="BY206" s="51"/>
      <c r="BZ206" s="51"/>
      <c r="CA206" s="51"/>
      <c r="CB206" s="51"/>
      <c r="CC206" s="51"/>
      <c r="CD206" s="51"/>
      <c r="CE206" s="51"/>
      <c r="CF206" s="51"/>
      <c r="CG206" s="51"/>
      <c r="CH206" s="51"/>
      <c r="CI206" s="51"/>
      <c r="CJ206" s="51"/>
      <c r="CK206" s="51"/>
      <c r="CL206" s="51"/>
      <c r="CM206" s="51"/>
      <c r="CN206" s="51"/>
      <c r="CO206" s="51"/>
      <c r="CP206" s="51"/>
      <c r="CQ206" s="51"/>
      <c r="CR206" s="51"/>
      <c r="CS206" s="51"/>
      <c r="CT206" s="51"/>
      <c r="CU206" s="51"/>
      <c r="CV206" s="51"/>
      <c r="CW206" s="51"/>
      <c r="CX206" s="51"/>
      <c r="CY206" s="51"/>
      <c r="CZ206" s="51"/>
      <c r="DA206" s="51"/>
      <c r="DB206" s="51"/>
      <c r="DC206" s="51"/>
      <c r="DD206" s="51"/>
      <c r="DE206" s="51"/>
      <c r="DF206" s="51"/>
      <c r="DG206" s="51"/>
      <c r="DH206" s="51"/>
      <c r="DI206" s="51"/>
      <c r="DJ206" s="51"/>
      <c r="DK206" s="51"/>
      <c r="DL206" s="51"/>
      <c r="DM206" s="51"/>
      <c r="DN206" s="51"/>
      <c r="DO206" s="51"/>
      <c r="DP206" s="51"/>
      <c r="DQ206" s="51"/>
      <c r="DR206" s="51"/>
      <c r="DS206" s="51"/>
      <c r="DT206" s="51"/>
      <c r="DU206" s="51"/>
      <c r="DV206" s="51"/>
      <c r="DW206" s="51"/>
      <c r="DX206" s="51"/>
      <c r="DY206" s="51"/>
      <c r="DZ206" s="51"/>
      <c r="EA206" s="51"/>
      <c r="EB206" s="51"/>
      <c r="EC206" s="51"/>
      <c r="ED206" s="51"/>
      <c r="EE206" s="51"/>
      <c r="EF206" s="51"/>
      <c r="EG206" s="51"/>
      <c r="EH206" s="51"/>
      <c r="EI206" s="51"/>
      <c r="EJ206" s="51"/>
      <c r="EK206" s="51"/>
      <c r="EL206" s="51"/>
      <c r="EM206" s="51"/>
      <c r="EN206" s="51"/>
      <c r="EO206" s="51"/>
      <c r="EP206" s="51"/>
      <c r="EQ206" s="51"/>
      <c r="ER206" s="51"/>
      <c r="ES206" s="51"/>
      <c r="ET206" s="51"/>
      <c r="EU206" s="51"/>
      <c r="EV206" s="51"/>
      <c r="EW206" s="51"/>
      <c r="EX206" s="51"/>
      <c r="EY206" s="51"/>
      <c r="EZ206" s="51"/>
      <c r="FA206" s="51"/>
      <c r="FB206" s="51"/>
      <c r="FC206" s="51"/>
      <c r="FD206" s="51"/>
      <c r="FE206" s="51"/>
      <c r="FF206" s="51"/>
      <c r="FG206" s="51"/>
      <c r="FH206" s="51"/>
      <c r="FI206" s="51"/>
      <c r="FJ206" s="51"/>
      <c r="FK206" s="51"/>
      <c r="FL206" s="51"/>
      <c r="FM206" s="51"/>
      <c r="FN206" s="51"/>
      <c r="FO206" s="51"/>
      <c r="FP206" s="51"/>
      <c r="FQ206" s="51"/>
      <c r="FR206" s="51"/>
      <c r="FS206" s="51"/>
      <c r="FT206" s="51"/>
      <c r="FU206" s="51"/>
      <c r="FV206" s="51"/>
      <c r="FW206" s="51"/>
      <c r="FX206" s="51"/>
      <c r="FY206" s="51"/>
      <c r="FZ206" s="51"/>
      <c r="GA206" s="51"/>
      <c r="GB206" s="51"/>
      <c r="GC206" s="51"/>
      <c r="GD206" s="51"/>
      <c r="GE206" s="51"/>
      <c r="GF206" s="51"/>
      <c r="GG206" s="51"/>
      <c r="GH206" s="51"/>
      <c r="GI206" s="51"/>
      <c r="GJ206" s="51"/>
      <c r="GK206" s="51"/>
      <c r="GL206" s="51"/>
      <c r="GM206" s="51"/>
      <c r="GN206" s="51"/>
      <c r="GO206" s="51"/>
      <c r="GP206" s="51"/>
      <c r="GQ206" s="51"/>
      <c r="GR206" s="51"/>
      <c r="GS206" s="51"/>
      <c r="GT206" s="51"/>
      <c r="GU206" s="51"/>
      <c r="GV206" s="51"/>
      <c r="GW206" s="51"/>
      <c r="GX206" s="51"/>
      <c r="GY206" s="51"/>
      <c r="GZ206" s="51"/>
      <c r="HA206" s="51"/>
      <c r="HB206" s="51"/>
      <c r="HC206" s="51"/>
      <c r="HD206" s="51"/>
      <c r="HE206" s="51"/>
      <c r="HF206" s="51"/>
      <c r="HG206" s="51"/>
      <c r="HH206" s="51"/>
      <c r="HI206" s="51"/>
      <c r="HJ206" s="51"/>
      <c r="HK206" s="51"/>
      <c r="HL206" s="51"/>
      <c r="HM206" s="51"/>
      <c r="HN206" s="51"/>
      <c r="HO206" s="51"/>
      <c r="HP206" s="51"/>
      <c r="HQ206" s="51"/>
      <c r="HR206" s="51"/>
      <c r="HS206" s="51"/>
      <c r="HT206" s="51"/>
      <c r="HU206" s="51"/>
      <c r="HV206" s="51"/>
      <c r="HW206" s="51"/>
      <c r="HX206" s="51"/>
      <c r="HY206" s="51"/>
      <c r="HZ206" s="51"/>
      <c r="IA206" s="51"/>
      <c r="IB206" s="51"/>
      <c r="IC206" s="51"/>
      <c r="ID206" s="51"/>
      <c r="IE206" s="51"/>
      <c r="IF206" s="51"/>
      <c r="IG206" s="51"/>
      <c r="IH206" s="51"/>
      <c r="II206" s="51"/>
      <c r="IJ206" s="51"/>
      <c r="IK206" s="51"/>
      <c r="IL206" s="51"/>
      <c r="IM206" s="51"/>
      <c r="IN206" s="51"/>
      <c r="IO206" s="51"/>
      <c r="IP206" s="51"/>
      <c r="IQ206" s="51"/>
      <c r="IR206" s="51"/>
      <c r="IS206" s="51"/>
      <c r="IT206" s="51"/>
      <c r="IU206" s="51"/>
      <c r="IV206" s="51"/>
    </row>
    <row r="207" hidden="1">
      <c r="B207" s="835" t="s">
        <v>24</v>
      </c>
      <c r="C207" s="827">
        <v>103</v>
      </c>
      <c r="D207" s="827">
        <v>88</v>
      </c>
      <c r="E207" s="827">
        <v>63</v>
      </c>
      <c r="F207" s="827">
        <v>55</v>
      </c>
      <c r="G207" s="827">
        <v>52</v>
      </c>
      <c r="H207" s="827">
        <v>52</v>
      </c>
      <c r="I207" s="827">
        <v>52</v>
      </c>
      <c r="J207" s="827">
        <v>51</v>
      </c>
      <c r="K207" s="827">
        <v>51</v>
      </c>
      <c r="L207" s="827">
        <v>49</v>
      </c>
      <c r="M207" s="827">
        <v>0</v>
      </c>
      <c r="N207" s="827">
        <v>50</v>
      </c>
      <c r="O207" s="827">
        <v>50</v>
      </c>
      <c r="P207" s="827">
        <v>50</v>
      </c>
      <c r="Q207" s="827">
        <v>50</v>
      </c>
      <c r="R207" s="827">
        <v>52</v>
      </c>
      <c r="S207" s="827">
        <v>51</v>
      </c>
      <c r="T207" s="827">
        <v>50</v>
      </c>
      <c r="U207" s="827">
        <v>48</v>
      </c>
      <c r="V207" s="827">
        <v>48</v>
      </c>
      <c r="W207" s="827">
        <v>45</v>
      </c>
      <c r="X207" s="827">
        <v>45</v>
      </c>
      <c r="Y207" s="827">
        <v>46</v>
      </c>
      <c r="Z207" s="827">
        <v>46</v>
      </c>
      <c r="AA207" s="827">
        <v>46</v>
      </c>
      <c r="AB207" s="827">
        <v>46</v>
      </c>
      <c r="AC207" s="828">
        <v>44</v>
      </c>
      <c r="AD207" s="828">
        <v>43</v>
      </c>
      <c r="AE207" s="828">
        <v>43</v>
      </c>
      <c r="AF207" s="828">
        <v>43</v>
      </c>
      <c r="AG207" s="828">
        <v>43</v>
      </c>
      <c r="AH207" s="828">
        <v>44</v>
      </c>
      <c r="AI207" s="828">
        <v>46</v>
      </c>
      <c r="AJ207" s="828">
        <v>46</v>
      </c>
      <c r="AK207" s="828">
        <v>48</v>
      </c>
      <c r="AL207" s="828">
        <v>48</v>
      </c>
      <c r="AM207" s="828">
        <v>49</v>
      </c>
      <c r="AN207" s="828">
        <v>50</v>
      </c>
      <c r="AO207" s="828">
        <v>52</v>
      </c>
      <c r="AP207" s="828">
        <v>50</v>
      </c>
      <c r="AQ207" s="51"/>
      <c r="AR207" s="51"/>
      <c r="AS207" s="51"/>
      <c r="AT207" s="51"/>
      <c r="AU207" s="51"/>
      <c r="AV207" s="51"/>
      <c r="AW207" s="51"/>
      <c r="AX207" s="51"/>
      <c r="AY207" s="51"/>
      <c r="AZ207" s="51"/>
      <c r="BA207" s="51"/>
      <c r="BB207" s="51"/>
      <c r="BC207" s="51"/>
      <c r="BD207" s="51"/>
      <c r="BE207" s="51"/>
      <c r="BF207" s="51"/>
      <c r="BG207" s="51"/>
      <c r="BH207" s="51"/>
      <c r="BI207" s="51"/>
      <c r="BJ207" s="51"/>
      <c r="BK207" s="51"/>
      <c r="BL207" s="51"/>
      <c r="BM207" s="51"/>
      <c r="BN207" s="51"/>
      <c r="BO207" s="51"/>
      <c r="BP207" s="51"/>
      <c r="BQ207" s="51"/>
      <c r="BR207" s="51"/>
      <c r="BS207" s="51"/>
      <c r="BT207" s="51"/>
      <c r="BU207" s="51"/>
      <c r="BV207" s="51"/>
      <c r="BW207" s="51"/>
      <c r="BX207" s="51"/>
      <c r="BY207" s="51"/>
      <c r="BZ207" s="51"/>
      <c r="CA207" s="51"/>
      <c r="CB207" s="51"/>
      <c r="CC207" s="51"/>
      <c r="CD207" s="51"/>
      <c r="CE207" s="51"/>
      <c r="CF207" s="51"/>
      <c r="CG207" s="51"/>
      <c r="CH207" s="51"/>
      <c r="CI207" s="51"/>
      <c r="CJ207" s="51"/>
      <c r="CK207" s="51"/>
      <c r="CL207" s="51"/>
      <c r="CM207" s="51"/>
      <c r="CN207" s="51"/>
      <c r="CO207" s="51"/>
      <c r="CP207" s="51"/>
      <c r="CQ207" s="51"/>
      <c r="CR207" s="51"/>
      <c r="CS207" s="51"/>
      <c r="CT207" s="51"/>
      <c r="CU207" s="51"/>
      <c r="CV207" s="51"/>
      <c r="CW207" s="51"/>
      <c r="CX207" s="51"/>
      <c r="CY207" s="51"/>
      <c r="CZ207" s="51"/>
      <c r="DA207" s="51"/>
      <c r="DB207" s="51"/>
      <c r="DC207" s="51"/>
      <c r="DD207" s="51"/>
      <c r="DE207" s="51"/>
      <c r="DF207" s="51"/>
      <c r="DG207" s="51"/>
      <c r="DH207" s="51"/>
      <c r="DI207" s="51"/>
      <c r="DJ207" s="51"/>
      <c r="DK207" s="51"/>
      <c r="DL207" s="51"/>
      <c r="DM207" s="51"/>
      <c r="DN207" s="51"/>
      <c r="DO207" s="51"/>
      <c r="DP207" s="51"/>
      <c r="DQ207" s="51"/>
      <c r="DR207" s="51"/>
      <c r="DS207" s="51"/>
      <c r="DT207" s="51"/>
      <c r="DU207" s="51"/>
      <c r="DV207" s="51"/>
      <c r="DW207" s="51"/>
      <c r="DX207" s="51"/>
      <c r="DY207" s="51"/>
      <c r="DZ207" s="51"/>
      <c r="EA207" s="51"/>
      <c r="EB207" s="51"/>
      <c r="EC207" s="51"/>
      <c r="ED207" s="51"/>
      <c r="EE207" s="51"/>
      <c r="EF207" s="51"/>
      <c r="EG207" s="51"/>
      <c r="EH207" s="51"/>
      <c r="EI207" s="51"/>
      <c r="EJ207" s="51"/>
      <c r="EK207" s="51"/>
      <c r="EL207" s="51"/>
      <c r="EM207" s="51"/>
      <c r="EN207" s="51"/>
      <c r="EO207" s="51"/>
      <c r="EP207" s="51"/>
      <c r="EQ207" s="51"/>
      <c r="ER207" s="51"/>
      <c r="ES207" s="51"/>
      <c r="ET207" s="51"/>
      <c r="EU207" s="51"/>
      <c r="EV207" s="51"/>
      <c r="EW207" s="51"/>
      <c r="EX207" s="51"/>
      <c r="EY207" s="51"/>
      <c r="EZ207" s="51"/>
      <c r="FA207" s="51"/>
      <c r="FB207" s="51"/>
      <c r="FC207" s="51"/>
      <c r="FD207" s="51"/>
      <c r="FE207" s="51"/>
      <c r="FF207" s="51"/>
      <c r="FG207" s="51"/>
      <c r="FH207" s="51"/>
      <c r="FI207" s="51"/>
      <c r="FJ207" s="51"/>
      <c r="FK207" s="51"/>
      <c r="FL207" s="51"/>
      <c r="FM207" s="51"/>
      <c r="FN207" s="51"/>
      <c r="FO207" s="51"/>
      <c r="FP207" s="51"/>
      <c r="FQ207" s="51"/>
      <c r="FR207" s="51"/>
      <c r="FS207" s="51"/>
      <c r="FT207" s="51"/>
      <c r="FU207" s="51"/>
      <c r="FV207" s="51"/>
      <c r="FW207" s="51"/>
      <c r="FX207" s="51"/>
      <c r="FY207" s="51"/>
      <c r="FZ207" s="51"/>
      <c r="GA207" s="51"/>
      <c r="GB207" s="51"/>
      <c r="GC207" s="51"/>
      <c r="GD207" s="51"/>
      <c r="GE207" s="51"/>
      <c r="GF207" s="51"/>
      <c r="GG207" s="51"/>
      <c r="GH207" s="51"/>
      <c r="GI207" s="51"/>
      <c r="GJ207" s="51"/>
      <c r="GK207" s="51"/>
      <c r="GL207" s="51"/>
      <c r="GM207" s="51"/>
      <c r="GN207" s="51"/>
      <c r="GO207" s="51"/>
      <c r="GP207" s="51"/>
      <c r="GQ207" s="51"/>
      <c r="GR207" s="51"/>
      <c r="GS207" s="51"/>
      <c r="GT207" s="51"/>
      <c r="GU207" s="51"/>
      <c r="GV207" s="51"/>
      <c r="GW207" s="51"/>
      <c r="GX207" s="51"/>
      <c r="GY207" s="51"/>
      <c r="GZ207" s="51"/>
      <c r="HA207" s="51"/>
      <c r="HB207" s="51"/>
      <c r="HC207" s="51"/>
      <c r="HD207" s="51"/>
      <c r="HE207" s="51"/>
      <c r="HF207" s="51"/>
      <c r="HG207" s="51"/>
      <c r="HH207" s="51"/>
      <c r="HI207" s="51"/>
      <c r="HJ207" s="51"/>
      <c r="HK207" s="51"/>
      <c r="HL207" s="51"/>
      <c r="HM207" s="51"/>
      <c r="HN207" s="51"/>
      <c r="HO207" s="51"/>
      <c r="HP207" s="51"/>
      <c r="HQ207" s="51"/>
      <c r="HR207" s="51"/>
      <c r="HS207" s="51"/>
      <c r="HT207" s="51"/>
      <c r="HU207" s="51"/>
      <c r="HV207" s="51"/>
      <c r="HW207" s="51"/>
      <c r="HX207" s="51"/>
      <c r="HY207" s="51"/>
      <c r="HZ207" s="51"/>
      <c r="IA207" s="51"/>
      <c r="IB207" s="51"/>
      <c r="IC207" s="51"/>
      <c r="ID207" s="51"/>
      <c r="IE207" s="51"/>
      <c r="IF207" s="51"/>
      <c r="IG207" s="51"/>
      <c r="IH207" s="51"/>
      <c r="II207" s="51"/>
      <c r="IJ207" s="51"/>
      <c r="IK207" s="51"/>
      <c r="IL207" s="51"/>
      <c r="IM207" s="51"/>
      <c r="IN207" s="51"/>
      <c r="IO207" s="51"/>
      <c r="IP207" s="51"/>
      <c r="IQ207" s="51"/>
      <c r="IR207" s="51"/>
      <c r="IS207" s="51"/>
      <c r="IT207" s="51"/>
      <c r="IU207" s="51"/>
      <c r="IV207" s="51"/>
    </row>
    <row r="208" hidden="1">
      <c r="B208" s="829" t="s">
        <v>25</v>
      </c>
      <c r="C208" s="823">
        <v>0</v>
      </c>
      <c r="D208" s="823">
        <v>0</v>
      </c>
      <c r="E208" s="823">
        <v>0</v>
      </c>
      <c r="F208" s="823">
        <v>0</v>
      </c>
      <c r="G208" s="823">
        <v>0</v>
      </c>
      <c r="H208" s="823">
        <v>0</v>
      </c>
      <c r="I208" s="823">
        <v>0</v>
      </c>
      <c r="J208" s="823">
        <v>0</v>
      </c>
      <c r="K208" s="823">
        <v>0</v>
      </c>
      <c r="L208" s="823">
        <v>0</v>
      </c>
      <c r="M208" s="823">
        <v>0</v>
      </c>
      <c r="N208" s="823">
        <v>0</v>
      </c>
      <c r="O208" s="823">
        <v>0</v>
      </c>
      <c r="P208" s="823">
        <v>0</v>
      </c>
      <c r="Q208" s="823">
        <v>0</v>
      </c>
      <c r="R208" s="823">
        <v>0</v>
      </c>
      <c r="S208" s="823">
        <v>0</v>
      </c>
      <c r="T208" s="823">
        <v>0</v>
      </c>
      <c r="U208" s="823">
        <v>0</v>
      </c>
      <c r="V208" s="823">
        <v>0</v>
      </c>
      <c r="W208" s="823">
        <v>0</v>
      </c>
      <c r="X208" s="823">
        <v>0</v>
      </c>
      <c r="Y208" s="823">
        <v>0</v>
      </c>
      <c r="Z208" s="823">
        <v>0</v>
      </c>
      <c r="AA208" s="823">
        <v>0</v>
      </c>
      <c r="AB208" s="823">
        <v>0</v>
      </c>
      <c r="AC208" s="825">
        <v>0</v>
      </c>
      <c r="AD208" s="825">
        <v>0</v>
      </c>
      <c r="AE208" s="825">
        <v>0</v>
      </c>
      <c r="AF208" s="825">
        <v>0</v>
      </c>
      <c r="AG208" s="825">
        <v>0</v>
      </c>
      <c r="AH208" s="825">
        <v>0</v>
      </c>
      <c r="AI208" s="825">
        <v>0</v>
      </c>
      <c r="AJ208" s="825">
        <v>0</v>
      </c>
      <c r="AK208" s="825">
        <v>0</v>
      </c>
      <c r="AL208" s="825">
        <v>0</v>
      </c>
      <c r="AM208" s="825">
        <v>0</v>
      </c>
      <c r="AN208" s="825">
        <v>0</v>
      </c>
      <c r="AO208" s="825">
        <v>0</v>
      </c>
      <c r="AP208" s="825">
        <v>0</v>
      </c>
      <c r="AQ208" s="51"/>
      <c r="AR208" s="51"/>
      <c r="AS208" s="51"/>
      <c r="AT208" s="51"/>
      <c r="AU208" s="51"/>
      <c r="AV208" s="51"/>
      <c r="AW208" s="51"/>
      <c r="AX208" s="51"/>
      <c r="AY208" s="51"/>
      <c r="AZ208" s="51"/>
      <c r="BA208" s="51"/>
      <c r="BB208" s="51"/>
      <c r="BC208" s="51"/>
      <c r="BD208" s="51"/>
      <c r="BE208" s="51"/>
      <c r="BF208" s="51"/>
      <c r="BG208" s="51"/>
      <c r="BH208" s="51"/>
      <c r="BI208" s="51"/>
      <c r="BJ208" s="51"/>
      <c r="BK208" s="51"/>
      <c r="BL208" s="51"/>
      <c r="BM208" s="51"/>
      <c r="BN208" s="51"/>
      <c r="BO208" s="51"/>
      <c r="BP208" s="51"/>
      <c r="BQ208" s="51"/>
      <c r="BR208" s="51"/>
      <c r="BS208" s="51"/>
      <c r="BT208" s="51"/>
      <c r="BU208" s="51"/>
      <c r="BV208" s="51"/>
      <c r="BW208" s="51"/>
      <c r="BX208" s="51"/>
      <c r="BY208" s="51"/>
      <c r="BZ208" s="51"/>
      <c r="CA208" s="51"/>
      <c r="CB208" s="51"/>
      <c r="CC208" s="51"/>
      <c r="CD208" s="51"/>
      <c r="CE208" s="51"/>
      <c r="CF208" s="51"/>
      <c r="CG208" s="51"/>
      <c r="CH208" s="51"/>
      <c r="CI208" s="51"/>
      <c r="CJ208" s="51"/>
      <c r="CK208" s="51"/>
      <c r="CL208" s="51"/>
      <c r="CM208" s="51"/>
      <c r="CN208" s="51"/>
      <c r="CO208" s="51"/>
      <c r="CP208" s="51"/>
      <c r="CQ208" s="51"/>
      <c r="CR208" s="51"/>
      <c r="CS208" s="51"/>
      <c r="CT208" s="51"/>
      <c r="CU208" s="51"/>
      <c r="CV208" s="51"/>
      <c r="CW208" s="51"/>
      <c r="CX208" s="51"/>
      <c r="CY208" s="51"/>
      <c r="CZ208" s="51"/>
      <c r="DA208" s="51"/>
      <c r="DB208" s="51"/>
      <c r="DC208" s="51"/>
      <c r="DD208" s="51"/>
      <c r="DE208" s="51"/>
      <c r="DF208" s="51"/>
      <c r="DG208" s="51"/>
      <c r="DH208" s="51"/>
      <c r="DI208" s="51"/>
      <c r="DJ208" s="51"/>
      <c r="DK208" s="51"/>
      <c r="DL208" s="51"/>
      <c r="DM208" s="51"/>
      <c r="DN208" s="51"/>
      <c r="DO208" s="51"/>
      <c r="DP208" s="51"/>
      <c r="DQ208" s="51"/>
      <c r="DR208" s="51"/>
      <c r="DS208" s="51"/>
      <c r="DT208" s="51"/>
      <c r="DU208" s="51"/>
      <c r="DV208" s="51"/>
      <c r="DW208" s="51"/>
      <c r="DX208" s="51"/>
      <c r="DY208" s="51"/>
      <c r="DZ208" s="51"/>
      <c r="EA208" s="51"/>
      <c r="EB208" s="51"/>
      <c r="EC208" s="51"/>
      <c r="ED208" s="51"/>
      <c r="EE208" s="51"/>
      <c r="EF208" s="51"/>
      <c r="EG208" s="51"/>
      <c r="EH208" s="51"/>
      <c r="EI208" s="51"/>
      <c r="EJ208" s="51"/>
      <c r="EK208" s="51"/>
      <c r="EL208" s="51"/>
      <c r="EM208" s="51"/>
      <c r="EN208" s="51"/>
      <c r="EO208" s="51"/>
      <c r="EP208" s="51"/>
      <c r="EQ208" s="51"/>
      <c r="ER208" s="51"/>
      <c r="ES208" s="51"/>
      <c r="ET208" s="51"/>
      <c r="EU208" s="51"/>
      <c r="EV208" s="51"/>
      <c r="EW208" s="51"/>
      <c r="EX208" s="51"/>
      <c r="EY208" s="51"/>
      <c r="EZ208" s="51"/>
      <c r="FA208" s="51"/>
      <c r="FB208" s="51"/>
      <c r="FC208" s="51"/>
      <c r="FD208" s="51"/>
      <c r="FE208" s="51"/>
      <c r="FF208" s="51"/>
      <c r="FG208" s="51"/>
      <c r="FH208" s="51"/>
      <c r="FI208" s="51"/>
      <c r="FJ208" s="51"/>
      <c r="FK208" s="51"/>
      <c r="FL208" s="51"/>
      <c r="FM208" s="51"/>
      <c r="FN208" s="51"/>
      <c r="FO208" s="51"/>
      <c r="FP208" s="51"/>
      <c r="FQ208" s="51"/>
      <c r="FR208" s="51"/>
      <c r="FS208" s="51"/>
      <c r="FT208" s="51"/>
      <c r="FU208" s="51"/>
      <c r="FV208" s="51"/>
      <c r="FW208" s="51"/>
      <c r="FX208" s="51"/>
      <c r="FY208" s="51"/>
      <c r="FZ208" s="51"/>
      <c r="GA208" s="51"/>
      <c r="GB208" s="51"/>
      <c r="GC208" s="51"/>
      <c r="GD208" s="51"/>
      <c r="GE208" s="51"/>
      <c r="GF208" s="51"/>
      <c r="GG208" s="51"/>
      <c r="GH208" s="51"/>
      <c r="GI208" s="51"/>
      <c r="GJ208" s="51"/>
      <c r="GK208" s="51"/>
      <c r="GL208" s="51"/>
      <c r="GM208" s="51"/>
      <c r="GN208" s="51"/>
      <c r="GO208" s="51"/>
      <c r="GP208" s="51"/>
      <c r="GQ208" s="51"/>
      <c r="GR208" s="51"/>
      <c r="GS208" s="51"/>
      <c r="GT208" s="51"/>
      <c r="GU208" s="51"/>
      <c r="GV208" s="51"/>
      <c r="GW208" s="51"/>
      <c r="GX208" s="51"/>
      <c r="GY208" s="51"/>
      <c r="GZ208" s="51"/>
      <c r="HA208" s="51"/>
      <c r="HB208" s="51"/>
      <c r="HC208" s="51"/>
      <c r="HD208" s="51"/>
      <c r="HE208" s="51"/>
      <c r="HF208" s="51"/>
      <c r="HG208" s="51"/>
      <c r="HH208" s="51"/>
      <c r="HI208" s="51"/>
      <c r="HJ208" s="51"/>
      <c r="HK208" s="51"/>
      <c r="HL208" s="51"/>
      <c r="HM208" s="51"/>
      <c r="HN208" s="51"/>
      <c r="HO208" s="51"/>
      <c r="HP208" s="51"/>
      <c r="HQ208" s="51"/>
      <c r="HR208" s="51"/>
      <c r="HS208" s="51"/>
      <c r="HT208" s="51"/>
      <c r="HU208" s="51"/>
      <c r="HV208" s="51"/>
      <c r="HW208" s="51"/>
      <c r="HX208" s="51"/>
      <c r="HY208" s="51"/>
      <c r="HZ208" s="51"/>
      <c r="IA208" s="51"/>
      <c r="IB208" s="51"/>
      <c r="IC208" s="51"/>
      <c r="ID208" s="51"/>
      <c r="IE208" s="51"/>
      <c r="IF208" s="51"/>
      <c r="IG208" s="51"/>
      <c r="IH208" s="51"/>
      <c r="II208" s="51"/>
      <c r="IJ208" s="51"/>
      <c r="IK208" s="51"/>
      <c r="IL208" s="51"/>
      <c r="IM208" s="51"/>
      <c r="IN208" s="51"/>
      <c r="IO208" s="51"/>
      <c r="IP208" s="51"/>
      <c r="IQ208" s="51"/>
      <c r="IR208" s="51"/>
      <c r="IS208" s="51"/>
      <c r="IT208" s="51"/>
      <c r="IU208" s="51"/>
      <c r="IV208" s="51"/>
    </row>
    <row r="209" hidden="1" ht="13.5">
      <c r="B209" s="836" t="s">
        <v>26</v>
      </c>
      <c r="C209" s="827">
        <v>0</v>
      </c>
      <c r="D209" s="827">
        <v>0</v>
      </c>
      <c r="E209" s="827">
        <v>0</v>
      </c>
      <c r="F209" s="827">
        <v>0</v>
      </c>
      <c r="G209" s="827">
        <v>0</v>
      </c>
      <c r="H209" s="827">
        <v>0</v>
      </c>
      <c r="I209" s="827">
        <v>0</v>
      </c>
      <c r="J209" s="827">
        <v>0</v>
      </c>
      <c r="K209" s="827">
        <v>0</v>
      </c>
      <c r="L209" s="827">
        <v>0</v>
      </c>
      <c r="M209" s="827">
        <v>0</v>
      </c>
      <c r="N209" s="827">
        <v>0</v>
      </c>
      <c r="O209" s="827">
        <v>0</v>
      </c>
      <c r="P209" s="827">
        <v>0</v>
      </c>
      <c r="Q209" s="827">
        <v>0</v>
      </c>
      <c r="R209" s="827">
        <v>0</v>
      </c>
      <c r="S209" s="827">
        <v>0</v>
      </c>
      <c r="T209" s="827">
        <v>0</v>
      </c>
      <c r="U209" s="827">
        <v>0</v>
      </c>
      <c r="V209" s="827">
        <v>0</v>
      </c>
      <c r="W209" s="827">
        <v>0</v>
      </c>
      <c r="X209" s="827">
        <v>0</v>
      </c>
      <c r="Y209" s="827">
        <v>0</v>
      </c>
      <c r="Z209" s="827">
        <v>0</v>
      </c>
      <c r="AA209" s="827">
        <v>0</v>
      </c>
      <c r="AB209" s="837">
        <v>0</v>
      </c>
      <c r="AC209" s="828">
        <v>0</v>
      </c>
      <c r="AD209" s="828">
        <v>0</v>
      </c>
      <c r="AE209" s="828">
        <v>0</v>
      </c>
      <c r="AF209" s="828">
        <v>0</v>
      </c>
      <c r="AG209" s="828">
        <v>0</v>
      </c>
      <c r="AH209" s="828">
        <v>0</v>
      </c>
      <c r="AI209" s="828">
        <v>0</v>
      </c>
      <c r="AJ209" s="828">
        <v>0</v>
      </c>
      <c r="AK209" s="828">
        <v>0</v>
      </c>
      <c r="AL209" s="828">
        <v>0</v>
      </c>
      <c r="AM209" s="828">
        <v>0</v>
      </c>
      <c r="AN209" s="828">
        <v>0</v>
      </c>
      <c r="AO209" s="828">
        <v>0</v>
      </c>
      <c r="AP209" s="828">
        <v>0</v>
      </c>
      <c r="AQ209" s="51"/>
      <c r="AR209" s="51"/>
      <c r="AS209" s="51"/>
      <c r="AT209" s="51"/>
      <c r="AU209" s="51"/>
      <c r="AV209" s="51"/>
      <c r="AW209" s="51"/>
      <c r="AX209" s="51"/>
      <c r="AY209" s="51"/>
      <c r="AZ209" s="51"/>
      <c r="BA209" s="51"/>
      <c r="BB209" s="51"/>
      <c r="BC209" s="51"/>
      <c r="BD209" s="51"/>
      <c r="BE209" s="51"/>
      <c r="BF209" s="51"/>
      <c r="BG209" s="51"/>
      <c r="BH209" s="51"/>
      <c r="BI209" s="51"/>
      <c r="BJ209" s="51"/>
      <c r="BK209" s="51"/>
      <c r="BL209" s="51"/>
      <c r="BM209" s="51"/>
      <c r="BN209" s="51"/>
      <c r="BO209" s="51"/>
      <c r="BP209" s="51"/>
      <c r="BQ209" s="51"/>
      <c r="BR209" s="51"/>
      <c r="BS209" s="51"/>
      <c r="BT209" s="51"/>
      <c r="BU209" s="51"/>
      <c r="BV209" s="51"/>
      <c r="BW209" s="51"/>
      <c r="BX209" s="51"/>
      <c r="BY209" s="51"/>
      <c r="BZ209" s="51"/>
      <c r="CA209" s="51"/>
      <c r="CB209" s="51"/>
      <c r="CC209" s="51"/>
      <c r="CD209" s="51"/>
      <c r="CE209" s="51"/>
      <c r="CF209" s="51"/>
      <c r="CG209" s="51"/>
      <c r="CH209" s="51"/>
      <c r="CI209" s="51"/>
      <c r="CJ209" s="51"/>
      <c r="CK209" s="51"/>
      <c r="CL209" s="51"/>
      <c r="CM209" s="51"/>
      <c r="CN209" s="51"/>
      <c r="CO209" s="51"/>
      <c r="CP209" s="51"/>
      <c r="CQ209" s="51"/>
      <c r="CR209" s="51"/>
      <c r="CS209" s="51"/>
      <c r="CT209" s="51"/>
      <c r="CU209" s="51"/>
      <c r="CV209" s="51"/>
      <c r="CW209" s="51"/>
      <c r="CX209" s="51"/>
      <c r="CY209" s="51"/>
      <c r="CZ209" s="51"/>
      <c r="DA209" s="51"/>
      <c r="DB209" s="51"/>
      <c r="DC209" s="51"/>
      <c r="DD209" s="51"/>
      <c r="DE209" s="51"/>
      <c r="DF209" s="51"/>
      <c r="DG209" s="51"/>
      <c r="DH209" s="51"/>
      <c r="DI209" s="51"/>
      <c r="DJ209" s="51"/>
      <c r="DK209" s="51"/>
      <c r="DL209" s="51"/>
      <c r="DM209" s="51"/>
      <c r="DN209" s="51"/>
      <c r="DO209" s="51"/>
      <c r="DP209" s="51"/>
      <c r="DQ209" s="51"/>
      <c r="DR209" s="51"/>
      <c r="DS209" s="51"/>
      <c r="DT209" s="51"/>
      <c r="DU209" s="51"/>
      <c r="DV209" s="51"/>
      <c r="DW209" s="51"/>
      <c r="DX209" s="51"/>
      <c r="DY209" s="51"/>
      <c r="DZ209" s="51"/>
      <c r="EA209" s="51"/>
      <c r="EB209" s="51"/>
      <c r="EC209" s="51"/>
      <c r="ED209" s="51"/>
      <c r="EE209" s="51"/>
      <c r="EF209" s="51"/>
      <c r="EG209" s="51"/>
      <c r="EH209" s="51"/>
      <c r="EI209" s="51"/>
      <c r="EJ209" s="51"/>
      <c r="EK209" s="51"/>
      <c r="EL209" s="51"/>
      <c r="EM209" s="51"/>
      <c r="EN209" s="51"/>
      <c r="EO209" s="51"/>
      <c r="EP209" s="51"/>
      <c r="EQ209" s="51"/>
      <c r="ER209" s="51"/>
      <c r="ES209" s="51"/>
      <c r="ET209" s="51"/>
      <c r="EU209" s="51"/>
      <c r="EV209" s="51"/>
      <c r="EW209" s="51"/>
      <c r="EX209" s="51"/>
      <c r="EY209" s="51"/>
      <c r="EZ209" s="51"/>
      <c r="FA209" s="51"/>
      <c r="FB209" s="51"/>
      <c r="FC209" s="51"/>
      <c r="FD209" s="51"/>
      <c r="FE209" s="51"/>
      <c r="FF209" s="51"/>
      <c r="FG209" s="51"/>
      <c r="FH209" s="51"/>
      <c r="FI209" s="51"/>
      <c r="FJ209" s="51"/>
      <c r="FK209" s="51"/>
      <c r="FL209" s="51"/>
      <c r="FM209" s="51"/>
      <c r="FN209" s="51"/>
      <c r="FO209" s="51"/>
      <c r="FP209" s="51"/>
      <c r="FQ209" s="51"/>
      <c r="FR209" s="51"/>
      <c r="FS209" s="51"/>
      <c r="FT209" s="51"/>
      <c r="FU209" s="51"/>
      <c r="FV209" s="51"/>
      <c r="FW209" s="51"/>
      <c r="FX209" s="51"/>
      <c r="FY209" s="51"/>
      <c r="FZ209" s="51"/>
      <c r="GA209" s="51"/>
      <c r="GB209" s="51"/>
      <c r="GC209" s="51"/>
      <c r="GD209" s="51"/>
      <c r="GE209" s="51"/>
      <c r="GF209" s="51"/>
      <c r="GG209" s="51"/>
      <c r="GH209" s="51"/>
      <c r="GI209" s="51"/>
      <c r="GJ209" s="51"/>
      <c r="GK209" s="51"/>
      <c r="GL209" s="51"/>
      <c r="GM209" s="51"/>
      <c r="GN209" s="51"/>
      <c r="GO209" s="51"/>
      <c r="GP209" s="51"/>
      <c r="GQ209" s="51"/>
      <c r="GR209" s="51"/>
      <c r="GS209" s="51"/>
      <c r="GT209" s="51"/>
      <c r="GU209" s="51"/>
      <c r="GV209" s="51"/>
      <c r="GW209" s="51"/>
      <c r="GX209" s="51"/>
      <c r="GY209" s="51"/>
      <c r="GZ209" s="51"/>
      <c r="HA209" s="51"/>
      <c r="HB209" s="51"/>
      <c r="HC209" s="51"/>
      <c r="HD209" s="51"/>
      <c r="HE209" s="51"/>
      <c r="HF209" s="51"/>
      <c r="HG209" s="51"/>
      <c r="HH209" s="51"/>
      <c r="HI209" s="51"/>
      <c r="HJ209" s="51"/>
      <c r="HK209" s="51"/>
      <c r="HL209" s="51"/>
      <c r="HM209" s="51"/>
      <c r="HN209" s="51"/>
      <c r="HO209" s="51"/>
      <c r="HP209" s="51"/>
      <c r="HQ209" s="51"/>
      <c r="HR209" s="51"/>
      <c r="HS209" s="51"/>
      <c r="HT209" s="51"/>
      <c r="HU209" s="51"/>
      <c r="HV209" s="51"/>
      <c r="HW209" s="51"/>
      <c r="HX209" s="51"/>
      <c r="HY209" s="51"/>
      <c r="HZ209" s="51"/>
      <c r="IA209" s="51"/>
      <c r="IB209" s="51"/>
      <c r="IC209" s="51"/>
      <c r="ID209" s="51"/>
      <c r="IE209" s="51"/>
      <c r="IF209" s="51"/>
      <c r="IG209" s="51"/>
      <c r="IH209" s="51"/>
      <c r="II209" s="51"/>
      <c r="IJ209" s="51"/>
      <c r="IK209" s="51"/>
      <c r="IL209" s="51"/>
      <c r="IM209" s="51"/>
      <c r="IN209" s="51"/>
      <c r="IO209" s="51"/>
      <c r="IP209" s="51"/>
      <c r="IQ209" s="51"/>
      <c r="IR209" s="51"/>
      <c r="IS209" s="51"/>
      <c r="IT209" s="51"/>
      <c r="IU209" s="51"/>
      <c r="IV209" s="51"/>
    </row>
    <row r="210" hidden="1" ht="13.5">
      <c r="B210" s="128" t="s">
        <v>7</v>
      </c>
      <c r="C210" s="129" t="str">
        <f>IF(SUM(C191:C209)&lt;&gt;0,SUM(C191:C209),"")</f>
      </c>
      <c r="D210" s="129" t="str">
        <f ref="D210:AA210" t="shared" si="5">IF(SUM(D191:D209)&lt;&gt;0,SUM(D191:D209),"")</f>
      </c>
      <c r="E210" s="129" t="str">
        <f t="shared" si="5"/>
      </c>
      <c r="F210" s="129" t="str">
        <f t="shared" si="5"/>
      </c>
      <c r="G210" s="129" t="str">
        <f t="shared" si="5"/>
      </c>
      <c r="H210" s="129" t="str">
        <f t="shared" si="5"/>
      </c>
      <c r="I210" s="129" t="str">
        <f t="shared" si="5"/>
      </c>
      <c r="J210" s="129" t="str">
        <f t="shared" si="5"/>
      </c>
      <c r="K210" s="129" t="str">
        <f t="shared" si="5"/>
      </c>
      <c r="L210" s="129" t="str">
        <f t="shared" si="5"/>
      </c>
      <c r="M210" s="129" t="str">
        <f t="shared" si="5"/>
      </c>
      <c r="N210" s="129" t="str">
        <f t="shared" si="5"/>
      </c>
      <c r="O210" s="129" t="str">
        <f t="shared" si="5"/>
      </c>
      <c r="P210" s="129" t="str">
        <f t="shared" si="5"/>
      </c>
      <c r="Q210" s="129" t="str">
        <f t="shared" si="5"/>
      </c>
      <c r="R210" s="129" t="str">
        <f t="shared" si="5"/>
      </c>
      <c r="S210" s="129" t="str">
        <f t="shared" si="5"/>
      </c>
      <c r="T210" s="129" t="str">
        <f t="shared" si="5"/>
      </c>
      <c r="U210" s="129" t="str">
        <f t="shared" si="5"/>
      </c>
      <c r="V210" s="129" t="str">
        <f t="shared" si="5"/>
      </c>
      <c r="W210" s="129" t="str">
        <f t="shared" si="5"/>
      </c>
      <c r="X210" s="129" t="str">
        <f t="shared" si="5"/>
      </c>
      <c r="Y210" s="129" t="str">
        <f t="shared" si="5"/>
      </c>
      <c r="Z210" s="129" t="str">
        <f t="shared" si="5"/>
      </c>
      <c r="AA210" s="129" t="str">
        <f t="shared" si="5"/>
      </c>
      <c r="AB210" s="130" t="str">
        <f>IF(SUM(AB191:AB209)&lt;&gt;0,SUM(AB191:AB209),"")</f>
      </c>
      <c r="AC210" s="91" t="str">
        <f ref="AC210:CN210" t="shared" si="6">IF(SUM(AC191:AC209)&lt;&gt;0,SUM(AC191:AC209),"")</f>
      </c>
      <c r="AD210" s="91" t="str">
        <f t="shared" si="6"/>
      </c>
      <c r="AE210" s="91" t="str">
        <f t="shared" si="6"/>
      </c>
      <c r="AF210" s="91" t="str">
        <f t="shared" si="6"/>
      </c>
      <c r="AG210" s="91" t="str">
        <f t="shared" si="6"/>
      </c>
      <c r="AH210" s="91" t="str">
        <f t="shared" si="6"/>
      </c>
      <c r="AI210" s="91" t="str">
        <f t="shared" si="6"/>
      </c>
      <c r="AJ210" s="91" t="str">
        <f t="shared" si="6"/>
      </c>
      <c r="AK210" s="91" t="str">
        <f t="shared" si="6"/>
      </c>
      <c r="AL210" s="91" t="str">
        <f t="shared" si="6"/>
      </c>
      <c r="AM210" s="91" t="str">
        <f t="shared" si="6"/>
      </c>
      <c r="AN210" s="91" t="str">
        <f t="shared" si="6"/>
      </c>
      <c r="AO210" s="91" t="str">
        <f t="shared" si="6"/>
      </c>
      <c r="AP210" s="91" t="str">
        <f t="shared" si="6"/>
      </c>
      <c r="AQ210" s="91" t="str">
        <f t="shared" si="6"/>
      </c>
      <c r="AR210" s="91" t="str">
        <f t="shared" si="6"/>
      </c>
      <c r="AS210" s="91" t="str">
        <f t="shared" si="6"/>
      </c>
      <c r="AT210" s="91" t="str">
        <f t="shared" si="6"/>
      </c>
      <c r="AU210" s="91" t="str">
        <f t="shared" si="6"/>
      </c>
      <c r="AV210" s="91" t="str">
        <f t="shared" si="6"/>
      </c>
      <c r="AW210" s="91" t="str">
        <f t="shared" si="6"/>
      </c>
      <c r="AX210" s="91" t="str">
        <f t="shared" si="6"/>
      </c>
      <c r="AY210" s="91" t="str">
        <f t="shared" si="6"/>
      </c>
      <c r="AZ210" s="91" t="str">
        <f t="shared" si="6"/>
      </c>
      <c r="BA210" s="91" t="str">
        <f t="shared" si="6"/>
      </c>
      <c r="BB210" s="91" t="str">
        <f t="shared" si="6"/>
      </c>
      <c r="BC210" s="91" t="str">
        <f t="shared" si="6"/>
      </c>
      <c r="BD210" s="91" t="str">
        <f t="shared" si="6"/>
      </c>
      <c r="BE210" s="91" t="str">
        <f t="shared" si="6"/>
      </c>
      <c r="BF210" s="91" t="str">
        <f t="shared" si="6"/>
      </c>
      <c r="BG210" s="91" t="str">
        <f t="shared" si="6"/>
      </c>
      <c r="BH210" s="91" t="str">
        <f t="shared" si="6"/>
      </c>
      <c r="BI210" s="91" t="str">
        <f t="shared" si="6"/>
      </c>
      <c r="BJ210" s="91" t="str">
        <f t="shared" si="6"/>
      </c>
      <c r="BK210" s="91" t="str">
        <f t="shared" si="6"/>
      </c>
      <c r="BL210" s="91" t="str">
        <f t="shared" si="6"/>
      </c>
      <c r="BM210" s="91" t="str">
        <f t="shared" si="6"/>
      </c>
      <c r="BN210" s="91" t="str">
        <f t="shared" si="6"/>
      </c>
      <c r="BO210" s="91" t="str">
        <f t="shared" si="6"/>
      </c>
      <c r="BP210" s="91" t="str">
        <f t="shared" si="6"/>
      </c>
      <c r="BQ210" s="91" t="str">
        <f t="shared" si="6"/>
      </c>
      <c r="BR210" s="91" t="str">
        <f t="shared" si="6"/>
      </c>
      <c r="BS210" s="91" t="str">
        <f t="shared" si="6"/>
      </c>
      <c r="BT210" s="91" t="str">
        <f t="shared" si="6"/>
      </c>
      <c r="BU210" s="91" t="str">
        <f t="shared" si="6"/>
      </c>
      <c r="BV210" s="91" t="str">
        <f t="shared" si="6"/>
      </c>
      <c r="BW210" s="91" t="str">
        <f t="shared" si="6"/>
      </c>
      <c r="BX210" s="91" t="str">
        <f t="shared" si="6"/>
      </c>
      <c r="BY210" s="91" t="str">
        <f t="shared" si="6"/>
      </c>
      <c r="BZ210" s="91" t="str">
        <f t="shared" si="6"/>
      </c>
      <c r="CA210" s="91" t="str">
        <f t="shared" si="6"/>
      </c>
      <c r="CB210" s="91" t="str">
        <f t="shared" si="6"/>
      </c>
      <c r="CC210" s="91" t="str">
        <f t="shared" si="6"/>
      </c>
      <c r="CD210" s="91" t="str">
        <f t="shared" si="6"/>
      </c>
      <c r="CE210" s="91" t="str">
        <f t="shared" si="6"/>
      </c>
      <c r="CF210" s="91" t="str">
        <f t="shared" si="6"/>
      </c>
      <c r="CG210" s="91" t="str">
        <f t="shared" si="6"/>
      </c>
      <c r="CH210" s="91" t="str">
        <f t="shared" si="6"/>
      </c>
      <c r="CI210" s="91" t="str">
        <f t="shared" si="6"/>
      </c>
      <c r="CJ210" s="91" t="str">
        <f t="shared" si="6"/>
      </c>
      <c r="CK210" s="91" t="str">
        <f t="shared" si="6"/>
      </c>
      <c r="CL210" s="91" t="str">
        <f t="shared" si="6"/>
      </c>
      <c r="CM210" s="91" t="str">
        <f t="shared" si="6"/>
      </c>
      <c r="CN210" s="91" t="str">
        <f t="shared" si="6"/>
      </c>
      <c r="CO210" s="91" t="str">
        <f ref="CO210:EZ210" t="shared" si="7">IF(SUM(CO191:CO209)&lt;&gt;0,SUM(CO191:CO209),"")</f>
      </c>
      <c r="CP210" s="91" t="str">
        <f t="shared" si="7"/>
      </c>
      <c r="CQ210" s="91" t="str">
        <f t="shared" si="7"/>
      </c>
      <c r="CR210" s="91" t="str">
        <f t="shared" si="7"/>
      </c>
      <c r="CS210" s="91" t="str">
        <f t="shared" si="7"/>
      </c>
      <c r="CT210" s="91" t="str">
        <f t="shared" si="7"/>
      </c>
      <c r="CU210" s="91" t="str">
        <f t="shared" si="7"/>
      </c>
      <c r="CV210" s="91" t="str">
        <f t="shared" si="7"/>
      </c>
      <c r="CW210" s="91" t="str">
        <f t="shared" si="7"/>
      </c>
      <c r="CX210" s="91" t="str">
        <f t="shared" si="7"/>
      </c>
      <c r="CY210" s="91" t="str">
        <f t="shared" si="7"/>
      </c>
      <c r="CZ210" s="91" t="str">
        <f t="shared" si="7"/>
      </c>
      <c r="DA210" s="91" t="str">
        <f t="shared" si="7"/>
      </c>
      <c r="DB210" s="91" t="str">
        <f t="shared" si="7"/>
      </c>
      <c r="DC210" s="91" t="str">
        <f t="shared" si="7"/>
      </c>
      <c r="DD210" s="91" t="str">
        <f t="shared" si="7"/>
      </c>
      <c r="DE210" s="91" t="str">
        <f t="shared" si="7"/>
      </c>
      <c r="DF210" s="91" t="str">
        <f t="shared" si="7"/>
      </c>
      <c r="DG210" s="91" t="str">
        <f t="shared" si="7"/>
      </c>
      <c r="DH210" s="91" t="str">
        <f t="shared" si="7"/>
      </c>
      <c r="DI210" s="91" t="str">
        <f t="shared" si="7"/>
      </c>
      <c r="DJ210" s="91" t="str">
        <f t="shared" si="7"/>
      </c>
      <c r="DK210" s="91" t="str">
        <f t="shared" si="7"/>
      </c>
      <c r="DL210" s="91" t="str">
        <f t="shared" si="7"/>
      </c>
      <c r="DM210" s="91" t="str">
        <f t="shared" si="7"/>
      </c>
      <c r="DN210" s="91" t="str">
        <f t="shared" si="7"/>
      </c>
      <c r="DO210" s="91" t="str">
        <f t="shared" si="7"/>
      </c>
      <c r="DP210" s="91" t="str">
        <f t="shared" si="7"/>
      </c>
      <c r="DQ210" s="91" t="str">
        <f t="shared" si="7"/>
      </c>
      <c r="DR210" s="91" t="str">
        <f t="shared" si="7"/>
      </c>
      <c r="DS210" s="91" t="str">
        <f t="shared" si="7"/>
      </c>
      <c r="DT210" s="91" t="str">
        <f t="shared" si="7"/>
      </c>
      <c r="DU210" s="91" t="str">
        <f t="shared" si="7"/>
      </c>
      <c r="DV210" s="91" t="str">
        <f t="shared" si="7"/>
      </c>
      <c r="DW210" s="91" t="str">
        <f t="shared" si="7"/>
      </c>
      <c r="DX210" s="91" t="str">
        <f t="shared" si="7"/>
      </c>
      <c r="DY210" s="91" t="str">
        <f t="shared" si="7"/>
      </c>
      <c r="DZ210" s="91" t="str">
        <f t="shared" si="7"/>
      </c>
      <c r="EA210" s="91" t="str">
        <f t="shared" si="7"/>
      </c>
      <c r="EB210" s="91" t="str">
        <f t="shared" si="7"/>
      </c>
      <c r="EC210" s="91" t="str">
        <f t="shared" si="7"/>
      </c>
      <c r="ED210" s="91" t="str">
        <f t="shared" si="7"/>
      </c>
      <c r="EE210" s="91" t="str">
        <f t="shared" si="7"/>
      </c>
      <c r="EF210" s="91" t="str">
        <f t="shared" si="7"/>
      </c>
      <c r="EG210" s="91" t="str">
        <f t="shared" si="7"/>
      </c>
      <c r="EH210" s="91" t="str">
        <f t="shared" si="7"/>
      </c>
      <c r="EI210" s="91" t="str">
        <f t="shared" si="7"/>
      </c>
      <c r="EJ210" s="91" t="str">
        <f t="shared" si="7"/>
      </c>
      <c r="EK210" s="91" t="str">
        <f t="shared" si="7"/>
      </c>
      <c r="EL210" s="91" t="str">
        <f t="shared" si="7"/>
      </c>
      <c r="EM210" s="91" t="str">
        <f t="shared" si="7"/>
      </c>
      <c r="EN210" s="91" t="str">
        <f t="shared" si="7"/>
      </c>
      <c r="EO210" s="91" t="str">
        <f t="shared" si="7"/>
      </c>
      <c r="EP210" s="91" t="str">
        <f t="shared" si="7"/>
      </c>
      <c r="EQ210" s="91" t="str">
        <f t="shared" si="7"/>
      </c>
      <c r="ER210" s="91" t="str">
        <f t="shared" si="7"/>
      </c>
      <c r="ES210" s="91" t="str">
        <f t="shared" si="7"/>
      </c>
      <c r="ET210" s="91" t="str">
        <f t="shared" si="7"/>
      </c>
      <c r="EU210" s="91" t="str">
        <f t="shared" si="7"/>
      </c>
      <c r="EV210" s="91" t="str">
        <f t="shared" si="7"/>
      </c>
      <c r="EW210" s="91" t="str">
        <f t="shared" si="7"/>
      </c>
      <c r="EX210" s="91" t="str">
        <f t="shared" si="7"/>
      </c>
      <c r="EY210" s="91" t="str">
        <f t="shared" si="7"/>
      </c>
      <c r="EZ210" s="91" t="str">
        <f t="shared" si="7"/>
      </c>
      <c r="FA210" s="91" t="str">
        <f ref="FA210:HL210" t="shared" si="8">IF(SUM(FA191:FA209)&lt;&gt;0,SUM(FA191:FA209),"")</f>
      </c>
      <c r="FB210" s="91" t="str">
        <f t="shared" si="8"/>
      </c>
      <c r="FC210" s="91" t="str">
        <f t="shared" si="8"/>
      </c>
      <c r="FD210" s="91" t="str">
        <f t="shared" si="8"/>
      </c>
      <c r="FE210" s="91" t="str">
        <f t="shared" si="8"/>
      </c>
      <c r="FF210" s="91" t="str">
        <f t="shared" si="8"/>
      </c>
      <c r="FG210" s="91" t="str">
        <f t="shared" si="8"/>
      </c>
      <c r="FH210" s="91" t="str">
        <f t="shared" si="8"/>
      </c>
      <c r="FI210" s="91" t="str">
        <f t="shared" si="8"/>
      </c>
      <c r="FJ210" s="91" t="str">
        <f t="shared" si="8"/>
      </c>
      <c r="FK210" s="91" t="str">
        <f t="shared" si="8"/>
      </c>
      <c r="FL210" s="91" t="str">
        <f t="shared" si="8"/>
      </c>
      <c r="FM210" s="91" t="str">
        <f t="shared" si="8"/>
      </c>
      <c r="FN210" s="91" t="str">
        <f t="shared" si="8"/>
      </c>
      <c r="FO210" s="91" t="str">
        <f t="shared" si="8"/>
      </c>
      <c r="FP210" s="91" t="str">
        <f t="shared" si="8"/>
      </c>
      <c r="FQ210" s="91" t="str">
        <f t="shared" si="8"/>
      </c>
      <c r="FR210" s="91" t="str">
        <f t="shared" si="8"/>
      </c>
      <c r="FS210" s="91" t="str">
        <f t="shared" si="8"/>
      </c>
      <c r="FT210" s="91" t="str">
        <f t="shared" si="8"/>
      </c>
      <c r="FU210" s="91" t="str">
        <f t="shared" si="8"/>
      </c>
      <c r="FV210" s="91" t="str">
        <f t="shared" si="8"/>
      </c>
      <c r="FW210" s="91" t="str">
        <f t="shared" si="8"/>
      </c>
      <c r="FX210" s="91" t="str">
        <f t="shared" si="8"/>
      </c>
      <c r="FY210" s="91" t="str">
        <f t="shared" si="8"/>
      </c>
      <c r="FZ210" s="91" t="str">
        <f t="shared" si="8"/>
      </c>
      <c r="GA210" s="91" t="str">
        <f t="shared" si="8"/>
      </c>
      <c r="GB210" s="91" t="str">
        <f t="shared" si="8"/>
      </c>
      <c r="GC210" s="91" t="str">
        <f t="shared" si="8"/>
      </c>
      <c r="GD210" s="91" t="str">
        <f t="shared" si="8"/>
      </c>
      <c r="GE210" s="91" t="str">
        <f t="shared" si="8"/>
      </c>
      <c r="GF210" s="91" t="str">
        <f t="shared" si="8"/>
      </c>
      <c r="GG210" s="91" t="str">
        <f t="shared" si="8"/>
      </c>
      <c r="GH210" s="91" t="str">
        <f t="shared" si="8"/>
      </c>
      <c r="GI210" s="91" t="str">
        <f t="shared" si="8"/>
      </c>
      <c r="GJ210" s="91" t="str">
        <f t="shared" si="8"/>
      </c>
      <c r="GK210" s="91" t="str">
        <f t="shared" si="8"/>
      </c>
      <c r="GL210" s="91" t="str">
        <f t="shared" si="8"/>
      </c>
      <c r="GM210" s="91" t="str">
        <f t="shared" si="8"/>
      </c>
      <c r="GN210" s="91" t="str">
        <f t="shared" si="8"/>
      </c>
      <c r="GO210" s="91" t="str">
        <f t="shared" si="8"/>
      </c>
      <c r="GP210" s="91" t="str">
        <f t="shared" si="8"/>
      </c>
      <c r="GQ210" s="91" t="str">
        <f t="shared" si="8"/>
      </c>
      <c r="GR210" s="91" t="str">
        <f t="shared" si="8"/>
      </c>
      <c r="GS210" s="91" t="str">
        <f t="shared" si="8"/>
      </c>
      <c r="GT210" s="91" t="str">
        <f t="shared" si="8"/>
      </c>
      <c r="GU210" s="91" t="str">
        <f t="shared" si="8"/>
      </c>
      <c r="GV210" s="91" t="str">
        <f t="shared" si="8"/>
      </c>
      <c r="GW210" s="91" t="str">
        <f t="shared" si="8"/>
      </c>
      <c r="GX210" s="91" t="str">
        <f t="shared" si="8"/>
      </c>
      <c r="GY210" s="91" t="str">
        <f t="shared" si="8"/>
      </c>
      <c r="GZ210" s="91" t="str">
        <f t="shared" si="8"/>
      </c>
      <c r="HA210" s="91" t="str">
        <f t="shared" si="8"/>
      </c>
      <c r="HB210" s="91" t="str">
        <f t="shared" si="8"/>
      </c>
      <c r="HC210" s="91" t="str">
        <f t="shared" si="8"/>
      </c>
      <c r="HD210" s="91" t="str">
        <f t="shared" si="8"/>
      </c>
      <c r="HE210" s="91" t="str">
        <f t="shared" si="8"/>
      </c>
      <c r="HF210" s="91" t="str">
        <f t="shared" si="8"/>
      </c>
      <c r="HG210" s="91" t="str">
        <f t="shared" si="8"/>
      </c>
      <c r="HH210" s="91" t="str">
        <f t="shared" si="8"/>
      </c>
      <c r="HI210" s="91" t="str">
        <f t="shared" si="8"/>
      </c>
      <c r="HJ210" s="91" t="str">
        <f t="shared" si="8"/>
      </c>
      <c r="HK210" s="91" t="str">
        <f t="shared" si="8"/>
      </c>
      <c r="HL210" s="91" t="str">
        <f t="shared" si="8"/>
      </c>
      <c r="HM210" s="91" t="str">
        <f ref="HM210:IV210" t="shared" si="9">IF(SUM(HM191:HM209)&lt;&gt;0,SUM(HM191:HM209),"")</f>
      </c>
      <c r="HN210" s="91" t="str">
        <f t="shared" si="9"/>
      </c>
      <c r="HO210" s="91" t="str">
        <f t="shared" si="9"/>
      </c>
      <c r="HP210" s="91" t="str">
        <f t="shared" si="9"/>
      </c>
      <c r="HQ210" s="91" t="str">
        <f t="shared" si="9"/>
      </c>
      <c r="HR210" s="91" t="str">
        <f t="shared" si="9"/>
      </c>
      <c r="HS210" s="91" t="str">
        <f t="shared" si="9"/>
      </c>
      <c r="HT210" s="91" t="str">
        <f t="shared" si="9"/>
      </c>
      <c r="HU210" s="91" t="str">
        <f t="shared" si="9"/>
      </c>
      <c r="HV210" s="91" t="str">
        <f t="shared" si="9"/>
      </c>
      <c r="HW210" s="91" t="str">
        <f t="shared" si="9"/>
      </c>
      <c r="HX210" s="91" t="str">
        <f t="shared" si="9"/>
      </c>
      <c r="HY210" s="91" t="str">
        <f t="shared" si="9"/>
      </c>
      <c r="HZ210" s="91" t="str">
        <f t="shared" si="9"/>
      </c>
      <c r="IA210" s="91" t="str">
        <f t="shared" si="9"/>
      </c>
      <c r="IB210" s="91" t="str">
        <f t="shared" si="9"/>
      </c>
      <c r="IC210" s="91" t="str">
        <f t="shared" si="9"/>
      </c>
      <c r="ID210" s="91" t="str">
        <f t="shared" si="9"/>
      </c>
      <c r="IE210" s="91" t="str">
        <f t="shared" si="9"/>
      </c>
      <c r="IF210" s="91" t="str">
        <f t="shared" si="9"/>
      </c>
      <c r="IG210" s="91" t="str">
        <f t="shared" si="9"/>
      </c>
      <c r="IH210" s="91" t="str">
        <f t="shared" si="9"/>
      </c>
      <c r="II210" s="91" t="str">
        <f t="shared" si="9"/>
      </c>
      <c r="IJ210" s="91" t="str">
        <f t="shared" si="9"/>
      </c>
      <c r="IK210" s="91" t="str">
        <f t="shared" si="9"/>
      </c>
      <c r="IL210" s="91" t="str">
        <f t="shared" si="9"/>
      </c>
      <c r="IM210" s="91" t="str">
        <f t="shared" si="9"/>
      </c>
      <c r="IN210" s="91" t="str">
        <f t="shared" si="9"/>
      </c>
      <c r="IO210" s="91" t="str">
        <f t="shared" si="9"/>
      </c>
      <c r="IP210" s="91" t="str">
        <f t="shared" si="9"/>
      </c>
      <c r="IQ210" s="91" t="str">
        <f t="shared" si="9"/>
      </c>
      <c r="IR210" s="91" t="str">
        <f t="shared" si="9"/>
      </c>
      <c r="IS210" s="91" t="str">
        <f t="shared" si="9"/>
      </c>
      <c r="IT210" s="91" t="str">
        <f t="shared" si="9"/>
      </c>
      <c r="IU210" s="91" t="str">
        <f t="shared" si="9"/>
      </c>
      <c r="IV210" s="91" t="str">
        <f t="shared" si="9"/>
      </c>
    </row>
    <row r="211" hidden="1" ht="13.5"/>
    <row r="212" hidden="1" ht="13.5">
      <c r="C212" s="732" t="s">
        <v>120</v>
      </c>
      <c r="D212" s="733"/>
      <c r="E212" s="733"/>
      <c r="F212" s="733"/>
      <c r="G212" s="733"/>
      <c r="H212" s="733"/>
      <c r="I212" s="733"/>
      <c r="J212" s="733"/>
      <c r="K212" s="733"/>
      <c r="L212" s="733"/>
      <c r="M212" s="733"/>
      <c r="N212" s="733"/>
      <c r="O212" s="733"/>
      <c r="P212" s="733"/>
      <c r="Q212" s="733"/>
      <c r="R212" s="733"/>
      <c r="S212" s="733"/>
      <c r="T212" s="733"/>
      <c r="U212" s="733"/>
      <c r="V212" s="733"/>
      <c r="W212" s="733"/>
      <c r="X212" s="733"/>
      <c r="Y212" s="733"/>
      <c r="Z212" s="733"/>
      <c r="AA212" s="733"/>
      <c r="AB212" s="734"/>
    </row>
    <row r="213" hidden="1" ht="15" customHeight="1">
      <c r="B213" s="51"/>
      <c r="C213" s="435" t="str">
        <f> IF(C233&lt;&gt;"",TEXT(AUX!G$1,"dd-MMM-aa"),"")</f>
      </c>
      <c r="D213" s="435" t="str">
        <f> IF(D233&lt;&gt;"",TEXT(AUX!H$1,"dd-MMM-aa"),"")</f>
      </c>
      <c r="E213" s="435" t="str">
        <f> IF(E233&lt;&gt;"",TEXT(AUX!I$1,"dd-MMM-aa"),"")</f>
      </c>
      <c r="F213" s="435" t="str">
        <f> IF(F233&lt;&gt;"",TEXT(AUX!J$1,"dd-MMM-aa"),"")</f>
      </c>
      <c r="G213" s="435" t="str">
        <f> IF(G233&lt;&gt;"",TEXT(AUX!K$1,"dd-MMM-aa"),"")</f>
      </c>
      <c r="H213" s="435" t="str">
        <f> IF(H233&lt;&gt;"",TEXT(AUX!L$1,"dd-MMM-aa"),"")</f>
      </c>
      <c r="I213" s="435" t="str">
        <f> IF(I233&lt;&gt;"",TEXT(AUX!M$1,"dd-MMM-aa"),"")</f>
      </c>
      <c r="J213" s="435" t="str">
        <f> IF(J233&lt;&gt;"",TEXT(AUX!N$1,"dd-MMM-aa"),"")</f>
      </c>
      <c r="K213" s="435" t="str">
        <f> IF(K233&lt;&gt;"",TEXT(AUX!O$1,"dd-MMM-aa"),"")</f>
      </c>
      <c r="L213" s="435" t="str">
        <f> IF(L233&lt;&gt;"",TEXT(AUX!P$1,"dd-MMM-aa"),"")</f>
      </c>
      <c r="M213" s="435" t="str">
        <f> IF(M233&lt;&gt;"",TEXT(AUX!Q$1,"dd-MMM-aa"),"")</f>
      </c>
      <c r="N213" s="435" t="str">
        <f> IF(N233&lt;&gt;"",TEXT(AUX!R$1,"dd-MMM-aa"),"")</f>
      </c>
      <c r="O213" s="435" t="str">
        <f> IF(O233&lt;&gt;"",TEXT(AUX!S$1,"dd-MMM-aa"),"")</f>
      </c>
      <c r="P213" s="435" t="str">
        <f> IF(P233&lt;&gt;"",TEXT(AUX!T$1,"dd-MMM-aa"),"")</f>
      </c>
      <c r="Q213" s="435" t="str">
        <f> IF(Q233&lt;&gt;"",TEXT(AUX!U$1,"dd-MMM-aa"),"")</f>
      </c>
      <c r="R213" s="435" t="str">
        <f> IF(R233&lt;&gt;"",TEXT(AUX!V$1,"dd-MMM-aa"),"")</f>
      </c>
      <c r="S213" s="435" t="str">
        <f> IF(S233&lt;&gt;"",TEXT(AUX!W$1,"dd-MMM-aa"),"")</f>
      </c>
      <c r="T213" s="435" t="str">
        <f> IF(T233&lt;&gt;"",TEXT(AUX!X$1,"dd-MMM-aa"),"")</f>
      </c>
      <c r="U213" s="435" t="str">
        <f> IF(U233&lt;&gt;"",TEXT(AUX!Y$1,"dd-MMM-aa"),"")</f>
      </c>
      <c r="V213" s="435" t="str">
        <f> IF(V233&lt;&gt;"",TEXT(AUX!Z$1,"dd-MMM-aa"),"")</f>
      </c>
      <c r="W213" s="435" t="str">
        <f> IF(W233&lt;&gt;"",TEXT(AUX!AA$1,"dd-MMM-aa"),"")</f>
      </c>
      <c r="X213" s="435" t="str">
        <f> IF(X233&lt;&gt;"",TEXT(AUX!AB$1,"dd-MMM-aa"),"")</f>
      </c>
      <c r="Y213" s="435" t="str">
        <f> IF(Y233&lt;&gt;"",TEXT(AUX!AC$1,"dd-MMM-aa"),"")</f>
      </c>
      <c r="Z213" s="435" t="str">
        <f> IF(Z233&lt;&gt;"",TEXT(AUX!AD$1,"dd-MMM-aa"),"")</f>
      </c>
      <c r="AA213" s="435" t="str">
        <f> IF(AA233&lt;&gt;"",TEXT(AUX!AE$1,"dd-MMM-aa"),"")</f>
      </c>
      <c r="AB213" s="497" t="str">
        <f> IF(AB233&lt;&gt;"",TEXT(AUX!AF$1,"dd-MMM-aa"),"")</f>
      </c>
      <c r="AC213" s="496" t="str">
        <f> IF(AC233&lt;&gt;"",TEXT(AUX!AG$1,"dd-MMM-aa"),"")</f>
      </c>
      <c r="AD213" s="496" t="str">
        <f> IF(AD233&lt;&gt;"",TEXT(AUX!AH$1,"dd-MMM-aa"),"")</f>
      </c>
      <c r="AE213" s="496" t="str">
        <f> IF(AE233&lt;&gt;"",TEXT(AUX!AI$1,"dd-MMM-aa"),"")</f>
      </c>
      <c r="AF213" s="496" t="str">
        <f> IF(AF233&lt;&gt;"",TEXT(AUX!AJ$1,"dd-MMM-aa"),"")</f>
      </c>
      <c r="AG213" s="496" t="str">
        <f> IF(AG233&lt;&gt;"",TEXT(AUX!AK$1,"dd-MMM-aa"),"")</f>
      </c>
      <c r="AH213" s="496" t="str">
        <f> IF(AH233&lt;&gt;"",TEXT(AUX!AL$1,"dd-MMM-aa"),"")</f>
      </c>
      <c r="AI213" s="496" t="str">
        <f> IF(AI233&lt;&gt;"",TEXT(AUX!AM$1,"dd-MMM-aa"),"")</f>
      </c>
      <c r="AJ213" s="496" t="str">
        <f> IF(AJ233&lt;&gt;"",TEXT(AUX!AN$1,"dd-MMM-aa"),"")</f>
      </c>
      <c r="AK213" s="496" t="str">
        <f> IF(AK233&lt;&gt;"",TEXT(AUX!AO$1,"dd-MMM-aa"),"")</f>
      </c>
      <c r="AL213" s="496" t="str">
        <f> IF(AL233&lt;&gt;"",TEXT(AUX!AP$1,"dd-MMM-aa"),"")</f>
      </c>
      <c r="AM213" s="496" t="str">
        <f> IF(AM233&lt;&gt;"",TEXT(AUX!AQ$1,"dd-MMM-aa"),"")</f>
      </c>
      <c r="AN213" s="496" t="str">
        <f> IF(AN233&lt;&gt;"",TEXT(AUX!AR$1,"dd-MMM-aa"),"")</f>
      </c>
      <c r="AO213" s="496" t="str">
        <f> IF(AO233&lt;&gt;"",TEXT(AUX!AS$1,"dd-MMM-aa"),"")</f>
      </c>
      <c r="AP213" s="496" t="str">
        <f> IF(AP233&lt;&gt;"",TEXT(AUX!AT$1,"dd-MMM-aa"),"")</f>
      </c>
      <c r="AQ213" s="496" t="str">
        <f> IF(AQ233&lt;&gt;"",TEXT(AUX!AU$1,"dd-MMM-aa"),"")</f>
      </c>
      <c r="AR213" s="496" t="str">
        <f> IF(AR233&lt;&gt;"",TEXT(AUX!AV$1,"dd-MMM-aa"),"")</f>
      </c>
      <c r="AS213" s="496" t="str">
        <f> IF(AS233&lt;&gt;"",TEXT(AUX!AW$1,"dd-MMM-aa"),"")</f>
      </c>
      <c r="AT213" s="496" t="str">
        <f> IF(AT233&lt;&gt;"",TEXT(AUX!AX$1,"dd-MMM-aa"),"")</f>
      </c>
      <c r="AU213" s="496" t="str">
        <f> IF(AU233&lt;&gt;"",TEXT(AUX!AY$1,"dd-MMM-aa"),"")</f>
      </c>
      <c r="AV213" s="496" t="str">
        <f> IF(AV233&lt;&gt;"",TEXT(AUX!AZ$1,"dd-MMM-aa"),"")</f>
      </c>
      <c r="AW213" s="496" t="str">
        <f> IF(AW233&lt;&gt;"",TEXT(AUX!BA$1,"dd-MMM-aa"),"")</f>
      </c>
      <c r="AX213" s="496" t="str">
        <f> IF(AX233&lt;&gt;"",TEXT(AUX!BB$1,"dd-MMM-aa"),"")</f>
      </c>
      <c r="AY213" s="496" t="str">
        <f> IF(AY233&lt;&gt;"",TEXT(AUX!BC$1,"dd-MMM-aa"),"")</f>
      </c>
      <c r="AZ213" s="496" t="str">
        <f> IF(AZ233&lt;&gt;"",TEXT(AUX!BD$1,"dd-MMM-aa"),"")</f>
      </c>
      <c r="BA213" s="496" t="str">
        <f> IF(BA233&lt;&gt;"",TEXT(AUX!BE$1,"dd-MMM-aa"),"")</f>
      </c>
      <c r="BB213" s="496" t="str">
        <f> IF(BB233&lt;&gt;"",TEXT(AUX!BF$1,"dd-MMM-aa"),"")</f>
      </c>
      <c r="BC213" s="496" t="str">
        <f> IF(BC233&lt;&gt;"",TEXT(AUX!BG$1,"dd-MMM-aa"),"")</f>
      </c>
      <c r="BD213" s="496" t="str">
        <f> IF(BD233&lt;&gt;"",TEXT(AUX!BH$1,"dd-MMM-aa"),"")</f>
      </c>
      <c r="BE213" s="496" t="str">
        <f> IF(BE233&lt;&gt;"",TEXT(AUX!BI$1,"dd-MMM-aa"),"")</f>
      </c>
      <c r="BF213" s="496" t="str">
        <f> IF(BF233&lt;&gt;"",TEXT(AUX!BJ$1,"dd-MMM-aa"),"")</f>
      </c>
      <c r="BG213" s="496" t="str">
        <f> IF(BG233&lt;&gt;"",TEXT(AUX!BK$1,"dd-MMM-aa"),"")</f>
      </c>
      <c r="BH213" s="496" t="str">
        <f> IF(BH233&lt;&gt;"",TEXT(AUX!BL$1,"dd-MMM-aa"),"")</f>
      </c>
      <c r="BI213" s="496" t="str">
        <f> IF(BI233&lt;&gt;"",TEXT(AUX!BM$1,"dd-MMM-aa"),"")</f>
      </c>
      <c r="BJ213" s="496" t="str">
        <f> IF(BJ233&lt;&gt;"",TEXT(AUX!BN$1,"dd-MMM-aa"),"")</f>
      </c>
      <c r="BK213" s="496" t="str">
        <f> IF(BK233&lt;&gt;"",TEXT(AUX!BO$1,"dd-MMM-aa"),"")</f>
      </c>
      <c r="BL213" s="496" t="str">
        <f> IF(BL233&lt;&gt;"",TEXT(AUX!BP$1,"dd-MMM-aa"),"")</f>
      </c>
      <c r="BM213" s="496" t="str">
        <f> IF(BM233&lt;&gt;"",TEXT(AUX!BQ$1,"dd-MMM-aa"),"")</f>
      </c>
      <c r="BN213" s="496" t="str">
        <f> IF(BN233&lt;&gt;"",TEXT(AUX!BR$1,"dd-MMM-aa"),"")</f>
      </c>
      <c r="BO213" s="496" t="str">
        <f> IF(BO233&lt;&gt;"",TEXT(AUX!BS$1,"dd-MMM-aa"),"")</f>
      </c>
      <c r="BP213" s="496" t="str">
        <f> IF(BP233&lt;&gt;"",TEXT(AUX!BT$1,"dd-MMM-aa"),"")</f>
      </c>
      <c r="BQ213" s="496" t="str">
        <f> IF(BQ233&lt;&gt;"",TEXT(AUX!BU$1,"dd-MMM-aa"),"")</f>
      </c>
      <c r="BR213" s="496" t="str">
        <f> IF(BR233&lt;&gt;"",TEXT(AUX!BV$1,"dd-MMM-aa"),"")</f>
      </c>
      <c r="BS213" s="496" t="str">
        <f> IF(BS233&lt;&gt;"",TEXT(AUX!BW$1,"dd-MMM-aa"),"")</f>
      </c>
      <c r="BT213" s="496" t="str">
        <f> IF(BT233&lt;&gt;"",TEXT(AUX!BX$1,"dd-MMM-aa"),"")</f>
      </c>
      <c r="BU213" s="496" t="str">
        <f> IF(BU233&lt;&gt;"",TEXT(AUX!BY$1,"dd-MMM-aa"),"")</f>
      </c>
      <c r="BV213" s="496" t="str">
        <f> IF(BV233&lt;&gt;"",TEXT(AUX!BZ$1,"dd-MMM-aa"),"")</f>
      </c>
      <c r="BW213" s="496" t="str">
        <f> IF(BW233&lt;&gt;"",TEXT(AUX!CA$1,"dd-MMM-aa"),"")</f>
      </c>
      <c r="BX213" s="496" t="str">
        <f> IF(BX233&lt;&gt;"",TEXT(AUX!CB$1,"dd-MMM-aa"),"")</f>
      </c>
      <c r="BY213" s="496" t="str">
        <f> IF(BY233&lt;&gt;"",TEXT(AUX!CC$1,"dd-MMM-aa"),"")</f>
      </c>
      <c r="BZ213" s="496" t="str">
        <f> IF(BZ233&lt;&gt;"",TEXT(AUX!CD$1,"dd-MMM-aa"),"")</f>
      </c>
      <c r="CA213" s="496" t="str">
        <f> IF(CA233&lt;&gt;"",TEXT(AUX!CE$1,"dd-MMM-aa"),"")</f>
      </c>
      <c r="CB213" s="496" t="str">
        <f> IF(CB233&lt;&gt;"",TEXT(AUX!CF$1,"dd-MMM-aa"),"")</f>
      </c>
      <c r="CC213" s="496" t="str">
        <f> IF(CC233&lt;&gt;"",TEXT(AUX!CG$1,"dd-MMM-aa"),"")</f>
      </c>
      <c r="CD213" s="496" t="str">
        <f> IF(CD233&lt;&gt;"",TEXT(AUX!CH$1,"dd-MMM-aa"),"")</f>
      </c>
      <c r="CE213" s="496" t="str">
        <f> IF(CE233&lt;&gt;"",TEXT(AUX!CI$1,"dd-MMM-aa"),"")</f>
      </c>
      <c r="CF213" s="496" t="str">
        <f> IF(CF233&lt;&gt;"",TEXT(AUX!CJ$1,"dd-MMM-aa"),"")</f>
      </c>
      <c r="CG213" s="496" t="str">
        <f> IF(CG233&lt;&gt;"",TEXT(AUX!CK$1,"dd-MMM-aa"),"")</f>
      </c>
      <c r="CH213" s="496" t="str">
        <f> IF(CH233&lt;&gt;"",TEXT(AUX!CL$1,"dd-MMM-aa"),"")</f>
      </c>
      <c r="CI213" s="496" t="str">
        <f> IF(CI233&lt;&gt;"",TEXT(AUX!CM$1,"dd-MMM-aa"),"")</f>
      </c>
      <c r="CJ213" s="496" t="str">
        <f> IF(CJ233&lt;&gt;"",TEXT(AUX!CN$1,"dd-MMM-aa"),"")</f>
      </c>
      <c r="CK213" s="496" t="str">
        <f> IF(CK233&lt;&gt;"",TEXT(AUX!CO$1,"dd-MMM-aa"),"")</f>
      </c>
      <c r="CL213" s="496" t="str">
        <f> IF(CL233&lt;&gt;"",TEXT(AUX!CP$1,"dd-MMM-aa"),"")</f>
      </c>
      <c r="CM213" s="496" t="str">
        <f> IF(CM233&lt;&gt;"",TEXT(AUX!CQ$1,"dd-MMM-aa"),"")</f>
      </c>
      <c r="CN213" s="496" t="str">
        <f> IF(CN233&lt;&gt;"",TEXT(AUX!CR$1,"dd-MMM-aa"),"")</f>
      </c>
      <c r="CO213" s="496" t="str">
        <f> IF(CO233&lt;&gt;"",TEXT(AUX!CS$1,"dd-MMM-aa"),"")</f>
      </c>
      <c r="CP213" s="496" t="str">
        <f> IF(CP233&lt;&gt;"",TEXT(AUX!CT$1,"dd-MMM-aa"),"")</f>
      </c>
      <c r="CQ213" s="496" t="str">
        <f> IF(CQ233&lt;&gt;"",TEXT(AUX!CU$1,"dd-MMM-aa"),"")</f>
      </c>
      <c r="CR213" s="496" t="str">
        <f> IF(CR233&lt;&gt;"",TEXT(AUX!CV$1,"dd-MMM-aa"),"")</f>
      </c>
      <c r="CS213" s="496" t="str">
        <f> IF(CS233&lt;&gt;"",TEXT(AUX!CW$1,"dd-MMM-aa"),"")</f>
      </c>
      <c r="CT213" s="496" t="str">
        <f> IF(CT233&lt;&gt;"",TEXT(AUX!CX$1,"dd-MMM-aa"),"")</f>
      </c>
      <c r="CU213" s="496" t="str">
        <f> IF(CU233&lt;&gt;"",TEXT(AUX!CY$1,"dd-MMM-aa"),"")</f>
      </c>
      <c r="CV213" s="496" t="str">
        <f> IF(CV233&lt;&gt;"",TEXT(AUX!CZ$1,"dd-MMM-aa"),"")</f>
      </c>
      <c r="CW213" s="496" t="str">
        <f> IF(CW233&lt;&gt;"",TEXT(AUX!DA$1,"dd-MMM-aa"),"")</f>
      </c>
      <c r="CX213" s="496" t="str">
        <f> IF(CX233&lt;&gt;"",TEXT(AUX!DB$1,"dd-MMM-aa"),"")</f>
      </c>
      <c r="CY213" s="496" t="str">
        <f> IF(CY233&lt;&gt;"",TEXT(AUX!DC$1,"dd-MMM-aa"),"")</f>
      </c>
      <c r="CZ213" s="496" t="str">
        <f> IF(CZ233&lt;&gt;"",TEXT(AUX!DD$1,"dd-MMM-aa"),"")</f>
      </c>
      <c r="DA213" s="496" t="str">
        <f> IF(DA233&lt;&gt;"",TEXT(AUX!DE$1,"dd-MMM-aa"),"")</f>
      </c>
      <c r="DB213" s="496" t="str">
        <f> IF(DB233&lt;&gt;"",TEXT(AUX!DF$1,"dd-MMM-aa"),"")</f>
      </c>
      <c r="DC213" s="496" t="str">
        <f> IF(DC233&lt;&gt;"",TEXT(AUX!DG$1,"dd-MMM-aa"),"")</f>
      </c>
      <c r="DD213" s="496" t="str">
        <f> IF(DD233&lt;&gt;"",TEXT(AUX!DH$1,"dd-MMM-aa"),"")</f>
      </c>
      <c r="DE213" s="496" t="str">
        <f> IF(DE233&lt;&gt;"",TEXT(AUX!DI$1,"dd-MMM-aa"),"")</f>
      </c>
      <c r="DF213" s="496" t="str">
        <f> IF(DF233&lt;&gt;"",TEXT(AUX!DJ$1,"dd-MMM-aa"),"")</f>
      </c>
      <c r="DG213" s="496" t="str">
        <f> IF(DG233&lt;&gt;"",TEXT(AUX!DK$1,"dd-MMM-aa"),"")</f>
      </c>
      <c r="DH213" s="496" t="str">
        <f> IF(DH233&lt;&gt;"",TEXT(AUX!DL$1,"dd-MMM-aa"),"")</f>
      </c>
      <c r="DI213" s="496" t="str">
        <f> IF(DI233&lt;&gt;"",TEXT(AUX!DM$1,"dd-MMM-aa"),"")</f>
      </c>
      <c r="DJ213" s="496" t="str">
        <f> IF(DJ233&lt;&gt;"",TEXT(AUX!DN$1,"dd-MMM-aa"),"")</f>
      </c>
      <c r="DK213" s="496" t="str">
        <f> IF(DK233&lt;&gt;"",TEXT(AUX!DO$1,"dd-MMM-aa"),"")</f>
      </c>
      <c r="DL213" s="496" t="str">
        <f> IF(DL233&lt;&gt;"",TEXT(AUX!DP$1,"dd-MMM-aa"),"")</f>
      </c>
      <c r="DM213" s="496" t="str">
        <f> IF(DM233&lt;&gt;"",TEXT(AUX!DQ$1,"dd-MMM-aa"),"")</f>
      </c>
      <c r="DN213" s="496" t="str">
        <f> IF(DN233&lt;&gt;"",TEXT(AUX!DR$1,"dd-MMM-aa"),"")</f>
      </c>
      <c r="DO213" s="496" t="str">
        <f> IF(DO233&lt;&gt;"",TEXT(AUX!DS$1,"dd-MMM-aa"),"")</f>
      </c>
      <c r="DP213" s="496" t="str">
        <f> IF(DP233&lt;&gt;"",TEXT(AUX!DT$1,"dd-MMM-aa"),"")</f>
      </c>
      <c r="DQ213" s="496" t="str">
        <f> IF(DQ233&lt;&gt;"",TEXT(AUX!DU$1,"dd-MMM-aa"),"")</f>
      </c>
      <c r="DR213" s="496" t="str">
        <f> IF(DR233&lt;&gt;"",TEXT(AUX!DV$1,"dd-MMM-aa"),"")</f>
      </c>
      <c r="DS213" s="496" t="str">
        <f> IF(DS233&lt;&gt;"",TEXT(AUX!DW$1,"dd-MMM-aa"),"")</f>
      </c>
      <c r="DT213" s="496" t="str">
        <f> IF(DT233&lt;&gt;"",TEXT(AUX!DX$1,"dd-MMM-aa"),"")</f>
      </c>
      <c r="DU213" s="496" t="str">
        <f> IF(DU233&lt;&gt;"",TEXT(AUX!DY$1,"dd-MMM-aa"),"")</f>
      </c>
      <c r="DV213" s="496" t="str">
        <f> IF(DV233&lt;&gt;"",TEXT(AUX!DZ$1,"dd-MMM-aa"),"")</f>
      </c>
      <c r="DW213" s="496" t="str">
        <f> IF(DW233&lt;&gt;"",TEXT(AUX!EA$1,"dd-MMM-aa"),"")</f>
      </c>
      <c r="DX213" s="496" t="str">
        <f> IF(DX233&lt;&gt;"",TEXT(AUX!EB$1,"dd-MMM-aa"),"")</f>
      </c>
      <c r="DY213" s="496" t="str">
        <f> IF(DY233&lt;&gt;"",TEXT(AUX!EC$1,"dd-MMM-aa"),"")</f>
      </c>
      <c r="DZ213" s="496" t="str">
        <f> IF(DZ233&lt;&gt;"",TEXT(AUX!ED$1,"dd-MMM-aa"),"")</f>
      </c>
      <c r="EA213" s="496" t="str">
        <f> IF(EA233&lt;&gt;"",TEXT(AUX!EE$1,"dd-MMM-aa"),"")</f>
      </c>
      <c r="EB213" s="496" t="str">
        <f> IF(EB233&lt;&gt;"",TEXT(AUX!EF$1,"dd-MMM-aa"),"")</f>
      </c>
      <c r="EC213" s="496" t="str">
        <f> IF(EC233&lt;&gt;"",TEXT(AUX!EG$1,"dd-MMM-aa"),"")</f>
      </c>
      <c r="ED213" s="496" t="str">
        <f> IF(ED233&lt;&gt;"",TEXT(AUX!EH$1,"dd-MMM-aa"),"")</f>
      </c>
      <c r="EE213" s="496" t="str">
        <f> IF(EE233&lt;&gt;"",TEXT(AUX!EI$1,"dd-MMM-aa"),"")</f>
      </c>
      <c r="EF213" s="496" t="str">
        <f> IF(EF233&lt;&gt;"",TEXT(AUX!EJ$1,"dd-MMM-aa"),"")</f>
      </c>
      <c r="EG213" s="496" t="str">
        <f> IF(EG233&lt;&gt;"",TEXT(AUX!EK$1,"dd-MMM-aa"),"")</f>
      </c>
      <c r="EH213" s="496" t="str">
        <f> IF(EH233&lt;&gt;"",TEXT(AUX!EL$1,"dd-MMM-aa"),"")</f>
      </c>
      <c r="EI213" s="496" t="str">
        <f> IF(EI233&lt;&gt;"",TEXT(AUX!EM$1,"dd-MMM-aa"),"")</f>
      </c>
      <c r="EJ213" s="496" t="str">
        <f> IF(EJ233&lt;&gt;"",TEXT(AUX!EN$1,"dd-MMM-aa"),"")</f>
      </c>
      <c r="EK213" s="496" t="str">
        <f> IF(EK233&lt;&gt;"",TEXT(AUX!EO$1,"dd-MMM-aa"),"")</f>
      </c>
      <c r="EL213" s="496" t="str">
        <f> IF(EL233&lt;&gt;"",TEXT(AUX!EP$1,"dd-MMM-aa"),"")</f>
      </c>
      <c r="EM213" s="496" t="str">
        <f> IF(EM233&lt;&gt;"",TEXT(AUX!EQ$1,"dd-MMM-aa"),"")</f>
      </c>
      <c r="EN213" s="496" t="str">
        <f> IF(EN233&lt;&gt;"",TEXT(AUX!ER$1,"dd-MMM-aa"),"")</f>
      </c>
      <c r="EO213" s="496" t="str">
        <f> IF(EO233&lt;&gt;"",TEXT(AUX!ES$1,"dd-MMM-aa"),"")</f>
      </c>
      <c r="EP213" s="496" t="str">
        <f> IF(EP233&lt;&gt;"",TEXT(AUX!ET$1,"dd-MMM-aa"),"")</f>
      </c>
      <c r="EQ213" s="496" t="str">
        <f> IF(EQ233&lt;&gt;"",TEXT(AUX!EU$1,"dd-MMM-aa"),"")</f>
      </c>
      <c r="ER213" s="496" t="str">
        <f> IF(ER233&lt;&gt;"",TEXT(AUX!EV$1,"dd-MMM-aa"),"")</f>
      </c>
      <c r="ES213" s="496" t="str">
        <f> IF(ES233&lt;&gt;"",TEXT(AUX!EW$1,"dd-MMM-aa"),"")</f>
      </c>
      <c r="ET213" s="496" t="str">
        <f> IF(ET233&lt;&gt;"",TEXT(AUX!EX$1,"dd-MMM-aa"),"")</f>
      </c>
      <c r="EU213" s="496" t="str">
        <f> IF(EU233&lt;&gt;"",TEXT(AUX!EY$1,"dd-MMM-aa"),"")</f>
      </c>
      <c r="EV213" s="496" t="str">
        <f> IF(EV233&lt;&gt;"",TEXT(AUX!EZ$1,"dd-MMM-aa"),"")</f>
      </c>
      <c r="EW213" s="496" t="str">
        <f> IF(EW233&lt;&gt;"",TEXT(AUX!FA$1,"dd-MMM-aa"),"")</f>
      </c>
      <c r="EX213" s="496" t="str">
        <f> IF(EX233&lt;&gt;"",TEXT(AUX!FB$1,"dd-MMM-aa"),"")</f>
      </c>
      <c r="EY213" s="496" t="str">
        <f> IF(EY233&lt;&gt;"",TEXT(AUX!FC$1,"dd-MMM-aa"),"")</f>
      </c>
      <c r="EZ213" s="496" t="str">
        <f> IF(EZ233&lt;&gt;"",TEXT(AUX!FD$1,"dd-MMM-aa"),"")</f>
      </c>
      <c r="FA213" s="496" t="str">
        <f> IF(FA233&lt;&gt;"",TEXT(AUX!FE$1,"dd-MMM-aa"),"")</f>
      </c>
      <c r="FB213" s="496" t="str">
        <f> IF(FB233&lt;&gt;"",TEXT(AUX!FF$1,"dd-MMM-aa"),"")</f>
      </c>
      <c r="FC213" s="496" t="str">
        <f> IF(FC233&lt;&gt;"",TEXT(AUX!FG$1,"dd-MMM-aa"),"")</f>
      </c>
      <c r="FD213" s="496" t="str">
        <f> IF(FD233&lt;&gt;"",TEXT(AUX!FH$1,"dd-MMM-aa"),"")</f>
      </c>
      <c r="FE213" s="496" t="str">
        <f> IF(FE233&lt;&gt;"",TEXT(AUX!FI$1,"dd-MMM-aa"),"")</f>
      </c>
      <c r="FF213" s="496" t="str">
        <f> IF(FF233&lt;&gt;"",TEXT(AUX!FJ$1,"dd-MMM-aa"),"")</f>
      </c>
      <c r="FG213" s="496" t="str">
        <f> IF(FG233&lt;&gt;"",TEXT(AUX!FK$1,"dd-MMM-aa"),"")</f>
      </c>
      <c r="FH213" s="496" t="str">
        <f> IF(FH233&lt;&gt;"",TEXT(AUX!FL$1,"dd-MMM-aa"),"")</f>
      </c>
      <c r="FI213" s="496" t="str">
        <f> IF(FI233&lt;&gt;"",TEXT(AUX!FM$1,"dd-MMM-aa"),"")</f>
      </c>
      <c r="FJ213" s="496" t="str">
        <f> IF(FJ233&lt;&gt;"",TEXT(AUX!FN$1,"dd-MMM-aa"),"")</f>
      </c>
      <c r="FK213" s="496" t="str">
        <f> IF(FK233&lt;&gt;"",TEXT(AUX!FO$1,"dd-MMM-aa"),"")</f>
      </c>
      <c r="FL213" s="496" t="str">
        <f> IF(FL233&lt;&gt;"",TEXT(AUX!FP$1,"dd-MMM-aa"),"")</f>
      </c>
      <c r="FM213" s="496" t="str">
        <f> IF(FM233&lt;&gt;"",TEXT(AUX!FQ$1,"dd-MMM-aa"),"")</f>
      </c>
      <c r="FN213" s="496" t="str">
        <f> IF(FN233&lt;&gt;"",TEXT(AUX!FR$1,"dd-MMM-aa"),"")</f>
      </c>
      <c r="FO213" s="496" t="str">
        <f> IF(FO233&lt;&gt;"",TEXT(AUX!FS$1,"dd-MMM-aa"),"")</f>
      </c>
      <c r="FP213" s="496" t="str">
        <f> IF(FP233&lt;&gt;"",TEXT(AUX!FT$1,"dd-MMM-aa"),"")</f>
      </c>
      <c r="FQ213" s="496" t="str">
        <f> IF(FQ233&lt;&gt;"",TEXT(AUX!FU$1,"dd-MMM-aa"),"")</f>
      </c>
      <c r="FR213" s="496" t="str">
        <f> IF(FR233&lt;&gt;"",TEXT(AUX!FV$1,"dd-MMM-aa"),"")</f>
      </c>
      <c r="FS213" s="496" t="str">
        <f> IF(FS233&lt;&gt;"",TEXT(AUX!FW$1,"dd-MMM-aa"),"")</f>
      </c>
      <c r="FT213" s="496" t="str">
        <f> IF(FT233&lt;&gt;"",TEXT(AUX!FX$1,"dd-MMM-aa"),"")</f>
      </c>
      <c r="FU213" s="496" t="str">
        <f> IF(FU233&lt;&gt;"",TEXT(AUX!FY$1,"dd-MMM-aa"),"")</f>
      </c>
      <c r="FV213" s="496" t="str">
        <f> IF(FV233&lt;&gt;"",TEXT(AUX!FZ$1,"dd-MMM-aa"),"")</f>
      </c>
      <c r="FW213" s="496" t="str">
        <f> IF(FW233&lt;&gt;"",TEXT(AUX!GA$1,"dd-MMM-aa"),"")</f>
      </c>
      <c r="FX213" s="496" t="str">
        <f> IF(FX233&lt;&gt;"",TEXT(AUX!GB$1,"dd-MMM-aa"),"")</f>
      </c>
      <c r="FY213" s="496" t="str">
        <f> IF(FY233&lt;&gt;"",TEXT(AUX!GC$1,"dd-MMM-aa"),"")</f>
      </c>
      <c r="FZ213" s="496" t="str">
        <f> IF(FZ233&lt;&gt;"",TEXT(AUX!GD$1,"dd-MMM-aa"),"")</f>
      </c>
      <c r="GA213" s="496" t="str">
        <f> IF(GA233&lt;&gt;"",TEXT(AUX!GE$1,"dd-MMM-aa"),"")</f>
      </c>
      <c r="GB213" s="496" t="str">
        <f> IF(GB233&lt;&gt;"",TEXT(AUX!GF$1,"dd-MMM-aa"),"")</f>
      </c>
      <c r="GC213" s="496" t="str">
        <f> IF(GC233&lt;&gt;"",TEXT(AUX!GG$1,"dd-MMM-aa"),"")</f>
      </c>
      <c r="GD213" s="496" t="str">
        <f> IF(GD233&lt;&gt;"",TEXT(AUX!GH$1,"dd-MMM-aa"),"")</f>
      </c>
      <c r="GE213" s="496" t="str">
        <f> IF(GE233&lt;&gt;"",TEXT(AUX!GI$1,"dd-MMM-aa"),"")</f>
      </c>
      <c r="GF213" s="496" t="str">
        <f> IF(GF233&lt;&gt;"",TEXT(AUX!GJ$1,"dd-MMM-aa"),"")</f>
      </c>
      <c r="GG213" s="496" t="str">
        <f> IF(GG233&lt;&gt;"",TEXT(AUX!GK$1,"dd-MMM-aa"),"")</f>
      </c>
      <c r="GH213" s="496" t="str">
        <f> IF(GH233&lt;&gt;"",TEXT(AUX!GL$1,"dd-MMM-aa"),"")</f>
      </c>
      <c r="GI213" s="496" t="str">
        <f> IF(GI233&lt;&gt;"",TEXT(AUX!GM$1,"dd-MMM-aa"),"")</f>
      </c>
      <c r="GJ213" s="496" t="str">
        <f> IF(GJ233&lt;&gt;"",TEXT(AUX!GN$1,"dd-MMM-aa"),"")</f>
      </c>
      <c r="GK213" s="496" t="str">
        <f> IF(GK233&lt;&gt;"",TEXT(AUX!GO$1,"dd-MMM-aa"),"")</f>
      </c>
      <c r="GL213" s="496" t="str">
        <f> IF(GL233&lt;&gt;"",TEXT(AUX!GP$1,"dd-MMM-aa"),"")</f>
      </c>
      <c r="GM213" s="496" t="str">
        <f> IF(GM233&lt;&gt;"",TEXT(AUX!GQ$1,"dd-MMM-aa"),"")</f>
      </c>
      <c r="GN213" s="496" t="str">
        <f> IF(GN233&lt;&gt;"",TEXT(AUX!GR$1,"dd-MMM-aa"),"")</f>
      </c>
      <c r="GO213" s="496" t="str">
        <f> IF(GO233&lt;&gt;"",TEXT(AUX!GS$1,"dd-MMM-aa"),"")</f>
      </c>
      <c r="GP213" s="496" t="str">
        <f> IF(GP233&lt;&gt;"",TEXT(AUX!GT$1,"dd-MMM-aa"),"")</f>
      </c>
      <c r="GQ213" s="496" t="str">
        <f> IF(GQ233&lt;&gt;"",TEXT(AUX!GU$1,"dd-MMM-aa"),"")</f>
      </c>
      <c r="GR213" s="496" t="str">
        <f> IF(GR233&lt;&gt;"",TEXT(AUX!GV$1,"dd-MMM-aa"),"")</f>
      </c>
      <c r="GS213" s="496" t="str">
        <f> IF(GS233&lt;&gt;"",TEXT(AUX!GW$1,"dd-MMM-aa"),"")</f>
      </c>
      <c r="GT213" s="496" t="str">
        <f> IF(GT233&lt;&gt;"",TEXT(AUX!GX$1,"dd-MMM-aa"),"")</f>
      </c>
      <c r="GU213" s="496" t="str">
        <f> IF(GU233&lt;&gt;"",TEXT(AUX!GY$1,"dd-MMM-aa"),"")</f>
      </c>
      <c r="GV213" s="496" t="str">
        <f> IF(GV233&lt;&gt;"",TEXT(AUX!GZ$1,"dd-MMM-aa"),"")</f>
      </c>
      <c r="GW213" s="496" t="str">
        <f> IF(GW233&lt;&gt;"",TEXT(AUX!HA$1,"dd-MMM-aa"),"")</f>
      </c>
      <c r="GX213" s="496" t="str">
        <f> IF(GX233&lt;&gt;"",TEXT(AUX!HB$1,"dd-MMM-aa"),"")</f>
      </c>
      <c r="GY213" s="496" t="str">
        <f> IF(GY233&lt;&gt;"",TEXT(AUX!HC$1,"dd-MMM-aa"),"")</f>
      </c>
      <c r="GZ213" s="496" t="str">
        <f> IF(GZ233&lt;&gt;"",TEXT(AUX!HD$1,"dd-MMM-aa"),"")</f>
      </c>
      <c r="HA213" s="496" t="str">
        <f> IF(HA233&lt;&gt;"",TEXT(AUX!HE$1,"dd-MMM-aa"),"")</f>
      </c>
      <c r="HB213" s="496" t="str">
        <f> IF(HB233&lt;&gt;"",TEXT(AUX!HF$1,"dd-MMM-aa"),"")</f>
      </c>
      <c r="HC213" s="496" t="str">
        <f> IF(HC233&lt;&gt;"",TEXT(AUX!HG$1,"dd-MMM-aa"),"")</f>
      </c>
      <c r="HD213" s="496" t="str">
        <f> IF(HD233&lt;&gt;"",TEXT(AUX!HH$1,"dd-MMM-aa"),"")</f>
      </c>
      <c r="HE213" s="496" t="str">
        <f> IF(HE233&lt;&gt;"",TEXT(AUX!HI$1,"dd-MMM-aa"),"")</f>
      </c>
      <c r="HF213" s="496" t="str">
        <f> IF(HF233&lt;&gt;"",TEXT(AUX!HJ$1,"dd-MMM-aa"),"")</f>
      </c>
      <c r="HG213" s="496" t="str">
        <f> IF(HG233&lt;&gt;"",TEXT(AUX!HK$1,"dd-MMM-aa"),"")</f>
      </c>
      <c r="HH213" s="496" t="str">
        <f> IF(HH233&lt;&gt;"",TEXT(AUX!HL$1,"dd-MMM-aa"),"")</f>
      </c>
      <c r="HI213" s="496" t="str">
        <f> IF(HI233&lt;&gt;"",TEXT(AUX!HM$1,"dd-MMM-aa"),"")</f>
      </c>
      <c r="HJ213" s="496" t="str">
        <f> IF(HJ233&lt;&gt;"",TEXT(AUX!HN$1,"dd-MMM-aa"),"")</f>
      </c>
      <c r="HK213" s="496" t="str">
        <f> IF(HK233&lt;&gt;"",TEXT(AUX!HO$1,"dd-MMM-aa"),"")</f>
      </c>
      <c r="HL213" s="496" t="str">
        <f> IF(HL233&lt;&gt;"",TEXT(AUX!HP$1,"dd-MMM-aa"),"")</f>
      </c>
      <c r="HM213" s="496" t="str">
        <f> IF(HM233&lt;&gt;"",TEXT(AUX!HQ$1,"dd-MMM-aa"),"")</f>
      </c>
      <c r="HN213" s="496" t="str">
        <f> IF(HN233&lt;&gt;"",TEXT(AUX!HR$1,"dd-MMM-aa"),"")</f>
      </c>
      <c r="HO213" s="496" t="str">
        <f> IF(HO233&lt;&gt;"",TEXT(AUX!HS$1,"dd-MMM-aa"),"")</f>
      </c>
      <c r="HP213" s="496" t="str">
        <f> IF(HP233&lt;&gt;"",TEXT(AUX!HT$1,"dd-MMM-aa"),"")</f>
      </c>
      <c r="HQ213" s="496" t="str">
        <f> IF(HQ233&lt;&gt;"",TEXT(AUX!HU$1,"dd-MMM-aa"),"")</f>
      </c>
      <c r="HR213" s="496" t="str">
        <f> IF(HR233&lt;&gt;"",TEXT(AUX!HV$1,"dd-MMM-aa"),"")</f>
      </c>
      <c r="HS213" s="496" t="str">
        <f> IF(HS233&lt;&gt;"",TEXT(AUX!HW$1,"dd-MMM-aa"),"")</f>
      </c>
      <c r="HT213" s="496" t="str">
        <f> IF(HT233&lt;&gt;"",TEXT(AUX!HX$1,"dd-MMM-aa"),"")</f>
      </c>
      <c r="HU213" s="496" t="str">
        <f> IF(HU233&lt;&gt;"",TEXT(AUX!HY$1,"dd-MMM-aa"),"")</f>
      </c>
      <c r="HV213" s="496" t="str">
        <f> IF(HV233&lt;&gt;"",TEXT(AUX!HZ$1,"dd-MMM-aa"),"")</f>
      </c>
      <c r="HW213" s="496" t="str">
        <f> IF(HW233&lt;&gt;"",TEXT(AUX!IA$1,"dd-MMM-aa"),"")</f>
      </c>
      <c r="HX213" s="496" t="str">
        <f> IF(HX233&lt;&gt;"",TEXT(AUX!IB$1,"dd-MMM-aa"),"")</f>
      </c>
      <c r="HY213" s="496" t="str">
        <f> IF(HY233&lt;&gt;"",TEXT(AUX!IC$1,"dd-MMM-aa"),"")</f>
      </c>
      <c r="HZ213" s="496" t="str">
        <f> IF(HZ233&lt;&gt;"",TEXT(AUX!ID$1,"dd-MMM-aa"),"")</f>
      </c>
      <c r="IA213" s="496" t="str">
        <f> IF(IA233&lt;&gt;"",TEXT(AUX!IE$1,"dd-MMM-aa"),"")</f>
      </c>
      <c r="IB213" s="496" t="str">
        <f> IF(IB233&lt;&gt;"",TEXT(AUX!IF$1,"dd-MMM-aa"),"")</f>
      </c>
      <c r="IC213" s="496" t="str">
        <f> IF(IC233&lt;&gt;"",TEXT(AUX!IG$1,"dd-MMM-aa"),"")</f>
      </c>
      <c r="ID213" s="496" t="str">
        <f> IF(ID233&lt;&gt;"",TEXT(AUX!IH$1,"dd-MMM-aa"),"")</f>
      </c>
      <c r="IE213" s="496" t="str">
        <f> IF(IE233&lt;&gt;"",TEXT(AUX!II$1,"dd-MMM-aa"),"")</f>
      </c>
      <c r="IF213" s="496" t="str">
        <f> IF(IF233&lt;&gt;"",TEXT(AUX!IJ$1,"dd-MMM-aa"),"")</f>
      </c>
      <c r="IG213" s="496" t="str">
        <f> IF(IG233&lt;&gt;"",TEXT(AUX!IK$1,"dd-MMM-aa"),"")</f>
      </c>
      <c r="IH213" s="496" t="str">
        <f> IF(IH233&lt;&gt;"",TEXT(AUX!IL$1,"dd-MMM-aa"),"")</f>
      </c>
      <c r="II213" s="496" t="str">
        <f> IF(II233&lt;&gt;"",TEXT(AUX!IM$1,"dd-MMM-aa"),"")</f>
      </c>
      <c r="IJ213" s="496" t="str">
        <f> IF(IJ233&lt;&gt;"",TEXT(AUX!IN$1,"dd-MMM-aa"),"")</f>
      </c>
      <c r="IK213" s="496" t="str">
        <f> IF(IK233&lt;&gt;"",TEXT(AUX!IO$1,"dd-MMM-aa"),"")</f>
      </c>
      <c r="IL213" s="496" t="str">
        <f> IF(IL233&lt;&gt;"",TEXT(AUX!IP$1,"dd-MMM-aa"),"")</f>
      </c>
      <c r="IM213" s="496" t="str">
        <f> IF(IM233&lt;&gt;"",TEXT(AUX!IQ$1,"dd-MMM-aa"),"")</f>
      </c>
      <c r="IN213" s="496" t="str">
        <f> IF(IN233&lt;&gt;"",TEXT(AUX!IR$1,"dd-MMM-aa"),"")</f>
      </c>
      <c r="IO213" s="496" t="str">
        <f> IF(IO233&lt;&gt;"",TEXT(AUX!IS$1,"dd-MMM-aa"),"")</f>
      </c>
      <c r="IP213" s="496" t="str">
        <f> IF(IP233&lt;&gt;"",TEXT(AUX!IT$1,"dd-MMM-aa"),"")</f>
      </c>
      <c r="IQ213" s="496" t="str">
        <f> IF(IQ233&lt;&gt;"",TEXT(AUX!IU$1,"dd-MMM-aa"),"")</f>
      </c>
      <c r="IR213" s="496" t="str">
        <f> IF(IR233&lt;&gt;"",TEXT(AUX!IV$1,"dd-MMM-aa"),"")</f>
      </c>
      <c r="IS213" s="496" t="str">
        <f> IF(IS233&lt;&gt;"",TEXT(AUX!#REF!,"dd-MMM-aa"),"")</f>
      </c>
      <c r="IT213" s="496" t="str">
        <f> IF(IT233&lt;&gt;"",TEXT(AUX!#REF!,"dd-MMM-aa"),"")</f>
      </c>
      <c r="IU213" s="496" t="str">
        <f> IF(IU233&lt;&gt;"",TEXT(AUX!#REF!,"dd-MMM-aa"),"")</f>
      </c>
      <c r="IV213" s="496" t="str">
        <f> IF(IV233&lt;&gt;"",TEXT(AUX!#REF!,"dd-MMM-aa"),"")</f>
      </c>
    </row>
    <row r="214" hidden="1">
      <c r="B214" s="822" t="s">
        <v>8</v>
      </c>
      <c r="C214" s="823">
        <v>0</v>
      </c>
      <c r="D214" s="823">
        <v>9</v>
      </c>
      <c r="E214" s="823">
        <v>18</v>
      </c>
      <c r="F214" s="823">
        <v>18</v>
      </c>
      <c r="G214" s="823">
        <v>21</v>
      </c>
      <c r="H214" s="823">
        <v>23</v>
      </c>
      <c r="I214" s="823">
        <v>23</v>
      </c>
      <c r="J214" s="823">
        <v>23</v>
      </c>
      <c r="K214" s="823">
        <v>24</v>
      </c>
      <c r="L214" s="823">
        <v>24</v>
      </c>
      <c r="M214" s="823">
        <v>23</v>
      </c>
      <c r="N214" s="823">
        <v>22</v>
      </c>
      <c r="O214" s="823">
        <v>23</v>
      </c>
      <c r="P214" s="823">
        <v>21</v>
      </c>
      <c r="Q214" s="823">
        <v>20</v>
      </c>
      <c r="R214" s="823">
        <v>0</v>
      </c>
      <c r="S214" s="823">
        <v>0</v>
      </c>
      <c r="T214" s="823">
        <v>0</v>
      </c>
      <c r="U214" s="823">
        <v>0</v>
      </c>
      <c r="V214" s="823">
        <v>0</v>
      </c>
      <c r="W214" s="823">
        <v>0</v>
      </c>
      <c r="X214" s="823">
        <v>0</v>
      </c>
      <c r="Y214" s="823">
        <v>0</v>
      </c>
      <c r="Z214" s="823">
        <v>0</v>
      </c>
      <c r="AA214" s="823">
        <v>0</v>
      </c>
      <c r="AB214" s="824">
        <v>0</v>
      </c>
      <c r="AC214" s="825">
        <v>0</v>
      </c>
      <c r="AD214" s="825">
        <v>0</v>
      </c>
      <c r="AE214" s="825">
        <v>0</v>
      </c>
      <c r="AF214" s="825">
        <v>0</v>
      </c>
      <c r="AG214" s="825">
        <v>0</v>
      </c>
      <c r="AH214" s="825">
        <v>0</v>
      </c>
      <c r="AI214" s="825">
        <v>0</v>
      </c>
      <c r="AJ214" s="825">
        <v>0</v>
      </c>
      <c r="AK214" s="825">
        <v>0</v>
      </c>
      <c r="AL214" s="825">
        <v>0</v>
      </c>
      <c r="AM214" s="825">
        <v>0</v>
      </c>
      <c r="AN214" s="825">
        <v>0</v>
      </c>
      <c r="AO214" s="825">
        <v>0</v>
      </c>
      <c r="AP214" s="825">
        <v>0</v>
      </c>
      <c r="AQ214" s="51"/>
      <c r="AR214" s="51"/>
      <c r="AS214" s="51"/>
      <c r="AT214" s="51"/>
      <c r="AU214" s="51"/>
      <c r="AV214" s="51"/>
      <c r="AW214" s="51"/>
      <c r="AX214" s="51"/>
      <c r="AY214" s="51"/>
      <c r="AZ214" s="51"/>
      <c r="BA214" s="51"/>
      <c r="BB214" s="51"/>
      <c r="BC214" s="51"/>
      <c r="BD214" s="51"/>
      <c r="BE214" s="51"/>
      <c r="BF214" s="51"/>
      <c r="BG214" s="51"/>
      <c r="BH214" s="51"/>
      <c r="BI214" s="51"/>
      <c r="BJ214" s="51"/>
      <c r="BK214" s="51"/>
      <c r="BL214" s="51"/>
      <c r="BM214" s="51"/>
      <c r="BN214" s="51"/>
      <c r="BO214" s="51"/>
      <c r="BP214" s="51"/>
      <c r="BQ214" s="51"/>
      <c r="BR214" s="51"/>
      <c r="BS214" s="51"/>
      <c r="BT214" s="51"/>
      <c r="BU214" s="51"/>
      <c r="BV214" s="51"/>
      <c r="BW214" s="51"/>
      <c r="BX214" s="51"/>
      <c r="BY214" s="51"/>
      <c r="BZ214" s="51"/>
      <c r="CA214" s="51"/>
      <c r="CB214" s="51"/>
      <c r="CC214" s="51"/>
      <c r="CD214" s="51"/>
      <c r="CE214" s="51"/>
      <c r="CF214" s="51"/>
      <c r="CG214" s="51"/>
      <c r="CH214" s="51"/>
      <c r="CI214" s="51"/>
      <c r="CJ214" s="51"/>
      <c r="CK214" s="51"/>
      <c r="CL214" s="51"/>
      <c r="CM214" s="51"/>
      <c r="CN214" s="51"/>
      <c r="CO214" s="51"/>
      <c r="CP214" s="51"/>
      <c r="CQ214" s="51"/>
      <c r="CR214" s="51"/>
      <c r="CS214" s="51"/>
      <c r="CT214" s="51"/>
      <c r="CU214" s="51"/>
      <c r="CV214" s="51"/>
      <c r="CW214" s="51"/>
      <c r="CX214" s="51"/>
      <c r="CY214" s="51"/>
      <c r="CZ214" s="51"/>
      <c r="DA214" s="51"/>
      <c r="DB214" s="51"/>
      <c r="DC214" s="51"/>
      <c r="DD214" s="51"/>
      <c r="DE214" s="51"/>
      <c r="DF214" s="51"/>
      <c r="DG214" s="51"/>
      <c r="DH214" s="51"/>
      <c r="DI214" s="51"/>
      <c r="DJ214" s="51"/>
      <c r="DK214" s="51"/>
      <c r="DL214" s="51"/>
      <c r="DM214" s="51"/>
      <c r="DN214" s="51"/>
      <c r="DO214" s="51"/>
      <c r="DP214" s="51"/>
      <c r="DQ214" s="51"/>
      <c r="DR214" s="51"/>
      <c r="DS214" s="51"/>
      <c r="DT214" s="51"/>
      <c r="DU214" s="51"/>
      <c r="DV214" s="51"/>
      <c r="DW214" s="51"/>
      <c r="DX214" s="51"/>
      <c r="DY214" s="51"/>
      <c r="DZ214" s="51"/>
      <c r="EA214" s="51"/>
      <c r="EB214" s="51"/>
      <c r="EC214" s="51"/>
      <c r="ED214" s="51"/>
      <c r="EE214" s="51"/>
      <c r="EF214" s="51"/>
      <c r="EG214" s="51"/>
      <c r="EH214" s="51"/>
      <c r="EI214" s="51"/>
      <c r="EJ214" s="51"/>
      <c r="EK214" s="51"/>
      <c r="EL214" s="51"/>
      <c r="EM214" s="51"/>
      <c r="EN214" s="51"/>
      <c r="EO214" s="51"/>
      <c r="EP214" s="51"/>
      <c r="EQ214" s="51"/>
      <c r="ER214" s="51"/>
      <c r="ES214" s="51"/>
      <c r="ET214" s="51"/>
      <c r="EU214" s="51"/>
      <c r="EV214" s="51"/>
      <c r="EW214" s="51"/>
      <c r="EX214" s="51"/>
      <c r="EY214" s="51"/>
      <c r="EZ214" s="51"/>
      <c r="FA214" s="51"/>
      <c r="FB214" s="51"/>
      <c r="FC214" s="51"/>
      <c r="FD214" s="51"/>
      <c r="FE214" s="51"/>
      <c r="FF214" s="51"/>
      <c r="FG214" s="51"/>
      <c r="FH214" s="51"/>
      <c r="FI214" s="51"/>
      <c r="FJ214" s="51"/>
      <c r="FK214" s="51"/>
      <c r="FL214" s="51"/>
      <c r="FM214" s="51"/>
      <c r="FN214" s="51"/>
      <c r="FO214" s="51"/>
      <c r="FP214" s="51"/>
      <c r="FQ214" s="51"/>
      <c r="FR214" s="51"/>
      <c r="FS214" s="51"/>
      <c r="FT214" s="51"/>
      <c r="FU214" s="51"/>
      <c r="FV214" s="51"/>
      <c r="FW214" s="51"/>
      <c r="FX214" s="51"/>
      <c r="FY214" s="51"/>
      <c r="FZ214" s="51"/>
      <c r="GA214" s="51"/>
      <c r="GB214" s="51"/>
      <c r="GC214" s="51"/>
      <c r="GD214" s="51"/>
      <c r="GE214" s="51"/>
      <c r="GF214" s="51"/>
      <c r="GG214" s="51"/>
      <c r="GH214" s="51"/>
      <c r="GI214" s="51"/>
      <c r="GJ214" s="51"/>
      <c r="GK214" s="51"/>
      <c r="GL214" s="51"/>
      <c r="GM214" s="51"/>
      <c r="GN214" s="51"/>
      <c r="GO214" s="51"/>
      <c r="GP214" s="51"/>
      <c r="GQ214" s="51"/>
      <c r="GR214" s="51"/>
      <c r="GS214" s="51"/>
      <c r="GT214" s="51"/>
      <c r="GU214" s="51"/>
      <c r="GV214" s="51"/>
      <c r="GW214" s="51"/>
      <c r="GX214" s="51"/>
      <c r="GY214" s="51"/>
      <c r="GZ214" s="51"/>
      <c r="HA214" s="51"/>
      <c r="HB214" s="51"/>
      <c r="HC214" s="51"/>
      <c r="HD214" s="51"/>
      <c r="HE214" s="51"/>
      <c r="HF214" s="51"/>
      <c r="HG214" s="51"/>
      <c r="HH214" s="51"/>
      <c r="HI214" s="51"/>
      <c r="HJ214" s="51"/>
      <c r="HK214" s="51"/>
      <c r="HL214" s="51"/>
      <c r="HM214" s="51"/>
      <c r="HN214" s="51"/>
      <c r="HO214" s="51"/>
      <c r="HP214" s="51"/>
      <c r="HQ214" s="51"/>
      <c r="HR214" s="51"/>
      <c r="HS214" s="51"/>
      <c r="HT214" s="51"/>
      <c r="HU214" s="51"/>
      <c r="HV214" s="51"/>
      <c r="HW214" s="51"/>
      <c r="HX214" s="51"/>
      <c r="HY214" s="51"/>
      <c r="HZ214" s="51"/>
      <c r="IA214" s="51"/>
      <c r="IB214" s="51"/>
      <c r="IC214" s="51"/>
      <c r="ID214" s="51"/>
      <c r="IE214" s="51"/>
      <c r="IF214" s="51"/>
      <c r="IG214" s="51"/>
      <c r="IH214" s="51"/>
      <c r="II214" s="51"/>
      <c r="IJ214" s="51"/>
      <c r="IK214" s="51"/>
      <c r="IL214" s="51"/>
      <c r="IM214" s="51"/>
      <c r="IN214" s="51"/>
      <c r="IO214" s="51"/>
      <c r="IP214" s="51"/>
      <c r="IQ214" s="51"/>
      <c r="IR214" s="51"/>
      <c r="IS214" s="51"/>
      <c r="IT214" s="51"/>
      <c r="IU214" s="51"/>
      <c r="IV214" s="51"/>
    </row>
    <row r="215" hidden="1">
      <c r="B215" s="826" t="s">
        <v>9</v>
      </c>
      <c r="C215" s="827">
        <v>0</v>
      </c>
      <c r="D215" s="827">
        <v>0</v>
      </c>
      <c r="E215" s="827">
        <v>0</v>
      </c>
      <c r="F215" s="827">
        <v>0</v>
      </c>
      <c r="G215" s="827">
        <v>0</v>
      </c>
      <c r="H215" s="827">
        <v>0</v>
      </c>
      <c r="I215" s="827">
        <v>0</v>
      </c>
      <c r="J215" s="827">
        <v>0</v>
      </c>
      <c r="K215" s="827">
        <v>0</v>
      </c>
      <c r="L215" s="827">
        <v>0</v>
      </c>
      <c r="M215" s="827">
        <v>0</v>
      </c>
      <c r="N215" s="827">
        <v>0</v>
      </c>
      <c r="O215" s="827">
        <v>0</v>
      </c>
      <c r="P215" s="827">
        <v>0</v>
      </c>
      <c r="Q215" s="827">
        <v>0</v>
      </c>
      <c r="R215" s="827">
        <v>0</v>
      </c>
      <c r="S215" s="827">
        <v>0</v>
      </c>
      <c r="T215" s="827">
        <v>0</v>
      </c>
      <c r="U215" s="827">
        <v>0</v>
      </c>
      <c r="V215" s="827">
        <v>0</v>
      </c>
      <c r="W215" s="827">
        <v>0</v>
      </c>
      <c r="X215" s="827">
        <v>0</v>
      </c>
      <c r="Y215" s="827">
        <v>0</v>
      </c>
      <c r="Z215" s="827">
        <v>0</v>
      </c>
      <c r="AA215" s="827">
        <v>0</v>
      </c>
      <c r="AB215" s="827">
        <v>0</v>
      </c>
      <c r="AC215" s="828">
        <v>0</v>
      </c>
      <c r="AD215" s="828">
        <v>0</v>
      </c>
      <c r="AE215" s="828">
        <v>0</v>
      </c>
      <c r="AF215" s="828">
        <v>0</v>
      </c>
      <c r="AG215" s="828">
        <v>0</v>
      </c>
      <c r="AH215" s="828">
        <v>0</v>
      </c>
      <c r="AI215" s="828">
        <v>0</v>
      </c>
      <c r="AJ215" s="828">
        <v>0</v>
      </c>
      <c r="AK215" s="828">
        <v>0</v>
      </c>
      <c r="AL215" s="828">
        <v>0</v>
      </c>
      <c r="AM215" s="828">
        <v>0</v>
      </c>
      <c r="AN215" s="828">
        <v>0</v>
      </c>
      <c r="AO215" s="828">
        <v>0</v>
      </c>
      <c r="AP215" s="828">
        <v>0</v>
      </c>
      <c r="AQ215" s="51"/>
      <c r="AR215" s="51"/>
      <c r="AS215" s="51"/>
      <c r="AT215" s="51"/>
      <c r="AU215" s="51"/>
      <c r="AV215" s="51"/>
      <c r="AW215" s="51"/>
      <c r="AX215" s="51"/>
      <c r="AY215" s="51"/>
      <c r="AZ215" s="51"/>
      <c r="BA215" s="51"/>
      <c r="BB215" s="51"/>
      <c r="BC215" s="51"/>
      <c r="BD215" s="51"/>
      <c r="BE215" s="51"/>
      <c r="BF215" s="51"/>
      <c r="BG215" s="51"/>
      <c r="BH215" s="51"/>
      <c r="BI215" s="51"/>
      <c r="BJ215" s="51"/>
      <c r="BK215" s="51"/>
      <c r="BL215" s="51"/>
      <c r="BM215" s="51"/>
      <c r="BN215" s="51"/>
      <c r="BO215" s="51"/>
      <c r="BP215" s="51"/>
      <c r="BQ215" s="51"/>
      <c r="BR215" s="51"/>
      <c r="BS215" s="51"/>
      <c r="BT215" s="51"/>
      <c r="BU215" s="51"/>
      <c r="BV215" s="51"/>
      <c r="BW215" s="51"/>
      <c r="BX215" s="51"/>
      <c r="BY215" s="51"/>
      <c r="BZ215" s="51"/>
      <c r="CA215" s="51"/>
      <c r="CB215" s="51"/>
      <c r="CC215" s="51"/>
      <c r="CD215" s="51"/>
      <c r="CE215" s="51"/>
      <c r="CF215" s="51"/>
      <c r="CG215" s="51"/>
      <c r="CH215" s="51"/>
      <c r="CI215" s="51"/>
      <c r="CJ215" s="51"/>
      <c r="CK215" s="51"/>
      <c r="CL215" s="51"/>
      <c r="CM215" s="51"/>
      <c r="CN215" s="51"/>
      <c r="CO215" s="51"/>
      <c r="CP215" s="51"/>
      <c r="CQ215" s="51"/>
      <c r="CR215" s="51"/>
      <c r="CS215" s="51"/>
      <c r="CT215" s="51"/>
      <c r="CU215" s="51"/>
      <c r="CV215" s="51"/>
      <c r="CW215" s="51"/>
      <c r="CX215" s="51"/>
      <c r="CY215" s="51"/>
      <c r="CZ215" s="51"/>
      <c r="DA215" s="51"/>
      <c r="DB215" s="51"/>
      <c r="DC215" s="51"/>
      <c r="DD215" s="51"/>
      <c r="DE215" s="51"/>
      <c r="DF215" s="51"/>
      <c r="DG215" s="51"/>
      <c r="DH215" s="51"/>
      <c r="DI215" s="51"/>
      <c r="DJ215" s="51"/>
      <c r="DK215" s="51"/>
      <c r="DL215" s="51"/>
      <c r="DM215" s="51"/>
      <c r="DN215" s="51"/>
      <c r="DO215" s="51"/>
      <c r="DP215" s="51"/>
      <c r="DQ215" s="51"/>
      <c r="DR215" s="51"/>
      <c r="DS215" s="51"/>
      <c r="DT215" s="51"/>
      <c r="DU215" s="51"/>
      <c r="DV215" s="51"/>
      <c r="DW215" s="51"/>
      <c r="DX215" s="51"/>
      <c r="DY215" s="51"/>
      <c r="DZ215" s="51"/>
      <c r="EA215" s="51"/>
      <c r="EB215" s="51"/>
      <c r="EC215" s="51"/>
      <c r="ED215" s="51"/>
      <c r="EE215" s="51"/>
      <c r="EF215" s="51"/>
      <c r="EG215" s="51"/>
      <c r="EH215" s="51"/>
      <c r="EI215" s="51"/>
      <c r="EJ215" s="51"/>
      <c r="EK215" s="51"/>
      <c r="EL215" s="51"/>
      <c r="EM215" s="51"/>
      <c r="EN215" s="51"/>
      <c r="EO215" s="51"/>
      <c r="EP215" s="51"/>
      <c r="EQ215" s="51"/>
      <c r="ER215" s="51"/>
      <c r="ES215" s="51"/>
      <c r="ET215" s="51"/>
      <c r="EU215" s="51"/>
      <c r="EV215" s="51"/>
      <c r="EW215" s="51"/>
      <c r="EX215" s="51"/>
      <c r="EY215" s="51"/>
      <c r="EZ215" s="51"/>
      <c r="FA215" s="51"/>
      <c r="FB215" s="51"/>
      <c r="FC215" s="51"/>
      <c r="FD215" s="51"/>
      <c r="FE215" s="51"/>
      <c r="FF215" s="51"/>
      <c r="FG215" s="51"/>
      <c r="FH215" s="51"/>
      <c r="FI215" s="51"/>
      <c r="FJ215" s="51"/>
      <c r="FK215" s="51"/>
      <c r="FL215" s="51"/>
      <c r="FM215" s="51"/>
      <c r="FN215" s="51"/>
      <c r="FO215" s="51"/>
      <c r="FP215" s="51"/>
      <c r="FQ215" s="51"/>
      <c r="FR215" s="51"/>
      <c r="FS215" s="51"/>
      <c r="FT215" s="51"/>
      <c r="FU215" s="51"/>
      <c r="FV215" s="51"/>
      <c r="FW215" s="51"/>
      <c r="FX215" s="51"/>
      <c r="FY215" s="51"/>
      <c r="FZ215" s="51"/>
      <c r="GA215" s="51"/>
      <c r="GB215" s="51"/>
      <c r="GC215" s="51"/>
      <c r="GD215" s="51"/>
      <c r="GE215" s="51"/>
      <c r="GF215" s="51"/>
      <c r="GG215" s="51"/>
      <c r="GH215" s="51"/>
      <c r="GI215" s="51"/>
      <c r="GJ215" s="51"/>
      <c r="GK215" s="51"/>
      <c r="GL215" s="51"/>
      <c r="GM215" s="51"/>
      <c r="GN215" s="51"/>
      <c r="GO215" s="51"/>
      <c r="GP215" s="51"/>
      <c r="GQ215" s="51"/>
      <c r="GR215" s="51"/>
      <c r="GS215" s="51"/>
      <c r="GT215" s="51"/>
      <c r="GU215" s="51"/>
      <c r="GV215" s="51"/>
      <c r="GW215" s="51"/>
      <c r="GX215" s="51"/>
      <c r="GY215" s="51"/>
      <c r="GZ215" s="51"/>
      <c r="HA215" s="51"/>
      <c r="HB215" s="51"/>
      <c r="HC215" s="51"/>
      <c r="HD215" s="51"/>
      <c r="HE215" s="51"/>
      <c r="HF215" s="51"/>
      <c r="HG215" s="51"/>
      <c r="HH215" s="51"/>
      <c r="HI215" s="51"/>
      <c r="HJ215" s="51"/>
      <c r="HK215" s="51"/>
      <c r="HL215" s="51"/>
      <c r="HM215" s="51"/>
      <c r="HN215" s="51"/>
      <c r="HO215" s="51"/>
      <c r="HP215" s="51"/>
      <c r="HQ215" s="51"/>
      <c r="HR215" s="51"/>
      <c r="HS215" s="51"/>
      <c r="HT215" s="51"/>
      <c r="HU215" s="51"/>
      <c r="HV215" s="51"/>
      <c r="HW215" s="51"/>
      <c r="HX215" s="51"/>
      <c r="HY215" s="51"/>
      <c r="HZ215" s="51"/>
      <c r="IA215" s="51"/>
      <c r="IB215" s="51"/>
      <c r="IC215" s="51"/>
      <c r="ID215" s="51"/>
      <c r="IE215" s="51"/>
      <c r="IF215" s="51"/>
      <c r="IG215" s="51"/>
      <c r="IH215" s="51"/>
      <c r="II215" s="51"/>
      <c r="IJ215" s="51"/>
      <c r="IK215" s="51"/>
      <c r="IL215" s="51"/>
      <c r="IM215" s="51"/>
      <c r="IN215" s="51"/>
      <c r="IO215" s="51"/>
      <c r="IP215" s="51"/>
      <c r="IQ215" s="51"/>
      <c r="IR215" s="51"/>
      <c r="IS215" s="51"/>
      <c r="IT215" s="51"/>
      <c r="IU215" s="51"/>
      <c r="IV215" s="51"/>
    </row>
    <row r="216" hidden="1">
      <c r="B216" s="829" t="s">
        <v>10</v>
      </c>
      <c r="C216" s="823">
        <v>4</v>
      </c>
      <c r="D216" s="823">
        <v>4</v>
      </c>
      <c r="E216" s="823">
        <v>4</v>
      </c>
      <c r="F216" s="823">
        <v>4</v>
      </c>
      <c r="G216" s="823">
        <v>3</v>
      </c>
      <c r="H216" s="823">
        <v>2</v>
      </c>
      <c r="I216" s="823">
        <v>2</v>
      </c>
      <c r="J216" s="823">
        <v>2</v>
      </c>
      <c r="K216" s="823">
        <v>2</v>
      </c>
      <c r="L216" s="823">
        <v>2</v>
      </c>
      <c r="M216" s="823">
        <v>2</v>
      </c>
      <c r="N216" s="823">
        <v>2</v>
      </c>
      <c r="O216" s="823">
        <v>2</v>
      </c>
      <c r="P216" s="823">
        <v>2</v>
      </c>
      <c r="Q216" s="823">
        <v>2</v>
      </c>
      <c r="R216" s="823">
        <v>1</v>
      </c>
      <c r="S216" s="823">
        <v>1</v>
      </c>
      <c r="T216" s="823">
        <v>1</v>
      </c>
      <c r="U216" s="823">
        <v>1</v>
      </c>
      <c r="V216" s="823">
        <v>1</v>
      </c>
      <c r="W216" s="823">
        <v>1</v>
      </c>
      <c r="X216" s="823">
        <v>1</v>
      </c>
      <c r="Y216" s="823">
        <v>1</v>
      </c>
      <c r="Z216" s="823">
        <v>1</v>
      </c>
      <c r="AA216" s="823">
        <v>1</v>
      </c>
      <c r="AB216" s="823">
        <v>1</v>
      </c>
      <c r="AC216" s="825">
        <v>1</v>
      </c>
      <c r="AD216" s="825">
        <v>1</v>
      </c>
      <c r="AE216" s="825">
        <v>1</v>
      </c>
      <c r="AF216" s="825">
        <v>0</v>
      </c>
      <c r="AG216" s="825">
        <v>0</v>
      </c>
      <c r="AH216" s="825">
        <v>0</v>
      </c>
      <c r="AI216" s="825">
        <v>0</v>
      </c>
      <c r="AJ216" s="825">
        <v>0</v>
      </c>
      <c r="AK216" s="825">
        <v>0</v>
      </c>
      <c r="AL216" s="825">
        <v>0</v>
      </c>
      <c r="AM216" s="825">
        <v>0</v>
      </c>
      <c r="AN216" s="825">
        <v>0</v>
      </c>
      <c r="AO216" s="825">
        <v>0</v>
      </c>
      <c r="AP216" s="825">
        <v>0</v>
      </c>
      <c r="AQ216" s="51"/>
      <c r="AR216" s="51"/>
      <c r="AS216" s="51"/>
      <c r="AT216" s="51"/>
      <c r="AU216" s="51"/>
      <c r="AV216" s="51"/>
      <c r="AW216" s="51"/>
      <c r="AX216" s="51"/>
      <c r="AY216" s="51"/>
      <c r="AZ216" s="51"/>
      <c r="BA216" s="51"/>
      <c r="BB216" s="51"/>
      <c r="BC216" s="51"/>
      <c r="BD216" s="51"/>
      <c r="BE216" s="51"/>
      <c r="BF216" s="51"/>
      <c r="BG216" s="51"/>
      <c r="BH216" s="51"/>
      <c r="BI216" s="51"/>
      <c r="BJ216" s="51"/>
      <c r="BK216" s="51"/>
      <c r="BL216" s="51"/>
      <c r="BM216" s="51"/>
      <c r="BN216" s="51"/>
      <c r="BO216" s="51"/>
      <c r="BP216" s="51"/>
      <c r="BQ216" s="51"/>
      <c r="BR216" s="51"/>
      <c r="BS216" s="51"/>
      <c r="BT216" s="51"/>
      <c r="BU216" s="51"/>
      <c r="BV216" s="51"/>
      <c r="BW216" s="51"/>
      <c r="BX216" s="51"/>
      <c r="BY216" s="51"/>
      <c r="BZ216" s="51"/>
      <c r="CA216" s="51"/>
      <c r="CB216" s="51"/>
      <c r="CC216" s="51"/>
      <c r="CD216" s="51"/>
      <c r="CE216" s="51"/>
      <c r="CF216" s="51"/>
      <c r="CG216" s="51"/>
      <c r="CH216" s="51"/>
      <c r="CI216" s="51"/>
      <c r="CJ216" s="51"/>
      <c r="CK216" s="51"/>
      <c r="CL216" s="51"/>
      <c r="CM216" s="51"/>
      <c r="CN216" s="51"/>
      <c r="CO216" s="51"/>
      <c r="CP216" s="51"/>
      <c r="CQ216" s="51"/>
      <c r="CR216" s="51"/>
      <c r="CS216" s="51"/>
      <c r="CT216" s="51"/>
      <c r="CU216" s="51"/>
      <c r="CV216" s="51"/>
      <c r="CW216" s="51"/>
      <c r="CX216" s="51"/>
      <c r="CY216" s="51"/>
      <c r="CZ216" s="51"/>
      <c r="DA216" s="51"/>
      <c r="DB216" s="51"/>
      <c r="DC216" s="51"/>
      <c r="DD216" s="51"/>
      <c r="DE216" s="51"/>
      <c r="DF216" s="51"/>
      <c r="DG216" s="51"/>
      <c r="DH216" s="51"/>
      <c r="DI216" s="51"/>
      <c r="DJ216" s="51"/>
      <c r="DK216" s="51"/>
      <c r="DL216" s="51"/>
      <c r="DM216" s="51"/>
      <c r="DN216" s="51"/>
      <c r="DO216" s="51"/>
      <c r="DP216" s="51"/>
      <c r="DQ216" s="51"/>
      <c r="DR216" s="51"/>
      <c r="DS216" s="51"/>
      <c r="DT216" s="51"/>
      <c r="DU216" s="51"/>
      <c r="DV216" s="51"/>
      <c r="DW216" s="51"/>
      <c r="DX216" s="51"/>
      <c r="DY216" s="51"/>
      <c r="DZ216" s="51"/>
      <c r="EA216" s="51"/>
      <c r="EB216" s="51"/>
      <c r="EC216" s="51"/>
      <c r="ED216" s="51"/>
      <c r="EE216" s="51"/>
      <c r="EF216" s="51"/>
      <c r="EG216" s="51"/>
      <c r="EH216" s="51"/>
      <c r="EI216" s="51"/>
      <c r="EJ216" s="51"/>
      <c r="EK216" s="51"/>
      <c r="EL216" s="51"/>
      <c r="EM216" s="51"/>
      <c r="EN216" s="51"/>
      <c r="EO216" s="51"/>
      <c r="EP216" s="51"/>
      <c r="EQ216" s="51"/>
      <c r="ER216" s="51"/>
      <c r="ES216" s="51"/>
      <c r="ET216" s="51"/>
      <c r="EU216" s="51"/>
      <c r="EV216" s="51"/>
      <c r="EW216" s="51"/>
      <c r="EX216" s="51"/>
      <c r="EY216" s="51"/>
      <c r="EZ216" s="51"/>
      <c r="FA216" s="51"/>
      <c r="FB216" s="51"/>
      <c r="FC216" s="51"/>
      <c r="FD216" s="51"/>
      <c r="FE216" s="51"/>
      <c r="FF216" s="51"/>
      <c r="FG216" s="51"/>
      <c r="FH216" s="51"/>
      <c r="FI216" s="51"/>
      <c r="FJ216" s="51"/>
      <c r="FK216" s="51"/>
      <c r="FL216" s="51"/>
      <c r="FM216" s="51"/>
      <c r="FN216" s="51"/>
      <c r="FO216" s="51"/>
      <c r="FP216" s="51"/>
      <c r="FQ216" s="51"/>
      <c r="FR216" s="51"/>
      <c r="FS216" s="51"/>
      <c r="FT216" s="51"/>
      <c r="FU216" s="51"/>
      <c r="FV216" s="51"/>
      <c r="FW216" s="51"/>
      <c r="FX216" s="51"/>
      <c r="FY216" s="51"/>
      <c r="FZ216" s="51"/>
      <c r="GA216" s="51"/>
      <c r="GB216" s="51"/>
      <c r="GC216" s="51"/>
      <c r="GD216" s="51"/>
      <c r="GE216" s="51"/>
      <c r="GF216" s="51"/>
      <c r="GG216" s="51"/>
      <c r="GH216" s="51"/>
      <c r="GI216" s="51"/>
      <c r="GJ216" s="51"/>
      <c r="GK216" s="51"/>
      <c r="GL216" s="51"/>
      <c r="GM216" s="51"/>
      <c r="GN216" s="51"/>
      <c r="GO216" s="51"/>
      <c r="GP216" s="51"/>
      <c r="GQ216" s="51"/>
      <c r="GR216" s="51"/>
      <c r="GS216" s="51"/>
      <c r="GT216" s="51"/>
      <c r="GU216" s="51"/>
      <c r="GV216" s="51"/>
      <c r="GW216" s="51"/>
      <c r="GX216" s="51"/>
      <c r="GY216" s="51"/>
      <c r="GZ216" s="51"/>
      <c r="HA216" s="51"/>
      <c r="HB216" s="51"/>
      <c r="HC216" s="51"/>
      <c r="HD216" s="51"/>
      <c r="HE216" s="51"/>
      <c r="HF216" s="51"/>
      <c r="HG216" s="51"/>
      <c r="HH216" s="51"/>
      <c r="HI216" s="51"/>
      <c r="HJ216" s="51"/>
      <c r="HK216" s="51"/>
      <c r="HL216" s="51"/>
      <c r="HM216" s="51"/>
      <c r="HN216" s="51"/>
      <c r="HO216" s="51"/>
      <c r="HP216" s="51"/>
      <c r="HQ216" s="51"/>
      <c r="HR216" s="51"/>
      <c r="HS216" s="51"/>
      <c r="HT216" s="51"/>
      <c r="HU216" s="51"/>
      <c r="HV216" s="51"/>
      <c r="HW216" s="51"/>
      <c r="HX216" s="51"/>
      <c r="HY216" s="51"/>
      <c r="HZ216" s="51"/>
      <c r="IA216" s="51"/>
      <c r="IB216" s="51"/>
      <c r="IC216" s="51"/>
      <c r="ID216" s="51"/>
      <c r="IE216" s="51"/>
      <c r="IF216" s="51"/>
      <c r="IG216" s="51"/>
      <c r="IH216" s="51"/>
      <c r="II216" s="51"/>
      <c r="IJ216" s="51"/>
      <c r="IK216" s="51"/>
      <c r="IL216" s="51"/>
      <c r="IM216" s="51"/>
      <c r="IN216" s="51"/>
      <c r="IO216" s="51"/>
      <c r="IP216" s="51"/>
      <c r="IQ216" s="51"/>
      <c r="IR216" s="51"/>
      <c r="IS216" s="51"/>
      <c r="IT216" s="51"/>
      <c r="IU216" s="51"/>
      <c r="IV216" s="51"/>
    </row>
    <row r="217" hidden="1">
      <c r="B217" s="826" t="s">
        <v>11</v>
      </c>
      <c r="C217" s="827">
        <v>10</v>
      </c>
      <c r="D217" s="827">
        <v>10</v>
      </c>
      <c r="E217" s="827">
        <v>10</v>
      </c>
      <c r="F217" s="827">
        <v>10</v>
      </c>
      <c r="G217" s="827">
        <v>8</v>
      </c>
      <c r="H217" s="827">
        <v>8</v>
      </c>
      <c r="I217" s="827">
        <v>7</v>
      </c>
      <c r="J217" s="827">
        <v>7</v>
      </c>
      <c r="K217" s="827">
        <v>6</v>
      </c>
      <c r="L217" s="827">
        <v>7</v>
      </c>
      <c r="M217" s="827">
        <v>6</v>
      </c>
      <c r="N217" s="827">
        <v>8</v>
      </c>
      <c r="O217" s="827">
        <v>8</v>
      </c>
      <c r="P217" s="827">
        <v>7</v>
      </c>
      <c r="Q217" s="827">
        <v>7</v>
      </c>
      <c r="R217" s="827">
        <v>6</v>
      </c>
      <c r="S217" s="827">
        <v>5</v>
      </c>
      <c r="T217" s="827">
        <v>5</v>
      </c>
      <c r="U217" s="827">
        <v>5</v>
      </c>
      <c r="V217" s="827">
        <v>4</v>
      </c>
      <c r="W217" s="827">
        <v>4</v>
      </c>
      <c r="X217" s="827">
        <v>3</v>
      </c>
      <c r="Y217" s="827">
        <v>3</v>
      </c>
      <c r="Z217" s="827">
        <v>3</v>
      </c>
      <c r="AA217" s="827">
        <v>0</v>
      </c>
      <c r="AB217" s="827">
        <v>3</v>
      </c>
      <c r="AC217" s="828">
        <v>3</v>
      </c>
      <c r="AD217" s="828">
        <v>3</v>
      </c>
      <c r="AE217" s="828">
        <v>3</v>
      </c>
      <c r="AF217" s="828">
        <v>3</v>
      </c>
      <c r="AG217" s="828">
        <v>1</v>
      </c>
      <c r="AH217" s="828">
        <v>1</v>
      </c>
      <c r="AI217" s="828">
        <v>1</v>
      </c>
      <c r="AJ217" s="828">
        <v>1</v>
      </c>
      <c r="AK217" s="828">
        <v>1</v>
      </c>
      <c r="AL217" s="828">
        <v>1</v>
      </c>
      <c r="AM217" s="828">
        <v>1</v>
      </c>
      <c r="AN217" s="828">
        <v>1</v>
      </c>
      <c r="AO217" s="828">
        <v>1</v>
      </c>
      <c r="AP217" s="828">
        <v>1</v>
      </c>
      <c r="AQ217" s="51"/>
      <c r="AR217" s="51"/>
      <c r="AS217" s="51"/>
      <c r="AT217" s="51"/>
      <c r="AU217" s="51"/>
      <c r="AV217" s="51"/>
      <c r="AW217" s="51"/>
      <c r="AX217" s="51"/>
      <c r="AY217" s="51"/>
      <c r="AZ217" s="51"/>
      <c r="BA217" s="51"/>
      <c r="BB217" s="51"/>
      <c r="BC217" s="51"/>
      <c r="BD217" s="51"/>
      <c r="BE217" s="51"/>
      <c r="BF217" s="51"/>
      <c r="BG217" s="51"/>
      <c r="BH217" s="51"/>
      <c r="BI217" s="51"/>
      <c r="BJ217" s="51"/>
      <c r="BK217" s="51"/>
      <c r="BL217" s="51"/>
      <c r="BM217" s="51"/>
      <c r="BN217" s="51"/>
      <c r="BO217" s="51"/>
      <c r="BP217" s="51"/>
      <c r="BQ217" s="51"/>
      <c r="BR217" s="51"/>
      <c r="BS217" s="51"/>
      <c r="BT217" s="51"/>
      <c r="BU217" s="51"/>
      <c r="BV217" s="51"/>
      <c r="BW217" s="51"/>
      <c r="BX217" s="51"/>
      <c r="BY217" s="51"/>
      <c r="BZ217" s="51"/>
      <c r="CA217" s="51"/>
      <c r="CB217" s="51"/>
      <c r="CC217" s="51"/>
      <c r="CD217" s="51"/>
      <c r="CE217" s="51"/>
      <c r="CF217" s="51"/>
      <c r="CG217" s="51"/>
      <c r="CH217" s="51"/>
      <c r="CI217" s="51"/>
      <c r="CJ217" s="51"/>
      <c r="CK217" s="51"/>
      <c r="CL217" s="51"/>
      <c r="CM217" s="51"/>
      <c r="CN217" s="51"/>
      <c r="CO217" s="51"/>
      <c r="CP217" s="51"/>
      <c r="CQ217" s="51"/>
      <c r="CR217" s="51"/>
      <c r="CS217" s="51"/>
      <c r="CT217" s="51"/>
      <c r="CU217" s="51"/>
      <c r="CV217" s="51"/>
      <c r="CW217" s="51"/>
      <c r="CX217" s="51"/>
      <c r="CY217" s="51"/>
      <c r="CZ217" s="51"/>
      <c r="DA217" s="51"/>
      <c r="DB217" s="51"/>
      <c r="DC217" s="51"/>
      <c r="DD217" s="51"/>
      <c r="DE217" s="51"/>
      <c r="DF217" s="51"/>
      <c r="DG217" s="51"/>
      <c r="DH217" s="51"/>
      <c r="DI217" s="51"/>
      <c r="DJ217" s="51"/>
      <c r="DK217" s="51"/>
      <c r="DL217" s="51"/>
      <c r="DM217" s="51"/>
      <c r="DN217" s="51"/>
      <c r="DO217" s="51"/>
      <c r="DP217" s="51"/>
      <c r="DQ217" s="51"/>
      <c r="DR217" s="51"/>
      <c r="DS217" s="51"/>
      <c r="DT217" s="51"/>
      <c r="DU217" s="51"/>
      <c r="DV217" s="51"/>
      <c r="DW217" s="51"/>
      <c r="DX217" s="51"/>
      <c r="DY217" s="51"/>
      <c r="DZ217" s="51"/>
      <c r="EA217" s="51"/>
      <c r="EB217" s="51"/>
      <c r="EC217" s="51"/>
      <c r="ED217" s="51"/>
      <c r="EE217" s="51"/>
      <c r="EF217" s="51"/>
      <c r="EG217" s="51"/>
      <c r="EH217" s="51"/>
      <c r="EI217" s="51"/>
      <c r="EJ217" s="51"/>
      <c r="EK217" s="51"/>
      <c r="EL217" s="51"/>
      <c r="EM217" s="51"/>
      <c r="EN217" s="51"/>
      <c r="EO217" s="51"/>
      <c r="EP217" s="51"/>
      <c r="EQ217" s="51"/>
      <c r="ER217" s="51"/>
      <c r="ES217" s="51"/>
      <c r="ET217" s="51"/>
      <c r="EU217" s="51"/>
      <c r="EV217" s="51"/>
      <c r="EW217" s="51"/>
      <c r="EX217" s="51"/>
      <c r="EY217" s="51"/>
      <c r="EZ217" s="51"/>
      <c r="FA217" s="51"/>
      <c r="FB217" s="51"/>
      <c r="FC217" s="51"/>
      <c r="FD217" s="51"/>
      <c r="FE217" s="51"/>
      <c r="FF217" s="51"/>
      <c r="FG217" s="51"/>
      <c r="FH217" s="51"/>
      <c r="FI217" s="51"/>
      <c r="FJ217" s="51"/>
      <c r="FK217" s="51"/>
      <c r="FL217" s="51"/>
      <c r="FM217" s="51"/>
      <c r="FN217" s="51"/>
      <c r="FO217" s="51"/>
      <c r="FP217" s="51"/>
      <c r="FQ217" s="51"/>
      <c r="FR217" s="51"/>
      <c r="FS217" s="51"/>
      <c r="FT217" s="51"/>
      <c r="FU217" s="51"/>
      <c r="FV217" s="51"/>
      <c r="FW217" s="51"/>
      <c r="FX217" s="51"/>
      <c r="FY217" s="51"/>
      <c r="FZ217" s="51"/>
      <c r="GA217" s="51"/>
      <c r="GB217" s="51"/>
      <c r="GC217" s="51"/>
      <c r="GD217" s="51"/>
      <c r="GE217" s="51"/>
      <c r="GF217" s="51"/>
      <c r="GG217" s="51"/>
      <c r="GH217" s="51"/>
      <c r="GI217" s="51"/>
      <c r="GJ217" s="51"/>
      <c r="GK217" s="51"/>
      <c r="GL217" s="51"/>
      <c r="GM217" s="51"/>
      <c r="GN217" s="51"/>
      <c r="GO217" s="51"/>
      <c r="GP217" s="51"/>
      <c r="GQ217" s="51"/>
      <c r="GR217" s="51"/>
      <c r="GS217" s="51"/>
      <c r="GT217" s="51"/>
      <c r="GU217" s="51"/>
      <c r="GV217" s="51"/>
      <c r="GW217" s="51"/>
      <c r="GX217" s="51"/>
      <c r="GY217" s="51"/>
      <c r="GZ217" s="51"/>
      <c r="HA217" s="51"/>
      <c r="HB217" s="51"/>
      <c r="HC217" s="51"/>
      <c r="HD217" s="51"/>
      <c r="HE217" s="51"/>
      <c r="HF217" s="51"/>
      <c r="HG217" s="51"/>
      <c r="HH217" s="51"/>
      <c r="HI217" s="51"/>
      <c r="HJ217" s="51"/>
      <c r="HK217" s="51"/>
      <c r="HL217" s="51"/>
      <c r="HM217" s="51"/>
      <c r="HN217" s="51"/>
      <c r="HO217" s="51"/>
      <c r="HP217" s="51"/>
      <c r="HQ217" s="51"/>
      <c r="HR217" s="51"/>
      <c r="HS217" s="51"/>
      <c r="HT217" s="51"/>
      <c r="HU217" s="51"/>
      <c r="HV217" s="51"/>
      <c r="HW217" s="51"/>
      <c r="HX217" s="51"/>
      <c r="HY217" s="51"/>
      <c r="HZ217" s="51"/>
      <c r="IA217" s="51"/>
      <c r="IB217" s="51"/>
      <c r="IC217" s="51"/>
      <c r="ID217" s="51"/>
      <c r="IE217" s="51"/>
      <c r="IF217" s="51"/>
      <c r="IG217" s="51"/>
      <c r="IH217" s="51"/>
      <c r="II217" s="51"/>
      <c r="IJ217" s="51"/>
      <c r="IK217" s="51"/>
      <c r="IL217" s="51"/>
      <c r="IM217" s="51"/>
      <c r="IN217" s="51"/>
      <c r="IO217" s="51"/>
      <c r="IP217" s="51"/>
      <c r="IQ217" s="51"/>
      <c r="IR217" s="51"/>
      <c r="IS217" s="51"/>
      <c r="IT217" s="51"/>
      <c r="IU217" s="51"/>
      <c r="IV217" s="51"/>
    </row>
    <row r="218" hidden="1">
      <c r="B218" s="829" t="s">
        <v>12</v>
      </c>
      <c r="C218" s="823">
        <v>0</v>
      </c>
      <c r="D218" s="823">
        <v>0</v>
      </c>
      <c r="E218" s="823">
        <v>0</v>
      </c>
      <c r="F218" s="823">
        <v>0</v>
      </c>
      <c r="G218" s="823">
        <v>0</v>
      </c>
      <c r="H218" s="823">
        <v>0</v>
      </c>
      <c r="I218" s="823">
        <v>0</v>
      </c>
      <c r="J218" s="823">
        <v>0</v>
      </c>
      <c r="K218" s="823">
        <v>0</v>
      </c>
      <c r="L218" s="823">
        <v>0</v>
      </c>
      <c r="M218" s="823">
        <v>0</v>
      </c>
      <c r="N218" s="823">
        <v>0</v>
      </c>
      <c r="O218" s="823">
        <v>0</v>
      </c>
      <c r="P218" s="823">
        <v>0</v>
      </c>
      <c r="Q218" s="823">
        <v>0</v>
      </c>
      <c r="R218" s="823">
        <v>0</v>
      </c>
      <c r="S218" s="823">
        <v>0</v>
      </c>
      <c r="T218" s="823">
        <v>0</v>
      </c>
      <c r="U218" s="823">
        <v>0</v>
      </c>
      <c r="V218" s="823">
        <v>0</v>
      </c>
      <c r="W218" s="823">
        <v>0</v>
      </c>
      <c r="X218" s="823">
        <v>0</v>
      </c>
      <c r="Y218" s="823">
        <v>0</v>
      </c>
      <c r="Z218" s="823">
        <v>0</v>
      </c>
      <c r="AA218" s="823">
        <v>0</v>
      </c>
      <c r="AB218" s="823">
        <v>0</v>
      </c>
      <c r="AC218" s="825">
        <v>0</v>
      </c>
      <c r="AD218" s="825">
        <v>0</v>
      </c>
      <c r="AE218" s="825">
        <v>0</v>
      </c>
      <c r="AF218" s="825">
        <v>0</v>
      </c>
      <c r="AG218" s="825">
        <v>0</v>
      </c>
      <c r="AH218" s="825">
        <v>0</v>
      </c>
      <c r="AI218" s="825">
        <v>0</v>
      </c>
      <c r="AJ218" s="825">
        <v>0</v>
      </c>
      <c r="AK218" s="825">
        <v>0</v>
      </c>
      <c r="AL218" s="825">
        <v>0</v>
      </c>
      <c r="AM218" s="825">
        <v>0</v>
      </c>
      <c r="AN218" s="825">
        <v>0</v>
      </c>
      <c r="AO218" s="825">
        <v>0</v>
      </c>
      <c r="AP218" s="825">
        <v>0</v>
      </c>
      <c r="AQ218" s="51"/>
      <c r="AR218" s="51"/>
      <c r="AS218" s="51"/>
      <c r="AT218" s="51"/>
      <c r="AU218" s="51"/>
      <c r="AV218" s="51"/>
      <c r="AW218" s="51"/>
      <c r="AX218" s="51"/>
      <c r="AY218" s="51"/>
      <c r="AZ218" s="51"/>
      <c r="BA218" s="51"/>
      <c r="BB218" s="51"/>
      <c r="BC218" s="51"/>
      <c r="BD218" s="51"/>
      <c r="BE218" s="51"/>
      <c r="BF218" s="51"/>
      <c r="BG218" s="51"/>
      <c r="BH218" s="51"/>
      <c r="BI218" s="51"/>
      <c r="BJ218" s="51"/>
      <c r="BK218" s="51"/>
      <c r="BL218" s="51"/>
      <c r="BM218" s="51"/>
      <c r="BN218" s="51"/>
      <c r="BO218" s="51"/>
      <c r="BP218" s="51"/>
      <c r="BQ218" s="51"/>
      <c r="BR218" s="51"/>
      <c r="BS218" s="51"/>
      <c r="BT218" s="51"/>
      <c r="BU218" s="51"/>
      <c r="BV218" s="51"/>
      <c r="BW218" s="51"/>
      <c r="BX218" s="51"/>
      <c r="BY218" s="51"/>
      <c r="BZ218" s="51"/>
      <c r="CA218" s="51"/>
      <c r="CB218" s="51"/>
      <c r="CC218" s="51"/>
      <c r="CD218" s="51"/>
      <c r="CE218" s="51"/>
      <c r="CF218" s="51"/>
      <c r="CG218" s="51"/>
      <c r="CH218" s="51"/>
      <c r="CI218" s="51"/>
      <c r="CJ218" s="51"/>
      <c r="CK218" s="51"/>
      <c r="CL218" s="51"/>
      <c r="CM218" s="51"/>
      <c r="CN218" s="51"/>
      <c r="CO218" s="51"/>
      <c r="CP218" s="51"/>
      <c r="CQ218" s="51"/>
      <c r="CR218" s="51"/>
      <c r="CS218" s="51"/>
      <c r="CT218" s="51"/>
      <c r="CU218" s="51"/>
      <c r="CV218" s="51"/>
      <c r="CW218" s="51"/>
      <c r="CX218" s="51"/>
      <c r="CY218" s="51"/>
      <c r="CZ218" s="51"/>
      <c r="DA218" s="51"/>
      <c r="DB218" s="51"/>
      <c r="DC218" s="51"/>
      <c r="DD218" s="51"/>
      <c r="DE218" s="51"/>
      <c r="DF218" s="51"/>
      <c r="DG218" s="51"/>
      <c r="DH218" s="51"/>
      <c r="DI218" s="51"/>
      <c r="DJ218" s="51"/>
      <c r="DK218" s="51"/>
      <c r="DL218" s="51"/>
      <c r="DM218" s="51"/>
      <c r="DN218" s="51"/>
      <c r="DO218" s="51"/>
      <c r="DP218" s="51"/>
      <c r="DQ218" s="51"/>
      <c r="DR218" s="51"/>
      <c r="DS218" s="51"/>
      <c r="DT218" s="51"/>
      <c r="DU218" s="51"/>
      <c r="DV218" s="51"/>
      <c r="DW218" s="51"/>
      <c r="DX218" s="51"/>
      <c r="DY218" s="51"/>
      <c r="DZ218" s="51"/>
      <c r="EA218" s="51"/>
      <c r="EB218" s="51"/>
      <c r="EC218" s="51"/>
      <c r="ED218" s="51"/>
      <c r="EE218" s="51"/>
      <c r="EF218" s="51"/>
      <c r="EG218" s="51"/>
      <c r="EH218" s="51"/>
      <c r="EI218" s="51"/>
      <c r="EJ218" s="51"/>
      <c r="EK218" s="51"/>
      <c r="EL218" s="51"/>
      <c r="EM218" s="51"/>
      <c r="EN218" s="51"/>
      <c r="EO218" s="51"/>
      <c r="EP218" s="51"/>
      <c r="EQ218" s="51"/>
      <c r="ER218" s="51"/>
      <c r="ES218" s="51"/>
      <c r="ET218" s="51"/>
      <c r="EU218" s="51"/>
      <c r="EV218" s="51"/>
      <c r="EW218" s="51"/>
      <c r="EX218" s="51"/>
      <c r="EY218" s="51"/>
      <c r="EZ218" s="51"/>
      <c r="FA218" s="51"/>
      <c r="FB218" s="51"/>
      <c r="FC218" s="51"/>
      <c r="FD218" s="51"/>
      <c r="FE218" s="51"/>
      <c r="FF218" s="51"/>
      <c r="FG218" s="51"/>
      <c r="FH218" s="51"/>
      <c r="FI218" s="51"/>
      <c r="FJ218" s="51"/>
      <c r="FK218" s="51"/>
      <c r="FL218" s="51"/>
      <c r="FM218" s="51"/>
      <c r="FN218" s="51"/>
      <c r="FO218" s="51"/>
      <c r="FP218" s="51"/>
      <c r="FQ218" s="51"/>
      <c r="FR218" s="51"/>
      <c r="FS218" s="51"/>
      <c r="FT218" s="51"/>
      <c r="FU218" s="51"/>
      <c r="FV218" s="51"/>
      <c r="FW218" s="51"/>
      <c r="FX218" s="51"/>
      <c r="FY218" s="51"/>
      <c r="FZ218" s="51"/>
      <c r="GA218" s="51"/>
      <c r="GB218" s="51"/>
      <c r="GC218" s="51"/>
      <c r="GD218" s="51"/>
      <c r="GE218" s="51"/>
      <c r="GF218" s="51"/>
      <c r="GG218" s="51"/>
      <c r="GH218" s="51"/>
      <c r="GI218" s="51"/>
      <c r="GJ218" s="51"/>
      <c r="GK218" s="51"/>
      <c r="GL218" s="51"/>
      <c r="GM218" s="51"/>
      <c r="GN218" s="51"/>
      <c r="GO218" s="51"/>
      <c r="GP218" s="51"/>
      <c r="GQ218" s="51"/>
      <c r="GR218" s="51"/>
      <c r="GS218" s="51"/>
      <c r="GT218" s="51"/>
      <c r="GU218" s="51"/>
      <c r="GV218" s="51"/>
      <c r="GW218" s="51"/>
      <c r="GX218" s="51"/>
      <c r="GY218" s="51"/>
      <c r="GZ218" s="51"/>
      <c r="HA218" s="51"/>
      <c r="HB218" s="51"/>
      <c r="HC218" s="51"/>
      <c r="HD218" s="51"/>
      <c r="HE218" s="51"/>
      <c r="HF218" s="51"/>
      <c r="HG218" s="51"/>
      <c r="HH218" s="51"/>
      <c r="HI218" s="51"/>
      <c r="HJ218" s="51"/>
      <c r="HK218" s="51"/>
      <c r="HL218" s="51"/>
      <c r="HM218" s="51"/>
      <c r="HN218" s="51"/>
      <c r="HO218" s="51"/>
      <c r="HP218" s="51"/>
      <c r="HQ218" s="51"/>
      <c r="HR218" s="51"/>
      <c r="HS218" s="51"/>
      <c r="HT218" s="51"/>
      <c r="HU218" s="51"/>
      <c r="HV218" s="51"/>
      <c r="HW218" s="51"/>
      <c r="HX218" s="51"/>
      <c r="HY218" s="51"/>
      <c r="HZ218" s="51"/>
      <c r="IA218" s="51"/>
      <c r="IB218" s="51"/>
      <c r="IC218" s="51"/>
      <c r="ID218" s="51"/>
      <c r="IE218" s="51"/>
      <c r="IF218" s="51"/>
      <c r="IG218" s="51"/>
      <c r="IH218" s="51"/>
      <c r="II218" s="51"/>
      <c r="IJ218" s="51"/>
      <c r="IK218" s="51"/>
      <c r="IL218" s="51"/>
      <c r="IM218" s="51"/>
      <c r="IN218" s="51"/>
      <c r="IO218" s="51"/>
      <c r="IP218" s="51"/>
      <c r="IQ218" s="51"/>
      <c r="IR218" s="51"/>
      <c r="IS218" s="51"/>
      <c r="IT218" s="51"/>
      <c r="IU218" s="51"/>
      <c r="IV218" s="51"/>
    </row>
    <row r="219" hidden="1">
      <c r="B219" s="826" t="s">
        <v>13</v>
      </c>
      <c r="C219" s="827">
        <v>0</v>
      </c>
      <c r="D219" s="827">
        <v>0</v>
      </c>
      <c r="E219" s="827">
        <v>49</v>
      </c>
      <c r="F219" s="827">
        <v>49</v>
      </c>
      <c r="G219" s="827">
        <v>52</v>
      </c>
      <c r="H219" s="827">
        <v>54</v>
      </c>
      <c r="I219" s="827">
        <v>54</v>
      </c>
      <c r="J219" s="827">
        <v>54</v>
      </c>
      <c r="K219" s="827">
        <v>49</v>
      </c>
      <c r="L219" s="827">
        <v>46</v>
      </c>
      <c r="M219" s="827">
        <v>47</v>
      </c>
      <c r="N219" s="827">
        <v>28</v>
      </c>
      <c r="O219" s="827">
        <v>0</v>
      </c>
      <c r="P219" s="827">
        <v>0</v>
      </c>
      <c r="Q219" s="827">
        <v>0</v>
      </c>
      <c r="R219" s="827">
        <v>0</v>
      </c>
      <c r="S219" s="827">
        <v>3</v>
      </c>
      <c r="T219" s="827">
        <v>3</v>
      </c>
      <c r="U219" s="827">
        <v>4</v>
      </c>
      <c r="V219" s="827">
        <v>4</v>
      </c>
      <c r="W219" s="827">
        <v>5</v>
      </c>
      <c r="X219" s="827">
        <v>6</v>
      </c>
      <c r="Y219" s="827">
        <v>6</v>
      </c>
      <c r="Z219" s="827">
        <v>6</v>
      </c>
      <c r="AA219" s="827">
        <v>8</v>
      </c>
      <c r="AB219" s="827">
        <v>7</v>
      </c>
      <c r="AC219" s="828">
        <v>7</v>
      </c>
      <c r="AD219" s="828">
        <v>7</v>
      </c>
      <c r="AE219" s="828">
        <v>6</v>
      </c>
      <c r="AF219" s="828">
        <v>5</v>
      </c>
      <c r="AG219" s="828">
        <v>6</v>
      </c>
      <c r="AH219" s="828">
        <v>6</v>
      </c>
      <c r="AI219" s="828">
        <v>3</v>
      </c>
      <c r="AJ219" s="828">
        <v>3</v>
      </c>
      <c r="AK219" s="828">
        <v>4</v>
      </c>
      <c r="AL219" s="828">
        <v>7</v>
      </c>
      <c r="AM219" s="828">
        <v>6</v>
      </c>
      <c r="AN219" s="828">
        <v>5</v>
      </c>
      <c r="AO219" s="828">
        <v>4</v>
      </c>
      <c r="AP219" s="828">
        <v>6</v>
      </c>
      <c r="AQ219" s="51"/>
      <c r="AR219" s="51"/>
      <c r="AS219" s="51"/>
      <c r="AT219" s="51"/>
      <c r="AU219" s="51"/>
      <c r="AV219" s="51"/>
      <c r="AW219" s="51"/>
      <c r="AX219" s="51"/>
      <c r="AY219" s="51"/>
      <c r="AZ219" s="51"/>
      <c r="BA219" s="51"/>
      <c r="BB219" s="51"/>
      <c r="BC219" s="51"/>
      <c r="BD219" s="51"/>
      <c r="BE219" s="51"/>
      <c r="BF219" s="51"/>
      <c r="BG219" s="51"/>
      <c r="BH219" s="51"/>
      <c r="BI219" s="51"/>
      <c r="BJ219" s="51"/>
      <c r="BK219" s="51"/>
      <c r="BL219" s="51"/>
      <c r="BM219" s="51"/>
      <c r="BN219" s="51"/>
      <c r="BO219" s="51"/>
      <c r="BP219" s="51"/>
      <c r="BQ219" s="51"/>
      <c r="BR219" s="51"/>
      <c r="BS219" s="51"/>
      <c r="BT219" s="51"/>
      <c r="BU219" s="51"/>
      <c r="BV219" s="51"/>
      <c r="BW219" s="51"/>
      <c r="BX219" s="51"/>
      <c r="BY219" s="51"/>
      <c r="BZ219" s="51"/>
      <c r="CA219" s="51"/>
      <c r="CB219" s="51"/>
      <c r="CC219" s="51"/>
      <c r="CD219" s="51"/>
      <c r="CE219" s="51"/>
      <c r="CF219" s="51"/>
      <c r="CG219" s="51"/>
      <c r="CH219" s="51"/>
      <c r="CI219" s="51"/>
      <c r="CJ219" s="51"/>
      <c r="CK219" s="51"/>
      <c r="CL219" s="51"/>
      <c r="CM219" s="51"/>
      <c r="CN219" s="51"/>
      <c r="CO219" s="51"/>
      <c r="CP219" s="51"/>
      <c r="CQ219" s="51"/>
      <c r="CR219" s="51"/>
      <c r="CS219" s="51"/>
      <c r="CT219" s="51"/>
      <c r="CU219" s="51"/>
      <c r="CV219" s="51"/>
      <c r="CW219" s="51"/>
      <c r="CX219" s="51"/>
      <c r="CY219" s="51"/>
      <c r="CZ219" s="51"/>
      <c r="DA219" s="51"/>
      <c r="DB219" s="51"/>
      <c r="DC219" s="51"/>
      <c r="DD219" s="51"/>
      <c r="DE219" s="51"/>
      <c r="DF219" s="51"/>
      <c r="DG219" s="51"/>
      <c r="DH219" s="51"/>
      <c r="DI219" s="51"/>
      <c r="DJ219" s="51"/>
      <c r="DK219" s="51"/>
      <c r="DL219" s="51"/>
      <c r="DM219" s="51"/>
      <c r="DN219" s="51"/>
      <c r="DO219" s="51"/>
      <c r="DP219" s="51"/>
      <c r="DQ219" s="51"/>
      <c r="DR219" s="51"/>
      <c r="DS219" s="51"/>
      <c r="DT219" s="51"/>
      <c r="DU219" s="51"/>
      <c r="DV219" s="51"/>
      <c r="DW219" s="51"/>
      <c r="DX219" s="51"/>
      <c r="DY219" s="51"/>
      <c r="DZ219" s="51"/>
      <c r="EA219" s="51"/>
      <c r="EB219" s="51"/>
      <c r="EC219" s="51"/>
      <c r="ED219" s="51"/>
      <c r="EE219" s="51"/>
      <c r="EF219" s="51"/>
      <c r="EG219" s="51"/>
      <c r="EH219" s="51"/>
      <c r="EI219" s="51"/>
      <c r="EJ219" s="51"/>
      <c r="EK219" s="51"/>
      <c r="EL219" s="51"/>
      <c r="EM219" s="51"/>
      <c r="EN219" s="51"/>
      <c r="EO219" s="51"/>
      <c r="EP219" s="51"/>
      <c r="EQ219" s="51"/>
      <c r="ER219" s="51"/>
      <c r="ES219" s="51"/>
      <c r="ET219" s="51"/>
      <c r="EU219" s="51"/>
      <c r="EV219" s="51"/>
      <c r="EW219" s="51"/>
      <c r="EX219" s="51"/>
      <c r="EY219" s="51"/>
      <c r="EZ219" s="51"/>
      <c r="FA219" s="51"/>
      <c r="FB219" s="51"/>
      <c r="FC219" s="51"/>
      <c r="FD219" s="51"/>
      <c r="FE219" s="51"/>
      <c r="FF219" s="51"/>
      <c r="FG219" s="51"/>
      <c r="FH219" s="51"/>
      <c r="FI219" s="51"/>
      <c r="FJ219" s="51"/>
      <c r="FK219" s="51"/>
      <c r="FL219" s="51"/>
      <c r="FM219" s="51"/>
      <c r="FN219" s="51"/>
      <c r="FO219" s="51"/>
      <c r="FP219" s="51"/>
      <c r="FQ219" s="51"/>
      <c r="FR219" s="51"/>
      <c r="FS219" s="51"/>
      <c r="FT219" s="51"/>
      <c r="FU219" s="51"/>
      <c r="FV219" s="51"/>
      <c r="FW219" s="51"/>
      <c r="FX219" s="51"/>
      <c r="FY219" s="51"/>
      <c r="FZ219" s="51"/>
      <c r="GA219" s="51"/>
      <c r="GB219" s="51"/>
      <c r="GC219" s="51"/>
      <c r="GD219" s="51"/>
      <c r="GE219" s="51"/>
      <c r="GF219" s="51"/>
      <c r="GG219" s="51"/>
      <c r="GH219" s="51"/>
      <c r="GI219" s="51"/>
      <c r="GJ219" s="51"/>
      <c r="GK219" s="51"/>
      <c r="GL219" s="51"/>
      <c r="GM219" s="51"/>
      <c r="GN219" s="51"/>
      <c r="GO219" s="51"/>
      <c r="GP219" s="51"/>
      <c r="GQ219" s="51"/>
      <c r="GR219" s="51"/>
      <c r="GS219" s="51"/>
      <c r="GT219" s="51"/>
      <c r="GU219" s="51"/>
      <c r="GV219" s="51"/>
      <c r="GW219" s="51"/>
      <c r="GX219" s="51"/>
      <c r="GY219" s="51"/>
      <c r="GZ219" s="51"/>
      <c r="HA219" s="51"/>
      <c r="HB219" s="51"/>
      <c r="HC219" s="51"/>
      <c r="HD219" s="51"/>
      <c r="HE219" s="51"/>
      <c r="HF219" s="51"/>
      <c r="HG219" s="51"/>
      <c r="HH219" s="51"/>
      <c r="HI219" s="51"/>
      <c r="HJ219" s="51"/>
      <c r="HK219" s="51"/>
      <c r="HL219" s="51"/>
      <c r="HM219" s="51"/>
      <c r="HN219" s="51"/>
      <c r="HO219" s="51"/>
      <c r="HP219" s="51"/>
      <c r="HQ219" s="51"/>
      <c r="HR219" s="51"/>
      <c r="HS219" s="51"/>
      <c r="HT219" s="51"/>
      <c r="HU219" s="51"/>
      <c r="HV219" s="51"/>
      <c r="HW219" s="51"/>
      <c r="HX219" s="51"/>
      <c r="HY219" s="51"/>
      <c r="HZ219" s="51"/>
      <c r="IA219" s="51"/>
      <c r="IB219" s="51"/>
      <c r="IC219" s="51"/>
      <c r="ID219" s="51"/>
      <c r="IE219" s="51"/>
      <c r="IF219" s="51"/>
      <c r="IG219" s="51"/>
      <c r="IH219" s="51"/>
      <c r="II219" s="51"/>
      <c r="IJ219" s="51"/>
      <c r="IK219" s="51"/>
      <c r="IL219" s="51"/>
      <c r="IM219" s="51"/>
      <c r="IN219" s="51"/>
      <c r="IO219" s="51"/>
      <c r="IP219" s="51"/>
      <c r="IQ219" s="51"/>
      <c r="IR219" s="51"/>
      <c r="IS219" s="51"/>
      <c r="IT219" s="51"/>
      <c r="IU219" s="51"/>
      <c r="IV219" s="51"/>
    </row>
    <row r="220" hidden="1">
      <c r="B220" s="829" t="s">
        <v>109</v>
      </c>
      <c r="C220" s="823">
        <v>0</v>
      </c>
      <c r="D220" s="823">
        <v>0</v>
      </c>
      <c r="E220" s="823">
        <v>0</v>
      </c>
      <c r="F220" s="823">
        <v>0</v>
      </c>
      <c r="G220" s="823">
        <v>0</v>
      </c>
      <c r="H220" s="823">
        <v>0</v>
      </c>
      <c r="I220" s="823">
        <v>0</v>
      </c>
      <c r="J220" s="823">
        <v>0</v>
      </c>
      <c r="K220" s="823">
        <v>0</v>
      </c>
      <c r="L220" s="823">
        <v>0</v>
      </c>
      <c r="M220" s="823">
        <v>0</v>
      </c>
      <c r="N220" s="823">
        <v>0</v>
      </c>
      <c r="O220" s="823">
        <v>0</v>
      </c>
      <c r="P220" s="823">
        <v>0</v>
      </c>
      <c r="Q220" s="823">
        <v>0</v>
      </c>
      <c r="R220" s="823">
        <v>0</v>
      </c>
      <c r="S220" s="823">
        <v>0</v>
      </c>
      <c r="T220" s="823">
        <v>0</v>
      </c>
      <c r="U220" s="823">
        <v>0</v>
      </c>
      <c r="V220" s="823">
        <v>0</v>
      </c>
      <c r="W220" s="823">
        <v>0</v>
      </c>
      <c r="X220" s="823">
        <v>0</v>
      </c>
      <c r="Y220" s="823">
        <v>0</v>
      </c>
      <c r="Z220" s="823">
        <v>0</v>
      </c>
      <c r="AA220" s="823">
        <v>0</v>
      </c>
      <c r="AB220" s="823">
        <v>0</v>
      </c>
      <c r="AC220" s="825">
        <v>0</v>
      </c>
      <c r="AD220" s="825">
        <v>0</v>
      </c>
      <c r="AE220" s="825">
        <v>0</v>
      </c>
      <c r="AF220" s="825">
        <v>0</v>
      </c>
      <c r="AG220" s="825">
        <v>0</v>
      </c>
      <c r="AH220" s="825">
        <v>0</v>
      </c>
      <c r="AI220" s="825">
        <v>0</v>
      </c>
      <c r="AJ220" s="825">
        <v>0</v>
      </c>
      <c r="AK220" s="825">
        <v>0</v>
      </c>
      <c r="AL220" s="825">
        <v>0</v>
      </c>
      <c r="AM220" s="825">
        <v>0</v>
      </c>
      <c r="AN220" s="825">
        <v>0</v>
      </c>
      <c r="AO220" s="825">
        <v>0</v>
      </c>
      <c r="AP220" s="825">
        <v>0</v>
      </c>
      <c r="AQ220" s="51"/>
      <c r="AR220" s="51"/>
      <c r="AS220" s="51"/>
      <c r="AT220" s="51"/>
      <c r="AU220" s="51"/>
      <c r="AV220" s="51"/>
      <c r="AW220" s="51"/>
      <c r="AX220" s="51"/>
      <c r="AY220" s="51"/>
      <c r="AZ220" s="51"/>
      <c r="BA220" s="51"/>
      <c r="BB220" s="51"/>
      <c r="BC220" s="51"/>
      <c r="BD220" s="51"/>
      <c r="BE220" s="51"/>
      <c r="BF220" s="51"/>
      <c r="BG220" s="51"/>
      <c r="BH220" s="51"/>
      <c r="BI220" s="51"/>
      <c r="BJ220" s="51"/>
      <c r="BK220" s="51"/>
      <c r="BL220" s="51"/>
      <c r="BM220" s="51"/>
      <c r="BN220" s="51"/>
      <c r="BO220" s="51"/>
      <c r="BP220" s="51"/>
      <c r="BQ220" s="51"/>
      <c r="BR220" s="51"/>
      <c r="BS220" s="51"/>
      <c r="BT220" s="51"/>
      <c r="BU220" s="51"/>
      <c r="BV220" s="51"/>
      <c r="BW220" s="51"/>
      <c r="BX220" s="51"/>
      <c r="BY220" s="51"/>
      <c r="BZ220" s="51"/>
      <c r="CA220" s="51"/>
      <c r="CB220" s="51"/>
      <c r="CC220" s="51"/>
      <c r="CD220" s="51"/>
      <c r="CE220" s="51"/>
      <c r="CF220" s="51"/>
      <c r="CG220" s="51"/>
      <c r="CH220" s="51"/>
      <c r="CI220" s="51"/>
      <c r="CJ220" s="51"/>
      <c r="CK220" s="51"/>
      <c r="CL220" s="51"/>
      <c r="CM220" s="51"/>
      <c r="CN220" s="51"/>
      <c r="CO220" s="51"/>
      <c r="CP220" s="51"/>
      <c r="CQ220" s="51"/>
      <c r="CR220" s="51"/>
      <c r="CS220" s="51"/>
      <c r="CT220" s="51"/>
      <c r="CU220" s="51"/>
      <c r="CV220" s="51"/>
      <c r="CW220" s="51"/>
      <c r="CX220" s="51"/>
      <c r="CY220" s="51"/>
      <c r="CZ220" s="51"/>
      <c r="DA220" s="51"/>
      <c r="DB220" s="51"/>
      <c r="DC220" s="51"/>
      <c r="DD220" s="51"/>
      <c r="DE220" s="51"/>
      <c r="DF220" s="51"/>
      <c r="DG220" s="51"/>
      <c r="DH220" s="51"/>
      <c r="DI220" s="51"/>
      <c r="DJ220" s="51"/>
      <c r="DK220" s="51"/>
      <c r="DL220" s="51"/>
      <c r="DM220" s="51"/>
      <c r="DN220" s="51"/>
      <c r="DO220" s="51"/>
      <c r="DP220" s="51"/>
      <c r="DQ220" s="51"/>
      <c r="DR220" s="51"/>
      <c r="DS220" s="51"/>
      <c r="DT220" s="51"/>
      <c r="DU220" s="51"/>
      <c r="DV220" s="51"/>
      <c r="DW220" s="51"/>
      <c r="DX220" s="51"/>
      <c r="DY220" s="51"/>
      <c r="DZ220" s="51"/>
      <c r="EA220" s="51"/>
      <c r="EB220" s="51"/>
      <c r="EC220" s="51"/>
      <c r="ED220" s="51"/>
      <c r="EE220" s="51"/>
      <c r="EF220" s="51"/>
      <c r="EG220" s="51"/>
      <c r="EH220" s="51"/>
      <c r="EI220" s="51"/>
      <c r="EJ220" s="51"/>
      <c r="EK220" s="51"/>
      <c r="EL220" s="51"/>
      <c r="EM220" s="51"/>
      <c r="EN220" s="51"/>
      <c r="EO220" s="51"/>
      <c r="EP220" s="51"/>
      <c r="EQ220" s="51"/>
      <c r="ER220" s="51"/>
      <c r="ES220" s="51"/>
      <c r="ET220" s="51"/>
      <c r="EU220" s="51"/>
      <c r="EV220" s="51"/>
      <c r="EW220" s="51"/>
      <c r="EX220" s="51"/>
      <c r="EY220" s="51"/>
      <c r="EZ220" s="51"/>
      <c r="FA220" s="51"/>
      <c r="FB220" s="51"/>
      <c r="FC220" s="51"/>
      <c r="FD220" s="51"/>
      <c r="FE220" s="51"/>
      <c r="FF220" s="51"/>
      <c r="FG220" s="51"/>
      <c r="FH220" s="51"/>
      <c r="FI220" s="51"/>
      <c r="FJ220" s="51"/>
      <c r="FK220" s="51"/>
      <c r="FL220" s="51"/>
      <c r="FM220" s="51"/>
      <c r="FN220" s="51"/>
      <c r="FO220" s="51"/>
      <c r="FP220" s="51"/>
      <c r="FQ220" s="51"/>
      <c r="FR220" s="51"/>
      <c r="FS220" s="51"/>
      <c r="FT220" s="51"/>
      <c r="FU220" s="51"/>
      <c r="FV220" s="51"/>
      <c r="FW220" s="51"/>
      <c r="FX220" s="51"/>
      <c r="FY220" s="51"/>
      <c r="FZ220" s="51"/>
      <c r="GA220" s="51"/>
      <c r="GB220" s="51"/>
      <c r="GC220" s="51"/>
      <c r="GD220" s="51"/>
      <c r="GE220" s="51"/>
      <c r="GF220" s="51"/>
      <c r="GG220" s="51"/>
      <c r="GH220" s="51"/>
      <c r="GI220" s="51"/>
      <c r="GJ220" s="51"/>
      <c r="GK220" s="51"/>
      <c r="GL220" s="51"/>
      <c r="GM220" s="51"/>
      <c r="GN220" s="51"/>
      <c r="GO220" s="51"/>
      <c r="GP220" s="51"/>
      <c r="GQ220" s="51"/>
      <c r="GR220" s="51"/>
      <c r="GS220" s="51"/>
      <c r="GT220" s="51"/>
      <c r="GU220" s="51"/>
      <c r="GV220" s="51"/>
      <c r="GW220" s="51"/>
      <c r="GX220" s="51"/>
      <c r="GY220" s="51"/>
      <c r="GZ220" s="51"/>
      <c r="HA220" s="51"/>
      <c r="HB220" s="51"/>
      <c r="HC220" s="51"/>
      <c r="HD220" s="51"/>
      <c r="HE220" s="51"/>
      <c r="HF220" s="51"/>
      <c r="HG220" s="51"/>
      <c r="HH220" s="51"/>
      <c r="HI220" s="51"/>
      <c r="HJ220" s="51"/>
      <c r="HK220" s="51"/>
      <c r="HL220" s="51"/>
      <c r="HM220" s="51"/>
      <c r="HN220" s="51"/>
      <c r="HO220" s="51"/>
      <c r="HP220" s="51"/>
      <c r="HQ220" s="51"/>
      <c r="HR220" s="51"/>
      <c r="HS220" s="51"/>
      <c r="HT220" s="51"/>
      <c r="HU220" s="51"/>
      <c r="HV220" s="51"/>
      <c r="HW220" s="51"/>
      <c r="HX220" s="51"/>
      <c r="HY220" s="51"/>
      <c r="HZ220" s="51"/>
      <c r="IA220" s="51"/>
      <c r="IB220" s="51"/>
      <c r="IC220" s="51"/>
      <c r="ID220" s="51"/>
      <c r="IE220" s="51"/>
      <c r="IF220" s="51"/>
      <c r="IG220" s="51"/>
      <c r="IH220" s="51"/>
      <c r="II220" s="51"/>
      <c r="IJ220" s="51"/>
      <c r="IK220" s="51"/>
      <c r="IL220" s="51"/>
      <c r="IM220" s="51"/>
      <c r="IN220" s="51"/>
      <c r="IO220" s="51"/>
      <c r="IP220" s="51"/>
      <c r="IQ220" s="51"/>
      <c r="IR220" s="51"/>
      <c r="IS220" s="51"/>
      <c r="IT220" s="51"/>
      <c r="IU220" s="51"/>
      <c r="IV220" s="51"/>
    </row>
    <row r="221" hidden="1">
      <c r="B221" s="826" t="s">
        <v>110</v>
      </c>
      <c r="C221" s="827">
        <v>0</v>
      </c>
      <c r="D221" s="827">
        <v>0</v>
      </c>
      <c r="E221" s="827">
        <v>0</v>
      </c>
      <c r="F221" s="827">
        <v>0</v>
      </c>
      <c r="G221" s="827">
        <v>0</v>
      </c>
      <c r="H221" s="827">
        <v>0</v>
      </c>
      <c r="I221" s="827">
        <v>0</v>
      </c>
      <c r="J221" s="827">
        <v>0</v>
      </c>
      <c r="K221" s="827">
        <v>0</v>
      </c>
      <c r="L221" s="827">
        <v>0</v>
      </c>
      <c r="M221" s="827">
        <v>0</v>
      </c>
      <c r="N221" s="827">
        <v>0</v>
      </c>
      <c r="O221" s="827">
        <v>0</v>
      </c>
      <c r="P221" s="827">
        <v>0</v>
      </c>
      <c r="Q221" s="827">
        <v>0</v>
      </c>
      <c r="R221" s="827">
        <v>0</v>
      </c>
      <c r="S221" s="827">
        <v>0</v>
      </c>
      <c r="T221" s="827">
        <v>0</v>
      </c>
      <c r="U221" s="827">
        <v>0</v>
      </c>
      <c r="V221" s="827">
        <v>0</v>
      </c>
      <c r="W221" s="827">
        <v>0</v>
      </c>
      <c r="X221" s="827">
        <v>0</v>
      </c>
      <c r="Y221" s="827">
        <v>0</v>
      </c>
      <c r="Z221" s="827">
        <v>0</v>
      </c>
      <c r="AA221" s="827">
        <v>0</v>
      </c>
      <c r="AB221" s="827">
        <v>0</v>
      </c>
      <c r="AC221" s="828">
        <v>0</v>
      </c>
      <c r="AD221" s="828">
        <v>0</v>
      </c>
      <c r="AE221" s="828">
        <v>0</v>
      </c>
      <c r="AF221" s="828">
        <v>0</v>
      </c>
      <c r="AG221" s="828">
        <v>0</v>
      </c>
      <c r="AH221" s="828">
        <v>0</v>
      </c>
      <c r="AI221" s="828">
        <v>0</v>
      </c>
      <c r="AJ221" s="828">
        <v>0</v>
      </c>
      <c r="AK221" s="828">
        <v>0</v>
      </c>
      <c r="AL221" s="828">
        <v>0</v>
      </c>
      <c r="AM221" s="828">
        <v>0</v>
      </c>
      <c r="AN221" s="828">
        <v>0</v>
      </c>
      <c r="AO221" s="828">
        <v>0</v>
      </c>
      <c r="AP221" s="828">
        <v>0</v>
      </c>
      <c r="AQ221" s="51"/>
      <c r="AR221" s="51"/>
      <c r="AS221" s="51"/>
      <c r="AT221" s="51"/>
      <c r="AU221" s="51"/>
      <c r="AV221" s="51"/>
      <c r="AW221" s="51"/>
      <c r="AX221" s="51"/>
      <c r="AY221" s="51"/>
      <c r="AZ221" s="51"/>
      <c r="BA221" s="51"/>
      <c r="BB221" s="51"/>
      <c r="BC221" s="51"/>
      <c r="BD221" s="51"/>
      <c r="BE221" s="51"/>
      <c r="BF221" s="51"/>
      <c r="BG221" s="51"/>
      <c r="BH221" s="51"/>
      <c r="BI221" s="51"/>
      <c r="BJ221" s="51"/>
      <c r="BK221" s="51"/>
      <c r="BL221" s="51"/>
      <c r="BM221" s="51"/>
      <c r="BN221" s="51"/>
      <c r="BO221" s="51"/>
      <c r="BP221" s="51"/>
      <c r="BQ221" s="51"/>
      <c r="BR221" s="51"/>
      <c r="BS221" s="51"/>
      <c r="BT221" s="51"/>
      <c r="BU221" s="51"/>
      <c r="BV221" s="51"/>
      <c r="BW221" s="51"/>
      <c r="BX221" s="51"/>
      <c r="BY221" s="51"/>
      <c r="BZ221" s="51"/>
      <c r="CA221" s="51"/>
      <c r="CB221" s="51"/>
      <c r="CC221" s="51"/>
      <c r="CD221" s="51"/>
      <c r="CE221" s="51"/>
      <c r="CF221" s="51"/>
      <c r="CG221" s="51"/>
      <c r="CH221" s="51"/>
      <c r="CI221" s="51"/>
      <c r="CJ221" s="51"/>
      <c r="CK221" s="51"/>
      <c r="CL221" s="51"/>
      <c r="CM221" s="51"/>
      <c r="CN221" s="51"/>
      <c r="CO221" s="51"/>
      <c r="CP221" s="51"/>
      <c r="CQ221" s="51"/>
      <c r="CR221" s="51"/>
      <c r="CS221" s="51"/>
      <c r="CT221" s="51"/>
      <c r="CU221" s="51"/>
      <c r="CV221" s="51"/>
      <c r="CW221" s="51"/>
      <c r="CX221" s="51"/>
      <c r="CY221" s="51"/>
      <c r="CZ221" s="51"/>
      <c r="DA221" s="51"/>
      <c r="DB221" s="51"/>
      <c r="DC221" s="51"/>
      <c r="DD221" s="51"/>
      <c r="DE221" s="51"/>
      <c r="DF221" s="51"/>
      <c r="DG221" s="51"/>
      <c r="DH221" s="51"/>
      <c r="DI221" s="51"/>
      <c r="DJ221" s="51"/>
      <c r="DK221" s="51"/>
      <c r="DL221" s="51"/>
      <c r="DM221" s="51"/>
      <c r="DN221" s="51"/>
      <c r="DO221" s="51"/>
      <c r="DP221" s="51"/>
      <c r="DQ221" s="51"/>
      <c r="DR221" s="51"/>
      <c r="DS221" s="51"/>
      <c r="DT221" s="51"/>
      <c r="DU221" s="51"/>
      <c r="DV221" s="51"/>
      <c r="DW221" s="51"/>
      <c r="DX221" s="51"/>
      <c r="DY221" s="51"/>
      <c r="DZ221" s="51"/>
      <c r="EA221" s="51"/>
      <c r="EB221" s="51"/>
      <c r="EC221" s="51"/>
      <c r="ED221" s="51"/>
      <c r="EE221" s="51"/>
      <c r="EF221" s="51"/>
      <c r="EG221" s="51"/>
      <c r="EH221" s="51"/>
      <c r="EI221" s="51"/>
      <c r="EJ221" s="51"/>
      <c r="EK221" s="51"/>
      <c r="EL221" s="51"/>
      <c r="EM221" s="51"/>
      <c r="EN221" s="51"/>
      <c r="EO221" s="51"/>
      <c r="EP221" s="51"/>
      <c r="EQ221" s="51"/>
      <c r="ER221" s="51"/>
      <c r="ES221" s="51"/>
      <c r="ET221" s="51"/>
      <c r="EU221" s="51"/>
      <c r="EV221" s="51"/>
      <c r="EW221" s="51"/>
      <c r="EX221" s="51"/>
      <c r="EY221" s="51"/>
      <c r="EZ221" s="51"/>
      <c r="FA221" s="51"/>
      <c r="FB221" s="51"/>
      <c r="FC221" s="51"/>
      <c r="FD221" s="51"/>
      <c r="FE221" s="51"/>
      <c r="FF221" s="51"/>
      <c r="FG221" s="51"/>
      <c r="FH221" s="51"/>
      <c r="FI221" s="51"/>
      <c r="FJ221" s="51"/>
      <c r="FK221" s="51"/>
      <c r="FL221" s="51"/>
      <c r="FM221" s="51"/>
      <c r="FN221" s="51"/>
      <c r="FO221" s="51"/>
      <c r="FP221" s="51"/>
      <c r="FQ221" s="51"/>
      <c r="FR221" s="51"/>
      <c r="FS221" s="51"/>
      <c r="FT221" s="51"/>
      <c r="FU221" s="51"/>
      <c r="FV221" s="51"/>
      <c r="FW221" s="51"/>
      <c r="FX221" s="51"/>
      <c r="FY221" s="51"/>
      <c r="FZ221" s="51"/>
      <c r="GA221" s="51"/>
      <c r="GB221" s="51"/>
      <c r="GC221" s="51"/>
      <c r="GD221" s="51"/>
      <c r="GE221" s="51"/>
      <c r="GF221" s="51"/>
      <c r="GG221" s="51"/>
      <c r="GH221" s="51"/>
      <c r="GI221" s="51"/>
      <c r="GJ221" s="51"/>
      <c r="GK221" s="51"/>
      <c r="GL221" s="51"/>
      <c r="GM221" s="51"/>
      <c r="GN221" s="51"/>
      <c r="GO221" s="51"/>
      <c r="GP221" s="51"/>
      <c r="GQ221" s="51"/>
      <c r="GR221" s="51"/>
      <c r="GS221" s="51"/>
      <c r="GT221" s="51"/>
      <c r="GU221" s="51"/>
      <c r="GV221" s="51"/>
      <c r="GW221" s="51"/>
      <c r="GX221" s="51"/>
      <c r="GY221" s="51"/>
      <c r="GZ221" s="51"/>
      <c r="HA221" s="51"/>
      <c r="HB221" s="51"/>
      <c r="HC221" s="51"/>
      <c r="HD221" s="51"/>
      <c r="HE221" s="51"/>
      <c r="HF221" s="51"/>
      <c r="HG221" s="51"/>
      <c r="HH221" s="51"/>
      <c r="HI221" s="51"/>
      <c r="HJ221" s="51"/>
      <c r="HK221" s="51"/>
      <c r="HL221" s="51"/>
      <c r="HM221" s="51"/>
      <c r="HN221" s="51"/>
      <c r="HO221" s="51"/>
      <c r="HP221" s="51"/>
      <c r="HQ221" s="51"/>
      <c r="HR221" s="51"/>
      <c r="HS221" s="51"/>
      <c r="HT221" s="51"/>
      <c r="HU221" s="51"/>
      <c r="HV221" s="51"/>
      <c r="HW221" s="51"/>
      <c r="HX221" s="51"/>
      <c r="HY221" s="51"/>
      <c r="HZ221" s="51"/>
      <c r="IA221" s="51"/>
      <c r="IB221" s="51"/>
      <c r="IC221" s="51"/>
      <c r="ID221" s="51"/>
      <c r="IE221" s="51"/>
      <c r="IF221" s="51"/>
      <c r="IG221" s="51"/>
      <c r="IH221" s="51"/>
      <c r="II221" s="51"/>
      <c r="IJ221" s="51"/>
      <c r="IK221" s="51"/>
      <c r="IL221" s="51"/>
      <c r="IM221" s="51"/>
      <c r="IN221" s="51"/>
      <c r="IO221" s="51"/>
      <c r="IP221" s="51"/>
      <c r="IQ221" s="51"/>
      <c r="IR221" s="51"/>
      <c r="IS221" s="51"/>
      <c r="IT221" s="51"/>
      <c r="IU221" s="51"/>
      <c r="IV221" s="51"/>
    </row>
    <row r="222" hidden="1">
      <c r="B222" s="829" t="s">
        <v>16</v>
      </c>
      <c r="C222" s="823">
        <v>39</v>
      </c>
      <c r="D222" s="823">
        <v>0</v>
      </c>
      <c r="E222" s="823">
        <v>0</v>
      </c>
      <c r="F222" s="823">
        <v>0</v>
      </c>
      <c r="G222" s="823">
        <v>42</v>
      </c>
      <c r="H222" s="823">
        <v>45</v>
      </c>
      <c r="I222" s="823">
        <v>44</v>
      </c>
      <c r="J222" s="823">
        <v>43</v>
      </c>
      <c r="K222" s="823">
        <v>47</v>
      </c>
      <c r="L222" s="823">
        <v>47</v>
      </c>
      <c r="M222" s="823">
        <v>49</v>
      </c>
      <c r="N222" s="823">
        <v>48</v>
      </c>
      <c r="O222" s="823">
        <v>49</v>
      </c>
      <c r="P222" s="823">
        <v>49</v>
      </c>
      <c r="Q222" s="823">
        <v>44</v>
      </c>
      <c r="R222" s="823">
        <v>43</v>
      </c>
      <c r="S222" s="823">
        <v>43</v>
      </c>
      <c r="T222" s="823">
        <v>43</v>
      </c>
      <c r="U222" s="823">
        <v>42</v>
      </c>
      <c r="V222" s="823">
        <v>40</v>
      </c>
      <c r="W222" s="823">
        <v>40</v>
      </c>
      <c r="X222" s="823">
        <v>40</v>
      </c>
      <c r="Y222" s="823">
        <v>32</v>
      </c>
      <c r="Z222" s="823">
        <v>31</v>
      </c>
      <c r="AA222" s="823">
        <v>31</v>
      </c>
      <c r="AB222" s="823">
        <v>31</v>
      </c>
      <c r="AC222" s="825">
        <v>27</v>
      </c>
      <c r="AD222" s="825">
        <v>21</v>
      </c>
      <c r="AE222" s="825">
        <v>11</v>
      </c>
      <c r="AF222" s="825">
        <v>11</v>
      </c>
      <c r="AG222" s="825">
        <v>11</v>
      </c>
      <c r="AH222" s="825">
        <v>12</v>
      </c>
      <c r="AI222" s="825">
        <v>12</v>
      </c>
      <c r="AJ222" s="825">
        <v>12</v>
      </c>
      <c r="AK222" s="825">
        <v>12</v>
      </c>
      <c r="AL222" s="825">
        <v>12</v>
      </c>
      <c r="AM222" s="825">
        <v>12</v>
      </c>
      <c r="AN222" s="825">
        <v>12</v>
      </c>
      <c r="AO222" s="825">
        <v>12</v>
      </c>
      <c r="AP222" s="825">
        <v>12</v>
      </c>
      <c r="AQ222" s="51"/>
      <c r="AR222" s="51"/>
      <c r="AS222" s="51"/>
      <c r="AT222" s="51"/>
      <c r="AU222" s="51"/>
      <c r="AV222" s="51"/>
      <c r="AW222" s="51"/>
      <c r="AX222" s="51"/>
      <c r="AY222" s="51"/>
      <c r="AZ222" s="51"/>
      <c r="BA222" s="51"/>
      <c r="BB222" s="51"/>
      <c r="BC222" s="51"/>
      <c r="BD222" s="51"/>
      <c r="BE222" s="51"/>
      <c r="BF222" s="51"/>
      <c r="BG222" s="51"/>
      <c r="BH222" s="51"/>
      <c r="BI222" s="51"/>
      <c r="BJ222" s="51"/>
      <c r="BK222" s="51"/>
      <c r="BL222" s="51"/>
      <c r="BM222" s="51"/>
      <c r="BN222" s="51"/>
      <c r="BO222" s="51"/>
      <c r="BP222" s="51"/>
      <c r="BQ222" s="51"/>
      <c r="BR222" s="51"/>
      <c r="BS222" s="51"/>
      <c r="BT222" s="51"/>
      <c r="BU222" s="51"/>
      <c r="BV222" s="51"/>
      <c r="BW222" s="51"/>
      <c r="BX222" s="51"/>
      <c r="BY222" s="51"/>
      <c r="BZ222" s="51"/>
      <c r="CA222" s="51"/>
      <c r="CB222" s="51"/>
      <c r="CC222" s="51"/>
      <c r="CD222" s="51"/>
      <c r="CE222" s="51"/>
      <c r="CF222" s="51"/>
      <c r="CG222" s="51"/>
      <c r="CH222" s="51"/>
      <c r="CI222" s="51"/>
      <c r="CJ222" s="51"/>
      <c r="CK222" s="51"/>
      <c r="CL222" s="51"/>
      <c r="CM222" s="51"/>
      <c r="CN222" s="51"/>
      <c r="CO222" s="51"/>
      <c r="CP222" s="51"/>
      <c r="CQ222" s="51"/>
      <c r="CR222" s="51"/>
      <c r="CS222" s="51"/>
      <c r="CT222" s="51"/>
      <c r="CU222" s="51"/>
      <c r="CV222" s="51"/>
      <c r="CW222" s="51"/>
      <c r="CX222" s="51"/>
      <c r="CY222" s="51"/>
      <c r="CZ222" s="51"/>
      <c r="DA222" s="51"/>
      <c r="DB222" s="51"/>
      <c r="DC222" s="51"/>
      <c r="DD222" s="51"/>
      <c r="DE222" s="51"/>
      <c r="DF222" s="51"/>
      <c r="DG222" s="51"/>
      <c r="DH222" s="51"/>
      <c r="DI222" s="51"/>
      <c r="DJ222" s="51"/>
      <c r="DK222" s="51"/>
      <c r="DL222" s="51"/>
      <c r="DM222" s="51"/>
      <c r="DN222" s="51"/>
      <c r="DO222" s="51"/>
      <c r="DP222" s="51"/>
      <c r="DQ222" s="51"/>
      <c r="DR222" s="51"/>
      <c r="DS222" s="51"/>
      <c r="DT222" s="51"/>
      <c r="DU222" s="51"/>
      <c r="DV222" s="51"/>
      <c r="DW222" s="51"/>
      <c r="DX222" s="51"/>
      <c r="DY222" s="51"/>
      <c r="DZ222" s="51"/>
      <c r="EA222" s="51"/>
      <c r="EB222" s="51"/>
      <c r="EC222" s="51"/>
      <c r="ED222" s="51"/>
      <c r="EE222" s="51"/>
      <c r="EF222" s="51"/>
      <c r="EG222" s="51"/>
      <c r="EH222" s="51"/>
      <c r="EI222" s="51"/>
      <c r="EJ222" s="51"/>
      <c r="EK222" s="51"/>
      <c r="EL222" s="51"/>
      <c r="EM222" s="51"/>
      <c r="EN222" s="51"/>
      <c r="EO222" s="51"/>
      <c r="EP222" s="51"/>
      <c r="EQ222" s="51"/>
      <c r="ER222" s="51"/>
      <c r="ES222" s="51"/>
      <c r="ET222" s="51"/>
      <c r="EU222" s="51"/>
      <c r="EV222" s="51"/>
      <c r="EW222" s="51"/>
      <c r="EX222" s="51"/>
      <c r="EY222" s="51"/>
      <c r="EZ222" s="51"/>
      <c r="FA222" s="51"/>
      <c r="FB222" s="51"/>
      <c r="FC222" s="51"/>
      <c r="FD222" s="51"/>
      <c r="FE222" s="51"/>
      <c r="FF222" s="51"/>
      <c r="FG222" s="51"/>
      <c r="FH222" s="51"/>
      <c r="FI222" s="51"/>
      <c r="FJ222" s="51"/>
      <c r="FK222" s="51"/>
      <c r="FL222" s="51"/>
      <c r="FM222" s="51"/>
      <c r="FN222" s="51"/>
      <c r="FO222" s="51"/>
      <c r="FP222" s="51"/>
      <c r="FQ222" s="51"/>
      <c r="FR222" s="51"/>
      <c r="FS222" s="51"/>
      <c r="FT222" s="51"/>
      <c r="FU222" s="51"/>
      <c r="FV222" s="51"/>
      <c r="FW222" s="51"/>
      <c r="FX222" s="51"/>
      <c r="FY222" s="51"/>
      <c r="FZ222" s="51"/>
      <c r="GA222" s="51"/>
      <c r="GB222" s="51"/>
      <c r="GC222" s="51"/>
      <c r="GD222" s="51"/>
      <c r="GE222" s="51"/>
      <c r="GF222" s="51"/>
      <c r="GG222" s="51"/>
      <c r="GH222" s="51"/>
      <c r="GI222" s="51"/>
      <c r="GJ222" s="51"/>
      <c r="GK222" s="51"/>
      <c r="GL222" s="51"/>
      <c r="GM222" s="51"/>
      <c r="GN222" s="51"/>
      <c r="GO222" s="51"/>
      <c r="GP222" s="51"/>
      <c r="GQ222" s="51"/>
      <c r="GR222" s="51"/>
      <c r="GS222" s="51"/>
      <c r="GT222" s="51"/>
      <c r="GU222" s="51"/>
      <c r="GV222" s="51"/>
      <c r="GW222" s="51"/>
      <c r="GX222" s="51"/>
      <c r="GY222" s="51"/>
      <c r="GZ222" s="51"/>
      <c r="HA222" s="51"/>
      <c r="HB222" s="51"/>
      <c r="HC222" s="51"/>
      <c r="HD222" s="51"/>
      <c r="HE222" s="51"/>
      <c r="HF222" s="51"/>
      <c r="HG222" s="51"/>
      <c r="HH222" s="51"/>
      <c r="HI222" s="51"/>
      <c r="HJ222" s="51"/>
      <c r="HK222" s="51"/>
      <c r="HL222" s="51"/>
      <c r="HM222" s="51"/>
      <c r="HN222" s="51"/>
      <c r="HO222" s="51"/>
      <c r="HP222" s="51"/>
      <c r="HQ222" s="51"/>
      <c r="HR222" s="51"/>
      <c r="HS222" s="51"/>
      <c r="HT222" s="51"/>
      <c r="HU222" s="51"/>
      <c r="HV222" s="51"/>
      <c r="HW222" s="51"/>
      <c r="HX222" s="51"/>
      <c r="HY222" s="51"/>
      <c r="HZ222" s="51"/>
      <c r="IA222" s="51"/>
      <c r="IB222" s="51"/>
      <c r="IC222" s="51"/>
      <c r="ID222" s="51"/>
      <c r="IE222" s="51"/>
      <c r="IF222" s="51"/>
      <c r="IG222" s="51"/>
      <c r="IH222" s="51"/>
      <c r="II222" s="51"/>
      <c r="IJ222" s="51"/>
      <c r="IK222" s="51"/>
      <c r="IL222" s="51"/>
      <c r="IM222" s="51"/>
      <c r="IN222" s="51"/>
      <c r="IO222" s="51"/>
      <c r="IP222" s="51"/>
      <c r="IQ222" s="51"/>
      <c r="IR222" s="51"/>
      <c r="IS222" s="51"/>
      <c r="IT222" s="51"/>
      <c r="IU222" s="51"/>
      <c r="IV222" s="51"/>
    </row>
    <row r="223" hidden="1">
      <c r="B223" s="826" t="s">
        <v>17</v>
      </c>
      <c r="C223" s="827">
        <v>0</v>
      </c>
      <c r="D223" s="827">
        <v>1</v>
      </c>
      <c r="E223" s="827">
        <v>4</v>
      </c>
      <c r="F223" s="827">
        <v>4</v>
      </c>
      <c r="G223" s="827">
        <v>5</v>
      </c>
      <c r="H223" s="827">
        <v>5</v>
      </c>
      <c r="I223" s="827">
        <v>5</v>
      </c>
      <c r="J223" s="827">
        <v>6</v>
      </c>
      <c r="K223" s="827">
        <v>5</v>
      </c>
      <c r="L223" s="827">
        <v>5</v>
      </c>
      <c r="M223" s="827">
        <v>5</v>
      </c>
      <c r="N223" s="827">
        <v>5</v>
      </c>
      <c r="O223" s="827">
        <v>5</v>
      </c>
      <c r="P223" s="827">
        <v>6</v>
      </c>
      <c r="Q223" s="827">
        <v>5</v>
      </c>
      <c r="R223" s="827">
        <v>5</v>
      </c>
      <c r="S223" s="827">
        <v>5</v>
      </c>
      <c r="T223" s="827">
        <v>5</v>
      </c>
      <c r="U223" s="827">
        <v>5</v>
      </c>
      <c r="V223" s="827">
        <v>5</v>
      </c>
      <c r="W223" s="827">
        <v>0</v>
      </c>
      <c r="X223" s="827">
        <v>0</v>
      </c>
      <c r="Y223" s="827">
        <v>0</v>
      </c>
      <c r="Z223" s="827">
        <v>0</v>
      </c>
      <c r="AA223" s="827">
        <v>0</v>
      </c>
      <c r="AB223" s="827">
        <v>0</v>
      </c>
      <c r="AC223" s="828">
        <v>0</v>
      </c>
      <c r="AD223" s="828">
        <v>0</v>
      </c>
      <c r="AE223" s="828">
        <v>0</v>
      </c>
      <c r="AF223" s="828">
        <v>0</v>
      </c>
      <c r="AG223" s="828">
        <v>0</v>
      </c>
      <c r="AH223" s="828">
        <v>0</v>
      </c>
      <c r="AI223" s="828">
        <v>0</v>
      </c>
      <c r="AJ223" s="828">
        <v>0</v>
      </c>
      <c r="AK223" s="828">
        <v>0</v>
      </c>
      <c r="AL223" s="828">
        <v>0</v>
      </c>
      <c r="AM223" s="828">
        <v>0</v>
      </c>
      <c r="AN223" s="828">
        <v>0</v>
      </c>
      <c r="AO223" s="828">
        <v>0</v>
      </c>
      <c r="AP223" s="828">
        <v>0</v>
      </c>
      <c r="AQ223" s="51"/>
      <c r="AR223" s="51"/>
      <c r="AS223" s="51"/>
      <c r="AT223" s="51"/>
      <c r="AU223" s="51"/>
      <c r="AV223" s="51"/>
      <c r="AW223" s="51"/>
      <c r="AX223" s="51"/>
      <c r="AY223" s="51"/>
      <c r="AZ223" s="51"/>
      <c r="BA223" s="51"/>
      <c r="BB223" s="51"/>
      <c r="BC223" s="51"/>
      <c r="BD223" s="51"/>
      <c r="BE223" s="51"/>
      <c r="BF223" s="51"/>
      <c r="BG223" s="51"/>
      <c r="BH223" s="51"/>
      <c r="BI223" s="51"/>
      <c r="BJ223" s="51"/>
      <c r="BK223" s="51"/>
      <c r="BL223" s="51"/>
      <c r="BM223" s="51"/>
      <c r="BN223" s="51"/>
      <c r="BO223" s="51"/>
      <c r="BP223" s="51"/>
      <c r="BQ223" s="51"/>
      <c r="BR223" s="51"/>
      <c r="BS223" s="51"/>
      <c r="BT223" s="51"/>
      <c r="BU223" s="51"/>
      <c r="BV223" s="51"/>
      <c r="BW223" s="51"/>
      <c r="BX223" s="51"/>
      <c r="BY223" s="51"/>
      <c r="BZ223" s="51"/>
      <c r="CA223" s="51"/>
      <c r="CB223" s="51"/>
      <c r="CC223" s="51"/>
      <c r="CD223" s="51"/>
      <c r="CE223" s="51"/>
      <c r="CF223" s="51"/>
      <c r="CG223" s="51"/>
      <c r="CH223" s="51"/>
      <c r="CI223" s="51"/>
      <c r="CJ223" s="51"/>
      <c r="CK223" s="51"/>
      <c r="CL223" s="51"/>
      <c r="CM223" s="51"/>
      <c r="CN223" s="51"/>
      <c r="CO223" s="51"/>
      <c r="CP223" s="51"/>
      <c r="CQ223" s="51"/>
      <c r="CR223" s="51"/>
      <c r="CS223" s="51"/>
      <c r="CT223" s="51"/>
      <c r="CU223" s="51"/>
      <c r="CV223" s="51"/>
      <c r="CW223" s="51"/>
      <c r="CX223" s="51"/>
      <c r="CY223" s="51"/>
      <c r="CZ223" s="51"/>
      <c r="DA223" s="51"/>
      <c r="DB223" s="51"/>
      <c r="DC223" s="51"/>
      <c r="DD223" s="51"/>
      <c r="DE223" s="51"/>
      <c r="DF223" s="51"/>
      <c r="DG223" s="51"/>
      <c r="DH223" s="51"/>
      <c r="DI223" s="51"/>
      <c r="DJ223" s="51"/>
      <c r="DK223" s="51"/>
      <c r="DL223" s="51"/>
      <c r="DM223" s="51"/>
      <c r="DN223" s="51"/>
      <c r="DO223" s="51"/>
      <c r="DP223" s="51"/>
      <c r="DQ223" s="51"/>
      <c r="DR223" s="51"/>
      <c r="DS223" s="51"/>
      <c r="DT223" s="51"/>
      <c r="DU223" s="51"/>
      <c r="DV223" s="51"/>
      <c r="DW223" s="51"/>
      <c r="DX223" s="51"/>
      <c r="DY223" s="51"/>
      <c r="DZ223" s="51"/>
      <c r="EA223" s="51"/>
      <c r="EB223" s="51"/>
      <c r="EC223" s="51"/>
      <c r="ED223" s="51"/>
      <c r="EE223" s="51"/>
      <c r="EF223" s="51"/>
      <c r="EG223" s="51"/>
      <c r="EH223" s="51"/>
      <c r="EI223" s="51"/>
      <c r="EJ223" s="51"/>
      <c r="EK223" s="51"/>
      <c r="EL223" s="51"/>
      <c r="EM223" s="51"/>
      <c r="EN223" s="51"/>
      <c r="EO223" s="51"/>
      <c r="EP223" s="51"/>
      <c r="EQ223" s="51"/>
      <c r="ER223" s="51"/>
      <c r="ES223" s="51"/>
      <c r="ET223" s="51"/>
      <c r="EU223" s="51"/>
      <c r="EV223" s="51"/>
      <c r="EW223" s="51"/>
      <c r="EX223" s="51"/>
      <c r="EY223" s="51"/>
      <c r="EZ223" s="51"/>
      <c r="FA223" s="51"/>
      <c r="FB223" s="51"/>
      <c r="FC223" s="51"/>
      <c r="FD223" s="51"/>
      <c r="FE223" s="51"/>
      <c r="FF223" s="51"/>
      <c r="FG223" s="51"/>
      <c r="FH223" s="51"/>
      <c r="FI223" s="51"/>
      <c r="FJ223" s="51"/>
      <c r="FK223" s="51"/>
      <c r="FL223" s="51"/>
      <c r="FM223" s="51"/>
      <c r="FN223" s="51"/>
      <c r="FO223" s="51"/>
      <c r="FP223" s="51"/>
      <c r="FQ223" s="51"/>
      <c r="FR223" s="51"/>
      <c r="FS223" s="51"/>
      <c r="FT223" s="51"/>
      <c r="FU223" s="51"/>
      <c r="FV223" s="51"/>
      <c r="FW223" s="51"/>
      <c r="FX223" s="51"/>
      <c r="FY223" s="51"/>
      <c r="FZ223" s="51"/>
      <c r="GA223" s="51"/>
      <c r="GB223" s="51"/>
      <c r="GC223" s="51"/>
      <c r="GD223" s="51"/>
      <c r="GE223" s="51"/>
      <c r="GF223" s="51"/>
      <c r="GG223" s="51"/>
      <c r="GH223" s="51"/>
      <c r="GI223" s="51"/>
      <c r="GJ223" s="51"/>
      <c r="GK223" s="51"/>
      <c r="GL223" s="51"/>
      <c r="GM223" s="51"/>
      <c r="GN223" s="51"/>
      <c r="GO223" s="51"/>
      <c r="GP223" s="51"/>
      <c r="GQ223" s="51"/>
      <c r="GR223" s="51"/>
      <c r="GS223" s="51"/>
      <c r="GT223" s="51"/>
      <c r="GU223" s="51"/>
      <c r="GV223" s="51"/>
      <c r="GW223" s="51"/>
      <c r="GX223" s="51"/>
      <c r="GY223" s="51"/>
      <c r="GZ223" s="51"/>
      <c r="HA223" s="51"/>
      <c r="HB223" s="51"/>
      <c r="HC223" s="51"/>
      <c r="HD223" s="51"/>
      <c r="HE223" s="51"/>
      <c r="HF223" s="51"/>
      <c r="HG223" s="51"/>
      <c r="HH223" s="51"/>
      <c r="HI223" s="51"/>
      <c r="HJ223" s="51"/>
      <c r="HK223" s="51"/>
      <c r="HL223" s="51"/>
      <c r="HM223" s="51"/>
      <c r="HN223" s="51"/>
      <c r="HO223" s="51"/>
      <c r="HP223" s="51"/>
      <c r="HQ223" s="51"/>
      <c r="HR223" s="51"/>
      <c r="HS223" s="51"/>
      <c r="HT223" s="51"/>
      <c r="HU223" s="51"/>
      <c r="HV223" s="51"/>
      <c r="HW223" s="51"/>
      <c r="HX223" s="51"/>
      <c r="HY223" s="51"/>
      <c r="HZ223" s="51"/>
      <c r="IA223" s="51"/>
      <c r="IB223" s="51"/>
      <c r="IC223" s="51"/>
      <c r="ID223" s="51"/>
      <c r="IE223" s="51"/>
      <c r="IF223" s="51"/>
      <c r="IG223" s="51"/>
      <c r="IH223" s="51"/>
      <c r="II223" s="51"/>
      <c r="IJ223" s="51"/>
      <c r="IK223" s="51"/>
      <c r="IL223" s="51"/>
      <c r="IM223" s="51"/>
      <c r="IN223" s="51"/>
      <c r="IO223" s="51"/>
      <c r="IP223" s="51"/>
      <c r="IQ223" s="51"/>
      <c r="IR223" s="51"/>
      <c r="IS223" s="51"/>
      <c r="IT223" s="51"/>
      <c r="IU223" s="51"/>
      <c r="IV223" s="51"/>
    </row>
    <row r="224" hidden="1">
      <c r="B224" s="829" t="s">
        <v>18</v>
      </c>
      <c r="C224" s="823">
        <v>0</v>
      </c>
      <c r="D224" s="823">
        <v>0</v>
      </c>
      <c r="E224" s="823">
        <v>0</v>
      </c>
      <c r="F224" s="823">
        <v>0</v>
      </c>
      <c r="G224" s="823">
        <v>0</v>
      </c>
      <c r="H224" s="823">
        <v>0</v>
      </c>
      <c r="I224" s="823">
        <v>0</v>
      </c>
      <c r="J224" s="823">
        <v>0</v>
      </c>
      <c r="K224" s="823">
        <v>59</v>
      </c>
      <c r="L224" s="823">
        <v>59</v>
      </c>
      <c r="M224" s="823">
        <v>47</v>
      </c>
      <c r="N224" s="823">
        <v>26</v>
      </c>
      <c r="O224" s="823">
        <v>0</v>
      </c>
      <c r="P224" s="823">
        <v>0</v>
      </c>
      <c r="Q224" s="823">
        <v>0</v>
      </c>
      <c r="R224" s="823">
        <v>0</v>
      </c>
      <c r="S224" s="823">
        <v>2</v>
      </c>
      <c r="T224" s="823">
        <v>2</v>
      </c>
      <c r="U224" s="823">
        <v>1</v>
      </c>
      <c r="V224" s="823">
        <v>1</v>
      </c>
      <c r="W224" s="823">
        <v>1</v>
      </c>
      <c r="X224" s="823">
        <v>1</v>
      </c>
      <c r="Y224" s="823">
        <v>1</v>
      </c>
      <c r="Z224" s="823">
        <v>1</v>
      </c>
      <c r="AA224" s="823">
        <v>0</v>
      </c>
      <c r="AB224" s="823">
        <v>0</v>
      </c>
      <c r="AC224" s="825">
        <v>0</v>
      </c>
      <c r="AD224" s="825">
        <v>0</v>
      </c>
      <c r="AE224" s="825">
        <v>0</v>
      </c>
      <c r="AF224" s="825">
        <v>0</v>
      </c>
      <c r="AG224" s="825">
        <v>0</v>
      </c>
      <c r="AH224" s="825">
        <v>0</v>
      </c>
      <c r="AI224" s="825">
        <v>0</v>
      </c>
      <c r="AJ224" s="825">
        <v>0</v>
      </c>
      <c r="AK224" s="825">
        <v>0</v>
      </c>
      <c r="AL224" s="825">
        <v>0</v>
      </c>
      <c r="AM224" s="825">
        <v>0</v>
      </c>
      <c r="AN224" s="825">
        <v>0</v>
      </c>
      <c r="AO224" s="825">
        <v>0</v>
      </c>
      <c r="AP224" s="825">
        <v>0</v>
      </c>
      <c r="AQ224" s="51"/>
      <c r="AR224" s="51"/>
      <c r="AS224" s="51"/>
      <c r="AT224" s="51"/>
      <c r="AU224" s="51"/>
      <c r="AV224" s="51"/>
      <c r="AW224" s="51"/>
      <c r="AX224" s="51"/>
      <c r="AY224" s="51"/>
      <c r="AZ224" s="51"/>
      <c r="BA224" s="51"/>
      <c r="BB224" s="51"/>
      <c r="BC224" s="51"/>
      <c r="BD224" s="51"/>
      <c r="BE224" s="51"/>
      <c r="BF224" s="51"/>
      <c r="BG224" s="51"/>
      <c r="BH224" s="51"/>
      <c r="BI224" s="51"/>
      <c r="BJ224" s="51"/>
      <c r="BK224" s="51"/>
      <c r="BL224" s="51"/>
      <c r="BM224" s="51"/>
      <c r="BN224" s="51"/>
      <c r="BO224" s="51"/>
      <c r="BP224" s="51"/>
      <c r="BQ224" s="51"/>
      <c r="BR224" s="51"/>
      <c r="BS224" s="51"/>
      <c r="BT224" s="51"/>
      <c r="BU224" s="51"/>
      <c r="BV224" s="51"/>
      <c r="BW224" s="51"/>
      <c r="BX224" s="51"/>
      <c r="BY224" s="51"/>
      <c r="BZ224" s="51"/>
      <c r="CA224" s="51"/>
      <c r="CB224" s="51"/>
      <c r="CC224" s="51"/>
      <c r="CD224" s="51"/>
      <c r="CE224" s="51"/>
      <c r="CF224" s="51"/>
      <c r="CG224" s="51"/>
      <c r="CH224" s="51"/>
      <c r="CI224" s="51"/>
      <c r="CJ224" s="51"/>
      <c r="CK224" s="51"/>
      <c r="CL224" s="51"/>
      <c r="CM224" s="51"/>
      <c r="CN224" s="51"/>
      <c r="CO224" s="51"/>
      <c r="CP224" s="51"/>
      <c r="CQ224" s="51"/>
      <c r="CR224" s="51"/>
      <c r="CS224" s="51"/>
      <c r="CT224" s="51"/>
      <c r="CU224" s="51"/>
      <c r="CV224" s="51"/>
      <c r="CW224" s="51"/>
      <c r="CX224" s="51"/>
      <c r="CY224" s="51"/>
      <c r="CZ224" s="51"/>
      <c r="DA224" s="51"/>
      <c r="DB224" s="51"/>
      <c r="DC224" s="51"/>
      <c r="DD224" s="51"/>
      <c r="DE224" s="51"/>
      <c r="DF224" s="51"/>
      <c r="DG224" s="51"/>
      <c r="DH224" s="51"/>
      <c r="DI224" s="51"/>
      <c r="DJ224" s="51"/>
      <c r="DK224" s="51"/>
      <c r="DL224" s="51"/>
      <c r="DM224" s="51"/>
      <c r="DN224" s="51"/>
      <c r="DO224" s="51"/>
      <c r="DP224" s="51"/>
      <c r="DQ224" s="51"/>
      <c r="DR224" s="51"/>
      <c r="DS224" s="51"/>
      <c r="DT224" s="51"/>
      <c r="DU224" s="51"/>
      <c r="DV224" s="51"/>
      <c r="DW224" s="51"/>
      <c r="DX224" s="51"/>
      <c r="DY224" s="51"/>
      <c r="DZ224" s="51"/>
      <c r="EA224" s="51"/>
      <c r="EB224" s="51"/>
      <c r="EC224" s="51"/>
      <c r="ED224" s="51"/>
      <c r="EE224" s="51"/>
      <c r="EF224" s="51"/>
      <c r="EG224" s="51"/>
      <c r="EH224" s="51"/>
      <c r="EI224" s="51"/>
      <c r="EJ224" s="51"/>
      <c r="EK224" s="51"/>
      <c r="EL224" s="51"/>
      <c r="EM224" s="51"/>
      <c r="EN224" s="51"/>
      <c r="EO224" s="51"/>
      <c r="EP224" s="51"/>
      <c r="EQ224" s="51"/>
      <c r="ER224" s="51"/>
      <c r="ES224" s="51"/>
      <c r="ET224" s="51"/>
      <c r="EU224" s="51"/>
      <c r="EV224" s="51"/>
      <c r="EW224" s="51"/>
      <c r="EX224" s="51"/>
      <c r="EY224" s="51"/>
      <c r="EZ224" s="51"/>
      <c r="FA224" s="51"/>
      <c r="FB224" s="51"/>
      <c r="FC224" s="51"/>
      <c r="FD224" s="51"/>
      <c r="FE224" s="51"/>
      <c r="FF224" s="51"/>
      <c r="FG224" s="51"/>
      <c r="FH224" s="51"/>
      <c r="FI224" s="51"/>
      <c r="FJ224" s="51"/>
      <c r="FK224" s="51"/>
      <c r="FL224" s="51"/>
      <c r="FM224" s="51"/>
      <c r="FN224" s="51"/>
      <c r="FO224" s="51"/>
      <c r="FP224" s="51"/>
      <c r="FQ224" s="51"/>
      <c r="FR224" s="51"/>
      <c r="FS224" s="51"/>
      <c r="FT224" s="51"/>
      <c r="FU224" s="51"/>
      <c r="FV224" s="51"/>
      <c r="FW224" s="51"/>
      <c r="FX224" s="51"/>
      <c r="FY224" s="51"/>
      <c r="FZ224" s="51"/>
      <c r="GA224" s="51"/>
      <c r="GB224" s="51"/>
      <c r="GC224" s="51"/>
      <c r="GD224" s="51"/>
      <c r="GE224" s="51"/>
      <c r="GF224" s="51"/>
      <c r="GG224" s="51"/>
      <c r="GH224" s="51"/>
      <c r="GI224" s="51"/>
      <c r="GJ224" s="51"/>
      <c r="GK224" s="51"/>
      <c r="GL224" s="51"/>
      <c r="GM224" s="51"/>
      <c r="GN224" s="51"/>
      <c r="GO224" s="51"/>
      <c r="GP224" s="51"/>
      <c r="GQ224" s="51"/>
      <c r="GR224" s="51"/>
      <c r="GS224" s="51"/>
      <c r="GT224" s="51"/>
      <c r="GU224" s="51"/>
      <c r="GV224" s="51"/>
      <c r="GW224" s="51"/>
      <c r="GX224" s="51"/>
      <c r="GY224" s="51"/>
      <c r="GZ224" s="51"/>
      <c r="HA224" s="51"/>
      <c r="HB224" s="51"/>
      <c r="HC224" s="51"/>
      <c r="HD224" s="51"/>
      <c r="HE224" s="51"/>
      <c r="HF224" s="51"/>
      <c r="HG224" s="51"/>
      <c r="HH224" s="51"/>
      <c r="HI224" s="51"/>
      <c r="HJ224" s="51"/>
      <c r="HK224" s="51"/>
      <c r="HL224" s="51"/>
      <c r="HM224" s="51"/>
      <c r="HN224" s="51"/>
      <c r="HO224" s="51"/>
      <c r="HP224" s="51"/>
      <c r="HQ224" s="51"/>
      <c r="HR224" s="51"/>
      <c r="HS224" s="51"/>
      <c r="HT224" s="51"/>
      <c r="HU224" s="51"/>
      <c r="HV224" s="51"/>
      <c r="HW224" s="51"/>
      <c r="HX224" s="51"/>
      <c r="HY224" s="51"/>
      <c r="HZ224" s="51"/>
      <c r="IA224" s="51"/>
      <c r="IB224" s="51"/>
      <c r="IC224" s="51"/>
      <c r="ID224" s="51"/>
      <c r="IE224" s="51"/>
      <c r="IF224" s="51"/>
      <c r="IG224" s="51"/>
      <c r="IH224" s="51"/>
      <c r="II224" s="51"/>
      <c r="IJ224" s="51"/>
      <c r="IK224" s="51"/>
      <c r="IL224" s="51"/>
      <c r="IM224" s="51"/>
      <c r="IN224" s="51"/>
      <c r="IO224" s="51"/>
      <c r="IP224" s="51"/>
      <c r="IQ224" s="51"/>
      <c r="IR224" s="51"/>
      <c r="IS224" s="51"/>
      <c r="IT224" s="51"/>
      <c r="IU224" s="51"/>
      <c r="IV224" s="51"/>
    </row>
    <row r="225" hidden="1">
      <c r="B225" s="826" t="s">
        <v>19</v>
      </c>
      <c r="C225" s="827">
        <v>13</v>
      </c>
      <c r="D225" s="827">
        <v>15</v>
      </c>
      <c r="E225" s="827">
        <v>14</v>
      </c>
      <c r="F225" s="827">
        <v>14</v>
      </c>
      <c r="G225" s="827">
        <v>14</v>
      </c>
      <c r="H225" s="827">
        <v>15</v>
      </c>
      <c r="I225" s="827">
        <v>15</v>
      </c>
      <c r="J225" s="827">
        <v>16</v>
      </c>
      <c r="K225" s="827">
        <v>17</v>
      </c>
      <c r="L225" s="827">
        <v>16</v>
      </c>
      <c r="M225" s="827">
        <v>17</v>
      </c>
      <c r="N225" s="827">
        <v>17</v>
      </c>
      <c r="O225" s="827">
        <v>7</v>
      </c>
      <c r="P225" s="827">
        <v>5</v>
      </c>
      <c r="Q225" s="827">
        <v>3</v>
      </c>
      <c r="R225" s="827">
        <v>3</v>
      </c>
      <c r="S225" s="827">
        <v>3</v>
      </c>
      <c r="T225" s="827">
        <v>3</v>
      </c>
      <c r="U225" s="827">
        <v>3</v>
      </c>
      <c r="V225" s="827">
        <v>3</v>
      </c>
      <c r="W225" s="827">
        <v>3</v>
      </c>
      <c r="X225" s="827">
        <v>3</v>
      </c>
      <c r="Y225" s="827">
        <v>3</v>
      </c>
      <c r="Z225" s="827">
        <v>3</v>
      </c>
      <c r="AA225" s="827">
        <v>3</v>
      </c>
      <c r="AB225" s="827">
        <v>3</v>
      </c>
      <c r="AC225" s="828">
        <v>3</v>
      </c>
      <c r="AD225" s="828">
        <v>3</v>
      </c>
      <c r="AE225" s="828">
        <v>3</v>
      </c>
      <c r="AF225" s="828">
        <v>3</v>
      </c>
      <c r="AG225" s="828">
        <v>3</v>
      </c>
      <c r="AH225" s="828">
        <v>3</v>
      </c>
      <c r="AI225" s="828">
        <v>3</v>
      </c>
      <c r="AJ225" s="828">
        <v>1</v>
      </c>
      <c r="AK225" s="828">
        <v>1</v>
      </c>
      <c r="AL225" s="828">
        <v>0</v>
      </c>
      <c r="AM225" s="828">
        <v>0</v>
      </c>
      <c r="AN225" s="828">
        <v>0</v>
      </c>
      <c r="AO225" s="828">
        <v>0</v>
      </c>
      <c r="AP225" s="828">
        <v>0</v>
      </c>
      <c r="AQ225" s="51"/>
      <c r="AR225" s="51"/>
      <c r="AS225" s="51"/>
      <c r="AT225" s="51"/>
      <c r="AU225" s="51"/>
      <c r="AV225" s="51"/>
      <c r="AW225" s="51"/>
      <c r="AX225" s="51"/>
      <c r="AY225" s="51"/>
      <c r="AZ225" s="51"/>
      <c r="BA225" s="51"/>
      <c r="BB225" s="51"/>
      <c r="BC225" s="51"/>
      <c r="BD225" s="51"/>
      <c r="BE225" s="51"/>
      <c r="BF225" s="51"/>
      <c r="BG225" s="51"/>
      <c r="BH225" s="51"/>
      <c r="BI225" s="51"/>
      <c r="BJ225" s="51"/>
      <c r="BK225" s="51"/>
      <c r="BL225" s="51"/>
      <c r="BM225" s="51"/>
      <c r="BN225" s="51"/>
      <c r="BO225" s="51"/>
      <c r="BP225" s="51"/>
      <c r="BQ225" s="51"/>
      <c r="BR225" s="51"/>
      <c r="BS225" s="51"/>
      <c r="BT225" s="51"/>
      <c r="BU225" s="51"/>
      <c r="BV225" s="51"/>
      <c r="BW225" s="51"/>
      <c r="BX225" s="51"/>
      <c r="BY225" s="51"/>
      <c r="BZ225" s="51"/>
      <c r="CA225" s="51"/>
      <c r="CB225" s="51"/>
      <c r="CC225" s="51"/>
      <c r="CD225" s="51"/>
      <c r="CE225" s="51"/>
      <c r="CF225" s="51"/>
      <c r="CG225" s="51"/>
      <c r="CH225" s="51"/>
      <c r="CI225" s="51"/>
      <c r="CJ225" s="51"/>
      <c r="CK225" s="51"/>
      <c r="CL225" s="51"/>
      <c r="CM225" s="51"/>
      <c r="CN225" s="51"/>
      <c r="CO225" s="51"/>
      <c r="CP225" s="51"/>
      <c r="CQ225" s="51"/>
      <c r="CR225" s="51"/>
      <c r="CS225" s="51"/>
      <c r="CT225" s="51"/>
      <c r="CU225" s="51"/>
      <c r="CV225" s="51"/>
      <c r="CW225" s="51"/>
      <c r="CX225" s="51"/>
      <c r="CY225" s="51"/>
      <c r="CZ225" s="51"/>
      <c r="DA225" s="51"/>
      <c r="DB225" s="51"/>
      <c r="DC225" s="51"/>
      <c r="DD225" s="51"/>
      <c r="DE225" s="51"/>
      <c r="DF225" s="51"/>
      <c r="DG225" s="51"/>
      <c r="DH225" s="51"/>
      <c r="DI225" s="51"/>
      <c r="DJ225" s="51"/>
      <c r="DK225" s="51"/>
      <c r="DL225" s="51"/>
      <c r="DM225" s="51"/>
      <c r="DN225" s="51"/>
      <c r="DO225" s="51"/>
      <c r="DP225" s="51"/>
      <c r="DQ225" s="51"/>
      <c r="DR225" s="51"/>
      <c r="DS225" s="51"/>
      <c r="DT225" s="51"/>
      <c r="DU225" s="51"/>
      <c r="DV225" s="51"/>
      <c r="DW225" s="51"/>
      <c r="DX225" s="51"/>
      <c r="DY225" s="51"/>
      <c r="DZ225" s="51"/>
      <c r="EA225" s="51"/>
      <c r="EB225" s="51"/>
      <c r="EC225" s="51"/>
      <c r="ED225" s="51"/>
      <c r="EE225" s="51"/>
      <c r="EF225" s="51"/>
      <c r="EG225" s="51"/>
      <c r="EH225" s="51"/>
      <c r="EI225" s="51"/>
      <c r="EJ225" s="51"/>
      <c r="EK225" s="51"/>
      <c r="EL225" s="51"/>
      <c r="EM225" s="51"/>
      <c r="EN225" s="51"/>
      <c r="EO225" s="51"/>
      <c r="EP225" s="51"/>
      <c r="EQ225" s="51"/>
      <c r="ER225" s="51"/>
      <c r="ES225" s="51"/>
      <c r="ET225" s="51"/>
      <c r="EU225" s="51"/>
      <c r="EV225" s="51"/>
      <c r="EW225" s="51"/>
      <c r="EX225" s="51"/>
      <c r="EY225" s="51"/>
      <c r="EZ225" s="51"/>
      <c r="FA225" s="51"/>
      <c r="FB225" s="51"/>
      <c r="FC225" s="51"/>
      <c r="FD225" s="51"/>
      <c r="FE225" s="51"/>
      <c r="FF225" s="51"/>
      <c r="FG225" s="51"/>
      <c r="FH225" s="51"/>
      <c r="FI225" s="51"/>
      <c r="FJ225" s="51"/>
      <c r="FK225" s="51"/>
      <c r="FL225" s="51"/>
      <c r="FM225" s="51"/>
      <c r="FN225" s="51"/>
      <c r="FO225" s="51"/>
      <c r="FP225" s="51"/>
      <c r="FQ225" s="51"/>
      <c r="FR225" s="51"/>
      <c r="FS225" s="51"/>
      <c r="FT225" s="51"/>
      <c r="FU225" s="51"/>
      <c r="FV225" s="51"/>
      <c r="FW225" s="51"/>
      <c r="FX225" s="51"/>
      <c r="FY225" s="51"/>
      <c r="FZ225" s="51"/>
      <c r="GA225" s="51"/>
      <c r="GB225" s="51"/>
      <c r="GC225" s="51"/>
      <c r="GD225" s="51"/>
      <c r="GE225" s="51"/>
      <c r="GF225" s="51"/>
      <c r="GG225" s="51"/>
      <c r="GH225" s="51"/>
      <c r="GI225" s="51"/>
      <c r="GJ225" s="51"/>
      <c r="GK225" s="51"/>
      <c r="GL225" s="51"/>
      <c r="GM225" s="51"/>
      <c r="GN225" s="51"/>
      <c r="GO225" s="51"/>
      <c r="GP225" s="51"/>
      <c r="GQ225" s="51"/>
      <c r="GR225" s="51"/>
      <c r="GS225" s="51"/>
      <c r="GT225" s="51"/>
      <c r="GU225" s="51"/>
      <c r="GV225" s="51"/>
      <c r="GW225" s="51"/>
      <c r="GX225" s="51"/>
      <c r="GY225" s="51"/>
      <c r="GZ225" s="51"/>
      <c r="HA225" s="51"/>
      <c r="HB225" s="51"/>
      <c r="HC225" s="51"/>
      <c r="HD225" s="51"/>
      <c r="HE225" s="51"/>
      <c r="HF225" s="51"/>
      <c r="HG225" s="51"/>
      <c r="HH225" s="51"/>
      <c r="HI225" s="51"/>
      <c r="HJ225" s="51"/>
      <c r="HK225" s="51"/>
      <c r="HL225" s="51"/>
      <c r="HM225" s="51"/>
      <c r="HN225" s="51"/>
      <c r="HO225" s="51"/>
      <c r="HP225" s="51"/>
      <c r="HQ225" s="51"/>
      <c r="HR225" s="51"/>
      <c r="HS225" s="51"/>
      <c r="HT225" s="51"/>
      <c r="HU225" s="51"/>
      <c r="HV225" s="51"/>
      <c r="HW225" s="51"/>
      <c r="HX225" s="51"/>
      <c r="HY225" s="51"/>
      <c r="HZ225" s="51"/>
      <c r="IA225" s="51"/>
      <c r="IB225" s="51"/>
      <c r="IC225" s="51"/>
      <c r="ID225" s="51"/>
      <c r="IE225" s="51"/>
      <c r="IF225" s="51"/>
      <c r="IG225" s="51"/>
      <c r="IH225" s="51"/>
      <c r="II225" s="51"/>
      <c r="IJ225" s="51"/>
      <c r="IK225" s="51"/>
      <c r="IL225" s="51"/>
      <c r="IM225" s="51"/>
      <c r="IN225" s="51"/>
      <c r="IO225" s="51"/>
      <c r="IP225" s="51"/>
      <c r="IQ225" s="51"/>
      <c r="IR225" s="51"/>
      <c r="IS225" s="51"/>
      <c r="IT225" s="51"/>
      <c r="IU225" s="51"/>
      <c r="IV225" s="51"/>
    </row>
    <row r="226" hidden="1">
      <c r="B226" s="829" t="s">
        <v>20</v>
      </c>
      <c r="C226" s="823">
        <v>0</v>
      </c>
      <c r="D226" s="823">
        <v>1</v>
      </c>
      <c r="E226" s="823">
        <v>1</v>
      </c>
      <c r="F226" s="823">
        <v>1</v>
      </c>
      <c r="G226" s="823">
        <v>0</v>
      </c>
      <c r="H226" s="823">
        <v>0</v>
      </c>
      <c r="I226" s="823">
        <v>0</v>
      </c>
      <c r="J226" s="823">
        <v>0</v>
      </c>
      <c r="K226" s="823">
        <v>0</v>
      </c>
      <c r="L226" s="823">
        <v>0</v>
      </c>
      <c r="M226" s="823">
        <v>0</v>
      </c>
      <c r="N226" s="823">
        <v>0</v>
      </c>
      <c r="O226" s="823">
        <v>0</v>
      </c>
      <c r="P226" s="823">
        <v>0</v>
      </c>
      <c r="Q226" s="823">
        <v>0</v>
      </c>
      <c r="R226" s="823">
        <v>0</v>
      </c>
      <c r="S226" s="823">
        <v>0</v>
      </c>
      <c r="T226" s="823">
        <v>0</v>
      </c>
      <c r="U226" s="823">
        <v>0</v>
      </c>
      <c r="V226" s="823">
        <v>0</v>
      </c>
      <c r="W226" s="823">
        <v>0</v>
      </c>
      <c r="X226" s="823">
        <v>0</v>
      </c>
      <c r="Y226" s="823">
        <v>0</v>
      </c>
      <c r="Z226" s="823">
        <v>0</v>
      </c>
      <c r="AA226" s="823">
        <v>0</v>
      </c>
      <c r="AB226" s="823">
        <v>0</v>
      </c>
      <c r="AC226" s="825">
        <v>0</v>
      </c>
      <c r="AD226" s="825">
        <v>0</v>
      </c>
      <c r="AE226" s="825">
        <v>0</v>
      </c>
      <c r="AF226" s="825">
        <v>0</v>
      </c>
      <c r="AG226" s="825">
        <v>0</v>
      </c>
      <c r="AH226" s="825">
        <v>0</v>
      </c>
      <c r="AI226" s="825">
        <v>0</v>
      </c>
      <c r="AJ226" s="825">
        <v>0</v>
      </c>
      <c r="AK226" s="825">
        <v>0</v>
      </c>
      <c r="AL226" s="825">
        <v>0</v>
      </c>
      <c r="AM226" s="825">
        <v>0</v>
      </c>
      <c r="AN226" s="825">
        <v>0</v>
      </c>
      <c r="AO226" s="825">
        <v>0</v>
      </c>
      <c r="AP226" s="825">
        <v>0</v>
      </c>
      <c r="AQ226" s="51"/>
      <c r="AR226" s="51"/>
      <c r="AS226" s="51"/>
      <c r="AT226" s="51"/>
      <c r="AU226" s="51"/>
      <c r="AV226" s="51"/>
      <c r="AW226" s="51"/>
      <c r="AX226" s="51"/>
      <c r="AY226" s="51"/>
      <c r="AZ226" s="51"/>
      <c r="BA226" s="51"/>
      <c r="BB226" s="51"/>
      <c r="BC226" s="51"/>
      <c r="BD226" s="51"/>
      <c r="BE226" s="51"/>
      <c r="BF226" s="51"/>
      <c r="BG226" s="51"/>
      <c r="BH226" s="51"/>
      <c r="BI226" s="51"/>
      <c r="BJ226" s="51"/>
      <c r="BK226" s="51"/>
      <c r="BL226" s="51"/>
      <c r="BM226" s="51"/>
      <c r="BN226" s="51"/>
      <c r="BO226" s="51"/>
      <c r="BP226" s="51"/>
      <c r="BQ226" s="51"/>
      <c r="BR226" s="51"/>
      <c r="BS226" s="51"/>
      <c r="BT226" s="51"/>
      <c r="BU226" s="51"/>
      <c r="BV226" s="51"/>
      <c r="BW226" s="51"/>
      <c r="BX226" s="51"/>
      <c r="BY226" s="51"/>
      <c r="BZ226" s="51"/>
      <c r="CA226" s="51"/>
      <c r="CB226" s="51"/>
      <c r="CC226" s="51"/>
      <c r="CD226" s="51"/>
      <c r="CE226" s="51"/>
      <c r="CF226" s="51"/>
      <c r="CG226" s="51"/>
      <c r="CH226" s="51"/>
      <c r="CI226" s="51"/>
      <c r="CJ226" s="51"/>
      <c r="CK226" s="51"/>
      <c r="CL226" s="51"/>
      <c r="CM226" s="51"/>
      <c r="CN226" s="51"/>
      <c r="CO226" s="51"/>
      <c r="CP226" s="51"/>
      <c r="CQ226" s="51"/>
      <c r="CR226" s="51"/>
      <c r="CS226" s="51"/>
      <c r="CT226" s="51"/>
      <c r="CU226" s="51"/>
      <c r="CV226" s="51"/>
      <c r="CW226" s="51"/>
      <c r="CX226" s="51"/>
      <c r="CY226" s="51"/>
      <c r="CZ226" s="51"/>
      <c r="DA226" s="51"/>
      <c r="DB226" s="51"/>
      <c r="DC226" s="51"/>
      <c r="DD226" s="51"/>
      <c r="DE226" s="51"/>
      <c r="DF226" s="51"/>
      <c r="DG226" s="51"/>
      <c r="DH226" s="51"/>
      <c r="DI226" s="51"/>
      <c r="DJ226" s="51"/>
      <c r="DK226" s="51"/>
      <c r="DL226" s="51"/>
      <c r="DM226" s="51"/>
      <c r="DN226" s="51"/>
      <c r="DO226" s="51"/>
      <c r="DP226" s="51"/>
      <c r="DQ226" s="51"/>
      <c r="DR226" s="51"/>
      <c r="DS226" s="51"/>
      <c r="DT226" s="51"/>
      <c r="DU226" s="51"/>
      <c r="DV226" s="51"/>
      <c r="DW226" s="51"/>
      <c r="DX226" s="51"/>
      <c r="DY226" s="51"/>
      <c r="DZ226" s="51"/>
      <c r="EA226" s="51"/>
      <c r="EB226" s="51"/>
      <c r="EC226" s="51"/>
      <c r="ED226" s="51"/>
      <c r="EE226" s="51"/>
      <c r="EF226" s="51"/>
      <c r="EG226" s="51"/>
      <c r="EH226" s="51"/>
      <c r="EI226" s="51"/>
      <c r="EJ226" s="51"/>
      <c r="EK226" s="51"/>
      <c r="EL226" s="51"/>
      <c r="EM226" s="51"/>
      <c r="EN226" s="51"/>
      <c r="EO226" s="51"/>
      <c r="EP226" s="51"/>
      <c r="EQ226" s="51"/>
      <c r="ER226" s="51"/>
      <c r="ES226" s="51"/>
      <c r="ET226" s="51"/>
      <c r="EU226" s="51"/>
      <c r="EV226" s="51"/>
      <c r="EW226" s="51"/>
      <c r="EX226" s="51"/>
      <c r="EY226" s="51"/>
      <c r="EZ226" s="51"/>
      <c r="FA226" s="51"/>
      <c r="FB226" s="51"/>
      <c r="FC226" s="51"/>
      <c r="FD226" s="51"/>
      <c r="FE226" s="51"/>
      <c r="FF226" s="51"/>
      <c r="FG226" s="51"/>
      <c r="FH226" s="51"/>
      <c r="FI226" s="51"/>
      <c r="FJ226" s="51"/>
      <c r="FK226" s="51"/>
      <c r="FL226" s="51"/>
      <c r="FM226" s="51"/>
      <c r="FN226" s="51"/>
      <c r="FO226" s="51"/>
      <c r="FP226" s="51"/>
      <c r="FQ226" s="51"/>
      <c r="FR226" s="51"/>
      <c r="FS226" s="51"/>
      <c r="FT226" s="51"/>
      <c r="FU226" s="51"/>
      <c r="FV226" s="51"/>
      <c r="FW226" s="51"/>
      <c r="FX226" s="51"/>
      <c r="FY226" s="51"/>
      <c r="FZ226" s="51"/>
      <c r="GA226" s="51"/>
      <c r="GB226" s="51"/>
      <c r="GC226" s="51"/>
      <c r="GD226" s="51"/>
      <c r="GE226" s="51"/>
      <c r="GF226" s="51"/>
      <c r="GG226" s="51"/>
      <c r="GH226" s="51"/>
      <c r="GI226" s="51"/>
      <c r="GJ226" s="51"/>
      <c r="GK226" s="51"/>
      <c r="GL226" s="51"/>
      <c r="GM226" s="51"/>
      <c r="GN226" s="51"/>
      <c r="GO226" s="51"/>
      <c r="GP226" s="51"/>
      <c r="GQ226" s="51"/>
      <c r="GR226" s="51"/>
      <c r="GS226" s="51"/>
      <c r="GT226" s="51"/>
      <c r="GU226" s="51"/>
      <c r="GV226" s="51"/>
      <c r="GW226" s="51"/>
      <c r="GX226" s="51"/>
      <c r="GY226" s="51"/>
      <c r="GZ226" s="51"/>
      <c r="HA226" s="51"/>
      <c r="HB226" s="51"/>
      <c r="HC226" s="51"/>
      <c r="HD226" s="51"/>
      <c r="HE226" s="51"/>
      <c r="HF226" s="51"/>
      <c r="HG226" s="51"/>
      <c r="HH226" s="51"/>
      <c r="HI226" s="51"/>
      <c r="HJ226" s="51"/>
      <c r="HK226" s="51"/>
      <c r="HL226" s="51"/>
      <c r="HM226" s="51"/>
      <c r="HN226" s="51"/>
      <c r="HO226" s="51"/>
      <c r="HP226" s="51"/>
      <c r="HQ226" s="51"/>
      <c r="HR226" s="51"/>
      <c r="HS226" s="51"/>
      <c r="HT226" s="51"/>
      <c r="HU226" s="51"/>
      <c r="HV226" s="51"/>
      <c r="HW226" s="51"/>
      <c r="HX226" s="51"/>
      <c r="HY226" s="51"/>
      <c r="HZ226" s="51"/>
      <c r="IA226" s="51"/>
      <c r="IB226" s="51"/>
      <c r="IC226" s="51"/>
      <c r="ID226" s="51"/>
      <c r="IE226" s="51"/>
      <c r="IF226" s="51"/>
      <c r="IG226" s="51"/>
      <c r="IH226" s="51"/>
      <c r="II226" s="51"/>
      <c r="IJ226" s="51"/>
      <c r="IK226" s="51"/>
      <c r="IL226" s="51"/>
      <c r="IM226" s="51"/>
      <c r="IN226" s="51"/>
      <c r="IO226" s="51"/>
      <c r="IP226" s="51"/>
      <c r="IQ226" s="51"/>
      <c r="IR226" s="51"/>
      <c r="IS226" s="51"/>
      <c r="IT226" s="51"/>
      <c r="IU226" s="51"/>
      <c r="IV226" s="51"/>
    </row>
    <row r="227" hidden="1">
      <c r="B227" s="826" t="s">
        <v>21</v>
      </c>
      <c r="C227" s="827">
        <v>0</v>
      </c>
      <c r="D227" s="827">
        <v>0</v>
      </c>
      <c r="E227" s="827">
        <v>0</v>
      </c>
      <c r="F227" s="827">
        <v>0</v>
      </c>
      <c r="G227" s="827">
        <v>0</v>
      </c>
      <c r="H227" s="827">
        <v>0</v>
      </c>
      <c r="I227" s="827">
        <v>0</v>
      </c>
      <c r="J227" s="827">
        <v>0</v>
      </c>
      <c r="K227" s="827">
        <v>0</v>
      </c>
      <c r="L227" s="827">
        <v>0</v>
      </c>
      <c r="M227" s="827">
        <v>1</v>
      </c>
      <c r="N227" s="827">
        <v>1</v>
      </c>
      <c r="O227" s="827">
        <v>0</v>
      </c>
      <c r="P227" s="827">
        <v>0</v>
      </c>
      <c r="Q227" s="827">
        <v>0</v>
      </c>
      <c r="R227" s="827">
        <v>0</v>
      </c>
      <c r="S227" s="827">
        <v>0</v>
      </c>
      <c r="T227" s="827">
        <v>0</v>
      </c>
      <c r="U227" s="827">
        <v>0</v>
      </c>
      <c r="V227" s="827">
        <v>0</v>
      </c>
      <c r="W227" s="827">
        <v>0</v>
      </c>
      <c r="X227" s="827">
        <v>0</v>
      </c>
      <c r="Y227" s="827">
        <v>0</v>
      </c>
      <c r="Z227" s="827">
        <v>0</v>
      </c>
      <c r="AA227" s="827">
        <v>0</v>
      </c>
      <c r="AB227" s="827">
        <v>0</v>
      </c>
      <c r="AC227" s="828">
        <v>0</v>
      </c>
      <c r="AD227" s="828">
        <v>0</v>
      </c>
      <c r="AE227" s="828">
        <v>0</v>
      </c>
      <c r="AF227" s="828">
        <v>0</v>
      </c>
      <c r="AG227" s="828">
        <v>0</v>
      </c>
      <c r="AH227" s="828">
        <v>0</v>
      </c>
      <c r="AI227" s="828">
        <v>0</v>
      </c>
      <c r="AJ227" s="828">
        <v>0</v>
      </c>
      <c r="AK227" s="828">
        <v>0</v>
      </c>
      <c r="AL227" s="828">
        <v>0</v>
      </c>
      <c r="AM227" s="828">
        <v>0</v>
      </c>
      <c r="AN227" s="828">
        <v>0</v>
      </c>
      <c r="AO227" s="828">
        <v>0</v>
      </c>
      <c r="AP227" s="828">
        <v>0</v>
      </c>
      <c r="AQ227" s="51"/>
      <c r="AR227" s="51"/>
      <c r="AS227" s="51"/>
      <c r="AT227" s="51"/>
      <c r="AU227" s="51"/>
      <c r="AV227" s="51"/>
      <c r="AW227" s="51"/>
      <c r="AX227" s="51"/>
      <c r="AY227" s="51"/>
      <c r="AZ227" s="51"/>
      <c r="BA227" s="51"/>
      <c r="BB227" s="51"/>
      <c r="BC227" s="51"/>
      <c r="BD227" s="51"/>
      <c r="BE227" s="51"/>
      <c r="BF227" s="51"/>
      <c r="BG227" s="51"/>
      <c r="BH227" s="51"/>
      <c r="BI227" s="51"/>
      <c r="BJ227" s="51"/>
      <c r="BK227" s="51"/>
      <c r="BL227" s="51"/>
      <c r="BM227" s="51"/>
      <c r="BN227" s="51"/>
      <c r="BO227" s="51"/>
      <c r="BP227" s="51"/>
      <c r="BQ227" s="51"/>
      <c r="BR227" s="51"/>
      <c r="BS227" s="51"/>
      <c r="BT227" s="51"/>
      <c r="BU227" s="51"/>
      <c r="BV227" s="51"/>
      <c r="BW227" s="51"/>
      <c r="BX227" s="51"/>
      <c r="BY227" s="51"/>
      <c r="BZ227" s="51"/>
      <c r="CA227" s="51"/>
      <c r="CB227" s="51"/>
      <c r="CC227" s="51"/>
      <c r="CD227" s="51"/>
      <c r="CE227" s="51"/>
      <c r="CF227" s="51"/>
      <c r="CG227" s="51"/>
      <c r="CH227" s="51"/>
      <c r="CI227" s="51"/>
      <c r="CJ227" s="51"/>
      <c r="CK227" s="51"/>
      <c r="CL227" s="51"/>
      <c r="CM227" s="51"/>
      <c r="CN227" s="51"/>
      <c r="CO227" s="51"/>
      <c r="CP227" s="51"/>
      <c r="CQ227" s="51"/>
      <c r="CR227" s="51"/>
      <c r="CS227" s="51"/>
      <c r="CT227" s="51"/>
      <c r="CU227" s="51"/>
      <c r="CV227" s="51"/>
      <c r="CW227" s="51"/>
      <c r="CX227" s="51"/>
      <c r="CY227" s="51"/>
      <c r="CZ227" s="51"/>
      <c r="DA227" s="51"/>
      <c r="DB227" s="51"/>
      <c r="DC227" s="51"/>
      <c r="DD227" s="51"/>
      <c r="DE227" s="51"/>
      <c r="DF227" s="51"/>
      <c r="DG227" s="51"/>
      <c r="DH227" s="51"/>
      <c r="DI227" s="51"/>
      <c r="DJ227" s="51"/>
      <c r="DK227" s="51"/>
      <c r="DL227" s="51"/>
      <c r="DM227" s="51"/>
      <c r="DN227" s="51"/>
      <c r="DO227" s="51"/>
      <c r="DP227" s="51"/>
      <c r="DQ227" s="51"/>
      <c r="DR227" s="51"/>
      <c r="DS227" s="51"/>
      <c r="DT227" s="51"/>
      <c r="DU227" s="51"/>
      <c r="DV227" s="51"/>
      <c r="DW227" s="51"/>
      <c r="DX227" s="51"/>
      <c r="DY227" s="51"/>
      <c r="DZ227" s="51"/>
      <c r="EA227" s="51"/>
      <c r="EB227" s="51"/>
      <c r="EC227" s="51"/>
      <c r="ED227" s="51"/>
      <c r="EE227" s="51"/>
      <c r="EF227" s="51"/>
      <c r="EG227" s="51"/>
      <c r="EH227" s="51"/>
      <c r="EI227" s="51"/>
      <c r="EJ227" s="51"/>
      <c r="EK227" s="51"/>
      <c r="EL227" s="51"/>
      <c r="EM227" s="51"/>
      <c r="EN227" s="51"/>
      <c r="EO227" s="51"/>
      <c r="EP227" s="51"/>
      <c r="EQ227" s="51"/>
      <c r="ER227" s="51"/>
      <c r="ES227" s="51"/>
      <c r="ET227" s="51"/>
      <c r="EU227" s="51"/>
      <c r="EV227" s="51"/>
      <c r="EW227" s="51"/>
      <c r="EX227" s="51"/>
      <c r="EY227" s="51"/>
      <c r="EZ227" s="51"/>
      <c r="FA227" s="51"/>
      <c r="FB227" s="51"/>
      <c r="FC227" s="51"/>
      <c r="FD227" s="51"/>
      <c r="FE227" s="51"/>
      <c r="FF227" s="51"/>
      <c r="FG227" s="51"/>
      <c r="FH227" s="51"/>
      <c r="FI227" s="51"/>
      <c r="FJ227" s="51"/>
      <c r="FK227" s="51"/>
      <c r="FL227" s="51"/>
      <c r="FM227" s="51"/>
      <c r="FN227" s="51"/>
      <c r="FO227" s="51"/>
      <c r="FP227" s="51"/>
      <c r="FQ227" s="51"/>
      <c r="FR227" s="51"/>
      <c r="FS227" s="51"/>
      <c r="FT227" s="51"/>
      <c r="FU227" s="51"/>
      <c r="FV227" s="51"/>
      <c r="FW227" s="51"/>
      <c r="FX227" s="51"/>
      <c r="FY227" s="51"/>
      <c r="FZ227" s="51"/>
      <c r="GA227" s="51"/>
      <c r="GB227" s="51"/>
      <c r="GC227" s="51"/>
      <c r="GD227" s="51"/>
      <c r="GE227" s="51"/>
      <c r="GF227" s="51"/>
      <c r="GG227" s="51"/>
      <c r="GH227" s="51"/>
      <c r="GI227" s="51"/>
      <c r="GJ227" s="51"/>
      <c r="GK227" s="51"/>
      <c r="GL227" s="51"/>
      <c r="GM227" s="51"/>
      <c r="GN227" s="51"/>
      <c r="GO227" s="51"/>
      <c r="GP227" s="51"/>
      <c r="GQ227" s="51"/>
      <c r="GR227" s="51"/>
      <c r="GS227" s="51"/>
      <c r="GT227" s="51"/>
      <c r="GU227" s="51"/>
      <c r="GV227" s="51"/>
      <c r="GW227" s="51"/>
      <c r="GX227" s="51"/>
      <c r="GY227" s="51"/>
      <c r="GZ227" s="51"/>
      <c r="HA227" s="51"/>
      <c r="HB227" s="51"/>
      <c r="HC227" s="51"/>
      <c r="HD227" s="51"/>
      <c r="HE227" s="51"/>
      <c r="HF227" s="51"/>
      <c r="HG227" s="51"/>
      <c r="HH227" s="51"/>
      <c r="HI227" s="51"/>
      <c r="HJ227" s="51"/>
      <c r="HK227" s="51"/>
      <c r="HL227" s="51"/>
      <c r="HM227" s="51"/>
      <c r="HN227" s="51"/>
      <c r="HO227" s="51"/>
      <c r="HP227" s="51"/>
      <c r="HQ227" s="51"/>
      <c r="HR227" s="51"/>
      <c r="HS227" s="51"/>
      <c r="HT227" s="51"/>
      <c r="HU227" s="51"/>
      <c r="HV227" s="51"/>
      <c r="HW227" s="51"/>
      <c r="HX227" s="51"/>
      <c r="HY227" s="51"/>
      <c r="HZ227" s="51"/>
      <c r="IA227" s="51"/>
      <c r="IB227" s="51"/>
      <c r="IC227" s="51"/>
      <c r="ID227" s="51"/>
      <c r="IE227" s="51"/>
      <c r="IF227" s="51"/>
      <c r="IG227" s="51"/>
      <c r="IH227" s="51"/>
      <c r="II227" s="51"/>
      <c r="IJ227" s="51"/>
      <c r="IK227" s="51"/>
      <c r="IL227" s="51"/>
      <c r="IM227" s="51"/>
      <c r="IN227" s="51"/>
      <c r="IO227" s="51"/>
      <c r="IP227" s="51"/>
      <c r="IQ227" s="51"/>
      <c r="IR227" s="51"/>
      <c r="IS227" s="51"/>
      <c r="IT227" s="51"/>
      <c r="IU227" s="51"/>
      <c r="IV227" s="51"/>
    </row>
    <row r="228" hidden="1">
      <c r="B228" s="829" t="s">
        <v>22</v>
      </c>
      <c r="C228" s="823">
        <v>0</v>
      </c>
      <c r="D228" s="823">
        <v>0</v>
      </c>
      <c r="E228" s="823">
        <v>0</v>
      </c>
      <c r="F228" s="823">
        <v>0</v>
      </c>
      <c r="G228" s="823">
        <v>0</v>
      </c>
      <c r="H228" s="823">
        <v>0</v>
      </c>
      <c r="I228" s="823">
        <v>0</v>
      </c>
      <c r="J228" s="823">
        <v>3</v>
      </c>
      <c r="K228" s="823">
        <v>3</v>
      </c>
      <c r="L228" s="823">
        <v>3</v>
      </c>
      <c r="M228" s="823">
        <v>3</v>
      </c>
      <c r="N228" s="823">
        <v>3</v>
      </c>
      <c r="O228" s="823">
        <v>0</v>
      </c>
      <c r="P228" s="823">
        <v>0</v>
      </c>
      <c r="Q228" s="823">
        <v>0</v>
      </c>
      <c r="R228" s="823">
        <v>0</v>
      </c>
      <c r="S228" s="823">
        <v>0</v>
      </c>
      <c r="T228" s="823">
        <v>0</v>
      </c>
      <c r="U228" s="823">
        <v>0</v>
      </c>
      <c r="V228" s="823">
        <v>0</v>
      </c>
      <c r="W228" s="823">
        <v>0</v>
      </c>
      <c r="X228" s="823">
        <v>0</v>
      </c>
      <c r="Y228" s="823">
        <v>0</v>
      </c>
      <c r="Z228" s="823">
        <v>0</v>
      </c>
      <c r="AA228" s="823">
        <v>0</v>
      </c>
      <c r="AB228" s="823">
        <v>0</v>
      </c>
      <c r="AC228" s="825">
        <v>0</v>
      </c>
      <c r="AD228" s="825">
        <v>0</v>
      </c>
      <c r="AE228" s="825">
        <v>0</v>
      </c>
      <c r="AF228" s="825">
        <v>0</v>
      </c>
      <c r="AG228" s="825">
        <v>0</v>
      </c>
      <c r="AH228" s="825">
        <v>0</v>
      </c>
      <c r="AI228" s="825">
        <v>0</v>
      </c>
      <c r="AJ228" s="825">
        <v>0</v>
      </c>
      <c r="AK228" s="825">
        <v>0</v>
      </c>
      <c r="AL228" s="825">
        <v>0</v>
      </c>
      <c r="AM228" s="825">
        <v>0</v>
      </c>
      <c r="AN228" s="825">
        <v>0</v>
      </c>
      <c r="AO228" s="825">
        <v>0</v>
      </c>
      <c r="AP228" s="825">
        <v>0</v>
      </c>
      <c r="AQ228" s="51"/>
      <c r="AR228" s="51"/>
      <c r="AS228" s="51"/>
      <c r="AT228" s="51"/>
      <c r="AU228" s="51"/>
      <c r="AV228" s="51"/>
      <c r="AW228" s="51"/>
      <c r="AX228" s="51"/>
      <c r="AY228" s="51"/>
      <c r="AZ228" s="51"/>
      <c r="BA228" s="51"/>
      <c r="BB228" s="51"/>
      <c r="BC228" s="51"/>
      <c r="BD228" s="51"/>
      <c r="BE228" s="51"/>
      <c r="BF228" s="51"/>
      <c r="BG228" s="51"/>
      <c r="BH228" s="51"/>
      <c r="BI228" s="51"/>
      <c r="BJ228" s="51"/>
      <c r="BK228" s="51"/>
      <c r="BL228" s="51"/>
      <c r="BM228" s="51"/>
      <c r="BN228" s="51"/>
      <c r="BO228" s="51"/>
      <c r="BP228" s="51"/>
      <c r="BQ228" s="51"/>
      <c r="BR228" s="51"/>
      <c r="BS228" s="51"/>
      <c r="BT228" s="51"/>
      <c r="BU228" s="51"/>
      <c r="BV228" s="51"/>
      <c r="BW228" s="51"/>
      <c r="BX228" s="51"/>
      <c r="BY228" s="51"/>
      <c r="BZ228" s="51"/>
      <c r="CA228" s="51"/>
      <c r="CB228" s="51"/>
      <c r="CC228" s="51"/>
      <c r="CD228" s="51"/>
      <c r="CE228" s="51"/>
      <c r="CF228" s="51"/>
      <c r="CG228" s="51"/>
      <c r="CH228" s="51"/>
      <c r="CI228" s="51"/>
      <c r="CJ228" s="51"/>
      <c r="CK228" s="51"/>
      <c r="CL228" s="51"/>
      <c r="CM228" s="51"/>
      <c r="CN228" s="51"/>
      <c r="CO228" s="51"/>
      <c r="CP228" s="51"/>
      <c r="CQ228" s="51"/>
      <c r="CR228" s="51"/>
      <c r="CS228" s="51"/>
      <c r="CT228" s="51"/>
      <c r="CU228" s="51"/>
      <c r="CV228" s="51"/>
      <c r="CW228" s="51"/>
      <c r="CX228" s="51"/>
      <c r="CY228" s="51"/>
      <c r="CZ228" s="51"/>
      <c r="DA228" s="51"/>
      <c r="DB228" s="51"/>
      <c r="DC228" s="51"/>
      <c r="DD228" s="51"/>
      <c r="DE228" s="51"/>
      <c r="DF228" s="51"/>
      <c r="DG228" s="51"/>
      <c r="DH228" s="51"/>
      <c r="DI228" s="51"/>
      <c r="DJ228" s="51"/>
      <c r="DK228" s="51"/>
      <c r="DL228" s="51"/>
      <c r="DM228" s="51"/>
      <c r="DN228" s="51"/>
      <c r="DO228" s="51"/>
      <c r="DP228" s="51"/>
      <c r="DQ228" s="51"/>
      <c r="DR228" s="51"/>
      <c r="DS228" s="51"/>
      <c r="DT228" s="51"/>
      <c r="DU228" s="51"/>
      <c r="DV228" s="51"/>
      <c r="DW228" s="51"/>
      <c r="DX228" s="51"/>
      <c r="DY228" s="51"/>
      <c r="DZ228" s="51"/>
      <c r="EA228" s="51"/>
      <c r="EB228" s="51"/>
      <c r="EC228" s="51"/>
      <c r="ED228" s="51"/>
      <c r="EE228" s="51"/>
      <c r="EF228" s="51"/>
      <c r="EG228" s="51"/>
      <c r="EH228" s="51"/>
      <c r="EI228" s="51"/>
      <c r="EJ228" s="51"/>
      <c r="EK228" s="51"/>
      <c r="EL228" s="51"/>
      <c r="EM228" s="51"/>
      <c r="EN228" s="51"/>
      <c r="EO228" s="51"/>
      <c r="EP228" s="51"/>
      <c r="EQ228" s="51"/>
      <c r="ER228" s="51"/>
      <c r="ES228" s="51"/>
      <c r="ET228" s="51"/>
      <c r="EU228" s="51"/>
      <c r="EV228" s="51"/>
      <c r="EW228" s="51"/>
      <c r="EX228" s="51"/>
      <c r="EY228" s="51"/>
      <c r="EZ228" s="51"/>
      <c r="FA228" s="51"/>
      <c r="FB228" s="51"/>
      <c r="FC228" s="51"/>
      <c r="FD228" s="51"/>
      <c r="FE228" s="51"/>
      <c r="FF228" s="51"/>
      <c r="FG228" s="51"/>
      <c r="FH228" s="51"/>
      <c r="FI228" s="51"/>
      <c r="FJ228" s="51"/>
      <c r="FK228" s="51"/>
      <c r="FL228" s="51"/>
      <c r="FM228" s="51"/>
      <c r="FN228" s="51"/>
      <c r="FO228" s="51"/>
      <c r="FP228" s="51"/>
      <c r="FQ228" s="51"/>
      <c r="FR228" s="51"/>
      <c r="FS228" s="51"/>
      <c r="FT228" s="51"/>
      <c r="FU228" s="51"/>
      <c r="FV228" s="51"/>
      <c r="FW228" s="51"/>
      <c r="FX228" s="51"/>
      <c r="FY228" s="51"/>
      <c r="FZ228" s="51"/>
      <c r="GA228" s="51"/>
      <c r="GB228" s="51"/>
      <c r="GC228" s="51"/>
      <c r="GD228" s="51"/>
      <c r="GE228" s="51"/>
      <c r="GF228" s="51"/>
      <c r="GG228" s="51"/>
      <c r="GH228" s="51"/>
      <c r="GI228" s="51"/>
      <c r="GJ228" s="51"/>
      <c r="GK228" s="51"/>
      <c r="GL228" s="51"/>
      <c r="GM228" s="51"/>
      <c r="GN228" s="51"/>
      <c r="GO228" s="51"/>
      <c r="GP228" s="51"/>
      <c r="GQ228" s="51"/>
      <c r="GR228" s="51"/>
      <c r="GS228" s="51"/>
      <c r="GT228" s="51"/>
      <c r="GU228" s="51"/>
      <c r="GV228" s="51"/>
      <c r="GW228" s="51"/>
      <c r="GX228" s="51"/>
      <c r="GY228" s="51"/>
      <c r="GZ228" s="51"/>
      <c r="HA228" s="51"/>
      <c r="HB228" s="51"/>
      <c r="HC228" s="51"/>
      <c r="HD228" s="51"/>
      <c r="HE228" s="51"/>
      <c r="HF228" s="51"/>
      <c r="HG228" s="51"/>
      <c r="HH228" s="51"/>
      <c r="HI228" s="51"/>
      <c r="HJ228" s="51"/>
      <c r="HK228" s="51"/>
      <c r="HL228" s="51"/>
      <c r="HM228" s="51"/>
      <c r="HN228" s="51"/>
      <c r="HO228" s="51"/>
      <c r="HP228" s="51"/>
      <c r="HQ228" s="51"/>
      <c r="HR228" s="51"/>
      <c r="HS228" s="51"/>
      <c r="HT228" s="51"/>
      <c r="HU228" s="51"/>
      <c r="HV228" s="51"/>
      <c r="HW228" s="51"/>
      <c r="HX228" s="51"/>
      <c r="HY228" s="51"/>
      <c r="HZ228" s="51"/>
      <c r="IA228" s="51"/>
      <c r="IB228" s="51"/>
      <c r="IC228" s="51"/>
      <c r="ID228" s="51"/>
      <c r="IE228" s="51"/>
      <c r="IF228" s="51"/>
      <c r="IG228" s="51"/>
      <c r="IH228" s="51"/>
      <c r="II228" s="51"/>
      <c r="IJ228" s="51"/>
      <c r="IK228" s="51"/>
      <c r="IL228" s="51"/>
      <c r="IM228" s="51"/>
      <c r="IN228" s="51"/>
      <c r="IO228" s="51"/>
      <c r="IP228" s="51"/>
      <c r="IQ228" s="51"/>
      <c r="IR228" s="51"/>
      <c r="IS228" s="51"/>
      <c r="IT228" s="51"/>
      <c r="IU228" s="51"/>
      <c r="IV228" s="51"/>
    </row>
    <row r="229" hidden="1">
      <c r="B229" s="826" t="s">
        <v>23</v>
      </c>
      <c r="C229" s="827">
        <v>1</v>
      </c>
      <c r="D229" s="827">
        <v>1</v>
      </c>
      <c r="E229" s="827">
        <v>1</v>
      </c>
      <c r="F229" s="827">
        <v>1</v>
      </c>
      <c r="G229" s="827">
        <v>1</v>
      </c>
      <c r="H229" s="827">
        <v>1</v>
      </c>
      <c r="I229" s="827">
        <v>1</v>
      </c>
      <c r="J229" s="827">
        <v>1</v>
      </c>
      <c r="K229" s="827">
        <v>2</v>
      </c>
      <c r="L229" s="827">
        <v>2</v>
      </c>
      <c r="M229" s="827">
        <v>2</v>
      </c>
      <c r="N229" s="827">
        <v>2</v>
      </c>
      <c r="O229" s="827">
        <v>1</v>
      </c>
      <c r="P229" s="827">
        <v>1</v>
      </c>
      <c r="Q229" s="827">
        <v>1</v>
      </c>
      <c r="R229" s="827">
        <v>1</v>
      </c>
      <c r="S229" s="827">
        <v>1</v>
      </c>
      <c r="T229" s="827">
        <v>1</v>
      </c>
      <c r="U229" s="827">
        <v>1</v>
      </c>
      <c r="V229" s="827">
        <v>1</v>
      </c>
      <c r="W229" s="827">
        <v>1</v>
      </c>
      <c r="X229" s="827">
        <v>1</v>
      </c>
      <c r="Y229" s="827">
        <v>1</v>
      </c>
      <c r="Z229" s="827">
        <v>1</v>
      </c>
      <c r="AA229" s="827">
        <v>1</v>
      </c>
      <c r="AB229" s="827">
        <v>1</v>
      </c>
      <c r="AC229" s="828">
        <v>1</v>
      </c>
      <c r="AD229" s="828">
        <v>1</v>
      </c>
      <c r="AE229" s="828">
        <v>1</v>
      </c>
      <c r="AF229" s="828">
        <v>1</v>
      </c>
      <c r="AG229" s="828">
        <v>1</v>
      </c>
      <c r="AH229" s="828">
        <v>1</v>
      </c>
      <c r="AI229" s="828">
        <v>0</v>
      </c>
      <c r="AJ229" s="828">
        <v>0</v>
      </c>
      <c r="AK229" s="828">
        <v>0</v>
      </c>
      <c r="AL229" s="828">
        <v>0</v>
      </c>
      <c r="AM229" s="828">
        <v>0</v>
      </c>
      <c r="AN229" s="828">
        <v>0</v>
      </c>
      <c r="AO229" s="828">
        <v>0</v>
      </c>
      <c r="AP229" s="828">
        <v>0</v>
      </c>
      <c r="AQ229" s="51"/>
      <c r="AR229" s="51"/>
      <c r="AS229" s="51"/>
      <c r="AT229" s="51"/>
      <c r="AU229" s="51"/>
      <c r="AV229" s="51"/>
      <c r="AW229" s="51"/>
      <c r="AX229" s="51"/>
      <c r="AY229" s="51"/>
      <c r="AZ229" s="51"/>
      <c r="BA229" s="51"/>
      <c r="BB229" s="51"/>
      <c r="BC229" s="51"/>
      <c r="BD229" s="51"/>
      <c r="BE229" s="51"/>
      <c r="BF229" s="51"/>
      <c r="BG229" s="51"/>
      <c r="BH229" s="51"/>
      <c r="BI229" s="51"/>
      <c r="BJ229" s="51"/>
      <c r="BK229" s="51"/>
      <c r="BL229" s="51"/>
      <c r="BM229" s="51"/>
      <c r="BN229" s="51"/>
      <c r="BO229" s="51"/>
      <c r="BP229" s="51"/>
      <c r="BQ229" s="51"/>
      <c r="BR229" s="51"/>
      <c r="BS229" s="51"/>
      <c r="BT229" s="51"/>
      <c r="BU229" s="51"/>
      <c r="BV229" s="51"/>
      <c r="BW229" s="51"/>
      <c r="BX229" s="51"/>
      <c r="BY229" s="51"/>
      <c r="BZ229" s="51"/>
      <c r="CA229" s="51"/>
      <c r="CB229" s="51"/>
      <c r="CC229" s="51"/>
      <c r="CD229" s="51"/>
      <c r="CE229" s="51"/>
      <c r="CF229" s="51"/>
      <c r="CG229" s="51"/>
      <c r="CH229" s="51"/>
      <c r="CI229" s="51"/>
      <c r="CJ229" s="51"/>
      <c r="CK229" s="51"/>
      <c r="CL229" s="51"/>
      <c r="CM229" s="51"/>
      <c r="CN229" s="51"/>
      <c r="CO229" s="51"/>
      <c r="CP229" s="51"/>
      <c r="CQ229" s="51"/>
      <c r="CR229" s="51"/>
      <c r="CS229" s="51"/>
      <c r="CT229" s="51"/>
      <c r="CU229" s="51"/>
      <c r="CV229" s="51"/>
      <c r="CW229" s="51"/>
      <c r="CX229" s="51"/>
      <c r="CY229" s="51"/>
      <c r="CZ229" s="51"/>
      <c r="DA229" s="51"/>
      <c r="DB229" s="51"/>
      <c r="DC229" s="51"/>
      <c r="DD229" s="51"/>
      <c r="DE229" s="51"/>
      <c r="DF229" s="51"/>
      <c r="DG229" s="51"/>
      <c r="DH229" s="51"/>
      <c r="DI229" s="51"/>
      <c r="DJ229" s="51"/>
      <c r="DK229" s="51"/>
      <c r="DL229" s="51"/>
      <c r="DM229" s="51"/>
      <c r="DN229" s="51"/>
      <c r="DO229" s="51"/>
      <c r="DP229" s="51"/>
      <c r="DQ229" s="51"/>
      <c r="DR229" s="51"/>
      <c r="DS229" s="51"/>
      <c r="DT229" s="51"/>
      <c r="DU229" s="51"/>
      <c r="DV229" s="51"/>
      <c r="DW229" s="51"/>
      <c r="DX229" s="51"/>
      <c r="DY229" s="51"/>
      <c r="DZ229" s="51"/>
      <c r="EA229" s="51"/>
      <c r="EB229" s="51"/>
      <c r="EC229" s="51"/>
      <c r="ED229" s="51"/>
      <c r="EE229" s="51"/>
      <c r="EF229" s="51"/>
      <c r="EG229" s="51"/>
      <c r="EH229" s="51"/>
      <c r="EI229" s="51"/>
      <c r="EJ229" s="51"/>
      <c r="EK229" s="51"/>
      <c r="EL229" s="51"/>
      <c r="EM229" s="51"/>
      <c r="EN229" s="51"/>
      <c r="EO229" s="51"/>
      <c r="EP229" s="51"/>
      <c r="EQ229" s="51"/>
      <c r="ER229" s="51"/>
      <c r="ES229" s="51"/>
      <c r="ET229" s="51"/>
      <c r="EU229" s="51"/>
      <c r="EV229" s="51"/>
      <c r="EW229" s="51"/>
      <c r="EX229" s="51"/>
      <c r="EY229" s="51"/>
      <c r="EZ229" s="51"/>
      <c r="FA229" s="51"/>
      <c r="FB229" s="51"/>
      <c r="FC229" s="51"/>
      <c r="FD229" s="51"/>
      <c r="FE229" s="51"/>
      <c r="FF229" s="51"/>
      <c r="FG229" s="51"/>
      <c r="FH229" s="51"/>
      <c r="FI229" s="51"/>
      <c r="FJ229" s="51"/>
      <c r="FK229" s="51"/>
      <c r="FL229" s="51"/>
      <c r="FM229" s="51"/>
      <c r="FN229" s="51"/>
      <c r="FO229" s="51"/>
      <c r="FP229" s="51"/>
      <c r="FQ229" s="51"/>
      <c r="FR229" s="51"/>
      <c r="FS229" s="51"/>
      <c r="FT229" s="51"/>
      <c r="FU229" s="51"/>
      <c r="FV229" s="51"/>
      <c r="FW229" s="51"/>
      <c r="FX229" s="51"/>
      <c r="FY229" s="51"/>
      <c r="FZ229" s="51"/>
      <c r="GA229" s="51"/>
      <c r="GB229" s="51"/>
      <c r="GC229" s="51"/>
      <c r="GD229" s="51"/>
      <c r="GE229" s="51"/>
      <c r="GF229" s="51"/>
      <c r="GG229" s="51"/>
      <c r="GH229" s="51"/>
      <c r="GI229" s="51"/>
      <c r="GJ229" s="51"/>
      <c r="GK229" s="51"/>
      <c r="GL229" s="51"/>
      <c r="GM229" s="51"/>
      <c r="GN229" s="51"/>
      <c r="GO229" s="51"/>
      <c r="GP229" s="51"/>
      <c r="GQ229" s="51"/>
      <c r="GR229" s="51"/>
      <c r="GS229" s="51"/>
      <c r="GT229" s="51"/>
      <c r="GU229" s="51"/>
      <c r="GV229" s="51"/>
      <c r="GW229" s="51"/>
      <c r="GX229" s="51"/>
      <c r="GY229" s="51"/>
      <c r="GZ229" s="51"/>
      <c r="HA229" s="51"/>
      <c r="HB229" s="51"/>
      <c r="HC229" s="51"/>
      <c r="HD229" s="51"/>
      <c r="HE229" s="51"/>
      <c r="HF229" s="51"/>
      <c r="HG229" s="51"/>
      <c r="HH229" s="51"/>
      <c r="HI229" s="51"/>
      <c r="HJ229" s="51"/>
      <c r="HK229" s="51"/>
      <c r="HL229" s="51"/>
      <c r="HM229" s="51"/>
      <c r="HN229" s="51"/>
      <c r="HO229" s="51"/>
      <c r="HP229" s="51"/>
      <c r="HQ229" s="51"/>
      <c r="HR229" s="51"/>
      <c r="HS229" s="51"/>
      <c r="HT229" s="51"/>
      <c r="HU229" s="51"/>
      <c r="HV229" s="51"/>
      <c r="HW229" s="51"/>
      <c r="HX229" s="51"/>
      <c r="HY229" s="51"/>
      <c r="HZ229" s="51"/>
      <c r="IA229" s="51"/>
      <c r="IB229" s="51"/>
      <c r="IC229" s="51"/>
      <c r="ID229" s="51"/>
      <c r="IE229" s="51"/>
      <c r="IF229" s="51"/>
      <c r="IG229" s="51"/>
      <c r="IH229" s="51"/>
      <c r="II229" s="51"/>
      <c r="IJ229" s="51"/>
      <c r="IK229" s="51"/>
      <c r="IL229" s="51"/>
      <c r="IM229" s="51"/>
      <c r="IN229" s="51"/>
      <c r="IO229" s="51"/>
      <c r="IP229" s="51"/>
      <c r="IQ229" s="51"/>
      <c r="IR229" s="51"/>
      <c r="IS229" s="51"/>
      <c r="IT229" s="51"/>
      <c r="IU229" s="51"/>
      <c r="IV229" s="51"/>
    </row>
    <row r="230" hidden="1">
      <c r="B230" s="830" t="s">
        <v>24</v>
      </c>
      <c r="C230" s="823">
        <v>67</v>
      </c>
      <c r="D230" s="823">
        <v>64</v>
      </c>
      <c r="E230" s="823">
        <v>58</v>
      </c>
      <c r="F230" s="823">
        <v>55</v>
      </c>
      <c r="G230" s="823">
        <v>53</v>
      </c>
      <c r="H230" s="823">
        <v>51</v>
      </c>
      <c r="I230" s="823">
        <v>51</v>
      </c>
      <c r="J230" s="823">
        <v>50</v>
      </c>
      <c r="K230" s="823">
        <v>52</v>
      </c>
      <c r="L230" s="823">
        <v>51</v>
      </c>
      <c r="M230" s="823">
        <v>3</v>
      </c>
      <c r="N230" s="823">
        <v>52</v>
      </c>
      <c r="O230" s="823">
        <v>0</v>
      </c>
      <c r="P230" s="823">
        <v>0</v>
      </c>
      <c r="Q230" s="823">
        <v>0</v>
      </c>
      <c r="R230" s="823">
        <v>0</v>
      </c>
      <c r="S230" s="823">
        <v>0</v>
      </c>
      <c r="T230" s="823">
        <v>0</v>
      </c>
      <c r="U230" s="823">
        <v>0</v>
      </c>
      <c r="V230" s="823">
        <v>0</v>
      </c>
      <c r="W230" s="823">
        <v>0</v>
      </c>
      <c r="X230" s="823">
        <v>0</v>
      </c>
      <c r="Y230" s="823">
        <v>0</v>
      </c>
      <c r="Z230" s="823">
        <v>0</v>
      </c>
      <c r="AA230" s="823">
        <v>0</v>
      </c>
      <c r="AB230" s="823">
        <v>0</v>
      </c>
      <c r="AC230" s="825">
        <v>0</v>
      </c>
      <c r="AD230" s="825">
        <v>0</v>
      </c>
      <c r="AE230" s="825">
        <v>0</v>
      </c>
      <c r="AF230" s="825">
        <v>0</v>
      </c>
      <c r="AG230" s="825">
        <v>0</v>
      </c>
      <c r="AH230" s="825">
        <v>0</v>
      </c>
      <c r="AI230" s="825">
        <v>0</v>
      </c>
      <c r="AJ230" s="825">
        <v>0</v>
      </c>
      <c r="AK230" s="825">
        <v>0</v>
      </c>
      <c r="AL230" s="825">
        <v>0</v>
      </c>
      <c r="AM230" s="825">
        <v>0</v>
      </c>
      <c r="AN230" s="825">
        <v>0</v>
      </c>
      <c r="AO230" s="825">
        <v>0</v>
      </c>
      <c r="AP230" s="825">
        <v>0</v>
      </c>
      <c r="AQ230" s="51"/>
      <c r="AR230" s="51"/>
      <c r="AS230" s="51"/>
      <c r="AT230" s="51"/>
      <c r="AU230" s="51"/>
      <c r="AV230" s="51"/>
      <c r="AW230" s="51"/>
      <c r="AX230" s="51"/>
      <c r="AY230" s="51"/>
      <c r="AZ230" s="51"/>
      <c r="BA230" s="51"/>
      <c r="BB230" s="51"/>
      <c r="BC230" s="51"/>
      <c r="BD230" s="51"/>
      <c r="BE230" s="51"/>
      <c r="BF230" s="51"/>
      <c r="BG230" s="51"/>
      <c r="BH230" s="51"/>
      <c r="BI230" s="51"/>
      <c r="BJ230" s="51"/>
      <c r="BK230" s="51"/>
      <c r="BL230" s="51"/>
      <c r="BM230" s="51"/>
      <c r="BN230" s="51"/>
      <c r="BO230" s="51"/>
      <c r="BP230" s="51"/>
      <c r="BQ230" s="51"/>
      <c r="BR230" s="51"/>
      <c r="BS230" s="51"/>
      <c r="BT230" s="51"/>
      <c r="BU230" s="51"/>
      <c r="BV230" s="51"/>
      <c r="BW230" s="51"/>
      <c r="BX230" s="51"/>
      <c r="BY230" s="51"/>
      <c r="BZ230" s="51"/>
      <c r="CA230" s="51"/>
      <c r="CB230" s="51"/>
      <c r="CC230" s="51"/>
      <c r="CD230" s="51"/>
      <c r="CE230" s="51"/>
      <c r="CF230" s="51"/>
      <c r="CG230" s="51"/>
      <c r="CH230" s="51"/>
      <c r="CI230" s="51"/>
      <c r="CJ230" s="51"/>
      <c r="CK230" s="51"/>
      <c r="CL230" s="51"/>
      <c r="CM230" s="51"/>
      <c r="CN230" s="51"/>
      <c r="CO230" s="51"/>
      <c r="CP230" s="51"/>
      <c r="CQ230" s="51"/>
      <c r="CR230" s="51"/>
      <c r="CS230" s="51"/>
      <c r="CT230" s="51"/>
      <c r="CU230" s="51"/>
      <c r="CV230" s="51"/>
      <c r="CW230" s="51"/>
      <c r="CX230" s="51"/>
      <c r="CY230" s="51"/>
      <c r="CZ230" s="51"/>
      <c r="DA230" s="51"/>
      <c r="DB230" s="51"/>
      <c r="DC230" s="51"/>
      <c r="DD230" s="51"/>
      <c r="DE230" s="51"/>
      <c r="DF230" s="51"/>
      <c r="DG230" s="51"/>
      <c r="DH230" s="51"/>
      <c r="DI230" s="51"/>
      <c r="DJ230" s="51"/>
      <c r="DK230" s="51"/>
      <c r="DL230" s="51"/>
      <c r="DM230" s="51"/>
      <c r="DN230" s="51"/>
      <c r="DO230" s="51"/>
      <c r="DP230" s="51"/>
      <c r="DQ230" s="51"/>
      <c r="DR230" s="51"/>
      <c r="DS230" s="51"/>
      <c r="DT230" s="51"/>
      <c r="DU230" s="51"/>
      <c r="DV230" s="51"/>
      <c r="DW230" s="51"/>
      <c r="DX230" s="51"/>
      <c r="DY230" s="51"/>
      <c r="DZ230" s="51"/>
      <c r="EA230" s="51"/>
      <c r="EB230" s="51"/>
      <c r="EC230" s="51"/>
      <c r="ED230" s="51"/>
      <c r="EE230" s="51"/>
      <c r="EF230" s="51"/>
      <c r="EG230" s="51"/>
      <c r="EH230" s="51"/>
      <c r="EI230" s="51"/>
      <c r="EJ230" s="51"/>
      <c r="EK230" s="51"/>
      <c r="EL230" s="51"/>
      <c r="EM230" s="51"/>
      <c r="EN230" s="51"/>
      <c r="EO230" s="51"/>
      <c r="EP230" s="51"/>
      <c r="EQ230" s="51"/>
      <c r="ER230" s="51"/>
      <c r="ES230" s="51"/>
      <c r="ET230" s="51"/>
      <c r="EU230" s="51"/>
      <c r="EV230" s="51"/>
      <c r="EW230" s="51"/>
      <c r="EX230" s="51"/>
      <c r="EY230" s="51"/>
      <c r="EZ230" s="51"/>
      <c r="FA230" s="51"/>
      <c r="FB230" s="51"/>
      <c r="FC230" s="51"/>
      <c r="FD230" s="51"/>
      <c r="FE230" s="51"/>
      <c r="FF230" s="51"/>
      <c r="FG230" s="51"/>
      <c r="FH230" s="51"/>
      <c r="FI230" s="51"/>
      <c r="FJ230" s="51"/>
      <c r="FK230" s="51"/>
      <c r="FL230" s="51"/>
      <c r="FM230" s="51"/>
      <c r="FN230" s="51"/>
      <c r="FO230" s="51"/>
      <c r="FP230" s="51"/>
      <c r="FQ230" s="51"/>
      <c r="FR230" s="51"/>
      <c r="FS230" s="51"/>
      <c r="FT230" s="51"/>
      <c r="FU230" s="51"/>
      <c r="FV230" s="51"/>
      <c r="FW230" s="51"/>
      <c r="FX230" s="51"/>
      <c r="FY230" s="51"/>
      <c r="FZ230" s="51"/>
      <c r="GA230" s="51"/>
      <c r="GB230" s="51"/>
      <c r="GC230" s="51"/>
      <c r="GD230" s="51"/>
      <c r="GE230" s="51"/>
      <c r="GF230" s="51"/>
      <c r="GG230" s="51"/>
      <c r="GH230" s="51"/>
      <c r="GI230" s="51"/>
      <c r="GJ230" s="51"/>
      <c r="GK230" s="51"/>
      <c r="GL230" s="51"/>
      <c r="GM230" s="51"/>
      <c r="GN230" s="51"/>
      <c r="GO230" s="51"/>
      <c r="GP230" s="51"/>
      <c r="GQ230" s="51"/>
      <c r="GR230" s="51"/>
      <c r="GS230" s="51"/>
      <c r="GT230" s="51"/>
      <c r="GU230" s="51"/>
      <c r="GV230" s="51"/>
      <c r="GW230" s="51"/>
      <c r="GX230" s="51"/>
      <c r="GY230" s="51"/>
      <c r="GZ230" s="51"/>
      <c r="HA230" s="51"/>
      <c r="HB230" s="51"/>
      <c r="HC230" s="51"/>
      <c r="HD230" s="51"/>
      <c r="HE230" s="51"/>
      <c r="HF230" s="51"/>
      <c r="HG230" s="51"/>
      <c r="HH230" s="51"/>
      <c r="HI230" s="51"/>
      <c r="HJ230" s="51"/>
      <c r="HK230" s="51"/>
      <c r="HL230" s="51"/>
      <c r="HM230" s="51"/>
      <c r="HN230" s="51"/>
      <c r="HO230" s="51"/>
      <c r="HP230" s="51"/>
      <c r="HQ230" s="51"/>
      <c r="HR230" s="51"/>
      <c r="HS230" s="51"/>
      <c r="HT230" s="51"/>
      <c r="HU230" s="51"/>
      <c r="HV230" s="51"/>
      <c r="HW230" s="51"/>
      <c r="HX230" s="51"/>
      <c r="HY230" s="51"/>
      <c r="HZ230" s="51"/>
      <c r="IA230" s="51"/>
      <c r="IB230" s="51"/>
      <c r="IC230" s="51"/>
      <c r="ID230" s="51"/>
      <c r="IE230" s="51"/>
      <c r="IF230" s="51"/>
      <c r="IG230" s="51"/>
      <c r="IH230" s="51"/>
      <c r="II230" s="51"/>
      <c r="IJ230" s="51"/>
      <c r="IK230" s="51"/>
      <c r="IL230" s="51"/>
      <c r="IM230" s="51"/>
      <c r="IN230" s="51"/>
      <c r="IO230" s="51"/>
      <c r="IP230" s="51"/>
      <c r="IQ230" s="51"/>
      <c r="IR230" s="51"/>
      <c r="IS230" s="51"/>
      <c r="IT230" s="51"/>
      <c r="IU230" s="51"/>
      <c r="IV230" s="51"/>
    </row>
    <row r="231" hidden="1">
      <c r="B231" s="826" t="s">
        <v>25</v>
      </c>
      <c r="C231" s="827">
        <v>0</v>
      </c>
      <c r="D231" s="827">
        <v>0</v>
      </c>
      <c r="E231" s="827">
        <v>0</v>
      </c>
      <c r="F231" s="827">
        <v>0</v>
      </c>
      <c r="G231" s="827">
        <v>0</v>
      </c>
      <c r="H231" s="827">
        <v>0</v>
      </c>
      <c r="I231" s="827">
        <v>0</v>
      </c>
      <c r="J231" s="827">
        <v>0</v>
      </c>
      <c r="K231" s="827">
        <v>0</v>
      </c>
      <c r="L231" s="827">
        <v>0</v>
      </c>
      <c r="M231" s="827">
        <v>0</v>
      </c>
      <c r="N231" s="827">
        <v>0</v>
      </c>
      <c r="O231" s="827">
        <v>0</v>
      </c>
      <c r="P231" s="827">
        <v>0</v>
      </c>
      <c r="Q231" s="827">
        <v>0</v>
      </c>
      <c r="R231" s="827">
        <v>0</v>
      </c>
      <c r="S231" s="827">
        <v>0</v>
      </c>
      <c r="T231" s="827">
        <v>0</v>
      </c>
      <c r="U231" s="827">
        <v>0</v>
      </c>
      <c r="V231" s="827">
        <v>0</v>
      </c>
      <c r="W231" s="827">
        <v>0</v>
      </c>
      <c r="X231" s="827">
        <v>0</v>
      </c>
      <c r="Y231" s="827">
        <v>0</v>
      </c>
      <c r="Z231" s="827">
        <v>0</v>
      </c>
      <c r="AA231" s="827">
        <v>0</v>
      </c>
      <c r="AB231" s="827">
        <v>0</v>
      </c>
      <c r="AC231" s="828">
        <v>0</v>
      </c>
      <c r="AD231" s="828">
        <v>0</v>
      </c>
      <c r="AE231" s="828">
        <v>0</v>
      </c>
      <c r="AF231" s="828">
        <v>0</v>
      </c>
      <c r="AG231" s="828">
        <v>0</v>
      </c>
      <c r="AH231" s="828">
        <v>0</v>
      </c>
      <c r="AI231" s="828">
        <v>0</v>
      </c>
      <c r="AJ231" s="828">
        <v>0</v>
      </c>
      <c r="AK231" s="828">
        <v>0</v>
      </c>
      <c r="AL231" s="828">
        <v>0</v>
      </c>
      <c r="AM231" s="828">
        <v>0</v>
      </c>
      <c r="AN231" s="828">
        <v>0</v>
      </c>
      <c r="AO231" s="828">
        <v>0</v>
      </c>
      <c r="AP231" s="828">
        <v>0</v>
      </c>
      <c r="AQ231" s="51"/>
      <c r="AR231" s="51"/>
      <c r="AS231" s="51"/>
      <c r="AT231" s="51"/>
      <c r="AU231" s="51"/>
      <c r="AV231" s="51"/>
      <c r="AW231" s="51"/>
      <c r="AX231" s="51"/>
      <c r="AY231" s="51"/>
      <c r="AZ231" s="51"/>
      <c r="BA231" s="51"/>
      <c r="BB231" s="51"/>
      <c r="BC231" s="51"/>
      <c r="BD231" s="51"/>
      <c r="BE231" s="51"/>
      <c r="BF231" s="51"/>
      <c r="BG231" s="51"/>
      <c r="BH231" s="51"/>
      <c r="BI231" s="51"/>
      <c r="BJ231" s="51"/>
      <c r="BK231" s="51"/>
      <c r="BL231" s="51"/>
      <c r="BM231" s="51"/>
      <c r="BN231" s="51"/>
      <c r="BO231" s="51"/>
      <c r="BP231" s="51"/>
      <c r="BQ231" s="51"/>
      <c r="BR231" s="51"/>
      <c r="BS231" s="51"/>
      <c r="BT231" s="51"/>
      <c r="BU231" s="51"/>
      <c r="BV231" s="51"/>
      <c r="BW231" s="51"/>
      <c r="BX231" s="51"/>
      <c r="BY231" s="51"/>
      <c r="BZ231" s="51"/>
      <c r="CA231" s="51"/>
      <c r="CB231" s="51"/>
      <c r="CC231" s="51"/>
      <c r="CD231" s="51"/>
      <c r="CE231" s="51"/>
      <c r="CF231" s="51"/>
      <c r="CG231" s="51"/>
      <c r="CH231" s="51"/>
      <c r="CI231" s="51"/>
      <c r="CJ231" s="51"/>
      <c r="CK231" s="51"/>
      <c r="CL231" s="51"/>
      <c r="CM231" s="51"/>
      <c r="CN231" s="51"/>
      <c r="CO231" s="51"/>
      <c r="CP231" s="51"/>
      <c r="CQ231" s="51"/>
      <c r="CR231" s="51"/>
      <c r="CS231" s="51"/>
      <c r="CT231" s="51"/>
      <c r="CU231" s="51"/>
      <c r="CV231" s="51"/>
      <c r="CW231" s="51"/>
      <c r="CX231" s="51"/>
      <c r="CY231" s="51"/>
      <c r="CZ231" s="51"/>
      <c r="DA231" s="51"/>
      <c r="DB231" s="51"/>
      <c r="DC231" s="51"/>
      <c r="DD231" s="51"/>
      <c r="DE231" s="51"/>
      <c r="DF231" s="51"/>
      <c r="DG231" s="51"/>
      <c r="DH231" s="51"/>
      <c r="DI231" s="51"/>
      <c r="DJ231" s="51"/>
      <c r="DK231" s="51"/>
      <c r="DL231" s="51"/>
      <c r="DM231" s="51"/>
      <c r="DN231" s="51"/>
      <c r="DO231" s="51"/>
      <c r="DP231" s="51"/>
      <c r="DQ231" s="51"/>
      <c r="DR231" s="51"/>
      <c r="DS231" s="51"/>
      <c r="DT231" s="51"/>
      <c r="DU231" s="51"/>
      <c r="DV231" s="51"/>
      <c r="DW231" s="51"/>
      <c r="DX231" s="51"/>
      <c r="DY231" s="51"/>
      <c r="DZ231" s="51"/>
      <c r="EA231" s="51"/>
      <c r="EB231" s="51"/>
      <c r="EC231" s="51"/>
      <c r="ED231" s="51"/>
      <c r="EE231" s="51"/>
      <c r="EF231" s="51"/>
      <c r="EG231" s="51"/>
      <c r="EH231" s="51"/>
      <c r="EI231" s="51"/>
      <c r="EJ231" s="51"/>
      <c r="EK231" s="51"/>
      <c r="EL231" s="51"/>
      <c r="EM231" s="51"/>
      <c r="EN231" s="51"/>
      <c r="EO231" s="51"/>
      <c r="EP231" s="51"/>
      <c r="EQ231" s="51"/>
      <c r="ER231" s="51"/>
      <c r="ES231" s="51"/>
      <c r="ET231" s="51"/>
      <c r="EU231" s="51"/>
      <c r="EV231" s="51"/>
      <c r="EW231" s="51"/>
      <c r="EX231" s="51"/>
      <c r="EY231" s="51"/>
      <c r="EZ231" s="51"/>
      <c r="FA231" s="51"/>
      <c r="FB231" s="51"/>
      <c r="FC231" s="51"/>
      <c r="FD231" s="51"/>
      <c r="FE231" s="51"/>
      <c r="FF231" s="51"/>
      <c r="FG231" s="51"/>
      <c r="FH231" s="51"/>
      <c r="FI231" s="51"/>
      <c r="FJ231" s="51"/>
      <c r="FK231" s="51"/>
      <c r="FL231" s="51"/>
      <c r="FM231" s="51"/>
      <c r="FN231" s="51"/>
      <c r="FO231" s="51"/>
      <c r="FP231" s="51"/>
      <c r="FQ231" s="51"/>
      <c r="FR231" s="51"/>
      <c r="FS231" s="51"/>
      <c r="FT231" s="51"/>
      <c r="FU231" s="51"/>
      <c r="FV231" s="51"/>
      <c r="FW231" s="51"/>
      <c r="FX231" s="51"/>
      <c r="FY231" s="51"/>
      <c r="FZ231" s="51"/>
      <c r="GA231" s="51"/>
      <c r="GB231" s="51"/>
      <c r="GC231" s="51"/>
      <c r="GD231" s="51"/>
      <c r="GE231" s="51"/>
      <c r="GF231" s="51"/>
      <c r="GG231" s="51"/>
      <c r="GH231" s="51"/>
      <c r="GI231" s="51"/>
      <c r="GJ231" s="51"/>
      <c r="GK231" s="51"/>
      <c r="GL231" s="51"/>
      <c r="GM231" s="51"/>
      <c r="GN231" s="51"/>
      <c r="GO231" s="51"/>
      <c r="GP231" s="51"/>
      <c r="GQ231" s="51"/>
      <c r="GR231" s="51"/>
      <c r="GS231" s="51"/>
      <c r="GT231" s="51"/>
      <c r="GU231" s="51"/>
      <c r="GV231" s="51"/>
      <c r="GW231" s="51"/>
      <c r="GX231" s="51"/>
      <c r="GY231" s="51"/>
      <c r="GZ231" s="51"/>
      <c r="HA231" s="51"/>
      <c r="HB231" s="51"/>
      <c r="HC231" s="51"/>
      <c r="HD231" s="51"/>
      <c r="HE231" s="51"/>
      <c r="HF231" s="51"/>
      <c r="HG231" s="51"/>
      <c r="HH231" s="51"/>
      <c r="HI231" s="51"/>
      <c r="HJ231" s="51"/>
      <c r="HK231" s="51"/>
      <c r="HL231" s="51"/>
      <c r="HM231" s="51"/>
      <c r="HN231" s="51"/>
      <c r="HO231" s="51"/>
      <c r="HP231" s="51"/>
      <c r="HQ231" s="51"/>
      <c r="HR231" s="51"/>
      <c r="HS231" s="51"/>
      <c r="HT231" s="51"/>
      <c r="HU231" s="51"/>
      <c r="HV231" s="51"/>
      <c r="HW231" s="51"/>
      <c r="HX231" s="51"/>
      <c r="HY231" s="51"/>
      <c r="HZ231" s="51"/>
      <c r="IA231" s="51"/>
      <c r="IB231" s="51"/>
      <c r="IC231" s="51"/>
      <c r="ID231" s="51"/>
      <c r="IE231" s="51"/>
      <c r="IF231" s="51"/>
      <c r="IG231" s="51"/>
      <c r="IH231" s="51"/>
      <c r="II231" s="51"/>
      <c r="IJ231" s="51"/>
      <c r="IK231" s="51"/>
      <c r="IL231" s="51"/>
      <c r="IM231" s="51"/>
      <c r="IN231" s="51"/>
      <c r="IO231" s="51"/>
      <c r="IP231" s="51"/>
      <c r="IQ231" s="51"/>
      <c r="IR231" s="51"/>
      <c r="IS231" s="51"/>
      <c r="IT231" s="51"/>
      <c r="IU231" s="51"/>
      <c r="IV231" s="51"/>
    </row>
    <row r="232" hidden="1" ht="13.5">
      <c r="B232" s="831" t="s">
        <v>26</v>
      </c>
      <c r="C232" s="823">
        <v>0</v>
      </c>
      <c r="D232" s="823">
        <v>0</v>
      </c>
      <c r="E232" s="823">
        <v>0</v>
      </c>
      <c r="F232" s="823">
        <v>0</v>
      </c>
      <c r="G232" s="823">
        <v>0</v>
      </c>
      <c r="H232" s="823">
        <v>0</v>
      </c>
      <c r="I232" s="823">
        <v>0</v>
      </c>
      <c r="J232" s="823">
        <v>0</v>
      </c>
      <c r="K232" s="823">
        <v>0</v>
      </c>
      <c r="L232" s="823">
        <v>0</v>
      </c>
      <c r="M232" s="823">
        <v>0</v>
      </c>
      <c r="N232" s="823">
        <v>0</v>
      </c>
      <c r="O232" s="823">
        <v>0</v>
      </c>
      <c r="P232" s="823">
        <v>0</v>
      </c>
      <c r="Q232" s="823">
        <v>0</v>
      </c>
      <c r="R232" s="823">
        <v>0</v>
      </c>
      <c r="S232" s="823">
        <v>0</v>
      </c>
      <c r="T232" s="823">
        <v>0</v>
      </c>
      <c r="U232" s="823">
        <v>0</v>
      </c>
      <c r="V232" s="823">
        <v>0</v>
      </c>
      <c r="W232" s="823">
        <v>0</v>
      </c>
      <c r="X232" s="823">
        <v>0</v>
      </c>
      <c r="Y232" s="823">
        <v>0</v>
      </c>
      <c r="Z232" s="823">
        <v>0</v>
      </c>
      <c r="AA232" s="823">
        <v>0</v>
      </c>
      <c r="AB232" s="832">
        <v>0</v>
      </c>
      <c r="AC232" s="825">
        <v>0</v>
      </c>
      <c r="AD232" s="825">
        <v>0</v>
      </c>
      <c r="AE232" s="825">
        <v>0</v>
      </c>
      <c r="AF232" s="825">
        <v>0</v>
      </c>
      <c r="AG232" s="825">
        <v>0</v>
      </c>
      <c r="AH232" s="825">
        <v>0</v>
      </c>
      <c r="AI232" s="825">
        <v>0</v>
      </c>
      <c r="AJ232" s="825">
        <v>0</v>
      </c>
      <c r="AK232" s="825">
        <v>0</v>
      </c>
      <c r="AL232" s="825">
        <v>0</v>
      </c>
      <c r="AM232" s="825">
        <v>0</v>
      </c>
      <c r="AN232" s="825">
        <v>0</v>
      </c>
      <c r="AO232" s="825">
        <v>0</v>
      </c>
      <c r="AP232" s="825">
        <v>0</v>
      </c>
      <c r="AQ232" s="51"/>
      <c r="AR232" s="51"/>
      <c r="AS232" s="51"/>
      <c r="AT232" s="51"/>
      <c r="AU232" s="51"/>
      <c r="AV232" s="51"/>
      <c r="AW232" s="51"/>
      <c r="AX232" s="51"/>
      <c r="AY232" s="51"/>
      <c r="AZ232" s="51"/>
      <c r="BA232" s="51"/>
      <c r="BB232" s="51"/>
      <c r="BC232" s="51"/>
      <c r="BD232" s="51"/>
      <c r="BE232" s="51"/>
      <c r="BF232" s="51"/>
      <c r="BG232" s="51"/>
      <c r="BH232" s="51"/>
      <c r="BI232" s="51"/>
      <c r="BJ232" s="51"/>
      <c r="BK232" s="51"/>
      <c r="BL232" s="51"/>
      <c r="BM232" s="51"/>
      <c r="BN232" s="51"/>
      <c r="BO232" s="51"/>
      <c r="BP232" s="51"/>
      <c r="BQ232" s="51"/>
      <c r="BR232" s="51"/>
      <c r="BS232" s="51"/>
      <c r="BT232" s="51"/>
      <c r="BU232" s="51"/>
      <c r="BV232" s="51"/>
      <c r="BW232" s="51"/>
      <c r="BX232" s="51"/>
      <c r="BY232" s="51"/>
      <c r="BZ232" s="51"/>
      <c r="CA232" s="51"/>
      <c r="CB232" s="51"/>
      <c r="CC232" s="51"/>
      <c r="CD232" s="51"/>
      <c r="CE232" s="51"/>
      <c r="CF232" s="51"/>
      <c r="CG232" s="51"/>
      <c r="CH232" s="51"/>
      <c r="CI232" s="51"/>
      <c r="CJ232" s="51"/>
      <c r="CK232" s="51"/>
      <c r="CL232" s="51"/>
      <c r="CM232" s="51"/>
      <c r="CN232" s="51"/>
      <c r="CO232" s="51"/>
      <c r="CP232" s="51"/>
      <c r="CQ232" s="51"/>
      <c r="CR232" s="51"/>
      <c r="CS232" s="51"/>
      <c r="CT232" s="51"/>
      <c r="CU232" s="51"/>
      <c r="CV232" s="51"/>
      <c r="CW232" s="51"/>
      <c r="CX232" s="51"/>
      <c r="CY232" s="51"/>
      <c r="CZ232" s="51"/>
      <c r="DA232" s="51"/>
      <c r="DB232" s="51"/>
      <c r="DC232" s="51"/>
      <c r="DD232" s="51"/>
      <c r="DE232" s="51"/>
      <c r="DF232" s="51"/>
      <c r="DG232" s="51"/>
      <c r="DH232" s="51"/>
      <c r="DI232" s="51"/>
      <c r="DJ232" s="51"/>
      <c r="DK232" s="51"/>
      <c r="DL232" s="51"/>
      <c r="DM232" s="51"/>
      <c r="DN232" s="51"/>
      <c r="DO232" s="51"/>
      <c r="DP232" s="51"/>
      <c r="DQ232" s="51"/>
      <c r="DR232" s="51"/>
      <c r="DS232" s="51"/>
      <c r="DT232" s="51"/>
      <c r="DU232" s="51"/>
      <c r="DV232" s="51"/>
      <c r="DW232" s="51"/>
      <c r="DX232" s="51"/>
      <c r="DY232" s="51"/>
      <c r="DZ232" s="51"/>
      <c r="EA232" s="51"/>
      <c r="EB232" s="51"/>
      <c r="EC232" s="51"/>
      <c r="ED232" s="51"/>
      <c r="EE232" s="51"/>
      <c r="EF232" s="51"/>
      <c r="EG232" s="51"/>
      <c r="EH232" s="51"/>
      <c r="EI232" s="51"/>
      <c r="EJ232" s="51"/>
      <c r="EK232" s="51"/>
      <c r="EL232" s="51"/>
      <c r="EM232" s="51"/>
      <c r="EN232" s="51"/>
      <c r="EO232" s="51"/>
      <c r="EP232" s="51"/>
      <c r="EQ232" s="51"/>
      <c r="ER232" s="51"/>
      <c r="ES232" s="51"/>
      <c r="ET232" s="51"/>
      <c r="EU232" s="51"/>
      <c r="EV232" s="51"/>
      <c r="EW232" s="51"/>
      <c r="EX232" s="51"/>
      <c r="EY232" s="51"/>
      <c r="EZ232" s="51"/>
      <c r="FA232" s="51"/>
      <c r="FB232" s="51"/>
      <c r="FC232" s="51"/>
      <c r="FD232" s="51"/>
      <c r="FE232" s="51"/>
      <c r="FF232" s="51"/>
      <c r="FG232" s="51"/>
      <c r="FH232" s="51"/>
      <c r="FI232" s="51"/>
      <c r="FJ232" s="51"/>
      <c r="FK232" s="51"/>
      <c r="FL232" s="51"/>
      <c r="FM232" s="51"/>
      <c r="FN232" s="51"/>
      <c r="FO232" s="51"/>
      <c r="FP232" s="51"/>
      <c r="FQ232" s="51"/>
      <c r="FR232" s="51"/>
      <c r="FS232" s="51"/>
      <c r="FT232" s="51"/>
      <c r="FU232" s="51"/>
      <c r="FV232" s="51"/>
      <c r="FW232" s="51"/>
      <c r="FX232" s="51"/>
      <c r="FY232" s="51"/>
      <c r="FZ232" s="51"/>
      <c r="GA232" s="51"/>
      <c r="GB232" s="51"/>
      <c r="GC232" s="51"/>
      <c r="GD232" s="51"/>
      <c r="GE232" s="51"/>
      <c r="GF232" s="51"/>
      <c r="GG232" s="51"/>
      <c r="GH232" s="51"/>
      <c r="GI232" s="51"/>
      <c r="GJ232" s="51"/>
      <c r="GK232" s="51"/>
      <c r="GL232" s="51"/>
      <c r="GM232" s="51"/>
      <c r="GN232" s="51"/>
      <c r="GO232" s="51"/>
      <c r="GP232" s="51"/>
      <c r="GQ232" s="51"/>
      <c r="GR232" s="51"/>
      <c r="GS232" s="51"/>
      <c r="GT232" s="51"/>
      <c r="GU232" s="51"/>
      <c r="GV232" s="51"/>
      <c r="GW232" s="51"/>
      <c r="GX232" s="51"/>
      <c r="GY232" s="51"/>
      <c r="GZ232" s="51"/>
      <c r="HA232" s="51"/>
      <c r="HB232" s="51"/>
      <c r="HC232" s="51"/>
      <c r="HD232" s="51"/>
      <c r="HE232" s="51"/>
      <c r="HF232" s="51"/>
      <c r="HG232" s="51"/>
      <c r="HH232" s="51"/>
      <c r="HI232" s="51"/>
      <c r="HJ232" s="51"/>
      <c r="HK232" s="51"/>
      <c r="HL232" s="51"/>
      <c r="HM232" s="51"/>
      <c r="HN232" s="51"/>
      <c r="HO232" s="51"/>
      <c r="HP232" s="51"/>
      <c r="HQ232" s="51"/>
      <c r="HR232" s="51"/>
      <c r="HS232" s="51"/>
      <c r="HT232" s="51"/>
      <c r="HU232" s="51"/>
      <c r="HV232" s="51"/>
      <c r="HW232" s="51"/>
      <c r="HX232" s="51"/>
      <c r="HY232" s="51"/>
      <c r="HZ232" s="51"/>
      <c r="IA232" s="51"/>
      <c r="IB232" s="51"/>
      <c r="IC232" s="51"/>
      <c r="ID232" s="51"/>
      <c r="IE232" s="51"/>
      <c r="IF232" s="51"/>
      <c r="IG232" s="51"/>
      <c r="IH232" s="51"/>
      <c r="II232" s="51"/>
      <c r="IJ232" s="51"/>
      <c r="IK232" s="51"/>
      <c r="IL232" s="51"/>
      <c r="IM232" s="51"/>
      <c r="IN232" s="51"/>
      <c r="IO232" s="51"/>
      <c r="IP232" s="51"/>
      <c r="IQ232" s="51"/>
      <c r="IR232" s="51"/>
      <c r="IS232" s="51"/>
      <c r="IT232" s="51"/>
      <c r="IU232" s="51"/>
      <c r="IV232" s="51"/>
    </row>
    <row r="233" hidden="1" ht="13.5">
      <c r="B233" s="128" t="s">
        <v>7</v>
      </c>
      <c r="C233" s="129" t="str">
        <f>IF(SUM(C214:C232)&lt;&gt;0,SUM(C214:C232),"")</f>
      </c>
      <c r="D233" s="129" t="str">
        <f ref="D233:AA233" t="shared" si="10">IF(SUM(D214:D232)&lt;&gt;0,SUM(D214:D232),"")</f>
      </c>
      <c r="E233" s="129" t="str">
        <f t="shared" si="10"/>
      </c>
      <c r="F233" s="129" t="str">
        <f t="shared" si="10"/>
      </c>
      <c r="G233" s="129" t="str">
        <f t="shared" si="10"/>
      </c>
      <c r="H233" s="129" t="str">
        <f t="shared" si="10"/>
      </c>
      <c r="I233" s="129" t="str">
        <f t="shared" si="10"/>
      </c>
      <c r="J233" s="129" t="str">
        <f t="shared" si="10"/>
      </c>
      <c r="K233" s="129" t="str">
        <f t="shared" si="10"/>
      </c>
      <c r="L233" s="129" t="str">
        <f t="shared" si="10"/>
      </c>
      <c r="M233" s="129" t="str">
        <f t="shared" si="10"/>
      </c>
      <c r="N233" s="129" t="str">
        <f t="shared" si="10"/>
      </c>
      <c r="O233" s="129" t="str">
        <f t="shared" si="10"/>
      </c>
      <c r="P233" s="129" t="str">
        <f t="shared" si="10"/>
      </c>
      <c r="Q233" s="129" t="str">
        <f t="shared" si="10"/>
      </c>
      <c r="R233" s="129" t="str">
        <f t="shared" si="10"/>
      </c>
      <c r="S233" s="129" t="str">
        <f t="shared" si="10"/>
      </c>
      <c r="T233" s="129" t="str">
        <f t="shared" si="10"/>
      </c>
      <c r="U233" s="129" t="str">
        <f t="shared" si="10"/>
      </c>
      <c r="V233" s="129" t="str">
        <f t="shared" si="10"/>
      </c>
      <c r="W233" s="129" t="str">
        <f t="shared" si="10"/>
      </c>
      <c r="X233" s="129" t="str">
        <f t="shared" si="10"/>
      </c>
      <c r="Y233" s="129" t="str">
        <f t="shared" si="10"/>
      </c>
      <c r="Z233" s="129" t="str">
        <f t="shared" si="10"/>
      </c>
      <c r="AA233" s="129" t="str">
        <f t="shared" si="10"/>
      </c>
      <c r="AB233" s="130" t="str">
        <f>IF(SUM(AB214:AB232)&lt;&gt;0,SUM(AB214:AB232),"")</f>
      </c>
      <c r="AC233" s="91" t="str">
        <f ref="AC233:CN233" t="shared" si="11">IF(SUM(AC214:AC232)&lt;&gt;0,SUM(AC214:AC232),"")</f>
      </c>
      <c r="AD233" s="91" t="str">
        <f t="shared" si="11"/>
      </c>
      <c r="AE233" s="91" t="str">
        <f t="shared" si="11"/>
      </c>
      <c r="AF233" s="91" t="str">
        <f t="shared" si="11"/>
      </c>
      <c r="AG233" s="91" t="str">
        <f t="shared" si="11"/>
      </c>
      <c r="AH233" s="91" t="str">
        <f t="shared" si="11"/>
      </c>
      <c r="AI233" s="91" t="str">
        <f t="shared" si="11"/>
      </c>
      <c r="AJ233" s="91" t="str">
        <f t="shared" si="11"/>
      </c>
      <c r="AK233" s="91" t="str">
        <f t="shared" si="11"/>
      </c>
      <c r="AL233" s="91" t="str">
        <f t="shared" si="11"/>
      </c>
      <c r="AM233" s="91" t="str">
        <f t="shared" si="11"/>
      </c>
      <c r="AN233" s="91" t="str">
        <f t="shared" si="11"/>
      </c>
      <c r="AO233" s="91" t="str">
        <f t="shared" si="11"/>
      </c>
      <c r="AP233" s="91" t="str">
        <f t="shared" si="11"/>
      </c>
      <c r="AQ233" s="91" t="str">
        <f t="shared" si="11"/>
      </c>
      <c r="AR233" s="91" t="str">
        <f t="shared" si="11"/>
      </c>
      <c r="AS233" s="91" t="str">
        <f t="shared" si="11"/>
      </c>
      <c r="AT233" s="91" t="str">
        <f t="shared" si="11"/>
      </c>
      <c r="AU233" s="91" t="str">
        <f t="shared" si="11"/>
      </c>
      <c r="AV233" s="91" t="str">
        <f t="shared" si="11"/>
      </c>
      <c r="AW233" s="91" t="str">
        <f t="shared" si="11"/>
      </c>
      <c r="AX233" s="91" t="str">
        <f t="shared" si="11"/>
      </c>
      <c r="AY233" s="91" t="str">
        <f t="shared" si="11"/>
      </c>
      <c r="AZ233" s="91" t="str">
        <f t="shared" si="11"/>
      </c>
      <c r="BA233" s="91" t="str">
        <f t="shared" si="11"/>
      </c>
      <c r="BB233" s="91" t="str">
        <f t="shared" si="11"/>
      </c>
      <c r="BC233" s="91" t="str">
        <f t="shared" si="11"/>
      </c>
      <c r="BD233" s="91" t="str">
        <f t="shared" si="11"/>
      </c>
      <c r="BE233" s="91" t="str">
        <f t="shared" si="11"/>
      </c>
      <c r="BF233" s="91" t="str">
        <f t="shared" si="11"/>
      </c>
      <c r="BG233" s="91" t="str">
        <f t="shared" si="11"/>
      </c>
      <c r="BH233" s="91" t="str">
        <f t="shared" si="11"/>
      </c>
      <c r="BI233" s="91" t="str">
        <f t="shared" si="11"/>
      </c>
      <c r="BJ233" s="91" t="str">
        <f t="shared" si="11"/>
      </c>
      <c r="BK233" s="91" t="str">
        <f t="shared" si="11"/>
      </c>
      <c r="BL233" s="91" t="str">
        <f t="shared" si="11"/>
      </c>
      <c r="BM233" s="91" t="str">
        <f t="shared" si="11"/>
      </c>
      <c r="BN233" s="91" t="str">
        <f t="shared" si="11"/>
      </c>
      <c r="BO233" s="91" t="str">
        <f t="shared" si="11"/>
      </c>
      <c r="BP233" s="91" t="str">
        <f t="shared" si="11"/>
      </c>
      <c r="BQ233" s="91" t="str">
        <f t="shared" si="11"/>
      </c>
      <c r="BR233" s="91" t="str">
        <f t="shared" si="11"/>
      </c>
      <c r="BS233" s="91" t="str">
        <f t="shared" si="11"/>
      </c>
      <c r="BT233" s="91" t="str">
        <f t="shared" si="11"/>
      </c>
      <c r="BU233" s="91" t="str">
        <f t="shared" si="11"/>
      </c>
      <c r="BV233" s="91" t="str">
        <f t="shared" si="11"/>
      </c>
      <c r="BW233" s="91" t="str">
        <f t="shared" si="11"/>
      </c>
      <c r="BX233" s="91" t="str">
        <f t="shared" si="11"/>
      </c>
      <c r="BY233" s="91" t="str">
        <f t="shared" si="11"/>
      </c>
      <c r="BZ233" s="91" t="str">
        <f t="shared" si="11"/>
      </c>
      <c r="CA233" s="91" t="str">
        <f t="shared" si="11"/>
      </c>
      <c r="CB233" s="91" t="str">
        <f t="shared" si="11"/>
      </c>
      <c r="CC233" s="91" t="str">
        <f t="shared" si="11"/>
      </c>
      <c r="CD233" s="91" t="str">
        <f t="shared" si="11"/>
      </c>
      <c r="CE233" s="91" t="str">
        <f t="shared" si="11"/>
      </c>
      <c r="CF233" s="91" t="str">
        <f t="shared" si="11"/>
      </c>
      <c r="CG233" s="91" t="str">
        <f t="shared" si="11"/>
      </c>
      <c r="CH233" s="91" t="str">
        <f t="shared" si="11"/>
      </c>
      <c r="CI233" s="91" t="str">
        <f t="shared" si="11"/>
      </c>
      <c r="CJ233" s="91" t="str">
        <f t="shared" si="11"/>
      </c>
      <c r="CK233" s="91" t="str">
        <f t="shared" si="11"/>
      </c>
      <c r="CL233" s="91" t="str">
        <f t="shared" si="11"/>
      </c>
      <c r="CM233" s="91" t="str">
        <f t="shared" si="11"/>
      </c>
      <c r="CN233" s="91" t="str">
        <f t="shared" si="11"/>
      </c>
      <c r="CO233" s="91" t="str">
        <f ref="CO233:EZ233" t="shared" si="12">IF(SUM(CO214:CO232)&lt;&gt;0,SUM(CO214:CO232),"")</f>
      </c>
      <c r="CP233" s="91" t="str">
        <f t="shared" si="12"/>
      </c>
      <c r="CQ233" s="91" t="str">
        <f t="shared" si="12"/>
      </c>
      <c r="CR233" s="91" t="str">
        <f t="shared" si="12"/>
      </c>
      <c r="CS233" s="91" t="str">
        <f t="shared" si="12"/>
      </c>
      <c r="CT233" s="91" t="str">
        <f t="shared" si="12"/>
      </c>
      <c r="CU233" s="91" t="str">
        <f t="shared" si="12"/>
      </c>
      <c r="CV233" s="91" t="str">
        <f t="shared" si="12"/>
      </c>
      <c r="CW233" s="91" t="str">
        <f t="shared" si="12"/>
      </c>
      <c r="CX233" s="91" t="str">
        <f t="shared" si="12"/>
      </c>
      <c r="CY233" s="91" t="str">
        <f t="shared" si="12"/>
      </c>
      <c r="CZ233" s="91" t="str">
        <f t="shared" si="12"/>
      </c>
      <c r="DA233" s="91" t="str">
        <f t="shared" si="12"/>
      </c>
      <c r="DB233" s="91" t="str">
        <f t="shared" si="12"/>
      </c>
      <c r="DC233" s="91" t="str">
        <f t="shared" si="12"/>
      </c>
      <c r="DD233" s="91" t="str">
        <f t="shared" si="12"/>
      </c>
      <c r="DE233" s="91" t="str">
        <f t="shared" si="12"/>
      </c>
      <c r="DF233" s="91" t="str">
        <f t="shared" si="12"/>
      </c>
      <c r="DG233" s="91" t="str">
        <f t="shared" si="12"/>
      </c>
      <c r="DH233" s="91" t="str">
        <f t="shared" si="12"/>
      </c>
      <c r="DI233" s="91" t="str">
        <f t="shared" si="12"/>
      </c>
      <c r="DJ233" s="91" t="str">
        <f t="shared" si="12"/>
      </c>
      <c r="DK233" s="91" t="str">
        <f t="shared" si="12"/>
      </c>
      <c r="DL233" s="91" t="str">
        <f t="shared" si="12"/>
      </c>
      <c r="DM233" s="91" t="str">
        <f t="shared" si="12"/>
      </c>
      <c r="DN233" s="91" t="str">
        <f t="shared" si="12"/>
      </c>
      <c r="DO233" s="91" t="str">
        <f t="shared" si="12"/>
      </c>
      <c r="DP233" s="91" t="str">
        <f t="shared" si="12"/>
      </c>
      <c r="DQ233" s="91" t="str">
        <f t="shared" si="12"/>
      </c>
      <c r="DR233" s="91" t="str">
        <f t="shared" si="12"/>
      </c>
      <c r="DS233" s="91" t="str">
        <f t="shared" si="12"/>
      </c>
      <c r="DT233" s="91" t="str">
        <f t="shared" si="12"/>
      </c>
      <c r="DU233" s="91" t="str">
        <f t="shared" si="12"/>
      </c>
      <c r="DV233" s="91" t="str">
        <f t="shared" si="12"/>
      </c>
      <c r="DW233" s="91" t="str">
        <f t="shared" si="12"/>
      </c>
      <c r="DX233" s="91" t="str">
        <f t="shared" si="12"/>
      </c>
      <c r="DY233" s="91" t="str">
        <f t="shared" si="12"/>
      </c>
      <c r="DZ233" s="91" t="str">
        <f t="shared" si="12"/>
      </c>
      <c r="EA233" s="91" t="str">
        <f t="shared" si="12"/>
      </c>
      <c r="EB233" s="91" t="str">
        <f t="shared" si="12"/>
      </c>
      <c r="EC233" s="91" t="str">
        <f t="shared" si="12"/>
      </c>
      <c r="ED233" s="91" t="str">
        <f t="shared" si="12"/>
      </c>
      <c r="EE233" s="91" t="str">
        <f t="shared" si="12"/>
      </c>
      <c r="EF233" s="91" t="str">
        <f t="shared" si="12"/>
      </c>
      <c r="EG233" s="91" t="str">
        <f t="shared" si="12"/>
      </c>
      <c r="EH233" s="91" t="str">
        <f t="shared" si="12"/>
      </c>
      <c r="EI233" s="91" t="str">
        <f t="shared" si="12"/>
      </c>
      <c r="EJ233" s="91" t="str">
        <f t="shared" si="12"/>
      </c>
      <c r="EK233" s="91" t="str">
        <f t="shared" si="12"/>
      </c>
      <c r="EL233" s="91" t="str">
        <f t="shared" si="12"/>
      </c>
      <c r="EM233" s="91" t="str">
        <f t="shared" si="12"/>
      </c>
      <c r="EN233" s="91" t="str">
        <f t="shared" si="12"/>
      </c>
      <c r="EO233" s="91" t="str">
        <f t="shared" si="12"/>
      </c>
      <c r="EP233" s="91" t="str">
        <f t="shared" si="12"/>
      </c>
      <c r="EQ233" s="91" t="str">
        <f t="shared" si="12"/>
      </c>
      <c r="ER233" s="91" t="str">
        <f t="shared" si="12"/>
      </c>
      <c r="ES233" s="91" t="str">
        <f t="shared" si="12"/>
      </c>
      <c r="ET233" s="91" t="str">
        <f t="shared" si="12"/>
      </c>
      <c r="EU233" s="91" t="str">
        <f t="shared" si="12"/>
      </c>
      <c r="EV233" s="91" t="str">
        <f t="shared" si="12"/>
      </c>
      <c r="EW233" s="91" t="str">
        <f t="shared" si="12"/>
      </c>
      <c r="EX233" s="91" t="str">
        <f t="shared" si="12"/>
      </c>
      <c r="EY233" s="91" t="str">
        <f t="shared" si="12"/>
      </c>
      <c r="EZ233" s="91" t="str">
        <f t="shared" si="12"/>
      </c>
      <c r="FA233" s="91" t="str">
        <f ref="FA233:HL233" t="shared" si="13">IF(SUM(FA214:FA232)&lt;&gt;0,SUM(FA214:FA232),"")</f>
      </c>
      <c r="FB233" s="91" t="str">
        <f t="shared" si="13"/>
      </c>
      <c r="FC233" s="91" t="str">
        <f t="shared" si="13"/>
      </c>
      <c r="FD233" s="91" t="str">
        <f t="shared" si="13"/>
      </c>
      <c r="FE233" s="91" t="str">
        <f t="shared" si="13"/>
      </c>
      <c r="FF233" s="91" t="str">
        <f t="shared" si="13"/>
      </c>
      <c r="FG233" s="91" t="str">
        <f t="shared" si="13"/>
      </c>
      <c r="FH233" s="91" t="str">
        <f t="shared" si="13"/>
      </c>
      <c r="FI233" s="91" t="str">
        <f t="shared" si="13"/>
      </c>
      <c r="FJ233" s="91" t="str">
        <f t="shared" si="13"/>
      </c>
      <c r="FK233" s="91" t="str">
        <f t="shared" si="13"/>
      </c>
      <c r="FL233" s="91" t="str">
        <f t="shared" si="13"/>
      </c>
      <c r="FM233" s="91" t="str">
        <f t="shared" si="13"/>
      </c>
      <c r="FN233" s="91" t="str">
        <f t="shared" si="13"/>
      </c>
      <c r="FO233" s="91" t="str">
        <f t="shared" si="13"/>
      </c>
      <c r="FP233" s="91" t="str">
        <f t="shared" si="13"/>
      </c>
      <c r="FQ233" s="91" t="str">
        <f t="shared" si="13"/>
      </c>
      <c r="FR233" s="91" t="str">
        <f t="shared" si="13"/>
      </c>
      <c r="FS233" s="91" t="str">
        <f t="shared" si="13"/>
      </c>
      <c r="FT233" s="91" t="str">
        <f t="shared" si="13"/>
      </c>
      <c r="FU233" s="91" t="str">
        <f t="shared" si="13"/>
      </c>
      <c r="FV233" s="91" t="str">
        <f t="shared" si="13"/>
      </c>
      <c r="FW233" s="91" t="str">
        <f t="shared" si="13"/>
      </c>
      <c r="FX233" s="91" t="str">
        <f t="shared" si="13"/>
      </c>
      <c r="FY233" s="91" t="str">
        <f t="shared" si="13"/>
      </c>
      <c r="FZ233" s="91" t="str">
        <f t="shared" si="13"/>
      </c>
      <c r="GA233" s="91" t="str">
        <f t="shared" si="13"/>
      </c>
      <c r="GB233" s="91" t="str">
        <f t="shared" si="13"/>
      </c>
      <c r="GC233" s="91" t="str">
        <f t="shared" si="13"/>
      </c>
      <c r="GD233" s="91" t="str">
        <f t="shared" si="13"/>
      </c>
      <c r="GE233" s="91" t="str">
        <f t="shared" si="13"/>
      </c>
      <c r="GF233" s="91" t="str">
        <f t="shared" si="13"/>
      </c>
      <c r="GG233" s="91" t="str">
        <f t="shared" si="13"/>
      </c>
      <c r="GH233" s="91" t="str">
        <f t="shared" si="13"/>
      </c>
      <c r="GI233" s="91" t="str">
        <f t="shared" si="13"/>
      </c>
      <c r="GJ233" s="91" t="str">
        <f t="shared" si="13"/>
      </c>
      <c r="GK233" s="91" t="str">
        <f t="shared" si="13"/>
      </c>
      <c r="GL233" s="91" t="str">
        <f t="shared" si="13"/>
      </c>
      <c r="GM233" s="91" t="str">
        <f t="shared" si="13"/>
      </c>
      <c r="GN233" s="91" t="str">
        <f t="shared" si="13"/>
      </c>
      <c r="GO233" s="91" t="str">
        <f t="shared" si="13"/>
      </c>
      <c r="GP233" s="91" t="str">
        <f t="shared" si="13"/>
      </c>
      <c r="GQ233" s="91" t="str">
        <f t="shared" si="13"/>
      </c>
      <c r="GR233" s="91" t="str">
        <f t="shared" si="13"/>
      </c>
      <c r="GS233" s="91" t="str">
        <f t="shared" si="13"/>
      </c>
      <c r="GT233" s="91" t="str">
        <f t="shared" si="13"/>
      </c>
      <c r="GU233" s="91" t="str">
        <f t="shared" si="13"/>
      </c>
      <c r="GV233" s="91" t="str">
        <f t="shared" si="13"/>
      </c>
      <c r="GW233" s="91" t="str">
        <f t="shared" si="13"/>
      </c>
      <c r="GX233" s="91" t="str">
        <f t="shared" si="13"/>
      </c>
      <c r="GY233" s="91" t="str">
        <f t="shared" si="13"/>
      </c>
      <c r="GZ233" s="91" t="str">
        <f t="shared" si="13"/>
      </c>
      <c r="HA233" s="91" t="str">
        <f t="shared" si="13"/>
      </c>
      <c r="HB233" s="91" t="str">
        <f t="shared" si="13"/>
      </c>
      <c r="HC233" s="91" t="str">
        <f t="shared" si="13"/>
      </c>
      <c r="HD233" s="91" t="str">
        <f t="shared" si="13"/>
      </c>
      <c r="HE233" s="91" t="str">
        <f t="shared" si="13"/>
      </c>
      <c r="HF233" s="91" t="str">
        <f t="shared" si="13"/>
      </c>
      <c r="HG233" s="91" t="str">
        <f t="shared" si="13"/>
      </c>
      <c r="HH233" s="91" t="str">
        <f t="shared" si="13"/>
      </c>
      <c r="HI233" s="91" t="str">
        <f t="shared" si="13"/>
      </c>
      <c r="HJ233" s="91" t="str">
        <f t="shared" si="13"/>
      </c>
      <c r="HK233" s="91" t="str">
        <f t="shared" si="13"/>
      </c>
      <c r="HL233" s="91" t="str">
        <f t="shared" si="13"/>
      </c>
      <c r="HM233" s="91" t="str">
        <f ref="HM233:IV233" t="shared" si="14">IF(SUM(HM214:HM232)&lt;&gt;0,SUM(HM214:HM232),"")</f>
      </c>
      <c r="HN233" s="91" t="str">
        <f t="shared" si="14"/>
      </c>
      <c r="HO233" s="91" t="str">
        <f t="shared" si="14"/>
      </c>
      <c r="HP233" s="91" t="str">
        <f t="shared" si="14"/>
      </c>
      <c r="HQ233" s="91" t="str">
        <f t="shared" si="14"/>
      </c>
      <c r="HR233" s="91" t="str">
        <f t="shared" si="14"/>
      </c>
      <c r="HS233" s="91" t="str">
        <f t="shared" si="14"/>
      </c>
      <c r="HT233" s="91" t="str">
        <f t="shared" si="14"/>
      </c>
      <c r="HU233" s="91" t="str">
        <f t="shared" si="14"/>
      </c>
      <c r="HV233" s="91" t="str">
        <f t="shared" si="14"/>
      </c>
      <c r="HW233" s="91" t="str">
        <f t="shared" si="14"/>
      </c>
      <c r="HX233" s="91" t="str">
        <f t="shared" si="14"/>
      </c>
      <c r="HY233" s="91" t="str">
        <f t="shared" si="14"/>
      </c>
      <c r="HZ233" s="91" t="str">
        <f t="shared" si="14"/>
      </c>
      <c r="IA233" s="91" t="str">
        <f t="shared" si="14"/>
      </c>
      <c r="IB233" s="91" t="str">
        <f t="shared" si="14"/>
      </c>
      <c r="IC233" s="91" t="str">
        <f t="shared" si="14"/>
      </c>
      <c r="ID233" s="91" t="str">
        <f t="shared" si="14"/>
      </c>
      <c r="IE233" s="91" t="str">
        <f t="shared" si="14"/>
      </c>
      <c r="IF233" s="91" t="str">
        <f t="shared" si="14"/>
      </c>
      <c r="IG233" s="91" t="str">
        <f t="shared" si="14"/>
      </c>
      <c r="IH233" s="91" t="str">
        <f t="shared" si="14"/>
      </c>
      <c r="II233" s="91" t="str">
        <f t="shared" si="14"/>
      </c>
      <c r="IJ233" s="91" t="str">
        <f t="shared" si="14"/>
      </c>
      <c r="IK233" s="91" t="str">
        <f t="shared" si="14"/>
      </c>
      <c r="IL233" s="91" t="str">
        <f t="shared" si="14"/>
      </c>
      <c r="IM233" s="91" t="str">
        <f t="shared" si="14"/>
      </c>
      <c r="IN233" s="91" t="str">
        <f t="shared" si="14"/>
      </c>
      <c r="IO233" s="91" t="str">
        <f t="shared" si="14"/>
      </c>
      <c r="IP233" s="91" t="str">
        <f t="shared" si="14"/>
      </c>
      <c r="IQ233" s="91" t="str">
        <f t="shared" si="14"/>
      </c>
      <c r="IR233" s="91" t="str">
        <f t="shared" si="14"/>
      </c>
      <c r="IS233" s="91" t="str">
        <f t="shared" si="14"/>
      </c>
      <c r="IT233" s="91" t="str">
        <f t="shared" si="14"/>
      </c>
      <c r="IU233" s="91" t="str">
        <f t="shared" si="14"/>
      </c>
      <c r="IV233" s="91" t="str">
        <f t="shared" si="14"/>
      </c>
    </row>
    <row r="234" hidden="1" ht="13.5"/>
    <row r="235" hidden="1" ht="15.75" customHeight="1">
      <c r="C235" s="732" t="s">
        <v>416</v>
      </c>
      <c r="D235" s="733"/>
      <c r="E235" s="733"/>
      <c r="F235" s="733"/>
      <c r="G235" s="733"/>
      <c r="H235" s="733"/>
      <c r="I235" s="733"/>
      <c r="J235" s="733"/>
      <c r="K235" s="733"/>
      <c r="L235" s="733"/>
      <c r="M235" s="733"/>
      <c r="N235" s="733"/>
      <c r="O235" s="733"/>
      <c r="P235" s="733"/>
      <c r="Q235" s="733"/>
      <c r="R235" s="733"/>
      <c r="S235" s="733"/>
      <c r="T235" s="733"/>
      <c r="U235" s="733"/>
      <c r="V235" s="733"/>
      <c r="W235" s="733"/>
      <c r="X235" s="733"/>
      <c r="Y235" s="733"/>
      <c r="Z235" s="733"/>
      <c r="AA235" s="733"/>
      <c r="AB235" s="734"/>
    </row>
    <row r="236" hidden="1" ht="15" customHeight="1">
      <c r="B236" s="51"/>
      <c r="C236" s="435" t="str">
        <f> IF(C256&lt;&gt;"",TEXT(AUX!G$1,"dd-MMM-aa"),"")</f>
      </c>
      <c r="D236" s="435" t="str">
        <f> IF(D256&lt;&gt;"",TEXT(AUX!H$1,"dd-MMM-aa"),"")</f>
      </c>
      <c r="E236" s="435" t="str">
        <f> IF(E256&lt;&gt;"",TEXT(AUX!I$1,"dd-MMM-aa"),"")</f>
      </c>
      <c r="F236" s="435" t="str">
        <f> IF(F256&lt;&gt;"",TEXT(AUX!J$1,"dd-MMM-aa"),"")</f>
      </c>
      <c r="G236" s="435" t="str">
        <f> IF(G256&lt;&gt;"",TEXT(AUX!K$1,"dd-MMM-aa"),"")</f>
      </c>
      <c r="H236" s="435" t="str">
        <f> IF(H256&lt;&gt;"",TEXT(AUX!L$1,"dd-MMM-aa"),"")</f>
      </c>
      <c r="I236" s="435" t="str">
        <f> IF(I256&lt;&gt;"",TEXT(AUX!M$1,"dd-MMM-aa"),"")</f>
      </c>
      <c r="J236" s="435" t="str">
        <f> IF(J256&lt;&gt;"",TEXT(AUX!N$1,"dd-MMM-aa"),"")</f>
      </c>
      <c r="K236" s="435" t="str">
        <f> IF(K256&lt;&gt;"",TEXT(AUX!O$1,"dd-MMM-aa"),"")</f>
      </c>
      <c r="L236" s="435" t="str">
        <f> IF(L256&lt;&gt;"",TEXT(AUX!P$1,"dd-MMM-aa"),"")</f>
      </c>
      <c r="M236" s="435" t="str">
        <f> IF(M256&lt;&gt;"",TEXT(AUX!Q$1,"dd-MMM-aa"),"")</f>
      </c>
      <c r="N236" s="435" t="str">
        <f> IF(N256&lt;&gt;"",TEXT(AUX!R$1,"dd-MMM-aa"),"")</f>
      </c>
      <c r="O236" s="435" t="str">
        <f> IF(O256&lt;&gt;"",TEXT(AUX!S$1,"dd-MMM-aa"),"")</f>
      </c>
      <c r="P236" s="435" t="str">
        <f> IF(P256&lt;&gt;"",TEXT(AUX!T$1,"dd-MMM-aa"),"")</f>
      </c>
      <c r="Q236" s="435" t="str">
        <f> IF(Q256&lt;&gt;"",TEXT(AUX!U$1,"dd-MMM-aa"),"")</f>
      </c>
      <c r="R236" s="435" t="str">
        <f> IF(R256&lt;&gt;"",TEXT(AUX!V$1,"dd-MMM-aa"),"")</f>
      </c>
      <c r="S236" s="435" t="str">
        <f> IF(S256&lt;&gt;"",TEXT(AUX!W$1,"dd-MMM-aa"),"")</f>
      </c>
      <c r="T236" s="435" t="str">
        <f> IF(T256&lt;&gt;"",TEXT(AUX!X$1,"dd-MMM-aa"),"")</f>
      </c>
      <c r="U236" s="435" t="str">
        <f> IF(U256&lt;&gt;"",TEXT(AUX!Y$1,"dd-MMM-aa"),"")</f>
      </c>
      <c r="V236" s="435" t="str">
        <f> IF(V256&lt;&gt;"",TEXT(AUX!Z$1,"dd-MMM-aa"),"")</f>
      </c>
      <c r="W236" s="435" t="str">
        <f> IF(W256&lt;&gt;"",TEXT(AUX!AA$1,"dd-MMM-aa"),"")</f>
      </c>
      <c r="X236" s="435" t="str">
        <f> IF(X256&lt;&gt;"",TEXT(AUX!AB$1,"dd-MMM-aa"),"")</f>
      </c>
      <c r="Y236" s="435" t="str">
        <f> IF(Y256&lt;&gt;"",TEXT(AUX!AC$1,"dd-MMM-aa"),"")</f>
      </c>
      <c r="Z236" s="435" t="str">
        <f> IF(Z256&lt;&gt;"",TEXT(AUX!AD$1,"dd-MMM-aa"),"")</f>
      </c>
      <c r="AA236" s="435" t="str">
        <f> IF(AA256&lt;&gt;"",TEXT(AUX!AE$1,"dd-MMM-aa"),"")</f>
      </c>
      <c r="AB236" s="497" t="str">
        <f> IF(AB256&lt;&gt;"",TEXT(AUX!AF$1,"dd-MMM-aa"),"")</f>
      </c>
      <c r="AC236" s="496" t="str">
        <f> IF(AC256&lt;&gt;"",TEXT(AUX!AG$1,"dd-MMM-aa"),"")</f>
      </c>
      <c r="AD236" s="496" t="str">
        <f> IF(AD256&lt;&gt;"",TEXT(AUX!AH$1,"dd-MMM-aa"),"")</f>
      </c>
      <c r="AE236" s="496" t="str">
        <f> IF(AE256&lt;&gt;"",TEXT(AUX!AI$1,"dd-MMM-aa"),"")</f>
      </c>
      <c r="AF236" s="496" t="str">
        <f> IF(AF256&lt;&gt;"",TEXT(AUX!AJ$1,"dd-MMM-aa"),"")</f>
      </c>
      <c r="AG236" s="496" t="str">
        <f> IF(AG256&lt;&gt;"",TEXT(AUX!AK$1,"dd-MMM-aa"),"")</f>
      </c>
      <c r="AH236" s="496" t="str">
        <f> IF(AH256&lt;&gt;"",TEXT(AUX!AL$1,"dd-MMM-aa"),"")</f>
      </c>
      <c r="AI236" s="496" t="str">
        <f> IF(AI256&lt;&gt;"",TEXT(AUX!AM$1,"dd-MMM-aa"),"")</f>
      </c>
      <c r="AJ236" s="496" t="str">
        <f> IF(AJ256&lt;&gt;"",TEXT(AUX!AN$1,"dd-MMM-aa"),"")</f>
      </c>
      <c r="AK236" s="496" t="str">
        <f> IF(AK256&lt;&gt;"",TEXT(AUX!AO$1,"dd-MMM-aa"),"")</f>
      </c>
      <c r="AL236" s="496" t="str">
        <f> IF(AL256&lt;&gt;"",TEXT(AUX!AP$1,"dd-MMM-aa"),"")</f>
      </c>
      <c r="AM236" s="496" t="str">
        <f> IF(AM256&lt;&gt;"",TEXT(AUX!AQ$1,"dd-MMM-aa"),"")</f>
      </c>
      <c r="AN236" s="496" t="str">
        <f> IF(AN256&lt;&gt;"",TEXT(AUX!AR$1,"dd-MMM-aa"),"")</f>
      </c>
      <c r="AO236" s="496" t="str">
        <f> IF(AO256&lt;&gt;"",TEXT(AUX!AS$1,"dd-MMM-aa"),"")</f>
      </c>
      <c r="AP236" s="496" t="str">
        <f> IF(AP256&lt;&gt;"",TEXT(AUX!AT$1,"dd-MMM-aa"),"")</f>
      </c>
      <c r="AQ236" s="496" t="str">
        <f> IF(AQ256&lt;&gt;"",TEXT(AUX!AU$1,"dd-MMM-aa"),"")</f>
      </c>
      <c r="AR236" s="496" t="str">
        <f> IF(AR256&lt;&gt;"",TEXT(AUX!AV$1,"dd-MMM-aa"),"")</f>
      </c>
      <c r="AS236" s="496" t="str">
        <f> IF(AS256&lt;&gt;"",TEXT(AUX!AW$1,"dd-MMM-aa"),"")</f>
      </c>
      <c r="AT236" s="496" t="str">
        <f> IF(AT256&lt;&gt;"",TEXT(AUX!AX$1,"dd-MMM-aa"),"")</f>
      </c>
      <c r="AU236" s="496" t="str">
        <f> IF(AU256&lt;&gt;"",TEXT(AUX!AY$1,"dd-MMM-aa"),"")</f>
      </c>
      <c r="AV236" s="496" t="str">
        <f> IF(AV256&lt;&gt;"",TEXT(AUX!AZ$1,"dd-MMM-aa"),"")</f>
      </c>
      <c r="AW236" s="496" t="str">
        <f> IF(AW256&lt;&gt;"",TEXT(AUX!BA$1,"dd-MMM-aa"),"")</f>
      </c>
      <c r="AX236" s="496" t="str">
        <f> IF(AX256&lt;&gt;"",TEXT(AUX!BB$1,"dd-MMM-aa"),"")</f>
      </c>
      <c r="AY236" s="496" t="str">
        <f> IF(AY256&lt;&gt;"",TEXT(AUX!BC$1,"dd-MMM-aa"),"")</f>
      </c>
      <c r="AZ236" s="496" t="str">
        <f> IF(AZ256&lt;&gt;"",TEXT(AUX!BD$1,"dd-MMM-aa"),"")</f>
      </c>
      <c r="BA236" s="496" t="str">
        <f> IF(BA256&lt;&gt;"",TEXT(AUX!BE$1,"dd-MMM-aa"),"")</f>
      </c>
      <c r="BB236" s="496" t="str">
        <f> IF(BB256&lt;&gt;"",TEXT(AUX!BF$1,"dd-MMM-aa"),"")</f>
      </c>
      <c r="BC236" s="496" t="str">
        <f> IF(BC256&lt;&gt;"",TEXT(AUX!BG$1,"dd-MMM-aa"),"")</f>
      </c>
      <c r="BD236" s="496" t="str">
        <f> IF(BD256&lt;&gt;"",TEXT(AUX!BH$1,"dd-MMM-aa"),"")</f>
      </c>
      <c r="BE236" s="496" t="str">
        <f> IF(BE256&lt;&gt;"",TEXT(AUX!BI$1,"dd-MMM-aa"),"")</f>
      </c>
      <c r="BF236" s="496" t="str">
        <f> IF(BF256&lt;&gt;"",TEXT(AUX!BJ$1,"dd-MMM-aa"),"")</f>
      </c>
      <c r="BG236" s="496" t="str">
        <f> IF(BG256&lt;&gt;"",TEXT(AUX!BK$1,"dd-MMM-aa"),"")</f>
      </c>
      <c r="BH236" s="496" t="str">
        <f> IF(BH256&lt;&gt;"",TEXT(AUX!BL$1,"dd-MMM-aa"),"")</f>
      </c>
      <c r="BI236" s="496" t="str">
        <f> IF(BI256&lt;&gt;"",TEXT(AUX!BM$1,"dd-MMM-aa"),"")</f>
      </c>
      <c r="BJ236" s="496" t="str">
        <f> IF(BJ256&lt;&gt;"",TEXT(AUX!BN$1,"dd-MMM-aa"),"")</f>
      </c>
      <c r="BK236" s="496" t="str">
        <f> IF(BK256&lt;&gt;"",TEXT(AUX!BO$1,"dd-MMM-aa"),"")</f>
      </c>
      <c r="BL236" s="496" t="str">
        <f> IF(BL256&lt;&gt;"",TEXT(AUX!BP$1,"dd-MMM-aa"),"")</f>
      </c>
      <c r="BM236" s="496" t="str">
        <f> IF(BM256&lt;&gt;"",TEXT(AUX!BQ$1,"dd-MMM-aa"),"")</f>
      </c>
      <c r="BN236" s="496" t="str">
        <f> IF(BN256&lt;&gt;"",TEXT(AUX!BR$1,"dd-MMM-aa"),"")</f>
      </c>
      <c r="BO236" s="496" t="str">
        <f> IF(BO256&lt;&gt;"",TEXT(AUX!BS$1,"dd-MMM-aa"),"")</f>
      </c>
      <c r="BP236" s="496" t="str">
        <f> IF(BP256&lt;&gt;"",TEXT(AUX!BT$1,"dd-MMM-aa"),"")</f>
      </c>
      <c r="BQ236" s="496" t="str">
        <f> IF(BQ256&lt;&gt;"",TEXT(AUX!BU$1,"dd-MMM-aa"),"")</f>
      </c>
      <c r="BR236" s="496" t="str">
        <f> IF(BR256&lt;&gt;"",TEXT(AUX!BV$1,"dd-MMM-aa"),"")</f>
      </c>
      <c r="BS236" s="496" t="str">
        <f> IF(BS256&lt;&gt;"",TEXT(AUX!BW$1,"dd-MMM-aa"),"")</f>
      </c>
      <c r="BT236" s="496" t="str">
        <f> IF(BT256&lt;&gt;"",TEXT(AUX!BX$1,"dd-MMM-aa"),"")</f>
      </c>
      <c r="BU236" s="496" t="str">
        <f> IF(BU256&lt;&gt;"",TEXT(AUX!BY$1,"dd-MMM-aa"),"")</f>
      </c>
      <c r="BV236" s="496" t="str">
        <f> IF(BV256&lt;&gt;"",TEXT(AUX!BZ$1,"dd-MMM-aa"),"")</f>
      </c>
      <c r="BW236" s="496" t="str">
        <f> IF(BW256&lt;&gt;"",TEXT(AUX!CA$1,"dd-MMM-aa"),"")</f>
      </c>
      <c r="BX236" s="496" t="str">
        <f> IF(BX256&lt;&gt;"",TEXT(AUX!CB$1,"dd-MMM-aa"),"")</f>
      </c>
      <c r="BY236" s="496" t="str">
        <f> IF(BY256&lt;&gt;"",TEXT(AUX!CC$1,"dd-MMM-aa"),"")</f>
      </c>
      <c r="BZ236" s="496" t="str">
        <f> IF(BZ256&lt;&gt;"",TEXT(AUX!CD$1,"dd-MMM-aa"),"")</f>
      </c>
      <c r="CA236" s="496" t="str">
        <f> IF(CA256&lt;&gt;"",TEXT(AUX!CE$1,"dd-MMM-aa"),"")</f>
      </c>
      <c r="CB236" s="496" t="str">
        <f> IF(CB256&lt;&gt;"",TEXT(AUX!CF$1,"dd-MMM-aa"),"")</f>
      </c>
      <c r="CC236" s="496" t="str">
        <f> IF(CC256&lt;&gt;"",TEXT(AUX!CG$1,"dd-MMM-aa"),"")</f>
      </c>
      <c r="CD236" s="496" t="str">
        <f> IF(CD256&lt;&gt;"",TEXT(AUX!CH$1,"dd-MMM-aa"),"")</f>
      </c>
      <c r="CE236" s="496" t="str">
        <f> IF(CE256&lt;&gt;"",TEXT(AUX!CI$1,"dd-MMM-aa"),"")</f>
      </c>
      <c r="CF236" s="496" t="str">
        <f> IF(CF256&lt;&gt;"",TEXT(AUX!CJ$1,"dd-MMM-aa"),"")</f>
      </c>
      <c r="CG236" s="496" t="str">
        <f> IF(CG256&lt;&gt;"",TEXT(AUX!CK$1,"dd-MMM-aa"),"")</f>
      </c>
      <c r="CH236" s="496" t="str">
        <f> IF(CH256&lt;&gt;"",TEXT(AUX!CL$1,"dd-MMM-aa"),"")</f>
      </c>
      <c r="CI236" s="496" t="str">
        <f> IF(CI256&lt;&gt;"",TEXT(AUX!CM$1,"dd-MMM-aa"),"")</f>
      </c>
      <c r="CJ236" s="496" t="str">
        <f> IF(CJ256&lt;&gt;"",TEXT(AUX!CN$1,"dd-MMM-aa"),"")</f>
      </c>
      <c r="CK236" s="496" t="str">
        <f> IF(CK256&lt;&gt;"",TEXT(AUX!CO$1,"dd-MMM-aa"),"")</f>
      </c>
      <c r="CL236" s="496" t="str">
        <f> IF(CL256&lt;&gt;"",TEXT(AUX!CP$1,"dd-MMM-aa"),"")</f>
      </c>
      <c r="CM236" s="496" t="str">
        <f> IF(CM256&lt;&gt;"",TEXT(AUX!CQ$1,"dd-MMM-aa"),"")</f>
      </c>
      <c r="CN236" s="496" t="str">
        <f> IF(CN256&lt;&gt;"",TEXT(AUX!CR$1,"dd-MMM-aa"),"")</f>
      </c>
      <c r="CO236" s="496" t="str">
        <f> IF(CO256&lt;&gt;"",TEXT(AUX!CS$1,"dd-MMM-aa"),"")</f>
      </c>
      <c r="CP236" s="496" t="str">
        <f> IF(CP256&lt;&gt;"",TEXT(AUX!CT$1,"dd-MMM-aa"),"")</f>
      </c>
      <c r="CQ236" s="496" t="str">
        <f> IF(CQ256&lt;&gt;"",TEXT(AUX!CU$1,"dd-MMM-aa"),"")</f>
      </c>
      <c r="CR236" s="496" t="str">
        <f> IF(CR256&lt;&gt;"",TEXT(AUX!CV$1,"dd-MMM-aa"),"")</f>
      </c>
      <c r="CS236" s="496" t="str">
        <f> IF(CS256&lt;&gt;"",TEXT(AUX!CW$1,"dd-MMM-aa"),"")</f>
      </c>
      <c r="CT236" s="496" t="str">
        <f> IF(CT256&lt;&gt;"",TEXT(AUX!CX$1,"dd-MMM-aa"),"")</f>
      </c>
      <c r="CU236" s="496" t="str">
        <f> IF(CU256&lt;&gt;"",TEXT(AUX!CY$1,"dd-MMM-aa"),"")</f>
      </c>
      <c r="CV236" s="496" t="str">
        <f> IF(CV256&lt;&gt;"",TEXT(AUX!CZ$1,"dd-MMM-aa"),"")</f>
      </c>
      <c r="CW236" s="496" t="str">
        <f> IF(CW256&lt;&gt;"",TEXT(AUX!DA$1,"dd-MMM-aa"),"")</f>
      </c>
      <c r="CX236" s="496" t="str">
        <f> IF(CX256&lt;&gt;"",TEXT(AUX!DB$1,"dd-MMM-aa"),"")</f>
      </c>
      <c r="CY236" s="496" t="str">
        <f> IF(CY256&lt;&gt;"",TEXT(AUX!DC$1,"dd-MMM-aa"),"")</f>
      </c>
      <c r="CZ236" s="496" t="str">
        <f> IF(CZ256&lt;&gt;"",TEXT(AUX!DD$1,"dd-MMM-aa"),"")</f>
      </c>
      <c r="DA236" s="496" t="str">
        <f> IF(DA256&lt;&gt;"",TEXT(AUX!DE$1,"dd-MMM-aa"),"")</f>
      </c>
      <c r="DB236" s="496" t="str">
        <f> IF(DB256&lt;&gt;"",TEXT(AUX!DF$1,"dd-MMM-aa"),"")</f>
      </c>
      <c r="DC236" s="496" t="str">
        <f> IF(DC256&lt;&gt;"",TEXT(AUX!DG$1,"dd-MMM-aa"),"")</f>
      </c>
      <c r="DD236" s="496" t="str">
        <f> IF(DD256&lt;&gt;"",TEXT(AUX!DH$1,"dd-MMM-aa"),"")</f>
      </c>
      <c r="DE236" s="496" t="str">
        <f> IF(DE256&lt;&gt;"",TEXT(AUX!DI$1,"dd-MMM-aa"),"")</f>
      </c>
      <c r="DF236" s="496" t="str">
        <f> IF(DF256&lt;&gt;"",TEXT(AUX!DJ$1,"dd-MMM-aa"),"")</f>
      </c>
      <c r="DG236" s="496" t="str">
        <f> IF(DG256&lt;&gt;"",TEXT(AUX!DK$1,"dd-MMM-aa"),"")</f>
      </c>
      <c r="DH236" s="496" t="str">
        <f> IF(DH256&lt;&gt;"",TEXT(AUX!DL$1,"dd-MMM-aa"),"")</f>
      </c>
      <c r="DI236" s="496" t="str">
        <f> IF(DI256&lt;&gt;"",TEXT(AUX!DM$1,"dd-MMM-aa"),"")</f>
      </c>
      <c r="DJ236" s="496" t="str">
        <f> IF(DJ256&lt;&gt;"",TEXT(AUX!DN$1,"dd-MMM-aa"),"")</f>
      </c>
      <c r="DK236" s="496" t="str">
        <f> IF(DK256&lt;&gt;"",TEXT(AUX!DO$1,"dd-MMM-aa"),"")</f>
      </c>
      <c r="DL236" s="496" t="str">
        <f> IF(DL256&lt;&gt;"",TEXT(AUX!DP$1,"dd-MMM-aa"),"")</f>
      </c>
      <c r="DM236" s="496" t="str">
        <f> IF(DM256&lt;&gt;"",TEXT(AUX!DQ$1,"dd-MMM-aa"),"")</f>
      </c>
      <c r="DN236" s="496" t="str">
        <f> IF(DN256&lt;&gt;"",TEXT(AUX!DR$1,"dd-MMM-aa"),"")</f>
      </c>
      <c r="DO236" s="496" t="str">
        <f> IF(DO256&lt;&gt;"",TEXT(AUX!DS$1,"dd-MMM-aa"),"")</f>
      </c>
      <c r="DP236" s="496" t="str">
        <f> IF(DP256&lt;&gt;"",TEXT(AUX!DT$1,"dd-MMM-aa"),"")</f>
      </c>
      <c r="DQ236" s="496" t="str">
        <f> IF(DQ256&lt;&gt;"",TEXT(AUX!DU$1,"dd-MMM-aa"),"")</f>
      </c>
      <c r="DR236" s="496" t="str">
        <f> IF(DR256&lt;&gt;"",TEXT(AUX!DV$1,"dd-MMM-aa"),"")</f>
      </c>
      <c r="DS236" s="496" t="str">
        <f> IF(DS256&lt;&gt;"",TEXT(AUX!DW$1,"dd-MMM-aa"),"")</f>
      </c>
      <c r="DT236" s="496" t="str">
        <f> IF(DT256&lt;&gt;"",TEXT(AUX!DX$1,"dd-MMM-aa"),"")</f>
      </c>
      <c r="DU236" s="496" t="str">
        <f> IF(DU256&lt;&gt;"",TEXT(AUX!DY$1,"dd-MMM-aa"),"")</f>
      </c>
      <c r="DV236" s="496" t="str">
        <f> IF(DV256&lt;&gt;"",TEXT(AUX!DZ$1,"dd-MMM-aa"),"")</f>
      </c>
      <c r="DW236" s="496" t="str">
        <f> IF(DW256&lt;&gt;"",TEXT(AUX!EA$1,"dd-MMM-aa"),"")</f>
      </c>
      <c r="DX236" s="496" t="str">
        <f> IF(DX256&lt;&gt;"",TEXT(AUX!EB$1,"dd-MMM-aa"),"")</f>
      </c>
      <c r="DY236" s="496" t="str">
        <f> IF(DY256&lt;&gt;"",TEXT(AUX!EC$1,"dd-MMM-aa"),"")</f>
      </c>
      <c r="DZ236" s="496" t="str">
        <f> IF(DZ256&lt;&gt;"",TEXT(AUX!ED$1,"dd-MMM-aa"),"")</f>
      </c>
      <c r="EA236" s="496" t="str">
        <f> IF(EA256&lt;&gt;"",TEXT(AUX!EE$1,"dd-MMM-aa"),"")</f>
      </c>
      <c r="EB236" s="496" t="str">
        <f> IF(EB256&lt;&gt;"",TEXT(AUX!EF$1,"dd-MMM-aa"),"")</f>
      </c>
      <c r="EC236" s="496" t="str">
        <f> IF(EC256&lt;&gt;"",TEXT(AUX!EG$1,"dd-MMM-aa"),"")</f>
      </c>
      <c r="ED236" s="496" t="str">
        <f> IF(ED256&lt;&gt;"",TEXT(AUX!EH$1,"dd-MMM-aa"),"")</f>
      </c>
      <c r="EE236" s="496" t="str">
        <f> IF(EE256&lt;&gt;"",TEXT(AUX!EI$1,"dd-MMM-aa"),"")</f>
      </c>
      <c r="EF236" s="496" t="str">
        <f> IF(EF256&lt;&gt;"",TEXT(AUX!EJ$1,"dd-MMM-aa"),"")</f>
      </c>
      <c r="EG236" s="496" t="str">
        <f> IF(EG256&lt;&gt;"",TEXT(AUX!EK$1,"dd-MMM-aa"),"")</f>
      </c>
      <c r="EH236" s="496" t="str">
        <f> IF(EH256&lt;&gt;"",TEXT(AUX!EL$1,"dd-MMM-aa"),"")</f>
      </c>
      <c r="EI236" s="496" t="str">
        <f> IF(EI256&lt;&gt;"",TEXT(AUX!EM$1,"dd-MMM-aa"),"")</f>
      </c>
      <c r="EJ236" s="496" t="str">
        <f> IF(EJ256&lt;&gt;"",TEXT(AUX!EN$1,"dd-MMM-aa"),"")</f>
      </c>
      <c r="EK236" s="496" t="str">
        <f> IF(EK256&lt;&gt;"",TEXT(AUX!EO$1,"dd-MMM-aa"),"")</f>
      </c>
      <c r="EL236" s="496" t="str">
        <f> IF(EL256&lt;&gt;"",TEXT(AUX!EP$1,"dd-MMM-aa"),"")</f>
      </c>
      <c r="EM236" s="496" t="str">
        <f> IF(EM256&lt;&gt;"",TEXT(AUX!EQ$1,"dd-MMM-aa"),"")</f>
      </c>
      <c r="EN236" s="496" t="str">
        <f> IF(EN256&lt;&gt;"",TEXT(AUX!ER$1,"dd-MMM-aa"),"")</f>
      </c>
      <c r="EO236" s="496" t="str">
        <f> IF(EO256&lt;&gt;"",TEXT(AUX!ES$1,"dd-MMM-aa"),"")</f>
      </c>
      <c r="EP236" s="496" t="str">
        <f> IF(EP256&lt;&gt;"",TEXT(AUX!ET$1,"dd-MMM-aa"),"")</f>
      </c>
      <c r="EQ236" s="496" t="str">
        <f> IF(EQ256&lt;&gt;"",TEXT(AUX!EU$1,"dd-MMM-aa"),"")</f>
      </c>
      <c r="ER236" s="496" t="str">
        <f> IF(ER256&lt;&gt;"",TEXT(AUX!EV$1,"dd-MMM-aa"),"")</f>
      </c>
      <c r="ES236" s="496" t="str">
        <f> IF(ES256&lt;&gt;"",TEXT(AUX!EW$1,"dd-MMM-aa"),"")</f>
      </c>
      <c r="ET236" s="496" t="str">
        <f> IF(ET256&lt;&gt;"",TEXT(AUX!EX$1,"dd-MMM-aa"),"")</f>
      </c>
      <c r="EU236" s="496" t="str">
        <f> IF(EU256&lt;&gt;"",TEXT(AUX!EY$1,"dd-MMM-aa"),"")</f>
      </c>
      <c r="EV236" s="496" t="str">
        <f> IF(EV256&lt;&gt;"",TEXT(AUX!EZ$1,"dd-MMM-aa"),"")</f>
      </c>
      <c r="EW236" s="496" t="str">
        <f> IF(EW256&lt;&gt;"",TEXT(AUX!FA$1,"dd-MMM-aa"),"")</f>
      </c>
      <c r="EX236" s="496" t="str">
        <f> IF(EX256&lt;&gt;"",TEXT(AUX!FB$1,"dd-MMM-aa"),"")</f>
      </c>
      <c r="EY236" s="496" t="str">
        <f> IF(EY256&lt;&gt;"",TEXT(AUX!FC$1,"dd-MMM-aa"),"")</f>
      </c>
      <c r="EZ236" s="496" t="str">
        <f> IF(EZ256&lt;&gt;"",TEXT(AUX!FD$1,"dd-MMM-aa"),"")</f>
      </c>
      <c r="FA236" s="496" t="str">
        <f> IF(FA256&lt;&gt;"",TEXT(AUX!FE$1,"dd-MMM-aa"),"")</f>
      </c>
      <c r="FB236" s="496" t="str">
        <f> IF(FB256&lt;&gt;"",TEXT(AUX!FF$1,"dd-MMM-aa"),"")</f>
      </c>
      <c r="FC236" s="496" t="str">
        <f> IF(FC256&lt;&gt;"",TEXT(AUX!FG$1,"dd-MMM-aa"),"")</f>
      </c>
      <c r="FD236" s="496" t="str">
        <f> IF(FD256&lt;&gt;"",TEXT(AUX!FH$1,"dd-MMM-aa"),"")</f>
      </c>
      <c r="FE236" s="496" t="str">
        <f> IF(FE256&lt;&gt;"",TEXT(AUX!FI$1,"dd-MMM-aa"),"")</f>
      </c>
      <c r="FF236" s="496" t="str">
        <f> IF(FF256&lt;&gt;"",TEXT(AUX!FJ$1,"dd-MMM-aa"),"")</f>
      </c>
      <c r="FG236" s="496" t="str">
        <f> IF(FG256&lt;&gt;"",TEXT(AUX!FK$1,"dd-MMM-aa"),"")</f>
      </c>
      <c r="FH236" s="496" t="str">
        <f> IF(FH256&lt;&gt;"",TEXT(AUX!FL$1,"dd-MMM-aa"),"")</f>
      </c>
      <c r="FI236" s="496" t="str">
        <f> IF(FI256&lt;&gt;"",TEXT(AUX!FM$1,"dd-MMM-aa"),"")</f>
      </c>
      <c r="FJ236" s="496" t="str">
        <f> IF(FJ256&lt;&gt;"",TEXT(AUX!FN$1,"dd-MMM-aa"),"")</f>
      </c>
      <c r="FK236" s="496" t="str">
        <f> IF(FK256&lt;&gt;"",TEXT(AUX!FO$1,"dd-MMM-aa"),"")</f>
      </c>
      <c r="FL236" s="496" t="str">
        <f> IF(FL256&lt;&gt;"",TEXT(AUX!FP$1,"dd-MMM-aa"),"")</f>
      </c>
      <c r="FM236" s="496" t="str">
        <f> IF(FM256&lt;&gt;"",TEXT(AUX!FQ$1,"dd-MMM-aa"),"")</f>
      </c>
      <c r="FN236" s="496" t="str">
        <f> IF(FN256&lt;&gt;"",TEXT(AUX!FR$1,"dd-MMM-aa"),"")</f>
      </c>
      <c r="FO236" s="496" t="str">
        <f> IF(FO256&lt;&gt;"",TEXT(AUX!FS$1,"dd-MMM-aa"),"")</f>
      </c>
      <c r="FP236" s="496" t="str">
        <f> IF(FP256&lt;&gt;"",TEXT(AUX!FT$1,"dd-MMM-aa"),"")</f>
      </c>
      <c r="FQ236" s="496" t="str">
        <f> IF(FQ256&lt;&gt;"",TEXT(AUX!FU$1,"dd-MMM-aa"),"")</f>
      </c>
      <c r="FR236" s="496" t="str">
        <f> IF(FR256&lt;&gt;"",TEXT(AUX!FV$1,"dd-MMM-aa"),"")</f>
      </c>
      <c r="FS236" s="496" t="str">
        <f> IF(FS256&lt;&gt;"",TEXT(AUX!FW$1,"dd-MMM-aa"),"")</f>
      </c>
      <c r="FT236" s="496" t="str">
        <f> IF(FT256&lt;&gt;"",TEXT(AUX!FX$1,"dd-MMM-aa"),"")</f>
      </c>
      <c r="FU236" s="496" t="str">
        <f> IF(FU256&lt;&gt;"",TEXT(AUX!FY$1,"dd-MMM-aa"),"")</f>
      </c>
      <c r="FV236" s="496" t="str">
        <f> IF(FV256&lt;&gt;"",TEXT(AUX!FZ$1,"dd-MMM-aa"),"")</f>
      </c>
      <c r="FW236" s="496" t="str">
        <f> IF(FW256&lt;&gt;"",TEXT(AUX!GA$1,"dd-MMM-aa"),"")</f>
      </c>
      <c r="FX236" s="496" t="str">
        <f> IF(FX256&lt;&gt;"",TEXT(AUX!GB$1,"dd-MMM-aa"),"")</f>
      </c>
      <c r="FY236" s="496" t="str">
        <f> IF(FY256&lt;&gt;"",TEXT(AUX!GC$1,"dd-MMM-aa"),"")</f>
      </c>
      <c r="FZ236" s="496" t="str">
        <f> IF(FZ256&lt;&gt;"",TEXT(AUX!GD$1,"dd-MMM-aa"),"")</f>
      </c>
      <c r="GA236" s="496" t="str">
        <f> IF(GA256&lt;&gt;"",TEXT(AUX!GE$1,"dd-MMM-aa"),"")</f>
      </c>
      <c r="GB236" s="496" t="str">
        <f> IF(GB256&lt;&gt;"",TEXT(AUX!GF$1,"dd-MMM-aa"),"")</f>
      </c>
      <c r="GC236" s="496" t="str">
        <f> IF(GC256&lt;&gt;"",TEXT(AUX!GG$1,"dd-MMM-aa"),"")</f>
      </c>
      <c r="GD236" s="496" t="str">
        <f> IF(GD256&lt;&gt;"",TEXT(AUX!GH$1,"dd-MMM-aa"),"")</f>
      </c>
      <c r="GE236" s="496" t="str">
        <f> IF(GE256&lt;&gt;"",TEXT(AUX!GI$1,"dd-MMM-aa"),"")</f>
      </c>
      <c r="GF236" s="496" t="str">
        <f> IF(GF256&lt;&gt;"",TEXT(AUX!GJ$1,"dd-MMM-aa"),"")</f>
      </c>
      <c r="GG236" s="496" t="str">
        <f> IF(GG256&lt;&gt;"",TEXT(AUX!GK$1,"dd-MMM-aa"),"")</f>
      </c>
      <c r="GH236" s="496" t="str">
        <f> IF(GH256&lt;&gt;"",TEXT(AUX!GL$1,"dd-MMM-aa"),"")</f>
      </c>
      <c r="GI236" s="496" t="str">
        <f> IF(GI256&lt;&gt;"",TEXT(AUX!GM$1,"dd-MMM-aa"),"")</f>
      </c>
      <c r="GJ236" s="496" t="str">
        <f> IF(GJ256&lt;&gt;"",TEXT(AUX!GN$1,"dd-MMM-aa"),"")</f>
      </c>
      <c r="GK236" s="496" t="str">
        <f> IF(GK256&lt;&gt;"",TEXT(AUX!GO$1,"dd-MMM-aa"),"")</f>
      </c>
      <c r="GL236" s="496" t="str">
        <f> IF(GL256&lt;&gt;"",TEXT(AUX!GP$1,"dd-MMM-aa"),"")</f>
      </c>
      <c r="GM236" s="496" t="str">
        <f> IF(GM256&lt;&gt;"",TEXT(AUX!GQ$1,"dd-MMM-aa"),"")</f>
      </c>
      <c r="GN236" s="496" t="str">
        <f> IF(GN256&lt;&gt;"",TEXT(AUX!GR$1,"dd-MMM-aa"),"")</f>
      </c>
      <c r="GO236" s="496" t="str">
        <f> IF(GO256&lt;&gt;"",TEXT(AUX!GS$1,"dd-MMM-aa"),"")</f>
      </c>
      <c r="GP236" s="496" t="str">
        <f> IF(GP256&lt;&gt;"",TEXT(AUX!GT$1,"dd-MMM-aa"),"")</f>
      </c>
      <c r="GQ236" s="496" t="str">
        <f> IF(GQ256&lt;&gt;"",TEXT(AUX!GU$1,"dd-MMM-aa"),"")</f>
      </c>
      <c r="GR236" s="496" t="str">
        <f> IF(GR256&lt;&gt;"",TEXT(AUX!GV$1,"dd-MMM-aa"),"")</f>
      </c>
      <c r="GS236" s="496" t="str">
        <f> IF(GS256&lt;&gt;"",TEXT(AUX!GW$1,"dd-MMM-aa"),"")</f>
      </c>
      <c r="GT236" s="496" t="str">
        <f> IF(GT256&lt;&gt;"",TEXT(AUX!GX$1,"dd-MMM-aa"),"")</f>
      </c>
      <c r="GU236" s="496" t="str">
        <f> IF(GU256&lt;&gt;"",TEXT(AUX!GY$1,"dd-MMM-aa"),"")</f>
      </c>
      <c r="GV236" s="496" t="str">
        <f> IF(GV256&lt;&gt;"",TEXT(AUX!GZ$1,"dd-MMM-aa"),"")</f>
      </c>
      <c r="GW236" s="496" t="str">
        <f> IF(GW256&lt;&gt;"",TEXT(AUX!HA$1,"dd-MMM-aa"),"")</f>
      </c>
      <c r="GX236" s="496" t="str">
        <f> IF(GX256&lt;&gt;"",TEXT(AUX!HB$1,"dd-MMM-aa"),"")</f>
      </c>
      <c r="GY236" s="496" t="str">
        <f> IF(GY256&lt;&gt;"",TEXT(AUX!HC$1,"dd-MMM-aa"),"")</f>
      </c>
      <c r="GZ236" s="496" t="str">
        <f> IF(GZ256&lt;&gt;"",TEXT(AUX!HD$1,"dd-MMM-aa"),"")</f>
      </c>
      <c r="HA236" s="496" t="str">
        <f> IF(HA256&lt;&gt;"",TEXT(AUX!HE$1,"dd-MMM-aa"),"")</f>
      </c>
      <c r="HB236" s="496" t="str">
        <f> IF(HB256&lt;&gt;"",TEXT(AUX!HF$1,"dd-MMM-aa"),"")</f>
      </c>
      <c r="HC236" s="496" t="str">
        <f> IF(HC256&lt;&gt;"",TEXT(AUX!HG$1,"dd-MMM-aa"),"")</f>
      </c>
      <c r="HD236" s="496" t="str">
        <f> IF(HD256&lt;&gt;"",TEXT(AUX!HH$1,"dd-MMM-aa"),"")</f>
      </c>
      <c r="HE236" s="496" t="str">
        <f> IF(HE256&lt;&gt;"",TEXT(AUX!HI$1,"dd-MMM-aa"),"")</f>
      </c>
      <c r="HF236" s="496" t="str">
        <f> IF(HF256&lt;&gt;"",TEXT(AUX!HJ$1,"dd-MMM-aa"),"")</f>
      </c>
      <c r="HG236" s="496" t="str">
        <f> IF(HG256&lt;&gt;"",TEXT(AUX!HK$1,"dd-MMM-aa"),"")</f>
      </c>
      <c r="HH236" s="496" t="str">
        <f> IF(HH256&lt;&gt;"",TEXT(AUX!HL$1,"dd-MMM-aa"),"")</f>
      </c>
      <c r="HI236" s="496" t="str">
        <f> IF(HI256&lt;&gt;"",TEXT(AUX!HM$1,"dd-MMM-aa"),"")</f>
      </c>
      <c r="HJ236" s="496" t="str">
        <f> IF(HJ256&lt;&gt;"",TEXT(AUX!HN$1,"dd-MMM-aa"),"")</f>
      </c>
      <c r="HK236" s="496" t="str">
        <f> IF(HK256&lt;&gt;"",TEXT(AUX!HO$1,"dd-MMM-aa"),"")</f>
      </c>
      <c r="HL236" s="496" t="str">
        <f> IF(HL256&lt;&gt;"",TEXT(AUX!HP$1,"dd-MMM-aa"),"")</f>
      </c>
      <c r="HM236" s="496" t="str">
        <f> IF(HM256&lt;&gt;"",TEXT(AUX!HQ$1,"dd-MMM-aa"),"")</f>
      </c>
      <c r="HN236" s="496" t="str">
        <f> IF(HN256&lt;&gt;"",TEXT(AUX!HR$1,"dd-MMM-aa"),"")</f>
      </c>
      <c r="HO236" s="496" t="str">
        <f> IF(HO256&lt;&gt;"",TEXT(AUX!HS$1,"dd-MMM-aa"),"")</f>
      </c>
      <c r="HP236" s="496" t="str">
        <f> IF(HP256&lt;&gt;"",TEXT(AUX!HT$1,"dd-MMM-aa"),"")</f>
      </c>
      <c r="HQ236" s="496" t="str">
        <f> IF(HQ256&lt;&gt;"",TEXT(AUX!HU$1,"dd-MMM-aa"),"")</f>
      </c>
      <c r="HR236" s="496" t="str">
        <f> IF(HR256&lt;&gt;"",TEXT(AUX!HV$1,"dd-MMM-aa"),"")</f>
      </c>
      <c r="HS236" s="496" t="str">
        <f> IF(HS256&lt;&gt;"",TEXT(AUX!HW$1,"dd-MMM-aa"),"")</f>
      </c>
      <c r="HT236" s="496" t="str">
        <f> IF(HT256&lt;&gt;"",TEXT(AUX!HX$1,"dd-MMM-aa"),"")</f>
      </c>
      <c r="HU236" s="496" t="str">
        <f> IF(HU256&lt;&gt;"",TEXT(AUX!HY$1,"dd-MMM-aa"),"")</f>
      </c>
      <c r="HV236" s="496" t="str">
        <f> IF(HV256&lt;&gt;"",TEXT(AUX!HZ$1,"dd-MMM-aa"),"")</f>
      </c>
      <c r="HW236" s="496" t="str">
        <f> IF(HW256&lt;&gt;"",TEXT(AUX!IA$1,"dd-MMM-aa"),"")</f>
      </c>
      <c r="HX236" s="496" t="str">
        <f> IF(HX256&lt;&gt;"",TEXT(AUX!IB$1,"dd-MMM-aa"),"")</f>
      </c>
      <c r="HY236" s="496" t="str">
        <f> IF(HY256&lt;&gt;"",TEXT(AUX!IC$1,"dd-MMM-aa"),"")</f>
      </c>
      <c r="HZ236" s="496" t="str">
        <f> IF(HZ256&lt;&gt;"",TEXT(AUX!ID$1,"dd-MMM-aa"),"")</f>
      </c>
      <c r="IA236" s="496" t="str">
        <f> IF(IA256&lt;&gt;"",TEXT(AUX!IE$1,"dd-MMM-aa"),"")</f>
      </c>
      <c r="IB236" s="496" t="str">
        <f> IF(IB256&lt;&gt;"",TEXT(AUX!IF$1,"dd-MMM-aa"),"")</f>
      </c>
      <c r="IC236" s="496" t="str">
        <f> IF(IC256&lt;&gt;"",TEXT(AUX!IG$1,"dd-MMM-aa"),"")</f>
      </c>
      <c r="ID236" s="496" t="str">
        <f> IF(ID256&lt;&gt;"",TEXT(AUX!IH$1,"dd-MMM-aa"),"")</f>
      </c>
      <c r="IE236" s="496" t="str">
        <f> IF(IE256&lt;&gt;"",TEXT(AUX!II$1,"dd-MMM-aa"),"")</f>
      </c>
      <c r="IF236" s="496" t="str">
        <f> IF(IF256&lt;&gt;"",TEXT(AUX!IJ$1,"dd-MMM-aa"),"")</f>
      </c>
      <c r="IG236" s="496" t="str">
        <f> IF(IG256&lt;&gt;"",TEXT(AUX!IK$1,"dd-MMM-aa"),"")</f>
      </c>
      <c r="IH236" s="496" t="str">
        <f> IF(IH256&lt;&gt;"",TEXT(AUX!IL$1,"dd-MMM-aa"),"")</f>
      </c>
      <c r="II236" s="496" t="str">
        <f> IF(II256&lt;&gt;"",TEXT(AUX!IM$1,"dd-MMM-aa"),"")</f>
      </c>
      <c r="IJ236" s="496" t="str">
        <f> IF(IJ256&lt;&gt;"",TEXT(AUX!IN$1,"dd-MMM-aa"),"")</f>
      </c>
      <c r="IK236" s="496" t="str">
        <f> IF(IK256&lt;&gt;"",TEXT(AUX!IO$1,"dd-MMM-aa"),"")</f>
      </c>
      <c r="IL236" s="496" t="str">
        <f> IF(IL256&lt;&gt;"",TEXT(AUX!IP$1,"dd-MMM-aa"),"")</f>
      </c>
      <c r="IM236" s="496" t="str">
        <f> IF(IM256&lt;&gt;"",TEXT(AUX!IQ$1,"dd-MMM-aa"),"")</f>
      </c>
      <c r="IN236" s="496" t="str">
        <f> IF(IN256&lt;&gt;"",TEXT(AUX!IR$1,"dd-MMM-aa"),"")</f>
      </c>
      <c r="IO236" s="496" t="str">
        <f> IF(IO256&lt;&gt;"",TEXT(AUX!IS$1,"dd-MMM-aa"),"")</f>
      </c>
      <c r="IP236" s="496" t="str">
        <f> IF(IP256&lt;&gt;"",TEXT(AUX!IT$1,"dd-MMM-aa"),"")</f>
      </c>
      <c r="IQ236" s="496" t="str">
        <f> IF(IQ256&lt;&gt;"",TEXT(AUX!IU$1,"dd-MMM-aa"),"")</f>
      </c>
      <c r="IR236" s="496" t="str">
        <f> IF(IR256&lt;&gt;"",TEXT(AUX!IV$1,"dd-MMM-aa"),"")</f>
      </c>
      <c r="IS236" s="496" t="str">
        <f> IF(IS256&lt;&gt;"",TEXT(AUX!#REF!,"dd-MMM-aa"),"")</f>
      </c>
      <c r="IT236" s="496" t="str">
        <f> IF(IT256&lt;&gt;"",TEXT(AUX!#REF!,"dd-MMM-aa"),"")</f>
      </c>
      <c r="IU236" s="496" t="str">
        <f> IF(IU256&lt;&gt;"",TEXT(AUX!#REF!,"dd-MMM-aa"),"")</f>
      </c>
      <c r="IV236" s="496" t="str">
        <f> IF(IV256&lt;&gt;"",TEXT(AUX!#REF!,"dd-MMM-aa"),"")</f>
      </c>
    </row>
    <row r="237" hidden="1">
      <c r="B237" s="833" t="s">
        <v>8</v>
      </c>
      <c r="C237" s="827">
        <v>0</v>
      </c>
      <c r="D237" s="827">
        <v>2345</v>
      </c>
      <c r="E237" s="827">
        <v>4692</v>
      </c>
      <c r="F237" s="827">
        <v>5434</v>
      </c>
      <c r="G237" s="827">
        <v>5734</v>
      </c>
      <c r="H237" s="827">
        <v>5809</v>
      </c>
      <c r="I237" s="827">
        <v>5904</v>
      </c>
      <c r="J237" s="827">
        <v>5788</v>
      </c>
      <c r="K237" s="827">
        <v>5888</v>
      </c>
      <c r="L237" s="827">
        <v>5932</v>
      </c>
      <c r="M237" s="827">
        <v>5974</v>
      </c>
      <c r="N237" s="827">
        <v>5960</v>
      </c>
      <c r="O237" s="827">
        <v>0</v>
      </c>
      <c r="P237" s="827">
        <v>0</v>
      </c>
      <c r="Q237" s="827">
        <v>0</v>
      </c>
      <c r="R237" s="827">
        <v>0</v>
      </c>
      <c r="S237" s="827">
        <v>0</v>
      </c>
      <c r="T237" s="827">
        <v>0</v>
      </c>
      <c r="U237" s="827">
        <v>0</v>
      </c>
      <c r="V237" s="827">
        <v>0</v>
      </c>
      <c r="W237" s="827">
        <v>0</v>
      </c>
      <c r="X237" s="827">
        <v>0</v>
      </c>
      <c r="Y237" s="827">
        <v>0</v>
      </c>
      <c r="Z237" s="827">
        <v>0</v>
      </c>
      <c r="AA237" s="827">
        <v>0</v>
      </c>
      <c r="AB237" s="834">
        <v>0</v>
      </c>
      <c r="AC237" s="828">
        <v>0</v>
      </c>
      <c r="AD237" s="828">
        <v>0</v>
      </c>
      <c r="AE237" s="828">
        <v>0</v>
      </c>
      <c r="AF237" s="828">
        <v>0</v>
      </c>
      <c r="AG237" s="828">
        <v>0</v>
      </c>
      <c r="AH237" s="828">
        <v>0</v>
      </c>
      <c r="AI237" s="828">
        <v>0</v>
      </c>
      <c r="AJ237" s="828">
        <v>0</v>
      </c>
      <c r="AK237" s="828">
        <v>0</v>
      </c>
      <c r="AL237" s="828">
        <v>0</v>
      </c>
      <c r="AM237" s="828">
        <v>0</v>
      </c>
      <c r="AN237" s="828">
        <v>0</v>
      </c>
      <c r="AO237" s="828">
        <v>0</v>
      </c>
      <c r="AP237" s="828">
        <v>0</v>
      </c>
      <c r="AQ237" s="51"/>
      <c r="AR237" s="51"/>
      <c r="AS237" s="51"/>
      <c r="AT237" s="51"/>
      <c r="AU237" s="51"/>
      <c r="AV237" s="51"/>
      <c r="AW237" s="51"/>
      <c r="AX237" s="51"/>
      <c r="AY237" s="51"/>
      <c r="AZ237" s="51"/>
      <c r="BA237" s="51"/>
      <c r="BB237" s="51"/>
      <c r="BC237" s="51"/>
      <c r="BD237" s="51"/>
      <c r="BE237" s="51"/>
      <c r="BF237" s="51"/>
      <c r="BG237" s="51"/>
      <c r="BH237" s="51"/>
      <c r="BI237" s="51"/>
      <c r="BJ237" s="51"/>
      <c r="BK237" s="51"/>
      <c r="BL237" s="51"/>
      <c r="BM237" s="51"/>
      <c r="BN237" s="51"/>
      <c r="BO237" s="51"/>
      <c r="BP237" s="51"/>
      <c r="BQ237" s="51"/>
      <c r="BR237" s="51"/>
      <c r="BS237" s="51"/>
      <c r="BT237" s="51"/>
      <c r="BU237" s="51"/>
      <c r="BV237" s="51"/>
      <c r="BW237" s="51"/>
      <c r="BX237" s="51"/>
      <c r="BY237" s="51"/>
      <c r="BZ237" s="51"/>
      <c r="CA237" s="51"/>
      <c r="CB237" s="51"/>
      <c r="CC237" s="51"/>
      <c r="CD237" s="51"/>
      <c r="CE237" s="51"/>
      <c r="CF237" s="51"/>
      <c r="CG237" s="51"/>
      <c r="CH237" s="51"/>
      <c r="CI237" s="51"/>
      <c r="CJ237" s="51"/>
      <c r="CK237" s="51"/>
      <c r="CL237" s="51"/>
      <c r="CM237" s="51"/>
      <c r="CN237" s="51"/>
      <c r="CO237" s="51"/>
      <c r="CP237" s="51"/>
      <c r="CQ237" s="51"/>
      <c r="CR237" s="51"/>
      <c r="CS237" s="51"/>
      <c r="CT237" s="51"/>
      <c r="CU237" s="51"/>
      <c r="CV237" s="51"/>
      <c r="CW237" s="51"/>
      <c r="CX237" s="51"/>
      <c r="CY237" s="51"/>
      <c r="CZ237" s="51"/>
      <c r="DA237" s="51"/>
      <c r="DB237" s="51"/>
      <c r="DC237" s="51"/>
      <c r="DD237" s="51"/>
      <c r="DE237" s="51"/>
      <c r="DF237" s="51"/>
      <c r="DG237" s="51"/>
      <c r="DH237" s="51"/>
      <c r="DI237" s="51"/>
      <c r="DJ237" s="51"/>
      <c r="DK237" s="51"/>
      <c r="DL237" s="51"/>
      <c r="DM237" s="51"/>
      <c r="DN237" s="51"/>
      <c r="DO237" s="51"/>
      <c r="DP237" s="51"/>
      <c r="DQ237" s="51"/>
      <c r="DR237" s="51"/>
      <c r="DS237" s="51"/>
      <c r="DT237" s="51"/>
      <c r="DU237" s="51"/>
      <c r="DV237" s="51"/>
      <c r="DW237" s="51"/>
      <c r="DX237" s="51"/>
      <c r="DY237" s="51"/>
      <c r="DZ237" s="51"/>
      <c r="EA237" s="51"/>
      <c r="EB237" s="51"/>
      <c r="EC237" s="51"/>
      <c r="ED237" s="51"/>
      <c r="EE237" s="51"/>
      <c r="EF237" s="51"/>
      <c r="EG237" s="51"/>
      <c r="EH237" s="51"/>
      <c r="EI237" s="51"/>
      <c r="EJ237" s="51"/>
      <c r="EK237" s="51"/>
      <c r="EL237" s="51"/>
      <c r="EM237" s="51"/>
      <c r="EN237" s="51"/>
      <c r="EO237" s="51"/>
      <c r="EP237" s="51"/>
      <c r="EQ237" s="51"/>
      <c r="ER237" s="51"/>
      <c r="ES237" s="51"/>
      <c r="ET237" s="51"/>
      <c r="EU237" s="51"/>
      <c r="EV237" s="51"/>
      <c r="EW237" s="51"/>
      <c r="EX237" s="51"/>
      <c r="EY237" s="51"/>
      <c r="EZ237" s="51"/>
      <c r="FA237" s="51"/>
      <c r="FB237" s="51"/>
      <c r="FC237" s="51"/>
      <c r="FD237" s="51"/>
      <c r="FE237" s="51"/>
      <c r="FF237" s="51"/>
      <c r="FG237" s="51"/>
      <c r="FH237" s="51"/>
      <c r="FI237" s="51"/>
      <c r="FJ237" s="51"/>
      <c r="FK237" s="51"/>
      <c r="FL237" s="51"/>
      <c r="FM237" s="51"/>
      <c r="FN237" s="51"/>
      <c r="FO237" s="51"/>
      <c r="FP237" s="51"/>
      <c r="FQ237" s="51"/>
      <c r="FR237" s="51"/>
      <c r="FS237" s="51"/>
      <c r="FT237" s="51"/>
      <c r="FU237" s="51"/>
      <c r="FV237" s="51"/>
      <c r="FW237" s="51"/>
      <c r="FX237" s="51"/>
      <c r="FY237" s="51"/>
      <c r="FZ237" s="51"/>
      <c r="GA237" s="51"/>
      <c r="GB237" s="51"/>
      <c r="GC237" s="51"/>
      <c r="GD237" s="51"/>
      <c r="GE237" s="51"/>
      <c r="GF237" s="51"/>
      <c r="GG237" s="51"/>
      <c r="GH237" s="51"/>
      <c r="GI237" s="51"/>
      <c r="GJ237" s="51"/>
      <c r="GK237" s="51"/>
      <c r="GL237" s="51"/>
      <c r="GM237" s="51"/>
      <c r="GN237" s="51"/>
      <c r="GO237" s="51"/>
      <c r="GP237" s="51"/>
      <c r="GQ237" s="51"/>
      <c r="GR237" s="51"/>
      <c r="GS237" s="51"/>
      <c r="GT237" s="51"/>
      <c r="GU237" s="51"/>
      <c r="GV237" s="51"/>
      <c r="GW237" s="51"/>
      <c r="GX237" s="51"/>
      <c r="GY237" s="51"/>
      <c r="GZ237" s="51"/>
      <c r="HA237" s="51"/>
      <c r="HB237" s="51"/>
      <c r="HC237" s="51"/>
      <c r="HD237" s="51"/>
      <c r="HE237" s="51"/>
      <c r="HF237" s="51"/>
      <c r="HG237" s="51"/>
      <c r="HH237" s="51"/>
      <c r="HI237" s="51"/>
      <c r="HJ237" s="51"/>
      <c r="HK237" s="51"/>
      <c r="HL237" s="51"/>
      <c r="HM237" s="51"/>
      <c r="HN237" s="51"/>
      <c r="HO237" s="51"/>
      <c r="HP237" s="51"/>
      <c r="HQ237" s="51"/>
      <c r="HR237" s="51"/>
      <c r="HS237" s="51"/>
      <c r="HT237" s="51"/>
      <c r="HU237" s="51"/>
      <c r="HV237" s="51"/>
      <c r="HW237" s="51"/>
      <c r="HX237" s="51"/>
      <c r="HY237" s="51"/>
      <c r="HZ237" s="51"/>
      <c r="IA237" s="51"/>
      <c r="IB237" s="51"/>
      <c r="IC237" s="51"/>
      <c r="ID237" s="51"/>
      <c r="IE237" s="51"/>
      <c r="IF237" s="51"/>
      <c r="IG237" s="51"/>
      <c r="IH237" s="51"/>
      <c r="II237" s="51"/>
      <c r="IJ237" s="51"/>
      <c r="IK237" s="51"/>
      <c r="IL237" s="51"/>
      <c r="IM237" s="51"/>
      <c r="IN237" s="51"/>
      <c r="IO237" s="51"/>
      <c r="IP237" s="51"/>
      <c r="IQ237" s="51"/>
      <c r="IR237" s="51"/>
      <c r="IS237" s="51"/>
      <c r="IT237" s="51"/>
      <c r="IU237" s="51"/>
      <c r="IV237" s="51"/>
    </row>
    <row r="238" hidden="1">
      <c r="B238" s="829" t="s">
        <v>9</v>
      </c>
      <c r="C238" s="823">
        <v>19</v>
      </c>
      <c r="D238" s="823">
        <v>19</v>
      </c>
      <c r="E238" s="823">
        <v>20</v>
      </c>
      <c r="F238" s="823">
        <v>21</v>
      </c>
      <c r="G238" s="823">
        <v>21</v>
      </c>
      <c r="H238" s="823">
        <v>23</v>
      </c>
      <c r="I238" s="823">
        <v>23</v>
      </c>
      <c r="J238" s="823">
        <v>24</v>
      </c>
      <c r="K238" s="823">
        <v>25</v>
      </c>
      <c r="L238" s="823">
        <v>26</v>
      </c>
      <c r="M238" s="823">
        <v>17</v>
      </c>
      <c r="N238" s="823">
        <v>17</v>
      </c>
      <c r="O238" s="823">
        <v>0</v>
      </c>
      <c r="P238" s="823">
        <v>0</v>
      </c>
      <c r="Q238" s="823">
        <v>0</v>
      </c>
      <c r="R238" s="823">
        <v>0</v>
      </c>
      <c r="S238" s="823">
        <v>0</v>
      </c>
      <c r="T238" s="823">
        <v>0</v>
      </c>
      <c r="U238" s="823">
        <v>0</v>
      </c>
      <c r="V238" s="823">
        <v>0</v>
      </c>
      <c r="W238" s="823">
        <v>0</v>
      </c>
      <c r="X238" s="823">
        <v>0</v>
      </c>
      <c r="Y238" s="823">
        <v>0</v>
      </c>
      <c r="Z238" s="823">
        <v>0</v>
      </c>
      <c r="AA238" s="823">
        <v>0</v>
      </c>
      <c r="AB238" s="823">
        <v>0</v>
      </c>
      <c r="AC238" s="825">
        <v>0</v>
      </c>
      <c r="AD238" s="825">
        <v>0</v>
      </c>
      <c r="AE238" s="825">
        <v>0</v>
      </c>
      <c r="AF238" s="825">
        <v>0</v>
      </c>
      <c r="AG238" s="825">
        <v>0</v>
      </c>
      <c r="AH238" s="825">
        <v>0</v>
      </c>
      <c r="AI238" s="825">
        <v>0</v>
      </c>
      <c r="AJ238" s="825">
        <v>0</v>
      </c>
      <c r="AK238" s="825">
        <v>0</v>
      </c>
      <c r="AL238" s="825">
        <v>0</v>
      </c>
      <c r="AM238" s="825">
        <v>0</v>
      </c>
      <c r="AN238" s="825">
        <v>0</v>
      </c>
      <c r="AO238" s="825">
        <v>0</v>
      </c>
      <c r="AP238" s="825">
        <v>0</v>
      </c>
      <c r="AQ238" s="51"/>
      <c r="AR238" s="51"/>
      <c r="AS238" s="51"/>
      <c r="AT238" s="51"/>
      <c r="AU238" s="51"/>
      <c r="AV238" s="51"/>
      <c r="AW238" s="51"/>
      <c r="AX238" s="51"/>
      <c r="AY238" s="51"/>
      <c r="AZ238" s="51"/>
      <c r="BA238" s="51"/>
      <c r="BB238" s="51"/>
      <c r="BC238" s="51"/>
      <c r="BD238" s="51"/>
      <c r="BE238" s="51"/>
      <c r="BF238" s="51"/>
      <c r="BG238" s="51"/>
      <c r="BH238" s="51"/>
      <c r="BI238" s="51"/>
      <c r="BJ238" s="51"/>
      <c r="BK238" s="51"/>
      <c r="BL238" s="51"/>
      <c r="BM238" s="51"/>
      <c r="BN238" s="51"/>
      <c r="BO238" s="51"/>
      <c r="BP238" s="51"/>
      <c r="BQ238" s="51"/>
      <c r="BR238" s="51"/>
      <c r="BS238" s="51"/>
      <c r="BT238" s="51"/>
      <c r="BU238" s="51"/>
      <c r="BV238" s="51"/>
      <c r="BW238" s="51"/>
      <c r="BX238" s="51"/>
      <c r="BY238" s="51"/>
      <c r="BZ238" s="51"/>
      <c r="CA238" s="51"/>
      <c r="CB238" s="51"/>
      <c r="CC238" s="51"/>
      <c r="CD238" s="51"/>
      <c r="CE238" s="51"/>
      <c r="CF238" s="51"/>
      <c r="CG238" s="51"/>
      <c r="CH238" s="51"/>
      <c r="CI238" s="51"/>
      <c r="CJ238" s="51"/>
      <c r="CK238" s="51"/>
      <c r="CL238" s="51"/>
      <c r="CM238" s="51"/>
      <c r="CN238" s="51"/>
      <c r="CO238" s="51"/>
      <c r="CP238" s="51"/>
      <c r="CQ238" s="51"/>
      <c r="CR238" s="51"/>
      <c r="CS238" s="51"/>
      <c r="CT238" s="51"/>
      <c r="CU238" s="51"/>
      <c r="CV238" s="51"/>
      <c r="CW238" s="51"/>
      <c r="CX238" s="51"/>
      <c r="CY238" s="51"/>
      <c r="CZ238" s="51"/>
      <c r="DA238" s="51"/>
      <c r="DB238" s="51"/>
      <c r="DC238" s="51"/>
      <c r="DD238" s="51"/>
      <c r="DE238" s="51"/>
      <c r="DF238" s="51"/>
      <c r="DG238" s="51"/>
      <c r="DH238" s="51"/>
      <c r="DI238" s="51"/>
      <c r="DJ238" s="51"/>
      <c r="DK238" s="51"/>
      <c r="DL238" s="51"/>
      <c r="DM238" s="51"/>
      <c r="DN238" s="51"/>
      <c r="DO238" s="51"/>
      <c r="DP238" s="51"/>
      <c r="DQ238" s="51"/>
      <c r="DR238" s="51"/>
      <c r="DS238" s="51"/>
      <c r="DT238" s="51"/>
      <c r="DU238" s="51"/>
      <c r="DV238" s="51"/>
      <c r="DW238" s="51"/>
      <c r="DX238" s="51"/>
      <c r="DY238" s="51"/>
      <c r="DZ238" s="51"/>
      <c r="EA238" s="51"/>
      <c r="EB238" s="51"/>
      <c r="EC238" s="51"/>
      <c r="ED238" s="51"/>
      <c r="EE238" s="51"/>
      <c r="EF238" s="51"/>
      <c r="EG238" s="51"/>
      <c r="EH238" s="51"/>
      <c r="EI238" s="51"/>
      <c r="EJ238" s="51"/>
      <c r="EK238" s="51"/>
      <c r="EL238" s="51"/>
      <c r="EM238" s="51"/>
      <c r="EN238" s="51"/>
      <c r="EO238" s="51"/>
      <c r="EP238" s="51"/>
      <c r="EQ238" s="51"/>
      <c r="ER238" s="51"/>
      <c r="ES238" s="51"/>
      <c r="ET238" s="51"/>
      <c r="EU238" s="51"/>
      <c r="EV238" s="51"/>
      <c r="EW238" s="51"/>
      <c r="EX238" s="51"/>
      <c r="EY238" s="51"/>
      <c r="EZ238" s="51"/>
      <c r="FA238" s="51"/>
      <c r="FB238" s="51"/>
      <c r="FC238" s="51"/>
      <c r="FD238" s="51"/>
      <c r="FE238" s="51"/>
      <c r="FF238" s="51"/>
      <c r="FG238" s="51"/>
      <c r="FH238" s="51"/>
      <c r="FI238" s="51"/>
      <c r="FJ238" s="51"/>
      <c r="FK238" s="51"/>
      <c r="FL238" s="51"/>
      <c r="FM238" s="51"/>
      <c r="FN238" s="51"/>
      <c r="FO238" s="51"/>
      <c r="FP238" s="51"/>
      <c r="FQ238" s="51"/>
      <c r="FR238" s="51"/>
      <c r="FS238" s="51"/>
      <c r="FT238" s="51"/>
      <c r="FU238" s="51"/>
      <c r="FV238" s="51"/>
      <c r="FW238" s="51"/>
      <c r="FX238" s="51"/>
      <c r="FY238" s="51"/>
      <c r="FZ238" s="51"/>
      <c r="GA238" s="51"/>
      <c r="GB238" s="51"/>
      <c r="GC238" s="51"/>
      <c r="GD238" s="51"/>
      <c r="GE238" s="51"/>
      <c r="GF238" s="51"/>
      <c r="GG238" s="51"/>
      <c r="GH238" s="51"/>
      <c r="GI238" s="51"/>
      <c r="GJ238" s="51"/>
      <c r="GK238" s="51"/>
      <c r="GL238" s="51"/>
      <c r="GM238" s="51"/>
      <c r="GN238" s="51"/>
      <c r="GO238" s="51"/>
      <c r="GP238" s="51"/>
      <c r="GQ238" s="51"/>
      <c r="GR238" s="51"/>
      <c r="GS238" s="51"/>
      <c r="GT238" s="51"/>
      <c r="GU238" s="51"/>
      <c r="GV238" s="51"/>
      <c r="GW238" s="51"/>
      <c r="GX238" s="51"/>
      <c r="GY238" s="51"/>
      <c r="GZ238" s="51"/>
      <c r="HA238" s="51"/>
      <c r="HB238" s="51"/>
      <c r="HC238" s="51"/>
      <c r="HD238" s="51"/>
      <c r="HE238" s="51"/>
      <c r="HF238" s="51"/>
      <c r="HG238" s="51"/>
      <c r="HH238" s="51"/>
      <c r="HI238" s="51"/>
      <c r="HJ238" s="51"/>
      <c r="HK238" s="51"/>
      <c r="HL238" s="51"/>
      <c r="HM238" s="51"/>
      <c r="HN238" s="51"/>
      <c r="HO238" s="51"/>
      <c r="HP238" s="51"/>
      <c r="HQ238" s="51"/>
      <c r="HR238" s="51"/>
      <c r="HS238" s="51"/>
      <c r="HT238" s="51"/>
      <c r="HU238" s="51"/>
      <c r="HV238" s="51"/>
      <c r="HW238" s="51"/>
      <c r="HX238" s="51"/>
      <c r="HY238" s="51"/>
      <c r="HZ238" s="51"/>
      <c r="IA238" s="51"/>
      <c r="IB238" s="51"/>
      <c r="IC238" s="51"/>
      <c r="ID238" s="51"/>
      <c r="IE238" s="51"/>
      <c r="IF238" s="51"/>
      <c r="IG238" s="51"/>
      <c r="IH238" s="51"/>
      <c r="II238" s="51"/>
      <c r="IJ238" s="51"/>
      <c r="IK238" s="51"/>
      <c r="IL238" s="51"/>
      <c r="IM238" s="51"/>
      <c r="IN238" s="51"/>
      <c r="IO238" s="51"/>
      <c r="IP238" s="51"/>
      <c r="IQ238" s="51"/>
      <c r="IR238" s="51"/>
      <c r="IS238" s="51"/>
      <c r="IT238" s="51"/>
      <c r="IU238" s="51"/>
      <c r="IV238" s="51"/>
    </row>
    <row r="239" hidden="1">
      <c r="B239" s="826" t="s">
        <v>10</v>
      </c>
      <c r="C239" s="827">
        <v>0</v>
      </c>
      <c r="D239" s="827">
        <v>0</v>
      </c>
      <c r="E239" s="827">
        <v>0</v>
      </c>
      <c r="F239" s="827">
        <v>0</v>
      </c>
      <c r="G239" s="827">
        <v>0</v>
      </c>
      <c r="H239" s="827">
        <v>0</v>
      </c>
      <c r="I239" s="827">
        <v>0</v>
      </c>
      <c r="J239" s="827">
        <v>0</v>
      </c>
      <c r="K239" s="827">
        <v>1868</v>
      </c>
      <c r="L239" s="827">
        <v>2477</v>
      </c>
      <c r="M239" s="827">
        <v>2664</v>
      </c>
      <c r="N239" s="827">
        <v>2772</v>
      </c>
      <c r="O239" s="827">
        <v>0</v>
      </c>
      <c r="P239" s="827">
        <v>0</v>
      </c>
      <c r="Q239" s="827">
        <v>0</v>
      </c>
      <c r="R239" s="827">
        <v>0</v>
      </c>
      <c r="S239" s="827">
        <v>0</v>
      </c>
      <c r="T239" s="827">
        <v>0</v>
      </c>
      <c r="U239" s="827">
        <v>0</v>
      </c>
      <c r="V239" s="827">
        <v>0</v>
      </c>
      <c r="W239" s="827">
        <v>0</v>
      </c>
      <c r="X239" s="827">
        <v>0</v>
      </c>
      <c r="Y239" s="827">
        <v>0</v>
      </c>
      <c r="Z239" s="827">
        <v>0</v>
      </c>
      <c r="AA239" s="827">
        <v>0</v>
      </c>
      <c r="AB239" s="827">
        <v>0</v>
      </c>
      <c r="AC239" s="828">
        <v>0</v>
      </c>
      <c r="AD239" s="828">
        <v>0</v>
      </c>
      <c r="AE239" s="828">
        <v>0</v>
      </c>
      <c r="AF239" s="828">
        <v>0</v>
      </c>
      <c r="AG239" s="828">
        <v>0</v>
      </c>
      <c r="AH239" s="828">
        <v>0</v>
      </c>
      <c r="AI239" s="828">
        <v>0</v>
      </c>
      <c r="AJ239" s="828">
        <v>0</v>
      </c>
      <c r="AK239" s="828">
        <v>0</v>
      </c>
      <c r="AL239" s="828">
        <v>0</v>
      </c>
      <c r="AM239" s="828">
        <v>0</v>
      </c>
      <c r="AN239" s="828">
        <v>0</v>
      </c>
      <c r="AO239" s="828">
        <v>0</v>
      </c>
      <c r="AP239" s="828">
        <v>0</v>
      </c>
      <c r="AQ239" s="51"/>
      <c r="AR239" s="51"/>
      <c r="AS239" s="51"/>
      <c r="AT239" s="51"/>
      <c r="AU239" s="51"/>
      <c r="AV239" s="51"/>
      <c r="AW239" s="51"/>
      <c r="AX239" s="51"/>
      <c r="AY239" s="51"/>
      <c r="AZ239" s="51"/>
      <c r="BA239" s="51"/>
      <c r="BB239" s="51"/>
      <c r="BC239" s="51"/>
      <c r="BD239" s="51"/>
      <c r="BE239" s="51"/>
      <c r="BF239" s="51"/>
      <c r="BG239" s="51"/>
      <c r="BH239" s="51"/>
      <c r="BI239" s="51"/>
      <c r="BJ239" s="51"/>
      <c r="BK239" s="51"/>
      <c r="BL239" s="51"/>
      <c r="BM239" s="51"/>
      <c r="BN239" s="51"/>
      <c r="BO239" s="51"/>
      <c r="BP239" s="51"/>
      <c r="BQ239" s="51"/>
      <c r="BR239" s="51"/>
      <c r="BS239" s="51"/>
      <c r="BT239" s="51"/>
      <c r="BU239" s="51"/>
      <c r="BV239" s="51"/>
      <c r="BW239" s="51"/>
      <c r="BX239" s="51"/>
      <c r="BY239" s="51"/>
      <c r="BZ239" s="51"/>
      <c r="CA239" s="51"/>
      <c r="CB239" s="51"/>
      <c r="CC239" s="51"/>
      <c r="CD239" s="51"/>
      <c r="CE239" s="51"/>
      <c r="CF239" s="51"/>
      <c r="CG239" s="51"/>
      <c r="CH239" s="51"/>
      <c r="CI239" s="51"/>
      <c r="CJ239" s="51"/>
      <c r="CK239" s="51"/>
      <c r="CL239" s="51"/>
      <c r="CM239" s="51"/>
      <c r="CN239" s="51"/>
      <c r="CO239" s="51"/>
      <c r="CP239" s="51"/>
      <c r="CQ239" s="51"/>
      <c r="CR239" s="51"/>
      <c r="CS239" s="51"/>
      <c r="CT239" s="51"/>
      <c r="CU239" s="51"/>
      <c r="CV239" s="51"/>
      <c r="CW239" s="51"/>
      <c r="CX239" s="51"/>
      <c r="CY239" s="51"/>
      <c r="CZ239" s="51"/>
      <c r="DA239" s="51"/>
      <c r="DB239" s="51"/>
      <c r="DC239" s="51"/>
      <c r="DD239" s="51"/>
      <c r="DE239" s="51"/>
      <c r="DF239" s="51"/>
      <c r="DG239" s="51"/>
      <c r="DH239" s="51"/>
      <c r="DI239" s="51"/>
      <c r="DJ239" s="51"/>
      <c r="DK239" s="51"/>
      <c r="DL239" s="51"/>
      <c r="DM239" s="51"/>
      <c r="DN239" s="51"/>
      <c r="DO239" s="51"/>
      <c r="DP239" s="51"/>
      <c r="DQ239" s="51"/>
      <c r="DR239" s="51"/>
      <c r="DS239" s="51"/>
      <c r="DT239" s="51"/>
      <c r="DU239" s="51"/>
      <c r="DV239" s="51"/>
      <c r="DW239" s="51"/>
      <c r="DX239" s="51"/>
      <c r="DY239" s="51"/>
      <c r="DZ239" s="51"/>
      <c r="EA239" s="51"/>
      <c r="EB239" s="51"/>
      <c r="EC239" s="51"/>
      <c r="ED239" s="51"/>
      <c r="EE239" s="51"/>
      <c r="EF239" s="51"/>
      <c r="EG239" s="51"/>
      <c r="EH239" s="51"/>
      <c r="EI239" s="51"/>
      <c r="EJ239" s="51"/>
      <c r="EK239" s="51"/>
      <c r="EL239" s="51"/>
      <c r="EM239" s="51"/>
      <c r="EN239" s="51"/>
      <c r="EO239" s="51"/>
      <c r="EP239" s="51"/>
      <c r="EQ239" s="51"/>
      <c r="ER239" s="51"/>
      <c r="ES239" s="51"/>
      <c r="ET239" s="51"/>
      <c r="EU239" s="51"/>
      <c r="EV239" s="51"/>
      <c r="EW239" s="51"/>
      <c r="EX239" s="51"/>
      <c r="EY239" s="51"/>
      <c r="EZ239" s="51"/>
      <c r="FA239" s="51"/>
      <c r="FB239" s="51"/>
      <c r="FC239" s="51"/>
      <c r="FD239" s="51"/>
      <c r="FE239" s="51"/>
      <c r="FF239" s="51"/>
      <c r="FG239" s="51"/>
      <c r="FH239" s="51"/>
      <c r="FI239" s="51"/>
      <c r="FJ239" s="51"/>
      <c r="FK239" s="51"/>
      <c r="FL239" s="51"/>
      <c r="FM239" s="51"/>
      <c r="FN239" s="51"/>
      <c r="FO239" s="51"/>
      <c r="FP239" s="51"/>
      <c r="FQ239" s="51"/>
      <c r="FR239" s="51"/>
      <c r="FS239" s="51"/>
      <c r="FT239" s="51"/>
      <c r="FU239" s="51"/>
      <c r="FV239" s="51"/>
      <c r="FW239" s="51"/>
      <c r="FX239" s="51"/>
      <c r="FY239" s="51"/>
      <c r="FZ239" s="51"/>
      <c r="GA239" s="51"/>
      <c r="GB239" s="51"/>
      <c r="GC239" s="51"/>
      <c r="GD239" s="51"/>
      <c r="GE239" s="51"/>
      <c r="GF239" s="51"/>
      <c r="GG239" s="51"/>
      <c r="GH239" s="51"/>
      <c r="GI239" s="51"/>
      <c r="GJ239" s="51"/>
      <c r="GK239" s="51"/>
      <c r="GL239" s="51"/>
      <c r="GM239" s="51"/>
      <c r="GN239" s="51"/>
      <c r="GO239" s="51"/>
      <c r="GP239" s="51"/>
      <c r="GQ239" s="51"/>
      <c r="GR239" s="51"/>
      <c r="GS239" s="51"/>
      <c r="GT239" s="51"/>
      <c r="GU239" s="51"/>
      <c r="GV239" s="51"/>
      <c r="GW239" s="51"/>
      <c r="GX239" s="51"/>
      <c r="GY239" s="51"/>
      <c r="GZ239" s="51"/>
      <c r="HA239" s="51"/>
      <c r="HB239" s="51"/>
      <c r="HC239" s="51"/>
      <c r="HD239" s="51"/>
      <c r="HE239" s="51"/>
      <c r="HF239" s="51"/>
      <c r="HG239" s="51"/>
      <c r="HH239" s="51"/>
      <c r="HI239" s="51"/>
      <c r="HJ239" s="51"/>
      <c r="HK239" s="51"/>
      <c r="HL239" s="51"/>
      <c r="HM239" s="51"/>
      <c r="HN239" s="51"/>
      <c r="HO239" s="51"/>
      <c r="HP239" s="51"/>
      <c r="HQ239" s="51"/>
      <c r="HR239" s="51"/>
      <c r="HS239" s="51"/>
      <c r="HT239" s="51"/>
      <c r="HU239" s="51"/>
      <c r="HV239" s="51"/>
      <c r="HW239" s="51"/>
      <c r="HX239" s="51"/>
      <c r="HY239" s="51"/>
      <c r="HZ239" s="51"/>
      <c r="IA239" s="51"/>
      <c r="IB239" s="51"/>
      <c r="IC239" s="51"/>
      <c r="ID239" s="51"/>
      <c r="IE239" s="51"/>
      <c r="IF239" s="51"/>
      <c r="IG239" s="51"/>
      <c r="IH239" s="51"/>
      <c r="II239" s="51"/>
      <c r="IJ239" s="51"/>
      <c r="IK239" s="51"/>
      <c r="IL239" s="51"/>
      <c r="IM239" s="51"/>
      <c r="IN239" s="51"/>
      <c r="IO239" s="51"/>
      <c r="IP239" s="51"/>
      <c r="IQ239" s="51"/>
      <c r="IR239" s="51"/>
      <c r="IS239" s="51"/>
      <c r="IT239" s="51"/>
      <c r="IU239" s="51"/>
      <c r="IV239" s="51"/>
    </row>
    <row r="240" hidden="1">
      <c r="B240" s="829" t="s">
        <v>11</v>
      </c>
      <c r="C240" s="823">
        <v>134</v>
      </c>
      <c r="D240" s="823">
        <v>138</v>
      </c>
      <c r="E240" s="823">
        <v>156</v>
      </c>
      <c r="F240" s="823">
        <v>167</v>
      </c>
      <c r="G240" s="823">
        <v>182</v>
      </c>
      <c r="H240" s="823">
        <v>182</v>
      </c>
      <c r="I240" s="823">
        <v>189</v>
      </c>
      <c r="J240" s="823">
        <v>176</v>
      </c>
      <c r="K240" s="823">
        <v>198</v>
      </c>
      <c r="L240" s="823">
        <v>197</v>
      </c>
      <c r="M240" s="823">
        <v>213</v>
      </c>
      <c r="N240" s="823">
        <v>221</v>
      </c>
      <c r="O240" s="823">
        <v>221</v>
      </c>
      <c r="P240" s="823">
        <v>204</v>
      </c>
      <c r="Q240" s="823">
        <v>191</v>
      </c>
      <c r="R240" s="823">
        <v>184</v>
      </c>
      <c r="S240" s="823">
        <v>179</v>
      </c>
      <c r="T240" s="823">
        <v>177</v>
      </c>
      <c r="U240" s="823">
        <v>147</v>
      </c>
      <c r="V240" s="823">
        <v>141</v>
      </c>
      <c r="W240" s="823">
        <v>139</v>
      </c>
      <c r="X240" s="823">
        <v>126</v>
      </c>
      <c r="Y240" s="823">
        <v>127</v>
      </c>
      <c r="Z240" s="823">
        <v>1</v>
      </c>
      <c r="AA240" s="823">
        <v>0</v>
      </c>
      <c r="AB240" s="823">
        <v>1</v>
      </c>
      <c r="AC240" s="825">
        <v>1</v>
      </c>
      <c r="AD240" s="825">
        <v>2</v>
      </c>
      <c r="AE240" s="825">
        <v>2</v>
      </c>
      <c r="AF240" s="825">
        <v>2</v>
      </c>
      <c r="AG240" s="825">
        <v>1</v>
      </c>
      <c r="AH240" s="825">
        <v>1</v>
      </c>
      <c r="AI240" s="825">
        <v>4</v>
      </c>
      <c r="AJ240" s="825">
        <v>4</v>
      </c>
      <c r="AK240" s="825">
        <v>4</v>
      </c>
      <c r="AL240" s="825">
        <v>4</v>
      </c>
      <c r="AM240" s="825">
        <v>4</v>
      </c>
      <c r="AN240" s="825">
        <v>4</v>
      </c>
      <c r="AO240" s="825">
        <v>4</v>
      </c>
      <c r="AP240" s="825">
        <v>3</v>
      </c>
      <c r="AQ240" s="51"/>
      <c r="AR240" s="51"/>
      <c r="AS240" s="51"/>
      <c r="AT240" s="51"/>
      <c r="AU240" s="51"/>
      <c r="AV240" s="51"/>
      <c r="AW240" s="51"/>
      <c r="AX240" s="51"/>
      <c r="AY240" s="51"/>
      <c r="AZ240" s="51"/>
      <c r="BA240" s="51"/>
      <c r="BB240" s="51"/>
      <c r="BC240" s="51"/>
      <c r="BD240" s="51"/>
      <c r="BE240" s="51"/>
      <c r="BF240" s="51"/>
      <c r="BG240" s="51"/>
      <c r="BH240" s="51"/>
      <c r="BI240" s="51"/>
      <c r="BJ240" s="51"/>
      <c r="BK240" s="51"/>
      <c r="BL240" s="51"/>
      <c r="BM240" s="51"/>
      <c r="BN240" s="51"/>
      <c r="BO240" s="51"/>
      <c r="BP240" s="51"/>
      <c r="BQ240" s="51"/>
      <c r="BR240" s="51"/>
      <c r="BS240" s="51"/>
      <c r="BT240" s="51"/>
      <c r="BU240" s="51"/>
      <c r="BV240" s="51"/>
      <c r="BW240" s="51"/>
      <c r="BX240" s="51"/>
      <c r="BY240" s="51"/>
      <c r="BZ240" s="51"/>
      <c r="CA240" s="51"/>
      <c r="CB240" s="51"/>
      <c r="CC240" s="51"/>
      <c r="CD240" s="51"/>
      <c r="CE240" s="51"/>
      <c r="CF240" s="51"/>
      <c r="CG240" s="51"/>
      <c r="CH240" s="51"/>
      <c r="CI240" s="51"/>
      <c r="CJ240" s="51"/>
      <c r="CK240" s="51"/>
      <c r="CL240" s="51"/>
      <c r="CM240" s="51"/>
      <c r="CN240" s="51"/>
      <c r="CO240" s="51"/>
      <c r="CP240" s="51"/>
      <c r="CQ240" s="51"/>
      <c r="CR240" s="51"/>
      <c r="CS240" s="51"/>
      <c r="CT240" s="51"/>
      <c r="CU240" s="51"/>
      <c r="CV240" s="51"/>
      <c r="CW240" s="51"/>
      <c r="CX240" s="51"/>
      <c r="CY240" s="51"/>
      <c r="CZ240" s="51"/>
      <c r="DA240" s="51"/>
      <c r="DB240" s="51"/>
      <c r="DC240" s="51"/>
      <c r="DD240" s="51"/>
      <c r="DE240" s="51"/>
      <c r="DF240" s="51"/>
      <c r="DG240" s="51"/>
      <c r="DH240" s="51"/>
      <c r="DI240" s="51"/>
      <c r="DJ240" s="51"/>
      <c r="DK240" s="51"/>
      <c r="DL240" s="51"/>
      <c r="DM240" s="51"/>
      <c r="DN240" s="51"/>
      <c r="DO240" s="51"/>
      <c r="DP240" s="51"/>
      <c r="DQ240" s="51"/>
      <c r="DR240" s="51"/>
      <c r="DS240" s="51"/>
      <c r="DT240" s="51"/>
      <c r="DU240" s="51"/>
      <c r="DV240" s="51"/>
      <c r="DW240" s="51"/>
      <c r="DX240" s="51"/>
      <c r="DY240" s="51"/>
      <c r="DZ240" s="51"/>
      <c r="EA240" s="51"/>
      <c r="EB240" s="51"/>
      <c r="EC240" s="51"/>
      <c r="ED240" s="51"/>
      <c r="EE240" s="51"/>
      <c r="EF240" s="51"/>
      <c r="EG240" s="51"/>
      <c r="EH240" s="51"/>
      <c r="EI240" s="51"/>
      <c r="EJ240" s="51"/>
      <c r="EK240" s="51"/>
      <c r="EL240" s="51"/>
      <c r="EM240" s="51"/>
      <c r="EN240" s="51"/>
      <c r="EO240" s="51"/>
      <c r="EP240" s="51"/>
      <c r="EQ240" s="51"/>
      <c r="ER240" s="51"/>
      <c r="ES240" s="51"/>
      <c r="ET240" s="51"/>
      <c r="EU240" s="51"/>
      <c r="EV240" s="51"/>
      <c r="EW240" s="51"/>
      <c r="EX240" s="51"/>
      <c r="EY240" s="51"/>
      <c r="EZ240" s="51"/>
      <c r="FA240" s="51"/>
      <c r="FB240" s="51"/>
      <c r="FC240" s="51"/>
      <c r="FD240" s="51"/>
      <c r="FE240" s="51"/>
      <c r="FF240" s="51"/>
      <c r="FG240" s="51"/>
      <c r="FH240" s="51"/>
      <c r="FI240" s="51"/>
      <c r="FJ240" s="51"/>
      <c r="FK240" s="51"/>
      <c r="FL240" s="51"/>
      <c r="FM240" s="51"/>
      <c r="FN240" s="51"/>
      <c r="FO240" s="51"/>
      <c r="FP240" s="51"/>
      <c r="FQ240" s="51"/>
      <c r="FR240" s="51"/>
      <c r="FS240" s="51"/>
      <c r="FT240" s="51"/>
      <c r="FU240" s="51"/>
      <c r="FV240" s="51"/>
      <c r="FW240" s="51"/>
      <c r="FX240" s="51"/>
      <c r="FY240" s="51"/>
      <c r="FZ240" s="51"/>
      <c r="GA240" s="51"/>
      <c r="GB240" s="51"/>
      <c r="GC240" s="51"/>
      <c r="GD240" s="51"/>
      <c r="GE240" s="51"/>
      <c r="GF240" s="51"/>
      <c r="GG240" s="51"/>
      <c r="GH240" s="51"/>
      <c r="GI240" s="51"/>
      <c r="GJ240" s="51"/>
      <c r="GK240" s="51"/>
      <c r="GL240" s="51"/>
      <c r="GM240" s="51"/>
      <c r="GN240" s="51"/>
      <c r="GO240" s="51"/>
      <c r="GP240" s="51"/>
      <c r="GQ240" s="51"/>
      <c r="GR240" s="51"/>
      <c r="GS240" s="51"/>
      <c r="GT240" s="51"/>
      <c r="GU240" s="51"/>
      <c r="GV240" s="51"/>
      <c r="GW240" s="51"/>
      <c r="GX240" s="51"/>
      <c r="GY240" s="51"/>
      <c r="GZ240" s="51"/>
      <c r="HA240" s="51"/>
      <c r="HB240" s="51"/>
      <c r="HC240" s="51"/>
      <c r="HD240" s="51"/>
      <c r="HE240" s="51"/>
      <c r="HF240" s="51"/>
      <c r="HG240" s="51"/>
      <c r="HH240" s="51"/>
      <c r="HI240" s="51"/>
      <c r="HJ240" s="51"/>
      <c r="HK240" s="51"/>
      <c r="HL240" s="51"/>
      <c r="HM240" s="51"/>
      <c r="HN240" s="51"/>
      <c r="HO240" s="51"/>
      <c r="HP240" s="51"/>
      <c r="HQ240" s="51"/>
      <c r="HR240" s="51"/>
      <c r="HS240" s="51"/>
      <c r="HT240" s="51"/>
      <c r="HU240" s="51"/>
      <c r="HV240" s="51"/>
      <c r="HW240" s="51"/>
      <c r="HX240" s="51"/>
      <c r="HY240" s="51"/>
      <c r="HZ240" s="51"/>
      <c r="IA240" s="51"/>
      <c r="IB240" s="51"/>
      <c r="IC240" s="51"/>
      <c r="ID240" s="51"/>
      <c r="IE240" s="51"/>
      <c r="IF240" s="51"/>
      <c r="IG240" s="51"/>
      <c r="IH240" s="51"/>
      <c r="II240" s="51"/>
      <c r="IJ240" s="51"/>
      <c r="IK240" s="51"/>
      <c r="IL240" s="51"/>
      <c r="IM240" s="51"/>
      <c r="IN240" s="51"/>
      <c r="IO240" s="51"/>
      <c r="IP240" s="51"/>
      <c r="IQ240" s="51"/>
      <c r="IR240" s="51"/>
      <c r="IS240" s="51"/>
      <c r="IT240" s="51"/>
      <c r="IU240" s="51"/>
      <c r="IV240" s="51"/>
    </row>
    <row r="241" hidden="1">
      <c r="B241" s="826" t="s">
        <v>12</v>
      </c>
      <c r="C241" s="827">
        <v>0</v>
      </c>
      <c r="D241" s="827">
        <v>0</v>
      </c>
      <c r="E241" s="827">
        <v>0</v>
      </c>
      <c r="F241" s="827">
        <v>0</v>
      </c>
      <c r="G241" s="827">
        <v>0</v>
      </c>
      <c r="H241" s="827">
        <v>0</v>
      </c>
      <c r="I241" s="827">
        <v>0</v>
      </c>
      <c r="J241" s="827">
        <v>1</v>
      </c>
      <c r="K241" s="827">
        <v>2</v>
      </c>
      <c r="L241" s="827">
        <v>2</v>
      </c>
      <c r="M241" s="827">
        <v>2</v>
      </c>
      <c r="N241" s="827">
        <v>1</v>
      </c>
      <c r="O241" s="827">
        <v>0</v>
      </c>
      <c r="P241" s="827">
        <v>0</v>
      </c>
      <c r="Q241" s="827">
        <v>0</v>
      </c>
      <c r="R241" s="827">
        <v>1</v>
      </c>
      <c r="S241" s="827">
        <v>1</v>
      </c>
      <c r="T241" s="827">
        <v>1</v>
      </c>
      <c r="U241" s="827">
        <v>1</v>
      </c>
      <c r="V241" s="827">
        <v>1</v>
      </c>
      <c r="W241" s="827">
        <v>0</v>
      </c>
      <c r="X241" s="827">
        <v>0</v>
      </c>
      <c r="Y241" s="827">
        <v>0</v>
      </c>
      <c r="Z241" s="827">
        <v>0</v>
      </c>
      <c r="AA241" s="827">
        <v>0</v>
      </c>
      <c r="AB241" s="827">
        <v>0</v>
      </c>
      <c r="AC241" s="828">
        <v>0</v>
      </c>
      <c r="AD241" s="828">
        <v>0</v>
      </c>
      <c r="AE241" s="828">
        <v>0</v>
      </c>
      <c r="AF241" s="828">
        <v>0</v>
      </c>
      <c r="AG241" s="828">
        <v>0</v>
      </c>
      <c r="AH241" s="828">
        <v>0</v>
      </c>
      <c r="AI241" s="828">
        <v>0</v>
      </c>
      <c r="AJ241" s="828">
        <v>0</v>
      </c>
      <c r="AK241" s="828">
        <v>0</v>
      </c>
      <c r="AL241" s="828">
        <v>0</v>
      </c>
      <c r="AM241" s="828">
        <v>0</v>
      </c>
      <c r="AN241" s="828">
        <v>0</v>
      </c>
      <c r="AO241" s="828">
        <v>0</v>
      </c>
      <c r="AP241" s="828">
        <v>0</v>
      </c>
      <c r="AQ241" s="51"/>
      <c r="AR241" s="51"/>
      <c r="AS241" s="51"/>
      <c r="AT241" s="51"/>
      <c r="AU241" s="51"/>
      <c r="AV241" s="51"/>
      <c r="AW241" s="51"/>
      <c r="AX241" s="51"/>
      <c r="AY241" s="51"/>
      <c r="AZ241" s="51"/>
      <c r="BA241" s="51"/>
      <c r="BB241" s="51"/>
      <c r="BC241" s="51"/>
      <c r="BD241" s="51"/>
      <c r="BE241" s="51"/>
      <c r="BF241" s="51"/>
      <c r="BG241" s="51"/>
      <c r="BH241" s="51"/>
      <c r="BI241" s="51"/>
      <c r="BJ241" s="51"/>
      <c r="BK241" s="51"/>
      <c r="BL241" s="51"/>
      <c r="BM241" s="51"/>
      <c r="BN241" s="51"/>
      <c r="BO241" s="51"/>
      <c r="BP241" s="51"/>
      <c r="BQ241" s="51"/>
      <c r="BR241" s="51"/>
      <c r="BS241" s="51"/>
      <c r="BT241" s="51"/>
      <c r="BU241" s="51"/>
      <c r="BV241" s="51"/>
      <c r="BW241" s="51"/>
      <c r="BX241" s="51"/>
      <c r="BY241" s="51"/>
      <c r="BZ241" s="51"/>
      <c r="CA241" s="51"/>
      <c r="CB241" s="51"/>
      <c r="CC241" s="51"/>
      <c r="CD241" s="51"/>
      <c r="CE241" s="51"/>
      <c r="CF241" s="51"/>
      <c r="CG241" s="51"/>
      <c r="CH241" s="51"/>
      <c r="CI241" s="51"/>
      <c r="CJ241" s="51"/>
      <c r="CK241" s="51"/>
      <c r="CL241" s="51"/>
      <c r="CM241" s="51"/>
      <c r="CN241" s="51"/>
      <c r="CO241" s="51"/>
      <c r="CP241" s="51"/>
      <c r="CQ241" s="51"/>
      <c r="CR241" s="51"/>
      <c r="CS241" s="51"/>
      <c r="CT241" s="51"/>
      <c r="CU241" s="51"/>
      <c r="CV241" s="51"/>
      <c r="CW241" s="51"/>
      <c r="CX241" s="51"/>
      <c r="CY241" s="51"/>
      <c r="CZ241" s="51"/>
      <c r="DA241" s="51"/>
      <c r="DB241" s="51"/>
      <c r="DC241" s="51"/>
      <c r="DD241" s="51"/>
      <c r="DE241" s="51"/>
      <c r="DF241" s="51"/>
      <c r="DG241" s="51"/>
      <c r="DH241" s="51"/>
      <c r="DI241" s="51"/>
      <c r="DJ241" s="51"/>
      <c r="DK241" s="51"/>
      <c r="DL241" s="51"/>
      <c r="DM241" s="51"/>
      <c r="DN241" s="51"/>
      <c r="DO241" s="51"/>
      <c r="DP241" s="51"/>
      <c r="DQ241" s="51"/>
      <c r="DR241" s="51"/>
      <c r="DS241" s="51"/>
      <c r="DT241" s="51"/>
      <c r="DU241" s="51"/>
      <c r="DV241" s="51"/>
      <c r="DW241" s="51"/>
      <c r="DX241" s="51"/>
      <c r="DY241" s="51"/>
      <c r="DZ241" s="51"/>
      <c r="EA241" s="51"/>
      <c r="EB241" s="51"/>
      <c r="EC241" s="51"/>
      <c r="ED241" s="51"/>
      <c r="EE241" s="51"/>
      <c r="EF241" s="51"/>
      <c r="EG241" s="51"/>
      <c r="EH241" s="51"/>
      <c r="EI241" s="51"/>
      <c r="EJ241" s="51"/>
      <c r="EK241" s="51"/>
      <c r="EL241" s="51"/>
      <c r="EM241" s="51"/>
      <c r="EN241" s="51"/>
      <c r="EO241" s="51"/>
      <c r="EP241" s="51"/>
      <c r="EQ241" s="51"/>
      <c r="ER241" s="51"/>
      <c r="ES241" s="51"/>
      <c r="ET241" s="51"/>
      <c r="EU241" s="51"/>
      <c r="EV241" s="51"/>
      <c r="EW241" s="51"/>
      <c r="EX241" s="51"/>
      <c r="EY241" s="51"/>
      <c r="EZ241" s="51"/>
      <c r="FA241" s="51"/>
      <c r="FB241" s="51"/>
      <c r="FC241" s="51"/>
      <c r="FD241" s="51"/>
      <c r="FE241" s="51"/>
      <c r="FF241" s="51"/>
      <c r="FG241" s="51"/>
      <c r="FH241" s="51"/>
      <c r="FI241" s="51"/>
      <c r="FJ241" s="51"/>
      <c r="FK241" s="51"/>
      <c r="FL241" s="51"/>
      <c r="FM241" s="51"/>
      <c r="FN241" s="51"/>
      <c r="FO241" s="51"/>
      <c r="FP241" s="51"/>
      <c r="FQ241" s="51"/>
      <c r="FR241" s="51"/>
      <c r="FS241" s="51"/>
      <c r="FT241" s="51"/>
      <c r="FU241" s="51"/>
      <c r="FV241" s="51"/>
      <c r="FW241" s="51"/>
      <c r="FX241" s="51"/>
      <c r="FY241" s="51"/>
      <c r="FZ241" s="51"/>
      <c r="GA241" s="51"/>
      <c r="GB241" s="51"/>
      <c r="GC241" s="51"/>
      <c r="GD241" s="51"/>
      <c r="GE241" s="51"/>
      <c r="GF241" s="51"/>
      <c r="GG241" s="51"/>
      <c r="GH241" s="51"/>
      <c r="GI241" s="51"/>
      <c r="GJ241" s="51"/>
      <c r="GK241" s="51"/>
      <c r="GL241" s="51"/>
      <c r="GM241" s="51"/>
      <c r="GN241" s="51"/>
      <c r="GO241" s="51"/>
      <c r="GP241" s="51"/>
      <c r="GQ241" s="51"/>
      <c r="GR241" s="51"/>
      <c r="GS241" s="51"/>
      <c r="GT241" s="51"/>
      <c r="GU241" s="51"/>
      <c r="GV241" s="51"/>
      <c r="GW241" s="51"/>
      <c r="GX241" s="51"/>
      <c r="GY241" s="51"/>
      <c r="GZ241" s="51"/>
      <c r="HA241" s="51"/>
      <c r="HB241" s="51"/>
      <c r="HC241" s="51"/>
      <c r="HD241" s="51"/>
      <c r="HE241" s="51"/>
      <c r="HF241" s="51"/>
      <c r="HG241" s="51"/>
      <c r="HH241" s="51"/>
      <c r="HI241" s="51"/>
      <c r="HJ241" s="51"/>
      <c r="HK241" s="51"/>
      <c r="HL241" s="51"/>
      <c r="HM241" s="51"/>
      <c r="HN241" s="51"/>
      <c r="HO241" s="51"/>
      <c r="HP241" s="51"/>
      <c r="HQ241" s="51"/>
      <c r="HR241" s="51"/>
      <c r="HS241" s="51"/>
      <c r="HT241" s="51"/>
      <c r="HU241" s="51"/>
      <c r="HV241" s="51"/>
      <c r="HW241" s="51"/>
      <c r="HX241" s="51"/>
      <c r="HY241" s="51"/>
      <c r="HZ241" s="51"/>
      <c r="IA241" s="51"/>
      <c r="IB241" s="51"/>
      <c r="IC241" s="51"/>
      <c r="ID241" s="51"/>
      <c r="IE241" s="51"/>
      <c r="IF241" s="51"/>
      <c r="IG241" s="51"/>
      <c r="IH241" s="51"/>
      <c r="II241" s="51"/>
      <c r="IJ241" s="51"/>
      <c r="IK241" s="51"/>
      <c r="IL241" s="51"/>
      <c r="IM241" s="51"/>
      <c r="IN241" s="51"/>
      <c r="IO241" s="51"/>
      <c r="IP241" s="51"/>
      <c r="IQ241" s="51"/>
      <c r="IR241" s="51"/>
      <c r="IS241" s="51"/>
      <c r="IT241" s="51"/>
      <c r="IU241" s="51"/>
      <c r="IV241" s="51"/>
    </row>
    <row r="242" hidden="1">
      <c r="B242" s="829" t="s">
        <v>13</v>
      </c>
      <c r="C242" s="823">
        <v>0</v>
      </c>
      <c r="D242" s="823">
        <v>0</v>
      </c>
      <c r="E242" s="823">
        <v>1055</v>
      </c>
      <c r="F242" s="823">
        <v>1026</v>
      </c>
      <c r="G242" s="823">
        <v>1159</v>
      </c>
      <c r="H242" s="823">
        <v>1217</v>
      </c>
      <c r="I242" s="823">
        <v>1269</v>
      </c>
      <c r="J242" s="823">
        <v>1301</v>
      </c>
      <c r="K242" s="823">
        <v>1361</v>
      </c>
      <c r="L242" s="823">
        <v>1283</v>
      </c>
      <c r="M242" s="823">
        <v>1346</v>
      </c>
      <c r="N242" s="823">
        <v>760</v>
      </c>
      <c r="O242" s="823">
        <v>0</v>
      </c>
      <c r="P242" s="823">
        <v>0</v>
      </c>
      <c r="Q242" s="823">
        <v>0</v>
      </c>
      <c r="R242" s="823">
        <v>0</v>
      </c>
      <c r="S242" s="823">
        <v>0</v>
      </c>
      <c r="T242" s="823">
        <v>0</v>
      </c>
      <c r="U242" s="823">
        <v>0</v>
      </c>
      <c r="V242" s="823">
        <v>0</v>
      </c>
      <c r="W242" s="823">
        <v>0</v>
      </c>
      <c r="X242" s="823">
        <v>0</v>
      </c>
      <c r="Y242" s="823">
        <v>0</v>
      </c>
      <c r="Z242" s="823">
        <v>0</v>
      </c>
      <c r="AA242" s="823">
        <v>0</v>
      </c>
      <c r="AB242" s="823">
        <v>0</v>
      </c>
      <c r="AC242" s="825">
        <v>0</v>
      </c>
      <c r="AD242" s="825">
        <v>0</v>
      </c>
      <c r="AE242" s="825">
        <v>0</v>
      </c>
      <c r="AF242" s="825">
        <v>0</v>
      </c>
      <c r="AG242" s="825">
        <v>0</v>
      </c>
      <c r="AH242" s="825">
        <v>0</v>
      </c>
      <c r="AI242" s="825">
        <v>0</v>
      </c>
      <c r="AJ242" s="825">
        <v>0</v>
      </c>
      <c r="AK242" s="825">
        <v>0</v>
      </c>
      <c r="AL242" s="825">
        <v>0</v>
      </c>
      <c r="AM242" s="825">
        <v>0</v>
      </c>
      <c r="AN242" s="825">
        <v>0</v>
      </c>
      <c r="AO242" s="825">
        <v>0</v>
      </c>
      <c r="AP242" s="825">
        <v>0</v>
      </c>
      <c r="AQ242" s="51"/>
      <c r="AR242" s="51"/>
      <c r="AS242" s="51"/>
      <c r="AT242" s="51"/>
      <c r="AU242" s="51"/>
      <c r="AV242" s="51"/>
      <c r="AW242" s="51"/>
      <c r="AX242" s="51"/>
      <c r="AY242" s="51"/>
      <c r="AZ242" s="51"/>
      <c r="BA242" s="51"/>
      <c r="BB242" s="51"/>
      <c r="BC242" s="51"/>
      <c r="BD242" s="51"/>
      <c r="BE242" s="51"/>
      <c r="BF242" s="51"/>
      <c r="BG242" s="51"/>
      <c r="BH242" s="51"/>
      <c r="BI242" s="51"/>
      <c r="BJ242" s="51"/>
      <c r="BK242" s="51"/>
      <c r="BL242" s="51"/>
      <c r="BM242" s="51"/>
      <c r="BN242" s="51"/>
      <c r="BO242" s="51"/>
      <c r="BP242" s="51"/>
      <c r="BQ242" s="51"/>
      <c r="BR242" s="51"/>
      <c r="BS242" s="51"/>
      <c r="BT242" s="51"/>
      <c r="BU242" s="51"/>
      <c r="BV242" s="51"/>
      <c r="BW242" s="51"/>
      <c r="BX242" s="51"/>
      <c r="BY242" s="51"/>
      <c r="BZ242" s="51"/>
      <c r="CA242" s="51"/>
      <c r="CB242" s="51"/>
      <c r="CC242" s="51"/>
      <c r="CD242" s="51"/>
      <c r="CE242" s="51"/>
      <c r="CF242" s="51"/>
      <c r="CG242" s="51"/>
      <c r="CH242" s="51"/>
      <c r="CI242" s="51"/>
      <c r="CJ242" s="51"/>
      <c r="CK242" s="51"/>
      <c r="CL242" s="51"/>
      <c r="CM242" s="51"/>
      <c r="CN242" s="51"/>
      <c r="CO242" s="51"/>
      <c r="CP242" s="51"/>
      <c r="CQ242" s="51"/>
      <c r="CR242" s="51"/>
      <c r="CS242" s="51"/>
      <c r="CT242" s="51"/>
      <c r="CU242" s="51"/>
      <c r="CV242" s="51"/>
      <c r="CW242" s="51"/>
      <c r="CX242" s="51"/>
      <c r="CY242" s="51"/>
      <c r="CZ242" s="51"/>
      <c r="DA242" s="51"/>
      <c r="DB242" s="51"/>
      <c r="DC242" s="51"/>
      <c r="DD242" s="51"/>
      <c r="DE242" s="51"/>
      <c r="DF242" s="51"/>
      <c r="DG242" s="51"/>
      <c r="DH242" s="51"/>
      <c r="DI242" s="51"/>
      <c r="DJ242" s="51"/>
      <c r="DK242" s="51"/>
      <c r="DL242" s="51"/>
      <c r="DM242" s="51"/>
      <c r="DN242" s="51"/>
      <c r="DO242" s="51"/>
      <c r="DP242" s="51"/>
      <c r="DQ242" s="51"/>
      <c r="DR242" s="51"/>
      <c r="DS242" s="51"/>
      <c r="DT242" s="51"/>
      <c r="DU242" s="51"/>
      <c r="DV242" s="51"/>
      <c r="DW242" s="51"/>
      <c r="DX242" s="51"/>
      <c r="DY242" s="51"/>
      <c r="DZ242" s="51"/>
      <c r="EA242" s="51"/>
      <c r="EB242" s="51"/>
      <c r="EC242" s="51"/>
      <c r="ED242" s="51"/>
      <c r="EE242" s="51"/>
      <c r="EF242" s="51"/>
      <c r="EG242" s="51"/>
      <c r="EH242" s="51"/>
      <c r="EI242" s="51"/>
      <c r="EJ242" s="51"/>
      <c r="EK242" s="51"/>
      <c r="EL242" s="51"/>
      <c r="EM242" s="51"/>
      <c r="EN242" s="51"/>
      <c r="EO242" s="51"/>
      <c r="EP242" s="51"/>
      <c r="EQ242" s="51"/>
      <c r="ER242" s="51"/>
      <c r="ES242" s="51"/>
      <c r="ET242" s="51"/>
      <c r="EU242" s="51"/>
      <c r="EV242" s="51"/>
      <c r="EW242" s="51"/>
      <c r="EX242" s="51"/>
      <c r="EY242" s="51"/>
      <c r="EZ242" s="51"/>
      <c r="FA242" s="51"/>
      <c r="FB242" s="51"/>
      <c r="FC242" s="51"/>
      <c r="FD242" s="51"/>
      <c r="FE242" s="51"/>
      <c r="FF242" s="51"/>
      <c r="FG242" s="51"/>
      <c r="FH242" s="51"/>
      <c r="FI242" s="51"/>
      <c r="FJ242" s="51"/>
      <c r="FK242" s="51"/>
      <c r="FL242" s="51"/>
      <c r="FM242" s="51"/>
      <c r="FN242" s="51"/>
      <c r="FO242" s="51"/>
      <c r="FP242" s="51"/>
      <c r="FQ242" s="51"/>
      <c r="FR242" s="51"/>
      <c r="FS242" s="51"/>
      <c r="FT242" s="51"/>
      <c r="FU242" s="51"/>
      <c r="FV242" s="51"/>
      <c r="FW242" s="51"/>
      <c r="FX242" s="51"/>
      <c r="FY242" s="51"/>
      <c r="FZ242" s="51"/>
      <c r="GA242" s="51"/>
      <c r="GB242" s="51"/>
      <c r="GC242" s="51"/>
      <c r="GD242" s="51"/>
      <c r="GE242" s="51"/>
      <c r="GF242" s="51"/>
      <c r="GG242" s="51"/>
      <c r="GH242" s="51"/>
      <c r="GI242" s="51"/>
      <c r="GJ242" s="51"/>
      <c r="GK242" s="51"/>
      <c r="GL242" s="51"/>
      <c r="GM242" s="51"/>
      <c r="GN242" s="51"/>
      <c r="GO242" s="51"/>
      <c r="GP242" s="51"/>
      <c r="GQ242" s="51"/>
      <c r="GR242" s="51"/>
      <c r="GS242" s="51"/>
      <c r="GT242" s="51"/>
      <c r="GU242" s="51"/>
      <c r="GV242" s="51"/>
      <c r="GW242" s="51"/>
      <c r="GX242" s="51"/>
      <c r="GY242" s="51"/>
      <c r="GZ242" s="51"/>
      <c r="HA242" s="51"/>
      <c r="HB242" s="51"/>
      <c r="HC242" s="51"/>
      <c r="HD242" s="51"/>
      <c r="HE242" s="51"/>
      <c r="HF242" s="51"/>
      <c r="HG242" s="51"/>
      <c r="HH242" s="51"/>
      <c r="HI242" s="51"/>
      <c r="HJ242" s="51"/>
      <c r="HK242" s="51"/>
      <c r="HL242" s="51"/>
      <c r="HM242" s="51"/>
      <c r="HN242" s="51"/>
      <c r="HO242" s="51"/>
      <c r="HP242" s="51"/>
      <c r="HQ242" s="51"/>
      <c r="HR242" s="51"/>
      <c r="HS242" s="51"/>
      <c r="HT242" s="51"/>
      <c r="HU242" s="51"/>
      <c r="HV242" s="51"/>
      <c r="HW242" s="51"/>
      <c r="HX242" s="51"/>
      <c r="HY242" s="51"/>
      <c r="HZ242" s="51"/>
      <c r="IA242" s="51"/>
      <c r="IB242" s="51"/>
      <c r="IC242" s="51"/>
      <c r="ID242" s="51"/>
      <c r="IE242" s="51"/>
      <c r="IF242" s="51"/>
      <c r="IG242" s="51"/>
      <c r="IH242" s="51"/>
      <c r="II242" s="51"/>
      <c r="IJ242" s="51"/>
      <c r="IK242" s="51"/>
      <c r="IL242" s="51"/>
      <c r="IM242" s="51"/>
      <c r="IN242" s="51"/>
      <c r="IO242" s="51"/>
      <c r="IP242" s="51"/>
      <c r="IQ242" s="51"/>
      <c r="IR242" s="51"/>
      <c r="IS242" s="51"/>
      <c r="IT242" s="51"/>
      <c r="IU242" s="51"/>
      <c r="IV242" s="51"/>
    </row>
    <row r="243" hidden="1">
      <c r="B243" s="826" t="s">
        <v>109</v>
      </c>
      <c r="C243" s="827">
        <v>859</v>
      </c>
      <c r="D243" s="827">
        <v>675</v>
      </c>
      <c r="E243" s="827">
        <v>723</v>
      </c>
      <c r="F243" s="827">
        <v>795</v>
      </c>
      <c r="G243" s="827">
        <v>808</v>
      </c>
      <c r="H243" s="827">
        <v>840</v>
      </c>
      <c r="I243" s="827">
        <v>880</v>
      </c>
      <c r="J243" s="827">
        <v>813</v>
      </c>
      <c r="K243" s="827">
        <v>879</v>
      </c>
      <c r="L243" s="827">
        <v>910</v>
      </c>
      <c r="M243" s="827">
        <v>910</v>
      </c>
      <c r="N243" s="827">
        <v>0</v>
      </c>
      <c r="O243" s="827">
        <v>0</v>
      </c>
      <c r="P243" s="827">
        <v>0</v>
      </c>
      <c r="Q243" s="827">
        <v>0</v>
      </c>
      <c r="R243" s="827">
        <v>0</v>
      </c>
      <c r="S243" s="827">
        <v>0</v>
      </c>
      <c r="T243" s="827">
        <v>0</v>
      </c>
      <c r="U243" s="827">
        <v>0</v>
      </c>
      <c r="V243" s="827">
        <v>0</v>
      </c>
      <c r="W243" s="827">
        <v>0</v>
      </c>
      <c r="X243" s="827">
        <v>0</v>
      </c>
      <c r="Y243" s="827">
        <v>0</v>
      </c>
      <c r="Z243" s="827">
        <v>0</v>
      </c>
      <c r="AA243" s="827">
        <v>0</v>
      </c>
      <c r="AB243" s="827">
        <v>0</v>
      </c>
      <c r="AC243" s="828">
        <v>0</v>
      </c>
      <c r="AD243" s="828">
        <v>0</v>
      </c>
      <c r="AE243" s="828">
        <v>0</v>
      </c>
      <c r="AF243" s="828">
        <v>0</v>
      </c>
      <c r="AG243" s="828">
        <v>0</v>
      </c>
      <c r="AH243" s="828">
        <v>0</v>
      </c>
      <c r="AI243" s="828">
        <v>0</v>
      </c>
      <c r="AJ243" s="828">
        <v>0</v>
      </c>
      <c r="AK243" s="828">
        <v>0</v>
      </c>
      <c r="AL243" s="828">
        <v>0</v>
      </c>
      <c r="AM243" s="828">
        <v>0</v>
      </c>
      <c r="AN243" s="828">
        <v>0</v>
      </c>
      <c r="AO243" s="828">
        <v>0</v>
      </c>
      <c r="AP243" s="828">
        <v>0</v>
      </c>
      <c r="AQ243" s="51"/>
      <c r="AR243" s="51"/>
      <c r="AS243" s="51"/>
      <c r="AT243" s="51"/>
      <c r="AU243" s="51"/>
      <c r="AV243" s="51"/>
      <c r="AW243" s="51"/>
      <c r="AX243" s="51"/>
      <c r="AY243" s="51"/>
      <c r="AZ243" s="51"/>
      <c r="BA243" s="51"/>
      <c r="BB243" s="51"/>
      <c r="BC243" s="51"/>
      <c r="BD243" s="51"/>
      <c r="BE243" s="51"/>
      <c r="BF243" s="51"/>
      <c r="BG243" s="51"/>
      <c r="BH243" s="51"/>
      <c r="BI243" s="51"/>
      <c r="BJ243" s="51"/>
      <c r="BK243" s="51"/>
      <c r="BL243" s="51"/>
      <c r="BM243" s="51"/>
      <c r="BN243" s="51"/>
      <c r="BO243" s="51"/>
      <c r="BP243" s="51"/>
      <c r="BQ243" s="51"/>
      <c r="BR243" s="51"/>
      <c r="BS243" s="51"/>
      <c r="BT243" s="51"/>
      <c r="BU243" s="51"/>
      <c r="BV243" s="51"/>
      <c r="BW243" s="51"/>
      <c r="BX243" s="51"/>
      <c r="BY243" s="51"/>
      <c r="BZ243" s="51"/>
      <c r="CA243" s="51"/>
      <c r="CB243" s="51"/>
      <c r="CC243" s="51"/>
      <c r="CD243" s="51"/>
      <c r="CE243" s="51"/>
      <c r="CF243" s="51"/>
      <c r="CG243" s="51"/>
      <c r="CH243" s="51"/>
      <c r="CI243" s="51"/>
      <c r="CJ243" s="51"/>
      <c r="CK243" s="51"/>
      <c r="CL243" s="51"/>
      <c r="CM243" s="51"/>
      <c r="CN243" s="51"/>
      <c r="CO243" s="51"/>
      <c r="CP243" s="51"/>
      <c r="CQ243" s="51"/>
      <c r="CR243" s="51"/>
      <c r="CS243" s="51"/>
      <c r="CT243" s="51"/>
      <c r="CU243" s="51"/>
      <c r="CV243" s="51"/>
      <c r="CW243" s="51"/>
      <c r="CX243" s="51"/>
      <c r="CY243" s="51"/>
      <c r="CZ243" s="51"/>
      <c r="DA243" s="51"/>
      <c r="DB243" s="51"/>
      <c r="DC243" s="51"/>
      <c r="DD243" s="51"/>
      <c r="DE243" s="51"/>
      <c r="DF243" s="51"/>
      <c r="DG243" s="51"/>
      <c r="DH243" s="51"/>
      <c r="DI243" s="51"/>
      <c r="DJ243" s="51"/>
      <c r="DK243" s="51"/>
      <c r="DL243" s="51"/>
      <c r="DM243" s="51"/>
      <c r="DN243" s="51"/>
      <c r="DO243" s="51"/>
      <c r="DP243" s="51"/>
      <c r="DQ243" s="51"/>
      <c r="DR243" s="51"/>
      <c r="DS243" s="51"/>
      <c r="DT243" s="51"/>
      <c r="DU243" s="51"/>
      <c r="DV243" s="51"/>
      <c r="DW243" s="51"/>
      <c r="DX243" s="51"/>
      <c r="DY243" s="51"/>
      <c r="DZ243" s="51"/>
      <c r="EA243" s="51"/>
      <c r="EB243" s="51"/>
      <c r="EC243" s="51"/>
      <c r="ED243" s="51"/>
      <c r="EE243" s="51"/>
      <c r="EF243" s="51"/>
      <c r="EG243" s="51"/>
      <c r="EH243" s="51"/>
      <c r="EI243" s="51"/>
      <c r="EJ243" s="51"/>
      <c r="EK243" s="51"/>
      <c r="EL243" s="51"/>
      <c r="EM243" s="51"/>
      <c r="EN243" s="51"/>
      <c r="EO243" s="51"/>
      <c r="EP243" s="51"/>
      <c r="EQ243" s="51"/>
      <c r="ER243" s="51"/>
      <c r="ES243" s="51"/>
      <c r="ET243" s="51"/>
      <c r="EU243" s="51"/>
      <c r="EV243" s="51"/>
      <c r="EW243" s="51"/>
      <c r="EX243" s="51"/>
      <c r="EY243" s="51"/>
      <c r="EZ243" s="51"/>
      <c r="FA243" s="51"/>
      <c r="FB243" s="51"/>
      <c r="FC243" s="51"/>
      <c r="FD243" s="51"/>
      <c r="FE243" s="51"/>
      <c r="FF243" s="51"/>
      <c r="FG243" s="51"/>
      <c r="FH243" s="51"/>
      <c r="FI243" s="51"/>
      <c r="FJ243" s="51"/>
      <c r="FK243" s="51"/>
      <c r="FL243" s="51"/>
      <c r="FM243" s="51"/>
      <c r="FN243" s="51"/>
      <c r="FO243" s="51"/>
      <c r="FP243" s="51"/>
      <c r="FQ243" s="51"/>
      <c r="FR243" s="51"/>
      <c r="FS243" s="51"/>
      <c r="FT243" s="51"/>
      <c r="FU243" s="51"/>
      <c r="FV243" s="51"/>
      <c r="FW243" s="51"/>
      <c r="FX243" s="51"/>
      <c r="FY243" s="51"/>
      <c r="FZ243" s="51"/>
      <c r="GA243" s="51"/>
      <c r="GB243" s="51"/>
      <c r="GC243" s="51"/>
      <c r="GD243" s="51"/>
      <c r="GE243" s="51"/>
      <c r="GF243" s="51"/>
      <c r="GG243" s="51"/>
      <c r="GH243" s="51"/>
      <c r="GI243" s="51"/>
      <c r="GJ243" s="51"/>
      <c r="GK243" s="51"/>
      <c r="GL243" s="51"/>
      <c r="GM243" s="51"/>
      <c r="GN243" s="51"/>
      <c r="GO243" s="51"/>
      <c r="GP243" s="51"/>
      <c r="GQ243" s="51"/>
      <c r="GR243" s="51"/>
      <c r="GS243" s="51"/>
      <c r="GT243" s="51"/>
      <c r="GU243" s="51"/>
      <c r="GV243" s="51"/>
      <c r="GW243" s="51"/>
      <c r="GX243" s="51"/>
      <c r="GY243" s="51"/>
      <c r="GZ243" s="51"/>
      <c r="HA243" s="51"/>
      <c r="HB243" s="51"/>
      <c r="HC243" s="51"/>
      <c r="HD243" s="51"/>
      <c r="HE243" s="51"/>
      <c r="HF243" s="51"/>
      <c r="HG243" s="51"/>
      <c r="HH243" s="51"/>
      <c r="HI243" s="51"/>
      <c r="HJ243" s="51"/>
      <c r="HK243" s="51"/>
      <c r="HL243" s="51"/>
      <c r="HM243" s="51"/>
      <c r="HN243" s="51"/>
      <c r="HO243" s="51"/>
      <c r="HP243" s="51"/>
      <c r="HQ243" s="51"/>
      <c r="HR243" s="51"/>
      <c r="HS243" s="51"/>
      <c r="HT243" s="51"/>
      <c r="HU243" s="51"/>
      <c r="HV243" s="51"/>
      <c r="HW243" s="51"/>
      <c r="HX243" s="51"/>
      <c r="HY243" s="51"/>
      <c r="HZ243" s="51"/>
      <c r="IA243" s="51"/>
      <c r="IB243" s="51"/>
      <c r="IC243" s="51"/>
      <c r="ID243" s="51"/>
      <c r="IE243" s="51"/>
      <c r="IF243" s="51"/>
      <c r="IG243" s="51"/>
      <c r="IH243" s="51"/>
      <c r="II243" s="51"/>
      <c r="IJ243" s="51"/>
      <c r="IK243" s="51"/>
      <c r="IL243" s="51"/>
      <c r="IM243" s="51"/>
      <c r="IN243" s="51"/>
      <c r="IO243" s="51"/>
      <c r="IP243" s="51"/>
      <c r="IQ243" s="51"/>
      <c r="IR243" s="51"/>
      <c r="IS243" s="51"/>
      <c r="IT243" s="51"/>
      <c r="IU243" s="51"/>
      <c r="IV243" s="51"/>
    </row>
    <row r="244" hidden="1">
      <c r="B244" s="829" t="s">
        <v>110</v>
      </c>
      <c r="C244" s="823">
        <v>0</v>
      </c>
      <c r="D244" s="823">
        <v>0</v>
      </c>
      <c r="E244" s="823">
        <v>0</v>
      </c>
      <c r="F244" s="823">
        <v>0</v>
      </c>
      <c r="G244" s="823">
        <v>0</v>
      </c>
      <c r="H244" s="823">
        <v>0</v>
      </c>
      <c r="I244" s="823">
        <v>0</v>
      </c>
      <c r="J244" s="823">
        <v>0</v>
      </c>
      <c r="K244" s="823">
        <v>0</v>
      </c>
      <c r="L244" s="823">
        <v>0</v>
      </c>
      <c r="M244" s="823">
        <v>0</v>
      </c>
      <c r="N244" s="823">
        <v>0</v>
      </c>
      <c r="O244" s="823">
        <v>0</v>
      </c>
      <c r="P244" s="823">
        <v>0</v>
      </c>
      <c r="Q244" s="823">
        <v>0</v>
      </c>
      <c r="R244" s="823">
        <v>0</v>
      </c>
      <c r="S244" s="823">
        <v>0</v>
      </c>
      <c r="T244" s="823">
        <v>0</v>
      </c>
      <c r="U244" s="823">
        <v>0</v>
      </c>
      <c r="V244" s="823">
        <v>0</v>
      </c>
      <c r="W244" s="823">
        <v>0</v>
      </c>
      <c r="X244" s="823">
        <v>0</v>
      </c>
      <c r="Y244" s="823">
        <v>0</v>
      </c>
      <c r="Z244" s="823">
        <v>0</v>
      </c>
      <c r="AA244" s="823">
        <v>0</v>
      </c>
      <c r="AB244" s="823">
        <v>0</v>
      </c>
      <c r="AC244" s="825">
        <v>0</v>
      </c>
      <c r="AD244" s="825">
        <v>0</v>
      </c>
      <c r="AE244" s="825">
        <v>0</v>
      </c>
      <c r="AF244" s="825">
        <v>0</v>
      </c>
      <c r="AG244" s="825">
        <v>0</v>
      </c>
      <c r="AH244" s="825">
        <v>0</v>
      </c>
      <c r="AI244" s="825">
        <v>0</v>
      </c>
      <c r="AJ244" s="825">
        <v>0</v>
      </c>
      <c r="AK244" s="825">
        <v>0</v>
      </c>
      <c r="AL244" s="825">
        <v>0</v>
      </c>
      <c r="AM244" s="825">
        <v>0</v>
      </c>
      <c r="AN244" s="825">
        <v>0</v>
      </c>
      <c r="AO244" s="825">
        <v>0</v>
      </c>
      <c r="AP244" s="825">
        <v>0</v>
      </c>
      <c r="AQ244" s="51"/>
      <c r="AR244" s="51"/>
      <c r="AS244" s="51"/>
      <c r="AT244" s="51"/>
      <c r="AU244" s="51"/>
      <c r="AV244" s="51"/>
      <c r="AW244" s="51"/>
      <c r="AX244" s="51"/>
      <c r="AY244" s="51"/>
      <c r="AZ244" s="51"/>
      <c r="BA244" s="51"/>
      <c r="BB244" s="51"/>
      <c r="BC244" s="51"/>
      <c r="BD244" s="51"/>
      <c r="BE244" s="51"/>
      <c r="BF244" s="51"/>
      <c r="BG244" s="51"/>
      <c r="BH244" s="51"/>
      <c r="BI244" s="51"/>
      <c r="BJ244" s="51"/>
      <c r="BK244" s="51"/>
      <c r="BL244" s="51"/>
      <c r="BM244" s="51"/>
      <c r="BN244" s="51"/>
      <c r="BO244" s="51"/>
      <c r="BP244" s="51"/>
      <c r="BQ244" s="51"/>
      <c r="BR244" s="51"/>
      <c r="BS244" s="51"/>
      <c r="BT244" s="51"/>
      <c r="BU244" s="51"/>
      <c r="BV244" s="51"/>
      <c r="BW244" s="51"/>
      <c r="BX244" s="51"/>
      <c r="BY244" s="51"/>
      <c r="BZ244" s="51"/>
      <c r="CA244" s="51"/>
      <c r="CB244" s="51"/>
      <c r="CC244" s="51"/>
      <c r="CD244" s="51"/>
      <c r="CE244" s="51"/>
      <c r="CF244" s="51"/>
      <c r="CG244" s="51"/>
      <c r="CH244" s="51"/>
      <c r="CI244" s="51"/>
      <c r="CJ244" s="51"/>
      <c r="CK244" s="51"/>
      <c r="CL244" s="51"/>
      <c r="CM244" s="51"/>
      <c r="CN244" s="51"/>
      <c r="CO244" s="51"/>
      <c r="CP244" s="51"/>
      <c r="CQ244" s="51"/>
      <c r="CR244" s="51"/>
      <c r="CS244" s="51"/>
      <c r="CT244" s="51"/>
      <c r="CU244" s="51"/>
      <c r="CV244" s="51"/>
      <c r="CW244" s="51"/>
      <c r="CX244" s="51"/>
      <c r="CY244" s="51"/>
      <c r="CZ244" s="51"/>
      <c r="DA244" s="51"/>
      <c r="DB244" s="51"/>
      <c r="DC244" s="51"/>
      <c r="DD244" s="51"/>
      <c r="DE244" s="51"/>
      <c r="DF244" s="51"/>
      <c r="DG244" s="51"/>
      <c r="DH244" s="51"/>
      <c r="DI244" s="51"/>
      <c r="DJ244" s="51"/>
      <c r="DK244" s="51"/>
      <c r="DL244" s="51"/>
      <c r="DM244" s="51"/>
      <c r="DN244" s="51"/>
      <c r="DO244" s="51"/>
      <c r="DP244" s="51"/>
      <c r="DQ244" s="51"/>
      <c r="DR244" s="51"/>
      <c r="DS244" s="51"/>
      <c r="DT244" s="51"/>
      <c r="DU244" s="51"/>
      <c r="DV244" s="51"/>
      <c r="DW244" s="51"/>
      <c r="DX244" s="51"/>
      <c r="DY244" s="51"/>
      <c r="DZ244" s="51"/>
      <c r="EA244" s="51"/>
      <c r="EB244" s="51"/>
      <c r="EC244" s="51"/>
      <c r="ED244" s="51"/>
      <c r="EE244" s="51"/>
      <c r="EF244" s="51"/>
      <c r="EG244" s="51"/>
      <c r="EH244" s="51"/>
      <c r="EI244" s="51"/>
      <c r="EJ244" s="51"/>
      <c r="EK244" s="51"/>
      <c r="EL244" s="51"/>
      <c r="EM244" s="51"/>
      <c r="EN244" s="51"/>
      <c r="EO244" s="51"/>
      <c r="EP244" s="51"/>
      <c r="EQ244" s="51"/>
      <c r="ER244" s="51"/>
      <c r="ES244" s="51"/>
      <c r="ET244" s="51"/>
      <c r="EU244" s="51"/>
      <c r="EV244" s="51"/>
      <c r="EW244" s="51"/>
      <c r="EX244" s="51"/>
      <c r="EY244" s="51"/>
      <c r="EZ244" s="51"/>
      <c r="FA244" s="51"/>
      <c r="FB244" s="51"/>
      <c r="FC244" s="51"/>
      <c r="FD244" s="51"/>
      <c r="FE244" s="51"/>
      <c r="FF244" s="51"/>
      <c r="FG244" s="51"/>
      <c r="FH244" s="51"/>
      <c r="FI244" s="51"/>
      <c r="FJ244" s="51"/>
      <c r="FK244" s="51"/>
      <c r="FL244" s="51"/>
      <c r="FM244" s="51"/>
      <c r="FN244" s="51"/>
      <c r="FO244" s="51"/>
      <c r="FP244" s="51"/>
      <c r="FQ244" s="51"/>
      <c r="FR244" s="51"/>
      <c r="FS244" s="51"/>
      <c r="FT244" s="51"/>
      <c r="FU244" s="51"/>
      <c r="FV244" s="51"/>
      <c r="FW244" s="51"/>
      <c r="FX244" s="51"/>
      <c r="FY244" s="51"/>
      <c r="FZ244" s="51"/>
      <c r="GA244" s="51"/>
      <c r="GB244" s="51"/>
      <c r="GC244" s="51"/>
      <c r="GD244" s="51"/>
      <c r="GE244" s="51"/>
      <c r="GF244" s="51"/>
      <c r="GG244" s="51"/>
      <c r="GH244" s="51"/>
      <c r="GI244" s="51"/>
      <c r="GJ244" s="51"/>
      <c r="GK244" s="51"/>
      <c r="GL244" s="51"/>
      <c r="GM244" s="51"/>
      <c r="GN244" s="51"/>
      <c r="GO244" s="51"/>
      <c r="GP244" s="51"/>
      <c r="GQ244" s="51"/>
      <c r="GR244" s="51"/>
      <c r="GS244" s="51"/>
      <c r="GT244" s="51"/>
      <c r="GU244" s="51"/>
      <c r="GV244" s="51"/>
      <c r="GW244" s="51"/>
      <c r="GX244" s="51"/>
      <c r="GY244" s="51"/>
      <c r="GZ244" s="51"/>
      <c r="HA244" s="51"/>
      <c r="HB244" s="51"/>
      <c r="HC244" s="51"/>
      <c r="HD244" s="51"/>
      <c r="HE244" s="51"/>
      <c r="HF244" s="51"/>
      <c r="HG244" s="51"/>
      <c r="HH244" s="51"/>
      <c r="HI244" s="51"/>
      <c r="HJ244" s="51"/>
      <c r="HK244" s="51"/>
      <c r="HL244" s="51"/>
      <c r="HM244" s="51"/>
      <c r="HN244" s="51"/>
      <c r="HO244" s="51"/>
      <c r="HP244" s="51"/>
      <c r="HQ244" s="51"/>
      <c r="HR244" s="51"/>
      <c r="HS244" s="51"/>
      <c r="HT244" s="51"/>
      <c r="HU244" s="51"/>
      <c r="HV244" s="51"/>
      <c r="HW244" s="51"/>
      <c r="HX244" s="51"/>
      <c r="HY244" s="51"/>
      <c r="HZ244" s="51"/>
      <c r="IA244" s="51"/>
      <c r="IB244" s="51"/>
      <c r="IC244" s="51"/>
      <c r="ID244" s="51"/>
      <c r="IE244" s="51"/>
      <c r="IF244" s="51"/>
      <c r="IG244" s="51"/>
      <c r="IH244" s="51"/>
      <c r="II244" s="51"/>
      <c r="IJ244" s="51"/>
      <c r="IK244" s="51"/>
      <c r="IL244" s="51"/>
      <c r="IM244" s="51"/>
      <c r="IN244" s="51"/>
      <c r="IO244" s="51"/>
      <c r="IP244" s="51"/>
      <c r="IQ244" s="51"/>
      <c r="IR244" s="51"/>
      <c r="IS244" s="51"/>
      <c r="IT244" s="51"/>
      <c r="IU244" s="51"/>
      <c r="IV244" s="51"/>
    </row>
    <row r="245" hidden="1">
      <c r="B245" s="826" t="s">
        <v>16</v>
      </c>
      <c r="C245" s="827">
        <v>82</v>
      </c>
      <c r="D245" s="827">
        <v>0</v>
      </c>
      <c r="E245" s="827">
        <v>0</v>
      </c>
      <c r="F245" s="827">
        <v>0</v>
      </c>
      <c r="G245" s="827">
        <v>103</v>
      </c>
      <c r="H245" s="827">
        <v>104</v>
      </c>
      <c r="I245" s="827">
        <v>109</v>
      </c>
      <c r="J245" s="827">
        <v>117</v>
      </c>
      <c r="K245" s="827">
        <v>120</v>
      </c>
      <c r="L245" s="827">
        <v>124</v>
      </c>
      <c r="M245" s="827">
        <v>127</v>
      </c>
      <c r="N245" s="827">
        <v>133</v>
      </c>
      <c r="O245" s="827">
        <v>109</v>
      </c>
      <c r="P245" s="827">
        <v>111</v>
      </c>
      <c r="Q245" s="827">
        <v>106</v>
      </c>
      <c r="R245" s="827">
        <v>105</v>
      </c>
      <c r="S245" s="827">
        <v>104</v>
      </c>
      <c r="T245" s="827">
        <v>104</v>
      </c>
      <c r="U245" s="827">
        <v>101</v>
      </c>
      <c r="V245" s="827">
        <v>13</v>
      </c>
      <c r="W245" s="827">
        <v>7</v>
      </c>
      <c r="X245" s="827">
        <v>5</v>
      </c>
      <c r="Y245" s="827">
        <v>0</v>
      </c>
      <c r="Z245" s="827">
        <v>0</v>
      </c>
      <c r="AA245" s="827">
        <v>0</v>
      </c>
      <c r="AB245" s="827">
        <v>0</v>
      </c>
      <c r="AC245" s="828">
        <v>0</v>
      </c>
      <c r="AD245" s="828">
        <v>0</v>
      </c>
      <c r="AE245" s="828">
        <v>0</v>
      </c>
      <c r="AF245" s="828">
        <v>0</v>
      </c>
      <c r="AG245" s="828">
        <v>0</v>
      </c>
      <c r="AH245" s="828">
        <v>0</v>
      </c>
      <c r="AI245" s="828">
        <v>0</v>
      </c>
      <c r="AJ245" s="828">
        <v>0</v>
      </c>
      <c r="AK245" s="828">
        <v>0</v>
      </c>
      <c r="AL245" s="828">
        <v>0</v>
      </c>
      <c r="AM245" s="828">
        <v>0</v>
      </c>
      <c r="AN245" s="828">
        <v>0</v>
      </c>
      <c r="AO245" s="828">
        <v>0</v>
      </c>
      <c r="AP245" s="828">
        <v>0</v>
      </c>
      <c r="AQ245" s="51"/>
      <c r="AR245" s="51"/>
      <c r="AS245" s="51"/>
      <c r="AT245" s="51"/>
      <c r="AU245" s="51"/>
      <c r="AV245" s="51"/>
      <c r="AW245" s="51"/>
      <c r="AX245" s="51"/>
      <c r="AY245" s="51"/>
      <c r="AZ245" s="51"/>
      <c r="BA245" s="51"/>
      <c r="BB245" s="51"/>
      <c r="BC245" s="51"/>
      <c r="BD245" s="51"/>
      <c r="BE245" s="51"/>
      <c r="BF245" s="51"/>
      <c r="BG245" s="51"/>
      <c r="BH245" s="51"/>
      <c r="BI245" s="51"/>
      <c r="BJ245" s="51"/>
      <c r="BK245" s="51"/>
      <c r="BL245" s="51"/>
      <c r="BM245" s="51"/>
      <c r="BN245" s="51"/>
      <c r="BO245" s="51"/>
      <c r="BP245" s="51"/>
      <c r="BQ245" s="51"/>
      <c r="BR245" s="51"/>
      <c r="BS245" s="51"/>
      <c r="BT245" s="51"/>
      <c r="BU245" s="51"/>
      <c r="BV245" s="51"/>
      <c r="BW245" s="51"/>
      <c r="BX245" s="51"/>
      <c r="BY245" s="51"/>
      <c r="BZ245" s="51"/>
      <c r="CA245" s="51"/>
      <c r="CB245" s="51"/>
      <c r="CC245" s="51"/>
      <c r="CD245" s="51"/>
      <c r="CE245" s="51"/>
      <c r="CF245" s="51"/>
      <c r="CG245" s="51"/>
      <c r="CH245" s="51"/>
      <c r="CI245" s="51"/>
      <c r="CJ245" s="51"/>
      <c r="CK245" s="51"/>
      <c r="CL245" s="51"/>
      <c r="CM245" s="51"/>
      <c r="CN245" s="51"/>
      <c r="CO245" s="51"/>
      <c r="CP245" s="51"/>
      <c r="CQ245" s="51"/>
      <c r="CR245" s="51"/>
      <c r="CS245" s="51"/>
      <c r="CT245" s="51"/>
      <c r="CU245" s="51"/>
      <c r="CV245" s="51"/>
      <c r="CW245" s="51"/>
      <c r="CX245" s="51"/>
      <c r="CY245" s="51"/>
      <c r="CZ245" s="51"/>
      <c r="DA245" s="51"/>
      <c r="DB245" s="51"/>
      <c r="DC245" s="51"/>
      <c r="DD245" s="51"/>
      <c r="DE245" s="51"/>
      <c r="DF245" s="51"/>
      <c r="DG245" s="51"/>
      <c r="DH245" s="51"/>
      <c r="DI245" s="51"/>
      <c r="DJ245" s="51"/>
      <c r="DK245" s="51"/>
      <c r="DL245" s="51"/>
      <c r="DM245" s="51"/>
      <c r="DN245" s="51"/>
      <c r="DO245" s="51"/>
      <c r="DP245" s="51"/>
      <c r="DQ245" s="51"/>
      <c r="DR245" s="51"/>
      <c r="DS245" s="51"/>
      <c r="DT245" s="51"/>
      <c r="DU245" s="51"/>
      <c r="DV245" s="51"/>
      <c r="DW245" s="51"/>
      <c r="DX245" s="51"/>
      <c r="DY245" s="51"/>
      <c r="DZ245" s="51"/>
      <c r="EA245" s="51"/>
      <c r="EB245" s="51"/>
      <c r="EC245" s="51"/>
      <c r="ED245" s="51"/>
      <c r="EE245" s="51"/>
      <c r="EF245" s="51"/>
      <c r="EG245" s="51"/>
      <c r="EH245" s="51"/>
      <c r="EI245" s="51"/>
      <c r="EJ245" s="51"/>
      <c r="EK245" s="51"/>
      <c r="EL245" s="51"/>
      <c r="EM245" s="51"/>
      <c r="EN245" s="51"/>
      <c r="EO245" s="51"/>
      <c r="EP245" s="51"/>
      <c r="EQ245" s="51"/>
      <c r="ER245" s="51"/>
      <c r="ES245" s="51"/>
      <c r="ET245" s="51"/>
      <c r="EU245" s="51"/>
      <c r="EV245" s="51"/>
      <c r="EW245" s="51"/>
      <c r="EX245" s="51"/>
      <c r="EY245" s="51"/>
      <c r="EZ245" s="51"/>
      <c r="FA245" s="51"/>
      <c r="FB245" s="51"/>
      <c r="FC245" s="51"/>
      <c r="FD245" s="51"/>
      <c r="FE245" s="51"/>
      <c r="FF245" s="51"/>
      <c r="FG245" s="51"/>
      <c r="FH245" s="51"/>
      <c r="FI245" s="51"/>
      <c r="FJ245" s="51"/>
      <c r="FK245" s="51"/>
      <c r="FL245" s="51"/>
      <c r="FM245" s="51"/>
      <c r="FN245" s="51"/>
      <c r="FO245" s="51"/>
      <c r="FP245" s="51"/>
      <c r="FQ245" s="51"/>
      <c r="FR245" s="51"/>
      <c r="FS245" s="51"/>
      <c r="FT245" s="51"/>
      <c r="FU245" s="51"/>
      <c r="FV245" s="51"/>
      <c r="FW245" s="51"/>
      <c r="FX245" s="51"/>
      <c r="FY245" s="51"/>
      <c r="FZ245" s="51"/>
      <c r="GA245" s="51"/>
      <c r="GB245" s="51"/>
      <c r="GC245" s="51"/>
      <c r="GD245" s="51"/>
      <c r="GE245" s="51"/>
      <c r="GF245" s="51"/>
      <c r="GG245" s="51"/>
      <c r="GH245" s="51"/>
      <c r="GI245" s="51"/>
      <c r="GJ245" s="51"/>
      <c r="GK245" s="51"/>
      <c r="GL245" s="51"/>
      <c r="GM245" s="51"/>
      <c r="GN245" s="51"/>
      <c r="GO245" s="51"/>
      <c r="GP245" s="51"/>
      <c r="GQ245" s="51"/>
      <c r="GR245" s="51"/>
      <c r="GS245" s="51"/>
      <c r="GT245" s="51"/>
      <c r="GU245" s="51"/>
      <c r="GV245" s="51"/>
      <c r="GW245" s="51"/>
      <c r="GX245" s="51"/>
      <c r="GY245" s="51"/>
      <c r="GZ245" s="51"/>
      <c r="HA245" s="51"/>
      <c r="HB245" s="51"/>
      <c r="HC245" s="51"/>
      <c r="HD245" s="51"/>
      <c r="HE245" s="51"/>
      <c r="HF245" s="51"/>
      <c r="HG245" s="51"/>
      <c r="HH245" s="51"/>
      <c r="HI245" s="51"/>
      <c r="HJ245" s="51"/>
      <c r="HK245" s="51"/>
      <c r="HL245" s="51"/>
      <c r="HM245" s="51"/>
      <c r="HN245" s="51"/>
      <c r="HO245" s="51"/>
      <c r="HP245" s="51"/>
      <c r="HQ245" s="51"/>
      <c r="HR245" s="51"/>
      <c r="HS245" s="51"/>
      <c r="HT245" s="51"/>
      <c r="HU245" s="51"/>
      <c r="HV245" s="51"/>
      <c r="HW245" s="51"/>
      <c r="HX245" s="51"/>
      <c r="HY245" s="51"/>
      <c r="HZ245" s="51"/>
      <c r="IA245" s="51"/>
      <c r="IB245" s="51"/>
      <c r="IC245" s="51"/>
      <c r="ID245" s="51"/>
      <c r="IE245" s="51"/>
      <c r="IF245" s="51"/>
      <c r="IG245" s="51"/>
      <c r="IH245" s="51"/>
      <c r="II245" s="51"/>
      <c r="IJ245" s="51"/>
      <c r="IK245" s="51"/>
      <c r="IL245" s="51"/>
      <c r="IM245" s="51"/>
      <c r="IN245" s="51"/>
      <c r="IO245" s="51"/>
      <c r="IP245" s="51"/>
      <c r="IQ245" s="51"/>
      <c r="IR245" s="51"/>
      <c r="IS245" s="51"/>
      <c r="IT245" s="51"/>
      <c r="IU245" s="51"/>
      <c r="IV245" s="51"/>
    </row>
    <row r="246" hidden="1">
      <c r="B246" s="829" t="s">
        <v>17</v>
      </c>
      <c r="C246" s="823">
        <v>5</v>
      </c>
      <c r="D246" s="823">
        <v>8</v>
      </c>
      <c r="E246" s="823">
        <v>9</v>
      </c>
      <c r="F246" s="823">
        <v>11</v>
      </c>
      <c r="G246" s="823">
        <v>28</v>
      </c>
      <c r="H246" s="823">
        <v>29</v>
      </c>
      <c r="I246" s="823">
        <v>29</v>
      </c>
      <c r="J246" s="823">
        <v>28</v>
      </c>
      <c r="K246" s="823">
        <v>33</v>
      </c>
      <c r="L246" s="823">
        <v>33</v>
      </c>
      <c r="M246" s="823">
        <v>34</v>
      </c>
      <c r="N246" s="823">
        <v>0</v>
      </c>
      <c r="O246" s="823">
        <v>0</v>
      </c>
      <c r="P246" s="823">
        <v>0</v>
      </c>
      <c r="Q246" s="823">
        <v>0</v>
      </c>
      <c r="R246" s="823">
        <v>0</v>
      </c>
      <c r="S246" s="823">
        <v>0</v>
      </c>
      <c r="T246" s="823">
        <v>0</v>
      </c>
      <c r="U246" s="823">
        <v>0</v>
      </c>
      <c r="V246" s="823">
        <v>0</v>
      </c>
      <c r="W246" s="823">
        <v>0</v>
      </c>
      <c r="X246" s="823">
        <v>0</v>
      </c>
      <c r="Y246" s="823">
        <v>0</v>
      </c>
      <c r="Z246" s="823">
        <v>0</v>
      </c>
      <c r="AA246" s="823">
        <v>0</v>
      </c>
      <c r="AB246" s="823">
        <v>0</v>
      </c>
      <c r="AC246" s="825">
        <v>0</v>
      </c>
      <c r="AD246" s="825">
        <v>0</v>
      </c>
      <c r="AE246" s="825">
        <v>0</v>
      </c>
      <c r="AF246" s="825">
        <v>0</v>
      </c>
      <c r="AG246" s="825">
        <v>0</v>
      </c>
      <c r="AH246" s="825">
        <v>0</v>
      </c>
      <c r="AI246" s="825">
        <v>0</v>
      </c>
      <c r="AJ246" s="825">
        <v>0</v>
      </c>
      <c r="AK246" s="825">
        <v>0</v>
      </c>
      <c r="AL246" s="825">
        <v>0</v>
      </c>
      <c r="AM246" s="825">
        <v>0</v>
      </c>
      <c r="AN246" s="825">
        <v>0</v>
      </c>
      <c r="AO246" s="825">
        <v>0</v>
      </c>
      <c r="AP246" s="825">
        <v>0</v>
      </c>
      <c r="AQ246" s="51"/>
      <c r="AR246" s="51"/>
      <c r="AS246" s="51"/>
      <c r="AT246" s="51"/>
      <c r="AU246" s="51"/>
      <c r="AV246" s="51"/>
      <c r="AW246" s="51"/>
      <c r="AX246" s="51"/>
      <c r="AY246" s="51"/>
      <c r="AZ246" s="51"/>
      <c r="BA246" s="51"/>
      <c r="BB246" s="51"/>
      <c r="BC246" s="51"/>
      <c r="BD246" s="51"/>
      <c r="BE246" s="51"/>
      <c r="BF246" s="51"/>
      <c r="BG246" s="51"/>
      <c r="BH246" s="51"/>
      <c r="BI246" s="51"/>
      <c r="BJ246" s="51"/>
      <c r="BK246" s="51"/>
      <c r="BL246" s="51"/>
      <c r="BM246" s="51"/>
      <c r="BN246" s="51"/>
      <c r="BO246" s="51"/>
      <c r="BP246" s="51"/>
      <c r="BQ246" s="51"/>
      <c r="BR246" s="51"/>
      <c r="BS246" s="51"/>
      <c r="BT246" s="51"/>
      <c r="BU246" s="51"/>
      <c r="BV246" s="51"/>
      <c r="BW246" s="51"/>
      <c r="BX246" s="51"/>
      <c r="BY246" s="51"/>
      <c r="BZ246" s="51"/>
      <c r="CA246" s="51"/>
      <c r="CB246" s="51"/>
      <c r="CC246" s="51"/>
      <c r="CD246" s="51"/>
      <c r="CE246" s="51"/>
      <c r="CF246" s="51"/>
      <c r="CG246" s="51"/>
      <c r="CH246" s="51"/>
      <c r="CI246" s="51"/>
      <c r="CJ246" s="51"/>
      <c r="CK246" s="51"/>
      <c r="CL246" s="51"/>
      <c r="CM246" s="51"/>
      <c r="CN246" s="51"/>
      <c r="CO246" s="51"/>
      <c r="CP246" s="51"/>
      <c r="CQ246" s="51"/>
      <c r="CR246" s="51"/>
      <c r="CS246" s="51"/>
      <c r="CT246" s="51"/>
      <c r="CU246" s="51"/>
      <c r="CV246" s="51"/>
      <c r="CW246" s="51"/>
      <c r="CX246" s="51"/>
      <c r="CY246" s="51"/>
      <c r="CZ246" s="51"/>
      <c r="DA246" s="51"/>
      <c r="DB246" s="51"/>
      <c r="DC246" s="51"/>
      <c r="DD246" s="51"/>
      <c r="DE246" s="51"/>
      <c r="DF246" s="51"/>
      <c r="DG246" s="51"/>
      <c r="DH246" s="51"/>
      <c r="DI246" s="51"/>
      <c r="DJ246" s="51"/>
      <c r="DK246" s="51"/>
      <c r="DL246" s="51"/>
      <c r="DM246" s="51"/>
      <c r="DN246" s="51"/>
      <c r="DO246" s="51"/>
      <c r="DP246" s="51"/>
      <c r="DQ246" s="51"/>
      <c r="DR246" s="51"/>
      <c r="DS246" s="51"/>
      <c r="DT246" s="51"/>
      <c r="DU246" s="51"/>
      <c r="DV246" s="51"/>
      <c r="DW246" s="51"/>
      <c r="DX246" s="51"/>
      <c r="DY246" s="51"/>
      <c r="DZ246" s="51"/>
      <c r="EA246" s="51"/>
      <c r="EB246" s="51"/>
      <c r="EC246" s="51"/>
      <c r="ED246" s="51"/>
      <c r="EE246" s="51"/>
      <c r="EF246" s="51"/>
      <c r="EG246" s="51"/>
      <c r="EH246" s="51"/>
      <c r="EI246" s="51"/>
      <c r="EJ246" s="51"/>
      <c r="EK246" s="51"/>
      <c r="EL246" s="51"/>
      <c r="EM246" s="51"/>
      <c r="EN246" s="51"/>
      <c r="EO246" s="51"/>
      <c r="EP246" s="51"/>
      <c r="EQ246" s="51"/>
      <c r="ER246" s="51"/>
      <c r="ES246" s="51"/>
      <c r="ET246" s="51"/>
      <c r="EU246" s="51"/>
      <c r="EV246" s="51"/>
      <c r="EW246" s="51"/>
      <c r="EX246" s="51"/>
      <c r="EY246" s="51"/>
      <c r="EZ246" s="51"/>
      <c r="FA246" s="51"/>
      <c r="FB246" s="51"/>
      <c r="FC246" s="51"/>
      <c r="FD246" s="51"/>
      <c r="FE246" s="51"/>
      <c r="FF246" s="51"/>
      <c r="FG246" s="51"/>
      <c r="FH246" s="51"/>
      <c r="FI246" s="51"/>
      <c r="FJ246" s="51"/>
      <c r="FK246" s="51"/>
      <c r="FL246" s="51"/>
      <c r="FM246" s="51"/>
      <c r="FN246" s="51"/>
      <c r="FO246" s="51"/>
      <c r="FP246" s="51"/>
      <c r="FQ246" s="51"/>
      <c r="FR246" s="51"/>
      <c r="FS246" s="51"/>
      <c r="FT246" s="51"/>
      <c r="FU246" s="51"/>
      <c r="FV246" s="51"/>
      <c r="FW246" s="51"/>
      <c r="FX246" s="51"/>
      <c r="FY246" s="51"/>
      <c r="FZ246" s="51"/>
      <c r="GA246" s="51"/>
      <c r="GB246" s="51"/>
      <c r="GC246" s="51"/>
      <c r="GD246" s="51"/>
      <c r="GE246" s="51"/>
      <c r="GF246" s="51"/>
      <c r="GG246" s="51"/>
      <c r="GH246" s="51"/>
      <c r="GI246" s="51"/>
      <c r="GJ246" s="51"/>
      <c r="GK246" s="51"/>
      <c r="GL246" s="51"/>
      <c r="GM246" s="51"/>
      <c r="GN246" s="51"/>
      <c r="GO246" s="51"/>
      <c r="GP246" s="51"/>
      <c r="GQ246" s="51"/>
      <c r="GR246" s="51"/>
      <c r="GS246" s="51"/>
      <c r="GT246" s="51"/>
      <c r="GU246" s="51"/>
      <c r="GV246" s="51"/>
      <c r="GW246" s="51"/>
      <c r="GX246" s="51"/>
      <c r="GY246" s="51"/>
      <c r="GZ246" s="51"/>
      <c r="HA246" s="51"/>
      <c r="HB246" s="51"/>
      <c r="HC246" s="51"/>
      <c r="HD246" s="51"/>
      <c r="HE246" s="51"/>
      <c r="HF246" s="51"/>
      <c r="HG246" s="51"/>
      <c r="HH246" s="51"/>
      <c r="HI246" s="51"/>
      <c r="HJ246" s="51"/>
      <c r="HK246" s="51"/>
      <c r="HL246" s="51"/>
      <c r="HM246" s="51"/>
      <c r="HN246" s="51"/>
      <c r="HO246" s="51"/>
      <c r="HP246" s="51"/>
      <c r="HQ246" s="51"/>
      <c r="HR246" s="51"/>
      <c r="HS246" s="51"/>
      <c r="HT246" s="51"/>
      <c r="HU246" s="51"/>
      <c r="HV246" s="51"/>
      <c r="HW246" s="51"/>
      <c r="HX246" s="51"/>
      <c r="HY246" s="51"/>
      <c r="HZ246" s="51"/>
      <c r="IA246" s="51"/>
      <c r="IB246" s="51"/>
      <c r="IC246" s="51"/>
      <c r="ID246" s="51"/>
      <c r="IE246" s="51"/>
      <c r="IF246" s="51"/>
      <c r="IG246" s="51"/>
      <c r="IH246" s="51"/>
      <c r="II246" s="51"/>
      <c r="IJ246" s="51"/>
      <c r="IK246" s="51"/>
      <c r="IL246" s="51"/>
      <c r="IM246" s="51"/>
      <c r="IN246" s="51"/>
      <c r="IO246" s="51"/>
      <c r="IP246" s="51"/>
      <c r="IQ246" s="51"/>
      <c r="IR246" s="51"/>
      <c r="IS246" s="51"/>
      <c r="IT246" s="51"/>
      <c r="IU246" s="51"/>
      <c r="IV246" s="51"/>
    </row>
    <row r="247" hidden="1">
      <c r="B247" s="826" t="s">
        <v>18</v>
      </c>
      <c r="C247" s="827">
        <v>0</v>
      </c>
      <c r="D247" s="827">
        <v>0</v>
      </c>
      <c r="E247" s="827">
        <v>0</v>
      </c>
      <c r="F247" s="827">
        <v>0</v>
      </c>
      <c r="G247" s="827">
        <v>0</v>
      </c>
      <c r="H247" s="827">
        <v>0</v>
      </c>
      <c r="I247" s="827">
        <v>0</v>
      </c>
      <c r="J247" s="827">
        <v>0</v>
      </c>
      <c r="K247" s="827">
        <v>3390</v>
      </c>
      <c r="L247" s="827">
        <v>3391</v>
      </c>
      <c r="M247" s="827">
        <v>3291</v>
      </c>
      <c r="N247" s="827">
        <v>3236</v>
      </c>
      <c r="O247" s="827">
        <v>69</v>
      </c>
      <c r="P247" s="827">
        <v>4</v>
      </c>
      <c r="Q247" s="827">
        <v>4</v>
      </c>
      <c r="R247" s="827">
        <v>3</v>
      </c>
      <c r="S247" s="827">
        <v>2</v>
      </c>
      <c r="T247" s="827">
        <v>1</v>
      </c>
      <c r="U247" s="827">
        <v>1</v>
      </c>
      <c r="V247" s="827">
        <v>2</v>
      </c>
      <c r="W247" s="827">
        <v>0</v>
      </c>
      <c r="X247" s="827">
        <v>0</v>
      </c>
      <c r="Y247" s="827">
        <v>0</v>
      </c>
      <c r="Z247" s="827">
        <v>0</v>
      </c>
      <c r="AA247" s="827">
        <v>0</v>
      </c>
      <c r="AB247" s="827">
        <v>0</v>
      </c>
      <c r="AC247" s="828">
        <v>0</v>
      </c>
      <c r="AD247" s="828">
        <v>1</v>
      </c>
      <c r="AE247" s="828">
        <v>0</v>
      </c>
      <c r="AF247" s="828">
        <v>0</v>
      </c>
      <c r="AG247" s="828">
        <v>0</v>
      </c>
      <c r="AH247" s="828">
        <v>0</v>
      </c>
      <c r="AI247" s="828">
        <v>0</v>
      </c>
      <c r="AJ247" s="828">
        <v>0</v>
      </c>
      <c r="AK247" s="828">
        <v>0</v>
      </c>
      <c r="AL247" s="828">
        <v>0</v>
      </c>
      <c r="AM247" s="828">
        <v>0</v>
      </c>
      <c r="AN247" s="828">
        <v>0</v>
      </c>
      <c r="AO247" s="828">
        <v>0</v>
      </c>
      <c r="AP247" s="828">
        <v>0</v>
      </c>
      <c r="AQ247" s="51"/>
      <c r="AR247" s="51"/>
      <c r="AS247" s="51"/>
      <c r="AT247" s="51"/>
      <c r="AU247" s="51"/>
      <c r="AV247" s="51"/>
      <c r="AW247" s="51"/>
      <c r="AX247" s="51"/>
      <c r="AY247" s="51"/>
      <c r="AZ247" s="51"/>
      <c r="BA247" s="51"/>
      <c r="BB247" s="51"/>
      <c r="BC247" s="51"/>
      <c r="BD247" s="51"/>
      <c r="BE247" s="51"/>
      <c r="BF247" s="51"/>
      <c r="BG247" s="51"/>
      <c r="BH247" s="51"/>
      <c r="BI247" s="51"/>
      <c r="BJ247" s="51"/>
      <c r="BK247" s="51"/>
      <c r="BL247" s="51"/>
      <c r="BM247" s="51"/>
      <c r="BN247" s="51"/>
      <c r="BO247" s="51"/>
      <c r="BP247" s="51"/>
      <c r="BQ247" s="51"/>
      <c r="BR247" s="51"/>
      <c r="BS247" s="51"/>
      <c r="BT247" s="51"/>
      <c r="BU247" s="51"/>
      <c r="BV247" s="51"/>
      <c r="BW247" s="51"/>
      <c r="BX247" s="51"/>
      <c r="BY247" s="51"/>
      <c r="BZ247" s="51"/>
      <c r="CA247" s="51"/>
      <c r="CB247" s="51"/>
      <c r="CC247" s="51"/>
      <c r="CD247" s="51"/>
      <c r="CE247" s="51"/>
      <c r="CF247" s="51"/>
      <c r="CG247" s="51"/>
      <c r="CH247" s="51"/>
      <c r="CI247" s="51"/>
      <c r="CJ247" s="51"/>
      <c r="CK247" s="51"/>
      <c r="CL247" s="51"/>
      <c r="CM247" s="51"/>
      <c r="CN247" s="51"/>
      <c r="CO247" s="51"/>
      <c r="CP247" s="51"/>
      <c r="CQ247" s="51"/>
      <c r="CR247" s="51"/>
      <c r="CS247" s="51"/>
      <c r="CT247" s="51"/>
      <c r="CU247" s="51"/>
      <c r="CV247" s="51"/>
      <c r="CW247" s="51"/>
      <c r="CX247" s="51"/>
      <c r="CY247" s="51"/>
      <c r="CZ247" s="51"/>
      <c r="DA247" s="51"/>
      <c r="DB247" s="51"/>
      <c r="DC247" s="51"/>
      <c r="DD247" s="51"/>
      <c r="DE247" s="51"/>
      <c r="DF247" s="51"/>
      <c r="DG247" s="51"/>
      <c r="DH247" s="51"/>
      <c r="DI247" s="51"/>
      <c r="DJ247" s="51"/>
      <c r="DK247" s="51"/>
      <c r="DL247" s="51"/>
      <c r="DM247" s="51"/>
      <c r="DN247" s="51"/>
      <c r="DO247" s="51"/>
      <c r="DP247" s="51"/>
      <c r="DQ247" s="51"/>
      <c r="DR247" s="51"/>
      <c r="DS247" s="51"/>
      <c r="DT247" s="51"/>
      <c r="DU247" s="51"/>
      <c r="DV247" s="51"/>
      <c r="DW247" s="51"/>
      <c r="DX247" s="51"/>
      <c r="DY247" s="51"/>
      <c r="DZ247" s="51"/>
      <c r="EA247" s="51"/>
      <c r="EB247" s="51"/>
      <c r="EC247" s="51"/>
      <c r="ED247" s="51"/>
      <c r="EE247" s="51"/>
      <c r="EF247" s="51"/>
      <c r="EG247" s="51"/>
      <c r="EH247" s="51"/>
      <c r="EI247" s="51"/>
      <c r="EJ247" s="51"/>
      <c r="EK247" s="51"/>
      <c r="EL247" s="51"/>
      <c r="EM247" s="51"/>
      <c r="EN247" s="51"/>
      <c r="EO247" s="51"/>
      <c r="EP247" s="51"/>
      <c r="EQ247" s="51"/>
      <c r="ER247" s="51"/>
      <c r="ES247" s="51"/>
      <c r="ET247" s="51"/>
      <c r="EU247" s="51"/>
      <c r="EV247" s="51"/>
      <c r="EW247" s="51"/>
      <c r="EX247" s="51"/>
      <c r="EY247" s="51"/>
      <c r="EZ247" s="51"/>
      <c r="FA247" s="51"/>
      <c r="FB247" s="51"/>
      <c r="FC247" s="51"/>
      <c r="FD247" s="51"/>
      <c r="FE247" s="51"/>
      <c r="FF247" s="51"/>
      <c r="FG247" s="51"/>
      <c r="FH247" s="51"/>
      <c r="FI247" s="51"/>
      <c r="FJ247" s="51"/>
      <c r="FK247" s="51"/>
      <c r="FL247" s="51"/>
      <c r="FM247" s="51"/>
      <c r="FN247" s="51"/>
      <c r="FO247" s="51"/>
      <c r="FP247" s="51"/>
      <c r="FQ247" s="51"/>
      <c r="FR247" s="51"/>
      <c r="FS247" s="51"/>
      <c r="FT247" s="51"/>
      <c r="FU247" s="51"/>
      <c r="FV247" s="51"/>
      <c r="FW247" s="51"/>
      <c r="FX247" s="51"/>
      <c r="FY247" s="51"/>
      <c r="FZ247" s="51"/>
      <c r="GA247" s="51"/>
      <c r="GB247" s="51"/>
      <c r="GC247" s="51"/>
      <c r="GD247" s="51"/>
      <c r="GE247" s="51"/>
      <c r="GF247" s="51"/>
      <c r="GG247" s="51"/>
      <c r="GH247" s="51"/>
      <c r="GI247" s="51"/>
      <c r="GJ247" s="51"/>
      <c r="GK247" s="51"/>
      <c r="GL247" s="51"/>
      <c r="GM247" s="51"/>
      <c r="GN247" s="51"/>
      <c r="GO247" s="51"/>
      <c r="GP247" s="51"/>
      <c r="GQ247" s="51"/>
      <c r="GR247" s="51"/>
      <c r="GS247" s="51"/>
      <c r="GT247" s="51"/>
      <c r="GU247" s="51"/>
      <c r="GV247" s="51"/>
      <c r="GW247" s="51"/>
      <c r="GX247" s="51"/>
      <c r="GY247" s="51"/>
      <c r="GZ247" s="51"/>
      <c r="HA247" s="51"/>
      <c r="HB247" s="51"/>
      <c r="HC247" s="51"/>
      <c r="HD247" s="51"/>
      <c r="HE247" s="51"/>
      <c r="HF247" s="51"/>
      <c r="HG247" s="51"/>
      <c r="HH247" s="51"/>
      <c r="HI247" s="51"/>
      <c r="HJ247" s="51"/>
      <c r="HK247" s="51"/>
      <c r="HL247" s="51"/>
      <c r="HM247" s="51"/>
      <c r="HN247" s="51"/>
      <c r="HO247" s="51"/>
      <c r="HP247" s="51"/>
      <c r="HQ247" s="51"/>
      <c r="HR247" s="51"/>
      <c r="HS247" s="51"/>
      <c r="HT247" s="51"/>
      <c r="HU247" s="51"/>
      <c r="HV247" s="51"/>
      <c r="HW247" s="51"/>
      <c r="HX247" s="51"/>
      <c r="HY247" s="51"/>
      <c r="HZ247" s="51"/>
      <c r="IA247" s="51"/>
      <c r="IB247" s="51"/>
      <c r="IC247" s="51"/>
      <c r="ID247" s="51"/>
      <c r="IE247" s="51"/>
      <c r="IF247" s="51"/>
      <c r="IG247" s="51"/>
      <c r="IH247" s="51"/>
      <c r="II247" s="51"/>
      <c r="IJ247" s="51"/>
      <c r="IK247" s="51"/>
      <c r="IL247" s="51"/>
      <c r="IM247" s="51"/>
      <c r="IN247" s="51"/>
      <c r="IO247" s="51"/>
      <c r="IP247" s="51"/>
      <c r="IQ247" s="51"/>
      <c r="IR247" s="51"/>
      <c r="IS247" s="51"/>
      <c r="IT247" s="51"/>
      <c r="IU247" s="51"/>
      <c r="IV247" s="51"/>
    </row>
    <row r="248" hidden="1">
      <c r="B248" s="829" t="s">
        <v>19</v>
      </c>
      <c r="C248" s="823">
        <v>76</v>
      </c>
      <c r="D248" s="823">
        <v>111</v>
      </c>
      <c r="E248" s="823">
        <v>123</v>
      </c>
      <c r="F248" s="823">
        <v>142</v>
      </c>
      <c r="G248" s="823">
        <v>175</v>
      </c>
      <c r="H248" s="823">
        <v>192</v>
      </c>
      <c r="I248" s="823">
        <v>193</v>
      </c>
      <c r="J248" s="823">
        <v>202</v>
      </c>
      <c r="K248" s="823">
        <v>209</v>
      </c>
      <c r="L248" s="823">
        <v>197</v>
      </c>
      <c r="M248" s="823">
        <v>200</v>
      </c>
      <c r="N248" s="823">
        <v>198</v>
      </c>
      <c r="O248" s="823">
        <v>58</v>
      </c>
      <c r="P248" s="823">
        <v>45</v>
      </c>
      <c r="Q248" s="823">
        <v>32</v>
      </c>
      <c r="R248" s="823">
        <v>33</v>
      </c>
      <c r="S248" s="823">
        <v>31</v>
      </c>
      <c r="T248" s="823">
        <v>31</v>
      </c>
      <c r="U248" s="823">
        <v>23</v>
      </c>
      <c r="V248" s="823">
        <v>23</v>
      </c>
      <c r="W248" s="823">
        <v>22</v>
      </c>
      <c r="X248" s="823">
        <v>22</v>
      </c>
      <c r="Y248" s="823">
        <v>22</v>
      </c>
      <c r="Z248" s="823">
        <v>22</v>
      </c>
      <c r="AA248" s="823">
        <v>23</v>
      </c>
      <c r="AB248" s="823">
        <v>23</v>
      </c>
      <c r="AC248" s="825">
        <v>23</v>
      </c>
      <c r="AD248" s="825">
        <v>23</v>
      </c>
      <c r="AE248" s="825">
        <v>23</v>
      </c>
      <c r="AF248" s="825">
        <v>24</v>
      </c>
      <c r="AG248" s="825">
        <v>24</v>
      </c>
      <c r="AH248" s="825">
        <v>23</v>
      </c>
      <c r="AI248" s="825">
        <v>24</v>
      </c>
      <c r="AJ248" s="825">
        <v>11</v>
      </c>
      <c r="AK248" s="825">
        <v>10</v>
      </c>
      <c r="AL248" s="825">
        <v>10</v>
      </c>
      <c r="AM248" s="825">
        <v>10</v>
      </c>
      <c r="AN248" s="825">
        <v>8</v>
      </c>
      <c r="AO248" s="825">
        <v>9</v>
      </c>
      <c r="AP248" s="825">
        <v>0</v>
      </c>
      <c r="AQ248" s="51"/>
      <c r="AR248" s="51"/>
      <c r="AS248" s="51"/>
      <c r="AT248" s="51"/>
      <c r="AU248" s="51"/>
      <c r="AV248" s="51"/>
      <c r="AW248" s="51"/>
      <c r="AX248" s="51"/>
      <c r="AY248" s="51"/>
      <c r="AZ248" s="51"/>
      <c r="BA248" s="51"/>
      <c r="BB248" s="51"/>
      <c r="BC248" s="51"/>
      <c r="BD248" s="51"/>
      <c r="BE248" s="51"/>
      <c r="BF248" s="51"/>
      <c r="BG248" s="51"/>
      <c r="BH248" s="51"/>
      <c r="BI248" s="51"/>
      <c r="BJ248" s="51"/>
      <c r="BK248" s="51"/>
      <c r="BL248" s="51"/>
      <c r="BM248" s="51"/>
      <c r="BN248" s="51"/>
      <c r="BO248" s="51"/>
      <c r="BP248" s="51"/>
      <c r="BQ248" s="51"/>
      <c r="BR248" s="51"/>
      <c r="BS248" s="51"/>
      <c r="BT248" s="51"/>
      <c r="BU248" s="51"/>
      <c r="BV248" s="51"/>
      <c r="BW248" s="51"/>
      <c r="BX248" s="51"/>
      <c r="BY248" s="51"/>
      <c r="BZ248" s="51"/>
      <c r="CA248" s="51"/>
      <c r="CB248" s="51"/>
      <c r="CC248" s="51"/>
      <c r="CD248" s="51"/>
      <c r="CE248" s="51"/>
      <c r="CF248" s="51"/>
      <c r="CG248" s="51"/>
      <c r="CH248" s="51"/>
      <c r="CI248" s="51"/>
      <c r="CJ248" s="51"/>
      <c r="CK248" s="51"/>
      <c r="CL248" s="51"/>
      <c r="CM248" s="51"/>
      <c r="CN248" s="51"/>
      <c r="CO248" s="51"/>
      <c r="CP248" s="51"/>
      <c r="CQ248" s="51"/>
      <c r="CR248" s="51"/>
      <c r="CS248" s="51"/>
      <c r="CT248" s="51"/>
      <c r="CU248" s="51"/>
      <c r="CV248" s="51"/>
      <c r="CW248" s="51"/>
      <c r="CX248" s="51"/>
      <c r="CY248" s="51"/>
      <c r="CZ248" s="51"/>
      <c r="DA248" s="51"/>
      <c r="DB248" s="51"/>
      <c r="DC248" s="51"/>
      <c r="DD248" s="51"/>
      <c r="DE248" s="51"/>
      <c r="DF248" s="51"/>
      <c r="DG248" s="51"/>
      <c r="DH248" s="51"/>
      <c r="DI248" s="51"/>
      <c r="DJ248" s="51"/>
      <c r="DK248" s="51"/>
      <c r="DL248" s="51"/>
      <c r="DM248" s="51"/>
      <c r="DN248" s="51"/>
      <c r="DO248" s="51"/>
      <c r="DP248" s="51"/>
      <c r="DQ248" s="51"/>
      <c r="DR248" s="51"/>
      <c r="DS248" s="51"/>
      <c r="DT248" s="51"/>
      <c r="DU248" s="51"/>
      <c r="DV248" s="51"/>
      <c r="DW248" s="51"/>
      <c r="DX248" s="51"/>
      <c r="DY248" s="51"/>
      <c r="DZ248" s="51"/>
      <c r="EA248" s="51"/>
      <c r="EB248" s="51"/>
      <c r="EC248" s="51"/>
      <c r="ED248" s="51"/>
      <c r="EE248" s="51"/>
      <c r="EF248" s="51"/>
      <c r="EG248" s="51"/>
      <c r="EH248" s="51"/>
      <c r="EI248" s="51"/>
      <c r="EJ248" s="51"/>
      <c r="EK248" s="51"/>
      <c r="EL248" s="51"/>
      <c r="EM248" s="51"/>
      <c r="EN248" s="51"/>
      <c r="EO248" s="51"/>
      <c r="EP248" s="51"/>
      <c r="EQ248" s="51"/>
      <c r="ER248" s="51"/>
      <c r="ES248" s="51"/>
      <c r="ET248" s="51"/>
      <c r="EU248" s="51"/>
      <c r="EV248" s="51"/>
      <c r="EW248" s="51"/>
      <c r="EX248" s="51"/>
      <c r="EY248" s="51"/>
      <c r="EZ248" s="51"/>
      <c r="FA248" s="51"/>
      <c r="FB248" s="51"/>
      <c r="FC248" s="51"/>
      <c r="FD248" s="51"/>
      <c r="FE248" s="51"/>
      <c r="FF248" s="51"/>
      <c r="FG248" s="51"/>
      <c r="FH248" s="51"/>
      <c r="FI248" s="51"/>
      <c r="FJ248" s="51"/>
      <c r="FK248" s="51"/>
      <c r="FL248" s="51"/>
      <c r="FM248" s="51"/>
      <c r="FN248" s="51"/>
      <c r="FO248" s="51"/>
      <c r="FP248" s="51"/>
      <c r="FQ248" s="51"/>
      <c r="FR248" s="51"/>
      <c r="FS248" s="51"/>
      <c r="FT248" s="51"/>
      <c r="FU248" s="51"/>
      <c r="FV248" s="51"/>
      <c r="FW248" s="51"/>
      <c r="FX248" s="51"/>
      <c r="FY248" s="51"/>
      <c r="FZ248" s="51"/>
      <c r="GA248" s="51"/>
      <c r="GB248" s="51"/>
      <c r="GC248" s="51"/>
      <c r="GD248" s="51"/>
      <c r="GE248" s="51"/>
      <c r="GF248" s="51"/>
      <c r="GG248" s="51"/>
      <c r="GH248" s="51"/>
      <c r="GI248" s="51"/>
      <c r="GJ248" s="51"/>
      <c r="GK248" s="51"/>
      <c r="GL248" s="51"/>
      <c r="GM248" s="51"/>
      <c r="GN248" s="51"/>
      <c r="GO248" s="51"/>
      <c r="GP248" s="51"/>
      <c r="GQ248" s="51"/>
      <c r="GR248" s="51"/>
      <c r="GS248" s="51"/>
      <c r="GT248" s="51"/>
      <c r="GU248" s="51"/>
      <c r="GV248" s="51"/>
      <c r="GW248" s="51"/>
      <c r="GX248" s="51"/>
      <c r="GY248" s="51"/>
      <c r="GZ248" s="51"/>
      <c r="HA248" s="51"/>
      <c r="HB248" s="51"/>
      <c r="HC248" s="51"/>
      <c r="HD248" s="51"/>
      <c r="HE248" s="51"/>
      <c r="HF248" s="51"/>
      <c r="HG248" s="51"/>
      <c r="HH248" s="51"/>
      <c r="HI248" s="51"/>
      <c r="HJ248" s="51"/>
      <c r="HK248" s="51"/>
      <c r="HL248" s="51"/>
      <c r="HM248" s="51"/>
      <c r="HN248" s="51"/>
      <c r="HO248" s="51"/>
      <c r="HP248" s="51"/>
      <c r="HQ248" s="51"/>
      <c r="HR248" s="51"/>
      <c r="HS248" s="51"/>
      <c r="HT248" s="51"/>
      <c r="HU248" s="51"/>
      <c r="HV248" s="51"/>
      <c r="HW248" s="51"/>
      <c r="HX248" s="51"/>
      <c r="HY248" s="51"/>
      <c r="HZ248" s="51"/>
      <c r="IA248" s="51"/>
      <c r="IB248" s="51"/>
      <c r="IC248" s="51"/>
      <c r="ID248" s="51"/>
      <c r="IE248" s="51"/>
      <c r="IF248" s="51"/>
      <c r="IG248" s="51"/>
      <c r="IH248" s="51"/>
      <c r="II248" s="51"/>
      <c r="IJ248" s="51"/>
      <c r="IK248" s="51"/>
      <c r="IL248" s="51"/>
      <c r="IM248" s="51"/>
      <c r="IN248" s="51"/>
      <c r="IO248" s="51"/>
      <c r="IP248" s="51"/>
      <c r="IQ248" s="51"/>
      <c r="IR248" s="51"/>
      <c r="IS248" s="51"/>
      <c r="IT248" s="51"/>
      <c r="IU248" s="51"/>
      <c r="IV248" s="51"/>
    </row>
    <row r="249" hidden="1">
      <c r="B249" s="826" t="s">
        <v>20</v>
      </c>
      <c r="C249" s="827">
        <v>9</v>
      </c>
      <c r="D249" s="827">
        <v>217</v>
      </c>
      <c r="E249" s="827">
        <v>575</v>
      </c>
      <c r="F249" s="827">
        <v>850</v>
      </c>
      <c r="G249" s="827">
        <v>1017</v>
      </c>
      <c r="H249" s="827">
        <v>1134</v>
      </c>
      <c r="I249" s="827">
        <v>1219</v>
      </c>
      <c r="J249" s="827">
        <v>1268</v>
      </c>
      <c r="K249" s="827">
        <v>1010</v>
      </c>
      <c r="L249" s="827">
        <v>1025</v>
      </c>
      <c r="M249" s="827">
        <v>1031</v>
      </c>
      <c r="N249" s="827">
        <v>1032</v>
      </c>
      <c r="O249" s="827">
        <v>0</v>
      </c>
      <c r="P249" s="827">
        <v>0</v>
      </c>
      <c r="Q249" s="827">
        <v>0</v>
      </c>
      <c r="R249" s="827">
        <v>0</v>
      </c>
      <c r="S249" s="827">
        <v>0</v>
      </c>
      <c r="T249" s="827">
        <v>0</v>
      </c>
      <c r="U249" s="827">
        <v>0</v>
      </c>
      <c r="V249" s="827">
        <v>0</v>
      </c>
      <c r="W249" s="827">
        <v>0</v>
      </c>
      <c r="X249" s="827">
        <v>0</v>
      </c>
      <c r="Y249" s="827">
        <v>0</v>
      </c>
      <c r="Z249" s="827">
        <v>0</v>
      </c>
      <c r="AA249" s="827">
        <v>0</v>
      </c>
      <c r="AB249" s="827">
        <v>0</v>
      </c>
      <c r="AC249" s="828">
        <v>0</v>
      </c>
      <c r="AD249" s="828">
        <v>0</v>
      </c>
      <c r="AE249" s="828">
        <v>0</v>
      </c>
      <c r="AF249" s="828">
        <v>0</v>
      </c>
      <c r="AG249" s="828">
        <v>0</v>
      </c>
      <c r="AH249" s="828">
        <v>0</v>
      </c>
      <c r="AI249" s="828">
        <v>0</v>
      </c>
      <c r="AJ249" s="828">
        <v>0</v>
      </c>
      <c r="AK249" s="828">
        <v>0</v>
      </c>
      <c r="AL249" s="828">
        <v>0</v>
      </c>
      <c r="AM249" s="828">
        <v>0</v>
      </c>
      <c r="AN249" s="828">
        <v>0</v>
      </c>
      <c r="AO249" s="828">
        <v>0</v>
      </c>
      <c r="AP249" s="828">
        <v>0</v>
      </c>
      <c r="AQ249" s="51"/>
      <c r="AR249" s="51"/>
      <c r="AS249" s="51"/>
      <c r="AT249" s="51"/>
      <c r="AU249" s="51"/>
      <c r="AV249" s="51"/>
      <c r="AW249" s="51"/>
      <c r="AX249" s="51"/>
      <c r="AY249" s="51"/>
      <c r="AZ249" s="51"/>
      <c r="BA249" s="51"/>
      <c r="BB249" s="51"/>
      <c r="BC249" s="51"/>
      <c r="BD249" s="51"/>
      <c r="BE249" s="51"/>
      <c r="BF249" s="51"/>
      <c r="BG249" s="51"/>
      <c r="BH249" s="51"/>
      <c r="BI249" s="51"/>
      <c r="BJ249" s="51"/>
      <c r="BK249" s="51"/>
      <c r="BL249" s="51"/>
      <c r="BM249" s="51"/>
      <c r="BN249" s="51"/>
      <c r="BO249" s="51"/>
      <c r="BP249" s="51"/>
      <c r="BQ249" s="51"/>
      <c r="BR249" s="51"/>
      <c r="BS249" s="51"/>
      <c r="BT249" s="51"/>
      <c r="BU249" s="51"/>
      <c r="BV249" s="51"/>
      <c r="BW249" s="51"/>
      <c r="BX249" s="51"/>
      <c r="BY249" s="51"/>
      <c r="BZ249" s="51"/>
      <c r="CA249" s="51"/>
      <c r="CB249" s="51"/>
      <c r="CC249" s="51"/>
      <c r="CD249" s="51"/>
      <c r="CE249" s="51"/>
      <c r="CF249" s="51"/>
      <c r="CG249" s="51"/>
      <c r="CH249" s="51"/>
      <c r="CI249" s="51"/>
      <c r="CJ249" s="51"/>
      <c r="CK249" s="51"/>
      <c r="CL249" s="51"/>
      <c r="CM249" s="51"/>
      <c r="CN249" s="51"/>
      <c r="CO249" s="51"/>
      <c r="CP249" s="51"/>
      <c r="CQ249" s="51"/>
      <c r="CR249" s="51"/>
      <c r="CS249" s="51"/>
      <c r="CT249" s="51"/>
      <c r="CU249" s="51"/>
      <c r="CV249" s="51"/>
      <c r="CW249" s="51"/>
      <c r="CX249" s="51"/>
      <c r="CY249" s="51"/>
      <c r="CZ249" s="51"/>
      <c r="DA249" s="51"/>
      <c r="DB249" s="51"/>
      <c r="DC249" s="51"/>
      <c r="DD249" s="51"/>
      <c r="DE249" s="51"/>
      <c r="DF249" s="51"/>
      <c r="DG249" s="51"/>
      <c r="DH249" s="51"/>
      <c r="DI249" s="51"/>
      <c r="DJ249" s="51"/>
      <c r="DK249" s="51"/>
      <c r="DL249" s="51"/>
      <c r="DM249" s="51"/>
      <c r="DN249" s="51"/>
      <c r="DO249" s="51"/>
      <c r="DP249" s="51"/>
      <c r="DQ249" s="51"/>
      <c r="DR249" s="51"/>
      <c r="DS249" s="51"/>
      <c r="DT249" s="51"/>
      <c r="DU249" s="51"/>
      <c r="DV249" s="51"/>
      <c r="DW249" s="51"/>
      <c r="DX249" s="51"/>
      <c r="DY249" s="51"/>
      <c r="DZ249" s="51"/>
      <c r="EA249" s="51"/>
      <c r="EB249" s="51"/>
      <c r="EC249" s="51"/>
      <c r="ED249" s="51"/>
      <c r="EE249" s="51"/>
      <c r="EF249" s="51"/>
      <c r="EG249" s="51"/>
      <c r="EH249" s="51"/>
      <c r="EI249" s="51"/>
      <c r="EJ249" s="51"/>
      <c r="EK249" s="51"/>
      <c r="EL249" s="51"/>
      <c r="EM249" s="51"/>
      <c r="EN249" s="51"/>
      <c r="EO249" s="51"/>
      <c r="EP249" s="51"/>
      <c r="EQ249" s="51"/>
      <c r="ER249" s="51"/>
      <c r="ES249" s="51"/>
      <c r="ET249" s="51"/>
      <c r="EU249" s="51"/>
      <c r="EV249" s="51"/>
      <c r="EW249" s="51"/>
      <c r="EX249" s="51"/>
      <c r="EY249" s="51"/>
      <c r="EZ249" s="51"/>
      <c r="FA249" s="51"/>
      <c r="FB249" s="51"/>
      <c r="FC249" s="51"/>
      <c r="FD249" s="51"/>
      <c r="FE249" s="51"/>
      <c r="FF249" s="51"/>
      <c r="FG249" s="51"/>
      <c r="FH249" s="51"/>
      <c r="FI249" s="51"/>
      <c r="FJ249" s="51"/>
      <c r="FK249" s="51"/>
      <c r="FL249" s="51"/>
      <c r="FM249" s="51"/>
      <c r="FN249" s="51"/>
      <c r="FO249" s="51"/>
      <c r="FP249" s="51"/>
      <c r="FQ249" s="51"/>
      <c r="FR249" s="51"/>
      <c r="FS249" s="51"/>
      <c r="FT249" s="51"/>
      <c r="FU249" s="51"/>
      <c r="FV249" s="51"/>
      <c r="FW249" s="51"/>
      <c r="FX249" s="51"/>
      <c r="FY249" s="51"/>
      <c r="FZ249" s="51"/>
      <c r="GA249" s="51"/>
      <c r="GB249" s="51"/>
      <c r="GC249" s="51"/>
      <c r="GD249" s="51"/>
      <c r="GE249" s="51"/>
      <c r="GF249" s="51"/>
      <c r="GG249" s="51"/>
      <c r="GH249" s="51"/>
      <c r="GI249" s="51"/>
      <c r="GJ249" s="51"/>
      <c r="GK249" s="51"/>
      <c r="GL249" s="51"/>
      <c r="GM249" s="51"/>
      <c r="GN249" s="51"/>
      <c r="GO249" s="51"/>
      <c r="GP249" s="51"/>
      <c r="GQ249" s="51"/>
      <c r="GR249" s="51"/>
      <c r="GS249" s="51"/>
      <c r="GT249" s="51"/>
      <c r="GU249" s="51"/>
      <c r="GV249" s="51"/>
      <c r="GW249" s="51"/>
      <c r="GX249" s="51"/>
      <c r="GY249" s="51"/>
      <c r="GZ249" s="51"/>
      <c r="HA249" s="51"/>
      <c r="HB249" s="51"/>
      <c r="HC249" s="51"/>
      <c r="HD249" s="51"/>
      <c r="HE249" s="51"/>
      <c r="HF249" s="51"/>
      <c r="HG249" s="51"/>
      <c r="HH249" s="51"/>
      <c r="HI249" s="51"/>
      <c r="HJ249" s="51"/>
      <c r="HK249" s="51"/>
      <c r="HL249" s="51"/>
      <c r="HM249" s="51"/>
      <c r="HN249" s="51"/>
      <c r="HO249" s="51"/>
      <c r="HP249" s="51"/>
      <c r="HQ249" s="51"/>
      <c r="HR249" s="51"/>
      <c r="HS249" s="51"/>
      <c r="HT249" s="51"/>
      <c r="HU249" s="51"/>
      <c r="HV249" s="51"/>
      <c r="HW249" s="51"/>
      <c r="HX249" s="51"/>
      <c r="HY249" s="51"/>
      <c r="HZ249" s="51"/>
      <c r="IA249" s="51"/>
      <c r="IB249" s="51"/>
      <c r="IC249" s="51"/>
      <c r="ID249" s="51"/>
      <c r="IE249" s="51"/>
      <c r="IF249" s="51"/>
      <c r="IG249" s="51"/>
      <c r="IH249" s="51"/>
      <c r="II249" s="51"/>
      <c r="IJ249" s="51"/>
      <c r="IK249" s="51"/>
      <c r="IL249" s="51"/>
      <c r="IM249" s="51"/>
      <c r="IN249" s="51"/>
      <c r="IO249" s="51"/>
      <c r="IP249" s="51"/>
      <c r="IQ249" s="51"/>
      <c r="IR249" s="51"/>
      <c r="IS249" s="51"/>
      <c r="IT249" s="51"/>
      <c r="IU249" s="51"/>
      <c r="IV249" s="51"/>
    </row>
    <row r="250" hidden="1">
      <c r="B250" s="829" t="s">
        <v>21</v>
      </c>
      <c r="C250" s="823">
        <v>0</v>
      </c>
      <c r="D250" s="823">
        <v>28</v>
      </c>
      <c r="E250" s="823">
        <v>29</v>
      </c>
      <c r="F250" s="823">
        <v>33</v>
      </c>
      <c r="G250" s="823">
        <v>33</v>
      </c>
      <c r="H250" s="823">
        <v>33</v>
      </c>
      <c r="I250" s="823">
        <v>33</v>
      </c>
      <c r="J250" s="823">
        <v>38</v>
      </c>
      <c r="K250" s="823">
        <v>44</v>
      </c>
      <c r="L250" s="823">
        <v>46</v>
      </c>
      <c r="M250" s="823">
        <v>46</v>
      </c>
      <c r="N250" s="823">
        <v>56</v>
      </c>
      <c r="O250" s="823">
        <v>0</v>
      </c>
      <c r="P250" s="823">
        <v>0</v>
      </c>
      <c r="Q250" s="823">
        <v>0</v>
      </c>
      <c r="R250" s="823">
        <v>0</v>
      </c>
      <c r="S250" s="823">
        <v>0</v>
      </c>
      <c r="T250" s="823">
        <v>0</v>
      </c>
      <c r="U250" s="823">
        <v>0</v>
      </c>
      <c r="V250" s="823">
        <v>0</v>
      </c>
      <c r="W250" s="823">
        <v>0</v>
      </c>
      <c r="X250" s="823">
        <v>0</v>
      </c>
      <c r="Y250" s="823">
        <v>0</v>
      </c>
      <c r="Z250" s="823">
        <v>0</v>
      </c>
      <c r="AA250" s="823">
        <v>0</v>
      </c>
      <c r="AB250" s="823">
        <v>0</v>
      </c>
      <c r="AC250" s="825">
        <v>0</v>
      </c>
      <c r="AD250" s="825">
        <v>0</v>
      </c>
      <c r="AE250" s="825">
        <v>0</v>
      </c>
      <c r="AF250" s="825">
        <v>0</v>
      </c>
      <c r="AG250" s="825">
        <v>0</v>
      </c>
      <c r="AH250" s="825">
        <v>0</v>
      </c>
      <c r="AI250" s="825">
        <v>0</v>
      </c>
      <c r="AJ250" s="825">
        <v>0</v>
      </c>
      <c r="AK250" s="825">
        <v>0</v>
      </c>
      <c r="AL250" s="825">
        <v>0</v>
      </c>
      <c r="AM250" s="825">
        <v>0</v>
      </c>
      <c r="AN250" s="825">
        <v>0</v>
      </c>
      <c r="AO250" s="825">
        <v>0</v>
      </c>
      <c r="AP250" s="825">
        <v>0</v>
      </c>
      <c r="AQ250" s="51"/>
      <c r="AR250" s="51"/>
      <c r="AS250" s="51"/>
      <c r="AT250" s="51"/>
      <c r="AU250" s="51"/>
      <c r="AV250" s="51"/>
      <c r="AW250" s="51"/>
      <c r="AX250" s="51"/>
      <c r="AY250" s="51"/>
      <c r="AZ250" s="51"/>
      <c r="BA250" s="51"/>
      <c r="BB250" s="51"/>
      <c r="BC250" s="51"/>
      <c r="BD250" s="51"/>
      <c r="BE250" s="51"/>
      <c r="BF250" s="51"/>
      <c r="BG250" s="51"/>
      <c r="BH250" s="51"/>
      <c r="BI250" s="51"/>
      <c r="BJ250" s="51"/>
      <c r="BK250" s="51"/>
      <c r="BL250" s="51"/>
      <c r="BM250" s="51"/>
      <c r="BN250" s="51"/>
      <c r="BO250" s="51"/>
      <c r="BP250" s="51"/>
      <c r="BQ250" s="51"/>
      <c r="BR250" s="51"/>
      <c r="BS250" s="51"/>
      <c r="BT250" s="51"/>
      <c r="BU250" s="51"/>
      <c r="BV250" s="51"/>
      <c r="BW250" s="51"/>
      <c r="BX250" s="51"/>
      <c r="BY250" s="51"/>
      <c r="BZ250" s="51"/>
      <c r="CA250" s="51"/>
      <c r="CB250" s="51"/>
      <c r="CC250" s="51"/>
      <c r="CD250" s="51"/>
      <c r="CE250" s="51"/>
      <c r="CF250" s="51"/>
      <c r="CG250" s="51"/>
      <c r="CH250" s="51"/>
      <c r="CI250" s="51"/>
      <c r="CJ250" s="51"/>
      <c r="CK250" s="51"/>
      <c r="CL250" s="51"/>
      <c r="CM250" s="51"/>
      <c r="CN250" s="51"/>
      <c r="CO250" s="51"/>
      <c r="CP250" s="51"/>
      <c r="CQ250" s="51"/>
      <c r="CR250" s="51"/>
      <c r="CS250" s="51"/>
      <c r="CT250" s="51"/>
      <c r="CU250" s="51"/>
      <c r="CV250" s="51"/>
      <c r="CW250" s="51"/>
      <c r="CX250" s="51"/>
      <c r="CY250" s="51"/>
      <c r="CZ250" s="51"/>
      <c r="DA250" s="51"/>
      <c r="DB250" s="51"/>
      <c r="DC250" s="51"/>
      <c r="DD250" s="51"/>
      <c r="DE250" s="51"/>
      <c r="DF250" s="51"/>
      <c r="DG250" s="51"/>
      <c r="DH250" s="51"/>
      <c r="DI250" s="51"/>
      <c r="DJ250" s="51"/>
      <c r="DK250" s="51"/>
      <c r="DL250" s="51"/>
      <c r="DM250" s="51"/>
      <c r="DN250" s="51"/>
      <c r="DO250" s="51"/>
      <c r="DP250" s="51"/>
      <c r="DQ250" s="51"/>
      <c r="DR250" s="51"/>
      <c r="DS250" s="51"/>
      <c r="DT250" s="51"/>
      <c r="DU250" s="51"/>
      <c r="DV250" s="51"/>
      <c r="DW250" s="51"/>
      <c r="DX250" s="51"/>
      <c r="DY250" s="51"/>
      <c r="DZ250" s="51"/>
      <c r="EA250" s="51"/>
      <c r="EB250" s="51"/>
      <c r="EC250" s="51"/>
      <c r="ED250" s="51"/>
      <c r="EE250" s="51"/>
      <c r="EF250" s="51"/>
      <c r="EG250" s="51"/>
      <c r="EH250" s="51"/>
      <c r="EI250" s="51"/>
      <c r="EJ250" s="51"/>
      <c r="EK250" s="51"/>
      <c r="EL250" s="51"/>
      <c r="EM250" s="51"/>
      <c r="EN250" s="51"/>
      <c r="EO250" s="51"/>
      <c r="EP250" s="51"/>
      <c r="EQ250" s="51"/>
      <c r="ER250" s="51"/>
      <c r="ES250" s="51"/>
      <c r="ET250" s="51"/>
      <c r="EU250" s="51"/>
      <c r="EV250" s="51"/>
      <c r="EW250" s="51"/>
      <c r="EX250" s="51"/>
      <c r="EY250" s="51"/>
      <c r="EZ250" s="51"/>
      <c r="FA250" s="51"/>
      <c r="FB250" s="51"/>
      <c r="FC250" s="51"/>
      <c r="FD250" s="51"/>
      <c r="FE250" s="51"/>
      <c r="FF250" s="51"/>
      <c r="FG250" s="51"/>
      <c r="FH250" s="51"/>
      <c r="FI250" s="51"/>
      <c r="FJ250" s="51"/>
      <c r="FK250" s="51"/>
      <c r="FL250" s="51"/>
      <c r="FM250" s="51"/>
      <c r="FN250" s="51"/>
      <c r="FO250" s="51"/>
      <c r="FP250" s="51"/>
      <c r="FQ250" s="51"/>
      <c r="FR250" s="51"/>
      <c r="FS250" s="51"/>
      <c r="FT250" s="51"/>
      <c r="FU250" s="51"/>
      <c r="FV250" s="51"/>
      <c r="FW250" s="51"/>
      <c r="FX250" s="51"/>
      <c r="FY250" s="51"/>
      <c r="FZ250" s="51"/>
      <c r="GA250" s="51"/>
      <c r="GB250" s="51"/>
      <c r="GC250" s="51"/>
      <c r="GD250" s="51"/>
      <c r="GE250" s="51"/>
      <c r="GF250" s="51"/>
      <c r="GG250" s="51"/>
      <c r="GH250" s="51"/>
      <c r="GI250" s="51"/>
      <c r="GJ250" s="51"/>
      <c r="GK250" s="51"/>
      <c r="GL250" s="51"/>
      <c r="GM250" s="51"/>
      <c r="GN250" s="51"/>
      <c r="GO250" s="51"/>
      <c r="GP250" s="51"/>
      <c r="GQ250" s="51"/>
      <c r="GR250" s="51"/>
      <c r="GS250" s="51"/>
      <c r="GT250" s="51"/>
      <c r="GU250" s="51"/>
      <c r="GV250" s="51"/>
      <c r="GW250" s="51"/>
      <c r="GX250" s="51"/>
      <c r="GY250" s="51"/>
      <c r="GZ250" s="51"/>
      <c r="HA250" s="51"/>
      <c r="HB250" s="51"/>
      <c r="HC250" s="51"/>
      <c r="HD250" s="51"/>
      <c r="HE250" s="51"/>
      <c r="HF250" s="51"/>
      <c r="HG250" s="51"/>
      <c r="HH250" s="51"/>
      <c r="HI250" s="51"/>
      <c r="HJ250" s="51"/>
      <c r="HK250" s="51"/>
      <c r="HL250" s="51"/>
      <c r="HM250" s="51"/>
      <c r="HN250" s="51"/>
      <c r="HO250" s="51"/>
      <c r="HP250" s="51"/>
      <c r="HQ250" s="51"/>
      <c r="HR250" s="51"/>
      <c r="HS250" s="51"/>
      <c r="HT250" s="51"/>
      <c r="HU250" s="51"/>
      <c r="HV250" s="51"/>
      <c r="HW250" s="51"/>
      <c r="HX250" s="51"/>
      <c r="HY250" s="51"/>
      <c r="HZ250" s="51"/>
      <c r="IA250" s="51"/>
      <c r="IB250" s="51"/>
      <c r="IC250" s="51"/>
      <c r="ID250" s="51"/>
      <c r="IE250" s="51"/>
      <c r="IF250" s="51"/>
      <c r="IG250" s="51"/>
      <c r="IH250" s="51"/>
      <c r="II250" s="51"/>
      <c r="IJ250" s="51"/>
      <c r="IK250" s="51"/>
      <c r="IL250" s="51"/>
      <c r="IM250" s="51"/>
      <c r="IN250" s="51"/>
      <c r="IO250" s="51"/>
      <c r="IP250" s="51"/>
      <c r="IQ250" s="51"/>
      <c r="IR250" s="51"/>
      <c r="IS250" s="51"/>
      <c r="IT250" s="51"/>
      <c r="IU250" s="51"/>
      <c r="IV250" s="51"/>
    </row>
    <row r="251" hidden="1">
      <c r="B251" s="826" t="s">
        <v>22</v>
      </c>
      <c r="C251" s="827">
        <v>0</v>
      </c>
      <c r="D251" s="827">
        <v>0</v>
      </c>
      <c r="E251" s="827">
        <v>0</v>
      </c>
      <c r="F251" s="827">
        <v>0</v>
      </c>
      <c r="G251" s="827">
        <v>0</v>
      </c>
      <c r="H251" s="827">
        <v>2</v>
      </c>
      <c r="I251" s="827">
        <v>2</v>
      </c>
      <c r="J251" s="827">
        <v>3</v>
      </c>
      <c r="K251" s="827">
        <v>4</v>
      </c>
      <c r="L251" s="827">
        <v>5</v>
      </c>
      <c r="M251" s="827">
        <v>5</v>
      </c>
      <c r="N251" s="827">
        <v>7</v>
      </c>
      <c r="O251" s="827">
        <v>1</v>
      </c>
      <c r="P251" s="827">
        <v>1</v>
      </c>
      <c r="Q251" s="827">
        <v>0</v>
      </c>
      <c r="R251" s="827">
        <v>0</v>
      </c>
      <c r="S251" s="827">
        <v>0</v>
      </c>
      <c r="T251" s="827">
        <v>0</v>
      </c>
      <c r="U251" s="827">
        <v>0</v>
      </c>
      <c r="V251" s="827">
        <v>0</v>
      </c>
      <c r="W251" s="827">
        <v>0</v>
      </c>
      <c r="X251" s="827">
        <v>0</v>
      </c>
      <c r="Y251" s="827">
        <v>0</v>
      </c>
      <c r="Z251" s="827">
        <v>0</v>
      </c>
      <c r="AA251" s="827">
        <v>0</v>
      </c>
      <c r="AB251" s="827">
        <v>0</v>
      </c>
      <c r="AC251" s="828">
        <v>0</v>
      </c>
      <c r="AD251" s="828">
        <v>0</v>
      </c>
      <c r="AE251" s="828">
        <v>0</v>
      </c>
      <c r="AF251" s="828">
        <v>0</v>
      </c>
      <c r="AG251" s="828">
        <v>0</v>
      </c>
      <c r="AH251" s="828">
        <v>0</v>
      </c>
      <c r="AI251" s="828">
        <v>0</v>
      </c>
      <c r="AJ251" s="828">
        <v>0</v>
      </c>
      <c r="AK251" s="828">
        <v>0</v>
      </c>
      <c r="AL251" s="828">
        <v>0</v>
      </c>
      <c r="AM251" s="828">
        <v>0</v>
      </c>
      <c r="AN251" s="828">
        <v>0</v>
      </c>
      <c r="AO251" s="828">
        <v>0</v>
      </c>
      <c r="AP251" s="828">
        <v>0</v>
      </c>
      <c r="AQ251" s="51"/>
      <c r="AR251" s="51"/>
      <c r="AS251" s="51"/>
      <c r="AT251" s="51"/>
      <c r="AU251" s="51"/>
      <c r="AV251" s="51"/>
      <c r="AW251" s="51"/>
      <c r="AX251" s="51"/>
      <c r="AY251" s="51"/>
      <c r="AZ251" s="51"/>
      <c r="BA251" s="51"/>
      <c r="BB251" s="51"/>
      <c r="BC251" s="51"/>
      <c r="BD251" s="51"/>
      <c r="BE251" s="51"/>
      <c r="BF251" s="51"/>
      <c r="BG251" s="51"/>
      <c r="BH251" s="51"/>
      <c r="BI251" s="51"/>
      <c r="BJ251" s="51"/>
      <c r="BK251" s="51"/>
      <c r="BL251" s="51"/>
      <c r="BM251" s="51"/>
      <c r="BN251" s="51"/>
      <c r="BO251" s="51"/>
      <c r="BP251" s="51"/>
      <c r="BQ251" s="51"/>
      <c r="BR251" s="51"/>
      <c r="BS251" s="51"/>
      <c r="BT251" s="51"/>
      <c r="BU251" s="51"/>
      <c r="BV251" s="51"/>
      <c r="BW251" s="51"/>
      <c r="BX251" s="51"/>
      <c r="BY251" s="51"/>
      <c r="BZ251" s="51"/>
      <c r="CA251" s="51"/>
      <c r="CB251" s="51"/>
      <c r="CC251" s="51"/>
      <c r="CD251" s="51"/>
      <c r="CE251" s="51"/>
      <c r="CF251" s="51"/>
      <c r="CG251" s="51"/>
      <c r="CH251" s="51"/>
      <c r="CI251" s="51"/>
      <c r="CJ251" s="51"/>
      <c r="CK251" s="51"/>
      <c r="CL251" s="51"/>
      <c r="CM251" s="51"/>
      <c r="CN251" s="51"/>
      <c r="CO251" s="51"/>
      <c r="CP251" s="51"/>
      <c r="CQ251" s="51"/>
      <c r="CR251" s="51"/>
      <c r="CS251" s="51"/>
      <c r="CT251" s="51"/>
      <c r="CU251" s="51"/>
      <c r="CV251" s="51"/>
      <c r="CW251" s="51"/>
      <c r="CX251" s="51"/>
      <c r="CY251" s="51"/>
      <c r="CZ251" s="51"/>
      <c r="DA251" s="51"/>
      <c r="DB251" s="51"/>
      <c r="DC251" s="51"/>
      <c r="DD251" s="51"/>
      <c r="DE251" s="51"/>
      <c r="DF251" s="51"/>
      <c r="DG251" s="51"/>
      <c r="DH251" s="51"/>
      <c r="DI251" s="51"/>
      <c r="DJ251" s="51"/>
      <c r="DK251" s="51"/>
      <c r="DL251" s="51"/>
      <c r="DM251" s="51"/>
      <c r="DN251" s="51"/>
      <c r="DO251" s="51"/>
      <c r="DP251" s="51"/>
      <c r="DQ251" s="51"/>
      <c r="DR251" s="51"/>
      <c r="DS251" s="51"/>
      <c r="DT251" s="51"/>
      <c r="DU251" s="51"/>
      <c r="DV251" s="51"/>
      <c r="DW251" s="51"/>
      <c r="DX251" s="51"/>
      <c r="DY251" s="51"/>
      <c r="DZ251" s="51"/>
      <c r="EA251" s="51"/>
      <c r="EB251" s="51"/>
      <c r="EC251" s="51"/>
      <c r="ED251" s="51"/>
      <c r="EE251" s="51"/>
      <c r="EF251" s="51"/>
      <c r="EG251" s="51"/>
      <c r="EH251" s="51"/>
      <c r="EI251" s="51"/>
      <c r="EJ251" s="51"/>
      <c r="EK251" s="51"/>
      <c r="EL251" s="51"/>
      <c r="EM251" s="51"/>
      <c r="EN251" s="51"/>
      <c r="EO251" s="51"/>
      <c r="EP251" s="51"/>
      <c r="EQ251" s="51"/>
      <c r="ER251" s="51"/>
      <c r="ES251" s="51"/>
      <c r="ET251" s="51"/>
      <c r="EU251" s="51"/>
      <c r="EV251" s="51"/>
      <c r="EW251" s="51"/>
      <c r="EX251" s="51"/>
      <c r="EY251" s="51"/>
      <c r="EZ251" s="51"/>
      <c r="FA251" s="51"/>
      <c r="FB251" s="51"/>
      <c r="FC251" s="51"/>
      <c r="FD251" s="51"/>
      <c r="FE251" s="51"/>
      <c r="FF251" s="51"/>
      <c r="FG251" s="51"/>
      <c r="FH251" s="51"/>
      <c r="FI251" s="51"/>
      <c r="FJ251" s="51"/>
      <c r="FK251" s="51"/>
      <c r="FL251" s="51"/>
      <c r="FM251" s="51"/>
      <c r="FN251" s="51"/>
      <c r="FO251" s="51"/>
      <c r="FP251" s="51"/>
      <c r="FQ251" s="51"/>
      <c r="FR251" s="51"/>
      <c r="FS251" s="51"/>
      <c r="FT251" s="51"/>
      <c r="FU251" s="51"/>
      <c r="FV251" s="51"/>
      <c r="FW251" s="51"/>
      <c r="FX251" s="51"/>
      <c r="FY251" s="51"/>
      <c r="FZ251" s="51"/>
      <c r="GA251" s="51"/>
      <c r="GB251" s="51"/>
      <c r="GC251" s="51"/>
      <c r="GD251" s="51"/>
      <c r="GE251" s="51"/>
      <c r="GF251" s="51"/>
      <c r="GG251" s="51"/>
      <c r="GH251" s="51"/>
      <c r="GI251" s="51"/>
      <c r="GJ251" s="51"/>
      <c r="GK251" s="51"/>
      <c r="GL251" s="51"/>
      <c r="GM251" s="51"/>
      <c r="GN251" s="51"/>
      <c r="GO251" s="51"/>
      <c r="GP251" s="51"/>
      <c r="GQ251" s="51"/>
      <c r="GR251" s="51"/>
      <c r="GS251" s="51"/>
      <c r="GT251" s="51"/>
      <c r="GU251" s="51"/>
      <c r="GV251" s="51"/>
      <c r="GW251" s="51"/>
      <c r="GX251" s="51"/>
      <c r="GY251" s="51"/>
      <c r="GZ251" s="51"/>
      <c r="HA251" s="51"/>
      <c r="HB251" s="51"/>
      <c r="HC251" s="51"/>
      <c r="HD251" s="51"/>
      <c r="HE251" s="51"/>
      <c r="HF251" s="51"/>
      <c r="HG251" s="51"/>
      <c r="HH251" s="51"/>
      <c r="HI251" s="51"/>
      <c r="HJ251" s="51"/>
      <c r="HK251" s="51"/>
      <c r="HL251" s="51"/>
      <c r="HM251" s="51"/>
      <c r="HN251" s="51"/>
      <c r="HO251" s="51"/>
      <c r="HP251" s="51"/>
      <c r="HQ251" s="51"/>
      <c r="HR251" s="51"/>
      <c r="HS251" s="51"/>
      <c r="HT251" s="51"/>
      <c r="HU251" s="51"/>
      <c r="HV251" s="51"/>
      <c r="HW251" s="51"/>
      <c r="HX251" s="51"/>
      <c r="HY251" s="51"/>
      <c r="HZ251" s="51"/>
      <c r="IA251" s="51"/>
      <c r="IB251" s="51"/>
      <c r="IC251" s="51"/>
      <c r="ID251" s="51"/>
      <c r="IE251" s="51"/>
      <c r="IF251" s="51"/>
      <c r="IG251" s="51"/>
      <c r="IH251" s="51"/>
      <c r="II251" s="51"/>
      <c r="IJ251" s="51"/>
      <c r="IK251" s="51"/>
      <c r="IL251" s="51"/>
      <c r="IM251" s="51"/>
      <c r="IN251" s="51"/>
      <c r="IO251" s="51"/>
      <c r="IP251" s="51"/>
      <c r="IQ251" s="51"/>
      <c r="IR251" s="51"/>
      <c r="IS251" s="51"/>
      <c r="IT251" s="51"/>
      <c r="IU251" s="51"/>
      <c r="IV251" s="51"/>
    </row>
    <row r="252" hidden="1">
      <c r="B252" s="829" t="s">
        <v>23</v>
      </c>
      <c r="C252" s="823">
        <v>2</v>
      </c>
      <c r="D252" s="823">
        <v>2</v>
      </c>
      <c r="E252" s="823">
        <v>2</v>
      </c>
      <c r="F252" s="823">
        <v>2</v>
      </c>
      <c r="G252" s="823">
        <v>2</v>
      </c>
      <c r="H252" s="823">
        <v>2</v>
      </c>
      <c r="I252" s="823">
        <v>2</v>
      </c>
      <c r="J252" s="823">
        <v>2</v>
      </c>
      <c r="K252" s="823">
        <v>1</v>
      </c>
      <c r="L252" s="823">
        <v>2</v>
      </c>
      <c r="M252" s="823">
        <v>1</v>
      </c>
      <c r="N252" s="823">
        <v>1</v>
      </c>
      <c r="O252" s="823">
        <v>0</v>
      </c>
      <c r="P252" s="823">
        <v>0</v>
      </c>
      <c r="Q252" s="823">
        <v>0</v>
      </c>
      <c r="R252" s="823">
        <v>0</v>
      </c>
      <c r="S252" s="823">
        <v>0</v>
      </c>
      <c r="T252" s="823">
        <v>0</v>
      </c>
      <c r="U252" s="823">
        <v>0</v>
      </c>
      <c r="V252" s="823">
        <v>0</v>
      </c>
      <c r="W252" s="823">
        <v>0</v>
      </c>
      <c r="X252" s="823">
        <v>0</v>
      </c>
      <c r="Y252" s="823">
        <v>0</v>
      </c>
      <c r="Z252" s="823">
        <v>0</v>
      </c>
      <c r="AA252" s="823">
        <v>0</v>
      </c>
      <c r="AB252" s="823">
        <v>0</v>
      </c>
      <c r="AC252" s="825">
        <v>0</v>
      </c>
      <c r="AD252" s="825">
        <v>0</v>
      </c>
      <c r="AE252" s="825">
        <v>0</v>
      </c>
      <c r="AF252" s="825">
        <v>0</v>
      </c>
      <c r="AG252" s="825">
        <v>0</v>
      </c>
      <c r="AH252" s="825">
        <v>0</v>
      </c>
      <c r="AI252" s="825">
        <v>0</v>
      </c>
      <c r="AJ252" s="825">
        <v>0</v>
      </c>
      <c r="AK252" s="825">
        <v>0</v>
      </c>
      <c r="AL252" s="825">
        <v>0</v>
      </c>
      <c r="AM252" s="825">
        <v>0</v>
      </c>
      <c r="AN252" s="825">
        <v>0</v>
      </c>
      <c r="AO252" s="825">
        <v>0</v>
      </c>
      <c r="AP252" s="825">
        <v>0</v>
      </c>
      <c r="AQ252" s="51"/>
      <c r="AR252" s="51"/>
      <c r="AS252" s="51"/>
      <c r="AT252" s="51"/>
      <c r="AU252" s="51"/>
      <c r="AV252" s="51"/>
      <c r="AW252" s="51"/>
      <c r="AX252" s="51"/>
      <c r="AY252" s="51"/>
      <c r="AZ252" s="51"/>
      <c r="BA252" s="51"/>
      <c r="BB252" s="51"/>
      <c r="BC252" s="51"/>
      <c r="BD252" s="51"/>
      <c r="BE252" s="51"/>
      <c r="BF252" s="51"/>
      <c r="BG252" s="51"/>
      <c r="BH252" s="51"/>
      <c r="BI252" s="51"/>
      <c r="BJ252" s="51"/>
      <c r="BK252" s="51"/>
      <c r="BL252" s="51"/>
      <c r="BM252" s="51"/>
      <c r="BN252" s="51"/>
      <c r="BO252" s="51"/>
      <c r="BP252" s="51"/>
      <c r="BQ252" s="51"/>
      <c r="BR252" s="51"/>
      <c r="BS252" s="51"/>
      <c r="BT252" s="51"/>
      <c r="BU252" s="51"/>
      <c r="BV252" s="51"/>
      <c r="BW252" s="51"/>
      <c r="BX252" s="51"/>
      <c r="BY252" s="51"/>
      <c r="BZ252" s="51"/>
      <c r="CA252" s="51"/>
      <c r="CB252" s="51"/>
      <c r="CC252" s="51"/>
      <c r="CD252" s="51"/>
      <c r="CE252" s="51"/>
      <c r="CF252" s="51"/>
      <c r="CG252" s="51"/>
      <c r="CH252" s="51"/>
      <c r="CI252" s="51"/>
      <c r="CJ252" s="51"/>
      <c r="CK252" s="51"/>
      <c r="CL252" s="51"/>
      <c r="CM252" s="51"/>
      <c r="CN252" s="51"/>
      <c r="CO252" s="51"/>
      <c r="CP252" s="51"/>
      <c r="CQ252" s="51"/>
      <c r="CR252" s="51"/>
      <c r="CS252" s="51"/>
      <c r="CT252" s="51"/>
      <c r="CU252" s="51"/>
      <c r="CV252" s="51"/>
      <c r="CW252" s="51"/>
      <c r="CX252" s="51"/>
      <c r="CY252" s="51"/>
      <c r="CZ252" s="51"/>
      <c r="DA252" s="51"/>
      <c r="DB252" s="51"/>
      <c r="DC252" s="51"/>
      <c r="DD252" s="51"/>
      <c r="DE252" s="51"/>
      <c r="DF252" s="51"/>
      <c r="DG252" s="51"/>
      <c r="DH252" s="51"/>
      <c r="DI252" s="51"/>
      <c r="DJ252" s="51"/>
      <c r="DK252" s="51"/>
      <c r="DL252" s="51"/>
      <c r="DM252" s="51"/>
      <c r="DN252" s="51"/>
      <c r="DO252" s="51"/>
      <c r="DP252" s="51"/>
      <c r="DQ252" s="51"/>
      <c r="DR252" s="51"/>
      <c r="DS252" s="51"/>
      <c r="DT252" s="51"/>
      <c r="DU252" s="51"/>
      <c r="DV252" s="51"/>
      <c r="DW252" s="51"/>
      <c r="DX252" s="51"/>
      <c r="DY252" s="51"/>
      <c r="DZ252" s="51"/>
      <c r="EA252" s="51"/>
      <c r="EB252" s="51"/>
      <c r="EC252" s="51"/>
      <c r="ED252" s="51"/>
      <c r="EE252" s="51"/>
      <c r="EF252" s="51"/>
      <c r="EG252" s="51"/>
      <c r="EH252" s="51"/>
      <c r="EI252" s="51"/>
      <c r="EJ252" s="51"/>
      <c r="EK252" s="51"/>
      <c r="EL252" s="51"/>
      <c r="EM252" s="51"/>
      <c r="EN252" s="51"/>
      <c r="EO252" s="51"/>
      <c r="EP252" s="51"/>
      <c r="EQ252" s="51"/>
      <c r="ER252" s="51"/>
      <c r="ES252" s="51"/>
      <c r="ET252" s="51"/>
      <c r="EU252" s="51"/>
      <c r="EV252" s="51"/>
      <c r="EW252" s="51"/>
      <c r="EX252" s="51"/>
      <c r="EY252" s="51"/>
      <c r="EZ252" s="51"/>
      <c r="FA252" s="51"/>
      <c r="FB252" s="51"/>
      <c r="FC252" s="51"/>
      <c r="FD252" s="51"/>
      <c r="FE252" s="51"/>
      <c r="FF252" s="51"/>
      <c r="FG252" s="51"/>
      <c r="FH252" s="51"/>
      <c r="FI252" s="51"/>
      <c r="FJ252" s="51"/>
      <c r="FK252" s="51"/>
      <c r="FL252" s="51"/>
      <c r="FM252" s="51"/>
      <c r="FN252" s="51"/>
      <c r="FO252" s="51"/>
      <c r="FP252" s="51"/>
      <c r="FQ252" s="51"/>
      <c r="FR252" s="51"/>
      <c r="FS252" s="51"/>
      <c r="FT252" s="51"/>
      <c r="FU252" s="51"/>
      <c r="FV252" s="51"/>
      <c r="FW252" s="51"/>
      <c r="FX252" s="51"/>
      <c r="FY252" s="51"/>
      <c r="FZ252" s="51"/>
      <c r="GA252" s="51"/>
      <c r="GB252" s="51"/>
      <c r="GC252" s="51"/>
      <c r="GD252" s="51"/>
      <c r="GE252" s="51"/>
      <c r="GF252" s="51"/>
      <c r="GG252" s="51"/>
      <c r="GH252" s="51"/>
      <c r="GI252" s="51"/>
      <c r="GJ252" s="51"/>
      <c r="GK252" s="51"/>
      <c r="GL252" s="51"/>
      <c r="GM252" s="51"/>
      <c r="GN252" s="51"/>
      <c r="GO252" s="51"/>
      <c r="GP252" s="51"/>
      <c r="GQ252" s="51"/>
      <c r="GR252" s="51"/>
      <c r="GS252" s="51"/>
      <c r="GT252" s="51"/>
      <c r="GU252" s="51"/>
      <c r="GV252" s="51"/>
      <c r="GW252" s="51"/>
      <c r="GX252" s="51"/>
      <c r="GY252" s="51"/>
      <c r="GZ252" s="51"/>
      <c r="HA252" s="51"/>
      <c r="HB252" s="51"/>
      <c r="HC252" s="51"/>
      <c r="HD252" s="51"/>
      <c r="HE252" s="51"/>
      <c r="HF252" s="51"/>
      <c r="HG252" s="51"/>
      <c r="HH252" s="51"/>
      <c r="HI252" s="51"/>
      <c r="HJ252" s="51"/>
      <c r="HK252" s="51"/>
      <c r="HL252" s="51"/>
      <c r="HM252" s="51"/>
      <c r="HN252" s="51"/>
      <c r="HO252" s="51"/>
      <c r="HP252" s="51"/>
      <c r="HQ252" s="51"/>
      <c r="HR252" s="51"/>
      <c r="HS252" s="51"/>
      <c r="HT252" s="51"/>
      <c r="HU252" s="51"/>
      <c r="HV252" s="51"/>
      <c r="HW252" s="51"/>
      <c r="HX252" s="51"/>
      <c r="HY252" s="51"/>
      <c r="HZ252" s="51"/>
      <c r="IA252" s="51"/>
      <c r="IB252" s="51"/>
      <c r="IC252" s="51"/>
      <c r="ID252" s="51"/>
      <c r="IE252" s="51"/>
      <c r="IF252" s="51"/>
      <c r="IG252" s="51"/>
      <c r="IH252" s="51"/>
      <c r="II252" s="51"/>
      <c r="IJ252" s="51"/>
      <c r="IK252" s="51"/>
      <c r="IL252" s="51"/>
      <c r="IM252" s="51"/>
      <c r="IN252" s="51"/>
      <c r="IO252" s="51"/>
      <c r="IP252" s="51"/>
      <c r="IQ252" s="51"/>
      <c r="IR252" s="51"/>
      <c r="IS252" s="51"/>
      <c r="IT252" s="51"/>
      <c r="IU252" s="51"/>
      <c r="IV252" s="51"/>
    </row>
    <row r="253" hidden="1">
      <c r="B253" s="835" t="s">
        <v>24</v>
      </c>
      <c r="C253" s="827">
        <v>92</v>
      </c>
      <c r="D253" s="827">
        <v>77</v>
      </c>
      <c r="E253" s="827">
        <v>77</v>
      </c>
      <c r="F253" s="827">
        <v>72</v>
      </c>
      <c r="G253" s="827">
        <v>66</v>
      </c>
      <c r="H253" s="827">
        <v>67</v>
      </c>
      <c r="I253" s="827">
        <v>66</v>
      </c>
      <c r="J253" s="827">
        <v>67</v>
      </c>
      <c r="K253" s="827">
        <v>83</v>
      </c>
      <c r="L253" s="827">
        <v>73</v>
      </c>
      <c r="M253" s="827">
        <v>1</v>
      </c>
      <c r="N253" s="827">
        <v>77</v>
      </c>
      <c r="O253" s="827">
        <v>0</v>
      </c>
      <c r="P253" s="827">
        <v>0</v>
      </c>
      <c r="Q253" s="827">
        <v>0</v>
      </c>
      <c r="R253" s="827">
        <v>0</v>
      </c>
      <c r="S253" s="827">
        <v>0</v>
      </c>
      <c r="T253" s="827">
        <v>0</v>
      </c>
      <c r="U253" s="827">
        <v>0</v>
      </c>
      <c r="V253" s="827">
        <v>0</v>
      </c>
      <c r="W253" s="827">
        <v>0</v>
      </c>
      <c r="X253" s="827">
        <v>0</v>
      </c>
      <c r="Y253" s="827">
        <v>0</v>
      </c>
      <c r="Z253" s="827">
        <v>0</v>
      </c>
      <c r="AA253" s="827">
        <v>0</v>
      </c>
      <c r="AB253" s="827">
        <v>0</v>
      </c>
      <c r="AC253" s="828">
        <v>0</v>
      </c>
      <c r="AD253" s="828">
        <v>0</v>
      </c>
      <c r="AE253" s="828">
        <v>0</v>
      </c>
      <c r="AF253" s="828">
        <v>0</v>
      </c>
      <c r="AG253" s="828">
        <v>0</v>
      </c>
      <c r="AH253" s="828">
        <v>0</v>
      </c>
      <c r="AI253" s="828">
        <v>0</v>
      </c>
      <c r="AJ253" s="828">
        <v>0</v>
      </c>
      <c r="AK253" s="828">
        <v>0</v>
      </c>
      <c r="AL253" s="828">
        <v>0</v>
      </c>
      <c r="AM253" s="828">
        <v>0</v>
      </c>
      <c r="AN253" s="828">
        <v>0</v>
      </c>
      <c r="AO253" s="828">
        <v>0</v>
      </c>
      <c r="AP253" s="828">
        <v>0</v>
      </c>
      <c r="AQ253" s="51"/>
      <c r="AR253" s="51"/>
      <c r="AS253" s="51"/>
      <c r="AT253" s="51"/>
      <c r="AU253" s="51"/>
      <c r="AV253" s="51"/>
      <c r="AW253" s="51"/>
      <c r="AX253" s="51"/>
      <c r="AY253" s="51"/>
      <c r="AZ253" s="51"/>
      <c r="BA253" s="51"/>
      <c r="BB253" s="51"/>
      <c r="BC253" s="51"/>
      <c r="BD253" s="51"/>
      <c r="BE253" s="51"/>
      <c r="BF253" s="51"/>
      <c r="BG253" s="51"/>
      <c r="BH253" s="51"/>
      <c r="BI253" s="51"/>
      <c r="BJ253" s="51"/>
      <c r="BK253" s="51"/>
      <c r="BL253" s="51"/>
      <c r="BM253" s="51"/>
      <c r="BN253" s="51"/>
      <c r="BO253" s="51"/>
      <c r="BP253" s="51"/>
      <c r="BQ253" s="51"/>
      <c r="BR253" s="51"/>
      <c r="BS253" s="51"/>
      <c r="BT253" s="51"/>
      <c r="BU253" s="51"/>
      <c r="BV253" s="51"/>
      <c r="BW253" s="51"/>
      <c r="BX253" s="51"/>
      <c r="BY253" s="51"/>
      <c r="BZ253" s="51"/>
      <c r="CA253" s="51"/>
      <c r="CB253" s="51"/>
      <c r="CC253" s="51"/>
      <c r="CD253" s="51"/>
      <c r="CE253" s="51"/>
      <c r="CF253" s="51"/>
      <c r="CG253" s="51"/>
      <c r="CH253" s="51"/>
      <c r="CI253" s="51"/>
      <c r="CJ253" s="51"/>
      <c r="CK253" s="51"/>
      <c r="CL253" s="51"/>
      <c r="CM253" s="51"/>
      <c r="CN253" s="51"/>
      <c r="CO253" s="51"/>
      <c r="CP253" s="51"/>
      <c r="CQ253" s="51"/>
      <c r="CR253" s="51"/>
      <c r="CS253" s="51"/>
      <c r="CT253" s="51"/>
      <c r="CU253" s="51"/>
      <c r="CV253" s="51"/>
      <c r="CW253" s="51"/>
      <c r="CX253" s="51"/>
      <c r="CY253" s="51"/>
      <c r="CZ253" s="51"/>
      <c r="DA253" s="51"/>
      <c r="DB253" s="51"/>
      <c r="DC253" s="51"/>
      <c r="DD253" s="51"/>
      <c r="DE253" s="51"/>
      <c r="DF253" s="51"/>
      <c r="DG253" s="51"/>
      <c r="DH253" s="51"/>
      <c r="DI253" s="51"/>
      <c r="DJ253" s="51"/>
      <c r="DK253" s="51"/>
      <c r="DL253" s="51"/>
      <c r="DM253" s="51"/>
      <c r="DN253" s="51"/>
      <c r="DO253" s="51"/>
      <c r="DP253" s="51"/>
      <c r="DQ253" s="51"/>
      <c r="DR253" s="51"/>
      <c r="DS253" s="51"/>
      <c r="DT253" s="51"/>
      <c r="DU253" s="51"/>
      <c r="DV253" s="51"/>
      <c r="DW253" s="51"/>
      <c r="DX253" s="51"/>
      <c r="DY253" s="51"/>
      <c r="DZ253" s="51"/>
      <c r="EA253" s="51"/>
      <c r="EB253" s="51"/>
      <c r="EC253" s="51"/>
      <c r="ED253" s="51"/>
      <c r="EE253" s="51"/>
      <c r="EF253" s="51"/>
      <c r="EG253" s="51"/>
      <c r="EH253" s="51"/>
      <c r="EI253" s="51"/>
      <c r="EJ253" s="51"/>
      <c r="EK253" s="51"/>
      <c r="EL253" s="51"/>
      <c r="EM253" s="51"/>
      <c r="EN253" s="51"/>
      <c r="EO253" s="51"/>
      <c r="EP253" s="51"/>
      <c r="EQ253" s="51"/>
      <c r="ER253" s="51"/>
      <c r="ES253" s="51"/>
      <c r="ET253" s="51"/>
      <c r="EU253" s="51"/>
      <c r="EV253" s="51"/>
      <c r="EW253" s="51"/>
      <c r="EX253" s="51"/>
      <c r="EY253" s="51"/>
      <c r="EZ253" s="51"/>
      <c r="FA253" s="51"/>
      <c r="FB253" s="51"/>
      <c r="FC253" s="51"/>
      <c r="FD253" s="51"/>
      <c r="FE253" s="51"/>
      <c r="FF253" s="51"/>
      <c r="FG253" s="51"/>
      <c r="FH253" s="51"/>
      <c r="FI253" s="51"/>
      <c r="FJ253" s="51"/>
      <c r="FK253" s="51"/>
      <c r="FL253" s="51"/>
      <c r="FM253" s="51"/>
      <c r="FN253" s="51"/>
      <c r="FO253" s="51"/>
      <c r="FP253" s="51"/>
      <c r="FQ253" s="51"/>
      <c r="FR253" s="51"/>
      <c r="FS253" s="51"/>
      <c r="FT253" s="51"/>
      <c r="FU253" s="51"/>
      <c r="FV253" s="51"/>
      <c r="FW253" s="51"/>
      <c r="FX253" s="51"/>
      <c r="FY253" s="51"/>
      <c r="FZ253" s="51"/>
      <c r="GA253" s="51"/>
      <c r="GB253" s="51"/>
      <c r="GC253" s="51"/>
      <c r="GD253" s="51"/>
      <c r="GE253" s="51"/>
      <c r="GF253" s="51"/>
      <c r="GG253" s="51"/>
      <c r="GH253" s="51"/>
      <c r="GI253" s="51"/>
      <c r="GJ253" s="51"/>
      <c r="GK253" s="51"/>
      <c r="GL253" s="51"/>
      <c r="GM253" s="51"/>
      <c r="GN253" s="51"/>
      <c r="GO253" s="51"/>
      <c r="GP253" s="51"/>
      <c r="GQ253" s="51"/>
      <c r="GR253" s="51"/>
      <c r="GS253" s="51"/>
      <c r="GT253" s="51"/>
      <c r="GU253" s="51"/>
      <c r="GV253" s="51"/>
      <c r="GW253" s="51"/>
      <c r="GX253" s="51"/>
      <c r="GY253" s="51"/>
      <c r="GZ253" s="51"/>
      <c r="HA253" s="51"/>
      <c r="HB253" s="51"/>
      <c r="HC253" s="51"/>
      <c r="HD253" s="51"/>
      <c r="HE253" s="51"/>
      <c r="HF253" s="51"/>
      <c r="HG253" s="51"/>
      <c r="HH253" s="51"/>
      <c r="HI253" s="51"/>
      <c r="HJ253" s="51"/>
      <c r="HK253" s="51"/>
      <c r="HL253" s="51"/>
      <c r="HM253" s="51"/>
      <c r="HN253" s="51"/>
      <c r="HO253" s="51"/>
      <c r="HP253" s="51"/>
      <c r="HQ253" s="51"/>
      <c r="HR253" s="51"/>
      <c r="HS253" s="51"/>
      <c r="HT253" s="51"/>
      <c r="HU253" s="51"/>
      <c r="HV253" s="51"/>
      <c r="HW253" s="51"/>
      <c r="HX253" s="51"/>
      <c r="HY253" s="51"/>
      <c r="HZ253" s="51"/>
      <c r="IA253" s="51"/>
      <c r="IB253" s="51"/>
      <c r="IC253" s="51"/>
      <c r="ID253" s="51"/>
      <c r="IE253" s="51"/>
      <c r="IF253" s="51"/>
      <c r="IG253" s="51"/>
      <c r="IH253" s="51"/>
      <c r="II253" s="51"/>
      <c r="IJ253" s="51"/>
      <c r="IK253" s="51"/>
      <c r="IL253" s="51"/>
      <c r="IM253" s="51"/>
      <c r="IN253" s="51"/>
      <c r="IO253" s="51"/>
      <c r="IP253" s="51"/>
      <c r="IQ253" s="51"/>
      <c r="IR253" s="51"/>
      <c r="IS253" s="51"/>
      <c r="IT253" s="51"/>
      <c r="IU253" s="51"/>
      <c r="IV253" s="51"/>
    </row>
    <row r="254" hidden="1">
      <c r="B254" s="829" t="s">
        <v>25</v>
      </c>
      <c r="C254" s="823">
        <v>0</v>
      </c>
      <c r="D254" s="823">
        <v>0</v>
      </c>
      <c r="E254" s="823">
        <v>0</v>
      </c>
      <c r="F254" s="823">
        <v>0</v>
      </c>
      <c r="G254" s="823">
        <v>0</v>
      </c>
      <c r="H254" s="823">
        <v>0</v>
      </c>
      <c r="I254" s="823">
        <v>0</v>
      </c>
      <c r="J254" s="823">
        <v>0</v>
      </c>
      <c r="K254" s="823">
        <v>0</v>
      </c>
      <c r="L254" s="823">
        <v>0</v>
      </c>
      <c r="M254" s="823">
        <v>0</v>
      </c>
      <c r="N254" s="823">
        <v>0</v>
      </c>
      <c r="O254" s="823">
        <v>0</v>
      </c>
      <c r="P254" s="823">
        <v>0</v>
      </c>
      <c r="Q254" s="823">
        <v>0</v>
      </c>
      <c r="R254" s="823">
        <v>0</v>
      </c>
      <c r="S254" s="823">
        <v>0</v>
      </c>
      <c r="T254" s="823">
        <v>0</v>
      </c>
      <c r="U254" s="823">
        <v>0</v>
      </c>
      <c r="V254" s="823">
        <v>0</v>
      </c>
      <c r="W254" s="823">
        <v>0</v>
      </c>
      <c r="X254" s="823">
        <v>0</v>
      </c>
      <c r="Y254" s="823">
        <v>0</v>
      </c>
      <c r="Z254" s="823">
        <v>0</v>
      </c>
      <c r="AA254" s="823">
        <v>0</v>
      </c>
      <c r="AB254" s="823">
        <v>0</v>
      </c>
      <c r="AC254" s="825">
        <v>0</v>
      </c>
      <c r="AD254" s="825">
        <v>0</v>
      </c>
      <c r="AE254" s="825">
        <v>0</v>
      </c>
      <c r="AF254" s="825">
        <v>0</v>
      </c>
      <c r="AG254" s="825">
        <v>0</v>
      </c>
      <c r="AH254" s="825">
        <v>0</v>
      </c>
      <c r="AI254" s="825">
        <v>0</v>
      </c>
      <c r="AJ254" s="825">
        <v>0</v>
      </c>
      <c r="AK254" s="825">
        <v>0</v>
      </c>
      <c r="AL254" s="825">
        <v>0</v>
      </c>
      <c r="AM254" s="825">
        <v>0</v>
      </c>
      <c r="AN254" s="825">
        <v>0</v>
      </c>
      <c r="AO254" s="825">
        <v>0</v>
      </c>
      <c r="AP254" s="825">
        <v>0</v>
      </c>
      <c r="AQ254" s="51"/>
      <c r="AR254" s="51"/>
      <c r="AS254" s="51"/>
      <c r="AT254" s="51"/>
      <c r="AU254" s="51"/>
      <c r="AV254" s="51"/>
      <c r="AW254" s="51"/>
      <c r="AX254" s="51"/>
      <c r="AY254" s="51"/>
      <c r="AZ254" s="51"/>
      <c r="BA254" s="51"/>
      <c r="BB254" s="51"/>
      <c r="BC254" s="51"/>
      <c r="BD254" s="51"/>
      <c r="BE254" s="51"/>
      <c r="BF254" s="51"/>
      <c r="BG254" s="51"/>
      <c r="BH254" s="51"/>
      <c r="BI254" s="51"/>
      <c r="BJ254" s="51"/>
      <c r="BK254" s="51"/>
      <c r="BL254" s="51"/>
      <c r="BM254" s="51"/>
      <c r="BN254" s="51"/>
      <c r="BO254" s="51"/>
      <c r="BP254" s="51"/>
      <c r="BQ254" s="51"/>
      <c r="BR254" s="51"/>
      <c r="BS254" s="51"/>
      <c r="BT254" s="51"/>
      <c r="BU254" s="51"/>
      <c r="BV254" s="51"/>
      <c r="BW254" s="51"/>
      <c r="BX254" s="51"/>
      <c r="BY254" s="51"/>
      <c r="BZ254" s="51"/>
      <c r="CA254" s="51"/>
      <c r="CB254" s="51"/>
      <c r="CC254" s="51"/>
      <c r="CD254" s="51"/>
      <c r="CE254" s="51"/>
      <c r="CF254" s="51"/>
      <c r="CG254" s="51"/>
      <c r="CH254" s="51"/>
      <c r="CI254" s="51"/>
      <c r="CJ254" s="51"/>
      <c r="CK254" s="51"/>
      <c r="CL254" s="51"/>
      <c r="CM254" s="51"/>
      <c r="CN254" s="51"/>
      <c r="CO254" s="51"/>
      <c r="CP254" s="51"/>
      <c r="CQ254" s="51"/>
      <c r="CR254" s="51"/>
      <c r="CS254" s="51"/>
      <c r="CT254" s="51"/>
      <c r="CU254" s="51"/>
      <c r="CV254" s="51"/>
      <c r="CW254" s="51"/>
      <c r="CX254" s="51"/>
      <c r="CY254" s="51"/>
      <c r="CZ254" s="51"/>
      <c r="DA254" s="51"/>
      <c r="DB254" s="51"/>
      <c r="DC254" s="51"/>
      <c r="DD254" s="51"/>
      <c r="DE254" s="51"/>
      <c r="DF254" s="51"/>
      <c r="DG254" s="51"/>
      <c r="DH254" s="51"/>
      <c r="DI254" s="51"/>
      <c r="DJ254" s="51"/>
      <c r="DK254" s="51"/>
      <c r="DL254" s="51"/>
      <c r="DM254" s="51"/>
      <c r="DN254" s="51"/>
      <c r="DO254" s="51"/>
      <c r="DP254" s="51"/>
      <c r="DQ254" s="51"/>
      <c r="DR254" s="51"/>
      <c r="DS254" s="51"/>
      <c r="DT254" s="51"/>
      <c r="DU254" s="51"/>
      <c r="DV254" s="51"/>
      <c r="DW254" s="51"/>
      <c r="DX254" s="51"/>
      <c r="DY254" s="51"/>
      <c r="DZ254" s="51"/>
      <c r="EA254" s="51"/>
      <c r="EB254" s="51"/>
      <c r="EC254" s="51"/>
      <c r="ED254" s="51"/>
      <c r="EE254" s="51"/>
      <c r="EF254" s="51"/>
      <c r="EG254" s="51"/>
      <c r="EH254" s="51"/>
      <c r="EI254" s="51"/>
      <c r="EJ254" s="51"/>
      <c r="EK254" s="51"/>
      <c r="EL254" s="51"/>
      <c r="EM254" s="51"/>
      <c r="EN254" s="51"/>
      <c r="EO254" s="51"/>
      <c r="EP254" s="51"/>
      <c r="EQ254" s="51"/>
      <c r="ER254" s="51"/>
      <c r="ES254" s="51"/>
      <c r="ET254" s="51"/>
      <c r="EU254" s="51"/>
      <c r="EV254" s="51"/>
      <c r="EW254" s="51"/>
      <c r="EX254" s="51"/>
      <c r="EY254" s="51"/>
      <c r="EZ254" s="51"/>
      <c r="FA254" s="51"/>
      <c r="FB254" s="51"/>
      <c r="FC254" s="51"/>
      <c r="FD254" s="51"/>
      <c r="FE254" s="51"/>
      <c r="FF254" s="51"/>
      <c r="FG254" s="51"/>
      <c r="FH254" s="51"/>
      <c r="FI254" s="51"/>
      <c r="FJ254" s="51"/>
      <c r="FK254" s="51"/>
      <c r="FL254" s="51"/>
      <c r="FM254" s="51"/>
      <c r="FN254" s="51"/>
      <c r="FO254" s="51"/>
      <c r="FP254" s="51"/>
      <c r="FQ254" s="51"/>
      <c r="FR254" s="51"/>
      <c r="FS254" s="51"/>
      <c r="FT254" s="51"/>
      <c r="FU254" s="51"/>
      <c r="FV254" s="51"/>
      <c r="FW254" s="51"/>
      <c r="FX254" s="51"/>
      <c r="FY254" s="51"/>
      <c r="FZ254" s="51"/>
      <c r="GA254" s="51"/>
      <c r="GB254" s="51"/>
      <c r="GC254" s="51"/>
      <c r="GD254" s="51"/>
      <c r="GE254" s="51"/>
      <c r="GF254" s="51"/>
      <c r="GG254" s="51"/>
      <c r="GH254" s="51"/>
      <c r="GI254" s="51"/>
      <c r="GJ254" s="51"/>
      <c r="GK254" s="51"/>
      <c r="GL254" s="51"/>
      <c r="GM254" s="51"/>
      <c r="GN254" s="51"/>
      <c r="GO254" s="51"/>
      <c r="GP254" s="51"/>
      <c r="GQ254" s="51"/>
      <c r="GR254" s="51"/>
      <c r="GS254" s="51"/>
      <c r="GT254" s="51"/>
      <c r="GU254" s="51"/>
      <c r="GV254" s="51"/>
      <c r="GW254" s="51"/>
      <c r="GX254" s="51"/>
      <c r="GY254" s="51"/>
      <c r="GZ254" s="51"/>
      <c r="HA254" s="51"/>
      <c r="HB254" s="51"/>
      <c r="HC254" s="51"/>
      <c r="HD254" s="51"/>
      <c r="HE254" s="51"/>
      <c r="HF254" s="51"/>
      <c r="HG254" s="51"/>
      <c r="HH254" s="51"/>
      <c r="HI254" s="51"/>
      <c r="HJ254" s="51"/>
      <c r="HK254" s="51"/>
      <c r="HL254" s="51"/>
      <c r="HM254" s="51"/>
      <c r="HN254" s="51"/>
      <c r="HO254" s="51"/>
      <c r="HP254" s="51"/>
      <c r="HQ254" s="51"/>
      <c r="HR254" s="51"/>
      <c r="HS254" s="51"/>
      <c r="HT254" s="51"/>
      <c r="HU254" s="51"/>
      <c r="HV254" s="51"/>
      <c r="HW254" s="51"/>
      <c r="HX254" s="51"/>
      <c r="HY254" s="51"/>
      <c r="HZ254" s="51"/>
      <c r="IA254" s="51"/>
      <c r="IB254" s="51"/>
      <c r="IC254" s="51"/>
      <c r="ID254" s="51"/>
      <c r="IE254" s="51"/>
      <c r="IF254" s="51"/>
      <c r="IG254" s="51"/>
      <c r="IH254" s="51"/>
      <c r="II254" s="51"/>
      <c r="IJ254" s="51"/>
      <c r="IK254" s="51"/>
      <c r="IL254" s="51"/>
      <c r="IM254" s="51"/>
      <c r="IN254" s="51"/>
      <c r="IO254" s="51"/>
      <c r="IP254" s="51"/>
      <c r="IQ254" s="51"/>
      <c r="IR254" s="51"/>
      <c r="IS254" s="51"/>
      <c r="IT254" s="51"/>
      <c r="IU254" s="51"/>
      <c r="IV254" s="51"/>
    </row>
    <row r="255" hidden="1" ht="13.5">
      <c r="B255" s="836" t="s">
        <v>26</v>
      </c>
      <c r="C255" s="827">
        <v>0</v>
      </c>
      <c r="D255" s="827">
        <v>0</v>
      </c>
      <c r="E255" s="827">
        <v>0</v>
      </c>
      <c r="F255" s="827">
        <v>0</v>
      </c>
      <c r="G255" s="827">
        <v>0</v>
      </c>
      <c r="H255" s="827">
        <v>0</v>
      </c>
      <c r="I255" s="827">
        <v>0</v>
      </c>
      <c r="J255" s="827">
        <v>0</v>
      </c>
      <c r="K255" s="827">
        <v>0</v>
      </c>
      <c r="L255" s="827">
        <v>0</v>
      </c>
      <c r="M255" s="827">
        <v>0</v>
      </c>
      <c r="N255" s="827">
        <v>0</v>
      </c>
      <c r="O255" s="827">
        <v>0</v>
      </c>
      <c r="P255" s="827">
        <v>0</v>
      </c>
      <c r="Q255" s="827">
        <v>0</v>
      </c>
      <c r="R255" s="827">
        <v>0</v>
      </c>
      <c r="S255" s="827">
        <v>0</v>
      </c>
      <c r="T255" s="827">
        <v>0</v>
      </c>
      <c r="U255" s="827">
        <v>0</v>
      </c>
      <c r="V255" s="827">
        <v>0</v>
      </c>
      <c r="W255" s="827">
        <v>0</v>
      </c>
      <c r="X255" s="827">
        <v>0</v>
      </c>
      <c r="Y255" s="827">
        <v>0</v>
      </c>
      <c r="Z255" s="827">
        <v>0</v>
      </c>
      <c r="AA255" s="827">
        <v>0</v>
      </c>
      <c r="AB255" s="837">
        <v>0</v>
      </c>
      <c r="AC255" s="828">
        <v>0</v>
      </c>
      <c r="AD255" s="828">
        <v>0</v>
      </c>
      <c r="AE255" s="828">
        <v>0</v>
      </c>
      <c r="AF255" s="828">
        <v>0</v>
      </c>
      <c r="AG255" s="828">
        <v>0</v>
      </c>
      <c r="AH255" s="828">
        <v>0</v>
      </c>
      <c r="AI255" s="828">
        <v>0</v>
      </c>
      <c r="AJ255" s="828">
        <v>0</v>
      </c>
      <c r="AK255" s="828">
        <v>0</v>
      </c>
      <c r="AL255" s="828">
        <v>0</v>
      </c>
      <c r="AM255" s="828">
        <v>0</v>
      </c>
      <c r="AN255" s="828">
        <v>0</v>
      </c>
      <c r="AO255" s="828">
        <v>0</v>
      </c>
      <c r="AP255" s="828">
        <v>0</v>
      </c>
      <c r="AQ255" s="51"/>
      <c r="AR255" s="51"/>
      <c r="AS255" s="51"/>
      <c r="AT255" s="51"/>
      <c r="AU255" s="51"/>
      <c r="AV255" s="51"/>
      <c r="AW255" s="51"/>
      <c r="AX255" s="51"/>
      <c r="AY255" s="51"/>
      <c r="AZ255" s="51"/>
      <c r="BA255" s="51"/>
      <c r="BB255" s="51"/>
      <c r="BC255" s="51"/>
      <c r="BD255" s="51"/>
      <c r="BE255" s="51"/>
      <c r="BF255" s="51"/>
      <c r="BG255" s="51"/>
      <c r="BH255" s="51"/>
      <c r="BI255" s="51"/>
      <c r="BJ255" s="51"/>
      <c r="BK255" s="51"/>
      <c r="BL255" s="51"/>
      <c r="BM255" s="51"/>
      <c r="BN255" s="51"/>
      <c r="BO255" s="51"/>
      <c r="BP255" s="51"/>
      <c r="BQ255" s="51"/>
      <c r="BR255" s="51"/>
      <c r="BS255" s="51"/>
      <c r="BT255" s="51"/>
      <c r="BU255" s="51"/>
      <c r="BV255" s="51"/>
      <c r="BW255" s="51"/>
      <c r="BX255" s="51"/>
      <c r="BY255" s="51"/>
      <c r="BZ255" s="51"/>
      <c r="CA255" s="51"/>
      <c r="CB255" s="51"/>
      <c r="CC255" s="51"/>
      <c r="CD255" s="51"/>
      <c r="CE255" s="51"/>
      <c r="CF255" s="51"/>
      <c r="CG255" s="51"/>
      <c r="CH255" s="51"/>
      <c r="CI255" s="51"/>
      <c r="CJ255" s="51"/>
      <c r="CK255" s="51"/>
      <c r="CL255" s="51"/>
      <c r="CM255" s="51"/>
      <c r="CN255" s="51"/>
      <c r="CO255" s="51"/>
      <c r="CP255" s="51"/>
      <c r="CQ255" s="51"/>
      <c r="CR255" s="51"/>
      <c r="CS255" s="51"/>
      <c r="CT255" s="51"/>
      <c r="CU255" s="51"/>
      <c r="CV255" s="51"/>
      <c r="CW255" s="51"/>
      <c r="CX255" s="51"/>
      <c r="CY255" s="51"/>
      <c r="CZ255" s="51"/>
      <c r="DA255" s="51"/>
      <c r="DB255" s="51"/>
      <c r="DC255" s="51"/>
      <c r="DD255" s="51"/>
      <c r="DE255" s="51"/>
      <c r="DF255" s="51"/>
      <c r="DG255" s="51"/>
      <c r="DH255" s="51"/>
      <c r="DI255" s="51"/>
      <c r="DJ255" s="51"/>
      <c r="DK255" s="51"/>
      <c r="DL255" s="51"/>
      <c r="DM255" s="51"/>
      <c r="DN255" s="51"/>
      <c r="DO255" s="51"/>
      <c r="DP255" s="51"/>
      <c r="DQ255" s="51"/>
      <c r="DR255" s="51"/>
      <c r="DS255" s="51"/>
      <c r="DT255" s="51"/>
      <c r="DU255" s="51"/>
      <c r="DV255" s="51"/>
      <c r="DW255" s="51"/>
      <c r="DX255" s="51"/>
      <c r="DY255" s="51"/>
      <c r="DZ255" s="51"/>
      <c r="EA255" s="51"/>
      <c r="EB255" s="51"/>
      <c r="EC255" s="51"/>
      <c r="ED255" s="51"/>
      <c r="EE255" s="51"/>
      <c r="EF255" s="51"/>
      <c r="EG255" s="51"/>
      <c r="EH255" s="51"/>
      <c r="EI255" s="51"/>
      <c r="EJ255" s="51"/>
      <c r="EK255" s="51"/>
      <c r="EL255" s="51"/>
      <c r="EM255" s="51"/>
      <c r="EN255" s="51"/>
      <c r="EO255" s="51"/>
      <c r="EP255" s="51"/>
      <c r="EQ255" s="51"/>
      <c r="ER255" s="51"/>
      <c r="ES255" s="51"/>
      <c r="ET255" s="51"/>
      <c r="EU255" s="51"/>
      <c r="EV255" s="51"/>
      <c r="EW255" s="51"/>
      <c r="EX255" s="51"/>
      <c r="EY255" s="51"/>
      <c r="EZ255" s="51"/>
      <c r="FA255" s="51"/>
      <c r="FB255" s="51"/>
      <c r="FC255" s="51"/>
      <c r="FD255" s="51"/>
      <c r="FE255" s="51"/>
      <c r="FF255" s="51"/>
      <c r="FG255" s="51"/>
      <c r="FH255" s="51"/>
      <c r="FI255" s="51"/>
      <c r="FJ255" s="51"/>
      <c r="FK255" s="51"/>
      <c r="FL255" s="51"/>
      <c r="FM255" s="51"/>
      <c r="FN255" s="51"/>
      <c r="FO255" s="51"/>
      <c r="FP255" s="51"/>
      <c r="FQ255" s="51"/>
      <c r="FR255" s="51"/>
      <c r="FS255" s="51"/>
      <c r="FT255" s="51"/>
      <c r="FU255" s="51"/>
      <c r="FV255" s="51"/>
      <c r="FW255" s="51"/>
      <c r="FX255" s="51"/>
      <c r="FY255" s="51"/>
      <c r="FZ255" s="51"/>
      <c r="GA255" s="51"/>
      <c r="GB255" s="51"/>
      <c r="GC255" s="51"/>
      <c r="GD255" s="51"/>
      <c r="GE255" s="51"/>
      <c r="GF255" s="51"/>
      <c r="GG255" s="51"/>
      <c r="GH255" s="51"/>
      <c r="GI255" s="51"/>
      <c r="GJ255" s="51"/>
      <c r="GK255" s="51"/>
      <c r="GL255" s="51"/>
      <c r="GM255" s="51"/>
      <c r="GN255" s="51"/>
      <c r="GO255" s="51"/>
      <c r="GP255" s="51"/>
      <c r="GQ255" s="51"/>
      <c r="GR255" s="51"/>
      <c r="GS255" s="51"/>
      <c r="GT255" s="51"/>
      <c r="GU255" s="51"/>
      <c r="GV255" s="51"/>
      <c r="GW255" s="51"/>
      <c r="GX255" s="51"/>
      <c r="GY255" s="51"/>
      <c r="GZ255" s="51"/>
      <c r="HA255" s="51"/>
      <c r="HB255" s="51"/>
      <c r="HC255" s="51"/>
      <c r="HD255" s="51"/>
      <c r="HE255" s="51"/>
      <c r="HF255" s="51"/>
      <c r="HG255" s="51"/>
      <c r="HH255" s="51"/>
      <c r="HI255" s="51"/>
      <c r="HJ255" s="51"/>
      <c r="HK255" s="51"/>
      <c r="HL255" s="51"/>
      <c r="HM255" s="51"/>
      <c r="HN255" s="51"/>
      <c r="HO255" s="51"/>
      <c r="HP255" s="51"/>
      <c r="HQ255" s="51"/>
      <c r="HR255" s="51"/>
      <c r="HS255" s="51"/>
      <c r="HT255" s="51"/>
      <c r="HU255" s="51"/>
      <c r="HV255" s="51"/>
      <c r="HW255" s="51"/>
      <c r="HX255" s="51"/>
      <c r="HY255" s="51"/>
      <c r="HZ255" s="51"/>
      <c r="IA255" s="51"/>
      <c r="IB255" s="51"/>
      <c r="IC255" s="51"/>
      <c r="ID255" s="51"/>
      <c r="IE255" s="51"/>
      <c r="IF255" s="51"/>
      <c r="IG255" s="51"/>
      <c r="IH255" s="51"/>
      <c r="II255" s="51"/>
      <c r="IJ255" s="51"/>
      <c r="IK255" s="51"/>
      <c r="IL255" s="51"/>
      <c r="IM255" s="51"/>
      <c r="IN255" s="51"/>
      <c r="IO255" s="51"/>
      <c r="IP255" s="51"/>
      <c r="IQ255" s="51"/>
      <c r="IR255" s="51"/>
      <c r="IS255" s="51"/>
      <c r="IT255" s="51"/>
      <c r="IU255" s="51"/>
      <c r="IV255" s="51"/>
    </row>
    <row r="256" hidden="1" ht="13.5">
      <c r="B256" s="128" t="s">
        <v>7</v>
      </c>
      <c r="C256" s="129" t="str">
        <f>IF(SUM(C237:C255)&lt;&gt;0,SUM(C237:C255),"")</f>
      </c>
      <c r="D256" s="129" t="str">
        <f ref="D256:AA256" t="shared" si="15">IF(SUM(D237:D255)&lt;&gt;0,SUM(D237:D255),"")</f>
      </c>
      <c r="E256" s="129" t="str">
        <f t="shared" si="15"/>
      </c>
      <c r="F256" s="129" t="str">
        <f t="shared" si="15"/>
      </c>
      <c r="G256" s="129" t="str">
        <f t="shared" si="15"/>
      </c>
      <c r="H256" s="129" t="str">
        <f t="shared" si="15"/>
      </c>
      <c r="I256" s="129" t="str">
        <f t="shared" si="15"/>
      </c>
      <c r="J256" s="129" t="str">
        <f t="shared" si="15"/>
      </c>
      <c r="K256" s="129" t="str">
        <f t="shared" si="15"/>
      </c>
      <c r="L256" s="129" t="str">
        <f t="shared" si="15"/>
      </c>
      <c r="M256" s="129" t="str">
        <f t="shared" si="15"/>
      </c>
      <c r="N256" s="129" t="str">
        <f t="shared" si="15"/>
      </c>
      <c r="O256" s="129" t="str">
        <f t="shared" si="15"/>
      </c>
      <c r="P256" s="129" t="str">
        <f t="shared" si="15"/>
      </c>
      <c r="Q256" s="129" t="str">
        <f t="shared" si="15"/>
      </c>
      <c r="R256" s="129" t="str">
        <f t="shared" si="15"/>
      </c>
      <c r="S256" s="129" t="str">
        <f t="shared" si="15"/>
      </c>
      <c r="T256" s="129" t="str">
        <f t="shared" si="15"/>
      </c>
      <c r="U256" s="129" t="str">
        <f t="shared" si="15"/>
      </c>
      <c r="V256" s="129" t="str">
        <f t="shared" si="15"/>
      </c>
      <c r="W256" s="129" t="str">
        <f t="shared" si="15"/>
      </c>
      <c r="X256" s="129" t="str">
        <f t="shared" si="15"/>
      </c>
      <c r="Y256" s="129" t="str">
        <f t="shared" si="15"/>
      </c>
      <c r="Z256" s="129" t="str">
        <f t="shared" si="15"/>
      </c>
      <c r="AA256" s="129" t="str">
        <f t="shared" si="15"/>
      </c>
      <c r="AB256" s="130" t="str">
        <f>IF(SUM(AB237:AB255)&lt;&gt;0,SUM(AB237:AB255),"")</f>
      </c>
      <c r="AC256" s="91" t="str">
        <f ref="AC256:CN256" t="shared" si="16">IF(SUM(AC237:AC255)&lt;&gt;0,SUM(AC237:AC255),"")</f>
      </c>
      <c r="AD256" s="91" t="str">
        <f t="shared" si="16"/>
      </c>
      <c r="AE256" s="91" t="str">
        <f t="shared" si="16"/>
      </c>
      <c r="AF256" s="91" t="str">
        <f t="shared" si="16"/>
      </c>
      <c r="AG256" s="91" t="str">
        <f t="shared" si="16"/>
      </c>
      <c r="AH256" s="91" t="str">
        <f t="shared" si="16"/>
      </c>
      <c r="AI256" s="91" t="str">
        <f t="shared" si="16"/>
      </c>
      <c r="AJ256" s="91" t="str">
        <f t="shared" si="16"/>
      </c>
      <c r="AK256" s="91" t="str">
        <f t="shared" si="16"/>
      </c>
      <c r="AL256" s="91" t="str">
        <f t="shared" si="16"/>
      </c>
      <c r="AM256" s="91" t="str">
        <f t="shared" si="16"/>
      </c>
      <c r="AN256" s="91" t="str">
        <f t="shared" si="16"/>
      </c>
      <c r="AO256" s="91" t="str">
        <f t="shared" si="16"/>
      </c>
      <c r="AP256" s="91" t="str">
        <f t="shared" si="16"/>
      </c>
      <c r="AQ256" s="91" t="str">
        <f t="shared" si="16"/>
      </c>
      <c r="AR256" s="91" t="str">
        <f t="shared" si="16"/>
      </c>
      <c r="AS256" s="91" t="str">
        <f t="shared" si="16"/>
      </c>
      <c r="AT256" s="91" t="str">
        <f t="shared" si="16"/>
      </c>
      <c r="AU256" s="91" t="str">
        <f t="shared" si="16"/>
      </c>
      <c r="AV256" s="91" t="str">
        <f t="shared" si="16"/>
      </c>
      <c r="AW256" s="91" t="str">
        <f t="shared" si="16"/>
      </c>
      <c r="AX256" s="91" t="str">
        <f t="shared" si="16"/>
      </c>
      <c r="AY256" s="91" t="str">
        <f t="shared" si="16"/>
      </c>
      <c r="AZ256" s="91" t="str">
        <f t="shared" si="16"/>
      </c>
      <c r="BA256" s="91" t="str">
        <f t="shared" si="16"/>
      </c>
      <c r="BB256" s="91" t="str">
        <f t="shared" si="16"/>
      </c>
      <c r="BC256" s="91" t="str">
        <f t="shared" si="16"/>
      </c>
      <c r="BD256" s="91" t="str">
        <f t="shared" si="16"/>
      </c>
      <c r="BE256" s="91" t="str">
        <f t="shared" si="16"/>
      </c>
      <c r="BF256" s="91" t="str">
        <f t="shared" si="16"/>
      </c>
      <c r="BG256" s="91" t="str">
        <f t="shared" si="16"/>
      </c>
      <c r="BH256" s="91" t="str">
        <f t="shared" si="16"/>
      </c>
      <c r="BI256" s="91" t="str">
        <f t="shared" si="16"/>
      </c>
      <c r="BJ256" s="91" t="str">
        <f t="shared" si="16"/>
      </c>
      <c r="BK256" s="91" t="str">
        <f t="shared" si="16"/>
      </c>
      <c r="BL256" s="91" t="str">
        <f t="shared" si="16"/>
      </c>
      <c r="BM256" s="91" t="str">
        <f t="shared" si="16"/>
      </c>
      <c r="BN256" s="91" t="str">
        <f t="shared" si="16"/>
      </c>
      <c r="BO256" s="91" t="str">
        <f t="shared" si="16"/>
      </c>
      <c r="BP256" s="91" t="str">
        <f t="shared" si="16"/>
      </c>
      <c r="BQ256" s="91" t="str">
        <f t="shared" si="16"/>
      </c>
      <c r="BR256" s="91" t="str">
        <f t="shared" si="16"/>
      </c>
      <c r="BS256" s="91" t="str">
        <f t="shared" si="16"/>
      </c>
      <c r="BT256" s="91" t="str">
        <f t="shared" si="16"/>
      </c>
      <c r="BU256" s="91" t="str">
        <f t="shared" si="16"/>
      </c>
      <c r="BV256" s="91" t="str">
        <f t="shared" si="16"/>
      </c>
      <c r="BW256" s="91" t="str">
        <f t="shared" si="16"/>
      </c>
      <c r="BX256" s="91" t="str">
        <f t="shared" si="16"/>
      </c>
      <c r="BY256" s="91" t="str">
        <f t="shared" si="16"/>
      </c>
      <c r="BZ256" s="91" t="str">
        <f t="shared" si="16"/>
      </c>
      <c r="CA256" s="91" t="str">
        <f t="shared" si="16"/>
      </c>
      <c r="CB256" s="91" t="str">
        <f t="shared" si="16"/>
      </c>
      <c r="CC256" s="91" t="str">
        <f t="shared" si="16"/>
      </c>
      <c r="CD256" s="91" t="str">
        <f t="shared" si="16"/>
      </c>
      <c r="CE256" s="91" t="str">
        <f t="shared" si="16"/>
      </c>
      <c r="CF256" s="91" t="str">
        <f t="shared" si="16"/>
      </c>
      <c r="CG256" s="91" t="str">
        <f t="shared" si="16"/>
      </c>
      <c r="CH256" s="91" t="str">
        <f t="shared" si="16"/>
      </c>
      <c r="CI256" s="91" t="str">
        <f t="shared" si="16"/>
      </c>
      <c r="CJ256" s="91" t="str">
        <f t="shared" si="16"/>
      </c>
      <c r="CK256" s="91" t="str">
        <f t="shared" si="16"/>
      </c>
      <c r="CL256" s="91" t="str">
        <f t="shared" si="16"/>
      </c>
      <c r="CM256" s="91" t="str">
        <f t="shared" si="16"/>
      </c>
      <c r="CN256" s="91" t="str">
        <f t="shared" si="16"/>
      </c>
      <c r="CO256" s="91" t="str">
        <f ref="CO256:EZ256" t="shared" si="17">IF(SUM(CO237:CO255)&lt;&gt;0,SUM(CO237:CO255),"")</f>
      </c>
      <c r="CP256" s="91" t="str">
        <f t="shared" si="17"/>
      </c>
      <c r="CQ256" s="91" t="str">
        <f t="shared" si="17"/>
      </c>
      <c r="CR256" s="91" t="str">
        <f t="shared" si="17"/>
      </c>
      <c r="CS256" s="91" t="str">
        <f t="shared" si="17"/>
      </c>
      <c r="CT256" s="91" t="str">
        <f t="shared" si="17"/>
      </c>
      <c r="CU256" s="91" t="str">
        <f t="shared" si="17"/>
      </c>
      <c r="CV256" s="91" t="str">
        <f t="shared" si="17"/>
      </c>
      <c r="CW256" s="91" t="str">
        <f t="shared" si="17"/>
      </c>
      <c r="CX256" s="91" t="str">
        <f t="shared" si="17"/>
      </c>
      <c r="CY256" s="91" t="str">
        <f t="shared" si="17"/>
      </c>
      <c r="CZ256" s="91" t="str">
        <f t="shared" si="17"/>
      </c>
      <c r="DA256" s="91" t="str">
        <f t="shared" si="17"/>
      </c>
      <c r="DB256" s="91" t="str">
        <f t="shared" si="17"/>
      </c>
      <c r="DC256" s="91" t="str">
        <f t="shared" si="17"/>
      </c>
      <c r="DD256" s="91" t="str">
        <f t="shared" si="17"/>
      </c>
      <c r="DE256" s="91" t="str">
        <f t="shared" si="17"/>
      </c>
      <c r="DF256" s="91" t="str">
        <f t="shared" si="17"/>
      </c>
      <c r="DG256" s="91" t="str">
        <f t="shared" si="17"/>
      </c>
      <c r="DH256" s="91" t="str">
        <f t="shared" si="17"/>
      </c>
      <c r="DI256" s="91" t="str">
        <f t="shared" si="17"/>
      </c>
      <c r="DJ256" s="91" t="str">
        <f t="shared" si="17"/>
      </c>
      <c r="DK256" s="91" t="str">
        <f t="shared" si="17"/>
      </c>
      <c r="DL256" s="91" t="str">
        <f t="shared" si="17"/>
      </c>
      <c r="DM256" s="91" t="str">
        <f t="shared" si="17"/>
      </c>
      <c r="DN256" s="91" t="str">
        <f t="shared" si="17"/>
      </c>
      <c r="DO256" s="91" t="str">
        <f t="shared" si="17"/>
      </c>
      <c r="DP256" s="91" t="str">
        <f t="shared" si="17"/>
      </c>
      <c r="DQ256" s="91" t="str">
        <f t="shared" si="17"/>
      </c>
      <c r="DR256" s="91" t="str">
        <f t="shared" si="17"/>
      </c>
      <c r="DS256" s="91" t="str">
        <f t="shared" si="17"/>
      </c>
      <c r="DT256" s="91" t="str">
        <f t="shared" si="17"/>
      </c>
      <c r="DU256" s="91" t="str">
        <f t="shared" si="17"/>
      </c>
      <c r="DV256" s="91" t="str">
        <f t="shared" si="17"/>
      </c>
      <c r="DW256" s="91" t="str">
        <f t="shared" si="17"/>
      </c>
      <c r="DX256" s="91" t="str">
        <f t="shared" si="17"/>
      </c>
      <c r="DY256" s="91" t="str">
        <f t="shared" si="17"/>
      </c>
      <c r="DZ256" s="91" t="str">
        <f t="shared" si="17"/>
      </c>
      <c r="EA256" s="91" t="str">
        <f t="shared" si="17"/>
      </c>
      <c r="EB256" s="91" t="str">
        <f t="shared" si="17"/>
      </c>
      <c r="EC256" s="91" t="str">
        <f t="shared" si="17"/>
      </c>
      <c r="ED256" s="91" t="str">
        <f t="shared" si="17"/>
      </c>
      <c r="EE256" s="91" t="str">
        <f t="shared" si="17"/>
      </c>
      <c r="EF256" s="91" t="str">
        <f t="shared" si="17"/>
      </c>
      <c r="EG256" s="91" t="str">
        <f t="shared" si="17"/>
      </c>
      <c r="EH256" s="91" t="str">
        <f t="shared" si="17"/>
      </c>
      <c r="EI256" s="91" t="str">
        <f t="shared" si="17"/>
      </c>
      <c r="EJ256" s="91" t="str">
        <f t="shared" si="17"/>
      </c>
      <c r="EK256" s="91" t="str">
        <f t="shared" si="17"/>
      </c>
      <c r="EL256" s="91" t="str">
        <f t="shared" si="17"/>
      </c>
      <c r="EM256" s="91" t="str">
        <f t="shared" si="17"/>
      </c>
      <c r="EN256" s="91" t="str">
        <f t="shared" si="17"/>
      </c>
      <c r="EO256" s="91" t="str">
        <f t="shared" si="17"/>
      </c>
      <c r="EP256" s="91" t="str">
        <f t="shared" si="17"/>
      </c>
      <c r="EQ256" s="91" t="str">
        <f t="shared" si="17"/>
      </c>
      <c r="ER256" s="91" t="str">
        <f t="shared" si="17"/>
      </c>
      <c r="ES256" s="91" t="str">
        <f t="shared" si="17"/>
      </c>
      <c r="ET256" s="91" t="str">
        <f t="shared" si="17"/>
      </c>
      <c r="EU256" s="91" t="str">
        <f t="shared" si="17"/>
      </c>
      <c r="EV256" s="91" t="str">
        <f t="shared" si="17"/>
      </c>
      <c r="EW256" s="91" t="str">
        <f t="shared" si="17"/>
      </c>
      <c r="EX256" s="91" t="str">
        <f t="shared" si="17"/>
      </c>
      <c r="EY256" s="91" t="str">
        <f t="shared" si="17"/>
      </c>
      <c r="EZ256" s="91" t="str">
        <f t="shared" si="17"/>
      </c>
      <c r="FA256" s="91" t="str">
        <f ref="FA256:HL256" t="shared" si="18">IF(SUM(FA237:FA255)&lt;&gt;0,SUM(FA237:FA255),"")</f>
      </c>
      <c r="FB256" s="91" t="str">
        <f t="shared" si="18"/>
      </c>
      <c r="FC256" s="91" t="str">
        <f t="shared" si="18"/>
      </c>
      <c r="FD256" s="91" t="str">
        <f t="shared" si="18"/>
      </c>
      <c r="FE256" s="91" t="str">
        <f t="shared" si="18"/>
      </c>
      <c r="FF256" s="91" t="str">
        <f t="shared" si="18"/>
      </c>
      <c r="FG256" s="91" t="str">
        <f t="shared" si="18"/>
      </c>
      <c r="FH256" s="91" t="str">
        <f t="shared" si="18"/>
      </c>
      <c r="FI256" s="91" t="str">
        <f t="shared" si="18"/>
      </c>
      <c r="FJ256" s="91" t="str">
        <f t="shared" si="18"/>
      </c>
      <c r="FK256" s="91" t="str">
        <f t="shared" si="18"/>
      </c>
      <c r="FL256" s="91" t="str">
        <f t="shared" si="18"/>
      </c>
      <c r="FM256" s="91" t="str">
        <f t="shared" si="18"/>
      </c>
      <c r="FN256" s="91" t="str">
        <f t="shared" si="18"/>
      </c>
      <c r="FO256" s="91" t="str">
        <f t="shared" si="18"/>
      </c>
      <c r="FP256" s="91" t="str">
        <f t="shared" si="18"/>
      </c>
      <c r="FQ256" s="91" t="str">
        <f t="shared" si="18"/>
      </c>
      <c r="FR256" s="91" t="str">
        <f t="shared" si="18"/>
      </c>
      <c r="FS256" s="91" t="str">
        <f t="shared" si="18"/>
      </c>
      <c r="FT256" s="91" t="str">
        <f t="shared" si="18"/>
      </c>
      <c r="FU256" s="91" t="str">
        <f t="shared" si="18"/>
      </c>
      <c r="FV256" s="91" t="str">
        <f t="shared" si="18"/>
      </c>
      <c r="FW256" s="91" t="str">
        <f t="shared" si="18"/>
      </c>
      <c r="FX256" s="91" t="str">
        <f t="shared" si="18"/>
      </c>
      <c r="FY256" s="91" t="str">
        <f t="shared" si="18"/>
      </c>
      <c r="FZ256" s="91" t="str">
        <f t="shared" si="18"/>
      </c>
      <c r="GA256" s="91" t="str">
        <f t="shared" si="18"/>
      </c>
      <c r="GB256" s="91" t="str">
        <f t="shared" si="18"/>
      </c>
      <c r="GC256" s="91" t="str">
        <f t="shared" si="18"/>
      </c>
      <c r="GD256" s="91" t="str">
        <f t="shared" si="18"/>
      </c>
      <c r="GE256" s="91" t="str">
        <f t="shared" si="18"/>
      </c>
      <c r="GF256" s="91" t="str">
        <f t="shared" si="18"/>
      </c>
      <c r="GG256" s="91" t="str">
        <f t="shared" si="18"/>
      </c>
      <c r="GH256" s="91" t="str">
        <f t="shared" si="18"/>
      </c>
      <c r="GI256" s="91" t="str">
        <f t="shared" si="18"/>
      </c>
      <c r="GJ256" s="91" t="str">
        <f t="shared" si="18"/>
      </c>
      <c r="GK256" s="91" t="str">
        <f t="shared" si="18"/>
      </c>
      <c r="GL256" s="91" t="str">
        <f t="shared" si="18"/>
      </c>
      <c r="GM256" s="91" t="str">
        <f t="shared" si="18"/>
      </c>
      <c r="GN256" s="91" t="str">
        <f t="shared" si="18"/>
      </c>
      <c r="GO256" s="91" t="str">
        <f t="shared" si="18"/>
      </c>
      <c r="GP256" s="91" t="str">
        <f t="shared" si="18"/>
      </c>
      <c r="GQ256" s="91" t="str">
        <f t="shared" si="18"/>
      </c>
      <c r="GR256" s="91" t="str">
        <f t="shared" si="18"/>
      </c>
      <c r="GS256" s="91" t="str">
        <f t="shared" si="18"/>
      </c>
      <c r="GT256" s="91" t="str">
        <f t="shared" si="18"/>
      </c>
      <c r="GU256" s="91" t="str">
        <f t="shared" si="18"/>
      </c>
      <c r="GV256" s="91" t="str">
        <f t="shared" si="18"/>
      </c>
      <c r="GW256" s="91" t="str">
        <f t="shared" si="18"/>
      </c>
      <c r="GX256" s="91" t="str">
        <f t="shared" si="18"/>
      </c>
      <c r="GY256" s="91" t="str">
        <f t="shared" si="18"/>
      </c>
      <c r="GZ256" s="91" t="str">
        <f t="shared" si="18"/>
      </c>
      <c r="HA256" s="91" t="str">
        <f t="shared" si="18"/>
      </c>
      <c r="HB256" s="91" t="str">
        <f t="shared" si="18"/>
      </c>
      <c r="HC256" s="91" t="str">
        <f t="shared" si="18"/>
      </c>
      <c r="HD256" s="91" t="str">
        <f t="shared" si="18"/>
      </c>
      <c r="HE256" s="91" t="str">
        <f t="shared" si="18"/>
      </c>
      <c r="HF256" s="91" t="str">
        <f t="shared" si="18"/>
      </c>
      <c r="HG256" s="91" t="str">
        <f t="shared" si="18"/>
      </c>
      <c r="HH256" s="91" t="str">
        <f t="shared" si="18"/>
      </c>
      <c r="HI256" s="91" t="str">
        <f t="shared" si="18"/>
      </c>
      <c r="HJ256" s="91" t="str">
        <f t="shared" si="18"/>
      </c>
      <c r="HK256" s="91" t="str">
        <f t="shared" si="18"/>
      </c>
      <c r="HL256" s="91" t="str">
        <f t="shared" si="18"/>
      </c>
      <c r="HM256" s="91" t="str">
        <f ref="HM256:IV256" t="shared" si="19">IF(SUM(HM237:HM255)&lt;&gt;0,SUM(HM237:HM255),"")</f>
      </c>
      <c r="HN256" s="91" t="str">
        <f t="shared" si="19"/>
      </c>
      <c r="HO256" s="91" t="str">
        <f t="shared" si="19"/>
      </c>
      <c r="HP256" s="91" t="str">
        <f t="shared" si="19"/>
      </c>
      <c r="HQ256" s="91" t="str">
        <f t="shared" si="19"/>
      </c>
      <c r="HR256" s="91" t="str">
        <f t="shared" si="19"/>
      </c>
      <c r="HS256" s="91" t="str">
        <f t="shared" si="19"/>
      </c>
      <c r="HT256" s="91" t="str">
        <f t="shared" si="19"/>
      </c>
      <c r="HU256" s="91" t="str">
        <f t="shared" si="19"/>
      </c>
      <c r="HV256" s="91" t="str">
        <f t="shared" si="19"/>
      </c>
      <c r="HW256" s="91" t="str">
        <f t="shared" si="19"/>
      </c>
      <c r="HX256" s="91" t="str">
        <f t="shared" si="19"/>
      </c>
      <c r="HY256" s="91" t="str">
        <f t="shared" si="19"/>
      </c>
      <c r="HZ256" s="91" t="str">
        <f t="shared" si="19"/>
      </c>
      <c r="IA256" s="91" t="str">
        <f t="shared" si="19"/>
      </c>
      <c r="IB256" s="91" t="str">
        <f t="shared" si="19"/>
      </c>
      <c r="IC256" s="91" t="str">
        <f t="shared" si="19"/>
      </c>
      <c r="ID256" s="91" t="str">
        <f t="shared" si="19"/>
      </c>
      <c r="IE256" s="91" t="str">
        <f t="shared" si="19"/>
      </c>
      <c r="IF256" s="91" t="str">
        <f t="shared" si="19"/>
      </c>
      <c r="IG256" s="91" t="str">
        <f t="shared" si="19"/>
      </c>
      <c r="IH256" s="91" t="str">
        <f t="shared" si="19"/>
      </c>
      <c r="II256" s="91" t="str">
        <f t="shared" si="19"/>
      </c>
      <c r="IJ256" s="91" t="str">
        <f t="shared" si="19"/>
      </c>
      <c r="IK256" s="91" t="str">
        <f t="shared" si="19"/>
      </c>
      <c r="IL256" s="91" t="str">
        <f t="shared" si="19"/>
      </c>
      <c r="IM256" s="91" t="str">
        <f t="shared" si="19"/>
      </c>
      <c r="IN256" s="91" t="str">
        <f t="shared" si="19"/>
      </c>
      <c r="IO256" s="91" t="str">
        <f t="shared" si="19"/>
      </c>
      <c r="IP256" s="91" t="str">
        <f t="shared" si="19"/>
      </c>
      <c r="IQ256" s="91" t="str">
        <f t="shared" si="19"/>
      </c>
      <c r="IR256" s="91" t="str">
        <f t="shared" si="19"/>
      </c>
      <c r="IS256" s="91" t="str">
        <f t="shared" si="19"/>
      </c>
      <c r="IT256" s="91" t="str">
        <f t="shared" si="19"/>
      </c>
      <c r="IU256" s="91" t="str">
        <f t="shared" si="19"/>
      </c>
      <c r="IV256" s="91" t="str">
        <f t="shared" si="19"/>
      </c>
    </row>
    <row r="257" hidden="1" ht="13.5"/>
    <row r="258" hidden="1" ht="15.75" customHeight="1">
      <c r="C258" s="732" t="s">
        <v>417</v>
      </c>
      <c r="D258" s="733"/>
      <c r="E258" s="733"/>
      <c r="F258" s="733"/>
      <c r="G258" s="733"/>
      <c r="H258" s="733"/>
      <c r="I258" s="733"/>
      <c r="J258" s="733"/>
      <c r="K258" s="733"/>
      <c r="L258" s="733"/>
      <c r="M258" s="733"/>
      <c r="N258" s="733"/>
      <c r="O258" s="733"/>
      <c r="P258" s="733"/>
      <c r="Q258" s="733"/>
      <c r="R258" s="733"/>
      <c r="S258" s="733"/>
      <c r="T258" s="733"/>
      <c r="U258" s="733"/>
      <c r="V258" s="733"/>
      <c r="W258" s="733"/>
      <c r="X258" s="733"/>
      <c r="Y258" s="733"/>
      <c r="Z258" s="733"/>
      <c r="AA258" s="733"/>
      <c r="AB258" s="734"/>
    </row>
    <row r="259" hidden="1" ht="15" customHeight="1">
      <c r="B259" s="51"/>
      <c r="C259" s="435" t="str">
        <f> IF(C279&lt;&gt;"",TEXT(AUX!G$1,"dd-MMM-aa"),"")</f>
      </c>
      <c r="D259" s="435" t="str">
        <f> IF(D279&lt;&gt;"",TEXT(AUX!H$1,"dd-MMM-aa"),"")</f>
      </c>
      <c r="E259" s="435" t="str">
        <f> IF(E279&lt;&gt;"",TEXT(AUX!I$1,"dd-MMM-aa"),"")</f>
      </c>
      <c r="F259" s="435" t="str">
        <f> IF(F279&lt;&gt;"",TEXT(AUX!J$1,"dd-MMM-aa"),"")</f>
      </c>
      <c r="G259" s="435" t="str">
        <f> IF(G279&lt;&gt;"",TEXT(AUX!K$1,"dd-MMM-aa"),"")</f>
      </c>
      <c r="H259" s="435" t="str">
        <f> IF(H279&lt;&gt;"",TEXT(AUX!L$1,"dd-MMM-aa"),"")</f>
      </c>
      <c r="I259" s="435" t="str">
        <f> IF(I279&lt;&gt;"",TEXT(AUX!M$1,"dd-MMM-aa"),"")</f>
      </c>
      <c r="J259" s="435" t="str">
        <f> IF(J279&lt;&gt;"",TEXT(AUX!N$1,"dd-MMM-aa"),"")</f>
      </c>
      <c r="K259" s="435" t="str">
        <f> IF(K279&lt;&gt;"",TEXT(AUX!O$1,"dd-MMM-aa"),"")</f>
      </c>
      <c r="L259" s="435" t="str">
        <f> IF(L279&lt;&gt;"",TEXT(AUX!P$1,"dd-MMM-aa"),"")</f>
      </c>
      <c r="M259" s="435" t="str">
        <f> IF(M279&lt;&gt;"",TEXT(AUX!Q$1,"dd-MMM-aa"),"")</f>
      </c>
      <c r="N259" s="435" t="str">
        <f> IF(N279&lt;&gt;"",TEXT(AUX!R$1,"dd-MMM-aa"),"")</f>
      </c>
      <c r="O259" s="435" t="str">
        <f> IF(O279&lt;&gt;"",TEXT(AUX!S$1,"dd-MMM-aa"),"")</f>
      </c>
      <c r="P259" s="435" t="str">
        <f> IF(P279&lt;&gt;"",TEXT(AUX!T$1,"dd-MMM-aa"),"")</f>
      </c>
      <c r="Q259" s="435" t="str">
        <f> IF(Q279&lt;&gt;"",TEXT(AUX!U$1,"dd-MMM-aa"),"")</f>
      </c>
      <c r="R259" s="435" t="str">
        <f> IF(R279&lt;&gt;"",TEXT(AUX!V$1,"dd-MMM-aa"),"")</f>
      </c>
      <c r="S259" s="435" t="str">
        <f> IF(S279&lt;&gt;"",TEXT(AUX!W$1,"dd-MMM-aa"),"")</f>
      </c>
      <c r="T259" s="435" t="str">
        <f> IF(T279&lt;&gt;"",TEXT(AUX!X$1,"dd-MMM-aa"),"")</f>
      </c>
      <c r="U259" s="435" t="str">
        <f> IF(U279&lt;&gt;"",TEXT(AUX!Y$1,"dd-MMM-aa"),"")</f>
      </c>
      <c r="V259" s="435" t="str">
        <f> IF(V279&lt;&gt;"",TEXT(AUX!Z$1,"dd-MMM-aa"),"")</f>
      </c>
      <c r="W259" s="435" t="str">
        <f> IF(W279&lt;&gt;"",TEXT(AUX!AA$1,"dd-MMM-aa"),"")</f>
      </c>
      <c r="X259" s="435" t="str">
        <f> IF(X279&lt;&gt;"",TEXT(AUX!AB$1,"dd-MMM-aa"),"")</f>
      </c>
      <c r="Y259" s="435" t="str">
        <f> IF(Y279&lt;&gt;"",TEXT(AUX!AC$1,"dd-MMM-aa"),"")</f>
      </c>
      <c r="Z259" s="435" t="str">
        <f> IF(Z279&lt;&gt;"",TEXT(AUX!AD$1,"dd-MMM-aa"),"")</f>
      </c>
      <c r="AA259" s="435" t="str">
        <f> IF(AA279&lt;&gt;"",TEXT(AUX!AE$1,"dd-MMM-aa"),"")</f>
      </c>
      <c r="AB259" s="497" t="str">
        <f> IF(AB279&lt;&gt;"",TEXT(AUX!AF$1,"dd-MMM-aa"),"")</f>
      </c>
      <c r="AC259" s="496" t="str">
        <f> IF(AC279&lt;&gt;"",TEXT(AUX!AG$1,"dd-MMM-aa"),"")</f>
      </c>
      <c r="AD259" s="496" t="str">
        <f> IF(AD279&lt;&gt;"",TEXT(AUX!AH$1,"dd-MMM-aa"),"")</f>
      </c>
      <c r="AE259" s="496" t="str">
        <f> IF(AE279&lt;&gt;"",TEXT(AUX!AI$1,"dd-MMM-aa"),"")</f>
      </c>
      <c r="AF259" s="496" t="str">
        <f> IF(AF279&lt;&gt;"",TEXT(AUX!AJ$1,"dd-MMM-aa"),"")</f>
      </c>
      <c r="AG259" s="496" t="str">
        <f> IF(AG279&lt;&gt;"",TEXT(AUX!AK$1,"dd-MMM-aa"),"")</f>
      </c>
      <c r="AH259" s="496" t="str">
        <f> IF(AH279&lt;&gt;"",TEXT(AUX!AL$1,"dd-MMM-aa"),"")</f>
      </c>
      <c r="AI259" s="496" t="str">
        <f> IF(AI279&lt;&gt;"",TEXT(AUX!AM$1,"dd-MMM-aa"),"")</f>
      </c>
      <c r="AJ259" s="496" t="str">
        <f> IF(AJ279&lt;&gt;"",TEXT(AUX!AN$1,"dd-MMM-aa"),"")</f>
      </c>
      <c r="AK259" s="496" t="str">
        <f> IF(AK279&lt;&gt;"",TEXT(AUX!AO$1,"dd-MMM-aa"),"")</f>
      </c>
      <c r="AL259" s="496" t="str">
        <f> IF(AL279&lt;&gt;"",TEXT(AUX!AP$1,"dd-MMM-aa"),"")</f>
      </c>
      <c r="AM259" s="496" t="str">
        <f> IF(AM279&lt;&gt;"",TEXT(AUX!AQ$1,"dd-MMM-aa"),"")</f>
      </c>
      <c r="AN259" s="496" t="str">
        <f> IF(AN279&lt;&gt;"",TEXT(AUX!AR$1,"dd-MMM-aa"),"")</f>
      </c>
      <c r="AO259" s="496" t="str">
        <f> IF(AO279&lt;&gt;"",TEXT(AUX!AS$1,"dd-MMM-aa"),"")</f>
      </c>
      <c r="AP259" s="496" t="str">
        <f> IF(AP279&lt;&gt;"",TEXT(AUX!AT$1,"dd-MMM-aa"),"")</f>
      </c>
      <c r="AQ259" s="496" t="str">
        <f> IF(AQ279&lt;&gt;"",TEXT(AUX!AU$1,"dd-MMM-aa"),"")</f>
      </c>
      <c r="AR259" s="496" t="str">
        <f> IF(AR279&lt;&gt;"",TEXT(AUX!AV$1,"dd-MMM-aa"),"")</f>
      </c>
      <c r="AS259" s="496" t="str">
        <f> IF(AS279&lt;&gt;"",TEXT(AUX!AW$1,"dd-MMM-aa"),"")</f>
      </c>
      <c r="AT259" s="496" t="str">
        <f> IF(AT279&lt;&gt;"",TEXT(AUX!AX$1,"dd-MMM-aa"),"")</f>
      </c>
      <c r="AU259" s="496" t="str">
        <f> IF(AU279&lt;&gt;"",TEXT(AUX!AY$1,"dd-MMM-aa"),"")</f>
      </c>
      <c r="AV259" s="496" t="str">
        <f> IF(AV279&lt;&gt;"",TEXT(AUX!AZ$1,"dd-MMM-aa"),"")</f>
      </c>
      <c r="AW259" s="496" t="str">
        <f> IF(AW279&lt;&gt;"",TEXT(AUX!BA$1,"dd-MMM-aa"),"")</f>
      </c>
      <c r="AX259" s="496" t="str">
        <f> IF(AX279&lt;&gt;"",TEXT(AUX!BB$1,"dd-MMM-aa"),"")</f>
      </c>
      <c r="AY259" s="496" t="str">
        <f> IF(AY279&lt;&gt;"",TEXT(AUX!BC$1,"dd-MMM-aa"),"")</f>
      </c>
      <c r="AZ259" s="496" t="str">
        <f> IF(AZ279&lt;&gt;"",TEXT(AUX!BD$1,"dd-MMM-aa"),"")</f>
      </c>
      <c r="BA259" s="496" t="str">
        <f> IF(BA279&lt;&gt;"",TEXT(AUX!BE$1,"dd-MMM-aa"),"")</f>
      </c>
      <c r="BB259" s="496" t="str">
        <f> IF(BB279&lt;&gt;"",TEXT(AUX!BF$1,"dd-MMM-aa"),"")</f>
      </c>
      <c r="BC259" s="496" t="str">
        <f> IF(BC279&lt;&gt;"",TEXT(AUX!BG$1,"dd-MMM-aa"),"")</f>
      </c>
      <c r="BD259" s="496" t="str">
        <f> IF(BD279&lt;&gt;"",TEXT(AUX!BH$1,"dd-MMM-aa"),"")</f>
      </c>
      <c r="BE259" s="496" t="str">
        <f> IF(BE279&lt;&gt;"",TEXT(AUX!BI$1,"dd-MMM-aa"),"")</f>
      </c>
      <c r="BF259" s="496" t="str">
        <f> IF(BF279&lt;&gt;"",TEXT(AUX!BJ$1,"dd-MMM-aa"),"")</f>
      </c>
      <c r="BG259" s="496" t="str">
        <f> IF(BG279&lt;&gt;"",TEXT(AUX!BK$1,"dd-MMM-aa"),"")</f>
      </c>
      <c r="BH259" s="496" t="str">
        <f> IF(BH279&lt;&gt;"",TEXT(AUX!BL$1,"dd-MMM-aa"),"")</f>
      </c>
      <c r="BI259" s="496" t="str">
        <f> IF(BI279&lt;&gt;"",TEXT(AUX!BM$1,"dd-MMM-aa"),"")</f>
      </c>
      <c r="BJ259" s="496" t="str">
        <f> IF(BJ279&lt;&gt;"",TEXT(AUX!BN$1,"dd-MMM-aa"),"")</f>
      </c>
      <c r="BK259" s="496" t="str">
        <f> IF(BK279&lt;&gt;"",TEXT(AUX!BO$1,"dd-MMM-aa"),"")</f>
      </c>
      <c r="BL259" s="496" t="str">
        <f> IF(BL279&lt;&gt;"",TEXT(AUX!BP$1,"dd-MMM-aa"),"")</f>
      </c>
      <c r="BM259" s="496" t="str">
        <f> IF(BM279&lt;&gt;"",TEXT(AUX!BQ$1,"dd-MMM-aa"),"")</f>
      </c>
      <c r="BN259" s="496" t="str">
        <f> IF(BN279&lt;&gt;"",TEXT(AUX!BR$1,"dd-MMM-aa"),"")</f>
      </c>
      <c r="BO259" s="496" t="str">
        <f> IF(BO279&lt;&gt;"",TEXT(AUX!BS$1,"dd-MMM-aa"),"")</f>
      </c>
      <c r="BP259" s="496" t="str">
        <f> IF(BP279&lt;&gt;"",TEXT(AUX!BT$1,"dd-MMM-aa"),"")</f>
      </c>
      <c r="BQ259" s="496" t="str">
        <f> IF(BQ279&lt;&gt;"",TEXT(AUX!BU$1,"dd-MMM-aa"),"")</f>
      </c>
      <c r="BR259" s="496" t="str">
        <f> IF(BR279&lt;&gt;"",TEXT(AUX!BV$1,"dd-MMM-aa"),"")</f>
      </c>
      <c r="BS259" s="496" t="str">
        <f> IF(BS279&lt;&gt;"",TEXT(AUX!BW$1,"dd-MMM-aa"),"")</f>
      </c>
      <c r="BT259" s="496" t="str">
        <f> IF(BT279&lt;&gt;"",TEXT(AUX!BX$1,"dd-MMM-aa"),"")</f>
      </c>
      <c r="BU259" s="496" t="str">
        <f> IF(BU279&lt;&gt;"",TEXT(AUX!BY$1,"dd-MMM-aa"),"")</f>
      </c>
      <c r="BV259" s="496" t="str">
        <f> IF(BV279&lt;&gt;"",TEXT(AUX!BZ$1,"dd-MMM-aa"),"")</f>
      </c>
      <c r="BW259" s="496" t="str">
        <f> IF(BW279&lt;&gt;"",TEXT(AUX!CA$1,"dd-MMM-aa"),"")</f>
      </c>
      <c r="BX259" s="496" t="str">
        <f> IF(BX279&lt;&gt;"",TEXT(AUX!CB$1,"dd-MMM-aa"),"")</f>
      </c>
      <c r="BY259" s="496" t="str">
        <f> IF(BY279&lt;&gt;"",TEXT(AUX!CC$1,"dd-MMM-aa"),"")</f>
      </c>
      <c r="BZ259" s="496" t="str">
        <f> IF(BZ279&lt;&gt;"",TEXT(AUX!CD$1,"dd-MMM-aa"),"")</f>
      </c>
      <c r="CA259" s="496" t="str">
        <f> IF(CA279&lt;&gt;"",TEXT(AUX!CE$1,"dd-MMM-aa"),"")</f>
      </c>
      <c r="CB259" s="496" t="str">
        <f> IF(CB279&lt;&gt;"",TEXT(AUX!CF$1,"dd-MMM-aa"),"")</f>
      </c>
      <c r="CC259" s="496" t="str">
        <f> IF(CC279&lt;&gt;"",TEXT(AUX!CG$1,"dd-MMM-aa"),"")</f>
      </c>
      <c r="CD259" s="496" t="str">
        <f> IF(CD279&lt;&gt;"",TEXT(AUX!CH$1,"dd-MMM-aa"),"")</f>
      </c>
      <c r="CE259" s="496" t="str">
        <f> IF(CE279&lt;&gt;"",TEXT(AUX!CI$1,"dd-MMM-aa"),"")</f>
      </c>
      <c r="CF259" s="496" t="str">
        <f> IF(CF279&lt;&gt;"",TEXT(AUX!CJ$1,"dd-MMM-aa"),"")</f>
      </c>
      <c r="CG259" s="496" t="str">
        <f> IF(CG279&lt;&gt;"",TEXT(AUX!CK$1,"dd-MMM-aa"),"")</f>
      </c>
      <c r="CH259" s="496" t="str">
        <f> IF(CH279&lt;&gt;"",TEXT(AUX!CL$1,"dd-MMM-aa"),"")</f>
      </c>
      <c r="CI259" s="496" t="str">
        <f> IF(CI279&lt;&gt;"",TEXT(AUX!CM$1,"dd-MMM-aa"),"")</f>
      </c>
      <c r="CJ259" s="496" t="str">
        <f> IF(CJ279&lt;&gt;"",TEXT(AUX!CN$1,"dd-MMM-aa"),"")</f>
      </c>
      <c r="CK259" s="496" t="str">
        <f> IF(CK279&lt;&gt;"",TEXT(AUX!CO$1,"dd-MMM-aa"),"")</f>
      </c>
      <c r="CL259" s="496" t="str">
        <f> IF(CL279&lt;&gt;"",TEXT(AUX!CP$1,"dd-MMM-aa"),"")</f>
      </c>
      <c r="CM259" s="496" t="str">
        <f> IF(CM279&lt;&gt;"",TEXT(AUX!CQ$1,"dd-MMM-aa"),"")</f>
      </c>
      <c r="CN259" s="496" t="str">
        <f> IF(CN279&lt;&gt;"",TEXT(AUX!CR$1,"dd-MMM-aa"),"")</f>
      </c>
      <c r="CO259" s="496" t="str">
        <f> IF(CO279&lt;&gt;"",TEXT(AUX!CS$1,"dd-MMM-aa"),"")</f>
      </c>
      <c r="CP259" s="496" t="str">
        <f> IF(CP279&lt;&gt;"",TEXT(AUX!CT$1,"dd-MMM-aa"),"")</f>
      </c>
      <c r="CQ259" s="496" t="str">
        <f> IF(CQ279&lt;&gt;"",TEXT(AUX!CU$1,"dd-MMM-aa"),"")</f>
      </c>
      <c r="CR259" s="496" t="str">
        <f> IF(CR279&lt;&gt;"",TEXT(AUX!CV$1,"dd-MMM-aa"),"")</f>
      </c>
      <c r="CS259" s="496" t="str">
        <f> IF(CS279&lt;&gt;"",TEXT(AUX!CW$1,"dd-MMM-aa"),"")</f>
      </c>
      <c r="CT259" s="496" t="str">
        <f> IF(CT279&lt;&gt;"",TEXT(AUX!CX$1,"dd-MMM-aa"),"")</f>
      </c>
      <c r="CU259" s="496" t="str">
        <f> IF(CU279&lt;&gt;"",TEXT(AUX!CY$1,"dd-MMM-aa"),"")</f>
      </c>
      <c r="CV259" s="496" t="str">
        <f> IF(CV279&lt;&gt;"",TEXT(AUX!CZ$1,"dd-MMM-aa"),"")</f>
      </c>
      <c r="CW259" s="496" t="str">
        <f> IF(CW279&lt;&gt;"",TEXT(AUX!DA$1,"dd-MMM-aa"),"")</f>
      </c>
      <c r="CX259" s="496" t="str">
        <f> IF(CX279&lt;&gt;"",TEXT(AUX!DB$1,"dd-MMM-aa"),"")</f>
      </c>
      <c r="CY259" s="496" t="str">
        <f> IF(CY279&lt;&gt;"",TEXT(AUX!DC$1,"dd-MMM-aa"),"")</f>
      </c>
      <c r="CZ259" s="496" t="str">
        <f> IF(CZ279&lt;&gt;"",TEXT(AUX!DD$1,"dd-MMM-aa"),"")</f>
      </c>
      <c r="DA259" s="496" t="str">
        <f> IF(DA279&lt;&gt;"",TEXT(AUX!DE$1,"dd-MMM-aa"),"")</f>
      </c>
      <c r="DB259" s="496" t="str">
        <f> IF(DB279&lt;&gt;"",TEXT(AUX!DF$1,"dd-MMM-aa"),"")</f>
      </c>
      <c r="DC259" s="496" t="str">
        <f> IF(DC279&lt;&gt;"",TEXT(AUX!DG$1,"dd-MMM-aa"),"")</f>
      </c>
      <c r="DD259" s="496" t="str">
        <f> IF(DD279&lt;&gt;"",TEXT(AUX!DH$1,"dd-MMM-aa"),"")</f>
      </c>
      <c r="DE259" s="496" t="str">
        <f> IF(DE279&lt;&gt;"",TEXT(AUX!DI$1,"dd-MMM-aa"),"")</f>
      </c>
      <c r="DF259" s="496" t="str">
        <f> IF(DF279&lt;&gt;"",TEXT(AUX!DJ$1,"dd-MMM-aa"),"")</f>
      </c>
      <c r="DG259" s="496" t="str">
        <f> IF(DG279&lt;&gt;"",TEXT(AUX!DK$1,"dd-MMM-aa"),"")</f>
      </c>
      <c r="DH259" s="496" t="str">
        <f> IF(DH279&lt;&gt;"",TEXT(AUX!DL$1,"dd-MMM-aa"),"")</f>
      </c>
      <c r="DI259" s="496" t="str">
        <f> IF(DI279&lt;&gt;"",TEXT(AUX!DM$1,"dd-MMM-aa"),"")</f>
      </c>
      <c r="DJ259" s="496" t="str">
        <f> IF(DJ279&lt;&gt;"",TEXT(AUX!DN$1,"dd-MMM-aa"),"")</f>
      </c>
      <c r="DK259" s="496" t="str">
        <f> IF(DK279&lt;&gt;"",TEXT(AUX!DO$1,"dd-MMM-aa"),"")</f>
      </c>
      <c r="DL259" s="496" t="str">
        <f> IF(DL279&lt;&gt;"",TEXT(AUX!DP$1,"dd-MMM-aa"),"")</f>
      </c>
      <c r="DM259" s="496" t="str">
        <f> IF(DM279&lt;&gt;"",TEXT(AUX!DQ$1,"dd-MMM-aa"),"")</f>
      </c>
      <c r="DN259" s="496" t="str">
        <f> IF(DN279&lt;&gt;"",TEXT(AUX!DR$1,"dd-MMM-aa"),"")</f>
      </c>
      <c r="DO259" s="496" t="str">
        <f> IF(DO279&lt;&gt;"",TEXT(AUX!DS$1,"dd-MMM-aa"),"")</f>
      </c>
      <c r="DP259" s="496" t="str">
        <f> IF(DP279&lt;&gt;"",TEXT(AUX!DT$1,"dd-MMM-aa"),"")</f>
      </c>
      <c r="DQ259" s="496" t="str">
        <f> IF(DQ279&lt;&gt;"",TEXT(AUX!DU$1,"dd-MMM-aa"),"")</f>
      </c>
      <c r="DR259" s="496" t="str">
        <f> IF(DR279&lt;&gt;"",TEXT(AUX!DV$1,"dd-MMM-aa"),"")</f>
      </c>
      <c r="DS259" s="496" t="str">
        <f> IF(DS279&lt;&gt;"",TEXT(AUX!DW$1,"dd-MMM-aa"),"")</f>
      </c>
      <c r="DT259" s="496" t="str">
        <f> IF(DT279&lt;&gt;"",TEXT(AUX!DX$1,"dd-MMM-aa"),"")</f>
      </c>
      <c r="DU259" s="496" t="str">
        <f> IF(DU279&lt;&gt;"",TEXT(AUX!DY$1,"dd-MMM-aa"),"")</f>
      </c>
      <c r="DV259" s="496" t="str">
        <f> IF(DV279&lt;&gt;"",TEXT(AUX!DZ$1,"dd-MMM-aa"),"")</f>
      </c>
      <c r="DW259" s="496" t="str">
        <f> IF(DW279&lt;&gt;"",TEXT(AUX!EA$1,"dd-MMM-aa"),"")</f>
      </c>
      <c r="DX259" s="496" t="str">
        <f> IF(DX279&lt;&gt;"",TEXT(AUX!EB$1,"dd-MMM-aa"),"")</f>
      </c>
      <c r="DY259" s="496" t="str">
        <f> IF(DY279&lt;&gt;"",TEXT(AUX!EC$1,"dd-MMM-aa"),"")</f>
      </c>
      <c r="DZ259" s="496" t="str">
        <f> IF(DZ279&lt;&gt;"",TEXT(AUX!ED$1,"dd-MMM-aa"),"")</f>
      </c>
      <c r="EA259" s="496" t="str">
        <f> IF(EA279&lt;&gt;"",TEXT(AUX!EE$1,"dd-MMM-aa"),"")</f>
      </c>
      <c r="EB259" s="496" t="str">
        <f> IF(EB279&lt;&gt;"",TEXT(AUX!EF$1,"dd-MMM-aa"),"")</f>
      </c>
      <c r="EC259" s="496" t="str">
        <f> IF(EC279&lt;&gt;"",TEXT(AUX!EG$1,"dd-MMM-aa"),"")</f>
      </c>
      <c r="ED259" s="496" t="str">
        <f> IF(ED279&lt;&gt;"",TEXT(AUX!EH$1,"dd-MMM-aa"),"")</f>
      </c>
      <c r="EE259" s="496" t="str">
        <f> IF(EE279&lt;&gt;"",TEXT(AUX!EI$1,"dd-MMM-aa"),"")</f>
      </c>
      <c r="EF259" s="496" t="str">
        <f> IF(EF279&lt;&gt;"",TEXT(AUX!EJ$1,"dd-MMM-aa"),"")</f>
      </c>
      <c r="EG259" s="496" t="str">
        <f> IF(EG279&lt;&gt;"",TEXT(AUX!EK$1,"dd-MMM-aa"),"")</f>
      </c>
      <c r="EH259" s="496" t="str">
        <f> IF(EH279&lt;&gt;"",TEXT(AUX!EL$1,"dd-MMM-aa"),"")</f>
      </c>
      <c r="EI259" s="496" t="str">
        <f> IF(EI279&lt;&gt;"",TEXT(AUX!EM$1,"dd-MMM-aa"),"")</f>
      </c>
      <c r="EJ259" s="496" t="str">
        <f> IF(EJ279&lt;&gt;"",TEXT(AUX!EN$1,"dd-MMM-aa"),"")</f>
      </c>
      <c r="EK259" s="496" t="str">
        <f> IF(EK279&lt;&gt;"",TEXT(AUX!EO$1,"dd-MMM-aa"),"")</f>
      </c>
      <c r="EL259" s="496" t="str">
        <f> IF(EL279&lt;&gt;"",TEXT(AUX!EP$1,"dd-MMM-aa"),"")</f>
      </c>
      <c r="EM259" s="496" t="str">
        <f> IF(EM279&lt;&gt;"",TEXT(AUX!EQ$1,"dd-MMM-aa"),"")</f>
      </c>
      <c r="EN259" s="496" t="str">
        <f> IF(EN279&lt;&gt;"",TEXT(AUX!ER$1,"dd-MMM-aa"),"")</f>
      </c>
      <c r="EO259" s="496" t="str">
        <f> IF(EO279&lt;&gt;"",TEXT(AUX!ES$1,"dd-MMM-aa"),"")</f>
      </c>
      <c r="EP259" s="496" t="str">
        <f> IF(EP279&lt;&gt;"",TEXT(AUX!ET$1,"dd-MMM-aa"),"")</f>
      </c>
      <c r="EQ259" s="496" t="str">
        <f> IF(EQ279&lt;&gt;"",TEXT(AUX!EU$1,"dd-MMM-aa"),"")</f>
      </c>
      <c r="ER259" s="496" t="str">
        <f> IF(ER279&lt;&gt;"",TEXT(AUX!EV$1,"dd-MMM-aa"),"")</f>
      </c>
      <c r="ES259" s="496" t="str">
        <f> IF(ES279&lt;&gt;"",TEXT(AUX!EW$1,"dd-MMM-aa"),"")</f>
      </c>
      <c r="ET259" s="496" t="str">
        <f> IF(ET279&lt;&gt;"",TEXT(AUX!EX$1,"dd-MMM-aa"),"")</f>
      </c>
      <c r="EU259" s="496" t="str">
        <f> IF(EU279&lt;&gt;"",TEXT(AUX!EY$1,"dd-MMM-aa"),"")</f>
      </c>
      <c r="EV259" s="496" t="str">
        <f> IF(EV279&lt;&gt;"",TEXT(AUX!EZ$1,"dd-MMM-aa"),"")</f>
      </c>
      <c r="EW259" s="496" t="str">
        <f> IF(EW279&lt;&gt;"",TEXT(AUX!FA$1,"dd-MMM-aa"),"")</f>
      </c>
      <c r="EX259" s="496" t="str">
        <f> IF(EX279&lt;&gt;"",TEXT(AUX!FB$1,"dd-MMM-aa"),"")</f>
      </c>
      <c r="EY259" s="496" t="str">
        <f> IF(EY279&lt;&gt;"",TEXT(AUX!FC$1,"dd-MMM-aa"),"")</f>
      </c>
      <c r="EZ259" s="496" t="str">
        <f> IF(EZ279&lt;&gt;"",TEXT(AUX!FD$1,"dd-MMM-aa"),"")</f>
      </c>
      <c r="FA259" s="496" t="str">
        <f> IF(FA279&lt;&gt;"",TEXT(AUX!FE$1,"dd-MMM-aa"),"")</f>
      </c>
      <c r="FB259" s="496" t="str">
        <f> IF(FB279&lt;&gt;"",TEXT(AUX!FF$1,"dd-MMM-aa"),"")</f>
      </c>
      <c r="FC259" s="496" t="str">
        <f> IF(FC279&lt;&gt;"",TEXT(AUX!FG$1,"dd-MMM-aa"),"")</f>
      </c>
      <c r="FD259" s="496" t="str">
        <f> IF(FD279&lt;&gt;"",TEXT(AUX!FH$1,"dd-MMM-aa"),"")</f>
      </c>
      <c r="FE259" s="496" t="str">
        <f> IF(FE279&lt;&gt;"",TEXT(AUX!FI$1,"dd-MMM-aa"),"")</f>
      </c>
      <c r="FF259" s="496" t="str">
        <f> IF(FF279&lt;&gt;"",TEXT(AUX!FJ$1,"dd-MMM-aa"),"")</f>
      </c>
      <c r="FG259" s="496" t="str">
        <f> IF(FG279&lt;&gt;"",TEXT(AUX!FK$1,"dd-MMM-aa"),"")</f>
      </c>
      <c r="FH259" s="496" t="str">
        <f> IF(FH279&lt;&gt;"",TEXT(AUX!FL$1,"dd-MMM-aa"),"")</f>
      </c>
      <c r="FI259" s="496" t="str">
        <f> IF(FI279&lt;&gt;"",TEXT(AUX!FM$1,"dd-MMM-aa"),"")</f>
      </c>
      <c r="FJ259" s="496" t="str">
        <f> IF(FJ279&lt;&gt;"",TEXT(AUX!FN$1,"dd-MMM-aa"),"")</f>
      </c>
      <c r="FK259" s="496" t="str">
        <f> IF(FK279&lt;&gt;"",TEXT(AUX!FO$1,"dd-MMM-aa"),"")</f>
      </c>
      <c r="FL259" s="496" t="str">
        <f> IF(FL279&lt;&gt;"",TEXT(AUX!FP$1,"dd-MMM-aa"),"")</f>
      </c>
      <c r="FM259" s="496" t="str">
        <f> IF(FM279&lt;&gt;"",TEXT(AUX!FQ$1,"dd-MMM-aa"),"")</f>
      </c>
      <c r="FN259" s="496" t="str">
        <f> IF(FN279&lt;&gt;"",TEXT(AUX!FR$1,"dd-MMM-aa"),"")</f>
      </c>
      <c r="FO259" s="496" t="str">
        <f> IF(FO279&lt;&gt;"",TEXT(AUX!FS$1,"dd-MMM-aa"),"")</f>
      </c>
      <c r="FP259" s="496" t="str">
        <f> IF(FP279&lt;&gt;"",TEXT(AUX!FT$1,"dd-MMM-aa"),"")</f>
      </c>
      <c r="FQ259" s="496" t="str">
        <f> IF(FQ279&lt;&gt;"",TEXT(AUX!FU$1,"dd-MMM-aa"),"")</f>
      </c>
      <c r="FR259" s="496" t="str">
        <f> IF(FR279&lt;&gt;"",TEXT(AUX!FV$1,"dd-MMM-aa"),"")</f>
      </c>
      <c r="FS259" s="496" t="str">
        <f> IF(FS279&lt;&gt;"",TEXT(AUX!FW$1,"dd-MMM-aa"),"")</f>
      </c>
      <c r="FT259" s="496" t="str">
        <f> IF(FT279&lt;&gt;"",TEXT(AUX!FX$1,"dd-MMM-aa"),"")</f>
      </c>
      <c r="FU259" s="496" t="str">
        <f> IF(FU279&lt;&gt;"",TEXT(AUX!FY$1,"dd-MMM-aa"),"")</f>
      </c>
      <c r="FV259" s="496" t="str">
        <f> IF(FV279&lt;&gt;"",TEXT(AUX!FZ$1,"dd-MMM-aa"),"")</f>
      </c>
      <c r="FW259" s="496" t="str">
        <f> IF(FW279&lt;&gt;"",TEXT(AUX!GA$1,"dd-MMM-aa"),"")</f>
      </c>
      <c r="FX259" s="496" t="str">
        <f> IF(FX279&lt;&gt;"",TEXT(AUX!GB$1,"dd-MMM-aa"),"")</f>
      </c>
      <c r="FY259" s="496" t="str">
        <f> IF(FY279&lt;&gt;"",TEXT(AUX!GC$1,"dd-MMM-aa"),"")</f>
      </c>
      <c r="FZ259" s="496" t="str">
        <f> IF(FZ279&lt;&gt;"",TEXT(AUX!GD$1,"dd-MMM-aa"),"")</f>
      </c>
      <c r="GA259" s="496" t="str">
        <f> IF(GA279&lt;&gt;"",TEXT(AUX!GE$1,"dd-MMM-aa"),"")</f>
      </c>
      <c r="GB259" s="496" t="str">
        <f> IF(GB279&lt;&gt;"",TEXT(AUX!GF$1,"dd-MMM-aa"),"")</f>
      </c>
      <c r="GC259" s="496" t="str">
        <f> IF(GC279&lt;&gt;"",TEXT(AUX!GG$1,"dd-MMM-aa"),"")</f>
      </c>
      <c r="GD259" s="496" t="str">
        <f> IF(GD279&lt;&gt;"",TEXT(AUX!GH$1,"dd-MMM-aa"),"")</f>
      </c>
      <c r="GE259" s="496" t="str">
        <f> IF(GE279&lt;&gt;"",TEXT(AUX!GI$1,"dd-MMM-aa"),"")</f>
      </c>
      <c r="GF259" s="496" t="str">
        <f> IF(GF279&lt;&gt;"",TEXT(AUX!GJ$1,"dd-MMM-aa"),"")</f>
      </c>
      <c r="GG259" s="496" t="str">
        <f> IF(GG279&lt;&gt;"",TEXT(AUX!GK$1,"dd-MMM-aa"),"")</f>
      </c>
      <c r="GH259" s="496" t="str">
        <f> IF(GH279&lt;&gt;"",TEXT(AUX!GL$1,"dd-MMM-aa"),"")</f>
      </c>
      <c r="GI259" s="496" t="str">
        <f> IF(GI279&lt;&gt;"",TEXT(AUX!GM$1,"dd-MMM-aa"),"")</f>
      </c>
      <c r="GJ259" s="496" t="str">
        <f> IF(GJ279&lt;&gt;"",TEXT(AUX!GN$1,"dd-MMM-aa"),"")</f>
      </c>
      <c r="GK259" s="496" t="str">
        <f> IF(GK279&lt;&gt;"",TEXT(AUX!GO$1,"dd-MMM-aa"),"")</f>
      </c>
      <c r="GL259" s="496" t="str">
        <f> IF(GL279&lt;&gt;"",TEXT(AUX!GP$1,"dd-MMM-aa"),"")</f>
      </c>
      <c r="GM259" s="496" t="str">
        <f> IF(GM279&lt;&gt;"",TEXT(AUX!GQ$1,"dd-MMM-aa"),"")</f>
      </c>
      <c r="GN259" s="496" t="str">
        <f> IF(GN279&lt;&gt;"",TEXT(AUX!GR$1,"dd-MMM-aa"),"")</f>
      </c>
      <c r="GO259" s="496" t="str">
        <f> IF(GO279&lt;&gt;"",TEXT(AUX!GS$1,"dd-MMM-aa"),"")</f>
      </c>
      <c r="GP259" s="496" t="str">
        <f> IF(GP279&lt;&gt;"",TEXT(AUX!GT$1,"dd-MMM-aa"),"")</f>
      </c>
      <c r="GQ259" s="496" t="str">
        <f> IF(GQ279&lt;&gt;"",TEXT(AUX!GU$1,"dd-MMM-aa"),"")</f>
      </c>
      <c r="GR259" s="496" t="str">
        <f> IF(GR279&lt;&gt;"",TEXT(AUX!GV$1,"dd-MMM-aa"),"")</f>
      </c>
      <c r="GS259" s="496" t="str">
        <f> IF(GS279&lt;&gt;"",TEXT(AUX!GW$1,"dd-MMM-aa"),"")</f>
      </c>
      <c r="GT259" s="496" t="str">
        <f> IF(GT279&lt;&gt;"",TEXT(AUX!GX$1,"dd-MMM-aa"),"")</f>
      </c>
      <c r="GU259" s="496" t="str">
        <f> IF(GU279&lt;&gt;"",TEXT(AUX!GY$1,"dd-MMM-aa"),"")</f>
      </c>
      <c r="GV259" s="496" t="str">
        <f> IF(GV279&lt;&gt;"",TEXT(AUX!GZ$1,"dd-MMM-aa"),"")</f>
      </c>
      <c r="GW259" s="496" t="str">
        <f> IF(GW279&lt;&gt;"",TEXT(AUX!HA$1,"dd-MMM-aa"),"")</f>
      </c>
      <c r="GX259" s="496" t="str">
        <f> IF(GX279&lt;&gt;"",TEXT(AUX!HB$1,"dd-MMM-aa"),"")</f>
      </c>
      <c r="GY259" s="496" t="str">
        <f> IF(GY279&lt;&gt;"",TEXT(AUX!HC$1,"dd-MMM-aa"),"")</f>
      </c>
      <c r="GZ259" s="496" t="str">
        <f> IF(GZ279&lt;&gt;"",TEXT(AUX!HD$1,"dd-MMM-aa"),"")</f>
      </c>
      <c r="HA259" s="496" t="str">
        <f> IF(HA279&lt;&gt;"",TEXT(AUX!HE$1,"dd-MMM-aa"),"")</f>
      </c>
      <c r="HB259" s="496" t="str">
        <f> IF(HB279&lt;&gt;"",TEXT(AUX!HF$1,"dd-MMM-aa"),"")</f>
      </c>
      <c r="HC259" s="496" t="str">
        <f> IF(HC279&lt;&gt;"",TEXT(AUX!HG$1,"dd-MMM-aa"),"")</f>
      </c>
      <c r="HD259" s="496" t="str">
        <f> IF(HD279&lt;&gt;"",TEXT(AUX!HH$1,"dd-MMM-aa"),"")</f>
      </c>
      <c r="HE259" s="496" t="str">
        <f> IF(HE279&lt;&gt;"",TEXT(AUX!HI$1,"dd-MMM-aa"),"")</f>
      </c>
      <c r="HF259" s="496" t="str">
        <f> IF(HF279&lt;&gt;"",TEXT(AUX!HJ$1,"dd-MMM-aa"),"")</f>
      </c>
      <c r="HG259" s="496" t="str">
        <f> IF(HG279&lt;&gt;"",TEXT(AUX!HK$1,"dd-MMM-aa"),"")</f>
      </c>
      <c r="HH259" s="496" t="str">
        <f> IF(HH279&lt;&gt;"",TEXT(AUX!HL$1,"dd-MMM-aa"),"")</f>
      </c>
      <c r="HI259" s="496" t="str">
        <f> IF(HI279&lt;&gt;"",TEXT(AUX!HM$1,"dd-MMM-aa"),"")</f>
      </c>
      <c r="HJ259" s="496" t="str">
        <f> IF(HJ279&lt;&gt;"",TEXT(AUX!HN$1,"dd-MMM-aa"),"")</f>
      </c>
      <c r="HK259" s="496" t="str">
        <f> IF(HK279&lt;&gt;"",TEXT(AUX!HO$1,"dd-MMM-aa"),"")</f>
      </c>
      <c r="HL259" s="496" t="str">
        <f> IF(HL279&lt;&gt;"",TEXT(AUX!HP$1,"dd-MMM-aa"),"")</f>
      </c>
      <c r="HM259" s="496" t="str">
        <f> IF(HM279&lt;&gt;"",TEXT(AUX!HQ$1,"dd-MMM-aa"),"")</f>
      </c>
      <c r="HN259" s="496" t="str">
        <f> IF(HN279&lt;&gt;"",TEXT(AUX!HR$1,"dd-MMM-aa"),"")</f>
      </c>
      <c r="HO259" s="496" t="str">
        <f> IF(HO279&lt;&gt;"",TEXT(AUX!HS$1,"dd-MMM-aa"),"")</f>
      </c>
      <c r="HP259" s="496" t="str">
        <f> IF(HP279&lt;&gt;"",TEXT(AUX!HT$1,"dd-MMM-aa"),"")</f>
      </c>
      <c r="HQ259" s="496" t="str">
        <f> IF(HQ279&lt;&gt;"",TEXT(AUX!HU$1,"dd-MMM-aa"),"")</f>
      </c>
      <c r="HR259" s="496" t="str">
        <f> IF(HR279&lt;&gt;"",TEXT(AUX!HV$1,"dd-MMM-aa"),"")</f>
      </c>
      <c r="HS259" s="496" t="str">
        <f> IF(HS279&lt;&gt;"",TEXT(AUX!HW$1,"dd-MMM-aa"),"")</f>
      </c>
      <c r="HT259" s="496" t="str">
        <f> IF(HT279&lt;&gt;"",TEXT(AUX!HX$1,"dd-MMM-aa"),"")</f>
      </c>
      <c r="HU259" s="496" t="str">
        <f> IF(HU279&lt;&gt;"",TEXT(AUX!HY$1,"dd-MMM-aa"),"")</f>
      </c>
      <c r="HV259" s="496" t="str">
        <f> IF(HV279&lt;&gt;"",TEXT(AUX!HZ$1,"dd-MMM-aa"),"")</f>
      </c>
      <c r="HW259" s="496" t="str">
        <f> IF(HW279&lt;&gt;"",TEXT(AUX!IA$1,"dd-MMM-aa"),"")</f>
      </c>
      <c r="HX259" s="496" t="str">
        <f> IF(HX279&lt;&gt;"",TEXT(AUX!IB$1,"dd-MMM-aa"),"")</f>
      </c>
      <c r="HY259" s="496" t="str">
        <f> IF(HY279&lt;&gt;"",TEXT(AUX!IC$1,"dd-MMM-aa"),"")</f>
      </c>
      <c r="HZ259" s="496" t="str">
        <f> IF(HZ279&lt;&gt;"",TEXT(AUX!ID$1,"dd-MMM-aa"),"")</f>
      </c>
      <c r="IA259" s="496" t="str">
        <f> IF(IA279&lt;&gt;"",TEXT(AUX!IE$1,"dd-MMM-aa"),"")</f>
      </c>
      <c r="IB259" s="496" t="str">
        <f> IF(IB279&lt;&gt;"",TEXT(AUX!IF$1,"dd-MMM-aa"),"")</f>
      </c>
      <c r="IC259" s="496" t="str">
        <f> IF(IC279&lt;&gt;"",TEXT(AUX!IG$1,"dd-MMM-aa"),"")</f>
      </c>
      <c r="ID259" s="496" t="str">
        <f> IF(ID279&lt;&gt;"",TEXT(AUX!IH$1,"dd-MMM-aa"),"")</f>
      </c>
      <c r="IE259" s="496" t="str">
        <f> IF(IE279&lt;&gt;"",TEXT(AUX!II$1,"dd-MMM-aa"),"")</f>
      </c>
      <c r="IF259" s="496" t="str">
        <f> IF(IF279&lt;&gt;"",TEXT(AUX!IJ$1,"dd-MMM-aa"),"")</f>
      </c>
      <c r="IG259" s="496" t="str">
        <f> IF(IG279&lt;&gt;"",TEXT(AUX!IK$1,"dd-MMM-aa"),"")</f>
      </c>
      <c r="IH259" s="496" t="str">
        <f> IF(IH279&lt;&gt;"",TEXT(AUX!IL$1,"dd-MMM-aa"),"")</f>
      </c>
      <c r="II259" s="496" t="str">
        <f> IF(II279&lt;&gt;"",TEXT(AUX!IM$1,"dd-MMM-aa"),"")</f>
      </c>
      <c r="IJ259" s="496" t="str">
        <f> IF(IJ279&lt;&gt;"",TEXT(AUX!IN$1,"dd-MMM-aa"),"")</f>
      </c>
      <c r="IK259" s="496" t="str">
        <f> IF(IK279&lt;&gt;"",TEXT(AUX!IO$1,"dd-MMM-aa"),"")</f>
      </c>
      <c r="IL259" s="496" t="str">
        <f> IF(IL279&lt;&gt;"",TEXT(AUX!IP$1,"dd-MMM-aa"),"")</f>
      </c>
      <c r="IM259" s="496" t="str">
        <f> IF(IM279&lt;&gt;"",TEXT(AUX!IQ$1,"dd-MMM-aa"),"")</f>
      </c>
      <c r="IN259" s="496" t="str">
        <f> IF(IN279&lt;&gt;"",TEXT(AUX!IR$1,"dd-MMM-aa"),"")</f>
      </c>
      <c r="IO259" s="496" t="str">
        <f> IF(IO279&lt;&gt;"",TEXT(AUX!IS$1,"dd-MMM-aa"),"")</f>
      </c>
      <c r="IP259" s="496" t="str">
        <f> IF(IP279&lt;&gt;"",TEXT(AUX!IT$1,"dd-MMM-aa"),"")</f>
      </c>
      <c r="IQ259" s="496" t="str">
        <f> IF(IQ279&lt;&gt;"",TEXT(AUX!IU$1,"dd-MMM-aa"),"")</f>
      </c>
      <c r="IR259" s="496" t="str">
        <f> IF(IR279&lt;&gt;"",TEXT(AUX!IV$1,"dd-MMM-aa"),"")</f>
      </c>
      <c r="IS259" s="496" t="str">
        <f> IF(IS279&lt;&gt;"",TEXT(AUX!#REF!,"dd-MMM-aa"),"")</f>
      </c>
      <c r="IT259" s="496" t="str">
        <f> IF(IT279&lt;&gt;"",TEXT(AUX!#REF!,"dd-MMM-aa"),"")</f>
      </c>
      <c r="IU259" s="496" t="str">
        <f> IF(IU279&lt;&gt;"",TEXT(AUX!#REF!,"dd-MMM-aa"),"")</f>
      </c>
      <c r="IV259" s="496" t="str">
        <f> IF(IV279&lt;&gt;"",TEXT(AUX!#REF!,"dd-MMM-aa"),"")</f>
      </c>
    </row>
    <row r="260" hidden="1">
      <c r="B260" s="822" t="s">
        <v>8</v>
      </c>
      <c r="C260" s="823">
        <v>0</v>
      </c>
      <c r="D260" s="823">
        <v>373</v>
      </c>
      <c r="E260" s="823">
        <v>939</v>
      </c>
      <c r="F260" s="823">
        <v>1086</v>
      </c>
      <c r="G260" s="823">
        <v>1150</v>
      </c>
      <c r="H260" s="823">
        <v>1197</v>
      </c>
      <c r="I260" s="823">
        <v>1228</v>
      </c>
      <c r="J260" s="823">
        <v>1244</v>
      </c>
      <c r="K260" s="823">
        <v>1258</v>
      </c>
      <c r="L260" s="823">
        <v>1209</v>
      </c>
      <c r="M260" s="823">
        <v>1228</v>
      </c>
      <c r="N260" s="823">
        <v>1243</v>
      </c>
      <c r="O260" s="823">
        <v>2533</v>
      </c>
      <c r="P260" s="823">
        <v>2543</v>
      </c>
      <c r="Q260" s="823">
        <v>2552</v>
      </c>
      <c r="R260" s="823">
        <v>2533</v>
      </c>
      <c r="S260" s="823">
        <v>2568</v>
      </c>
      <c r="T260" s="823">
        <v>2572</v>
      </c>
      <c r="U260" s="823">
        <v>922</v>
      </c>
      <c r="V260" s="823">
        <v>929</v>
      </c>
      <c r="W260" s="823">
        <v>930</v>
      </c>
      <c r="X260" s="823">
        <v>925</v>
      </c>
      <c r="Y260" s="823">
        <v>926</v>
      </c>
      <c r="Z260" s="823">
        <v>924</v>
      </c>
      <c r="AA260" s="823">
        <v>902</v>
      </c>
      <c r="AB260" s="824">
        <v>899</v>
      </c>
      <c r="AC260" s="825">
        <v>897</v>
      </c>
      <c r="AD260" s="825">
        <v>905</v>
      </c>
      <c r="AE260" s="825">
        <v>905</v>
      </c>
      <c r="AF260" s="825">
        <v>910</v>
      </c>
      <c r="AG260" s="825">
        <v>920</v>
      </c>
      <c r="AH260" s="825">
        <v>919</v>
      </c>
      <c r="AI260" s="825">
        <v>915</v>
      </c>
      <c r="AJ260" s="825">
        <v>904</v>
      </c>
      <c r="AK260" s="825">
        <v>898</v>
      </c>
      <c r="AL260" s="825">
        <v>866</v>
      </c>
      <c r="AM260" s="825">
        <v>853</v>
      </c>
      <c r="AN260" s="825">
        <v>852</v>
      </c>
      <c r="AO260" s="825">
        <v>838</v>
      </c>
      <c r="AP260" s="825">
        <v>841</v>
      </c>
      <c r="AQ260" s="51"/>
      <c r="AR260" s="51"/>
      <c r="AS260" s="51"/>
      <c r="AT260" s="51"/>
      <c r="AU260" s="51"/>
      <c r="AV260" s="51"/>
      <c r="AW260" s="51"/>
      <c r="AX260" s="51"/>
      <c r="AY260" s="51"/>
      <c r="AZ260" s="51"/>
      <c r="BA260" s="51"/>
      <c r="BB260" s="51"/>
      <c r="BC260" s="51"/>
      <c r="BD260" s="51"/>
      <c r="BE260" s="51"/>
      <c r="BF260" s="51"/>
      <c r="BG260" s="51"/>
      <c r="BH260" s="51"/>
      <c r="BI260" s="51"/>
      <c r="BJ260" s="51"/>
      <c r="BK260" s="51"/>
      <c r="BL260" s="51"/>
      <c r="BM260" s="51"/>
      <c r="BN260" s="51"/>
      <c r="BO260" s="51"/>
      <c r="BP260" s="51"/>
      <c r="BQ260" s="51"/>
      <c r="BR260" s="51"/>
      <c r="BS260" s="51"/>
      <c r="BT260" s="51"/>
      <c r="BU260" s="51"/>
      <c r="BV260" s="51"/>
      <c r="BW260" s="51"/>
      <c r="BX260" s="51"/>
      <c r="BY260" s="51"/>
      <c r="BZ260" s="51"/>
      <c r="CA260" s="51"/>
      <c r="CB260" s="51"/>
      <c r="CC260" s="51"/>
      <c r="CD260" s="51"/>
      <c r="CE260" s="51"/>
      <c r="CF260" s="51"/>
      <c r="CG260" s="51"/>
      <c r="CH260" s="51"/>
      <c r="CI260" s="51"/>
      <c r="CJ260" s="51"/>
      <c r="CK260" s="51"/>
      <c r="CL260" s="51"/>
      <c r="CM260" s="51"/>
      <c r="CN260" s="51"/>
      <c r="CO260" s="51"/>
      <c r="CP260" s="51"/>
      <c r="CQ260" s="51"/>
      <c r="CR260" s="51"/>
      <c r="CS260" s="51"/>
      <c r="CT260" s="51"/>
      <c r="CU260" s="51"/>
      <c r="CV260" s="51"/>
      <c r="CW260" s="51"/>
      <c r="CX260" s="51"/>
      <c r="CY260" s="51"/>
      <c r="CZ260" s="51"/>
      <c r="DA260" s="51"/>
      <c r="DB260" s="51"/>
      <c r="DC260" s="51"/>
      <c r="DD260" s="51"/>
      <c r="DE260" s="51"/>
      <c r="DF260" s="51"/>
      <c r="DG260" s="51"/>
      <c r="DH260" s="51"/>
      <c r="DI260" s="51"/>
      <c r="DJ260" s="51"/>
      <c r="DK260" s="51"/>
      <c r="DL260" s="51"/>
      <c r="DM260" s="51"/>
      <c r="DN260" s="51"/>
      <c r="DO260" s="51"/>
      <c r="DP260" s="51"/>
      <c r="DQ260" s="51"/>
      <c r="DR260" s="51"/>
      <c r="DS260" s="51"/>
      <c r="DT260" s="51"/>
      <c r="DU260" s="51"/>
      <c r="DV260" s="51"/>
      <c r="DW260" s="51"/>
      <c r="DX260" s="51"/>
      <c r="DY260" s="51"/>
      <c r="DZ260" s="51"/>
      <c r="EA260" s="51"/>
      <c r="EB260" s="51"/>
      <c r="EC260" s="51"/>
      <c r="ED260" s="51"/>
      <c r="EE260" s="51"/>
      <c r="EF260" s="51"/>
      <c r="EG260" s="51"/>
      <c r="EH260" s="51"/>
      <c r="EI260" s="51"/>
      <c r="EJ260" s="51"/>
      <c r="EK260" s="51"/>
      <c r="EL260" s="51"/>
      <c r="EM260" s="51"/>
      <c r="EN260" s="51"/>
      <c r="EO260" s="51"/>
      <c r="EP260" s="51"/>
      <c r="EQ260" s="51"/>
      <c r="ER260" s="51"/>
      <c r="ES260" s="51"/>
      <c r="ET260" s="51"/>
      <c r="EU260" s="51"/>
      <c r="EV260" s="51"/>
      <c r="EW260" s="51"/>
      <c r="EX260" s="51"/>
      <c r="EY260" s="51"/>
      <c r="EZ260" s="51"/>
      <c r="FA260" s="51"/>
      <c r="FB260" s="51"/>
      <c r="FC260" s="51"/>
      <c r="FD260" s="51"/>
      <c r="FE260" s="51"/>
      <c r="FF260" s="51"/>
      <c r="FG260" s="51"/>
      <c r="FH260" s="51"/>
      <c r="FI260" s="51"/>
      <c r="FJ260" s="51"/>
      <c r="FK260" s="51"/>
      <c r="FL260" s="51"/>
      <c r="FM260" s="51"/>
      <c r="FN260" s="51"/>
      <c r="FO260" s="51"/>
      <c r="FP260" s="51"/>
      <c r="FQ260" s="51"/>
      <c r="FR260" s="51"/>
      <c r="FS260" s="51"/>
      <c r="FT260" s="51"/>
      <c r="FU260" s="51"/>
      <c r="FV260" s="51"/>
      <c r="FW260" s="51"/>
      <c r="FX260" s="51"/>
      <c r="FY260" s="51"/>
      <c r="FZ260" s="51"/>
      <c r="GA260" s="51"/>
      <c r="GB260" s="51"/>
      <c r="GC260" s="51"/>
      <c r="GD260" s="51"/>
      <c r="GE260" s="51"/>
      <c r="GF260" s="51"/>
      <c r="GG260" s="51"/>
      <c r="GH260" s="51"/>
      <c r="GI260" s="51"/>
      <c r="GJ260" s="51"/>
      <c r="GK260" s="51"/>
      <c r="GL260" s="51"/>
      <c r="GM260" s="51"/>
      <c r="GN260" s="51"/>
      <c r="GO260" s="51"/>
      <c r="GP260" s="51"/>
      <c r="GQ260" s="51"/>
      <c r="GR260" s="51"/>
      <c r="GS260" s="51"/>
      <c r="GT260" s="51"/>
      <c r="GU260" s="51"/>
      <c r="GV260" s="51"/>
      <c r="GW260" s="51"/>
      <c r="GX260" s="51"/>
      <c r="GY260" s="51"/>
      <c r="GZ260" s="51"/>
      <c r="HA260" s="51"/>
      <c r="HB260" s="51"/>
      <c r="HC260" s="51"/>
      <c r="HD260" s="51"/>
      <c r="HE260" s="51"/>
      <c r="HF260" s="51"/>
      <c r="HG260" s="51"/>
      <c r="HH260" s="51"/>
      <c r="HI260" s="51"/>
      <c r="HJ260" s="51"/>
      <c r="HK260" s="51"/>
      <c r="HL260" s="51"/>
      <c r="HM260" s="51"/>
      <c r="HN260" s="51"/>
      <c r="HO260" s="51"/>
      <c r="HP260" s="51"/>
      <c r="HQ260" s="51"/>
      <c r="HR260" s="51"/>
      <c r="HS260" s="51"/>
      <c r="HT260" s="51"/>
      <c r="HU260" s="51"/>
      <c r="HV260" s="51"/>
      <c r="HW260" s="51"/>
      <c r="HX260" s="51"/>
      <c r="HY260" s="51"/>
      <c r="HZ260" s="51"/>
      <c r="IA260" s="51"/>
      <c r="IB260" s="51"/>
      <c r="IC260" s="51"/>
      <c r="ID260" s="51"/>
      <c r="IE260" s="51"/>
      <c r="IF260" s="51"/>
      <c r="IG260" s="51"/>
      <c r="IH260" s="51"/>
      <c r="II260" s="51"/>
      <c r="IJ260" s="51"/>
      <c r="IK260" s="51"/>
      <c r="IL260" s="51"/>
      <c r="IM260" s="51"/>
      <c r="IN260" s="51"/>
      <c r="IO260" s="51"/>
      <c r="IP260" s="51"/>
      <c r="IQ260" s="51"/>
      <c r="IR260" s="51"/>
      <c r="IS260" s="51"/>
      <c r="IT260" s="51"/>
      <c r="IU260" s="51"/>
      <c r="IV260" s="51"/>
    </row>
    <row r="261" hidden="1">
      <c r="B261" s="826" t="s">
        <v>9</v>
      </c>
      <c r="C261" s="827">
        <v>1</v>
      </c>
      <c r="D261" s="827">
        <v>2</v>
      </c>
      <c r="E261" s="827">
        <v>6</v>
      </c>
      <c r="F261" s="827">
        <v>10</v>
      </c>
      <c r="G261" s="827">
        <v>13</v>
      </c>
      <c r="H261" s="827">
        <v>13</v>
      </c>
      <c r="I261" s="827">
        <v>16</v>
      </c>
      <c r="J261" s="827">
        <v>14</v>
      </c>
      <c r="K261" s="827">
        <v>18</v>
      </c>
      <c r="L261" s="827">
        <v>24</v>
      </c>
      <c r="M261" s="827">
        <v>30</v>
      </c>
      <c r="N261" s="827">
        <v>36</v>
      </c>
      <c r="O261" s="827">
        <v>23</v>
      </c>
      <c r="P261" s="827">
        <v>25</v>
      </c>
      <c r="Q261" s="827">
        <v>24</v>
      </c>
      <c r="R261" s="827">
        <v>27</v>
      </c>
      <c r="S261" s="827">
        <v>30</v>
      </c>
      <c r="T261" s="827">
        <v>30</v>
      </c>
      <c r="U261" s="827">
        <v>33</v>
      </c>
      <c r="V261" s="827">
        <v>33</v>
      </c>
      <c r="W261" s="827">
        <v>35</v>
      </c>
      <c r="X261" s="827">
        <v>35</v>
      </c>
      <c r="Y261" s="827">
        <v>31</v>
      </c>
      <c r="Z261" s="827">
        <v>33</v>
      </c>
      <c r="AA261" s="827">
        <v>27</v>
      </c>
      <c r="AB261" s="827">
        <v>29</v>
      </c>
      <c r="AC261" s="828">
        <v>33</v>
      </c>
      <c r="AD261" s="828">
        <v>32</v>
      </c>
      <c r="AE261" s="828">
        <v>33</v>
      </c>
      <c r="AF261" s="828">
        <v>36</v>
      </c>
      <c r="AG261" s="828">
        <v>35</v>
      </c>
      <c r="AH261" s="828">
        <v>34</v>
      </c>
      <c r="AI261" s="828">
        <v>35</v>
      </c>
      <c r="AJ261" s="828">
        <v>37</v>
      </c>
      <c r="AK261" s="828">
        <v>38</v>
      </c>
      <c r="AL261" s="828">
        <v>38</v>
      </c>
      <c r="AM261" s="828">
        <v>39</v>
      </c>
      <c r="AN261" s="828">
        <v>41</v>
      </c>
      <c r="AO261" s="828">
        <v>43</v>
      </c>
      <c r="AP261" s="828">
        <v>44</v>
      </c>
      <c r="AQ261" s="51"/>
      <c r="AR261" s="51"/>
      <c r="AS261" s="51"/>
      <c r="AT261" s="51"/>
      <c r="AU261" s="51"/>
      <c r="AV261" s="51"/>
      <c r="AW261" s="51"/>
      <c r="AX261" s="51"/>
      <c r="AY261" s="51"/>
      <c r="AZ261" s="51"/>
      <c r="BA261" s="51"/>
      <c r="BB261" s="51"/>
      <c r="BC261" s="51"/>
      <c r="BD261" s="51"/>
      <c r="BE261" s="51"/>
      <c r="BF261" s="51"/>
      <c r="BG261" s="51"/>
      <c r="BH261" s="51"/>
      <c r="BI261" s="51"/>
      <c r="BJ261" s="51"/>
      <c r="BK261" s="51"/>
      <c r="BL261" s="51"/>
      <c r="BM261" s="51"/>
      <c r="BN261" s="51"/>
      <c r="BO261" s="51"/>
      <c r="BP261" s="51"/>
      <c r="BQ261" s="51"/>
      <c r="BR261" s="51"/>
      <c r="BS261" s="51"/>
      <c r="BT261" s="51"/>
      <c r="BU261" s="51"/>
      <c r="BV261" s="51"/>
      <c r="BW261" s="51"/>
      <c r="BX261" s="51"/>
      <c r="BY261" s="51"/>
      <c r="BZ261" s="51"/>
      <c r="CA261" s="51"/>
      <c r="CB261" s="51"/>
      <c r="CC261" s="51"/>
      <c r="CD261" s="51"/>
      <c r="CE261" s="51"/>
      <c r="CF261" s="51"/>
      <c r="CG261" s="51"/>
      <c r="CH261" s="51"/>
      <c r="CI261" s="51"/>
      <c r="CJ261" s="51"/>
      <c r="CK261" s="51"/>
      <c r="CL261" s="51"/>
      <c r="CM261" s="51"/>
      <c r="CN261" s="51"/>
      <c r="CO261" s="51"/>
      <c r="CP261" s="51"/>
      <c r="CQ261" s="51"/>
      <c r="CR261" s="51"/>
      <c r="CS261" s="51"/>
      <c r="CT261" s="51"/>
      <c r="CU261" s="51"/>
      <c r="CV261" s="51"/>
      <c r="CW261" s="51"/>
      <c r="CX261" s="51"/>
      <c r="CY261" s="51"/>
      <c r="CZ261" s="51"/>
      <c r="DA261" s="51"/>
      <c r="DB261" s="51"/>
      <c r="DC261" s="51"/>
      <c r="DD261" s="51"/>
      <c r="DE261" s="51"/>
      <c r="DF261" s="51"/>
      <c r="DG261" s="51"/>
      <c r="DH261" s="51"/>
      <c r="DI261" s="51"/>
      <c r="DJ261" s="51"/>
      <c r="DK261" s="51"/>
      <c r="DL261" s="51"/>
      <c r="DM261" s="51"/>
      <c r="DN261" s="51"/>
      <c r="DO261" s="51"/>
      <c r="DP261" s="51"/>
      <c r="DQ261" s="51"/>
      <c r="DR261" s="51"/>
      <c r="DS261" s="51"/>
      <c r="DT261" s="51"/>
      <c r="DU261" s="51"/>
      <c r="DV261" s="51"/>
      <c r="DW261" s="51"/>
      <c r="DX261" s="51"/>
      <c r="DY261" s="51"/>
      <c r="DZ261" s="51"/>
      <c r="EA261" s="51"/>
      <c r="EB261" s="51"/>
      <c r="EC261" s="51"/>
      <c r="ED261" s="51"/>
      <c r="EE261" s="51"/>
      <c r="EF261" s="51"/>
      <c r="EG261" s="51"/>
      <c r="EH261" s="51"/>
      <c r="EI261" s="51"/>
      <c r="EJ261" s="51"/>
      <c r="EK261" s="51"/>
      <c r="EL261" s="51"/>
      <c r="EM261" s="51"/>
      <c r="EN261" s="51"/>
      <c r="EO261" s="51"/>
      <c r="EP261" s="51"/>
      <c r="EQ261" s="51"/>
      <c r="ER261" s="51"/>
      <c r="ES261" s="51"/>
      <c r="ET261" s="51"/>
      <c r="EU261" s="51"/>
      <c r="EV261" s="51"/>
      <c r="EW261" s="51"/>
      <c r="EX261" s="51"/>
      <c r="EY261" s="51"/>
      <c r="EZ261" s="51"/>
      <c r="FA261" s="51"/>
      <c r="FB261" s="51"/>
      <c r="FC261" s="51"/>
      <c r="FD261" s="51"/>
      <c r="FE261" s="51"/>
      <c r="FF261" s="51"/>
      <c r="FG261" s="51"/>
      <c r="FH261" s="51"/>
      <c r="FI261" s="51"/>
      <c r="FJ261" s="51"/>
      <c r="FK261" s="51"/>
      <c r="FL261" s="51"/>
      <c r="FM261" s="51"/>
      <c r="FN261" s="51"/>
      <c r="FO261" s="51"/>
      <c r="FP261" s="51"/>
      <c r="FQ261" s="51"/>
      <c r="FR261" s="51"/>
      <c r="FS261" s="51"/>
      <c r="FT261" s="51"/>
      <c r="FU261" s="51"/>
      <c r="FV261" s="51"/>
      <c r="FW261" s="51"/>
      <c r="FX261" s="51"/>
      <c r="FY261" s="51"/>
      <c r="FZ261" s="51"/>
      <c r="GA261" s="51"/>
      <c r="GB261" s="51"/>
      <c r="GC261" s="51"/>
      <c r="GD261" s="51"/>
      <c r="GE261" s="51"/>
      <c r="GF261" s="51"/>
      <c r="GG261" s="51"/>
      <c r="GH261" s="51"/>
      <c r="GI261" s="51"/>
      <c r="GJ261" s="51"/>
      <c r="GK261" s="51"/>
      <c r="GL261" s="51"/>
      <c r="GM261" s="51"/>
      <c r="GN261" s="51"/>
      <c r="GO261" s="51"/>
      <c r="GP261" s="51"/>
      <c r="GQ261" s="51"/>
      <c r="GR261" s="51"/>
      <c r="GS261" s="51"/>
      <c r="GT261" s="51"/>
      <c r="GU261" s="51"/>
      <c r="GV261" s="51"/>
      <c r="GW261" s="51"/>
      <c r="GX261" s="51"/>
      <c r="GY261" s="51"/>
      <c r="GZ261" s="51"/>
      <c r="HA261" s="51"/>
      <c r="HB261" s="51"/>
      <c r="HC261" s="51"/>
      <c r="HD261" s="51"/>
      <c r="HE261" s="51"/>
      <c r="HF261" s="51"/>
      <c r="HG261" s="51"/>
      <c r="HH261" s="51"/>
      <c r="HI261" s="51"/>
      <c r="HJ261" s="51"/>
      <c r="HK261" s="51"/>
      <c r="HL261" s="51"/>
      <c r="HM261" s="51"/>
      <c r="HN261" s="51"/>
      <c r="HO261" s="51"/>
      <c r="HP261" s="51"/>
      <c r="HQ261" s="51"/>
      <c r="HR261" s="51"/>
      <c r="HS261" s="51"/>
      <c r="HT261" s="51"/>
      <c r="HU261" s="51"/>
      <c r="HV261" s="51"/>
      <c r="HW261" s="51"/>
      <c r="HX261" s="51"/>
      <c r="HY261" s="51"/>
      <c r="HZ261" s="51"/>
      <c r="IA261" s="51"/>
      <c r="IB261" s="51"/>
      <c r="IC261" s="51"/>
      <c r="ID261" s="51"/>
      <c r="IE261" s="51"/>
      <c r="IF261" s="51"/>
      <c r="IG261" s="51"/>
      <c r="IH261" s="51"/>
      <c r="II261" s="51"/>
      <c r="IJ261" s="51"/>
      <c r="IK261" s="51"/>
      <c r="IL261" s="51"/>
      <c r="IM261" s="51"/>
      <c r="IN261" s="51"/>
      <c r="IO261" s="51"/>
      <c r="IP261" s="51"/>
      <c r="IQ261" s="51"/>
      <c r="IR261" s="51"/>
      <c r="IS261" s="51"/>
      <c r="IT261" s="51"/>
      <c r="IU261" s="51"/>
      <c r="IV261" s="51"/>
    </row>
    <row r="262" hidden="1">
      <c r="B262" s="829" t="s">
        <v>10</v>
      </c>
      <c r="C262" s="823">
        <v>0</v>
      </c>
      <c r="D262" s="823">
        <v>0</v>
      </c>
      <c r="E262" s="823">
        <v>0</v>
      </c>
      <c r="F262" s="823">
        <v>0</v>
      </c>
      <c r="G262" s="823">
        <v>0</v>
      </c>
      <c r="H262" s="823">
        <v>0</v>
      </c>
      <c r="I262" s="823">
        <v>0</v>
      </c>
      <c r="J262" s="823">
        <v>0</v>
      </c>
      <c r="K262" s="823">
        <v>0</v>
      </c>
      <c r="L262" s="823">
        <v>0</v>
      </c>
      <c r="M262" s="823">
        <v>0</v>
      </c>
      <c r="N262" s="823">
        <v>0</v>
      </c>
      <c r="O262" s="823">
        <v>12</v>
      </c>
      <c r="P262" s="823">
        <v>12</v>
      </c>
      <c r="Q262" s="823">
        <v>13</v>
      </c>
      <c r="R262" s="823">
        <v>16</v>
      </c>
      <c r="S262" s="823">
        <v>18</v>
      </c>
      <c r="T262" s="823">
        <v>20</v>
      </c>
      <c r="U262" s="823">
        <v>22</v>
      </c>
      <c r="V262" s="823">
        <v>23</v>
      </c>
      <c r="W262" s="823">
        <v>0</v>
      </c>
      <c r="X262" s="823">
        <v>0</v>
      </c>
      <c r="Y262" s="823">
        <v>0</v>
      </c>
      <c r="Z262" s="823">
        <v>27</v>
      </c>
      <c r="AA262" s="823">
        <v>28</v>
      </c>
      <c r="AB262" s="823">
        <v>28</v>
      </c>
      <c r="AC262" s="825">
        <v>30</v>
      </c>
      <c r="AD262" s="825">
        <v>31</v>
      </c>
      <c r="AE262" s="825">
        <v>31</v>
      </c>
      <c r="AF262" s="825">
        <v>32</v>
      </c>
      <c r="AG262" s="825">
        <v>32</v>
      </c>
      <c r="AH262" s="825">
        <v>34</v>
      </c>
      <c r="AI262" s="825">
        <v>36</v>
      </c>
      <c r="AJ262" s="825">
        <v>37</v>
      </c>
      <c r="AK262" s="825">
        <v>37</v>
      </c>
      <c r="AL262" s="825">
        <v>38</v>
      </c>
      <c r="AM262" s="825">
        <v>38</v>
      </c>
      <c r="AN262" s="825">
        <v>40</v>
      </c>
      <c r="AO262" s="825">
        <v>41</v>
      </c>
      <c r="AP262" s="825">
        <v>42</v>
      </c>
      <c r="AQ262" s="51"/>
      <c r="AR262" s="51"/>
      <c r="AS262" s="51"/>
      <c r="AT262" s="51"/>
      <c r="AU262" s="51"/>
      <c r="AV262" s="51"/>
      <c r="AW262" s="51"/>
      <c r="AX262" s="51"/>
      <c r="AY262" s="51"/>
      <c r="AZ262" s="51"/>
      <c r="BA262" s="51"/>
      <c r="BB262" s="51"/>
      <c r="BC262" s="51"/>
      <c r="BD262" s="51"/>
      <c r="BE262" s="51"/>
      <c r="BF262" s="51"/>
      <c r="BG262" s="51"/>
      <c r="BH262" s="51"/>
      <c r="BI262" s="51"/>
      <c r="BJ262" s="51"/>
      <c r="BK262" s="51"/>
      <c r="BL262" s="51"/>
      <c r="BM262" s="51"/>
      <c r="BN262" s="51"/>
      <c r="BO262" s="51"/>
      <c r="BP262" s="51"/>
      <c r="BQ262" s="51"/>
      <c r="BR262" s="51"/>
      <c r="BS262" s="51"/>
      <c r="BT262" s="51"/>
      <c r="BU262" s="51"/>
      <c r="BV262" s="51"/>
      <c r="BW262" s="51"/>
      <c r="BX262" s="51"/>
      <c r="BY262" s="51"/>
      <c r="BZ262" s="51"/>
      <c r="CA262" s="51"/>
      <c r="CB262" s="51"/>
      <c r="CC262" s="51"/>
      <c r="CD262" s="51"/>
      <c r="CE262" s="51"/>
      <c r="CF262" s="51"/>
      <c r="CG262" s="51"/>
      <c r="CH262" s="51"/>
      <c r="CI262" s="51"/>
      <c r="CJ262" s="51"/>
      <c r="CK262" s="51"/>
      <c r="CL262" s="51"/>
      <c r="CM262" s="51"/>
      <c r="CN262" s="51"/>
      <c r="CO262" s="51"/>
      <c r="CP262" s="51"/>
      <c r="CQ262" s="51"/>
      <c r="CR262" s="51"/>
      <c r="CS262" s="51"/>
      <c r="CT262" s="51"/>
      <c r="CU262" s="51"/>
      <c r="CV262" s="51"/>
      <c r="CW262" s="51"/>
      <c r="CX262" s="51"/>
      <c r="CY262" s="51"/>
      <c r="CZ262" s="51"/>
      <c r="DA262" s="51"/>
      <c r="DB262" s="51"/>
      <c r="DC262" s="51"/>
      <c r="DD262" s="51"/>
      <c r="DE262" s="51"/>
      <c r="DF262" s="51"/>
      <c r="DG262" s="51"/>
      <c r="DH262" s="51"/>
      <c r="DI262" s="51"/>
      <c r="DJ262" s="51"/>
      <c r="DK262" s="51"/>
      <c r="DL262" s="51"/>
      <c r="DM262" s="51"/>
      <c r="DN262" s="51"/>
      <c r="DO262" s="51"/>
      <c r="DP262" s="51"/>
      <c r="DQ262" s="51"/>
      <c r="DR262" s="51"/>
      <c r="DS262" s="51"/>
      <c r="DT262" s="51"/>
      <c r="DU262" s="51"/>
      <c r="DV262" s="51"/>
      <c r="DW262" s="51"/>
      <c r="DX262" s="51"/>
      <c r="DY262" s="51"/>
      <c r="DZ262" s="51"/>
      <c r="EA262" s="51"/>
      <c r="EB262" s="51"/>
      <c r="EC262" s="51"/>
      <c r="ED262" s="51"/>
      <c r="EE262" s="51"/>
      <c r="EF262" s="51"/>
      <c r="EG262" s="51"/>
      <c r="EH262" s="51"/>
      <c r="EI262" s="51"/>
      <c r="EJ262" s="51"/>
      <c r="EK262" s="51"/>
      <c r="EL262" s="51"/>
      <c r="EM262" s="51"/>
      <c r="EN262" s="51"/>
      <c r="EO262" s="51"/>
      <c r="EP262" s="51"/>
      <c r="EQ262" s="51"/>
      <c r="ER262" s="51"/>
      <c r="ES262" s="51"/>
      <c r="ET262" s="51"/>
      <c r="EU262" s="51"/>
      <c r="EV262" s="51"/>
      <c r="EW262" s="51"/>
      <c r="EX262" s="51"/>
      <c r="EY262" s="51"/>
      <c r="EZ262" s="51"/>
      <c r="FA262" s="51"/>
      <c r="FB262" s="51"/>
      <c r="FC262" s="51"/>
      <c r="FD262" s="51"/>
      <c r="FE262" s="51"/>
      <c r="FF262" s="51"/>
      <c r="FG262" s="51"/>
      <c r="FH262" s="51"/>
      <c r="FI262" s="51"/>
      <c r="FJ262" s="51"/>
      <c r="FK262" s="51"/>
      <c r="FL262" s="51"/>
      <c r="FM262" s="51"/>
      <c r="FN262" s="51"/>
      <c r="FO262" s="51"/>
      <c r="FP262" s="51"/>
      <c r="FQ262" s="51"/>
      <c r="FR262" s="51"/>
      <c r="FS262" s="51"/>
      <c r="FT262" s="51"/>
      <c r="FU262" s="51"/>
      <c r="FV262" s="51"/>
      <c r="FW262" s="51"/>
      <c r="FX262" s="51"/>
      <c r="FY262" s="51"/>
      <c r="FZ262" s="51"/>
      <c r="GA262" s="51"/>
      <c r="GB262" s="51"/>
      <c r="GC262" s="51"/>
      <c r="GD262" s="51"/>
      <c r="GE262" s="51"/>
      <c r="GF262" s="51"/>
      <c r="GG262" s="51"/>
      <c r="GH262" s="51"/>
      <c r="GI262" s="51"/>
      <c r="GJ262" s="51"/>
      <c r="GK262" s="51"/>
      <c r="GL262" s="51"/>
      <c r="GM262" s="51"/>
      <c r="GN262" s="51"/>
      <c r="GO262" s="51"/>
      <c r="GP262" s="51"/>
      <c r="GQ262" s="51"/>
      <c r="GR262" s="51"/>
      <c r="GS262" s="51"/>
      <c r="GT262" s="51"/>
      <c r="GU262" s="51"/>
      <c r="GV262" s="51"/>
      <c r="GW262" s="51"/>
      <c r="GX262" s="51"/>
      <c r="GY262" s="51"/>
      <c r="GZ262" s="51"/>
      <c r="HA262" s="51"/>
      <c r="HB262" s="51"/>
      <c r="HC262" s="51"/>
      <c r="HD262" s="51"/>
      <c r="HE262" s="51"/>
      <c r="HF262" s="51"/>
      <c r="HG262" s="51"/>
      <c r="HH262" s="51"/>
      <c r="HI262" s="51"/>
      <c r="HJ262" s="51"/>
      <c r="HK262" s="51"/>
      <c r="HL262" s="51"/>
      <c r="HM262" s="51"/>
      <c r="HN262" s="51"/>
      <c r="HO262" s="51"/>
      <c r="HP262" s="51"/>
      <c r="HQ262" s="51"/>
      <c r="HR262" s="51"/>
      <c r="HS262" s="51"/>
      <c r="HT262" s="51"/>
      <c r="HU262" s="51"/>
      <c r="HV262" s="51"/>
      <c r="HW262" s="51"/>
      <c r="HX262" s="51"/>
      <c r="HY262" s="51"/>
      <c r="HZ262" s="51"/>
      <c r="IA262" s="51"/>
      <c r="IB262" s="51"/>
      <c r="IC262" s="51"/>
      <c r="ID262" s="51"/>
      <c r="IE262" s="51"/>
      <c r="IF262" s="51"/>
      <c r="IG262" s="51"/>
      <c r="IH262" s="51"/>
      <c r="II262" s="51"/>
      <c r="IJ262" s="51"/>
      <c r="IK262" s="51"/>
      <c r="IL262" s="51"/>
      <c r="IM262" s="51"/>
      <c r="IN262" s="51"/>
      <c r="IO262" s="51"/>
      <c r="IP262" s="51"/>
      <c r="IQ262" s="51"/>
      <c r="IR262" s="51"/>
      <c r="IS262" s="51"/>
      <c r="IT262" s="51"/>
      <c r="IU262" s="51"/>
      <c r="IV262" s="51"/>
    </row>
    <row r="263" hidden="1">
      <c r="B263" s="826" t="s">
        <v>11</v>
      </c>
      <c r="C263" s="827">
        <v>3</v>
      </c>
      <c r="D263" s="827">
        <v>4</v>
      </c>
      <c r="E263" s="827">
        <v>5</v>
      </c>
      <c r="F263" s="827">
        <v>5</v>
      </c>
      <c r="G263" s="827">
        <v>3</v>
      </c>
      <c r="H263" s="827">
        <v>4</v>
      </c>
      <c r="I263" s="827">
        <v>5</v>
      </c>
      <c r="J263" s="827">
        <v>5</v>
      </c>
      <c r="K263" s="827">
        <v>4</v>
      </c>
      <c r="L263" s="827">
        <v>3</v>
      </c>
      <c r="M263" s="827">
        <v>4</v>
      </c>
      <c r="N263" s="827">
        <v>5</v>
      </c>
      <c r="O263" s="827">
        <v>0</v>
      </c>
      <c r="P263" s="827">
        <v>0</v>
      </c>
      <c r="Q263" s="827">
        <v>0</v>
      </c>
      <c r="R263" s="827">
        <v>0</v>
      </c>
      <c r="S263" s="827">
        <v>0</v>
      </c>
      <c r="T263" s="827">
        <v>0</v>
      </c>
      <c r="U263" s="827">
        <v>0</v>
      </c>
      <c r="V263" s="827">
        <v>0</v>
      </c>
      <c r="W263" s="827">
        <v>0</v>
      </c>
      <c r="X263" s="827">
        <v>0</v>
      </c>
      <c r="Y263" s="827">
        <v>0</v>
      </c>
      <c r="Z263" s="827">
        <v>0</v>
      </c>
      <c r="AA263" s="827">
        <v>0</v>
      </c>
      <c r="AB263" s="827">
        <v>0</v>
      </c>
      <c r="AC263" s="828">
        <v>0</v>
      </c>
      <c r="AD263" s="828">
        <v>0</v>
      </c>
      <c r="AE263" s="828">
        <v>0</v>
      </c>
      <c r="AF263" s="828">
        <v>0</v>
      </c>
      <c r="AG263" s="828">
        <v>0</v>
      </c>
      <c r="AH263" s="828">
        <v>0</v>
      </c>
      <c r="AI263" s="828">
        <v>0</v>
      </c>
      <c r="AJ263" s="828">
        <v>0</v>
      </c>
      <c r="AK263" s="828">
        <v>0</v>
      </c>
      <c r="AL263" s="828">
        <v>0</v>
      </c>
      <c r="AM263" s="828">
        <v>0</v>
      </c>
      <c r="AN263" s="828">
        <v>0</v>
      </c>
      <c r="AO263" s="828">
        <v>0</v>
      </c>
      <c r="AP263" s="828">
        <v>0</v>
      </c>
      <c r="AQ263" s="51"/>
      <c r="AR263" s="51"/>
      <c r="AS263" s="51"/>
      <c r="AT263" s="51"/>
      <c r="AU263" s="51"/>
      <c r="AV263" s="51"/>
      <c r="AW263" s="51"/>
      <c r="AX263" s="51"/>
      <c r="AY263" s="51"/>
      <c r="AZ263" s="51"/>
      <c r="BA263" s="51"/>
      <c r="BB263" s="51"/>
      <c r="BC263" s="51"/>
      <c r="BD263" s="51"/>
      <c r="BE263" s="51"/>
      <c r="BF263" s="51"/>
      <c r="BG263" s="51"/>
      <c r="BH263" s="51"/>
      <c r="BI263" s="51"/>
      <c r="BJ263" s="51"/>
      <c r="BK263" s="51"/>
      <c r="BL263" s="51"/>
      <c r="BM263" s="51"/>
      <c r="BN263" s="51"/>
      <c r="BO263" s="51"/>
      <c r="BP263" s="51"/>
      <c r="BQ263" s="51"/>
      <c r="BR263" s="51"/>
      <c r="BS263" s="51"/>
      <c r="BT263" s="51"/>
      <c r="BU263" s="51"/>
      <c r="BV263" s="51"/>
      <c r="BW263" s="51"/>
      <c r="BX263" s="51"/>
      <c r="BY263" s="51"/>
      <c r="BZ263" s="51"/>
      <c r="CA263" s="51"/>
      <c r="CB263" s="51"/>
      <c r="CC263" s="51"/>
      <c r="CD263" s="51"/>
      <c r="CE263" s="51"/>
      <c r="CF263" s="51"/>
      <c r="CG263" s="51"/>
      <c r="CH263" s="51"/>
      <c r="CI263" s="51"/>
      <c r="CJ263" s="51"/>
      <c r="CK263" s="51"/>
      <c r="CL263" s="51"/>
      <c r="CM263" s="51"/>
      <c r="CN263" s="51"/>
      <c r="CO263" s="51"/>
      <c r="CP263" s="51"/>
      <c r="CQ263" s="51"/>
      <c r="CR263" s="51"/>
      <c r="CS263" s="51"/>
      <c r="CT263" s="51"/>
      <c r="CU263" s="51"/>
      <c r="CV263" s="51"/>
      <c r="CW263" s="51"/>
      <c r="CX263" s="51"/>
      <c r="CY263" s="51"/>
      <c r="CZ263" s="51"/>
      <c r="DA263" s="51"/>
      <c r="DB263" s="51"/>
      <c r="DC263" s="51"/>
      <c r="DD263" s="51"/>
      <c r="DE263" s="51"/>
      <c r="DF263" s="51"/>
      <c r="DG263" s="51"/>
      <c r="DH263" s="51"/>
      <c r="DI263" s="51"/>
      <c r="DJ263" s="51"/>
      <c r="DK263" s="51"/>
      <c r="DL263" s="51"/>
      <c r="DM263" s="51"/>
      <c r="DN263" s="51"/>
      <c r="DO263" s="51"/>
      <c r="DP263" s="51"/>
      <c r="DQ263" s="51"/>
      <c r="DR263" s="51"/>
      <c r="DS263" s="51"/>
      <c r="DT263" s="51"/>
      <c r="DU263" s="51"/>
      <c r="DV263" s="51"/>
      <c r="DW263" s="51"/>
      <c r="DX263" s="51"/>
      <c r="DY263" s="51"/>
      <c r="DZ263" s="51"/>
      <c r="EA263" s="51"/>
      <c r="EB263" s="51"/>
      <c r="EC263" s="51"/>
      <c r="ED263" s="51"/>
      <c r="EE263" s="51"/>
      <c r="EF263" s="51"/>
      <c r="EG263" s="51"/>
      <c r="EH263" s="51"/>
      <c r="EI263" s="51"/>
      <c r="EJ263" s="51"/>
      <c r="EK263" s="51"/>
      <c r="EL263" s="51"/>
      <c r="EM263" s="51"/>
      <c r="EN263" s="51"/>
      <c r="EO263" s="51"/>
      <c r="EP263" s="51"/>
      <c r="EQ263" s="51"/>
      <c r="ER263" s="51"/>
      <c r="ES263" s="51"/>
      <c r="ET263" s="51"/>
      <c r="EU263" s="51"/>
      <c r="EV263" s="51"/>
      <c r="EW263" s="51"/>
      <c r="EX263" s="51"/>
      <c r="EY263" s="51"/>
      <c r="EZ263" s="51"/>
      <c r="FA263" s="51"/>
      <c r="FB263" s="51"/>
      <c r="FC263" s="51"/>
      <c r="FD263" s="51"/>
      <c r="FE263" s="51"/>
      <c r="FF263" s="51"/>
      <c r="FG263" s="51"/>
      <c r="FH263" s="51"/>
      <c r="FI263" s="51"/>
      <c r="FJ263" s="51"/>
      <c r="FK263" s="51"/>
      <c r="FL263" s="51"/>
      <c r="FM263" s="51"/>
      <c r="FN263" s="51"/>
      <c r="FO263" s="51"/>
      <c r="FP263" s="51"/>
      <c r="FQ263" s="51"/>
      <c r="FR263" s="51"/>
      <c r="FS263" s="51"/>
      <c r="FT263" s="51"/>
      <c r="FU263" s="51"/>
      <c r="FV263" s="51"/>
      <c r="FW263" s="51"/>
      <c r="FX263" s="51"/>
      <c r="FY263" s="51"/>
      <c r="FZ263" s="51"/>
      <c r="GA263" s="51"/>
      <c r="GB263" s="51"/>
      <c r="GC263" s="51"/>
      <c r="GD263" s="51"/>
      <c r="GE263" s="51"/>
      <c r="GF263" s="51"/>
      <c r="GG263" s="51"/>
      <c r="GH263" s="51"/>
      <c r="GI263" s="51"/>
      <c r="GJ263" s="51"/>
      <c r="GK263" s="51"/>
      <c r="GL263" s="51"/>
      <c r="GM263" s="51"/>
      <c r="GN263" s="51"/>
      <c r="GO263" s="51"/>
      <c r="GP263" s="51"/>
      <c r="GQ263" s="51"/>
      <c r="GR263" s="51"/>
      <c r="GS263" s="51"/>
      <c r="GT263" s="51"/>
      <c r="GU263" s="51"/>
      <c r="GV263" s="51"/>
      <c r="GW263" s="51"/>
      <c r="GX263" s="51"/>
      <c r="GY263" s="51"/>
      <c r="GZ263" s="51"/>
      <c r="HA263" s="51"/>
      <c r="HB263" s="51"/>
      <c r="HC263" s="51"/>
      <c r="HD263" s="51"/>
      <c r="HE263" s="51"/>
      <c r="HF263" s="51"/>
      <c r="HG263" s="51"/>
      <c r="HH263" s="51"/>
      <c r="HI263" s="51"/>
      <c r="HJ263" s="51"/>
      <c r="HK263" s="51"/>
      <c r="HL263" s="51"/>
      <c r="HM263" s="51"/>
      <c r="HN263" s="51"/>
      <c r="HO263" s="51"/>
      <c r="HP263" s="51"/>
      <c r="HQ263" s="51"/>
      <c r="HR263" s="51"/>
      <c r="HS263" s="51"/>
      <c r="HT263" s="51"/>
      <c r="HU263" s="51"/>
      <c r="HV263" s="51"/>
      <c r="HW263" s="51"/>
      <c r="HX263" s="51"/>
      <c r="HY263" s="51"/>
      <c r="HZ263" s="51"/>
      <c r="IA263" s="51"/>
      <c r="IB263" s="51"/>
      <c r="IC263" s="51"/>
      <c r="ID263" s="51"/>
      <c r="IE263" s="51"/>
      <c r="IF263" s="51"/>
      <c r="IG263" s="51"/>
      <c r="IH263" s="51"/>
      <c r="II263" s="51"/>
      <c r="IJ263" s="51"/>
      <c r="IK263" s="51"/>
      <c r="IL263" s="51"/>
      <c r="IM263" s="51"/>
      <c r="IN263" s="51"/>
      <c r="IO263" s="51"/>
      <c r="IP263" s="51"/>
      <c r="IQ263" s="51"/>
      <c r="IR263" s="51"/>
      <c r="IS263" s="51"/>
      <c r="IT263" s="51"/>
      <c r="IU263" s="51"/>
      <c r="IV263" s="51"/>
    </row>
    <row r="264" hidden="1">
      <c r="B264" s="829" t="s">
        <v>12</v>
      </c>
      <c r="C264" s="823">
        <v>0</v>
      </c>
      <c r="D264" s="823">
        <v>0</v>
      </c>
      <c r="E264" s="823">
        <v>24</v>
      </c>
      <c r="F264" s="823">
        <v>34</v>
      </c>
      <c r="G264" s="823">
        <v>62</v>
      </c>
      <c r="H264" s="823">
        <v>83</v>
      </c>
      <c r="I264" s="823">
        <v>92</v>
      </c>
      <c r="J264" s="823">
        <v>81</v>
      </c>
      <c r="K264" s="823">
        <v>75</v>
      </c>
      <c r="L264" s="823">
        <v>80</v>
      </c>
      <c r="M264" s="823">
        <v>81</v>
      </c>
      <c r="N264" s="823">
        <v>86</v>
      </c>
      <c r="O264" s="823">
        <v>142</v>
      </c>
      <c r="P264" s="823">
        <v>154</v>
      </c>
      <c r="Q264" s="823">
        <v>166</v>
      </c>
      <c r="R264" s="823">
        <v>170</v>
      </c>
      <c r="S264" s="823">
        <v>144</v>
      </c>
      <c r="T264" s="823">
        <v>146</v>
      </c>
      <c r="U264" s="823">
        <v>158</v>
      </c>
      <c r="V264" s="823">
        <v>184</v>
      </c>
      <c r="W264" s="823">
        <v>237</v>
      </c>
      <c r="X264" s="823">
        <v>261</v>
      </c>
      <c r="Y264" s="823">
        <v>274</v>
      </c>
      <c r="Z264" s="823">
        <v>278</v>
      </c>
      <c r="AA264" s="823">
        <v>280</v>
      </c>
      <c r="AB264" s="823">
        <v>273</v>
      </c>
      <c r="AC264" s="825">
        <v>261</v>
      </c>
      <c r="AD264" s="825">
        <v>259</v>
      </c>
      <c r="AE264" s="825">
        <v>239</v>
      </c>
      <c r="AF264" s="825">
        <v>234</v>
      </c>
      <c r="AG264" s="825">
        <v>229</v>
      </c>
      <c r="AH264" s="825">
        <v>234</v>
      </c>
      <c r="AI264" s="825">
        <v>238</v>
      </c>
      <c r="AJ264" s="825">
        <v>239</v>
      </c>
      <c r="AK264" s="825">
        <v>242</v>
      </c>
      <c r="AL264" s="825">
        <v>248</v>
      </c>
      <c r="AM264" s="825">
        <v>237</v>
      </c>
      <c r="AN264" s="825">
        <v>243</v>
      </c>
      <c r="AO264" s="825">
        <v>242</v>
      </c>
      <c r="AP264" s="825">
        <v>243</v>
      </c>
      <c r="AQ264" s="51"/>
      <c r="AR264" s="51"/>
      <c r="AS264" s="51"/>
      <c r="AT264" s="51"/>
      <c r="AU264" s="51"/>
      <c r="AV264" s="51"/>
      <c r="AW264" s="51"/>
      <c r="AX264" s="51"/>
      <c r="AY264" s="51"/>
      <c r="AZ264" s="51"/>
      <c r="BA264" s="51"/>
      <c r="BB264" s="51"/>
      <c r="BC264" s="51"/>
      <c r="BD264" s="51"/>
      <c r="BE264" s="51"/>
      <c r="BF264" s="51"/>
      <c r="BG264" s="51"/>
      <c r="BH264" s="51"/>
      <c r="BI264" s="51"/>
      <c r="BJ264" s="51"/>
      <c r="BK264" s="51"/>
      <c r="BL264" s="51"/>
      <c r="BM264" s="51"/>
      <c r="BN264" s="51"/>
      <c r="BO264" s="51"/>
      <c r="BP264" s="51"/>
      <c r="BQ264" s="51"/>
      <c r="BR264" s="51"/>
      <c r="BS264" s="51"/>
      <c r="BT264" s="51"/>
      <c r="BU264" s="51"/>
      <c r="BV264" s="51"/>
      <c r="BW264" s="51"/>
      <c r="BX264" s="51"/>
      <c r="BY264" s="51"/>
      <c r="BZ264" s="51"/>
      <c r="CA264" s="51"/>
      <c r="CB264" s="51"/>
      <c r="CC264" s="51"/>
      <c r="CD264" s="51"/>
      <c r="CE264" s="51"/>
      <c r="CF264" s="51"/>
      <c r="CG264" s="51"/>
      <c r="CH264" s="51"/>
      <c r="CI264" s="51"/>
      <c r="CJ264" s="51"/>
      <c r="CK264" s="51"/>
      <c r="CL264" s="51"/>
      <c r="CM264" s="51"/>
      <c r="CN264" s="51"/>
      <c r="CO264" s="51"/>
      <c r="CP264" s="51"/>
      <c r="CQ264" s="51"/>
      <c r="CR264" s="51"/>
      <c r="CS264" s="51"/>
      <c r="CT264" s="51"/>
      <c r="CU264" s="51"/>
      <c r="CV264" s="51"/>
      <c r="CW264" s="51"/>
      <c r="CX264" s="51"/>
      <c r="CY264" s="51"/>
      <c r="CZ264" s="51"/>
      <c r="DA264" s="51"/>
      <c r="DB264" s="51"/>
      <c r="DC264" s="51"/>
      <c r="DD264" s="51"/>
      <c r="DE264" s="51"/>
      <c r="DF264" s="51"/>
      <c r="DG264" s="51"/>
      <c r="DH264" s="51"/>
      <c r="DI264" s="51"/>
      <c r="DJ264" s="51"/>
      <c r="DK264" s="51"/>
      <c r="DL264" s="51"/>
      <c r="DM264" s="51"/>
      <c r="DN264" s="51"/>
      <c r="DO264" s="51"/>
      <c r="DP264" s="51"/>
      <c r="DQ264" s="51"/>
      <c r="DR264" s="51"/>
      <c r="DS264" s="51"/>
      <c r="DT264" s="51"/>
      <c r="DU264" s="51"/>
      <c r="DV264" s="51"/>
      <c r="DW264" s="51"/>
      <c r="DX264" s="51"/>
      <c r="DY264" s="51"/>
      <c r="DZ264" s="51"/>
      <c r="EA264" s="51"/>
      <c r="EB264" s="51"/>
      <c r="EC264" s="51"/>
      <c r="ED264" s="51"/>
      <c r="EE264" s="51"/>
      <c r="EF264" s="51"/>
      <c r="EG264" s="51"/>
      <c r="EH264" s="51"/>
      <c r="EI264" s="51"/>
      <c r="EJ264" s="51"/>
      <c r="EK264" s="51"/>
      <c r="EL264" s="51"/>
      <c r="EM264" s="51"/>
      <c r="EN264" s="51"/>
      <c r="EO264" s="51"/>
      <c r="EP264" s="51"/>
      <c r="EQ264" s="51"/>
      <c r="ER264" s="51"/>
      <c r="ES264" s="51"/>
      <c r="ET264" s="51"/>
      <c r="EU264" s="51"/>
      <c r="EV264" s="51"/>
      <c r="EW264" s="51"/>
      <c r="EX264" s="51"/>
      <c r="EY264" s="51"/>
      <c r="EZ264" s="51"/>
      <c r="FA264" s="51"/>
      <c r="FB264" s="51"/>
      <c r="FC264" s="51"/>
      <c r="FD264" s="51"/>
      <c r="FE264" s="51"/>
      <c r="FF264" s="51"/>
      <c r="FG264" s="51"/>
      <c r="FH264" s="51"/>
      <c r="FI264" s="51"/>
      <c r="FJ264" s="51"/>
      <c r="FK264" s="51"/>
      <c r="FL264" s="51"/>
      <c r="FM264" s="51"/>
      <c r="FN264" s="51"/>
      <c r="FO264" s="51"/>
      <c r="FP264" s="51"/>
      <c r="FQ264" s="51"/>
      <c r="FR264" s="51"/>
      <c r="FS264" s="51"/>
      <c r="FT264" s="51"/>
      <c r="FU264" s="51"/>
      <c r="FV264" s="51"/>
      <c r="FW264" s="51"/>
      <c r="FX264" s="51"/>
      <c r="FY264" s="51"/>
      <c r="FZ264" s="51"/>
      <c r="GA264" s="51"/>
      <c r="GB264" s="51"/>
      <c r="GC264" s="51"/>
      <c r="GD264" s="51"/>
      <c r="GE264" s="51"/>
      <c r="GF264" s="51"/>
      <c r="GG264" s="51"/>
      <c r="GH264" s="51"/>
      <c r="GI264" s="51"/>
      <c r="GJ264" s="51"/>
      <c r="GK264" s="51"/>
      <c r="GL264" s="51"/>
      <c r="GM264" s="51"/>
      <c r="GN264" s="51"/>
      <c r="GO264" s="51"/>
      <c r="GP264" s="51"/>
      <c r="GQ264" s="51"/>
      <c r="GR264" s="51"/>
      <c r="GS264" s="51"/>
      <c r="GT264" s="51"/>
      <c r="GU264" s="51"/>
      <c r="GV264" s="51"/>
      <c r="GW264" s="51"/>
      <c r="GX264" s="51"/>
      <c r="GY264" s="51"/>
      <c r="GZ264" s="51"/>
      <c r="HA264" s="51"/>
      <c r="HB264" s="51"/>
      <c r="HC264" s="51"/>
      <c r="HD264" s="51"/>
      <c r="HE264" s="51"/>
      <c r="HF264" s="51"/>
      <c r="HG264" s="51"/>
      <c r="HH264" s="51"/>
      <c r="HI264" s="51"/>
      <c r="HJ264" s="51"/>
      <c r="HK264" s="51"/>
      <c r="HL264" s="51"/>
      <c r="HM264" s="51"/>
      <c r="HN264" s="51"/>
      <c r="HO264" s="51"/>
      <c r="HP264" s="51"/>
      <c r="HQ264" s="51"/>
      <c r="HR264" s="51"/>
      <c r="HS264" s="51"/>
      <c r="HT264" s="51"/>
      <c r="HU264" s="51"/>
      <c r="HV264" s="51"/>
      <c r="HW264" s="51"/>
      <c r="HX264" s="51"/>
      <c r="HY264" s="51"/>
      <c r="HZ264" s="51"/>
      <c r="IA264" s="51"/>
      <c r="IB264" s="51"/>
      <c r="IC264" s="51"/>
      <c r="ID264" s="51"/>
      <c r="IE264" s="51"/>
      <c r="IF264" s="51"/>
      <c r="IG264" s="51"/>
      <c r="IH264" s="51"/>
      <c r="II264" s="51"/>
      <c r="IJ264" s="51"/>
      <c r="IK264" s="51"/>
      <c r="IL264" s="51"/>
      <c r="IM264" s="51"/>
      <c r="IN264" s="51"/>
      <c r="IO264" s="51"/>
      <c r="IP264" s="51"/>
      <c r="IQ264" s="51"/>
      <c r="IR264" s="51"/>
      <c r="IS264" s="51"/>
      <c r="IT264" s="51"/>
      <c r="IU264" s="51"/>
      <c r="IV264" s="51"/>
    </row>
    <row r="265" hidden="1">
      <c r="B265" s="826" t="s">
        <v>13</v>
      </c>
      <c r="C265" s="827">
        <v>0</v>
      </c>
      <c r="D265" s="827">
        <v>0</v>
      </c>
      <c r="E265" s="827">
        <v>52</v>
      </c>
      <c r="F265" s="827">
        <v>59</v>
      </c>
      <c r="G265" s="827">
        <v>60</v>
      </c>
      <c r="H265" s="827">
        <v>61</v>
      </c>
      <c r="I265" s="827">
        <v>81</v>
      </c>
      <c r="J265" s="827">
        <v>82</v>
      </c>
      <c r="K265" s="827">
        <v>81</v>
      </c>
      <c r="L265" s="827">
        <v>83</v>
      </c>
      <c r="M265" s="827">
        <v>84</v>
      </c>
      <c r="N265" s="827">
        <v>58</v>
      </c>
      <c r="O265" s="827">
        <v>64</v>
      </c>
      <c r="P265" s="827">
        <v>66</v>
      </c>
      <c r="Q265" s="827">
        <v>71</v>
      </c>
      <c r="R265" s="827">
        <v>75</v>
      </c>
      <c r="S265" s="827">
        <v>75</v>
      </c>
      <c r="T265" s="827">
        <v>78</v>
      </c>
      <c r="U265" s="827">
        <v>78</v>
      </c>
      <c r="V265" s="827">
        <v>81</v>
      </c>
      <c r="W265" s="827">
        <v>41</v>
      </c>
      <c r="X265" s="827">
        <v>45</v>
      </c>
      <c r="Y265" s="827">
        <v>43</v>
      </c>
      <c r="Z265" s="827">
        <v>43</v>
      </c>
      <c r="AA265" s="827">
        <v>39</v>
      </c>
      <c r="AB265" s="827">
        <v>40</v>
      </c>
      <c r="AC265" s="828">
        <v>38</v>
      </c>
      <c r="AD265" s="828">
        <v>40</v>
      </c>
      <c r="AE265" s="828">
        <v>38</v>
      </c>
      <c r="AF265" s="828">
        <v>40</v>
      </c>
      <c r="AG265" s="828">
        <v>39</v>
      </c>
      <c r="AH265" s="828">
        <v>39</v>
      </c>
      <c r="AI265" s="828">
        <v>38</v>
      </c>
      <c r="AJ265" s="828">
        <v>34</v>
      </c>
      <c r="AK265" s="828">
        <v>35</v>
      </c>
      <c r="AL265" s="828">
        <v>37</v>
      </c>
      <c r="AM265" s="828">
        <v>37</v>
      </c>
      <c r="AN265" s="828">
        <v>39</v>
      </c>
      <c r="AO265" s="828">
        <v>38</v>
      </c>
      <c r="AP265" s="828">
        <v>45</v>
      </c>
      <c r="AQ265" s="51"/>
      <c r="AR265" s="51"/>
      <c r="AS265" s="51"/>
      <c r="AT265" s="51"/>
      <c r="AU265" s="51"/>
      <c r="AV265" s="51"/>
      <c r="AW265" s="51"/>
      <c r="AX265" s="51"/>
      <c r="AY265" s="51"/>
      <c r="AZ265" s="51"/>
      <c r="BA265" s="51"/>
      <c r="BB265" s="51"/>
      <c r="BC265" s="51"/>
      <c r="BD265" s="51"/>
      <c r="BE265" s="51"/>
      <c r="BF265" s="51"/>
      <c r="BG265" s="51"/>
      <c r="BH265" s="51"/>
      <c r="BI265" s="51"/>
      <c r="BJ265" s="51"/>
      <c r="BK265" s="51"/>
      <c r="BL265" s="51"/>
      <c r="BM265" s="51"/>
      <c r="BN265" s="51"/>
      <c r="BO265" s="51"/>
      <c r="BP265" s="51"/>
      <c r="BQ265" s="51"/>
      <c r="BR265" s="51"/>
      <c r="BS265" s="51"/>
      <c r="BT265" s="51"/>
      <c r="BU265" s="51"/>
      <c r="BV265" s="51"/>
      <c r="BW265" s="51"/>
      <c r="BX265" s="51"/>
      <c r="BY265" s="51"/>
      <c r="BZ265" s="51"/>
      <c r="CA265" s="51"/>
      <c r="CB265" s="51"/>
      <c r="CC265" s="51"/>
      <c r="CD265" s="51"/>
      <c r="CE265" s="51"/>
      <c r="CF265" s="51"/>
      <c r="CG265" s="51"/>
      <c r="CH265" s="51"/>
      <c r="CI265" s="51"/>
      <c r="CJ265" s="51"/>
      <c r="CK265" s="51"/>
      <c r="CL265" s="51"/>
      <c r="CM265" s="51"/>
      <c r="CN265" s="51"/>
      <c r="CO265" s="51"/>
      <c r="CP265" s="51"/>
      <c r="CQ265" s="51"/>
      <c r="CR265" s="51"/>
      <c r="CS265" s="51"/>
      <c r="CT265" s="51"/>
      <c r="CU265" s="51"/>
      <c r="CV265" s="51"/>
      <c r="CW265" s="51"/>
      <c r="CX265" s="51"/>
      <c r="CY265" s="51"/>
      <c r="CZ265" s="51"/>
      <c r="DA265" s="51"/>
      <c r="DB265" s="51"/>
      <c r="DC265" s="51"/>
      <c r="DD265" s="51"/>
      <c r="DE265" s="51"/>
      <c r="DF265" s="51"/>
      <c r="DG265" s="51"/>
      <c r="DH265" s="51"/>
      <c r="DI265" s="51"/>
      <c r="DJ265" s="51"/>
      <c r="DK265" s="51"/>
      <c r="DL265" s="51"/>
      <c r="DM265" s="51"/>
      <c r="DN265" s="51"/>
      <c r="DO265" s="51"/>
      <c r="DP265" s="51"/>
      <c r="DQ265" s="51"/>
      <c r="DR265" s="51"/>
      <c r="DS265" s="51"/>
      <c r="DT265" s="51"/>
      <c r="DU265" s="51"/>
      <c r="DV265" s="51"/>
      <c r="DW265" s="51"/>
      <c r="DX265" s="51"/>
      <c r="DY265" s="51"/>
      <c r="DZ265" s="51"/>
      <c r="EA265" s="51"/>
      <c r="EB265" s="51"/>
      <c r="EC265" s="51"/>
      <c r="ED265" s="51"/>
      <c r="EE265" s="51"/>
      <c r="EF265" s="51"/>
      <c r="EG265" s="51"/>
      <c r="EH265" s="51"/>
      <c r="EI265" s="51"/>
      <c r="EJ265" s="51"/>
      <c r="EK265" s="51"/>
      <c r="EL265" s="51"/>
      <c r="EM265" s="51"/>
      <c r="EN265" s="51"/>
      <c r="EO265" s="51"/>
      <c r="EP265" s="51"/>
      <c r="EQ265" s="51"/>
      <c r="ER265" s="51"/>
      <c r="ES265" s="51"/>
      <c r="ET265" s="51"/>
      <c r="EU265" s="51"/>
      <c r="EV265" s="51"/>
      <c r="EW265" s="51"/>
      <c r="EX265" s="51"/>
      <c r="EY265" s="51"/>
      <c r="EZ265" s="51"/>
      <c r="FA265" s="51"/>
      <c r="FB265" s="51"/>
      <c r="FC265" s="51"/>
      <c r="FD265" s="51"/>
      <c r="FE265" s="51"/>
      <c r="FF265" s="51"/>
      <c r="FG265" s="51"/>
      <c r="FH265" s="51"/>
      <c r="FI265" s="51"/>
      <c r="FJ265" s="51"/>
      <c r="FK265" s="51"/>
      <c r="FL265" s="51"/>
      <c r="FM265" s="51"/>
      <c r="FN265" s="51"/>
      <c r="FO265" s="51"/>
      <c r="FP265" s="51"/>
      <c r="FQ265" s="51"/>
      <c r="FR265" s="51"/>
      <c r="FS265" s="51"/>
      <c r="FT265" s="51"/>
      <c r="FU265" s="51"/>
      <c r="FV265" s="51"/>
      <c r="FW265" s="51"/>
      <c r="FX265" s="51"/>
      <c r="FY265" s="51"/>
      <c r="FZ265" s="51"/>
      <c r="GA265" s="51"/>
      <c r="GB265" s="51"/>
      <c r="GC265" s="51"/>
      <c r="GD265" s="51"/>
      <c r="GE265" s="51"/>
      <c r="GF265" s="51"/>
      <c r="GG265" s="51"/>
      <c r="GH265" s="51"/>
      <c r="GI265" s="51"/>
      <c r="GJ265" s="51"/>
      <c r="GK265" s="51"/>
      <c r="GL265" s="51"/>
      <c r="GM265" s="51"/>
      <c r="GN265" s="51"/>
      <c r="GO265" s="51"/>
      <c r="GP265" s="51"/>
      <c r="GQ265" s="51"/>
      <c r="GR265" s="51"/>
      <c r="GS265" s="51"/>
      <c r="GT265" s="51"/>
      <c r="GU265" s="51"/>
      <c r="GV265" s="51"/>
      <c r="GW265" s="51"/>
      <c r="GX265" s="51"/>
      <c r="GY265" s="51"/>
      <c r="GZ265" s="51"/>
      <c r="HA265" s="51"/>
      <c r="HB265" s="51"/>
      <c r="HC265" s="51"/>
      <c r="HD265" s="51"/>
      <c r="HE265" s="51"/>
      <c r="HF265" s="51"/>
      <c r="HG265" s="51"/>
      <c r="HH265" s="51"/>
      <c r="HI265" s="51"/>
      <c r="HJ265" s="51"/>
      <c r="HK265" s="51"/>
      <c r="HL265" s="51"/>
      <c r="HM265" s="51"/>
      <c r="HN265" s="51"/>
      <c r="HO265" s="51"/>
      <c r="HP265" s="51"/>
      <c r="HQ265" s="51"/>
      <c r="HR265" s="51"/>
      <c r="HS265" s="51"/>
      <c r="HT265" s="51"/>
      <c r="HU265" s="51"/>
      <c r="HV265" s="51"/>
      <c r="HW265" s="51"/>
      <c r="HX265" s="51"/>
      <c r="HY265" s="51"/>
      <c r="HZ265" s="51"/>
      <c r="IA265" s="51"/>
      <c r="IB265" s="51"/>
      <c r="IC265" s="51"/>
      <c r="ID265" s="51"/>
      <c r="IE265" s="51"/>
      <c r="IF265" s="51"/>
      <c r="IG265" s="51"/>
      <c r="IH265" s="51"/>
      <c r="II265" s="51"/>
      <c r="IJ265" s="51"/>
      <c r="IK265" s="51"/>
      <c r="IL265" s="51"/>
      <c r="IM265" s="51"/>
      <c r="IN265" s="51"/>
      <c r="IO265" s="51"/>
      <c r="IP265" s="51"/>
      <c r="IQ265" s="51"/>
      <c r="IR265" s="51"/>
      <c r="IS265" s="51"/>
      <c r="IT265" s="51"/>
      <c r="IU265" s="51"/>
      <c r="IV265" s="51"/>
    </row>
    <row r="266" hidden="1">
      <c r="B266" s="829" t="s">
        <v>109</v>
      </c>
      <c r="C266" s="823">
        <v>2398</v>
      </c>
      <c r="D266" s="823">
        <v>2616</v>
      </c>
      <c r="E266" s="823">
        <v>2815</v>
      </c>
      <c r="F266" s="823">
        <v>2935</v>
      </c>
      <c r="G266" s="823">
        <v>3194</v>
      </c>
      <c r="H266" s="823">
        <v>3317</v>
      </c>
      <c r="I266" s="823">
        <v>3407</v>
      </c>
      <c r="J266" s="823">
        <v>3448</v>
      </c>
      <c r="K266" s="823">
        <v>3765</v>
      </c>
      <c r="L266" s="823">
        <v>4035</v>
      </c>
      <c r="M266" s="823">
        <v>4328</v>
      </c>
      <c r="N266" s="823">
        <v>1917</v>
      </c>
      <c r="O266" s="823">
        <v>1955</v>
      </c>
      <c r="P266" s="823">
        <v>1991</v>
      </c>
      <c r="Q266" s="823">
        <v>1956</v>
      </c>
      <c r="R266" s="823">
        <v>1876</v>
      </c>
      <c r="S266" s="823">
        <v>1971</v>
      </c>
      <c r="T266" s="823">
        <v>2003</v>
      </c>
      <c r="U266" s="823">
        <v>2075</v>
      </c>
      <c r="V266" s="823">
        <v>2119</v>
      </c>
      <c r="W266" s="823">
        <v>2092</v>
      </c>
      <c r="X266" s="823">
        <v>2103</v>
      </c>
      <c r="Y266" s="823">
        <v>2091</v>
      </c>
      <c r="Z266" s="823">
        <v>2101</v>
      </c>
      <c r="AA266" s="823">
        <v>2111</v>
      </c>
      <c r="AB266" s="823">
        <v>2126</v>
      </c>
      <c r="AC266" s="825">
        <v>1758</v>
      </c>
      <c r="AD266" s="825">
        <v>1780</v>
      </c>
      <c r="AE266" s="825">
        <v>0</v>
      </c>
      <c r="AF266" s="825">
        <v>1492</v>
      </c>
      <c r="AG266" s="825">
        <v>1085</v>
      </c>
      <c r="AH266" s="825">
        <v>1093</v>
      </c>
      <c r="AI266" s="825">
        <v>1102</v>
      </c>
      <c r="AJ266" s="825">
        <v>884</v>
      </c>
      <c r="AK266" s="825">
        <v>928</v>
      </c>
      <c r="AL266" s="825">
        <v>947</v>
      </c>
      <c r="AM266" s="825">
        <v>943</v>
      </c>
      <c r="AN266" s="825">
        <v>947</v>
      </c>
      <c r="AO266" s="825">
        <v>960</v>
      </c>
      <c r="AP266" s="825">
        <v>1183</v>
      </c>
      <c r="AQ266" s="51"/>
      <c r="AR266" s="51"/>
      <c r="AS266" s="51"/>
      <c r="AT266" s="51"/>
      <c r="AU266" s="51"/>
      <c r="AV266" s="51"/>
      <c r="AW266" s="51"/>
      <c r="AX266" s="51"/>
      <c r="AY266" s="51"/>
      <c r="AZ266" s="51"/>
      <c r="BA266" s="51"/>
      <c r="BB266" s="51"/>
      <c r="BC266" s="51"/>
      <c r="BD266" s="51"/>
      <c r="BE266" s="51"/>
      <c r="BF266" s="51"/>
      <c r="BG266" s="51"/>
      <c r="BH266" s="51"/>
      <c r="BI266" s="51"/>
      <c r="BJ266" s="51"/>
      <c r="BK266" s="51"/>
      <c r="BL266" s="51"/>
      <c r="BM266" s="51"/>
      <c r="BN266" s="51"/>
      <c r="BO266" s="51"/>
      <c r="BP266" s="51"/>
      <c r="BQ266" s="51"/>
      <c r="BR266" s="51"/>
      <c r="BS266" s="51"/>
      <c r="BT266" s="51"/>
      <c r="BU266" s="51"/>
      <c r="BV266" s="51"/>
      <c r="BW266" s="51"/>
      <c r="BX266" s="51"/>
      <c r="BY266" s="51"/>
      <c r="BZ266" s="51"/>
      <c r="CA266" s="51"/>
      <c r="CB266" s="51"/>
      <c r="CC266" s="51"/>
      <c r="CD266" s="51"/>
      <c r="CE266" s="51"/>
      <c r="CF266" s="51"/>
      <c r="CG266" s="51"/>
      <c r="CH266" s="51"/>
      <c r="CI266" s="51"/>
      <c r="CJ266" s="51"/>
      <c r="CK266" s="51"/>
      <c r="CL266" s="51"/>
      <c r="CM266" s="51"/>
      <c r="CN266" s="51"/>
      <c r="CO266" s="51"/>
      <c r="CP266" s="51"/>
      <c r="CQ266" s="51"/>
      <c r="CR266" s="51"/>
      <c r="CS266" s="51"/>
      <c r="CT266" s="51"/>
      <c r="CU266" s="51"/>
      <c r="CV266" s="51"/>
      <c r="CW266" s="51"/>
      <c r="CX266" s="51"/>
      <c r="CY266" s="51"/>
      <c r="CZ266" s="51"/>
      <c r="DA266" s="51"/>
      <c r="DB266" s="51"/>
      <c r="DC266" s="51"/>
      <c r="DD266" s="51"/>
      <c r="DE266" s="51"/>
      <c r="DF266" s="51"/>
      <c r="DG266" s="51"/>
      <c r="DH266" s="51"/>
      <c r="DI266" s="51"/>
      <c r="DJ266" s="51"/>
      <c r="DK266" s="51"/>
      <c r="DL266" s="51"/>
      <c r="DM266" s="51"/>
      <c r="DN266" s="51"/>
      <c r="DO266" s="51"/>
      <c r="DP266" s="51"/>
      <c r="DQ266" s="51"/>
      <c r="DR266" s="51"/>
      <c r="DS266" s="51"/>
      <c r="DT266" s="51"/>
      <c r="DU266" s="51"/>
      <c r="DV266" s="51"/>
      <c r="DW266" s="51"/>
      <c r="DX266" s="51"/>
      <c r="DY266" s="51"/>
      <c r="DZ266" s="51"/>
      <c r="EA266" s="51"/>
      <c r="EB266" s="51"/>
      <c r="EC266" s="51"/>
      <c r="ED266" s="51"/>
      <c r="EE266" s="51"/>
      <c r="EF266" s="51"/>
      <c r="EG266" s="51"/>
      <c r="EH266" s="51"/>
      <c r="EI266" s="51"/>
      <c r="EJ266" s="51"/>
      <c r="EK266" s="51"/>
      <c r="EL266" s="51"/>
      <c r="EM266" s="51"/>
      <c r="EN266" s="51"/>
      <c r="EO266" s="51"/>
      <c r="EP266" s="51"/>
      <c r="EQ266" s="51"/>
      <c r="ER266" s="51"/>
      <c r="ES266" s="51"/>
      <c r="ET266" s="51"/>
      <c r="EU266" s="51"/>
      <c r="EV266" s="51"/>
      <c r="EW266" s="51"/>
      <c r="EX266" s="51"/>
      <c r="EY266" s="51"/>
      <c r="EZ266" s="51"/>
      <c r="FA266" s="51"/>
      <c r="FB266" s="51"/>
      <c r="FC266" s="51"/>
      <c r="FD266" s="51"/>
      <c r="FE266" s="51"/>
      <c r="FF266" s="51"/>
      <c r="FG266" s="51"/>
      <c r="FH266" s="51"/>
      <c r="FI266" s="51"/>
      <c r="FJ266" s="51"/>
      <c r="FK266" s="51"/>
      <c r="FL266" s="51"/>
      <c r="FM266" s="51"/>
      <c r="FN266" s="51"/>
      <c r="FO266" s="51"/>
      <c r="FP266" s="51"/>
      <c r="FQ266" s="51"/>
      <c r="FR266" s="51"/>
      <c r="FS266" s="51"/>
      <c r="FT266" s="51"/>
      <c r="FU266" s="51"/>
      <c r="FV266" s="51"/>
      <c r="FW266" s="51"/>
      <c r="FX266" s="51"/>
      <c r="FY266" s="51"/>
      <c r="FZ266" s="51"/>
      <c r="GA266" s="51"/>
      <c r="GB266" s="51"/>
      <c r="GC266" s="51"/>
      <c r="GD266" s="51"/>
      <c r="GE266" s="51"/>
      <c r="GF266" s="51"/>
      <c r="GG266" s="51"/>
      <c r="GH266" s="51"/>
      <c r="GI266" s="51"/>
      <c r="GJ266" s="51"/>
      <c r="GK266" s="51"/>
      <c r="GL266" s="51"/>
      <c r="GM266" s="51"/>
      <c r="GN266" s="51"/>
      <c r="GO266" s="51"/>
      <c r="GP266" s="51"/>
      <c r="GQ266" s="51"/>
      <c r="GR266" s="51"/>
      <c r="GS266" s="51"/>
      <c r="GT266" s="51"/>
      <c r="GU266" s="51"/>
      <c r="GV266" s="51"/>
      <c r="GW266" s="51"/>
      <c r="GX266" s="51"/>
      <c r="GY266" s="51"/>
      <c r="GZ266" s="51"/>
      <c r="HA266" s="51"/>
      <c r="HB266" s="51"/>
      <c r="HC266" s="51"/>
      <c r="HD266" s="51"/>
      <c r="HE266" s="51"/>
      <c r="HF266" s="51"/>
      <c r="HG266" s="51"/>
      <c r="HH266" s="51"/>
      <c r="HI266" s="51"/>
      <c r="HJ266" s="51"/>
      <c r="HK266" s="51"/>
      <c r="HL266" s="51"/>
      <c r="HM266" s="51"/>
      <c r="HN266" s="51"/>
      <c r="HO266" s="51"/>
      <c r="HP266" s="51"/>
      <c r="HQ266" s="51"/>
      <c r="HR266" s="51"/>
      <c r="HS266" s="51"/>
      <c r="HT266" s="51"/>
      <c r="HU266" s="51"/>
      <c r="HV266" s="51"/>
      <c r="HW266" s="51"/>
      <c r="HX266" s="51"/>
      <c r="HY266" s="51"/>
      <c r="HZ266" s="51"/>
      <c r="IA266" s="51"/>
      <c r="IB266" s="51"/>
      <c r="IC266" s="51"/>
      <c r="ID266" s="51"/>
      <c r="IE266" s="51"/>
      <c r="IF266" s="51"/>
      <c r="IG266" s="51"/>
      <c r="IH266" s="51"/>
      <c r="II266" s="51"/>
      <c r="IJ266" s="51"/>
      <c r="IK266" s="51"/>
      <c r="IL266" s="51"/>
      <c r="IM266" s="51"/>
      <c r="IN266" s="51"/>
      <c r="IO266" s="51"/>
      <c r="IP266" s="51"/>
      <c r="IQ266" s="51"/>
      <c r="IR266" s="51"/>
      <c r="IS266" s="51"/>
      <c r="IT266" s="51"/>
      <c r="IU266" s="51"/>
      <c r="IV266" s="51"/>
    </row>
    <row r="267" hidden="1">
      <c r="B267" s="826" t="s">
        <v>110</v>
      </c>
      <c r="C267" s="827">
        <v>0</v>
      </c>
      <c r="D267" s="827">
        <v>0</v>
      </c>
      <c r="E267" s="827">
        <v>0</v>
      </c>
      <c r="F267" s="827">
        <v>0</v>
      </c>
      <c r="G267" s="827">
        <v>0</v>
      </c>
      <c r="H267" s="827">
        <v>0</v>
      </c>
      <c r="I267" s="827">
        <v>0</v>
      </c>
      <c r="J267" s="827">
        <v>0</v>
      </c>
      <c r="K267" s="827">
        <v>0</v>
      </c>
      <c r="L267" s="827">
        <v>0</v>
      </c>
      <c r="M267" s="827">
        <v>0</v>
      </c>
      <c r="N267" s="827">
        <v>0</v>
      </c>
      <c r="O267" s="827">
        <v>0</v>
      </c>
      <c r="P267" s="827">
        <v>0</v>
      </c>
      <c r="Q267" s="827">
        <v>0</v>
      </c>
      <c r="R267" s="827">
        <v>0</v>
      </c>
      <c r="S267" s="827">
        <v>0</v>
      </c>
      <c r="T267" s="827">
        <v>0</v>
      </c>
      <c r="U267" s="827">
        <v>0</v>
      </c>
      <c r="V267" s="827">
        <v>0</v>
      </c>
      <c r="W267" s="827">
        <v>0</v>
      </c>
      <c r="X267" s="827">
        <v>0</v>
      </c>
      <c r="Y267" s="827">
        <v>0</v>
      </c>
      <c r="Z267" s="827">
        <v>0</v>
      </c>
      <c r="AA267" s="827">
        <v>0</v>
      </c>
      <c r="AB267" s="827">
        <v>0</v>
      </c>
      <c r="AC267" s="828">
        <v>0</v>
      </c>
      <c r="AD267" s="828">
        <v>0</v>
      </c>
      <c r="AE267" s="828">
        <v>0</v>
      </c>
      <c r="AF267" s="828">
        <v>0</v>
      </c>
      <c r="AG267" s="828">
        <v>0</v>
      </c>
      <c r="AH267" s="828">
        <v>0</v>
      </c>
      <c r="AI267" s="828">
        <v>0</v>
      </c>
      <c r="AJ267" s="828">
        <v>0</v>
      </c>
      <c r="AK267" s="828">
        <v>0</v>
      </c>
      <c r="AL267" s="828">
        <v>0</v>
      </c>
      <c r="AM267" s="828">
        <v>0</v>
      </c>
      <c r="AN267" s="828">
        <v>0</v>
      </c>
      <c r="AO267" s="828">
        <v>0</v>
      </c>
      <c r="AP267" s="828">
        <v>0</v>
      </c>
      <c r="AQ267" s="51"/>
      <c r="AR267" s="51"/>
      <c r="AS267" s="51"/>
      <c r="AT267" s="51"/>
      <c r="AU267" s="51"/>
      <c r="AV267" s="51"/>
      <c r="AW267" s="51"/>
      <c r="AX267" s="51"/>
      <c r="AY267" s="51"/>
      <c r="AZ267" s="51"/>
      <c r="BA267" s="51"/>
      <c r="BB267" s="51"/>
      <c r="BC267" s="51"/>
      <c r="BD267" s="51"/>
      <c r="BE267" s="51"/>
      <c r="BF267" s="51"/>
      <c r="BG267" s="51"/>
      <c r="BH267" s="51"/>
      <c r="BI267" s="51"/>
      <c r="BJ267" s="51"/>
      <c r="BK267" s="51"/>
      <c r="BL267" s="51"/>
      <c r="BM267" s="51"/>
      <c r="BN267" s="51"/>
      <c r="BO267" s="51"/>
      <c r="BP267" s="51"/>
      <c r="BQ267" s="51"/>
      <c r="BR267" s="51"/>
      <c r="BS267" s="51"/>
      <c r="BT267" s="51"/>
      <c r="BU267" s="51"/>
      <c r="BV267" s="51"/>
      <c r="BW267" s="51"/>
      <c r="BX267" s="51"/>
      <c r="BY267" s="51"/>
      <c r="BZ267" s="51"/>
      <c r="CA267" s="51"/>
      <c r="CB267" s="51"/>
      <c r="CC267" s="51"/>
      <c r="CD267" s="51"/>
      <c r="CE267" s="51"/>
      <c r="CF267" s="51"/>
      <c r="CG267" s="51"/>
      <c r="CH267" s="51"/>
      <c r="CI267" s="51"/>
      <c r="CJ267" s="51"/>
      <c r="CK267" s="51"/>
      <c r="CL267" s="51"/>
      <c r="CM267" s="51"/>
      <c r="CN267" s="51"/>
      <c r="CO267" s="51"/>
      <c r="CP267" s="51"/>
      <c r="CQ267" s="51"/>
      <c r="CR267" s="51"/>
      <c r="CS267" s="51"/>
      <c r="CT267" s="51"/>
      <c r="CU267" s="51"/>
      <c r="CV267" s="51"/>
      <c r="CW267" s="51"/>
      <c r="CX267" s="51"/>
      <c r="CY267" s="51"/>
      <c r="CZ267" s="51"/>
      <c r="DA267" s="51"/>
      <c r="DB267" s="51"/>
      <c r="DC267" s="51"/>
      <c r="DD267" s="51"/>
      <c r="DE267" s="51"/>
      <c r="DF267" s="51"/>
      <c r="DG267" s="51"/>
      <c r="DH267" s="51"/>
      <c r="DI267" s="51"/>
      <c r="DJ267" s="51"/>
      <c r="DK267" s="51"/>
      <c r="DL267" s="51"/>
      <c r="DM267" s="51"/>
      <c r="DN267" s="51"/>
      <c r="DO267" s="51"/>
      <c r="DP267" s="51"/>
      <c r="DQ267" s="51"/>
      <c r="DR267" s="51"/>
      <c r="DS267" s="51"/>
      <c r="DT267" s="51"/>
      <c r="DU267" s="51"/>
      <c r="DV267" s="51"/>
      <c r="DW267" s="51"/>
      <c r="DX267" s="51"/>
      <c r="DY267" s="51"/>
      <c r="DZ267" s="51"/>
      <c r="EA267" s="51"/>
      <c r="EB267" s="51"/>
      <c r="EC267" s="51"/>
      <c r="ED267" s="51"/>
      <c r="EE267" s="51"/>
      <c r="EF267" s="51"/>
      <c r="EG267" s="51"/>
      <c r="EH267" s="51"/>
      <c r="EI267" s="51"/>
      <c r="EJ267" s="51"/>
      <c r="EK267" s="51"/>
      <c r="EL267" s="51"/>
      <c r="EM267" s="51"/>
      <c r="EN267" s="51"/>
      <c r="EO267" s="51"/>
      <c r="EP267" s="51"/>
      <c r="EQ267" s="51"/>
      <c r="ER267" s="51"/>
      <c r="ES267" s="51"/>
      <c r="ET267" s="51"/>
      <c r="EU267" s="51"/>
      <c r="EV267" s="51"/>
      <c r="EW267" s="51"/>
      <c r="EX267" s="51"/>
      <c r="EY267" s="51"/>
      <c r="EZ267" s="51"/>
      <c r="FA267" s="51"/>
      <c r="FB267" s="51"/>
      <c r="FC267" s="51"/>
      <c r="FD267" s="51"/>
      <c r="FE267" s="51"/>
      <c r="FF267" s="51"/>
      <c r="FG267" s="51"/>
      <c r="FH267" s="51"/>
      <c r="FI267" s="51"/>
      <c r="FJ267" s="51"/>
      <c r="FK267" s="51"/>
      <c r="FL267" s="51"/>
      <c r="FM267" s="51"/>
      <c r="FN267" s="51"/>
      <c r="FO267" s="51"/>
      <c r="FP267" s="51"/>
      <c r="FQ267" s="51"/>
      <c r="FR267" s="51"/>
      <c r="FS267" s="51"/>
      <c r="FT267" s="51"/>
      <c r="FU267" s="51"/>
      <c r="FV267" s="51"/>
      <c r="FW267" s="51"/>
      <c r="FX267" s="51"/>
      <c r="FY267" s="51"/>
      <c r="FZ267" s="51"/>
      <c r="GA267" s="51"/>
      <c r="GB267" s="51"/>
      <c r="GC267" s="51"/>
      <c r="GD267" s="51"/>
      <c r="GE267" s="51"/>
      <c r="GF267" s="51"/>
      <c r="GG267" s="51"/>
      <c r="GH267" s="51"/>
      <c r="GI267" s="51"/>
      <c r="GJ267" s="51"/>
      <c r="GK267" s="51"/>
      <c r="GL267" s="51"/>
      <c r="GM267" s="51"/>
      <c r="GN267" s="51"/>
      <c r="GO267" s="51"/>
      <c r="GP267" s="51"/>
      <c r="GQ267" s="51"/>
      <c r="GR267" s="51"/>
      <c r="GS267" s="51"/>
      <c r="GT267" s="51"/>
      <c r="GU267" s="51"/>
      <c r="GV267" s="51"/>
      <c r="GW267" s="51"/>
      <c r="GX267" s="51"/>
      <c r="GY267" s="51"/>
      <c r="GZ267" s="51"/>
      <c r="HA267" s="51"/>
      <c r="HB267" s="51"/>
      <c r="HC267" s="51"/>
      <c r="HD267" s="51"/>
      <c r="HE267" s="51"/>
      <c r="HF267" s="51"/>
      <c r="HG267" s="51"/>
      <c r="HH267" s="51"/>
      <c r="HI267" s="51"/>
      <c r="HJ267" s="51"/>
      <c r="HK267" s="51"/>
      <c r="HL267" s="51"/>
      <c r="HM267" s="51"/>
      <c r="HN267" s="51"/>
      <c r="HO267" s="51"/>
      <c r="HP267" s="51"/>
      <c r="HQ267" s="51"/>
      <c r="HR267" s="51"/>
      <c r="HS267" s="51"/>
      <c r="HT267" s="51"/>
      <c r="HU267" s="51"/>
      <c r="HV267" s="51"/>
      <c r="HW267" s="51"/>
      <c r="HX267" s="51"/>
      <c r="HY267" s="51"/>
      <c r="HZ267" s="51"/>
      <c r="IA267" s="51"/>
      <c r="IB267" s="51"/>
      <c r="IC267" s="51"/>
      <c r="ID267" s="51"/>
      <c r="IE267" s="51"/>
      <c r="IF267" s="51"/>
      <c r="IG267" s="51"/>
      <c r="IH267" s="51"/>
      <c r="II267" s="51"/>
      <c r="IJ267" s="51"/>
      <c r="IK267" s="51"/>
      <c r="IL267" s="51"/>
      <c r="IM267" s="51"/>
      <c r="IN267" s="51"/>
      <c r="IO267" s="51"/>
      <c r="IP267" s="51"/>
      <c r="IQ267" s="51"/>
      <c r="IR267" s="51"/>
      <c r="IS267" s="51"/>
      <c r="IT267" s="51"/>
      <c r="IU267" s="51"/>
      <c r="IV267" s="51"/>
    </row>
    <row r="268" hidden="1">
      <c r="B268" s="829" t="s">
        <v>16</v>
      </c>
      <c r="C268" s="823">
        <v>783</v>
      </c>
      <c r="D268" s="823">
        <v>19</v>
      </c>
      <c r="E268" s="823">
        <v>10</v>
      </c>
      <c r="F268" s="823">
        <v>10</v>
      </c>
      <c r="G268" s="823">
        <v>666</v>
      </c>
      <c r="H268" s="823">
        <v>691</v>
      </c>
      <c r="I268" s="823">
        <v>725</v>
      </c>
      <c r="J268" s="823">
        <v>741</v>
      </c>
      <c r="K268" s="823">
        <v>767</v>
      </c>
      <c r="L268" s="823">
        <v>788</v>
      </c>
      <c r="M268" s="823">
        <v>797</v>
      </c>
      <c r="N268" s="823">
        <v>802</v>
      </c>
      <c r="O268" s="823">
        <v>779</v>
      </c>
      <c r="P268" s="823">
        <v>766</v>
      </c>
      <c r="Q268" s="823">
        <v>797</v>
      </c>
      <c r="R268" s="823">
        <v>777</v>
      </c>
      <c r="S268" s="823">
        <v>773</v>
      </c>
      <c r="T268" s="823">
        <v>768</v>
      </c>
      <c r="U268" s="823">
        <v>765</v>
      </c>
      <c r="V268" s="823">
        <v>762</v>
      </c>
      <c r="W268" s="823">
        <v>739</v>
      </c>
      <c r="X268" s="823">
        <v>729</v>
      </c>
      <c r="Y268" s="823">
        <v>270</v>
      </c>
      <c r="Z268" s="823">
        <v>254</v>
      </c>
      <c r="AA268" s="823">
        <v>230</v>
      </c>
      <c r="AB268" s="823">
        <v>228</v>
      </c>
      <c r="AC268" s="825">
        <v>222</v>
      </c>
      <c r="AD268" s="825">
        <v>209</v>
      </c>
      <c r="AE268" s="825">
        <v>233</v>
      </c>
      <c r="AF268" s="825">
        <v>233</v>
      </c>
      <c r="AG268" s="825">
        <v>232</v>
      </c>
      <c r="AH268" s="825">
        <v>221</v>
      </c>
      <c r="AI268" s="825">
        <v>216</v>
      </c>
      <c r="AJ268" s="825">
        <v>210</v>
      </c>
      <c r="AK268" s="825">
        <v>202</v>
      </c>
      <c r="AL268" s="825">
        <v>195</v>
      </c>
      <c r="AM268" s="825">
        <v>195</v>
      </c>
      <c r="AN268" s="825">
        <v>195</v>
      </c>
      <c r="AO268" s="825">
        <v>196</v>
      </c>
      <c r="AP268" s="825">
        <v>196</v>
      </c>
      <c r="AQ268" s="51"/>
      <c r="AR268" s="51"/>
      <c r="AS268" s="51"/>
      <c r="AT268" s="51"/>
      <c r="AU268" s="51"/>
      <c r="AV268" s="51"/>
      <c r="AW268" s="51"/>
      <c r="AX268" s="51"/>
      <c r="AY268" s="51"/>
      <c r="AZ268" s="51"/>
      <c r="BA268" s="51"/>
      <c r="BB268" s="51"/>
      <c r="BC268" s="51"/>
      <c r="BD268" s="51"/>
      <c r="BE268" s="51"/>
      <c r="BF268" s="51"/>
      <c r="BG268" s="51"/>
      <c r="BH268" s="51"/>
      <c r="BI268" s="51"/>
      <c r="BJ268" s="51"/>
      <c r="BK268" s="51"/>
      <c r="BL268" s="51"/>
      <c r="BM268" s="51"/>
      <c r="BN268" s="51"/>
      <c r="BO268" s="51"/>
      <c r="BP268" s="51"/>
      <c r="BQ268" s="51"/>
      <c r="BR268" s="51"/>
      <c r="BS268" s="51"/>
      <c r="BT268" s="51"/>
      <c r="BU268" s="51"/>
      <c r="BV268" s="51"/>
      <c r="BW268" s="51"/>
      <c r="BX268" s="51"/>
      <c r="BY268" s="51"/>
      <c r="BZ268" s="51"/>
      <c r="CA268" s="51"/>
      <c r="CB268" s="51"/>
      <c r="CC268" s="51"/>
      <c r="CD268" s="51"/>
      <c r="CE268" s="51"/>
      <c r="CF268" s="51"/>
      <c r="CG268" s="51"/>
      <c r="CH268" s="51"/>
      <c r="CI268" s="51"/>
      <c r="CJ268" s="51"/>
      <c r="CK268" s="51"/>
      <c r="CL268" s="51"/>
      <c r="CM268" s="51"/>
      <c r="CN268" s="51"/>
      <c r="CO268" s="51"/>
      <c r="CP268" s="51"/>
      <c r="CQ268" s="51"/>
      <c r="CR268" s="51"/>
      <c r="CS268" s="51"/>
      <c r="CT268" s="51"/>
      <c r="CU268" s="51"/>
      <c r="CV268" s="51"/>
      <c r="CW268" s="51"/>
      <c r="CX268" s="51"/>
      <c r="CY268" s="51"/>
      <c r="CZ268" s="51"/>
      <c r="DA268" s="51"/>
      <c r="DB268" s="51"/>
      <c r="DC268" s="51"/>
      <c r="DD268" s="51"/>
      <c r="DE268" s="51"/>
      <c r="DF268" s="51"/>
      <c r="DG268" s="51"/>
      <c r="DH268" s="51"/>
      <c r="DI268" s="51"/>
      <c r="DJ268" s="51"/>
      <c r="DK268" s="51"/>
      <c r="DL268" s="51"/>
      <c r="DM268" s="51"/>
      <c r="DN268" s="51"/>
      <c r="DO268" s="51"/>
      <c r="DP268" s="51"/>
      <c r="DQ268" s="51"/>
      <c r="DR268" s="51"/>
      <c r="DS268" s="51"/>
      <c r="DT268" s="51"/>
      <c r="DU268" s="51"/>
      <c r="DV268" s="51"/>
      <c r="DW268" s="51"/>
      <c r="DX268" s="51"/>
      <c r="DY268" s="51"/>
      <c r="DZ268" s="51"/>
      <c r="EA268" s="51"/>
      <c r="EB268" s="51"/>
      <c r="EC268" s="51"/>
      <c r="ED268" s="51"/>
      <c r="EE268" s="51"/>
      <c r="EF268" s="51"/>
      <c r="EG268" s="51"/>
      <c r="EH268" s="51"/>
      <c r="EI268" s="51"/>
      <c r="EJ268" s="51"/>
      <c r="EK268" s="51"/>
      <c r="EL268" s="51"/>
      <c r="EM268" s="51"/>
      <c r="EN268" s="51"/>
      <c r="EO268" s="51"/>
      <c r="EP268" s="51"/>
      <c r="EQ268" s="51"/>
      <c r="ER268" s="51"/>
      <c r="ES268" s="51"/>
      <c r="ET268" s="51"/>
      <c r="EU268" s="51"/>
      <c r="EV268" s="51"/>
      <c r="EW268" s="51"/>
      <c r="EX268" s="51"/>
      <c r="EY268" s="51"/>
      <c r="EZ268" s="51"/>
      <c r="FA268" s="51"/>
      <c r="FB268" s="51"/>
      <c r="FC268" s="51"/>
      <c r="FD268" s="51"/>
      <c r="FE268" s="51"/>
      <c r="FF268" s="51"/>
      <c r="FG268" s="51"/>
      <c r="FH268" s="51"/>
      <c r="FI268" s="51"/>
      <c r="FJ268" s="51"/>
      <c r="FK268" s="51"/>
      <c r="FL268" s="51"/>
      <c r="FM268" s="51"/>
      <c r="FN268" s="51"/>
      <c r="FO268" s="51"/>
      <c r="FP268" s="51"/>
      <c r="FQ268" s="51"/>
      <c r="FR268" s="51"/>
      <c r="FS268" s="51"/>
      <c r="FT268" s="51"/>
      <c r="FU268" s="51"/>
      <c r="FV268" s="51"/>
      <c r="FW268" s="51"/>
      <c r="FX268" s="51"/>
      <c r="FY268" s="51"/>
      <c r="FZ268" s="51"/>
      <c r="GA268" s="51"/>
      <c r="GB268" s="51"/>
      <c r="GC268" s="51"/>
      <c r="GD268" s="51"/>
      <c r="GE268" s="51"/>
      <c r="GF268" s="51"/>
      <c r="GG268" s="51"/>
      <c r="GH268" s="51"/>
      <c r="GI268" s="51"/>
      <c r="GJ268" s="51"/>
      <c r="GK268" s="51"/>
      <c r="GL268" s="51"/>
      <c r="GM268" s="51"/>
      <c r="GN268" s="51"/>
      <c r="GO268" s="51"/>
      <c r="GP268" s="51"/>
      <c r="GQ268" s="51"/>
      <c r="GR268" s="51"/>
      <c r="GS268" s="51"/>
      <c r="GT268" s="51"/>
      <c r="GU268" s="51"/>
      <c r="GV268" s="51"/>
      <c r="GW268" s="51"/>
      <c r="GX268" s="51"/>
      <c r="GY268" s="51"/>
      <c r="GZ268" s="51"/>
      <c r="HA268" s="51"/>
      <c r="HB268" s="51"/>
      <c r="HC268" s="51"/>
      <c r="HD268" s="51"/>
      <c r="HE268" s="51"/>
      <c r="HF268" s="51"/>
      <c r="HG268" s="51"/>
      <c r="HH268" s="51"/>
      <c r="HI268" s="51"/>
      <c r="HJ268" s="51"/>
      <c r="HK268" s="51"/>
      <c r="HL268" s="51"/>
      <c r="HM268" s="51"/>
      <c r="HN268" s="51"/>
      <c r="HO268" s="51"/>
      <c r="HP268" s="51"/>
      <c r="HQ268" s="51"/>
      <c r="HR268" s="51"/>
      <c r="HS268" s="51"/>
      <c r="HT268" s="51"/>
      <c r="HU268" s="51"/>
      <c r="HV268" s="51"/>
      <c r="HW268" s="51"/>
      <c r="HX268" s="51"/>
      <c r="HY268" s="51"/>
      <c r="HZ268" s="51"/>
      <c r="IA268" s="51"/>
      <c r="IB268" s="51"/>
      <c r="IC268" s="51"/>
      <c r="ID268" s="51"/>
      <c r="IE268" s="51"/>
      <c r="IF268" s="51"/>
      <c r="IG268" s="51"/>
      <c r="IH268" s="51"/>
      <c r="II268" s="51"/>
      <c r="IJ268" s="51"/>
      <c r="IK268" s="51"/>
      <c r="IL268" s="51"/>
      <c r="IM268" s="51"/>
      <c r="IN268" s="51"/>
      <c r="IO268" s="51"/>
      <c r="IP268" s="51"/>
      <c r="IQ268" s="51"/>
      <c r="IR268" s="51"/>
      <c r="IS268" s="51"/>
      <c r="IT268" s="51"/>
      <c r="IU268" s="51"/>
      <c r="IV268" s="51"/>
    </row>
    <row r="269" hidden="1">
      <c r="B269" s="826" t="s">
        <v>17</v>
      </c>
      <c r="C269" s="827">
        <v>0</v>
      </c>
      <c r="D269" s="827">
        <v>1</v>
      </c>
      <c r="E269" s="827">
        <v>4</v>
      </c>
      <c r="F269" s="827">
        <v>5</v>
      </c>
      <c r="G269" s="827">
        <v>10</v>
      </c>
      <c r="H269" s="827">
        <v>11</v>
      </c>
      <c r="I269" s="827">
        <v>13</v>
      </c>
      <c r="J269" s="827">
        <v>14</v>
      </c>
      <c r="K269" s="827">
        <v>15</v>
      </c>
      <c r="L269" s="827">
        <v>15</v>
      </c>
      <c r="M269" s="827">
        <v>17</v>
      </c>
      <c r="N269" s="827">
        <v>17</v>
      </c>
      <c r="O269" s="827">
        <v>17</v>
      </c>
      <c r="P269" s="827">
        <v>22</v>
      </c>
      <c r="Q269" s="827">
        <v>24</v>
      </c>
      <c r="R269" s="827">
        <v>26</v>
      </c>
      <c r="S269" s="827">
        <v>28</v>
      </c>
      <c r="T269" s="827">
        <v>29</v>
      </c>
      <c r="U269" s="827">
        <v>30</v>
      </c>
      <c r="V269" s="827">
        <v>33</v>
      </c>
      <c r="W269" s="827">
        <v>32</v>
      </c>
      <c r="X269" s="827">
        <v>33</v>
      </c>
      <c r="Y269" s="827">
        <v>34</v>
      </c>
      <c r="Z269" s="827">
        <v>38</v>
      </c>
      <c r="AA269" s="827">
        <v>39</v>
      </c>
      <c r="AB269" s="827">
        <v>42</v>
      </c>
      <c r="AC269" s="828">
        <v>46</v>
      </c>
      <c r="AD269" s="828">
        <v>46</v>
      </c>
      <c r="AE269" s="828">
        <v>47</v>
      </c>
      <c r="AF269" s="828">
        <v>49</v>
      </c>
      <c r="AG269" s="828">
        <v>51</v>
      </c>
      <c r="AH269" s="828">
        <v>53</v>
      </c>
      <c r="AI269" s="828">
        <v>56</v>
      </c>
      <c r="AJ269" s="828">
        <v>56</v>
      </c>
      <c r="AK269" s="828">
        <v>55</v>
      </c>
      <c r="AL269" s="828">
        <v>57</v>
      </c>
      <c r="AM269" s="828">
        <v>57</v>
      </c>
      <c r="AN269" s="828">
        <v>60</v>
      </c>
      <c r="AO269" s="828">
        <v>61</v>
      </c>
      <c r="AP269" s="828">
        <v>62</v>
      </c>
      <c r="AQ269" s="51"/>
      <c r="AR269" s="51"/>
      <c r="AS269" s="51"/>
      <c r="AT269" s="51"/>
      <c r="AU269" s="51"/>
      <c r="AV269" s="51"/>
      <c r="AW269" s="51"/>
      <c r="AX269" s="51"/>
      <c r="AY269" s="51"/>
      <c r="AZ269" s="51"/>
      <c r="BA269" s="51"/>
      <c r="BB269" s="51"/>
      <c r="BC269" s="51"/>
      <c r="BD269" s="51"/>
      <c r="BE269" s="51"/>
      <c r="BF269" s="51"/>
      <c r="BG269" s="51"/>
      <c r="BH269" s="51"/>
      <c r="BI269" s="51"/>
      <c r="BJ269" s="51"/>
      <c r="BK269" s="51"/>
      <c r="BL269" s="51"/>
      <c r="BM269" s="51"/>
      <c r="BN269" s="51"/>
      <c r="BO269" s="51"/>
      <c r="BP269" s="51"/>
      <c r="BQ269" s="51"/>
      <c r="BR269" s="51"/>
      <c r="BS269" s="51"/>
      <c r="BT269" s="51"/>
      <c r="BU269" s="51"/>
      <c r="BV269" s="51"/>
      <c r="BW269" s="51"/>
      <c r="BX269" s="51"/>
      <c r="BY269" s="51"/>
      <c r="BZ269" s="51"/>
      <c r="CA269" s="51"/>
      <c r="CB269" s="51"/>
      <c r="CC269" s="51"/>
      <c r="CD269" s="51"/>
      <c r="CE269" s="51"/>
      <c r="CF269" s="51"/>
      <c r="CG269" s="51"/>
      <c r="CH269" s="51"/>
      <c r="CI269" s="51"/>
      <c r="CJ269" s="51"/>
      <c r="CK269" s="51"/>
      <c r="CL269" s="51"/>
      <c r="CM269" s="51"/>
      <c r="CN269" s="51"/>
      <c r="CO269" s="51"/>
      <c r="CP269" s="51"/>
      <c r="CQ269" s="51"/>
      <c r="CR269" s="51"/>
      <c r="CS269" s="51"/>
      <c r="CT269" s="51"/>
      <c r="CU269" s="51"/>
      <c r="CV269" s="51"/>
      <c r="CW269" s="51"/>
      <c r="CX269" s="51"/>
      <c r="CY269" s="51"/>
      <c r="CZ269" s="51"/>
      <c r="DA269" s="51"/>
      <c r="DB269" s="51"/>
      <c r="DC269" s="51"/>
      <c r="DD269" s="51"/>
      <c r="DE269" s="51"/>
      <c r="DF269" s="51"/>
      <c r="DG269" s="51"/>
      <c r="DH269" s="51"/>
      <c r="DI269" s="51"/>
      <c r="DJ269" s="51"/>
      <c r="DK269" s="51"/>
      <c r="DL269" s="51"/>
      <c r="DM269" s="51"/>
      <c r="DN269" s="51"/>
      <c r="DO269" s="51"/>
      <c r="DP269" s="51"/>
      <c r="DQ269" s="51"/>
      <c r="DR269" s="51"/>
      <c r="DS269" s="51"/>
      <c r="DT269" s="51"/>
      <c r="DU269" s="51"/>
      <c r="DV269" s="51"/>
      <c r="DW269" s="51"/>
      <c r="DX269" s="51"/>
      <c r="DY269" s="51"/>
      <c r="DZ269" s="51"/>
      <c r="EA269" s="51"/>
      <c r="EB269" s="51"/>
      <c r="EC269" s="51"/>
      <c r="ED269" s="51"/>
      <c r="EE269" s="51"/>
      <c r="EF269" s="51"/>
      <c r="EG269" s="51"/>
      <c r="EH269" s="51"/>
      <c r="EI269" s="51"/>
      <c r="EJ269" s="51"/>
      <c r="EK269" s="51"/>
      <c r="EL269" s="51"/>
      <c r="EM269" s="51"/>
      <c r="EN269" s="51"/>
      <c r="EO269" s="51"/>
      <c r="EP269" s="51"/>
      <c r="EQ269" s="51"/>
      <c r="ER269" s="51"/>
      <c r="ES269" s="51"/>
      <c r="ET269" s="51"/>
      <c r="EU269" s="51"/>
      <c r="EV269" s="51"/>
      <c r="EW269" s="51"/>
      <c r="EX269" s="51"/>
      <c r="EY269" s="51"/>
      <c r="EZ269" s="51"/>
      <c r="FA269" s="51"/>
      <c r="FB269" s="51"/>
      <c r="FC269" s="51"/>
      <c r="FD269" s="51"/>
      <c r="FE269" s="51"/>
      <c r="FF269" s="51"/>
      <c r="FG269" s="51"/>
      <c r="FH269" s="51"/>
      <c r="FI269" s="51"/>
      <c r="FJ269" s="51"/>
      <c r="FK269" s="51"/>
      <c r="FL269" s="51"/>
      <c r="FM269" s="51"/>
      <c r="FN269" s="51"/>
      <c r="FO269" s="51"/>
      <c r="FP269" s="51"/>
      <c r="FQ269" s="51"/>
      <c r="FR269" s="51"/>
      <c r="FS269" s="51"/>
      <c r="FT269" s="51"/>
      <c r="FU269" s="51"/>
      <c r="FV269" s="51"/>
      <c r="FW269" s="51"/>
      <c r="FX269" s="51"/>
      <c r="FY269" s="51"/>
      <c r="FZ269" s="51"/>
      <c r="GA269" s="51"/>
      <c r="GB269" s="51"/>
      <c r="GC269" s="51"/>
      <c r="GD269" s="51"/>
      <c r="GE269" s="51"/>
      <c r="GF269" s="51"/>
      <c r="GG269" s="51"/>
      <c r="GH269" s="51"/>
      <c r="GI269" s="51"/>
      <c r="GJ269" s="51"/>
      <c r="GK269" s="51"/>
      <c r="GL269" s="51"/>
      <c r="GM269" s="51"/>
      <c r="GN269" s="51"/>
      <c r="GO269" s="51"/>
      <c r="GP269" s="51"/>
      <c r="GQ269" s="51"/>
      <c r="GR269" s="51"/>
      <c r="GS269" s="51"/>
      <c r="GT269" s="51"/>
      <c r="GU269" s="51"/>
      <c r="GV269" s="51"/>
      <c r="GW269" s="51"/>
      <c r="GX269" s="51"/>
      <c r="GY269" s="51"/>
      <c r="GZ269" s="51"/>
      <c r="HA269" s="51"/>
      <c r="HB269" s="51"/>
      <c r="HC269" s="51"/>
      <c r="HD269" s="51"/>
      <c r="HE269" s="51"/>
      <c r="HF269" s="51"/>
      <c r="HG269" s="51"/>
      <c r="HH269" s="51"/>
      <c r="HI269" s="51"/>
      <c r="HJ269" s="51"/>
      <c r="HK269" s="51"/>
      <c r="HL269" s="51"/>
      <c r="HM269" s="51"/>
      <c r="HN269" s="51"/>
      <c r="HO269" s="51"/>
      <c r="HP269" s="51"/>
      <c r="HQ269" s="51"/>
      <c r="HR269" s="51"/>
      <c r="HS269" s="51"/>
      <c r="HT269" s="51"/>
      <c r="HU269" s="51"/>
      <c r="HV269" s="51"/>
      <c r="HW269" s="51"/>
      <c r="HX269" s="51"/>
      <c r="HY269" s="51"/>
      <c r="HZ269" s="51"/>
      <c r="IA269" s="51"/>
      <c r="IB269" s="51"/>
      <c r="IC269" s="51"/>
      <c r="ID269" s="51"/>
      <c r="IE269" s="51"/>
      <c r="IF269" s="51"/>
      <c r="IG269" s="51"/>
      <c r="IH269" s="51"/>
      <c r="II269" s="51"/>
      <c r="IJ269" s="51"/>
      <c r="IK269" s="51"/>
      <c r="IL269" s="51"/>
      <c r="IM269" s="51"/>
      <c r="IN269" s="51"/>
      <c r="IO269" s="51"/>
      <c r="IP269" s="51"/>
      <c r="IQ269" s="51"/>
      <c r="IR269" s="51"/>
      <c r="IS269" s="51"/>
      <c r="IT269" s="51"/>
      <c r="IU269" s="51"/>
      <c r="IV269" s="51"/>
    </row>
    <row r="270" hidden="1">
      <c r="B270" s="829" t="s">
        <v>18</v>
      </c>
      <c r="C270" s="823">
        <v>0</v>
      </c>
      <c r="D270" s="823">
        <v>0</v>
      </c>
      <c r="E270" s="823">
        <v>0</v>
      </c>
      <c r="F270" s="823">
        <v>0</v>
      </c>
      <c r="G270" s="823">
        <v>0</v>
      </c>
      <c r="H270" s="823">
        <v>0</v>
      </c>
      <c r="I270" s="823">
        <v>0</v>
      </c>
      <c r="J270" s="823">
        <v>0</v>
      </c>
      <c r="K270" s="823">
        <v>46</v>
      </c>
      <c r="L270" s="823">
        <v>44</v>
      </c>
      <c r="M270" s="823">
        <v>44</v>
      </c>
      <c r="N270" s="823">
        <v>44</v>
      </c>
      <c r="O270" s="823">
        <v>45</v>
      </c>
      <c r="P270" s="823">
        <v>48</v>
      </c>
      <c r="Q270" s="823">
        <v>47</v>
      </c>
      <c r="R270" s="823">
        <v>38</v>
      </c>
      <c r="S270" s="823">
        <v>45</v>
      </c>
      <c r="T270" s="823">
        <v>44</v>
      </c>
      <c r="U270" s="823">
        <v>44</v>
      </c>
      <c r="V270" s="823">
        <v>47</v>
      </c>
      <c r="W270" s="823">
        <v>45</v>
      </c>
      <c r="X270" s="823">
        <v>45</v>
      </c>
      <c r="Y270" s="823">
        <v>48</v>
      </c>
      <c r="Z270" s="823">
        <v>48</v>
      </c>
      <c r="AA270" s="823">
        <v>47</v>
      </c>
      <c r="AB270" s="823">
        <v>45</v>
      </c>
      <c r="AC270" s="825">
        <v>49</v>
      </c>
      <c r="AD270" s="825">
        <v>51</v>
      </c>
      <c r="AE270" s="825">
        <v>48</v>
      </c>
      <c r="AF270" s="825">
        <v>49</v>
      </c>
      <c r="AG270" s="825">
        <v>51</v>
      </c>
      <c r="AH270" s="825">
        <v>52</v>
      </c>
      <c r="AI270" s="825">
        <v>53</v>
      </c>
      <c r="AJ270" s="825">
        <v>55</v>
      </c>
      <c r="AK270" s="825">
        <v>53</v>
      </c>
      <c r="AL270" s="825">
        <v>54</v>
      </c>
      <c r="AM270" s="825">
        <v>61</v>
      </c>
      <c r="AN270" s="825">
        <v>56</v>
      </c>
      <c r="AO270" s="825">
        <v>57</v>
      </c>
      <c r="AP270" s="825">
        <v>63</v>
      </c>
      <c r="AQ270" s="51"/>
      <c r="AR270" s="51"/>
      <c r="AS270" s="51"/>
      <c r="AT270" s="51"/>
      <c r="AU270" s="51"/>
      <c r="AV270" s="51"/>
      <c r="AW270" s="51"/>
      <c r="AX270" s="51"/>
      <c r="AY270" s="51"/>
      <c r="AZ270" s="51"/>
      <c r="BA270" s="51"/>
      <c r="BB270" s="51"/>
      <c r="BC270" s="51"/>
      <c r="BD270" s="51"/>
      <c r="BE270" s="51"/>
      <c r="BF270" s="51"/>
      <c r="BG270" s="51"/>
      <c r="BH270" s="51"/>
      <c r="BI270" s="51"/>
      <c r="BJ270" s="51"/>
      <c r="BK270" s="51"/>
      <c r="BL270" s="51"/>
      <c r="BM270" s="51"/>
      <c r="BN270" s="51"/>
      <c r="BO270" s="51"/>
      <c r="BP270" s="51"/>
      <c r="BQ270" s="51"/>
      <c r="BR270" s="51"/>
      <c r="BS270" s="51"/>
      <c r="BT270" s="51"/>
      <c r="BU270" s="51"/>
      <c r="BV270" s="51"/>
      <c r="BW270" s="51"/>
      <c r="BX270" s="51"/>
      <c r="BY270" s="51"/>
      <c r="BZ270" s="51"/>
      <c r="CA270" s="51"/>
      <c r="CB270" s="51"/>
      <c r="CC270" s="51"/>
      <c r="CD270" s="51"/>
      <c r="CE270" s="51"/>
      <c r="CF270" s="51"/>
      <c r="CG270" s="51"/>
      <c r="CH270" s="51"/>
      <c r="CI270" s="51"/>
      <c r="CJ270" s="51"/>
      <c r="CK270" s="51"/>
      <c r="CL270" s="51"/>
      <c r="CM270" s="51"/>
      <c r="CN270" s="51"/>
      <c r="CO270" s="51"/>
      <c r="CP270" s="51"/>
      <c r="CQ270" s="51"/>
      <c r="CR270" s="51"/>
      <c r="CS270" s="51"/>
      <c r="CT270" s="51"/>
      <c r="CU270" s="51"/>
      <c r="CV270" s="51"/>
      <c r="CW270" s="51"/>
      <c r="CX270" s="51"/>
      <c r="CY270" s="51"/>
      <c r="CZ270" s="51"/>
      <c r="DA270" s="51"/>
      <c r="DB270" s="51"/>
      <c r="DC270" s="51"/>
      <c r="DD270" s="51"/>
      <c r="DE270" s="51"/>
      <c r="DF270" s="51"/>
      <c r="DG270" s="51"/>
      <c r="DH270" s="51"/>
      <c r="DI270" s="51"/>
      <c r="DJ270" s="51"/>
      <c r="DK270" s="51"/>
      <c r="DL270" s="51"/>
      <c r="DM270" s="51"/>
      <c r="DN270" s="51"/>
      <c r="DO270" s="51"/>
      <c r="DP270" s="51"/>
      <c r="DQ270" s="51"/>
      <c r="DR270" s="51"/>
      <c r="DS270" s="51"/>
      <c r="DT270" s="51"/>
      <c r="DU270" s="51"/>
      <c r="DV270" s="51"/>
      <c r="DW270" s="51"/>
      <c r="DX270" s="51"/>
      <c r="DY270" s="51"/>
      <c r="DZ270" s="51"/>
      <c r="EA270" s="51"/>
      <c r="EB270" s="51"/>
      <c r="EC270" s="51"/>
      <c r="ED270" s="51"/>
      <c r="EE270" s="51"/>
      <c r="EF270" s="51"/>
      <c r="EG270" s="51"/>
      <c r="EH270" s="51"/>
      <c r="EI270" s="51"/>
      <c r="EJ270" s="51"/>
      <c r="EK270" s="51"/>
      <c r="EL270" s="51"/>
      <c r="EM270" s="51"/>
      <c r="EN270" s="51"/>
      <c r="EO270" s="51"/>
      <c r="EP270" s="51"/>
      <c r="EQ270" s="51"/>
      <c r="ER270" s="51"/>
      <c r="ES270" s="51"/>
      <c r="ET270" s="51"/>
      <c r="EU270" s="51"/>
      <c r="EV270" s="51"/>
      <c r="EW270" s="51"/>
      <c r="EX270" s="51"/>
      <c r="EY270" s="51"/>
      <c r="EZ270" s="51"/>
      <c r="FA270" s="51"/>
      <c r="FB270" s="51"/>
      <c r="FC270" s="51"/>
      <c r="FD270" s="51"/>
      <c r="FE270" s="51"/>
      <c r="FF270" s="51"/>
      <c r="FG270" s="51"/>
      <c r="FH270" s="51"/>
      <c r="FI270" s="51"/>
      <c r="FJ270" s="51"/>
      <c r="FK270" s="51"/>
      <c r="FL270" s="51"/>
      <c r="FM270" s="51"/>
      <c r="FN270" s="51"/>
      <c r="FO270" s="51"/>
      <c r="FP270" s="51"/>
      <c r="FQ270" s="51"/>
      <c r="FR270" s="51"/>
      <c r="FS270" s="51"/>
      <c r="FT270" s="51"/>
      <c r="FU270" s="51"/>
      <c r="FV270" s="51"/>
      <c r="FW270" s="51"/>
      <c r="FX270" s="51"/>
      <c r="FY270" s="51"/>
      <c r="FZ270" s="51"/>
      <c r="GA270" s="51"/>
      <c r="GB270" s="51"/>
      <c r="GC270" s="51"/>
      <c r="GD270" s="51"/>
      <c r="GE270" s="51"/>
      <c r="GF270" s="51"/>
      <c r="GG270" s="51"/>
      <c r="GH270" s="51"/>
      <c r="GI270" s="51"/>
      <c r="GJ270" s="51"/>
      <c r="GK270" s="51"/>
      <c r="GL270" s="51"/>
      <c r="GM270" s="51"/>
      <c r="GN270" s="51"/>
      <c r="GO270" s="51"/>
      <c r="GP270" s="51"/>
      <c r="GQ270" s="51"/>
      <c r="GR270" s="51"/>
      <c r="GS270" s="51"/>
      <c r="GT270" s="51"/>
      <c r="GU270" s="51"/>
      <c r="GV270" s="51"/>
      <c r="GW270" s="51"/>
      <c r="GX270" s="51"/>
      <c r="GY270" s="51"/>
      <c r="GZ270" s="51"/>
      <c r="HA270" s="51"/>
      <c r="HB270" s="51"/>
      <c r="HC270" s="51"/>
      <c r="HD270" s="51"/>
      <c r="HE270" s="51"/>
      <c r="HF270" s="51"/>
      <c r="HG270" s="51"/>
      <c r="HH270" s="51"/>
      <c r="HI270" s="51"/>
      <c r="HJ270" s="51"/>
      <c r="HK270" s="51"/>
      <c r="HL270" s="51"/>
      <c r="HM270" s="51"/>
      <c r="HN270" s="51"/>
      <c r="HO270" s="51"/>
      <c r="HP270" s="51"/>
      <c r="HQ270" s="51"/>
      <c r="HR270" s="51"/>
      <c r="HS270" s="51"/>
      <c r="HT270" s="51"/>
      <c r="HU270" s="51"/>
      <c r="HV270" s="51"/>
      <c r="HW270" s="51"/>
      <c r="HX270" s="51"/>
      <c r="HY270" s="51"/>
      <c r="HZ270" s="51"/>
      <c r="IA270" s="51"/>
      <c r="IB270" s="51"/>
      <c r="IC270" s="51"/>
      <c r="ID270" s="51"/>
      <c r="IE270" s="51"/>
      <c r="IF270" s="51"/>
      <c r="IG270" s="51"/>
      <c r="IH270" s="51"/>
      <c r="II270" s="51"/>
      <c r="IJ270" s="51"/>
      <c r="IK270" s="51"/>
      <c r="IL270" s="51"/>
      <c r="IM270" s="51"/>
      <c r="IN270" s="51"/>
      <c r="IO270" s="51"/>
      <c r="IP270" s="51"/>
      <c r="IQ270" s="51"/>
      <c r="IR270" s="51"/>
      <c r="IS270" s="51"/>
      <c r="IT270" s="51"/>
      <c r="IU270" s="51"/>
      <c r="IV270" s="51"/>
    </row>
    <row r="271" hidden="1">
      <c r="B271" s="826" t="s">
        <v>19</v>
      </c>
      <c r="C271" s="827">
        <v>96</v>
      </c>
      <c r="D271" s="827">
        <v>131</v>
      </c>
      <c r="E271" s="827">
        <v>143</v>
      </c>
      <c r="F271" s="827">
        <v>151</v>
      </c>
      <c r="G271" s="827">
        <v>168</v>
      </c>
      <c r="H271" s="827">
        <v>177</v>
      </c>
      <c r="I271" s="827">
        <v>181</v>
      </c>
      <c r="J271" s="827">
        <v>190</v>
      </c>
      <c r="K271" s="827">
        <v>200</v>
      </c>
      <c r="L271" s="827">
        <v>201</v>
      </c>
      <c r="M271" s="827">
        <v>211</v>
      </c>
      <c r="N271" s="827">
        <v>217</v>
      </c>
      <c r="O271" s="827">
        <v>58</v>
      </c>
      <c r="P271" s="827">
        <v>66</v>
      </c>
      <c r="Q271" s="827">
        <v>68</v>
      </c>
      <c r="R271" s="827">
        <v>71</v>
      </c>
      <c r="S271" s="827">
        <v>78</v>
      </c>
      <c r="T271" s="827">
        <v>81</v>
      </c>
      <c r="U271" s="827">
        <v>89</v>
      </c>
      <c r="V271" s="827">
        <v>95</v>
      </c>
      <c r="W271" s="827">
        <v>96</v>
      </c>
      <c r="X271" s="827">
        <v>97</v>
      </c>
      <c r="Y271" s="827">
        <v>97</v>
      </c>
      <c r="Z271" s="827">
        <v>99</v>
      </c>
      <c r="AA271" s="827">
        <v>102</v>
      </c>
      <c r="AB271" s="827">
        <v>102</v>
      </c>
      <c r="AC271" s="828">
        <v>103</v>
      </c>
      <c r="AD271" s="828">
        <v>103</v>
      </c>
      <c r="AE271" s="828">
        <v>102</v>
      </c>
      <c r="AF271" s="828">
        <v>103</v>
      </c>
      <c r="AG271" s="828">
        <v>107</v>
      </c>
      <c r="AH271" s="828">
        <v>104</v>
      </c>
      <c r="AI271" s="828">
        <v>107</v>
      </c>
      <c r="AJ271" s="828">
        <v>80</v>
      </c>
      <c r="AK271" s="828">
        <v>86</v>
      </c>
      <c r="AL271" s="828">
        <v>93</v>
      </c>
      <c r="AM271" s="828">
        <v>96</v>
      </c>
      <c r="AN271" s="828">
        <v>71</v>
      </c>
      <c r="AO271" s="828">
        <v>73</v>
      </c>
      <c r="AP271" s="828">
        <v>72</v>
      </c>
      <c r="AQ271" s="51"/>
      <c r="AR271" s="51"/>
      <c r="AS271" s="51"/>
      <c r="AT271" s="51"/>
      <c r="AU271" s="51"/>
      <c r="AV271" s="51"/>
      <c r="AW271" s="51"/>
      <c r="AX271" s="51"/>
      <c r="AY271" s="51"/>
      <c r="AZ271" s="51"/>
      <c r="BA271" s="51"/>
      <c r="BB271" s="51"/>
      <c r="BC271" s="51"/>
      <c r="BD271" s="51"/>
      <c r="BE271" s="51"/>
      <c r="BF271" s="51"/>
      <c r="BG271" s="51"/>
      <c r="BH271" s="51"/>
      <c r="BI271" s="51"/>
      <c r="BJ271" s="51"/>
      <c r="BK271" s="51"/>
      <c r="BL271" s="51"/>
      <c r="BM271" s="51"/>
      <c r="BN271" s="51"/>
      <c r="BO271" s="51"/>
      <c r="BP271" s="51"/>
      <c r="BQ271" s="51"/>
      <c r="BR271" s="51"/>
      <c r="BS271" s="51"/>
      <c r="BT271" s="51"/>
      <c r="BU271" s="51"/>
      <c r="BV271" s="51"/>
      <c r="BW271" s="51"/>
      <c r="BX271" s="51"/>
      <c r="BY271" s="51"/>
      <c r="BZ271" s="51"/>
      <c r="CA271" s="51"/>
      <c r="CB271" s="51"/>
      <c r="CC271" s="51"/>
      <c r="CD271" s="51"/>
      <c r="CE271" s="51"/>
      <c r="CF271" s="51"/>
      <c r="CG271" s="51"/>
      <c r="CH271" s="51"/>
      <c r="CI271" s="51"/>
      <c r="CJ271" s="51"/>
      <c r="CK271" s="51"/>
      <c r="CL271" s="51"/>
      <c r="CM271" s="51"/>
      <c r="CN271" s="51"/>
      <c r="CO271" s="51"/>
      <c r="CP271" s="51"/>
      <c r="CQ271" s="51"/>
      <c r="CR271" s="51"/>
      <c r="CS271" s="51"/>
      <c r="CT271" s="51"/>
      <c r="CU271" s="51"/>
      <c r="CV271" s="51"/>
      <c r="CW271" s="51"/>
      <c r="CX271" s="51"/>
      <c r="CY271" s="51"/>
      <c r="CZ271" s="51"/>
      <c r="DA271" s="51"/>
      <c r="DB271" s="51"/>
      <c r="DC271" s="51"/>
      <c r="DD271" s="51"/>
      <c r="DE271" s="51"/>
      <c r="DF271" s="51"/>
      <c r="DG271" s="51"/>
      <c r="DH271" s="51"/>
      <c r="DI271" s="51"/>
      <c r="DJ271" s="51"/>
      <c r="DK271" s="51"/>
      <c r="DL271" s="51"/>
      <c r="DM271" s="51"/>
      <c r="DN271" s="51"/>
      <c r="DO271" s="51"/>
      <c r="DP271" s="51"/>
      <c r="DQ271" s="51"/>
      <c r="DR271" s="51"/>
      <c r="DS271" s="51"/>
      <c r="DT271" s="51"/>
      <c r="DU271" s="51"/>
      <c r="DV271" s="51"/>
      <c r="DW271" s="51"/>
      <c r="DX271" s="51"/>
      <c r="DY271" s="51"/>
      <c r="DZ271" s="51"/>
      <c r="EA271" s="51"/>
      <c r="EB271" s="51"/>
      <c r="EC271" s="51"/>
      <c r="ED271" s="51"/>
      <c r="EE271" s="51"/>
      <c r="EF271" s="51"/>
      <c r="EG271" s="51"/>
      <c r="EH271" s="51"/>
      <c r="EI271" s="51"/>
      <c r="EJ271" s="51"/>
      <c r="EK271" s="51"/>
      <c r="EL271" s="51"/>
      <c r="EM271" s="51"/>
      <c r="EN271" s="51"/>
      <c r="EO271" s="51"/>
      <c r="EP271" s="51"/>
      <c r="EQ271" s="51"/>
      <c r="ER271" s="51"/>
      <c r="ES271" s="51"/>
      <c r="ET271" s="51"/>
      <c r="EU271" s="51"/>
      <c r="EV271" s="51"/>
      <c r="EW271" s="51"/>
      <c r="EX271" s="51"/>
      <c r="EY271" s="51"/>
      <c r="EZ271" s="51"/>
      <c r="FA271" s="51"/>
      <c r="FB271" s="51"/>
      <c r="FC271" s="51"/>
      <c r="FD271" s="51"/>
      <c r="FE271" s="51"/>
      <c r="FF271" s="51"/>
      <c r="FG271" s="51"/>
      <c r="FH271" s="51"/>
      <c r="FI271" s="51"/>
      <c r="FJ271" s="51"/>
      <c r="FK271" s="51"/>
      <c r="FL271" s="51"/>
      <c r="FM271" s="51"/>
      <c r="FN271" s="51"/>
      <c r="FO271" s="51"/>
      <c r="FP271" s="51"/>
      <c r="FQ271" s="51"/>
      <c r="FR271" s="51"/>
      <c r="FS271" s="51"/>
      <c r="FT271" s="51"/>
      <c r="FU271" s="51"/>
      <c r="FV271" s="51"/>
      <c r="FW271" s="51"/>
      <c r="FX271" s="51"/>
      <c r="FY271" s="51"/>
      <c r="FZ271" s="51"/>
      <c r="GA271" s="51"/>
      <c r="GB271" s="51"/>
      <c r="GC271" s="51"/>
      <c r="GD271" s="51"/>
      <c r="GE271" s="51"/>
      <c r="GF271" s="51"/>
      <c r="GG271" s="51"/>
      <c r="GH271" s="51"/>
      <c r="GI271" s="51"/>
      <c r="GJ271" s="51"/>
      <c r="GK271" s="51"/>
      <c r="GL271" s="51"/>
      <c r="GM271" s="51"/>
      <c r="GN271" s="51"/>
      <c r="GO271" s="51"/>
      <c r="GP271" s="51"/>
      <c r="GQ271" s="51"/>
      <c r="GR271" s="51"/>
      <c r="GS271" s="51"/>
      <c r="GT271" s="51"/>
      <c r="GU271" s="51"/>
      <c r="GV271" s="51"/>
      <c r="GW271" s="51"/>
      <c r="GX271" s="51"/>
      <c r="GY271" s="51"/>
      <c r="GZ271" s="51"/>
      <c r="HA271" s="51"/>
      <c r="HB271" s="51"/>
      <c r="HC271" s="51"/>
      <c r="HD271" s="51"/>
      <c r="HE271" s="51"/>
      <c r="HF271" s="51"/>
      <c r="HG271" s="51"/>
      <c r="HH271" s="51"/>
      <c r="HI271" s="51"/>
      <c r="HJ271" s="51"/>
      <c r="HK271" s="51"/>
      <c r="HL271" s="51"/>
      <c r="HM271" s="51"/>
      <c r="HN271" s="51"/>
      <c r="HO271" s="51"/>
      <c r="HP271" s="51"/>
      <c r="HQ271" s="51"/>
      <c r="HR271" s="51"/>
      <c r="HS271" s="51"/>
      <c r="HT271" s="51"/>
      <c r="HU271" s="51"/>
      <c r="HV271" s="51"/>
      <c r="HW271" s="51"/>
      <c r="HX271" s="51"/>
      <c r="HY271" s="51"/>
      <c r="HZ271" s="51"/>
      <c r="IA271" s="51"/>
      <c r="IB271" s="51"/>
      <c r="IC271" s="51"/>
      <c r="ID271" s="51"/>
      <c r="IE271" s="51"/>
      <c r="IF271" s="51"/>
      <c r="IG271" s="51"/>
      <c r="IH271" s="51"/>
      <c r="II271" s="51"/>
      <c r="IJ271" s="51"/>
      <c r="IK271" s="51"/>
      <c r="IL271" s="51"/>
      <c r="IM271" s="51"/>
      <c r="IN271" s="51"/>
      <c r="IO271" s="51"/>
      <c r="IP271" s="51"/>
      <c r="IQ271" s="51"/>
      <c r="IR271" s="51"/>
      <c r="IS271" s="51"/>
      <c r="IT271" s="51"/>
      <c r="IU271" s="51"/>
      <c r="IV271" s="51"/>
    </row>
    <row r="272" hidden="1">
      <c r="B272" s="829" t="s">
        <v>20</v>
      </c>
      <c r="C272" s="823">
        <v>0</v>
      </c>
      <c r="D272" s="823">
        <v>1</v>
      </c>
      <c r="E272" s="823">
        <v>1</v>
      </c>
      <c r="F272" s="823">
        <v>1</v>
      </c>
      <c r="G272" s="823">
        <v>0</v>
      </c>
      <c r="H272" s="823">
        <v>0</v>
      </c>
      <c r="I272" s="823">
        <v>0</v>
      </c>
      <c r="J272" s="823">
        <v>0</v>
      </c>
      <c r="K272" s="823">
        <v>7</v>
      </c>
      <c r="L272" s="823">
        <v>8</v>
      </c>
      <c r="M272" s="823">
        <v>10</v>
      </c>
      <c r="N272" s="823">
        <v>10</v>
      </c>
      <c r="O272" s="823">
        <v>0</v>
      </c>
      <c r="P272" s="823">
        <v>0</v>
      </c>
      <c r="Q272" s="823">
        <v>0</v>
      </c>
      <c r="R272" s="823">
        <v>0</v>
      </c>
      <c r="S272" s="823">
        <v>0</v>
      </c>
      <c r="T272" s="823">
        <v>0</v>
      </c>
      <c r="U272" s="823">
        <v>0</v>
      </c>
      <c r="V272" s="823">
        <v>0</v>
      </c>
      <c r="W272" s="823">
        <v>0</v>
      </c>
      <c r="X272" s="823">
        <v>0</v>
      </c>
      <c r="Y272" s="823">
        <v>0</v>
      </c>
      <c r="Z272" s="823">
        <v>0</v>
      </c>
      <c r="AA272" s="823">
        <v>0</v>
      </c>
      <c r="AB272" s="823">
        <v>0</v>
      </c>
      <c r="AC272" s="825">
        <v>0</v>
      </c>
      <c r="AD272" s="825">
        <v>0</v>
      </c>
      <c r="AE272" s="825">
        <v>0</v>
      </c>
      <c r="AF272" s="825">
        <v>0</v>
      </c>
      <c r="AG272" s="825">
        <v>0</v>
      </c>
      <c r="AH272" s="825">
        <v>0</v>
      </c>
      <c r="AI272" s="825">
        <v>0</v>
      </c>
      <c r="AJ272" s="825">
        <v>0</v>
      </c>
      <c r="AK272" s="825">
        <v>0</v>
      </c>
      <c r="AL272" s="825">
        <v>0</v>
      </c>
      <c r="AM272" s="825">
        <v>0</v>
      </c>
      <c r="AN272" s="825">
        <v>0</v>
      </c>
      <c r="AO272" s="825">
        <v>0</v>
      </c>
      <c r="AP272" s="825">
        <v>0</v>
      </c>
      <c r="AQ272" s="51"/>
      <c r="AR272" s="51"/>
      <c r="AS272" s="51"/>
      <c r="AT272" s="51"/>
      <c r="AU272" s="51"/>
      <c r="AV272" s="51"/>
      <c r="AW272" s="51"/>
      <c r="AX272" s="51"/>
      <c r="AY272" s="51"/>
      <c r="AZ272" s="51"/>
      <c r="BA272" s="51"/>
      <c r="BB272" s="51"/>
      <c r="BC272" s="51"/>
      <c r="BD272" s="51"/>
      <c r="BE272" s="51"/>
      <c r="BF272" s="51"/>
      <c r="BG272" s="51"/>
      <c r="BH272" s="51"/>
      <c r="BI272" s="51"/>
      <c r="BJ272" s="51"/>
      <c r="BK272" s="51"/>
      <c r="BL272" s="51"/>
      <c r="BM272" s="51"/>
      <c r="BN272" s="51"/>
      <c r="BO272" s="51"/>
      <c r="BP272" s="51"/>
      <c r="BQ272" s="51"/>
      <c r="BR272" s="51"/>
      <c r="BS272" s="51"/>
      <c r="BT272" s="51"/>
      <c r="BU272" s="51"/>
      <c r="BV272" s="51"/>
      <c r="BW272" s="51"/>
      <c r="BX272" s="51"/>
      <c r="BY272" s="51"/>
      <c r="BZ272" s="51"/>
      <c r="CA272" s="51"/>
      <c r="CB272" s="51"/>
      <c r="CC272" s="51"/>
      <c r="CD272" s="51"/>
      <c r="CE272" s="51"/>
      <c r="CF272" s="51"/>
      <c r="CG272" s="51"/>
      <c r="CH272" s="51"/>
      <c r="CI272" s="51"/>
      <c r="CJ272" s="51"/>
      <c r="CK272" s="51"/>
      <c r="CL272" s="51"/>
      <c r="CM272" s="51"/>
      <c r="CN272" s="51"/>
      <c r="CO272" s="51"/>
      <c r="CP272" s="51"/>
      <c r="CQ272" s="51"/>
      <c r="CR272" s="51"/>
      <c r="CS272" s="51"/>
      <c r="CT272" s="51"/>
      <c r="CU272" s="51"/>
      <c r="CV272" s="51"/>
      <c r="CW272" s="51"/>
      <c r="CX272" s="51"/>
      <c r="CY272" s="51"/>
      <c r="CZ272" s="51"/>
      <c r="DA272" s="51"/>
      <c r="DB272" s="51"/>
      <c r="DC272" s="51"/>
      <c r="DD272" s="51"/>
      <c r="DE272" s="51"/>
      <c r="DF272" s="51"/>
      <c r="DG272" s="51"/>
      <c r="DH272" s="51"/>
      <c r="DI272" s="51"/>
      <c r="DJ272" s="51"/>
      <c r="DK272" s="51"/>
      <c r="DL272" s="51"/>
      <c r="DM272" s="51"/>
      <c r="DN272" s="51"/>
      <c r="DO272" s="51"/>
      <c r="DP272" s="51"/>
      <c r="DQ272" s="51"/>
      <c r="DR272" s="51"/>
      <c r="DS272" s="51"/>
      <c r="DT272" s="51"/>
      <c r="DU272" s="51"/>
      <c r="DV272" s="51"/>
      <c r="DW272" s="51"/>
      <c r="DX272" s="51"/>
      <c r="DY272" s="51"/>
      <c r="DZ272" s="51"/>
      <c r="EA272" s="51"/>
      <c r="EB272" s="51"/>
      <c r="EC272" s="51"/>
      <c r="ED272" s="51"/>
      <c r="EE272" s="51"/>
      <c r="EF272" s="51"/>
      <c r="EG272" s="51"/>
      <c r="EH272" s="51"/>
      <c r="EI272" s="51"/>
      <c r="EJ272" s="51"/>
      <c r="EK272" s="51"/>
      <c r="EL272" s="51"/>
      <c r="EM272" s="51"/>
      <c r="EN272" s="51"/>
      <c r="EO272" s="51"/>
      <c r="EP272" s="51"/>
      <c r="EQ272" s="51"/>
      <c r="ER272" s="51"/>
      <c r="ES272" s="51"/>
      <c r="ET272" s="51"/>
      <c r="EU272" s="51"/>
      <c r="EV272" s="51"/>
      <c r="EW272" s="51"/>
      <c r="EX272" s="51"/>
      <c r="EY272" s="51"/>
      <c r="EZ272" s="51"/>
      <c r="FA272" s="51"/>
      <c r="FB272" s="51"/>
      <c r="FC272" s="51"/>
      <c r="FD272" s="51"/>
      <c r="FE272" s="51"/>
      <c r="FF272" s="51"/>
      <c r="FG272" s="51"/>
      <c r="FH272" s="51"/>
      <c r="FI272" s="51"/>
      <c r="FJ272" s="51"/>
      <c r="FK272" s="51"/>
      <c r="FL272" s="51"/>
      <c r="FM272" s="51"/>
      <c r="FN272" s="51"/>
      <c r="FO272" s="51"/>
      <c r="FP272" s="51"/>
      <c r="FQ272" s="51"/>
      <c r="FR272" s="51"/>
      <c r="FS272" s="51"/>
      <c r="FT272" s="51"/>
      <c r="FU272" s="51"/>
      <c r="FV272" s="51"/>
      <c r="FW272" s="51"/>
      <c r="FX272" s="51"/>
      <c r="FY272" s="51"/>
      <c r="FZ272" s="51"/>
      <c r="GA272" s="51"/>
      <c r="GB272" s="51"/>
      <c r="GC272" s="51"/>
      <c r="GD272" s="51"/>
      <c r="GE272" s="51"/>
      <c r="GF272" s="51"/>
      <c r="GG272" s="51"/>
      <c r="GH272" s="51"/>
      <c r="GI272" s="51"/>
      <c r="GJ272" s="51"/>
      <c r="GK272" s="51"/>
      <c r="GL272" s="51"/>
      <c r="GM272" s="51"/>
      <c r="GN272" s="51"/>
      <c r="GO272" s="51"/>
      <c r="GP272" s="51"/>
      <c r="GQ272" s="51"/>
      <c r="GR272" s="51"/>
      <c r="GS272" s="51"/>
      <c r="GT272" s="51"/>
      <c r="GU272" s="51"/>
      <c r="GV272" s="51"/>
      <c r="GW272" s="51"/>
      <c r="GX272" s="51"/>
      <c r="GY272" s="51"/>
      <c r="GZ272" s="51"/>
      <c r="HA272" s="51"/>
      <c r="HB272" s="51"/>
      <c r="HC272" s="51"/>
      <c r="HD272" s="51"/>
      <c r="HE272" s="51"/>
      <c r="HF272" s="51"/>
      <c r="HG272" s="51"/>
      <c r="HH272" s="51"/>
      <c r="HI272" s="51"/>
      <c r="HJ272" s="51"/>
      <c r="HK272" s="51"/>
      <c r="HL272" s="51"/>
      <c r="HM272" s="51"/>
      <c r="HN272" s="51"/>
      <c r="HO272" s="51"/>
      <c r="HP272" s="51"/>
      <c r="HQ272" s="51"/>
      <c r="HR272" s="51"/>
      <c r="HS272" s="51"/>
      <c r="HT272" s="51"/>
      <c r="HU272" s="51"/>
      <c r="HV272" s="51"/>
      <c r="HW272" s="51"/>
      <c r="HX272" s="51"/>
      <c r="HY272" s="51"/>
      <c r="HZ272" s="51"/>
      <c r="IA272" s="51"/>
      <c r="IB272" s="51"/>
      <c r="IC272" s="51"/>
      <c r="ID272" s="51"/>
      <c r="IE272" s="51"/>
      <c r="IF272" s="51"/>
      <c r="IG272" s="51"/>
      <c r="IH272" s="51"/>
      <c r="II272" s="51"/>
      <c r="IJ272" s="51"/>
      <c r="IK272" s="51"/>
      <c r="IL272" s="51"/>
      <c r="IM272" s="51"/>
      <c r="IN272" s="51"/>
      <c r="IO272" s="51"/>
      <c r="IP272" s="51"/>
      <c r="IQ272" s="51"/>
      <c r="IR272" s="51"/>
      <c r="IS272" s="51"/>
      <c r="IT272" s="51"/>
      <c r="IU272" s="51"/>
      <c r="IV272" s="51"/>
    </row>
    <row r="273" hidden="1">
      <c r="B273" s="826" t="s">
        <v>21</v>
      </c>
      <c r="C273" s="827">
        <v>0</v>
      </c>
      <c r="D273" s="827">
        <v>2</v>
      </c>
      <c r="E273" s="827">
        <v>2</v>
      </c>
      <c r="F273" s="827">
        <v>5</v>
      </c>
      <c r="G273" s="827">
        <v>5</v>
      </c>
      <c r="H273" s="827">
        <v>6</v>
      </c>
      <c r="I273" s="827">
        <v>6</v>
      </c>
      <c r="J273" s="827">
        <v>7</v>
      </c>
      <c r="K273" s="827">
        <v>16</v>
      </c>
      <c r="L273" s="827">
        <v>18</v>
      </c>
      <c r="M273" s="827">
        <v>18</v>
      </c>
      <c r="N273" s="827">
        <v>24</v>
      </c>
      <c r="O273" s="827">
        <v>25</v>
      </c>
      <c r="P273" s="827">
        <v>26</v>
      </c>
      <c r="Q273" s="827">
        <v>30</v>
      </c>
      <c r="R273" s="827">
        <v>29</v>
      </c>
      <c r="S273" s="827">
        <v>30</v>
      </c>
      <c r="T273" s="827">
        <v>31</v>
      </c>
      <c r="U273" s="827">
        <v>30</v>
      </c>
      <c r="V273" s="827">
        <v>32</v>
      </c>
      <c r="W273" s="827">
        <v>31</v>
      </c>
      <c r="X273" s="827">
        <v>29</v>
      </c>
      <c r="Y273" s="827">
        <v>19</v>
      </c>
      <c r="Z273" s="827">
        <v>20</v>
      </c>
      <c r="AA273" s="827">
        <v>22</v>
      </c>
      <c r="AB273" s="827">
        <v>22</v>
      </c>
      <c r="AC273" s="828">
        <v>24</v>
      </c>
      <c r="AD273" s="828">
        <v>24</v>
      </c>
      <c r="AE273" s="828">
        <v>24</v>
      </c>
      <c r="AF273" s="828">
        <v>24</v>
      </c>
      <c r="AG273" s="828">
        <v>23</v>
      </c>
      <c r="AH273" s="828">
        <v>23</v>
      </c>
      <c r="AI273" s="828">
        <v>23</v>
      </c>
      <c r="AJ273" s="828">
        <v>23</v>
      </c>
      <c r="AK273" s="828">
        <v>24</v>
      </c>
      <c r="AL273" s="828">
        <v>24</v>
      </c>
      <c r="AM273" s="828">
        <v>24</v>
      </c>
      <c r="AN273" s="828">
        <v>24</v>
      </c>
      <c r="AO273" s="828">
        <v>24</v>
      </c>
      <c r="AP273" s="828">
        <v>24</v>
      </c>
      <c r="AQ273" s="51"/>
      <c r="AR273" s="51"/>
      <c r="AS273" s="51"/>
      <c r="AT273" s="51"/>
      <c r="AU273" s="51"/>
      <c r="AV273" s="51"/>
      <c r="AW273" s="51"/>
      <c r="AX273" s="51"/>
      <c r="AY273" s="51"/>
      <c r="AZ273" s="51"/>
      <c r="BA273" s="51"/>
      <c r="BB273" s="51"/>
      <c r="BC273" s="51"/>
      <c r="BD273" s="51"/>
      <c r="BE273" s="51"/>
      <c r="BF273" s="51"/>
      <c r="BG273" s="51"/>
      <c r="BH273" s="51"/>
      <c r="BI273" s="51"/>
      <c r="BJ273" s="51"/>
      <c r="BK273" s="51"/>
      <c r="BL273" s="51"/>
      <c r="BM273" s="51"/>
      <c r="BN273" s="51"/>
      <c r="BO273" s="51"/>
      <c r="BP273" s="51"/>
      <c r="BQ273" s="51"/>
      <c r="BR273" s="51"/>
      <c r="BS273" s="51"/>
      <c r="BT273" s="51"/>
      <c r="BU273" s="51"/>
      <c r="BV273" s="51"/>
      <c r="BW273" s="51"/>
      <c r="BX273" s="51"/>
      <c r="BY273" s="51"/>
      <c r="BZ273" s="51"/>
      <c r="CA273" s="51"/>
      <c r="CB273" s="51"/>
      <c r="CC273" s="51"/>
      <c r="CD273" s="51"/>
      <c r="CE273" s="51"/>
      <c r="CF273" s="51"/>
      <c r="CG273" s="51"/>
      <c r="CH273" s="51"/>
      <c r="CI273" s="51"/>
      <c r="CJ273" s="51"/>
      <c r="CK273" s="51"/>
      <c r="CL273" s="51"/>
      <c r="CM273" s="51"/>
      <c r="CN273" s="51"/>
      <c r="CO273" s="51"/>
      <c r="CP273" s="51"/>
      <c r="CQ273" s="51"/>
      <c r="CR273" s="51"/>
      <c r="CS273" s="51"/>
      <c r="CT273" s="51"/>
      <c r="CU273" s="51"/>
      <c r="CV273" s="51"/>
      <c r="CW273" s="51"/>
      <c r="CX273" s="51"/>
      <c r="CY273" s="51"/>
      <c r="CZ273" s="51"/>
      <c r="DA273" s="51"/>
      <c r="DB273" s="51"/>
      <c r="DC273" s="51"/>
      <c r="DD273" s="51"/>
      <c r="DE273" s="51"/>
      <c r="DF273" s="51"/>
      <c r="DG273" s="51"/>
      <c r="DH273" s="51"/>
      <c r="DI273" s="51"/>
      <c r="DJ273" s="51"/>
      <c r="DK273" s="51"/>
      <c r="DL273" s="51"/>
      <c r="DM273" s="51"/>
      <c r="DN273" s="51"/>
      <c r="DO273" s="51"/>
      <c r="DP273" s="51"/>
      <c r="DQ273" s="51"/>
      <c r="DR273" s="51"/>
      <c r="DS273" s="51"/>
      <c r="DT273" s="51"/>
      <c r="DU273" s="51"/>
      <c r="DV273" s="51"/>
      <c r="DW273" s="51"/>
      <c r="DX273" s="51"/>
      <c r="DY273" s="51"/>
      <c r="DZ273" s="51"/>
      <c r="EA273" s="51"/>
      <c r="EB273" s="51"/>
      <c r="EC273" s="51"/>
      <c r="ED273" s="51"/>
      <c r="EE273" s="51"/>
      <c r="EF273" s="51"/>
      <c r="EG273" s="51"/>
      <c r="EH273" s="51"/>
      <c r="EI273" s="51"/>
      <c r="EJ273" s="51"/>
      <c r="EK273" s="51"/>
      <c r="EL273" s="51"/>
      <c r="EM273" s="51"/>
      <c r="EN273" s="51"/>
      <c r="EO273" s="51"/>
      <c r="EP273" s="51"/>
      <c r="EQ273" s="51"/>
      <c r="ER273" s="51"/>
      <c r="ES273" s="51"/>
      <c r="ET273" s="51"/>
      <c r="EU273" s="51"/>
      <c r="EV273" s="51"/>
      <c r="EW273" s="51"/>
      <c r="EX273" s="51"/>
      <c r="EY273" s="51"/>
      <c r="EZ273" s="51"/>
      <c r="FA273" s="51"/>
      <c r="FB273" s="51"/>
      <c r="FC273" s="51"/>
      <c r="FD273" s="51"/>
      <c r="FE273" s="51"/>
      <c r="FF273" s="51"/>
      <c r="FG273" s="51"/>
      <c r="FH273" s="51"/>
      <c r="FI273" s="51"/>
      <c r="FJ273" s="51"/>
      <c r="FK273" s="51"/>
      <c r="FL273" s="51"/>
      <c r="FM273" s="51"/>
      <c r="FN273" s="51"/>
      <c r="FO273" s="51"/>
      <c r="FP273" s="51"/>
      <c r="FQ273" s="51"/>
      <c r="FR273" s="51"/>
      <c r="FS273" s="51"/>
      <c r="FT273" s="51"/>
      <c r="FU273" s="51"/>
      <c r="FV273" s="51"/>
      <c r="FW273" s="51"/>
      <c r="FX273" s="51"/>
      <c r="FY273" s="51"/>
      <c r="FZ273" s="51"/>
      <c r="GA273" s="51"/>
      <c r="GB273" s="51"/>
      <c r="GC273" s="51"/>
      <c r="GD273" s="51"/>
      <c r="GE273" s="51"/>
      <c r="GF273" s="51"/>
      <c r="GG273" s="51"/>
      <c r="GH273" s="51"/>
      <c r="GI273" s="51"/>
      <c r="GJ273" s="51"/>
      <c r="GK273" s="51"/>
      <c r="GL273" s="51"/>
      <c r="GM273" s="51"/>
      <c r="GN273" s="51"/>
      <c r="GO273" s="51"/>
      <c r="GP273" s="51"/>
      <c r="GQ273" s="51"/>
      <c r="GR273" s="51"/>
      <c r="GS273" s="51"/>
      <c r="GT273" s="51"/>
      <c r="GU273" s="51"/>
      <c r="GV273" s="51"/>
      <c r="GW273" s="51"/>
      <c r="GX273" s="51"/>
      <c r="GY273" s="51"/>
      <c r="GZ273" s="51"/>
      <c r="HA273" s="51"/>
      <c r="HB273" s="51"/>
      <c r="HC273" s="51"/>
      <c r="HD273" s="51"/>
      <c r="HE273" s="51"/>
      <c r="HF273" s="51"/>
      <c r="HG273" s="51"/>
      <c r="HH273" s="51"/>
      <c r="HI273" s="51"/>
      <c r="HJ273" s="51"/>
      <c r="HK273" s="51"/>
      <c r="HL273" s="51"/>
      <c r="HM273" s="51"/>
      <c r="HN273" s="51"/>
      <c r="HO273" s="51"/>
      <c r="HP273" s="51"/>
      <c r="HQ273" s="51"/>
      <c r="HR273" s="51"/>
      <c r="HS273" s="51"/>
      <c r="HT273" s="51"/>
      <c r="HU273" s="51"/>
      <c r="HV273" s="51"/>
      <c r="HW273" s="51"/>
      <c r="HX273" s="51"/>
      <c r="HY273" s="51"/>
      <c r="HZ273" s="51"/>
      <c r="IA273" s="51"/>
      <c r="IB273" s="51"/>
      <c r="IC273" s="51"/>
      <c r="ID273" s="51"/>
      <c r="IE273" s="51"/>
      <c r="IF273" s="51"/>
      <c r="IG273" s="51"/>
      <c r="IH273" s="51"/>
      <c r="II273" s="51"/>
      <c r="IJ273" s="51"/>
      <c r="IK273" s="51"/>
      <c r="IL273" s="51"/>
      <c r="IM273" s="51"/>
      <c r="IN273" s="51"/>
      <c r="IO273" s="51"/>
      <c r="IP273" s="51"/>
      <c r="IQ273" s="51"/>
      <c r="IR273" s="51"/>
      <c r="IS273" s="51"/>
      <c r="IT273" s="51"/>
      <c r="IU273" s="51"/>
      <c r="IV273" s="51"/>
    </row>
    <row r="274" hidden="1">
      <c r="B274" s="829" t="s">
        <v>22</v>
      </c>
      <c r="C274" s="823">
        <v>0</v>
      </c>
      <c r="D274" s="823">
        <v>0</v>
      </c>
      <c r="E274" s="823">
        <v>0</v>
      </c>
      <c r="F274" s="823">
        <v>73</v>
      </c>
      <c r="G274" s="823">
        <v>78</v>
      </c>
      <c r="H274" s="823">
        <v>81</v>
      </c>
      <c r="I274" s="823">
        <v>83</v>
      </c>
      <c r="J274" s="823">
        <v>84</v>
      </c>
      <c r="K274" s="823">
        <v>83</v>
      </c>
      <c r="L274" s="823">
        <v>89</v>
      </c>
      <c r="M274" s="823">
        <v>83</v>
      </c>
      <c r="N274" s="823">
        <v>89</v>
      </c>
      <c r="O274" s="823">
        <v>97</v>
      </c>
      <c r="P274" s="823">
        <v>100</v>
      </c>
      <c r="Q274" s="823">
        <v>110</v>
      </c>
      <c r="R274" s="823">
        <v>111</v>
      </c>
      <c r="S274" s="823">
        <v>105</v>
      </c>
      <c r="T274" s="823">
        <v>109</v>
      </c>
      <c r="U274" s="823">
        <v>112</v>
      </c>
      <c r="V274" s="823">
        <v>135</v>
      </c>
      <c r="W274" s="823">
        <v>136</v>
      </c>
      <c r="X274" s="823">
        <v>135</v>
      </c>
      <c r="Y274" s="823">
        <v>133</v>
      </c>
      <c r="Z274" s="823">
        <v>132</v>
      </c>
      <c r="AA274" s="823">
        <v>135</v>
      </c>
      <c r="AB274" s="823">
        <v>112</v>
      </c>
      <c r="AC274" s="825">
        <v>110</v>
      </c>
      <c r="AD274" s="825">
        <v>110</v>
      </c>
      <c r="AE274" s="825">
        <v>171</v>
      </c>
      <c r="AF274" s="825">
        <v>171</v>
      </c>
      <c r="AG274" s="825">
        <v>175</v>
      </c>
      <c r="AH274" s="825">
        <v>181</v>
      </c>
      <c r="AI274" s="825">
        <v>197</v>
      </c>
      <c r="AJ274" s="825">
        <v>199</v>
      </c>
      <c r="AK274" s="825">
        <v>194</v>
      </c>
      <c r="AL274" s="825">
        <v>189</v>
      </c>
      <c r="AM274" s="825">
        <v>185</v>
      </c>
      <c r="AN274" s="825">
        <v>183</v>
      </c>
      <c r="AO274" s="825">
        <v>184</v>
      </c>
      <c r="AP274" s="825">
        <v>186</v>
      </c>
      <c r="AQ274" s="51"/>
      <c r="AR274" s="51"/>
      <c r="AS274" s="51"/>
      <c r="AT274" s="51"/>
      <c r="AU274" s="51"/>
      <c r="AV274" s="51"/>
      <c r="AW274" s="51"/>
      <c r="AX274" s="51"/>
      <c r="AY274" s="51"/>
      <c r="AZ274" s="51"/>
      <c r="BA274" s="51"/>
      <c r="BB274" s="51"/>
      <c r="BC274" s="51"/>
      <c r="BD274" s="51"/>
      <c r="BE274" s="51"/>
      <c r="BF274" s="51"/>
      <c r="BG274" s="51"/>
      <c r="BH274" s="51"/>
      <c r="BI274" s="51"/>
      <c r="BJ274" s="51"/>
      <c r="BK274" s="51"/>
      <c r="BL274" s="51"/>
      <c r="BM274" s="51"/>
      <c r="BN274" s="51"/>
      <c r="BO274" s="51"/>
      <c r="BP274" s="51"/>
      <c r="BQ274" s="51"/>
      <c r="BR274" s="51"/>
      <c r="BS274" s="51"/>
      <c r="BT274" s="51"/>
      <c r="BU274" s="51"/>
      <c r="BV274" s="51"/>
      <c r="BW274" s="51"/>
      <c r="BX274" s="51"/>
      <c r="BY274" s="51"/>
      <c r="BZ274" s="51"/>
      <c r="CA274" s="51"/>
      <c r="CB274" s="51"/>
      <c r="CC274" s="51"/>
      <c r="CD274" s="51"/>
      <c r="CE274" s="51"/>
      <c r="CF274" s="51"/>
      <c r="CG274" s="51"/>
      <c r="CH274" s="51"/>
      <c r="CI274" s="51"/>
      <c r="CJ274" s="51"/>
      <c r="CK274" s="51"/>
      <c r="CL274" s="51"/>
      <c r="CM274" s="51"/>
      <c r="CN274" s="51"/>
      <c r="CO274" s="51"/>
      <c r="CP274" s="51"/>
      <c r="CQ274" s="51"/>
      <c r="CR274" s="51"/>
      <c r="CS274" s="51"/>
      <c r="CT274" s="51"/>
      <c r="CU274" s="51"/>
      <c r="CV274" s="51"/>
      <c r="CW274" s="51"/>
      <c r="CX274" s="51"/>
      <c r="CY274" s="51"/>
      <c r="CZ274" s="51"/>
      <c r="DA274" s="51"/>
      <c r="DB274" s="51"/>
      <c r="DC274" s="51"/>
      <c r="DD274" s="51"/>
      <c r="DE274" s="51"/>
      <c r="DF274" s="51"/>
      <c r="DG274" s="51"/>
      <c r="DH274" s="51"/>
      <c r="DI274" s="51"/>
      <c r="DJ274" s="51"/>
      <c r="DK274" s="51"/>
      <c r="DL274" s="51"/>
      <c r="DM274" s="51"/>
      <c r="DN274" s="51"/>
      <c r="DO274" s="51"/>
      <c r="DP274" s="51"/>
      <c r="DQ274" s="51"/>
      <c r="DR274" s="51"/>
      <c r="DS274" s="51"/>
      <c r="DT274" s="51"/>
      <c r="DU274" s="51"/>
      <c r="DV274" s="51"/>
      <c r="DW274" s="51"/>
      <c r="DX274" s="51"/>
      <c r="DY274" s="51"/>
      <c r="DZ274" s="51"/>
      <c r="EA274" s="51"/>
      <c r="EB274" s="51"/>
      <c r="EC274" s="51"/>
      <c r="ED274" s="51"/>
      <c r="EE274" s="51"/>
      <c r="EF274" s="51"/>
      <c r="EG274" s="51"/>
      <c r="EH274" s="51"/>
      <c r="EI274" s="51"/>
      <c r="EJ274" s="51"/>
      <c r="EK274" s="51"/>
      <c r="EL274" s="51"/>
      <c r="EM274" s="51"/>
      <c r="EN274" s="51"/>
      <c r="EO274" s="51"/>
      <c r="EP274" s="51"/>
      <c r="EQ274" s="51"/>
      <c r="ER274" s="51"/>
      <c r="ES274" s="51"/>
      <c r="ET274" s="51"/>
      <c r="EU274" s="51"/>
      <c r="EV274" s="51"/>
      <c r="EW274" s="51"/>
      <c r="EX274" s="51"/>
      <c r="EY274" s="51"/>
      <c r="EZ274" s="51"/>
      <c r="FA274" s="51"/>
      <c r="FB274" s="51"/>
      <c r="FC274" s="51"/>
      <c r="FD274" s="51"/>
      <c r="FE274" s="51"/>
      <c r="FF274" s="51"/>
      <c r="FG274" s="51"/>
      <c r="FH274" s="51"/>
      <c r="FI274" s="51"/>
      <c r="FJ274" s="51"/>
      <c r="FK274" s="51"/>
      <c r="FL274" s="51"/>
      <c r="FM274" s="51"/>
      <c r="FN274" s="51"/>
      <c r="FO274" s="51"/>
      <c r="FP274" s="51"/>
      <c r="FQ274" s="51"/>
      <c r="FR274" s="51"/>
      <c r="FS274" s="51"/>
      <c r="FT274" s="51"/>
      <c r="FU274" s="51"/>
      <c r="FV274" s="51"/>
      <c r="FW274" s="51"/>
      <c r="FX274" s="51"/>
      <c r="FY274" s="51"/>
      <c r="FZ274" s="51"/>
      <c r="GA274" s="51"/>
      <c r="GB274" s="51"/>
      <c r="GC274" s="51"/>
      <c r="GD274" s="51"/>
      <c r="GE274" s="51"/>
      <c r="GF274" s="51"/>
      <c r="GG274" s="51"/>
      <c r="GH274" s="51"/>
      <c r="GI274" s="51"/>
      <c r="GJ274" s="51"/>
      <c r="GK274" s="51"/>
      <c r="GL274" s="51"/>
      <c r="GM274" s="51"/>
      <c r="GN274" s="51"/>
      <c r="GO274" s="51"/>
      <c r="GP274" s="51"/>
      <c r="GQ274" s="51"/>
      <c r="GR274" s="51"/>
      <c r="GS274" s="51"/>
      <c r="GT274" s="51"/>
      <c r="GU274" s="51"/>
      <c r="GV274" s="51"/>
      <c r="GW274" s="51"/>
      <c r="GX274" s="51"/>
      <c r="GY274" s="51"/>
      <c r="GZ274" s="51"/>
      <c r="HA274" s="51"/>
      <c r="HB274" s="51"/>
      <c r="HC274" s="51"/>
      <c r="HD274" s="51"/>
      <c r="HE274" s="51"/>
      <c r="HF274" s="51"/>
      <c r="HG274" s="51"/>
      <c r="HH274" s="51"/>
      <c r="HI274" s="51"/>
      <c r="HJ274" s="51"/>
      <c r="HK274" s="51"/>
      <c r="HL274" s="51"/>
      <c r="HM274" s="51"/>
      <c r="HN274" s="51"/>
      <c r="HO274" s="51"/>
      <c r="HP274" s="51"/>
      <c r="HQ274" s="51"/>
      <c r="HR274" s="51"/>
      <c r="HS274" s="51"/>
      <c r="HT274" s="51"/>
      <c r="HU274" s="51"/>
      <c r="HV274" s="51"/>
      <c r="HW274" s="51"/>
      <c r="HX274" s="51"/>
      <c r="HY274" s="51"/>
      <c r="HZ274" s="51"/>
      <c r="IA274" s="51"/>
      <c r="IB274" s="51"/>
      <c r="IC274" s="51"/>
      <c r="ID274" s="51"/>
      <c r="IE274" s="51"/>
      <c r="IF274" s="51"/>
      <c r="IG274" s="51"/>
      <c r="IH274" s="51"/>
      <c r="II274" s="51"/>
      <c r="IJ274" s="51"/>
      <c r="IK274" s="51"/>
      <c r="IL274" s="51"/>
      <c r="IM274" s="51"/>
      <c r="IN274" s="51"/>
      <c r="IO274" s="51"/>
      <c r="IP274" s="51"/>
      <c r="IQ274" s="51"/>
      <c r="IR274" s="51"/>
      <c r="IS274" s="51"/>
      <c r="IT274" s="51"/>
      <c r="IU274" s="51"/>
      <c r="IV274" s="51"/>
    </row>
    <row r="275" hidden="1">
      <c r="B275" s="826" t="s">
        <v>23</v>
      </c>
      <c r="C275" s="827">
        <v>281</v>
      </c>
      <c r="D275" s="827">
        <v>337</v>
      </c>
      <c r="E275" s="827">
        <v>364</v>
      </c>
      <c r="F275" s="827">
        <v>381</v>
      </c>
      <c r="G275" s="827">
        <v>401</v>
      </c>
      <c r="H275" s="827">
        <v>422</v>
      </c>
      <c r="I275" s="827">
        <v>430</v>
      </c>
      <c r="J275" s="827">
        <v>454</v>
      </c>
      <c r="K275" s="827">
        <v>482</v>
      </c>
      <c r="L275" s="827">
        <v>490</v>
      </c>
      <c r="M275" s="827">
        <v>501</v>
      </c>
      <c r="N275" s="827">
        <v>521</v>
      </c>
      <c r="O275" s="827">
        <v>468</v>
      </c>
      <c r="P275" s="827">
        <v>461</v>
      </c>
      <c r="Q275" s="827">
        <v>477</v>
      </c>
      <c r="R275" s="827">
        <v>484</v>
      </c>
      <c r="S275" s="827">
        <v>493</v>
      </c>
      <c r="T275" s="827">
        <v>440</v>
      </c>
      <c r="U275" s="827">
        <v>455</v>
      </c>
      <c r="V275" s="827">
        <v>424</v>
      </c>
      <c r="W275" s="827">
        <v>435</v>
      </c>
      <c r="X275" s="827">
        <v>109</v>
      </c>
      <c r="Y275" s="827">
        <v>110</v>
      </c>
      <c r="Z275" s="827">
        <v>113</v>
      </c>
      <c r="AA275" s="827">
        <v>114</v>
      </c>
      <c r="AB275" s="827">
        <v>111</v>
      </c>
      <c r="AC275" s="828">
        <v>114</v>
      </c>
      <c r="AD275" s="828">
        <v>113</v>
      </c>
      <c r="AE275" s="828">
        <v>110</v>
      </c>
      <c r="AF275" s="828">
        <v>110</v>
      </c>
      <c r="AG275" s="828">
        <v>111</v>
      </c>
      <c r="AH275" s="828">
        <v>106</v>
      </c>
      <c r="AI275" s="828">
        <v>108</v>
      </c>
      <c r="AJ275" s="828">
        <v>10</v>
      </c>
      <c r="AK275" s="828">
        <v>10</v>
      </c>
      <c r="AL275" s="828">
        <v>11</v>
      </c>
      <c r="AM275" s="828">
        <v>11</v>
      </c>
      <c r="AN275" s="828">
        <v>9</v>
      </c>
      <c r="AO275" s="828">
        <v>9</v>
      </c>
      <c r="AP275" s="828">
        <v>9</v>
      </c>
      <c r="AQ275" s="51"/>
      <c r="AR275" s="51"/>
      <c r="AS275" s="51"/>
      <c r="AT275" s="51"/>
      <c r="AU275" s="51"/>
      <c r="AV275" s="51"/>
      <c r="AW275" s="51"/>
      <c r="AX275" s="51"/>
      <c r="AY275" s="51"/>
      <c r="AZ275" s="51"/>
      <c r="BA275" s="51"/>
      <c r="BB275" s="51"/>
      <c r="BC275" s="51"/>
      <c r="BD275" s="51"/>
      <c r="BE275" s="51"/>
      <c r="BF275" s="51"/>
      <c r="BG275" s="51"/>
      <c r="BH275" s="51"/>
      <c r="BI275" s="51"/>
      <c r="BJ275" s="51"/>
      <c r="BK275" s="51"/>
      <c r="BL275" s="51"/>
      <c r="BM275" s="51"/>
      <c r="BN275" s="51"/>
      <c r="BO275" s="51"/>
      <c r="BP275" s="51"/>
      <c r="BQ275" s="51"/>
      <c r="BR275" s="51"/>
      <c r="BS275" s="51"/>
      <c r="BT275" s="51"/>
      <c r="BU275" s="51"/>
      <c r="BV275" s="51"/>
      <c r="BW275" s="51"/>
      <c r="BX275" s="51"/>
      <c r="BY275" s="51"/>
      <c r="BZ275" s="51"/>
      <c r="CA275" s="51"/>
      <c r="CB275" s="51"/>
      <c r="CC275" s="51"/>
      <c r="CD275" s="51"/>
      <c r="CE275" s="51"/>
      <c r="CF275" s="51"/>
      <c r="CG275" s="51"/>
      <c r="CH275" s="51"/>
      <c r="CI275" s="51"/>
      <c r="CJ275" s="51"/>
      <c r="CK275" s="51"/>
      <c r="CL275" s="51"/>
      <c r="CM275" s="51"/>
      <c r="CN275" s="51"/>
      <c r="CO275" s="51"/>
      <c r="CP275" s="51"/>
      <c r="CQ275" s="51"/>
      <c r="CR275" s="51"/>
      <c r="CS275" s="51"/>
      <c r="CT275" s="51"/>
      <c r="CU275" s="51"/>
      <c r="CV275" s="51"/>
      <c r="CW275" s="51"/>
      <c r="CX275" s="51"/>
      <c r="CY275" s="51"/>
      <c r="CZ275" s="51"/>
      <c r="DA275" s="51"/>
      <c r="DB275" s="51"/>
      <c r="DC275" s="51"/>
      <c r="DD275" s="51"/>
      <c r="DE275" s="51"/>
      <c r="DF275" s="51"/>
      <c r="DG275" s="51"/>
      <c r="DH275" s="51"/>
      <c r="DI275" s="51"/>
      <c r="DJ275" s="51"/>
      <c r="DK275" s="51"/>
      <c r="DL275" s="51"/>
      <c r="DM275" s="51"/>
      <c r="DN275" s="51"/>
      <c r="DO275" s="51"/>
      <c r="DP275" s="51"/>
      <c r="DQ275" s="51"/>
      <c r="DR275" s="51"/>
      <c r="DS275" s="51"/>
      <c r="DT275" s="51"/>
      <c r="DU275" s="51"/>
      <c r="DV275" s="51"/>
      <c r="DW275" s="51"/>
      <c r="DX275" s="51"/>
      <c r="DY275" s="51"/>
      <c r="DZ275" s="51"/>
      <c r="EA275" s="51"/>
      <c r="EB275" s="51"/>
      <c r="EC275" s="51"/>
      <c r="ED275" s="51"/>
      <c r="EE275" s="51"/>
      <c r="EF275" s="51"/>
      <c r="EG275" s="51"/>
      <c r="EH275" s="51"/>
      <c r="EI275" s="51"/>
      <c r="EJ275" s="51"/>
      <c r="EK275" s="51"/>
      <c r="EL275" s="51"/>
      <c r="EM275" s="51"/>
      <c r="EN275" s="51"/>
      <c r="EO275" s="51"/>
      <c r="EP275" s="51"/>
      <c r="EQ275" s="51"/>
      <c r="ER275" s="51"/>
      <c r="ES275" s="51"/>
      <c r="ET275" s="51"/>
      <c r="EU275" s="51"/>
      <c r="EV275" s="51"/>
      <c r="EW275" s="51"/>
      <c r="EX275" s="51"/>
      <c r="EY275" s="51"/>
      <c r="EZ275" s="51"/>
      <c r="FA275" s="51"/>
      <c r="FB275" s="51"/>
      <c r="FC275" s="51"/>
      <c r="FD275" s="51"/>
      <c r="FE275" s="51"/>
      <c r="FF275" s="51"/>
      <c r="FG275" s="51"/>
      <c r="FH275" s="51"/>
      <c r="FI275" s="51"/>
      <c r="FJ275" s="51"/>
      <c r="FK275" s="51"/>
      <c r="FL275" s="51"/>
      <c r="FM275" s="51"/>
      <c r="FN275" s="51"/>
      <c r="FO275" s="51"/>
      <c r="FP275" s="51"/>
      <c r="FQ275" s="51"/>
      <c r="FR275" s="51"/>
      <c r="FS275" s="51"/>
      <c r="FT275" s="51"/>
      <c r="FU275" s="51"/>
      <c r="FV275" s="51"/>
      <c r="FW275" s="51"/>
      <c r="FX275" s="51"/>
      <c r="FY275" s="51"/>
      <c r="FZ275" s="51"/>
      <c r="GA275" s="51"/>
      <c r="GB275" s="51"/>
      <c r="GC275" s="51"/>
      <c r="GD275" s="51"/>
      <c r="GE275" s="51"/>
      <c r="GF275" s="51"/>
      <c r="GG275" s="51"/>
      <c r="GH275" s="51"/>
      <c r="GI275" s="51"/>
      <c r="GJ275" s="51"/>
      <c r="GK275" s="51"/>
      <c r="GL275" s="51"/>
      <c r="GM275" s="51"/>
      <c r="GN275" s="51"/>
      <c r="GO275" s="51"/>
      <c r="GP275" s="51"/>
      <c r="GQ275" s="51"/>
      <c r="GR275" s="51"/>
      <c r="GS275" s="51"/>
      <c r="GT275" s="51"/>
      <c r="GU275" s="51"/>
      <c r="GV275" s="51"/>
      <c r="GW275" s="51"/>
      <c r="GX275" s="51"/>
      <c r="GY275" s="51"/>
      <c r="GZ275" s="51"/>
      <c r="HA275" s="51"/>
      <c r="HB275" s="51"/>
      <c r="HC275" s="51"/>
      <c r="HD275" s="51"/>
      <c r="HE275" s="51"/>
      <c r="HF275" s="51"/>
      <c r="HG275" s="51"/>
      <c r="HH275" s="51"/>
      <c r="HI275" s="51"/>
      <c r="HJ275" s="51"/>
      <c r="HK275" s="51"/>
      <c r="HL275" s="51"/>
      <c r="HM275" s="51"/>
      <c r="HN275" s="51"/>
      <c r="HO275" s="51"/>
      <c r="HP275" s="51"/>
      <c r="HQ275" s="51"/>
      <c r="HR275" s="51"/>
      <c r="HS275" s="51"/>
      <c r="HT275" s="51"/>
      <c r="HU275" s="51"/>
      <c r="HV275" s="51"/>
      <c r="HW275" s="51"/>
      <c r="HX275" s="51"/>
      <c r="HY275" s="51"/>
      <c r="HZ275" s="51"/>
      <c r="IA275" s="51"/>
      <c r="IB275" s="51"/>
      <c r="IC275" s="51"/>
      <c r="ID275" s="51"/>
      <c r="IE275" s="51"/>
      <c r="IF275" s="51"/>
      <c r="IG275" s="51"/>
      <c r="IH275" s="51"/>
      <c r="II275" s="51"/>
      <c r="IJ275" s="51"/>
      <c r="IK275" s="51"/>
      <c r="IL275" s="51"/>
      <c r="IM275" s="51"/>
      <c r="IN275" s="51"/>
      <c r="IO275" s="51"/>
      <c r="IP275" s="51"/>
      <c r="IQ275" s="51"/>
      <c r="IR275" s="51"/>
      <c r="IS275" s="51"/>
      <c r="IT275" s="51"/>
      <c r="IU275" s="51"/>
      <c r="IV275" s="51"/>
    </row>
    <row r="276" hidden="1">
      <c r="B276" s="830" t="s">
        <v>24</v>
      </c>
      <c r="C276" s="823">
        <v>4</v>
      </c>
      <c r="D276" s="823">
        <v>3</v>
      </c>
      <c r="E276" s="823">
        <v>2</v>
      </c>
      <c r="F276" s="823">
        <v>3</v>
      </c>
      <c r="G276" s="823">
        <v>5</v>
      </c>
      <c r="H276" s="823">
        <v>5</v>
      </c>
      <c r="I276" s="823">
        <v>5</v>
      </c>
      <c r="J276" s="823">
        <v>5</v>
      </c>
      <c r="K276" s="823">
        <v>6</v>
      </c>
      <c r="L276" s="823">
        <v>6</v>
      </c>
      <c r="M276" s="823">
        <v>0</v>
      </c>
      <c r="N276" s="823">
        <v>7</v>
      </c>
      <c r="O276" s="823">
        <v>0</v>
      </c>
      <c r="P276" s="823">
        <v>0</v>
      </c>
      <c r="Q276" s="823">
        <v>0</v>
      </c>
      <c r="R276" s="823">
        <v>0</v>
      </c>
      <c r="S276" s="823">
        <v>0</v>
      </c>
      <c r="T276" s="823">
        <v>0</v>
      </c>
      <c r="U276" s="823">
        <v>0</v>
      </c>
      <c r="V276" s="823">
        <v>0</v>
      </c>
      <c r="W276" s="823">
        <v>0</v>
      </c>
      <c r="X276" s="823">
        <v>0</v>
      </c>
      <c r="Y276" s="823">
        <v>0</v>
      </c>
      <c r="Z276" s="823">
        <v>0</v>
      </c>
      <c r="AA276" s="823">
        <v>0</v>
      </c>
      <c r="AB276" s="823">
        <v>0</v>
      </c>
      <c r="AC276" s="825">
        <v>0</v>
      </c>
      <c r="AD276" s="825">
        <v>0</v>
      </c>
      <c r="AE276" s="825">
        <v>0</v>
      </c>
      <c r="AF276" s="825">
        <v>0</v>
      </c>
      <c r="AG276" s="825">
        <v>0</v>
      </c>
      <c r="AH276" s="825">
        <v>0</v>
      </c>
      <c r="AI276" s="825">
        <v>0</v>
      </c>
      <c r="AJ276" s="825">
        <v>0</v>
      </c>
      <c r="AK276" s="825">
        <v>0</v>
      </c>
      <c r="AL276" s="825">
        <v>0</v>
      </c>
      <c r="AM276" s="825">
        <v>0</v>
      </c>
      <c r="AN276" s="825">
        <v>0</v>
      </c>
      <c r="AO276" s="825">
        <v>0</v>
      </c>
      <c r="AP276" s="825">
        <v>0</v>
      </c>
      <c r="AQ276" s="51"/>
      <c r="AR276" s="51"/>
      <c r="AS276" s="51"/>
      <c r="AT276" s="51"/>
      <c r="AU276" s="51"/>
      <c r="AV276" s="51"/>
      <c r="AW276" s="51"/>
      <c r="AX276" s="51"/>
      <c r="AY276" s="51"/>
      <c r="AZ276" s="51"/>
      <c r="BA276" s="51"/>
      <c r="BB276" s="51"/>
      <c r="BC276" s="51"/>
      <c r="BD276" s="51"/>
      <c r="BE276" s="51"/>
      <c r="BF276" s="51"/>
      <c r="BG276" s="51"/>
      <c r="BH276" s="51"/>
      <c r="BI276" s="51"/>
      <c r="BJ276" s="51"/>
      <c r="BK276" s="51"/>
      <c r="BL276" s="51"/>
      <c r="BM276" s="51"/>
      <c r="BN276" s="51"/>
      <c r="BO276" s="51"/>
      <c r="BP276" s="51"/>
      <c r="BQ276" s="51"/>
      <c r="BR276" s="51"/>
      <c r="BS276" s="51"/>
      <c r="BT276" s="51"/>
      <c r="BU276" s="51"/>
      <c r="BV276" s="51"/>
      <c r="BW276" s="51"/>
      <c r="BX276" s="51"/>
      <c r="BY276" s="51"/>
      <c r="BZ276" s="51"/>
      <c r="CA276" s="51"/>
      <c r="CB276" s="51"/>
      <c r="CC276" s="51"/>
      <c r="CD276" s="51"/>
      <c r="CE276" s="51"/>
      <c r="CF276" s="51"/>
      <c r="CG276" s="51"/>
      <c r="CH276" s="51"/>
      <c r="CI276" s="51"/>
      <c r="CJ276" s="51"/>
      <c r="CK276" s="51"/>
      <c r="CL276" s="51"/>
      <c r="CM276" s="51"/>
      <c r="CN276" s="51"/>
      <c r="CO276" s="51"/>
      <c r="CP276" s="51"/>
      <c r="CQ276" s="51"/>
      <c r="CR276" s="51"/>
      <c r="CS276" s="51"/>
      <c r="CT276" s="51"/>
      <c r="CU276" s="51"/>
      <c r="CV276" s="51"/>
      <c r="CW276" s="51"/>
      <c r="CX276" s="51"/>
      <c r="CY276" s="51"/>
      <c r="CZ276" s="51"/>
      <c r="DA276" s="51"/>
      <c r="DB276" s="51"/>
      <c r="DC276" s="51"/>
      <c r="DD276" s="51"/>
      <c r="DE276" s="51"/>
      <c r="DF276" s="51"/>
      <c r="DG276" s="51"/>
      <c r="DH276" s="51"/>
      <c r="DI276" s="51"/>
      <c r="DJ276" s="51"/>
      <c r="DK276" s="51"/>
      <c r="DL276" s="51"/>
      <c r="DM276" s="51"/>
      <c r="DN276" s="51"/>
      <c r="DO276" s="51"/>
      <c r="DP276" s="51"/>
      <c r="DQ276" s="51"/>
      <c r="DR276" s="51"/>
      <c r="DS276" s="51"/>
      <c r="DT276" s="51"/>
      <c r="DU276" s="51"/>
      <c r="DV276" s="51"/>
      <c r="DW276" s="51"/>
      <c r="DX276" s="51"/>
      <c r="DY276" s="51"/>
      <c r="DZ276" s="51"/>
      <c r="EA276" s="51"/>
      <c r="EB276" s="51"/>
      <c r="EC276" s="51"/>
      <c r="ED276" s="51"/>
      <c r="EE276" s="51"/>
      <c r="EF276" s="51"/>
      <c r="EG276" s="51"/>
      <c r="EH276" s="51"/>
      <c r="EI276" s="51"/>
      <c r="EJ276" s="51"/>
      <c r="EK276" s="51"/>
      <c r="EL276" s="51"/>
      <c r="EM276" s="51"/>
      <c r="EN276" s="51"/>
      <c r="EO276" s="51"/>
      <c r="EP276" s="51"/>
      <c r="EQ276" s="51"/>
      <c r="ER276" s="51"/>
      <c r="ES276" s="51"/>
      <c r="ET276" s="51"/>
      <c r="EU276" s="51"/>
      <c r="EV276" s="51"/>
      <c r="EW276" s="51"/>
      <c r="EX276" s="51"/>
      <c r="EY276" s="51"/>
      <c r="EZ276" s="51"/>
      <c r="FA276" s="51"/>
      <c r="FB276" s="51"/>
      <c r="FC276" s="51"/>
      <c r="FD276" s="51"/>
      <c r="FE276" s="51"/>
      <c r="FF276" s="51"/>
      <c r="FG276" s="51"/>
      <c r="FH276" s="51"/>
      <c r="FI276" s="51"/>
      <c r="FJ276" s="51"/>
      <c r="FK276" s="51"/>
      <c r="FL276" s="51"/>
      <c r="FM276" s="51"/>
      <c r="FN276" s="51"/>
      <c r="FO276" s="51"/>
      <c r="FP276" s="51"/>
      <c r="FQ276" s="51"/>
      <c r="FR276" s="51"/>
      <c r="FS276" s="51"/>
      <c r="FT276" s="51"/>
      <c r="FU276" s="51"/>
      <c r="FV276" s="51"/>
      <c r="FW276" s="51"/>
      <c r="FX276" s="51"/>
      <c r="FY276" s="51"/>
      <c r="FZ276" s="51"/>
      <c r="GA276" s="51"/>
      <c r="GB276" s="51"/>
      <c r="GC276" s="51"/>
      <c r="GD276" s="51"/>
      <c r="GE276" s="51"/>
      <c r="GF276" s="51"/>
      <c r="GG276" s="51"/>
      <c r="GH276" s="51"/>
      <c r="GI276" s="51"/>
      <c r="GJ276" s="51"/>
      <c r="GK276" s="51"/>
      <c r="GL276" s="51"/>
      <c r="GM276" s="51"/>
      <c r="GN276" s="51"/>
      <c r="GO276" s="51"/>
      <c r="GP276" s="51"/>
      <c r="GQ276" s="51"/>
      <c r="GR276" s="51"/>
      <c r="GS276" s="51"/>
      <c r="GT276" s="51"/>
      <c r="GU276" s="51"/>
      <c r="GV276" s="51"/>
      <c r="GW276" s="51"/>
      <c r="GX276" s="51"/>
      <c r="GY276" s="51"/>
      <c r="GZ276" s="51"/>
      <c r="HA276" s="51"/>
      <c r="HB276" s="51"/>
      <c r="HC276" s="51"/>
      <c r="HD276" s="51"/>
      <c r="HE276" s="51"/>
      <c r="HF276" s="51"/>
      <c r="HG276" s="51"/>
      <c r="HH276" s="51"/>
      <c r="HI276" s="51"/>
      <c r="HJ276" s="51"/>
      <c r="HK276" s="51"/>
      <c r="HL276" s="51"/>
      <c r="HM276" s="51"/>
      <c r="HN276" s="51"/>
      <c r="HO276" s="51"/>
      <c r="HP276" s="51"/>
      <c r="HQ276" s="51"/>
      <c r="HR276" s="51"/>
      <c r="HS276" s="51"/>
      <c r="HT276" s="51"/>
      <c r="HU276" s="51"/>
      <c r="HV276" s="51"/>
      <c r="HW276" s="51"/>
      <c r="HX276" s="51"/>
      <c r="HY276" s="51"/>
      <c r="HZ276" s="51"/>
      <c r="IA276" s="51"/>
      <c r="IB276" s="51"/>
      <c r="IC276" s="51"/>
      <c r="ID276" s="51"/>
      <c r="IE276" s="51"/>
      <c r="IF276" s="51"/>
      <c r="IG276" s="51"/>
      <c r="IH276" s="51"/>
      <c r="II276" s="51"/>
      <c r="IJ276" s="51"/>
      <c r="IK276" s="51"/>
      <c r="IL276" s="51"/>
      <c r="IM276" s="51"/>
      <c r="IN276" s="51"/>
      <c r="IO276" s="51"/>
      <c r="IP276" s="51"/>
      <c r="IQ276" s="51"/>
      <c r="IR276" s="51"/>
      <c r="IS276" s="51"/>
      <c r="IT276" s="51"/>
      <c r="IU276" s="51"/>
      <c r="IV276" s="51"/>
    </row>
    <row r="277" hidden="1">
      <c r="B277" s="826" t="s">
        <v>25</v>
      </c>
      <c r="C277" s="827">
        <v>0</v>
      </c>
      <c r="D277" s="827">
        <v>0</v>
      </c>
      <c r="E277" s="827">
        <v>0</v>
      </c>
      <c r="F277" s="827">
        <v>0</v>
      </c>
      <c r="G277" s="827">
        <v>0</v>
      </c>
      <c r="H277" s="827">
        <v>0</v>
      </c>
      <c r="I277" s="827">
        <v>0</v>
      </c>
      <c r="J277" s="827">
        <v>0</v>
      </c>
      <c r="K277" s="827">
        <v>0</v>
      </c>
      <c r="L277" s="827">
        <v>0</v>
      </c>
      <c r="M277" s="827">
        <v>0</v>
      </c>
      <c r="N277" s="827">
        <v>0</v>
      </c>
      <c r="O277" s="827">
        <v>0</v>
      </c>
      <c r="P277" s="827">
        <v>0</v>
      </c>
      <c r="Q277" s="827">
        <v>0</v>
      </c>
      <c r="R277" s="827">
        <v>0</v>
      </c>
      <c r="S277" s="827">
        <v>0</v>
      </c>
      <c r="T277" s="827">
        <v>0</v>
      </c>
      <c r="U277" s="827">
        <v>0</v>
      </c>
      <c r="V277" s="827">
        <v>0</v>
      </c>
      <c r="W277" s="827">
        <v>0</v>
      </c>
      <c r="X277" s="827">
        <v>0</v>
      </c>
      <c r="Y277" s="827">
        <v>0</v>
      </c>
      <c r="Z277" s="827">
        <v>0</v>
      </c>
      <c r="AA277" s="827">
        <v>0</v>
      </c>
      <c r="AB277" s="827">
        <v>0</v>
      </c>
      <c r="AC277" s="828">
        <v>0</v>
      </c>
      <c r="AD277" s="828">
        <v>0</v>
      </c>
      <c r="AE277" s="828">
        <v>0</v>
      </c>
      <c r="AF277" s="828">
        <v>0</v>
      </c>
      <c r="AG277" s="828">
        <v>0</v>
      </c>
      <c r="AH277" s="828">
        <v>0</v>
      </c>
      <c r="AI277" s="828">
        <v>0</v>
      </c>
      <c r="AJ277" s="828">
        <v>0</v>
      </c>
      <c r="AK277" s="828">
        <v>0</v>
      </c>
      <c r="AL277" s="828">
        <v>0</v>
      </c>
      <c r="AM277" s="828">
        <v>0</v>
      </c>
      <c r="AN277" s="828">
        <v>0</v>
      </c>
      <c r="AO277" s="828">
        <v>0</v>
      </c>
      <c r="AP277" s="828">
        <v>0</v>
      </c>
      <c r="AQ277" s="51"/>
      <c r="AR277" s="51"/>
      <c r="AS277" s="51"/>
      <c r="AT277" s="51"/>
      <c r="AU277" s="51"/>
      <c r="AV277" s="51"/>
      <c r="AW277" s="51"/>
      <c r="AX277" s="51"/>
      <c r="AY277" s="51"/>
      <c r="AZ277" s="51"/>
      <c r="BA277" s="51"/>
      <c r="BB277" s="51"/>
      <c r="BC277" s="51"/>
      <c r="BD277" s="51"/>
      <c r="BE277" s="51"/>
      <c r="BF277" s="51"/>
      <c r="BG277" s="51"/>
      <c r="BH277" s="51"/>
      <c r="BI277" s="51"/>
      <c r="BJ277" s="51"/>
      <c r="BK277" s="51"/>
      <c r="BL277" s="51"/>
      <c r="BM277" s="51"/>
      <c r="BN277" s="51"/>
      <c r="BO277" s="51"/>
      <c r="BP277" s="51"/>
      <c r="BQ277" s="51"/>
      <c r="BR277" s="51"/>
      <c r="BS277" s="51"/>
      <c r="BT277" s="51"/>
      <c r="BU277" s="51"/>
      <c r="BV277" s="51"/>
      <c r="BW277" s="51"/>
      <c r="BX277" s="51"/>
      <c r="BY277" s="51"/>
      <c r="BZ277" s="51"/>
      <c r="CA277" s="51"/>
      <c r="CB277" s="51"/>
      <c r="CC277" s="51"/>
      <c r="CD277" s="51"/>
      <c r="CE277" s="51"/>
      <c r="CF277" s="51"/>
      <c r="CG277" s="51"/>
      <c r="CH277" s="51"/>
      <c r="CI277" s="51"/>
      <c r="CJ277" s="51"/>
      <c r="CK277" s="51"/>
      <c r="CL277" s="51"/>
      <c r="CM277" s="51"/>
      <c r="CN277" s="51"/>
      <c r="CO277" s="51"/>
      <c r="CP277" s="51"/>
      <c r="CQ277" s="51"/>
      <c r="CR277" s="51"/>
      <c r="CS277" s="51"/>
      <c r="CT277" s="51"/>
      <c r="CU277" s="51"/>
      <c r="CV277" s="51"/>
      <c r="CW277" s="51"/>
      <c r="CX277" s="51"/>
      <c r="CY277" s="51"/>
      <c r="CZ277" s="51"/>
      <c r="DA277" s="51"/>
      <c r="DB277" s="51"/>
      <c r="DC277" s="51"/>
      <c r="DD277" s="51"/>
      <c r="DE277" s="51"/>
      <c r="DF277" s="51"/>
      <c r="DG277" s="51"/>
      <c r="DH277" s="51"/>
      <c r="DI277" s="51"/>
      <c r="DJ277" s="51"/>
      <c r="DK277" s="51"/>
      <c r="DL277" s="51"/>
      <c r="DM277" s="51"/>
      <c r="DN277" s="51"/>
      <c r="DO277" s="51"/>
      <c r="DP277" s="51"/>
      <c r="DQ277" s="51"/>
      <c r="DR277" s="51"/>
      <c r="DS277" s="51"/>
      <c r="DT277" s="51"/>
      <c r="DU277" s="51"/>
      <c r="DV277" s="51"/>
      <c r="DW277" s="51"/>
      <c r="DX277" s="51"/>
      <c r="DY277" s="51"/>
      <c r="DZ277" s="51"/>
      <c r="EA277" s="51"/>
      <c r="EB277" s="51"/>
      <c r="EC277" s="51"/>
      <c r="ED277" s="51"/>
      <c r="EE277" s="51"/>
      <c r="EF277" s="51"/>
      <c r="EG277" s="51"/>
      <c r="EH277" s="51"/>
      <c r="EI277" s="51"/>
      <c r="EJ277" s="51"/>
      <c r="EK277" s="51"/>
      <c r="EL277" s="51"/>
      <c r="EM277" s="51"/>
      <c r="EN277" s="51"/>
      <c r="EO277" s="51"/>
      <c r="EP277" s="51"/>
      <c r="EQ277" s="51"/>
      <c r="ER277" s="51"/>
      <c r="ES277" s="51"/>
      <c r="ET277" s="51"/>
      <c r="EU277" s="51"/>
      <c r="EV277" s="51"/>
      <c r="EW277" s="51"/>
      <c r="EX277" s="51"/>
      <c r="EY277" s="51"/>
      <c r="EZ277" s="51"/>
      <c r="FA277" s="51"/>
      <c r="FB277" s="51"/>
      <c r="FC277" s="51"/>
      <c r="FD277" s="51"/>
      <c r="FE277" s="51"/>
      <c r="FF277" s="51"/>
      <c r="FG277" s="51"/>
      <c r="FH277" s="51"/>
      <c r="FI277" s="51"/>
      <c r="FJ277" s="51"/>
      <c r="FK277" s="51"/>
      <c r="FL277" s="51"/>
      <c r="FM277" s="51"/>
      <c r="FN277" s="51"/>
      <c r="FO277" s="51"/>
      <c r="FP277" s="51"/>
      <c r="FQ277" s="51"/>
      <c r="FR277" s="51"/>
      <c r="FS277" s="51"/>
      <c r="FT277" s="51"/>
      <c r="FU277" s="51"/>
      <c r="FV277" s="51"/>
      <c r="FW277" s="51"/>
      <c r="FX277" s="51"/>
      <c r="FY277" s="51"/>
      <c r="FZ277" s="51"/>
      <c r="GA277" s="51"/>
      <c r="GB277" s="51"/>
      <c r="GC277" s="51"/>
      <c r="GD277" s="51"/>
      <c r="GE277" s="51"/>
      <c r="GF277" s="51"/>
      <c r="GG277" s="51"/>
      <c r="GH277" s="51"/>
      <c r="GI277" s="51"/>
      <c r="GJ277" s="51"/>
      <c r="GK277" s="51"/>
      <c r="GL277" s="51"/>
      <c r="GM277" s="51"/>
      <c r="GN277" s="51"/>
      <c r="GO277" s="51"/>
      <c r="GP277" s="51"/>
      <c r="GQ277" s="51"/>
      <c r="GR277" s="51"/>
      <c r="GS277" s="51"/>
      <c r="GT277" s="51"/>
      <c r="GU277" s="51"/>
      <c r="GV277" s="51"/>
      <c r="GW277" s="51"/>
      <c r="GX277" s="51"/>
      <c r="GY277" s="51"/>
      <c r="GZ277" s="51"/>
      <c r="HA277" s="51"/>
      <c r="HB277" s="51"/>
      <c r="HC277" s="51"/>
      <c r="HD277" s="51"/>
      <c r="HE277" s="51"/>
      <c r="HF277" s="51"/>
      <c r="HG277" s="51"/>
      <c r="HH277" s="51"/>
      <c r="HI277" s="51"/>
      <c r="HJ277" s="51"/>
      <c r="HK277" s="51"/>
      <c r="HL277" s="51"/>
      <c r="HM277" s="51"/>
      <c r="HN277" s="51"/>
      <c r="HO277" s="51"/>
      <c r="HP277" s="51"/>
      <c r="HQ277" s="51"/>
      <c r="HR277" s="51"/>
      <c r="HS277" s="51"/>
      <c r="HT277" s="51"/>
      <c r="HU277" s="51"/>
      <c r="HV277" s="51"/>
      <c r="HW277" s="51"/>
      <c r="HX277" s="51"/>
      <c r="HY277" s="51"/>
      <c r="HZ277" s="51"/>
      <c r="IA277" s="51"/>
      <c r="IB277" s="51"/>
      <c r="IC277" s="51"/>
      <c r="ID277" s="51"/>
      <c r="IE277" s="51"/>
      <c r="IF277" s="51"/>
      <c r="IG277" s="51"/>
      <c r="IH277" s="51"/>
      <c r="II277" s="51"/>
      <c r="IJ277" s="51"/>
      <c r="IK277" s="51"/>
      <c r="IL277" s="51"/>
      <c r="IM277" s="51"/>
      <c r="IN277" s="51"/>
      <c r="IO277" s="51"/>
      <c r="IP277" s="51"/>
      <c r="IQ277" s="51"/>
      <c r="IR277" s="51"/>
      <c r="IS277" s="51"/>
      <c r="IT277" s="51"/>
      <c r="IU277" s="51"/>
      <c r="IV277" s="51"/>
    </row>
    <row r="278" hidden="1" ht="13.5">
      <c r="B278" s="831" t="s">
        <v>26</v>
      </c>
      <c r="C278" s="823">
        <v>0</v>
      </c>
      <c r="D278" s="823">
        <v>0</v>
      </c>
      <c r="E278" s="823">
        <v>0</v>
      </c>
      <c r="F278" s="823">
        <v>0</v>
      </c>
      <c r="G278" s="823">
        <v>0</v>
      </c>
      <c r="H278" s="823">
        <v>0</v>
      </c>
      <c r="I278" s="823">
        <v>0</v>
      </c>
      <c r="J278" s="823">
        <v>0</v>
      </c>
      <c r="K278" s="823">
        <v>0</v>
      </c>
      <c r="L278" s="823">
        <v>0</v>
      </c>
      <c r="M278" s="823">
        <v>0</v>
      </c>
      <c r="N278" s="823">
        <v>0</v>
      </c>
      <c r="O278" s="823">
        <v>0</v>
      </c>
      <c r="P278" s="823">
        <v>0</v>
      </c>
      <c r="Q278" s="823">
        <v>0</v>
      </c>
      <c r="R278" s="823">
        <v>0</v>
      </c>
      <c r="S278" s="823">
        <v>0</v>
      </c>
      <c r="T278" s="823">
        <v>0</v>
      </c>
      <c r="U278" s="823">
        <v>0</v>
      </c>
      <c r="V278" s="823">
        <v>0</v>
      </c>
      <c r="W278" s="823">
        <v>0</v>
      </c>
      <c r="X278" s="823">
        <v>0</v>
      </c>
      <c r="Y278" s="823">
        <v>0</v>
      </c>
      <c r="Z278" s="823">
        <v>0</v>
      </c>
      <c r="AA278" s="823">
        <v>0</v>
      </c>
      <c r="AB278" s="832">
        <v>0</v>
      </c>
      <c r="AC278" s="825">
        <v>0</v>
      </c>
      <c r="AD278" s="825">
        <v>0</v>
      </c>
      <c r="AE278" s="825">
        <v>0</v>
      </c>
      <c r="AF278" s="825">
        <v>0</v>
      </c>
      <c r="AG278" s="825">
        <v>0</v>
      </c>
      <c r="AH278" s="825">
        <v>0</v>
      </c>
      <c r="AI278" s="825">
        <v>0</v>
      </c>
      <c r="AJ278" s="825">
        <v>0</v>
      </c>
      <c r="AK278" s="825">
        <v>0</v>
      </c>
      <c r="AL278" s="825">
        <v>0</v>
      </c>
      <c r="AM278" s="825">
        <v>0</v>
      </c>
      <c r="AN278" s="825">
        <v>0</v>
      </c>
      <c r="AO278" s="825">
        <v>0</v>
      </c>
      <c r="AP278" s="825">
        <v>0</v>
      </c>
      <c r="AQ278" s="51"/>
      <c r="AR278" s="51"/>
      <c r="AS278" s="51"/>
      <c r="AT278" s="51"/>
      <c r="AU278" s="51"/>
      <c r="AV278" s="51"/>
      <c r="AW278" s="51"/>
      <c r="AX278" s="51"/>
      <c r="AY278" s="51"/>
      <c r="AZ278" s="51"/>
      <c r="BA278" s="51"/>
      <c r="BB278" s="51"/>
      <c r="BC278" s="51"/>
      <c r="BD278" s="51"/>
      <c r="BE278" s="51"/>
      <c r="BF278" s="51"/>
      <c r="BG278" s="51"/>
      <c r="BH278" s="51"/>
      <c r="BI278" s="51"/>
      <c r="BJ278" s="51"/>
      <c r="BK278" s="51"/>
      <c r="BL278" s="51"/>
      <c r="BM278" s="51"/>
      <c r="BN278" s="51"/>
      <c r="BO278" s="51"/>
      <c r="BP278" s="51"/>
      <c r="BQ278" s="51"/>
      <c r="BR278" s="51"/>
      <c r="BS278" s="51"/>
      <c r="BT278" s="51"/>
      <c r="BU278" s="51"/>
      <c r="BV278" s="51"/>
      <c r="BW278" s="51"/>
      <c r="BX278" s="51"/>
      <c r="BY278" s="51"/>
      <c r="BZ278" s="51"/>
      <c r="CA278" s="51"/>
      <c r="CB278" s="51"/>
      <c r="CC278" s="51"/>
      <c r="CD278" s="51"/>
      <c r="CE278" s="51"/>
      <c r="CF278" s="51"/>
      <c r="CG278" s="51"/>
      <c r="CH278" s="51"/>
      <c r="CI278" s="51"/>
      <c r="CJ278" s="51"/>
      <c r="CK278" s="51"/>
      <c r="CL278" s="51"/>
      <c r="CM278" s="51"/>
      <c r="CN278" s="51"/>
      <c r="CO278" s="51"/>
      <c r="CP278" s="51"/>
      <c r="CQ278" s="51"/>
      <c r="CR278" s="51"/>
      <c r="CS278" s="51"/>
      <c r="CT278" s="51"/>
      <c r="CU278" s="51"/>
      <c r="CV278" s="51"/>
      <c r="CW278" s="51"/>
      <c r="CX278" s="51"/>
      <c r="CY278" s="51"/>
      <c r="CZ278" s="51"/>
      <c r="DA278" s="51"/>
      <c r="DB278" s="51"/>
      <c r="DC278" s="51"/>
      <c r="DD278" s="51"/>
      <c r="DE278" s="51"/>
      <c r="DF278" s="51"/>
      <c r="DG278" s="51"/>
      <c r="DH278" s="51"/>
      <c r="DI278" s="51"/>
      <c r="DJ278" s="51"/>
      <c r="DK278" s="51"/>
      <c r="DL278" s="51"/>
      <c r="DM278" s="51"/>
      <c r="DN278" s="51"/>
      <c r="DO278" s="51"/>
      <c r="DP278" s="51"/>
      <c r="DQ278" s="51"/>
      <c r="DR278" s="51"/>
      <c r="DS278" s="51"/>
      <c r="DT278" s="51"/>
      <c r="DU278" s="51"/>
      <c r="DV278" s="51"/>
      <c r="DW278" s="51"/>
      <c r="DX278" s="51"/>
      <c r="DY278" s="51"/>
      <c r="DZ278" s="51"/>
      <c r="EA278" s="51"/>
      <c r="EB278" s="51"/>
      <c r="EC278" s="51"/>
      <c r="ED278" s="51"/>
      <c r="EE278" s="51"/>
      <c r="EF278" s="51"/>
      <c r="EG278" s="51"/>
      <c r="EH278" s="51"/>
      <c r="EI278" s="51"/>
      <c r="EJ278" s="51"/>
      <c r="EK278" s="51"/>
      <c r="EL278" s="51"/>
      <c r="EM278" s="51"/>
      <c r="EN278" s="51"/>
      <c r="EO278" s="51"/>
      <c r="EP278" s="51"/>
      <c r="EQ278" s="51"/>
      <c r="ER278" s="51"/>
      <c r="ES278" s="51"/>
      <c r="ET278" s="51"/>
      <c r="EU278" s="51"/>
      <c r="EV278" s="51"/>
      <c r="EW278" s="51"/>
      <c r="EX278" s="51"/>
      <c r="EY278" s="51"/>
      <c r="EZ278" s="51"/>
      <c r="FA278" s="51"/>
      <c r="FB278" s="51"/>
      <c r="FC278" s="51"/>
      <c r="FD278" s="51"/>
      <c r="FE278" s="51"/>
      <c r="FF278" s="51"/>
      <c r="FG278" s="51"/>
      <c r="FH278" s="51"/>
      <c r="FI278" s="51"/>
      <c r="FJ278" s="51"/>
      <c r="FK278" s="51"/>
      <c r="FL278" s="51"/>
      <c r="FM278" s="51"/>
      <c r="FN278" s="51"/>
      <c r="FO278" s="51"/>
      <c r="FP278" s="51"/>
      <c r="FQ278" s="51"/>
      <c r="FR278" s="51"/>
      <c r="FS278" s="51"/>
      <c r="FT278" s="51"/>
      <c r="FU278" s="51"/>
      <c r="FV278" s="51"/>
      <c r="FW278" s="51"/>
      <c r="FX278" s="51"/>
      <c r="FY278" s="51"/>
      <c r="FZ278" s="51"/>
      <c r="GA278" s="51"/>
      <c r="GB278" s="51"/>
      <c r="GC278" s="51"/>
      <c r="GD278" s="51"/>
      <c r="GE278" s="51"/>
      <c r="GF278" s="51"/>
      <c r="GG278" s="51"/>
      <c r="GH278" s="51"/>
      <c r="GI278" s="51"/>
      <c r="GJ278" s="51"/>
      <c r="GK278" s="51"/>
      <c r="GL278" s="51"/>
      <c r="GM278" s="51"/>
      <c r="GN278" s="51"/>
      <c r="GO278" s="51"/>
      <c r="GP278" s="51"/>
      <c r="GQ278" s="51"/>
      <c r="GR278" s="51"/>
      <c r="GS278" s="51"/>
      <c r="GT278" s="51"/>
      <c r="GU278" s="51"/>
      <c r="GV278" s="51"/>
      <c r="GW278" s="51"/>
      <c r="GX278" s="51"/>
      <c r="GY278" s="51"/>
      <c r="GZ278" s="51"/>
      <c r="HA278" s="51"/>
      <c r="HB278" s="51"/>
      <c r="HC278" s="51"/>
      <c r="HD278" s="51"/>
      <c r="HE278" s="51"/>
      <c r="HF278" s="51"/>
      <c r="HG278" s="51"/>
      <c r="HH278" s="51"/>
      <c r="HI278" s="51"/>
      <c r="HJ278" s="51"/>
      <c r="HK278" s="51"/>
      <c r="HL278" s="51"/>
      <c r="HM278" s="51"/>
      <c r="HN278" s="51"/>
      <c r="HO278" s="51"/>
      <c r="HP278" s="51"/>
      <c r="HQ278" s="51"/>
      <c r="HR278" s="51"/>
      <c r="HS278" s="51"/>
      <c r="HT278" s="51"/>
      <c r="HU278" s="51"/>
      <c r="HV278" s="51"/>
      <c r="HW278" s="51"/>
      <c r="HX278" s="51"/>
      <c r="HY278" s="51"/>
      <c r="HZ278" s="51"/>
      <c r="IA278" s="51"/>
      <c r="IB278" s="51"/>
      <c r="IC278" s="51"/>
      <c r="ID278" s="51"/>
      <c r="IE278" s="51"/>
      <c r="IF278" s="51"/>
      <c r="IG278" s="51"/>
      <c r="IH278" s="51"/>
      <c r="II278" s="51"/>
      <c r="IJ278" s="51"/>
      <c r="IK278" s="51"/>
      <c r="IL278" s="51"/>
      <c r="IM278" s="51"/>
      <c r="IN278" s="51"/>
      <c r="IO278" s="51"/>
      <c r="IP278" s="51"/>
      <c r="IQ278" s="51"/>
      <c r="IR278" s="51"/>
      <c r="IS278" s="51"/>
      <c r="IT278" s="51"/>
      <c r="IU278" s="51"/>
      <c r="IV278" s="51"/>
    </row>
    <row r="279" hidden="1" ht="13.5">
      <c r="B279" s="128" t="s">
        <v>7</v>
      </c>
      <c r="C279" s="129" t="str">
        <f>IF(SUM(C260:C278)&lt;&gt;0,SUM(C260:C278),"")</f>
      </c>
      <c r="D279" s="129" t="str">
        <f ref="D279:AA279" t="shared" si="20">IF(SUM(D260:D278)&lt;&gt;0,SUM(D260:D278),"")</f>
      </c>
      <c r="E279" s="129" t="str">
        <f t="shared" si="20"/>
      </c>
      <c r="F279" s="129" t="str">
        <f t="shared" si="20"/>
      </c>
      <c r="G279" s="129" t="str">
        <f t="shared" si="20"/>
      </c>
      <c r="H279" s="129" t="str">
        <f t="shared" si="20"/>
      </c>
      <c r="I279" s="129" t="str">
        <f t="shared" si="20"/>
      </c>
      <c r="J279" s="129" t="str">
        <f t="shared" si="20"/>
      </c>
      <c r="K279" s="129" t="str">
        <f t="shared" si="20"/>
      </c>
      <c r="L279" s="129" t="str">
        <f t="shared" si="20"/>
      </c>
      <c r="M279" s="129" t="str">
        <f t="shared" si="20"/>
      </c>
      <c r="N279" s="129" t="str">
        <f t="shared" si="20"/>
      </c>
      <c r="O279" s="129" t="str">
        <f t="shared" si="20"/>
      </c>
      <c r="P279" s="129" t="str">
        <f t="shared" si="20"/>
      </c>
      <c r="Q279" s="129" t="str">
        <f t="shared" si="20"/>
      </c>
      <c r="R279" s="129" t="str">
        <f t="shared" si="20"/>
      </c>
      <c r="S279" s="129" t="str">
        <f t="shared" si="20"/>
      </c>
      <c r="T279" s="129" t="str">
        <f t="shared" si="20"/>
      </c>
      <c r="U279" s="129" t="str">
        <f t="shared" si="20"/>
      </c>
      <c r="V279" s="129" t="str">
        <f t="shared" si="20"/>
      </c>
      <c r="W279" s="129" t="str">
        <f t="shared" si="20"/>
      </c>
      <c r="X279" s="129" t="str">
        <f t="shared" si="20"/>
      </c>
      <c r="Y279" s="129" t="str">
        <f t="shared" si="20"/>
      </c>
      <c r="Z279" s="129" t="str">
        <f t="shared" si="20"/>
      </c>
      <c r="AA279" s="129" t="str">
        <f t="shared" si="20"/>
      </c>
      <c r="AB279" s="130" t="str">
        <f>IF(SUM(AB260:AB278)&lt;&gt;0,SUM(AB260:AB278),"")</f>
      </c>
      <c r="AC279" s="91" t="str">
        <f ref="AC279:CN279" t="shared" si="21">IF(SUM(AC260:AC278)&lt;&gt;0,SUM(AC260:AC278),"")</f>
      </c>
      <c r="AD279" s="91" t="str">
        <f t="shared" si="21"/>
      </c>
      <c r="AE279" s="91" t="str">
        <f t="shared" si="21"/>
      </c>
      <c r="AF279" s="91" t="str">
        <f t="shared" si="21"/>
      </c>
      <c r="AG279" s="91" t="str">
        <f t="shared" si="21"/>
      </c>
      <c r="AH279" s="91" t="str">
        <f t="shared" si="21"/>
      </c>
      <c r="AI279" s="91" t="str">
        <f t="shared" si="21"/>
      </c>
      <c r="AJ279" s="91" t="str">
        <f t="shared" si="21"/>
      </c>
      <c r="AK279" s="91" t="str">
        <f t="shared" si="21"/>
      </c>
      <c r="AL279" s="91" t="str">
        <f t="shared" si="21"/>
      </c>
      <c r="AM279" s="91" t="str">
        <f t="shared" si="21"/>
      </c>
      <c r="AN279" s="91" t="str">
        <f t="shared" si="21"/>
      </c>
      <c r="AO279" s="91" t="str">
        <f t="shared" si="21"/>
      </c>
      <c r="AP279" s="91" t="str">
        <f t="shared" si="21"/>
      </c>
      <c r="AQ279" s="91" t="str">
        <f t="shared" si="21"/>
      </c>
      <c r="AR279" s="91" t="str">
        <f t="shared" si="21"/>
      </c>
      <c r="AS279" s="91" t="str">
        <f t="shared" si="21"/>
      </c>
      <c r="AT279" s="91" t="str">
        <f t="shared" si="21"/>
      </c>
      <c r="AU279" s="91" t="str">
        <f t="shared" si="21"/>
      </c>
      <c r="AV279" s="91" t="str">
        <f t="shared" si="21"/>
      </c>
      <c r="AW279" s="91" t="str">
        <f t="shared" si="21"/>
      </c>
      <c r="AX279" s="91" t="str">
        <f t="shared" si="21"/>
      </c>
      <c r="AY279" s="91" t="str">
        <f t="shared" si="21"/>
      </c>
      <c r="AZ279" s="91" t="str">
        <f t="shared" si="21"/>
      </c>
      <c r="BA279" s="91" t="str">
        <f t="shared" si="21"/>
      </c>
      <c r="BB279" s="91" t="str">
        <f t="shared" si="21"/>
      </c>
      <c r="BC279" s="91" t="str">
        <f t="shared" si="21"/>
      </c>
      <c r="BD279" s="91" t="str">
        <f t="shared" si="21"/>
      </c>
      <c r="BE279" s="91" t="str">
        <f t="shared" si="21"/>
      </c>
      <c r="BF279" s="91" t="str">
        <f t="shared" si="21"/>
      </c>
      <c r="BG279" s="91" t="str">
        <f t="shared" si="21"/>
      </c>
      <c r="BH279" s="91" t="str">
        <f t="shared" si="21"/>
      </c>
      <c r="BI279" s="91" t="str">
        <f t="shared" si="21"/>
      </c>
      <c r="BJ279" s="91" t="str">
        <f t="shared" si="21"/>
      </c>
      <c r="BK279" s="91" t="str">
        <f t="shared" si="21"/>
      </c>
      <c r="BL279" s="91" t="str">
        <f t="shared" si="21"/>
      </c>
      <c r="BM279" s="91" t="str">
        <f t="shared" si="21"/>
      </c>
      <c r="BN279" s="91" t="str">
        <f t="shared" si="21"/>
      </c>
      <c r="BO279" s="91" t="str">
        <f t="shared" si="21"/>
      </c>
      <c r="BP279" s="91" t="str">
        <f t="shared" si="21"/>
      </c>
      <c r="BQ279" s="91" t="str">
        <f t="shared" si="21"/>
      </c>
      <c r="BR279" s="91" t="str">
        <f t="shared" si="21"/>
      </c>
      <c r="BS279" s="91" t="str">
        <f t="shared" si="21"/>
      </c>
      <c r="BT279" s="91" t="str">
        <f t="shared" si="21"/>
      </c>
      <c r="BU279" s="91" t="str">
        <f t="shared" si="21"/>
      </c>
      <c r="BV279" s="91" t="str">
        <f t="shared" si="21"/>
      </c>
      <c r="BW279" s="91" t="str">
        <f t="shared" si="21"/>
      </c>
      <c r="BX279" s="91" t="str">
        <f t="shared" si="21"/>
      </c>
      <c r="BY279" s="91" t="str">
        <f t="shared" si="21"/>
      </c>
      <c r="BZ279" s="91" t="str">
        <f t="shared" si="21"/>
      </c>
      <c r="CA279" s="91" t="str">
        <f t="shared" si="21"/>
      </c>
      <c r="CB279" s="91" t="str">
        <f t="shared" si="21"/>
      </c>
      <c r="CC279" s="91" t="str">
        <f t="shared" si="21"/>
      </c>
      <c r="CD279" s="91" t="str">
        <f t="shared" si="21"/>
      </c>
      <c r="CE279" s="91" t="str">
        <f t="shared" si="21"/>
      </c>
      <c r="CF279" s="91" t="str">
        <f t="shared" si="21"/>
      </c>
      <c r="CG279" s="91" t="str">
        <f t="shared" si="21"/>
      </c>
      <c r="CH279" s="91" t="str">
        <f t="shared" si="21"/>
      </c>
      <c r="CI279" s="91" t="str">
        <f t="shared" si="21"/>
      </c>
      <c r="CJ279" s="91" t="str">
        <f t="shared" si="21"/>
      </c>
      <c r="CK279" s="91" t="str">
        <f t="shared" si="21"/>
      </c>
      <c r="CL279" s="91" t="str">
        <f t="shared" si="21"/>
      </c>
      <c r="CM279" s="91" t="str">
        <f t="shared" si="21"/>
      </c>
      <c r="CN279" s="91" t="str">
        <f t="shared" si="21"/>
      </c>
      <c r="CO279" s="91" t="str">
        <f ref="CO279:EZ279" t="shared" si="22">IF(SUM(CO260:CO278)&lt;&gt;0,SUM(CO260:CO278),"")</f>
      </c>
      <c r="CP279" s="91" t="str">
        <f t="shared" si="22"/>
      </c>
      <c r="CQ279" s="91" t="str">
        <f t="shared" si="22"/>
      </c>
      <c r="CR279" s="91" t="str">
        <f t="shared" si="22"/>
      </c>
      <c r="CS279" s="91" t="str">
        <f t="shared" si="22"/>
      </c>
      <c r="CT279" s="91" t="str">
        <f t="shared" si="22"/>
      </c>
      <c r="CU279" s="91" t="str">
        <f t="shared" si="22"/>
      </c>
      <c r="CV279" s="91" t="str">
        <f t="shared" si="22"/>
      </c>
      <c r="CW279" s="91" t="str">
        <f t="shared" si="22"/>
      </c>
      <c r="CX279" s="91" t="str">
        <f t="shared" si="22"/>
      </c>
      <c r="CY279" s="91" t="str">
        <f t="shared" si="22"/>
      </c>
      <c r="CZ279" s="91" t="str">
        <f t="shared" si="22"/>
      </c>
      <c r="DA279" s="91" t="str">
        <f t="shared" si="22"/>
      </c>
      <c r="DB279" s="91" t="str">
        <f t="shared" si="22"/>
      </c>
      <c r="DC279" s="91" t="str">
        <f t="shared" si="22"/>
      </c>
      <c r="DD279" s="91" t="str">
        <f t="shared" si="22"/>
      </c>
      <c r="DE279" s="91" t="str">
        <f t="shared" si="22"/>
      </c>
      <c r="DF279" s="91" t="str">
        <f t="shared" si="22"/>
      </c>
      <c r="DG279" s="91" t="str">
        <f t="shared" si="22"/>
      </c>
      <c r="DH279" s="91" t="str">
        <f t="shared" si="22"/>
      </c>
      <c r="DI279" s="91" t="str">
        <f t="shared" si="22"/>
      </c>
      <c r="DJ279" s="91" t="str">
        <f t="shared" si="22"/>
      </c>
      <c r="DK279" s="91" t="str">
        <f t="shared" si="22"/>
      </c>
      <c r="DL279" s="91" t="str">
        <f t="shared" si="22"/>
      </c>
      <c r="DM279" s="91" t="str">
        <f t="shared" si="22"/>
      </c>
      <c r="DN279" s="91" t="str">
        <f t="shared" si="22"/>
      </c>
      <c r="DO279" s="91" t="str">
        <f t="shared" si="22"/>
      </c>
      <c r="DP279" s="91" t="str">
        <f t="shared" si="22"/>
      </c>
      <c r="DQ279" s="91" t="str">
        <f t="shared" si="22"/>
      </c>
      <c r="DR279" s="91" t="str">
        <f t="shared" si="22"/>
      </c>
      <c r="DS279" s="91" t="str">
        <f t="shared" si="22"/>
      </c>
      <c r="DT279" s="91" t="str">
        <f t="shared" si="22"/>
      </c>
      <c r="DU279" s="91" t="str">
        <f t="shared" si="22"/>
      </c>
      <c r="DV279" s="91" t="str">
        <f t="shared" si="22"/>
      </c>
      <c r="DW279" s="91" t="str">
        <f t="shared" si="22"/>
      </c>
      <c r="DX279" s="91" t="str">
        <f t="shared" si="22"/>
      </c>
      <c r="DY279" s="91" t="str">
        <f t="shared" si="22"/>
      </c>
      <c r="DZ279" s="91" t="str">
        <f t="shared" si="22"/>
      </c>
      <c r="EA279" s="91" t="str">
        <f t="shared" si="22"/>
      </c>
      <c r="EB279" s="91" t="str">
        <f t="shared" si="22"/>
      </c>
      <c r="EC279" s="91" t="str">
        <f t="shared" si="22"/>
      </c>
      <c r="ED279" s="91" t="str">
        <f t="shared" si="22"/>
      </c>
      <c r="EE279" s="91" t="str">
        <f t="shared" si="22"/>
      </c>
      <c r="EF279" s="91" t="str">
        <f t="shared" si="22"/>
      </c>
      <c r="EG279" s="91" t="str">
        <f t="shared" si="22"/>
      </c>
      <c r="EH279" s="91" t="str">
        <f t="shared" si="22"/>
      </c>
      <c r="EI279" s="91" t="str">
        <f t="shared" si="22"/>
      </c>
      <c r="EJ279" s="91" t="str">
        <f t="shared" si="22"/>
      </c>
      <c r="EK279" s="91" t="str">
        <f t="shared" si="22"/>
      </c>
      <c r="EL279" s="91" t="str">
        <f t="shared" si="22"/>
      </c>
      <c r="EM279" s="91" t="str">
        <f t="shared" si="22"/>
      </c>
      <c r="EN279" s="91" t="str">
        <f t="shared" si="22"/>
      </c>
      <c r="EO279" s="91" t="str">
        <f t="shared" si="22"/>
      </c>
      <c r="EP279" s="91" t="str">
        <f t="shared" si="22"/>
      </c>
      <c r="EQ279" s="91" t="str">
        <f t="shared" si="22"/>
      </c>
      <c r="ER279" s="91" t="str">
        <f t="shared" si="22"/>
      </c>
      <c r="ES279" s="91" t="str">
        <f t="shared" si="22"/>
      </c>
      <c r="ET279" s="91" t="str">
        <f t="shared" si="22"/>
      </c>
      <c r="EU279" s="91" t="str">
        <f t="shared" si="22"/>
      </c>
      <c r="EV279" s="91" t="str">
        <f t="shared" si="22"/>
      </c>
      <c r="EW279" s="91" t="str">
        <f t="shared" si="22"/>
      </c>
      <c r="EX279" s="91" t="str">
        <f t="shared" si="22"/>
      </c>
      <c r="EY279" s="91" t="str">
        <f t="shared" si="22"/>
      </c>
      <c r="EZ279" s="91" t="str">
        <f t="shared" si="22"/>
      </c>
      <c r="FA279" s="91" t="str">
        <f ref="FA279:HL279" t="shared" si="23">IF(SUM(FA260:FA278)&lt;&gt;0,SUM(FA260:FA278),"")</f>
      </c>
      <c r="FB279" s="91" t="str">
        <f t="shared" si="23"/>
      </c>
      <c r="FC279" s="91" t="str">
        <f t="shared" si="23"/>
      </c>
      <c r="FD279" s="91" t="str">
        <f t="shared" si="23"/>
      </c>
      <c r="FE279" s="91" t="str">
        <f t="shared" si="23"/>
      </c>
      <c r="FF279" s="91" t="str">
        <f t="shared" si="23"/>
      </c>
      <c r="FG279" s="91" t="str">
        <f t="shared" si="23"/>
      </c>
      <c r="FH279" s="91" t="str">
        <f t="shared" si="23"/>
      </c>
      <c r="FI279" s="91" t="str">
        <f t="shared" si="23"/>
      </c>
      <c r="FJ279" s="91" t="str">
        <f t="shared" si="23"/>
      </c>
      <c r="FK279" s="91" t="str">
        <f t="shared" si="23"/>
      </c>
      <c r="FL279" s="91" t="str">
        <f t="shared" si="23"/>
      </c>
      <c r="FM279" s="91" t="str">
        <f t="shared" si="23"/>
      </c>
      <c r="FN279" s="91" t="str">
        <f t="shared" si="23"/>
      </c>
      <c r="FO279" s="91" t="str">
        <f t="shared" si="23"/>
      </c>
      <c r="FP279" s="91" t="str">
        <f t="shared" si="23"/>
      </c>
      <c r="FQ279" s="91" t="str">
        <f t="shared" si="23"/>
      </c>
      <c r="FR279" s="91" t="str">
        <f t="shared" si="23"/>
      </c>
      <c r="FS279" s="91" t="str">
        <f t="shared" si="23"/>
      </c>
      <c r="FT279" s="91" t="str">
        <f t="shared" si="23"/>
      </c>
      <c r="FU279" s="91" t="str">
        <f t="shared" si="23"/>
      </c>
      <c r="FV279" s="91" t="str">
        <f t="shared" si="23"/>
      </c>
      <c r="FW279" s="91" t="str">
        <f t="shared" si="23"/>
      </c>
      <c r="FX279" s="91" t="str">
        <f t="shared" si="23"/>
      </c>
      <c r="FY279" s="91" t="str">
        <f t="shared" si="23"/>
      </c>
      <c r="FZ279" s="91" t="str">
        <f t="shared" si="23"/>
      </c>
      <c r="GA279" s="91" t="str">
        <f t="shared" si="23"/>
      </c>
      <c r="GB279" s="91" t="str">
        <f t="shared" si="23"/>
      </c>
      <c r="GC279" s="91" t="str">
        <f t="shared" si="23"/>
      </c>
      <c r="GD279" s="91" t="str">
        <f t="shared" si="23"/>
      </c>
      <c r="GE279" s="91" t="str">
        <f t="shared" si="23"/>
      </c>
      <c r="GF279" s="91" t="str">
        <f t="shared" si="23"/>
      </c>
      <c r="GG279" s="91" t="str">
        <f t="shared" si="23"/>
      </c>
      <c r="GH279" s="91" t="str">
        <f t="shared" si="23"/>
      </c>
      <c r="GI279" s="91" t="str">
        <f t="shared" si="23"/>
      </c>
      <c r="GJ279" s="91" t="str">
        <f t="shared" si="23"/>
      </c>
      <c r="GK279" s="91" t="str">
        <f t="shared" si="23"/>
      </c>
      <c r="GL279" s="91" t="str">
        <f t="shared" si="23"/>
      </c>
      <c r="GM279" s="91" t="str">
        <f t="shared" si="23"/>
      </c>
      <c r="GN279" s="91" t="str">
        <f t="shared" si="23"/>
      </c>
      <c r="GO279" s="91" t="str">
        <f t="shared" si="23"/>
      </c>
      <c r="GP279" s="91" t="str">
        <f t="shared" si="23"/>
      </c>
      <c r="GQ279" s="91" t="str">
        <f t="shared" si="23"/>
      </c>
      <c r="GR279" s="91" t="str">
        <f t="shared" si="23"/>
      </c>
      <c r="GS279" s="91" t="str">
        <f t="shared" si="23"/>
      </c>
      <c r="GT279" s="91" t="str">
        <f t="shared" si="23"/>
      </c>
      <c r="GU279" s="91" t="str">
        <f t="shared" si="23"/>
      </c>
      <c r="GV279" s="91" t="str">
        <f t="shared" si="23"/>
      </c>
      <c r="GW279" s="91" t="str">
        <f t="shared" si="23"/>
      </c>
      <c r="GX279" s="91" t="str">
        <f t="shared" si="23"/>
      </c>
      <c r="GY279" s="91" t="str">
        <f t="shared" si="23"/>
      </c>
      <c r="GZ279" s="91" t="str">
        <f t="shared" si="23"/>
      </c>
      <c r="HA279" s="91" t="str">
        <f t="shared" si="23"/>
      </c>
      <c r="HB279" s="91" t="str">
        <f t="shared" si="23"/>
      </c>
      <c r="HC279" s="91" t="str">
        <f t="shared" si="23"/>
      </c>
      <c r="HD279" s="91" t="str">
        <f t="shared" si="23"/>
      </c>
      <c r="HE279" s="91" t="str">
        <f t="shared" si="23"/>
      </c>
      <c r="HF279" s="91" t="str">
        <f t="shared" si="23"/>
      </c>
      <c r="HG279" s="91" t="str">
        <f t="shared" si="23"/>
      </c>
      <c r="HH279" s="91" t="str">
        <f t="shared" si="23"/>
      </c>
      <c r="HI279" s="91" t="str">
        <f t="shared" si="23"/>
      </c>
      <c r="HJ279" s="91" t="str">
        <f t="shared" si="23"/>
      </c>
      <c r="HK279" s="91" t="str">
        <f t="shared" si="23"/>
      </c>
      <c r="HL279" s="91" t="str">
        <f t="shared" si="23"/>
      </c>
      <c r="HM279" s="91" t="str">
        <f ref="HM279:IV279" t="shared" si="24">IF(SUM(HM260:HM278)&lt;&gt;0,SUM(HM260:HM278),"")</f>
      </c>
      <c r="HN279" s="91" t="str">
        <f t="shared" si="24"/>
      </c>
      <c r="HO279" s="91" t="str">
        <f t="shared" si="24"/>
      </c>
      <c r="HP279" s="91" t="str">
        <f t="shared" si="24"/>
      </c>
      <c r="HQ279" s="91" t="str">
        <f t="shared" si="24"/>
      </c>
      <c r="HR279" s="91" t="str">
        <f t="shared" si="24"/>
      </c>
      <c r="HS279" s="91" t="str">
        <f t="shared" si="24"/>
      </c>
      <c r="HT279" s="91" t="str">
        <f t="shared" si="24"/>
      </c>
      <c r="HU279" s="91" t="str">
        <f t="shared" si="24"/>
      </c>
      <c r="HV279" s="91" t="str">
        <f t="shared" si="24"/>
      </c>
      <c r="HW279" s="91" t="str">
        <f t="shared" si="24"/>
      </c>
      <c r="HX279" s="91" t="str">
        <f t="shared" si="24"/>
      </c>
      <c r="HY279" s="91" t="str">
        <f t="shared" si="24"/>
      </c>
      <c r="HZ279" s="91" t="str">
        <f t="shared" si="24"/>
      </c>
      <c r="IA279" s="91" t="str">
        <f t="shared" si="24"/>
      </c>
      <c r="IB279" s="91" t="str">
        <f t="shared" si="24"/>
      </c>
      <c r="IC279" s="91" t="str">
        <f t="shared" si="24"/>
      </c>
      <c r="ID279" s="91" t="str">
        <f t="shared" si="24"/>
      </c>
      <c r="IE279" s="91" t="str">
        <f t="shared" si="24"/>
      </c>
      <c r="IF279" s="91" t="str">
        <f t="shared" si="24"/>
      </c>
      <c r="IG279" s="91" t="str">
        <f t="shared" si="24"/>
      </c>
      <c r="IH279" s="91" t="str">
        <f t="shared" si="24"/>
      </c>
      <c r="II279" s="91" t="str">
        <f t="shared" si="24"/>
      </c>
      <c r="IJ279" s="91" t="str">
        <f t="shared" si="24"/>
      </c>
      <c r="IK279" s="91" t="str">
        <f t="shared" si="24"/>
      </c>
      <c r="IL279" s="91" t="str">
        <f t="shared" si="24"/>
      </c>
      <c r="IM279" s="91" t="str">
        <f t="shared" si="24"/>
      </c>
      <c r="IN279" s="91" t="str">
        <f t="shared" si="24"/>
      </c>
      <c r="IO279" s="91" t="str">
        <f t="shared" si="24"/>
      </c>
      <c r="IP279" s="91" t="str">
        <f t="shared" si="24"/>
      </c>
      <c r="IQ279" s="91" t="str">
        <f t="shared" si="24"/>
      </c>
      <c r="IR279" s="91" t="str">
        <f t="shared" si="24"/>
      </c>
      <c r="IS279" s="91" t="str">
        <f t="shared" si="24"/>
      </c>
      <c r="IT279" s="91" t="str">
        <f t="shared" si="24"/>
      </c>
      <c r="IU279" s="91" t="str">
        <f t="shared" si="24"/>
      </c>
      <c r="IV279" s="91" t="str">
        <f t="shared" si="24"/>
      </c>
    </row>
    <row r="280" hidden="1" ht="13.5"/>
    <row r="281" hidden="1" ht="15.75" customHeight="1">
      <c r="C281" s="732" t="s">
        <v>418</v>
      </c>
      <c r="D281" s="733"/>
      <c r="E281" s="733"/>
      <c r="F281" s="733"/>
      <c r="G281" s="733"/>
      <c r="H281" s="733"/>
      <c r="I281" s="733"/>
      <c r="J281" s="733"/>
      <c r="K281" s="733"/>
      <c r="L281" s="733"/>
      <c r="M281" s="733"/>
      <c r="N281" s="733"/>
      <c r="O281" s="733"/>
      <c r="P281" s="733"/>
      <c r="Q281" s="733"/>
      <c r="R281" s="733"/>
      <c r="S281" s="733"/>
      <c r="T281" s="733"/>
      <c r="U281" s="733"/>
      <c r="V281" s="733"/>
      <c r="W281" s="733"/>
      <c r="X281" s="733"/>
      <c r="Y281" s="733"/>
      <c r="Z281" s="733"/>
      <c r="AA281" s="733"/>
      <c r="AB281" s="734"/>
    </row>
    <row r="282" hidden="1" ht="15" customHeight="1">
      <c r="B282" s="51"/>
      <c r="C282" s="435" t="str">
        <f> IF(C302&lt;&gt;"",TEXT(AUX!G$1,"dd-MMM-aa"),"")</f>
      </c>
      <c r="D282" s="435" t="str">
        <f> IF(D302&lt;&gt;"",TEXT(AUX!H$1,"dd-MMM-aa"),"")</f>
      </c>
      <c r="E282" s="435" t="str">
        <f> IF(E302&lt;&gt;"",TEXT(AUX!I$1,"dd-MMM-aa"),"")</f>
      </c>
      <c r="F282" s="435" t="str">
        <f> IF(F302&lt;&gt;"",TEXT(AUX!J$1,"dd-MMM-aa"),"")</f>
      </c>
      <c r="G282" s="435" t="str">
        <f> IF(G302&lt;&gt;"",TEXT(AUX!K$1,"dd-MMM-aa"),"")</f>
      </c>
      <c r="H282" s="435" t="str">
        <f> IF(H302&lt;&gt;"",TEXT(AUX!L$1,"dd-MMM-aa"),"")</f>
      </c>
      <c r="I282" s="435" t="str">
        <f> IF(I302&lt;&gt;"",TEXT(AUX!M$1,"dd-MMM-aa"),"")</f>
      </c>
      <c r="J282" s="435" t="str">
        <f> IF(J302&lt;&gt;"",TEXT(AUX!N$1,"dd-MMM-aa"),"")</f>
      </c>
      <c r="K282" s="435" t="str">
        <f> IF(K302&lt;&gt;"",TEXT(AUX!O$1,"dd-MMM-aa"),"")</f>
      </c>
      <c r="L282" s="435" t="str">
        <f> IF(L302&lt;&gt;"",TEXT(AUX!P$1,"dd-MMM-aa"),"")</f>
      </c>
      <c r="M282" s="435" t="str">
        <f> IF(M302&lt;&gt;"",TEXT(AUX!Q$1,"dd-MMM-aa"),"")</f>
      </c>
      <c r="N282" s="435" t="str">
        <f> IF(N302&lt;&gt;"",TEXT(AUX!R$1,"dd-MMM-aa"),"")</f>
      </c>
      <c r="O282" s="435" t="str">
        <f> IF(O302&lt;&gt;"",TEXT(AUX!S$1,"dd-MMM-aa"),"")</f>
      </c>
      <c r="P282" s="435" t="str">
        <f> IF(P302&lt;&gt;"",TEXT(AUX!T$1,"dd-MMM-aa"),"")</f>
      </c>
      <c r="Q282" s="435" t="str">
        <f> IF(Q302&lt;&gt;"",TEXT(AUX!U$1,"dd-MMM-aa"),"")</f>
      </c>
      <c r="R282" s="435" t="str">
        <f> IF(R302&lt;&gt;"",TEXT(AUX!V$1,"dd-MMM-aa"),"")</f>
      </c>
      <c r="S282" s="435" t="str">
        <f> IF(S302&lt;&gt;"",TEXT(AUX!W$1,"dd-MMM-aa"),"")</f>
      </c>
      <c r="T282" s="435" t="str">
        <f> IF(T302&lt;&gt;"",TEXT(AUX!X$1,"dd-MMM-aa"),"")</f>
      </c>
      <c r="U282" s="435" t="str">
        <f> IF(U302&lt;&gt;"",TEXT(AUX!Y$1,"dd-MMM-aa"),"")</f>
      </c>
      <c r="V282" s="435" t="str">
        <f> IF(V302&lt;&gt;"",TEXT(AUX!Z$1,"dd-MMM-aa"),"")</f>
      </c>
      <c r="W282" s="435" t="str">
        <f> IF(W302&lt;&gt;"",TEXT(AUX!AA$1,"dd-MMM-aa"),"")</f>
      </c>
      <c r="X282" s="435" t="str">
        <f> IF(X302&lt;&gt;"",TEXT(AUX!AB$1,"dd-MMM-aa"),"")</f>
      </c>
      <c r="Y282" s="435" t="str">
        <f> IF(Y302&lt;&gt;"",TEXT(AUX!AC$1,"dd-MMM-aa"),"")</f>
      </c>
      <c r="Z282" s="435" t="str">
        <f> IF(Z302&lt;&gt;"",TEXT(AUX!AD$1,"dd-MMM-aa"),"")</f>
      </c>
      <c r="AA282" s="435" t="str">
        <f> IF(AA302&lt;&gt;"",TEXT(AUX!AE$1,"dd-MMM-aa"),"")</f>
      </c>
      <c r="AB282" s="497" t="str">
        <f> IF(AB302&lt;&gt;"",TEXT(AUX!AF$1,"dd-MMM-aa"),"")</f>
      </c>
      <c r="AC282" s="496" t="str">
        <f> IF(AC302&lt;&gt;"",TEXT(AUX!AG$1,"dd-MMM-aa"),"")</f>
      </c>
      <c r="AD282" s="496" t="str">
        <f> IF(AD302&lt;&gt;"",TEXT(AUX!AH$1,"dd-MMM-aa"),"")</f>
      </c>
      <c r="AE282" s="496" t="str">
        <f> IF(AE302&lt;&gt;"",TEXT(AUX!AI$1,"dd-MMM-aa"),"")</f>
      </c>
      <c r="AF282" s="496" t="str">
        <f> IF(AF302&lt;&gt;"",TEXT(AUX!AJ$1,"dd-MMM-aa"),"")</f>
      </c>
      <c r="AG282" s="496" t="str">
        <f> IF(AG302&lt;&gt;"",TEXT(AUX!AK$1,"dd-MMM-aa"),"")</f>
      </c>
      <c r="AH282" s="496" t="str">
        <f> IF(AH302&lt;&gt;"",TEXT(AUX!AL$1,"dd-MMM-aa"),"")</f>
      </c>
      <c r="AI282" s="496" t="str">
        <f> IF(AI302&lt;&gt;"",TEXT(AUX!AM$1,"dd-MMM-aa"),"")</f>
      </c>
      <c r="AJ282" s="496" t="str">
        <f> IF(AJ302&lt;&gt;"",TEXT(AUX!AN$1,"dd-MMM-aa"),"")</f>
      </c>
      <c r="AK282" s="496" t="str">
        <f> IF(AK302&lt;&gt;"",TEXT(AUX!AO$1,"dd-MMM-aa"),"")</f>
      </c>
      <c r="AL282" s="496" t="str">
        <f> IF(AL302&lt;&gt;"",TEXT(AUX!AP$1,"dd-MMM-aa"),"")</f>
      </c>
      <c r="AM282" s="496" t="str">
        <f> IF(AM302&lt;&gt;"",TEXT(AUX!AQ$1,"dd-MMM-aa"),"")</f>
      </c>
      <c r="AN282" s="496" t="str">
        <f> IF(AN302&lt;&gt;"",TEXT(AUX!AR$1,"dd-MMM-aa"),"")</f>
      </c>
      <c r="AO282" s="496" t="str">
        <f> IF(AO302&lt;&gt;"",TEXT(AUX!AS$1,"dd-MMM-aa"),"")</f>
      </c>
      <c r="AP282" s="496" t="str">
        <f> IF(AP302&lt;&gt;"",TEXT(AUX!AT$1,"dd-MMM-aa"),"")</f>
      </c>
      <c r="AQ282" s="496" t="str">
        <f> IF(AQ302&lt;&gt;"",TEXT(AUX!AU$1,"dd-MMM-aa"),"")</f>
      </c>
      <c r="AR282" s="496" t="str">
        <f> IF(AR302&lt;&gt;"",TEXT(AUX!AV$1,"dd-MMM-aa"),"")</f>
      </c>
      <c r="AS282" s="496" t="str">
        <f> IF(AS302&lt;&gt;"",TEXT(AUX!AW$1,"dd-MMM-aa"),"")</f>
      </c>
      <c r="AT282" s="496" t="str">
        <f> IF(AT302&lt;&gt;"",TEXT(AUX!AX$1,"dd-MMM-aa"),"")</f>
      </c>
      <c r="AU282" s="496" t="str">
        <f> IF(AU302&lt;&gt;"",TEXT(AUX!AY$1,"dd-MMM-aa"),"")</f>
      </c>
      <c r="AV282" s="496" t="str">
        <f> IF(AV302&lt;&gt;"",TEXT(AUX!AZ$1,"dd-MMM-aa"),"")</f>
      </c>
      <c r="AW282" s="496" t="str">
        <f> IF(AW302&lt;&gt;"",TEXT(AUX!BA$1,"dd-MMM-aa"),"")</f>
      </c>
      <c r="AX282" s="496" t="str">
        <f> IF(AX302&lt;&gt;"",TEXT(AUX!BB$1,"dd-MMM-aa"),"")</f>
      </c>
      <c r="AY282" s="496" t="str">
        <f> IF(AY302&lt;&gt;"",TEXT(AUX!BC$1,"dd-MMM-aa"),"")</f>
      </c>
      <c r="AZ282" s="496" t="str">
        <f> IF(AZ302&lt;&gt;"",TEXT(AUX!BD$1,"dd-MMM-aa"),"")</f>
      </c>
      <c r="BA282" s="496" t="str">
        <f> IF(BA302&lt;&gt;"",TEXT(AUX!BE$1,"dd-MMM-aa"),"")</f>
      </c>
      <c r="BB282" s="496" t="str">
        <f> IF(BB302&lt;&gt;"",TEXT(AUX!BF$1,"dd-MMM-aa"),"")</f>
      </c>
      <c r="BC282" s="496" t="str">
        <f> IF(BC302&lt;&gt;"",TEXT(AUX!BG$1,"dd-MMM-aa"),"")</f>
      </c>
      <c r="BD282" s="496" t="str">
        <f> IF(BD302&lt;&gt;"",TEXT(AUX!BH$1,"dd-MMM-aa"),"")</f>
      </c>
      <c r="BE282" s="496" t="str">
        <f> IF(BE302&lt;&gt;"",TEXT(AUX!BI$1,"dd-MMM-aa"),"")</f>
      </c>
      <c r="BF282" s="496" t="str">
        <f> IF(BF302&lt;&gt;"",TEXT(AUX!BJ$1,"dd-MMM-aa"),"")</f>
      </c>
      <c r="BG282" s="496" t="str">
        <f> IF(BG302&lt;&gt;"",TEXT(AUX!BK$1,"dd-MMM-aa"),"")</f>
      </c>
      <c r="BH282" s="496" t="str">
        <f> IF(BH302&lt;&gt;"",TEXT(AUX!BL$1,"dd-MMM-aa"),"")</f>
      </c>
      <c r="BI282" s="496" t="str">
        <f> IF(BI302&lt;&gt;"",TEXT(AUX!BM$1,"dd-MMM-aa"),"")</f>
      </c>
      <c r="BJ282" s="496" t="str">
        <f> IF(BJ302&lt;&gt;"",TEXT(AUX!BN$1,"dd-MMM-aa"),"")</f>
      </c>
      <c r="BK282" s="496" t="str">
        <f> IF(BK302&lt;&gt;"",TEXT(AUX!BO$1,"dd-MMM-aa"),"")</f>
      </c>
      <c r="BL282" s="496" t="str">
        <f> IF(BL302&lt;&gt;"",TEXT(AUX!BP$1,"dd-MMM-aa"),"")</f>
      </c>
      <c r="BM282" s="496" t="str">
        <f> IF(BM302&lt;&gt;"",TEXT(AUX!BQ$1,"dd-MMM-aa"),"")</f>
      </c>
      <c r="BN282" s="496" t="str">
        <f> IF(BN302&lt;&gt;"",TEXT(AUX!BR$1,"dd-MMM-aa"),"")</f>
      </c>
      <c r="BO282" s="496" t="str">
        <f> IF(BO302&lt;&gt;"",TEXT(AUX!BS$1,"dd-MMM-aa"),"")</f>
      </c>
      <c r="BP282" s="496" t="str">
        <f> IF(BP302&lt;&gt;"",TEXT(AUX!BT$1,"dd-MMM-aa"),"")</f>
      </c>
      <c r="BQ282" s="496" t="str">
        <f> IF(BQ302&lt;&gt;"",TEXT(AUX!BU$1,"dd-MMM-aa"),"")</f>
      </c>
      <c r="BR282" s="496" t="str">
        <f> IF(BR302&lt;&gt;"",TEXT(AUX!BV$1,"dd-MMM-aa"),"")</f>
      </c>
      <c r="BS282" s="496" t="str">
        <f> IF(BS302&lt;&gt;"",TEXT(AUX!BW$1,"dd-MMM-aa"),"")</f>
      </c>
      <c r="BT282" s="496" t="str">
        <f> IF(BT302&lt;&gt;"",TEXT(AUX!BX$1,"dd-MMM-aa"),"")</f>
      </c>
      <c r="BU282" s="496" t="str">
        <f> IF(BU302&lt;&gt;"",TEXT(AUX!BY$1,"dd-MMM-aa"),"")</f>
      </c>
      <c r="BV282" s="496" t="str">
        <f> IF(BV302&lt;&gt;"",TEXT(AUX!BZ$1,"dd-MMM-aa"),"")</f>
      </c>
      <c r="BW282" s="496" t="str">
        <f> IF(BW302&lt;&gt;"",TEXT(AUX!CA$1,"dd-MMM-aa"),"")</f>
      </c>
      <c r="BX282" s="496" t="str">
        <f> IF(BX302&lt;&gt;"",TEXT(AUX!CB$1,"dd-MMM-aa"),"")</f>
      </c>
      <c r="BY282" s="496" t="str">
        <f> IF(BY302&lt;&gt;"",TEXT(AUX!CC$1,"dd-MMM-aa"),"")</f>
      </c>
      <c r="BZ282" s="496" t="str">
        <f> IF(BZ302&lt;&gt;"",TEXT(AUX!CD$1,"dd-MMM-aa"),"")</f>
      </c>
      <c r="CA282" s="496" t="str">
        <f> IF(CA302&lt;&gt;"",TEXT(AUX!CE$1,"dd-MMM-aa"),"")</f>
      </c>
      <c r="CB282" s="496" t="str">
        <f> IF(CB302&lt;&gt;"",TEXT(AUX!CF$1,"dd-MMM-aa"),"")</f>
      </c>
      <c r="CC282" s="496" t="str">
        <f> IF(CC302&lt;&gt;"",TEXT(AUX!CG$1,"dd-MMM-aa"),"")</f>
      </c>
      <c r="CD282" s="496" t="str">
        <f> IF(CD302&lt;&gt;"",TEXT(AUX!CH$1,"dd-MMM-aa"),"")</f>
      </c>
      <c r="CE282" s="496" t="str">
        <f> IF(CE302&lt;&gt;"",TEXT(AUX!CI$1,"dd-MMM-aa"),"")</f>
      </c>
      <c r="CF282" s="496" t="str">
        <f> IF(CF302&lt;&gt;"",TEXT(AUX!CJ$1,"dd-MMM-aa"),"")</f>
      </c>
      <c r="CG282" s="496" t="str">
        <f> IF(CG302&lt;&gt;"",TEXT(AUX!CK$1,"dd-MMM-aa"),"")</f>
      </c>
      <c r="CH282" s="496" t="str">
        <f> IF(CH302&lt;&gt;"",TEXT(AUX!CL$1,"dd-MMM-aa"),"")</f>
      </c>
      <c r="CI282" s="496" t="str">
        <f> IF(CI302&lt;&gt;"",TEXT(AUX!CM$1,"dd-MMM-aa"),"")</f>
      </c>
      <c r="CJ282" s="496" t="str">
        <f> IF(CJ302&lt;&gt;"",TEXT(AUX!CN$1,"dd-MMM-aa"),"")</f>
      </c>
      <c r="CK282" s="496" t="str">
        <f> IF(CK302&lt;&gt;"",TEXT(AUX!CO$1,"dd-MMM-aa"),"")</f>
      </c>
      <c r="CL282" s="496" t="str">
        <f> IF(CL302&lt;&gt;"",TEXT(AUX!CP$1,"dd-MMM-aa"),"")</f>
      </c>
      <c r="CM282" s="496" t="str">
        <f> IF(CM302&lt;&gt;"",TEXT(AUX!CQ$1,"dd-MMM-aa"),"")</f>
      </c>
      <c r="CN282" s="496" t="str">
        <f> IF(CN302&lt;&gt;"",TEXT(AUX!CR$1,"dd-MMM-aa"),"")</f>
      </c>
      <c r="CO282" s="496" t="str">
        <f> IF(CO302&lt;&gt;"",TEXT(AUX!CS$1,"dd-MMM-aa"),"")</f>
      </c>
      <c r="CP282" s="496" t="str">
        <f> IF(CP302&lt;&gt;"",TEXT(AUX!CT$1,"dd-MMM-aa"),"")</f>
      </c>
      <c r="CQ282" s="496" t="str">
        <f> IF(CQ302&lt;&gt;"",TEXT(AUX!CU$1,"dd-MMM-aa"),"")</f>
      </c>
      <c r="CR282" s="496" t="str">
        <f> IF(CR302&lt;&gt;"",TEXT(AUX!CV$1,"dd-MMM-aa"),"")</f>
      </c>
      <c r="CS282" s="496" t="str">
        <f> IF(CS302&lt;&gt;"",TEXT(AUX!CW$1,"dd-MMM-aa"),"")</f>
      </c>
      <c r="CT282" s="496" t="str">
        <f> IF(CT302&lt;&gt;"",TEXT(AUX!CX$1,"dd-MMM-aa"),"")</f>
      </c>
      <c r="CU282" s="496" t="str">
        <f> IF(CU302&lt;&gt;"",TEXT(AUX!CY$1,"dd-MMM-aa"),"")</f>
      </c>
      <c r="CV282" s="496" t="str">
        <f> IF(CV302&lt;&gt;"",TEXT(AUX!CZ$1,"dd-MMM-aa"),"")</f>
      </c>
      <c r="CW282" s="496" t="str">
        <f> IF(CW302&lt;&gt;"",TEXT(AUX!DA$1,"dd-MMM-aa"),"")</f>
      </c>
      <c r="CX282" s="496" t="str">
        <f> IF(CX302&lt;&gt;"",TEXT(AUX!DB$1,"dd-MMM-aa"),"")</f>
      </c>
      <c r="CY282" s="496" t="str">
        <f> IF(CY302&lt;&gt;"",TEXT(AUX!DC$1,"dd-MMM-aa"),"")</f>
      </c>
      <c r="CZ282" s="496" t="str">
        <f> IF(CZ302&lt;&gt;"",TEXT(AUX!DD$1,"dd-MMM-aa"),"")</f>
      </c>
      <c r="DA282" s="496" t="str">
        <f> IF(DA302&lt;&gt;"",TEXT(AUX!DE$1,"dd-MMM-aa"),"")</f>
      </c>
      <c r="DB282" s="496" t="str">
        <f> IF(DB302&lt;&gt;"",TEXT(AUX!DF$1,"dd-MMM-aa"),"")</f>
      </c>
      <c r="DC282" s="496" t="str">
        <f> IF(DC302&lt;&gt;"",TEXT(AUX!DG$1,"dd-MMM-aa"),"")</f>
      </c>
      <c r="DD282" s="496" t="str">
        <f> IF(DD302&lt;&gt;"",TEXT(AUX!DH$1,"dd-MMM-aa"),"")</f>
      </c>
      <c r="DE282" s="496" t="str">
        <f> IF(DE302&lt;&gt;"",TEXT(AUX!DI$1,"dd-MMM-aa"),"")</f>
      </c>
      <c r="DF282" s="496" t="str">
        <f> IF(DF302&lt;&gt;"",TEXT(AUX!DJ$1,"dd-MMM-aa"),"")</f>
      </c>
      <c r="DG282" s="496" t="str">
        <f> IF(DG302&lt;&gt;"",TEXT(AUX!DK$1,"dd-MMM-aa"),"")</f>
      </c>
      <c r="DH282" s="496" t="str">
        <f> IF(DH302&lt;&gt;"",TEXT(AUX!DL$1,"dd-MMM-aa"),"")</f>
      </c>
      <c r="DI282" s="496" t="str">
        <f> IF(DI302&lt;&gt;"",TEXT(AUX!DM$1,"dd-MMM-aa"),"")</f>
      </c>
      <c r="DJ282" s="496" t="str">
        <f> IF(DJ302&lt;&gt;"",TEXT(AUX!DN$1,"dd-MMM-aa"),"")</f>
      </c>
      <c r="DK282" s="496" t="str">
        <f> IF(DK302&lt;&gt;"",TEXT(AUX!DO$1,"dd-MMM-aa"),"")</f>
      </c>
      <c r="DL282" s="496" t="str">
        <f> IF(DL302&lt;&gt;"",TEXT(AUX!DP$1,"dd-MMM-aa"),"")</f>
      </c>
      <c r="DM282" s="496" t="str">
        <f> IF(DM302&lt;&gt;"",TEXT(AUX!DQ$1,"dd-MMM-aa"),"")</f>
      </c>
      <c r="DN282" s="496" t="str">
        <f> IF(DN302&lt;&gt;"",TEXT(AUX!DR$1,"dd-MMM-aa"),"")</f>
      </c>
      <c r="DO282" s="496" t="str">
        <f> IF(DO302&lt;&gt;"",TEXT(AUX!DS$1,"dd-MMM-aa"),"")</f>
      </c>
      <c r="DP282" s="496" t="str">
        <f> IF(DP302&lt;&gt;"",TEXT(AUX!DT$1,"dd-MMM-aa"),"")</f>
      </c>
      <c r="DQ282" s="496" t="str">
        <f> IF(DQ302&lt;&gt;"",TEXT(AUX!DU$1,"dd-MMM-aa"),"")</f>
      </c>
      <c r="DR282" s="496" t="str">
        <f> IF(DR302&lt;&gt;"",TEXT(AUX!DV$1,"dd-MMM-aa"),"")</f>
      </c>
      <c r="DS282" s="496" t="str">
        <f> IF(DS302&lt;&gt;"",TEXT(AUX!DW$1,"dd-MMM-aa"),"")</f>
      </c>
      <c r="DT282" s="496" t="str">
        <f> IF(DT302&lt;&gt;"",TEXT(AUX!DX$1,"dd-MMM-aa"),"")</f>
      </c>
      <c r="DU282" s="496" t="str">
        <f> IF(DU302&lt;&gt;"",TEXT(AUX!DY$1,"dd-MMM-aa"),"")</f>
      </c>
      <c r="DV282" s="496" t="str">
        <f> IF(DV302&lt;&gt;"",TEXT(AUX!DZ$1,"dd-MMM-aa"),"")</f>
      </c>
      <c r="DW282" s="496" t="str">
        <f> IF(DW302&lt;&gt;"",TEXT(AUX!EA$1,"dd-MMM-aa"),"")</f>
      </c>
      <c r="DX282" s="496" t="str">
        <f> IF(DX302&lt;&gt;"",TEXT(AUX!EB$1,"dd-MMM-aa"),"")</f>
      </c>
      <c r="DY282" s="496" t="str">
        <f> IF(DY302&lt;&gt;"",TEXT(AUX!EC$1,"dd-MMM-aa"),"")</f>
      </c>
      <c r="DZ282" s="496" t="str">
        <f> IF(DZ302&lt;&gt;"",TEXT(AUX!ED$1,"dd-MMM-aa"),"")</f>
      </c>
      <c r="EA282" s="496" t="str">
        <f> IF(EA302&lt;&gt;"",TEXT(AUX!EE$1,"dd-MMM-aa"),"")</f>
      </c>
      <c r="EB282" s="496" t="str">
        <f> IF(EB302&lt;&gt;"",TEXT(AUX!EF$1,"dd-MMM-aa"),"")</f>
      </c>
      <c r="EC282" s="496" t="str">
        <f> IF(EC302&lt;&gt;"",TEXT(AUX!EG$1,"dd-MMM-aa"),"")</f>
      </c>
      <c r="ED282" s="496" t="str">
        <f> IF(ED302&lt;&gt;"",TEXT(AUX!EH$1,"dd-MMM-aa"),"")</f>
      </c>
      <c r="EE282" s="496" t="str">
        <f> IF(EE302&lt;&gt;"",TEXT(AUX!EI$1,"dd-MMM-aa"),"")</f>
      </c>
      <c r="EF282" s="496" t="str">
        <f> IF(EF302&lt;&gt;"",TEXT(AUX!EJ$1,"dd-MMM-aa"),"")</f>
      </c>
      <c r="EG282" s="496" t="str">
        <f> IF(EG302&lt;&gt;"",TEXT(AUX!EK$1,"dd-MMM-aa"),"")</f>
      </c>
      <c r="EH282" s="496" t="str">
        <f> IF(EH302&lt;&gt;"",TEXT(AUX!EL$1,"dd-MMM-aa"),"")</f>
      </c>
      <c r="EI282" s="496" t="str">
        <f> IF(EI302&lt;&gt;"",TEXT(AUX!EM$1,"dd-MMM-aa"),"")</f>
      </c>
      <c r="EJ282" s="496" t="str">
        <f> IF(EJ302&lt;&gt;"",TEXT(AUX!EN$1,"dd-MMM-aa"),"")</f>
      </c>
      <c r="EK282" s="496" t="str">
        <f> IF(EK302&lt;&gt;"",TEXT(AUX!EO$1,"dd-MMM-aa"),"")</f>
      </c>
      <c r="EL282" s="496" t="str">
        <f> IF(EL302&lt;&gt;"",TEXT(AUX!EP$1,"dd-MMM-aa"),"")</f>
      </c>
      <c r="EM282" s="496" t="str">
        <f> IF(EM302&lt;&gt;"",TEXT(AUX!EQ$1,"dd-MMM-aa"),"")</f>
      </c>
      <c r="EN282" s="496" t="str">
        <f> IF(EN302&lt;&gt;"",TEXT(AUX!ER$1,"dd-MMM-aa"),"")</f>
      </c>
      <c r="EO282" s="496" t="str">
        <f> IF(EO302&lt;&gt;"",TEXT(AUX!ES$1,"dd-MMM-aa"),"")</f>
      </c>
      <c r="EP282" s="496" t="str">
        <f> IF(EP302&lt;&gt;"",TEXT(AUX!ET$1,"dd-MMM-aa"),"")</f>
      </c>
      <c r="EQ282" s="496" t="str">
        <f> IF(EQ302&lt;&gt;"",TEXT(AUX!EU$1,"dd-MMM-aa"),"")</f>
      </c>
      <c r="ER282" s="496" t="str">
        <f> IF(ER302&lt;&gt;"",TEXT(AUX!EV$1,"dd-MMM-aa"),"")</f>
      </c>
      <c r="ES282" s="496" t="str">
        <f> IF(ES302&lt;&gt;"",TEXT(AUX!EW$1,"dd-MMM-aa"),"")</f>
      </c>
      <c r="ET282" s="496" t="str">
        <f> IF(ET302&lt;&gt;"",TEXT(AUX!EX$1,"dd-MMM-aa"),"")</f>
      </c>
      <c r="EU282" s="496" t="str">
        <f> IF(EU302&lt;&gt;"",TEXT(AUX!EY$1,"dd-MMM-aa"),"")</f>
      </c>
      <c r="EV282" s="496" t="str">
        <f> IF(EV302&lt;&gt;"",TEXT(AUX!EZ$1,"dd-MMM-aa"),"")</f>
      </c>
      <c r="EW282" s="496" t="str">
        <f> IF(EW302&lt;&gt;"",TEXT(AUX!FA$1,"dd-MMM-aa"),"")</f>
      </c>
      <c r="EX282" s="496" t="str">
        <f> IF(EX302&lt;&gt;"",TEXT(AUX!FB$1,"dd-MMM-aa"),"")</f>
      </c>
      <c r="EY282" s="496" t="str">
        <f> IF(EY302&lt;&gt;"",TEXT(AUX!FC$1,"dd-MMM-aa"),"")</f>
      </c>
      <c r="EZ282" s="496" t="str">
        <f> IF(EZ302&lt;&gt;"",TEXT(AUX!FD$1,"dd-MMM-aa"),"")</f>
      </c>
      <c r="FA282" s="496" t="str">
        <f> IF(FA302&lt;&gt;"",TEXT(AUX!FE$1,"dd-MMM-aa"),"")</f>
      </c>
      <c r="FB282" s="496" t="str">
        <f> IF(FB302&lt;&gt;"",TEXT(AUX!FF$1,"dd-MMM-aa"),"")</f>
      </c>
      <c r="FC282" s="496" t="str">
        <f> IF(FC302&lt;&gt;"",TEXT(AUX!FG$1,"dd-MMM-aa"),"")</f>
      </c>
      <c r="FD282" s="496" t="str">
        <f> IF(FD302&lt;&gt;"",TEXT(AUX!FH$1,"dd-MMM-aa"),"")</f>
      </c>
      <c r="FE282" s="496" t="str">
        <f> IF(FE302&lt;&gt;"",TEXT(AUX!FI$1,"dd-MMM-aa"),"")</f>
      </c>
      <c r="FF282" s="496" t="str">
        <f> IF(FF302&lt;&gt;"",TEXT(AUX!FJ$1,"dd-MMM-aa"),"")</f>
      </c>
      <c r="FG282" s="496" t="str">
        <f> IF(FG302&lt;&gt;"",TEXT(AUX!FK$1,"dd-MMM-aa"),"")</f>
      </c>
      <c r="FH282" s="496" t="str">
        <f> IF(FH302&lt;&gt;"",TEXT(AUX!FL$1,"dd-MMM-aa"),"")</f>
      </c>
      <c r="FI282" s="496" t="str">
        <f> IF(FI302&lt;&gt;"",TEXT(AUX!FM$1,"dd-MMM-aa"),"")</f>
      </c>
      <c r="FJ282" s="496" t="str">
        <f> IF(FJ302&lt;&gt;"",TEXT(AUX!FN$1,"dd-MMM-aa"),"")</f>
      </c>
      <c r="FK282" s="496" t="str">
        <f> IF(FK302&lt;&gt;"",TEXT(AUX!FO$1,"dd-MMM-aa"),"")</f>
      </c>
      <c r="FL282" s="496" t="str">
        <f> IF(FL302&lt;&gt;"",TEXT(AUX!FP$1,"dd-MMM-aa"),"")</f>
      </c>
      <c r="FM282" s="496" t="str">
        <f> IF(FM302&lt;&gt;"",TEXT(AUX!FQ$1,"dd-MMM-aa"),"")</f>
      </c>
      <c r="FN282" s="496" t="str">
        <f> IF(FN302&lt;&gt;"",TEXT(AUX!FR$1,"dd-MMM-aa"),"")</f>
      </c>
      <c r="FO282" s="496" t="str">
        <f> IF(FO302&lt;&gt;"",TEXT(AUX!FS$1,"dd-MMM-aa"),"")</f>
      </c>
      <c r="FP282" s="496" t="str">
        <f> IF(FP302&lt;&gt;"",TEXT(AUX!FT$1,"dd-MMM-aa"),"")</f>
      </c>
      <c r="FQ282" s="496" t="str">
        <f> IF(FQ302&lt;&gt;"",TEXT(AUX!FU$1,"dd-MMM-aa"),"")</f>
      </c>
      <c r="FR282" s="496" t="str">
        <f> IF(FR302&lt;&gt;"",TEXT(AUX!FV$1,"dd-MMM-aa"),"")</f>
      </c>
      <c r="FS282" s="496" t="str">
        <f> IF(FS302&lt;&gt;"",TEXT(AUX!FW$1,"dd-MMM-aa"),"")</f>
      </c>
      <c r="FT282" s="496" t="str">
        <f> IF(FT302&lt;&gt;"",TEXT(AUX!FX$1,"dd-MMM-aa"),"")</f>
      </c>
      <c r="FU282" s="496" t="str">
        <f> IF(FU302&lt;&gt;"",TEXT(AUX!FY$1,"dd-MMM-aa"),"")</f>
      </c>
      <c r="FV282" s="496" t="str">
        <f> IF(FV302&lt;&gt;"",TEXT(AUX!FZ$1,"dd-MMM-aa"),"")</f>
      </c>
      <c r="FW282" s="496" t="str">
        <f> IF(FW302&lt;&gt;"",TEXT(AUX!GA$1,"dd-MMM-aa"),"")</f>
      </c>
      <c r="FX282" s="496" t="str">
        <f> IF(FX302&lt;&gt;"",TEXT(AUX!GB$1,"dd-MMM-aa"),"")</f>
      </c>
      <c r="FY282" s="496" t="str">
        <f> IF(FY302&lt;&gt;"",TEXT(AUX!GC$1,"dd-MMM-aa"),"")</f>
      </c>
      <c r="FZ282" s="496" t="str">
        <f> IF(FZ302&lt;&gt;"",TEXT(AUX!GD$1,"dd-MMM-aa"),"")</f>
      </c>
      <c r="GA282" s="496" t="str">
        <f> IF(GA302&lt;&gt;"",TEXT(AUX!GE$1,"dd-MMM-aa"),"")</f>
      </c>
      <c r="GB282" s="496" t="str">
        <f> IF(GB302&lt;&gt;"",TEXT(AUX!GF$1,"dd-MMM-aa"),"")</f>
      </c>
      <c r="GC282" s="496" t="str">
        <f> IF(GC302&lt;&gt;"",TEXT(AUX!GG$1,"dd-MMM-aa"),"")</f>
      </c>
      <c r="GD282" s="496" t="str">
        <f> IF(GD302&lt;&gt;"",TEXT(AUX!GH$1,"dd-MMM-aa"),"")</f>
      </c>
      <c r="GE282" s="496" t="str">
        <f> IF(GE302&lt;&gt;"",TEXT(AUX!GI$1,"dd-MMM-aa"),"")</f>
      </c>
      <c r="GF282" s="496" t="str">
        <f> IF(GF302&lt;&gt;"",TEXT(AUX!GJ$1,"dd-MMM-aa"),"")</f>
      </c>
      <c r="GG282" s="496" t="str">
        <f> IF(GG302&lt;&gt;"",TEXT(AUX!GK$1,"dd-MMM-aa"),"")</f>
      </c>
      <c r="GH282" s="496" t="str">
        <f> IF(GH302&lt;&gt;"",TEXT(AUX!GL$1,"dd-MMM-aa"),"")</f>
      </c>
      <c r="GI282" s="496" t="str">
        <f> IF(GI302&lt;&gt;"",TEXT(AUX!GM$1,"dd-MMM-aa"),"")</f>
      </c>
      <c r="GJ282" s="496" t="str">
        <f> IF(GJ302&lt;&gt;"",TEXT(AUX!GN$1,"dd-MMM-aa"),"")</f>
      </c>
      <c r="GK282" s="496" t="str">
        <f> IF(GK302&lt;&gt;"",TEXT(AUX!GO$1,"dd-MMM-aa"),"")</f>
      </c>
      <c r="GL282" s="496" t="str">
        <f> IF(GL302&lt;&gt;"",TEXT(AUX!GP$1,"dd-MMM-aa"),"")</f>
      </c>
      <c r="GM282" s="496" t="str">
        <f> IF(GM302&lt;&gt;"",TEXT(AUX!GQ$1,"dd-MMM-aa"),"")</f>
      </c>
      <c r="GN282" s="496" t="str">
        <f> IF(GN302&lt;&gt;"",TEXT(AUX!GR$1,"dd-MMM-aa"),"")</f>
      </c>
      <c r="GO282" s="496" t="str">
        <f> IF(GO302&lt;&gt;"",TEXT(AUX!GS$1,"dd-MMM-aa"),"")</f>
      </c>
      <c r="GP282" s="496" t="str">
        <f> IF(GP302&lt;&gt;"",TEXT(AUX!GT$1,"dd-MMM-aa"),"")</f>
      </c>
      <c r="GQ282" s="496" t="str">
        <f> IF(GQ302&lt;&gt;"",TEXT(AUX!GU$1,"dd-MMM-aa"),"")</f>
      </c>
      <c r="GR282" s="496" t="str">
        <f> IF(GR302&lt;&gt;"",TEXT(AUX!GV$1,"dd-MMM-aa"),"")</f>
      </c>
      <c r="GS282" s="496" t="str">
        <f> IF(GS302&lt;&gt;"",TEXT(AUX!GW$1,"dd-MMM-aa"),"")</f>
      </c>
      <c r="GT282" s="496" t="str">
        <f> IF(GT302&lt;&gt;"",TEXT(AUX!GX$1,"dd-MMM-aa"),"")</f>
      </c>
      <c r="GU282" s="496" t="str">
        <f> IF(GU302&lt;&gt;"",TEXT(AUX!GY$1,"dd-MMM-aa"),"")</f>
      </c>
      <c r="GV282" s="496" t="str">
        <f> IF(GV302&lt;&gt;"",TEXT(AUX!GZ$1,"dd-MMM-aa"),"")</f>
      </c>
      <c r="GW282" s="496" t="str">
        <f> IF(GW302&lt;&gt;"",TEXT(AUX!HA$1,"dd-MMM-aa"),"")</f>
      </c>
      <c r="GX282" s="496" t="str">
        <f> IF(GX302&lt;&gt;"",TEXT(AUX!HB$1,"dd-MMM-aa"),"")</f>
      </c>
      <c r="GY282" s="496" t="str">
        <f> IF(GY302&lt;&gt;"",TEXT(AUX!HC$1,"dd-MMM-aa"),"")</f>
      </c>
      <c r="GZ282" s="496" t="str">
        <f> IF(GZ302&lt;&gt;"",TEXT(AUX!HD$1,"dd-MMM-aa"),"")</f>
      </c>
      <c r="HA282" s="496" t="str">
        <f> IF(HA302&lt;&gt;"",TEXT(AUX!HE$1,"dd-MMM-aa"),"")</f>
      </c>
      <c r="HB282" s="496" t="str">
        <f> IF(HB302&lt;&gt;"",TEXT(AUX!HF$1,"dd-MMM-aa"),"")</f>
      </c>
      <c r="HC282" s="496" t="str">
        <f> IF(HC302&lt;&gt;"",TEXT(AUX!HG$1,"dd-MMM-aa"),"")</f>
      </c>
      <c r="HD282" s="496" t="str">
        <f> IF(HD302&lt;&gt;"",TEXT(AUX!HH$1,"dd-MMM-aa"),"")</f>
      </c>
      <c r="HE282" s="496" t="str">
        <f> IF(HE302&lt;&gt;"",TEXT(AUX!HI$1,"dd-MMM-aa"),"")</f>
      </c>
      <c r="HF282" s="496" t="str">
        <f> IF(HF302&lt;&gt;"",TEXT(AUX!HJ$1,"dd-MMM-aa"),"")</f>
      </c>
      <c r="HG282" s="496" t="str">
        <f> IF(HG302&lt;&gt;"",TEXT(AUX!HK$1,"dd-MMM-aa"),"")</f>
      </c>
      <c r="HH282" s="496" t="str">
        <f> IF(HH302&lt;&gt;"",TEXT(AUX!HL$1,"dd-MMM-aa"),"")</f>
      </c>
      <c r="HI282" s="496" t="str">
        <f> IF(HI302&lt;&gt;"",TEXT(AUX!HM$1,"dd-MMM-aa"),"")</f>
      </c>
      <c r="HJ282" s="496" t="str">
        <f> IF(HJ302&lt;&gt;"",TEXT(AUX!HN$1,"dd-MMM-aa"),"")</f>
      </c>
      <c r="HK282" s="496" t="str">
        <f> IF(HK302&lt;&gt;"",TEXT(AUX!HO$1,"dd-MMM-aa"),"")</f>
      </c>
      <c r="HL282" s="496" t="str">
        <f> IF(HL302&lt;&gt;"",TEXT(AUX!HP$1,"dd-MMM-aa"),"")</f>
      </c>
      <c r="HM282" s="496" t="str">
        <f> IF(HM302&lt;&gt;"",TEXT(AUX!HQ$1,"dd-MMM-aa"),"")</f>
      </c>
      <c r="HN282" s="496" t="str">
        <f> IF(HN302&lt;&gt;"",TEXT(AUX!HR$1,"dd-MMM-aa"),"")</f>
      </c>
      <c r="HO282" s="496" t="str">
        <f> IF(HO302&lt;&gt;"",TEXT(AUX!HS$1,"dd-MMM-aa"),"")</f>
      </c>
      <c r="HP282" s="496" t="str">
        <f> IF(HP302&lt;&gt;"",TEXT(AUX!HT$1,"dd-MMM-aa"),"")</f>
      </c>
      <c r="HQ282" s="496" t="str">
        <f> IF(HQ302&lt;&gt;"",TEXT(AUX!HU$1,"dd-MMM-aa"),"")</f>
      </c>
      <c r="HR282" s="496" t="str">
        <f> IF(HR302&lt;&gt;"",TEXT(AUX!HV$1,"dd-MMM-aa"),"")</f>
      </c>
      <c r="HS282" s="496" t="str">
        <f> IF(HS302&lt;&gt;"",TEXT(AUX!HW$1,"dd-MMM-aa"),"")</f>
      </c>
      <c r="HT282" s="496" t="str">
        <f> IF(HT302&lt;&gt;"",TEXT(AUX!HX$1,"dd-MMM-aa"),"")</f>
      </c>
      <c r="HU282" s="496" t="str">
        <f> IF(HU302&lt;&gt;"",TEXT(AUX!HY$1,"dd-MMM-aa"),"")</f>
      </c>
      <c r="HV282" s="496" t="str">
        <f> IF(HV302&lt;&gt;"",TEXT(AUX!HZ$1,"dd-MMM-aa"),"")</f>
      </c>
      <c r="HW282" s="496" t="str">
        <f> IF(HW302&lt;&gt;"",TEXT(AUX!IA$1,"dd-MMM-aa"),"")</f>
      </c>
      <c r="HX282" s="496" t="str">
        <f> IF(HX302&lt;&gt;"",TEXT(AUX!IB$1,"dd-MMM-aa"),"")</f>
      </c>
      <c r="HY282" s="496" t="str">
        <f> IF(HY302&lt;&gt;"",TEXT(AUX!IC$1,"dd-MMM-aa"),"")</f>
      </c>
      <c r="HZ282" s="496" t="str">
        <f> IF(HZ302&lt;&gt;"",TEXT(AUX!ID$1,"dd-MMM-aa"),"")</f>
      </c>
      <c r="IA282" s="496" t="str">
        <f> IF(IA302&lt;&gt;"",TEXT(AUX!IE$1,"dd-MMM-aa"),"")</f>
      </c>
      <c r="IB282" s="496" t="str">
        <f> IF(IB302&lt;&gt;"",TEXT(AUX!IF$1,"dd-MMM-aa"),"")</f>
      </c>
      <c r="IC282" s="496" t="str">
        <f> IF(IC302&lt;&gt;"",TEXT(AUX!IG$1,"dd-MMM-aa"),"")</f>
      </c>
      <c r="ID282" s="496" t="str">
        <f> IF(ID302&lt;&gt;"",TEXT(AUX!IH$1,"dd-MMM-aa"),"")</f>
      </c>
      <c r="IE282" s="496" t="str">
        <f> IF(IE302&lt;&gt;"",TEXT(AUX!II$1,"dd-MMM-aa"),"")</f>
      </c>
      <c r="IF282" s="496" t="str">
        <f> IF(IF302&lt;&gt;"",TEXT(AUX!IJ$1,"dd-MMM-aa"),"")</f>
      </c>
      <c r="IG282" s="496" t="str">
        <f> IF(IG302&lt;&gt;"",TEXT(AUX!IK$1,"dd-MMM-aa"),"")</f>
      </c>
      <c r="IH282" s="496" t="str">
        <f> IF(IH302&lt;&gt;"",TEXT(AUX!IL$1,"dd-MMM-aa"),"")</f>
      </c>
      <c r="II282" s="496" t="str">
        <f> IF(II302&lt;&gt;"",TEXT(AUX!IM$1,"dd-MMM-aa"),"")</f>
      </c>
      <c r="IJ282" s="496" t="str">
        <f> IF(IJ302&lt;&gt;"",TEXT(AUX!IN$1,"dd-MMM-aa"),"")</f>
      </c>
      <c r="IK282" s="496" t="str">
        <f> IF(IK302&lt;&gt;"",TEXT(AUX!IO$1,"dd-MMM-aa"),"")</f>
      </c>
      <c r="IL282" s="496" t="str">
        <f> IF(IL302&lt;&gt;"",TEXT(AUX!IP$1,"dd-MMM-aa"),"")</f>
      </c>
      <c r="IM282" s="496" t="str">
        <f> IF(IM302&lt;&gt;"",TEXT(AUX!IQ$1,"dd-MMM-aa"),"")</f>
      </c>
      <c r="IN282" s="496" t="str">
        <f> IF(IN302&lt;&gt;"",TEXT(AUX!IR$1,"dd-MMM-aa"),"")</f>
      </c>
      <c r="IO282" s="496" t="str">
        <f> IF(IO302&lt;&gt;"",TEXT(AUX!IS$1,"dd-MMM-aa"),"")</f>
      </c>
      <c r="IP282" s="496" t="str">
        <f> IF(IP302&lt;&gt;"",TEXT(AUX!IT$1,"dd-MMM-aa"),"")</f>
      </c>
      <c r="IQ282" s="496" t="str">
        <f> IF(IQ302&lt;&gt;"",TEXT(AUX!IU$1,"dd-MMM-aa"),"")</f>
      </c>
      <c r="IR282" s="496" t="str">
        <f> IF(IR302&lt;&gt;"",TEXT(AUX!IV$1,"dd-MMM-aa"),"")</f>
      </c>
      <c r="IS282" s="496" t="str">
        <f> IF(IS302&lt;&gt;"",TEXT(AUX!#REF!,"dd-MMM-aa"),"")</f>
      </c>
      <c r="IT282" s="496" t="str">
        <f> IF(IT302&lt;&gt;"",TEXT(AUX!#REF!,"dd-MMM-aa"),"")</f>
      </c>
      <c r="IU282" s="496" t="str">
        <f> IF(IU302&lt;&gt;"",TEXT(AUX!#REF!,"dd-MMM-aa"),"")</f>
      </c>
      <c r="IV282" s="496" t="str">
        <f> IF(IV302&lt;&gt;"",TEXT(AUX!#REF!,"dd-MMM-aa"),"")</f>
      </c>
    </row>
    <row r="283" hidden="1">
      <c r="B283" s="833" t="s">
        <v>8</v>
      </c>
      <c r="C283" s="827">
        <v>0</v>
      </c>
      <c r="D283" s="827">
        <v>929</v>
      </c>
      <c r="E283" s="827">
        <v>1286</v>
      </c>
      <c r="F283" s="827">
        <v>1397</v>
      </c>
      <c r="G283" s="827">
        <v>1433</v>
      </c>
      <c r="H283" s="827">
        <v>1443</v>
      </c>
      <c r="I283" s="827">
        <v>1446</v>
      </c>
      <c r="J283" s="827">
        <v>1456</v>
      </c>
      <c r="K283" s="827">
        <v>1462</v>
      </c>
      <c r="L283" s="827">
        <v>1464</v>
      </c>
      <c r="M283" s="827">
        <v>1474</v>
      </c>
      <c r="N283" s="827">
        <v>1274</v>
      </c>
      <c r="O283" s="827">
        <v>0</v>
      </c>
      <c r="P283" s="827">
        <v>0</v>
      </c>
      <c r="Q283" s="827">
        <v>0</v>
      </c>
      <c r="R283" s="827">
        <v>0</v>
      </c>
      <c r="S283" s="827">
        <v>0</v>
      </c>
      <c r="T283" s="827">
        <v>0</v>
      </c>
      <c r="U283" s="827">
        <v>0</v>
      </c>
      <c r="V283" s="827">
        <v>0</v>
      </c>
      <c r="W283" s="827">
        <v>0</v>
      </c>
      <c r="X283" s="827">
        <v>0</v>
      </c>
      <c r="Y283" s="827">
        <v>0</v>
      </c>
      <c r="Z283" s="827">
        <v>0</v>
      </c>
      <c r="AA283" s="827">
        <v>0</v>
      </c>
      <c r="AB283" s="834">
        <v>0</v>
      </c>
      <c r="AC283" s="828">
        <v>0</v>
      </c>
      <c r="AD283" s="828">
        <v>0</v>
      </c>
      <c r="AE283" s="828">
        <v>0</v>
      </c>
      <c r="AF283" s="828">
        <v>0</v>
      </c>
      <c r="AG283" s="828">
        <v>0</v>
      </c>
      <c r="AH283" s="828">
        <v>0</v>
      </c>
      <c r="AI283" s="828">
        <v>0</v>
      </c>
      <c r="AJ283" s="828">
        <v>0</v>
      </c>
      <c r="AK283" s="828">
        <v>0</v>
      </c>
      <c r="AL283" s="828">
        <v>0</v>
      </c>
      <c r="AM283" s="828">
        <v>0</v>
      </c>
      <c r="AN283" s="828">
        <v>0</v>
      </c>
      <c r="AO283" s="828">
        <v>0</v>
      </c>
      <c r="AP283" s="828">
        <v>0</v>
      </c>
      <c r="AQ283" s="51"/>
      <c r="AR283" s="51"/>
      <c r="AS283" s="51"/>
      <c r="AT283" s="51"/>
      <c r="AU283" s="51"/>
      <c r="AV283" s="51"/>
      <c r="AW283" s="51"/>
      <c r="AX283" s="51"/>
      <c r="AY283" s="51"/>
      <c r="AZ283" s="51"/>
      <c r="BA283" s="51"/>
      <c r="BB283" s="51"/>
      <c r="BC283" s="51"/>
      <c r="BD283" s="51"/>
      <c r="BE283" s="51"/>
      <c r="BF283" s="51"/>
      <c r="BG283" s="51"/>
      <c r="BH283" s="51"/>
      <c r="BI283" s="51"/>
      <c r="BJ283" s="51"/>
      <c r="BK283" s="51"/>
      <c r="BL283" s="51"/>
      <c r="BM283" s="51"/>
      <c r="BN283" s="51"/>
      <c r="BO283" s="51"/>
      <c r="BP283" s="51"/>
      <c r="BQ283" s="51"/>
      <c r="BR283" s="51"/>
      <c r="BS283" s="51"/>
      <c r="BT283" s="51"/>
      <c r="BU283" s="51"/>
      <c r="BV283" s="51"/>
      <c r="BW283" s="51"/>
      <c r="BX283" s="51"/>
      <c r="BY283" s="51"/>
      <c r="BZ283" s="51"/>
      <c r="CA283" s="51"/>
      <c r="CB283" s="51"/>
      <c r="CC283" s="51"/>
      <c r="CD283" s="51"/>
      <c r="CE283" s="51"/>
      <c r="CF283" s="51"/>
      <c r="CG283" s="51"/>
      <c r="CH283" s="51"/>
      <c r="CI283" s="51"/>
      <c r="CJ283" s="51"/>
      <c r="CK283" s="51"/>
      <c r="CL283" s="51"/>
      <c r="CM283" s="51"/>
      <c r="CN283" s="51"/>
      <c r="CO283" s="51"/>
      <c r="CP283" s="51"/>
      <c r="CQ283" s="51"/>
      <c r="CR283" s="51"/>
      <c r="CS283" s="51"/>
      <c r="CT283" s="51"/>
      <c r="CU283" s="51"/>
      <c r="CV283" s="51"/>
      <c r="CW283" s="51"/>
      <c r="CX283" s="51"/>
      <c r="CY283" s="51"/>
      <c r="CZ283" s="51"/>
      <c r="DA283" s="51"/>
      <c r="DB283" s="51"/>
      <c r="DC283" s="51"/>
      <c r="DD283" s="51"/>
      <c r="DE283" s="51"/>
      <c r="DF283" s="51"/>
      <c r="DG283" s="51"/>
      <c r="DH283" s="51"/>
      <c r="DI283" s="51"/>
      <c r="DJ283" s="51"/>
      <c r="DK283" s="51"/>
      <c r="DL283" s="51"/>
      <c r="DM283" s="51"/>
      <c r="DN283" s="51"/>
      <c r="DO283" s="51"/>
      <c r="DP283" s="51"/>
      <c r="DQ283" s="51"/>
      <c r="DR283" s="51"/>
      <c r="DS283" s="51"/>
      <c r="DT283" s="51"/>
      <c r="DU283" s="51"/>
      <c r="DV283" s="51"/>
      <c r="DW283" s="51"/>
      <c r="DX283" s="51"/>
      <c r="DY283" s="51"/>
      <c r="DZ283" s="51"/>
      <c r="EA283" s="51"/>
      <c r="EB283" s="51"/>
      <c r="EC283" s="51"/>
      <c r="ED283" s="51"/>
      <c r="EE283" s="51"/>
      <c r="EF283" s="51"/>
      <c r="EG283" s="51"/>
      <c r="EH283" s="51"/>
      <c r="EI283" s="51"/>
      <c r="EJ283" s="51"/>
      <c r="EK283" s="51"/>
      <c r="EL283" s="51"/>
      <c r="EM283" s="51"/>
      <c r="EN283" s="51"/>
      <c r="EO283" s="51"/>
      <c r="EP283" s="51"/>
      <c r="EQ283" s="51"/>
      <c r="ER283" s="51"/>
      <c r="ES283" s="51"/>
      <c r="ET283" s="51"/>
      <c r="EU283" s="51"/>
      <c r="EV283" s="51"/>
      <c r="EW283" s="51"/>
      <c r="EX283" s="51"/>
      <c r="EY283" s="51"/>
      <c r="EZ283" s="51"/>
      <c r="FA283" s="51"/>
      <c r="FB283" s="51"/>
      <c r="FC283" s="51"/>
      <c r="FD283" s="51"/>
      <c r="FE283" s="51"/>
      <c r="FF283" s="51"/>
      <c r="FG283" s="51"/>
      <c r="FH283" s="51"/>
      <c r="FI283" s="51"/>
      <c r="FJ283" s="51"/>
      <c r="FK283" s="51"/>
      <c r="FL283" s="51"/>
      <c r="FM283" s="51"/>
      <c r="FN283" s="51"/>
      <c r="FO283" s="51"/>
      <c r="FP283" s="51"/>
      <c r="FQ283" s="51"/>
      <c r="FR283" s="51"/>
      <c r="FS283" s="51"/>
      <c r="FT283" s="51"/>
      <c r="FU283" s="51"/>
      <c r="FV283" s="51"/>
      <c r="FW283" s="51"/>
      <c r="FX283" s="51"/>
      <c r="FY283" s="51"/>
      <c r="FZ283" s="51"/>
      <c r="GA283" s="51"/>
      <c r="GB283" s="51"/>
      <c r="GC283" s="51"/>
      <c r="GD283" s="51"/>
      <c r="GE283" s="51"/>
      <c r="GF283" s="51"/>
      <c r="GG283" s="51"/>
      <c r="GH283" s="51"/>
      <c r="GI283" s="51"/>
      <c r="GJ283" s="51"/>
      <c r="GK283" s="51"/>
      <c r="GL283" s="51"/>
      <c r="GM283" s="51"/>
      <c r="GN283" s="51"/>
      <c r="GO283" s="51"/>
      <c r="GP283" s="51"/>
      <c r="GQ283" s="51"/>
      <c r="GR283" s="51"/>
      <c r="GS283" s="51"/>
      <c r="GT283" s="51"/>
      <c r="GU283" s="51"/>
      <c r="GV283" s="51"/>
      <c r="GW283" s="51"/>
      <c r="GX283" s="51"/>
      <c r="GY283" s="51"/>
      <c r="GZ283" s="51"/>
      <c r="HA283" s="51"/>
      <c r="HB283" s="51"/>
      <c r="HC283" s="51"/>
      <c r="HD283" s="51"/>
      <c r="HE283" s="51"/>
      <c r="HF283" s="51"/>
      <c r="HG283" s="51"/>
      <c r="HH283" s="51"/>
      <c r="HI283" s="51"/>
      <c r="HJ283" s="51"/>
      <c r="HK283" s="51"/>
      <c r="HL283" s="51"/>
      <c r="HM283" s="51"/>
      <c r="HN283" s="51"/>
      <c r="HO283" s="51"/>
      <c r="HP283" s="51"/>
      <c r="HQ283" s="51"/>
      <c r="HR283" s="51"/>
      <c r="HS283" s="51"/>
      <c r="HT283" s="51"/>
      <c r="HU283" s="51"/>
      <c r="HV283" s="51"/>
      <c r="HW283" s="51"/>
      <c r="HX283" s="51"/>
      <c r="HY283" s="51"/>
      <c r="HZ283" s="51"/>
      <c r="IA283" s="51"/>
      <c r="IB283" s="51"/>
      <c r="IC283" s="51"/>
      <c r="ID283" s="51"/>
      <c r="IE283" s="51"/>
      <c r="IF283" s="51"/>
      <c r="IG283" s="51"/>
      <c r="IH283" s="51"/>
      <c r="II283" s="51"/>
      <c r="IJ283" s="51"/>
      <c r="IK283" s="51"/>
      <c r="IL283" s="51"/>
      <c r="IM283" s="51"/>
      <c r="IN283" s="51"/>
      <c r="IO283" s="51"/>
      <c r="IP283" s="51"/>
      <c r="IQ283" s="51"/>
      <c r="IR283" s="51"/>
      <c r="IS283" s="51"/>
      <c r="IT283" s="51"/>
      <c r="IU283" s="51"/>
      <c r="IV283" s="51"/>
    </row>
    <row r="284" hidden="1">
      <c r="B284" s="829" t="s">
        <v>9</v>
      </c>
      <c r="C284" s="823">
        <v>0</v>
      </c>
      <c r="D284" s="823">
        <v>1</v>
      </c>
      <c r="E284" s="823">
        <v>1</v>
      </c>
      <c r="F284" s="823">
        <v>4</v>
      </c>
      <c r="G284" s="823">
        <v>5</v>
      </c>
      <c r="H284" s="823">
        <v>6</v>
      </c>
      <c r="I284" s="823">
        <v>6</v>
      </c>
      <c r="J284" s="823">
        <v>6</v>
      </c>
      <c r="K284" s="823">
        <v>8</v>
      </c>
      <c r="L284" s="823">
        <v>11</v>
      </c>
      <c r="M284" s="823">
        <v>12</v>
      </c>
      <c r="N284" s="823">
        <v>14</v>
      </c>
      <c r="O284" s="823">
        <v>0</v>
      </c>
      <c r="P284" s="823">
        <v>0</v>
      </c>
      <c r="Q284" s="823">
        <v>0</v>
      </c>
      <c r="R284" s="823">
        <v>0</v>
      </c>
      <c r="S284" s="823">
        <v>0</v>
      </c>
      <c r="T284" s="823">
        <v>0</v>
      </c>
      <c r="U284" s="823">
        <v>0</v>
      </c>
      <c r="V284" s="823">
        <v>0</v>
      </c>
      <c r="W284" s="823">
        <v>0</v>
      </c>
      <c r="X284" s="823">
        <v>0</v>
      </c>
      <c r="Y284" s="823">
        <v>0</v>
      </c>
      <c r="Z284" s="823">
        <v>0</v>
      </c>
      <c r="AA284" s="823">
        <v>0</v>
      </c>
      <c r="AB284" s="823">
        <v>0</v>
      </c>
      <c r="AC284" s="825">
        <v>0</v>
      </c>
      <c r="AD284" s="825">
        <v>0</v>
      </c>
      <c r="AE284" s="825">
        <v>0</v>
      </c>
      <c r="AF284" s="825">
        <v>0</v>
      </c>
      <c r="AG284" s="825">
        <v>0</v>
      </c>
      <c r="AH284" s="825">
        <v>0</v>
      </c>
      <c r="AI284" s="825">
        <v>0</v>
      </c>
      <c r="AJ284" s="825">
        <v>0</v>
      </c>
      <c r="AK284" s="825">
        <v>0</v>
      </c>
      <c r="AL284" s="825">
        <v>0</v>
      </c>
      <c r="AM284" s="825">
        <v>0</v>
      </c>
      <c r="AN284" s="825">
        <v>0</v>
      </c>
      <c r="AO284" s="825">
        <v>0</v>
      </c>
      <c r="AP284" s="825">
        <v>0</v>
      </c>
      <c r="AQ284" s="51"/>
      <c r="AR284" s="51"/>
      <c r="AS284" s="51"/>
      <c r="AT284" s="51"/>
      <c r="AU284" s="51"/>
      <c r="AV284" s="51"/>
      <c r="AW284" s="51"/>
      <c r="AX284" s="51"/>
      <c r="AY284" s="51"/>
      <c r="AZ284" s="51"/>
      <c r="BA284" s="51"/>
      <c r="BB284" s="51"/>
      <c r="BC284" s="51"/>
      <c r="BD284" s="51"/>
      <c r="BE284" s="51"/>
      <c r="BF284" s="51"/>
      <c r="BG284" s="51"/>
      <c r="BH284" s="51"/>
      <c r="BI284" s="51"/>
      <c r="BJ284" s="51"/>
      <c r="BK284" s="51"/>
      <c r="BL284" s="51"/>
      <c r="BM284" s="51"/>
      <c r="BN284" s="51"/>
      <c r="BO284" s="51"/>
      <c r="BP284" s="51"/>
      <c r="BQ284" s="51"/>
      <c r="BR284" s="51"/>
      <c r="BS284" s="51"/>
      <c r="BT284" s="51"/>
      <c r="BU284" s="51"/>
      <c r="BV284" s="51"/>
      <c r="BW284" s="51"/>
      <c r="BX284" s="51"/>
      <c r="BY284" s="51"/>
      <c r="BZ284" s="51"/>
      <c r="CA284" s="51"/>
      <c r="CB284" s="51"/>
      <c r="CC284" s="51"/>
      <c r="CD284" s="51"/>
      <c r="CE284" s="51"/>
      <c r="CF284" s="51"/>
      <c r="CG284" s="51"/>
      <c r="CH284" s="51"/>
      <c r="CI284" s="51"/>
      <c r="CJ284" s="51"/>
      <c r="CK284" s="51"/>
      <c r="CL284" s="51"/>
      <c r="CM284" s="51"/>
      <c r="CN284" s="51"/>
      <c r="CO284" s="51"/>
      <c r="CP284" s="51"/>
      <c r="CQ284" s="51"/>
      <c r="CR284" s="51"/>
      <c r="CS284" s="51"/>
      <c r="CT284" s="51"/>
      <c r="CU284" s="51"/>
      <c r="CV284" s="51"/>
      <c r="CW284" s="51"/>
      <c r="CX284" s="51"/>
      <c r="CY284" s="51"/>
      <c r="CZ284" s="51"/>
      <c r="DA284" s="51"/>
      <c r="DB284" s="51"/>
      <c r="DC284" s="51"/>
      <c r="DD284" s="51"/>
      <c r="DE284" s="51"/>
      <c r="DF284" s="51"/>
      <c r="DG284" s="51"/>
      <c r="DH284" s="51"/>
      <c r="DI284" s="51"/>
      <c r="DJ284" s="51"/>
      <c r="DK284" s="51"/>
      <c r="DL284" s="51"/>
      <c r="DM284" s="51"/>
      <c r="DN284" s="51"/>
      <c r="DO284" s="51"/>
      <c r="DP284" s="51"/>
      <c r="DQ284" s="51"/>
      <c r="DR284" s="51"/>
      <c r="DS284" s="51"/>
      <c r="DT284" s="51"/>
      <c r="DU284" s="51"/>
      <c r="DV284" s="51"/>
      <c r="DW284" s="51"/>
      <c r="DX284" s="51"/>
      <c r="DY284" s="51"/>
      <c r="DZ284" s="51"/>
      <c r="EA284" s="51"/>
      <c r="EB284" s="51"/>
      <c r="EC284" s="51"/>
      <c r="ED284" s="51"/>
      <c r="EE284" s="51"/>
      <c r="EF284" s="51"/>
      <c r="EG284" s="51"/>
      <c r="EH284" s="51"/>
      <c r="EI284" s="51"/>
      <c r="EJ284" s="51"/>
      <c r="EK284" s="51"/>
      <c r="EL284" s="51"/>
      <c r="EM284" s="51"/>
      <c r="EN284" s="51"/>
      <c r="EO284" s="51"/>
      <c r="EP284" s="51"/>
      <c r="EQ284" s="51"/>
      <c r="ER284" s="51"/>
      <c r="ES284" s="51"/>
      <c r="ET284" s="51"/>
      <c r="EU284" s="51"/>
      <c r="EV284" s="51"/>
      <c r="EW284" s="51"/>
      <c r="EX284" s="51"/>
      <c r="EY284" s="51"/>
      <c r="EZ284" s="51"/>
      <c r="FA284" s="51"/>
      <c r="FB284" s="51"/>
      <c r="FC284" s="51"/>
      <c r="FD284" s="51"/>
      <c r="FE284" s="51"/>
      <c r="FF284" s="51"/>
      <c r="FG284" s="51"/>
      <c r="FH284" s="51"/>
      <c r="FI284" s="51"/>
      <c r="FJ284" s="51"/>
      <c r="FK284" s="51"/>
      <c r="FL284" s="51"/>
      <c r="FM284" s="51"/>
      <c r="FN284" s="51"/>
      <c r="FO284" s="51"/>
      <c r="FP284" s="51"/>
      <c r="FQ284" s="51"/>
      <c r="FR284" s="51"/>
      <c r="FS284" s="51"/>
      <c r="FT284" s="51"/>
      <c r="FU284" s="51"/>
      <c r="FV284" s="51"/>
      <c r="FW284" s="51"/>
      <c r="FX284" s="51"/>
      <c r="FY284" s="51"/>
      <c r="FZ284" s="51"/>
      <c r="GA284" s="51"/>
      <c r="GB284" s="51"/>
      <c r="GC284" s="51"/>
      <c r="GD284" s="51"/>
      <c r="GE284" s="51"/>
      <c r="GF284" s="51"/>
      <c r="GG284" s="51"/>
      <c r="GH284" s="51"/>
      <c r="GI284" s="51"/>
      <c r="GJ284" s="51"/>
      <c r="GK284" s="51"/>
      <c r="GL284" s="51"/>
      <c r="GM284" s="51"/>
      <c r="GN284" s="51"/>
      <c r="GO284" s="51"/>
      <c r="GP284" s="51"/>
      <c r="GQ284" s="51"/>
      <c r="GR284" s="51"/>
      <c r="GS284" s="51"/>
      <c r="GT284" s="51"/>
      <c r="GU284" s="51"/>
      <c r="GV284" s="51"/>
      <c r="GW284" s="51"/>
      <c r="GX284" s="51"/>
      <c r="GY284" s="51"/>
      <c r="GZ284" s="51"/>
      <c r="HA284" s="51"/>
      <c r="HB284" s="51"/>
      <c r="HC284" s="51"/>
      <c r="HD284" s="51"/>
      <c r="HE284" s="51"/>
      <c r="HF284" s="51"/>
      <c r="HG284" s="51"/>
      <c r="HH284" s="51"/>
      <c r="HI284" s="51"/>
      <c r="HJ284" s="51"/>
      <c r="HK284" s="51"/>
      <c r="HL284" s="51"/>
      <c r="HM284" s="51"/>
      <c r="HN284" s="51"/>
      <c r="HO284" s="51"/>
      <c r="HP284" s="51"/>
      <c r="HQ284" s="51"/>
      <c r="HR284" s="51"/>
      <c r="HS284" s="51"/>
      <c r="HT284" s="51"/>
      <c r="HU284" s="51"/>
      <c r="HV284" s="51"/>
      <c r="HW284" s="51"/>
      <c r="HX284" s="51"/>
      <c r="HY284" s="51"/>
      <c r="HZ284" s="51"/>
      <c r="IA284" s="51"/>
      <c r="IB284" s="51"/>
      <c r="IC284" s="51"/>
      <c r="ID284" s="51"/>
      <c r="IE284" s="51"/>
      <c r="IF284" s="51"/>
      <c r="IG284" s="51"/>
      <c r="IH284" s="51"/>
      <c r="II284" s="51"/>
      <c r="IJ284" s="51"/>
      <c r="IK284" s="51"/>
      <c r="IL284" s="51"/>
      <c r="IM284" s="51"/>
      <c r="IN284" s="51"/>
      <c r="IO284" s="51"/>
      <c r="IP284" s="51"/>
      <c r="IQ284" s="51"/>
      <c r="IR284" s="51"/>
      <c r="IS284" s="51"/>
      <c r="IT284" s="51"/>
      <c r="IU284" s="51"/>
      <c r="IV284" s="51"/>
    </row>
    <row r="285" hidden="1">
      <c r="B285" s="826" t="s">
        <v>10</v>
      </c>
      <c r="C285" s="827">
        <v>0</v>
      </c>
      <c r="D285" s="827">
        <v>0</v>
      </c>
      <c r="E285" s="827">
        <v>0</v>
      </c>
      <c r="F285" s="827">
        <v>0</v>
      </c>
      <c r="G285" s="827">
        <v>0</v>
      </c>
      <c r="H285" s="827">
        <v>0</v>
      </c>
      <c r="I285" s="827">
        <v>0</v>
      </c>
      <c r="J285" s="827">
        <v>0</v>
      </c>
      <c r="K285" s="827">
        <v>0</v>
      </c>
      <c r="L285" s="827">
        <v>0</v>
      </c>
      <c r="M285" s="827">
        <v>0</v>
      </c>
      <c r="N285" s="827">
        <v>0</v>
      </c>
      <c r="O285" s="827">
        <v>0</v>
      </c>
      <c r="P285" s="827">
        <v>0</v>
      </c>
      <c r="Q285" s="827">
        <v>0</v>
      </c>
      <c r="R285" s="827">
        <v>0</v>
      </c>
      <c r="S285" s="827">
        <v>0</v>
      </c>
      <c r="T285" s="827">
        <v>0</v>
      </c>
      <c r="U285" s="827">
        <v>0</v>
      </c>
      <c r="V285" s="827">
        <v>0</v>
      </c>
      <c r="W285" s="827">
        <v>0</v>
      </c>
      <c r="X285" s="827">
        <v>0</v>
      </c>
      <c r="Y285" s="827">
        <v>0</v>
      </c>
      <c r="Z285" s="827">
        <v>0</v>
      </c>
      <c r="AA285" s="827">
        <v>0</v>
      </c>
      <c r="AB285" s="827">
        <v>0</v>
      </c>
      <c r="AC285" s="828">
        <v>0</v>
      </c>
      <c r="AD285" s="828">
        <v>0</v>
      </c>
      <c r="AE285" s="828">
        <v>0</v>
      </c>
      <c r="AF285" s="828">
        <v>0</v>
      </c>
      <c r="AG285" s="828">
        <v>0</v>
      </c>
      <c r="AH285" s="828">
        <v>0</v>
      </c>
      <c r="AI285" s="828">
        <v>0</v>
      </c>
      <c r="AJ285" s="828">
        <v>0</v>
      </c>
      <c r="AK285" s="828">
        <v>0</v>
      </c>
      <c r="AL285" s="828">
        <v>0</v>
      </c>
      <c r="AM285" s="828">
        <v>0</v>
      </c>
      <c r="AN285" s="828">
        <v>0</v>
      </c>
      <c r="AO285" s="828">
        <v>0</v>
      </c>
      <c r="AP285" s="828">
        <v>0</v>
      </c>
      <c r="AQ285" s="51"/>
      <c r="AR285" s="51"/>
      <c r="AS285" s="51"/>
      <c r="AT285" s="51"/>
      <c r="AU285" s="51"/>
      <c r="AV285" s="51"/>
      <c r="AW285" s="51"/>
      <c r="AX285" s="51"/>
      <c r="AY285" s="51"/>
      <c r="AZ285" s="51"/>
      <c r="BA285" s="51"/>
      <c r="BB285" s="51"/>
      <c r="BC285" s="51"/>
      <c r="BD285" s="51"/>
      <c r="BE285" s="51"/>
      <c r="BF285" s="51"/>
      <c r="BG285" s="51"/>
      <c r="BH285" s="51"/>
      <c r="BI285" s="51"/>
      <c r="BJ285" s="51"/>
      <c r="BK285" s="51"/>
      <c r="BL285" s="51"/>
      <c r="BM285" s="51"/>
      <c r="BN285" s="51"/>
      <c r="BO285" s="51"/>
      <c r="BP285" s="51"/>
      <c r="BQ285" s="51"/>
      <c r="BR285" s="51"/>
      <c r="BS285" s="51"/>
      <c r="BT285" s="51"/>
      <c r="BU285" s="51"/>
      <c r="BV285" s="51"/>
      <c r="BW285" s="51"/>
      <c r="BX285" s="51"/>
      <c r="BY285" s="51"/>
      <c r="BZ285" s="51"/>
      <c r="CA285" s="51"/>
      <c r="CB285" s="51"/>
      <c r="CC285" s="51"/>
      <c r="CD285" s="51"/>
      <c r="CE285" s="51"/>
      <c r="CF285" s="51"/>
      <c r="CG285" s="51"/>
      <c r="CH285" s="51"/>
      <c r="CI285" s="51"/>
      <c r="CJ285" s="51"/>
      <c r="CK285" s="51"/>
      <c r="CL285" s="51"/>
      <c r="CM285" s="51"/>
      <c r="CN285" s="51"/>
      <c r="CO285" s="51"/>
      <c r="CP285" s="51"/>
      <c r="CQ285" s="51"/>
      <c r="CR285" s="51"/>
      <c r="CS285" s="51"/>
      <c r="CT285" s="51"/>
      <c r="CU285" s="51"/>
      <c r="CV285" s="51"/>
      <c r="CW285" s="51"/>
      <c r="CX285" s="51"/>
      <c r="CY285" s="51"/>
      <c r="CZ285" s="51"/>
      <c r="DA285" s="51"/>
      <c r="DB285" s="51"/>
      <c r="DC285" s="51"/>
      <c r="DD285" s="51"/>
      <c r="DE285" s="51"/>
      <c r="DF285" s="51"/>
      <c r="DG285" s="51"/>
      <c r="DH285" s="51"/>
      <c r="DI285" s="51"/>
      <c r="DJ285" s="51"/>
      <c r="DK285" s="51"/>
      <c r="DL285" s="51"/>
      <c r="DM285" s="51"/>
      <c r="DN285" s="51"/>
      <c r="DO285" s="51"/>
      <c r="DP285" s="51"/>
      <c r="DQ285" s="51"/>
      <c r="DR285" s="51"/>
      <c r="DS285" s="51"/>
      <c r="DT285" s="51"/>
      <c r="DU285" s="51"/>
      <c r="DV285" s="51"/>
      <c r="DW285" s="51"/>
      <c r="DX285" s="51"/>
      <c r="DY285" s="51"/>
      <c r="DZ285" s="51"/>
      <c r="EA285" s="51"/>
      <c r="EB285" s="51"/>
      <c r="EC285" s="51"/>
      <c r="ED285" s="51"/>
      <c r="EE285" s="51"/>
      <c r="EF285" s="51"/>
      <c r="EG285" s="51"/>
      <c r="EH285" s="51"/>
      <c r="EI285" s="51"/>
      <c r="EJ285" s="51"/>
      <c r="EK285" s="51"/>
      <c r="EL285" s="51"/>
      <c r="EM285" s="51"/>
      <c r="EN285" s="51"/>
      <c r="EO285" s="51"/>
      <c r="EP285" s="51"/>
      <c r="EQ285" s="51"/>
      <c r="ER285" s="51"/>
      <c r="ES285" s="51"/>
      <c r="ET285" s="51"/>
      <c r="EU285" s="51"/>
      <c r="EV285" s="51"/>
      <c r="EW285" s="51"/>
      <c r="EX285" s="51"/>
      <c r="EY285" s="51"/>
      <c r="EZ285" s="51"/>
      <c r="FA285" s="51"/>
      <c r="FB285" s="51"/>
      <c r="FC285" s="51"/>
      <c r="FD285" s="51"/>
      <c r="FE285" s="51"/>
      <c r="FF285" s="51"/>
      <c r="FG285" s="51"/>
      <c r="FH285" s="51"/>
      <c r="FI285" s="51"/>
      <c r="FJ285" s="51"/>
      <c r="FK285" s="51"/>
      <c r="FL285" s="51"/>
      <c r="FM285" s="51"/>
      <c r="FN285" s="51"/>
      <c r="FO285" s="51"/>
      <c r="FP285" s="51"/>
      <c r="FQ285" s="51"/>
      <c r="FR285" s="51"/>
      <c r="FS285" s="51"/>
      <c r="FT285" s="51"/>
      <c r="FU285" s="51"/>
      <c r="FV285" s="51"/>
      <c r="FW285" s="51"/>
      <c r="FX285" s="51"/>
      <c r="FY285" s="51"/>
      <c r="FZ285" s="51"/>
      <c r="GA285" s="51"/>
      <c r="GB285" s="51"/>
      <c r="GC285" s="51"/>
      <c r="GD285" s="51"/>
      <c r="GE285" s="51"/>
      <c r="GF285" s="51"/>
      <c r="GG285" s="51"/>
      <c r="GH285" s="51"/>
      <c r="GI285" s="51"/>
      <c r="GJ285" s="51"/>
      <c r="GK285" s="51"/>
      <c r="GL285" s="51"/>
      <c r="GM285" s="51"/>
      <c r="GN285" s="51"/>
      <c r="GO285" s="51"/>
      <c r="GP285" s="51"/>
      <c r="GQ285" s="51"/>
      <c r="GR285" s="51"/>
      <c r="GS285" s="51"/>
      <c r="GT285" s="51"/>
      <c r="GU285" s="51"/>
      <c r="GV285" s="51"/>
      <c r="GW285" s="51"/>
      <c r="GX285" s="51"/>
      <c r="GY285" s="51"/>
      <c r="GZ285" s="51"/>
      <c r="HA285" s="51"/>
      <c r="HB285" s="51"/>
      <c r="HC285" s="51"/>
      <c r="HD285" s="51"/>
      <c r="HE285" s="51"/>
      <c r="HF285" s="51"/>
      <c r="HG285" s="51"/>
      <c r="HH285" s="51"/>
      <c r="HI285" s="51"/>
      <c r="HJ285" s="51"/>
      <c r="HK285" s="51"/>
      <c r="HL285" s="51"/>
      <c r="HM285" s="51"/>
      <c r="HN285" s="51"/>
      <c r="HO285" s="51"/>
      <c r="HP285" s="51"/>
      <c r="HQ285" s="51"/>
      <c r="HR285" s="51"/>
      <c r="HS285" s="51"/>
      <c r="HT285" s="51"/>
      <c r="HU285" s="51"/>
      <c r="HV285" s="51"/>
      <c r="HW285" s="51"/>
      <c r="HX285" s="51"/>
      <c r="HY285" s="51"/>
      <c r="HZ285" s="51"/>
      <c r="IA285" s="51"/>
      <c r="IB285" s="51"/>
      <c r="IC285" s="51"/>
      <c r="ID285" s="51"/>
      <c r="IE285" s="51"/>
      <c r="IF285" s="51"/>
      <c r="IG285" s="51"/>
      <c r="IH285" s="51"/>
      <c r="II285" s="51"/>
      <c r="IJ285" s="51"/>
      <c r="IK285" s="51"/>
      <c r="IL285" s="51"/>
      <c r="IM285" s="51"/>
      <c r="IN285" s="51"/>
      <c r="IO285" s="51"/>
      <c r="IP285" s="51"/>
      <c r="IQ285" s="51"/>
      <c r="IR285" s="51"/>
      <c r="IS285" s="51"/>
      <c r="IT285" s="51"/>
      <c r="IU285" s="51"/>
      <c r="IV285" s="51"/>
    </row>
    <row r="286" hidden="1">
      <c r="B286" s="829" t="s">
        <v>11</v>
      </c>
      <c r="C286" s="823">
        <v>13</v>
      </c>
      <c r="D286" s="823">
        <v>14</v>
      </c>
      <c r="E286" s="823">
        <v>14</v>
      </c>
      <c r="F286" s="823">
        <v>14</v>
      </c>
      <c r="G286" s="823">
        <v>13</v>
      </c>
      <c r="H286" s="823">
        <v>12</v>
      </c>
      <c r="I286" s="823">
        <v>12</v>
      </c>
      <c r="J286" s="823">
        <v>8</v>
      </c>
      <c r="K286" s="823">
        <v>9</v>
      </c>
      <c r="L286" s="823">
        <v>9</v>
      </c>
      <c r="M286" s="823">
        <v>11</v>
      </c>
      <c r="N286" s="823">
        <v>12</v>
      </c>
      <c r="O286" s="823">
        <v>10</v>
      </c>
      <c r="P286" s="823">
        <v>9</v>
      </c>
      <c r="Q286" s="823">
        <v>2</v>
      </c>
      <c r="R286" s="823">
        <v>2</v>
      </c>
      <c r="S286" s="823">
        <v>2</v>
      </c>
      <c r="T286" s="823">
        <v>0</v>
      </c>
      <c r="U286" s="823">
        <v>0</v>
      </c>
      <c r="V286" s="823">
        <v>0</v>
      </c>
      <c r="W286" s="823">
        <v>0</v>
      </c>
      <c r="X286" s="823">
        <v>0</v>
      </c>
      <c r="Y286" s="823">
        <v>0</v>
      </c>
      <c r="Z286" s="823">
        <v>0</v>
      </c>
      <c r="AA286" s="823">
        <v>0</v>
      </c>
      <c r="AB286" s="823">
        <v>0</v>
      </c>
      <c r="AC286" s="825">
        <v>0</v>
      </c>
      <c r="AD286" s="825">
        <v>0</v>
      </c>
      <c r="AE286" s="825">
        <v>0</v>
      </c>
      <c r="AF286" s="825">
        <v>0</v>
      </c>
      <c r="AG286" s="825">
        <v>0</v>
      </c>
      <c r="AH286" s="825">
        <v>0</v>
      </c>
      <c r="AI286" s="825">
        <v>0</v>
      </c>
      <c r="AJ286" s="825">
        <v>0</v>
      </c>
      <c r="AK286" s="825">
        <v>0</v>
      </c>
      <c r="AL286" s="825">
        <v>0</v>
      </c>
      <c r="AM286" s="825">
        <v>0</v>
      </c>
      <c r="AN286" s="825">
        <v>0</v>
      </c>
      <c r="AO286" s="825">
        <v>0</v>
      </c>
      <c r="AP286" s="825">
        <v>0</v>
      </c>
      <c r="AQ286" s="51"/>
      <c r="AR286" s="51"/>
      <c r="AS286" s="51"/>
      <c r="AT286" s="51"/>
      <c r="AU286" s="51"/>
      <c r="AV286" s="51"/>
      <c r="AW286" s="51"/>
      <c r="AX286" s="51"/>
      <c r="AY286" s="51"/>
      <c r="AZ286" s="51"/>
      <c r="BA286" s="51"/>
      <c r="BB286" s="51"/>
      <c r="BC286" s="51"/>
      <c r="BD286" s="51"/>
      <c r="BE286" s="51"/>
      <c r="BF286" s="51"/>
      <c r="BG286" s="51"/>
      <c r="BH286" s="51"/>
      <c r="BI286" s="51"/>
      <c r="BJ286" s="51"/>
      <c r="BK286" s="51"/>
      <c r="BL286" s="51"/>
      <c r="BM286" s="51"/>
      <c r="BN286" s="51"/>
      <c r="BO286" s="51"/>
      <c r="BP286" s="51"/>
      <c r="BQ286" s="51"/>
      <c r="BR286" s="51"/>
      <c r="BS286" s="51"/>
      <c r="BT286" s="51"/>
      <c r="BU286" s="51"/>
      <c r="BV286" s="51"/>
      <c r="BW286" s="51"/>
      <c r="BX286" s="51"/>
      <c r="BY286" s="51"/>
      <c r="BZ286" s="51"/>
      <c r="CA286" s="51"/>
      <c r="CB286" s="51"/>
      <c r="CC286" s="51"/>
      <c r="CD286" s="51"/>
      <c r="CE286" s="51"/>
      <c r="CF286" s="51"/>
      <c r="CG286" s="51"/>
      <c r="CH286" s="51"/>
      <c r="CI286" s="51"/>
      <c r="CJ286" s="51"/>
      <c r="CK286" s="51"/>
      <c r="CL286" s="51"/>
      <c r="CM286" s="51"/>
      <c r="CN286" s="51"/>
      <c r="CO286" s="51"/>
      <c r="CP286" s="51"/>
      <c r="CQ286" s="51"/>
      <c r="CR286" s="51"/>
      <c r="CS286" s="51"/>
      <c r="CT286" s="51"/>
      <c r="CU286" s="51"/>
      <c r="CV286" s="51"/>
      <c r="CW286" s="51"/>
      <c r="CX286" s="51"/>
      <c r="CY286" s="51"/>
      <c r="CZ286" s="51"/>
      <c r="DA286" s="51"/>
      <c r="DB286" s="51"/>
      <c r="DC286" s="51"/>
      <c r="DD286" s="51"/>
      <c r="DE286" s="51"/>
      <c r="DF286" s="51"/>
      <c r="DG286" s="51"/>
      <c r="DH286" s="51"/>
      <c r="DI286" s="51"/>
      <c r="DJ286" s="51"/>
      <c r="DK286" s="51"/>
      <c r="DL286" s="51"/>
      <c r="DM286" s="51"/>
      <c r="DN286" s="51"/>
      <c r="DO286" s="51"/>
      <c r="DP286" s="51"/>
      <c r="DQ286" s="51"/>
      <c r="DR286" s="51"/>
      <c r="DS286" s="51"/>
      <c r="DT286" s="51"/>
      <c r="DU286" s="51"/>
      <c r="DV286" s="51"/>
      <c r="DW286" s="51"/>
      <c r="DX286" s="51"/>
      <c r="DY286" s="51"/>
      <c r="DZ286" s="51"/>
      <c r="EA286" s="51"/>
      <c r="EB286" s="51"/>
      <c r="EC286" s="51"/>
      <c r="ED286" s="51"/>
      <c r="EE286" s="51"/>
      <c r="EF286" s="51"/>
      <c r="EG286" s="51"/>
      <c r="EH286" s="51"/>
      <c r="EI286" s="51"/>
      <c r="EJ286" s="51"/>
      <c r="EK286" s="51"/>
      <c r="EL286" s="51"/>
      <c r="EM286" s="51"/>
      <c r="EN286" s="51"/>
      <c r="EO286" s="51"/>
      <c r="EP286" s="51"/>
      <c r="EQ286" s="51"/>
      <c r="ER286" s="51"/>
      <c r="ES286" s="51"/>
      <c r="ET286" s="51"/>
      <c r="EU286" s="51"/>
      <c r="EV286" s="51"/>
      <c r="EW286" s="51"/>
      <c r="EX286" s="51"/>
      <c r="EY286" s="51"/>
      <c r="EZ286" s="51"/>
      <c r="FA286" s="51"/>
      <c r="FB286" s="51"/>
      <c r="FC286" s="51"/>
      <c r="FD286" s="51"/>
      <c r="FE286" s="51"/>
      <c r="FF286" s="51"/>
      <c r="FG286" s="51"/>
      <c r="FH286" s="51"/>
      <c r="FI286" s="51"/>
      <c r="FJ286" s="51"/>
      <c r="FK286" s="51"/>
      <c r="FL286" s="51"/>
      <c r="FM286" s="51"/>
      <c r="FN286" s="51"/>
      <c r="FO286" s="51"/>
      <c r="FP286" s="51"/>
      <c r="FQ286" s="51"/>
      <c r="FR286" s="51"/>
      <c r="FS286" s="51"/>
      <c r="FT286" s="51"/>
      <c r="FU286" s="51"/>
      <c r="FV286" s="51"/>
      <c r="FW286" s="51"/>
      <c r="FX286" s="51"/>
      <c r="FY286" s="51"/>
      <c r="FZ286" s="51"/>
      <c r="GA286" s="51"/>
      <c r="GB286" s="51"/>
      <c r="GC286" s="51"/>
      <c r="GD286" s="51"/>
      <c r="GE286" s="51"/>
      <c r="GF286" s="51"/>
      <c r="GG286" s="51"/>
      <c r="GH286" s="51"/>
      <c r="GI286" s="51"/>
      <c r="GJ286" s="51"/>
      <c r="GK286" s="51"/>
      <c r="GL286" s="51"/>
      <c r="GM286" s="51"/>
      <c r="GN286" s="51"/>
      <c r="GO286" s="51"/>
      <c r="GP286" s="51"/>
      <c r="GQ286" s="51"/>
      <c r="GR286" s="51"/>
      <c r="GS286" s="51"/>
      <c r="GT286" s="51"/>
      <c r="GU286" s="51"/>
      <c r="GV286" s="51"/>
      <c r="GW286" s="51"/>
      <c r="GX286" s="51"/>
      <c r="GY286" s="51"/>
      <c r="GZ286" s="51"/>
      <c r="HA286" s="51"/>
      <c r="HB286" s="51"/>
      <c r="HC286" s="51"/>
      <c r="HD286" s="51"/>
      <c r="HE286" s="51"/>
      <c r="HF286" s="51"/>
      <c r="HG286" s="51"/>
      <c r="HH286" s="51"/>
      <c r="HI286" s="51"/>
      <c r="HJ286" s="51"/>
      <c r="HK286" s="51"/>
      <c r="HL286" s="51"/>
      <c r="HM286" s="51"/>
      <c r="HN286" s="51"/>
      <c r="HO286" s="51"/>
      <c r="HP286" s="51"/>
      <c r="HQ286" s="51"/>
      <c r="HR286" s="51"/>
      <c r="HS286" s="51"/>
      <c r="HT286" s="51"/>
      <c r="HU286" s="51"/>
      <c r="HV286" s="51"/>
      <c r="HW286" s="51"/>
      <c r="HX286" s="51"/>
      <c r="HY286" s="51"/>
      <c r="HZ286" s="51"/>
      <c r="IA286" s="51"/>
      <c r="IB286" s="51"/>
      <c r="IC286" s="51"/>
      <c r="ID286" s="51"/>
      <c r="IE286" s="51"/>
      <c r="IF286" s="51"/>
      <c r="IG286" s="51"/>
      <c r="IH286" s="51"/>
      <c r="II286" s="51"/>
      <c r="IJ286" s="51"/>
      <c r="IK286" s="51"/>
      <c r="IL286" s="51"/>
      <c r="IM286" s="51"/>
      <c r="IN286" s="51"/>
      <c r="IO286" s="51"/>
      <c r="IP286" s="51"/>
      <c r="IQ286" s="51"/>
      <c r="IR286" s="51"/>
      <c r="IS286" s="51"/>
      <c r="IT286" s="51"/>
      <c r="IU286" s="51"/>
      <c r="IV286" s="51"/>
    </row>
    <row r="287" hidden="1">
      <c r="B287" s="826" t="s">
        <v>12</v>
      </c>
      <c r="C287" s="827">
        <v>0</v>
      </c>
      <c r="D287" s="827">
        <v>0</v>
      </c>
      <c r="E287" s="827">
        <v>2</v>
      </c>
      <c r="F287" s="827">
        <v>2</v>
      </c>
      <c r="G287" s="827">
        <v>4</v>
      </c>
      <c r="H287" s="827">
        <v>4</v>
      </c>
      <c r="I287" s="827">
        <v>8</v>
      </c>
      <c r="J287" s="827">
        <v>8</v>
      </c>
      <c r="K287" s="827">
        <v>12</v>
      </c>
      <c r="L287" s="827">
        <v>15</v>
      </c>
      <c r="M287" s="827">
        <v>14</v>
      </c>
      <c r="N287" s="827">
        <v>14</v>
      </c>
      <c r="O287" s="827">
        <v>5</v>
      </c>
      <c r="P287" s="827">
        <v>3</v>
      </c>
      <c r="Q287" s="827">
        <v>2</v>
      </c>
      <c r="R287" s="827">
        <v>3</v>
      </c>
      <c r="S287" s="827">
        <v>3</v>
      </c>
      <c r="T287" s="827">
        <v>3</v>
      </c>
      <c r="U287" s="827">
        <v>2</v>
      </c>
      <c r="V287" s="827">
        <v>1</v>
      </c>
      <c r="W287" s="827">
        <v>0</v>
      </c>
      <c r="X287" s="827">
        <v>0</v>
      </c>
      <c r="Y287" s="827">
        <v>0</v>
      </c>
      <c r="Z287" s="827">
        <v>0</v>
      </c>
      <c r="AA287" s="827">
        <v>0</v>
      </c>
      <c r="AB287" s="827">
        <v>0</v>
      </c>
      <c r="AC287" s="828">
        <v>0</v>
      </c>
      <c r="AD287" s="828">
        <v>0</v>
      </c>
      <c r="AE287" s="828">
        <v>0</v>
      </c>
      <c r="AF287" s="828">
        <v>0</v>
      </c>
      <c r="AG287" s="828">
        <v>0</v>
      </c>
      <c r="AH287" s="828">
        <v>0</v>
      </c>
      <c r="AI287" s="828">
        <v>0</v>
      </c>
      <c r="AJ287" s="828">
        <v>0</v>
      </c>
      <c r="AK287" s="828">
        <v>0</v>
      </c>
      <c r="AL287" s="828">
        <v>0</v>
      </c>
      <c r="AM287" s="828">
        <v>0</v>
      </c>
      <c r="AN287" s="828">
        <v>0</v>
      </c>
      <c r="AO287" s="828">
        <v>0</v>
      </c>
      <c r="AP287" s="828">
        <v>0</v>
      </c>
      <c r="AQ287" s="51"/>
      <c r="AR287" s="51"/>
      <c r="AS287" s="51"/>
      <c r="AT287" s="51"/>
      <c r="AU287" s="51"/>
      <c r="AV287" s="51"/>
      <c r="AW287" s="51"/>
      <c r="AX287" s="51"/>
      <c r="AY287" s="51"/>
      <c r="AZ287" s="51"/>
      <c r="BA287" s="51"/>
      <c r="BB287" s="51"/>
      <c r="BC287" s="51"/>
      <c r="BD287" s="51"/>
      <c r="BE287" s="51"/>
      <c r="BF287" s="51"/>
      <c r="BG287" s="51"/>
      <c r="BH287" s="51"/>
      <c r="BI287" s="51"/>
      <c r="BJ287" s="51"/>
      <c r="BK287" s="51"/>
      <c r="BL287" s="51"/>
      <c r="BM287" s="51"/>
      <c r="BN287" s="51"/>
      <c r="BO287" s="51"/>
      <c r="BP287" s="51"/>
      <c r="BQ287" s="51"/>
      <c r="BR287" s="51"/>
      <c r="BS287" s="51"/>
      <c r="BT287" s="51"/>
      <c r="BU287" s="51"/>
      <c r="BV287" s="51"/>
      <c r="BW287" s="51"/>
      <c r="BX287" s="51"/>
      <c r="BY287" s="51"/>
      <c r="BZ287" s="51"/>
      <c r="CA287" s="51"/>
      <c r="CB287" s="51"/>
      <c r="CC287" s="51"/>
      <c r="CD287" s="51"/>
      <c r="CE287" s="51"/>
      <c r="CF287" s="51"/>
      <c r="CG287" s="51"/>
      <c r="CH287" s="51"/>
      <c r="CI287" s="51"/>
      <c r="CJ287" s="51"/>
      <c r="CK287" s="51"/>
      <c r="CL287" s="51"/>
      <c r="CM287" s="51"/>
      <c r="CN287" s="51"/>
      <c r="CO287" s="51"/>
      <c r="CP287" s="51"/>
      <c r="CQ287" s="51"/>
      <c r="CR287" s="51"/>
      <c r="CS287" s="51"/>
      <c r="CT287" s="51"/>
      <c r="CU287" s="51"/>
      <c r="CV287" s="51"/>
      <c r="CW287" s="51"/>
      <c r="CX287" s="51"/>
      <c r="CY287" s="51"/>
      <c r="CZ287" s="51"/>
      <c r="DA287" s="51"/>
      <c r="DB287" s="51"/>
      <c r="DC287" s="51"/>
      <c r="DD287" s="51"/>
      <c r="DE287" s="51"/>
      <c r="DF287" s="51"/>
      <c r="DG287" s="51"/>
      <c r="DH287" s="51"/>
      <c r="DI287" s="51"/>
      <c r="DJ287" s="51"/>
      <c r="DK287" s="51"/>
      <c r="DL287" s="51"/>
      <c r="DM287" s="51"/>
      <c r="DN287" s="51"/>
      <c r="DO287" s="51"/>
      <c r="DP287" s="51"/>
      <c r="DQ287" s="51"/>
      <c r="DR287" s="51"/>
      <c r="DS287" s="51"/>
      <c r="DT287" s="51"/>
      <c r="DU287" s="51"/>
      <c r="DV287" s="51"/>
      <c r="DW287" s="51"/>
      <c r="DX287" s="51"/>
      <c r="DY287" s="51"/>
      <c r="DZ287" s="51"/>
      <c r="EA287" s="51"/>
      <c r="EB287" s="51"/>
      <c r="EC287" s="51"/>
      <c r="ED287" s="51"/>
      <c r="EE287" s="51"/>
      <c r="EF287" s="51"/>
      <c r="EG287" s="51"/>
      <c r="EH287" s="51"/>
      <c r="EI287" s="51"/>
      <c r="EJ287" s="51"/>
      <c r="EK287" s="51"/>
      <c r="EL287" s="51"/>
      <c r="EM287" s="51"/>
      <c r="EN287" s="51"/>
      <c r="EO287" s="51"/>
      <c r="EP287" s="51"/>
      <c r="EQ287" s="51"/>
      <c r="ER287" s="51"/>
      <c r="ES287" s="51"/>
      <c r="ET287" s="51"/>
      <c r="EU287" s="51"/>
      <c r="EV287" s="51"/>
      <c r="EW287" s="51"/>
      <c r="EX287" s="51"/>
      <c r="EY287" s="51"/>
      <c r="EZ287" s="51"/>
      <c r="FA287" s="51"/>
      <c r="FB287" s="51"/>
      <c r="FC287" s="51"/>
      <c r="FD287" s="51"/>
      <c r="FE287" s="51"/>
      <c r="FF287" s="51"/>
      <c r="FG287" s="51"/>
      <c r="FH287" s="51"/>
      <c r="FI287" s="51"/>
      <c r="FJ287" s="51"/>
      <c r="FK287" s="51"/>
      <c r="FL287" s="51"/>
      <c r="FM287" s="51"/>
      <c r="FN287" s="51"/>
      <c r="FO287" s="51"/>
      <c r="FP287" s="51"/>
      <c r="FQ287" s="51"/>
      <c r="FR287" s="51"/>
      <c r="FS287" s="51"/>
      <c r="FT287" s="51"/>
      <c r="FU287" s="51"/>
      <c r="FV287" s="51"/>
      <c r="FW287" s="51"/>
      <c r="FX287" s="51"/>
      <c r="FY287" s="51"/>
      <c r="FZ287" s="51"/>
      <c r="GA287" s="51"/>
      <c r="GB287" s="51"/>
      <c r="GC287" s="51"/>
      <c r="GD287" s="51"/>
      <c r="GE287" s="51"/>
      <c r="GF287" s="51"/>
      <c r="GG287" s="51"/>
      <c r="GH287" s="51"/>
      <c r="GI287" s="51"/>
      <c r="GJ287" s="51"/>
      <c r="GK287" s="51"/>
      <c r="GL287" s="51"/>
      <c r="GM287" s="51"/>
      <c r="GN287" s="51"/>
      <c r="GO287" s="51"/>
      <c r="GP287" s="51"/>
      <c r="GQ287" s="51"/>
      <c r="GR287" s="51"/>
      <c r="GS287" s="51"/>
      <c r="GT287" s="51"/>
      <c r="GU287" s="51"/>
      <c r="GV287" s="51"/>
      <c r="GW287" s="51"/>
      <c r="GX287" s="51"/>
      <c r="GY287" s="51"/>
      <c r="GZ287" s="51"/>
      <c r="HA287" s="51"/>
      <c r="HB287" s="51"/>
      <c r="HC287" s="51"/>
      <c r="HD287" s="51"/>
      <c r="HE287" s="51"/>
      <c r="HF287" s="51"/>
      <c r="HG287" s="51"/>
      <c r="HH287" s="51"/>
      <c r="HI287" s="51"/>
      <c r="HJ287" s="51"/>
      <c r="HK287" s="51"/>
      <c r="HL287" s="51"/>
      <c r="HM287" s="51"/>
      <c r="HN287" s="51"/>
      <c r="HO287" s="51"/>
      <c r="HP287" s="51"/>
      <c r="HQ287" s="51"/>
      <c r="HR287" s="51"/>
      <c r="HS287" s="51"/>
      <c r="HT287" s="51"/>
      <c r="HU287" s="51"/>
      <c r="HV287" s="51"/>
      <c r="HW287" s="51"/>
      <c r="HX287" s="51"/>
      <c r="HY287" s="51"/>
      <c r="HZ287" s="51"/>
      <c r="IA287" s="51"/>
      <c r="IB287" s="51"/>
      <c r="IC287" s="51"/>
      <c r="ID287" s="51"/>
      <c r="IE287" s="51"/>
      <c r="IF287" s="51"/>
      <c r="IG287" s="51"/>
      <c r="IH287" s="51"/>
      <c r="II287" s="51"/>
      <c r="IJ287" s="51"/>
      <c r="IK287" s="51"/>
      <c r="IL287" s="51"/>
      <c r="IM287" s="51"/>
      <c r="IN287" s="51"/>
      <c r="IO287" s="51"/>
      <c r="IP287" s="51"/>
      <c r="IQ287" s="51"/>
      <c r="IR287" s="51"/>
      <c r="IS287" s="51"/>
      <c r="IT287" s="51"/>
      <c r="IU287" s="51"/>
      <c r="IV287" s="51"/>
    </row>
    <row r="288" hidden="1">
      <c r="B288" s="829" t="s">
        <v>13</v>
      </c>
      <c r="C288" s="823">
        <v>0</v>
      </c>
      <c r="D288" s="823">
        <v>0</v>
      </c>
      <c r="E288" s="823">
        <v>98</v>
      </c>
      <c r="F288" s="823">
        <v>99</v>
      </c>
      <c r="G288" s="823">
        <v>108</v>
      </c>
      <c r="H288" s="823">
        <v>197</v>
      </c>
      <c r="I288" s="823">
        <v>198</v>
      </c>
      <c r="J288" s="823">
        <v>200</v>
      </c>
      <c r="K288" s="823">
        <v>396</v>
      </c>
      <c r="L288" s="823">
        <v>452</v>
      </c>
      <c r="M288" s="823">
        <v>496</v>
      </c>
      <c r="N288" s="823">
        <v>203</v>
      </c>
      <c r="O288" s="823">
        <v>0</v>
      </c>
      <c r="P288" s="823">
        <v>0</v>
      </c>
      <c r="Q288" s="823">
        <v>0</v>
      </c>
      <c r="R288" s="823">
        <v>0</v>
      </c>
      <c r="S288" s="823">
        <v>0</v>
      </c>
      <c r="T288" s="823">
        <v>0</v>
      </c>
      <c r="U288" s="823">
        <v>0</v>
      </c>
      <c r="V288" s="823">
        <v>0</v>
      </c>
      <c r="W288" s="823">
        <v>0</v>
      </c>
      <c r="X288" s="823">
        <v>0</v>
      </c>
      <c r="Y288" s="823">
        <v>0</v>
      </c>
      <c r="Z288" s="823">
        <v>0</v>
      </c>
      <c r="AA288" s="823">
        <v>0</v>
      </c>
      <c r="AB288" s="823">
        <v>0</v>
      </c>
      <c r="AC288" s="825">
        <v>0</v>
      </c>
      <c r="AD288" s="825">
        <v>0</v>
      </c>
      <c r="AE288" s="825">
        <v>0</v>
      </c>
      <c r="AF288" s="825">
        <v>0</v>
      </c>
      <c r="AG288" s="825">
        <v>0</v>
      </c>
      <c r="AH288" s="825">
        <v>0</v>
      </c>
      <c r="AI288" s="825">
        <v>0</v>
      </c>
      <c r="AJ288" s="825">
        <v>0</v>
      </c>
      <c r="AK288" s="825">
        <v>0</v>
      </c>
      <c r="AL288" s="825">
        <v>0</v>
      </c>
      <c r="AM288" s="825">
        <v>0</v>
      </c>
      <c r="AN288" s="825">
        <v>0</v>
      </c>
      <c r="AO288" s="825">
        <v>0</v>
      </c>
      <c r="AP288" s="825">
        <v>0</v>
      </c>
      <c r="AQ288" s="51"/>
      <c r="AR288" s="51"/>
      <c r="AS288" s="51"/>
      <c r="AT288" s="51"/>
      <c r="AU288" s="51"/>
      <c r="AV288" s="51"/>
      <c r="AW288" s="51"/>
      <c r="AX288" s="51"/>
      <c r="AY288" s="51"/>
      <c r="AZ288" s="51"/>
      <c r="BA288" s="51"/>
      <c r="BB288" s="51"/>
      <c r="BC288" s="51"/>
      <c r="BD288" s="51"/>
      <c r="BE288" s="51"/>
      <c r="BF288" s="51"/>
      <c r="BG288" s="51"/>
      <c r="BH288" s="51"/>
      <c r="BI288" s="51"/>
      <c r="BJ288" s="51"/>
      <c r="BK288" s="51"/>
      <c r="BL288" s="51"/>
      <c r="BM288" s="51"/>
      <c r="BN288" s="51"/>
      <c r="BO288" s="51"/>
      <c r="BP288" s="51"/>
      <c r="BQ288" s="51"/>
      <c r="BR288" s="51"/>
      <c r="BS288" s="51"/>
      <c r="BT288" s="51"/>
      <c r="BU288" s="51"/>
      <c r="BV288" s="51"/>
      <c r="BW288" s="51"/>
      <c r="BX288" s="51"/>
      <c r="BY288" s="51"/>
      <c r="BZ288" s="51"/>
      <c r="CA288" s="51"/>
      <c r="CB288" s="51"/>
      <c r="CC288" s="51"/>
      <c r="CD288" s="51"/>
      <c r="CE288" s="51"/>
      <c r="CF288" s="51"/>
      <c r="CG288" s="51"/>
      <c r="CH288" s="51"/>
      <c r="CI288" s="51"/>
      <c r="CJ288" s="51"/>
      <c r="CK288" s="51"/>
      <c r="CL288" s="51"/>
      <c r="CM288" s="51"/>
      <c r="CN288" s="51"/>
      <c r="CO288" s="51"/>
      <c r="CP288" s="51"/>
      <c r="CQ288" s="51"/>
      <c r="CR288" s="51"/>
      <c r="CS288" s="51"/>
      <c r="CT288" s="51"/>
      <c r="CU288" s="51"/>
      <c r="CV288" s="51"/>
      <c r="CW288" s="51"/>
      <c r="CX288" s="51"/>
      <c r="CY288" s="51"/>
      <c r="CZ288" s="51"/>
      <c r="DA288" s="51"/>
      <c r="DB288" s="51"/>
      <c r="DC288" s="51"/>
      <c r="DD288" s="51"/>
      <c r="DE288" s="51"/>
      <c r="DF288" s="51"/>
      <c r="DG288" s="51"/>
      <c r="DH288" s="51"/>
      <c r="DI288" s="51"/>
      <c r="DJ288" s="51"/>
      <c r="DK288" s="51"/>
      <c r="DL288" s="51"/>
      <c r="DM288" s="51"/>
      <c r="DN288" s="51"/>
      <c r="DO288" s="51"/>
      <c r="DP288" s="51"/>
      <c r="DQ288" s="51"/>
      <c r="DR288" s="51"/>
      <c r="DS288" s="51"/>
      <c r="DT288" s="51"/>
      <c r="DU288" s="51"/>
      <c r="DV288" s="51"/>
      <c r="DW288" s="51"/>
      <c r="DX288" s="51"/>
      <c r="DY288" s="51"/>
      <c r="DZ288" s="51"/>
      <c r="EA288" s="51"/>
      <c r="EB288" s="51"/>
      <c r="EC288" s="51"/>
      <c r="ED288" s="51"/>
      <c r="EE288" s="51"/>
      <c r="EF288" s="51"/>
      <c r="EG288" s="51"/>
      <c r="EH288" s="51"/>
      <c r="EI288" s="51"/>
      <c r="EJ288" s="51"/>
      <c r="EK288" s="51"/>
      <c r="EL288" s="51"/>
      <c r="EM288" s="51"/>
      <c r="EN288" s="51"/>
      <c r="EO288" s="51"/>
      <c r="EP288" s="51"/>
      <c r="EQ288" s="51"/>
      <c r="ER288" s="51"/>
      <c r="ES288" s="51"/>
      <c r="ET288" s="51"/>
      <c r="EU288" s="51"/>
      <c r="EV288" s="51"/>
      <c r="EW288" s="51"/>
      <c r="EX288" s="51"/>
      <c r="EY288" s="51"/>
      <c r="EZ288" s="51"/>
      <c r="FA288" s="51"/>
      <c r="FB288" s="51"/>
      <c r="FC288" s="51"/>
      <c r="FD288" s="51"/>
      <c r="FE288" s="51"/>
      <c r="FF288" s="51"/>
      <c r="FG288" s="51"/>
      <c r="FH288" s="51"/>
      <c r="FI288" s="51"/>
      <c r="FJ288" s="51"/>
      <c r="FK288" s="51"/>
      <c r="FL288" s="51"/>
      <c r="FM288" s="51"/>
      <c r="FN288" s="51"/>
      <c r="FO288" s="51"/>
      <c r="FP288" s="51"/>
      <c r="FQ288" s="51"/>
      <c r="FR288" s="51"/>
      <c r="FS288" s="51"/>
      <c r="FT288" s="51"/>
      <c r="FU288" s="51"/>
      <c r="FV288" s="51"/>
      <c r="FW288" s="51"/>
      <c r="FX288" s="51"/>
      <c r="FY288" s="51"/>
      <c r="FZ288" s="51"/>
      <c r="GA288" s="51"/>
      <c r="GB288" s="51"/>
      <c r="GC288" s="51"/>
      <c r="GD288" s="51"/>
      <c r="GE288" s="51"/>
      <c r="GF288" s="51"/>
      <c r="GG288" s="51"/>
      <c r="GH288" s="51"/>
      <c r="GI288" s="51"/>
      <c r="GJ288" s="51"/>
      <c r="GK288" s="51"/>
      <c r="GL288" s="51"/>
      <c r="GM288" s="51"/>
      <c r="GN288" s="51"/>
      <c r="GO288" s="51"/>
      <c r="GP288" s="51"/>
      <c r="GQ288" s="51"/>
      <c r="GR288" s="51"/>
      <c r="GS288" s="51"/>
      <c r="GT288" s="51"/>
      <c r="GU288" s="51"/>
      <c r="GV288" s="51"/>
      <c r="GW288" s="51"/>
      <c r="GX288" s="51"/>
      <c r="GY288" s="51"/>
      <c r="GZ288" s="51"/>
      <c r="HA288" s="51"/>
      <c r="HB288" s="51"/>
      <c r="HC288" s="51"/>
      <c r="HD288" s="51"/>
      <c r="HE288" s="51"/>
      <c r="HF288" s="51"/>
      <c r="HG288" s="51"/>
      <c r="HH288" s="51"/>
      <c r="HI288" s="51"/>
      <c r="HJ288" s="51"/>
      <c r="HK288" s="51"/>
      <c r="HL288" s="51"/>
      <c r="HM288" s="51"/>
      <c r="HN288" s="51"/>
      <c r="HO288" s="51"/>
      <c r="HP288" s="51"/>
      <c r="HQ288" s="51"/>
      <c r="HR288" s="51"/>
      <c r="HS288" s="51"/>
      <c r="HT288" s="51"/>
      <c r="HU288" s="51"/>
      <c r="HV288" s="51"/>
      <c r="HW288" s="51"/>
      <c r="HX288" s="51"/>
      <c r="HY288" s="51"/>
      <c r="HZ288" s="51"/>
      <c r="IA288" s="51"/>
      <c r="IB288" s="51"/>
      <c r="IC288" s="51"/>
      <c r="ID288" s="51"/>
      <c r="IE288" s="51"/>
      <c r="IF288" s="51"/>
      <c r="IG288" s="51"/>
      <c r="IH288" s="51"/>
      <c r="II288" s="51"/>
      <c r="IJ288" s="51"/>
      <c r="IK288" s="51"/>
      <c r="IL288" s="51"/>
      <c r="IM288" s="51"/>
      <c r="IN288" s="51"/>
      <c r="IO288" s="51"/>
      <c r="IP288" s="51"/>
      <c r="IQ288" s="51"/>
      <c r="IR288" s="51"/>
      <c r="IS288" s="51"/>
      <c r="IT288" s="51"/>
      <c r="IU288" s="51"/>
      <c r="IV288" s="51"/>
    </row>
    <row r="289" hidden="1">
      <c r="B289" s="826" t="s">
        <v>109</v>
      </c>
      <c r="C289" s="827">
        <v>0</v>
      </c>
      <c r="D289" s="827">
        <v>0</v>
      </c>
      <c r="E289" s="827">
        <v>0</v>
      </c>
      <c r="F289" s="827">
        <v>0</v>
      </c>
      <c r="G289" s="827">
        <v>0</v>
      </c>
      <c r="H289" s="827">
        <v>0</v>
      </c>
      <c r="I289" s="827">
        <v>0</v>
      </c>
      <c r="J289" s="827">
        <v>0</v>
      </c>
      <c r="K289" s="827">
        <v>0</v>
      </c>
      <c r="L289" s="827">
        <v>0</v>
      </c>
      <c r="M289" s="827">
        <v>0</v>
      </c>
      <c r="N289" s="827">
        <v>0</v>
      </c>
      <c r="O289" s="827">
        <v>0</v>
      </c>
      <c r="P289" s="827">
        <v>0</v>
      </c>
      <c r="Q289" s="827">
        <v>0</v>
      </c>
      <c r="R289" s="827">
        <v>0</v>
      </c>
      <c r="S289" s="827">
        <v>0</v>
      </c>
      <c r="T289" s="827">
        <v>0</v>
      </c>
      <c r="U289" s="827">
        <v>0</v>
      </c>
      <c r="V289" s="827">
        <v>0</v>
      </c>
      <c r="W289" s="827">
        <v>0</v>
      </c>
      <c r="X289" s="827">
        <v>0</v>
      </c>
      <c r="Y289" s="827">
        <v>0</v>
      </c>
      <c r="Z289" s="827">
        <v>0</v>
      </c>
      <c r="AA289" s="827">
        <v>0</v>
      </c>
      <c r="AB289" s="827">
        <v>0</v>
      </c>
      <c r="AC289" s="828">
        <v>0</v>
      </c>
      <c r="AD289" s="828">
        <v>0</v>
      </c>
      <c r="AE289" s="828">
        <v>0</v>
      </c>
      <c r="AF289" s="828">
        <v>0</v>
      </c>
      <c r="AG289" s="828">
        <v>0</v>
      </c>
      <c r="AH289" s="828">
        <v>0</v>
      </c>
      <c r="AI289" s="828">
        <v>0</v>
      </c>
      <c r="AJ289" s="828">
        <v>0</v>
      </c>
      <c r="AK289" s="828">
        <v>0</v>
      </c>
      <c r="AL289" s="828">
        <v>0</v>
      </c>
      <c r="AM289" s="828">
        <v>0</v>
      </c>
      <c r="AN289" s="828">
        <v>0</v>
      </c>
      <c r="AO289" s="828">
        <v>0</v>
      </c>
      <c r="AP289" s="828">
        <v>0</v>
      </c>
      <c r="AQ289" s="51"/>
      <c r="AR289" s="51"/>
      <c r="AS289" s="51"/>
      <c r="AT289" s="51"/>
      <c r="AU289" s="51"/>
      <c r="AV289" s="51"/>
      <c r="AW289" s="51"/>
      <c r="AX289" s="51"/>
      <c r="AY289" s="51"/>
      <c r="AZ289" s="51"/>
      <c r="BA289" s="51"/>
      <c r="BB289" s="51"/>
      <c r="BC289" s="51"/>
      <c r="BD289" s="51"/>
      <c r="BE289" s="51"/>
      <c r="BF289" s="51"/>
      <c r="BG289" s="51"/>
      <c r="BH289" s="51"/>
      <c r="BI289" s="51"/>
      <c r="BJ289" s="51"/>
      <c r="BK289" s="51"/>
      <c r="BL289" s="51"/>
      <c r="BM289" s="51"/>
      <c r="BN289" s="51"/>
      <c r="BO289" s="51"/>
      <c r="BP289" s="51"/>
      <c r="BQ289" s="51"/>
      <c r="BR289" s="51"/>
      <c r="BS289" s="51"/>
      <c r="BT289" s="51"/>
      <c r="BU289" s="51"/>
      <c r="BV289" s="51"/>
      <c r="BW289" s="51"/>
      <c r="BX289" s="51"/>
      <c r="BY289" s="51"/>
      <c r="BZ289" s="51"/>
      <c r="CA289" s="51"/>
      <c r="CB289" s="51"/>
      <c r="CC289" s="51"/>
      <c r="CD289" s="51"/>
      <c r="CE289" s="51"/>
      <c r="CF289" s="51"/>
      <c r="CG289" s="51"/>
      <c r="CH289" s="51"/>
      <c r="CI289" s="51"/>
      <c r="CJ289" s="51"/>
      <c r="CK289" s="51"/>
      <c r="CL289" s="51"/>
      <c r="CM289" s="51"/>
      <c r="CN289" s="51"/>
      <c r="CO289" s="51"/>
      <c r="CP289" s="51"/>
      <c r="CQ289" s="51"/>
      <c r="CR289" s="51"/>
      <c r="CS289" s="51"/>
      <c r="CT289" s="51"/>
      <c r="CU289" s="51"/>
      <c r="CV289" s="51"/>
      <c r="CW289" s="51"/>
      <c r="CX289" s="51"/>
      <c r="CY289" s="51"/>
      <c r="CZ289" s="51"/>
      <c r="DA289" s="51"/>
      <c r="DB289" s="51"/>
      <c r="DC289" s="51"/>
      <c r="DD289" s="51"/>
      <c r="DE289" s="51"/>
      <c r="DF289" s="51"/>
      <c r="DG289" s="51"/>
      <c r="DH289" s="51"/>
      <c r="DI289" s="51"/>
      <c r="DJ289" s="51"/>
      <c r="DK289" s="51"/>
      <c r="DL289" s="51"/>
      <c r="DM289" s="51"/>
      <c r="DN289" s="51"/>
      <c r="DO289" s="51"/>
      <c r="DP289" s="51"/>
      <c r="DQ289" s="51"/>
      <c r="DR289" s="51"/>
      <c r="DS289" s="51"/>
      <c r="DT289" s="51"/>
      <c r="DU289" s="51"/>
      <c r="DV289" s="51"/>
      <c r="DW289" s="51"/>
      <c r="DX289" s="51"/>
      <c r="DY289" s="51"/>
      <c r="DZ289" s="51"/>
      <c r="EA289" s="51"/>
      <c r="EB289" s="51"/>
      <c r="EC289" s="51"/>
      <c r="ED289" s="51"/>
      <c r="EE289" s="51"/>
      <c r="EF289" s="51"/>
      <c r="EG289" s="51"/>
      <c r="EH289" s="51"/>
      <c r="EI289" s="51"/>
      <c r="EJ289" s="51"/>
      <c r="EK289" s="51"/>
      <c r="EL289" s="51"/>
      <c r="EM289" s="51"/>
      <c r="EN289" s="51"/>
      <c r="EO289" s="51"/>
      <c r="EP289" s="51"/>
      <c r="EQ289" s="51"/>
      <c r="ER289" s="51"/>
      <c r="ES289" s="51"/>
      <c r="ET289" s="51"/>
      <c r="EU289" s="51"/>
      <c r="EV289" s="51"/>
      <c r="EW289" s="51"/>
      <c r="EX289" s="51"/>
      <c r="EY289" s="51"/>
      <c r="EZ289" s="51"/>
      <c r="FA289" s="51"/>
      <c r="FB289" s="51"/>
      <c r="FC289" s="51"/>
      <c r="FD289" s="51"/>
      <c r="FE289" s="51"/>
      <c r="FF289" s="51"/>
      <c r="FG289" s="51"/>
      <c r="FH289" s="51"/>
      <c r="FI289" s="51"/>
      <c r="FJ289" s="51"/>
      <c r="FK289" s="51"/>
      <c r="FL289" s="51"/>
      <c r="FM289" s="51"/>
      <c r="FN289" s="51"/>
      <c r="FO289" s="51"/>
      <c r="FP289" s="51"/>
      <c r="FQ289" s="51"/>
      <c r="FR289" s="51"/>
      <c r="FS289" s="51"/>
      <c r="FT289" s="51"/>
      <c r="FU289" s="51"/>
      <c r="FV289" s="51"/>
      <c r="FW289" s="51"/>
      <c r="FX289" s="51"/>
      <c r="FY289" s="51"/>
      <c r="FZ289" s="51"/>
      <c r="GA289" s="51"/>
      <c r="GB289" s="51"/>
      <c r="GC289" s="51"/>
      <c r="GD289" s="51"/>
      <c r="GE289" s="51"/>
      <c r="GF289" s="51"/>
      <c r="GG289" s="51"/>
      <c r="GH289" s="51"/>
      <c r="GI289" s="51"/>
      <c r="GJ289" s="51"/>
      <c r="GK289" s="51"/>
      <c r="GL289" s="51"/>
      <c r="GM289" s="51"/>
      <c r="GN289" s="51"/>
      <c r="GO289" s="51"/>
      <c r="GP289" s="51"/>
      <c r="GQ289" s="51"/>
      <c r="GR289" s="51"/>
      <c r="GS289" s="51"/>
      <c r="GT289" s="51"/>
      <c r="GU289" s="51"/>
      <c r="GV289" s="51"/>
      <c r="GW289" s="51"/>
      <c r="GX289" s="51"/>
      <c r="GY289" s="51"/>
      <c r="GZ289" s="51"/>
      <c r="HA289" s="51"/>
      <c r="HB289" s="51"/>
      <c r="HC289" s="51"/>
      <c r="HD289" s="51"/>
      <c r="HE289" s="51"/>
      <c r="HF289" s="51"/>
      <c r="HG289" s="51"/>
      <c r="HH289" s="51"/>
      <c r="HI289" s="51"/>
      <c r="HJ289" s="51"/>
      <c r="HK289" s="51"/>
      <c r="HL289" s="51"/>
      <c r="HM289" s="51"/>
      <c r="HN289" s="51"/>
      <c r="HO289" s="51"/>
      <c r="HP289" s="51"/>
      <c r="HQ289" s="51"/>
      <c r="HR289" s="51"/>
      <c r="HS289" s="51"/>
      <c r="HT289" s="51"/>
      <c r="HU289" s="51"/>
      <c r="HV289" s="51"/>
      <c r="HW289" s="51"/>
      <c r="HX289" s="51"/>
      <c r="HY289" s="51"/>
      <c r="HZ289" s="51"/>
      <c r="IA289" s="51"/>
      <c r="IB289" s="51"/>
      <c r="IC289" s="51"/>
      <c r="ID289" s="51"/>
      <c r="IE289" s="51"/>
      <c r="IF289" s="51"/>
      <c r="IG289" s="51"/>
      <c r="IH289" s="51"/>
      <c r="II289" s="51"/>
      <c r="IJ289" s="51"/>
      <c r="IK289" s="51"/>
      <c r="IL289" s="51"/>
      <c r="IM289" s="51"/>
      <c r="IN289" s="51"/>
      <c r="IO289" s="51"/>
      <c r="IP289" s="51"/>
      <c r="IQ289" s="51"/>
      <c r="IR289" s="51"/>
      <c r="IS289" s="51"/>
      <c r="IT289" s="51"/>
      <c r="IU289" s="51"/>
      <c r="IV289" s="51"/>
    </row>
    <row r="290" hidden="1">
      <c r="B290" s="829" t="s">
        <v>110</v>
      </c>
      <c r="C290" s="823">
        <v>0</v>
      </c>
      <c r="D290" s="823">
        <v>0</v>
      </c>
      <c r="E290" s="823">
        <v>0</v>
      </c>
      <c r="F290" s="823">
        <v>0</v>
      </c>
      <c r="G290" s="823">
        <v>0</v>
      </c>
      <c r="H290" s="823">
        <v>0</v>
      </c>
      <c r="I290" s="823">
        <v>0</v>
      </c>
      <c r="J290" s="823">
        <v>0</v>
      </c>
      <c r="K290" s="823">
        <v>0</v>
      </c>
      <c r="L290" s="823">
        <v>0</v>
      </c>
      <c r="M290" s="823">
        <v>0</v>
      </c>
      <c r="N290" s="823">
        <v>0</v>
      </c>
      <c r="O290" s="823">
        <v>0</v>
      </c>
      <c r="P290" s="823">
        <v>0</v>
      </c>
      <c r="Q290" s="823">
        <v>0</v>
      </c>
      <c r="R290" s="823">
        <v>0</v>
      </c>
      <c r="S290" s="823">
        <v>0</v>
      </c>
      <c r="T290" s="823">
        <v>0</v>
      </c>
      <c r="U290" s="823">
        <v>0</v>
      </c>
      <c r="V290" s="823">
        <v>0</v>
      </c>
      <c r="W290" s="823">
        <v>0</v>
      </c>
      <c r="X290" s="823">
        <v>0</v>
      </c>
      <c r="Y290" s="823">
        <v>0</v>
      </c>
      <c r="Z290" s="823">
        <v>0</v>
      </c>
      <c r="AA290" s="823">
        <v>0</v>
      </c>
      <c r="AB290" s="823">
        <v>0</v>
      </c>
      <c r="AC290" s="825">
        <v>0</v>
      </c>
      <c r="AD290" s="825">
        <v>0</v>
      </c>
      <c r="AE290" s="825">
        <v>0</v>
      </c>
      <c r="AF290" s="825">
        <v>0</v>
      </c>
      <c r="AG290" s="825">
        <v>0</v>
      </c>
      <c r="AH290" s="825">
        <v>0</v>
      </c>
      <c r="AI290" s="825">
        <v>0</v>
      </c>
      <c r="AJ290" s="825">
        <v>0</v>
      </c>
      <c r="AK290" s="825">
        <v>0</v>
      </c>
      <c r="AL290" s="825">
        <v>0</v>
      </c>
      <c r="AM290" s="825">
        <v>0</v>
      </c>
      <c r="AN290" s="825">
        <v>0</v>
      </c>
      <c r="AO290" s="825">
        <v>0</v>
      </c>
      <c r="AP290" s="825">
        <v>0</v>
      </c>
      <c r="AQ290" s="51"/>
      <c r="AR290" s="51"/>
      <c r="AS290" s="51"/>
      <c r="AT290" s="51"/>
      <c r="AU290" s="51"/>
      <c r="AV290" s="51"/>
      <c r="AW290" s="51"/>
      <c r="AX290" s="51"/>
      <c r="AY290" s="51"/>
      <c r="AZ290" s="51"/>
      <c r="BA290" s="51"/>
      <c r="BB290" s="51"/>
      <c r="BC290" s="51"/>
      <c r="BD290" s="51"/>
      <c r="BE290" s="51"/>
      <c r="BF290" s="51"/>
      <c r="BG290" s="51"/>
      <c r="BH290" s="51"/>
      <c r="BI290" s="51"/>
      <c r="BJ290" s="51"/>
      <c r="BK290" s="51"/>
      <c r="BL290" s="51"/>
      <c r="BM290" s="51"/>
      <c r="BN290" s="51"/>
      <c r="BO290" s="51"/>
      <c r="BP290" s="51"/>
      <c r="BQ290" s="51"/>
      <c r="BR290" s="51"/>
      <c r="BS290" s="51"/>
      <c r="BT290" s="51"/>
      <c r="BU290" s="51"/>
      <c r="BV290" s="51"/>
      <c r="BW290" s="51"/>
      <c r="BX290" s="51"/>
      <c r="BY290" s="51"/>
      <c r="BZ290" s="51"/>
      <c r="CA290" s="51"/>
      <c r="CB290" s="51"/>
      <c r="CC290" s="51"/>
      <c r="CD290" s="51"/>
      <c r="CE290" s="51"/>
      <c r="CF290" s="51"/>
      <c r="CG290" s="51"/>
      <c r="CH290" s="51"/>
      <c r="CI290" s="51"/>
      <c r="CJ290" s="51"/>
      <c r="CK290" s="51"/>
      <c r="CL290" s="51"/>
      <c r="CM290" s="51"/>
      <c r="CN290" s="51"/>
      <c r="CO290" s="51"/>
      <c r="CP290" s="51"/>
      <c r="CQ290" s="51"/>
      <c r="CR290" s="51"/>
      <c r="CS290" s="51"/>
      <c r="CT290" s="51"/>
      <c r="CU290" s="51"/>
      <c r="CV290" s="51"/>
      <c r="CW290" s="51"/>
      <c r="CX290" s="51"/>
      <c r="CY290" s="51"/>
      <c r="CZ290" s="51"/>
      <c r="DA290" s="51"/>
      <c r="DB290" s="51"/>
      <c r="DC290" s="51"/>
      <c r="DD290" s="51"/>
      <c r="DE290" s="51"/>
      <c r="DF290" s="51"/>
      <c r="DG290" s="51"/>
      <c r="DH290" s="51"/>
      <c r="DI290" s="51"/>
      <c r="DJ290" s="51"/>
      <c r="DK290" s="51"/>
      <c r="DL290" s="51"/>
      <c r="DM290" s="51"/>
      <c r="DN290" s="51"/>
      <c r="DO290" s="51"/>
      <c r="DP290" s="51"/>
      <c r="DQ290" s="51"/>
      <c r="DR290" s="51"/>
      <c r="DS290" s="51"/>
      <c r="DT290" s="51"/>
      <c r="DU290" s="51"/>
      <c r="DV290" s="51"/>
      <c r="DW290" s="51"/>
      <c r="DX290" s="51"/>
      <c r="DY290" s="51"/>
      <c r="DZ290" s="51"/>
      <c r="EA290" s="51"/>
      <c r="EB290" s="51"/>
      <c r="EC290" s="51"/>
      <c r="ED290" s="51"/>
      <c r="EE290" s="51"/>
      <c r="EF290" s="51"/>
      <c r="EG290" s="51"/>
      <c r="EH290" s="51"/>
      <c r="EI290" s="51"/>
      <c r="EJ290" s="51"/>
      <c r="EK290" s="51"/>
      <c r="EL290" s="51"/>
      <c r="EM290" s="51"/>
      <c r="EN290" s="51"/>
      <c r="EO290" s="51"/>
      <c r="EP290" s="51"/>
      <c r="EQ290" s="51"/>
      <c r="ER290" s="51"/>
      <c r="ES290" s="51"/>
      <c r="ET290" s="51"/>
      <c r="EU290" s="51"/>
      <c r="EV290" s="51"/>
      <c r="EW290" s="51"/>
      <c r="EX290" s="51"/>
      <c r="EY290" s="51"/>
      <c r="EZ290" s="51"/>
      <c r="FA290" s="51"/>
      <c r="FB290" s="51"/>
      <c r="FC290" s="51"/>
      <c r="FD290" s="51"/>
      <c r="FE290" s="51"/>
      <c r="FF290" s="51"/>
      <c r="FG290" s="51"/>
      <c r="FH290" s="51"/>
      <c r="FI290" s="51"/>
      <c r="FJ290" s="51"/>
      <c r="FK290" s="51"/>
      <c r="FL290" s="51"/>
      <c r="FM290" s="51"/>
      <c r="FN290" s="51"/>
      <c r="FO290" s="51"/>
      <c r="FP290" s="51"/>
      <c r="FQ290" s="51"/>
      <c r="FR290" s="51"/>
      <c r="FS290" s="51"/>
      <c r="FT290" s="51"/>
      <c r="FU290" s="51"/>
      <c r="FV290" s="51"/>
      <c r="FW290" s="51"/>
      <c r="FX290" s="51"/>
      <c r="FY290" s="51"/>
      <c r="FZ290" s="51"/>
      <c r="GA290" s="51"/>
      <c r="GB290" s="51"/>
      <c r="GC290" s="51"/>
      <c r="GD290" s="51"/>
      <c r="GE290" s="51"/>
      <c r="GF290" s="51"/>
      <c r="GG290" s="51"/>
      <c r="GH290" s="51"/>
      <c r="GI290" s="51"/>
      <c r="GJ290" s="51"/>
      <c r="GK290" s="51"/>
      <c r="GL290" s="51"/>
      <c r="GM290" s="51"/>
      <c r="GN290" s="51"/>
      <c r="GO290" s="51"/>
      <c r="GP290" s="51"/>
      <c r="GQ290" s="51"/>
      <c r="GR290" s="51"/>
      <c r="GS290" s="51"/>
      <c r="GT290" s="51"/>
      <c r="GU290" s="51"/>
      <c r="GV290" s="51"/>
      <c r="GW290" s="51"/>
      <c r="GX290" s="51"/>
      <c r="GY290" s="51"/>
      <c r="GZ290" s="51"/>
      <c r="HA290" s="51"/>
      <c r="HB290" s="51"/>
      <c r="HC290" s="51"/>
      <c r="HD290" s="51"/>
      <c r="HE290" s="51"/>
      <c r="HF290" s="51"/>
      <c r="HG290" s="51"/>
      <c r="HH290" s="51"/>
      <c r="HI290" s="51"/>
      <c r="HJ290" s="51"/>
      <c r="HK290" s="51"/>
      <c r="HL290" s="51"/>
      <c r="HM290" s="51"/>
      <c r="HN290" s="51"/>
      <c r="HO290" s="51"/>
      <c r="HP290" s="51"/>
      <c r="HQ290" s="51"/>
      <c r="HR290" s="51"/>
      <c r="HS290" s="51"/>
      <c r="HT290" s="51"/>
      <c r="HU290" s="51"/>
      <c r="HV290" s="51"/>
      <c r="HW290" s="51"/>
      <c r="HX290" s="51"/>
      <c r="HY290" s="51"/>
      <c r="HZ290" s="51"/>
      <c r="IA290" s="51"/>
      <c r="IB290" s="51"/>
      <c r="IC290" s="51"/>
      <c r="ID290" s="51"/>
      <c r="IE290" s="51"/>
      <c r="IF290" s="51"/>
      <c r="IG290" s="51"/>
      <c r="IH290" s="51"/>
      <c r="II290" s="51"/>
      <c r="IJ290" s="51"/>
      <c r="IK290" s="51"/>
      <c r="IL290" s="51"/>
      <c r="IM290" s="51"/>
      <c r="IN290" s="51"/>
      <c r="IO290" s="51"/>
      <c r="IP290" s="51"/>
      <c r="IQ290" s="51"/>
      <c r="IR290" s="51"/>
      <c r="IS290" s="51"/>
      <c r="IT290" s="51"/>
      <c r="IU290" s="51"/>
      <c r="IV290" s="51"/>
    </row>
    <row r="291" hidden="1">
      <c r="B291" s="826" t="s">
        <v>16</v>
      </c>
      <c r="C291" s="827">
        <v>73</v>
      </c>
      <c r="D291" s="827">
        <v>1</v>
      </c>
      <c r="E291" s="827">
        <v>1</v>
      </c>
      <c r="F291" s="827">
        <v>1</v>
      </c>
      <c r="G291" s="827">
        <v>493</v>
      </c>
      <c r="H291" s="827">
        <v>537</v>
      </c>
      <c r="I291" s="827">
        <v>641</v>
      </c>
      <c r="J291" s="827">
        <v>790</v>
      </c>
      <c r="K291" s="827">
        <v>1216</v>
      </c>
      <c r="L291" s="827">
        <v>1423</v>
      </c>
      <c r="M291" s="827">
        <v>1631</v>
      </c>
      <c r="N291" s="827">
        <v>1748</v>
      </c>
      <c r="O291" s="827">
        <v>1986</v>
      </c>
      <c r="P291" s="827">
        <v>2050</v>
      </c>
      <c r="Q291" s="827">
        <v>1209</v>
      </c>
      <c r="R291" s="827">
        <v>1186</v>
      </c>
      <c r="S291" s="827">
        <v>1150</v>
      </c>
      <c r="T291" s="827">
        <v>1141</v>
      </c>
      <c r="U291" s="827">
        <v>1115</v>
      </c>
      <c r="V291" s="827">
        <v>1094</v>
      </c>
      <c r="W291" s="827">
        <v>1071</v>
      </c>
      <c r="X291" s="827">
        <v>1048</v>
      </c>
      <c r="Y291" s="827">
        <v>240</v>
      </c>
      <c r="Z291" s="827">
        <v>234</v>
      </c>
      <c r="AA291" s="827">
        <v>217</v>
      </c>
      <c r="AB291" s="827">
        <v>210</v>
      </c>
      <c r="AC291" s="828">
        <v>192</v>
      </c>
      <c r="AD291" s="828">
        <v>168</v>
      </c>
      <c r="AE291" s="828">
        <v>148</v>
      </c>
      <c r="AF291" s="828">
        <v>148</v>
      </c>
      <c r="AG291" s="828">
        <v>145</v>
      </c>
      <c r="AH291" s="828">
        <v>141</v>
      </c>
      <c r="AI291" s="828">
        <v>141</v>
      </c>
      <c r="AJ291" s="828">
        <v>141</v>
      </c>
      <c r="AK291" s="828">
        <v>126</v>
      </c>
      <c r="AL291" s="828">
        <v>125</v>
      </c>
      <c r="AM291" s="828">
        <v>123</v>
      </c>
      <c r="AN291" s="828">
        <v>123</v>
      </c>
      <c r="AO291" s="828">
        <v>120</v>
      </c>
      <c r="AP291" s="828">
        <v>120</v>
      </c>
      <c r="AQ291" s="51"/>
      <c r="AR291" s="51"/>
      <c r="AS291" s="51"/>
      <c r="AT291" s="51"/>
      <c r="AU291" s="51"/>
      <c r="AV291" s="51"/>
      <c r="AW291" s="51"/>
      <c r="AX291" s="51"/>
      <c r="AY291" s="51"/>
      <c r="AZ291" s="51"/>
      <c r="BA291" s="51"/>
      <c r="BB291" s="51"/>
      <c r="BC291" s="51"/>
      <c r="BD291" s="51"/>
      <c r="BE291" s="51"/>
      <c r="BF291" s="51"/>
      <c r="BG291" s="51"/>
      <c r="BH291" s="51"/>
      <c r="BI291" s="51"/>
      <c r="BJ291" s="51"/>
      <c r="BK291" s="51"/>
      <c r="BL291" s="51"/>
      <c r="BM291" s="51"/>
      <c r="BN291" s="51"/>
      <c r="BO291" s="51"/>
      <c r="BP291" s="51"/>
      <c r="BQ291" s="51"/>
      <c r="BR291" s="51"/>
      <c r="BS291" s="51"/>
      <c r="BT291" s="51"/>
      <c r="BU291" s="51"/>
      <c r="BV291" s="51"/>
      <c r="BW291" s="51"/>
      <c r="BX291" s="51"/>
      <c r="BY291" s="51"/>
      <c r="BZ291" s="51"/>
      <c r="CA291" s="51"/>
      <c r="CB291" s="51"/>
      <c r="CC291" s="51"/>
      <c r="CD291" s="51"/>
      <c r="CE291" s="51"/>
      <c r="CF291" s="51"/>
      <c r="CG291" s="51"/>
      <c r="CH291" s="51"/>
      <c r="CI291" s="51"/>
      <c r="CJ291" s="51"/>
      <c r="CK291" s="51"/>
      <c r="CL291" s="51"/>
      <c r="CM291" s="51"/>
      <c r="CN291" s="51"/>
      <c r="CO291" s="51"/>
      <c r="CP291" s="51"/>
      <c r="CQ291" s="51"/>
      <c r="CR291" s="51"/>
      <c r="CS291" s="51"/>
      <c r="CT291" s="51"/>
      <c r="CU291" s="51"/>
      <c r="CV291" s="51"/>
      <c r="CW291" s="51"/>
      <c r="CX291" s="51"/>
      <c r="CY291" s="51"/>
      <c r="CZ291" s="51"/>
      <c r="DA291" s="51"/>
      <c r="DB291" s="51"/>
      <c r="DC291" s="51"/>
      <c r="DD291" s="51"/>
      <c r="DE291" s="51"/>
      <c r="DF291" s="51"/>
      <c r="DG291" s="51"/>
      <c r="DH291" s="51"/>
      <c r="DI291" s="51"/>
      <c r="DJ291" s="51"/>
      <c r="DK291" s="51"/>
      <c r="DL291" s="51"/>
      <c r="DM291" s="51"/>
      <c r="DN291" s="51"/>
      <c r="DO291" s="51"/>
      <c r="DP291" s="51"/>
      <c r="DQ291" s="51"/>
      <c r="DR291" s="51"/>
      <c r="DS291" s="51"/>
      <c r="DT291" s="51"/>
      <c r="DU291" s="51"/>
      <c r="DV291" s="51"/>
      <c r="DW291" s="51"/>
      <c r="DX291" s="51"/>
      <c r="DY291" s="51"/>
      <c r="DZ291" s="51"/>
      <c r="EA291" s="51"/>
      <c r="EB291" s="51"/>
      <c r="EC291" s="51"/>
      <c r="ED291" s="51"/>
      <c r="EE291" s="51"/>
      <c r="EF291" s="51"/>
      <c r="EG291" s="51"/>
      <c r="EH291" s="51"/>
      <c r="EI291" s="51"/>
      <c r="EJ291" s="51"/>
      <c r="EK291" s="51"/>
      <c r="EL291" s="51"/>
      <c r="EM291" s="51"/>
      <c r="EN291" s="51"/>
      <c r="EO291" s="51"/>
      <c r="EP291" s="51"/>
      <c r="EQ291" s="51"/>
      <c r="ER291" s="51"/>
      <c r="ES291" s="51"/>
      <c r="ET291" s="51"/>
      <c r="EU291" s="51"/>
      <c r="EV291" s="51"/>
      <c r="EW291" s="51"/>
      <c r="EX291" s="51"/>
      <c r="EY291" s="51"/>
      <c r="EZ291" s="51"/>
      <c r="FA291" s="51"/>
      <c r="FB291" s="51"/>
      <c r="FC291" s="51"/>
      <c r="FD291" s="51"/>
      <c r="FE291" s="51"/>
      <c r="FF291" s="51"/>
      <c r="FG291" s="51"/>
      <c r="FH291" s="51"/>
      <c r="FI291" s="51"/>
      <c r="FJ291" s="51"/>
      <c r="FK291" s="51"/>
      <c r="FL291" s="51"/>
      <c r="FM291" s="51"/>
      <c r="FN291" s="51"/>
      <c r="FO291" s="51"/>
      <c r="FP291" s="51"/>
      <c r="FQ291" s="51"/>
      <c r="FR291" s="51"/>
      <c r="FS291" s="51"/>
      <c r="FT291" s="51"/>
      <c r="FU291" s="51"/>
      <c r="FV291" s="51"/>
      <c r="FW291" s="51"/>
      <c r="FX291" s="51"/>
      <c r="FY291" s="51"/>
      <c r="FZ291" s="51"/>
      <c r="GA291" s="51"/>
      <c r="GB291" s="51"/>
      <c r="GC291" s="51"/>
      <c r="GD291" s="51"/>
      <c r="GE291" s="51"/>
      <c r="GF291" s="51"/>
      <c r="GG291" s="51"/>
      <c r="GH291" s="51"/>
      <c r="GI291" s="51"/>
      <c r="GJ291" s="51"/>
      <c r="GK291" s="51"/>
      <c r="GL291" s="51"/>
      <c r="GM291" s="51"/>
      <c r="GN291" s="51"/>
      <c r="GO291" s="51"/>
      <c r="GP291" s="51"/>
      <c r="GQ291" s="51"/>
      <c r="GR291" s="51"/>
      <c r="GS291" s="51"/>
      <c r="GT291" s="51"/>
      <c r="GU291" s="51"/>
      <c r="GV291" s="51"/>
      <c r="GW291" s="51"/>
      <c r="GX291" s="51"/>
      <c r="GY291" s="51"/>
      <c r="GZ291" s="51"/>
      <c r="HA291" s="51"/>
      <c r="HB291" s="51"/>
      <c r="HC291" s="51"/>
      <c r="HD291" s="51"/>
      <c r="HE291" s="51"/>
      <c r="HF291" s="51"/>
      <c r="HG291" s="51"/>
      <c r="HH291" s="51"/>
      <c r="HI291" s="51"/>
      <c r="HJ291" s="51"/>
      <c r="HK291" s="51"/>
      <c r="HL291" s="51"/>
      <c r="HM291" s="51"/>
      <c r="HN291" s="51"/>
      <c r="HO291" s="51"/>
      <c r="HP291" s="51"/>
      <c r="HQ291" s="51"/>
      <c r="HR291" s="51"/>
      <c r="HS291" s="51"/>
      <c r="HT291" s="51"/>
      <c r="HU291" s="51"/>
      <c r="HV291" s="51"/>
      <c r="HW291" s="51"/>
      <c r="HX291" s="51"/>
      <c r="HY291" s="51"/>
      <c r="HZ291" s="51"/>
      <c r="IA291" s="51"/>
      <c r="IB291" s="51"/>
      <c r="IC291" s="51"/>
      <c r="ID291" s="51"/>
      <c r="IE291" s="51"/>
      <c r="IF291" s="51"/>
      <c r="IG291" s="51"/>
      <c r="IH291" s="51"/>
      <c r="II291" s="51"/>
      <c r="IJ291" s="51"/>
      <c r="IK291" s="51"/>
      <c r="IL291" s="51"/>
      <c r="IM291" s="51"/>
      <c r="IN291" s="51"/>
      <c r="IO291" s="51"/>
      <c r="IP291" s="51"/>
      <c r="IQ291" s="51"/>
      <c r="IR291" s="51"/>
      <c r="IS291" s="51"/>
      <c r="IT291" s="51"/>
      <c r="IU291" s="51"/>
      <c r="IV291" s="51"/>
    </row>
    <row r="292" hidden="1">
      <c r="B292" s="829" t="s">
        <v>17</v>
      </c>
      <c r="C292" s="823">
        <v>1037</v>
      </c>
      <c r="D292" s="823">
        <v>1571</v>
      </c>
      <c r="E292" s="823">
        <v>2240</v>
      </c>
      <c r="F292" s="823">
        <v>2765</v>
      </c>
      <c r="G292" s="823">
        <v>3398</v>
      </c>
      <c r="H292" s="823">
        <v>3836</v>
      </c>
      <c r="I292" s="823">
        <v>4416</v>
      </c>
      <c r="J292" s="823">
        <v>4862</v>
      </c>
      <c r="K292" s="823">
        <v>5573</v>
      </c>
      <c r="L292" s="823">
        <v>6327</v>
      </c>
      <c r="M292" s="823">
        <v>6978</v>
      </c>
      <c r="N292" s="823">
        <v>45</v>
      </c>
      <c r="O292" s="823">
        <v>45</v>
      </c>
      <c r="P292" s="823">
        <v>2</v>
      </c>
      <c r="Q292" s="823">
        <v>2</v>
      </c>
      <c r="R292" s="823">
        <v>2</v>
      </c>
      <c r="S292" s="823">
        <v>2</v>
      </c>
      <c r="T292" s="823">
        <v>2</v>
      </c>
      <c r="U292" s="823">
        <v>2</v>
      </c>
      <c r="V292" s="823">
        <v>2</v>
      </c>
      <c r="W292" s="823">
        <v>0</v>
      </c>
      <c r="X292" s="823">
        <v>0</v>
      </c>
      <c r="Y292" s="823">
        <v>0</v>
      </c>
      <c r="Z292" s="823">
        <v>0</v>
      </c>
      <c r="AA292" s="823">
        <v>0</v>
      </c>
      <c r="AB292" s="823">
        <v>0</v>
      </c>
      <c r="AC292" s="825">
        <v>0</v>
      </c>
      <c r="AD292" s="825">
        <v>0</v>
      </c>
      <c r="AE292" s="825">
        <v>0</v>
      </c>
      <c r="AF292" s="825">
        <v>0</v>
      </c>
      <c r="AG292" s="825">
        <v>0</v>
      </c>
      <c r="AH292" s="825">
        <v>0</v>
      </c>
      <c r="AI292" s="825">
        <v>0</v>
      </c>
      <c r="AJ292" s="825">
        <v>0</v>
      </c>
      <c r="AK292" s="825">
        <v>0</v>
      </c>
      <c r="AL292" s="825">
        <v>0</v>
      </c>
      <c r="AM292" s="825">
        <v>0</v>
      </c>
      <c r="AN292" s="825">
        <v>0</v>
      </c>
      <c r="AO292" s="825">
        <v>0</v>
      </c>
      <c r="AP292" s="825">
        <v>0</v>
      </c>
      <c r="AQ292" s="51"/>
      <c r="AR292" s="51"/>
      <c r="AS292" s="51"/>
      <c r="AT292" s="51"/>
      <c r="AU292" s="51"/>
      <c r="AV292" s="51"/>
      <c r="AW292" s="51"/>
      <c r="AX292" s="51"/>
      <c r="AY292" s="51"/>
      <c r="AZ292" s="51"/>
      <c r="BA292" s="51"/>
      <c r="BB292" s="51"/>
      <c r="BC292" s="51"/>
      <c r="BD292" s="51"/>
      <c r="BE292" s="51"/>
      <c r="BF292" s="51"/>
      <c r="BG292" s="51"/>
      <c r="BH292" s="51"/>
      <c r="BI292" s="51"/>
      <c r="BJ292" s="51"/>
      <c r="BK292" s="51"/>
      <c r="BL292" s="51"/>
      <c r="BM292" s="51"/>
      <c r="BN292" s="51"/>
      <c r="BO292" s="51"/>
      <c r="BP292" s="51"/>
      <c r="BQ292" s="51"/>
      <c r="BR292" s="51"/>
      <c r="BS292" s="51"/>
      <c r="BT292" s="51"/>
      <c r="BU292" s="51"/>
      <c r="BV292" s="51"/>
      <c r="BW292" s="51"/>
      <c r="BX292" s="51"/>
      <c r="BY292" s="51"/>
      <c r="BZ292" s="51"/>
      <c r="CA292" s="51"/>
      <c r="CB292" s="51"/>
      <c r="CC292" s="51"/>
      <c r="CD292" s="51"/>
      <c r="CE292" s="51"/>
      <c r="CF292" s="51"/>
      <c r="CG292" s="51"/>
      <c r="CH292" s="51"/>
      <c r="CI292" s="51"/>
      <c r="CJ292" s="51"/>
      <c r="CK292" s="51"/>
      <c r="CL292" s="51"/>
      <c r="CM292" s="51"/>
      <c r="CN292" s="51"/>
      <c r="CO292" s="51"/>
      <c r="CP292" s="51"/>
      <c r="CQ292" s="51"/>
      <c r="CR292" s="51"/>
      <c r="CS292" s="51"/>
      <c r="CT292" s="51"/>
      <c r="CU292" s="51"/>
      <c r="CV292" s="51"/>
      <c r="CW292" s="51"/>
      <c r="CX292" s="51"/>
      <c r="CY292" s="51"/>
      <c r="CZ292" s="51"/>
      <c r="DA292" s="51"/>
      <c r="DB292" s="51"/>
      <c r="DC292" s="51"/>
      <c r="DD292" s="51"/>
      <c r="DE292" s="51"/>
      <c r="DF292" s="51"/>
      <c r="DG292" s="51"/>
      <c r="DH292" s="51"/>
      <c r="DI292" s="51"/>
      <c r="DJ292" s="51"/>
      <c r="DK292" s="51"/>
      <c r="DL292" s="51"/>
      <c r="DM292" s="51"/>
      <c r="DN292" s="51"/>
      <c r="DO292" s="51"/>
      <c r="DP292" s="51"/>
      <c r="DQ292" s="51"/>
      <c r="DR292" s="51"/>
      <c r="DS292" s="51"/>
      <c r="DT292" s="51"/>
      <c r="DU292" s="51"/>
      <c r="DV292" s="51"/>
      <c r="DW292" s="51"/>
      <c r="DX292" s="51"/>
      <c r="DY292" s="51"/>
      <c r="DZ292" s="51"/>
      <c r="EA292" s="51"/>
      <c r="EB292" s="51"/>
      <c r="EC292" s="51"/>
      <c r="ED292" s="51"/>
      <c r="EE292" s="51"/>
      <c r="EF292" s="51"/>
      <c r="EG292" s="51"/>
      <c r="EH292" s="51"/>
      <c r="EI292" s="51"/>
      <c r="EJ292" s="51"/>
      <c r="EK292" s="51"/>
      <c r="EL292" s="51"/>
      <c r="EM292" s="51"/>
      <c r="EN292" s="51"/>
      <c r="EO292" s="51"/>
      <c r="EP292" s="51"/>
      <c r="EQ292" s="51"/>
      <c r="ER292" s="51"/>
      <c r="ES292" s="51"/>
      <c r="ET292" s="51"/>
      <c r="EU292" s="51"/>
      <c r="EV292" s="51"/>
      <c r="EW292" s="51"/>
      <c r="EX292" s="51"/>
      <c r="EY292" s="51"/>
      <c r="EZ292" s="51"/>
      <c r="FA292" s="51"/>
      <c r="FB292" s="51"/>
      <c r="FC292" s="51"/>
      <c r="FD292" s="51"/>
      <c r="FE292" s="51"/>
      <c r="FF292" s="51"/>
      <c r="FG292" s="51"/>
      <c r="FH292" s="51"/>
      <c r="FI292" s="51"/>
      <c r="FJ292" s="51"/>
      <c r="FK292" s="51"/>
      <c r="FL292" s="51"/>
      <c r="FM292" s="51"/>
      <c r="FN292" s="51"/>
      <c r="FO292" s="51"/>
      <c r="FP292" s="51"/>
      <c r="FQ292" s="51"/>
      <c r="FR292" s="51"/>
      <c r="FS292" s="51"/>
      <c r="FT292" s="51"/>
      <c r="FU292" s="51"/>
      <c r="FV292" s="51"/>
      <c r="FW292" s="51"/>
      <c r="FX292" s="51"/>
      <c r="FY292" s="51"/>
      <c r="FZ292" s="51"/>
      <c r="GA292" s="51"/>
      <c r="GB292" s="51"/>
      <c r="GC292" s="51"/>
      <c r="GD292" s="51"/>
      <c r="GE292" s="51"/>
      <c r="GF292" s="51"/>
      <c r="GG292" s="51"/>
      <c r="GH292" s="51"/>
      <c r="GI292" s="51"/>
      <c r="GJ292" s="51"/>
      <c r="GK292" s="51"/>
      <c r="GL292" s="51"/>
      <c r="GM292" s="51"/>
      <c r="GN292" s="51"/>
      <c r="GO292" s="51"/>
      <c r="GP292" s="51"/>
      <c r="GQ292" s="51"/>
      <c r="GR292" s="51"/>
      <c r="GS292" s="51"/>
      <c r="GT292" s="51"/>
      <c r="GU292" s="51"/>
      <c r="GV292" s="51"/>
      <c r="GW292" s="51"/>
      <c r="GX292" s="51"/>
      <c r="GY292" s="51"/>
      <c r="GZ292" s="51"/>
      <c r="HA292" s="51"/>
      <c r="HB292" s="51"/>
      <c r="HC292" s="51"/>
      <c r="HD292" s="51"/>
      <c r="HE292" s="51"/>
      <c r="HF292" s="51"/>
      <c r="HG292" s="51"/>
      <c r="HH292" s="51"/>
      <c r="HI292" s="51"/>
      <c r="HJ292" s="51"/>
      <c r="HK292" s="51"/>
      <c r="HL292" s="51"/>
      <c r="HM292" s="51"/>
      <c r="HN292" s="51"/>
      <c r="HO292" s="51"/>
      <c r="HP292" s="51"/>
      <c r="HQ292" s="51"/>
      <c r="HR292" s="51"/>
      <c r="HS292" s="51"/>
      <c r="HT292" s="51"/>
      <c r="HU292" s="51"/>
      <c r="HV292" s="51"/>
      <c r="HW292" s="51"/>
      <c r="HX292" s="51"/>
      <c r="HY292" s="51"/>
      <c r="HZ292" s="51"/>
      <c r="IA292" s="51"/>
      <c r="IB292" s="51"/>
      <c r="IC292" s="51"/>
      <c r="ID292" s="51"/>
      <c r="IE292" s="51"/>
      <c r="IF292" s="51"/>
      <c r="IG292" s="51"/>
      <c r="IH292" s="51"/>
      <c r="II292" s="51"/>
      <c r="IJ292" s="51"/>
      <c r="IK292" s="51"/>
      <c r="IL292" s="51"/>
      <c r="IM292" s="51"/>
      <c r="IN292" s="51"/>
      <c r="IO292" s="51"/>
      <c r="IP292" s="51"/>
      <c r="IQ292" s="51"/>
      <c r="IR292" s="51"/>
      <c r="IS292" s="51"/>
      <c r="IT292" s="51"/>
      <c r="IU292" s="51"/>
      <c r="IV292" s="51"/>
    </row>
    <row r="293" hidden="1">
      <c r="B293" s="826" t="s">
        <v>18</v>
      </c>
      <c r="C293" s="827">
        <v>0</v>
      </c>
      <c r="D293" s="827">
        <v>0</v>
      </c>
      <c r="E293" s="827">
        <v>0</v>
      </c>
      <c r="F293" s="827">
        <v>0</v>
      </c>
      <c r="G293" s="827">
        <v>0</v>
      </c>
      <c r="H293" s="827">
        <v>0</v>
      </c>
      <c r="I293" s="827">
        <v>0</v>
      </c>
      <c r="J293" s="827">
        <v>0</v>
      </c>
      <c r="K293" s="827">
        <v>121</v>
      </c>
      <c r="L293" s="827">
        <v>131</v>
      </c>
      <c r="M293" s="827">
        <v>127</v>
      </c>
      <c r="N293" s="827">
        <v>130</v>
      </c>
      <c r="O293" s="827">
        <v>4</v>
      </c>
      <c r="P293" s="827">
        <v>0</v>
      </c>
      <c r="Q293" s="827">
        <v>0</v>
      </c>
      <c r="R293" s="827">
        <v>0</v>
      </c>
      <c r="S293" s="827">
        <v>0</v>
      </c>
      <c r="T293" s="827">
        <v>0</v>
      </c>
      <c r="U293" s="827">
        <v>0</v>
      </c>
      <c r="V293" s="827">
        <v>0</v>
      </c>
      <c r="W293" s="827">
        <v>0</v>
      </c>
      <c r="X293" s="827">
        <v>0</v>
      </c>
      <c r="Y293" s="827">
        <v>0</v>
      </c>
      <c r="Z293" s="827">
        <v>0</v>
      </c>
      <c r="AA293" s="827">
        <v>0</v>
      </c>
      <c r="AB293" s="827">
        <v>0</v>
      </c>
      <c r="AC293" s="828">
        <v>0</v>
      </c>
      <c r="AD293" s="828">
        <v>0</v>
      </c>
      <c r="AE293" s="828">
        <v>0</v>
      </c>
      <c r="AF293" s="828">
        <v>0</v>
      </c>
      <c r="AG293" s="828">
        <v>0</v>
      </c>
      <c r="AH293" s="828">
        <v>0</v>
      </c>
      <c r="AI293" s="828">
        <v>0</v>
      </c>
      <c r="AJ293" s="828">
        <v>0</v>
      </c>
      <c r="AK293" s="828">
        <v>0</v>
      </c>
      <c r="AL293" s="828">
        <v>0</v>
      </c>
      <c r="AM293" s="828">
        <v>0</v>
      </c>
      <c r="AN293" s="828">
        <v>0</v>
      </c>
      <c r="AO293" s="828">
        <v>0</v>
      </c>
      <c r="AP293" s="828">
        <v>0</v>
      </c>
      <c r="AQ293" s="51"/>
      <c r="AR293" s="51"/>
      <c r="AS293" s="51"/>
      <c r="AT293" s="51"/>
      <c r="AU293" s="51"/>
      <c r="AV293" s="51"/>
      <c r="AW293" s="51"/>
      <c r="AX293" s="51"/>
      <c r="AY293" s="51"/>
      <c r="AZ293" s="51"/>
      <c r="BA293" s="51"/>
      <c r="BB293" s="51"/>
      <c r="BC293" s="51"/>
      <c r="BD293" s="51"/>
      <c r="BE293" s="51"/>
      <c r="BF293" s="51"/>
      <c r="BG293" s="51"/>
      <c r="BH293" s="51"/>
      <c r="BI293" s="51"/>
      <c r="BJ293" s="51"/>
      <c r="BK293" s="51"/>
      <c r="BL293" s="51"/>
      <c r="BM293" s="51"/>
      <c r="BN293" s="51"/>
      <c r="BO293" s="51"/>
      <c r="BP293" s="51"/>
      <c r="BQ293" s="51"/>
      <c r="BR293" s="51"/>
      <c r="BS293" s="51"/>
      <c r="BT293" s="51"/>
      <c r="BU293" s="51"/>
      <c r="BV293" s="51"/>
      <c r="BW293" s="51"/>
      <c r="BX293" s="51"/>
      <c r="BY293" s="51"/>
      <c r="BZ293" s="51"/>
      <c r="CA293" s="51"/>
      <c r="CB293" s="51"/>
      <c r="CC293" s="51"/>
      <c r="CD293" s="51"/>
      <c r="CE293" s="51"/>
      <c r="CF293" s="51"/>
      <c r="CG293" s="51"/>
      <c r="CH293" s="51"/>
      <c r="CI293" s="51"/>
      <c r="CJ293" s="51"/>
      <c r="CK293" s="51"/>
      <c r="CL293" s="51"/>
      <c r="CM293" s="51"/>
      <c r="CN293" s="51"/>
      <c r="CO293" s="51"/>
      <c r="CP293" s="51"/>
      <c r="CQ293" s="51"/>
      <c r="CR293" s="51"/>
      <c r="CS293" s="51"/>
      <c r="CT293" s="51"/>
      <c r="CU293" s="51"/>
      <c r="CV293" s="51"/>
      <c r="CW293" s="51"/>
      <c r="CX293" s="51"/>
      <c r="CY293" s="51"/>
      <c r="CZ293" s="51"/>
      <c r="DA293" s="51"/>
      <c r="DB293" s="51"/>
      <c r="DC293" s="51"/>
      <c r="DD293" s="51"/>
      <c r="DE293" s="51"/>
      <c r="DF293" s="51"/>
      <c r="DG293" s="51"/>
      <c r="DH293" s="51"/>
      <c r="DI293" s="51"/>
      <c r="DJ293" s="51"/>
      <c r="DK293" s="51"/>
      <c r="DL293" s="51"/>
      <c r="DM293" s="51"/>
      <c r="DN293" s="51"/>
      <c r="DO293" s="51"/>
      <c r="DP293" s="51"/>
      <c r="DQ293" s="51"/>
      <c r="DR293" s="51"/>
      <c r="DS293" s="51"/>
      <c r="DT293" s="51"/>
      <c r="DU293" s="51"/>
      <c r="DV293" s="51"/>
      <c r="DW293" s="51"/>
      <c r="DX293" s="51"/>
      <c r="DY293" s="51"/>
      <c r="DZ293" s="51"/>
      <c r="EA293" s="51"/>
      <c r="EB293" s="51"/>
      <c r="EC293" s="51"/>
      <c r="ED293" s="51"/>
      <c r="EE293" s="51"/>
      <c r="EF293" s="51"/>
      <c r="EG293" s="51"/>
      <c r="EH293" s="51"/>
      <c r="EI293" s="51"/>
      <c r="EJ293" s="51"/>
      <c r="EK293" s="51"/>
      <c r="EL293" s="51"/>
      <c r="EM293" s="51"/>
      <c r="EN293" s="51"/>
      <c r="EO293" s="51"/>
      <c r="EP293" s="51"/>
      <c r="EQ293" s="51"/>
      <c r="ER293" s="51"/>
      <c r="ES293" s="51"/>
      <c r="ET293" s="51"/>
      <c r="EU293" s="51"/>
      <c r="EV293" s="51"/>
      <c r="EW293" s="51"/>
      <c r="EX293" s="51"/>
      <c r="EY293" s="51"/>
      <c r="EZ293" s="51"/>
      <c r="FA293" s="51"/>
      <c r="FB293" s="51"/>
      <c r="FC293" s="51"/>
      <c r="FD293" s="51"/>
      <c r="FE293" s="51"/>
      <c r="FF293" s="51"/>
      <c r="FG293" s="51"/>
      <c r="FH293" s="51"/>
      <c r="FI293" s="51"/>
      <c r="FJ293" s="51"/>
      <c r="FK293" s="51"/>
      <c r="FL293" s="51"/>
      <c r="FM293" s="51"/>
      <c r="FN293" s="51"/>
      <c r="FO293" s="51"/>
      <c r="FP293" s="51"/>
      <c r="FQ293" s="51"/>
      <c r="FR293" s="51"/>
      <c r="FS293" s="51"/>
      <c r="FT293" s="51"/>
      <c r="FU293" s="51"/>
      <c r="FV293" s="51"/>
      <c r="FW293" s="51"/>
      <c r="FX293" s="51"/>
      <c r="FY293" s="51"/>
      <c r="FZ293" s="51"/>
      <c r="GA293" s="51"/>
      <c r="GB293" s="51"/>
      <c r="GC293" s="51"/>
      <c r="GD293" s="51"/>
      <c r="GE293" s="51"/>
      <c r="GF293" s="51"/>
      <c r="GG293" s="51"/>
      <c r="GH293" s="51"/>
      <c r="GI293" s="51"/>
      <c r="GJ293" s="51"/>
      <c r="GK293" s="51"/>
      <c r="GL293" s="51"/>
      <c r="GM293" s="51"/>
      <c r="GN293" s="51"/>
      <c r="GO293" s="51"/>
      <c r="GP293" s="51"/>
      <c r="GQ293" s="51"/>
      <c r="GR293" s="51"/>
      <c r="GS293" s="51"/>
      <c r="GT293" s="51"/>
      <c r="GU293" s="51"/>
      <c r="GV293" s="51"/>
      <c r="GW293" s="51"/>
      <c r="GX293" s="51"/>
      <c r="GY293" s="51"/>
      <c r="GZ293" s="51"/>
      <c r="HA293" s="51"/>
      <c r="HB293" s="51"/>
      <c r="HC293" s="51"/>
      <c r="HD293" s="51"/>
      <c r="HE293" s="51"/>
      <c r="HF293" s="51"/>
      <c r="HG293" s="51"/>
      <c r="HH293" s="51"/>
      <c r="HI293" s="51"/>
      <c r="HJ293" s="51"/>
      <c r="HK293" s="51"/>
      <c r="HL293" s="51"/>
      <c r="HM293" s="51"/>
      <c r="HN293" s="51"/>
      <c r="HO293" s="51"/>
      <c r="HP293" s="51"/>
      <c r="HQ293" s="51"/>
      <c r="HR293" s="51"/>
      <c r="HS293" s="51"/>
      <c r="HT293" s="51"/>
      <c r="HU293" s="51"/>
      <c r="HV293" s="51"/>
      <c r="HW293" s="51"/>
      <c r="HX293" s="51"/>
      <c r="HY293" s="51"/>
      <c r="HZ293" s="51"/>
      <c r="IA293" s="51"/>
      <c r="IB293" s="51"/>
      <c r="IC293" s="51"/>
      <c r="ID293" s="51"/>
      <c r="IE293" s="51"/>
      <c r="IF293" s="51"/>
      <c r="IG293" s="51"/>
      <c r="IH293" s="51"/>
      <c r="II293" s="51"/>
      <c r="IJ293" s="51"/>
      <c r="IK293" s="51"/>
      <c r="IL293" s="51"/>
      <c r="IM293" s="51"/>
      <c r="IN293" s="51"/>
      <c r="IO293" s="51"/>
      <c r="IP293" s="51"/>
      <c r="IQ293" s="51"/>
      <c r="IR293" s="51"/>
      <c r="IS293" s="51"/>
      <c r="IT293" s="51"/>
      <c r="IU293" s="51"/>
      <c r="IV293" s="51"/>
    </row>
    <row r="294" hidden="1">
      <c r="B294" s="829" t="s">
        <v>19</v>
      </c>
      <c r="C294" s="823">
        <v>11</v>
      </c>
      <c r="D294" s="823">
        <v>14</v>
      </c>
      <c r="E294" s="823">
        <v>25</v>
      </c>
      <c r="F294" s="823">
        <v>27</v>
      </c>
      <c r="G294" s="823">
        <v>29</v>
      </c>
      <c r="H294" s="823">
        <v>31</v>
      </c>
      <c r="I294" s="823">
        <v>31</v>
      </c>
      <c r="J294" s="823">
        <v>31</v>
      </c>
      <c r="K294" s="823">
        <v>32</v>
      </c>
      <c r="L294" s="823">
        <v>27</v>
      </c>
      <c r="M294" s="823">
        <v>28</v>
      </c>
      <c r="N294" s="823">
        <v>27</v>
      </c>
      <c r="O294" s="823">
        <v>18</v>
      </c>
      <c r="P294" s="823">
        <v>17</v>
      </c>
      <c r="Q294" s="823">
        <v>2</v>
      </c>
      <c r="R294" s="823">
        <v>2</v>
      </c>
      <c r="S294" s="823">
        <v>1</v>
      </c>
      <c r="T294" s="823">
        <v>1</v>
      </c>
      <c r="U294" s="823">
        <v>1</v>
      </c>
      <c r="V294" s="823">
        <v>1</v>
      </c>
      <c r="W294" s="823">
        <v>1</v>
      </c>
      <c r="X294" s="823">
        <v>1</v>
      </c>
      <c r="Y294" s="823">
        <v>1</v>
      </c>
      <c r="Z294" s="823">
        <v>1</v>
      </c>
      <c r="AA294" s="823">
        <v>1</v>
      </c>
      <c r="AB294" s="823">
        <v>1</v>
      </c>
      <c r="AC294" s="825">
        <v>1</v>
      </c>
      <c r="AD294" s="825">
        <v>1</v>
      </c>
      <c r="AE294" s="825">
        <v>1</v>
      </c>
      <c r="AF294" s="825">
        <v>1</v>
      </c>
      <c r="AG294" s="825">
        <v>1</v>
      </c>
      <c r="AH294" s="825">
        <v>1</v>
      </c>
      <c r="AI294" s="825">
        <v>1</v>
      </c>
      <c r="AJ294" s="825">
        <v>0</v>
      </c>
      <c r="AK294" s="825">
        <v>0</v>
      </c>
      <c r="AL294" s="825">
        <v>0</v>
      </c>
      <c r="AM294" s="825">
        <v>0</v>
      </c>
      <c r="AN294" s="825">
        <v>0</v>
      </c>
      <c r="AO294" s="825">
        <v>0</v>
      </c>
      <c r="AP294" s="825">
        <v>0</v>
      </c>
      <c r="AQ294" s="51"/>
      <c r="AR294" s="51"/>
      <c r="AS294" s="51"/>
      <c r="AT294" s="51"/>
      <c r="AU294" s="51"/>
      <c r="AV294" s="51"/>
      <c r="AW294" s="51"/>
      <c r="AX294" s="51"/>
      <c r="AY294" s="51"/>
      <c r="AZ294" s="51"/>
      <c r="BA294" s="51"/>
      <c r="BB294" s="51"/>
      <c r="BC294" s="51"/>
      <c r="BD294" s="51"/>
      <c r="BE294" s="51"/>
      <c r="BF294" s="51"/>
      <c r="BG294" s="51"/>
      <c r="BH294" s="51"/>
      <c r="BI294" s="51"/>
      <c r="BJ294" s="51"/>
      <c r="BK294" s="51"/>
      <c r="BL294" s="51"/>
      <c r="BM294" s="51"/>
      <c r="BN294" s="51"/>
      <c r="BO294" s="51"/>
      <c r="BP294" s="51"/>
      <c r="BQ294" s="51"/>
      <c r="BR294" s="51"/>
      <c r="BS294" s="51"/>
      <c r="BT294" s="51"/>
      <c r="BU294" s="51"/>
      <c r="BV294" s="51"/>
      <c r="BW294" s="51"/>
      <c r="BX294" s="51"/>
      <c r="BY294" s="51"/>
      <c r="BZ294" s="51"/>
      <c r="CA294" s="51"/>
      <c r="CB294" s="51"/>
      <c r="CC294" s="51"/>
      <c r="CD294" s="51"/>
      <c r="CE294" s="51"/>
      <c r="CF294" s="51"/>
      <c r="CG294" s="51"/>
      <c r="CH294" s="51"/>
      <c r="CI294" s="51"/>
      <c r="CJ294" s="51"/>
      <c r="CK294" s="51"/>
      <c r="CL294" s="51"/>
      <c r="CM294" s="51"/>
      <c r="CN294" s="51"/>
      <c r="CO294" s="51"/>
      <c r="CP294" s="51"/>
      <c r="CQ294" s="51"/>
      <c r="CR294" s="51"/>
      <c r="CS294" s="51"/>
      <c r="CT294" s="51"/>
      <c r="CU294" s="51"/>
      <c r="CV294" s="51"/>
      <c r="CW294" s="51"/>
      <c r="CX294" s="51"/>
      <c r="CY294" s="51"/>
      <c r="CZ294" s="51"/>
      <c r="DA294" s="51"/>
      <c r="DB294" s="51"/>
      <c r="DC294" s="51"/>
      <c r="DD294" s="51"/>
      <c r="DE294" s="51"/>
      <c r="DF294" s="51"/>
      <c r="DG294" s="51"/>
      <c r="DH294" s="51"/>
      <c r="DI294" s="51"/>
      <c r="DJ294" s="51"/>
      <c r="DK294" s="51"/>
      <c r="DL294" s="51"/>
      <c r="DM294" s="51"/>
      <c r="DN294" s="51"/>
      <c r="DO294" s="51"/>
      <c r="DP294" s="51"/>
      <c r="DQ294" s="51"/>
      <c r="DR294" s="51"/>
      <c r="DS294" s="51"/>
      <c r="DT294" s="51"/>
      <c r="DU294" s="51"/>
      <c r="DV294" s="51"/>
      <c r="DW294" s="51"/>
      <c r="DX294" s="51"/>
      <c r="DY294" s="51"/>
      <c r="DZ294" s="51"/>
      <c r="EA294" s="51"/>
      <c r="EB294" s="51"/>
      <c r="EC294" s="51"/>
      <c r="ED294" s="51"/>
      <c r="EE294" s="51"/>
      <c r="EF294" s="51"/>
      <c r="EG294" s="51"/>
      <c r="EH294" s="51"/>
      <c r="EI294" s="51"/>
      <c r="EJ294" s="51"/>
      <c r="EK294" s="51"/>
      <c r="EL294" s="51"/>
      <c r="EM294" s="51"/>
      <c r="EN294" s="51"/>
      <c r="EO294" s="51"/>
      <c r="EP294" s="51"/>
      <c r="EQ294" s="51"/>
      <c r="ER294" s="51"/>
      <c r="ES294" s="51"/>
      <c r="ET294" s="51"/>
      <c r="EU294" s="51"/>
      <c r="EV294" s="51"/>
      <c r="EW294" s="51"/>
      <c r="EX294" s="51"/>
      <c r="EY294" s="51"/>
      <c r="EZ294" s="51"/>
      <c r="FA294" s="51"/>
      <c r="FB294" s="51"/>
      <c r="FC294" s="51"/>
      <c r="FD294" s="51"/>
      <c r="FE294" s="51"/>
      <c r="FF294" s="51"/>
      <c r="FG294" s="51"/>
      <c r="FH294" s="51"/>
      <c r="FI294" s="51"/>
      <c r="FJ294" s="51"/>
      <c r="FK294" s="51"/>
      <c r="FL294" s="51"/>
      <c r="FM294" s="51"/>
      <c r="FN294" s="51"/>
      <c r="FO294" s="51"/>
      <c r="FP294" s="51"/>
      <c r="FQ294" s="51"/>
      <c r="FR294" s="51"/>
      <c r="FS294" s="51"/>
      <c r="FT294" s="51"/>
      <c r="FU294" s="51"/>
      <c r="FV294" s="51"/>
      <c r="FW294" s="51"/>
      <c r="FX294" s="51"/>
      <c r="FY294" s="51"/>
      <c r="FZ294" s="51"/>
      <c r="GA294" s="51"/>
      <c r="GB294" s="51"/>
      <c r="GC294" s="51"/>
      <c r="GD294" s="51"/>
      <c r="GE294" s="51"/>
      <c r="GF294" s="51"/>
      <c r="GG294" s="51"/>
      <c r="GH294" s="51"/>
      <c r="GI294" s="51"/>
      <c r="GJ294" s="51"/>
      <c r="GK294" s="51"/>
      <c r="GL294" s="51"/>
      <c r="GM294" s="51"/>
      <c r="GN294" s="51"/>
      <c r="GO294" s="51"/>
      <c r="GP294" s="51"/>
      <c r="GQ294" s="51"/>
      <c r="GR294" s="51"/>
      <c r="GS294" s="51"/>
      <c r="GT294" s="51"/>
      <c r="GU294" s="51"/>
      <c r="GV294" s="51"/>
      <c r="GW294" s="51"/>
      <c r="GX294" s="51"/>
      <c r="GY294" s="51"/>
      <c r="GZ294" s="51"/>
      <c r="HA294" s="51"/>
      <c r="HB294" s="51"/>
      <c r="HC294" s="51"/>
      <c r="HD294" s="51"/>
      <c r="HE294" s="51"/>
      <c r="HF294" s="51"/>
      <c r="HG294" s="51"/>
      <c r="HH294" s="51"/>
      <c r="HI294" s="51"/>
      <c r="HJ294" s="51"/>
      <c r="HK294" s="51"/>
      <c r="HL294" s="51"/>
      <c r="HM294" s="51"/>
      <c r="HN294" s="51"/>
      <c r="HO294" s="51"/>
      <c r="HP294" s="51"/>
      <c r="HQ294" s="51"/>
      <c r="HR294" s="51"/>
      <c r="HS294" s="51"/>
      <c r="HT294" s="51"/>
      <c r="HU294" s="51"/>
      <c r="HV294" s="51"/>
      <c r="HW294" s="51"/>
      <c r="HX294" s="51"/>
      <c r="HY294" s="51"/>
      <c r="HZ294" s="51"/>
      <c r="IA294" s="51"/>
      <c r="IB294" s="51"/>
      <c r="IC294" s="51"/>
      <c r="ID294" s="51"/>
      <c r="IE294" s="51"/>
      <c r="IF294" s="51"/>
      <c r="IG294" s="51"/>
      <c r="IH294" s="51"/>
      <c r="II294" s="51"/>
      <c r="IJ294" s="51"/>
      <c r="IK294" s="51"/>
      <c r="IL294" s="51"/>
      <c r="IM294" s="51"/>
      <c r="IN294" s="51"/>
      <c r="IO294" s="51"/>
      <c r="IP294" s="51"/>
      <c r="IQ294" s="51"/>
      <c r="IR294" s="51"/>
      <c r="IS294" s="51"/>
      <c r="IT294" s="51"/>
      <c r="IU294" s="51"/>
      <c r="IV294" s="51"/>
    </row>
    <row r="295" hidden="1">
      <c r="B295" s="826" t="s">
        <v>20</v>
      </c>
      <c r="C295" s="827">
        <v>0</v>
      </c>
      <c r="D295" s="827">
        <v>0</v>
      </c>
      <c r="E295" s="827">
        <v>0</v>
      </c>
      <c r="F295" s="827">
        <v>0</v>
      </c>
      <c r="G295" s="827">
        <v>0</v>
      </c>
      <c r="H295" s="827">
        <v>0</v>
      </c>
      <c r="I295" s="827">
        <v>0</v>
      </c>
      <c r="J295" s="827">
        <v>0</v>
      </c>
      <c r="K295" s="827">
        <v>0</v>
      </c>
      <c r="L295" s="827">
        <v>0</v>
      </c>
      <c r="M295" s="827">
        <v>0</v>
      </c>
      <c r="N295" s="827">
        <v>0</v>
      </c>
      <c r="O295" s="827">
        <v>0</v>
      </c>
      <c r="P295" s="827">
        <v>0</v>
      </c>
      <c r="Q295" s="827">
        <v>0</v>
      </c>
      <c r="R295" s="827">
        <v>0</v>
      </c>
      <c r="S295" s="827">
        <v>0</v>
      </c>
      <c r="T295" s="827">
        <v>0</v>
      </c>
      <c r="U295" s="827">
        <v>0</v>
      </c>
      <c r="V295" s="827">
        <v>0</v>
      </c>
      <c r="W295" s="827">
        <v>0</v>
      </c>
      <c r="X295" s="827">
        <v>0</v>
      </c>
      <c r="Y295" s="827">
        <v>0</v>
      </c>
      <c r="Z295" s="827">
        <v>0</v>
      </c>
      <c r="AA295" s="827">
        <v>0</v>
      </c>
      <c r="AB295" s="827">
        <v>0</v>
      </c>
      <c r="AC295" s="828">
        <v>0</v>
      </c>
      <c r="AD295" s="828">
        <v>0</v>
      </c>
      <c r="AE295" s="828">
        <v>0</v>
      </c>
      <c r="AF295" s="828">
        <v>0</v>
      </c>
      <c r="AG295" s="828">
        <v>0</v>
      </c>
      <c r="AH295" s="828">
        <v>0</v>
      </c>
      <c r="AI295" s="828">
        <v>0</v>
      </c>
      <c r="AJ295" s="828">
        <v>0</v>
      </c>
      <c r="AK295" s="828">
        <v>0</v>
      </c>
      <c r="AL295" s="828">
        <v>0</v>
      </c>
      <c r="AM295" s="828">
        <v>0</v>
      </c>
      <c r="AN295" s="828">
        <v>0</v>
      </c>
      <c r="AO295" s="828">
        <v>0</v>
      </c>
      <c r="AP295" s="828">
        <v>0</v>
      </c>
      <c r="AQ295" s="51"/>
      <c r="AR295" s="51"/>
      <c r="AS295" s="51"/>
      <c r="AT295" s="51"/>
      <c r="AU295" s="51"/>
      <c r="AV295" s="51"/>
      <c r="AW295" s="51"/>
      <c r="AX295" s="51"/>
      <c r="AY295" s="51"/>
      <c r="AZ295" s="51"/>
      <c r="BA295" s="51"/>
      <c r="BB295" s="51"/>
      <c r="BC295" s="51"/>
      <c r="BD295" s="51"/>
      <c r="BE295" s="51"/>
      <c r="BF295" s="51"/>
      <c r="BG295" s="51"/>
      <c r="BH295" s="51"/>
      <c r="BI295" s="51"/>
      <c r="BJ295" s="51"/>
      <c r="BK295" s="51"/>
      <c r="BL295" s="51"/>
      <c r="BM295" s="51"/>
      <c r="BN295" s="51"/>
      <c r="BO295" s="51"/>
      <c r="BP295" s="51"/>
      <c r="BQ295" s="51"/>
      <c r="BR295" s="51"/>
      <c r="BS295" s="51"/>
      <c r="BT295" s="51"/>
      <c r="BU295" s="51"/>
      <c r="BV295" s="51"/>
      <c r="BW295" s="51"/>
      <c r="BX295" s="51"/>
      <c r="BY295" s="51"/>
      <c r="BZ295" s="51"/>
      <c r="CA295" s="51"/>
      <c r="CB295" s="51"/>
      <c r="CC295" s="51"/>
      <c r="CD295" s="51"/>
      <c r="CE295" s="51"/>
      <c r="CF295" s="51"/>
      <c r="CG295" s="51"/>
      <c r="CH295" s="51"/>
      <c r="CI295" s="51"/>
      <c r="CJ295" s="51"/>
      <c r="CK295" s="51"/>
      <c r="CL295" s="51"/>
      <c r="CM295" s="51"/>
      <c r="CN295" s="51"/>
      <c r="CO295" s="51"/>
      <c r="CP295" s="51"/>
      <c r="CQ295" s="51"/>
      <c r="CR295" s="51"/>
      <c r="CS295" s="51"/>
      <c r="CT295" s="51"/>
      <c r="CU295" s="51"/>
      <c r="CV295" s="51"/>
      <c r="CW295" s="51"/>
      <c r="CX295" s="51"/>
      <c r="CY295" s="51"/>
      <c r="CZ295" s="51"/>
      <c r="DA295" s="51"/>
      <c r="DB295" s="51"/>
      <c r="DC295" s="51"/>
      <c r="DD295" s="51"/>
      <c r="DE295" s="51"/>
      <c r="DF295" s="51"/>
      <c r="DG295" s="51"/>
      <c r="DH295" s="51"/>
      <c r="DI295" s="51"/>
      <c r="DJ295" s="51"/>
      <c r="DK295" s="51"/>
      <c r="DL295" s="51"/>
      <c r="DM295" s="51"/>
      <c r="DN295" s="51"/>
      <c r="DO295" s="51"/>
      <c r="DP295" s="51"/>
      <c r="DQ295" s="51"/>
      <c r="DR295" s="51"/>
      <c r="DS295" s="51"/>
      <c r="DT295" s="51"/>
      <c r="DU295" s="51"/>
      <c r="DV295" s="51"/>
      <c r="DW295" s="51"/>
      <c r="DX295" s="51"/>
      <c r="DY295" s="51"/>
      <c r="DZ295" s="51"/>
      <c r="EA295" s="51"/>
      <c r="EB295" s="51"/>
      <c r="EC295" s="51"/>
      <c r="ED295" s="51"/>
      <c r="EE295" s="51"/>
      <c r="EF295" s="51"/>
      <c r="EG295" s="51"/>
      <c r="EH295" s="51"/>
      <c r="EI295" s="51"/>
      <c r="EJ295" s="51"/>
      <c r="EK295" s="51"/>
      <c r="EL295" s="51"/>
      <c r="EM295" s="51"/>
      <c r="EN295" s="51"/>
      <c r="EO295" s="51"/>
      <c r="EP295" s="51"/>
      <c r="EQ295" s="51"/>
      <c r="ER295" s="51"/>
      <c r="ES295" s="51"/>
      <c r="ET295" s="51"/>
      <c r="EU295" s="51"/>
      <c r="EV295" s="51"/>
      <c r="EW295" s="51"/>
      <c r="EX295" s="51"/>
      <c r="EY295" s="51"/>
      <c r="EZ295" s="51"/>
      <c r="FA295" s="51"/>
      <c r="FB295" s="51"/>
      <c r="FC295" s="51"/>
      <c r="FD295" s="51"/>
      <c r="FE295" s="51"/>
      <c r="FF295" s="51"/>
      <c r="FG295" s="51"/>
      <c r="FH295" s="51"/>
      <c r="FI295" s="51"/>
      <c r="FJ295" s="51"/>
      <c r="FK295" s="51"/>
      <c r="FL295" s="51"/>
      <c r="FM295" s="51"/>
      <c r="FN295" s="51"/>
      <c r="FO295" s="51"/>
      <c r="FP295" s="51"/>
      <c r="FQ295" s="51"/>
      <c r="FR295" s="51"/>
      <c r="FS295" s="51"/>
      <c r="FT295" s="51"/>
      <c r="FU295" s="51"/>
      <c r="FV295" s="51"/>
      <c r="FW295" s="51"/>
      <c r="FX295" s="51"/>
      <c r="FY295" s="51"/>
      <c r="FZ295" s="51"/>
      <c r="GA295" s="51"/>
      <c r="GB295" s="51"/>
      <c r="GC295" s="51"/>
      <c r="GD295" s="51"/>
      <c r="GE295" s="51"/>
      <c r="GF295" s="51"/>
      <c r="GG295" s="51"/>
      <c r="GH295" s="51"/>
      <c r="GI295" s="51"/>
      <c r="GJ295" s="51"/>
      <c r="GK295" s="51"/>
      <c r="GL295" s="51"/>
      <c r="GM295" s="51"/>
      <c r="GN295" s="51"/>
      <c r="GO295" s="51"/>
      <c r="GP295" s="51"/>
      <c r="GQ295" s="51"/>
      <c r="GR295" s="51"/>
      <c r="GS295" s="51"/>
      <c r="GT295" s="51"/>
      <c r="GU295" s="51"/>
      <c r="GV295" s="51"/>
      <c r="GW295" s="51"/>
      <c r="GX295" s="51"/>
      <c r="GY295" s="51"/>
      <c r="GZ295" s="51"/>
      <c r="HA295" s="51"/>
      <c r="HB295" s="51"/>
      <c r="HC295" s="51"/>
      <c r="HD295" s="51"/>
      <c r="HE295" s="51"/>
      <c r="HF295" s="51"/>
      <c r="HG295" s="51"/>
      <c r="HH295" s="51"/>
      <c r="HI295" s="51"/>
      <c r="HJ295" s="51"/>
      <c r="HK295" s="51"/>
      <c r="HL295" s="51"/>
      <c r="HM295" s="51"/>
      <c r="HN295" s="51"/>
      <c r="HO295" s="51"/>
      <c r="HP295" s="51"/>
      <c r="HQ295" s="51"/>
      <c r="HR295" s="51"/>
      <c r="HS295" s="51"/>
      <c r="HT295" s="51"/>
      <c r="HU295" s="51"/>
      <c r="HV295" s="51"/>
      <c r="HW295" s="51"/>
      <c r="HX295" s="51"/>
      <c r="HY295" s="51"/>
      <c r="HZ295" s="51"/>
      <c r="IA295" s="51"/>
      <c r="IB295" s="51"/>
      <c r="IC295" s="51"/>
      <c r="ID295" s="51"/>
      <c r="IE295" s="51"/>
      <c r="IF295" s="51"/>
      <c r="IG295" s="51"/>
      <c r="IH295" s="51"/>
      <c r="II295" s="51"/>
      <c r="IJ295" s="51"/>
      <c r="IK295" s="51"/>
      <c r="IL295" s="51"/>
      <c r="IM295" s="51"/>
      <c r="IN295" s="51"/>
      <c r="IO295" s="51"/>
      <c r="IP295" s="51"/>
      <c r="IQ295" s="51"/>
      <c r="IR295" s="51"/>
      <c r="IS295" s="51"/>
      <c r="IT295" s="51"/>
      <c r="IU295" s="51"/>
      <c r="IV295" s="51"/>
    </row>
    <row r="296" hidden="1">
      <c r="B296" s="829" t="s">
        <v>21</v>
      </c>
      <c r="C296" s="823">
        <v>0</v>
      </c>
      <c r="D296" s="823">
        <v>1</v>
      </c>
      <c r="E296" s="823">
        <v>3</v>
      </c>
      <c r="F296" s="823">
        <v>6</v>
      </c>
      <c r="G296" s="823">
        <v>7</v>
      </c>
      <c r="H296" s="823">
        <v>8</v>
      </c>
      <c r="I296" s="823">
        <v>6</v>
      </c>
      <c r="J296" s="823">
        <v>9</v>
      </c>
      <c r="K296" s="823">
        <v>16</v>
      </c>
      <c r="L296" s="823">
        <v>20</v>
      </c>
      <c r="M296" s="823">
        <v>24</v>
      </c>
      <c r="N296" s="823">
        <v>22</v>
      </c>
      <c r="O296" s="823">
        <v>0</v>
      </c>
      <c r="P296" s="823">
        <v>0</v>
      </c>
      <c r="Q296" s="823">
        <v>0</v>
      </c>
      <c r="R296" s="823">
        <v>0</v>
      </c>
      <c r="S296" s="823">
        <v>0</v>
      </c>
      <c r="T296" s="823">
        <v>0</v>
      </c>
      <c r="U296" s="823">
        <v>0</v>
      </c>
      <c r="V296" s="823">
        <v>0</v>
      </c>
      <c r="W296" s="823">
        <v>0</v>
      </c>
      <c r="X296" s="823">
        <v>0</v>
      </c>
      <c r="Y296" s="823">
        <v>0</v>
      </c>
      <c r="Z296" s="823">
        <v>0</v>
      </c>
      <c r="AA296" s="823">
        <v>0</v>
      </c>
      <c r="AB296" s="823">
        <v>0</v>
      </c>
      <c r="AC296" s="825">
        <v>0</v>
      </c>
      <c r="AD296" s="825">
        <v>0</v>
      </c>
      <c r="AE296" s="825">
        <v>0</v>
      </c>
      <c r="AF296" s="825">
        <v>0</v>
      </c>
      <c r="AG296" s="825">
        <v>0</v>
      </c>
      <c r="AH296" s="825">
        <v>0</v>
      </c>
      <c r="AI296" s="825">
        <v>0</v>
      </c>
      <c r="AJ296" s="825">
        <v>0</v>
      </c>
      <c r="AK296" s="825">
        <v>0</v>
      </c>
      <c r="AL296" s="825">
        <v>0</v>
      </c>
      <c r="AM296" s="825">
        <v>0</v>
      </c>
      <c r="AN296" s="825">
        <v>0</v>
      </c>
      <c r="AO296" s="825">
        <v>0</v>
      </c>
      <c r="AP296" s="825">
        <v>0</v>
      </c>
      <c r="AQ296" s="51"/>
      <c r="AR296" s="51"/>
      <c r="AS296" s="51"/>
      <c r="AT296" s="51"/>
      <c r="AU296" s="51"/>
      <c r="AV296" s="51"/>
      <c r="AW296" s="51"/>
      <c r="AX296" s="51"/>
      <c r="AY296" s="51"/>
      <c r="AZ296" s="51"/>
      <c r="BA296" s="51"/>
      <c r="BB296" s="51"/>
      <c r="BC296" s="51"/>
      <c r="BD296" s="51"/>
      <c r="BE296" s="51"/>
      <c r="BF296" s="51"/>
      <c r="BG296" s="51"/>
      <c r="BH296" s="51"/>
      <c r="BI296" s="51"/>
      <c r="BJ296" s="51"/>
      <c r="BK296" s="51"/>
      <c r="BL296" s="51"/>
      <c r="BM296" s="51"/>
      <c r="BN296" s="51"/>
      <c r="BO296" s="51"/>
      <c r="BP296" s="51"/>
      <c r="BQ296" s="51"/>
      <c r="BR296" s="51"/>
      <c r="BS296" s="51"/>
      <c r="BT296" s="51"/>
      <c r="BU296" s="51"/>
      <c r="BV296" s="51"/>
      <c r="BW296" s="51"/>
      <c r="BX296" s="51"/>
      <c r="BY296" s="51"/>
      <c r="BZ296" s="51"/>
      <c r="CA296" s="51"/>
      <c r="CB296" s="51"/>
      <c r="CC296" s="51"/>
      <c r="CD296" s="51"/>
      <c r="CE296" s="51"/>
      <c r="CF296" s="51"/>
      <c r="CG296" s="51"/>
      <c r="CH296" s="51"/>
      <c r="CI296" s="51"/>
      <c r="CJ296" s="51"/>
      <c r="CK296" s="51"/>
      <c r="CL296" s="51"/>
      <c r="CM296" s="51"/>
      <c r="CN296" s="51"/>
      <c r="CO296" s="51"/>
      <c r="CP296" s="51"/>
      <c r="CQ296" s="51"/>
      <c r="CR296" s="51"/>
      <c r="CS296" s="51"/>
      <c r="CT296" s="51"/>
      <c r="CU296" s="51"/>
      <c r="CV296" s="51"/>
      <c r="CW296" s="51"/>
      <c r="CX296" s="51"/>
      <c r="CY296" s="51"/>
      <c r="CZ296" s="51"/>
      <c r="DA296" s="51"/>
      <c r="DB296" s="51"/>
      <c r="DC296" s="51"/>
      <c r="DD296" s="51"/>
      <c r="DE296" s="51"/>
      <c r="DF296" s="51"/>
      <c r="DG296" s="51"/>
      <c r="DH296" s="51"/>
      <c r="DI296" s="51"/>
      <c r="DJ296" s="51"/>
      <c r="DK296" s="51"/>
      <c r="DL296" s="51"/>
      <c r="DM296" s="51"/>
      <c r="DN296" s="51"/>
      <c r="DO296" s="51"/>
      <c r="DP296" s="51"/>
      <c r="DQ296" s="51"/>
      <c r="DR296" s="51"/>
      <c r="DS296" s="51"/>
      <c r="DT296" s="51"/>
      <c r="DU296" s="51"/>
      <c r="DV296" s="51"/>
      <c r="DW296" s="51"/>
      <c r="DX296" s="51"/>
      <c r="DY296" s="51"/>
      <c r="DZ296" s="51"/>
      <c r="EA296" s="51"/>
      <c r="EB296" s="51"/>
      <c r="EC296" s="51"/>
      <c r="ED296" s="51"/>
      <c r="EE296" s="51"/>
      <c r="EF296" s="51"/>
      <c r="EG296" s="51"/>
      <c r="EH296" s="51"/>
      <c r="EI296" s="51"/>
      <c r="EJ296" s="51"/>
      <c r="EK296" s="51"/>
      <c r="EL296" s="51"/>
      <c r="EM296" s="51"/>
      <c r="EN296" s="51"/>
      <c r="EO296" s="51"/>
      <c r="EP296" s="51"/>
      <c r="EQ296" s="51"/>
      <c r="ER296" s="51"/>
      <c r="ES296" s="51"/>
      <c r="ET296" s="51"/>
      <c r="EU296" s="51"/>
      <c r="EV296" s="51"/>
      <c r="EW296" s="51"/>
      <c r="EX296" s="51"/>
      <c r="EY296" s="51"/>
      <c r="EZ296" s="51"/>
      <c r="FA296" s="51"/>
      <c r="FB296" s="51"/>
      <c r="FC296" s="51"/>
      <c r="FD296" s="51"/>
      <c r="FE296" s="51"/>
      <c r="FF296" s="51"/>
      <c r="FG296" s="51"/>
      <c r="FH296" s="51"/>
      <c r="FI296" s="51"/>
      <c r="FJ296" s="51"/>
      <c r="FK296" s="51"/>
      <c r="FL296" s="51"/>
      <c r="FM296" s="51"/>
      <c r="FN296" s="51"/>
      <c r="FO296" s="51"/>
      <c r="FP296" s="51"/>
      <c r="FQ296" s="51"/>
      <c r="FR296" s="51"/>
      <c r="FS296" s="51"/>
      <c r="FT296" s="51"/>
      <c r="FU296" s="51"/>
      <c r="FV296" s="51"/>
      <c r="FW296" s="51"/>
      <c r="FX296" s="51"/>
      <c r="FY296" s="51"/>
      <c r="FZ296" s="51"/>
      <c r="GA296" s="51"/>
      <c r="GB296" s="51"/>
      <c r="GC296" s="51"/>
      <c r="GD296" s="51"/>
      <c r="GE296" s="51"/>
      <c r="GF296" s="51"/>
      <c r="GG296" s="51"/>
      <c r="GH296" s="51"/>
      <c r="GI296" s="51"/>
      <c r="GJ296" s="51"/>
      <c r="GK296" s="51"/>
      <c r="GL296" s="51"/>
      <c r="GM296" s="51"/>
      <c r="GN296" s="51"/>
      <c r="GO296" s="51"/>
      <c r="GP296" s="51"/>
      <c r="GQ296" s="51"/>
      <c r="GR296" s="51"/>
      <c r="GS296" s="51"/>
      <c r="GT296" s="51"/>
      <c r="GU296" s="51"/>
      <c r="GV296" s="51"/>
      <c r="GW296" s="51"/>
      <c r="GX296" s="51"/>
      <c r="GY296" s="51"/>
      <c r="GZ296" s="51"/>
      <c r="HA296" s="51"/>
      <c r="HB296" s="51"/>
      <c r="HC296" s="51"/>
      <c r="HD296" s="51"/>
      <c r="HE296" s="51"/>
      <c r="HF296" s="51"/>
      <c r="HG296" s="51"/>
      <c r="HH296" s="51"/>
      <c r="HI296" s="51"/>
      <c r="HJ296" s="51"/>
      <c r="HK296" s="51"/>
      <c r="HL296" s="51"/>
      <c r="HM296" s="51"/>
      <c r="HN296" s="51"/>
      <c r="HO296" s="51"/>
      <c r="HP296" s="51"/>
      <c r="HQ296" s="51"/>
      <c r="HR296" s="51"/>
      <c r="HS296" s="51"/>
      <c r="HT296" s="51"/>
      <c r="HU296" s="51"/>
      <c r="HV296" s="51"/>
      <c r="HW296" s="51"/>
      <c r="HX296" s="51"/>
      <c r="HY296" s="51"/>
      <c r="HZ296" s="51"/>
      <c r="IA296" s="51"/>
      <c r="IB296" s="51"/>
      <c r="IC296" s="51"/>
      <c r="ID296" s="51"/>
      <c r="IE296" s="51"/>
      <c r="IF296" s="51"/>
      <c r="IG296" s="51"/>
      <c r="IH296" s="51"/>
      <c r="II296" s="51"/>
      <c r="IJ296" s="51"/>
      <c r="IK296" s="51"/>
      <c r="IL296" s="51"/>
      <c r="IM296" s="51"/>
      <c r="IN296" s="51"/>
      <c r="IO296" s="51"/>
      <c r="IP296" s="51"/>
      <c r="IQ296" s="51"/>
      <c r="IR296" s="51"/>
      <c r="IS296" s="51"/>
      <c r="IT296" s="51"/>
      <c r="IU296" s="51"/>
      <c r="IV296" s="51"/>
    </row>
    <row r="297" hidden="1">
      <c r="B297" s="826" t="s">
        <v>22</v>
      </c>
      <c r="C297" s="827">
        <v>0</v>
      </c>
      <c r="D297" s="827">
        <v>0</v>
      </c>
      <c r="E297" s="827">
        <v>0</v>
      </c>
      <c r="F297" s="827">
        <v>14</v>
      </c>
      <c r="G297" s="827">
        <v>20</v>
      </c>
      <c r="H297" s="827">
        <v>23</v>
      </c>
      <c r="I297" s="827">
        <v>22</v>
      </c>
      <c r="J297" s="827">
        <v>28</v>
      </c>
      <c r="K297" s="827">
        <v>31</v>
      </c>
      <c r="L297" s="827">
        <v>63</v>
      </c>
      <c r="M297" s="827">
        <v>62</v>
      </c>
      <c r="N297" s="827">
        <v>71</v>
      </c>
      <c r="O297" s="827">
        <v>50</v>
      </c>
      <c r="P297" s="827">
        <v>49</v>
      </c>
      <c r="Q297" s="827">
        <v>0</v>
      </c>
      <c r="R297" s="827">
        <v>0</v>
      </c>
      <c r="S297" s="827">
        <v>0</v>
      </c>
      <c r="T297" s="827">
        <v>0</v>
      </c>
      <c r="U297" s="827">
        <v>0</v>
      </c>
      <c r="V297" s="827">
        <v>0</v>
      </c>
      <c r="W297" s="827">
        <v>0</v>
      </c>
      <c r="X297" s="827">
        <v>0</v>
      </c>
      <c r="Y297" s="827">
        <v>0</v>
      </c>
      <c r="Z297" s="827">
        <v>0</v>
      </c>
      <c r="AA297" s="827">
        <v>0</v>
      </c>
      <c r="AB297" s="827">
        <v>0</v>
      </c>
      <c r="AC297" s="828">
        <v>0</v>
      </c>
      <c r="AD297" s="828">
        <v>0</v>
      </c>
      <c r="AE297" s="828">
        <v>0</v>
      </c>
      <c r="AF297" s="828">
        <v>0</v>
      </c>
      <c r="AG297" s="828">
        <v>0</v>
      </c>
      <c r="AH297" s="828">
        <v>0</v>
      </c>
      <c r="AI297" s="828">
        <v>0</v>
      </c>
      <c r="AJ297" s="828">
        <v>0</v>
      </c>
      <c r="AK297" s="828">
        <v>0</v>
      </c>
      <c r="AL297" s="828">
        <v>0</v>
      </c>
      <c r="AM297" s="828">
        <v>0</v>
      </c>
      <c r="AN297" s="828">
        <v>0</v>
      </c>
      <c r="AO297" s="828">
        <v>0</v>
      </c>
      <c r="AP297" s="828">
        <v>0</v>
      </c>
      <c r="AQ297" s="51"/>
      <c r="AR297" s="51"/>
      <c r="AS297" s="51"/>
      <c r="AT297" s="51"/>
      <c r="AU297" s="51"/>
      <c r="AV297" s="51"/>
      <c r="AW297" s="51"/>
      <c r="AX297" s="51"/>
      <c r="AY297" s="51"/>
      <c r="AZ297" s="51"/>
      <c r="BA297" s="51"/>
      <c r="BB297" s="51"/>
      <c r="BC297" s="51"/>
      <c r="BD297" s="51"/>
      <c r="BE297" s="51"/>
      <c r="BF297" s="51"/>
      <c r="BG297" s="51"/>
      <c r="BH297" s="51"/>
      <c r="BI297" s="51"/>
      <c r="BJ297" s="51"/>
      <c r="BK297" s="51"/>
      <c r="BL297" s="51"/>
      <c r="BM297" s="51"/>
      <c r="BN297" s="51"/>
      <c r="BO297" s="51"/>
      <c r="BP297" s="51"/>
      <c r="BQ297" s="51"/>
      <c r="BR297" s="51"/>
      <c r="BS297" s="51"/>
      <c r="BT297" s="51"/>
      <c r="BU297" s="51"/>
      <c r="BV297" s="51"/>
      <c r="BW297" s="51"/>
      <c r="BX297" s="51"/>
      <c r="BY297" s="51"/>
      <c r="BZ297" s="51"/>
      <c r="CA297" s="51"/>
      <c r="CB297" s="51"/>
      <c r="CC297" s="51"/>
      <c r="CD297" s="51"/>
      <c r="CE297" s="51"/>
      <c r="CF297" s="51"/>
      <c r="CG297" s="51"/>
      <c r="CH297" s="51"/>
      <c r="CI297" s="51"/>
      <c r="CJ297" s="51"/>
      <c r="CK297" s="51"/>
      <c r="CL297" s="51"/>
      <c r="CM297" s="51"/>
      <c r="CN297" s="51"/>
      <c r="CO297" s="51"/>
      <c r="CP297" s="51"/>
      <c r="CQ297" s="51"/>
      <c r="CR297" s="51"/>
      <c r="CS297" s="51"/>
      <c r="CT297" s="51"/>
      <c r="CU297" s="51"/>
      <c r="CV297" s="51"/>
      <c r="CW297" s="51"/>
      <c r="CX297" s="51"/>
      <c r="CY297" s="51"/>
      <c r="CZ297" s="51"/>
      <c r="DA297" s="51"/>
      <c r="DB297" s="51"/>
      <c r="DC297" s="51"/>
      <c r="DD297" s="51"/>
      <c r="DE297" s="51"/>
      <c r="DF297" s="51"/>
      <c r="DG297" s="51"/>
      <c r="DH297" s="51"/>
      <c r="DI297" s="51"/>
      <c r="DJ297" s="51"/>
      <c r="DK297" s="51"/>
      <c r="DL297" s="51"/>
      <c r="DM297" s="51"/>
      <c r="DN297" s="51"/>
      <c r="DO297" s="51"/>
      <c r="DP297" s="51"/>
      <c r="DQ297" s="51"/>
      <c r="DR297" s="51"/>
      <c r="DS297" s="51"/>
      <c r="DT297" s="51"/>
      <c r="DU297" s="51"/>
      <c r="DV297" s="51"/>
      <c r="DW297" s="51"/>
      <c r="DX297" s="51"/>
      <c r="DY297" s="51"/>
      <c r="DZ297" s="51"/>
      <c r="EA297" s="51"/>
      <c r="EB297" s="51"/>
      <c r="EC297" s="51"/>
      <c r="ED297" s="51"/>
      <c r="EE297" s="51"/>
      <c r="EF297" s="51"/>
      <c r="EG297" s="51"/>
      <c r="EH297" s="51"/>
      <c r="EI297" s="51"/>
      <c r="EJ297" s="51"/>
      <c r="EK297" s="51"/>
      <c r="EL297" s="51"/>
      <c r="EM297" s="51"/>
      <c r="EN297" s="51"/>
      <c r="EO297" s="51"/>
      <c r="EP297" s="51"/>
      <c r="EQ297" s="51"/>
      <c r="ER297" s="51"/>
      <c r="ES297" s="51"/>
      <c r="ET297" s="51"/>
      <c r="EU297" s="51"/>
      <c r="EV297" s="51"/>
      <c r="EW297" s="51"/>
      <c r="EX297" s="51"/>
      <c r="EY297" s="51"/>
      <c r="EZ297" s="51"/>
      <c r="FA297" s="51"/>
      <c r="FB297" s="51"/>
      <c r="FC297" s="51"/>
      <c r="FD297" s="51"/>
      <c r="FE297" s="51"/>
      <c r="FF297" s="51"/>
      <c r="FG297" s="51"/>
      <c r="FH297" s="51"/>
      <c r="FI297" s="51"/>
      <c r="FJ297" s="51"/>
      <c r="FK297" s="51"/>
      <c r="FL297" s="51"/>
      <c r="FM297" s="51"/>
      <c r="FN297" s="51"/>
      <c r="FO297" s="51"/>
      <c r="FP297" s="51"/>
      <c r="FQ297" s="51"/>
      <c r="FR297" s="51"/>
      <c r="FS297" s="51"/>
      <c r="FT297" s="51"/>
      <c r="FU297" s="51"/>
      <c r="FV297" s="51"/>
      <c r="FW297" s="51"/>
      <c r="FX297" s="51"/>
      <c r="FY297" s="51"/>
      <c r="FZ297" s="51"/>
      <c r="GA297" s="51"/>
      <c r="GB297" s="51"/>
      <c r="GC297" s="51"/>
      <c r="GD297" s="51"/>
      <c r="GE297" s="51"/>
      <c r="GF297" s="51"/>
      <c r="GG297" s="51"/>
      <c r="GH297" s="51"/>
      <c r="GI297" s="51"/>
      <c r="GJ297" s="51"/>
      <c r="GK297" s="51"/>
      <c r="GL297" s="51"/>
      <c r="GM297" s="51"/>
      <c r="GN297" s="51"/>
      <c r="GO297" s="51"/>
      <c r="GP297" s="51"/>
      <c r="GQ297" s="51"/>
      <c r="GR297" s="51"/>
      <c r="GS297" s="51"/>
      <c r="GT297" s="51"/>
      <c r="GU297" s="51"/>
      <c r="GV297" s="51"/>
      <c r="GW297" s="51"/>
      <c r="GX297" s="51"/>
      <c r="GY297" s="51"/>
      <c r="GZ297" s="51"/>
      <c r="HA297" s="51"/>
      <c r="HB297" s="51"/>
      <c r="HC297" s="51"/>
      <c r="HD297" s="51"/>
      <c r="HE297" s="51"/>
      <c r="HF297" s="51"/>
      <c r="HG297" s="51"/>
      <c r="HH297" s="51"/>
      <c r="HI297" s="51"/>
      <c r="HJ297" s="51"/>
      <c r="HK297" s="51"/>
      <c r="HL297" s="51"/>
      <c r="HM297" s="51"/>
      <c r="HN297" s="51"/>
      <c r="HO297" s="51"/>
      <c r="HP297" s="51"/>
      <c r="HQ297" s="51"/>
      <c r="HR297" s="51"/>
      <c r="HS297" s="51"/>
      <c r="HT297" s="51"/>
      <c r="HU297" s="51"/>
      <c r="HV297" s="51"/>
      <c r="HW297" s="51"/>
      <c r="HX297" s="51"/>
      <c r="HY297" s="51"/>
      <c r="HZ297" s="51"/>
      <c r="IA297" s="51"/>
      <c r="IB297" s="51"/>
      <c r="IC297" s="51"/>
      <c r="ID297" s="51"/>
      <c r="IE297" s="51"/>
      <c r="IF297" s="51"/>
      <c r="IG297" s="51"/>
      <c r="IH297" s="51"/>
      <c r="II297" s="51"/>
      <c r="IJ297" s="51"/>
      <c r="IK297" s="51"/>
      <c r="IL297" s="51"/>
      <c r="IM297" s="51"/>
      <c r="IN297" s="51"/>
      <c r="IO297" s="51"/>
      <c r="IP297" s="51"/>
      <c r="IQ297" s="51"/>
      <c r="IR297" s="51"/>
      <c r="IS297" s="51"/>
      <c r="IT297" s="51"/>
      <c r="IU297" s="51"/>
      <c r="IV297" s="51"/>
    </row>
    <row r="298" hidden="1">
      <c r="B298" s="829" t="s">
        <v>23</v>
      </c>
      <c r="C298" s="823">
        <v>0</v>
      </c>
      <c r="D298" s="823">
        <v>0</v>
      </c>
      <c r="E298" s="823">
        <v>0</v>
      </c>
      <c r="F298" s="823">
        <v>0</v>
      </c>
      <c r="G298" s="823">
        <v>0</v>
      </c>
      <c r="H298" s="823">
        <v>1</v>
      </c>
      <c r="I298" s="823">
        <v>1</v>
      </c>
      <c r="J298" s="823">
        <v>7</v>
      </c>
      <c r="K298" s="823">
        <v>7</v>
      </c>
      <c r="L298" s="823">
        <v>6</v>
      </c>
      <c r="M298" s="823">
        <v>8</v>
      </c>
      <c r="N298" s="823">
        <v>11</v>
      </c>
      <c r="O298" s="823">
        <v>0</v>
      </c>
      <c r="P298" s="823">
        <v>0</v>
      </c>
      <c r="Q298" s="823">
        <v>0</v>
      </c>
      <c r="R298" s="823">
        <v>0</v>
      </c>
      <c r="S298" s="823">
        <v>0</v>
      </c>
      <c r="T298" s="823">
        <v>0</v>
      </c>
      <c r="U298" s="823">
        <v>0</v>
      </c>
      <c r="V298" s="823">
        <v>0</v>
      </c>
      <c r="W298" s="823">
        <v>0</v>
      </c>
      <c r="X298" s="823">
        <v>0</v>
      </c>
      <c r="Y298" s="823">
        <v>0</v>
      </c>
      <c r="Z298" s="823">
        <v>0</v>
      </c>
      <c r="AA298" s="823">
        <v>0</v>
      </c>
      <c r="AB298" s="823">
        <v>0</v>
      </c>
      <c r="AC298" s="825">
        <v>0</v>
      </c>
      <c r="AD298" s="825">
        <v>0</v>
      </c>
      <c r="AE298" s="825">
        <v>0</v>
      </c>
      <c r="AF298" s="825">
        <v>0</v>
      </c>
      <c r="AG298" s="825">
        <v>0</v>
      </c>
      <c r="AH298" s="825">
        <v>0</v>
      </c>
      <c r="AI298" s="825">
        <v>0</v>
      </c>
      <c r="AJ298" s="825">
        <v>0</v>
      </c>
      <c r="AK298" s="825">
        <v>0</v>
      </c>
      <c r="AL298" s="825">
        <v>0</v>
      </c>
      <c r="AM298" s="825">
        <v>0</v>
      </c>
      <c r="AN298" s="825">
        <v>0</v>
      </c>
      <c r="AO298" s="825">
        <v>0</v>
      </c>
      <c r="AP298" s="825">
        <v>0</v>
      </c>
      <c r="AQ298" s="51"/>
      <c r="AR298" s="51"/>
      <c r="AS298" s="51"/>
      <c r="AT298" s="51"/>
      <c r="AU298" s="51"/>
      <c r="AV298" s="51"/>
      <c r="AW298" s="51"/>
      <c r="AX298" s="51"/>
      <c r="AY298" s="51"/>
      <c r="AZ298" s="51"/>
      <c r="BA298" s="51"/>
      <c r="BB298" s="51"/>
      <c r="BC298" s="51"/>
      <c r="BD298" s="51"/>
      <c r="BE298" s="51"/>
      <c r="BF298" s="51"/>
      <c r="BG298" s="51"/>
      <c r="BH298" s="51"/>
      <c r="BI298" s="51"/>
      <c r="BJ298" s="51"/>
      <c r="BK298" s="51"/>
      <c r="BL298" s="51"/>
      <c r="BM298" s="51"/>
      <c r="BN298" s="51"/>
      <c r="BO298" s="51"/>
      <c r="BP298" s="51"/>
      <c r="BQ298" s="51"/>
      <c r="BR298" s="51"/>
      <c r="BS298" s="51"/>
      <c r="BT298" s="51"/>
      <c r="BU298" s="51"/>
      <c r="BV298" s="51"/>
      <c r="BW298" s="51"/>
      <c r="BX298" s="51"/>
      <c r="BY298" s="51"/>
      <c r="BZ298" s="51"/>
      <c r="CA298" s="51"/>
      <c r="CB298" s="51"/>
      <c r="CC298" s="51"/>
      <c r="CD298" s="51"/>
      <c r="CE298" s="51"/>
      <c r="CF298" s="51"/>
      <c r="CG298" s="51"/>
      <c r="CH298" s="51"/>
      <c r="CI298" s="51"/>
      <c r="CJ298" s="51"/>
      <c r="CK298" s="51"/>
      <c r="CL298" s="51"/>
      <c r="CM298" s="51"/>
      <c r="CN298" s="51"/>
      <c r="CO298" s="51"/>
      <c r="CP298" s="51"/>
      <c r="CQ298" s="51"/>
      <c r="CR298" s="51"/>
      <c r="CS298" s="51"/>
      <c r="CT298" s="51"/>
      <c r="CU298" s="51"/>
      <c r="CV298" s="51"/>
      <c r="CW298" s="51"/>
      <c r="CX298" s="51"/>
      <c r="CY298" s="51"/>
      <c r="CZ298" s="51"/>
      <c r="DA298" s="51"/>
      <c r="DB298" s="51"/>
      <c r="DC298" s="51"/>
      <c r="DD298" s="51"/>
      <c r="DE298" s="51"/>
      <c r="DF298" s="51"/>
      <c r="DG298" s="51"/>
      <c r="DH298" s="51"/>
      <c r="DI298" s="51"/>
      <c r="DJ298" s="51"/>
      <c r="DK298" s="51"/>
      <c r="DL298" s="51"/>
      <c r="DM298" s="51"/>
      <c r="DN298" s="51"/>
      <c r="DO298" s="51"/>
      <c r="DP298" s="51"/>
      <c r="DQ298" s="51"/>
      <c r="DR298" s="51"/>
      <c r="DS298" s="51"/>
      <c r="DT298" s="51"/>
      <c r="DU298" s="51"/>
      <c r="DV298" s="51"/>
      <c r="DW298" s="51"/>
      <c r="DX298" s="51"/>
      <c r="DY298" s="51"/>
      <c r="DZ298" s="51"/>
      <c r="EA298" s="51"/>
      <c r="EB298" s="51"/>
      <c r="EC298" s="51"/>
      <c r="ED298" s="51"/>
      <c r="EE298" s="51"/>
      <c r="EF298" s="51"/>
      <c r="EG298" s="51"/>
      <c r="EH298" s="51"/>
      <c r="EI298" s="51"/>
      <c r="EJ298" s="51"/>
      <c r="EK298" s="51"/>
      <c r="EL298" s="51"/>
      <c r="EM298" s="51"/>
      <c r="EN298" s="51"/>
      <c r="EO298" s="51"/>
      <c r="EP298" s="51"/>
      <c r="EQ298" s="51"/>
      <c r="ER298" s="51"/>
      <c r="ES298" s="51"/>
      <c r="ET298" s="51"/>
      <c r="EU298" s="51"/>
      <c r="EV298" s="51"/>
      <c r="EW298" s="51"/>
      <c r="EX298" s="51"/>
      <c r="EY298" s="51"/>
      <c r="EZ298" s="51"/>
      <c r="FA298" s="51"/>
      <c r="FB298" s="51"/>
      <c r="FC298" s="51"/>
      <c r="FD298" s="51"/>
      <c r="FE298" s="51"/>
      <c r="FF298" s="51"/>
      <c r="FG298" s="51"/>
      <c r="FH298" s="51"/>
      <c r="FI298" s="51"/>
      <c r="FJ298" s="51"/>
      <c r="FK298" s="51"/>
      <c r="FL298" s="51"/>
      <c r="FM298" s="51"/>
      <c r="FN298" s="51"/>
      <c r="FO298" s="51"/>
      <c r="FP298" s="51"/>
      <c r="FQ298" s="51"/>
      <c r="FR298" s="51"/>
      <c r="FS298" s="51"/>
      <c r="FT298" s="51"/>
      <c r="FU298" s="51"/>
      <c r="FV298" s="51"/>
      <c r="FW298" s="51"/>
      <c r="FX298" s="51"/>
      <c r="FY298" s="51"/>
      <c r="FZ298" s="51"/>
      <c r="GA298" s="51"/>
      <c r="GB298" s="51"/>
      <c r="GC298" s="51"/>
      <c r="GD298" s="51"/>
      <c r="GE298" s="51"/>
      <c r="GF298" s="51"/>
      <c r="GG298" s="51"/>
      <c r="GH298" s="51"/>
      <c r="GI298" s="51"/>
      <c r="GJ298" s="51"/>
      <c r="GK298" s="51"/>
      <c r="GL298" s="51"/>
      <c r="GM298" s="51"/>
      <c r="GN298" s="51"/>
      <c r="GO298" s="51"/>
      <c r="GP298" s="51"/>
      <c r="GQ298" s="51"/>
      <c r="GR298" s="51"/>
      <c r="GS298" s="51"/>
      <c r="GT298" s="51"/>
      <c r="GU298" s="51"/>
      <c r="GV298" s="51"/>
      <c r="GW298" s="51"/>
      <c r="GX298" s="51"/>
      <c r="GY298" s="51"/>
      <c r="GZ298" s="51"/>
      <c r="HA298" s="51"/>
      <c r="HB298" s="51"/>
      <c r="HC298" s="51"/>
      <c r="HD298" s="51"/>
      <c r="HE298" s="51"/>
      <c r="HF298" s="51"/>
      <c r="HG298" s="51"/>
      <c r="HH298" s="51"/>
      <c r="HI298" s="51"/>
      <c r="HJ298" s="51"/>
      <c r="HK298" s="51"/>
      <c r="HL298" s="51"/>
      <c r="HM298" s="51"/>
      <c r="HN298" s="51"/>
      <c r="HO298" s="51"/>
      <c r="HP298" s="51"/>
      <c r="HQ298" s="51"/>
      <c r="HR298" s="51"/>
      <c r="HS298" s="51"/>
      <c r="HT298" s="51"/>
      <c r="HU298" s="51"/>
      <c r="HV298" s="51"/>
      <c r="HW298" s="51"/>
      <c r="HX298" s="51"/>
      <c r="HY298" s="51"/>
      <c r="HZ298" s="51"/>
      <c r="IA298" s="51"/>
      <c r="IB298" s="51"/>
      <c r="IC298" s="51"/>
      <c r="ID298" s="51"/>
      <c r="IE298" s="51"/>
      <c r="IF298" s="51"/>
      <c r="IG298" s="51"/>
      <c r="IH298" s="51"/>
      <c r="II298" s="51"/>
      <c r="IJ298" s="51"/>
      <c r="IK298" s="51"/>
      <c r="IL298" s="51"/>
      <c r="IM298" s="51"/>
      <c r="IN298" s="51"/>
      <c r="IO298" s="51"/>
      <c r="IP298" s="51"/>
      <c r="IQ298" s="51"/>
      <c r="IR298" s="51"/>
      <c r="IS298" s="51"/>
      <c r="IT298" s="51"/>
      <c r="IU298" s="51"/>
      <c r="IV298" s="51"/>
    </row>
    <row r="299" hidden="1">
      <c r="B299" s="835" t="s">
        <v>24</v>
      </c>
      <c r="C299" s="827">
        <v>4</v>
      </c>
      <c r="D299" s="827">
        <v>4</v>
      </c>
      <c r="E299" s="827">
        <v>4</v>
      </c>
      <c r="F299" s="827">
        <v>4</v>
      </c>
      <c r="G299" s="827">
        <v>4</v>
      </c>
      <c r="H299" s="827">
        <v>4</v>
      </c>
      <c r="I299" s="827">
        <v>3</v>
      </c>
      <c r="J299" s="827">
        <v>3</v>
      </c>
      <c r="K299" s="827">
        <v>8</v>
      </c>
      <c r="L299" s="827">
        <v>3</v>
      </c>
      <c r="M299" s="827">
        <v>1</v>
      </c>
      <c r="N299" s="827">
        <v>3</v>
      </c>
      <c r="O299" s="827">
        <v>0</v>
      </c>
      <c r="P299" s="827">
        <v>0</v>
      </c>
      <c r="Q299" s="827">
        <v>0</v>
      </c>
      <c r="R299" s="827">
        <v>0</v>
      </c>
      <c r="S299" s="827">
        <v>0</v>
      </c>
      <c r="T299" s="827">
        <v>0</v>
      </c>
      <c r="U299" s="827">
        <v>0</v>
      </c>
      <c r="V299" s="827">
        <v>0</v>
      </c>
      <c r="W299" s="827">
        <v>0</v>
      </c>
      <c r="X299" s="827">
        <v>0</v>
      </c>
      <c r="Y299" s="827">
        <v>0</v>
      </c>
      <c r="Z299" s="827">
        <v>0</v>
      </c>
      <c r="AA299" s="827">
        <v>0</v>
      </c>
      <c r="AB299" s="827">
        <v>0</v>
      </c>
      <c r="AC299" s="828">
        <v>0</v>
      </c>
      <c r="AD299" s="828">
        <v>0</v>
      </c>
      <c r="AE299" s="828">
        <v>0</v>
      </c>
      <c r="AF299" s="828">
        <v>0</v>
      </c>
      <c r="AG299" s="828">
        <v>0</v>
      </c>
      <c r="AH299" s="828">
        <v>0</v>
      </c>
      <c r="AI299" s="828">
        <v>0</v>
      </c>
      <c r="AJ299" s="828">
        <v>0</v>
      </c>
      <c r="AK299" s="828">
        <v>0</v>
      </c>
      <c r="AL299" s="828">
        <v>0</v>
      </c>
      <c r="AM299" s="828">
        <v>0</v>
      </c>
      <c r="AN299" s="828">
        <v>0</v>
      </c>
      <c r="AO299" s="828">
        <v>0</v>
      </c>
      <c r="AP299" s="828">
        <v>0</v>
      </c>
      <c r="AQ299" s="51"/>
      <c r="AR299" s="51"/>
      <c r="AS299" s="51"/>
      <c r="AT299" s="51"/>
      <c r="AU299" s="51"/>
      <c r="AV299" s="51"/>
      <c r="AW299" s="51"/>
      <c r="AX299" s="51"/>
      <c r="AY299" s="51"/>
      <c r="AZ299" s="51"/>
      <c r="BA299" s="51"/>
      <c r="BB299" s="51"/>
      <c r="BC299" s="51"/>
      <c r="BD299" s="51"/>
      <c r="BE299" s="51"/>
      <c r="BF299" s="51"/>
      <c r="BG299" s="51"/>
      <c r="BH299" s="51"/>
      <c r="BI299" s="51"/>
      <c r="BJ299" s="51"/>
      <c r="BK299" s="51"/>
      <c r="BL299" s="51"/>
      <c r="BM299" s="51"/>
      <c r="BN299" s="51"/>
      <c r="BO299" s="51"/>
      <c r="BP299" s="51"/>
      <c r="BQ299" s="51"/>
      <c r="BR299" s="51"/>
      <c r="BS299" s="51"/>
      <c r="BT299" s="51"/>
      <c r="BU299" s="51"/>
      <c r="BV299" s="51"/>
      <c r="BW299" s="51"/>
      <c r="BX299" s="51"/>
      <c r="BY299" s="51"/>
      <c r="BZ299" s="51"/>
      <c r="CA299" s="51"/>
      <c r="CB299" s="51"/>
      <c r="CC299" s="51"/>
      <c r="CD299" s="51"/>
      <c r="CE299" s="51"/>
      <c r="CF299" s="51"/>
      <c r="CG299" s="51"/>
      <c r="CH299" s="51"/>
      <c r="CI299" s="51"/>
      <c r="CJ299" s="51"/>
      <c r="CK299" s="51"/>
      <c r="CL299" s="51"/>
      <c r="CM299" s="51"/>
      <c r="CN299" s="51"/>
      <c r="CO299" s="51"/>
      <c r="CP299" s="51"/>
      <c r="CQ299" s="51"/>
      <c r="CR299" s="51"/>
      <c r="CS299" s="51"/>
      <c r="CT299" s="51"/>
      <c r="CU299" s="51"/>
      <c r="CV299" s="51"/>
      <c r="CW299" s="51"/>
      <c r="CX299" s="51"/>
      <c r="CY299" s="51"/>
      <c r="CZ299" s="51"/>
      <c r="DA299" s="51"/>
      <c r="DB299" s="51"/>
      <c r="DC299" s="51"/>
      <c r="DD299" s="51"/>
      <c r="DE299" s="51"/>
      <c r="DF299" s="51"/>
      <c r="DG299" s="51"/>
      <c r="DH299" s="51"/>
      <c r="DI299" s="51"/>
      <c r="DJ299" s="51"/>
      <c r="DK299" s="51"/>
      <c r="DL299" s="51"/>
      <c r="DM299" s="51"/>
      <c r="DN299" s="51"/>
      <c r="DO299" s="51"/>
      <c r="DP299" s="51"/>
      <c r="DQ299" s="51"/>
      <c r="DR299" s="51"/>
      <c r="DS299" s="51"/>
      <c r="DT299" s="51"/>
      <c r="DU299" s="51"/>
      <c r="DV299" s="51"/>
      <c r="DW299" s="51"/>
      <c r="DX299" s="51"/>
      <c r="DY299" s="51"/>
      <c r="DZ299" s="51"/>
      <c r="EA299" s="51"/>
      <c r="EB299" s="51"/>
      <c r="EC299" s="51"/>
      <c r="ED299" s="51"/>
      <c r="EE299" s="51"/>
      <c r="EF299" s="51"/>
      <c r="EG299" s="51"/>
      <c r="EH299" s="51"/>
      <c r="EI299" s="51"/>
      <c r="EJ299" s="51"/>
      <c r="EK299" s="51"/>
      <c r="EL299" s="51"/>
      <c r="EM299" s="51"/>
      <c r="EN299" s="51"/>
      <c r="EO299" s="51"/>
      <c r="EP299" s="51"/>
      <c r="EQ299" s="51"/>
      <c r="ER299" s="51"/>
      <c r="ES299" s="51"/>
      <c r="ET299" s="51"/>
      <c r="EU299" s="51"/>
      <c r="EV299" s="51"/>
      <c r="EW299" s="51"/>
      <c r="EX299" s="51"/>
      <c r="EY299" s="51"/>
      <c r="EZ299" s="51"/>
      <c r="FA299" s="51"/>
      <c r="FB299" s="51"/>
      <c r="FC299" s="51"/>
      <c r="FD299" s="51"/>
      <c r="FE299" s="51"/>
      <c r="FF299" s="51"/>
      <c r="FG299" s="51"/>
      <c r="FH299" s="51"/>
      <c r="FI299" s="51"/>
      <c r="FJ299" s="51"/>
      <c r="FK299" s="51"/>
      <c r="FL299" s="51"/>
      <c r="FM299" s="51"/>
      <c r="FN299" s="51"/>
      <c r="FO299" s="51"/>
      <c r="FP299" s="51"/>
      <c r="FQ299" s="51"/>
      <c r="FR299" s="51"/>
      <c r="FS299" s="51"/>
      <c r="FT299" s="51"/>
      <c r="FU299" s="51"/>
      <c r="FV299" s="51"/>
      <c r="FW299" s="51"/>
      <c r="FX299" s="51"/>
      <c r="FY299" s="51"/>
      <c r="FZ299" s="51"/>
      <c r="GA299" s="51"/>
      <c r="GB299" s="51"/>
      <c r="GC299" s="51"/>
      <c r="GD299" s="51"/>
      <c r="GE299" s="51"/>
      <c r="GF299" s="51"/>
      <c r="GG299" s="51"/>
      <c r="GH299" s="51"/>
      <c r="GI299" s="51"/>
      <c r="GJ299" s="51"/>
      <c r="GK299" s="51"/>
      <c r="GL299" s="51"/>
      <c r="GM299" s="51"/>
      <c r="GN299" s="51"/>
      <c r="GO299" s="51"/>
      <c r="GP299" s="51"/>
      <c r="GQ299" s="51"/>
      <c r="GR299" s="51"/>
      <c r="GS299" s="51"/>
      <c r="GT299" s="51"/>
      <c r="GU299" s="51"/>
      <c r="GV299" s="51"/>
      <c r="GW299" s="51"/>
      <c r="GX299" s="51"/>
      <c r="GY299" s="51"/>
      <c r="GZ299" s="51"/>
      <c r="HA299" s="51"/>
      <c r="HB299" s="51"/>
      <c r="HC299" s="51"/>
      <c r="HD299" s="51"/>
      <c r="HE299" s="51"/>
      <c r="HF299" s="51"/>
      <c r="HG299" s="51"/>
      <c r="HH299" s="51"/>
      <c r="HI299" s="51"/>
      <c r="HJ299" s="51"/>
      <c r="HK299" s="51"/>
      <c r="HL299" s="51"/>
      <c r="HM299" s="51"/>
      <c r="HN299" s="51"/>
      <c r="HO299" s="51"/>
      <c r="HP299" s="51"/>
      <c r="HQ299" s="51"/>
      <c r="HR299" s="51"/>
      <c r="HS299" s="51"/>
      <c r="HT299" s="51"/>
      <c r="HU299" s="51"/>
      <c r="HV299" s="51"/>
      <c r="HW299" s="51"/>
      <c r="HX299" s="51"/>
      <c r="HY299" s="51"/>
      <c r="HZ299" s="51"/>
      <c r="IA299" s="51"/>
      <c r="IB299" s="51"/>
      <c r="IC299" s="51"/>
      <c r="ID299" s="51"/>
      <c r="IE299" s="51"/>
      <c r="IF299" s="51"/>
      <c r="IG299" s="51"/>
      <c r="IH299" s="51"/>
      <c r="II299" s="51"/>
      <c r="IJ299" s="51"/>
      <c r="IK299" s="51"/>
      <c r="IL299" s="51"/>
      <c r="IM299" s="51"/>
      <c r="IN299" s="51"/>
      <c r="IO299" s="51"/>
      <c r="IP299" s="51"/>
      <c r="IQ299" s="51"/>
      <c r="IR299" s="51"/>
      <c r="IS299" s="51"/>
      <c r="IT299" s="51"/>
      <c r="IU299" s="51"/>
      <c r="IV299" s="51"/>
    </row>
    <row r="300" hidden="1">
      <c r="B300" s="829" t="s">
        <v>25</v>
      </c>
      <c r="C300" s="823">
        <v>0</v>
      </c>
      <c r="D300" s="823">
        <v>0</v>
      </c>
      <c r="E300" s="823">
        <v>0</v>
      </c>
      <c r="F300" s="823">
        <v>0</v>
      </c>
      <c r="G300" s="823">
        <v>0</v>
      </c>
      <c r="H300" s="823">
        <v>0</v>
      </c>
      <c r="I300" s="823">
        <v>0</v>
      </c>
      <c r="J300" s="823">
        <v>0</v>
      </c>
      <c r="K300" s="823">
        <v>0</v>
      </c>
      <c r="L300" s="823">
        <v>0</v>
      </c>
      <c r="M300" s="823">
        <v>0</v>
      </c>
      <c r="N300" s="823">
        <v>0</v>
      </c>
      <c r="O300" s="823">
        <v>0</v>
      </c>
      <c r="P300" s="823">
        <v>0</v>
      </c>
      <c r="Q300" s="823">
        <v>0</v>
      </c>
      <c r="R300" s="823">
        <v>0</v>
      </c>
      <c r="S300" s="823">
        <v>0</v>
      </c>
      <c r="T300" s="823">
        <v>0</v>
      </c>
      <c r="U300" s="823">
        <v>0</v>
      </c>
      <c r="V300" s="823">
        <v>0</v>
      </c>
      <c r="W300" s="823">
        <v>0</v>
      </c>
      <c r="X300" s="823">
        <v>0</v>
      </c>
      <c r="Y300" s="823">
        <v>0</v>
      </c>
      <c r="Z300" s="823">
        <v>0</v>
      </c>
      <c r="AA300" s="823">
        <v>0</v>
      </c>
      <c r="AB300" s="823">
        <v>0</v>
      </c>
      <c r="AC300" s="825">
        <v>0</v>
      </c>
      <c r="AD300" s="825">
        <v>0</v>
      </c>
      <c r="AE300" s="825">
        <v>0</v>
      </c>
      <c r="AF300" s="825">
        <v>0</v>
      </c>
      <c r="AG300" s="825">
        <v>0</v>
      </c>
      <c r="AH300" s="825">
        <v>0</v>
      </c>
      <c r="AI300" s="825">
        <v>0</v>
      </c>
      <c r="AJ300" s="825">
        <v>0</v>
      </c>
      <c r="AK300" s="825">
        <v>0</v>
      </c>
      <c r="AL300" s="825">
        <v>0</v>
      </c>
      <c r="AM300" s="825">
        <v>0</v>
      </c>
      <c r="AN300" s="825">
        <v>0</v>
      </c>
      <c r="AO300" s="825">
        <v>0</v>
      </c>
      <c r="AP300" s="825">
        <v>0</v>
      </c>
      <c r="AQ300" s="51"/>
      <c r="AR300" s="51"/>
      <c r="AS300" s="51"/>
      <c r="AT300" s="51"/>
      <c r="AU300" s="51"/>
      <c r="AV300" s="51"/>
      <c r="AW300" s="51"/>
      <c r="AX300" s="51"/>
      <c r="AY300" s="51"/>
      <c r="AZ300" s="51"/>
      <c r="BA300" s="51"/>
      <c r="BB300" s="51"/>
      <c r="BC300" s="51"/>
      <c r="BD300" s="51"/>
      <c r="BE300" s="51"/>
      <c r="BF300" s="51"/>
      <c r="BG300" s="51"/>
      <c r="BH300" s="51"/>
      <c r="BI300" s="51"/>
      <c r="BJ300" s="51"/>
      <c r="BK300" s="51"/>
      <c r="BL300" s="51"/>
      <c r="BM300" s="51"/>
      <c r="BN300" s="51"/>
      <c r="BO300" s="51"/>
      <c r="BP300" s="51"/>
      <c r="BQ300" s="51"/>
      <c r="BR300" s="51"/>
      <c r="BS300" s="51"/>
      <c r="BT300" s="51"/>
      <c r="BU300" s="51"/>
      <c r="BV300" s="51"/>
      <c r="BW300" s="51"/>
      <c r="BX300" s="51"/>
      <c r="BY300" s="51"/>
      <c r="BZ300" s="51"/>
      <c r="CA300" s="51"/>
      <c r="CB300" s="51"/>
      <c r="CC300" s="51"/>
      <c r="CD300" s="51"/>
      <c r="CE300" s="51"/>
      <c r="CF300" s="51"/>
      <c r="CG300" s="51"/>
      <c r="CH300" s="51"/>
      <c r="CI300" s="51"/>
      <c r="CJ300" s="51"/>
      <c r="CK300" s="51"/>
      <c r="CL300" s="51"/>
      <c r="CM300" s="51"/>
      <c r="CN300" s="51"/>
      <c r="CO300" s="51"/>
      <c r="CP300" s="51"/>
      <c r="CQ300" s="51"/>
      <c r="CR300" s="51"/>
      <c r="CS300" s="51"/>
      <c r="CT300" s="51"/>
      <c r="CU300" s="51"/>
      <c r="CV300" s="51"/>
      <c r="CW300" s="51"/>
      <c r="CX300" s="51"/>
      <c r="CY300" s="51"/>
      <c r="CZ300" s="51"/>
      <c r="DA300" s="51"/>
      <c r="DB300" s="51"/>
      <c r="DC300" s="51"/>
      <c r="DD300" s="51"/>
      <c r="DE300" s="51"/>
      <c r="DF300" s="51"/>
      <c r="DG300" s="51"/>
      <c r="DH300" s="51"/>
      <c r="DI300" s="51"/>
      <c r="DJ300" s="51"/>
      <c r="DK300" s="51"/>
      <c r="DL300" s="51"/>
      <c r="DM300" s="51"/>
      <c r="DN300" s="51"/>
      <c r="DO300" s="51"/>
      <c r="DP300" s="51"/>
      <c r="DQ300" s="51"/>
      <c r="DR300" s="51"/>
      <c r="DS300" s="51"/>
      <c r="DT300" s="51"/>
      <c r="DU300" s="51"/>
      <c r="DV300" s="51"/>
      <c r="DW300" s="51"/>
      <c r="DX300" s="51"/>
      <c r="DY300" s="51"/>
      <c r="DZ300" s="51"/>
      <c r="EA300" s="51"/>
      <c r="EB300" s="51"/>
      <c r="EC300" s="51"/>
      <c r="ED300" s="51"/>
      <c r="EE300" s="51"/>
      <c r="EF300" s="51"/>
      <c r="EG300" s="51"/>
      <c r="EH300" s="51"/>
      <c r="EI300" s="51"/>
      <c r="EJ300" s="51"/>
      <c r="EK300" s="51"/>
      <c r="EL300" s="51"/>
      <c r="EM300" s="51"/>
      <c r="EN300" s="51"/>
      <c r="EO300" s="51"/>
      <c r="EP300" s="51"/>
      <c r="EQ300" s="51"/>
      <c r="ER300" s="51"/>
      <c r="ES300" s="51"/>
      <c r="ET300" s="51"/>
      <c r="EU300" s="51"/>
      <c r="EV300" s="51"/>
      <c r="EW300" s="51"/>
      <c r="EX300" s="51"/>
      <c r="EY300" s="51"/>
      <c r="EZ300" s="51"/>
      <c r="FA300" s="51"/>
      <c r="FB300" s="51"/>
      <c r="FC300" s="51"/>
      <c r="FD300" s="51"/>
      <c r="FE300" s="51"/>
      <c r="FF300" s="51"/>
      <c r="FG300" s="51"/>
      <c r="FH300" s="51"/>
      <c r="FI300" s="51"/>
      <c r="FJ300" s="51"/>
      <c r="FK300" s="51"/>
      <c r="FL300" s="51"/>
      <c r="FM300" s="51"/>
      <c r="FN300" s="51"/>
      <c r="FO300" s="51"/>
      <c r="FP300" s="51"/>
      <c r="FQ300" s="51"/>
      <c r="FR300" s="51"/>
      <c r="FS300" s="51"/>
      <c r="FT300" s="51"/>
      <c r="FU300" s="51"/>
      <c r="FV300" s="51"/>
      <c r="FW300" s="51"/>
      <c r="FX300" s="51"/>
      <c r="FY300" s="51"/>
      <c r="FZ300" s="51"/>
      <c r="GA300" s="51"/>
      <c r="GB300" s="51"/>
      <c r="GC300" s="51"/>
      <c r="GD300" s="51"/>
      <c r="GE300" s="51"/>
      <c r="GF300" s="51"/>
      <c r="GG300" s="51"/>
      <c r="GH300" s="51"/>
      <c r="GI300" s="51"/>
      <c r="GJ300" s="51"/>
      <c r="GK300" s="51"/>
      <c r="GL300" s="51"/>
      <c r="GM300" s="51"/>
      <c r="GN300" s="51"/>
      <c r="GO300" s="51"/>
      <c r="GP300" s="51"/>
      <c r="GQ300" s="51"/>
      <c r="GR300" s="51"/>
      <c r="GS300" s="51"/>
      <c r="GT300" s="51"/>
      <c r="GU300" s="51"/>
      <c r="GV300" s="51"/>
      <c r="GW300" s="51"/>
      <c r="GX300" s="51"/>
      <c r="GY300" s="51"/>
      <c r="GZ300" s="51"/>
      <c r="HA300" s="51"/>
      <c r="HB300" s="51"/>
      <c r="HC300" s="51"/>
      <c r="HD300" s="51"/>
      <c r="HE300" s="51"/>
      <c r="HF300" s="51"/>
      <c r="HG300" s="51"/>
      <c r="HH300" s="51"/>
      <c r="HI300" s="51"/>
      <c r="HJ300" s="51"/>
      <c r="HK300" s="51"/>
      <c r="HL300" s="51"/>
      <c r="HM300" s="51"/>
      <c r="HN300" s="51"/>
      <c r="HO300" s="51"/>
      <c r="HP300" s="51"/>
      <c r="HQ300" s="51"/>
      <c r="HR300" s="51"/>
      <c r="HS300" s="51"/>
      <c r="HT300" s="51"/>
      <c r="HU300" s="51"/>
      <c r="HV300" s="51"/>
      <c r="HW300" s="51"/>
      <c r="HX300" s="51"/>
      <c r="HY300" s="51"/>
      <c r="HZ300" s="51"/>
      <c r="IA300" s="51"/>
      <c r="IB300" s="51"/>
      <c r="IC300" s="51"/>
      <c r="ID300" s="51"/>
      <c r="IE300" s="51"/>
      <c r="IF300" s="51"/>
      <c r="IG300" s="51"/>
      <c r="IH300" s="51"/>
      <c r="II300" s="51"/>
      <c r="IJ300" s="51"/>
      <c r="IK300" s="51"/>
      <c r="IL300" s="51"/>
      <c r="IM300" s="51"/>
      <c r="IN300" s="51"/>
      <c r="IO300" s="51"/>
      <c r="IP300" s="51"/>
      <c r="IQ300" s="51"/>
      <c r="IR300" s="51"/>
      <c r="IS300" s="51"/>
      <c r="IT300" s="51"/>
      <c r="IU300" s="51"/>
      <c r="IV300" s="51"/>
    </row>
    <row r="301" hidden="1" ht="13.5">
      <c r="B301" s="836" t="s">
        <v>26</v>
      </c>
      <c r="C301" s="827">
        <v>0</v>
      </c>
      <c r="D301" s="827">
        <v>0</v>
      </c>
      <c r="E301" s="827">
        <v>0</v>
      </c>
      <c r="F301" s="827">
        <v>0</v>
      </c>
      <c r="G301" s="827">
        <v>0</v>
      </c>
      <c r="H301" s="827">
        <v>0</v>
      </c>
      <c r="I301" s="827">
        <v>0</v>
      </c>
      <c r="J301" s="827">
        <v>0</v>
      </c>
      <c r="K301" s="827">
        <v>0</v>
      </c>
      <c r="L301" s="827">
        <v>0</v>
      </c>
      <c r="M301" s="827">
        <v>0</v>
      </c>
      <c r="N301" s="827">
        <v>0</v>
      </c>
      <c r="O301" s="827">
        <v>0</v>
      </c>
      <c r="P301" s="827">
        <v>0</v>
      </c>
      <c r="Q301" s="827">
        <v>0</v>
      </c>
      <c r="R301" s="827">
        <v>0</v>
      </c>
      <c r="S301" s="827">
        <v>0</v>
      </c>
      <c r="T301" s="827">
        <v>0</v>
      </c>
      <c r="U301" s="827">
        <v>0</v>
      </c>
      <c r="V301" s="827">
        <v>0</v>
      </c>
      <c r="W301" s="827">
        <v>0</v>
      </c>
      <c r="X301" s="827">
        <v>0</v>
      </c>
      <c r="Y301" s="827">
        <v>0</v>
      </c>
      <c r="Z301" s="827">
        <v>0</v>
      </c>
      <c r="AA301" s="827">
        <v>0</v>
      </c>
      <c r="AB301" s="837">
        <v>0</v>
      </c>
      <c r="AC301" s="828">
        <v>0</v>
      </c>
      <c r="AD301" s="828">
        <v>0</v>
      </c>
      <c r="AE301" s="828">
        <v>0</v>
      </c>
      <c r="AF301" s="828">
        <v>0</v>
      </c>
      <c r="AG301" s="828">
        <v>0</v>
      </c>
      <c r="AH301" s="828">
        <v>0</v>
      </c>
      <c r="AI301" s="828">
        <v>0</v>
      </c>
      <c r="AJ301" s="828">
        <v>0</v>
      </c>
      <c r="AK301" s="828">
        <v>0</v>
      </c>
      <c r="AL301" s="828">
        <v>0</v>
      </c>
      <c r="AM301" s="828">
        <v>0</v>
      </c>
      <c r="AN301" s="828">
        <v>0</v>
      </c>
      <c r="AO301" s="828">
        <v>0</v>
      </c>
      <c r="AP301" s="828">
        <v>0</v>
      </c>
      <c r="AQ301" s="51"/>
      <c r="AR301" s="51"/>
      <c r="AS301" s="51"/>
      <c r="AT301" s="51"/>
      <c r="AU301" s="51"/>
      <c r="AV301" s="51"/>
      <c r="AW301" s="51"/>
      <c r="AX301" s="51"/>
      <c r="AY301" s="51"/>
      <c r="AZ301" s="51"/>
      <c r="BA301" s="51"/>
      <c r="BB301" s="51"/>
      <c r="BC301" s="51"/>
      <c r="BD301" s="51"/>
      <c r="BE301" s="51"/>
      <c r="BF301" s="51"/>
      <c r="BG301" s="51"/>
      <c r="BH301" s="51"/>
      <c r="BI301" s="51"/>
      <c r="BJ301" s="51"/>
      <c r="BK301" s="51"/>
      <c r="BL301" s="51"/>
      <c r="BM301" s="51"/>
      <c r="BN301" s="51"/>
      <c r="BO301" s="51"/>
      <c r="BP301" s="51"/>
      <c r="BQ301" s="51"/>
      <c r="BR301" s="51"/>
      <c r="BS301" s="51"/>
      <c r="BT301" s="51"/>
      <c r="BU301" s="51"/>
      <c r="BV301" s="51"/>
      <c r="BW301" s="51"/>
      <c r="BX301" s="51"/>
      <c r="BY301" s="51"/>
      <c r="BZ301" s="51"/>
      <c r="CA301" s="51"/>
      <c r="CB301" s="51"/>
      <c r="CC301" s="51"/>
      <c r="CD301" s="51"/>
      <c r="CE301" s="51"/>
      <c r="CF301" s="51"/>
      <c r="CG301" s="51"/>
      <c r="CH301" s="51"/>
      <c r="CI301" s="51"/>
      <c r="CJ301" s="51"/>
      <c r="CK301" s="51"/>
      <c r="CL301" s="51"/>
      <c r="CM301" s="51"/>
      <c r="CN301" s="51"/>
      <c r="CO301" s="51"/>
      <c r="CP301" s="51"/>
      <c r="CQ301" s="51"/>
      <c r="CR301" s="51"/>
      <c r="CS301" s="51"/>
      <c r="CT301" s="51"/>
      <c r="CU301" s="51"/>
      <c r="CV301" s="51"/>
      <c r="CW301" s="51"/>
      <c r="CX301" s="51"/>
      <c r="CY301" s="51"/>
      <c r="CZ301" s="51"/>
      <c r="DA301" s="51"/>
      <c r="DB301" s="51"/>
      <c r="DC301" s="51"/>
      <c r="DD301" s="51"/>
      <c r="DE301" s="51"/>
      <c r="DF301" s="51"/>
      <c r="DG301" s="51"/>
      <c r="DH301" s="51"/>
      <c r="DI301" s="51"/>
      <c r="DJ301" s="51"/>
      <c r="DK301" s="51"/>
      <c r="DL301" s="51"/>
      <c r="DM301" s="51"/>
      <c r="DN301" s="51"/>
      <c r="DO301" s="51"/>
      <c r="DP301" s="51"/>
      <c r="DQ301" s="51"/>
      <c r="DR301" s="51"/>
      <c r="DS301" s="51"/>
      <c r="DT301" s="51"/>
      <c r="DU301" s="51"/>
      <c r="DV301" s="51"/>
      <c r="DW301" s="51"/>
      <c r="DX301" s="51"/>
      <c r="DY301" s="51"/>
      <c r="DZ301" s="51"/>
      <c r="EA301" s="51"/>
      <c r="EB301" s="51"/>
      <c r="EC301" s="51"/>
      <c r="ED301" s="51"/>
      <c r="EE301" s="51"/>
      <c r="EF301" s="51"/>
      <c r="EG301" s="51"/>
      <c r="EH301" s="51"/>
      <c r="EI301" s="51"/>
      <c r="EJ301" s="51"/>
      <c r="EK301" s="51"/>
      <c r="EL301" s="51"/>
      <c r="EM301" s="51"/>
      <c r="EN301" s="51"/>
      <c r="EO301" s="51"/>
      <c r="EP301" s="51"/>
      <c r="EQ301" s="51"/>
      <c r="ER301" s="51"/>
      <c r="ES301" s="51"/>
      <c r="ET301" s="51"/>
      <c r="EU301" s="51"/>
      <c r="EV301" s="51"/>
      <c r="EW301" s="51"/>
      <c r="EX301" s="51"/>
      <c r="EY301" s="51"/>
      <c r="EZ301" s="51"/>
      <c r="FA301" s="51"/>
      <c r="FB301" s="51"/>
      <c r="FC301" s="51"/>
      <c r="FD301" s="51"/>
      <c r="FE301" s="51"/>
      <c r="FF301" s="51"/>
      <c r="FG301" s="51"/>
      <c r="FH301" s="51"/>
      <c r="FI301" s="51"/>
      <c r="FJ301" s="51"/>
      <c r="FK301" s="51"/>
      <c r="FL301" s="51"/>
      <c r="FM301" s="51"/>
      <c r="FN301" s="51"/>
      <c r="FO301" s="51"/>
      <c r="FP301" s="51"/>
      <c r="FQ301" s="51"/>
      <c r="FR301" s="51"/>
      <c r="FS301" s="51"/>
      <c r="FT301" s="51"/>
      <c r="FU301" s="51"/>
      <c r="FV301" s="51"/>
      <c r="FW301" s="51"/>
      <c r="FX301" s="51"/>
      <c r="FY301" s="51"/>
      <c r="FZ301" s="51"/>
      <c r="GA301" s="51"/>
      <c r="GB301" s="51"/>
      <c r="GC301" s="51"/>
      <c r="GD301" s="51"/>
      <c r="GE301" s="51"/>
      <c r="GF301" s="51"/>
      <c r="GG301" s="51"/>
      <c r="GH301" s="51"/>
      <c r="GI301" s="51"/>
      <c r="GJ301" s="51"/>
      <c r="GK301" s="51"/>
      <c r="GL301" s="51"/>
      <c r="GM301" s="51"/>
      <c r="GN301" s="51"/>
      <c r="GO301" s="51"/>
      <c r="GP301" s="51"/>
      <c r="GQ301" s="51"/>
      <c r="GR301" s="51"/>
      <c r="GS301" s="51"/>
      <c r="GT301" s="51"/>
      <c r="GU301" s="51"/>
      <c r="GV301" s="51"/>
      <c r="GW301" s="51"/>
      <c r="GX301" s="51"/>
      <c r="GY301" s="51"/>
      <c r="GZ301" s="51"/>
      <c r="HA301" s="51"/>
      <c r="HB301" s="51"/>
      <c r="HC301" s="51"/>
      <c r="HD301" s="51"/>
      <c r="HE301" s="51"/>
      <c r="HF301" s="51"/>
      <c r="HG301" s="51"/>
      <c r="HH301" s="51"/>
      <c r="HI301" s="51"/>
      <c r="HJ301" s="51"/>
      <c r="HK301" s="51"/>
      <c r="HL301" s="51"/>
      <c r="HM301" s="51"/>
      <c r="HN301" s="51"/>
      <c r="HO301" s="51"/>
      <c r="HP301" s="51"/>
      <c r="HQ301" s="51"/>
      <c r="HR301" s="51"/>
      <c r="HS301" s="51"/>
      <c r="HT301" s="51"/>
      <c r="HU301" s="51"/>
      <c r="HV301" s="51"/>
      <c r="HW301" s="51"/>
      <c r="HX301" s="51"/>
      <c r="HY301" s="51"/>
      <c r="HZ301" s="51"/>
      <c r="IA301" s="51"/>
      <c r="IB301" s="51"/>
      <c r="IC301" s="51"/>
      <c r="ID301" s="51"/>
      <c r="IE301" s="51"/>
      <c r="IF301" s="51"/>
      <c r="IG301" s="51"/>
      <c r="IH301" s="51"/>
      <c r="II301" s="51"/>
      <c r="IJ301" s="51"/>
      <c r="IK301" s="51"/>
      <c r="IL301" s="51"/>
      <c r="IM301" s="51"/>
      <c r="IN301" s="51"/>
      <c r="IO301" s="51"/>
      <c r="IP301" s="51"/>
      <c r="IQ301" s="51"/>
      <c r="IR301" s="51"/>
      <c r="IS301" s="51"/>
      <c r="IT301" s="51"/>
      <c r="IU301" s="51"/>
      <c r="IV301" s="51"/>
    </row>
    <row r="302" hidden="1" ht="13.5">
      <c r="B302" s="128" t="s">
        <v>7</v>
      </c>
      <c r="C302" s="129" t="str">
        <f>IF(SUM(C283:C301)&lt;&gt;0,SUM(C283:C301),"")</f>
      </c>
      <c r="D302" s="129" t="str">
        <f ref="D302:AA302" t="shared" si="25">IF(SUM(D283:D301)&lt;&gt;0,SUM(D283:D301),"")</f>
      </c>
      <c r="E302" s="129" t="str">
        <f t="shared" si="25"/>
      </c>
      <c r="F302" s="129" t="str">
        <f t="shared" si="25"/>
      </c>
      <c r="G302" s="129" t="str">
        <f t="shared" si="25"/>
      </c>
      <c r="H302" s="129" t="str">
        <f t="shared" si="25"/>
      </c>
      <c r="I302" s="129" t="str">
        <f t="shared" si="25"/>
      </c>
      <c r="J302" s="129" t="str">
        <f t="shared" si="25"/>
      </c>
      <c r="K302" s="129" t="str">
        <f t="shared" si="25"/>
      </c>
      <c r="L302" s="129" t="str">
        <f t="shared" si="25"/>
      </c>
      <c r="M302" s="129" t="str">
        <f t="shared" si="25"/>
      </c>
      <c r="N302" s="129" t="str">
        <f t="shared" si="25"/>
      </c>
      <c r="O302" s="129" t="str">
        <f t="shared" si="25"/>
      </c>
      <c r="P302" s="129" t="str">
        <f t="shared" si="25"/>
      </c>
      <c r="Q302" s="129" t="str">
        <f t="shared" si="25"/>
      </c>
      <c r="R302" s="129" t="str">
        <f t="shared" si="25"/>
      </c>
      <c r="S302" s="129" t="str">
        <f t="shared" si="25"/>
      </c>
      <c r="T302" s="129" t="str">
        <f t="shared" si="25"/>
      </c>
      <c r="U302" s="129" t="str">
        <f t="shared" si="25"/>
      </c>
      <c r="V302" s="129" t="str">
        <f t="shared" si="25"/>
      </c>
      <c r="W302" s="129" t="str">
        <f t="shared" si="25"/>
      </c>
      <c r="X302" s="129" t="str">
        <f t="shared" si="25"/>
      </c>
      <c r="Y302" s="129" t="str">
        <f t="shared" si="25"/>
      </c>
      <c r="Z302" s="129" t="str">
        <f t="shared" si="25"/>
      </c>
      <c r="AA302" s="129" t="str">
        <f t="shared" si="25"/>
      </c>
      <c r="AB302" s="130" t="str">
        <f>IF(SUM(AB283:AB301)&lt;&gt;0,SUM(AB283:AB301),"")</f>
      </c>
      <c r="AC302" s="91" t="str">
        <f ref="AC302:CN302" t="shared" si="26">IF(SUM(AC283:AC301)&lt;&gt;0,SUM(AC283:AC301),"")</f>
      </c>
      <c r="AD302" s="91" t="str">
        <f t="shared" si="26"/>
      </c>
      <c r="AE302" s="91" t="str">
        <f t="shared" si="26"/>
      </c>
      <c r="AF302" s="91" t="str">
        <f t="shared" si="26"/>
      </c>
      <c r="AG302" s="91" t="str">
        <f t="shared" si="26"/>
      </c>
      <c r="AH302" s="91" t="str">
        <f t="shared" si="26"/>
      </c>
      <c r="AI302" s="91" t="str">
        <f t="shared" si="26"/>
      </c>
      <c r="AJ302" s="91" t="str">
        <f t="shared" si="26"/>
      </c>
      <c r="AK302" s="91" t="str">
        <f t="shared" si="26"/>
      </c>
      <c r="AL302" s="91" t="str">
        <f t="shared" si="26"/>
      </c>
      <c r="AM302" s="91" t="str">
        <f t="shared" si="26"/>
      </c>
      <c r="AN302" s="91" t="str">
        <f t="shared" si="26"/>
      </c>
      <c r="AO302" s="91" t="str">
        <f t="shared" si="26"/>
      </c>
      <c r="AP302" s="91" t="str">
        <f t="shared" si="26"/>
      </c>
      <c r="AQ302" s="91" t="str">
        <f t="shared" si="26"/>
      </c>
      <c r="AR302" s="91" t="str">
        <f t="shared" si="26"/>
      </c>
      <c r="AS302" s="91" t="str">
        <f t="shared" si="26"/>
      </c>
      <c r="AT302" s="91" t="str">
        <f t="shared" si="26"/>
      </c>
      <c r="AU302" s="91" t="str">
        <f t="shared" si="26"/>
      </c>
      <c r="AV302" s="91" t="str">
        <f t="shared" si="26"/>
      </c>
      <c r="AW302" s="91" t="str">
        <f t="shared" si="26"/>
      </c>
      <c r="AX302" s="91" t="str">
        <f t="shared" si="26"/>
      </c>
      <c r="AY302" s="91" t="str">
        <f t="shared" si="26"/>
      </c>
      <c r="AZ302" s="91" t="str">
        <f t="shared" si="26"/>
      </c>
      <c r="BA302" s="91" t="str">
        <f t="shared" si="26"/>
      </c>
      <c r="BB302" s="91" t="str">
        <f t="shared" si="26"/>
      </c>
      <c r="BC302" s="91" t="str">
        <f t="shared" si="26"/>
      </c>
      <c r="BD302" s="91" t="str">
        <f t="shared" si="26"/>
      </c>
      <c r="BE302" s="91" t="str">
        <f t="shared" si="26"/>
      </c>
      <c r="BF302" s="91" t="str">
        <f t="shared" si="26"/>
      </c>
      <c r="BG302" s="91" t="str">
        <f t="shared" si="26"/>
      </c>
      <c r="BH302" s="91" t="str">
        <f t="shared" si="26"/>
      </c>
      <c r="BI302" s="91" t="str">
        <f t="shared" si="26"/>
      </c>
      <c r="BJ302" s="91" t="str">
        <f t="shared" si="26"/>
      </c>
      <c r="BK302" s="91" t="str">
        <f t="shared" si="26"/>
      </c>
      <c r="BL302" s="91" t="str">
        <f t="shared" si="26"/>
      </c>
      <c r="BM302" s="91" t="str">
        <f t="shared" si="26"/>
      </c>
      <c r="BN302" s="91" t="str">
        <f t="shared" si="26"/>
      </c>
      <c r="BO302" s="91" t="str">
        <f t="shared" si="26"/>
      </c>
      <c r="BP302" s="91" t="str">
        <f t="shared" si="26"/>
      </c>
      <c r="BQ302" s="91" t="str">
        <f t="shared" si="26"/>
      </c>
      <c r="BR302" s="91" t="str">
        <f t="shared" si="26"/>
      </c>
      <c r="BS302" s="91" t="str">
        <f t="shared" si="26"/>
      </c>
      <c r="BT302" s="91" t="str">
        <f t="shared" si="26"/>
      </c>
      <c r="BU302" s="91" t="str">
        <f t="shared" si="26"/>
      </c>
      <c r="BV302" s="91" t="str">
        <f t="shared" si="26"/>
      </c>
      <c r="BW302" s="91" t="str">
        <f t="shared" si="26"/>
      </c>
      <c r="BX302" s="91" t="str">
        <f t="shared" si="26"/>
      </c>
      <c r="BY302" s="91" t="str">
        <f t="shared" si="26"/>
      </c>
      <c r="BZ302" s="91" t="str">
        <f t="shared" si="26"/>
      </c>
      <c r="CA302" s="91" t="str">
        <f t="shared" si="26"/>
      </c>
      <c r="CB302" s="91" t="str">
        <f t="shared" si="26"/>
      </c>
      <c r="CC302" s="91" t="str">
        <f t="shared" si="26"/>
      </c>
      <c r="CD302" s="91" t="str">
        <f t="shared" si="26"/>
      </c>
      <c r="CE302" s="91" t="str">
        <f t="shared" si="26"/>
      </c>
      <c r="CF302" s="91" t="str">
        <f t="shared" si="26"/>
      </c>
      <c r="CG302" s="91" t="str">
        <f t="shared" si="26"/>
      </c>
      <c r="CH302" s="91" t="str">
        <f t="shared" si="26"/>
      </c>
      <c r="CI302" s="91" t="str">
        <f t="shared" si="26"/>
      </c>
      <c r="CJ302" s="91" t="str">
        <f t="shared" si="26"/>
      </c>
      <c r="CK302" s="91" t="str">
        <f t="shared" si="26"/>
      </c>
      <c r="CL302" s="91" t="str">
        <f t="shared" si="26"/>
      </c>
      <c r="CM302" s="91" t="str">
        <f t="shared" si="26"/>
      </c>
      <c r="CN302" s="91" t="str">
        <f t="shared" si="26"/>
      </c>
      <c r="CO302" s="91" t="str">
        <f ref="CO302:EZ302" t="shared" si="27">IF(SUM(CO283:CO301)&lt;&gt;0,SUM(CO283:CO301),"")</f>
      </c>
      <c r="CP302" s="91" t="str">
        <f t="shared" si="27"/>
      </c>
      <c r="CQ302" s="91" t="str">
        <f t="shared" si="27"/>
      </c>
      <c r="CR302" s="91" t="str">
        <f t="shared" si="27"/>
      </c>
      <c r="CS302" s="91" t="str">
        <f t="shared" si="27"/>
      </c>
      <c r="CT302" s="91" t="str">
        <f t="shared" si="27"/>
      </c>
      <c r="CU302" s="91" t="str">
        <f t="shared" si="27"/>
      </c>
      <c r="CV302" s="91" t="str">
        <f t="shared" si="27"/>
      </c>
      <c r="CW302" s="91" t="str">
        <f t="shared" si="27"/>
      </c>
      <c r="CX302" s="91" t="str">
        <f t="shared" si="27"/>
      </c>
      <c r="CY302" s="91" t="str">
        <f t="shared" si="27"/>
      </c>
      <c r="CZ302" s="91" t="str">
        <f t="shared" si="27"/>
      </c>
      <c r="DA302" s="91" t="str">
        <f t="shared" si="27"/>
      </c>
      <c r="DB302" s="91" t="str">
        <f t="shared" si="27"/>
      </c>
      <c r="DC302" s="91" t="str">
        <f t="shared" si="27"/>
      </c>
      <c r="DD302" s="91" t="str">
        <f t="shared" si="27"/>
      </c>
      <c r="DE302" s="91" t="str">
        <f t="shared" si="27"/>
      </c>
      <c r="DF302" s="91" t="str">
        <f t="shared" si="27"/>
      </c>
      <c r="DG302" s="91" t="str">
        <f t="shared" si="27"/>
      </c>
      <c r="DH302" s="91" t="str">
        <f t="shared" si="27"/>
      </c>
      <c r="DI302" s="91" t="str">
        <f t="shared" si="27"/>
      </c>
      <c r="DJ302" s="91" t="str">
        <f t="shared" si="27"/>
      </c>
      <c r="DK302" s="91" t="str">
        <f t="shared" si="27"/>
      </c>
      <c r="DL302" s="91" t="str">
        <f t="shared" si="27"/>
      </c>
      <c r="DM302" s="91" t="str">
        <f t="shared" si="27"/>
      </c>
      <c r="DN302" s="91" t="str">
        <f t="shared" si="27"/>
      </c>
      <c r="DO302" s="91" t="str">
        <f t="shared" si="27"/>
      </c>
      <c r="DP302" s="91" t="str">
        <f t="shared" si="27"/>
      </c>
      <c r="DQ302" s="91" t="str">
        <f t="shared" si="27"/>
      </c>
      <c r="DR302" s="91" t="str">
        <f t="shared" si="27"/>
      </c>
      <c r="DS302" s="91" t="str">
        <f t="shared" si="27"/>
      </c>
      <c r="DT302" s="91" t="str">
        <f t="shared" si="27"/>
      </c>
      <c r="DU302" s="91" t="str">
        <f t="shared" si="27"/>
      </c>
      <c r="DV302" s="91" t="str">
        <f t="shared" si="27"/>
      </c>
      <c r="DW302" s="91" t="str">
        <f t="shared" si="27"/>
      </c>
      <c r="DX302" s="91" t="str">
        <f t="shared" si="27"/>
      </c>
      <c r="DY302" s="91" t="str">
        <f t="shared" si="27"/>
      </c>
      <c r="DZ302" s="91" t="str">
        <f t="shared" si="27"/>
      </c>
      <c r="EA302" s="91" t="str">
        <f t="shared" si="27"/>
      </c>
      <c r="EB302" s="91" t="str">
        <f t="shared" si="27"/>
      </c>
      <c r="EC302" s="91" t="str">
        <f t="shared" si="27"/>
      </c>
      <c r="ED302" s="91" t="str">
        <f t="shared" si="27"/>
      </c>
      <c r="EE302" s="91" t="str">
        <f t="shared" si="27"/>
      </c>
      <c r="EF302" s="91" t="str">
        <f t="shared" si="27"/>
      </c>
      <c r="EG302" s="91" t="str">
        <f t="shared" si="27"/>
      </c>
      <c r="EH302" s="91" t="str">
        <f t="shared" si="27"/>
      </c>
      <c r="EI302" s="91" t="str">
        <f t="shared" si="27"/>
      </c>
      <c r="EJ302" s="91" t="str">
        <f t="shared" si="27"/>
      </c>
      <c r="EK302" s="91" t="str">
        <f t="shared" si="27"/>
      </c>
      <c r="EL302" s="91" t="str">
        <f t="shared" si="27"/>
      </c>
      <c r="EM302" s="91" t="str">
        <f t="shared" si="27"/>
      </c>
      <c r="EN302" s="91" t="str">
        <f t="shared" si="27"/>
      </c>
      <c r="EO302" s="91" t="str">
        <f t="shared" si="27"/>
      </c>
      <c r="EP302" s="91" t="str">
        <f t="shared" si="27"/>
      </c>
      <c r="EQ302" s="91" t="str">
        <f t="shared" si="27"/>
      </c>
      <c r="ER302" s="91" t="str">
        <f t="shared" si="27"/>
      </c>
      <c r="ES302" s="91" t="str">
        <f t="shared" si="27"/>
      </c>
      <c r="ET302" s="91" t="str">
        <f t="shared" si="27"/>
      </c>
      <c r="EU302" s="91" t="str">
        <f t="shared" si="27"/>
      </c>
      <c r="EV302" s="91" t="str">
        <f t="shared" si="27"/>
      </c>
      <c r="EW302" s="91" t="str">
        <f t="shared" si="27"/>
      </c>
      <c r="EX302" s="91" t="str">
        <f t="shared" si="27"/>
      </c>
      <c r="EY302" s="91" t="str">
        <f t="shared" si="27"/>
      </c>
      <c r="EZ302" s="91" t="str">
        <f t="shared" si="27"/>
      </c>
      <c r="FA302" s="91" t="str">
        <f ref="FA302:HL302" t="shared" si="28">IF(SUM(FA283:FA301)&lt;&gt;0,SUM(FA283:FA301),"")</f>
      </c>
      <c r="FB302" s="91" t="str">
        <f t="shared" si="28"/>
      </c>
      <c r="FC302" s="91" t="str">
        <f t="shared" si="28"/>
      </c>
      <c r="FD302" s="91" t="str">
        <f t="shared" si="28"/>
      </c>
      <c r="FE302" s="91" t="str">
        <f t="shared" si="28"/>
      </c>
      <c r="FF302" s="91" t="str">
        <f t="shared" si="28"/>
      </c>
      <c r="FG302" s="91" t="str">
        <f t="shared" si="28"/>
      </c>
      <c r="FH302" s="91" t="str">
        <f t="shared" si="28"/>
      </c>
      <c r="FI302" s="91" t="str">
        <f t="shared" si="28"/>
      </c>
      <c r="FJ302" s="91" t="str">
        <f t="shared" si="28"/>
      </c>
      <c r="FK302" s="91" t="str">
        <f t="shared" si="28"/>
      </c>
      <c r="FL302" s="91" t="str">
        <f t="shared" si="28"/>
      </c>
      <c r="FM302" s="91" t="str">
        <f t="shared" si="28"/>
      </c>
      <c r="FN302" s="91" t="str">
        <f t="shared" si="28"/>
      </c>
      <c r="FO302" s="91" t="str">
        <f t="shared" si="28"/>
      </c>
      <c r="FP302" s="91" t="str">
        <f t="shared" si="28"/>
      </c>
      <c r="FQ302" s="91" t="str">
        <f t="shared" si="28"/>
      </c>
      <c r="FR302" s="91" t="str">
        <f t="shared" si="28"/>
      </c>
      <c r="FS302" s="91" t="str">
        <f t="shared" si="28"/>
      </c>
      <c r="FT302" s="91" t="str">
        <f t="shared" si="28"/>
      </c>
      <c r="FU302" s="91" t="str">
        <f t="shared" si="28"/>
      </c>
      <c r="FV302" s="91" t="str">
        <f t="shared" si="28"/>
      </c>
      <c r="FW302" s="91" t="str">
        <f t="shared" si="28"/>
      </c>
      <c r="FX302" s="91" t="str">
        <f t="shared" si="28"/>
      </c>
      <c r="FY302" s="91" t="str">
        <f t="shared" si="28"/>
      </c>
      <c r="FZ302" s="91" t="str">
        <f t="shared" si="28"/>
      </c>
      <c r="GA302" s="91" t="str">
        <f t="shared" si="28"/>
      </c>
      <c r="GB302" s="91" t="str">
        <f t="shared" si="28"/>
      </c>
      <c r="GC302" s="91" t="str">
        <f t="shared" si="28"/>
      </c>
      <c r="GD302" s="91" t="str">
        <f t="shared" si="28"/>
      </c>
      <c r="GE302" s="91" t="str">
        <f t="shared" si="28"/>
      </c>
      <c r="GF302" s="91" t="str">
        <f t="shared" si="28"/>
      </c>
      <c r="GG302" s="91" t="str">
        <f t="shared" si="28"/>
      </c>
      <c r="GH302" s="91" t="str">
        <f t="shared" si="28"/>
      </c>
      <c r="GI302" s="91" t="str">
        <f t="shared" si="28"/>
      </c>
      <c r="GJ302" s="91" t="str">
        <f t="shared" si="28"/>
      </c>
      <c r="GK302" s="91" t="str">
        <f t="shared" si="28"/>
      </c>
      <c r="GL302" s="91" t="str">
        <f t="shared" si="28"/>
      </c>
      <c r="GM302" s="91" t="str">
        <f t="shared" si="28"/>
      </c>
      <c r="GN302" s="91" t="str">
        <f t="shared" si="28"/>
      </c>
      <c r="GO302" s="91" t="str">
        <f t="shared" si="28"/>
      </c>
      <c r="GP302" s="91" t="str">
        <f t="shared" si="28"/>
      </c>
      <c r="GQ302" s="91" t="str">
        <f t="shared" si="28"/>
      </c>
      <c r="GR302" s="91" t="str">
        <f t="shared" si="28"/>
      </c>
      <c r="GS302" s="91" t="str">
        <f t="shared" si="28"/>
      </c>
      <c r="GT302" s="91" t="str">
        <f t="shared" si="28"/>
      </c>
      <c r="GU302" s="91" t="str">
        <f t="shared" si="28"/>
      </c>
      <c r="GV302" s="91" t="str">
        <f t="shared" si="28"/>
      </c>
      <c r="GW302" s="91" t="str">
        <f t="shared" si="28"/>
      </c>
      <c r="GX302" s="91" t="str">
        <f t="shared" si="28"/>
      </c>
      <c r="GY302" s="91" t="str">
        <f t="shared" si="28"/>
      </c>
      <c r="GZ302" s="91" t="str">
        <f t="shared" si="28"/>
      </c>
      <c r="HA302" s="91" t="str">
        <f t="shared" si="28"/>
      </c>
      <c r="HB302" s="91" t="str">
        <f t="shared" si="28"/>
      </c>
      <c r="HC302" s="91" t="str">
        <f t="shared" si="28"/>
      </c>
      <c r="HD302" s="91" t="str">
        <f t="shared" si="28"/>
      </c>
      <c r="HE302" s="91" t="str">
        <f t="shared" si="28"/>
      </c>
      <c r="HF302" s="91" t="str">
        <f t="shared" si="28"/>
      </c>
      <c r="HG302" s="91" t="str">
        <f t="shared" si="28"/>
      </c>
      <c r="HH302" s="91" t="str">
        <f t="shared" si="28"/>
      </c>
      <c r="HI302" s="91" t="str">
        <f t="shared" si="28"/>
      </c>
      <c r="HJ302" s="91" t="str">
        <f t="shared" si="28"/>
      </c>
      <c r="HK302" s="91" t="str">
        <f t="shared" si="28"/>
      </c>
      <c r="HL302" s="91" t="str">
        <f t="shared" si="28"/>
      </c>
      <c r="HM302" s="91" t="str">
        <f ref="HM302:IV302" t="shared" si="29">IF(SUM(HM283:HM301)&lt;&gt;0,SUM(HM283:HM301),"")</f>
      </c>
      <c r="HN302" s="91" t="str">
        <f t="shared" si="29"/>
      </c>
      <c r="HO302" s="91" t="str">
        <f t="shared" si="29"/>
      </c>
      <c r="HP302" s="91" t="str">
        <f t="shared" si="29"/>
      </c>
      <c r="HQ302" s="91" t="str">
        <f t="shared" si="29"/>
      </c>
      <c r="HR302" s="91" t="str">
        <f t="shared" si="29"/>
      </c>
      <c r="HS302" s="91" t="str">
        <f t="shared" si="29"/>
      </c>
      <c r="HT302" s="91" t="str">
        <f t="shared" si="29"/>
      </c>
      <c r="HU302" s="91" t="str">
        <f t="shared" si="29"/>
      </c>
      <c r="HV302" s="91" t="str">
        <f t="shared" si="29"/>
      </c>
      <c r="HW302" s="91" t="str">
        <f t="shared" si="29"/>
      </c>
      <c r="HX302" s="91" t="str">
        <f t="shared" si="29"/>
      </c>
      <c r="HY302" s="91" t="str">
        <f t="shared" si="29"/>
      </c>
      <c r="HZ302" s="91" t="str">
        <f t="shared" si="29"/>
      </c>
      <c r="IA302" s="91" t="str">
        <f t="shared" si="29"/>
      </c>
      <c r="IB302" s="91" t="str">
        <f t="shared" si="29"/>
      </c>
      <c r="IC302" s="91" t="str">
        <f t="shared" si="29"/>
      </c>
      <c r="ID302" s="91" t="str">
        <f t="shared" si="29"/>
      </c>
      <c r="IE302" s="91" t="str">
        <f t="shared" si="29"/>
      </c>
      <c r="IF302" s="91" t="str">
        <f t="shared" si="29"/>
      </c>
      <c r="IG302" s="91" t="str">
        <f t="shared" si="29"/>
      </c>
      <c r="IH302" s="91" t="str">
        <f t="shared" si="29"/>
      </c>
      <c r="II302" s="91" t="str">
        <f t="shared" si="29"/>
      </c>
      <c r="IJ302" s="91" t="str">
        <f t="shared" si="29"/>
      </c>
      <c r="IK302" s="91" t="str">
        <f t="shared" si="29"/>
      </c>
      <c r="IL302" s="91" t="str">
        <f t="shared" si="29"/>
      </c>
      <c r="IM302" s="91" t="str">
        <f t="shared" si="29"/>
      </c>
      <c r="IN302" s="91" t="str">
        <f t="shared" si="29"/>
      </c>
      <c r="IO302" s="91" t="str">
        <f t="shared" si="29"/>
      </c>
      <c r="IP302" s="91" t="str">
        <f t="shared" si="29"/>
      </c>
      <c r="IQ302" s="91" t="str">
        <f t="shared" si="29"/>
      </c>
      <c r="IR302" s="91" t="str">
        <f t="shared" si="29"/>
      </c>
      <c r="IS302" s="91" t="str">
        <f t="shared" si="29"/>
      </c>
      <c r="IT302" s="91" t="str">
        <f t="shared" si="29"/>
      </c>
      <c r="IU302" s="91" t="str">
        <f t="shared" si="29"/>
      </c>
      <c r="IV302" s="91" t="str">
        <f t="shared" si="29"/>
      </c>
    </row>
    <row r="303" hidden="1" ht="13.5"/>
    <row r="304" hidden="1" ht="15.75" customHeight="1">
      <c r="C304" s="732" t="s">
        <v>419</v>
      </c>
      <c r="D304" s="733"/>
      <c r="E304" s="733"/>
      <c r="F304" s="733"/>
      <c r="G304" s="733"/>
      <c r="H304" s="733"/>
      <c r="I304" s="733"/>
      <c r="J304" s="733"/>
      <c r="K304" s="733"/>
      <c r="L304" s="733"/>
      <c r="M304" s="733"/>
      <c r="N304" s="733"/>
      <c r="O304" s="733"/>
      <c r="P304" s="733"/>
      <c r="Q304" s="733"/>
      <c r="R304" s="733"/>
      <c r="S304" s="733"/>
      <c r="T304" s="733"/>
      <c r="U304" s="733"/>
      <c r="V304" s="733"/>
      <c r="W304" s="733"/>
      <c r="X304" s="733"/>
      <c r="Y304" s="733"/>
      <c r="Z304" s="733"/>
      <c r="AA304" s="733"/>
      <c r="AB304" s="734"/>
    </row>
    <row r="305" hidden="1" ht="15" customHeight="1">
      <c r="B305" s="51"/>
      <c r="C305" s="435" t="str">
        <f> IF(C325&lt;&gt;"",TEXT(AUX!G$1,"dd-MMM-aa"),"")</f>
      </c>
      <c r="D305" s="435" t="str">
        <f> IF(D325&lt;&gt;"",TEXT(AUX!H$1,"dd-MMM-aa"),"")</f>
      </c>
      <c r="E305" s="435" t="str">
        <f> IF(E325&lt;&gt;"",TEXT(AUX!I$1,"dd-MMM-aa"),"")</f>
      </c>
      <c r="F305" s="435" t="str">
        <f> IF(F325&lt;&gt;"",TEXT(AUX!J$1,"dd-MMM-aa"),"")</f>
      </c>
      <c r="G305" s="435" t="str">
        <f> IF(G325&lt;&gt;"",TEXT(AUX!K$1,"dd-MMM-aa"),"")</f>
      </c>
      <c r="H305" s="435" t="str">
        <f> IF(H325&lt;&gt;"",TEXT(AUX!L$1,"dd-MMM-aa"),"")</f>
      </c>
      <c r="I305" s="435" t="str">
        <f> IF(I325&lt;&gt;"",TEXT(AUX!M$1,"dd-MMM-aa"),"")</f>
      </c>
      <c r="J305" s="435" t="str">
        <f> IF(J325&lt;&gt;"",TEXT(AUX!N$1,"dd-MMM-aa"),"")</f>
      </c>
      <c r="K305" s="435" t="str">
        <f> IF(K325&lt;&gt;"",TEXT(AUX!O$1,"dd-MMM-aa"),"")</f>
      </c>
      <c r="L305" s="435" t="str">
        <f> IF(L325&lt;&gt;"",TEXT(AUX!P$1,"dd-MMM-aa"),"")</f>
      </c>
      <c r="M305" s="435" t="str">
        <f> IF(M325&lt;&gt;"",TEXT(AUX!Q$1,"dd-MMM-aa"),"")</f>
      </c>
      <c r="N305" s="435" t="str">
        <f> IF(N325&lt;&gt;"",TEXT(AUX!R$1,"dd-MMM-aa"),"")</f>
      </c>
      <c r="O305" s="435" t="str">
        <f> IF(O325&lt;&gt;"",TEXT(AUX!S$1,"dd-MMM-aa"),"")</f>
      </c>
      <c r="P305" s="435" t="str">
        <f> IF(P325&lt;&gt;"",TEXT(AUX!T$1,"dd-MMM-aa"),"")</f>
      </c>
      <c r="Q305" s="435" t="str">
        <f> IF(Q325&lt;&gt;"",TEXT(AUX!U$1,"dd-MMM-aa"),"")</f>
      </c>
      <c r="R305" s="435" t="str">
        <f> IF(R325&lt;&gt;"",TEXT(AUX!V$1,"dd-MMM-aa"),"")</f>
      </c>
      <c r="S305" s="435" t="str">
        <f> IF(S325&lt;&gt;"",TEXT(AUX!W$1,"dd-MMM-aa"),"")</f>
      </c>
      <c r="T305" s="435" t="str">
        <f> IF(T325&lt;&gt;"",TEXT(AUX!X$1,"dd-MMM-aa"),"")</f>
      </c>
      <c r="U305" s="435" t="str">
        <f> IF(U325&lt;&gt;"",TEXT(AUX!Y$1,"dd-MMM-aa"),"")</f>
      </c>
      <c r="V305" s="435" t="str">
        <f> IF(V325&lt;&gt;"",TEXT(AUX!Z$1,"dd-MMM-aa"),"")</f>
      </c>
      <c r="W305" s="435" t="str">
        <f> IF(W325&lt;&gt;"",TEXT(AUX!AA$1,"dd-MMM-aa"),"")</f>
      </c>
      <c r="X305" s="435" t="str">
        <f> IF(X325&lt;&gt;"",TEXT(AUX!AB$1,"dd-MMM-aa"),"")</f>
      </c>
      <c r="Y305" s="435" t="str">
        <f> IF(Y325&lt;&gt;"",TEXT(AUX!AC$1,"dd-MMM-aa"),"")</f>
      </c>
      <c r="Z305" s="435" t="str">
        <f> IF(Z325&lt;&gt;"",TEXT(AUX!AD$1,"dd-MMM-aa"),"")</f>
      </c>
      <c r="AA305" s="435" t="str">
        <f> IF(AA325&lt;&gt;"",TEXT(AUX!AE$1,"dd-MMM-aa"),"")</f>
      </c>
      <c r="AB305" s="497" t="str">
        <f> IF(AB325&lt;&gt;"",TEXT(AUX!AF$1,"dd-MMM-aa"),"")</f>
      </c>
      <c r="AC305" s="496" t="str">
        <f> IF(AC325&lt;&gt;"",TEXT(AUX!AG$1,"dd-MMM-aa"),"")</f>
      </c>
      <c r="AD305" s="496" t="str">
        <f> IF(AD325&lt;&gt;"",TEXT(AUX!AH$1,"dd-MMM-aa"),"")</f>
      </c>
      <c r="AE305" s="496" t="str">
        <f> IF(AE325&lt;&gt;"",TEXT(AUX!AI$1,"dd-MMM-aa"),"")</f>
      </c>
      <c r="AF305" s="496" t="str">
        <f> IF(AF325&lt;&gt;"",TEXT(AUX!AJ$1,"dd-MMM-aa"),"")</f>
      </c>
      <c r="AG305" s="496" t="str">
        <f> IF(AG325&lt;&gt;"",TEXT(AUX!AK$1,"dd-MMM-aa"),"")</f>
      </c>
      <c r="AH305" s="496" t="str">
        <f> IF(AH325&lt;&gt;"",TEXT(AUX!AL$1,"dd-MMM-aa"),"")</f>
      </c>
      <c r="AI305" s="496" t="str">
        <f> IF(AI325&lt;&gt;"",TEXT(AUX!AM$1,"dd-MMM-aa"),"")</f>
      </c>
      <c r="AJ305" s="496" t="str">
        <f> IF(AJ325&lt;&gt;"",TEXT(AUX!AN$1,"dd-MMM-aa"),"")</f>
      </c>
      <c r="AK305" s="496" t="str">
        <f> IF(AK325&lt;&gt;"",TEXT(AUX!AO$1,"dd-MMM-aa"),"")</f>
      </c>
      <c r="AL305" s="496" t="str">
        <f> IF(AL325&lt;&gt;"",TEXT(AUX!AP$1,"dd-MMM-aa"),"")</f>
      </c>
      <c r="AM305" s="496" t="str">
        <f> IF(AM325&lt;&gt;"",TEXT(AUX!AQ$1,"dd-MMM-aa"),"")</f>
      </c>
      <c r="AN305" s="496" t="str">
        <f> IF(AN325&lt;&gt;"",TEXT(AUX!AR$1,"dd-MMM-aa"),"")</f>
      </c>
      <c r="AO305" s="496" t="str">
        <f> IF(AO325&lt;&gt;"",TEXT(AUX!AS$1,"dd-MMM-aa"),"")</f>
      </c>
      <c r="AP305" s="496" t="str">
        <f> IF(AP325&lt;&gt;"",TEXT(AUX!AT$1,"dd-MMM-aa"),"")</f>
      </c>
      <c r="AQ305" s="496" t="str">
        <f> IF(AQ325&lt;&gt;"",TEXT(AUX!AU$1,"dd-MMM-aa"),"")</f>
      </c>
      <c r="AR305" s="496" t="str">
        <f> IF(AR325&lt;&gt;"",TEXT(AUX!AV$1,"dd-MMM-aa"),"")</f>
      </c>
      <c r="AS305" s="496" t="str">
        <f> IF(AS325&lt;&gt;"",TEXT(AUX!AW$1,"dd-MMM-aa"),"")</f>
      </c>
      <c r="AT305" s="496" t="str">
        <f> IF(AT325&lt;&gt;"",TEXT(AUX!AX$1,"dd-MMM-aa"),"")</f>
      </c>
      <c r="AU305" s="496" t="str">
        <f> IF(AU325&lt;&gt;"",TEXT(AUX!AY$1,"dd-MMM-aa"),"")</f>
      </c>
      <c r="AV305" s="496" t="str">
        <f> IF(AV325&lt;&gt;"",TEXT(AUX!AZ$1,"dd-MMM-aa"),"")</f>
      </c>
      <c r="AW305" s="496" t="str">
        <f> IF(AW325&lt;&gt;"",TEXT(AUX!BA$1,"dd-MMM-aa"),"")</f>
      </c>
      <c r="AX305" s="496" t="str">
        <f> IF(AX325&lt;&gt;"",TEXT(AUX!BB$1,"dd-MMM-aa"),"")</f>
      </c>
      <c r="AY305" s="496" t="str">
        <f> IF(AY325&lt;&gt;"",TEXT(AUX!BC$1,"dd-MMM-aa"),"")</f>
      </c>
      <c r="AZ305" s="496" t="str">
        <f> IF(AZ325&lt;&gt;"",TEXT(AUX!BD$1,"dd-MMM-aa"),"")</f>
      </c>
      <c r="BA305" s="496" t="str">
        <f> IF(BA325&lt;&gt;"",TEXT(AUX!BE$1,"dd-MMM-aa"),"")</f>
      </c>
      <c r="BB305" s="496" t="str">
        <f> IF(BB325&lt;&gt;"",TEXT(AUX!BF$1,"dd-MMM-aa"),"")</f>
      </c>
      <c r="BC305" s="496" t="str">
        <f> IF(BC325&lt;&gt;"",TEXT(AUX!BG$1,"dd-MMM-aa"),"")</f>
      </c>
      <c r="BD305" s="496" t="str">
        <f> IF(BD325&lt;&gt;"",TEXT(AUX!BH$1,"dd-MMM-aa"),"")</f>
      </c>
      <c r="BE305" s="496" t="str">
        <f> IF(BE325&lt;&gt;"",TEXT(AUX!BI$1,"dd-MMM-aa"),"")</f>
      </c>
      <c r="BF305" s="496" t="str">
        <f> IF(BF325&lt;&gt;"",TEXT(AUX!BJ$1,"dd-MMM-aa"),"")</f>
      </c>
      <c r="BG305" s="496" t="str">
        <f> IF(BG325&lt;&gt;"",TEXT(AUX!BK$1,"dd-MMM-aa"),"")</f>
      </c>
      <c r="BH305" s="496" t="str">
        <f> IF(BH325&lt;&gt;"",TEXT(AUX!BL$1,"dd-MMM-aa"),"")</f>
      </c>
      <c r="BI305" s="496" t="str">
        <f> IF(BI325&lt;&gt;"",TEXT(AUX!BM$1,"dd-MMM-aa"),"")</f>
      </c>
      <c r="BJ305" s="496" t="str">
        <f> IF(BJ325&lt;&gt;"",TEXT(AUX!BN$1,"dd-MMM-aa"),"")</f>
      </c>
      <c r="BK305" s="496" t="str">
        <f> IF(BK325&lt;&gt;"",TEXT(AUX!BO$1,"dd-MMM-aa"),"")</f>
      </c>
      <c r="BL305" s="496" t="str">
        <f> IF(BL325&lt;&gt;"",TEXT(AUX!BP$1,"dd-MMM-aa"),"")</f>
      </c>
      <c r="BM305" s="496" t="str">
        <f> IF(BM325&lt;&gt;"",TEXT(AUX!BQ$1,"dd-MMM-aa"),"")</f>
      </c>
      <c r="BN305" s="496" t="str">
        <f> IF(BN325&lt;&gt;"",TEXT(AUX!BR$1,"dd-MMM-aa"),"")</f>
      </c>
      <c r="BO305" s="496" t="str">
        <f> IF(BO325&lt;&gt;"",TEXT(AUX!BS$1,"dd-MMM-aa"),"")</f>
      </c>
      <c r="BP305" s="496" t="str">
        <f> IF(BP325&lt;&gt;"",TEXT(AUX!BT$1,"dd-MMM-aa"),"")</f>
      </c>
      <c r="BQ305" s="496" t="str">
        <f> IF(BQ325&lt;&gt;"",TEXT(AUX!BU$1,"dd-MMM-aa"),"")</f>
      </c>
      <c r="BR305" s="496" t="str">
        <f> IF(BR325&lt;&gt;"",TEXT(AUX!BV$1,"dd-MMM-aa"),"")</f>
      </c>
      <c r="BS305" s="496" t="str">
        <f> IF(BS325&lt;&gt;"",TEXT(AUX!BW$1,"dd-MMM-aa"),"")</f>
      </c>
      <c r="BT305" s="496" t="str">
        <f> IF(BT325&lt;&gt;"",TEXT(AUX!BX$1,"dd-MMM-aa"),"")</f>
      </c>
      <c r="BU305" s="496" t="str">
        <f> IF(BU325&lt;&gt;"",TEXT(AUX!BY$1,"dd-MMM-aa"),"")</f>
      </c>
      <c r="BV305" s="496" t="str">
        <f> IF(BV325&lt;&gt;"",TEXT(AUX!BZ$1,"dd-MMM-aa"),"")</f>
      </c>
      <c r="BW305" s="496" t="str">
        <f> IF(BW325&lt;&gt;"",TEXT(AUX!CA$1,"dd-MMM-aa"),"")</f>
      </c>
      <c r="BX305" s="496" t="str">
        <f> IF(BX325&lt;&gt;"",TEXT(AUX!CB$1,"dd-MMM-aa"),"")</f>
      </c>
      <c r="BY305" s="496" t="str">
        <f> IF(BY325&lt;&gt;"",TEXT(AUX!CC$1,"dd-MMM-aa"),"")</f>
      </c>
      <c r="BZ305" s="496" t="str">
        <f> IF(BZ325&lt;&gt;"",TEXT(AUX!CD$1,"dd-MMM-aa"),"")</f>
      </c>
      <c r="CA305" s="496" t="str">
        <f> IF(CA325&lt;&gt;"",TEXT(AUX!CE$1,"dd-MMM-aa"),"")</f>
      </c>
      <c r="CB305" s="496" t="str">
        <f> IF(CB325&lt;&gt;"",TEXT(AUX!CF$1,"dd-MMM-aa"),"")</f>
      </c>
      <c r="CC305" s="496" t="str">
        <f> IF(CC325&lt;&gt;"",TEXT(AUX!CG$1,"dd-MMM-aa"),"")</f>
      </c>
      <c r="CD305" s="496" t="str">
        <f> IF(CD325&lt;&gt;"",TEXT(AUX!CH$1,"dd-MMM-aa"),"")</f>
      </c>
      <c r="CE305" s="496" t="str">
        <f> IF(CE325&lt;&gt;"",TEXT(AUX!CI$1,"dd-MMM-aa"),"")</f>
      </c>
      <c r="CF305" s="496" t="str">
        <f> IF(CF325&lt;&gt;"",TEXT(AUX!CJ$1,"dd-MMM-aa"),"")</f>
      </c>
      <c r="CG305" s="496" t="str">
        <f> IF(CG325&lt;&gt;"",TEXT(AUX!CK$1,"dd-MMM-aa"),"")</f>
      </c>
      <c r="CH305" s="496" t="str">
        <f> IF(CH325&lt;&gt;"",TEXT(AUX!CL$1,"dd-MMM-aa"),"")</f>
      </c>
      <c r="CI305" s="496" t="str">
        <f> IF(CI325&lt;&gt;"",TEXT(AUX!CM$1,"dd-MMM-aa"),"")</f>
      </c>
      <c r="CJ305" s="496" t="str">
        <f> IF(CJ325&lt;&gt;"",TEXT(AUX!CN$1,"dd-MMM-aa"),"")</f>
      </c>
      <c r="CK305" s="496" t="str">
        <f> IF(CK325&lt;&gt;"",TEXT(AUX!CO$1,"dd-MMM-aa"),"")</f>
      </c>
      <c r="CL305" s="496" t="str">
        <f> IF(CL325&lt;&gt;"",TEXT(AUX!CP$1,"dd-MMM-aa"),"")</f>
      </c>
      <c r="CM305" s="496" t="str">
        <f> IF(CM325&lt;&gt;"",TEXT(AUX!CQ$1,"dd-MMM-aa"),"")</f>
      </c>
      <c r="CN305" s="496" t="str">
        <f> IF(CN325&lt;&gt;"",TEXT(AUX!CR$1,"dd-MMM-aa"),"")</f>
      </c>
      <c r="CO305" s="496" t="str">
        <f> IF(CO325&lt;&gt;"",TEXT(AUX!CS$1,"dd-MMM-aa"),"")</f>
      </c>
      <c r="CP305" s="496" t="str">
        <f> IF(CP325&lt;&gt;"",TEXT(AUX!CT$1,"dd-MMM-aa"),"")</f>
      </c>
      <c r="CQ305" s="496" t="str">
        <f> IF(CQ325&lt;&gt;"",TEXT(AUX!CU$1,"dd-MMM-aa"),"")</f>
      </c>
      <c r="CR305" s="496" t="str">
        <f> IF(CR325&lt;&gt;"",TEXT(AUX!CV$1,"dd-MMM-aa"),"")</f>
      </c>
      <c r="CS305" s="496" t="str">
        <f> IF(CS325&lt;&gt;"",TEXT(AUX!CW$1,"dd-MMM-aa"),"")</f>
      </c>
      <c r="CT305" s="496" t="str">
        <f> IF(CT325&lt;&gt;"",TEXT(AUX!CX$1,"dd-MMM-aa"),"")</f>
      </c>
      <c r="CU305" s="496" t="str">
        <f> IF(CU325&lt;&gt;"",TEXT(AUX!CY$1,"dd-MMM-aa"),"")</f>
      </c>
      <c r="CV305" s="496" t="str">
        <f> IF(CV325&lt;&gt;"",TEXT(AUX!CZ$1,"dd-MMM-aa"),"")</f>
      </c>
      <c r="CW305" s="496" t="str">
        <f> IF(CW325&lt;&gt;"",TEXT(AUX!DA$1,"dd-MMM-aa"),"")</f>
      </c>
      <c r="CX305" s="496" t="str">
        <f> IF(CX325&lt;&gt;"",TEXT(AUX!DB$1,"dd-MMM-aa"),"")</f>
      </c>
      <c r="CY305" s="496" t="str">
        <f> IF(CY325&lt;&gt;"",TEXT(AUX!DC$1,"dd-MMM-aa"),"")</f>
      </c>
      <c r="CZ305" s="496" t="str">
        <f> IF(CZ325&lt;&gt;"",TEXT(AUX!DD$1,"dd-MMM-aa"),"")</f>
      </c>
      <c r="DA305" s="496" t="str">
        <f> IF(DA325&lt;&gt;"",TEXT(AUX!DE$1,"dd-MMM-aa"),"")</f>
      </c>
      <c r="DB305" s="496" t="str">
        <f> IF(DB325&lt;&gt;"",TEXT(AUX!DF$1,"dd-MMM-aa"),"")</f>
      </c>
      <c r="DC305" s="496" t="str">
        <f> IF(DC325&lt;&gt;"",TEXT(AUX!DG$1,"dd-MMM-aa"),"")</f>
      </c>
      <c r="DD305" s="496" t="str">
        <f> IF(DD325&lt;&gt;"",TEXT(AUX!DH$1,"dd-MMM-aa"),"")</f>
      </c>
      <c r="DE305" s="496" t="str">
        <f> IF(DE325&lt;&gt;"",TEXT(AUX!DI$1,"dd-MMM-aa"),"")</f>
      </c>
      <c r="DF305" s="496" t="str">
        <f> IF(DF325&lt;&gt;"",TEXT(AUX!DJ$1,"dd-MMM-aa"),"")</f>
      </c>
      <c r="DG305" s="496" t="str">
        <f> IF(DG325&lt;&gt;"",TEXT(AUX!DK$1,"dd-MMM-aa"),"")</f>
      </c>
      <c r="DH305" s="496" t="str">
        <f> IF(DH325&lt;&gt;"",TEXT(AUX!DL$1,"dd-MMM-aa"),"")</f>
      </c>
      <c r="DI305" s="496" t="str">
        <f> IF(DI325&lt;&gt;"",TEXT(AUX!DM$1,"dd-MMM-aa"),"")</f>
      </c>
      <c r="DJ305" s="496" t="str">
        <f> IF(DJ325&lt;&gt;"",TEXT(AUX!DN$1,"dd-MMM-aa"),"")</f>
      </c>
      <c r="DK305" s="496" t="str">
        <f> IF(DK325&lt;&gt;"",TEXT(AUX!DO$1,"dd-MMM-aa"),"")</f>
      </c>
      <c r="DL305" s="496" t="str">
        <f> IF(DL325&lt;&gt;"",TEXT(AUX!DP$1,"dd-MMM-aa"),"")</f>
      </c>
      <c r="DM305" s="496" t="str">
        <f> IF(DM325&lt;&gt;"",TEXT(AUX!DQ$1,"dd-MMM-aa"),"")</f>
      </c>
      <c r="DN305" s="496" t="str">
        <f> IF(DN325&lt;&gt;"",TEXT(AUX!DR$1,"dd-MMM-aa"),"")</f>
      </c>
      <c r="DO305" s="496" t="str">
        <f> IF(DO325&lt;&gt;"",TEXT(AUX!DS$1,"dd-MMM-aa"),"")</f>
      </c>
      <c r="DP305" s="496" t="str">
        <f> IF(DP325&lt;&gt;"",TEXT(AUX!DT$1,"dd-MMM-aa"),"")</f>
      </c>
      <c r="DQ305" s="496" t="str">
        <f> IF(DQ325&lt;&gt;"",TEXT(AUX!DU$1,"dd-MMM-aa"),"")</f>
      </c>
      <c r="DR305" s="496" t="str">
        <f> IF(DR325&lt;&gt;"",TEXT(AUX!DV$1,"dd-MMM-aa"),"")</f>
      </c>
      <c r="DS305" s="496" t="str">
        <f> IF(DS325&lt;&gt;"",TEXT(AUX!DW$1,"dd-MMM-aa"),"")</f>
      </c>
      <c r="DT305" s="496" t="str">
        <f> IF(DT325&lt;&gt;"",TEXT(AUX!DX$1,"dd-MMM-aa"),"")</f>
      </c>
      <c r="DU305" s="496" t="str">
        <f> IF(DU325&lt;&gt;"",TEXT(AUX!DY$1,"dd-MMM-aa"),"")</f>
      </c>
      <c r="DV305" s="496" t="str">
        <f> IF(DV325&lt;&gt;"",TEXT(AUX!DZ$1,"dd-MMM-aa"),"")</f>
      </c>
      <c r="DW305" s="496" t="str">
        <f> IF(DW325&lt;&gt;"",TEXT(AUX!EA$1,"dd-MMM-aa"),"")</f>
      </c>
      <c r="DX305" s="496" t="str">
        <f> IF(DX325&lt;&gt;"",TEXT(AUX!EB$1,"dd-MMM-aa"),"")</f>
      </c>
      <c r="DY305" s="496" t="str">
        <f> IF(DY325&lt;&gt;"",TEXT(AUX!EC$1,"dd-MMM-aa"),"")</f>
      </c>
      <c r="DZ305" s="496" t="str">
        <f> IF(DZ325&lt;&gt;"",TEXT(AUX!ED$1,"dd-MMM-aa"),"")</f>
      </c>
      <c r="EA305" s="496" t="str">
        <f> IF(EA325&lt;&gt;"",TEXT(AUX!EE$1,"dd-MMM-aa"),"")</f>
      </c>
      <c r="EB305" s="496" t="str">
        <f> IF(EB325&lt;&gt;"",TEXT(AUX!EF$1,"dd-MMM-aa"),"")</f>
      </c>
      <c r="EC305" s="496" t="str">
        <f> IF(EC325&lt;&gt;"",TEXT(AUX!EG$1,"dd-MMM-aa"),"")</f>
      </c>
      <c r="ED305" s="496" t="str">
        <f> IF(ED325&lt;&gt;"",TEXT(AUX!EH$1,"dd-MMM-aa"),"")</f>
      </c>
      <c r="EE305" s="496" t="str">
        <f> IF(EE325&lt;&gt;"",TEXT(AUX!EI$1,"dd-MMM-aa"),"")</f>
      </c>
      <c r="EF305" s="496" t="str">
        <f> IF(EF325&lt;&gt;"",TEXT(AUX!EJ$1,"dd-MMM-aa"),"")</f>
      </c>
      <c r="EG305" s="496" t="str">
        <f> IF(EG325&lt;&gt;"",TEXT(AUX!EK$1,"dd-MMM-aa"),"")</f>
      </c>
      <c r="EH305" s="496" t="str">
        <f> IF(EH325&lt;&gt;"",TEXT(AUX!EL$1,"dd-MMM-aa"),"")</f>
      </c>
      <c r="EI305" s="496" t="str">
        <f> IF(EI325&lt;&gt;"",TEXT(AUX!EM$1,"dd-MMM-aa"),"")</f>
      </c>
      <c r="EJ305" s="496" t="str">
        <f> IF(EJ325&lt;&gt;"",TEXT(AUX!EN$1,"dd-MMM-aa"),"")</f>
      </c>
      <c r="EK305" s="496" t="str">
        <f> IF(EK325&lt;&gt;"",TEXT(AUX!EO$1,"dd-MMM-aa"),"")</f>
      </c>
      <c r="EL305" s="496" t="str">
        <f> IF(EL325&lt;&gt;"",TEXT(AUX!EP$1,"dd-MMM-aa"),"")</f>
      </c>
      <c r="EM305" s="496" t="str">
        <f> IF(EM325&lt;&gt;"",TEXT(AUX!EQ$1,"dd-MMM-aa"),"")</f>
      </c>
      <c r="EN305" s="496" t="str">
        <f> IF(EN325&lt;&gt;"",TEXT(AUX!ER$1,"dd-MMM-aa"),"")</f>
      </c>
      <c r="EO305" s="496" t="str">
        <f> IF(EO325&lt;&gt;"",TEXT(AUX!ES$1,"dd-MMM-aa"),"")</f>
      </c>
      <c r="EP305" s="496" t="str">
        <f> IF(EP325&lt;&gt;"",TEXT(AUX!ET$1,"dd-MMM-aa"),"")</f>
      </c>
      <c r="EQ305" s="496" t="str">
        <f> IF(EQ325&lt;&gt;"",TEXT(AUX!EU$1,"dd-MMM-aa"),"")</f>
      </c>
      <c r="ER305" s="496" t="str">
        <f> IF(ER325&lt;&gt;"",TEXT(AUX!EV$1,"dd-MMM-aa"),"")</f>
      </c>
      <c r="ES305" s="496" t="str">
        <f> IF(ES325&lt;&gt;"",TEXT(AUX!EW$1,"dd-MMM-aa"),"")</f>
      </c>
      <c r="ET305" s="496" t="str">
        <f> IF(ET325&lt;&gt;"",TEXT(AUX!EX$1,"dd-MMM-aa"),"")</f>
      </c>
      <c r="EU305" s="496" t="str">
        <f> IF(EU325&lt;&gt;"",TEXT(AUX!EY$1,"dd-MMM-aa"),"")</f>
      </c>
      <c r="EV305" s="496" t="str">
        <f> IF(EV325&lt;&gt;"",TEXT(AUX!EZ$1,"dd-MMM-aa"),"")</f>
      </c>
      <c r="EW305" s="496" t="str">
        <f> IF(EW325&lt;&gt;"",TEXT(AUX!FA$1,"dd-MMM-aa"),"")</f>
      </c>
      <c r="EX305" s="496" t="str">
        <f> IF(EX325&lt;&gt;"",TEXT(AUX!FB$1,"dd-MMM-aa"),"")</f>
      </c>
      <c r="EY305" s="496" t="str">
        <f> IF(EY325&lt;&gt;"",TEXT(AUX!FC$1,"dd-MMM-aa"),"")</f>
      </c>
      <c r="EZ305" s="496" t="str">
        <f> IF(EZ325&lt;&gt;"",TEXT(AUX!FD$1,"dd-MMM-aa"),"")</f>
      </c>
      <c r="FA305" s="496" t="str">
        <f> IF(FA325&lt;&gt;"",TEXT(AUX!FE$1,"dd-MMM-aa"),"")</f>
      </c>
      <c r="FB305" s="496" t="str">
        <f> IF(FB325&lt;&gt;"",TEXT(AUX!FF$1,"dd-MMM-aa"),"")</f>
      </c>
      <c r="FC305" s="496" t="str">
        <f> IF(FC325&lt;&gt;"",TEXT(AUX!FG$1,"dd-MMM-aa"),"")</f>
      </c>
      <c r="FD305" s="496" t="str">
        <f> IF(FD325&lt;&gt;"",TEXT(AUX!FH$1,"dd-MMM-aa"),"")</f>
      </c>
      <c r="FE305" s="496" t="str">
        <f> IF(FE325&lt;&gt;"",TEXT(AUX!FI$1,"dd-MMM-aa"),"")</f>
      </c>
      <c r="FF305" s="496" t="str">
        <f> IF(FF325&lt;&gt;"",TEXT(AUX!FJ$1,"dd-MMM-aa"),"")</f>
      </c>
      <c r="FG305" s="496" t="str">
        <f> IF(FG325&lt;&gt;"",TEXT(AUX!FK$1,"dd-MMM-aa"),"")</f>
      </c>
      <c r="FH305" s="496" t="str">
        <f> IF(FH325&lt;&gt;"",TEXT(AUX!FL$1,"dd-MMM-aa"),"")</f>
      </c>
      <c r="FI305" s="496" t="str">
        <f> IF(FI325&lt;&gt;"",TEXT(AUX!FM$1,"dd-MMM-aa"),"")</f>
      </c>
      <c r="FJ305" s="496" t="str">
        <f> IF(FJ325&lt;&gt;"",TEXT(AUX!FN$1,"dd-MMM-aa"),"")</f>
      </c>
      <c r="FK305" s="496" t="str">
        <f> IF(FK325&lt;&gt;"",TEXT(AUX!FO$1,"dd-MMM-aa"),"")</f>
      </c>
      <c r="FL305" s="496" t="str">
        <f> IF(FL325&lt;&gt;"",TEXT(AUX!FP$1,"dd-MMM-aa"),"")</f>
      </c>
      <c r="FM305" s="496" t="str">
        <f> IF(FM325&lt;&gt;"",TEXT(AUX!FQ$1,"dd-MMM-aa"),"")</f>
      </c>
      <c r="FN305" s="496" t="str">
        <f> IF(FN325&lt;&gt;"",TEXT(AUX!FR$1,"dd-MMM-aa"),"")</f>
      </c>
      <c r="FO305" s="496" t="str">
        <f> IF(FO325&lt;&gt;"",TEXT(AUX!FS$1,"dd-MMM-aa"),"")</f>
      </c>
      <c r="FP305" s="496" t="str">
        <f> IF(FP325&lt;&gt;"",TEXT(AUX!FT$1,"dd-MMM-aa"),"")</f>
      </c>
      <c r="FQ305" s="496" t="str">
        <f> IF(FQ325&lt;&gt;"",TEXT(AUX!FU$1,"dd-MMM-aa"),"")</f>
      </c>
      <c r="FR305" s="496" t="str">
        <f> IF(FR325&lt;&gt;"",TEXT(AUX!FV$1,"dd-MMM-aa"),"")</f>
      </c>
      <c r="FS305" s="496" t="str">
        <f> IF(FS325&lt;&gt;"",TEXT(AUX!FW$1,"dd-MMM-aa"),"")</f>
      </c>
      <c r="FT305" s="496" t="str">
        <f> IF(FT325&lt;&gt;"",TEXT(AUX!FX$1,"dd-MMM-aa"),"")</f>
      </c>
      <c r="FU305" s="496" t="str">
        <f> IF(FU325&lt;&gt;"",TEXT(AUX!FY$1,"dd-MMM-aa"),"")</f>
      </c>
      <c r="FV305" s="496" t="str">
        <f> IF(FV325&lt;&gt;"",TEXT(AUX!FZ$1,"dd-MMM-aa"),"")</f>
      </c>
      <c r="FW305" s="496" t="str">
        <f> IF(FW325&lt;&gt;"",TEXT(AUX!GA$1,"dd-MMM-aa"),"")</f>
      </c>
      <c r="FX305" s="496" t="str">
        <f> IF(FX325&lt;&gt;"",TEXT(AUX!GB$1,"dd-MMM-aa"),"")</f>
      </c>
      <c r="FY305" s="496" t="str">
        <f> IF(FY325&lt;&gt;"",TEXT(AUX!GC$1,"dd-MMM-aa"),"")</f>
      </c>
      <c r="FZ305" s="496" t="str">
        <f> IF(FZ325&lt;&gt;"",TEXT(AUX!GD$1,"dd-MMM-aa"),"")</f>
      </c>
      <c r="GA305" s="496" t="str">
        <f> IF(GA325&lt;&gt;"",TEXT(AUX!GE$1,"dd-MMM-aa"),"")</f>
      </c>
      <c r="GB305" s="496" t="str">
        <f> IF(GB325&lt;&gt;"",TEXT(AUX!GF$1,"dd-MMM-aa"),"")</f>
      </c>
      <c r="GC305" s="496" t="str">
        <f> IF(GC325&lt;&gt;"",TEXT(AUX!GG$1,"dd-MMM-aa"),"")</f>
      </c>
      <c r="GD305" s="496" t="str">
        <f> IF(GD325&lt;&gt;"",TEXT(AUX!GH$1,"dd-MMM-aa"),"")</f>
      </c>
      <c r="GE305" s="496" t="str">
        <f> IF(GE325&lt;&gt;"",TEXT(AUX!GI$1,"dd-MMM-aa"),"")</f>
      </c>
      <c r="GF305" s="496" t="str">
        <f> IF(GF325&lt;&gt;"",TEXT(AUX!GJ$1,"dd-MMM-aa"),"")</f>
      </c>
      <c r="GG305" s="496" t="str">
        <f> IF(GG325&lt;&gt;"",TEXT(AUX!GK$1,"dd-MMM-aa"),"")</f>
      </c>
      <c r="GH305" s="496" t="str">
        <f> IF(GH325&lt;&gt;"",TEXT(AUX!GL$1,"dd-MMM-aa"),"")</f>
      </c>
      <c r="GI305" s="496" t="str">
        <f> IF(GI325&lt;&gt;"",TEXT(AUX!GM$1,"dd-MMM-aa"),"")</f>
      </c>
      <c r="GJ305" s="496" t="str">
        <f> IF(GJ325&lt;&gt;"",TEXT(AUX!GN$1,"dd-MMM-aa"),"")</f>
      </c>
      <c r="GK305" s="496" t="str">
        <f> IF(GK325&lt;&gt;"",TEXT(AUX!GO$1,"dd-MMM-aa"),"")</f>
      </c>
      <c r="GL305" s="496" t="str">
        <f> IF(GL325&lt;&gt;"",TEXT(AUX!GP$1,"dd-MMM-aa"),"")</f>
      </c>
      <c r="GM305" s="496" t="str">
        <f> IF(GM325&lt;&gt;"",TEXT(AUX!GQ$1,"dd-MMM-aa"),"")</f>
      </c>
      <c r="GN305" s="496" t="str">
        <f> IF(GN325&lt;&gt;"",TEXT(AUX!GR$1,"dd-MMM-aa"),"")</f>
      </c>
      <c r="GO305" s="496" t="str">
        <f> IF(GO325&lt;&gt;"",TEXT(AUX!GS$1,"dd-MMM-aa"),"")</f>
      </c>
      <c r="GP305" s="496" t="str">
        <f> IF(GP325&lt;&gt;"",TEXT(AUX!GT$1,"dd-MMM-aa"),"")</f>
      </c>
      <c r="GQ305" s="496" t="str">
        <f> IF(GQ325&lt;&gt;"",TEXT(AUX!GU$1,"dd-MMM-aa"),"")</f>
      </c>
      <c r="GR305" s="496" t="str">
        <f> IF(GR325&lt;&gt;"",TEXT(AUX!GV$1,"dd-MMM-aa"),"")</f>
      </c>
      <c r="GS305" s="496" t="str">
        <f> IF(GS325&lt;&gt;"",TEXT(AUX!GW$1,"dd-MMM-aa"),"")</f>
      </c>
      <c r="GT305" s="496" t="str">
        <f> IF(GT325&lt;&gt;"",TEXT(AUX!GX$1,"dd-MMM-aa"),"")</f>
      </c>
      <c r="GU305" s="496" t="str">
        <f> IF(GU325&lt;&gt;"",TEXT(AUX!GY$1,"dd-MMM-aa"),"")</f>
      </c>
      <c r="GV305" s="496" t="str">
        <f> IF(GV325&lt;&gt;"",TEXT(AUX!GZ$1,"dd-MMM-aa"),"")</f>
      </c>
      <c r="GW305" s="496" t="str">
        <f> IF(GW325&lt;&gt;"",TEXT(AUX!HA$1,"dd-MMM-aa"),"")</f>
      </c>
      <c r="GX305" s="496" t="str">
        <f> IF(GX325&lt;&gt;"",TEXT(AUX!HB$1,"dd-MMM-aa"),"")</f>
      </c>
      <c r="GY305" s="496" t="str">
        <f> IF(GY325&lt;&gt;"",TEXT(AUX!HC$1,"dd-MMM-aa"),"")</f>
      </c>
      <c r="GZ305" s="496" t="str">
        <f> IF(GZ325&lt;&gt;"",TEXT(AUX!HD$1,"dd-MMM-aa"),"")</f>
      </c>
      <c r="HA305" s="496" t="str">
        <f> IF(HA325&lt;&gt;"",TEXT(AUX!HE$1,"dd-MMM-aa"),"")</f>
      </c>
      <c r="HB305" s="496" t="str">
        <f> IF(HB325&lt;&gt;"",TEXT(AUX!HF$1,"dd-MMM-aa"),"")</f>
      </c>
      <c r="HC305" s="496" t="str">
        <f> IF(HC325&lt;&gt;"",TEXT(AUX!HG$1,"dd-MMM-aa"),"")</f>
      </c>
      <c r="HD305" s="496" t="str">
        <f> IF(HD325&lt;&gt;"",TEXT(AUX!HH$1,"dd-MMM-aa"),"")</f>
      </c>
      <c r="HE305" s="496" t="str">
        <f> IF(HE325&lt;&gt;"",TEXT(AUX!HI$1,"dd-MMM-aa"),"")</f>
      </c>
      <c r="HF305" s="496" t="str">
        <f> IF(HF325&lt;&gt;"",TEXT(AUX!HJ$1,"dd-MMM-aa"),"")</f>
      </c>
      <c r="HG305" s="496" t="str">
        <f> IF(HG325&lt;&gt;"",TEXT(AUX!HK$1,"dd-MMM-aa"),"")</f>
      </c>
      <c r="HH305" s="496" t="str">
        <f> IF(HH325&lt;&gt;"",TEXT(AUX!HL$1,"dd-MMM-aa"),"")</f>
      </c>
      <c r="HI305" s="496" t="str">
        <f> IF(HI325&lt;&gt;"",TEXT(AUX!HM$1,"dd-MMM-aa"),"")</f>
      </c>
      <c r="HJ305" s="496" t="str">
        <f> IF(HJ325&lt;&gt;"",TEXT(AUX!HN$1,"dd-MMM-aa"),"")</f>
      </c>
      <c r="HK305" s="496" t="str">
        <f> IF(HK325&lt;&gt;"",TEXT(AUX!HO$1,"dd-MMM-aa"),"")</f>
      </c>
      <c r="HL305" s="496" t="str">
        <f> IF(HL325&lt;&gt;"",TEXT(AUX!HP$1,"dd-MMM-aa"),"")</f>
      </c>
      <c r="HM305" s="496" t="str">
        <f> IF(HM325&lt;&gt;"",TEXT(AUX!HQ$1,"dd-MMM-aa"),"")</f>
      </c>
      <c r="HN305" s="496" t="str">
        <f> IF(HN325&lt;&gt;"",TEXT(AUX!HR$1,"dd-MMM-aa"),"")</f>
      </c>
      <c r="HO305" s="496" t="str">
        <f> IF(HO325&lt;&gt;"",TEXT(AUX!HS$1,"dd-MMM-aa"),"")</f>
      </c>
      <c r="HP305" s="496" t="str">
        <f> IF(HP325&lt;&gt;"",TEXT(AUX!HT$1,"dd-MMM-aa"),"")</f>
      </c>
      <c r="HQ305" s="496" t="str">
        <f> IF(HQ325&lt;&gt;"",TEXT(AUX!HU$1,"dd-MMM-aa"),"")</f>
      </c>
      <c r="HR305" s="496" t="str">
        <f> IF(HR325&lt;&gt;"",TEXT(AUX!HV$1,"dd-MMM-aa"),"")</f>
      </c>
      <c r="HS305" s="496" t="str">
        <f> IF(HS325&lt;&gt;"",TEXT(AUX!HW$1,"dd-MMM-aa"),"")</f>
      </c>
      <c r="HT305" s="496" t="str">
        <f> IF(HT325&lt;&gt;"",TEXT(AUX!HX$1,"dd-MMM-aa"),"")</f>
      </c>
      <c r="HU305" s="496" t="str">
        <f> IF(HU325&lt;&gt;"",TEXT(AUX!HY$1,"dd-MMM-aa"),"")</f>
      </c>
      <c r="HV305" s="496" t="str">
        <f> IF(HV325&lt;&gt;"",TEXT(AUX!HZ$1,"dd-MMM-aa"),"")</f>
      </c>
      <c r="HW305" s="496" t="str">
        <f> IF(HW325&lt;&gt;"",TEXT(AUX!IA$1,"dd-MMM-aa"),"")</f>
      </c>
      <c r="HX305" s="496" t="str">
        <f> IF(HX325&lt;&gt;"",TEXT(AUX!IB$1,"dd-MMM-aa"),"")</f>
      </c>
      <c r="HY305" s="496" t="str">
        <f> IF(HY325&lt;&gt;"",TEXT(AUX!IC$1,"dd-MMM-aa"),"")</f>
      </c>
      <c r="HZ305" s="496" t="str">
        <f> IF(HZ325&lt;&gt;"",TEXT(AUX!ID$1,"dd-MMM-aa"),"")</f>
      </c>
      <c r="IA305" s="496" t="str">
        <f> IF(IA325&lt;&gt;"",TEXT(AUX!IE$1,"dd-MMM-aa"),"")</f>
      </c>
      <c r="IB305" s="496" t="str">
        <f> IF(IB325&lt;&gt;"",TEXT(AUX!IF$1,"dd-MMM-aa"),"")</f>
      </c>
      <c r="IC305" s="496" t="str">
        <f> IF(IC325&lt;&gt;"",TEXT(AUX!IG$1,"dd-MMM-aa"),"")</f>
      </c>
      <c r="ID305" s="496" t="str">
        <f> IF(ID325&lt;&gt;"",TEXT(AUX!IH$1,"dd-MMM-aa"),"")</f>
      </c>
      <c r="IE305" s="496" t="str">
        <f> IF(IE325&lt;&gt;"",TEXT(AUX!II$1,"dd-MMM-aa"),"")</f>
      </c>
      <c r="IF305" s="496" t="str">
        <f> IF(IF325&lt;&gt;"",TEXT(AUX!IJ$1,"dd-MMM-aa"),"")</f>
      </c>
      <c r="IG305" s="496" t="str">
        <f> IF(IG325&lt;&gt;"",TEXT(AUX!IK$1,"dd-MMM-aa"),"")</f>
      </c>
      <c r="IH305" s="496" t="str">
        <f> IF(IH325&lt;&gt;"",TEXT(AUX!IL$1,"dd-MMM-aa"),"")</f>
      </c>
      <c r="II305" s="496" t="str">
        <f> IF(II325&lt;&gt;"",TEXT(AUX!IM$1,"dd-MMM-aa"),"")</f>
      </c>
      <c r="IJ305" s="496" t="str">
        <f> IF(IJ325&lt;&gt;"",TEXT(AUX!IN$1,"dd-MMM-aa"),"")</f>
      </c>
      <c r="IK305" s="496" t="str">
        <f> IF(IK325&lt;&gt;"",TEXT(AUX!IO$1,"dd-MMM-aa"),"")</f>
      </c>
      <c r="IL305" s="496" t="str">
        <f> IF(IL325&lt;&gt;"",TEXT(AUX!IP$1,"dd-MMM-aa"),"")</f>
      </c>
      <c r="IM305" s="496" t="str">
        <f> IF(IM325&lt;&gt;"",TEXT(AUX!IQ$1,"dd-MMM-aa"),"")</f>
      </c>
      <c r="IN305" s="496" t="str">
        <f> IF(IN325&lt;&gt;"",TEXT(AUX!IR$1,"dd-MMM-aa"),"")</f>
      </c>
      <c r="IO305" s="496" t="str">
        <f> IF(IO325&lt;&gt;"",TEXT(AUX!IS$1,"dd-MMM-aa"),"")</f>
      </c>
      <c r="IP305" s="496" t="str">
        <f> IF(IP325&lt;&gt;"",TEXT(AUX!IT$1,"dd-MMM-aa"),"")</f>
      </c>
      <c r="IQ305" s="496" t="str">
        <f> IF(IQ325&lt;&gt;"",TEXT(AUX!IU$1,"dd-MMM-aa"),"")</f>
      </c>
      <c r="IR305" s="496" t="str">
        <f> IF(IR325&lt;&gt;"",TEXT(AUX!IV$1,"dd-MMM-aa"),"")</f>
      </c>
      <c r="IS305" s="496" t="str">
        <f> IF(IS325&lt;&gt;"",TEXT(AUX!#REF!,"dd-MMM-aa"),"")</f>
      </c>
      <c r="IT305" s="496" t="str">
        <f> IF(IT325&lt;&gt;"",TEXT(AUX!#REF!,"dd-MMM-aa"),"")</f>
      </c>
      <c r="IU305" s="496" t="str">
        <f> IF(IU325&lt;&gt;"",TEXT(AUX!#REF!,"dd-MMM-aa"),"")</f>
      </c>
      <c r="IV305" s="496" t="str">
        <f> IF(IV325&lt;&gt;"",TEXT(AUX!#REF!,"dd-MMM-aa"),"")</f>
      </c>
    </row>
    <row r="306" hidden="1">
      <c r="B306" s="822" t="s">
        <v>8</v>
      </c>
      <c r="C306" s="823">
        <v>0</v>
      </c>
      <c r="D306" s="823">
        <v>12196</v>
      </c>
      <c r="E306" s="823">
        <v>33906</v>
      </c>
      <c r="F306" s="823">
        <v>42510</v>
      </c>
      <c r="G306" s="823">
        <v>46384</v>
      </c>
      <c r="H306" s="823">
        <v>49044</v>
      </c>
      <c r="I306" s="823">
        <v>50963</v>
      </c>
      <c r="J306" s="823">
        <v>53127</v>
      </c>
      <c r="K306" s="823">
        <v>54878</v>
      </c>
      <c r="L306" s="823">
        <v>56115</v>
      </c>
      <c r="M306" s="823">
        <v>57250</v>
      </c>
      <c r="N306" s="823">
        <v>58611</v>
      </c>
      <c r="O306" s="823">
        <v>0</v>
      </c>
      <c r="P306" s="823">
        <v>0</v>
      </c>
      <c r="Q306" s="823">
        <v>0</v>
      </c>
      <c r="R306" s="823">
        <v>0</v>
      </c>
      <c r="S306" s="823">
        <v>0</v>
      </c>
      <c r="T306" s="823">
        <v>0</v>
      </c>
      <c r="U306" s="823">
        <v>0</v>
      </c>
      <c r="V306" s="823">
        <v>0</v>
      </c>
      <c r="W306" s="823">
        <v>0</v>
      </c>
      <c r="X306" s="823">
        <v>0</v>
      </c>
      <c r="Y306" s="823">
        <v>0</v>
      </c>
      <c r="Z306" s="823">
        <v>0</v>
      </c>
      <c r="AA306" s="823">
        <v>0</v>
      </c>
      <c r="AB306" s="824">
        <v>0</v>
      </c>
      <c r="AC306" s="825">
        <v>0</v>
      </c>
      <c r="AD306" s="825">
        <v>0</v>
      </c>
      <c r="AE306" s="825">
        <v>0</v>
      </c>
      <c r="AF306" s="825">
        <v>0</v>
      </c>
      <c r="AG306" s="825">
        <v>0</v>
      </c>
      <c r="AH306" s="825">
        <v>0</v>
      </c>
      <c r="AI306" s="825">
        <v>0</v>
      </c>
      <c r="AJ306" s="825">
        <v>0</v>
      </c>
      <c r="AK306" s="825">
        <v>0</v>
      </c>
      <c r="AL306" s="825">
        <v>0</v>
      </c>
      <c r="AM306" s="825">
        <v>0</v>
      </c>
      <c r="AN306" s="825">
        <v>0</v>
      </c>
      <c r="AO306" s="825">
        <v>0</v>
      </c>
      <c r="AP306" s="825">
        <v>0</v>
      </c>
      <c r="AQ306" s="51"/>
      <c r="AR306" s="51"/>
      <c r="AS306" s="51"/>
      <c r="AT306" s="51"/>
      <c r="AU306" s="51"/>
      <c r="AV306" s="51"/>
      <c r="AW306" s="51"/>
      <c r="AX306" s="51"/>
      <c r="AY306" s="51"/>
      <c r="AZ306" s="51"/>
      <c r="BA306" s="51"/>
      <c r="BB306" s="51"/>
      <c r="BC306" s="51"/>
      <c r="BD306" s="51"/>
      <c r="BE306" s="51"/>
      <c r="BF306" s="51"/>
      <c r="BG306" s="51"/>
      <c r="BH306" s="51"/>
      <c r="BI306" s="51"/>
      <c r="BJ306" s="51"/>
      <c r="BK306" s="51"/>
      <c r="BL306" s="51"/>
      <c r="BM306" s="51"/>
      <c r="BN306" s="51"/>
      <c r="BO306" s="51"/>
      <c r="BP306" s="51"/>
      <c r="BQ306" s="51"/>
      <c r="BR306" s="51"/>
      <c r="BS306" s="51"/>
      <c r="BT306" s="51"/>
      <c r="BU306" s="51"/>
      <c r="BV306" s="51"/>
      <c r="BW306" s="51"/>
      <c r="BX306" s="51"/>
      <c r="BY306" s="51"/>
      <c r="BZ306" s="51"/>
      <c r="CA306" s="51"/>
      <c r="CB306" s="51"/>
      <c r="CC306" s="51"/>
      <c r="CD306" s="51"/>
      <c r="CE306" s="51"/>
      <c r="CF306" s="51"/>
      <c r="CG306" s="51"/>
      <c r="CH306" s="51"/>
      <c r="CI306" s="51"/>
      <c r="CJ306" s="51"/>
      <c r="CK306" s="51"/>
      <c r="CL306" s="51"/>
      <c r="CM306" s="51"/>
      <c r="CN306" s="51"/>
      <c r="CO306" s="51"/>
      <c r="CP306" s="51"/>
      <c r="CQ306" s="51"/>
      <c r="CR306" s="51"/>
      <c r="CS306" s="51"/>
      <c r="CT306" s="51"/>
      <c r="CU306" s="51"/>
      <c r="CV306" s="51"/>
      <c r="CW306" s="51"/>
      <c r="CX306" s="51"/>
      <c r="CY306" s="51"/>
      <c r="CZ306" s="51"/>
      <c r="DA306" s="51"/>
      <c r="DB306" s="51"/>
      <c r="DC306" s="51"/>
      <c r="DD306" s="51"/>
      <c r="DE306" s="51"/>
      <c r="DF306" s="51"/>
      <c r="DG306" s="51"/>
      <c r="DH306" s="51"/>
      <c r="DI306" s="51"/>
      <c r="DJ306" s="51"/>
      <c r="DK306" s="51"/>
      <c r="DL306" s="51"/>
      <c r="DM306" s="51"/>
      <c r="DN306" s="51"/>
      <c r="DO306" s="51"/>
      <c r="DP306" s="51"/>
      <c r="DQ306" s="51"/>
      <c r="DR306" s="51"/>
      <c r="DS306" s="51"/>
      <c r="DT306" s="51"/>
      <c r="DU306" s="51"/>
      <c r="DV306" s="51"/>
      <c r="DW306" s="51"/>
      <c r="DX306" s="51"/>
      <c r="DY306" s="51"/>
      <c r="DZ306" s="51"/>
      <c r="EA306" s="51"/>
      <c r="EB306" s="51"/>
      <c r="EC306" s="51"/>
      <c r="ED306" s="51"/>
      <c r="EE306" s="51"/>
      <c r="EF306" s="51"/>
      <c r="EG306" s="51"/>
      <c r="EH306" s="51"/>
      <c r="EI306" s="51"/>
      <c r="EJ306" s="51"/>
      <c r="EK306" s="51"/>
      <c r="EL306" s="51"/>
      <c r="EM306" s="51"/>
      <c r="EN306" s="51"/>
      <c r="EO306" s="51"/>
      <c r="EP306" s="51"/>
      <c r="EQ306" s="51"/>
      <c r="ER306" s="51"/>
      <c r="ES306" s="51"/>
      <c r="ET306" s="51"/>
      <c r="EU306" s="51"/>
      <c r="EV306" s="51"/>
      <c r="EW306" s="51"/>
      <c r="EX306" s="51"/>
      <c r="EY306" s="51"/>
      <c r="EZ306" s="51"/>
      <c r="FA306" s="51"/>
      <c r="FB306" s="51"/>
      <c r="FC306" s="51"/>
      <c r="FD306" s="51"/>
      <c r="FE306" s="51"/>
      <c r="FF306" s="51"/>
      <c r="FG306" s="51"/>
      <c r="FH306" s="51"/>
      <c r="FI306" s="51"/>
      <c r="FJ306" s="51"/>
      <c r="FK306" s="51"/>
      <c r="FL306" s="51"/>
      <c r="FM306" s="51"/>
      <c r="FN306" s="51"/>
      <c r="FO306" s="51"/>
      <c r="FP306" s="51"/>
      <c r="FQ306" s="51"/>
      <c r="FR306" s="51"/>
      <c r="FS306" s="51"/>
      <c r="FT306" s="51"/>
      <c r="FU306" s="51"/>
      <c r="FV306" s="51"/>
      <c r="FW306" s="51"/>
      <c r="FX306" s="51"/>
      <c r="FY306" s="51"/>
      <c r="FZ306" s="51"/>
      <c r="GA306" s="51"/>
      <c r="GB306" s="51"/>
      <c r="GC306" s="51"/>
      <c r="GD306" s="51"/>
      <c r="GE306" s="51"/>
      <c r="GF306" s="51"/>
      <c r="GG306" s="51"/>
      <c r="GH306" s="51"/>
      <c r="GI306" s="51"/>
      <c r="GJ306" s="51"/>
      <c r="GK306" s="51"/>
      <c r="GL306" s="51"/>
      <c r="GM306" s="51"/>
      <c r="GN306" s="51"/>
      <c r="GO306" s="51"/>
      <c r="GP306" s="51"/>
      <c r="GQ306" s="51"/>
      <c r="GR306" s="51"/>
      <c r="GS306" s="51"/>
      <c r="GT306" s="51"/>
      <c r="GU306" s="51"/>
      <c r="GV306" s="51"/>
      <c r="GW306" s="51"/>
      <c r="GX306" s="51"/>
      <c r="GY306" s="51"/>
      <c r="GZ306" s="51"/>
      <c r="HA306" s="51"/>
      <c r="HB306" s="51"/>
      <c r="HC306" s="51"/>
      <c r="HD306" s="51"/>
      <c r="HE306" s="51"/>
      <c r="HF306" s="51"/>
      <c r="HG306" s="51"/>
      <c r="HH306" s="51"/>
      <c r="HI306" s="51"/>
      <c r="HJ306" s="51"/>
      <c r="HK306" s="51"/>
      <c r="HL306" s="51"/>
      <c r="HM306" s="51"/>
      <c r="HN306" s="51"/>
      <c r="HO306" s="51"/>
      <c r="HP306" s="51"/>
      <c r="HQ306" s="51"/>
      <c r="HR306" s="51"/>
      <c r="HS306" s="51"/>
      <c r="HT306" s="51"/>
      <c r="HU306" s="51"/>
      <c r="HV306" s="51"/>
      <c r="HW306" s="51"/>
      <c r="HX306" s="51"/>
      <c r="HY306" s="51"/>
      <c r="HZ306" s="51"/>
      <c r="IA306" s="51"/>
      <c r="IB306" s="51"/>
      <c r="IC306" s="51"/>
      <c r="ID306" s="51"/>
      <c r="IE306" s="51"/>
      <c r="IF306" s="51"/>
      <c r="IG306" s="51"/>
      <c r="IH306" s="51"/>
      <c r="II306" s="51"/>
      <c r="IJ306" s="51"/>
      <c r="IK306" s="51"/>
      <c r="IL306" s="51"/>
      <c r="IM306" s="51"/>
      <c r="IN306" s="51"/>
      <c r="IO306" s="51"/>
      <c r="IP306" s="51"/>
      <c r="IQ306" s="51"/>
      <c r="IR306" s="51"/>
      <c r="IS306" s="51"/>
      <c r="IT306" s="51"/>
      <c r="IU306" s="51"/>
      <c r="IV306" s="51"/>
    </row>
    <row r="307" hidden="1">
      <c r="B307" s="826" t="s">
        <v>9</v>
      </c>
      <c r="C307" s="827">
        <v>9</v>
      </c>
      <c r="D307" s="827">
        <v>17</v>
      </c>
      <c r="E307" s="827">
        <v>26</v>
      </c>
      <c r="F307" s="827">
        <v>35</v>
      </c>
      <c r="G307" s="827">
        <v>48</v>
      </c>
      <c r="H307" s="827">
        <v>66</v>
      </c>
      <c r="I307" s="827">
        <v>89</v>
      </c>
      <c r="J307" s="827">
        <v>103</v>
      </c>
      <c r="K307" s="827">
        <v>157</v>
      </c>
      <c r="L307" s="827">
        <v>236</v>
      </c>
      <c r="M307" s="827">
        <v>291</v>
      </c>
      <c r="N307" s="827">
        <v>325</v>
      </c>
      <c r="O307" s="827">
        <v>0</v>
      </c>
      <c r="P307" s="827">
        <v>0</v>
      </c>
      <c r="Q307" s="827">
        <v>0</v>
      </c>
      <c r="R307" s="827">
        <v>0</v>
      </c>
      <c r="S307" s="827">
        <v>0</v>
      </c>
      <c r="T307" s="827">
        <v>0</v>
      </c>
      <c r="U307" s="827">
        <v>0</v>
      </c>
      <c r="V307" s="827">
        <v>0</v>
      </c>
      <c r="W307" s="827">
        <v>0</v>
      </c>
      <c r="X307" s="827">
        <v>0</v>
      </c>
      <c r="Y307" s="827">
        <v>0</v>
      </c>
      <c r="Z307" s="827">
        <v>0</v>
      </c>
      <c r="AA307" s="827">
        <v>0</v>
      </c>
      <c r="AB307" s="827">
        <v>0</v>
      </c>
      <c r="AC307" s="828">
        <v>0</v>
      </c>
      <c r="AD307" s="828">
        <v>0</v>
      </c>
      <c r="AE307" s="828">
        <v>0</v>
      </c>
      <c r="AF307" s="828">
        <v>0</v>
      </c>
      <c r="AG307" s="828">
        <v>0</v>
      </c>
      <c r="AH307" s="828">
        <v>0</v>
      </c>
      <c r="AI307" s="828">
        <v>0</v>
      </c>
      <c r="AJ307" s="828">
        <v>0</v>
      </c>
      <c r="AK307" s="828">
        <v>0</v>
      </c>
      <c r="AL307" s="828">
        <v>0</v>
      </c>
      <c r="AM307" s="828">
        <v>0</v>
      </c>
      <c r="AN307" s="828">
        <v>0</v>
      </c>
      <c r="AO307" s="828">
        <v>0</v>
      </c>
      <c r="AP307" s="828">
        <v>0</v>
      </c>
      <c r="AQ307" s="51"/>
      <c r="AR307" s="51"/>
      <c r="AS307" s="51"/>
      <c r="AT307" s="51"/>
      <c r="AU307" s="51"/>
      <c r="AV307" s="51"/>
      <c r="AW307" s="51"/>
      <c r="AX307" s="51"/>
      <c r="AY307" s="51"/>
      <c r="AZ307" s="51"/>
      <c r="BA307" s="51"/>
      <c r="BB307" s="51"/>
      <c r="BC307" s="51"/>
      <c r="BD307" s="51"/>
      <c r="BE307" s="51"/>
      <c r="BF307" s="51"/>
      <c r="BG307" s="51"/>
      <c r="BH307" s="51"/>
      <c r="BI307" s="51"/>
      <c r="BJ307" s="51"/>
      <c r="BK307" s="51"/>
      <c r="BL307" s="51"/>
      <c r="BM307" s="51"/>
      <c r="BN307" s="51"/>
      <c r="BO307" s="51"/>
      <c r="BP307" s="51"/>
      <c r="BQ307" s="51"/>
      <c r="BR307" s="51"/>
      <c r="BS307" s="51"/>
      <c r="BT307" s="51"/>
      <c r="BU307" s="51"/>
      <c r="BV307" s="51"/>
      <c r="BW307" s="51"/>
      <c r="BX307" s="51"/>
      <c r="BY307" s="51"/>
      <c r="BZ307" s="51"/>
      <c r="CA307" s="51"/>
      <c r="CB307" s="51"/>
      <c r="CC307" s="51"/>
      <c r="CD307" s="51"/>
      <c r="CE307" s="51"/>
      <c r="CF307" s="51"/>
      <c r="CG307" s="51"/>
      <c r="CH307" s="51"/>
      <c r="CI307" s="51"/>
      <c r="CJ307" s="51"/>
      <c r="CK307" s="51"/>
      <c r="CL307" s="51"/>
      <c r="CM307" s="51"/>
      <c r="CN307" s="51"/>
      <c r="CO307" s="51"/>
      <c r="CP307" s="51"/>
      <c r="CQ307" s="51"/>
      <c r="CR307" s="51"/>
      <c r="CS307" s="51"/>
      <c r="CT307" s="51"/>
      <c r="CU307" s="51"/>
      <c r="CV307" s="51"/>
      <c r="CW307" s="51"/>
      <c r="CX307" s="51"/>
      <c r="CY307" s="51"/>
      <c r="CZ307" s="51"/>
      <c r="DA307" s="51"/>
      <c r="DB307" s="51"/>
      <c r="DC307" s="51"/>
      <c r="DD307" s="51"/>
      <c r="DE307" s="51"/>
      <c r="DF307" s="51"/>
      <c r="DG307" s="51"/>
      <c r="DH307" s="51"/>
      <c r="DI307" s="51"/>
      <c r="DJ307" s="51"/>
      <c r="DK307" s="51"/>
      <c r="DL307" s="51"/>
      <c r="DM307" s="51"/>
      <c r="DN307" s="51"/>
      <c r="DO307" s="51"/>
      <c r="DP307" s="51"/>
      <c r="DQ307" s="51"/>
      <c r="DR307" s="51"/>
      <c r="DS307" s="51"/>
      <c r="DT307" s="51"/>
      <c r="DU307" s="51"/>
      <c r="DV307" s="51"/>
      <c r="DW307" s="51"/>
      <c r="DX307" s="51"/>
      <c r="DY307" s="51"/>
      <c r="DZ307" s="51"/>
      <c r="EA307" s="51"/>
      <c r="EB307" s="51"/>
      <c r="EC307" s="51"/>
      <c r="ED307" s="51"/>
      <c r="EE307" s="51"/>
      <c r="EF307" s="51"/>
      <c r="EG307" s="51"/>
      <c r="EH307" s="51"/>
      <c r="EI307" s="51"/>
      <c r="EJ307" s="51"/>
      <c r="EK307" s="51"/>
      <c r="EL307" s="51"/>
      <c r="EM307" s="51"/>
      <c r="EN307" s="51"/>
      <c r="EO307" s="51"/>
      <c r="EP307" s="51"/>
      <c r="EQ307" s="51"/>
      <c r="ER307" s="51"/>
      <c r="ES307" s="51"/>
      <c r="ET307" s="51"/>
      <c r="EU307" s="51"/>
      <c r="EV307" s="51"/>
      <c r="EW307" s="51"/>
      <c r="EX307" s="51"/>
      <c r="EY307" s="51"/>
      <c r="EZ307" s="51"/>
      <c r="FA307" s="51"/>
      <c r="FB307" s="51"/>
      <c r="FC307" s="51"/>
      <c r="FD307" s="51"/>
      <c r="FE307" s="51"/>
      <c r="FF307" s="51"/>
      <c r="FG307" s="51"/>
      <c r="FH307" s="51"/>
      <c r="FI307" s="51"/>
      <c r="FJ307" s="51"/>
      <c r="FK307" s="51"/>
      <c r="FL307" s="51"/>
      <c r="FM307" s="51"/>
      <c r="FN307" s="51"/>
      <c r="FO307" s="51"/>
      <c r="FP307" s="51"/>
      <c r="FQ307" s="51"/>
      <c r="FR307" s="51"/>
      <c r="FS307" s="51"/>
      <c r="FT307" s="51"/>
      <c r="FU307" s="51"/>
      <c r="FV307" s="51"/>
      <c r="FW307" s="51"/>
      <c r="FX307" s="51"/>
      <c r="FY307" s="51"/>
      <c r="FZ307" s="51"/>
      <c r="GA307" s="51"/>
      <c r="GB307" s="51"/>
      <c r="GC307" s="51"/>
      <c r="GD307" s="51"/>
      <c r="GE307" s="51"/>
      <c r="GF307" s="51"/>
      <c r="GG307" s="51"/>
      <c r="GH307" s="51"/>
      <c r="GI307" s="51"/>
      <c r="GJ307" s="51"/>
      <c r="GK307" s="51"/>
      <c r="GL307" s="51"/>
      <c r="GM307" s="51"/>
      <c r="GN307" s="51"/>
      <c r="GO307" s="51"/>
      <c r="GP307" s="51"/>
      <c r="GQ307" s="51"/>
      <c r="GR307" s="51"/>
      <c r="GS307" s="51"/>
      <c r="GT307" s="51"/>
      <c r="GU307" s="51"/>
      <c r="GV307" s="51"/>
      <c r="GW307" s="51"/>
      <c r="GX307" s="51"/>
      <c r="GY307" s="51"/>
      <c r="GZ307" s="51"/>
      <c r="HA307" s="51"/>
      <c r="HB307" s="51"/>
      <c r="HC307" s="51"/>
      <c r="HD307" s="51"/>
      <c r="HE307" s="51"/>
      <c r="HF307" s="51"/>
      <c r="HG307" s="51"/>
      <c r="HH307" s="51"/>
      <c r="HI307" s="51"/>
      <c r="HJ307" s="51"/>
      <c r="HK307" s="51"/>
      <c r="HL307" s="51"/>
      <c r="HM307" s="51"/>
      <c r="HN307" s="51"/>
      <c r="HO307" s="51"/>
      <c r="HP307" s="51"/>
      <c r="HQ307" s="51"/>
      <c r="HR307" s="51"/>
      <c r="HS307" s="51"/>
      <c r="HT307" s="51"/>
      <c r="HU307" s="51"/>
      <c r="HV307" s="51"/>
      <c r="HW307" s="51"/>
      <c r="HX307" s="51"/>
      <c r="HY307" s="51"/>
      <c r="HZ307" s="51"/>
      <c r="IA307" s="51"/>
      <c r="IB307" s="51"/>
      <c r="IC307" s="51"/>
      <c r="ID307" s="51"/>
      <c r="IE307" s="51"/>
      <c r="IF307" s="51"/>
      <c r="IG307" s="51"/>
      <c r="IH307" s="51"/>
      <c r="II307" s="51"/>
      <c r="IJ307" s="51"/>
      <c r="IK307" s="51"/>
      <c r="IL307" s="51"/>
      <c r="IM307" s="51"/>
      <c r="IN307" s="51"/>
      <c r="IO307" s="51"/>
      <c r="IP307" s="51"/>
      <c r="IQ307" s="51"/>
      <c r="IR307" s="51"/>
      <c r="IS307" s="51"/>
      <c r="IT307" s="51"/>
      <c r="IU307" s="51"/>
      <c r="IV307" s="51"/>
    </row>
    <row r="308" hidden="1">
      <c r="B308" s="829" t="s">
        <v>10</v>
      </c>
      <c r="C308" s="823">
        <v>0</v>
      </c>
      <c r="D308" s="823">
        <v>0</v>
      </c>
      <c r="E308" s="823">
        <v>0</v>
      </c>
      <c r="F308" s="823">
        <v>0</v>
      </c>
      <c r="G308" s="823">
        <v>0</v>
      </c>
      <c r="H308" s="823">
        <v>0</v>
      </c>
      <c r="I308" s="823">
        <v>0</v>
      </c>
      <c r="J308" s="823">
        <v>0</v>
      </c>
      <c r="K308" s="823">
        <v>0</v>
      </c>
      <c r="L308" s="823">
        <v>0</v>
      </c>
      <c r="M308" s="823">
        <v>0</v>
      </c>
      <c r="N308" s="823">
        <v>0</v>
      </c>
      <c r="O308" s="823">
        <v>0</v>
      </c>
      <c r="P308" s="823">
        <v>0</v>
      </c>
      <c r="Q308" s="823">
        <v>0</v>
      </c>
      <c r="R308" s="823">
        <v>0</v>
      </c>
      <c r="S308" s="823">
        <v>0</v>
      </c>
      <c r="T308" s="823">
        <v>0</v>
      </c>
      <c r="U308" s="823">
        <v>0</v>
      </c>
      <c r="V308" s="823">
        <v>0</v>
      </c>
      <c r="W308" s="823">
        <v>0</v>
      </c>
      <c r="X308" s="823">
        <v>0</v>
      </c>
      <c r="Y308" s="823">
        <v>0</v>
      </c>
      <c r="Z308" s="823">
        <v>0</v>
      </c>
      <c r="AA308" s="823">
        <v>0</v>
      </c>
      <c r="AB308" s="823">
        <v>0</v>
      </c>
      <c r="AC308" s="825">
        <v>0</v>
      </c>
      <c r="AD308" s="825">
        <v>0</v>
      </c>
      <c r="AE308" s="825">
        <v>0</v>
      </c>
      <c r="AF308" s="825">
        <v>0</v>
      </c>
      <c r="AG308" s="825">
        <v>0</v>
      </c>
      <c r="AH308" s="825">
        <v>0</v>
      </c>
      <c r="AI308" s="825">
        <v>0</v>
      </c>
      <c r="AJ308" s="825">
        <v>0</v>
      </c>
      <c r="AK308" s="825">
        <v>0</v>
      </c>
      <c r="AL308" s="825">
        <v>0</v>
      </c>
      <c r="AM308" s="825">
        <v>0</v>
      </c>
      <c r="AN308" s="825">
        <v>0</v>
      </c>
      <c r="AO308" s="825">
        <v>0</v>
      </c>
      <c r="AP308" s="825">
        <v>0</v>
      </c>
      <c r="AQ308" s="51"/>
      <c r="AR308" s="51"/>
      <c r="AS308" s="51"/>
      <c r="AT308" s="51"/>
      <c r="AU308" s="51"/>
      <c r="AV308" s="51"/>
      <c r="AW308" s="51"/>
      <c r="AX308" s="51"/>
      <c r="AY308" s="51"/>
      <c r="AZ308" s="51"/>
      <c r="BA308" s="51"/>
      <c r="BB308" s="51"/>
      <c r="BC308" s="51"/>
      <c r="BD308" s="51"/>
      <c r="BE308" s="51"/>
      <c r="BF308" s="51"/>
      <c r="BG308" s="51"/>
      <c r="BH308" s="51"/>
      <c r="BI308" s="51"/>
      <c r="BJ308" s="51"/>
      <c r="BK308" s="51"/>
      <c r="BL308" s="51"/>
      <c r="BM308" s="51"/>
      <c r="BN308" s="51"/>
      <c r="BO308" s="51"/>
      <c r="BP308" s="51"/>
      <c r="BQ308" s="51"/>
      <c r="BR308" s="51"/>
      <c r="BS308" s="51"/>
      <c r="BT308" s="51"/>
      <c r="BU308" s="51"/>
      <c r="BV308" s="51"/>
      <c r="BW308" s="51"/>
      <c r="BX308" s="51"/>
      <c r="BY308" s="51"/>
      <c r="BZ308" s="51"/>
      <c r="CA308" s="51"/>
      <c r="CB308" s="51"/>
      <c r="CC308" s="51"/>
      <c r="CD308" s="51"/>
      <c r="CE308" s="51"/>
      <c r="CF308" s="51"/>
      <c r="CG308" s="51"/>
      <c r="CH308" s="51"/>
      <c r="CI308" s="51"/>
      <c r="CJ308" s="51"/>
      <c r="CK308" s="51"/>
      <c r="CL308" s="51"/>
      <c r="CM308" s="51"/>
      <c r="CN308" s="51"/>
      <c r="CO308" s="51"/>
      <c r="CP308" s="51"/>
      <c r="CQ308" s="51"/>
      <c r="CR308" s="51"/>
      <c r="CS308" s="51"/>
      <c r="CT308" s="51"/>
      <c r="CU308" s="51"/>
      <c r="CV308" s="51"/>
      <c r="CW308" s="51"/>
      <c r="CX308" s="51"/>
      <c r="CY308" s="51"/>
      <c r="CZ308" s="51"/>
      <c r="DA308" s="51"/>
      <c r="DB308" s="51"/>
      <c r="DC308" s="51"/>
      <c r="DD308" s="51"/>
      <c r="DE308" s="51"/>
      <c r="DF308" s="51"/>
      <c r="DG308" s="51"/>
      <c r="DH308" s="51"/>
      <c r="DI308" s="51"/>
      <c r="DJ308" s="51"/>
      <c r="DK308" s="51"/>
      <c r="DL308" s="51"/>
      <c r="DM308" s="51"/>
      <c r="DN308" s="51"/>
      <c r="DO308" s="51"/>
      <c r="DP308" s="51"/>
      <c r="DQ308" s="51"/>
      <c r="DR308" s="51"/>
      <c r="DS308" s="51"/>
      <c r="DT308" s="51"/>
      <c r="DU308" s="51"/>
      <c r="DV308" s="51"/>
      <c r="DW308" s="51"/>
      <c r="DX308" s="51"/>
      <c r="DY308" s="51"/>
      <c r="DZ308" s="51"/>
      <c r="EA308" s="51"/>
      <c r="EB308" s="51"/>
      <c r="EC308" s="51"/>
      <c r="ED308" s="51"/>
      <c r="EE308" s="51"/>
      <c r="EF308" s="51"/>
      <c r="EG308" s="51"/>
      <c r="EH308" s="51"/>
      <c r="EI308" s="51"/>
      <c r="EJ308" s="51"/>
      <c r="EK308" s="51"/>
      <c r="EL308" s="51"/>
      <c r="EM308" s="51"/>
      <c r="EN308" s="51"/>
      <c r="EO308" s="51"/>
      <c r="EP308" s="51"/>
      <c r="EQ308" s="51"/>
      <c r="ER308" s="51"/>
      <c r="ES308" s="51"/>
      <c r="ET308" s="51"/>
      <c r="EU308" s="51"/>
      <c r="EV308" s="51"/>
      <c r="EW308" s="51"/>
      <c r="EX308" s="51"/>
      <c r="EY308" s="51"/>
      <c r="EZ308" s="51"/>
      <c r="FA308" s="51"/>
      <c r="FB308" s="51"/>
      <c r="FC308" s="51"/>
      <c r="FD308" s="51"/>
      <c r="FE308" s="51"/>
      <c r="FF308" s="51"/>
      <c r="FG308" s="51"/>
      <c r="FH308" s="51"/>
      <c r="FI308" s="51"/>
      <c r="FJ308" s="51"/>
      <c r="FK308" s="51"/>
      <c r="FL308" s="51"/>
      <c r="FM308" s="51"/>
      <c r="FN308" s="51"/>
      <c r="FO308" s="51"/>
      <c r="FP308" s="51"/>
      <c r="FQ308" s="51"/>
      <c r="FR308" s="51"/>
      <c r="FS308" s="51"/>
      <c r="FT308" s="51"/>
      <c r="FU308" s="51"/>
      <c r="FV308" s="51"/>
      <c r="FW308" s="51"/>
      <c r="FX308" s="51"/>
      <c r="FY308" s="51"/>
      <c r="FZ308" s="51"/>
      <c r="GA308" s="51"/>
      <c r="GB308" s="51"/>
      <c r="GC308" s="51"/>
      <c r="GD308" s="51"/>
      <c r="GE308" s="51"/>
      <c r="GF308" s="51"/>
      <c r="GG308" s="51"/>
      <c r="GH308" s="51"/>
      <c r="GI308" s="51"/>
      <c r="GJ308" s="51"/>
      <c r="GK308" s="51"/>
      <c r="GL308" s="51"/>
      <c r="GM308" s="51"/>
      <c r="GN308" s="51"/>
      <c r="GO308" s="51"/>
      <c r="GP308" s="51"/>
      <c r="GQ308" s="51"/>
      <c r="GR308" s="51"/>
      <c r="GS308" s="51"/>
      <c r="GT308" s="51"/>
      <c r="GU308" s="51"/>
      <c r="GV308" s="51"/>
      <c r="GW308" s="51"/>
      <c r="GX308" s="51"/>
      <c r="GY308" s="51"/>
      <c r="GZ308" s="51"/>
      <c r="HA308" s="51"/>
      <c r="HB308" s="51"/>
      <c r="HC308" s="51"/>
      <c r="HD308" s="51"/>
      <c r="HE308" s="51"/>
      <c r="HF308" s="51"/>
      <c r="HG308" s="51"/>
      <c r="HH308" s="51"/>
      <c r="HI308" s="51"/>
      <c r="HJ308" s="51"/>
      <c r="HK308" s="51"/>
      <c r="HL308" s="51"/>
      <c r="HM308" s="51"/>
      <c r="HN308" s="51"/>
      <c r="HO308" s="51"/>
      <c r="HP308" s="51"/>
      <c r="HQ308" s="51"/>
      <c r="HR308" s="51"/>
      <c r="HS308" s="51"/>
      <c r="HT308" s="51"/>
      <c r="HU308" s="51"/>
      <c r="HV308" s="51"/>
      <c r="HW308" s="51"/>
      <c r="HX308" s="51"/>
      <c r="HY308" s="51"/>
      <c r="HZ308" s="51"/>
      <c r="IA308" s="51"/>
      <c r="IB308" s="51"/>
      <c r="IC308" s="51"/>
      <c r="ID308" s="51"/>
      <c r="IE308" s="51"/>
      <c r="IF308" s="51"/>
      <c r="IG308" s="51"/>
      <c r="IH308" s="51"/>
      <c r="II308" s="51"/>
      <c r="IJ308" s="51"/>
      <c r="IK308" s="51"/>
      <c r="IL308" s="51"/>
      <c r="IM308" s="51"/>
      <c r="IN308" s="51"/>
      <c r="IO308" s="51"/>
      <c r="IP308" s="51"/>
      <c r="IQ308" s="51"/>
      <c r="IR308" s="51"/>
      <c r="IS308" s="51"/>
      <c r="IT308" s="51"/>
      <c r="IU308" s="51"/>
      <c r="IV308" s="51"/>
    </row>
    <row r="309" hidden="1">
      <c r="B309" s="826" t="s">
        <v>11</v>
      </c>
      <c r="C309" s="827">
        <v>31</v>
      </c>
      <c r="D309" s="827">
        <v>102</v>
      </c>
      <c r="E309" s="827">
        <v>235</v>
      </c>
      <c r="F309" s="827">
        <v>309</v>
      </c>
      <c r="G309" s="827">
        <v>433</v>
      </c>
      <c r="H309" s="827">
        <v>539</v>
      </c>
      <c r="I309" s="827">
        <v>711</v>
      </c>
      <c r="J309" s="827">
        <v>800</v>
      </c>
      <c r="K309" s="827">
        <v>1018</v>
      </c>
      <c r="L309" s="827">
        <v>1208</v>
      </c>
      <c r="M309" s="827">
        <v>1431</v>
      </c>
      <c r="N309" s="827">
        <v>1586</v>
      </c>
      <c r="O309" s="827">
        <v>1722</v>
      </c>
      <c r="P309" s="827">
        <v>0</v>
      </c>
      <c r="Q309" s="827">
        <v>0</v>
      </c>
      <c r="R309" s="827">
        <v>1</v>
      </c>
      <c r="S309" s="827">
        <v>1</v>
      </c>
      <c r="T309" s="827">
        <v>1</v>
      </c>
      <c r="U309" s="827">
        <v>1</v>
      </c>
      <c r="V309" s="827">
        <v>1</v>
      </c>
      <c r="W309" s="827">
        <v>1</v>
      </c>
      <c r="X309" s="827">
        <v>1</v>
      </c>
      <c r="Y309" s="827">
        <v>1</v>
      </c>
      <c r="Z309" s="827">
        <v>0</v>
      </c>
      <c r="AA309" s="827">
        <v>0</v>
      </c>
      <c r="AB309" s="827">
        <v>1</v>
      </c>
      <c r="AC309" s="828">
        <v>1</v>
      </c>
      <c r="AD309" s="828">
        <v>1</v>
      </c>
      <c r="AE309" s="828">
        <v>1</v>
      </c>
      <c r="AF309" s="828">
        <v>1</v>
      </c>
      <c r="AG309" s="828">
        <v>1</v>
      </c>
      <c r="AH309" s="828">
        <v>1</v>
      </c>
      <c r="AI309" s="828">
        <v>1</v>
      </c>
      <c r="AJ309" s="828">
        <v>1</v>
      </c>
      <c r="AK309" s="828">
        <v>1</v>
      </c>
      <c r="AL309" s="828">
        <v>1</v>
      </c>
      <c r="AM309" s="828">
        <v>1</v>
      </c>
      <c r="AN309" s="828">
        <v>1</v>
      </c>
      <c r="AO309" s="828">
        <v>1</v>
      </c>
      <c r="AP309" s="828">
        <v>2</v>
      </c>
      <c r="AQ309" s="51"/>
      <c r="AR309" s="51"/>
      <c r="AS309" s="51"/>
      <c r="AT309" s="51"/>
      <c r="AU309" s="51"/>
      <c r="AV309" s="51"/>
      <c r="AW309" s="51"/>
      <c r="AX309" s="51"/>
      <c r="AY309" s="51"/>
      <c r="AZ309" s="51"/>
      <c r="BA309" s="51"/>
      <c r="BB309" s="51"/>
      <c r="BC309" s="51"/>
      <c r="BD309" s="51"/>
      <c r="BE309" s="51"/>
      <c r="BF309" s="51"/>
      <c r="BG309" s="51"/>
      <c r="BH309" s="51"/>
      <c r="BI309" s="51"/>
      <c r="BJ309" s="51"/>
      <c r="BK309" s="51"/>
      <c r="BL309" s="51"/>
      <c r="BM309" s="51"/>
      <c r="BN309" s="51"/>
      <c r="BO309" s="51"/>
      <c r="BP309" s="51"/>
      <c r="BQ309" s="51"/>
      <c r="BR309" s="51"/>
      <c r="BS309" s="51"/>
      <c r="BT309" s="51"/>
      <c r="BU309" s="51"/>
      <c r="BV309" s="51"/>
      <c r="BW309" s="51"/>
      <c r="BX309" s="51"/>
      <c r="BY309" s="51"/>
      <c r="BZ309" s="51"/>
      <c r="CA309" s="51"/>
      <c r="CB309" s="51"/>
      <c r="CC309" s="51"/>
      <c r="CD309" s="51"/>
      <c r="CE309" s="51"/>
      <c r="CF309" s="51"/>
      <c r="CG309" s="51"/>
      <c r="CH309" s="51"/>
      <c r="CI309" s="51"/>
      <c r="CJ309" s="51"/>
      <c r="CK309" s="51"/>
      <c r="CL309" s="51"/>
      <c r="CM309" s="51"/>
      <c r="CN309" s="51"/>
      <c r="CO309" s="51"/>
      <c r="CP309" s="51"/>
      <c r="CQ309" s="51"/>
      <c r="CR309" s="51"/>
      <c r="CS309" s="51"/>
      <c r="CT309" s="51"/>
      <c r="CU309" s="51"/>
      <c r="CV309" s="51"/>
      <c r="CW309" s="51"/>
      <c r="CX309" s="51"/>
      <c r="CY309" s="51"/>
      <c r="CZ309" s="51"/>
      <c r="DA309" s="51"/>
      <c r="DB309" s="51"/>
      <c r="DC309" s="51"/>
      <c r="DD309" s="51"/>
      <c r="DE309" s="51"/>
      <c r="DF309" s="51"/>
      <c r="DG309" s="51"/>
      <c r="DH309" s="51"/>
      <c r="DI309" s="51"/>
      <c r="DJ309" s="51"/>
      <c r="DK309" s="51"/>
      <c r="DL309" s="51"/>
      <c r="DM309" s="51"/>
      <c r="DN309" s="51"/>
      <c r="DO309" s="51"/>
      <c r="DP309" s="51"/>
      <c r="DQ309" s="51"/>
      <c r="DR309" s="51"/>
      <c r="DS309" s="51"/>
      <c r="DT309" s="51"/>
      <c r="DU309" s="51"/>
      <c r="DV309" s="51"/>
      <c r="DW309" s="51"/>
      <c r="DX309" s="51"/>
      <c r="DY309" s="51"/>
      <c r="DZ309" s="51"/>
      <c r="EA309" s="51"/>
      <c r="EB309" s="51"/>
      <c r="EC309" s="51"/>
      <c r="ED309" s="51"/>
      <c r="EE309" s="51"/>
      <c r="EF309" s="51"/>
      <c r="EG309" s="51"/>
      <c r="EH309" s="51"/>
      <c r="EI309" s="51"/>
      <c r="EJ309" s="51"/>
      <c r="EK309" s="51"/>
      <c r="EL309" s="51"/>
      <c r="EM309" s="51"/>
      <c r="EN309" s="51"/>
      <c r="EO309" s="51"/>
      <c r="EP309" s="51"/>
      <c r="EQ309" s="51"/>
      <c r="ER309" s="51"/>
      <c r="ES309" s="51"/>
      <c r="ET309" s="51"/>
      <c r="EU309" s="51"/>
      <c r="EV309" s="51"/>
      <c r="EW309" s="51"/>
      <c r="EX309" s="51"/>
      <c r="EY309" s="51"/>
      <c r="EZ309" s="51"/>
      <c r="FA309" s="51"/>
      <c r="FB309" s="51"/>
      <c r="FC309" s="51"/>
      <c r="FD309" s="51"/>
      <c r="FE309" s="51"/>
      <c r="FF309" s="51"/>
      <c r="FG309" s="51"/>
      <c r="FH309" s="51"/>
      <c r="FI309" s="51"/>
      <c r="FJ309" s="51"/>
      <c r="FK309" s="51"/>
      <c r="FL309" s="51"/>
      <c r="FM309" s="51"/>
      <c r="FN309" s="51"/>
      <c r="FO309" s="51"/>
      <c r="FP309" s="51"/>
      <c r="FQ309" s="51"/>
      <c r="FR309" s="51"/>
      <c r="FS309" s="51"/>
      <c r="FT309" s="51"/>
      <c r="FU309" s="51"/>
      <c r="FV309" s="51"/>
      <c r="FW309" s="51"/>
      <c r="FX309" s="51"/>
      <c r="FY309" s="51"/>
      <c r="FZ309" s="51"/>
      <c r="GA309" s="51"/>
      <c r="GB309" s="51"/>
      <c r="GC309" s="51"/>
      <c r="GD309" s="51"/>
      <c r="GE309" s="51"/>
      <c r="GF309" s="51"/>
      <c r="GG309" s="51"/>
      <c r="GH309" s="51"/>
      <c r="GI309" s="51"/>
      <c r="GJ309" s="51"/>
      <c r="GK309" s="51"/>
      <c r="GL309" s="51"/>
      <c r="GM309" s="51"/>
      <c r="GN309" s="51"/>
      <c r="GO309" s="51"/>
      <c r="GP309" s="51"/>
      <c r="GQ309" s="51"/>
      <c r="GR309" s="51"/>
      <c r="GS309" s="51"/>
      <c r="GT309" s="51"/>
      <c r="GU309" s="51"/>
      <c r="GV309" s="51"/>
      <c r="GW309" s="51"/>
      <c r="GX309" s="51"/>
      <c r="GY309" s="51"/>
      <c r="GZ309" s="51"/>
      <c r="HA309" s="51"/>
      <c r="HB309" s="51"/>
      <c r="HC309" s="51"/>
      <c r="HD309" s="51"/>
      <c r="HE309" s="51"/>
      <c r="HF309" s="51"/>
      <c r="HG309" s="51"/>
      <c r="HH309" s="51"/>
      <c r="HI309" s="51"/>
      <c r="HJ309" s="51"/>
      <c r="HK309" s="51"/>
      <c r="HL309" s="51"/>
      <c r="HM309" s="51"/>
      <c r="HN309" s="51"/>
      <c r="HO309" s="51"/>
      <c r="HP309" s="51"/>
      <c r="HQ309" s="51"/>
      <c r="HR309" s="51"/>
      <c r="HS309" s="51"/>
      <c r="HT309" s="51"/>
      <c r="HU309" s="51"/>
      <c r="HV309" s="51"/>
      <c r="HW309" s="51"/>
      <c r="HX309" s="51"/>
      <c r="HY309" s="51"/>
      <c r="HZ309" s="51"/>
      <c r="IA309" s="51"/>
      <c r="IB309" s="51"/>
      <c r="IC309" s="51"/>
      <c r="ID309" s="51"/>
      <c r="IE309" s="51"/>
      <c r="IF309" s="51"/>
      <c r="IG309" s="51"/>
      <c r="IH309" s="51"/>
      <c r="II309" s="51"/>
      <c r="IJ309" s="51"/>
      <c r="IK309" s="51"/>
      <c r="IL309" s="51"/>
      <c r="IM309" s="51"/>
      <c r="IN309" s="51"/>
      <c r="IO309" s="51"/>
      <c r="IP309" s="51"/>
      <c r="IQ309" s="51"/>
      <c r="IR309" s="51"/>
      <c r="IS309" s="51"/>
      <c r="IT309" s="51"/>
      <c r="IU309" s="51"/>
      <c r="IV309" s="51"/>
    </row>
    <row r="310" hidden="1">
      <c r="B310" s="829" t="s">
        <v>12</v>
      </c>
      <c r="C310" s="823">
        <v>0</v>
      </c>
      <c r="D310" s="823">
        <v>55</v>
      </c>
      <c r="E310" s="823">
        <v>227</v>
      </c>
      <c r="F310" s="823">
        <v>491</v>
      </c>
      <c r="G310" s="823">
        <v>913</v>
      </c>
      <c r="H310" s="823">
        <v>1139</v>
      </c>
      <c r="I310" s="823">
        <v>1393</v>
      </c>
      <c r="J310" s="823">
        <v>1244</v>
      </c>
      <c r="K310" s="823">
        <v>1138</v>
      </c>
      <c r="L310" s="823">
        <v>1113</v>
      </c>
      <c r="M310" s="823">
        <v>976</v>
      </c>
      <c r="N310" s="823">
        <v>1009</v>
      </c>
      <c r="O310" s="823">
        <v>304</v>
      </c>
      <c r="P310" s="823">
        <v>264</v>
      </c>
      <c r="Q310" s="823">
        <v>178</v>
      </c>
      <c r="R310" s="823">
        <v>152</v>
      </c>
      <c r="S310" s="823">
        <v>125</v>
      </c>
      <c r="T310" s="823">
        <v>128</v>
      </c>
      <c r="U310" s="823">
        <v>98</v>
      </c>
      <c r="V310" s="823">
        <v>73</v>
      </c>
      <c r="W310" s="823">
        <v>46</v>
      </c>
      <c r="X310" s="823">
        <v>47</v>
      </c>
      <c r="Y310" s="823">
        <v>10</v>
      </c>
      <c r="Z310" s="823">
        <v>10</v>
      </c>
      <c r="AA310" s="823">
        <v>8</v>
      </c>
      <c r="AB310" s="823">
        <v>7</v>
      </c>
      <c r="AC310" s="825">
        <v>7</v>
      </c>
      <c r="AD310" s="825">
        <v>7</v>
      </c>
      <c r="AE310" s="825">
        <v>11</v>
      </c>
      <c r="AF310" s="825">
        <v>11</v>
      </c>
      <c r="AG310" s="825">
        <v>11</v>
      </c>
      <c r="AH310" s="825">
        <v>12</v>
      </c>
      <c r="AI310" s="825">
        <v>8</v>
      </c>
      <c r="AJ310" s="825">
        <v>8</v>
      </c>
      <c r="AK310" s="825">
        <v>7</v>
      </c>
      <c r="AL310" s="825">
        <v>7</v>
      </c>
      <c r="AM310" s="825">
        <v>6</v>
      </c>
      <c r="AN310" s="825">
        <v>6</v>
      </c>
      <c r="AO310" s="825">
        <v>6</v>
      </c>
      <c r="AP310" s="825">
        <v>5</v>
      </c>
      <c r="AQ310" s="51"/>
      <c r="AR310" s="51"/>
      <c r="AS310" s="51"/>
      <c r="AT310" s="51"/>
      <c r="AU310" s="51"/>
      <c r="AV310" s="51"/>
      <c r="AW310" s="51"/>
      <c r="AX310" s="51"/>
      <c r="AY310" s="51"/>
      <c r="AZ310" s="51"/>
      <c r="BA310" s="51"/>
      <c r="BB310" s="51"/>
      <c r="BC310" s="51"/>
      <c r="BD310" s="51"/>
      <c r="BE310" s="51"/>
      <c r="BF310" s="51"/>
      <c r="BG310" s="51"/>
      <c r="BH310" s="51"/>
      <c r="BI310" s="51"/>
      <c r="BJ310" s="51"/>
      <c r="BK310" s="51"/>
      <c r="BL310" s="51"/>
      <c r="BM310" s="51"/>
      <c r="BN310" s="51"/>
      <c r="BO310" s="51"/>
      <c r="BP310" s="51"/>
      <c r="BQ310" s="51"/>
      <c r="BR310" s="51"/>
      <c r="BS310" s="51"/>
      <c r="BT310" s="51"/>
      <c r="BU310" s="51"/>
      <c r="BV310" s="51"/>
      <c r="BW310" s="51"/>
      <c r="BX310" s="51"/>
      <c r="BY310" s="51"/>
      <c r="BZ310" s="51"/>
      <c r="CA310" s="51"/>
      <c r="CB310" s="51"/>
      <c r="CC310" s="51"/>
      <c r="CD310" s="51"/>
      <c r="CE310" s="51"/>
      <c r="CF310" s="51"/>
      <c r="CG310" s="51"/>
      <c r="CH310" s="51"/>
      <c r="CI310" s="51"/>
      <c r="CJ310" s="51"/>
      <c r="CK310" s="51"/>
      <c r="CL310" s="51"/>
      <c r="CM310" s="51"/>
      <c r="CN310" s="51"/>
      <c r="CO310" s="51"/>
      <c r="CP310" s="51"/>
      <c r="CQ310" s="51"/>
      <c r="CR310" s="51"/>
      <c r="CS310" s="51"/>
      <c r="CT310" s="51"/>
      <c r="CU310" s="51"/>
      <c r="CV310" s="51"/>
      <c r="CW310" s="51"/>
      <c r="CX310" s="51"/>
      <c r="CY310" s="51"/>
      <c r="CZ310" s="51"/>
      <c r="DA310" s="51"/>
      <c r="DB310" s="51"/>
      <c r="DC310" s="51"/>
      <c r="DD310" s="51"/>
      <c r="DE310" s="51"/>
      <c r="DF310" s="51"/>
      <c r="DG310" s="51"/>
      <c r="DH310" s="51"/>
      <c r="DI310" s="51"/>
      <c r="DJ310" s="51"/>
      <c r="DK310" s="51"/>
      <c r="DL310" s="51"/>
      <c r="DM310" s="51"/>
      <c r="DN310" s="51"/>
      <c r="DO310" s="51"/>
      <c r="DP310" s="51"/>
      <c r="DQ310" s="51"/>
      <c r="DR310" s="51"/>
      <c r="DS310" s="51"/>
      <c r="DT310" s="51"/>
      <c r="DU310" s="51"/>
      <c r="DV310" s="51"/>
      <c r="DW310" s="51"/>
      <c r="DX310" s="51"/>
      <c r="DY310" s="51"/>
      <c r="DZ310" s="51"/>
      <c r="EA310" s="51"/>
      <c r="EB310" s="51"/>
      <c r="EC310" s="51"/>
      <c r="ED310" s="51"/>
      <c r="EE310" s="51"/>
      <c r="EF310" s="51"/>
      <c r="EG310" s="51"/>
      <c r="EH310" s="51"/>
      <c r="EI310" s="51"/>
      <c r="EJ310" s="51"/>
      <c r="EK310" s="51"/>
      <c r="EL310" s="51"/>
      <c r="EM310" s="51"/>
      <c r="EN310" s="51"/>
      <c r="EO310" s="51"/>
      <c r="EP310" s="51"/>
      <c r="EQ310" s="51"/>
      <c r="ER310" s="51"/>
      <c r="ES310" s="51"/>
      <c r="ET310" s="51"/>
      <c r="EU310" s="51"/>
      <c r="EV310" s="51"/>
      <c r="EW310" s="51"/>
      <c r="EX310" s="51"/>
      <c r="EY310" s="51"/>
      <c r="EZ310" s="51"/>
      <c r="FA310" s="51"/>
      <c r="FB310" s="51"/>
      <c r="FC310" s="51"/>
      <c r="FD310" s="51"/>
      <c r="FE310" s="51"/>
      <c r="FF310" s="51"/>
      <c r="FG310" s="51"/>
      <c r="FH310" s="51"/>
      <c r="FI310" s="51"/>
      <c r="FJ310" s="51"/>
      <c r="FK310" s="51"/>
      <c r="FL310" s="51"/>
      <c r="FM310" s="51"/>
      <c r="FN310" s="51"/>
      <c r="FO310" s="51"/>
      <c r="FP310" s="51"/>
      <c r="FQ310" s="51"/>
      <c r="FR310" s="51"/>
      <c r="FS310" s="51"/>
      <c r="FT310" s="51"/>
      <c r="FU310" s="51"/>
      <c r="FV310" s="51"/>
      <c r="FW310" s="51"/>
      <c r="FX310" s="51"/>
      <c r="FY310" s="51"/>
      <c r="FZ310" s="51"/>
      <c r="GA310" s="51"/>
      <c r="GB310" s="51"/>
      <c r="GC310" s="51"/>
      <c r="GD310" s="51"/>
      <c r="GE310" s="51"/>
      <c r="GF310" s="51"/>
      <c r="GG310" s="51"/>
      <c r="GH310" s="51"/>
      <c r="GI310" s="51"/>
      <c r="GJ310" s="51"/>
      <c r="GK310" s="51"/>
      <c r="GL310" s="51"/>
      <c r="GM310" s="51"/>
      <c r="GN310" s="51"/>
      <c r="GO310" s="51"/>
      <c r="GP310" s="51"/>
      <c r="GQ310" s="51"/>
      <c r="GR310" s="51"/>
      <c r="GS310" s="51"/>
      <c r="GT310" s="51"/>
      <c r="GU310" s="51"/>
      <c r="GV310" s="51"/>
      <c r="GW310" s="51"/>
      <c r="GX310" s="51"/>
      <c r="GY310" s="51"/>
      <c r="GZ310" s="51"/>
      <c r="HA310" s="51"/>
      <c r="HB310" s="51"/>
      <c r="HC310" s="51"/>
      <c r="HD310" s="51"/>
      <c r="HE310" s="51"/>
      <c r="HF310" s="51"/>
      <c r="HG310" s="51"/>
      <c r="HH310" s="51"/>
      <c r="HI310" s="51"/>
      <c r="HJ310" s="51"/>
      <c r="HK310" s="51"/>
      <c r="HL310" s="51"/>
      <c r="HM310" s="51"/>
      <c r="HN310" s="51"/>
      <c r="HO310" s="51"/>
      <c r="HP310" s="51"/>
      <c r="HQ310" s="51"/>
      <c r="HR310" s="51"/>
      <c r="HS310" s="51"/>
      <c r="HT310" s="51"/>
      <c r="HU310" s="51"/>
      <c r="HV310" s="51"/>
      <c r="HW310" s="51"/>
      <c r="HX310" s="51"/>
      <c r="HY310" s="51"/>
      <c r="HZ310" s="51"/>
      <c r="IA310" s="51"/>
      <c r="IB310" s="51"/>
      <c r="IC310" s="51"/>
      <c r="ID310" s="51"/>
      <c r="IE310" s="51"/>
      <c r="IF310" s="51"/>
      <c r="IG310" s="51"/>
      <c r="IH310" s="51"/>
      <c r="II310" s="51"/>
      <c r="IJ310" s="51"/>
      <c r="IK310" s="51"/>
      <c r="IL310" s="51"/>
      <c r="IM310" s="51"/>
      <c r="IN310" s="51"/>
      <c r="IO310" s="51"/>
      <c r="IP310" s="51"/>
      <c r="IQ310" s="51"/>
      <c r="IR310" s="51"/>
      <c r="IS310" s="51"/>
      <c r="IT310" s="51"/>
      <c r="IU310" s="51"/>
      <c r="IV310" s="51"/>
    </row>
    <row r="311" hidden="1">
      <c r="B311" s="826" t="s">
        <v>13</v>
      </c>
      <c r="C311" s="827">
        <v>0</v>
      </c>
      <c r="D311" s="827">
        <v>0</v>
      </c>
      <c r="E311" s="827">
        <v>723</v>
      </c>
      <c r="F311" s="827">
        <v>796</v>
      </c>
      <c r="G311" s="827">
        <v>947</v>
      </c>
      <c r="H311" s="827">
        <v>1050</v>
      </c>
      <c r="I311" s="827">
        <v>1143</v>
      </c>
      <c r="J311" s="827">
        <v>1234</v>
      </c>
      <c r="K311" s="827">
        <v>1395</v>
      </c>
      <c r="L311" s="827">
        <v>1498</v>
      </c>
      <c r="M311" s="827">
        <v>1668</v>
      </c>
      <c r="N311" s="827">
        <v>854</v>
      </c>
      <c r="O311" s="827">
        <v>0</v>
      </c>
      <c r="P311" s="827">
        <v>0</v>
      </c>
      <c r="Q311" s="827">
        <v>0</v>
      </c>
      <c r="R311" s="827">
        <v>0</v>
      </c>
      <c r="S311" s="827">
        <v>0</v>
      </c>
      <c r="T311" s="827">
        <v>0</v>
      </c>
      <c r="U311" s="827">
        <v>0</v>
      </c>
      <c r="V311" s="827">
        <v>0</v>
      </c>
      <c r="W311" s="827">
        <v>0</v>
      </c>
      <c r="X311" s="827">
        <v>0</v>
      </c>
      <c r="Y311" s="827">
        <v>0</v>
      </c>
      <c r="Z311" s="827">
        <v>0</v>
      </c>
      <c r="AA311" s="827">
        <v>0</v>
      </c>
      <c r="AB311" s="827">
        <v>0</v>
      </c>
      <c r="AC311" s="828">
        <v>0</v>
      </c>
      <c r="AD311" s="828">
        <v>0</v>
      </c>
      <c r="AE311" s="828">
        <v>0</v>
      </c>
      <c r="AF311" s="828">
        <v>0</v>
      </c>
      <c r="AG311" s="828">
        <v>0</v>
      </c>
      <c r="AH311" s="828">
        <v>0</v>
      </c>
      <c r="AI311" s="828">
        <v>0</v>
      </c>
      <c r="AJ311" s="828">
        <v>0</v>
      </c>
      <c r="AK311" s="828">
        <v>0</v>
      </c>
      <c r="AL311" s="828">
        <v>0</v>
      </c>
      <c r="AM311" s="828">
        <v>0</v>
      </c>
      <c r="AN311" s="828">
        <v>0</v>
      </c>
      <c r="AO311" s="828">
        <v>0</v>
      </c>
      <c r="AP311" s="828">
        <v>0</v>
      </c>
      <c r="AQ311" s="51"/>
      <c r="AR311" s="51"/>
      <c r="AS311" s="51"/>
      <c r="AT311" s="51"/>
      <c r="AU311" s="51"/>
      <c r="AV311" s="51"/>
      <c r="AW311" s="51"/>
      <c r="AX311" s="51"/>
      <c r="AY311" s="51"/>
      <c r="AZ311" s="51"/>
      <c r="BA311" s="51"/>
      <c r="BB311" s="51"/>
      <c r="BC311" s="51"/>
      <c r="BD311" s="51"/>
      <c r="BE311" s="51"/>
      <c r="BF311" s="51"/>
      <c r="BG311" s="51"/>
      <c r="BH311" s="51"/>
      <c r="BI311" s="51"/>
      <c r="BJ311" s="51"/>
      <c r="BK311" s="51"/>
      <c r="BL311" s="51"/>
      <c r="BM311" s="51"/>
      <c r="BN311" s="51"/>
      <c r="BO311" s="51"/>
      <c r="BP311" s="51"/>
      <c r="BQ311" s="51"/>
      <c r="BR311" s="51"/>
      <c r="BS311" s="51"/>
      <c r="BT311" s="51"/>
      <c r="BU311" s="51"/>
      <c r="BV311" s="51"/>
      <c r="BW311" s="51"/>
      <c r="BX311" s="51"/>
      <c r="BY311" s="51"/>
      <c r="BZ311" s="51"/>
      <c r="CA311" s="51"/>
      <c r="CB311" s="51"/>
      <c r="CC311" s="51"/>
      <c r="CD311" s="51"/>
      <c r="CE311" s="51"/>
      <c r="CF311" s="51"/>
      <c r="CG311" s="51"/>
      <c r="CH311" s="51"/>
      <c r="CI311" s="51"/>
      <c r="CJ311" s="51"/>
      <c r="CK311" s="51"/>
      <c r="CL311" s="51"/>
      <c r="CM311" s="51"/>
      <c r="CN311" s="51"/>
      <c r="CO311" s="51"/>
      <c r="CP311" s="51"/>
      <c r="CQ311" s="51"/>
      <c r="CR311" s="51"/>
      <c r="CS311" s="51"/>
      <c r="CT311" s="51"/>
      <c r="CU311" s="51"/>
      <c r="CV311" s="51"/>
      <c r="CW311" s="51"/>
      <c r="CX311" s="51"/>
      <c r="CY311" s="51"/>
      <c r="CZ311" s="51"/>
      <c r="DA311" s="51"/>
      <c r="DB311" s="51"/>
      <c r="DC311" s="51"/>
      <c r="DD311" s="51"/>
      <c r="DE311" s="51"/>
      <c r="DF311" s="51"/>
      <c r="DG311" s="51"/>
      <c r="DH311" s="51"/>
      <c r="DI311" s="51"/>
      <c r="DJ311" s="51"/>
      <c r="DK311" s="51"/>
      <c r="DL311" s="51"/>
      <c r="DM311" s="51"/>
      <c r="DN311" s="51"/>
      <c r="DO311" s="51"/>
      <c r="DP311" s="51"/>
      <c r="DQ311" s="51"/>
      <c r="DR311" s="51"/>
      <c r="DS311" s="51"/>
      <c r="DT311" s="51"/>
      <c r="DU311" s="51"/>
      <c r="DV311" s="51"/>
      <c r="DW311" s="51"/>
      <c r="DX311" s="51"/>
      <c r="DY311" s="51"/>
      <c r="DZ311" s="51"/>
      <c r="EA311" s="51"/>
      <c r="EB311" s="51"/>
      <c r="EC311" s="51"/>
      <c r="ED311" s="51"/>
      <c r="EE311" s="51"/>
      <c r="EF311" s="51"/>
      <c r="EG311" s="51"/>
      <c r="EH311" s="51"/>
      <c r="EI311" s="51"/>
      <c r="EJ311" s="51"/>
      <c r="EK311" s="51"/>
      <c r="EL311" s="51"/>
      <c r="EM311" s="51"/>
      <c r="EN311" s="51"/>
      <c r="EO311" s="51"/>
      <c r="EP311" s="51"/>
      <c r="EQ311" s="51"/>
      <c r="ER311" s="51"/>
      <c r="ES311" s="51"/>
      <c r="ET311" s="51"/>
      <c r="EU311" s="51"/>
      <c r="EV311" s="51"/>
      <c r="EW311" s="51"/>
      <c r="EX311" s="51"/>
      <c r="EY311" s="51"/>
      <c r="EZ311" s="51"/>
      <c r="FA311" s="51"/>
      <c r="FB311" s="51"/>
      <c r="FC311" s="51"/>
      <c r="FD311" s="51"/>
      <c r="FE311" s="51"/>
      <c r="FF311" s="51"/>
      <c r="FG311" s="51"/>
      <c r="FH311" s="51"/>
      <c r="FI311" s="51"/>
      <c r="FJ311" s="51"/>
      <c r="FK311" s="51"/>
      <c r="FL311" s="51"/>
      <c r="FM311" s="51"/>
      <c r="FN311" s="51"/>
      <c r="FO311" s="51"/>
      <c r="FP311" s="51"/>
      <c r="FQ311" s="51"/>
      <c r="FR311" s="51"/>
      <c r="FS311" s="51"/>
      <c r="FT311" s="51"/>
      <c r="FU311" s="51"/>
      <c r="FV311" s="51"/>
      <c r="FW311" s="51"/>
      <c r="FX311" s="51"/>
      <c r="FY311" s="51"/>
      <c r="FZ311" s="51"/>
      <c r="GA311" s="51"/>
      <c r="GB311" s="51"/>
      <c r="GC311" s="51"/>
      <c r="GD311" s="51"/>
      <c r="GE311" s="51"/>
      <c r="GF311" s="51"/>
      <c r="GG311" s="51"/>
      <c r="GH311" s="51"/>
      <c r="GI311" s="51"/>
      <c r="GJ311" s="51"/>
      <c r="GK311" s="51"/>
      <c r="GL311" s="51"/>
      <c r="GM311" s="51"/>
      <c r="GN311" s="51"/>
      <c r="GO311" s="51"/>
      <c r="GP311" s="51"/>
      <c r="GQ311" s="51"/>
      <c r="GR311" s="51"/>
      <c r="GS311" s="51"/>
      <c r="GT311" s="51"/>
      <c r="GU311" s="51"/>
      <c r="GV311" s="51"/>
      <c r="GW311" s="51"/>
      <c r="GX311" s="51"/>
      <c r="GY311" s="51"/>
      <c r="GZ311" s="51"/>
      <c r="HA311" s="51"/>
      <c r="HB311" s="51"/>
      <c r="HC311" s="51"/>
      <c r="HD311" s="51"/>
      <c r="HE311" s="51"/>
      <c r="HF311" s="51"/>
      <c r="HG311" s="51"/>
      <c r="HH311" s="51"/>
      <c r="HI311" s="51"/>
      <c r="HJ311" s="51"/>
      <c r="HK311" s="51"/>
      <c r="HL311" s="51"/>
      <c r="HM311" s="51"/>
      <c r="HN311" s="51"/>
      <c r="HO311" s="51"/>
      <c r="HP311" s="51"/>
      <c r="HQ311" s="51"/>
      <c r="HR311" s="51"/>
      <c r="HS311" s="51"/>
      <c r="HT311" s="51"/>
      <c r="HU311" s="51"/>
      <c r="HV311" s="51"/>
      <c r="HW311" s="51"/>
      <c r="HX311" s="51"/>
      <c r="HY311" s="51"/>
      <c r="HZ311" s="51"/>
      <c r="IA311" s="51"/>
      <c r="IB311" s="51"/>
      <c r="IC311" s="51"/>
      <c r="ID311" s="51"/>
      <c r="IE311" s="51"/>
      <c r="IF311" s="51"/>
      <c r="IG311" s="51"/>
      <c r="IH311" s="51"/>
      <c r="II311" s="51"/>
      <c r="IJ311" s="51"/>
      <c r="IK311" s="51"/>
      <c r="IL311" s="51"/>
      <c r="IM311" s="51"/>
      <c r="IN311" s="51"/>
      <c r="IO311" s="51"/>
      <c r="IP311" s="51"/>
      <c r="IQ311" s="51"/>
      <c r="IR311" s="51"/>
      <c r="IS311" s="51"/>
      <c r="IT311" s="51"/>
      <c r="IU311" s="51"/>
      <c r="IV311" s="51"/>
    </row>
    <row r="312" hidden="1">
      <c r="B312" s="829" t="s">
        <v>109</v>
      </c>
      <c r="C312" s="823">
        <v>0</v>
      </c>
      <c r="D312" s="823">
        <v>0</v>
      </c>
      <c r="E312" s="823">
        <v>0</v>
      </c>
      <c r="F312" s="823">
        <v>0</v>
      </c>
      <c r="G312" s="823">
        <v>0</v>
      </c>
      <c r="H312" s="823">
        <v>0</v>
      </c>
      <c r="I312" s="823">
        <v>0</v>
      </c>
      <c r="J312" s="823">
        <v>0</v>
      </c>
      <c r="K312" s="823">
        <v>0</v>
      </c>
      <c r="L312" s="823">
        <v>0</v>
      </c>
      <c r="M312" s="823">
        <v>0</v>
      </c>
      <c r="N312" s="823">
        <v>0</v>
      </c>
      <c r="O312" s="823">
        <v>0</v>
      </c>
      <c r="P312" s="823">
        <v>0</v>
      </c>
      <c r="Q312" s="823">
        <v>0</v>
      </c>
      <c r="R312" s="823">
        <v>0</v>
      </c>
      <c r="S312" s="823">
        <v>0</v>
      </c>
      <c r="T312" s="823">
        <v>0</v>
      </c>
      <c r="U312" s="823">
        <v>0</v>
      </c>
      <c r="V312" s="823">
        <v>0</v>
      </c>
      <c r="W312" s="823">
        <v>0</v>
      </c>
      <c r="X312" s="823">
        <v>0</v>
      </c>
      <c r="Y312" s="823">
        <v>0</v>
      </c>
      <c r="Z312" s="823">
        <v>0</v>
      </c>
      <c r="AA312" s="823">
        <v>0</v>
      </c>
      <c r="AB312" s="823">
        <v>0</v>
      </c>
      <c r="AC312" s="825">
        <v>0</v>
      </c>
      <c r="AD312" s="825">
        <v>0</v>
      </c>
      <c r="AE312" s="825">
        <v>0</v>
      </c>
      <c r="AF312" s="825">
        <v>0</v>
      </c>
      <c r="AG312" s="825">
        <v>0</v>
      </c>
      <c r="AH312" s="825">
        <v>0</v>
      </c>
      <c r="AI312" s="825">
        <v>0</v>
      </c>
      <c r="AJ312" s="825">
        <v>0</v>
      </c>
      <c r="AK312" s="825">
        <v>0</v>
      </c>
      <c r="AL312" s="825">
        <v>0</v>
      </c>
      <c r="AM312" s="825">
        <v>0</v>
      </c>
      <c r="AN312" s="825">
        <v>0</v>
      </c>
      <c r="AO312" s="825">
        <v>0</v>
      </c>
      <c r="AP312" s="825">
        <v>0</v>
      </c>
      <c r="AQ312" s="51"/>
      <c r="AR312" s="51"/>
      <c r="AS312" s="51"/>
      <c r="AT312" s="51"/>
      <c r="AU312" s="51"/>
      <c r="AV312" s="51"/>
      <c r="AW312" s="51"/>
      <c r="AX312" s="51"/>
      <c r="AY312" s="51"/>
      <c r="AZ312" s="51"/>
      <c r="BA312" s="51"/>
      <c r="BB312" s="51"/>
      <c r="BC312" s="51"/>
      <c r="BD312" s="51"/>
      <c r="BE312" s="51"/>
      <c r="BF312" s="51"/>
      <c r="BG312" s="51"/>
      <c r="BH312" s="51"/>
      <c r="BI312" s="51"/>
      <c r="BJ312" s="51"/>
      <c r="BK312" s="51"/>
      <c r="BL312" s="51"/>
      <c r="BM312" s="51"/>
      <c r="BN312" s="51"/>
      <c r="BO312" s="51"/>
      <c r="BP312" s="51"/>
      <c r="BQ312" s="51"/>
      <c r="BR312" s="51"/>
      <c r="BS312" s="51"/>
      <c r="BT312" s="51"/>
      <c r="BU312" s="51"/>
      <c r="BV312" s="51"/>
      <c r="BW312" s="51"/>
      <c r="BX312" s="51"/>
      <c r="BY312" s="51"/>
      <c r="BZ312" s="51"/>
      <c r="CA312" s="51"/>
      <c r="CB312" s="51"/>
      <c r="CC312" s="51"/>
      <c r="CD312" s="51"/>
      <c r="CE312" s="51"/>
      <c r="CF312" s="51"/>
      <c r="CG312" s="51"/>
      <c r="CH312" s="51"/>
      <c r="CI312" s="51"/>
      <c r="CJ312" s="51"/>
      <c r="CK312" s="51"/>
      <c r="CL312" s="51"/>
      <c r="CM312" s="51"/>
      <c r="CN312" s="51"/>
      <c r="CO312" s="51"/>
      <c r="CP312" s="51"/>
      <c r="CQ312" s="51"/>
      <c r="CR312" s="51"/>
      <c r="CS312" s="51"/>
      <c r="CT312" s="51"/>
      <c r="CU312" s="51"/>
      <c r="CV312" s="51"/>
      <c r="CW312" s="51"/>
      <c r="CX312" s="51"/>
      <c r="CY312" s="51"/>
      <c r="CZ312" s="51"/>
      <c r="DA312" s="51"/>
      <c r="DB312" s="51"/>
      <c r="DC312" s="51"/>
      <c r="DD312" s="51"/>
      <c r="DE312" s="51"/>
      <c r="DF312" s="51"/>
      <c r="DG312" s="51"/>
      <c r="DH312" s="51"/>
      <c r="DI312" s="51"/>
      <c r="DJ312" s="51"/>
      <c r="DK312" s="51"/>
      <c r="DL312" s="51"/>
      <c r="DM312" s="51"/>
      <c r="DN312" s="51"/>
      <c r="DO312" s="51"/>
      <c r="DP312" s="51"/>
      <c r="DQ312" s="51"/>
      <c r="DR312" s="51"/>
      <c r="DS312" s="51"/>
      <c r="DT312" s="51"/>
      <c r="DU312" s="51"/>
      <c r="DV312" s="51"/>
      <c r="DW312" s="51"/>
      <c r="DX312" s="51"/>
      <c r="DY312" s="51"/>
      <c r="DZ312" s="51"/>
      <c r="EA312" s="51"/>
      <c r="EB312" s="51"/>
      <c r="EC312" s="51"/>
      <c r="ED312" s="51"/>
      <c r="EE312" s="51"/>
      <c r="EF312" s="51"/>
      <c r="EG312" s="51"/>
      <c r="EH312" s="51"/>
      <c r="EI312" s="51"/>
      <c r="EJ312" s="51"/>
      <c r="EK312" s="51"/>
      <c r="EL312" s="51"/>
      <c r="EM312" s="51"/>
      <c r="EN312" s="51"/>
      <c r="EO312" s="51"/>
      <c r="EP312" s="51"/>
      <c r="EQ312" s="51"/>
      <c r="ER312" s="51"/>
      <c r="ES312" s="51"/>
      <c r="ET312" s="51"/>
      <c r="EU312" s="51"/>
      <c r="EV312" s="51"/>
      <c r="EW312" s="51"/>
      <c r="EX312" s="51"/>
      <c r="EY312" s="51"/>
      <c r="EZ312" s="51"/>
      <c r="FA312" s="51"/>
      <c r="FB312" s="51"/>
      <c r="FC312" s="51"/>
      <c r="FD312" s="51"/>
      <c r="FE312" s="51"/>
      <c r="FF312" s="51"/>
      <c r="FG312" s="51"/>
      <c r="FH312" s="51"/>
      <c r="FI312" s="51"/>
      <c r="FJ312" s="51"/>
      <c r="FK312" s="51"/>
      <c r="FL312" s="51"/>
      <c r="FM312" s="51"/>
      <c r="FN312" s="51"/>
      <c r="FO312" s="51"/>
      <c r="FP312" s="51"/>
      <c r="FQ312" s="51"/>
      <c r="FR312" s="51"/>
      <c r="FS312" s="51"/>
      <c r="FT312" s="51"/>
      <c r="FU312" s="51"/>
      <c r="FV312" s="51"/>
      <c r="FW312" s="51"/>
      <c r="FX312" s="51"/>
      <c r="FY312" s="51"/>
      <c r="FZ312" s="51"/>
      <c r="GA312" s="51"/>
      <c r="GB312" s="51"/>
      <c r="GC312" s="51"/>
      <c r="GD312" s="51"/>
      <c r="GE312" s="51"/>
      <c r="GF312" s="51"/>
      <c r="GG312" s="51"/>
      <c r="GH312" s="51"/>
      <c r="GI312" s="51"/>
      <c r="GJ312" s="51"/>
      <c r="GK312" s="51"/>
      <c r="GL312" s="51"/>
      <c r="GM312" s="51"/>
      <c r="GN312" s="51"/>
      <c r="GO312" s="51"/>
      <c r="GP312" s="51"/>
      <c r="GQ312" s="51"/>
      <c r="GR312" s="51"/>
      <c r="GS312" s="51"/>
      <c r="GT312" s="51"/>
      <c r="GU312" s="51"/>
      <c r="GV312" s="51"/>
      <c r="GW312" s="51"/>
      <c r="GX312" s="51"/>
      <c r="GY312" s="51"/>
      <c r="GZ312" s="51"/>
      <c r="HA312" s="51"/>
      <c r="HB312" s="51"/>
      <c r="HC312" s="51"/>
      <c r="HD312" s="51"/>
      <c r="HE312" s="51"/>
      <c r="HF312" s="51"/>
      <c r="HG312" s="51"/>
      <c r="HH312" s="51"/>
      <c r="HI312" s="51"/>
      <c r="HJ312" s="51"/>
      <c r="HK312" s="51"/>
      <c r="HL312" s="51"/>
      <c r="HM312" s="51"/>
      <c r="HN312" s="51"/>
      <c r="HO312" s="51"/>
      <c r="HP312" s="51"/>
      <c r="HQ312" s="51"/>
      <c r="HR312" s="51"/>
      <c r="HS312" s="51"/>
      <c r="HT312" s="51"/>
      <c r="HU312" s="51"/>
      <c r="HV312" s="51"/>
      <c r="HW312" s="51"/>
      <c r="HX312" s="51"/>
      <c r="HY312" s="51"/>
      <c r="HZ312" s="51"/>
      <c r="IA312" s="51"/>
      <c r="IB312" s="51"/>
      <c r="IC312" s="51"/>
      <c r="ID312" s="51"/>
      <c r="IE312" s="51"/>
      <c r="IF312" s="51"/>
      <c r="IG312" s="51"/>
      <c r="IH312" s="51"/>
      <c r="II312" s="51"/>
      <c r="IJ312" s="51"/>
      <c r="IK312" s="51"/>
      <c r="IL312" s="51"/>
      <c r="IM312" s="51"/>
      <c r="IN312" s="51"/>
      <c r="IO312" s="51"/>
      <c r="IP312" s="51"/>
      <c r="IQ312" s="51"/>
      <c r="IR312" s="51"/>
      <c r="IS312" s="51"/>
      <c r="IT312" s="51"/>
      <c r="IU312" s="51"/>
      <c r="IV312" s="51"/>
    </row>
    <row r="313" hidden="1">
      <c r="B313" s="826" t="s">
        <v>110</v>
      </c>
      <c r="C313" s="827">
        <v>0</v>
      </c>
      <c r="D313" s="827">
        <v>0</v>
      </c>
      <c r="E313" s="827">
        <v>0</v>
      </c>
      <c r="F313" s="827">
        <v>0</v>
      </c>
      <c r="G313" s="827">
        <v>0</v>
      </c>
      <c r="H313" s="827">
        <v>0</v>
      </c>
      <c r="I313" s="827">
        <v>0</v>
      </c>
      <c r="J313" s="827">
        <v>0</v>
      </c>
      <c r="K313" s="827">
        <v>3902</v>
      </c>
      <c r="L313" s="827">
        <v>3991</v>
      </c>
      <c r="M313" s="827">
        <v>3987</v>
      </c>
      <c r="N313" s="827">
        <v>1</v>
      </c>
      <c r="O313" s="827">
        <v>0</v>
      </c>
      <c r="P313" s="827">
        <v>0</v>
      </c>
      <c r="Q313" s="827">
        <v>0</v>
      </c>
      <c r="R313" s="827">
        <v>0</v>
      </c>
      <c r="S313" s="827">
        <v>0</v>
      </c>
      <c r="T313" s="827">
        <v>0</v>
      </c>
      <c r="U313" s="827">
        <v>0</v>
      </c>
      <c r="V313" s="827">
        <v>0</v>
      </c>
      <c r="W313" s="827">
        <v>0</v>
      </c>
      <c r="X313" s="827">
        <v>0</v>
      </c>
      <c r="Y313" s="827">
        <v>0</v>
      </c>
      <c r="Z313" s="827">
        <v>0</v>
      </c>
      <c r="AA313" s="827">
        <v>0</v>
      </c>
      <c r="AB313" s="827">
        <v>0</v>
      </c>
      <c r="AC313" s="828">
        <v>0</v>
      </c>
      <c r="AD313" s="828">
        <v>0</v>
      </c>
      <c r="AE313" s="828">
        <v>0</v>
      </c>
      <c r="AF313" s="828">
        <v>0</v>
      </c>
      <c r="AG313" s="828">
        <v>0</v>
      </c>
      <c r="AH313" s="828">
        <v>0</v>
      </c>
      <c r="AI313" s="828">
        <v>0</v>
      </c>
      <c r="AJ313" s="828">
        <v>0</v>
      </c>
      <c r="AK313" s="828">
        <v>0</v>
      </c>
      <c r="AL313" s="828">
        <v>0</v>
      </c>
      <c r="AM313" s="828">
        <v>0</v>
      </c>
      <c r="AN313" s="828">
        <v>0</v>
      </c>
      <c r="AO313" s="828">
        <v>0</v>
      </c>
      <c r="AP313" s="828">
        <v>0</v>
      </c>
      <c r="AQ313" s="51"/>
      <c r="AR313" s="51"/>
      <c r="AS313" s="51"/>
      <c r="AT313" s="51"/>
      <c r="AU313" s="51"/>
      <c r="AV313" s="51"/>
      <c r="AW313" s="51"/>
      <c r="AX313" s="51"/>
      <c r="AY313" s="51"/>
      <c r="AZ313" s="51"/>
      <c r="BA313" s="51"/>
      <c r="BB313" s="51"/>
      <c r="BC313" s="51"/>
      <c r="BD313" s="51"/>
      <c r="BE313" s="51"/>
      <c r="BF313" s="51"/>
      <c r="BG313" s="51"/>
      <c r="BH313" s="51"/>
      <c r="BI313" s="51"/>
      <c r="BJ313" s="51"/>
      <c r="BK313" s="51"/>
      <c r="BL313" s="51"/>
      <c r="BM313" s="51"/>
      <c r="BN313" s="51"/>
      <c r="BO313" s="51"/>
      <c r="BP313" s="51"/>
      <c r="BQ313" s="51"/>
      <c r="BR313" s="51"/>
      <c r="BS313" s="51"/>
      <c r="BT313" s="51"/>
      <c r="BU313" s="51"/>
      <c r="BV313" s="51"/>
      <c r="BW313" s="51"/>
      <c r="BX313" s="51"/>
      <c r="BY313" s="51"/>
      <c r="BZ313" s="51"/>
      <c r="CA313" s="51"/>
      <c r="CB313" s="51"/>
      <c r="CC313" s="51"/>
      <c r="CD313" s="51"/>
      <c r="CE313" s="51"/>
      <c r="CF313" s="51"/>
      <c r="CG313" s="51"/>
      <c r="CH313" s="51"/>
      <c r="CI313" s="51"/>
      <c r="CJ313" s="51"/>
      <c r="CK313" s="51"/>
      <c r="CL313" s="51"/>
      <c r="CM313" s="51"/>
      <c r="CN313" s="51"/>
      <c r="CO313" s="51"/>
      <c r="CP313" s="51"/>
      <c r="CQ313" s="51"/>
      <c r="CR313" s="51"/>
      <c r="CS313" s="51"/>
      <c r="CT313" s="51"/>
      <c r="CU313" s="51"/>
      <c r="CV313" s="51"/>
      <c r="CW313" s="51"/>
      <c r="CX313" s="51"/>
      <c r="CY313" s="51"/>
      <c r="CZ313" s="51"/>
      <c r="DA313" s="51"/>
      <c r="DB313" s="51"/>
      <c r="DC313" s="51"/>
      <c r="DD313" s="51"/>
      <c r="DE313" s="51"/>
      <c r="DF313" s="51"/>
      <c r="DG313" s="51"/>
      <c r="DH313" s="51"/>
      <c r="DI313" s="51"/>
      <c r="DJ313" s="51"/>
      <c r="DK313" s="51"/>
      <c r="DL313" s="51"/>
      <c r="DM313" s="51"/>
      <c r="DN313" s="51"/>
      <c r="DO313" s="51"/>
      <c r="DP313" s="51"/>
      <c r="DQ313" s="51"/>
      <c r="DR313" s="51"/>
      <c r="DS313" s="51"/>
      <c r="DT313" s="51"/>
      <c r="DU313" s="51"/>
      <c r="DV313" s="51"/>
      <c r="DW313" s="51"/>
      <c r="DX313" s="51"/>
      <c r="DY313" s="51"/>
      <c r="DZ313" s="51"/>
      <c r="EA313" s="51"/>
      <c r="EB313" s="51"/>
      <c r="EC313" s="51"/>
      <c r="ED313" s="51"/>
      <c r="EE313" s="51"/>
      <c r="EF313" s="51"/>
      <c r="EG313" s="51"/>
      <c r="EH313" s="51"/>
      <c r="EI313" s="51"/>
      <c r="EJ313" s="51"/>
      <c r="EK313" s="51"/>
      <c r="EL313" s="51"/>
      <c r="EM313" s="51"/>
      <c r="EN313" s="51"/>
      <c r="EO313" s="51"/>
      <c r="EP313" s="51"/>
      <c r="EQ313" s="51"/>
      <c r="ER313" s="51"/>
      <c r="ES313" s="51"/>
      <c r="ET313" s="51"/>
      <c r="EU313" s="51"/>
      <c r="EV313" s="51"/>
      <c r="EW313" s="51"/>
      <c r="EX313" s="51"/>
      <c r="EY313" s="51"/>
      <c r="EZ313" s="51"/>
      <c r="FA313" s="51"/>
      <c r="FB313" s="51"/>
      <c r="FC313" s="51"/>
      <c r="FD313" s="51"/>
      <c r="FE313" s="51"/>
      <c r="FF313" s="51"/>
      <c r="FG313" s="51"/>
      <c r="FH313" s="51"/>
      <c r="FI313" s="51"/>
      <c r="FJ313" s="51"/>
      <c r="FK313" s="51"/>
      <c r="FL313" s="51"/>
      <c r="FM313" s="51"/>
      <c r="FN313" s="51"/>
      <c r="FO313" s="51"/>
      <c r="FP313" s="51"/>
      <c r="FQ313" s="51"/>
      <c r="FR313" s="51"/>
      <c r="FS313" s="51"/>
      <c r="FT313" s="51"/>
      <c r="FU313" s="51"/>
      <c r="FV313" s="51"/>
      <c r="FW313" s="51"/>
      <c r="FX313" s="51"/>
      <c r="FY313" s="51"/>
      <c r="FZ313" s="51"/>
      <c r="GA313" s="51"/>
      <c r="GB313" s="51"/>
      <c r="GC313" s="51"/>
      <c r="GD313" s="51"/>
      <c r="GE313" s="51"/>
      <c r="GF313" s="51"/>
      <c r="GG313" s="51"/>
      <c r="GH313" s="51"/>
      <c r="GI313" s="51"/>
      <c r="GJ313" s="51"/>
      <c r="GK313" s="51"/>
      <c r="GL313" s="51"/>
      <c r="GM313" s="51"/>
      <c r="GN313" s="51"/>
      <c r="GO313" s="51"/>
      <c r="GP313" s="51"/>
      <c r="GQ313" s="51"/>
      <c r="GR313" s="51"/>
      <c r="GS313" s="51"/>
      <c r="GT313" s="51"/>
      <c r="GU313" s="51"/>
      <c r="GV313" s="51"/>
      <c r="GW313" s="51"/>
      <c r="GX313" s="51"/>
      <c r="GY313" s="51"/>
      <c r="GZ313" s="51"/>
      <c r="HA313" s="51"/>
      <c r="HB313" s="51"/>
      <c r="HC313" s="51"/>
      <c r="HD313" s="51"/>
      <c r="HE313" s="51"/>
      <c r="HF313" s="51"/>
      <c r="HG313" s="51"/>
      <c r="HH313" s="51"/>
      <c r="HI313" s="51"/>
      <c r="HJ313" s="51"/>
      <c r="HK313" s="51"/>
      <c r="HL313" s="51"/>
      <c r="HM313" s="51"/>
      <c r="HN313" s="51"/>
      <c r="HO313" s="51"/>
      <c r="HP313" s="51"/>
      <c r="HQ313" s="51"/>
      <c r="HR313" s="51"/>
      <c r="HS313" s="51"/>
      <c r="HT313" s="51"/>
      <c r="HU313" s="51"/>
      <c r="HV313" s="51"/>
      <c r="HW313" s="51"/>
      <c r="HX313" s="51"/>
      <c r="HY313" s="51"/>
      <c r="HZ313" s="51"/>
      <c r="IA313" s="51"/>
      <c r="IB313" s="51"/>
      <c r="IC313" s="51"/>
      <c r="ID313" s="51"/>
      <c r="IE313" s="51"/>
      <c r="IF313" s="51"/>
      <c r="IG313" s="51"/>
      <c r="IH313" s="51"/>
      <c r="II313" s="51"/>
      <c r="IJ313" s="51"/>
      <c r="IK313" s="51"/>
      <c r="IL313" s="51"/>
      <c r="IM313" s="51"/>
      <c r="IN313" s="51"/>
      <c r="IO313" s="51"/>
      <c r="IP313" s="51"/>
      <c r="IQ313" s="51"/>
      <c r="IR313" s="51"/>
      <c r="IS313" s="51"/>
      <c r="IT313" s="51"/>
      <c r="IU313" s="51"/>
      <c r="IV313" s="51"/>
    </row>
    <row r="314" hidden="1">
      <c r="B314" s="829" t="s">
        <v>16</v>
      </c>
      <c r="C314" s="823">
        <v>415</v>
      </c>
      <c r="D314" s="823">
        <v>12</v>
      </c>
      <c r="E314" s="823">
        <v>6</v>
      </c>
      <c r="F314" s="823">
        <v>6</v>
      </c>
      <c r="G314" s="823">
        <v>4</v>
      </c>
      <c r="H314" s="823">
        <v>4</v>
      </c>
      <c r="I314" s="823">
        <v>4</v>
      </c>
      <c r="J314" s="823">
        <v>4</v>
      </c>
      <c r="K314" s="823">
        <v>0</v>
      </c>
      <c r="L314" s="823">
        <v>0</v>
      </c>
      <c r="M314" s="823">
        <v>0</v>
      </c>
      <c r="N314" s="823">
        <v>0</v>
      </c>
      <c r="O314" s="823">
        <v>0</v>
      </c>
      <c r="P314" s="823">
        <v>0</v>
      </c>
      <c r="Q314" s="823">
        <v>0</v>
      </c>
      <c r="R314" s="823">
        <v>0</v>
      </c>
      <c r="S314" s="823">
        <v>0</v>
      </c>
      <c r="T314" s="823">
        <v>0</v>
      </c>
      <c r="U314" s="823">
        <v>0</v>
      </c>
      <c r="V314" s="823">
        <v>0</v>
      </c>
      <c r="W314" s="823">
        <v>0</v>
      </c>
      <c r="X314" s="823">
        <v>0</v>
      </c>
      <c r="Y314" s="823">
        <v>0</v>
      </c>
      <c r="Z314" s="823">
        <v>0</v>
      </c>
      <c r="AA314" s="823">
        <v>0</v>
      </c>
      <c r="AB314" s="823">
        <v>0</v>
      </c>
      <c r="AC314" s="825">
        <v>0</v>
      </c>
      <c r="AD314" s="825">
        <v>0</v>
      </c>
      <c r="AE314" s="825">
        <v>0</v>
      </c>
      <c r="AF314" s="825">
        <v>0</v>
      </c>
      <c r="AG314" s="825">
        <v>0</v>
      </c>
      <c r="AH314" s="825">
        <v>0</v>
      </c>
      <c r="AI314" s="825">
        <v>0</v>
      </c>
      <c r="AJ314" s="825">
        <v>0</v>
      </c>
      <c r="AK314" s="825">
        <v>0</v>
      </c>
      <c r="AL314" s="825">
        <v>0</v>
      </c>
      <c r="AM314" s="825">
        <v>0</v>
      </c>
      <c r="AN314" s="825">
        <v>0</v>
      </c>
      <c r="AO314" s="825">
        <v>0</v>
      </c>
      <c r="AP314" s="825">
        <v>0</v>
      </c>
      <c r="AQ314" s="51"/>
      <c r="AR314" s="51"/>
      <c r="AS314" s="51"/>
      <c r="AT314" s="51"/>
      <c r="AU314" s="51"/>
      <c r="AV314" s="51"/>
      <c r="AW314" s="51"/>
      <c r="AX314" s="51"/>
      <c r="AY314" s="51"/>
      <c r="AZ314" s="51"/>
      <c r="BA314" s="51"/>
      <c r="BB314" s="51"/>
      <c r="BC314" s="51"/>
      <c r="BD314" s="51"/>
      <c r="BE314" s="51"/>
      <c r="BF314" s="51"/>
      <c r="BG314" s="51"/>
      <c r="BH314" s="51"/>
      <c r="BI314" s="51"/>
      <c r="BJ314" s="51"/>
      <c r="BK314" s="51"/>
      <c r="BL314" s="51"/>
      <c r="BM314" s="51"/>
      <c r="BN314" s="51"/>
      <c r="BO314" s="51"/>
      <c r="BP314" s="51"/>
      <c r="BQ314" s="51"/>
      <c r="BR314" s="51"/>
      <c r="BS314" s="51"/>
      <c r="BT314" s="51"/>
      <c r="BU314" s="51"/>
      <c r="BV314" s="51"/>
      <c r="BW314" s="51"/>
      <c r="BX314" s="51"/>
      <c r="BY314" s="51"/>
      <c r="BZ314" s="51"/>
      <c r="CA314" s="51"/>
      <c r="CB314" s="51"/>
      <c r="CC314" s="51"/>
      <c r="CD314" s="51"/>
      <c r="CE314" s="51"/>
      <c r="CF314" s="51"/>
      <c r="CG314" s="51"/>
      <c r="CH314" s="51"/>
      <c r="CI314" s="51"/>
      <c r="CJ314" s="51"/>
      <c r="CK314" s="51"/>
      <c r="CL314" s="51"/>
      <c r="CM314" s="51"/>
      <c r="CN314" s="51"/>
      <c r="CO314" s="51"/>
      <c r="CP314" s="51"/>
      <c r="CQ314" s="51"/>
      <c r="CR314" s="51"/>
      <c r="CS314" s="51"/>
      <c r="CT314" s="51"/>
      <c r="CU314" s="51"/>
      <c r="CV314" s="51"/>
      <c r="CW314" s="51"/>
      <c r="CX314" s="51"/>
      <c r="CY314" s="51"/>
      <c r="CZ314" s="51"/>
      <c r="DA314" s="51"/>
      <c r="DB314" s="51"/>
      <c r="DC314" s="51"/>
      <c r="DD314" s="51"/>
      <c r="DE314" s="51"/>
      <c r="DF314" s="51"/>
      <c r="DG314" s="51"/>
      <c r="DH314" s="51"/>
      <c r="DI314" s="51"/>
      <c r="DJ314" s="51"/>
      <c r="DK314" s="51"/>
      <c r="DL314" s="51"/>
      <c r="DM314" s="51"/>
      <c r="DN314" s="51"/>
      <c r="DO314" s="51"/>
      <c r="DP314" s="51"/>
      <c r="DQ314" s="51"/>
      <c r="DR314" s="51"/>
      <c r="DS314" s="51"/>
      <c r="DT314" s="51"/>
      <c r="DU314" s="51"/>
      <c r="DV314" s="51"/>
      <c r="DW314" s="51"/>
      <c r="DX314" s="51"/>
      <c r="DY314" s="51"/>
      <c r="DZ314" s="51"/>
      <c r="EA314" s="51"/>
      <c r="EB314" s="51"/>
      <c r="EC314" s="51"/>
      <c r="ED314" s="51"/>
      <c r="EE314" s="51"/>
      <c r="EF314" s="51"/>
      <c r="EG314" s="51"/>
      <c r="EH314" s="51"/>
      <c r="EI314" s="51"/>
      <c r="EJ314" s="51"/>
      <c r="EK314" s="51"/>
      <c r="EL314" s="51"/>
      <c r="EM314" s="51"/>
      <c r="EN314" s="51"/>
      <c r="EO314" s="51"/>
      <c r="EP314" s="51"/>
      <c r="EQ314" s="51"/>
      <c r="ER314" s="51"/>
      <c r="ES314" s="51"/>
      <c r="ET314" s="51"/>
      <c r="EU314" s="51"/>
      <c r="EV314" s="51"/>
      <c r="EW314" s="51"/>
      <c r="EX314" s="51"/>
      <c r="EY314" s="51"/>
      <c r="EZ314" s="51"/>
      <c r="FA314" s="51"/>
      <c r="FB314" s="51"/>
      <c r="FC314" s="51"/>
      <c r="FD314" s="51"/>
      <c r="FE314" s="51"/>
      <c r="FF314" s="51"/>
      <c r="FG314" s="51"/>
      <c r="FH314" s="51"/>
      <c r="FI314" s="51"/>
      <c r="FJ314" s="51"/>
      <c r="FK314" s="51"/>
      <c r="FL314" s="51"/>
      <c r="FM314" s="51"/>
      <c r="FN314" s="51"/>
      <c r="FO314" s="51"/>
      <c r="FP314" s="51"/>
      <c r="FQ314" s="51"/>
      <c r="FR314" s="51"/>
      <c r="FS314" s="51"/>
      <c r="FT314" s="51"/>
      <c r="FU314" s="51"/>
      <c r="FV314" s="51"/>
      <c r="FW314" s="51"/>
      <c r="FX314" s="51"/>
      <c r="FY314" s="51"/>
      <c r="FZ314" s="51"/>
      <c r="GA314" s="51"/>
      <c r="GB314" s="51"/>
      <c r="GC314" s="51"/>
      <c r="GD314" s="51"/>
      <c r="GE314" s="51"/>
      <c r="GF314" s="51"/>
      <c r="GG314" s="51"/>
      <c r="GH314" s="51"/>
      <c r="GI314" s="51"/>
      <c r="GJ314" s="51"/>
      <c r="GK314" s="51"/>
      <c r="GL314" s="51"/>
      <c r="GM314" s="51"/>
      <c r="GN314" s="51"/>
      <c r="GO314" s="51"/>
      <c r="GP314" s="51"/>
      <c r="GQ314" s="51"/>
      <c r="GR314" s="51"/>
      <c r="GS314" s="51"/>
      <c r="GT314" s="51"/>
      <c r="GU314" s="51"/>
      <c r="GV314" s="51"/>
      <c r="GW314" s="51"/>
      <c r="GX314" s="51"/>
      <c r="GY314" s="51"/>
      <c r="GZ314" s="51"/>
      <c r="HA314" s="51"/>
      <c r="HB314" s="51"/>
      <c r="HC314" s="51"/>
      <c r="HD314" s="51"/>
      <c r="HE314" s="51"/>
      <c r="HF314" s="51"/>
      <c r="HG314" s="51"/>
      <c r="HH314" s="51"/>
      <c r="HI314" s="51"/>
      <c r="HJ314" s="51"/>
      <c r="HK314" s="51"/>
      <c r="HL314" s="51"/>
      <c r="HM314" s="51"/>
      <c r="HN314" s="51"/>
      <c r="HO314" s="51"/>
      <c r="HP314" s="51"/>
      <c r="HQ314" s="51"/>
      <c r="HR314" s="51"/>
      <c r="HS314" s="51"/>
      <c r="HT314" s="51"/>
      <c r="HU314" s="51"/>
      <c r="HV314" s="51"/>
      <c r="HW314" s="51"/>
      <c r="HX314" s="51"/>
      <c r="HY314" s="51"/>
      <c r="HZ314" s="51"/>
      <c r="IA314" s="51"/>
      <c r="IB314" s="51"/>
      <c r="IC314" s="51"/>
      <c r="ID314" s="51"/>
      <c r="IE314" s="51"/>
      <c r="IF314" s="51"/>
      <c r="IG314" s="51"/>
      <c r="IH314" s="51"/>
      <c r="II314" s="51"/>
      <c r="IJ314" s="51"/>
      <c r="IK314" s="51"/>
      <c r="IL314" s="51"/>
      <c r="IM314" s="51"/>
      <c r="IN314" s="51"/>
      <c r="IO314" s="51"/>
      <c r="IP314" s="51"/>
      <c r="IQ314" s="51"/>
      <c r="IR314" s="51"/>
      <c r="IS314" s="51"/>
      <c r="IT314" s="51"/>
      <c r="IU314" s="51"/>
      <c r="IV314" s="51"/>
    </row>
    <row r="315" hidden="1">
      <c r="B315" s="826" t="s">
        <v>17</v>
      </c>
      <c r="C315" s="827">
        <v>0</v>
      </c>
      <c r="D315" s="827">
        <v>0</v>
      </c>
      <c r="E315" s="827">
        <v>0</v>
      </c>
      <c r="F315" s="827">
        <v>0</v>
      </c>
      <c r="G315" s="827">
        <v>0</v>
      </c>
      <c r="H315" s="827">
        <v>0</v>
      </c>
      <c r="I315" s="827">
        <v>0</v>
      </c>
      <c r="J315" s="827">
        <v>0</v>
      </c>
      <c r="K315" s="827">
        <v>0</v>
      </c>
      <c r="L315" s="827">
        <v>0</v>
      </c>
      <c r="M315" s="827">
        <v>0</v>
      </c>
      <c r="N315" s="827">
        <v>0</v>
      </c>
      <c r="O315" s="827">
        <v>0</v>
      </c>
      <c r="P315" s="827">
        <v>0</v>
      </c>
      <c r="Q315" s="827">
        <v>0</v>
      </c>
      <c r="R315" s="827">
        <v>0</v>
      </c>
      <c r="S315" s="827">
        <v>0</v>
      </c>
      <c r="T315" s="827">
        <v>0</v>
      </c>
      <c r="U315" s="827">
        <v>0</v>
      </c>
      <c r="V315" s="827">
        <v>0</v>
      </c>
      <c r="W315" s="827">
        <v>0</v>
      </c>
      <c r="X315" s="827">
        <v>0</v>
      </c>
      <c r="Y315" s="827">
        <v>0</v>
      </c>
      <c r="Z315" s="827">
        <v>0</v>
      </c>
      <c r="AA315" s="827">
        <v>0</v>
      </c>
      <c r="AB315" s="827">
        <v>0</v>
      </c>
      <c r="AC315" s="828">
        <v>0</v>
      </c>
      <c r="AD315" s="828">
        <v>0</v>
      </c>
      <c r="AE315" s="828">
        <v>0</v>
      </c>
      <c r="AF315" s="828">
        <v>0</v>
      </c>
      <c r="AG315" s="828">
        <v>0</v>
      </c>
      <c r="AH315" s="828">
        <v>0</v>
      </c>
      <c r="AI315" s="828">
        <v>0</v>
      </c>
      <c r="AJ315" s="828">
        <v>0</v>
      </c>
      <c r="AK315" s="828">
        <v>0</v>
      </c>
      <c r="AL315" s="828">
        <v>0</v>
      </c>
      <c r="AM315" s="828">
        <v>0</v>
      </c>
      <c r="AN315" s="828">
        <v>0</v>
      </c>
      <c r="AO315" s="828">
        <v>0</v>
      </c>
      <c r="AP315" s="828">
        <v>0</v>
      </c>
      <c r="AQ315" s="51"/>
      <c r="AR315" s="51"/>
      <c r="AS315" s="51"/>
      <c r="AT315" s="51"/>
      <c r="AU315" s="51"/>
      <c r="AV315" s="51"/>
      <c r="AW315" s="51"/>
      <c r="AX315" s="51"/>
      <c r="AY315" s="51"/>
      <c r="AZ315" s="51"/>
      <c r="BA315" s="51"/>
      <c r="BB315" s="51"/>
      <c r="BC315" s="51"/>
      <c r="BD315" s="51"/>
      <c r="BE315" s="51"/>
      <c r="BF315" s="51"/>
      <c r="BG315" s="51"/>
      <c r="BH315" s="51"/>
      <c r="BI315" s="51"/>
      <c r="BJ315" s="51"/>
      <c r="BK315" s="51"/>
      <c r="BL315" s="51"/>
      <c r="BM315" s="51"/>
      <c r="BN315" s="51"/>
      <c r="BO315" s="51"/>
      <c r="BP315" s="51"/>
      <c r="BQ315" s="51"/>
      <c r="BR315" s="51"/>
      <c r="BS315" s="51"/>
      <c r="BT315" s="51"/>
      <c r="BU315" s="51"/>
      <c r="BV315" s="51"/>
      <c r="BW315" s="51"/>
      <c r="BX315" s="51"/>
      <c r="BY315" s="51"/>
      <c r="BZ315" s="51"/>
      <c r="CA315" s="51"/>
      <c r="CB315" s="51"/>
      <c r="CC315" s="51"/>
      <c r="CD315" s="51"/>
      <c r="CE315" s="51"/>
      <c r="CF315" s="51"/>
      <c r="CG315" s="51"/>
      <c r="CH315" s="51"/>
      <c r="CI315" s="51"/>
      <c r="CJ315" s="51"/>
      <c r="CK315" s="51"/>
      <c r="CL315" s="51"/>
      <c r="CM315" s="51"/>
      <c r="CN315" s="51"/>
      <c r="CO315" s="51"/>
      <c r="CP315" s="51"/>
      <c r="CQ315" s="51"/>
      <c r="CR315" s="51"/>
      <c r="CS315" s="51"/>
      <c r="CT315" s="51"/>
      <c r="CU315" s="51"/>
      <c r="CV315" s="51"/>
      <c r="CW315" s="51"/>
      <c r="CX315" s="51"/>
      <c r="CY315" s="51"/>
      <c r="CZ315" s="51"/>
      <c r="DA315" s="51"/>
      <c r="DB315" s="51"/>
      <c r="DC315" s="51"/>
      <c r="DD315" s="51"/>
      <c r="DE315" s="51"/>
      <c r="DF315" s="51"/>
      <c r="DG315" s="51"/>
      <c r="DH315" s="51"/>
      <c r="DI315" s="51"/>
      <c r="DJ315" s="51"/>
      <c r="DK315" s="51"/>
      <c r="DL315" s="51"/>
      <c r="DM315" s="51"/>
      <c r="DN315" s="51"/>
      <c r="DO315" s="51"/>
      <c r="DP315" s="51"/>
      <c r="DQ315" s="51"/>
      <c r="DR315" s="51"/>
      <c r="DS315" s="51"/>
      <c r="DT315" s="51"/>
      <c r="DU315" s="51"/>
      <c r="DV315" s="51"/>
      <c r="DW315" s="51"/>
      <c r="DX315" s="51"/>
      <c r="DY315" s="51"/>
      <c r="DZ315" s="51"/>
      <c r="EA315" s="51"/>
      <c r="EB315" s="51"/>
      <c r="EC315" s="51"/>
      <c r="ED315" s="51"/>
      <c r="EE315" s="51"/>
      <c r="EF315" s="51"/>
      <c r="EG315" s="51"/>
      <c r="EH315" s="51"/>
      <c r="EI315" s="51"/>
      <c r="EJ315" s="51"/>
      <c r="EK315" s="51"/>
      <c r="EL315" s="51"/>
      <c r="EM315" s="51"/>
      <c r="EN315" s="51"/>
      <c r="EO315" s="51"/>
      <c r="EP315" s="51"/>
      <c r="EQ315" s="51"/>
      <c r="ER315" s="51"/>
      <c r="ES315" s="51"/>
      <c r="ET315" s="51"/>
      <c r="EU315" s="51"/>
      <c r="EV315" s="51"/>
      <c r="EW315" s="51"/>
      <c r="EX315" s="51"/>
      <c r="EY315" s="51"/>
      <c r="EZ315" s="51"/>
      <c r="FA315" s="51"/>
      <c r="FB315" s="51"/>
      <c r="FC315" s="51"/>
      <c r="FD315" s="51"/>
      <c r="FE315" s="51"/>
      <c r="FF315" s="51"/>
      <c r="FG315" s="51"/>
      <c r="FH315" s="51"/>
      <c r="FI315" s="51"/>
      <c r="FJ315" s="51"/>
      <c r="FK315" s="51"/>
      <c r="FL315" s="51"/>
      <c r="FM315" s="51"/>
      <c r="FN315" s="51"/>
      <c r="FO315" s="51"/>
      <c r="FP315" s="51"/>
      <c r="FQ315" s="51"/>
      <c r="FR315" s="51"/>
      <c r="FS315" s="51"/>
      <c r="FT315" s="51"/>
      <c r="FU315" s="51"/>
      <c r="FV315" s="51"/>
      <c r="FW315" s="51"/>
      <c r="FX315" s="51"/>
      <c r="FY315" s="51"/>
      <c r="FZ315" s="51"/>
      <c r="GA315" s="51"/>
      <c r="GB315" s="51"/>
      <c r="GC315" s="51"/>
      <c r="GD315" s="51"/>
      <c r="GE315" s="51"/>
      <c r="GF315" s="51"/>
      <c r="GG315" s="51"/>
      <c r="GH315" s="51"/>
      <c r="GI315" s="51"/>
      <c r="GJ315" s="51"/>
      <c r="GK315" s="51"/>
      <c r="GL315" s="51"/>
      <c r="GM315" s="51"/>
      <c r="GN315" s="51"/>
      <c r="GO315" s="51"/>
      <c r="GP315" s="51"/>
      <c r="GQ315" s="51"/>
      <c r="GR315" s="51"/>
      <c r="GS315" s="51"/>
      <c r="GT315" s="51"/>
      <c r="GU315" s="51"/>
      <c r="GV315" s="51"/>
      <c r="GW315" s="51"/>
      <c r="GX315" s="51"/>
      <c r="GY315" s="51"/>
      <c r="GZ315" s="51"/>
      <c r="HA315" s="51"/>
      <c r="HB315" s="51"/>
      <c r="HC315" s="51"/>
      <c r="HD315" s="51"/>
      <c r="HE315" s="51"/>
      <c r="HF315" s="51"/>
      <c r="HG315" s="51"/>
      <c r="HH315" s="51"/>
      <c r="HI315" s="51"/>
      <c r="HJ315" s="51"/>
      <c r="HK315" s="51"/>
      <c r="HL315" s="51"/>
      <c r="HM315" s="51"/>
      <c r="HN315" s="51"/>
      <c r="HO315" s="51"/>
      <c r="HP315" s="51"/>
      <c r="HQ315" s="51"/>
      <c r="HR315" s="51"/>
      <c r="HS315" s="51"/>
      <c r="HT315" s="51"/>
      <c r="HU315" s="51"/>
      <c r="HV315" s="51"/>
      <c r="HW315" s="51"/>
      <c r="HX315" s="51"/>
      <c r="HY315" s="51"/>
      <c r="HZ315" s="51"/>
      <c r="IA315" s="51"/>
      <c r="IB315" s="51"/>
      <c r="IC315" s="51"/>
      <c r="ID315" s="51"/>
      <c r="IE315" s="51"/>
      <c r="IF315" s="51"/>
      <c r="IG315" s="51"/>
      <c r="IH315" s="51"/>
      <c r="II315" s="51"/>
      <c r="IJ315" s="51"/>
      <c r="IK315" s="51"/>
      <c r="IL315" s="51"/>
      <c r="IM315" s="51"/>
      <c r="IN315" s="51"/>
      <c r="IO315" s="51"/>
      <c r="IP315" s="51"/>
      <c r="IQ315" s="51"/>
      <c r="IR315" s="51"/>
      <c r="IS315" s="51"/>
      <c r="IT315" s="51"/>
      <c r="IU315" s="51"/>
      <c r="IV315" s="51"/>
    </row>
    <row r="316" hidden="1">
      <c r="B316" s="829" t="s">
        <v>18</v>
      </c>
      <c r="C316" s="823">
        <v>0</v>
      </c>
      <c r="D316" s="823">
        <v>0</v>
      </c>
      <c r="E316" s="823">
        <v>0</v>
      </c>
      <c r="F316" s="823">
        <v>0</v>
      </c>
      <c r="G316" s="823">
        <v>0</v>
      </c>
      <c r="H316" s="823">
        <v>0</v>
      </c>
      <c r="I316" s="823">
        <v>0</v>
      </c>
      <c r="J316" s="823">
        <v>0</v>
      </c>
      <c r="K316" s="823">
        <v>5056</v>
      </c>
      <c r="L316" s="823">
        <v>5173</v>
      </c>
      <c r="M316" s="823">
        <v>5232</v>
      </c>
      <c r="N316" s="823">
        <v>5320</v>
      </c>
      <c r="O316" s="823">
        <v>65</v>
      </c>
      <c r="P316" s="823">
        <v>25</v>
      </c>
      <c r="Q316" s="823">
        <v>22</v>
      </c>
      <c r="R316" s="823">
        <v>16</v>
      </c>
      <c r="S316" s="823">
        <v>4</v>
      </c>
      <c r="T316" s="823">
        <v>3</v>
      </c>
      <c r="U316" s="823">
        <v>2</v>
      </c>
      <c r="V316" s="823">
        <v>2</v>
      </c>
      <c r="W316" s="823">
        <v>1</v>
      </c>
      <c r="X316" s="823">
        <v>0</v>
      </c>
      <c r="Y316" s="823">
        <v>0</v>
      </c>
      <c r="Z316" s="823">
        <v>0</v>
      </c>
      <c r="AA316" s="823">
        <v>0</v>
      </c>
      <c r="AB316" s="823">
        <v>0</v>
      </c>
      <c r="AC316" s="825">
        <v>0</v>
      </c>
      <c r="AD316" s="825">
        <v>0</v>
      </c>
      <c r="AE316" s="825">
        <v>0</v>
      </c>
      <c r="AF316" s="825">
        <v>0</v>
      </c>
      <c r="AG316" s="825">
        <v>0</v>
      </c>
      <c r="AH316" s="825">
        <v>0</v>
      </c>
      <c r="AI316" s="825">
        <v>0</v>
      </c>
      <c r="AJ316" s="825">
        <v>0</v>
      </c>
      <c r="AK316" s="825">
        <v>0</v>
      </c>
      <c r="AL316" s="825">
        <v>0</v>
      </c>
      <c r="AM316" s="825">
        <v>0</v>
      </c>
      <c r="AN316" s="825">
        <v>0</v>
      </c>
      <c r="AO316" s="825">
        <v>0</v>
      </c>
      <c r="AP316" s="825">
        <v>0</v>
      </c>
      <c r="AQ316" s="51"/>
      <c r="AR316" s="51"/>
      <c r="AS316" s="51"/>
      <c r="AT316" s="51"/>
      <c r="AU316" s="51"/>
      <c r="AV316" s="51"/>
      <c r="AW316" s="51"/>
      <c r="AX316" s="51"/>
      <c r="AY316" s="51"/>
      <c r="AZ316" s="51"/>
      <c r="BA316" s="51"/>
      <c r="BB316" s="51"/>
      <c r="BC316" s="51"/>
      <c r="BD316" s="51"/>
      <c r="BE316" s="51"/>
      <c r="BF316" s="51"/>
      <c r="BG316" s="51"/>
      <c r="BH316" s="51"/>
      <c r="BI316" s="51"/>
      <c r="BJ316" s="51"/>
      <c r="BK316" s="51"/>
      <c r="BL316" s="51"/>
      <c r="BM316" s="51"/>
      <c r="BN316" s="51"/>
      <c r="BO316" s="51"/>
      <c r="BP316" s="51"/>
      <c r="BQ316" s="51"/>
      <c r="BR316" s="51"/>
      <c r="BS316" s="51"/>
      <c r="BT316" s="51"/>
      <c r="BU316" s="51"/>
      <c r="BV316" s="51"/>
      <c r="BW316" s="51"/>
      <c r="BX316" s="51"/>
      <c r="BY316" s="51"/>
      <c r="BZ316" s="51"/>
      <c r="CA316" s="51"/>
      <c r="CB316" s="51"/>
      <c r="CC316" s="51"/>
      <c r="CD316" s="51"/>
      <c r="CE316" s="51"/>
      <c r="CF316" s="51"/>
      <c r="CG316" s="51"/>
      <c r="CH316" s="51"/>
      <c r="CI316" s="51"/>
      <c r="CJ316" s="51"/>
      <c r="CK316" s="51"/>
      <c r="CL316" s="51"/>
      <c r="CM316" s="51"/>
      <c r="CN316" s="51"/>
      <c r="CO316" s="51"/>
      <c r="CP316" s="51"/>
      <c r="CQ316" s="51"/>
      <c r="CR316" s="51"/>
      <c r="CS316" s="51"/>
      <c r="CT316" s="51"/>
      <c r="CU316" s="51"/>
      <c r="CV316" s="51"/>
      <c r="CW316" s="51"/>
      <c r="CX316" s="51"/>
      <c r="CY316" s="51"/>
      <c r="CZ316" s="51"/>
      <c r="DA316" s="51"/>
      <c r="DB316" s="51"/>
      <c r="DC316" s="51"/>
      <c r="DD316" s="51"/>
      <c r="DE316" s="51"/>
      <c r="DF316" s="51"/>
      <c r="DG316" s="51"/>
      <c r="DH316" s="51"/>
      <c r="DI316" s="51"/>
      <c r="DJ316" s="51"/>
      <c r="DK316" s="51"/>
      <c r="DL316" s="51"/>
      <c r="DM316" s="51"/>
      <c r="DN316" s="51"/>
      <c r="DO316" s="51"/>
      <c r="DP316" s="51"/>
      <c r="DQ316" s="51"/>
      <c r="DR316" s="51"/>
      <c r="DS316" s="51"/>
      <c r="DT316" s="51"/>
      <c r="DU316" s="51"/>
      <c r="DV316" s="51"/>
      <c r="DW316" s="51"/>
      <c r="DX316" s="51"/>
      <c r="DY316" s="51"/>
      <c r="DZ316" s="51"/>
      <c r="EA316" s="51"/>
      <c r="EB316" s="51"/>
      <c r="EC316" s="51"/>
      <c r="ED316" s="51"/>
      <c r="EE316" s="51"/>
      <c r="EF316" s="51"/>
      <c r="EG316" s="51"/>
      <c r="EH316" s="51"/>
      <c r="EI316" s="51"/>
      <c r="EJ316" s="51"/>
      <c r="EK316" s="51"/>
      <c r="EL316" s="51"/>
      <c r="EM316" s="51"/>
      <c r="EN316" s="51"/>
      <c r="EO316" s="51"/>
      <c r="EP316" s="51"/>
      <c r="EQ316" s="51"/>
      <c r="ER316" s="51"/>
      <c r="ES316" s="51"/>
      <c r="ET316" s="51"/>
      <c r="EU316" s="51"/>
      <c r="EV316" s="51"/>
      <c r="EW316" s="51"/>
      <c r="EX316" s="51"/>
      <c r="EY316" s="51"/>
      <c r="EZ316" s="51"/>
      <c r="FA316" s="51"/>
      <c r="FB316" s="51"/>
      <c r="FC316" s="51"/>
      <c r="FD316" s="51"/>
      <c r="FE316" s="51"/>
      <c r="FF316" s="51"/>
      <c r="FG316" s="51"/>
      <c r="FH316" s="51"/>
      <c r="FI316" s="51"/>
      <c r="FJ316" s="51"/>
      <c r="FK316" s="51"/>
      <c r="FL316" s="51"/>
      <c r="FM316" s="51"/>
      <c r="FN316" s="51"/>
      <c r="FO316" s="51"/>
      <c r="FP316" s="51"/>
      <c r="FQ316" s="51"/>
      <c r="FR316" s="51"/>
      <c r="FS316" s="51"/>
      <c r="FT316" s="51"/>
      <c r="FU316" s="51"/>
      <c r="FV316" s="51"/>
      <c r="FW316" s="51"/>
      <c r="FX316" s="51"/>
      <c r="FY316" s="51"/>
      <c r="FZ316" s="51"/>
      <c r="GA316" s="51"/>
      <c r="GB316" s="51"/>
      <c r="GC316" s="51"/>
      <c r="GD316" s="51"/>
      <c r="GE316" s="51"/>
      <c r="GF316" s="51"/>
      <c r="GG316" s="51"/>
      <c r="GH316" s="51"/>
      <c r="GI316" s="51"/>
      <c r="GJ316" s="51"/>
      <c r="GK316" s="51"/>
      <c r="GL316" s="51"/>
      <c r="GM316" s="51"/>
      <c r="GN316" s="51"/>
      <c r="GO316" s="51"/>
      <c r="GP316" s="51"/>
      <c r="GQ316" s="51"/>
      <c r="GR316" s="51"/>
      <c r="GS316" s="51"/>
      <c r="GT316" s="51"/>
      <c r="GU316" s="51"/>
      <c r="GV316" s="51"/>
      <c r="GW316" s="51"/>
      <c r="GX316" s="51"/>
      <c r="GY316" s="51"/>
      <c r="GZ316" s="51"/>
      <c r="HA316" s="51"/>
      <c r="HB316" s="51"/>
      <c r="HC316" s="51"/>
      <c r="HD316" s="51"/>
      <c r="HE316" s="51"/>
      <c r="HF316" s="51"/>
      <c r="HG316" s="51"/>
      <c r="HH316" s="51"/>
      <c r="HI316" s="51"/>
      <c r="HJ316" s="51"/>
      <c r="HK316" s="51"/>
      <c r="HL316" s="51"/>
      <c r="HM316" s="51"/>
      <c r="HN316" s="51"/>
      <c r="HO316" s="51"/>
      <c r="HP316" s="51"/>
      <c r="HQ316" s="51"/>
      <c r="HR316" s="51"/>
      <c r="HS316" s="51"/>
      <c r="HT316" s="51"/>
      <c r="HU316" s="51"/>
      <c r="HV316" s="51"/>
      <c r="HW316" s="51"/>
      <c r="HX316" s="51"/>
      <c r="HY316" s="51"/>
      <c r="HZ316" s="51"/>
      <c r="IA316" s="51"/>
      <c r="IB316" s="51"/>
      <c r="IC316" s="51"/>
      <c r="ID316" s="51"/>
      <c r="IE316" s="51"/>
      <c r="IF316" s="51"/>
      <c r="IG316" s="51"/>
      <c r="IH316" s="51"/>
      <c r="II316" s="51"/>
      <c r="IJ316" s="51"/>
      <c r="IK316" s="51"/>
      <c r="IL316" s="51"/>
      <c r="IM316" s="51"/>
      <c r="IN316" s="51"/>
      <c r="IO316" s="51"/>
      <c r="IP316" s="51"/>
      <c r="IQ316" s="51"/>
      <c r="IR316" s="51"/>
      <c r="IS316" s="51"/>
      <c r="IT316" s="51"/>
      <c r="IU316" s="51"/>
      <c r="IV316" s="51"/>
    </row>
    <row r="317" hidden="1">
      <c r="B317" s="826" t="s">
        <v>19</v>
      </c>
      <c r="C317" s="827">
        <v>313</v>
      </c>
      <c r="D317" s="827">
        <v>412</v>
      </c>
      <c r="E317" s="827">
        <v>477</v>
      </c>
      <c r="F317" s="827">
        <v>549</v>
      </c>
      <c r="G317" s="827">
        <v>646</v>
      </c>
      <c r="H317" s="827">
        <v>706</v>
      </c>
      <c r="I317" s="827">
        <v>751</v>
      </c>
      <c r="J317" s="827">
        <v>794</v>
      </c>
      <c r="K317" s="827">
        <v>829</v>
      </c>
      <c r="L317" s="827">
        <v>717</v>
      </c>
      <c r="M317" s="827">
        <v>812</v>
      </c>
      <c r="N317" s="827">
        <v>903</v>
      </c>
      <c r="O317" s="827">
        <v>1</v>
      </c>
      <c r="P317" s="827">
        <v>0</v>
      </c>
      <c r="Q317" s="827">
        <v>0</v>
      </c>
      <c r="R317" s="827">
        <v>0</v>
      </c>
      <c r="S317" s="827">
        <v>0</v>
      </c>
      <c r="T317" s="827">
        <v>0</v>
      </c>
      <c r="U317" s="827">
        <v>0</v>
      </c>
      <c r="V317" s="827">
        <v>0</v>
      </c>
      <c r="W317" s="827">
        <v>0</v>
      </c>
      <c r="X317" s="827">
        <v>0</v>
      </c>
      <c r="Y317" s="827">
        <v>0</v>
      </c>
      <c r="Z317" s="827">
        <v>0</v>
      </c>
      <c r="AA317" s="827">
        <v>0</v>
      </c>
      <c r="AB317" s="827">
        <v>0</v>
      </c>
      <c r="AC317" s="828">
        <v>0</v>
      </c>
      <c r="AD317" s="828">
        <v>0</v>
      </c>
      <c r="AE317" s="828">
        <v>0</v>
      </c>
      <c r="AF317" s="828">
        <v>0</v>
      </c>
      <c r="AG317" s="828">
        <v>0</v>
      </c>
      <c r="AH317" s="828">
        <v>0</v>
      </c>
      <c r="AI317" s="828">
        <v>0</v>
      </c>
      <c r="AJ317" s="828">
        <v>0</v>
      </c>
      <c r="AK317" s="828">
        <v>0</v>
      </c>
      <c r="AL317" s="828">
        <v>0</v>
      </c>
      <c r="AM317" s="828">
        <v>0</v>
      </c>
      <c r="AN317" s="828">
        <v>0</v>
      </c>
      <c r="AO317" s="828">
        <v>0</v>
      </c>
      <c r="AP317" s="828">
        <v>0</v>
      </c>
      <c r="AQ317" s="51"/>
      <c r="AR317" s="51"/>
      <c r="AS317" s="51"/>
      <c r="AT317" s="51"/>
      <c r="AU317" s="51"/>
      <c r="AV317" s="51"/>
      <c r="AW317" s="51"/>
      <c r="AX317" s="51"/>
      <c r="AY317" s="51"/>
      <c r="AZ317" s="51"/>
      <c r="BA317" s="51"/>
      <c r="BB317" s="51"/>
      <c r="BC317" s="51"/>
      <c r="BD317" s="51"/>
      <c r="BE317" s="51"/>
      <c r="BF317" s="51"/>
      <c r="BG317" s="51"/>
      <c r="BH317" s="51"/>
      <c r="BI317" s="51"/>
      <c r="BJ317" s="51"/>
      <c r="BK317" s="51"/>
      <c r="BL317" s="51"/>
      <c r="BM317" s="51"/>
      <c r="BN317" s="51"/>
      <c r="BO317" s="51"/>
      <c r="BP317" s="51"/>
      <c r="BQ317" s="51"/>
      <c r="BR317" s="51"/>
      <c r="BS317" s="51"/>
      <c r="BT317" s="51"/>
      <c r="BU317" s="51"/>
      <c r="BV317" s="51"/>
      <c r="BW317" s="51"/>
      <c r="BX317" s="51"/>
      <c r="BY317" s="51"/>
      <c r="BZ317" s="51"/>
      <c r="CA317" s="51"/>
      <c r="CB317" s="51"/>
      <c r="CC317" s="51"/>
      <c r="CD317" s="51"/>
      <c r="CE317" s="51"/>
      <c r="CF317" s="51"/>
      <c r="CG317" s="51"/>
      <c r="CH317" s="51"/>
      <c r="CI317" s="51"/>
      <c r="CJ317" s="51"/>
      <c r="CK317" s="51"/>
      <c r="CL317" s="51"/>
      <c r="CM317" s="51"/>
      <c r="CN317" s="51"/>
      <c r="CO317" s="51"/>
      <c r="CP317" s="51"/>
      <c r="CQ317" s="51"/>
      <c r="CR317" s="51"/>
      <c r="CS317" s="51"/>
      <c r="CT317" s="51"/>
      <c r="CU317" s="51"/>
      <c r="CV317" s="51"/>
      <c r="CW317" s="51"/>
      <c r="CX317" s="51"/>
      <c r="CY317" s="51"/>
      <c r="CZ317" s="51"/>
      <c r="DA317" s="51"/>
      <c r="DB317" s="51"/>
      <c r="DC317" s="51"/>
      <c r="DD317" s="51"/>
      <c r="DE317" s="51"/>
      <c r="DF317" s="51"/>
      <c r="DG317" s="51"/>
      <c r="DH317" s="51"/>
      <c r="DI317" s="51"/>
      <c r="DJ317" s="51"/>
      <c r="DK317" s="51"/>
      <c r="DL317" s="51"/>
      <c r="DM317" s="51"/>
      <c r="DN317" s="51"/>
      <c r="DO317" s="51"/>
      <c r="DP317" s="51"/>
      <c r="DQ317" s="51"/>
      <c r="DR317" s="51"/>
      <c r="DS317" s="51"/>
      <c r="DT317" s="51"/>
      <c r="DU317" s="51"/>
      <c r="DV317" s="51"/>
      <c r="DW317" s="51"/>
      <c r="DX317" s="51"/>
      <c r="DY317" s="51"/>
      <c r="DZ317" s="51"/>
      <c r="EA317" s="51"/>
      <c r="EB317" s="51"/>
      <c r="EC317" s="51"/>
      <c r="ED317" s="51"/>
      <c r="EE317" s="51"/>
      <c r="EF317" s="51"/>
      <c r="EG317" s="51"/>
      <c r="EH317" s="51"/>
      <c r="EI317" s="51"/>
      <c r="EJ317" s="51"/>
      <c r="EK317" s="51"/>
      <c r="EL317" s="51"/>
      <c r="EM317" s="51"/>
      <c r="EN317" s="51"/>
      <c r="EO317" s="51"/>
      <c r="EP317" s="51"/>
      <c r="EQ317" s="51"/>
      <c r="ER317" s="51"/>
      <c r="ES317" s="51"/>
      <c r="ET317" s="51"/>
      <c r="EU317" s="51"/>
      <c r="EV317" s="51"/>
      <c r="EW317" s="51"/>
      <c r="EX317" s="51"/>
      <c r="EY317" s="51"/>
      <c r="EZ317" s="51"/>
      <c r="FA317" s="51"/>
      <c r="FB317" s="51"/>
      <c r="FC317" s="51"/>
      <c r="FD317" s="51"/>
      <c r="FE317" s="51"/>
      <c r="FF317" s="51"/>
      <c r="FG317" s="51"/>
      <c r="FH317" s="51"/>
      <c r="FI317" s="51"/>
      <c r="FJ317" s="51"/>
      <c r="FK317" s="51"/>
      <c r="FL317" s="51"/>
      <c r="FM317" s="51"/>
      <c r="FN317" s="51"/>
      <c r="FO317" s="51"/>
      <c r="FP317" s="51"/>
      <c r="FQ317" s="51"/>
      <c r="FR317" s="51"/>
      <c r="FS317" s="51"/>
      <c r="FT317" s="51"/>
      <c r="FU317" s="51"/>
      <c r="FV317" s="51"/>
      <c r="FW317" s="51"/>
      <c r="FX317" s="51"/>
      <c r="FY317" s="51"/>
      <c r="FZ317" s="51"/>
      <c r="GA317" s="51"/>
      <c r="GB317" s="51"/>
      <c r="GC317" s="51"/>
      <c r="GD317" s="51"/>
      <c r="GE317" s="51"/>
      <c r="GF317" s="51"/>
      <c r="GG317" s="51"/>
      <c r="GH317" s="51"/>
      <c r="GI317" s="51"/>
      <c r="GJ317" s="51"/>
      <c r="GK317" s="51"/>
      <c r="GL317" s="51"/>
      <c r="GM317" s="51"/>
      <c r="GN317" s="51"/>
      <c r="GO317" s="51"/>
      <c r="GP317" s="51"/>
      <c r="GQ317" s="51"/>
      <c r="GR317" s="51"/>
      <c r="GS317" s="51"/>
      <c r="GT317" s="51"/>
      <c r="GU317" s="51"/>
      <c r="GV317" s="51"/>
      <c r="GW317" s="51"/>
      <c r="GX317" s="51"/>
      <c r="GY317" s="51"/>
      <c r="GZ317" s="51"/>
      <c r="HA317" s="51"/>
      <c r="HB317" s="51"/>
      <c r="HC317" s="51"/>
      <c r="HD317" s="51"/>
      <c r="HE317" s="51"/>
      <c r="HF317" s="51"/>
      <c r="HG317" s="51"/>
      <c r="HH317" s="51"/>
      <c r="HI317" s="51"/>
      <c r="HJ317" s="51"/>
      <c r="HK317" s="51"/>
      <c r="HL317" s="51"/>
      <c r="HM317" s="51"/>
      <c r="HN317" s="51"/>
      <c r="HO317" s="51"/>
      <c r="HP317" s="51"/>
      <c r="HQ317" s="51"/>
      <c r="HR317" s="51"/>
      <c r="HS317" s="51"/>
      <c r="HT317" s="51"/>
      <c r="HU317" s="51"/>
      <c r="HV317" s="51"/>
      <c r="HW317" s="51"/>
      <c r="HX317" s="51"/>
      <c r="HY317" s="51"/>
      <c r="HZ317" s="51"/>
      <c r="IA317" s="51"/>
      <c r="IB317" s="51"/>
      <c r="IC317" s="51"/>
      <c r="ID317" s="51"/>
      <c r="IE317" s="51"/>
      <c r="IF317" s="51"/>
      <c r="IG317" s="51"/>
      <c r="IH317" s="51"/>
      <c r="II317" s="51"/>
      <c r="IJ317" s="51"/>
      <c r="IK317" s="51"/>
      <c r="IL317" s="51"/>
      <c r="IM317" s="51"/>
      <c r="IN317" s="51"/>
      <c r="IO317" s="51"/>
      <c r="IP317" s="51"/>
      <c r="IQ317" s="51"/>
      <c r="IR317" s="51"/>
      <c r="IS317" s="51"/>
      <c r="IT317" s="51"/>
      <c r="IU317" s="51"/>
      <c r="IV317" s="51"/>
    </row>
    <row r="318" hidden="1">
      <c r="B318" s="829" t="s">
        <v>20</v>
      </c>
      <c r="C318" s="823">
        <v>0</v>
      </c>
      <c r="D318" s="823">
        <v>1</v>
      </c>
      <c r="E318" s="823">
        <v>1</v>
      </c>
      <c r="F318" s="823">
        <v>1</v>
      </c>
      <c r="G318" s="823">
        <v>1</v>
      </c>
      <c r="H318" s="823">
        <v>1</v>
      </c>
      <c r="I318" s="823">
        <v>1</v>
      </c>
      <c r="J318" s="823">
        <v>1</v>
      </c>
      <c r="K318" s="823">
        <v>436</v>
      </c>
      <c r="L318" s="823">
        <v>564</v>
      </c>
      <c r="M318" s="823">
        <v>707</v>
      </c>
      <c r="N318" s="823">
        <v>782</v>
      </c>
      <c r="O318" s="823">
        <v>0</v>
      </c>
      <c r="P318" s="823">
        <v>0</v>
      </c>
      <c r="Q318" s="823">
        <v>0</v>
      </c>
      <c r="R318" s="823">
        <v>0</v>
      </c>
      <c r="S318" s="823">
        <v>0</v>
      </c>
      <c r="T318" s="823">
        <v>0</v>
      </c>
      <c r="U318" s="823">
        <v>0</v>
      </c>
      <c r="V318" s="823">
        <v>0</v>
      </c>
      <c r="W318" s="823">
        <v>0</v>
      </c>
      <c r="X318" s="823">
        <v>0</v>
      </c>
      <c r="Y318" s="823">
        <v>0</v>
      </c>
      <c r="Z318" s="823">
        <v>0</v>
      </c>
      <c r="AA318" s="823">
        <v>0</v>
      </c>
      <c r="AB318" s="823">
        <v>0</v>
      </c>
      <c r="AC318" s="825">
        <v>0</v>
      </c>
      <c r="AD318" s="825">
        <v>0</v>
      </c>
      <c r="AE318" s="825">
        <v>0</v>
      </c>
      <c r="AF318" s="825">
        <v>0</v>
      </c>
      <c r="AG318" s="825">
        <v>0</v>
      </c>
      <c r="AH318" s="825">
        <v>0</v>
      </c>
      <c r="AI318" s="825">
        <v>0</v>
      </c>
      <c r="AJ318" s="825">
        <v>0</v>
      </c>
      <c r="AK318" s="825">
        <v>0</v>
      </c>
      <c r="AL318" s="825">
        <v>0</v>
      </c>
      <c r="AM318" s="825">
        <v>0</v>
      </c>
      <c r="AN318" s="825">
        <v>0</v>
      </c>
      <c r="AO318" s="825">
        <v>0</v>
      </c>
      <c r="AP318" s="825">
        <v>0</v>
      </c>
      <c r="AQ318" s="51"/>
      <c r="AR318" s="51"/>
      <c r="AS318" s="51"/>
      <c r="AT318" s="51"/>
      <c r="AU318" s="51"/>
      <c r="AV318" s="51"/>
      <c r="AW318" s="51"/>
      <c r="AX318" s="51"/>
      <c r="AY318" s="51"/>
      <c r="AZ318" s="51"/>
      <c r="BA318" s="51"/>
      <c r="BB318" s="51"/>
      <c r="BC318" s="51"/>
      <c r="BD318" s="51"/>
      <c r="BE318" s="51"/>
      <c r="BF318" s="51"/>
      <c r="BG318" s="51"/>
      <c r="BH318" s="51"/>
      <c r="BI318" s="51"/>
      <c r="BJ318" s="51"/>
      <c r="BK318" s="51"/>
      <c r="BL318" s="51"/>
      <c r="BM318" s="51"/>
      <c r="BN318" s="51"/>
      <c r="BO318" s="51"/>
      <c r="BP318" s="51"/>
      <c r="BQ318" s="51"/>
      <c r="BR318" s="51"/>
      <c r="BS318" s="51"/>
      <c r="BT318" s="51"/>
      <c r="BU318" s="51"/>
      <c r="BV318" s="51"/>
      <c r="BW318" s="51"/>
      <c r="BX318" s="51"/>
      <c r="BY318" s="51"/>
      <c r="BZ318" s="51"/>
      <c r="CA318" s="51"/>
      <c r="CB318" s="51"/>
      <c r="CC318" s="51"/>
      <c r="CD318" s="51"/>
      <c r="CE318" s="51"/>
      <c r="CF318" s="51"/>
      <c r="CG318" s="51"/>
      <c r="CH318" s="51"/>
      <c r="CI318" s="51"/>
      <c r="CJ318" s="51"/>
      <c r="CK318" s="51"/>
      <c r="CL318" s="51"/>
      <c r="CM318" s="51"/>
      <c r="CN318" s="51"/>
      <c r="CO318" s="51"/>
      <c r="CP318" s="51"/>
      <c r="CQ318" s="51"/>
      <c r="CR318" s="51"/>
      <c r="CS318" s="51"/>
      <c r="CT318" s="51"/>
      <c r="CU318" s="51"/>
      <c r="CV318" s="51"/>
      <c r="CW318" s="51"/>
      <c r="CX318" s="51"/>
      <c r="CY318" s="51"/>
      <c r="CZ318" s="51"/>
      <c r="DA318" s="51"/>
      <c r="DB318" s="51"/>
      <c r="DC318" s="51"/>
      <c r="DD318" s="51"/>
      <c r="DE318" s="51"/>
      <c r="DF318" s="51"/>
      <c r="DG318" s="51"/>
      <c r="DH318" s="51"/>
      <c r="DI318" s="51"/>
      <c r="DJ318" s="51"/>
      <c r="DK318" s="51"/>
      <c r="DL318" s="51"/>
      <c r="DM318" s="51"/>
      <c r="DN318" s="51"/>
      <c r="DO318" s="51"/>
      <c r="DP318" s="51"/>
      <c r="DQ318" s="51"/>
      <c r="DR318" s="51"/>
      <c r="DS318" s="51"/>
      <c r="DT318" s="51"/>
      <c r="DU318" s="51"/>
      <c r="DV318" s="51"/>
      <c r="DW318" s="51"/>
      <c r="DX318" s="51"/>
      <c r="DY318" s="51"/>
      <c r="DZ318" s="51"/>
      <c r="EA318" s="51"/>
      <c r="EB318" s="51"/>
      <c r="EC318" s="51"/>
      <c r="ED318" s="51"/>
      <c r="EE318" s="51"/>
      <c r="EF318" s="51"/>
      <c r="EG318" s="51"/>
      <c r="EH318" s="51"/>
      <c r="EI318" s="51"/>
      <c r="EJ318" s="51"/>
      <c r="EK318" s="51"/>
      <c r="EL318" s="51"/>
      <c r="EM318" s="51"/>
      <c r="EN318" s="51"/>
      <c r="EO318" s="51"/>
      <c r="EP318" s="51"/>
      <c r="EQ318" s="51"/>
      <c r="ER318" s="51"/>
      <c r="ES318" s="51"/>
      <c r="ET318" s="51"/>
      <c r="EU318" s="51"/>
      <c r="EV318" s="51"/>
      <c r="EW318" s="51"/>
      <c r="EX318" s="51"/>
      <c r="EY318" s="51"/>
      <c r="EZ318" s="51"/>
      <c r="FA318" s="51"/>
      <c r="FB318" s="51"/>
      <c r="FC318" s="51"/>
      <c r="FD318" s="51"/>
      <c r="FE318" s="51"/>
      <c r="FF318" s="51"/>
      <c r="FG318" s="51"/>
      <c r="FH318" s="51"/>
      <c r="FI318" s="51"/>
      <c r="FJ318" s="51"/>
      <c r="FK318" s="51"/>
      <c r="FL318" s="51"/>
      <c r="FM318" s="51"/>
      <c r="FN318" s="51"/>
      <c r="FO318" s="51"/>
      <c r="FP318" s="51"/>
      <c r="FQ318" s="51"/>
      <c r="FR318" s="51"/>
      <c r="FS318" s="51"/>
      <c r="FT318" s="51"/>
      <c r="FU318" s="51"/>
      <c r="FV318" s="51"/>
      <c r="FW318" s="51"/>
      <c r="FX318" s="51"/>
      <c r="FY318" s="51"/>
      <c r="FZ318" s="51"/>
      <c r="GA318" s="51"/>
      <c r="GB318" s="51"/>
      <c r="GC318" s="51"/>
      <c r="GD318" s="51"/>
      <c r="GE318" s="51"/>
      <c r="GF318" s="51"/>
      <c r="GG318" s="51"/>
      <c r="GH318" s="51"/>
      <c r="GI318" s="51"/>
      <c r="GJ318" s="51"/>
      <c r="GK318" s="51"/>
      <c r="GL318" s="51"/>
      <c r="GM318" s="51"/>
      <c r="GN318" s="51"/>
      <c r="GO318" s="51"/>
      <c r="GP318" s="51"/>
      <c r="GQ318" s="51"/>
      <c r="GR318" s="51"/>
      <c r="GS318" s="51"/>
      <c r="GT318" s="51"/>
      <c r="GU318" s="51"/>
      <c r="GV318" s="51"/>
      <c r="GW318" s="51"/>
      <c r="GX318" s="51"/>
      <c r="GY318" s="51"/>
      <c r="GZ318" s="51"/>
      <c r="HA318" s="51"/>
      <c r="HB318" s="51"/>
      <c r="HC318" s="51"/>
      <c r="HD318" s="51"/>
      <c r="HE318" s="51"/>
      <c r="HF318" s="51"/>
      <c r="HG318" s="51"/>
      <c r="HH318" s="51"/>
      <c r="HI318" s="51"/>
      <c r="HJ318" s="51"/>
      <c r="HK318" s="51"/>
      <c r="HL318" s="51"/>
      <c r="HM318" s="51"/>
      <c r="HN318" s="51"/>
      <c r="HO318" s="51"/>
      <c r="HP318" s="51"/>
      <c r="HQ318" s="51"/>
      <c r="HR318" s="51"/>
      <c r="HS318" s="51"/>
      <c r="HT318" s="51"/>
      <c r="HU318" s="51"/>
      <c r="HV318" s="51"/>
      <c r="HW318" s="51"/>
      <c r="HX318" s="51"/>
      <c r="HY318" s="51"/>
      <c r="HZ318" s="51"/>
      <c r="IA318" s="51"/>
      <c r="IB318" s="51"/>
      <c r="IC318" s="51"/>
      <c r="ID318" s="51"/>
      <c r="IE318" s="51"/>
      <c r="IF318" s="51"/>
      <c r="IG318" s="51"/>
      <c r="IH318" s="51"/>
      <c r="II318" s="51"/>
      <c r="IJ318" s="51"/>
      <c r="IK318" s="51"/>
      <c r="IL318" s="51"/>
      <c r="IM318" s="51"/>
      <c r="IN318" s="51"/>
      <c r="IO318" s="51"/>
      <c r="IP318" s="51"/>
      <c r="IQ318" s="51"/>
      <c r="IR318" s="51"/>
      <c r="IS318" s="51"/>
      <c r="IT318" s="51"/>
      <c r="IU318" s="51"/>
      <c r="IV318" s="51"/>
    </row>
    <row r="319" hidden="1">
      <c r="B319" s="826" t="s">
        <v>21</v>
      </c>
      <c r="C319" s="827">
        <v>0</v>
      </c>
      <c r="D319" s="827">
        <v>172</v>
      </c>
      <c r="E319" s="827">
        <v>237</v>
      </c>
      <c r="F319" s="827">
        <v>289</v>
      </c>
      <c r="G319" s="827">
        <v>324</v>
      </c>
      <c r="H319" s="827">
        <v>342</v>
      </c>
      <c r="I319" s="827">
        <v>378</v>
      </c>
      <c r="J319" s="827">
        <v>453</v>
      </c>
      <c r="K319" s="827">
        <v>690</v>
      </c>
      <c r="L319" s="827">
        <v>773</v>
      </c>
      <c r="M319" s="827">
        <v>856</v>
      </c>
      <c r="N319" s="827">
        <v>891</v>
      </c>
      <c r="O319" s="827">
        <v>0</v>
      </c>
      <c r="P319" s="827">
        <v>0</v>
      </c>
      <c r="Q319" s="827">
        <v>0</v>
      </c>
      <c r="R319" s="827">
        <v>0</v>
      </c>
      <c r="S319" s="827">
        <v>0</v>
      </c>
      <c r="T319" s="827">
        <v>0</v>
      </c>
      <c r="U319" s="827">
        <v>0</v>
      </c>
      <c r="V319" s="827">
        <v>0</v>
      </c>
      <c r="W319" s="827">
        <v>0</v>
      </c>
      <c r="X319" s="827">
        <v>0</v>
      </c>
      <c r="Y319" s="827">
        <v>0</v>
      </c>
      <c r="Z319" s="827">
        <v>0</v>
      </c>
      <c r="AA319" s="827">
        <v>0</v>
      </c>
      <c r="AB319" s="827">
        <v>0</v>
      </c>
      <c r="AC319" s="828">
        <v>0</v>
      </c>
      <c r="AD319" s="828">
        <v>0</v>
      </c>
      <c r="AE319" s="828">
        <v>0</v>
      </c>
      <c r="AF319" s="828">
        <v>0</v>
      </c>
      <c r="AG319" s="828">
        <v>0</v>
      </c>
      <c r="AH319" s="828">
        <v>0</v>
      </c>
      <c r="AI319" s="828">
        <v>0</v>
      </c>
      <c r="AJ319" s="828">
        <v>0</v>
      </c>
      <c r="AK319" s="828">
        <v>0</v>
      </c>
      <c r="AL319" s="828">
        <v>0</v>
      </c>
      <c r="AM319" s="828">
        <v>0</v>
      </c>
      <c r="AN319" s="828">
        <v>0</v>
      </c>
      <c r="AO319" s="828">
        <v>0</v>
      </c>
      <c r="AP319" s="828">
        <v>0</v>
      </c>
      <c r="AQ319" s="51"/>
      <c r="AR319" s="51"/>
      <c r="AS319" s="51"/>
      <c r="AT319" s="51"/>
      <c r="AU319" s="51"/>
      <c r="AV319" s="51"/>
      <c r="AW319" s="51"/>
      <c r="AX319" s="51"/>
      <c r="AY319" s="51"/>
      <c r="AZ319" s="51"/>
      <c r="BA319" s="51"/>
      <c r="BB319" s="51"/>
      <c r="BC319" s="51"/>
      <c r="BD319" s="51"/>
      <c r="BE319" s="51"/>
      <c r="BF319" s="51"/>
      <c r="BG319" s="51"/>
      <c r="BH319" s="51"/>
      <c r="BI319" s="51"/>
      <c r="BJ319" s="51"/>
      <c r="BK319" s="51"/>
      <c r="BL319" s="51"/>
      <c r="BM319" s="51"/>
      <c r="BN319" s="51"/>
      <c r="BO319" s="51"/>
      <c r="BP319" s="51"/>
      <c r="BQ319" s="51"/>
      <c r="BR319" s="51"/>
      <c r="BS319" s="51"/>
      <c r="BT319" s="51"/>
      <c r="BU319" s="51"/>
      <c r="BV319" s="51"/>
      <c r="BW319" s="51"/>
      <c r="BX319" s="51"/>
      <c r="BY319" s="51"/>
      <c r="BZ319" s="51"/>
      <c r="CA319" s="51"/>
      <c r="CB319" s="51"/>
      <c r="CC319" s="51"/>
      <c r="CD319" s="51"/>
      <c r="CE319" s="51"/>
      <c r="CF319" s="51"/>
      <c r="CG319" s="51"/>
      <c r="CH319" s="51"/>
      <c r="CI319" s="51"/>
      <c r="CJ319" s="51"/>
      <c r="CK319" s="51"/>
      <c r="CL319" s="51"/>
      <c r="CM319" s="51"/>
      <c r="CN319" s="51"/>
      <c r="CO319" s="51"/>
      <c r="CP319" s="51"/>
      <c r="CQ319" s="51"/>
      <c r="CR319" s="51"/>
      <c r="CS319" s="51"/>
      <c r="CT319" s="51"/>
      <c r="CU319" s="51"/>
      <c r="CV319" s="51"/>
      <c r="CW319" s="51"/>
      <c r="CX319" s="51"/>
      <c r="CY319" s="51"/>
      <c r="CZ319" s="51"/>
      <c r="DA319" s="51"/>
      <c r="DB319" s="51"/>
      <c r="DC319" s="51"/>
      <c r="DD319" s="51"/>
      <c r="DE319" s="51"/>
      <c r="DF319" s="51"/>
      <c r="DG319" s="51"/>
      <c r="DH319" s="51"/>
      <c r="DI319" s="51"/>
      <c r="DJ319" s="51"/>
      <c r="DK319" s="51"/>
      <c r="DL319" s="51"/>
      <c r="DM319" s="51"/>
      <c r="DN319" s="51"/>
      <c r="DO319" s="51"/>
      <c r="DP319" s="51"/>
      <c r="DQ319" s="51"/>
      <c r="DR319" s="51"/>
      <c r="DS319" s="51"/>
      <c r="DT319" s="51"/>
      <c r="DU319" s="51"/>
      <c r="DV319" s="51"/>
      <c r="DW319" s="51"/>
      <c r="DX319" s="51"/>
      <c r="DY319" s="51"/>
      <c r="DZ319" s="51"/>
      <c r="EA319" s="51"/>
      <c r="EB319" s="51"/>
      <c r="EC319" s="51"/>
      <c r="ED319" s="51"/>
      <c r="EE319" s="51"/>
      <c r="EF319" s="51"/>
      <c r="EG319" s="51"/>
      <c r="EH319" s="51"/>
      <c r="EI319" s="51"/>
      <c r="EJ319" s="51"/>
      <c r="EK319" s="51"/>
      <c r="EL319" s="51"/>
      <c r="EM319" s="51"/>
      <c r="EN319" s="51"/>
      <c r="EO319" s="51"/>
      <c r="EP319" s="51"/>
      <c r="EQ319" s="51"/>
      <c r="ER319" s="51"/>
      <c r="ES319" s="51"/>
      <c r="ET319" s="51"/>
      <c r="EU319" s="51"/>
      <c r="EV319" s="51"/>
      <c r="EW319" s="51"/>
      <c r="EX319" s="51"/>
      <c r="EY319" s="51"/>
      <c r="EZ319" s="51"/>
      <c r="FA319" s="51"/>
      <c r="FB319" s="51"/>
      <c r="FC319" s="51"/>
      <c r="FD319" s="51"/>
      <c r="FE319" s="51"/>
      <c r="FF319" s="51"/>
      <c r="FG319" s="51"/>
      <c r="FH319" s="51"/>
      <c r="FI319" s="51"/>
      <c r="FJ319" s="51"/>
      <c r="FK319" s="51"/>
      <c r="FL319" s="51"/>
      <c r="FM319" s="51"/>
      <c r="FN319" s="51"/>
      <c r="FO319" s="51"/>
      <c r="FP319" s="51"/>
      <c r="FQ319" s="51"/>
      <c r="FR319" s="51"/>
      <c r="FS319" s="51"/>
      <c r="FT319" s="51"/>
      <c r="FU319" s="51"/>
      <c r="FV319" s="51"/>
      <c r="FW319" s="51"/>
      <c r="FX319" s="51"/>
      <c r="FY319" s="51"/>
      <c r="FZ319" s="51"/>
      <c r="GA319" s="51"/>
      <c r="GB319" s="51"/>
      <c r="GC319" s="51"/>
      <c r="GD319" s="51"/>
      <c r="GE319" s="51"/>
      <c r="GF319" s="51"/>
      <c r="GG319" s="51"/>
      <c r="GH319" s="51"/>
      <c r="GI319" s="51"/>
      <c r="GJ319" s="51"/>
      <c r="GK319" s="51"/>
      <c r="GL319" s="51"/>
      <c r="GM319" s="51"/>
      <c r="GN319" s="51"/>
      <c r="GO319" s="51"/>
      <c r="GP319" s="51"/>
      <c r="GQ319" s="51"/>
      <c r="GR319" s="51"/>
      <c r="GS319" s="51"/>
      <c r="GT319" s="51"/>
      <c r="GU319" s="51"/>
      <c r="GV319" s="51"/>
      <c r="GW319" s="51"/>
      <c r="GX319" s="51"/>
      <c r="GY319" s="51"/>
      <c r="GZ319" s="51"/>
      <c r="HA319" s="51"/>
      <c r="HB319" s="51"/>
      <c r="HC319" s="51"/>
      <c r="HD319" s="51"/>
      <c r="HE319" s="51"/>
      <c r="HF319" s="51"/>
      <c r="HG319" s="51"/>
      <c r="HH319" s="51"/>
      <c r="HI319" s="51"/>
      <c r="HJ319" s="51"/>
      <c r="HK319" s="51"/>
      <c r="HL319" s="51"/>
      <c r="HM319" s="51"/>
      <c r="HN319" s="51"/>
      <c r="HO319" s="51"/>
      <c r="HP319" s="51"/>
      <c r="HQ319" s="51"/>
      <c r="HR319" s="51"/>
      <c r="HS319" s="51"/>
      <c r="HT319" s="51"/>
      <c r="HU319" s="51"/>
      <c r="HV319" s="51"/>
      <c r="HW319" s="51"/>
      <c r="HX319" s="51"/>
      <c r="HY319" s="51"/>
      <c r="HZ319" s="51"/>
      <c r="IA319" s="51"/>
      <c r="IB319" s="51"/>
      <c r="IC319" s="51"/>
      <c r="ID319" s="51"/>
      <c r="IE319" s="51"/>
      <c r="IF319" s="51"/>
      <c r="IG319" s="51"/>
      <c r="IH319" s="51"/>
      <c r="II319" s="51"/>
      <c r="IJ319" s="51"/>
      <c r="IK319" s="51"/>
      <c r="IL319" s="51"/>
      <c r="IM319" s="51"/>
      <c r="IN319" s="51"/>
      <c r="IO319" s="51"/>
      <c r="IP319" s="51"/>
      <c r="IQ319" s="51"/>
      <c r="IR319" s="51"/>
      <c r="IS319" s="51"/>
      <c r="IT319" s="51"/>
      <c r="IU319" s="51"/>
      <c r="IV319" s="51"/>
    </row>
    <row r="320" hidden="1">
      <c r="B320" s="829" t="s">
        <v>22</v>
      </c>
      <c r="C320" s="823">
        <v>0</v>
      </c>
      <c r="D320" s="823">
        <v>0</v>
      </c>
      <c r="E320" s="823">
        <v>0</v>
      </c>
      <c r="F320" s="823">
        <v>713</v>
      </c>
      <c r="G320" s="823">
        <v>742</v>
      </c>
      <c r="H320" s="823">
        <v>792</v>
      </c>
      <c r="I320" s="823">
        <v>750</v>
      </c>
      <c r="J320" s="823">
        <v>846</v>
      </c>
      <c r="K320" s="823">
        <v>832</v>
      </c>
      <c r="L320" s="823">
        <v>971</v>
      </c>
      <c r="M320" s="823">
        <v>1175</v>
      </c>
      <c r="N320" s="823">
        <v>1483</v>
      </c>
      <c r="O320" s="823">
        <v>544</v>
      </c>
      <c r="P320" s="823">
        <v>529</v>
      </c>
      <c r="Q320" s="823">
        <v>2</v>
      </c>
      <c r="R320" s="823">
        <v>2</v>
      </c>
      <c r="S320" s="823">
        <v>2</v>
      </c>
      <c r="T320" s="823">
        <v>2</v>
      </c>
      <c r="U320" s="823">
        <v>2</v>
      </c>
      <c r="V320" s="823">
        <v>2</v>
      </c>
      <c r="W320" s="823">
        <v>2</v>
      </c>
      <c r="X320" s="823">
        <v>2</v>
      </c>
      <c r="Y320" s="823">
        <v>2</v>
      </c>
      <c r="Z320" s="823">
        <v>2</v>
      </c>
      <c r="AA320" s="823">
        <v>2</v>
      </c>
      <c r="AB320" s="823">
        <v>2</v>
      </c>
      <c r="AC320" s="825">
        <v>2</v>
      </c>
      <c r="AD320" s="825">
        <v>2</v>
      </c>
      <c r="AE320" s="825">
        <v>2</v>
      </c>
      <c r="AF320" s="825">
        <v>2</v>
      </c>
      <c r="AG320" s="825">
        <v>2</v>
      </c>
      <c r="AH320" s="825">
        <v>2</v>
      </c>
      <c r="AI320" s="825">
        <v>2</v>
      </c>
      <c r="AJ320" s="825">
        <v>2</v>
      </c>
      <c r="AK320" s="825">
        <v>2</v>
      </c>
      <c r="AL320" s="825">
        <v>2</v>
      </c>
      <c r="AM320" s="825">
        <v>2</v>
      </c>
      <c r="AN320" s="825">
        <v>2</v>
      </c>
      <c r="AO320" s="825">
        <v>2</v>
      </c>
      <c r="AP320" s="825">
        <v>2</v>
      </c>
      <c r="AQ320" s="51"/>
      <c r="AR320" s="51"/>
      <c r="AS320" s="51"/>
      <c r="AT320" s="51"/>
      <c r="AU320" s="51"/>
      <c r="AV320" s="51"/>
      <c r="AW320" s="51"/>
      <c r="AX320" s="51"/>
      <c r="AY320" s="51"/>
      <c r="AZ320" s="51"/>
      <c r="BA320" s="51"/>
      <c r="BB320" s="51"/>
      <c r="BC320" s="51"/>
      <c r="BD320" s="51"/>
      <c r="BE320" s="51"/>
      <c r="BF320" s="51"/>
      <c r="BG320" s="51"/>
      <c r="BH320" s="51"/>
      <c r="BI320" s="51"/>
      <c r="BJ320" s="51"/>
      <c r="BK320" s="51"/>
      <c r="BL320" s="51"/>
      <c r="BM320" s="51"/>
      <c r="BN320" s="51"/>
      <c r="BO320" s="51"/>
      <c r="BP320" s="51"/>
      <c r="BQ320" s="51"/>
      <c r="BR320" s="51"/>
      <c r="BS320" s="51"/>
      <c r="BT320" s="51"/>
      <c r="BU320" s="51"/>
      <c r="BV320" s="51"/>
      <c r="BW320" s="51"/>
      <c r="BX320" s="51"/>
      <c r="BY320" s="51"/>
      <c r="BZ320" s="51"/>
      <c r="CA320" s="51"/>
      <c r="CB320" s="51"/>
      <c r="CC320" s="51"/>
      <c r="CD320" s="51"/>
      <c r="CE320" s="51"/>
      <c r="CF320" s="51"/>
      <c r="CG320" s="51"/>
      <c r="CH320" s="51"/>
      <c r="CI320" s="51"/>
      <c r="CJ320" s="51"/>
      <c r="CK320" s="51"/>
      <c r="CL320" s="51"/>
      <c r="CM320" s="51"/>
      <c r="CN320" s="51"/>
      <c r="CO320" s="51"/>
      <c r="CP320" s="51"/>
      <c r="CQ320" s="51"/>
      <c r="CR320" s="51"/>
      <c r="CS320" s="51"/>
      <c r="CT320" s="51"/>
      <c r="CU320" s="51"/>
      <c r="CV320" s="51"/>
      <c r="CW320" s="51"/>
      <c r="CX320" s="51"/>
      <c r="CY320" s="51"/>
      <c r="CZ320" s="51"/>
      <c r="DA320" s="51"/>
      <c r="DB320" s="51"/>
      <c r="DC320" s="51"/>
      <c r="DD320" s="51"/>
      <c r="DE320" s="51"/>
      <c r="DF320" s="51"/>
      <c r="DG320" s="51"/>
      <c r="DH320" s="51"/>
      <c r="DI320" s="51"/>
      <c r="DJ320" s="51"/>
      <c r="DK320" s="51"/>
      <c r="DL320" s="51"/>
      <c r="DM320" s="51"/>
      <c r="DN320" s="51"/>
      <c r="DO320" s="51"/>
      <c r="DP320" s="51"/>
      <c r="DQ320" s="51"/>
      <c r="DR320" s="51"/>
      <c r="DS320" s="51"/>
      <c r="DT320" s="51"/>
      <c r="DU320" s="51"/>
      <c r="DV320" s="51"/>
      <c r="DW320" s="51"/>
      <c r="DX320" s="51"/>
      <c r="DY320" s="51"/>
      <c r="DZ320" s="51"/>
      <c r="EA320" s="51"/>
      <c r="EB320" s="51"/>
      <c r="EC320" s="51"/>
      <c r="ED320" s="51"/>
      <c r="EE320" s="51"/>
      <c r="EF320" s="51"/>
      <c r="EG320" s="51"/>
      <c r="EH320" s="51"/>
      <c r="EI320" s="51"/>
      <c r="EJ320" s="51"/>
      <c r="EK320" s="51"/>
      <c r="EL320" s="51"/>
      <c r="EM320" s="51"/>
      <c r="EN320" s="51"/>
      <c r="EO320" s="51"/>
      <c r="EP320" s="51"/>
      <c r="EQ320" s="51"/>
      <c r="ER320" s="51"/>
      <c r="ES320" s="51"/>
      <c r="ET320" s="51"/>
      <c r="EU320" s="51"/>
      <c r="EV320" s="51"/>
      <c r="EW320" s="51"/>
      <c r="EX320" s="51"/>
      <c r="EY320" s="51"/>
      <c r="EZ320" s="51"/>
      <c r="FA320" s="51"/>
      <c r="FB320" s="51"/>
      <c r="FC320" s="51"/>
      <c r="FD320" s="51"/>
      <c r="FE320" s="51"/>
      <c r="FF320" s="51"/>
      <c r="FG320" s="51"/>
      <c r="FH320" s="51"/>
      <c r="FI320" s="51"/>
      <c r="FJ320" s="51"/>
      <c r="FK320" s="51"/>
      <c r="FL320" s="51"/>
      <c r="FM320" s="51"/>
      <c r="FN320" s="51"/>
      <c r="FO320" s="51"/>
      <c r="FP320" s="51"/>
      <c r="FQ320" s="51"/>
      <c r="FR320" s="51"/>
      <c r="FS320" s="51"/>
      <c r="FT320" s="51"/>
      <c r="FU320" s="51"/>
      <c r="FV320" s="51"/>
      <c r="FW320" s="51"/>
      <c r="FX320" s="51"/>
      <c r="FY320" s="51"/>
      <c r="FZ320" s="51"/>
      <c r="GA320" s="51"/>
      <c r="GB320" s="51"/>
      <c r="GC320" s="51"/>
      <c r="GD320" s="51"/>
      <c r="GE320" s="51"/>
      <c r="GF320" s="51"/>
      <c r="GG320" s="51"/>
      <c r="GH320" s="51"/>
      <c r="GI320" s="51"/>
      <c r="GJ320" s="51"/>
      <c r="GK320" s="51"/>
      <c r="GL320" s="51"/>
      <c r="GM320" s="51"/>
      <c r="GN320" s="51"/>
      <c r="GO320" s="51"/>
      <c r="GP320" s="51"/>
      <c r="GQ320" s="51"/>
      <c r="GR320" s="51"/>
      <c r="GS320" s="51"/>
      <c r="GT320" s="51"/>
      <c r="GU320" s="51"/>
      <c r="GV320" s="51"/>
      <c r="GW320" s="51"/>
      <c r="GX320" s="51"/>
      <c r="GY320" s="51"/>
      <c r="GZ320" s="51"/>
      <c r="HA320" s="51"/>
      <c r="HB320" s="51"/>
      <c r="HC320" s="51"/>
      <c r="HD320" s="51"/>
      <c r="HE320" s="51"/>
      <c r="HF320" s="51"/>
      <c r="HG320" s="51"/>
      <c r="HH320" s="51"/>
      <c r="HI320" s="51"/>
      <c r="HJ320" s="51"/>
      <c r="HK320" s="51"/>
      <c r="HL320" s="51"/>
      <c r="HM320" s="51"/>
      <c r="HN320" s="51"/>
      <c r="HO320" s="51"/>
      <c r="HP320" s="51"/>
      <c r="HQ320" s="51"/>
      <c r="HR320" s="51"/>
      <c r="HS320" s="51"/>
      <c r="HT320" s="51"/>
      <c r="HU320" s="51"/>
      <c r="HV320" s="51"/>
      <c r="HW320" s="51"/>
      <c r="HX320" s="51"/>
      <c r="HY320" s="51"/>
      <c r="HZ320" s="51"/>
      <c r="IA320" s="51"/>
      <c r="IB320" s="51"/>
      <c r="IC320" s="51"/>
      <c r="ID320" s="51"/>
      <c r="IE320" s="51"/>
      <c r="IF320" s="51"/>
      <c r="IG320" s="51"/>
      <c r="IH320" s="51"/>
      <c r="II320" s="51"/>
      <c r="IJ320" s="51"/>
      <c r="IK320" s="51"/>
      <c r="IL320" s="51"/>
      <c r="IM320" s="51"/>
      <c r="IN320" s="51"/>
      <c r="IO320" s="51"/>
      <c r="IP320" s="51"/>
      <c r="IQ320" s="51"/>
      <c r="IR320" s="51"/>
      <c r="IS320" s="51"/>
      <c r="IT320" s="51"/>
      <c r="IU320" s="51"/>
      <c r="IV320" s="51"/>
    </row>
    <row r="321" hidden="1">
      <c r="B321" s="826" t="s">
        <v>23</v>
      </c>
      <c r="C321" s="827">
        <v>165</v>
      </c>
      <c r="D321" s="827">
        <v>220</v>
      </c>
      <c r="E321" s="827">
        <v>213</v>
      </c>
      <c r="F321" s="827">
        <v>216</v>
      </c>
      <c r="G321" s="827">
        <v>218</v>
      </c>
      <c r="H321" s="827">
        <v>221</v>
      </c>
      <c r="I321" s="827">
        <v>203</v>
      </c>
      <c r="J321" s="827">
        <v>184</v>
      </c>
      <c r="K321" s="827">
        <v>181</v>
      </c>
      <c r="L321" s="827">
        <v>175</v>
      </c>
      <c r="M321" s="827">
        <v>168</v>
      </c>
      <c r="N321" s="827">
        <v>167</v>
      </c>
      <c r="O321" s="827">
        <v>0</v>
      </c>
      <c r="P321" s="827">
        <v>0</v>
      </c>
      <c r="Q321" s="827">
        <v>0</v>
      </c>
      <c r="R321" s="827">
        <v>0</v>
      </c>
      <c r="S321" s="827">
        <v>0</v>
      </c>
      <c r="T321" s="827">
        <v>0</v>
      </c>
      <c r="U321" s="827">
        <v>0</v>
      </c>
      <c r="V321" s="827">
        <v>0</v>
      </c>
      <c r="W321" s="827">
        <v>0</v>
      </c>
      <c r="X321" s="827">
        <v>0</v>
      </c>
      <c r="Y321" s="827">
        <v>0</v>
      </c>
      <c r="Z321" s="827">
        <v>0</v>
      </c>
      <c r="AA321" s="827">
        <v>0</v>
      </c>
      <c r="AB321" s="827">
        <v>0</v>
      </c>
      <c r="AC321" s="828">
        <v>0</v>
      </c>
      <c r="AD321" s="828">
        <v>0</v>
      </c>
      <c r="AE321" s="828">
        <v>0</v>
      </c>
      <c r="AF321" s="828">
        <v>0</v>
      </c>
      <c r="AG321" s="828">
        <v>0</v>
      </c>
      <c r="AH321" s="828">
        <v>0</v>
      </c>
      <c r="AI321" s="828">
        <v>0</v>
      </c>
      <c r="AJ321" s="828">
        <v>0</v>
      </c>
      <c r="AK321" s="828">
        <v>0</v>
      </c>
      <c r="AL321" s="828">
        <v>0</v>
      </c>
      <c r="AM321" s="828">
        <v>0</v>
      </c>
      <c r="AN321" s="828">
        <v>0</v>
      </c>
      <c r="AO321" s="828">
        <v>0</v>
      </c>
      <c r="AP321" s="828">
        <v>0</v>
      </c>
      <c r="AQ321" s="51"/>
      <c r="AR321" s="51"/>
      <c r="AS321" s="51"/>
      <c r="AT321" s="51"/>
      <c r="AU321" s="51"/>
      <c r="AV321" s="51"/>
      <c r="AW321" s="51"/>
      <c r="AX321" s="51"/>
      <c r="AY321" s="51"/>
      <c r="AZ321" s="51"/>
      <c r="BA321" s="51"/>
      <c r="BB321" s="51"/>
      <c r="BC321" s="51"/>
      <c r="BD321" s="51"/>
      <c r="BE321" s="51"/>
      <c r="BF321" s="51"/>
      <c r="BG321" s="51"/>
      <c r="BH321" s="51"/>
      <c r="BI321" s="51"/>
      <c r="BJ321" s="51"/>
      <c r="BK321" s="51"/>
      <c r="BL321" s="51"/>
      <c r="BM321" s="51"/>
      <c r="BN321" s="51"/>
      <c r="BO321" s="51"/>
      <c r="BP321" s="51"/>
      <c r="BQ321" s="51"/>
      <c r="BR321" s="51"/>
      <c r="BS321" s="51"/>
      <c r="BT321" s="51"/>
      <c r="BU321" s="51"/>
      <c r="BV321" s="51"/>
      <c r="BW321" s="51"/>
      <c r="BX321" s="51"/>
      <c r="BY321" s="51"/>
      <c r="BZ321" s="51"/>
      <c r="CA321" s="51"/>
      <c r="CB321" s="51"/>
      <c r="CC321" s="51"/>
      <c r="CD321" s="51"/>
      <c r="CE321" s="51"/>
      <c r="CF321" s="51"/>
      <c r="CG321" s="51"/>
      <c r="CH321" s="51"/>
      <c r="CI321" s="51"/>
      <c r="CJ321" s="51"/>
      <c r="CK321" s="51"/>
      <c r="CL321" s="51"/>
      <c r="CM321" s="51"/>
      <c r="CN321" s="51"/>
      <c r="CO321" s="51"/>
      <c r="CP321" s="51"/>
      <c r="CQ321" s="51"/>
      <c r="CR321" s="51"/>
      <c r="CS321" s="51"/>
      <c r="CT321" s="51"/>
      <c r="CU321" s="51"/>
      <c r="CV321" s="51"/>
      <c r="CW321" s="51"/>
      <c r="CX321" s="51"/>
      <c r="CY321" s="51"/>
      <c r="CZ321" s="51"/>
      <c r="DA321" s="51"/>
      <c r="DB321" s="51"/>
      <c r="DC321" s="51"/>
      <c r="DD321" s="51"/>
      <c r="DE321" s="51"/>
      <c r="DF321" s="51"/>
      <c r="DG321" s="51"/>
      <c r="DH321" s="51"/>
      <c r="DI321" s="51"/>
      <c r="DJ321" s="51"/>
      <c r="DK321" s="51"/>
      <c r="DL321" s="51"/>
      <c r="DM321" s="51"/>
      <c r="DN321" s="51"/>
      <c r="DO321" s="51"/>
      <c r="DP321" s="51"/>
      <c r="DQ321" s="51"/>
      <c r="DR321" s="51"/>
      <c r="DS321" s="51"/>
      <c r="DT321" s="51"/>
      <c r="DU321" s="51"/>
      <c r="DV321" s="51"/>
      <c r="DW321" s="51"/>
      <c r="DX321" s="51"/>
      <c r="DY321" s="51"/>
      <c r="DZ321" s="51"/>
      <c r="EA321" s="51"/>
      <c r="EB321" s="51"/>
      <c r="EC321" s="51"/>
      <c r="ED321" s="51"/>
      <c r="EE321" s="51"/>
      <c r="EF321" s="51"/>
      <c r="EG321" s="51"/>
      <c r="EH321" s="51"/>
      <c r="EI321" s="51"/>
      <c r="EJ321" s="51"/>
      <c r="EK321" s="51"/>
      <c r="EL321" s="51"/>
      <c r="EM321" s="51"/>
      <c r="EN321" s="51"/>
      <c r="EO321" s="51"/>
      <c r="EP321" s="51"/>
      <c r="EQ321" s="51"/>
      <c r="ER321" s="51"/>
      <c r="ES321" s="51"/>
      <c r="ET321" s="51"/>
      <c r="EU321" s="51"/>
      <c r="EV321" s="51"/>
      <c r="EW321" s="51"/>
      <c r="EX321" s="51"/>
      <c r="EY321" s="51"/>
      <c r="EZ321" s="51"/>
      <c r="FA321" s="51"/>
      <c r="FB321" s="51"/>
      <c r="FC321" s="51"/>
      <c r="FD321" s="51"/>
      <c r="FE321" s="51"/>
      <c r="FF321" s="51"/>
      <c r="FG321" s="51"/>
      <c r="FH321" s="51"/>
      <c r="FI321" s="51"/>
      <c r="FJ321" s="51"/>
      <c r="FK321" s="51"/>
      <c r="FL321" s="51"/>
      <c r="FM321" s="51"/>
      <c r="FN321" s="51"/>
      <c r="FO321" s="51"/>
      <c r="FP321" s="51"/>
      <c r="FQ321" s="51"/>
      <c r="FR321" s="51"/>
      <c r="FS321" s="51"/>
      <c r="FT321" s="51"/>
      <c r="FU321" s="51"/>
      <c r="FV321" s="51"/>
      <c r="FW321" s="51"/>
      <c r="FX321" s="51"/>
      <c r="FY321" s="51"/>
      <c r="FZ321" s="51"/>
      <c r="GA321" s="51"/>
      <c r="GB321" s="51"/>
      <c r="GC321" s="51"/>
      <c r="GD321" s="51"/>
      <c r="GE321" s="51"/>
      <c r="GF321" s="51"/>
      <c r="GG321" s="51"/>
      <c r="GH321" s="51"/>
      <c r="GI321" s="51"/>
      <c r="GJ321" s="51"/>
      <c r="GK321" s="51"/>
      <c r="GL321" s="51"/>
      <c r="GM321" s="51"/>
      <c r="GN321" s="51"/>
      <c r="GO321" s="51"/>
      <c r="GP321" s="51"/>
      <c r="GQ321" s="51"/>
      <c r="GR321" s="51"/>
      <c r="GS321" s="51"/>
      <c r="GT321" s="51"/>
      <c r="GU321" s="51"/>
      <c r="GV321" s="51"/>
      <c r="GW321" s="51"/>
      <c r="GX321" s="51"/>
      <c r="GY321" s="51"/>
      <c r="GZ321" s="51"/>
      <c r="HA321" s="51"/>
      <c r="HB321" s="51"/>
      <c r="HC321" s="51"/>
      <c r="HD321" s="51"/>
      <c r="HE321" s="51"/>
      <c r="HF321" s="51"/>
      <c r="HG321" s="51"/>
      <c r="HH321" s="51"/>
      <c r="HI321" s="51"/>
      <c r="HJ321" s="51"/>
      <c r="HK321" s="51"/>
      <c r="HL321" s="51"/>
      <c r="HM321" s="51"/>
      <c r="HN321" s="51"/>
      <c r="HO321" s="51"/>
      <c r="HP321" s="51"/>
      <c r="HQ321" s="51"/>
      <c r="HR321" s="51"/>
      <c r="HS321" s="51"/>
      <c r="HT321" s="51"/>
      <c r="HU321" s="51"/>
      <c r="HV321" s="51"/>
      <c r="HW321" s="51"/>
      <c r="HX321" s="51"/>
      <c r="HY321" s="51"/>
      <c r="HZ321" s="51"/>
      <c r="IA321" s="51"/>
      <c r="IB321" s="51"/>
      <c r="IC321" s="51"/>
      <c r="ID321" s="51"/>
      <c r="IE321" s="51"/>
      <c r="IF321" s="51"/>
      <c r="IG321" s="51"/>
      <c r="IH321" s="51"/>
      <c r="II321" s="51"/>
      <c r="IJ321" s="51"/>
      <c r="IK321" s="51"/>
      <c r="IL321" s="51"/>
      <c r="IM321" s="51"/>
      <c r="IN321" s="51"/>
      <c r="IO321" s="51"/>
      <c r="IP321" s="51"/>
      <c r="IQ321" s="51"/>
      <c r="IR321" s="51"/>
      <c r="IS321" s="51"/>
      <c r="IT321" s="51"/>
      <c r="IU321" s="51"/>
      <c r="IV321" s="51"/>
    </row>
    <row r="322" hidden="1">
      <c r="B322" s="830" t="s">
        <v>24</v>
      </c>
      <c r="C322" s="823">
        <v>0</v>
      </c>
      <c r="D322" s="823">
        <v>0</v>
      </c>
      <c r="E322" s="823">
        <v>0</v>
      </c>
      <c r="F322" s="823">
        <v>0</v>
      </c>
      <c r="G322" s="823">
        <v>0</v>
      </c>
      <c r="H322" s="823">
        <v>0</v>
      </c>
      <c r="I322" s="823">
        <v>0</v>
      </c>
      <c r="J322" s="823">
        <v>0</v>
      </c>
      <c r="K322" s="823">
        <v>298</v>
      </c>
      <c r="L322" s="823">
        <v>485</v>
      </c>
      <c r="M322" s="823">
        <v>2</v>
      </c>
      <c r="N322" s="823">
        <v>1784</v>
      </c>
      <c r="O322" s="823">
        <v>0</v>
      </c>
      <c r="P322" s="823">
        <v>0</v>
      </c>
      <c r="Q322" s="823">
        <v>0</v>
      </c>
      <c r="R322" s="823">
        <v>0</v>
      </c>
      <c r="S322" s="823">
        <v>0</v>
      </c>
      <c r="T322" s="823">
        <v>0</v>
      </c>
      <c r="U322" s="823">
        <v>0</v>
      </c>
      <c r="V322" s="823">
        <v>0</v>
      </c>
      <c r="W322" s="823">
        <v>0</v>
      </c>
      <c r="X322" s="823">
        <v>0</v>
      </c>
      <c r="Y322" s="823">
        <v>0</v>
      </c>
      <c r="Z322" s="823">
        <v>0</v>
      </c>
      <c r="AA322" s="823">
        <v>0</v>
      </c>
      <c r="AB322" s="823">
        <v>0</v>
      </c>
      <c r="AC322" s="825">
        <v>0</v>
      </c>
      <c r="AD322" s="825">
        <v>0</v>
      </c>
      <c r="AE322" s="825">
        <v>0</v>
      </c>
      <c r="AF322" s="825">
        <v>0</v>
      </c>
      <c r="AG322" s="825">
        <v>0</v>
      </c>
      <c r="AH322" s="825">
        <v>0</v>
      </c>
      <c r="AI322" s="825">
        <v>0</v>
      </c>
      <c r="AJ322" s="825">
        <v>0</v>
      </c>
      <c r="AK322" s="825">
        <v>0</v>
      </c>
      <c r="AL322" s="825">
        <v>0</v>
      </c>
      <c r="AM322" s="825">
        <v>0</v>
      </c>
      <c r="AN322" s="825">
        <v>0</v>
      </c>
      <c r="AO322" s="825">
        <v>0</v>
      </c>
      <c r="AP322" s="825">
        <v>0</v>
      </c>
      <c r="AQ322" s="51"/>
      <c r="AR322" s="51"/>
      <c r="AS322" s="51"/>
      <c r="AT322" s="51"/>
      <c r="AU322" s="51"/>
      <c r="AV322" s="51"/>
      <c r="AW322" s="51"/>
      <c r="AX322" s="51"/>
      <c r="AY322" s="51"/>
      <c r="AZ322" s="51"/>
      <c r="BA322" s="51"/>
      <c r="BB322" s="51"/>
      <c r="BC322" s="51"/>
      <c r="BD322" s="51"/>
      <c r="BE322" s="51"/>
      <c r="BF322" s="51"/>
      <c r="BG322" s="51"/>
      <c r="BH322" s="51"/>
      <c r="BI322" s="51"/>
      <c r="BJ322" s="51"/>
      <c r="BK322" s="51"/>
      <c r="BL322" s="51"/>
      <c r="BM322" s="51"/>
      <c r="BN322" s="51"/>
      <c r="BO322" s="51"/>
      <c r="BP322" s="51"/>
      <c r="BQ322" s="51"/>
      <c r="BR322" s="51"/>
      <c r="BS322" s="51"/>
      <c r="BT322" s="51"/>
      <c r="BU322" s="51"/>
      <c r="BV322" s="51"/>
      <c r="BW322" s="51"/>
      <c r="BX322" s="51"/>
      <c r="BY322" s="51"/>
      <c r="BZ322" s="51"/>
      <c r="CA322" s="51"/>
      <c r="CB322" s="51"/>
      <c r="CC322" s="51"/>
      <c r="CD322" s="51"/>
      <c r="CE322" s="51"/>
      <c r="CF322" s="51"/>
      <c r="CG322" s="51"/>
      <c r="CH322" s="51"/>
      <c r="CI322" s="51"/>
      <c r="CJ322" s="51"/>
      <c r="CK322" s="51"/>
      <c r="CL322" s="51"/>
      <c r="CM322" s="51"/>
      <c r="CN322" s="51"/>
      <c r="CO322" s="51"/>
      <c r="CP322" s="51"/>
      <c r="CQ322" s="51"/>
      <c r="CR322" s="51"/>
      <c r="CS322" s="51"/>
      <c r="CT322" s="51"/>
      <c r="CU322" s="51"/>
      <c r="CV322" s="51"/>
      <c r="CW322" s="51"/>
      <c r="CX322" s="51"/>
      <c r="CY322" s="51"/>
      <c r="CZ322" s="51"/>
      <c r="DA322" s="51"/>
      <c r="DB322" s="51"/>
      <c r="DC322" s="51"/>
      <c r="DD322" s="51"/>
      <c r="DE322" s="51"/>
      <c r="DF322" s="51"/>
      <c r="DG322" s="51"/>
      <c r="DH322" s="51"/>
      <c r="DI322" s="51"/>
      <c r="DJ322" s="51"/>
      <c r="DK322" s="51"/>
      <c r="DL322" s="51"/>
      <c r="DM322" s="51"/>
      <c r="DN322" s="51"/>
      <c r="DO322" s="51"/>
      <c r="DP322" s="51"/>
      <c r="DQ322" s="51"/>
      <c r="DR322" s="51"/>
      <c r="DS322" s="51"/>
      <c r="DT322" s="51"/>
      <c r="DU322" s="51"/>
      <c r="DV322" s="51"/>
      <c r="DW322" s="51"/>
      <c r="DX322" s="51"/>
      <c r="DY322" s="51"/>
      <c r="DZ322" s="51"/>
      <c r="EA322" s="51"/>
      <c r="EB322" s="51"/>
      <c r="EC322" s="51"/>
      <c r="ED322" s="51"/>
      <c r="EE322" s="51"/>
      <c r="EF322" s="51"/>
      <c r="EG322" s="51"/>
      <c r="EH322" s="51"/>
      <c r="EI322" s="51"/>
      <c r="EJ322" s="51"/>
      <c r="EK322" s="51"/>
      <c r="EL322" s="51"/>
      <c r="EM322" s="51"/>
      <c r="EN322" s="51"/>
      <c r="EO322" s="51"/>
      <c r="EP322" s="51"/>
      <c r="EQ322" s="51"/>
      <c r="ER322" s="51"/>
      <c r="ES322" s="51"/>
      <c r="ET322" s="51"/>
      <c r="EU322" s="51"/>
      <c r="EV322" s="51"/>
      <c r="EW322" s="51"/>
      <c r="EX322" s="51"/>
      <c r="EY322" s="51"/>
      <c r="EZ322" s="51"/>
      <c r="FA322" s="51"/>
      <c r="FB322" s="51"/>
      <c r="FC322" s="51"/>
      <c r="FD322" s="51"/>
      <c r="FE322" s="51"/>
      <c r="FF322" s="51"/>
      <c r="FG322" s="51"/>
      <c r="FH322" s="51"/>
      <c r="FI322" s="51"/>
      <c r="FJ322" s="51"/>
      <c r="FK322" s="51"/>
      <c r="FL322" s="51"/>
      <c r="FM322" s="51"/>
      <c r="FN322" s="51"/>
      <c r="FO322" s="51"/>
      <c r="FP322" s="51"/>
      <c r="FQ322" s="51"/>
      <c r="FR322" s="51"/>
      <c r="FS322" s="51"/>
      <c r="FT322" s="51"/>
      <c r="FU322" s="51"/>
      <c r="FV322" s="51"/>
      <c r="FW322" s="51"/>
      <c r="FX322" s="51"/>
      <c r="FY322" s="51"/>
      <c r="FZ322" s="51"/>
      <c r="GA322" s="51"/>
      <c r="GB322" s="51"/>
      <c r="GC322" s="51"/>
      <c r="GD322" s="51"/>
      <c r="GE322" s="51"/>
      <c r="GF322" s="51"/>
      <c r="GG322" s="51"/>
      <c r="GH322" s="51"/>
      <c r="GI322" s="51"/>
      <c r="GJ322" s="51"/>
      <c r="GK322" s="51"/>
      <c r="GL322" s="51"/>
      <c r="GM322" s="51"/>
      <c r="GN322" s="51"/>
      <c r="GO322" s="51"/>
      <c r="GP322" s="51"/>
      <c r="GQ322" s="51"/>
      <c r="GR322" s="51"/>
      <c r="GS322" s="51"/>
      <c r="GT322" s="51"/>
      <c r="GU322" s="51"/>
      <c r="GV322" s="51"/>
      <c r="GW322" s="51"/>
      <c r="GX322" s="51"/>
      <c r="GY322" s="51"/>
      <c r="GZ322" s="51"/>
      <c r="HA322" s="51"/>
      <c r="HB322" s="51"/>
      <c r="HC322" s="51"/>
      <c r="HD322" s="51"/>
      <c r="HE322" s="51"/>
      <c r="HF322" s="51"/>
      <c r="HG322" s="51"/>
      <c r="HH322" s="51"/>
      <c r="HI322" s="51"/>
      <c r="HJ322" s="51"/>
      <c r="HK322" s="51"/>
      <c r="HL322" s="51"/>
      <c r="HM322" s="51"/>
      <c r="HN322" s="51"/>
      <c r="HO322" s="51"/>
      <c r="HP322" s="51"/>
      <c r="HQ322" s="51"/>
      <c r="HR322" s="51"/>
      <c r="HS322" s="51"/>
      <c r="HT322" s="51"/>
      <c r="HU322" s="51"/>
      <c r="HV322" s="51"/>
      <c r="HW322" s="51"/>
      <c r="HX322" s="51"/>
      <c r="HY322" s="51"/>
      <c r="HZ322" s="51"/>
      <c r="IA322" s="51"/>
      <c r="IB322" s="51"/>
      <c r="IC322" s="51"/>
      <c r="ID322" s="51"/>
      <c r="IE322" s="51"/>
      <c r="IF322" s="51"/>
      <c r="IG322" s="51"/>
      <c r="IH322" s="51"/>
      <c r="II322" s="51"/>
      <c r="IJ322" s="51"/>
      <c r="IK322" s="51"/>
      <c r="IL322" s="51"/>
      <c r="IM322" s="51"/>
      <c r="IN322" s="51"/>
      <c r="IO322" s="51"/>
      <c r="IP322" s="51"/>
      <c r="IQ322" s="51"/>
      <c r="IR322" s="51"/>
      <c r="IS322" s="51"/>
      <c r="IT322" s="51"/>
      <c r="IU322" s="51"/>
      <c r="IV322" s="51"/>
    </row>
    <row r="323" hidden="1">
      <c r="B323" s="826" t="s">
        <v>25</v>
      </c>
      <c r="C323" s="827">
        <v>0</v>
      </c>
      <c r="D323" s="827">
        <v>0</v>
      </c>
      <c r="E323" s="827">
        <v>0</v>
      </c>
      <c r="F323" s="827">
        <v>0</v>
      </c>
      <c r="G323" s="827">
        <v>0</v>
      </c>
      <c r="H323" s="827">
        <v>0</v>
      </c>
      <c r="I323" s="827">
        <v>0</v>
      </c>
      <c r="J323" s="827">
        <v>0</v>
      </c>
      <c r="K323" s="827">
        <v>0</v>
      </c>
      <c r="L323" s="827">
        <v>0</v>
      </c>
      <c r="M323" s="827">
        <v>0</v>
      </c>
      <c r="N323" s="827">
        <v>0</v>
      </c>
      <c r="O323" s="827">
        <v>0</v>
      </c>
      <c r="P323" s="827">
        <v>0</v>
      </c>
      <c r="Q323" s="827">
        <v>0</v>
      </c>
      <c r="R323" s="827">
        <v>0</v>
      </c>
      <c r="S323" s="827">
        <v>0</v>
      </c>
      <c r="T323" s="827">
        <v>0</v>
      </c>
      <c r="U323" s="827">
        <v>0</v>
      </c>
      <c r="V323" s="827">
        <v>0</v>
      </c>
      <c r="W323" s="827">
        <v>0</v>
      </c>
      <c r="X323" s="827">
        <v>0</v>
      </c>
      <c r="Y323" s="827">
        <v>0</v>
      </c>
      <c r="Z323" s="827">
        <v>0</v>
      </c>
      <c r="AA323" s="827">
        <v>0</v>
      </c>
      <c r="AB323" s="827">
        <v>0</v>
      </c>
      <c r="AC323" s="828">
        <v>0</v>
      </c>
      <c r="AD323" s="828">
        <v>0</v>
      </c>
      <c r="AE323" s="828">
        <v>0</v>
      </c>
      <c r="AF323" s="828">
        <v>0</v>
      </c>
      <c r="AG323" s="828">
        <v>0</v>
      </c>
      <c r="AH323" s="828">
        <v>0</v>
      </c>
      <c r="AI323" s="828">
        <v>0</v>
      </c>
      <c r="AJ323" s="828">
        <v>0</v>
      </c>
      <c r="AK323" s="828">
        <v>0</v>
      </c>
      <c r="AL323" s="828">
        <v>0</v>
      </c>
      <c r="AM323" s="828">
        <v>0</v>
      </c>
      <c r="AN323" s="828">
        <v>0</v>
      </c>
      <c r="AO323" s="828">
        <v>0</v>
      </c>
      <c r="AP323" s="828">
        <v>0</v>
      </c>
      <c r="AQ323" s="51"/>
      <c r="AR323" s="51"/>
      <c r="AS323" s="51"/>
      <c r="AT323" s="51"/>
      <c r="AU323" s="51"/>
      <c r="AV323" s="51"/>
      <c r="AW323" s="51"/>
      <c r="AX323" s="51"/>
      <c r="AY323" s="51"/>
      <c r="AZ323" s="51"/>
      <c r="BA323" s="51"/>
      <c r="BB323" s="51"/>
      <c r="BC323" s="51"/>
      <c r="BD323" s="51"/>
      <c r="BE323" s="51"/>
      <c r="BF323" s="51"/>
      <c r="BG323" s="51"/>
      <c r="BH323" s="51"/>
      <c r="BI323" s="51"/>
      <c r="BJ323" s="51"/>
      <c r="BK323" s="51"/>
      <c r="BL323" s="51"/>
      <c r="BM323" s="51"/>
      <c r="BN323" s="51"/>
      <c r="BO323" s="51"/>
      <c r="BP323" s="51"/>
      <c r="BQ323" s="51"/>
      <c r="BR323" s="51"/>
      <c r="BS323" s="51"/>
      <c r="BT323" s="51"/>
      <c r="BU323" s="51"/>
      <c r="BV323" s="51"/>
      <c r="BW323" s="51"/>
      <c r="BX323" s="51"/>
      <c r="BY323" s="51"/>
      <c r="BZ323" s="51"/>
      <c r="CA323" s="51"/>
      <c r="CB323" s="51"/>
      <c r="CC323" s="51"/>
      <c r="CD323" s="51"/>
      <c r="CE323" s="51"/>
      <c r="CF323" s="51"/>
      <c r="CG323" s="51"/>
      <c r="CH323" s="51"/>
      <c r="CI323" s="51"/>
      <c r="CJ323" s="51"/>
      <c r="CK323" s="51"/>
      <c r="CL323" s="51"/>
      <c r="CM323" s="51"/>
      <c r="CN323" s="51"/>
      <c r="CO323" s="51"/>
      <c r="CP323" s="51"/>
      <c r="CQ323" s="51"/>
      <c r="CR323" s="51"/>
      <c r="CS323" s="51"/>
      <c r="CT323" s="51"/>
      <c r="CU323" s="51"/>
      <c r="CV323" s="51"/>
      <c r="CW323" s="51"/>
      <c r="CX323" s="51"/>
      <c r="CY323" s="51"/>
      <c r="CZ323" s="51"/>
      <c r="DA323" s="51"/>
      <c r="DB323" s="51"/>
      <c r="DC323" s="51"/>
      <c r="DD323" s="51"/>
      <c r="DE323" s="51"/>
      <c r="DF323" s="51"/>
      <c r="DG323" s="51"/>
      <c r="DH323" s="51"/>
      <c r="DI323" s="51"/>
      <c r="DJ323" s="51"/>
      <c r="DK323" s="51"/>
      <c r="DL323" s="51"/>
      <c r="DM323" s="51"/>
      <c r="DN323" s="51"/>
      <c r="DO323" s="51"/>
      <c r="DP323" s="51"/>
      <c r="DQ323" s="51"/>
      <c r="DR323" s="51"/>
      <c r="DS323" s="51"/>
      <c r="DT323" s="51"/>
      <c r="DU323" s="51"/>
      <c r="DV323" s="51"/>
      <c r="DW323" s="51"/>
      <c r="DX323" s="51"/>
      <c r="DY323" s="51"/>
      <c r="DZ323" s="51"/>
      <c r="EA323" s="51"/>
      <c r="EB323" s="51"/>
      <c r="EC323" s="51"/>
      <c r="ED323" s="51"/>
      <c r="EE323" s="51"/>
      <c r="EF323" s="51"/>
      <c r="EG323" s="51"/>
      <c r="EH323" s="51"/>
      <c r="EI323" s="51"/>
      <c r="EJ323" s="51"/>
      <c r="EK323" s="51"/>
      <c r="EL323" s="51"/>
      <c r="EM323" s="51"/>
      <c r="EN323" s="51"/>
      <c r="EO323" s="51"/>
      <c r="EP323" s="51"/>
      <c r="EQ323" s="51"/>
      <c r="ER323" s="51"/>
      <c r="ES323" s="51"/>
      <c r="ET323" s="51"/>
      <c r="EU323" s="51"/>
      <c r="EV323" s="51"/>
      <c r="EW323" s="51"/>
      <c r="EX323" s="51"/>
      <c r="EY323" s="51"/>
      <c r="EZ323" s="51"/>
      <c r="FA323" s="51"/>
      <c r="FB323" s="51"/>
      <c r="FC323" s="51"/>
      <c r="FD323" s="51"/>
      <c r="FE323" s="51"/>
      <c r="FF323" s="51"/>
      <c r="FG323" s="51"/>
      <c r="FH323" s="51"/>
      <c r="FI323" s="51"/>
      <c r="FJ323" s="51"/>
      <c r="FK323" s="51"/>
      <c r="FL323" s="51"/>
      <c r="FM323" s="51"/>
      <c r="FN323" s="51"/>
      <c r="FO323" s="51"/>
      <c r="FP323" s="51"/>
      <c r="FQ323" s="51"/>
      <c r="FR323" s="51"/>
      <c r="FS323" s="51"/>
      <c r="FT323" s="51"/>
      <c r="FU323" s="51"/>
      <c r="FV323" s="51"/>
      <c r="FW323" s="51"/>
      <c r="FX323" s="51"/>
      <c r="FY323" s="51"/>
      <c r="FZ323" s="51"/>
      <c r="GA323" s="51"/>
      <c r="GB323" s="51"/>
      <c r="GC323" s="51"/>
      <c r="GD323" s="51"/>
      <c r="GE323" s="51"/>
      <c r="GF323" s="51"/>
      <c r="GG323" s="51"/>
      <c r="GH323" s="51"/>
      <c r="GI323" s="51"/>
      <c r="GJ323" s="51"/>
      <c r="GK323" s="51"/>
      <c r="GL323" s="51"/>
      <c r="GM323" s="51"/>
      <c r="GN323" s="51"/>
      <c r="GO323" s="51"/>
      <c r="GP323" s="51"/>
      <c r="GQ323" s="51"/>
      <c r="GR323" s="51"/>
      <c r="GS323" s="51"/>
      <c r="GT323" s="51"/>
      <c r="GU323" s="51"/>
      <c r="GV323" s="51"/>
      <c r="GW323" s="51"/>
      <c r="GX323" s="51"/>
      <c r="GY323" s="51"/>
      <c r="GZ323" s="51"/>
      <c r="HA323" s="51"/>
      <c r="HB323" s="51"/>
      <c r="HC323" s="51"/>
      <c r="HD323" s="51"/>
      <c r="HE323" s="51"/>
      <c r="HF323" s="51"/>
      <c r="HG323" s="51"/>
      <c r="HH323" s="51"/>
      <c r="HI323" s="51"/>
      <c r="HJ323" s="51"/>
      <c r="HK323" s="51"/>
      <c r="HL323" s="51"/>
      <c r="HM323" s="51"/>
      <c r="HN323" s="51"/>
      <c r="HO323" s="51"/>
      <c r="HP323" s="51"/>
      <c r="HQ323" s="51"/>
      <c r="HR323" s="51"/>
      <c r="HS323" s="51"/>
      <c r="HT323" s="51"/>
      <c r="HU323" s="51"/>
      <c r="HV323" s="51"/>
      <c r="HW323" s="51"/>
      <c r="HX323" s="51"/>
      <c r="HY323" s="51"/>
      <c r="HZ323" s="51"/>
      <c r="IA323" s="51"/>
      <c r="IB323" s="51"/>
      <c r="IC323" s="51"/>
      <c r="ID323" s="51"/>
      <c r="IE323" s="51"/>
      <c r="IF323" s="51"/>
      <c r="IG323" s="51"/>
      <c r="IH323" s="51"/>
      <c r="II323" s="51"/>
      <c r="IJ323" s="51"/>
      <c r="IK323" s="51"/>
      <c r="IL323" s="51"/>
      <c r="IM323" s="51"/>
      <c r="IN323" s="51"/>
      <c r="IO323" s="51"/>
      <c r="IP323" s="51"/>
      <c r="IQ323" s="51"/>
      <c r="IR323" s="51"/>
      <c r="IS323" s="51"/>
      <c r="IT323" s="51"/>
      <c r="IU323" s="51"/>
      <c r="IV323" s="51"/>
    </row>
    <row r="324" hidden="1" ht="13.5">
      <c r="B324" s="831" t="s">
        <v>26</v>
      </c>
      <c r="C324" s="823">
        <v>0</v>
      </c>
      <c r="D324" s="823">
        <v>0</v>
      </c>
      <c r="E324" s="823">
        <v>0</v>
      </c>
      <c r="F324" s="823">
        <v>0</v>
      </c>
      <c r="G324" s="823">
        <v>0</v>
      </c>
      <c r="H324" s="823">
        <v>0</v>
      </c>
      <c r="I324" s="823">
        <v>0</v>
      </c>
      <c r="J324" s="823">
        <v>0</v>
      </c>
      <c r="K324" s="823">
        <v>0</v>
      </c>
      <c r="L324" s="823">
        <v>0</v>
      </c>
      <c r="M324" s="823">
        <v>0</v>
      </c>
      <c r="N324" s="823">
        <v>0</v>
      </c>
      <c r="O324" s="823">
        <v>0</v>
      </c>
      <c r="P324" s="823">
        <v>0</v>
      </c>
      <c r="Q324" s="823">
        <v>0</v>
      </c>
      <c r="R324" s="823">
        <v>0</v>
      </c>
      <c r="S324" s="823">
        <v>0</v>
      </c>
      <c r="T324" s="823">
        <v>0</v>
      </c>
      <c r="U324" s="823">
        <v>0</v>
      </c>
      <c r="V324" s="823">
        <v>0</v>
      </c>
      <c r="W324" s="823">
        <v>0</v>
      </c>
      <c r="X324" s="823">
        <v>0</v>
      </c>
      <c r="Y324" s="823">
        <v>0</v>
      </c>
      <c r="Z324" s="823">
        <v>0</v>
      </c>
      <c r="AA324" s="823">
        <v>0</v>
      </c>
      <c r="AB324" s="832">
        <v>0</v>
      </c>
      <c r="AC324" s="825">
        <v>0</v>
      </c>
      <c r="AD324" s="825">
        <v>0</v>
      </c>
      <c r="AE324" s="825">
        <v>0</v>
      </c>
      <c r="AF324" s="825">
        <v>0</v>
      </c>
      <c r="AG324" s="825">
        <v>0</v>
      </c>
      <c r="AH324" s="825">
        <v>0</v>
      </c>
      <c r="AI324" s="825">
        <v>0</v>
      </c>
      <c r="AJ324" s="825">
        <v>0</v>
      </c>
      <c r="AK324" s="825">
        <v>0</v>
      </c>
      <c r="AL324" s="825">
        <v>0</v>
      </c>
      <c r="AM324" s="825">
        <v>0</v>
      </c>
      <c r="AN324" s="825">
        <v>0</v>
      </c>
      <c r="AO324" s="825">
        <v>0</v>
      </c>
      <c r="AP324" s="825">
        <v>0</v>
      </c>
      <c r="AQ324" s="51"/>
      <c r="AR324" s="51"/>
      <c r="AS324" s="51"/>
      <c r="AT324" s="51"/>
      <c r="AU324" s="51"/>
      <c r="AV324" s="51"/>
      <c r="AW324" s="51"/>
      <c r="AX324" s="51"/>
      <c r="AY324" s="51"/>
      <c r="AZ324" s="51"/>
      <c r="BA324" s="51"/>
      <c r="BB324" s="51"/>
      <c r="BC324" s="51"/>
      <c r="BD324" s="51"/>
      <c r="BE324" s="51"/>
      <c r="BF324" s="51"/>
      <c r="BG324" s="51"/>
      <c r="BH324" s="51"/>
      <c r="BI324" s="51"/>
      <c r="BJ324" s="51"/>
      <c r="BK324" s="51"/>
      <c r="BL324" s="51"/>
      <c r="BM324" s="51"/>
      <c r="BN324" s="51"/>
      <c r="BO324" s="51"/>
      <c r="BP324" s="51"/>
      <c r="BQ324" s="51"/>
      <c r="BR324" s="51"/>
      <c r="BS324" s="51"/>
      <c r="BT324" s="51"/>
      <c r="BU324" s="51"/>
      <c r="BV324" s="51"/>
      <c r="BW324" s="51"/>
      <c r="BX324" s="51"/>
      <c r="BY324" s="51"/>
      <c r="BZ324" s="51"/>
      <c r="CA324" s="51"/>
      <c r="CB324" s="51"/>
      <c r="CC324" s="51"/>
      <c r="CD324" s="51"/>
      <c r="CE324" s="51"/>
      <c r="CF324" s="51"/>
      <c r="CG324" s="51"/>
      <c r="CH324" s="51"/>
      <c r="CI324" s="51"/>
      <c r="CJ324" s="51"/>
      <c r="CK324" s="51"/>
      <c r="CL324" s="51"/>
      <c r="CM324" s="51"/>
      <c r="CN324" s="51"/>
      <c r="CO324" s="51"/>
      <c r="CP324" s="51"/>
      <c r="CQ324" s="51"/>
      <c r="CR324" s="51"/>
      <c r="CS324" s="51"/>
      <c r="CT324" s="51"/>
      <c r="CU324" s="51"/>
      <c r="CV324" s="51"/>
      <c r="CW324" s="51"/>
      <c r="CX324" s="51"/>
      <c r="CY324" s="51"/>
      <c r="CZ324" s="51"/>
      <c r="DA324" s="51"/>
      <c r="DB324" s="51"/>
      <c r="DC324" s="51"/>
      <c r="DD324" s="51"/>
      <c r="DE324" s="51"/>
      <c r="DF324" s="51"/>
      <c r="DG324" s="51"/>
      <c r="DH324" s="51"/>
      <c r="DI324" s="51"/>
      <c r="DJ324" s="51"/>
      <c r="DK324" s="51"/>
      <c r="DL324" s="51"/>
      <c r="DM324" s="51"/>
      <c r="DN324" s="51"/>
      <c r="DO324" s="51"/>
      <c r="DP324" s="51"/>
      <c r="DQ324" s="51"/>
      <c r="DR324" s="51"/>
      <c r="DS324" s="51"/>
      <c r="DT324" s="51"/>
      <c r="DU324" s="51"/>
      <c r="DV324" s="51"/>
      <c r="DW324" s="51"/>
      <c r="DX324" s="51"/>
      <c r="DY324" s="51"/>
      <c r="DZ324" s="51"/>
      <c r="EA324" s="51"/>
      <c r="EB324" s="51"/>
      <c r="EC324" s="51"/>
      <c r="ED324" s="51"/>
      <c r="EE324" s="51"/>
      <c r="EF324" s="51"/>
      <c r="EG324" s="51"/>
      <c r="EH324" s="51"/>
      <c r="EI324" s="51"/>
      <c r="EJ324" s="51"/>
      <c r="EK324" s="51"/>
      <c r="EL324" s="51"/>
      <c r="EM324" s="51"/>
      <c r="EN324" s="51"/>
      <c r="EO324" s="51"/>
      <c r="EP324" s="51"/>
      <c r="EQ324" s="51"/>
      <c r="ER324" s="51"/>
      <c r="ES324" s="51"/>
      <c r="ET324" s="51"/>
      <c r="EU324" s="51"/>
      <c r="EV324" s="51"/>
      <c r="EW324" s="51"/>
      <c r="EX324" s="51"/>
      <c r="EY324" s="51"/>
      <c r="EZ324" s="51"/>
      <c r="FA324" s="51"/>
      <c r="FB324" s="51"/>
      <c r="FC324" s="51"/>
      <c r="FD324" s="51"/>
      <c r="FE324" s="51"/>
      <c r="FF324" s="51"/>
      <c r="FG324" s="51"/>
      <c r="FH324" s="51"/>
      <c r="FI324" s="51"/>
      <c r="FJ324" s="51"/>
      <c r="FK324" s="51"/>
      <c r="FL324" s="51"/>
      <c r="FM324" s="51"/>
      <c r="FN324" s="51"/>
      <c r="FO324" s="51"/>
      <c r="FP324" s="51"/>
      <c r="FQ324" s="51"/>
      <c r="FR324" s="51"/>
      <c r="FS324" s="51"/>
      <c r="FT324" s="51"/>
      <c r="FU324" s="51"/>
      <c r="FV324" s="51"/>
      <c r="FW324" s="51"/>
      <c r="FX324" s="51"/>
      <c r="FY324" s="51"/>
      <c r="FZ324" s="51"/>
      <c r="GA324" s="51"/>
      <c r="GB324" s="51"/>
      <c r="GC324" s="51"/>
      <c r="GD324" s="51"/>
      <c r="GE324" s="51"/>
      <c r="GF324" s="51"/>
      <c r="GG324" s="51"/>
      <c r="GH324" s="51"/>
      <c r="GI324" s="51"/>
      <c r="GJ324" s="51"/>
      <c r="GK324" s="51"/>
      <c r="GL324" s="51"/>
      <c r="GM324" s="51"/>
      <c r="GN324" s="51"/>
      <c r="GO324" s="51"/>
      <c r="GP324" s="51"/>
      <c r="GQ324" s="51"/>
      <c r="GR324" s="51"/>
      <c r="GS324" s="51"/>
      <c r="GT324" s="51"/>
      <c r="GU324" s="51"/>
      <c r="GV324" s="51"/>
      <c r="GW324" s="51"/>
      <c r="GX324" s="51"/>
      <c r="GY324" s="51"/>
      <c r="GZ324" s="51"/>
      <c r="HA324" s="51"/>
      <c r="HB324" s="51"/>
      <c r="HC324" s="51"/>
      <c r="HD324" s="51"/>
      <c r="HE324" s="51"/>
      <c r="HF324" s="51"/>
      <c r="HG324" s="51"/>
      <c r="HH324" s="51"/>
      <c r="HI324" s="51"/>
      <c r="HJ324" s="51"/>
      <c r="HK324" s="51"/>
      <c r="HL324" s="51"/>
      <c r="HM324" s="51"/>
      <c r="HN324" s="51"/>
      <c r="HO324" s="51"/>
      <c r="HP324" s="51"/>
      <c r="HQ324" s="51"/>
      <c r="HR324" s="51"/>
      <c r="HS324" s="51"/>
      <c r="HT324" s="51"/>
      <c r="HU324" s="51"/>
      <c r="HV324" s="51"/>
      <c r="HW324" s="51"/>
      <c r="HX324" s="51"/>
      <c r="HY324" s="51"/>
      <c r="HZ324" s="51"/>
      <c r="IA324" s="51"/>
      <c r="IB324" s="51"/>
      <c r="IC324" s="51"/>
      <c r="ID324" s="51"/>
      <c r="IE324" s="51"/>
      <c r="IF324" s="51"/>
      <c r="IG324" s="51"/>
      <c r="IH324" s="51"/>
      <c r="II324" s="51"/>
      <c r="IJ324" s="51"/>
      <c r="IK324" s="51"/>
      <c r="IL324" s="51"/>
      <c r="IM324" s="51"/>
      <c r="IN324" s="51"/>
      <c r="IO324" s="51"/>
      <c r="IP324" s="51"/>
      <c r="IQ324" s="51"/>
      <c r="IR324" s="51"/>
      <c r="IS324" s="51"/>
      <c r="IT324" s="51"/>
      <c r="IU324" s="51"/>
      <c r="IV324" s="51"/>
    </row>
    <row r="325" hidden="1" ht="13.5">
      <c r="B325" s="128" t="s">
        <v>7</v>
      </c>
      <c r="C325" s="129" t="str">
        <f>IF(SUM(C306:C324)&lt;&gt;0,SUM(C306:C324),"")</f>
      </c>
      <c r="D325" s="129" t="str">
        <f ref="D325:AA325" t="shared" si="30">IF(SUM(D306:D324)&lt;&gt;0,SUM(D306:D324),"")</f>
      </c>
      <c r="E325" s="129" t="str">
        <f t="shared" si="30"/>
      </c>
      <c r="F325" s="129" t="str">
        <f t="shared" si="30"/>
      </c>
      <c r="G325" s="129" t="str">
        <f t="shared" si="30"/>
      </c>
      <c r="H325" s="129" t="str">
        <f t="shared" si="30"/>
      </c>
      <c r="I325" s="129" t="str">
        <f t="shared" si="30"/>
      </c>
      <c r="J325" s="129" t="str">
        <f t="shared" si="30"/>
      </c>
      <c r="K325" s="129" t="str">
        <f t="shared" si="30"/>
      </c>
      <c r="L325" s="129" t="str">
        <f t="shared" si="30"/>
      </c>
      <c r="M325" s="129" t="str">
        <f t="shared" si="30"/>
      </c>
      <c r="N325" s="129" t="str">
        <f t="shared" si="30"/>
      </c>
      <c r="O325" s="129" t="str">
        <f t="shared" si="30"/>
      </c>
      <c r="P325" s="129" t="str">
        <f t="shared" si="30"/>
      </c>
      <c r="Q325" s="129" t="str">
        <f t="shared" si="30"/>
      </c>
      <c r="R325" s="129" t="str">
        <f t="shared" si="30"/>
      </c>
      <c r="S325" s="129" t="str">
        <f t="shared" si="30"/>
      </c>
      <c r="T325" s="129" t="str">
        <f t="shared" si="30"/>
      </c>
      <c r="U325" s="129" t="str">
        <f t="shared" si="30"/>
      </c>
      <c r="V325" s="129" t="str">
        <f t="shared" si="30"/>
      </c>
      <c r="W325" s="129" t="str">
        <f t="shared" si="30"/>
      </c>
      <c r="X325" s="129" t="str">
        <f t="shared" si="30"/>
      </c>
      <c r="Y325" s="129" t="str">
        <f t="shared" si="30"/>
      </c>
      <c r="Z325" s="129" t="str">
        <f t="shared" si="30"/>
      </c>
      <c r="AA325" s="129" t="str">
        <f t="shared" si="30"/>
      </c>
      <c r="AB325" s="130" t="str">
        <f>IF(SUM(AB306:AB324)&lt;&gt;0,SUM(AB306:AB324),"")</f>
      </c>
      <c r="AC325" s="91" t="str">
        <f ref="AC325:CN325" t="shared" si="31">IF(SUM(AC306:AC324)&lt;&gt;0,SUM(AC306:AC324),"")</f>
      </c>
      <c r="AD325" s="91" t="str">
        <f t="shared" si="31"/>
      </c>
      <c r="AE325" s="91" t="str">
        <f t="shared" si="31"/>
      </c>
      <c r="AF325" s="91" t="str">
        <f t="shared" si="31"/>
      </c>
      <c r="AG325" s="91" t="str">
        <f t="shared" si="31"/>
      </c>
      <c r="AH325" s="91" t="str">
        <f t="shared" si="31"/>
      </c>
      <c r="AI325" s="91" t="str">
        <f t="shared" si="31"/>
      </c>
      <c r="AJ325" s="91" t="str">
        <f t="shared" si="31"/>
      </c>
      <c r="AK325" s="91" t="str">
        <f t="shared" si="31"/>
      </c>
      <c r="AL325" s="91" t="str">
        <f t="shared" si="31"/>
      </c>
      <c r="AM325" s="91" t="str">
        <f t="shared" si="31"/>
      </c>
      <c r="AN325" s="91" t="str">
        <f t="shared" si="31"/>
      </c>
      <c r="AO325" s="91" t="str">
        <f t="shared" si="31"/>
      </c>
      <c r="AP325" s="91" t="str">
        <f t="shared" si="31"/>
      </c>
      <c r="AQ325" s="91" t="str">
        <f t="shared" si="31"/>
      </c>
      <c r="AR325" s="91" t="str">
        <f t="shared" si="31"/>
      </c>
      <c r="AS325" s="91" t="str">
        <f t="shared" si="31"/>
      </c>
      <c r="AT325" s="91" t="str">
        <f t="shared" si="31"/>
      </c>
      <c r="AU325" s="91" t="str">
        <f t="shared" si="31"/>
      </c>
      <c r="AV325" s="91" t="str">
        <f t="shared" si="31"/>
      </c>
      <c r="AW325" s="91" t="str">
        <f t="shared" si="31"/>
      </c>
      <c r="AX325" s="91" t="str">
        <f t="shared" si="31"/>
      </c>
      <c r="AY325" s="91" t="str">
        <f t="shared" si="31"/>
      </c>
      <c r="AZ325" s="91" t="str">
        <f t="shared" si="31"/>
      </c>
      <c r="BA325" s="91" t="str">
        <f t="shared" si="31"/>
      </c>
      <c r="BB325" s="91" t="str">
        <f t="shared" si="31"/>
      </c>
      <c r="BC325" s="91" t="str">
        <f t="shared" si="31"/>
      </c>
      <c r="BD325" s="91" t="str">
        <f t="shared" si="31"/>
      </c>
      <c r="BE325" s="91" t="str">
        <f t="shared" si="31"/>
      </c>
      <c r="BF325" s="91" t="str">
        <f t="shared" si="31"/>
      </c>
      <c r="BG325" s="91" t="str">
        <f t="shared" si="31"/>
      </c>
      <c r="BH325" s="91" t="str">
        <f t="shared" si="31"/>
      </c>
      <c r="BI325" s="91" t="str">
        <f t="shared" si="31"/>
      </c>
      <c r="BJ325" s="91" t="str">
        <f t="shared" si="31"/>
      </c>
      <c r="BK325" s="91" t="str">
        <f t="shared" si="31"/>
      </c>
      <c r="BL325" s="91" t="str">
        <f t="shared" si="31"/>
      </c>
      <c r="BM325" s="91" t="str">
        <f t="shared" si="31"/>
      </c>
      <c r="BN325" s="91" t="str">
        <f t="shared" si="31"/>
      </c>
      <c r="BO325" s="91" t="str">
        <f t="shared" si="31"/>
      </c>
      <c r="BP325" s="91" t="str">
        <f t="shared" si="31"/>
      </c>
      <c r="BQ325" s="91" t="str">
        <f t="shared" si="31"/>
      </c>
      <c r="BR325" s="91" t="str">
        <f t="shared" si="31"/>
      </c>
      <c r="BS325" s="91" t="str">
        <f t="shared" si="31"/>
      </c>
      <c r="BT325" s="91" t="str">
        <f t="shared" si="31"/>
      </c>
      <c r="BU325" s="91" t="str">
        <f t="shared" si="31"/>
      </c>
      <c r="BV325" s="91" t="str">
        <f t="shared" si="31"/>
      </c>
      <c r="BW325" s="91" t="str">
        <f t="shared" si="31"/>
      </c>
      <c r="BX325" s="91" t="str">
        <f t="shared" si="31"/>
      </c>
      <c r="BY325" s="91" t="str">
        <f t="shared" si="31"/>
      </c>
      <c r="BZ325" s="91" t="str">
        <f t="shared" si="31"/>
      </c>
      <c r="CA325" s="91" t="str">
        <f t="shared" si="31"/>
      </c>
      <c r="CB325" s="91" t="str">
        <f t="shared" si="31"/>
      </c>
      <c r="CC325" s="91" t="str">
        <f t="shared" si="31"/>
      </c>
      <c r="CD325" s="91" t="str">
        <f t="shared" si="31"/>
      </c>
      <c r="CE325" s="91" t="str">
        <f t="shared" si="31"/>
      </c>
      <c r="CF325" s="91" t="str">
        <f t="shared" si="31"/>
      </c>
      <c r="CG325" s="91" t="str">
        <f t="shared" si="31"/>
      </c>
      <c r="CH325" s="91" t="str">
        <f t="shared" si="31"/>
      </c>
      <c r="CI325" s="91" t="str">
        <f t="shared" si="31"/>
      </c>
      <c r="CJ325" s="91" t="str">
        <f t="shared" si="31"/>
      </c>
      <c r="CK325" s="91" t="str">
        <f t="shared" si="31"/>
      </c>
      <c r="CL325" s="91" t="str">
        <f t="shared" si="31"/>
      </c>
      <c r="CM325" s="91" t="str">
        <f t="shared" si="31"/>
      </c>
      <c r="CN325" s="91" t="str">
        <f t="shared" si="31"/>
      </c>
      <c r="CO325" s="91" t="str">
        <f ref="CO325:EZ325" t="shared" si="32">IF(SUM(CO306:CO324)&lt;&gt;0,SUM(CO306:CO324),"")</f>
      </c>
      <c r="CP325" s="91" t="str">
        <f t="shared" si="32"/>
      </c>
      <c r="CQ325" s="91" t="str">
        <f t="shared" si="32"/>
      </c>
      <c r="CR325" s="91" t="str">
        <f t="shared" si="32"/>
      </c>
      <c r="CS325" s="91" t="str">
        <f t="shared" si="32"/>
      </c>
      <c r="CT325" s="91" t="str">
        <f t="shared" si="32"/>
      </c>
      <c r="CU325" s="91" t="str">
        <f t="shared" si="32"/>
      </c>
      <c r="CV325" s="91" t="str">
        <f t="shared" si="32"/>
      </c>
      <c r="CW325" s="91" t="str">
        <f t="shared" si="32"/>
      </c>
      <c r="CX325" s="91" t="str">
        <f t="shared" si="32"/>
      </c>
      <c r="CY325" s="91" t="str">
        <f t="shared" si="32"/>
      </c>
      <c r="CZ325" s="91" t="str">
        <f t="shared" si="32"/>
      </c>
      <c r="DA325" s="91" t="str">
        <f t="shared" si="32"/>
      </c>
      <c r="DB325" s="91" t="str">
        <f t="shared" si="32"/>
      </c>
      <c r="DC325" s="91" t="str">
        <f t="shared" si="32"/>
      </c>
      <c r="DD325" s="91" t="str">
        <f t="shared" si="32"/>
      </c>
      <c r="DE325" s="91" t="str">
        <f t="shared" si="32"/>
      </c>
      <c r="DF325" s="91" t="str">
        <f t="shared" si="32"/>
      </c>
      <c r="DG325" s="91" t="str">
        <f t="shared" si="32"/>
      </c>
      <c r="DH325" s="91" t="str">
        <f t="shared" si="32"/>
      </c>
      <c r="DI325" s="91" t="str">
        <f t="shared" si="32"/>
      </c>
      <c r="DJ325" s="91" t="str">
        <f t="shared" si="32"/>
      </c>
      <c r="DK325" s="91" t="str">
        <f t="shared" si="32"/>
      </c>
      <c r="DL325" s="91" t="str">
        <f t="shared" si="32"/>
      </c>
      <c r="DM325" s="91" t="str">
        <f t="shared" si="32"/>
      </c>
      <c r="DN325" s="91" t="str">
        <f t="shared" si="32"/>
      </c>
      <c r="DO325" s="91" t="str">
        <f t="shared" si="32"/>
      </c>
      <c r="DP325" s="91" t="str">
        <f t="shared" si="32"/>
      </c>
      <c r="DQ325" s="91" t="str">
        <f t="shared" si="32"/>
      </c>
      <c r="DR325" s="91" t="str">
        <f t="shared" si="32"/>
      </c>
      <c r="DS325" s="91" t="str">
        <f t="shared" si="32"/>
      </c>
      <c r="DT325" s="91" t="str">
        <f t="shared" si="32"/>
      </c>
      <c r="DU325" s="91" t="str">
        <f t="shared" si="32"/>
      </c>
      <c r="DV325" s="91" t="str">
        <f t="shared" si="32"/>
      </c>
      <c r="DW325" s="91" t="str">
        <f t="shared" si="32"/>
      </c>
      <c r="DX325" s="91" t="str">
        <f t="shared" si="32"/>
      </c>
      <c r="DY325" s="91" t="str">
        <f t="shared" si="32"/>
      </c>
      <c r="DZ325" s="91" t="str">
        <f t="shared" si="32"/>
      </c>
      <c r="EA325" s="91" t="str">
        <f t="shared" si="32"/>
      </c>
      <c r="EB325" s="91" t="str">
        <f t="shared" si="32"/>
      </c>
      <c r="EC325" s="91" t="str">
        <f t="shared" si="32"/>
      </c>
      <c r="ED325" s="91" t="str">
        <f t="shared" si="32"/>
      </c>
      <c r="EE325" s="91" t="str">
        <f t="shared" si="32"/>
      </c>
      <c r="EF325" s="91" t="str">
        <f t="shared" si="32"/>
      </c>
      <c r="EG325" s="91" t="str">
        <f t="shared" si="32"/>
      </c>
      <c r="EH325" s="91" t="str">
        <f t="shared" si="32"/>
      </c>
      <c r="EI325" s="91" t="str">
        <f t="shared" si="32"/>
      </c>
      <c r="EJ325" s="91" t="str">
        <f t="shared" si="32"/>
      </c>
      <c r="EK325" s="91" t="str">
        <f t="shared" si="32"/>
      </c>
      <c r="EL325" s="91" t="str">
        <f t="shared" si="32"/>
      </c>
      <c r="EM325" s="91" t="str">
        <f t="shared" si="32"/>
      </c>
      <c r="EN325" s="91" t="str">
        <f t="shared" si="32"/>
      </c>
      <c r="EO325" s="91" t="str">
        <f t="shared" si="32"/>
      </c>
      <c r="EP325" s="91" t="str">
        <f t="shared" si="32"/>
      </c>
      <c r="EQ325" s="91" t="str">
        <f t="shared" si="32"/>
      </c>
      <c r="ER325" s="91" t="str">
        <f t="shared" si="32"/>
      </c>
      <c r="ES325" s="91" t="str">
        <f t="shared" si="32"/>
      </c>
      <c r="ET325" s="91" t="str">
        <f t="shared" si="32"/>
      </c>
      <c r="EU325" s="91" t="str">
        <f t="shared" si="32"/>
      </c>
      <c r="EV325" s="91" t="str">
        <f t="shared" si="32"/>
      </c>
      <c r="EW325" s="91" t="str">
        <f t="shared" si="32"/>
      </c>
      <c r="EX325" s="91" t="str">
        <f t="shared" si="32"/>
      </c>
      <c r="EY325" s="91" t="str">
        <f t="shared" si="32"/>
      </c>
      <c r="EZ325" s="91" t="str">
        <f t="shared" si="32"/>
      </c>
      <c r="FA325" s="91" t="str">
        <f ref="FA325:HL325" t="shared" si="33">IF(SUM(FA306:FA324)&lt;&gt;0,SUM(FA306:FA324),"")</f>
      </c>
      <c r="FB325" s="91" t="str">
        <f t="shared" si="33"/>
      </c>
      <c r="FC325" s="91" t="str">
        <f t="shared" si="33"/>
      </c>
      <c r="FD325" s="91" t="str">
        <f t="shared" si="33"/>
      </c>
      <c r="FE325" s="91" t="str">
        <f t="shared" si="33"/>
      </c>
      <c r="FF325" s="91" t="str">
        <f t="shared" si="33"/>
      </c>
      <c r="FG325" s="91" t="str">
        <f t="shared" si="33"/>
      </c>
      <c r="FH325" s="91" t="str">
        <f t="shared" si="33"/>
      </c>
      <c r="FI325" s="91" t="str">
        <f t="shared" si="33"/>
      </c>
      <c r="FJ325" s="91" t="str">
        <f t="shared" si="33"/>
      </c>
      <c r="FK325" s="91" t="str">
        <f t="shared" si="33"/>
      </c>
      <c r="FL325" s="91" t="str">
        <f t="shared" si="33"/>
      </c>
      <c r="FM325" s="91" t="str">
        <f t="shared" si="33"/>
      </c>
      <c r="FN325" s="91" t="str">
        <f t="shared" si="33"/>
      </c>
      <c r="FO325" s="91" t="str">
        <f t="shared" si="33"/>
      </c>
      <c r="FP325" s="91" t="str">
        <f t="shared" si="33"/>
      </c>
      <c r="FQ325" s="91" t="str">
        <f t="shared" si="33"/>
      </c>
      <c r="FR325" s="91" t="str">
        <f t="shared" si="33"/>
      </c>
      <c r="FS325" s="91" t="str">
        <f t="shared" si="33"/>
      </c>
      <c r="FT325" s="91" t="str">
        <f t="shared" si="33"/>
      </c>
      <c r="FU325" s="91" t="str">
        <f t="shared" si="33"/>
      </c>
      <c r="FV325" s="91" t="str">
        <f t="shared" si="33"/>
      </c>
      <c r="FW325" s="91" t="str">
        <f t="shared" si="33"/>
      </c>
      <c r="FX325" s="91" t="str">
        <f t="shared" si="33"/>
      </c>
      <c r="FY325" s="91" t="str">
        <f t="shared" si="33"/>
      </c>
      <c r="FZ325" s="91" t="str">
        <f t="shared" si="33"/>
      </c>
      <c r="GA325" s="91" t="str">
        <f t="shared" si="33"/>
      </c>
      <c r="GB325" s="91" t="str">
        <f t="shared" si="33"/>
      </c>
      <c r="GC325" s="91" t="str">
        <f t="shared" si="33"/>
      </c>
      <c r="GD325" s="91" t="str">
        <f t="shared" si="33"/>
      </c>
      <c r="GE325" s="91" t="str">
        <f t="shared" si="33"/>
      </c>
      <c r="GF325" s="91" t="str">
        <f t="shared" si="33"/>
      </c>
      <c r="GG325" s="91" t="str">
        <f t="shared" si="33"/>
      </c>
      <c r="GH325" s="91" t="str">
        <f t="shared" si="33"/>
      </c>
      <c r="GI325" s="91" t="str">
        <f t="shared" si="33"/>
      </c>
      <c r="GJ325" s="91" t="str">
        <f t="shared" si="33"/>
      </c>
      <c r="GK325" s="91" t="str">
        <f t="shared" si="33"/>
      </c>
      <c r="GL325" s="91" t="str">
        <f t="shared" si="33"/>
      </c>
      <c r="GM325" s="91" t="str">
        <f t="shared" si="33"/>
      </c>
      <c r="GN325" s="91" t="str">
        <f t="shared" si="33"/>
      </c>
      <c r="GO325" s="91" t="str">
        <f t="shared" si="33"/>
      </c>
      <c r="GP325" s="91" t="str">
        <f t="shared" si="33"/>
      </c>
      <c r="GQ325" s="91" t="str">
        <f t="shared" si="33"/>
      </c>
      <c r="GR325" s="91" t="str">
        <f t="shared" si="33"/>
      </c>
      <c r="GS325" s="91" t="str">
        <f t="shared" si="33"/>
      </c>
      <c r="GT325" s="91" t="str">
        <f t="shared" si="33"/>
      </c>
      <c r="GU325" s="91" t="str">
        <f t="shared" si="33"/>
      </c>
      <c r="GV325" s="91" t="str">
        <f t="shared" si="33"/>
      </c>
      <c r="GW325" s="91" t="str">
        <f t="shared" si="33"/>
      </c>
      <c r="GX325" s="91" t="str">
        <f t="shared" si="33"/>
      </c>
      <c r="GY325" s="91" t="str">
        <f t="shared" si="33"/>
      </c>
      <c r="GZ325" s="91" t="str">
        <f t="shared" si="33"/>
      </c>
      <c r="HA325" s="91" t="str">
        <f t="shared" si="33"/>
      </c>
      <c r="HB325" s="91" t="str">
        <f t="shared" si="33"/>
      </c>
      <c r="HC325" s="91" t="str">
        <f t="shared" si="33"/>
      </c>
      <c r="HD325" s="91" t="str">
        <f t="shared" si="33"/>
      </c>
      <c r="HE325" s="91" t="str">
        <f t="shared" si="33"/>
      </c>
      <c r="HF325" s="91" t="str">
        <f t="shared" si="33"/>
      </c>
      <c r="HG325" s="91" t="str">
        <f t="shared" si="33"/>
      </c>
      <c r="HH325" s="91" t="str">
        <f t="shared" si="33"/>
      </c>
      <c r="HI325" s="91" t="str">
        <f t="shared" si="33"/>
      </c>
      <c r="HJ325" s="91" t="str">
        <f t="shared" si="33"/>
      </c>
      <c r="HK325" s="91" t="str">
        <f t="shared" si="33"/>
      </c>
      <c r="HL325" s="91" t="str">
        <f t="shared" si="33"/>
      </c>
      <c r="HM325" s="91" t="str">
        <f ref="HM325:IV325" t="shared" si="34">IF(SUM(HM306:HM324)&lt;&gt;0,SUM(HM306:HM324),"")</f>
      </c>
      <c r="HN325" s="91" t="str">
        <f t="shared" si="34"/>
      </c>
      <c r="HO325" s="91" t="str">
        <f t="shared" si="34"/>
      </c>
      <c r="HP325" s="91" t="str">
        <f t="shared" si="34"/>
      </c>
      <c r="HQ325" s="91" t="str">
        <f t="shared" si="34"/>
      </c>
      <c r="HR325" s="91" t="str">
        <f t="shared" si="34"/>
      </c>
      <c r="HS325" s="91" t="str">
        <f t="shared" si="34"/>
      </c>
      <c r="HT325" s="91" t="str">
        <f t="shared" si="34"/>
      </c>
      <c r="HU325" s="91" t="str">
        <f t="shared" si="34"/>
      </c>
      <c r="HV325" s="91" t="str">
        <f t="shared" si="34"/>
      </c>
      <c r="HW325" s="91" t="str">
        <f t="shared" si="34"/>
      </c>
      <c r="HX325" s="91" t="str">
        <f t="shared" si="34"/>
      </c>
      <c r="HY325" s="91" t="str">
        <f t="shared" si="34"/>
      </c>
      <c r="HZ325" s="91" t="str">
        <f t="shared" si="34"/>
      </c>
      <c r="IA325" s="91" t="str">
        <f t="shared" si="34"/>
      </c>
      <c r="IB325" s="91" t="str">
        <f t="shared" si="34"/>
      </c>
      <c r="IC325" s="91" t="str">
        <f t="shared" si="34"/>
      </c>
      <c r="ID325" s="91" t="str">
        <f t="shared" si="34"/>
      </c>
      <c r="IE325" s="91" t="str">
        <f t="shared" si="34"/>
      </c>
      <c r="IF325" s="91" t="str">
        <f t="shared" si="34"/>
      </c>
      <c r="IG325" s="91" t="str">
        <f t="shared" si="34"/>
      </c>
      <c r="IH325" s="91" t="str">
        <f t="shared" si="34"/>
      </c>
      <c r="II325" s="91" t="str">
        <f t="shared" si="34"/>
      </c>
      <c r="IJ325" s="91" t="str">
        <f t="shared" si="34"/>
      </c>
      <c r="IK325" s="91" t="str">
        <f t="shared" si="34"/>
      </c>
      <c r="IL325" s="91" t="str">
        <f t="shared" si="34"/>
      </c>
      <c r="IM325" s="91" t="str">
        <f t="shared" si="34"/>
      </c>
      <c r="IN325" s="91" t="str">
        <f t="shared" si="34"/>
      </c>
      <c r="IO325" s="91" t="str">
        <f t="shared" si="34"/>
      </c>
      <c r="IP325" s="91" t="str">
        <f t="shared" si="34"/>
      </c>
      <c r="IQ325" s="91" t="str">
        <f t="shared" si="34"/>
      </c>
      <c r="IR325" s="91" t="str">
        <f t="shared" si="34"/>
      </c>
      <c r="IS325" s="91" t="str">
        <f t="shared" si="34"/>
      </c>
      <c r="IT325" s="91" t="str">
        <f t="shared" si="34"/>
      </c>
      <c r="IU325" s="91" t="str">
        <f t="shared" si="34"/>
      </c>
      <c r="IV325" s="91" t="str">
        <f t="shared" si="34"/>
      </c>
    </row>
    <row r="326" hidden="1" ht="13.5"/>
    <row r="327" hidden="1" ht="15.75" customHeight="1">
      <c r="C327" s="732" t="s">
        <v>253</v>
      </c>
      <c r="D327" s="733"/>
      <c r="E327" s="733"/>
      <c r="F327" s="733"/>
      <c r="G327" s="733"/>
      <c r="H327" s="733"/>
      <c r="I327" s="733"/>
      <c r="J327" s="733"/>
      <c r="K327" s="733"/>
      <c r="L327" s="733"/>
      <c r="M327" s="733"/>
      <c r="N327" s="733"/>
      <c r="O327" s="733"/>
      <c r="P327" s="733"/>
      <c r="Q327" s="733"/>
      <c r="R327" s="733"/>
      <c r="S327" s="733"/>
      <c r="T327" s="733"/>
      <c r="U327" s="733"/>
      <c r="V327" s="733"/>
      <c r="W327" s="733"/>
      <c r="X327" s="733"/>
      <c r="Y327" s="733"/>
      <c r="Z327" s="733"/>
      <c r="AA327" s="733"/>
      <c r="AB327" s="734"/>
    </row>
    <row r="328" hidden="1" ht="15" customHeight="1">
      <c r="B328" s="51"/>
      <c r="C328" s="435" t="str">
        <f> IF(C348&lt;&gt;"",TEXT(AUX!G$1,"dd-MMM-aa"),"")</f>
      </c>
      <c r="D328" s="435" t="str">
        <f> IF(D348&lt;&gt;"",TEXT(AUX!H$1,"dd-MMM-aa"),"")</f>
      </c>
      <c r="E328" s="435" t="str">
        <f> IF(E348&lt;&gt;"",TEXT(AUX!I$1,"dd-MMM-aa"),"")</f>
      </c>
      <c r="F328" s="435" t="str">
        <f> IF(F348&lt;&gt;"",TEXT(AUX!J$1,"dd-MMM-aa"),"")</f>
      </c>
      <c r="G328" s="435" t="str">
        <f> IF(G348&lt;&gt;"",TEXT(AUX!K$1,"dd-MMM-aa"),"")</f>
      </c>
      <c r="H328" s="435" t="str">
        <f> IF(H348&lt;&gt;"",TEXT(AUX!L$1,"dd-MMM-aa"),"")</f>
      </c>
      <c r="I328" s="435" t="str">
        <f> IF(I348&lt;&gt;"",TEXT(AUX!M$1,"dd-MMM-aa"),"")</f>
      </c>
      <c r="J328" s="435" t="str">
        <f> IF(J348&lt;&gt;"",TEXT(AUX!N$1,"dd-MMM-aa"),"")</f>
      </c>
      <c r="K328" s="435" t="str">
        <f> IF(K348&lt;&gt;"",TEXT(AUX!O$1,"dd-MMM-aa"),"")</f>
      </c>
      <c r="L328" s="435" t="str">
        <f> IF(L348&lt;&gt;"",TEXT(AUX!P$1,"dd-MMM-aa"),"")</f>
      </c>
      <c r="M328" s="435" t="str">
        <f> IF(M348&lt;&gt;"",TEXT(AUX!Q$1,"dd-MMM-aa"),"")</f>
      </c>
      <c r="N328" s="435" t="str">
        <f> IF(N348&lt;&gt;"",TEXT(AUX!R$1,"dd-MMM-aa"),"")</f>
      </c>
      <c r="O328" s="435" t="str">
        <f> IF(O348&lt;&gt;"",TEXT(AUX!S$1,"dd-MMM-aa"),"")</f>
      </c>
      <c r="P328" s="435" t="str">
        <f> IF(P348&lt;&gt;"",TEXT(AUX!T$1,"dd-MMM-aa"),"")</f>
      </c>
      <c r="Q328" s="435" t="str">
        <f> IF(Q348&lt;&gt;"",TEXT(AUX!U$1,"dd-MMM-aa"),"")</f>
      </c>
      <c r="R328" s="435" t="str">
        <f> IF(R348&lt;&gt;"",TEXT(AUX!V$1,"dd-MMM-aa"),"")</f>
      </c>
      <c r="S328" s="435" t="str">
        <f> IF(S348&lt;&gt;"",TEXT(AUX!W$1,"dd-MMM-aa"),"")</f>
      </c>
      <c r="T328" s="435" t="str">
        <f> IF(T348&lt;&gt;"",TEXT(AUX!X$1,"dd-MMM-aa"),"")</f>
      </c>
      <c r="U328" s="435" t="str">
        <f> IF(U348&lt;&gt;"",TEXT(AUX!Y$1,"dd-MMM-aa"),"")</f>
      </c>
      <c r="V328" s="435" t="str">
        <f> IF(V348&lt;&gt;"",TEXT(AUX!Z$1,"dd-MMM-aa"),"")</f>
      </c>
      <c r="W328" s="435" t="str">
        <f> IF(W348&lt;&gt;"",TEXT(AUX!AA$1,"dd-MMM-aa"),"")</f>
      </c>
      <c r="X328" s="435" t="str">
        <f> IF(X348&lt;&gt;"",TEXT(AUX!AB$1,"dd-MMM-aa"),"")</f>
      </c>
      <c r="Y328" s="435" t="str">
        <f> IF(Y348&lt;&gt;"",TEXT(AUX!AC$1,"dd-MMM-aa"),"")</f>
      </c>
      <c r="Z328" s="435" t="str">
        <f> IF(Z348&lt;&gt;"",TEXT(AUX!AD$1,"dd-MMM-aa"),"")</f>
      </c>
      <c r="AA328" s="435" t="str">
        <f> IF(AA348&lt;&gt;"",TEXT(AUX!AE$1,"dd-MMM-aa"),"")</f>
      </c>
      <c r="AB328" s="497" t="str">
        <f> IF(AB348&lt;&gt;"",TEXT(AUX!AF$1,"dd-MMM-aa"),"")</f>
      </c>
      <c r="AC328" s="496" t="str">
        <f> IF(AC348&lt;&gt;"",TEXT(AUX!AG$1,"dd-MMM-aa"),"")</f>
      </c>
      <c r="AD328" s="496" t="str">
        <f> IF(AD348&lt;&gt;"",TEXT(AUX!AH$1,"dd-MMM-aa"),"")</f>
      </c>
      <c r="AE328" s="496" t="str">
        <f> IF(AE348&lt;&gt;"",TEXT(AUX!AI$1,"dd-MMM-aa"),"")</f>
      </c>
      <c r="AF328" s="496" t="str">
        <f> IF(AF348&lt;&gt;"",TEXT(AUX!AJ$1,"dd-MMM-aa"),"")</f>
      </c>
      <c r="AG328" s="496" t="str">
        <f> IF(AG348&lt;&gt;"",TEXT(AUX!AK$1,"dd-MMM-aa"),"")</f>
      </c>
      <c r="AH328" s="496" t="str">
        <f> IF(AH348&lt;&gt;"",TEXT(AUX!AL$1,"dd-MMM-aa"),"")</f>
      </c>
      <c r="AI328" s="496" t="str">
        <f> IF(AI348&lt;&gt;"",TEXT(AUX!AM$1,"dd-MMM-aa"),"")</f>
      </c>
      <c r="AJ328" s="496" t="str">
        <f> IF(AJ348&lt;&gt;"",TEXT(AUX!AN$1,"dd-MMM-aa"),"")</f>
      </c>
      <c r="AK328" s="496" t="str">
        <f> IF(AK348&lt;&gt;"",TEXT(AUX!AO$1,"dd-MMM-aa"),"")</f>
      </c>
      <c r="AL328" s="496" t="str">
        <f> IF(AL348&lt;&gt;"",TEXT(AUX!AP$1,"dd-MMM-aa"),"")</f>
      </c>
      <c r="AM328" s="496" t="str">
        <f> IF(AM348&lt;&gt;"",TEXT(AUX!AQ$1,"dd-MMM-aa"),"")</f>
      </c>
      <c r="AN328" s="496" t="str">
        <f> IF(AN348&lt;&gt;"",TEXT(AUX!AR$1,"dd-MMM-aa"),"")</f>
      </c>
      <c r="AO328" s="496" t="str">
        <f> IF(AO348&lt;&gt;"",TEXT(AUX!AS$1,"dd-MMM-aa"),"")</f>
      </c>
      <c r="AP328" s="496" t="str">
        <f> IF(AP348&lt;&gt;"",TEXT(AUX!AT$1,"dd-MMM-aa"),"")</f>
      </c>
      <c r="AQ328" s="496" t="str">
        <f> IF(AQ348&lt;&gt;"",TEXT(AUX!AU$1,"dd-MMM-aa"),"")</f>
      </c>
      <c r="AR328" s="496" t="str">
        <f> IF(AR348&lt;&gt;"",TEXT(AUX!AV$1,"dd-MMM-aa"),"")</f>
      </c>
      <c r="AS328" s="496" t="str">
        <f> IF(AS348&lt;&gt;"",TEXT(AUX!AW$1,"dd-MMM-aa"),"")</f>
      </c>
      <c r="AT328" s="496" t="str">
        <f> IF(AT348&lt;&gt;"",TEXT(AUX!AX$1,"dd-MMM-aa"),"")</f>
      </c>
      <c r="AU328" s="496" t="str">
        <f> IF(AU348&lt;&gt;"",TEXT(AUX!AY$1,"dd-MMM-aa"),"")</f>
      </c>
      <c r="AV328" s="496" t="str">
        <f> IF(AV348&lt;&gt;"",TEXT(AUX!AZ$1,"dd-MMM-aa"),"")</f>
      </c>
      <c r="AW328" s="496" t="str">
        <f> IF(AW348&lt;&gt;"",TEXT(AUX!BA$1,"dd-MMM-aa"),"")</f>
      </c>
      <c r="AX328" s="496" t="str">
        <f> IF(AX348&lt;&gt;"",TEXT(AUX!BB$1,"dd-MMM-aa"),"")</f>
      </c>
      <c r="AY328" s="496" t="str">
        <f> IF(AY348&lt;&gt;"",TEXT(AUX!BC$1,"dd-MMM-aa"),"")</f>
      </c>
      <c r="AZ328" s="496" t="str">
        <f> IF(AZ348&lt;&gt;"",TEXT(AUX!BD$1,"dd-MMM-aa"),"")</f>
      </c>
      <c r="BA328" s="496" t="str">
        <f> IF(BA348&lt;&gt;"",TEXT(AUX!BE$1,"dd-MMM-aa"),"")</f>
      </c>
      <c r="BB328" s="496" t="str">
        <f> IF(BB348&lt;&gt;"",TEXT(AUX!BF$1,"dd-MMM-aa"),"")</f>
      </c>
      <c r="BC328" s="496" t="str">
        <f> IF(BC348&lt;&gt;"",TEXT(AUX!BG$1,"dd-MMM-aa"),"")</f>
      </c>
      <c r="BD328" s="496" t="str">
        <f> IF(BD348&lt;&gt;"",TEXT(AUX!BH$1,"dd-MMM-aa"),"")</f>
      </c>
      <c r="BE328" s="496" t="str">
        <f> IF(BE348&lt;&gt;"",TEXT(AUX!BI$1,"dd-MMM-aa"),"")</f>
      </c>
      <c r="BF328" s="496" t="str">
        <f> IF(BF348&lt;&gt;"",TEXT(AUX!BJ$1,"dd-MMM-aa"),"")</f>
      </c>
      <c r="BG328" s="496" t="str">
        <f> IF(BG348&lt;&gt;"",TEXT(AUX!BK$1,"dd-MMM-aa"),"")</f>
      </c>
      <c r="BH328" s="496" t="str">
        <f> IF(BH348&lt;&gt;"",TEXT(AUX!BL$1,"dd-MMM-aa"),"")</f>
      </c>
      <c r="BI328" s="496" t="str">
        <f> IF(BI348&lt;&gt;"",TEXT(AUX!BM$1,"dd-MMM-aa"),"")</f>
      </c>
      <c r="BJ328" s="496" t="str">
        <f> IF(BJ348&lt;&gt;"",TEXT(AUX!BN$1,"dd-MMM-aa"),"")</f>
      </c>
      <c r="BK328" s="496" t="str">
        <f> IF(BK348&lt;&gt;"",TEXT(AUX!BO$1,"dd-MMM-aa"),"")</f>
      </c>
      <c r="BL328" s="496" t="str">
        <f> IF(BL348&lt;&gt;"",TEXT(AUX!BP$1,"dd-MMM-aa"),"")</f>
      </c>
      <c r="BM328" s="496" t="str">
        <f> IF(BM348&lt;&gt;"",TEXT(AUX!BQ$1,"dd-MMM-aa"),"")</f>
      </c>
      <c r="BN328" s="496" t="str">
        <f> IF(BN348&lt;&gt;"",TEXT(AUX!BR$1,"dd-MMM-aa"),"")</f>
      </c>
      <c r="BO328" s="496" t="str">
        <f> IF(BO348&lt;&gt;"",TEXT(AUX!BS$1,"dd-MMM-aa"),"")</f>
      </c>
      <c r="BP328" s="496" t="str">
        <f> IF(BP348&lt;&gt;"",TEXT(AUX!BT$1,"dd-MMM-aa"),"")</f>
      </c>
      <c r="BQ328" s="496" t="str">
        <f> IF(BQ348&lt;&gt;"",TEXT(AUX!BU$1,"dd-MMM-aa"),"")</f>
      </c>
      <c r="BR328" s="496" t="str">
        <f> IF(BR348&lt;&gt;"",TEXT(AUX!BV$1,"dd-MMM-aa"),"")</f>
      </c>
      <c r="BS328" s="496" t="str">
        <f> IF(BS348&lt;&gt;"",TEXT(AUX!BW$1,"dd-MMM-aa"),"")</f>
      </c>
      <c r="BT328" s="496" t="str">
        <f> IF(BT348&lt;&gt;"",TEXT(AUX!BX$1,"dd-MMM-aa"),"")</f>
      </c>
      <c r="BU328" s="496" t="str">
        <f> IF(BU348&lt;&gt;"",TEXT(AUX!BY$1,"dd-MMM-aa"),"")</f>
      </c>
      <c r="BV328" s="496" t="str">
        <f> IF(BV348&lt;&gt;"",TEXT(AUX!BZ$1,"dd-MMM-aa"),"")</f>
      </c>
      <c r="BW328" s="496" t="str">
        <f> IF(BW348&lt;&gt;"",TEXT(AUX!CA$1,"dd-MMM-aa"),"")</f>
      </c>
      <c r="BX328" s="496" t="str">
        <f> IF(BX348&lt;&gt;"",TEXT(AUX!CB$1,"dd-MMM-aa"),"")</f>
      </c>
      <c r="BY328" s="496" t="str">
        <f> IF(BY348&lt;&gt;"",TEXT(AUX!CC$1,"dd-MMM-aa"),"")</f>
      </c>
      <c r="BZ328" s="496" t="str">
        <f> IF(BZ348&lt;&gt;"",TEXT(AUX!CD$1,"dd-MMM-aa"),"")</f>
      </c>
      <c r="CA328" s="496" t="str">
        <f> IF(CA348&lt;&gt;"",TEXT(AUX!CE$1,"dd-MMM-aa"),"")</f>
      </c>
      <c r="CB328" s="496" t="str">
        <f> IF(CB348&lt;&gt;"",TEXT(AUX!CF$1,"dd-MMM-aa"),"")</f>
      </c>
      <c r="CC328" s="496" t="str">
        <f> IF(CC348&lt;&gt;"",TEXT(AUX!CG$1,"dd-MMM-aa"),"")</f>
      </c>
      <c r="CD328" s="496" t="str">
        <f> IF(CD348&lt;&gt;"",TEXT(AUX!CH$1,"dd-MMM-aa"),"")</f>
      </c>
      <c r="CE328" s="496" t="str">
        <f> IF(CE348&lt;&gt;"",TEXT(AUX!CI$1,"dd-MMM-aa"),"")</f>
      </c>
      <c r="CF328" s="496" t="str">
        <f> IF(CF348&lt;&gt;"",TEXT(AUX!CJ$1,"dd-MMM-aa"),"")</f>
      </c>
      <c r="CG328" s="496" t="str">
        <f> IF(CG348&lt;&gt;"",TEXT(AUX!CK$1,"dd-MMM-aa"),"")</f>
      </c>
      <c r="CH328" s="496" t="str">
        <f> IF(CH348&lt;&gt;"",TEXT(AUX!CL$1,"dd-MMM-aa"),"")</f>
      </c>
      <c r="CI328" s="496" t="str">
        <f> IF(CI348&lt;&gt;"",TEXT(AUX!CM$1,"dd-MMM-aa"),"")</f>
      </c>
      <c r="CJ328" s="496" t="str">
        <f> IF(CJ348&lt;&gt;"",TEXT(AUX!CN$1,"dd-MMM-aa"),"")</f>
      </c>
      <c r="CK328" s="496" t="str">
        <f> IF(CK348&lt;&gt;"",TEXT(AUX!CO$1,"dd-MMM-aa"),"")</f>
      </c>
      <c r="CL328" s="496" t="str">
        <f> IF(CL348&lt;&gt;"",TEXT(AUX!CP$1,"dd-MMM-aa"),"")</f>
      </c>
      <c r="CM328" s="496" t="str">
        <f> IF(CM348&lt;&gt;"",TEXT(AUX!CQ$1,"dd-MMM-aa"),"")</f>
      </c>
      <c r="CN328" s="496" t="str">
        <f> IF(CN348&lt;&gt;"",TEXT(AUX!CR$1,"dd-MMM-aa"),"")</f>
      </c>
      <c r="CO328" s="496" t="str">
        <f> IF(CO348&lt;&gt;"",TEXT(AUX!CS$1,"dd-MMM-aa"),"")</f>
      </c>
      <c r="CP328" s="496" t="str">
        <f> IF(CP348&lt;&gt;"",TEXT(AUX!CT$1,"dd-MMM-aa"),"")</f>
      </c>
      <c r="CQ328" s="496" t="str">
        <f> IF(CQ348&lt;&gt;"",TEXT(AUX!CU$1,"dd-MMM-aa"),"")</f>
      </c>
      <c r="CR328" s="496" t="str">
        <f> IF(CR348&lt;&gt;"",TEXT(AUX!CV$1,"dd-MMM-aa"),"")</f>
      </c>
      <c r="CS328" s="496" t="str">
        <f> IF(CS348&lt;&gt;"",TEXT(AUX!CW$1,"dd-MMM-aa"),"")</f>
      </c>
      <c r="CT328" s="496" t="str">
        <f> IF(CT348&lt;&gt;"",TEXT(AUX!CX$1,"dd-MMM-aa"),"")</f>
      </c>
      <c r="CU328" s="496" t="str">
        <f> IF(CU348&lt;&gt;"",TEXT(AUX!CY$1,"dd-MMM-aa"),"")</f>
      </c>
      <c r="CV328" s="496" t="str">
        <f> IF(CV348&lt;&gt;"",TEXT(AUX!CZ$1,"dd-MMM-aa"),"")</f>
      </c>
      <c r="CW328" s="496" t="str">
        <f> IF(CW348&lt;&gt;"",TEXT(AUX!DA$1,"dd-MMM-aa"),"")</f>
      </c>
      <c r="CX328" s="496" t="str">
        <f> IF(CX348&lt;&gt;"",TEXT(AUX!DB$1,"dd-MMM-aa"),"")</f>
      </c>
      <c r="CY328" s="496" t="str">
        <f> IF(CY348&lt;&gt;"",TEXT(AUX!DC$1,"dd-MMM-aa"),"")</f>
      </c>
      <c r="CZ328" s="496" t="str">
        <f> IF(CZ348&lt;&gt;"",TEXT(AUX!DD$1,"dd-MMM-aa"),"")</f>
      </c>
      <c r="DA328" s="496" t="str">
        <f> IF(DA348&lt;&gt;"",TEXT(AUX!DE$1,"dd-MMM-aa"),"")</f>
      </c>
      <c r="DB328" s="496" t="str">
        <f> IF(DB348&lt;&gt;"",TEXT(AUX!DF$1,"dd-MMM-aa"),"")</f>
      </c>
      <c r="DC328" s="496" t="str">
        <f> IF(DC348&lt;&gt;"",TEXT(AUX!DG$1,"dd-MMM-aa"),"")</f>
      </c>
      <c r="DD328" s="496" t="str">
        <f> IF(DD348&lt;&gt;"",TEXT(AUX!DH$1,"dd-MMM-aa"),"")</f>
      </c>
      <c r="DE328" s="496" t="str">
        <f> IF(DE348&lt;&gt;"",TEXT(AUX!DI$1,"dd-MMM-aa"),"")</f>
      </c>
      <c r="DF328" s="496" t="str">
        <f> IF(DF348&lt;&gt;"",TEXT(AUX!DJ$1,"dd-MMM-aa"),"")</f>
      </c>
      <c r="DG328" s="496" t="str">
        <f> IF(DG348&lt;&gt;"",TEXT(AUX!DK$1,"dd-MMM-aa"),"")</f>
      </c>
      <c r="DH328" s="496" t="str">
        <f> IF(DH348&lt;&gt;"",TEXT(AUX!DL$1,"dd-MMM-aa"),"")</f>
      </c>
      <c r="DI328" s="496" t="str">
        <f> IF(DI348&lt;&gt;"",TEXT(AUX!DM$1,"dd-MMM-aa"),"")</f>
      </c>
      <c r="DJ328" s="496" t="str">
        <f> IF(DJ348&lt;&gt;"",TEXT(AUX!DN$1,"dd-MMM-aa"),"")</f>
      </c>
      <c r="DK328" s="496" t="str">
        <f> IF(DK348&lt;&gt;"",TEXT(AUX!DO$1,"dd-MMM-aa"),"")</f>
      </c>
      <c r="DL328" s="496" t="str">
        <f> IF(DL348&lt;&gt;"",TEXT(AUX!DP$1,"dd-MMM-aa"),"")</f>
      </c>
      <c r="DM328" s="496" t="str">
        <f> IF(DM348&lt;&gt;"",TEXT(AUX!DQ$1,"dd-MMM-aa"),"")</f>
      </c>
      <c r="DN328" s="496" t="str">
        <f> IF(DN348&lt;&gt;"",TEXT(AUX!DR$1,"dd-MMM-aa"),"")</f>
      </c>
      <c r="DO328" s="496" t="str">
        <f> IF(DO348&lt;&gt;"",TEXT(AUX!DS$1,"dd-MMM-aa"),"")</f>
      </c>
      <c r="DP328" s="496" t="str">
        <f> IF(DP348&lt;&gt;"",TEXT(AUX!DT$1,"dd-MMM-aa"),"")</f>
      </c>
      <c r="DQ328" s="496" t="str">
        <f> IF(DQ348&lt;&gt;"",TEXT(AUX!DU$1,"dd-MMM-aa"),"")</f>
      </c>
      <c r="DR328" s="496" t="str">
        <f> IF(DR348&lt;&gt;"",TEXT(AUX!DV$1,"dd-MMM-aa"),"")</f>
      </c>
      <c r="DS328" s="496" t="str">
        <f> IF(DS348&lt;&gt;"",TEXT(AUX!DW$1,"dd-MMM-aa"),"")</f>
      </c>
      <c r="DT328" s="496" t="str">
        <f> IF(DT348&lt;&gt;"",TEXT(AUX!DX$1,"dd-MMM-aa"),"")</f>
      </c>
      <c r="DU328" s="496" t="str">
        <f> IF(DU348&lt;&gt;"",TEXT(AUX!DY$1,"dd-MMM-aa"),"")</f>
      </c>
      <c r="DV328" s="496" t="str">
        <f> IF(DV348&lt;&gt;"",TEXT(AUX!DZ$1,"dd-MMM-aa"),"")</f>
      </c>
      <c r="DW328" s="496" t="str">
        <f> IF(DW348&lt;&gt;"",TEXT(AUX!EA$1,"dd-MMM-aa"),"")</f>
      </c>
      <c r="DX328" s="496" t="str">
        <f> IF(DX348&lt;&gt;"",TEXT(AUX!EB$1,"dd-MMM-aa"),"")</f>
      </c>
      <c r="DY328" s="496" t="str">
        <f> IF(DY348&lt;&gt;"",TEXT(AUX!EC$1,"dd-MMM-aa"),"")</f>
      </c>
      <c r="DZ328" s="496" t="str">
        <f> IF(DZ348&lt;&gt;"",TEXT(AUX!ED$1,"dd-MMM-aa"),"")</f>
      </c>
      <c r="EA328" s="496" t="str">
        <f> IF(EA348&lt;&gt;"",TEXT(AUX!EE$1,"dd-MMM-aa"),"")</f>
      </c>
      <c r="EB328" s="496" t="str">
        <f> IF(EB348&lt;&gt;"",TEXT(AUX!EF$1,"dd-MMM-aa"),"")</f>
      </c>
      <c r="EC328" s="496" t="str">
        <f> IF(EC348&lt;&gt;"",TEXT(AUX!EG$1,"dd-MMM-aa"),"")</f>
      </c>
      <c r="ED328" s="496" t="str">
        <f> IF(ED348&lt;&gt;"",TEXT(AUX!EH$1,"dd-MMM-aa"),"")</f>
      </c>
      <c r="EE328" s="496" t="str">
        <f> IF(EE348&lt;&gt;"",TEXT(AUX!EI$1,"dd-MMM-aa"),"")</f>
      </c>
      <c r="EF328" s="496" t="str">
        <f> IF(EF348&lt;&gt;"",TEXT(AUX!EJ$1,"dd-MMM-aa"),"")</f>
      </c>
      <c r="EG328" s="496" t="str">
        <f> IF(EG348&lt;&gt;"",TEXT(AUX!EK$1,"dd-MMM-aa"),"")</f>
      </c>
      <c r="EH328" s="496" t="str">
        <f> IF(EH348&lt;&gt;"",TEXT(AUX!EL$1,"dd-MMM-aa"),"")</f>
      </c>
      <c r="EI328" s="496" t="str">
        <f> IF(EI348&lt;&gt;"",TEXT(AUX!EM$1,"dd-MMM-aa"),"")</f>
      </c>
      <c r="EJ328" s="496" t="str">
        <f> IF(EJ348&lt;&gt;"",TEXT(AUX!EN$1,"dd-MMM-aa"),"")</f>
      </c>
      <c r="EK328" s="496" t="str">
        <f> IF(EK348&lt;&gt;"",TEXT(AUX!EO$1,"dd-MMM-aa"),"")</f>
      </c>
      <c r="EL328" s="496" t="str">
        <f> IF(EL348&lt;&gt;"",TEXT(AUX!EP$1,"dd-MMM-aa"),"")</f>
      </c>
      <c r="EM328" s="496" t="str">
        <f> IF(EM348&lt;&gt;"",TEXT(AUX!EQ$1,"dd-MMM-aa"),"")</f>
      </c>
      <c r="EN328" s="496" t="str">
        <f> IF(EN348&lt;&gt;"",TEXT(AUX!ER$1,"dd-MMM-aa"),"")</f>
      </c>
      <c r="EO328" s="496" t="str">
        <f> IF(EO348&lt;&gt;"",TEXT(AUX!ES$1,"dd-MMM-aa"),"")</f>
      </c>
      <c r="EP328" s="496" t="str">
        <f> IF(EP348&lt;&gt;"",TEXT(AUX!ET$1,"dd-MMM-aa"),"")</f>
      </c>
      <c r="EQ328" s="496" t="str">
        <f> IF(EQ348&lt;&gt;"",TEXT(AUX!EU$1,"dd-MMM-aa"),"")</f>
      </c>
      <c r="ER328" s="496" t="str">
        <f> IF(ER348&lt;&gt;"",TEXT(AUX!EV$1,"dd-MMM-aa"),"")</f>
      </c>
      <c r="ES328" s="496" t="str">
        <f> IF(ES348&lt;&gt;"",TEXT(AUX!EW$1,"dd-MMM-aa"),"")</f>
      </c>
      <c r="ET328" s="496" t="str">
        <f> IF(ET348&lt;&gt;"",TEXT(AUX!EX$1,"dd-MMM-aa"),"")</f>
      </c>
      <c r="EU328" s="496" t="str">
        <f> IF(EU348&lt;&gt;"",TEXT(AUX!EY$1,"dd-MMM-aa"),"")</f>
      </c>
      <c r="EV328" s="496" t="str">
        <f> IF(EV348&lt;&gt;"",TEXT(AUX!EZ$1,"dd-MMM-aa"),"")</f>
      </c>
      <c r="EW328" s="496" t="str">
        <f> IF(EW348&lt;&gt;"",TEXT(AUX!FA$1,"dd-MMM-aa"),"")</f>
      </c>
      <c r="EX328" s="496" t="str">
        <f> IF(EX348&lt;&gt;"",TEXT(AUX!FB$1,"dd-MMM-aa"),"")</f>
      </c>
      <c r="EY328" s="496" t="str">
        <f> IF(EY348&lt;&gt;"",TEXT(AUX!FC$1,"dd-MMM-aa"),"")</f>
      </c>
      <c r="EZ328" s="496" t="str">
        <f> IF(EZ348&lt;&gt;"",TEXT(AUX!FD$1,"dd-MMM-aa"),"")</f>
      </c>
      <c r="FA328" s="496" t="str">
        <f> IF(FA348&lt;&gt;"",TEXT(AUX!FE$1,"dd-MMM-aa"),"")</f>
      </c>
      <c r="FB328" s="496" t="str">
        <f> IF(FB348&lt;&gt;"",TEXT(AUX!FF$1,"dd-MMM-aa"),"")</f>
      </c>
      <c r="FC328" s="496" t="str">
        <f> IF(FC348&lt;&gt;"",TEXT(AUX!FG$1,"dd-MMM-aa"),"")</f>
      </c>
      <c r="FD328" s="496" t="str">
        <f> IF(FD348&lt;&gt;"",TEXT(AUX!FH$1,"dd-MMM-aa"),"")</f>
      </c>
      <c r="FE328" s="496" t="str">
        <f> IF(FE348&lt;&gt;"",TEXT(AUX!FI$1,"dd-MMM-aa"),"")</f>
      </c>
      <c r="FF328" s="496" t="str">
        <f> IF(FF348&lt;&gt;"",TEXT(AUX!FJ$1,"dd-MMM-aa"),"")</f>
      </c>
      <c r="FG328" s="496" t="str">
        <f> IF(FG348&lt;&gt;"",TEXT(AUX!FK$1,"dd-MMM-aa"),"")</f>
      </c>
      <c r="FH328" s="496" t="str">
        <f> IF(FH348&lt;&gt;"",TEXT(AUX!FL$1,"dd-MMM-aa"),"")</f>
      </c>
      <c r="FI328" s="496" t="str">
        <f> IF(FI348&lt;&gt;"",TEXT(AUX!FM$1,"dd-MMM-aa"),"")</f>
      </c>
      <c r="FJ328" s="496" t="str">
        <f> IF(FJ348&lt;&gt;"",TEXT(AUX!FN$1,"dd-MMM-aa"),"")</f>
      </c>
      <c r="FK328" s="496" t="str">
        <f> IF(FK348&lt;&gt;"",TEXT(AUX!FO$1,"dd-MMM-aa"),"")</f>
      </c>
      <c r="FL328" s="496" t="str">
        <f> IF(FL348&lt;&gt;"",TEXT(AUX!FP$1,"dd-MMM-aa"),"")</f>
      </c>
      <c r="FM328" s="496" t="str">
        <f> IF(FM348&lt;&gt;"",TEXT(AUX!FQ$1,"dd-MMM-aa"),"")</f>
      </c>
      <c r="FN328" s="496" t="str">
        <f> IF(FN348&lt;&gt;"",TEXT(AUX!FR$1,"dd-MMM-aa"),"")</f>
      </c>
      <c r="FO328" s="496" t="str">
        <f> IF(FO348&lt;&gt;"",TEXT(AUX!FS$1,"dd-MMM-aa"),"")</f>
      </c>
      <c r="FP328" s="496" t="str">
        <f> IF(FP348&lt;&gt;"",TEXT(AUX!FT$1,"dd-MMM-aa"),"")</f>
      </c>
      <c r="FQ328" s="496" t="str">
        <f> IF(FQ348&lt;&gt;"",TEXT(AUX!FU$1,"dd-MMM-aa"),"")</f>
      </c>
      <c r="FR328" s="496" t="str">
        <f> IF(FR348&lt;&gt;"",TEXT(AUX!FV$1,"dd-MMM-aa"),"")</f>
      </c>
      <c r="FS328" s="496" t="str">
        <f> IF(FS348&lt;&gt;"",TEXT(AUX!FW$1,"dd-MMM-aa"),"")</f>
      </c>
      <c r="FT328" s="496" t="str">
        <f> IF(FT348&lt;&gt;"",TEXT(AUX!FX$1,"dd-MMM-aa"),"")</f>
      </c>
      <c r="FU328" s="496" t="str">
        <f> IF(FU348&lt;&gt;"",TEXT(AUX!FY$1,"dd-MMM-aa"),"")</f>
      </c>
      <c r="FV328" s="496" t="str">
        <f> IF(FV348&lt;&gt;"",TEXT(AUX!FZ$1,"dd-MMM-aa"),"")</f>
      </c>
      <c r="FW328" s="496" t="str">
        <f> IF(FW348&lt;&gt;"",TEXT(AUX!GA$1,"dd-MMM-aa"),"")</f>
      </c>
      <c r="FX328" s="496" t="str">
        <f> IF(FX348&lt;&gt;"",TEXT(AUX!GB$1,"dd-MMM-aa"),"")</f>
      </c>
      <c r="FY328" s="496" t="str">
        <f> IF(FY348&lt;&gt;"",TEXT(AUX!GC$1,"dd-MMM-aa"),"")</f>
      </c>
      <c r="FZ328" s="496" t="str">
        <f> IF(FZ348&lt;&gt;"",TEXT(AUX!GD$1,"dd-MMM-aa"),"")</f>
      </c>
      <c r="GA328" s="496" t="str">
        <f> IF(GA348&lt;&gt;"",TEXT(AUX!GE$1,"dd-MMM-aa"),"")</f>
      </c>
      <c r="GB328" s="496" t="str">
        <f> IF(GB348&lt;&gt;"",TEXT(AUX!GF$1,"dd-MMM-aa"),"")</f>
      </c>
      <c r="GC328" s="496" t="str">
        <f> IF(GC348&lt;&gt;"",TEXT(AUX!GG$1,"dd-MMM-aa"),"")</f>
      </c>
      <c r="GD328" s="496" t="str">
        <f> IF(GD348&lt;&gt;"",TEXT(AUX!GH$1,"dd-MMM-aa"),"")</f>
      </c>
      <c r="GE328" s="496" t="str">
        <f> IF(GE348&lt;&gt;"",TEXT(AUX!GI$1,"dd-MMM-aa"),"")</f>
      </c>
      <c r="GF328" s="496" t="str">
        <f> IF(GF348&lt;&gt;"",TEXT(AUX!GJ$1,"dd-MMM-aa"),"")</f>
      </c>
      <c r="GG328" s="496" t="str">
        <f> IF(GG348&lt;&gt;"",TEXT(AUX!GK$1,"dd-MMM-aa"),"")</f>
      </c>
      <c r="GH328" s="496" t="str">
        <f> IF(GH348&lt;&gt;"",TEXT(AUX!GL$1,"dd-MMM-aa"),"")</f>
      </c>
      <c r="GI328" s="496" t="str">
        <f> IF(GI348&lt;&gt;"",TEXT(AUX!GM$1,"dd-MMM-aa"),"")</f>
      </c>
      <c r="GJ328" s="496" t="str">
        <f> IF(GJ348&lt;&gt;"",TEXT(AUX!GN$1,"dd-MMM-aa"),"")</f>
      </c>
      <c r="GK328" s="496" t="str">
        <f> IF(GK348&lt;&gt;"",TEXT(AUX!GO$1,"dd-MMM-aa"),"")</f>
      </c>
      <c r="GL328" s="496" t="str">
        <f> IF(GL348&lt;&gt;"",TEXT(AUX!GP$1,"dd-MMM-aa"),"")</f>
      </c>
      <c r="GM328" s="496" t="str">
        <f> IF(GM348&lt;&gt;"",TEXT(AUX!GQ$1,"dd-MMM-aa"),"")</f>
      </c>
      <c r="GN328" s="496" t="str">
        <f> IF(GN348&lt;&gt;"",TEXT(AUX!GR$1,"dd-MMM-aa"),"")</f>
      </c>
      <c r="GO328" s="496" t="str">
        <f> IF(GO348&lt;&gt;"",TEXT(AUX!GS$1,"dd-MMM-aa"),"")</f>
      </c>
      <c r="GP328" s="496" t="str">
        <f> IF(GP348&lt;&gt;"",TEXT(AUX!GT$1,"dd-MMM-aa"),"")</f>
      </c>
      <c r="GQ328" s="496" t="str">
        <f> IF(GQ348&lt;&gt;"",TEXT(AUX!GU$1,"dd-MMM-aa"),"")</f>
      </c>
      <c r="GR328" s="496" t="str">
        <f> IF(GR348&lt;&gt;"",TEXT(AUX!GV$1,"dd-MMM-aa"),"")</f>
      </c>
      <c r="GS328" s="496" t="str">
        <f> IF(GS348&lt;&gt;"",TEXT(AUX!GW$1,"dd-MMM-aa"),"")</f>
      </c>
      <c r="GT328" s="496" t="str">
        <f> IF(GT348&lt;&gt;"",TEXT(AUX!GX$1,"dd-MMM-aa"),"")</f>
      </c>
      <c r="GU328" s="496" t="str">
        <f> IF(GU348&lt;&gt;"",TEXT(AUX!GY$1,"dd-MMM-aa"),"")</f>
      </c>
      <c r="GV328" s="496" t="str">
        <f> IF(GV348&lt;&gt;"",TEXT(AUX!GZ$1,"dd-MMM-aa"),"")</f>
      </c>
      <c r="GW328" s="496" t="str">
        <f> IF(GW348&lt;&gt;"",TEXT(AUX!HA$1,"dd-MMM-aa"),"")</f>
      </c>
      <c r="GX328" s="496" t="str">
        <f> IF(GX348&lt;&gt;"",TEXT(AUX!HB$1,"dd-MMM-aa"),"")</f>
      </c>
      <c r="GY328" s="496" t="str">
        <f> IF(GY348&lt;&gt;"",TEXT(AUX!HC$1,"dd-MMM-aa"),"")</f>
      </c>
      <c r="GZ328" s="496" t="str">
        <f> IF(GZ348&lt;&gt;"",TEXT(AUX!HD$1,"dd-MMM-aa"),"")</f>
      </c>
      <c r="HA328" s="496" t="str">
        <f> IF(HA348&lt;&gt;"",TEXT(AUX!HE$1,"dd-MMM-aa"),"")</f>
      </c>
      <c r="HB328" s="496" t="str">
        <f> IF(HB348&lt;&gt;"",TEXT(AUX!HF$1,"dd-MMM-aa"),"")</f>
      </c>
      <c r="HC328" s="496" t="str">
        <f> IF(HC348&lt;&gt;"",TEXT(AUX!HG$1,"dd-MMM-aa"),"")</f>
      </c>
      <c r="HD328" s="496" t="str">
        <f> IF(HD348&lt;&gt;"",TEXT(AUX!HH$1,"dd-MMM-aa"),"")</f>
      </c>
      <c r="HE328" s="496" t="str">
        <f> IF(HE348&lt;&gt;"",TEXT(AUX!HI$1,"dd-MMM-aa"),"")</f>
      </c>
      <c r="HF328" s="496" t="str">
        <f> IF(HF348&lt;&gt;"",TEXT(AUX!HJ$1,"dd-MMM-aa"),"")</f>
      </c>
      <c r="HG328" s="496" t="str">
        <f> IF(HG348&lt;&gt;"",TEXT(AUX!HK$1,"dd-MMM-aa"),"")</f>
      </c>
      <c r="HH328" s="496" t="str">
        <f> IF(HH348&lt;&gt;"",TEXT(AUX!HL$1,"dd-MMM-aa"),"")</f>
      </c>
      <c r="HI328" s="496" t="str">
        <f> IF(HI348&lt;&gt;"",TEXT(AUX!HM$1,"dd-MMM-aa"),"")</f>
      </c>
      <c r="HJ328" s="496" t="str">
        <f> IF(HJ348&lt;&gt;"",TEXT(AUX!HN$1,"dd-MMM-aa"),"")</f>
      </c>
      <c r="HK328" s="496" t="str">
        <f> IF(HK348&lt;&gt;"",TEXT(AUX!HO$1,"dd-MMM-aa"),"")</f>
      </c>
      <c r="HL328" s="496" t="str">
        <f> IF(HL348&lt;&gt;"",TEXT(AUX!HP$1,"dd-MMM-aa"),"")</f>
      </c>
      <c r="HM328" s="496" t="str">
        <f> IF(HM348&lt;&gt;"",TEXT(AUX!HQ$1,"dd-MMM-aa"),"")</f>
      </c>
      <c r="HN328" s="496" t="str">
        <f> IF(HN348&lt;&gt;"",TEXT(AUX!HR$1,"dd-MMM-aa"),"")</f>
      </c>
      <c r="HO328" s="496" t="str">
        <f> IF(HO348&lt;&gt;"",TEXT(AUX!HS$1,"dd-MMM-aa"),"")</f>
      </c>
      <c r="HP328" s="496" t="str">
        <f> IF(HP348&lt;&gt;"",TEXT(AUX!HT$1,"dd-MMM-aa"),"")</f>
      </c>
      <c r="HQ328" s="496" t="str">
        <f> IF(HQ348&lt;&gt;"",TEXT(AUX!HU$1,"dd-MMM-aa"),"")</f>
      </c>
      <c r="HR328" s="496" t="str">
        <f> IF(HR348&lt;&gt;"",TEXT(AUX!HV$1,"dd-MMM-aa"),"")</f>
      </c>
      <c r="HS328" s="496" t="str">
        <f> IF(HS348&lt;&gt;"",TEXT(AUX!HW$1,"dd-MMM-aa"),"")</f>
      </c>
      <c r="HT328" s="496" t="str">
        <f> IF(HT348&lt;&gt;"",TEXT(AUX!HX$1,"dd-MMM-aa"),"")</f>
      </c>
      <c r="HU328" s="496" t="str">
        <f> IF(HU348&lt;&gt;"",TEXT(AUX!HY$1,"dd-MMM-aa"),"")</f>
      </c>
      <c r="HV328" s="496" t="str">
        <f> IF(HV348&lt;&gt;"",TEXT(AUX!HZ$1,"dd-MMM-aa"),"")</f>
      </c>
      <c r="HW328" s="496" t="str">
        <f> IF(HW348&lt;&gt;"",TEXT(AUX!IA$1,"dd-MMM-aa"),"")</f>
      </c>
      <c r="HX328" s="496" t="str">
        <f> IF(HX348&lt;&gt;"",TEXT(AUX!IB$1,"dd-MMM-aa"),"")</f>
      </c>
      <c r="HY328" s="496" t="str">
        <f> IF(HY348&lt;&gt;"",TEXT(AUX!IC$1,"dd-MMM-aa"),"")</f>
      </c>
      <c r="HZ328" s="496" t="str">
        <f> IF(HZ348&lt;&gt;"",TEXT(AUX!ID$1,"dd-MMM-aa"),"")</f>
      </c>
      <c r="IA328" s="496" t="str">
        <f> IF(IA348&lt;&gt;"",TEXT(AUX!IE$1,"dd-MMM-aa"),"")</f>
      </c>
      <c r="IB328" s="496" t="str">
        <f> IF(IB348&lt;&gt;"",TEXT(AUX!IF$1,"dd-MMM-aa"),"")</f>
      </c>
      <c r="IC328" s="496" t="str">
        <f> IF(IC348&lt;&gt;"",TEXT(AUX!IG$1,"dd-MMM-aa"),"")</f>
      </c>
      <c r="ID328" s="496" t="str">
        <f> IF(ID348&lt;&gt;"",TEXT(AUX!IH$1,"dd-MMM-aa"),"")</f>
      </c>
      <c r="IE328" s="496" t="str">
        <f> IF(IE348&lt;&gt;"",TEXT(AUX!II$1,"dd-MMM-aa"),"")</f>
      </c>
      <c r="IF328" s="496" t="str">
        <f> IF(IF348&lt;&gt;"",TEXT(AUX!IJ$1,"dd-MMM-aa"),"")</f>
      </c>
      <c r="IG328" s="496" t="str">
        <f> IF(IG348&lt;&gt;"",TEXT(AUX!IK$1,"dd-MMM-aa"),"")</f>
      </c>
      <c r="IH328" s="496" t="str">
        <f> IF(IH348&lt;&gt;"",TEXT(AUX!IL$1,"dd-MMM-aa"),"")</f>
      </c>
      <c r="II328" s="496" t="str">
        <f> IF(II348&lt;&gt;"",TEXT(AUX!IM$1,"dd-MMM-aa"),"")</f>
      </c>
      <c r="IJ328" s="496" t="str">
        <f> IF(IJ348&lt;&gt;"",TEXT(AUX!IN$1,"dd-MMM-aa"),"")</f>
      </c>
      <c r="IK328" s="496" t="str">
        <f> IF(IK348&lt;&gt;"",TEXT(AUX!IO$1,"dd-MMM-aa"),"")</f>
      </c>
      <c r="IL328" s="496" t="str">
        <f> IF(IL348&lt;&gt;"",TEXT(AUX!IP$1,"dd-MMM-aa"),"")</f>
      </c>
      <c r="IM328" s="496" t="str">
        <f> IF(IM348&lt;&gt;"",TEXT(AUX!IQ$1,"dd-MMM-aa"),"")</f>
      </c>
      <c r="IN328" s="496" t="str">
        <f> IF(IN348&lt;&gt;"",TEXT(AUX!IR$1,"dd-MMM-aa"),"")</f>
      </c>
      <c r="IO328" s="496" t="str">
        <f> IF(IO348&lt;&gt;"",TEXT(AUX!IS$1,"dd-MMM-aa"),"")</f>
      </c>
      <c r="IP328" s="496" t="str">
        <f> IF(IP348&lt;&gt;"",TEXT(AUX!IT$1,"dd-MMM-aa"),"")</f>
      </c>
      <c r="IQ328" s="496" t="str">
        <f> IF(IQ348&lt;&gt;"",TEXT(AUX!IU$1,"dd-MMM-aa"),"")</f>
      </c>
      <c r="IR328" s="496" t="str">
        <f> IF(IR348&lt;&gt;"",TEXT(AUX!IV$1,"dd-MMM-aa"),"")</f>
      </c>
      <c r="IS328" s="496" t="str">
        <f> IF(IS348&lt;&gt;"",TEXT(AUX!#REF!,"dd-MMM-aa"),"")</f>
      </c>
      <c r="IT328" s="496" t="str">
        <f> IF(IT348&lt;&gt;"",TEXT(AUX!#REF!,"dd-MMM-aa"),"")</f>
      </c>
      <c r="IU328" s="496" t="str">
        <f> IF(IU348&lt;&gt;"",TEXT(AUX!#REF!,"dd-MMM-aa"),"")</f>
      </c>
      <c r="IV328" s="496" t="str">
        <f> IF(IV348&lt;&gt;"",TEXT(AUX!#REF!,"dd-MMM-aa"),"")</f>
      </c>
    </row>
    <row r="329" hidden="1">
      <c r="B329" s="833" t="s">
        <v>8</v>
      </c>
      <c r="C329" s="827">
        <v>9</v>
      </c>
      <c r="D329" s="827">
        <v>746</v>
      </c>
      <c r="E329" s="827">
        <v>1540</v>
      </c>
      <c r="F329" s="827">
        <v>1716</v>
      </c>
      <c r="G329" s="827">
        <v>1833</v>
      </c>
      <c r="H329" s="827">
        <v>1859</v>
      </c>
      <c r="I329" s="827">
        <v>1884</v>
      </c>
      <c r="J329" s="827">
        <v>1912</v>
      </c>
      <c r="K329" s="827">
        <v>1969</v>
      </c>
      <c r="L329" s="827">
        <v>2070</v>
      </c>
      <c r="M329" s="827">
        <v>2087</v>
      </c>
      <c r="N329" s="827">
        <v>2105</v>
      </c>
      <c r="O329" s="827">
        <v>1865</v>
      </c>
      <c r="P329" s="827">
        <v>1873</v>
      </c>
      <c r="Q329" s="827">
        <v>1821</v>
      </c>
      <c r="R329" s="827">
        <v>2296</v>
      </c>
      <c r="S329" s="827">
        <v>2314</v>
      </c>
      <c r="T329" s="827">
        <v>2381</v>
      </c>
      <c r="U329" s="827">
        <v>2969</v>
      </c>
      <c r="V329" s="827">
        <v>3379</v>
      </c>
      <c r="W329" s="827">
        <v>3713</v>
      </c>
      <c r="X329" s="827">
        <v>55464</v>
      </c>
      <c r="Y329" s="827">
        <v>54967</v>
      </c>
      <c r="Z329" s="827">
        <v>54942</v>
      </c>
      <c r="AA329" s="827">
        <v>54069</v>
      </c>
      <c r="AB329" s="834">
        <v>53939</v>
      </c>
      <c r="AC329" s="828">
        <v>53634</v>
      </c>
      <c r="AD329" s="828">
        <v>53480</v>
      </c>
      <c r="AE329" s="828">
        <v>53508</v>
      </c>
      <c r="AF329" s="828">
        <v>53504</v>
      </c>
      <c r="AG329" s="828">
        <v>53411</v>
      </c>
      <c r="AH329" s="828">
        <v>53388</v>
      </c>
      <c r="AI329" s="828">
        <v>53226</v>
      </c>
      <c r="AJ329" s="828">
        <v>53102</v>
      </c>
      <c r="AK329" s="828">
        <v>53240</v>
      </c>
      <c r="AL329" s="828">
        <v>47177</v>
      </c>
      <c r="AM329" s="828">
        <v>45858</v>
      </c>
      <c r="AN329" s="828">
        <v>45642</v>
      </c>
      <c r="AO329" s="828">
        <v>45802</v>
      </c>
      <c r="AP329" s="828">
        <v>46120</v>
      </c>
      <c r="AQ329" s="51"/>
      <c r="AR329" s="51"/>
      <c r="AS329" s="51"/>
      <c r="AT329" s="51"/>
      <c r="AU329" s="51"/>
      <c r="AV329" s="51"/>
      <c r="AW329" s="51"/>
      <c r="AX329" s="51"/>
      <c r="AY329" s="51"/>
      <c r="AZ329" s="51"/>
      <c r="BA329" s="51"/>
      <c r="BB329" s="51"/>
      <c r="BC329" s="51"/>
      <c r="BD329" s="51"/>
      <c r="BE329" s="51"/>
      <c r="BF329" s="51"/>
      <c r="BG329" s="51"/>
      <c r="BH329" s="51"/>
      <c r="BI329" s="51"/>
      <c r="BJ329" s="51"/>
      <c r="BK329" s="51"/>
      <c r="BL329" s="51"/>
      <c r="BM329" s="51"/>
      <c r="BN329" s="51"/>
      <c r="BO329" s="51"/>
      <c r="BP329" s="51"/>
      <c r="BQ329" s="51"/>
      <c r="BR329" s="51"/>
      <c r="BS329" s="51"/>
      <c r="BT329" s="51"/>
      <c r="BU329" s="51"/>
      <c r="BV329" s="51"/>
      <c r="BW329" s="51"/>
      <c r="BX329" s="51"/>
      <c r="BY329" s="51"/>
      <c r="BZ329" s="51"/>
      <c r="CA329" s="51"/>
      <c r="CB329" s="51"/>
      <c r="CC329" s="51"/>
      <c r="CD329" s="51"/>
      <c r="CE329" s="51"/>
      <c r="CF329" s="51"/>
      <c r="CG329" s="51"/>
      <c r="CH329" s="51"/>
      <c r="CI329" s="51"/>
      <c r="CJ329" s="51"/>
      <c r="CK329" s="51"/>
      <c r="CL329" s="51"/>
      <c r="CM329" s="51"/>
      <c r="CN329" s="51"/>
      <c r="CO329" s="51"/>
      <c r="CP329" s="51"/>
      <c r="CQ329" s="51"/>
      <c r="CR329" s="51"/>
      <c r="CS329" s="51"/>
      <c r="CT329" s="51"/>
      <c r="CU329" s="51"/>
      <c r="CV329" s="51"/>
      <c r="CW329" s="51"/>
      <c r="CX329" s="51"/>
      <c r="CY329" s="51"/>
      <c r="CZ329" s="51"/>
      <c r="DA329" s="51"/>
      <c r="DB329" s="51"/>
      <c r="DC329" s="51"/>
      <c r="DD329" s="51"/>
      <c r="DE329" s="51"/>
      <c r="DF329" s="51"/>
      <c r="DG329" s="51"/>
      <c r="DH329" s="51"/>
      <c r="DI329" s="51"/>
      <c r="DJ329" s="51"/>
      <c r="DK329" s="51"/>
      <c r="DL329" s="51"/>
      <c r="DM329" s="51"/>
      <c r="DN329" s="51"/>
      <c r="DO329" s="51"/>
      <c r="DP329" s="51"/>
      <c r="DQ329" s="51"/>
      <c r="DR329" s="51"/>
      <c r="DS329" s="51"/>
      <c r="DT329" s="51"/>
      <c r="DU329" s="51"/>
      <c r="DV329" s="51"/>
      <c r="DW329" s="51"/>
      <c r="DX329" s="51"/>
      <c r="DY329" s="51"/>
      <c r="DZ329" s="51"/>
      <c r="EA329" s="51"/>
      <c r="EB329" s="51"/>
      <c r="EC329" s="51"/>
      <c r="ED329" s="51"/>
      <c r="EE329" s="51"/>
      <c r="EF329" s="51"/>
      <c r="EG329" s="51"/>
      <c r="EH329" s="51"/>
      <c r="EI329" s="51"/>
      <c r="EJ329" s="51"/>
      <c r="EK329" s="51"/>
      <c r="EL329" s="51"/>
      <c r="EM329" s="51"/>
      <c r="EN329" s="51"/>
      <c r="EO329" s="51"/>
      <c r="EP329" s="51"/>
      <c r="EQ329" s="51"/>
      <c r="ER329" s="51"/>
      <c r="ES329" s="51"/>
      <c r="ET329" s="51"/>
      <c r="EU329" s="51"/>
      <c r="EV329" s="51"/>
      <c r="EW329" s="51"/>
      <c r="EX329" s="51"/>
      <c r="EY329" s="51"/>
      <c r="EZ329" s="51"/>
      <c r="FA329" s="51"/>
      <c r="FB329" s="51"/>
      <c r="FC329" s="51"/>
      <c r="FD329" s="51"/>
      <c r="FE329" s="51"/>
      <c r="FF329" s="51"/>
      <c r="FG329" s="51"/>
      <c r="FH329" s="51"/>
      <c r="FI329" s="51"/>
      <c r="FJ329" s="51"/>
      <c r="FK329" s="51"/>
      <c r="FL329" s="51"/>
      <c r="FM329" s="51"/>
      <c r="FN329" s="51"/>
      <c r="FO329" s="51"/>
      <c r="FP329" s="51"/>
      <c r="FQ329" s="51"/>
      <c r="FR329" s="51"/>
      <c r="FS329" s="51"/>
      <c r="FT329" s="51"/>
      <c r="FU329" s="51"/>
      <c r="FV329" s="51"/>
      <c r="FW329" s="51"/>
      <c r="FX329" s="51"/>
      <c r="FY329" s="51"/>
      <c r="FZ329" s="51"/>
      <c r="GA329" s="51"/>
      <c r="GB329" s="51"/>
      <c r="GC329" s="51"/>
      <c r="GD329" s="51"/>
      <c r="GE329" s="51"/>
      <c r="GF329" s="51"/>
      <c r="GG329" s="51"/>
      <c r="GH329" s="51"/>
      <c r="GI329" s="51"/>
      <c r="GJ329" s="51"/>
      <c r="GK329" s="51"/>
      <c r="GL329" s="51"/>
      <c r="GM329" s="51"/>
      <c r="GN329" s="51"/>
      <c r="GO329" s="51"/>
      <c r="GP329" s="51"/>
      <c r="GQ329" s="51"/>
      <c r="GR329" s="51"/>
      <c r="GS329" s="51"/>
      <c r="GT329" s="51"/>
      <c r="GU329" s="51"/>
      <c r="GV329" s="51"/>
      <c r="GW329" s="51"/>
      <c r="GX329" s="51"/>
      <c r="GY329" s="51"/>
      <c r="GZ329" s="51"/>
      <c r="HA329" s="51"/>
      <c r="HB329" s="51"/>
      <c r="HC329" s="51"/>
      <c r="HD329" s="51"/>
      <c r="HE329" s="51"/>
      <c r="HF329" s="51"/>
      <c r="HG329" s="51"/>
      <c r="HH329" s="51"/>
      <c r="HI329" s="51"/>
      <c r="HJ329" s="51"/>
      <c r="HK329" s="51"/>
      <c r="HL329" s="51"/>
      <c r="HM329" s="51"/>
      <c r="HN329" s="51"/>
      <c r="HO329" s="51"/>
      <c r="HP329" s="51"/>
      <c r="HQ329" s="51"/>
      <c r="HR329" s="51"/>
      <c r="HS329" s="51"/>
      <c r="HT329" s="51"/>
      <c r="HU329" s="51"/>
      <c r="HV329" s="51"/>
      <c r="HW329" s="51"/>
      <c r="HX329" s="51"/>
      <c r="HY329" s="51"/>
      <c r="HZ329" s="51"/>
      <c r="IA329" s="51"/>
      <c r="IB329" s="51"/>
      <c r="IC329" s="51"/>
      <c r="ID329" s="51"/>
      <c r="IE329" s="51"/>
      <c r="IF329" s="51"/>
      <c r="IG329" s="51"/>
      <c r="IH329" s="51"/>
      <c r="II329" s="51"/>
      <c r="IJ329" s="51"/>
      <c r="IK329" s="51"/>
      <c r="IL329" s="51"/>
      <c r="IM329" s="51"/>
      <c r="IN329" s="51"/>
      <c r="IO329" s="51"/>
      <c r="IP329" s="51"/>
      <c r="IQ329" s="51"/>
      <c r="IR329" s="51"/>
      <c r="IS329" s="51"/>
      <c r="IT329" s="51"/>
      <c r="IU329" s="51"/>
      <c r="IV329" s="51"/>
    </row>
    <row r="330" hidden="1">
      <c r="B330" s="829" t="s">
        <v>9</v>
      </c>
      <c r="C330" s="823">
        <v>143</v>
      </c>
      <c r="D330" s="823">
        <v>152</v>
      </c>
      <c r="E330" s="823">
        <v>180</v>
      </c>
      <c r="F330" s="823">
        <v>191</v>
      </c>
      <c r="G330" s="823">
        <v>193</v>
      </c>
      <c r="H330" s="823">
        <v>194</v>
      </c>
      <c r="I330" s="823">
        <v>199</v>
      </c>
      <c r="J330" s="823">
        <v>203</v>
      </c>
      <c r="K330" s="823">
        <v>333</v>
      </c>
      <c r="L330" s="823">
        <v>344</v>
      </c>
      <c r="M330" s="823">
        <v>348</v>
      </c>
      <c r="N330" s="823">
        <v>352</v>
      </c>
      <c r="O330" s="823">
        <v>788</v>
      </c>
      <c r="P330" s="823">
        <v>869</v>
      </c>
      <c r="Q330" s="823">
        <v>1094</v>
      </c>
      <c r="R330" s="823">
        <v>1286</v>
      </c>
      <c r="S330" s="823">
        <v>1502</v>
      </c>
      <c r="T330" s="823">
        <v>1571</v>
      </c>
      <c r="U330" s="823">
        <v>1657</v>
      </c>
      <c r="V330" s="823">
        <v>1751</v>
      </c>
      <c r="W330" s="823">
        <v>1829</v>
      </c>
      <c r="X330" s="823">
        <v>1924</v>
      </c>
      <c r="Y330" s="823">
        <v>2024</v>
      </c>
      <c r="Z330" s="823">
        <v>2076</v>
      </c>
      <c r="AA330" s="823">
        <v>2128</v>
      </c>
      <c r="AB330" s="823">
        <v>2175</v>
      </c>
      <c r="AC330" s="825">
        <v>2218</v>
      </c>
      <c r="AD330" s="825">
        <v>2281</v>
      </c>
      <c r="AE330" s="825">
        <v>2323</v>
      </c>
      <c r="AF330" s="825">
        <v>2375</v>
      </c>
      <c r="AG330" s="825">
        <v>2445</v>
      </c>
      <c r="AH330" s="825">
        <v>2489</v>
      </c>
      <c r="AI330" s="825">
        <v>2504</v>
      </c>
      <c r="AJ330" s="825">
        <v>2553</v>
      </c>
      <c r="AK330" s="825">
        <v>2606</v>
      </c>
      <c r="AL330" s="825">
        <v>2649</v>
      </c>
      <c r="AM330" s="825">
        <v>2678</v>
      </c>
      <c r="AN330" s="825">
        <v>2706</v>
      </c>
      <c r="AO330" s="825">
        <v>2735</v>
      </c>
      <c r="AP330" s="825">
        <v>2777</v>
      </c>
      <c r="AQ330" s="51"/>
      <c r="AR330" s="51"/>
      <c r="AS330" s="51"/>
      <c r="AT330" s="51"/>
      <c r="AU330" s="51"/>
      <c r="AV330" s="51"/>
      <c r="AW330" s="51"/>
      <c r="AX330" s="51"/>
      <c r="AY330" s="51"/>
      <c r="AZ330" s="51"/>
      <c r="BA330" s="51"/>
      <c r="BB330" s="51"/>
      <c r="BC330" s="51"/>
      <c r="BD330" s="51"/>
      <c r="BE330" s="51"/>
      <c r="BF330" s="51"/>
      <c r="BG330" s="51"/>
      <c r="BH330" s="51"/>
      <c r="BI330" s="51"/>
      <c r="BJ330" s="51"/>
      <c r="BK330" s="51"/>
      <c r="BL330" s="51"/>
      <c r="BM330" s="51"/>
      <c r="BN330" s="51"/>
      <c r="BO330" s="51"/>
      <c r="BP330" s="51"/>
      <c r="BQ330" s="51"/>
      <c r="BR330" s="51"/>
      <c r="BS330" s="51"/>
      <c r="BT330" s="51"/>
      <c r="BU330" s="51"/>
      <c r="BV330" s="51"/>
      <c r="BW330" s="51"/>
      <c r="BX330" s="51"/>
      <c r="BY330" s="51"/>
      <c r="BZ330" s="51"/>
      <c r="CA330" s="51"/>
      <c r="CB330" s="51"/>
      <c r="CC330" s="51"/>
      <c r="CD330" s="51"/>
      <c r="CE330" s="51"/>
      <c r="CF330" s="51"/>
      <c r="CG330" s="51"/>
      <c r="CH330" s="51"/>
      <c r="CI330" s="51"/>
      <c r="CJ330" s="51"/>
      <c r="CK330" s="51"/>
      <c r="CL330" s="51"/>
      <c r="CM330" s="51"/>
      <c r="CN330" s="51"/>
      <c r="CO330" s="51"/>
      <c r="CP330" s="51"/>
      <c r="CQ330" s="51"/>
      <c r="CR330" s="51"/>
      <c r="CS330" s="51"/>
      <c r="CT330" s="51"/>
      <c r="CU330" s="51"/>
      <c r="CV330" s="51"/>
      <c r="CW330" s="51"/>
      <c r="CX330" s="51"/>
      <c r="CY330" s="51"/>
      <c r="CZ330" s="51"/>
      <c r="DA330" s="51"/>
      <c r="DB330" s="51"/>
      <c r="DC330" s="51"/>
      <c r="DD330" s="51"/>
      <c r="DE330" s="51"/>
      <c r="DF330" s="51"/>
      <c r="DG330" s="51"/>
      <c r="DH330" s="51"/>
      <c r="DI330" s="51"/>
      <c r="DJ330" s="51"/>
      <c r="DK330" s="51"/>
      <c r="DL330" s="51"/>
      <c r="DM330" s="51"/>
      <c r="DN330" s="51"/>
      <c r="DO330" s="51"/>
      <c r="DP330" s="51"/>
      <c r="DQ330" s="51"/>
      <c r="DR330" s="51"/>
      <c r="DS330" s="51"/>
      <c r="DT330" s="51"/>
      <c r="DU330" s="51"/>
      <c r="DV330" s="51"/>
      <c r="DW330" s="51"/>
      <c r="DX330" s="51"/>
      <c r="DY330" s="51"/>
      <c r="DZ330" s="51"/>
      <c r="EA330" s="51"/>
      <c r="EB330" s="51"/>
      <c r="EC330" s="51"/>
      <c r="ED330" s="51"/>
      <c r="EE330" s="51"/>
      <c r="EF330" s="51"/>
      <c r="EG330" s="51"/>
      <c r="EH330" s="51"/>
      <c r="EI330" s="51"/>
      <c r="EJ330" s="51"/>
      <c r="EK330" s="51"/>
      <c r="EL330" s="51"/>
      <c r="EM330" s="51"/>
      <c r="EN330" s="51"/>
      <c r="EO330" s="51"/>
      <c r="EP330" s="51"/>
      <c r="EQ330" s="51"/>
      <c r="ER330" s="51"/>
      <c r="ES330" s="51"/>
      <c r="ET330" s="51"/>
      <c r="EU330" s="51"/>
      <c r="EV330" s="51"/>
      <c r="EW330" s="51"/>
      <c r="EX330" s="51"/>
      <c r="EY330" s="51"/>
      <c r="EZ330" s="51"/>
      <c r="FA330" s="51"/>
      <c r="FB330" s="51"/>
      <c r="FC330" s="51"/>
      <c r="FD330" s="51"/>
      <c r="FE330" s="51"/>
      <c r="FF330" s="51"/>
      <c r="FG330" s="51"/>
      <c r="FH330" s="51"/>
      <c r="FI330" s="51"/>
      <c r="FJ330" s="51"/>
      <c r="FK330" s="51"/>
      <c r="FL330" s="51"/>
      <c r="FM330" s="51"/>
      <c r="FN330" s="51"/>
      <c r="FO330" s="51"/>
      <c r="FP330" s="51"/>
      <c r="FQ330" s="51"/>
      <c r="FR330" s="51"/>
      <c r="FS330" s="51"/>
      <c r="FT330" s="51"/>
      <c r="FU330" s="51"/>
      <c r="FV330" s="51"/>
      <c r="FW330" s="51"/>
      <c r="FX330" s="51"/>
      <c r="FY330" s="51"/>
      <c r="FZ330" s="51"/>
      <c r="GA330" s="51"/>
      <c r="GB330" s="51"/>
      <c r="GC330" s="51"/>
      <c r="GD330" s="51"/>
      <c r="GE330" s="51"/>
      <c r="GF330" s="51"/>
      <c r="GG330" s="51"/>
      <c r="GH330" s="51"/>
      <c r="GI330" s="51"/>
      <c r="GJ330" s="51"/>
      <c r="GK330" s="51"/>
      <c r="GL330" s="51"/>
      <c r="GM330" s="51"/>
      <c r="GN330" s="51"/>
      <c r="GO330" s="51"/>
      <c r="GP330" s="51"/>
      <c r="GQ330" s="51"/>
      <c r="GR330" s="51"/>
      <c r="GS330" s="51"/>
      <c r="GT330" s="51"/>
      <c r="GU330" s="51"/>
      <c r="GV330" s="51"/>
      <c r="GW330" s="51"/>
      <c r="GX330" s="51"/>
      <c r="GY330" s="51"/>
      <c r="GZ330" s="51"/>
      <c r="HA330" s="51"/>
      <c r="HB330" s="51"/>
      <c r="HC330" s="51"/>
      <c r="HD330" s="51"/>
      <c r="HE330" s="51"/>
      <c r="HF330" s="51"/>
      <c r="HG330" s="51"/>
      <c r="HH330" s="51"/>
      <c r="HI330" s="51"/>
      <c r="HJ330" s="51"/>
      <c r="HK330" s="51"/>
      <c r="HL330" s="51"/>
      <c r="HM330" s="51"/>
      <c r="HN330" s="51"/>
      <c r="HO330" s="51"/>
      <c r="HP330" s="51"/>
      <c r="HQ330" s="51"/>
      <c r="HR330" s="51"/>
      <c r="HS330" s="51"/>
      <c r="HT330" s="51"/>
      <c r="HU330" s="51"/>
      <c r="HV330" s="51"/>
      <c r="HW330" s="51"/>
      <c r="HX330" s="51"/>
      <c r="HY330" s="51"/>
      <c r="HZ330" s="51"/>
      <c r="IA330" s="51"/>
      <c r="IB330" s="51"/>
      <c r="IC330" s="51"/>
      <c r="ID330" s="51"/>
      <c r="IE330" s="51"/>
      <c r="IF330" s="51"/>
      <c r="IG330" s="51"/>
      <c r="IH330" s="51"/>
      <c r="II330" s="51"/>
      <c r="IJ330" s="51"/>
      <c r="IK330" s="51"/>
      <c r="IL330" s="51"/>
      <c r="IM330" s="51"/>
      <c r="IN330" s="51"/>
      <c r="IO330" s="51"/>
      <c r="IP330" s="51"/>
      <c r="IQ330" s="51"/>
      <c r="IR330" s="51"/>
      <c r="IS330" s="51"/>
      <c r="IT330" s="51"/>
      <c r="IU330" s="51"/>
      <c r="IV330" s="51"/>
    </row>
    <row r="331" hidden="1">
      <c r="B331" s="826" t="s">
        <v>10</v>
      </c>
      <c r="C331" s="827">
        <v>856</v>
      </c>
      <c r="D331" s="827">
        <v>755</v>
      </c>
      <c r="E331" s="827">
        <v>889</v>
      </c>
      <c r="F331" s="827">
        <v>1132</v>
      </c>
      <c r="G331" s="827">
        <v>1326</v>
      </c>
      <c r="H331" s="827">
        <v>1385</v>
      </c>
      <c r="I331" s="827">
        <v>1601</v>
      </c>
      <c r="J331" s="827">
        <v>1685</v>
      </c>
      <c r="K331" s="827">
        <v>153</v>
      </c>
      <c r="L331" s="827">
        <v>283</v>
      </c>
      <c r="M331" s="827">
        <v>345</v>
      </c>
      <c r="N331" s="827">
        <v>552</v>
      </c>
      <c r="O331" s="827">
        <v>314</v>
      </c>
      <c r="P331" s="827">
        <v>273</v>
      </c>
      <c r="Q331" s="827">
        <v>241</v>
      </c>
      <c r="R331" s="827">
        <v>248</v>
      </c>
      <c r="S331" s="827">
        <v>251</v>
      </c>
      <c r="T331" s="827">
        <v>255</v>
      </c>
      <c r="U331" s="827">
        <v>257</v>
      </c>
      <c r="V331" s="827">
        <v>257</v>
      </c>
      <c r="W331" s="827">
        <v>796</v>
      </c>
      <c r="X331" s="827">
        <v>796</v>
      </c>
      <c r="Y331" s="827">
        <v>826</v>
      </c>
      <c r="Z331" s="827">
        <v>268</v>
      </c>
      <c r="AA331" s="827">
        <v>270</v>
      </c>
      <c r="AB331" s="827">
        <v>269</v>
      </c>
      <c r="AC331" s="828">
        <v>271</v>
      </c>
      <c r="AD331" s="828">
        <v>266</v>
      </c>
      <c r="AE331" s="828">
        <v>270</v>
      </c>
      <c r="AF331" s="828">
        <v>271</v>
      </c>
      <c r="AG331" s="828">
        <v>271</v>
      </c>
      <c r="AH331" s="828">
        <v>276</v>
      </c>
      <c r="AI331" s="828">
        <v>280</v>
      </c>
      <c r="AJ331" s="828">
        <v>283</v>
      </c>
      <c r="AK331" s="828">
        <v>524</v>
      </c>
      <c r="AL331" s="828">
        <v>527</v>
      </c>
      <c r="AM331" s="828">
        <v>535</v>
      </c>
      <c r="AN331" s="828">
        <v>536</v>
      </c>
      <c r="AO331" s="828">
        <v>538</v>
      </c>
      <c r="AP331" s="828">
        <v>536</v>
      </c>
      <c r="AQ331" s="51"/>
      <c r="AR331" s="51"/>
      <c r="AS331" s="51"/>
      <c r="AT331" s="51"/>
      <c r="AU331" s="51"/>
      <c r="AV331" s="51"/>
      <c r="AW331" s="51"/>
      <c r="AX331" s="51"/>
      <c r="AY331" s="51"/>
      <c r="AZ331" s="51"/>
      <c r="BA331" s="51"/>
      <c r="BB331" s="51"/>
      <c r="BC331" s="51"/>
      <c r="BD331" s="51"/>
      <c r="BE331" s="51"/>
      <c r="BF331" s="51"/>
      <c r="BG331" s="51"/>
      <c r="BH331" s="51"/>
      <c r="BI331" s="51"/>
      <c r="BJ331" s="51"/>
      <c r="BK331" s="51"/>
      <c r="BL331" s="51"/>
      <c r="BM331" s="51"/>
      <c r="BN331" s="51"/>
      <c r="BO331" s="51"/>
      <c r="BP331" s="51"/>
      <c r="BQ331" s="51"/>
      <c r="BR331" s="51"/>
      <c r="BS331" s="51"/>
      <c r="BT331" s="51"/>
      <c r="BU331" s="51"/>
      <c r="BV331" s="51"/>
      <c r="BW331" s="51"/>
      <c r="BX331" s="51"/>
      <c r="BY331" s="51"/>
      <c r="BZ331" s="51"/>
      <c r="CA331" s="51"/>
      <c r="CB331" s="51"/>
      <c r="CC331" s="51"/>
      <c r="CD331" s="51"/>
      <c r="CE331" s="51"/>
      <c r="CF331" s="51"/>
      <c r="CG331" s="51"/>
      <c r="CH331" s="51"/>
      <c r="CI331" s="51"/>
      <c r="CJ331" s="51"/>
      <c r="CK331" s="51"/>
      <c r="CL331" s="51"/>
      <c r="CM331" s="51"/>
      <c r="CN331" s="51"/>
      <c r="CO331" s="51"/>
      <c r="CP331" s="51"/>
      <c r="CQ331" s="51"/>
      <c r="CR331" s="51"/>
      <c r="CS331" s="51"/>
      <c r="CT331" s="51"/>
      <c r="CU331" s="51"/>
      <c r="CV331" s="51"/>
      <c r="CW331" s="51"/>
      <c r="CX331" s="51"/>
      <c r="CY331" s="51"/>
      <c r="CZ331" s="51"/>
      <c r="DA331" s="51"/>
      <c r="DB331" s="51"/>
      <c r="DC331" s="51"/>
      <c r="DD331" s="51"/>
      <c r="DE331" s="51"/>
      <c r="DF331" s="51"/>
      <c r="DG331" s="51"/>
      <c r="DH331" s="51"/>
      <c r="DI331" s="51"/>
      <c r="DJ331" s="51"/>
      <c r="DK331" s="51"/>
      <c r="DL331" s="51"/>
      <c r="DM331" s="51"/>
      <c r="DN331" s="51"/>
      <c r="DO331" s="51"/>
      <c r="DP331" s="51"/>
      <c r="DQ331" s="51"/>
      <c r="DR331" s="51"/>
      <c r="DS331" s="51"/>
      <c r="DT331" s="51"/>
      <c r="DU331" s="51"/>
      <c r="DV331" s="51"/>
      <c r="DW331" s="51"/>
      <c r="DX331" s="51"/>
      <c r="DY331" s="51"/>
      <c r="DZ331" s="51"/>
      <c r="EA331" s="51"/>
      <c r="EB331" s="51"/>
      <c r="EC331" s="51"/>
      <c r="ED331" s="51"/>
      <c r="EE331" s="51"/>
      <c r="EF331" s="51"/>
      <c r="EG331" s="51"/>
      <c r="EH331" s="51"/>
      <c r="EI331" s="51"/>
      <c r="EJ331" s="51"/>
      <c r="EK331" s="51"/>
      <c r="EL331" s="51"/>
      <c r="EM331" s="51"/>
      <c r="EN331" s="51"/>
      <c r="EO331" s="51"/>
      <c r="EP331" s="51"/>
      <c r="EQ331" s="51"/>
      <c r="ER331" s="51"/>
      <c r="ES331" s="51"/>
      <c r="ET331" s="51"/>
      <c r="EU331" s="51"/>
      <c r="EV331" s="51"/>
      <c r="EW331" s="51"/>
      <c r="EX331" s="51"/>
      <c r="EY331" s="51"/>
      <c r="EZ331" s="51"/>
      <c r="FA331" s="51"/>
      <c r="FB331" s="51"/>
      <c r="FC331" s="51"/>
      <c r="FD331" s="51"/>
      <c r="FE331" s="51"/>
      <c r="FF331" s="51"/>
      <c r="FG331" s="51"/>
      <c r="FH331" s="51"/>
      <c r="FI331" s="51"/>
      <c r="FJ331" s="51"/>
      <c r="FK331" s="51"/>
      <c r="FL331" s="51"/>
      <c r="FM331" s="51"/>
      <c r="FN331" s="51"/>
      <c r="FO331" s="51"/>
      <c r="FP331" s="51"/>
      <c r="FQ331" s="51"/>
      <c r="FR331" s="51"/>
      <c r="FS331" s="51"/>
      <c r="FT331" s="51"/>
      <c r="FU331" s="51"/>
      <c r="FV331" s="51"/>
      <c r="FW331" s="51"/>
      <c r="FX331" s="51"/>
      <c r="FY331" s="51"/>
      <c r="FZ331" s="51"/>
      <c r="GA331" s="51"/>
      <c r="GB331" s="51"/>
      <c r="GC331" s="51"/>
      <c r="GD331" s="51"/>
      <c r="GE331" s="51"/>
      <c r="GF331" s="51"/>
      <c r="GG331" s="51"/>
      <c r="GH331" s="51"/>
      <c r="GI331" s="51"/>
      <c r="GJ331" s="51"/>
      <c r="GK331" s="51"/>
      <c r="GL331" s="51"/>
      <c r="GM331" s="51"/>
      <c r="GN331" s="51"/>
      <c r="GO331" s="51"/>
      <c r="GP331" s="51"/>
      <c r="GQ331" s="51"/>
      <c r="GR331" s="51"/>
      <c r="GS331" s="51"/>
      <c r="GT331" s="51"/>
      <c r="GU331" s="51"/>
      <c r="GV331" s="51"/>
      <c r="GW331" s="51"/>
      <c r="GX331" s="51"/>
      <c r="GY331" s="51"/>
      <c r="GZ331" s="51"/>
      <c r="HA331" s="51"/>
      <c r="HB331" s="51"/>
      <c r="HC331" s="51"/>
      <c r="HD331" s="51"/>
      <c r="HE331" s="51"/>
      <c r="HF331" s="51"/>
      <c r="HG331" s="51"/>
      <c r="HH331" s="51"/>
      <c r="HI331" s="51"/>
      <c r="HJ331" s="51"/>
      <c r="HK331" s="51"/>
      <c r="HL331" s="51"/>
      <c r="HM331" s="51"/>
      <c r="HN331" s="51"/>
      <c r="HO331" s="51"/>
      <c r="HP331" s="51"/>
      <c r="HQ331" s="51"/>
      <c r="HR331" s="51"/>
      <c r="HS331" s="51"/>
      <c r="HT331" s="51"/>
      <c r="HU331" s="51"/>
      <c r="HV331" s="51"/>
      <c r="HW331" s="51"/>
      <c r="HX331" s="51"/>
      <c r="HY331" s="51"/>
      <c r="HZ331" s="51"/>
      <c r="IA331" s="51"/>
      <c r="IB331" s="51"/>
      <c r="IC331" s="51"/>
      <c r="ID331" s="51"/>
      <c r="IE331" s="51"/>
      <c r="IF331" s="51"/>
      <c r="IG331" s="51"/>
      <c r="IH331" s="51"/>
      <c r="II331" s="51"/>
      <c r="IJ331" s="51"/>
      <c r="IK331" s="51"/>
      <c r="IL331" s="51"/>
      <c r="IM331" s="51"/>
      <c r="IN331" s="51"/>
      <c r="IO331" s="51"/>
      <c r="IP331" s="51"/>
      <c r="IQ331" s="51"/>
      <c r="IR331" s="51"/>
      <c r="IS331" s="51"/>
      <c r="IT331" s="51"/>
      <c r="IU331" s="51"/>
      <c r="IV331" s="51"/>
    </row>
    <row r="332" hidden="1">
      <c r="B332" s="829" t="s">
        <v>11</v>
      </c>
      <c r="C332" s="823">
        <v>1460</v>
      </c>
      <c r="D332" s="823">
        <v>1421</v>
      </c>
      <c r="E332" s="823">
        <v>1429</v>
      </c>
      <c r="F332" s="823">
        <v>1434</v>
      </c>
      <c r="G332" s="823">
        <v>1341</v>
      </c>
      <c r="H332" s="823">
        <v>1234</v>
      </c>
      <c r="I332" s="823">
        <v>1203</v>
      </c>
      <c r="J332" s="823">
        <v>1186</v>
      </c>
      <c r="K332" s="823">
        <v>1013</v>
      </c>
      <c r="L332" s="823">
        <v>1005</v>
      </c>
      <c r="M332" s="823">
        <v>1028</v>
      </c>
      <c r="N332" s="823">
        <v>1059</v>
      </c>
      <c r="O332" s="823">
        <v>1121</v>
      </c>
      <c r="P332" s="823">
        <v>1726</v>
      </c>
      <c r="Q332" s="823">
        <v>1090</v>
      </c>
      <c r="R332" s="823">
        <v>1100</v>
      </c>
      <c r="S332" s="823">
        <v>1143</v>
      </c>
      <c r="T332" s="823">
        <v>1035</v>
      </c>
      <c r="U332" s="823">
        <v>1091</v>
      </c>
      <c r="V332" s="823">
        <v>1048</v>
      </c>
      <c r="W332" s="823">
        <v>1094</v>
      </c>
      <c r="X332" s="823">
        <v>1008</v>
      </c>
      <c r="Y332" s="823">
        <v>1062</v>
      </c>
      <c r="Z332" s="823">
        <v>1277</v>
      </c>
      <c r="AA332" s="823">
        <v>0</v>
      </c>
      <c r="AB332" s="823">
        <v>1367</v>
      </c>
      <c r="AC332" s="825">
        <v>1483</v>
      </c>
      <c r="AD332" s="825">
        <v>1521</v>
      </c>
      <c r="AE332" s="825">
        <v>1571</v>
      </c>
      <c r="AF332" s="825">
        <v>1658</v>
      </c>
      <c r="AG332" s="825">
        <v>1417</v>
      </c>
      <c r="AH332" s="825">
        <v>1510</v>
      </c>
      <c r="AI332" s="825">
        <v>1595</v>
      </c>
      <c r="AJ332" s="825">
        <v>1664</v>
      </c>
      <c r="AK332" s="825">
        <v>1779</v>
      </c>
      <c r="AL332" s="825">
        <v>1848</v>
      </c>
      <c r="AM332" s="825">
        <v>1959</v>
      </c>
      <c r="AN332" s="825">
        <v>1956</v>
      </c>
      <c r="AO332" s="825">
        <v>2020</v>
      </c>
      <c r="AP332" s="825">
        <v>1878</v>
      </c>
      <c r="AQ332" s="51"/>
      <c r="AR332" s="51"/>
      <c r="AS332" s="51"/>
      <c r="AT332" s="51"/>
      <c r="AU332" s="51"/>
      <c r="AV332" s="51"/>
      <c r="AW332" s="51"/>
      <c r="AX332" s="51"/>
      <c r="AY332" s="51"/>
      <c r="AZ332" s="51"/>
      <c r="BA332" s="51"/>
      <c r="BB332" s="51"/>
      <c r="BC332" s="51"/>
      <c r="BD332" s="51"/>
      <c r="BE332" s="51"/>
      <c r="BF332" s="51"/>
      <c r="BG332" s="51"/>
      <c r="BH332" s="51"/>
      <c r="BI332" s="51"/>
      <c r="BJ332" s="51"/>
      <c r="BK332" s="51"/>
      <c r="BL332" s="51"/>
      <c r="BM332" s="51"/>
      <c r="BN332" s="51"/>
      <c r="BO332" s="51"/>
      <c r="BP332" s="51"/>
      <c r="BQ332" s="51"/>
      <c r="BR332" s="51"/>
      <c r="BS332" s="51"/>
      <c r="BT332" s="51"/>
      <c r="BU332" s="51"/>
      <c r="BV332" s="51"/>
      <c r="BW332" s="51"/>
      <c r="BX332" s="51"/>
      <c r="BY332" s="51"/>
      <c r="BZ332" s="51"/>
      <c r="CA332" s="51"/>
      <c r="CB332" s="51"/>
      <c r="CC332" s="51"/>
      <c r="CD332" s="51"/>
      <c r="CE332" s="51"/>
      <c r="CF332" s="51"/>
      <c r="CG332" s="51"/>
      <c r="CH332" s="51"/>
      <c r="CI332" s="51"/>
      <c r="CJ332" s="51"/>
      <c r="CK332" s="51"/>
      <c r="CL332" s="51"/>
      <c r="CM332" s="51"/>
      <c r="CN332" s="51"/>
      <c r="CO332" s="51"/>
      <c r="CP332" s="51"/>
      <c r="CQ332" s="51"/>
      <c r="CR332" s="51"/>
      <c r="CS332" s="51"/>
      <c r="CT332" s="51"/>
      <c r="CU332" s="51"/>
      <c r="CV332" s="51"/>
      <c r="CW332" s="51"/>
      <c r="CX332" s="51"/>
      <c r="CY332" s="51"/>
      <c r="CZ332" s="51"/>
      <c r="DA332" s="51"/>
      <c r="DB332" s="51"/>
      <c r="DC332" s="51"/>
      <c r="DD332" s="51"/>
      <c r="DE332" s="51"/>
      <c r="DF332" s="51"/>
      <c r="DG332" s="51"/>
      <c r="DH332" s="51"/>
      <c r="DI332" s="51"/>
      <c r="DJ332" s="51"/>
      <c r="DK332" s="51"/>
      <c r="DL332" s="51"/>
      <c r="DM332" s="51"/>
      <c r="DN332" s="51"/>
      <c r="DO332" s="51"/>
      <c r="DP332" s="51"/>
      <c r="DQ332" s="51"/>
      <c r="DR332" s="51"/>
      <c r="DS332" s="51"/>
      <c r="DT332" s="51"/>
      <c r="DU332" s="51"/>
      <c r="DV332" s="51"/>
      <c r="DW332" s="51"/>
      <c r="DX332" s="51"/>
      <c r="DY332" s="51"/>
      <c r="DZ332" s="51"/>
      <c r="EA332" s="51"/>
      <c r="EB332" s="51"/>
      <c r="EC332" s="51"/>
      <c r="ED332" s="51"/>
      <c r="EE332" s="51"/>
      <c r="EF332" s="51"/>
      <c r="EG332" s="51"/>
      <c r="EH332" s="51"/>
      <c r="EI332" s="51"/>
      <c r="EJ332" s="51"/>
      <c r="EK332" s="51"/>
      <c r="EL332" s="51"/>
      <c r="EM332" s="51"/>
      <c r="EN332" s="51"/>
      <c r="EO332" s="51"/>
      <c r="EP332" s="51"/>
      <c r="EQ332" s="51"/>
      <c r="ER332" s="51"/>
      <c r="ES332" s="51"/>
      <c r="ET332" s="51"/>
      <c r="EU332" s="51"/>
      <c r="EV332" s="51"/>
      <c r="EW332" s="51"/>
      <c r="EX332" s="51"/>
      <c r="EY332" s="51"/>
      <c r="EZ332" s="51"/>
      <c r="FA332" s="51"/>
      <c r="FB332" s="51"/>
      <c r="FC332" s="51"/>
      <c r="FD332" s="51"/>
      <c r="FE332" s="51"/>
      <c r="FF332" s="51"/>
      <c r="FG332" s="51"/>
      <c r="FH332" s="51"/>
      <c r="FI332" s="51"/>
      <c r="FJ332" s="51"/>
      <c r="FK332" s="51"/>
      <c r="FL332" s="51"/>
      <c r="FM332" s="51"/>
      <c r="FN332" s="51"/>
      <c r="FO332" s="51"/>
      <c r="FP332" s="51"/>
      <c r="FQ332" s="51"/>
      <c r="FR332" s="51"/>
      <c r="FS332" s="51"/>
      <c r="FT332" s="51"/>
      <c r="FU332" s="51"/>
      <c r="FV332" s="51"/>
      <c r="FW332" s="51"/>
      <c r="FX332" s="51"/>
      <c r="FY332" s="51"/>
      <c r="FZ332" s="51"/>
      <c r="GA332" s="51"/>
      <c r="GB332" s="51"/>
      <c r="GC332" s="51"/>
      <c r="GD332" s="51"/>
      <c r="GE332" s="51"/>
      <c r="GF332" s="51"/>
      <c r="GG332" s="51"/>
      <c r="GH332" s="51"/>
      <c r="GI332" s="51"/>
      <c r="GJ332" s="51"/>
      <c r="GK332" s="51"/>
      <c r="GL332" s="51"/>
      <c r="GM332" s="51"/>
      <c r="GN332" s="51"/>
      <c r="GO332" s="51"/>
      <c r="GP332" s="51"/>
      <c r="GQ332" s="51"/>
      <c r="GR332" s="51"/>
      <c r="GS332" s="51"/>
      <c r="GT332" s="51"/>
      <c r="GU332" s="51"/>
      <c r="GV332" s="51"/>
      <c r="GW332" s="51"/>
      <c r="GX332" s="51"/>
      <c r="GY332" s="51"/>
      <c r="GZ332" s="51"/>
      <c r="HA332" s="51"/>
      <c r="HB332" s="51"/>
      <c r="HC332" s="51"/>
      <c r="HD332" s="51"/>
      <c r="HE332" s="51"/>
      <c r="HF332" s="51"/>
      <c r="HG332" s="51"/>
      <c r="HH332" s="51"/>
      <c r="HI332" s="51"/>
      <c r="HJ332" s="51"/>
      <c r="HK332" s="51"/>
      <c r="HL332" s="51"/>
      <c r="HM332" s="51"/>
      <c r="HN332" s="51"/>
      <c r="HO332" s="51"/>
      <c r="HP332" s="51"/>
      <c r="HQ332" s="51"/>
      <c r="HR332" s="51"/>
      <c r="HS332" s="51"/>
      <c r="HT332" s="51"/>
      <c r="HU332" s="51"/>
      <c r="HV332" s="51"/>
      <c r="HW332" s="51"/>
      <c r="HX332" s="51"/>
      <c r="HY332" s="51"/>
      <c r="HZ332" s="51"/>
      <c r="IA332" s="51"/>
      <c r="IB332" s="51"/>
      <c r="IC332" s="51"/>
      <c r="ID332" s="51"/>
      <c r="IE332" s="51"/>
      <c r="IF332" s="51"/>
      <c r="IG332" s="51"/>
      <c r="IH332" s="51"/>
      <c r="II332" s="51"/>
      <c r="IJ332" s="51"/>
      <c r="IK332" s="51"/>
      <c r="IL332" s="51"/>
      <c r="IM332" s="51"/>
      <c r="IN332" s="51"/>
      <c r="IO332" s="51"/>
      <c r="IP332" s="51"/>
      <c r="IQ332" s="51"/>
      <c r="IR332" s="51"/>
      <c r="IS332" s="51"/>
      <c r="IT332" s="51"/>
      <c r="IU332" s="51"/>
      <c r="IV332" s="51"/>
    </row>
    <row r="333" hidden="1">
      <c r="B333" s="826" t="s">
        <v>12</v>
      </c>
      <c r="C333" s="827">
        <v>1988</v>
      </c>
      <c r="D333" s="827">
        <v>2184</v>
      </c>
      <c r="E333" s="827">
        <v>2255</v>
      </c>
      <c r="F333" s="827">
        <v>2177</v>
      </c>
      <c r="G333" s="827">
        <v>1898</v>
      </c>
      <c r="H333" s="827">
        <v>1822</v>
      </c>
      <c r="I333" s="827">
        <v>1738</v>
      </c>
      <c r="J333" s="827">
        <v>657</v>
      </c>
      <c r="K333" s="827">
        <v>644</v>
      </c>
      <c r="L333" s="827">
        <v>671</v>
      </c>
      <c r="M333" s="827">
        <v>639</v>
      </c>
      <c r="N333" s="827">
        <v>662</v>
      </c>
      <c r="O333" s="827">
        <v>526</v>
      </c>
      <c r="P333" s="827">
        <v>515</v>
      </c>
      <c r="Q333" s="827">
        <v>455</v>
      </c>
      <c r="R333" s="827">
        <v>440</v>
      </c>
      <c r="S333" s="827">
        <v>386</v>
      </c>
      <c r="T333" s="827">
        <v>381</v>
      </c>
      <c r="U333" s="827">
        <v>298</v>
      </c>
      <c r="V333" s="827">
        <v>275</v>
      </c>
      <c r="W333" s="827">
        <v>187</v>
      </c>
      <c r="X333" s="827">
        <v>164</v>
      </c>
      <c r="Y333" s="827">
        <v>37</v>
      </c>
      <c r="Z333" s="827">
        <v>32</v>
      </c>
      <c r="AA333" s="827">
        <v>32</v>
      </c>
      <c r="AB333" s="827">
        <v>48</v>
      </c>
      <c r="AC333" s="828">
        <v>61</v>
      </c>
      <c r="AD333" s="828">
        <v>62</v>
      </c>
      <c r="AE333" s="828">
        <v>76</v>
      </c>
      <c r="AF333" s="828">
        <v>88</v>
      </c>
      <c r="AG333" s="828">
        <v>105</v>
      </c>
      <c r="AH333" s="828">
        <v>115</v>
      </c>
      <c r="AI333" s="828">
        <v>129</v>
      </c>
      <c r="AJ333" s="828">
        <v>146</v>
      </c>
      <c r="AK333" s="828">
        <v>157</v>
      </c>
      <c r="AL333" s="828">
        <v>167</v>
      </c>
      <c r="AM333" s="828">
        <v>174</v>
      </c>
      <c r="AN333" s="828">
        <v>186</v>
      </c>
      <c r="AO333" s="828">
        <v>192</v>
      </c>
      <c r="AP333" s="828">
        <v>204</v>
      </c>
      <c r="AQ333" s="51"/>
      <c r="AR333" s="51"/>
      <c r="AS333" s="51"/>
      <c r="AT333" s="51"/>
      <c r="AU333" s="51"/>
      <c r="AV333" s="51"/>
      <c r="AW333" s="51"/>
      <c r="AX333" s="51"/>
      <c r="AY333" s="51"/>
      <c r="AZ333" s="51"/>
      <c r="BA333" s="51"/>
      <c r="BB333" s="51"/>
      <c r="BC333" s="51"/>
      <c r="BD333" s="51"/>
      <c r="BE333" s="51"/>
      <c r="BF333" s="51"/>
      <c r="BG333" s="51"/>
      <c r="BH333" s="51"/>
      <c r="BI333" s="51"/>
      <c r="BJ333" s="51"/>
      <c r="BK333" s="51"/>
      <c r="BL333" s="51"/>
      <c r="BM333" s="51"/>
      <c r="BN333" s="51"/>
      <c r="BO333" s="51"/>
      <c r="BP333" s="51"/>
      <c r="BQ333" s="51"/>
      <c r="BR333" s="51"/>
      <c r="BS333" s="51"/>
      <c r="BT333" s="51"/>
      <c r="BU333" s="51"/>
      <c r="BV333" s="51"/>
      <c r="BW333" s="51"/>
      <c r="BX333" s="51"/>
      <c r="BY333" s="51"/>
      <c r="BZ333" s="51"/>
      <c r="CA333" s="51"/>
      <c r="CB333" s="51"/>
      <c r="CC333" s="51"/>
      <c r="CD333" s="51"/>
      <c r="CE333" s="51"/>
      <c r="CF333" s="51"/>
      <c r="CG333" s="51"/>
      <c r="CH333" s="51"/>
      <c r="CI333" s="51"/>
      <c r="CJ333" s="51"/>
      <c r="CK333" s="51"/>
      <c r="CL333" s="51"/>
      <c r="CM333" s="51"/>
      <c r="CN333" s="51"/>
      <c r="CO333" s="51"/>
      <c r="CP333" s="51"/>
      <c r="CQ333" s="51"/>
      <c r="CR333" s="51"/>
      <c r="CS333" s="51"/>
      <c r="CT333" s="51"/>
      <c r="CU333" s="51"/>
      <c r="CV333" s="51"/>
      <c r="CW333" s="51"/>
      <c r="CX333" s="51"/>
      <c r="CY333" s="51"/>
      <c r="CZ333" s="51"/>
      <c r="DA333" s="51"/>
      <c r="DB333" s="51"/>
      <c r="DC333" s="51"/>
      <c r="DD333" s="51"/>
      <c r="DE333" s="51"/>
      <c r="DF333" s="51"/>
      <c r="DG333" s="51"/>
      <c r="DH333" s="51"/>
      <c r="DI333" s="51"/>
      <c r="DJ333" s="51"/>
      <c r="DK333" s="51"/>
      <c r="DL333" s="51"/>
      <c r="DM333" s="51"/>
      <c r="DN333" s="51"/>
      <c r="DO333" s="51"/>
      <c r="DP333" s="51"/>
      <c r="DQ333" s="51"/>
      <c r="DR333" s="51"/>
      <c r="DS333" s="51"/>
      <c r="DT333" s="51"/>
      <c r="DU333" s="51"/>
      <c r="DV333" s="51"/>
      <c r="DW333" s="51"/>
      <c r="DX333" s="51"/>
      <c r="DY333" s="51"/>
      <c r="DZ333" s="51"/>
      <c r="EA333" s="51"/>
      <c r="EB333" s="51"/>
      <c r="EC333" s="51"/>
      <c r="ED333" s="51"/>
      <c r="EE333" s="51"/>
      <c r="EF333" s="51"/>
      <c r="EG333" s="51"/>
      <c r="EH333" s="51"/>
      <c r="EI333" s="51"/>
      <c r="EJ333" s="51"/>
      <c r="EK333" s="51"/>
      <c r="EL333" s="51"/>
      <c r="EM333" s="51"/>
      <c r="EN333" s="51"/>
      <c r="EO333" s="51"/>
      <c r="EP333" s="51"/>
      <c r="EQ333" s="51"/>
      <c r="ER333" s="51"/>
      <c r="ES333" s="51"/>
      <c r="ET333" s="51"/>
      <c r="EU333" s="51"/>
      <c r="EV333" s="51"/>
      <c r="EW333" s="51"/>
      <c r="EX333" s="51"/>
      <c r="EY333" s="51"/>
      <c r="EZ333" s="51"/>
      <c r="FA333" s="51"/>
      <c r="FB333" s="51"/>
      <c r="FC333" s="51"/>
      <c r="FD333" s="51"/>
      <c r="FE333" s="51"/>
      <c r="FF333" s="51"/>
      <c r="FG333" s="51"/>
      <c r="FH333" s="51"/>
      <c r="FI333" s="51"/>
      <c r="FJ333" s="51"/>
      <c r="FK333" s="51"/>
      <c r="FL333" s="51"/>
      <c r="FM333" s="51"/>
      <c r="FN333" s="51"/>
      <c r="FO333" s="51"/>
      <c r="FP333" s="51"/>
      <c r="FQ333" s="51"/>
      <c r="FR333" s="51"/>
      <c r="FS333" s="51"/>
      <c r="FT333" s="51"/>
      <c r="FU333" s="51"/>
      <c r="FV333" s="51"/>
      <c r="FW333" s="51"/>
      <c r="FX333" s="51"/>
      <c r="FY333" s="51"/>
      <c r="FZ333" s="51"/>
      <c r="GA333" s="51"/>
      <c r="GB333" s="51"/>
      <c r="GC333" s="51"/>
      <c r="GD333" s="51"/>
      <c r="GE333" s="51"/>
      <c r="GF333" s="51"/>
      <c r="GG333" s="51"/>
      <c r="GH333" s="51"/>
      <c r="GI333" s="51"/>
      <c r="GJ333" s="51"/>
      <c r="GK333" s="51"/>
      <c r="GL333" s="51"/>
      <c r="GM333" s="51"/>
      <c r="GN333" s="51"/>
      <c r="GO333" s="51"/>
      <c r="GP333" s="51"/>
      <c r="GQ333" s="51"/>
      <c r="GR333" s="51"/>
      <c r="GS333" s="51"/>
      <c r="GT333" s="51"/>
      <c r="GU333" s="51"/>
      <c r="GV333" s="51"/>
      <c r="GW333" s="51"/>
      <c r="GX333" s="51"/>
      <c r="GY333" s="51"/>
      <c r="GZ333" s="51"/>
      <c r="HA333" s="51"/>
      <c r="HB333" s="51"/>
      <c r="HC333" s="51"/>
      <c r="HD333" s="51"/>
      <c r="HE333" s="51"/>
      <c r="HF333" s="51"/>
      <c r="HG333" s="51"/>
      <c r="HH333" s="51"/>
      <c r="HI333" s="51"/>
      <c r="HJ333" s="51"/>
      <c r="HK333" s="51"/>
      <c r="HL333" s="51"/>
      <c r="HM333" s="51"/>
      <c r="HN333" s="51"/>
      <c r="HO333" s="51"/>
      <c r="HP333" s="51"/>
      <c r="HQ333" s="51"/>
      <c r="HR333" s="51"/>
      <c r="HS333" s="51"/>
      <c r="HT333" s="51"/>
      <c r="HU333" s="51"/>
      <c r="HV333" s="51"/>
      <c r="HW333" s="51"/>
      <c r="HX333" s="51"/>
      <c r="HY333" s="51"/>
      <c r="HZ333" s="51"/>
      <c r="IA333" s="51"/>
      <c r="IB333" s="51"/>
      <c r="IC333" s="51"/>
      <c r="ID333" s="51"/>
      <c r="IE333" s="51"/>
      <c r="IF333" s="51"/>
      <c r="IG333" s="51"/>
      <c r="IH333" s="51"/>
      <c r="II333" s="51"/>
      <c r="IJ333" s="51"/>
      <c r="IK333" s="51"/>
      <c r="IL333" s="51"/>
      <c r="IM333" s="51"/>
      <c r="IN333" s="51"/>
      <c r="IO333" s="51"/>
      <c r="IP333" s="51"/>
      <c r="IQ333" s="51"/>
      <c r="IR333" s="51"/>
      <c r="IS333" s="51"/>
      <c r="IT333" s="51"/>
      <c r="IU333" s="51"/>
      <c r="IV333" s="51"/>
    </row>
    <row r="334" hidden="1">
      <c r="B334" s="829" t="s">
        <v>13</v>
      </c>
      <c r="C334" s="823">
        <v>8242</v>
      </c>
      <c r="D334" s="823">
        <v>4365</v>
      </c>
      <c r="E334" s="823">
        <v>27</v>
      </c>
      <c r="F334" s="823">
        <v>449</v>
      </c>
      <c r="G334" s="823">
        <v>688</v>
      </c>
      <c r="H334" s="823">
        <v>680</v>
      </c>
      <c r="I334" s="823">
        <v>798</v>
      </c>
      <c r="J334" s="823">
        <v>828</v>
      </c>
      <c r="K334" s="823">
        <v>1144</v>
      </c>
      <c r="L334" s="823">
        <v>1162</v>
      </c>
      <c r="M334" s="823">
        <v>1181</v>
      </c>
      <c r="N334" s="823">
        <v>1194</v>
      </c>
      <c r="O334" s="823">
        <v>1199</v>
      </c>
      <c r="P334" s="823">
        <v>1200</v>
      </c>
      <c r="Q334" s="823">
        <v>1186</v>
      </c>
      <c r="R334" s="823">
        <v>1181</v>
      </c>
      <c r="S334" s="823">
        <v>1171</v>
      </c>
      <c r="T334" s="823">
        <v>1173</v>
      </c>
      <c r="U334" s="823">
        <v>1184</v>
      </c>
      <c r="V334" s="823">
        <v>1216</v>
      </c>
      <c r="W334" s="823">
        <v>1276</v>
      </c>
      <c r="X334" s="823">
        <v>1306</v>
      </c>
      <c r="Y334" s="823">
        <v>1311</v>
      </c>
      <c r="Z334" s="823">
        <v>1657</v>
      </c>
      <c r="AA334" s="823">
        <v>1716</v>
      </c>
      <c r="AB334" s="823">
        <v>1691</v>
      </c>
      <c r="AC334" s="825">
        <v>1726</v>
      </c>
      <c r="AD334" s="825">
        <v>1743</v>
      </c>
      <c r="AE334" s="825">
        <v>1763</v>
      </c>
      <c r="AF334" s="825">
        <v>1744</v>
      </c>
      <c r="AG334" s="825">
        <v>1753</v>
      </c>
      <c r="AH334" s="825">
        <v>1766</v>
      </c>
      <c r="AI334" s="825">
        <v>1775</v>
      </c>
      <c r="AJ334" s="825">
        <v>1776</v>
      </c>
      <c r="AK334" s="825">
        <v>1818</v>
      </c>
      <c r="AL334" s="825">
        <v>1849</v>
      </c>
      <c r="AM334" s="825">
        <v>1913</v>
      </c>
      <c r="AN334" s="825">
        <v>1935</v>
      </c>
      <c r="AO334" s="825">
        <v>1937</v>
      </c>
      <c r="AP334" s="825">
        <v>1924</v>
      </c>
      <c r="AQ334" s="51"/>
      <c r="AR334" s="51"/>
      <c r="AS334" s="51"/>
      <c r="AT334" s="51"/>
      <c r="AU334" s="51"/>
      <c r="AV334" s="51"/>
      <c r="AW334" s="51"/>
      <c r="AX334" s="51"/>
      <c r="AY334" s="51"/>
      <c r="AZ334" s="51"/>
      <c r="BA334" s="51"/>
      <c r="BB334" s="51"/>
      <c r="BC334" s="51"/>
      <c r="BD334" s="51"/>
      <c r="BE334" s="51"/>
      <c r="BF334" s="51"/>
      <c r="BG334" s="51"/>
      <c r="BH334" s="51"/>
      <c r="BI334" s="51"/>
      <c r="BJ334" s="51"/>
      <c r="BK334" s="51"/>
      <c r="BL334" s="51"/>
      <c r="BM334" s="51"/>
      <c r="BN334" s="51"/>
      <c r="BO334" s="51"/>
      <c r="BP334" s="51"/>
      <c r="BQ334" s="51"/>
      <c r="BR334" s="51"/>
      <c r="BS334" s="51"/>
      <c r="BT334" s="51"/>
      <c r="BU334" s="51"/>
      <c r="BV334" s="51"/>
      <c r="BW334" s="51"/>
      <c r="BX334" s="51"/>
      <c r="BY334" s="51"/>
      <c r="BZ334" s="51"/>
      <c r="CA334" s="51"/>
      <c r="CB334" s="51"/>
      <c r="CC334" s="51"/>
      <c r="CD334" s="51"/>
      <c r="CE334" s="51"/>
      <c r="CF334" s="51"/>
      <c r="CG334" s="51"/>
      <c r="CH334" s="51"/>
      <c r="CI334" s="51"/>
      <c r="CJ334" s="51"/>
      <c r="CK334" s="51"/>
      <c r="CL334" s="51"/>
      <c r="CM334" s="51"/>
      <c r="CN334" s="51"/>
      <c r="CO334" s="51"/>
      <c r="CP334" s="51"/>
      <c r="CQ334" s="51"/>
      <c r="CR334" s="51"/>
      <c r="CS334" s="51"/>
      <c r="CT334" s="51"/>
      <c r="CU334" s="51"/>
      <c r="CV334" s="51"/>
      <c r="CW334" s="51"/>
      <c r="CX334" s="51"/>
      <c r="CY334" s="51"/>
      <c r="CZ334" s="51"/>
      <c r="DA334" s="51"/>
      <c r="DB334" s="51"/>
      <c r="DC334" s="51"/>
      <c r="DD334" s="51"/>
      <c r="DE334" s="51"/>
      <c r="DF334" s="51"/>
      <c r="DG334" s="51"/>
      <c r="DH334" s="51"/>
      <c r="DI334" s="51"/>
      <c r="DJ334" s="51"/>
      <c r="DK334" s="51"/>
      <c r="DL334" s="51"/>
      <c r="DM334" s="51"/>
      <c r="DN334" s="51"/>
      <c r="DO334" s="51"/>
      <c r="DP334" s="51"/>
      <c r="DQ334" s="51"/>
      <c r="DR334" s="51"/>
      <c r="DS334" s="51"/>
      <c r="DT334" s="51"/>
      <c r="DU334" s="51"/>
      <c r="DV334" s="51"/>
      <c r="DW334" s="51"/>
      <c r="DX334" s="51"/>
      <c r="DY334" s="51"/>
      <c r="DZ334" s="51"/>
      <c r="EA334" s="51"/>
      <c r="EB334" s="51"/>
      <c r="EC334" s="51"/>
      <c r="ED334" s="51"/>
      <c r="EE334" s="51"/>
      <c r="EF334" s="51"/>
      <c r="EG334" s="51"/>
      <c r="EH334" s="51"/>
      <c r="EI334" s="51"/>
      <c r="EJ334" s="51"/>
      <c r="EK334" s="51"/>
      <c r="EL334" s="51"/>
      <c r="EM334" s="51"/>
      <c r="EN334" s="51"/>
      <c r="EO334" s="51"/>
      <c r="EP334" s="51"/>
      <c r="EQ334" s="51"/>
      <c r="ER334" s="51"/>
      <c r="ES334" s="51"/>
      <c r="ET334" s="51"/>
      <c r="EU334" s="51"/>
      <c r="EV334" s="51"/>
      <c r="EW334" s="51"/>
      <c r="EX334" s="51"/>
      <c r="EY334" s="51"/>
      <c r="EZ334" s="51"/>
      <c r="FA334" s="51"/>
      <c r="FB334" s="51"/>
      <c r="FC334" s="51"/>
      <c r="FD334" s="51"/>
      <c r="FE334" s="51"/>
      <c r="FF334" s="51"/>
      <c r="FG334" s="51"/>
      <c r="FH334" s="51"/>
      <c r="FI334" s="51"/>
      <c r="FJ334" s="51"/>
      <c r="FK334" s="51"/>
      <c r="FL334" s="51"/>
      <c r="FM334" s="51"/>
      <c r="FN334" s="51"/>
      <c r="FO334" s="51"/>
      <c r="FP334" s="51"/>
      <c r="FQ334" s="51"/>
      <c r="FR334" s="51"/>
      <c r="FS334" s="51"/>
      <c r="FT334" s="51"/>
      <c r="FU334" s="51"/>
      <c r="FV334" s="51"/>
      <c r="FW334" s="51"/>
      <c r="FX334" s="51"/>
      <c r="FY334" s="51"/>
      <c r="FZ334" s="51"/>
      <c r="GA334" s="51"/>
      <c r="GB334" s="51"/>
      <c r="GC334" s="51"/>
      <c r="GD334" s="51"/>
      <c r="GE334" s="51"/>
      <c r="GF334" s="51"/>
      <c r="GG334" s="51"/>
      <c r="GH334" s="51"/>
      <c r="GI334" s="51"/>
      <c r="GJ334" s="51"/>
      <c r="GK334" s="51"/>
      <c r="GL334" s="51"/>
      <c r="GM334" s="51"/>
      <c r="GN334" s="51"/>
      <c r="GO334" s="51"/>
      <c r="GP334" s="51"/>
      <c r="GQ334" s="51"/>
      <c r="GR334" s="51"/>
      <c r="GS334" s="51"/>
      <c r="GT334" s="51"/>
      <c r="GU334" s="51"/>
      <c r="GV334" s="51"/>
      <c r="GW334" s="51"/>
      <c r="GX334" s="51"/>
      <c r="GY334" s="51"/>
      <c r="GZ334" s="51"/>
      <c r="HA334" s="51"/>
      <c r="HB334" s="51"/>
      <c r="HC334" s="51"/>
      <c r="HD334" s="51"/>
      <c r="HE334" s="51"/>
      <c r="HF334" s="51"/>
      <c r="HG334" s="51"/>
      <c r="HH334" s="51"/>
      <c r="HI334" s="51"/>
      <c r="HJ334" s="51"/>
      <c r="HK334" s="51"/>
      <c r="HL334" s="51"/>
      <c r="HM334" s="51"/>
      <c r="HN334" s="51"/>
      <c r="HO334" s="51"/>
      <c r="HP334" s="51"/>
      <c r="HQ334" s="51"/>
      <c r="HR334" s="51"/>
      <c r="HS334" s="51"/>
      <c r="HT334" s="51"/>
      <c r="HU334" s="51"/>
      <c r="HV334" s="51"/>
      <c r="HW334" s="51"/>
      <c r="HX334" s="51"/>
      <c r="HY334" s="51"/>
      <c r="HZ334" s="51"/>
      <c r="IA334" s="51"/>
      <c r="IB334" s="51"/>
      <c r="IC334" s="51"/>
      <c r="ID334" s="51"/>
      <c r="IE334" s="51"/>
      <c r="IF334" s="51"/>
      <c r="IG334" s="51"/>
      <c r="IH334" s="51"/>
      <c r="II334" s="51"/>
      <c r="IJ334" s="51"/>
      <c r="IK334" s="51"/>
      <c r="IL334" s="51"/>
      <c r="IM334" s="51"/>
      <c r="IN334" s="51"/>
      <c r="IO334" s="51"/>
      <c r="IP334" s="51"/>
      <c r="IQ334" s="51"/>
      <c r="IR334" s="51"/>
      <c r="IS334" s="51"/>
      <c r="IT334" s="51"/>
      <c r="IU334" s="51"/>
      <c r="IV334" s="51"/>
    </row>
    <row r="335" hidden="1">
      <c r="B335" s="826" t="s">
        <v>109</v>
      </c>
      <c r="C335" s="827">
        <v>151</v>
      </c>
      <c r="D335" s="827">
        <v>291</v>
      </c>
      <c r="E335" s="827">
        <v>356</v>
      </c>
      <c r="F335" s="827">
        <v>374</v>
      </c>
      <c r="G335" s="827">
        <v>373</v>
      </c>
      <c r="H335" s="827">
        <v>386</v>
      </c>
      <c r="I335" s="827">
        <v>467</v>
      </c>
      <c r="J335" s="827">
        <v>473</v>
      </c>
      <c r="K335" s="827">
        <v>481</v>
      </c>
      <c r="L335" s="827">
        <v>487</v>
      </c>
      <c r="M335" s="827">
        <v>493</v>
      </c>
      <c r="N335" s="827">
        <v>513</v>
      </c>
      <c r="O335" s="827">
        <v>520</v>
      </c>
      <c r="P335" s="827">
        <v>528</v>
      </c>
      <c r="Q335" s="827">
        <v>535</v>
      </c>
      <c r="R335" s="827">
        <v>538</v>
      </c>
      <c r="S335" s="827">
        <v>544</v>
      </c>
      <c r="T335" s="827">
        <v>544</v>
      </c>
      <c r="U335" s="827">
        <v>537</v>
      </c>
      <c r="V335" s="827">
        <v>542</v>
      </c>
      <c r="W335" s="827">
        <v>543</v>
      </c>
      <c r="X335" s="827">
        <v>546</v>
      </c>
      <c r="Y335" s="827">
        <v>547</v>
      </c>
      <c r="Z335" s="827">
        <v>542</v>
      </c>
      <c r="AA335" s="827">
        <v>534</v>
      </c>
      <c r="AB335" s="827">
        <v>545</v>
      </c>
      <c r="AC335" s="828">
        <v>539</v>
      </c>
      <c r="AD335" s="828">
        <v>541</v>
      </c>
      <c r="AE335" s="828">
        <v>2332</v>
      </c>
      <c r="AF335" s="828">
        <v>846</v>
      </c>
      <c r="AG335" s="828">
        <v>773</v>
      </c>
      <c r="AH335" s="828">
        <v>773</v>
      </c>
      <c r="AI335" s="828">
        <v>785</v>
      </c>
      <c r="AJ335" s="828">
        <v>740</v>
      </c>
      <c r="AK335" s="828">
        <v>748</v>
      </c>
      <c r="AL335" s="828">
        <v>764</v>
      </c>
      <c r="AM335" s="828">
        <v>780</v>
      </c>
      <c r="AN335" s="828">
        <v>979</v>
      </c>
      <c r="AO335" s="828">
        <v>1081</v>
      </c>
      <c r="AP335" s="828">
        <v>863</v>
      </c>
      <c r="AQ335" s="51"/>
      <c r="AR335" s="51"/>
      <c r="AS335" s="51"/>
      <c r="AT335" s="51"/>
      <c r="AU335" s="51"/>
      <c r="AV335" s="51"/>
      <c r="AW335" s="51"/>
      <c r="AX335" s="51"/>
      <c r="AY335" s="51"/>
      <c r="AZ335" s="51"/>
      <c r="BA335" s="51"/>
      <c r="BB335" s="51"/>
      <c r="BC335" s="51"/>
      <c r="BD335" s="51"/>
      <c r="BE335" s="51"/>
      <c r="BF335" s="51"/>
      <c r="BG335" s="51"/>
      <c r="BH335" s="51"/>
      <c r="BI335" s="51"/>
      <c r="BJ335" s="51"/>
      <c r="BK335" s="51"/>
      <c r="BL335" s="51"/>
      <c r="BM335" s="51"/>
      <c r="BN335" s="51"/>
      <c r="BO335" s="51"/>
      <c r="BP335" s="51"/>
      <c r="BQ335" s="51"/>
      <c r="BR335" s="51"/>
      <c r="BS335" s="51"/>
      <c r="BT335" s="51"/>
      <c r="BU335" s="51"/>
      <c r="BV335" s="51"/>
      <c r="BW335" s="51"/>
      <c r="BX335" s="51"/>
      <c r="BY335" s="51"/>
      <c r="BZ335" s="51"/>
      <c r="CA335" s="51"/>
      <c r="CB335" s="51"/>
      <c r="CC335" s="51"/>
      <c r="CD335" s="51"/>
      <c r="CE335" s="51"/>
      <c r="CF335" s="51"/>
      <c r="CG335" s="51"/>
      <c r="CH335" s="51"/>
      <c r="CI335" s="51"/>
      <c r="CJ335" s="51"/>
      <c r="CK335" s="51"/>
      <c r="CL335" s="51"/>
      <c r="CM335" s="51"/>
      <c r="CN335" s="51"/>
      <c r="CO335" s="51"/>
      <c r="CP335" s="51"/>
      <c r="CQ335" s="51"/>
      <c r="CR335" s="51"/>
      <c r="CS335" s="51"/>
      <c r="CT335" s="51"/>
      <c r="CU335" s="51"/>
      <c r="CV335" s="51"/>
      <c r="CW335" s="51"/>
      <c r="CX335" s="51"/>
      <c r="CY335" s="51"/>
      <c r="CZ335" s="51"/>
      <c r="DA335" s="51"/>
      <c r="DB335" s="51"/>
      <c r="DC335" s="51"/>
      <c r="DD335" s="51"/>
      <c r="DE335" s="51"/>
      <c r="DF335" s="51"/>
      <c r="DG335" s="51"/>
      <c r="DH335" s="51"/>
      <c r="DI335" s="51"/>
      <c r="DJ335" s="51"/>
      <c r="DK335" s="51"/>
      <c r="DL335" s="51"/>
      <c r="DM335" s="51"/>
      <c r="DN335" s="51"/>
      <c r="DO335" s="51"/>
      <c r="DP335" s="51"/>
      <c r="DQ335" s="51"/>
      <c r="DR335" s="51"/>
      <c r="DS335" s="51"/>
      <c r="DT335" s="51"/>
      <c r="DU335" s="51"/>
      <c r="DV335" s="51"/>
      <c r="DW335" s="51"/>
      <c r="DX335" s="51"/>
      <c r="DY335" s="51"/>
      <c r="DZ335" s="51"/>
      <c r="EA335" s="51"/>
      <c r="EB335" s="51"/>
      <c r="EC335" s="51"/>
      <c r="ED335" s="51"/>
      <c r="EE335" s="51"/>
      <c r="EF335" s="51"/>
      <c r="EG335" s="51"/>
      <c r="EH335" s="51"/>
      <c r="EI335" s="51"/>
      <c r="EJ335" s="51"/>
      <c r="EK335" s="51"/>
      <c r="EL335" s="51"/>
      <c r="EM335" s="51"/>
      <c r="EN335" s="51"/>
      <c r="EO335" s="51"/>
      <c r="EP335" s="51"/>
      <c r="EQ335" s="51"/>
      <c r="ER335" s="51"/>
      <c r="ES335" s="51"/>
      <c r="ET335" s="51"/>
      <c r="EU335" s="51"/>
      <c r="EV335" s="51"/>
      <c r="EW335" s="51"/>
      <c r="EX335" s="51"/>
      <c r="EY335" s="51"/>
      <c r="EZ335" s="51"/>
      <c r="FA335" s="51"/>
      <c r="FB335" s="51"/>
      <c r="FC335" s="51"/>
      <c r="FD335" s="51"/>
      <c r="FE335" s="51"/>
      <c r="FF335" s="51"/>
      <c r="FG335" s="51"/>
      <c r="FH335" s="51"/>
      <c r="FI335" s="51"/>
      <c r="FJ335" s="51"/>
      <c r="FK335" s="51"/>
      <c r="FL335" s="51"/>
      <c r="FM335" s="51"/>
      <c r="FN335" s="51"/>
      <c r="FO335" s="51"/>
      <c r="FP335" s="51"/>
      <c r="FQ335" s="51"/>
      <c r="FR335" s="51"/>
      <c r="FS335" s="51"/>
      <c r="FT335" s="51"/>
      <c r="FU335" s="51"/>
      <c r="FV335" s="51"/>
      <c r="FW335" s="51"/>
      <c r="FX335" s="51"/>
      <c r="FY335" s="51"/>
      <c r="FZ335" s="51"/>
      <c r="GA335" s="51"/>
      <c r="GB335" s="51"/>
      <c r="GC335" s="51"/>
      <c r="GD335" s="51"/>
      <c r="GE335" s="51"/>
      <c r="GF335" s="51"/>
      <c r="GG335" s="51"/>
      <c r="GH335" s="51"/>
      <c r="GI335" s="51"/>
      <c r="GJ335" s="51"/>
      <c r="GK335" s="51"/>
      <c r="GL335" s="51"/>
      <c r="GM335" s="51"/>
      <c r="GN335" s="51"/>
      <c r="GO335" s="51"/>
      <c r="GP335" s="51"/>
      <c r="GQ335" s="51"/>
      <c r="GR335" s="51"/>
      <c r="GS335" s="51"/>
      <c r="GT335" s="51"/>
      <c r="GU335" s="51"/>
      <c r="GV335" s="51"/>
      <c r="GW335" s="51"/>
      <c r="GX335" s="51"/>
      <c r="GY335" s="51"/>
      <c r="GZ335" s="51"/>
      <c r="HA335" s="51"/>
      <c r="HB335" s="51"/>
      <c r="HC335" s="51"/>
      <c r="HD335" s="51"/>
      <c r="HE335" s="51"/>
      <c r="HF335" s="51"/>
      <c r="HG335" s="51"/>
      <c r="HH335" s="51"/>
      <c r="HI335" s="51"/>
      <c r="HJ335" s="51"/>
      <c r="HK335" s="51"/>
      <c r="HL335" s="51"/>
      <c r="HM335" s="51"/>
      <c r="HN335" s="51"/>
      <c r="HO335" s="51"/>
      <c r="HP335" s="51"/>
      <c r="HQ335" s="51"/>
      <c r="HR335" s="51"/>
      <c r="HS335" s="51"/>
      <c r="HT335" s="51"/>
      <c r="HU335" s="51"/>
      <c r="HV335" s="51"/>
      <c r="HW335" s="51"/>
      <c r="HX335" s="51"/>
      <c r="HY335" s="51"/>
      <c r="HZ335" s="51"/>
      <c r="IA335" s="51"/>
      <c r="IB335" s="51"/>
      <c r="IC335" s="51"/>
      <c r="ID335" s="51"/>
      <c r="IE335" s="51"/>
      <c r="IF335" s="51"/>
      <c r="IG335" s="51"/>
      <c r="IH335" s="51"/>
      <c r="II335" s="51"/>
      <c r="IJ335" s="51"/>
      <c r="IK335" s="51"/>
      <c r="IL335" s="51"/>
      <c r="IM335" s="51"/>
      <c r="IN335" s="51"/>
      <c r="IO335" s="51"/>
      <c r="IP335" s="51"/>
      <c r="IQ335" s="51"/>
      <c r="IR335" s="51"/>
      <c r="IS335" s="51"/>
      <c r="IT335" s="51"/>
      <c r="IU335" s="51"/>
      <c r="IV335" s="51"/>
    </row>
    <row r="336" hidden="1">
      <c r="B336" s="829" t="s">
        <v>110</v>
      </c>
      <c r="C336" s="823">
        <v>6237</v>
      </c>
      <c r="D336" s="823">
        <v>6959</v>
      </c>
      <c r="E336" s="823">
        <v>8192</v>
      </c>
      <c r="F336" s="823">
        <v>9058</v>
      </c>
      <c r="G336" s="823">
        <v>9757</v>
      </c>
      <c r="H336" s="823">
        <v>10301</v>
      </c>
      <c r="I336" s="823">
        <v>10719</v>
      </c>
      <c r="J336" s="823">
        <v>11610</v>
      </c>
      <c r="K336" s="823">
        <v>4082</v>
      </c>
      <c r="L336" s="823">
        <v>4534</v>
      </c>
      <c r="M336" s="823">
        <v>4950</v>
      </c>
      <c r="N336" s="823">
        <v>5561</v>
      </c>
      <c r="O336" s="823">
        <v>6337</v>
      </c>
      <c r="P336" s="823">
        <v>6708</v>
      </c>
      <c r="Q336" s="823">
        <v>6953</v>
      </c>
      <c r="R336" s="823">
        <v>7253</v>
      </c>
      <c r="S336" s="823">
        <v>7719</v>
      </c>
      <c r="T336" s="823">
        <v>7867</v>
      </c>
      <c r="U336" s="823">
        <v>8019</v>
      </c>
      <c r="V336" s="823">
        <v>8211</v>
      </c>
      <c r="W336" s="823">
        <v>8394</v>
      </c>
      <c r="X336" s="823">
        <v>8580</v>
      </c>
      <c r="Y336" s="823">
        <v>8763</v>
      </c>
      <c r="Z336" s="823">
        <v>8962</v>
      </c>
      <c r="AA336" s="823">
        <v>9110</v>
      </c>
      <c r="AB336" s="823">
        <v>9123</v>
      </c>
      <c r="AC336" s="825">
        <v>8722</v>
      </c>
      <c r="AD336" s="825">
        <v>8836</v>
      </c>
      <c r="AE336" s="825">
        <v>8901</v>
      </c>
      <c r="AF336" s="825">
        <v>8972</v>
      </c>
      <c r="AG336" s="825">
        <v>8857</v>
      </c>
      <c r="AH336" s="825">
        <v>8914</v>
      </c>
      <c r="AI336" s="825">
        <v>8966</v>
      </c>
      <c r="AJ336" s="825">
        <v>9035</v>
      </c>
      <c r="AK336" s="825">
        <v>9175</v>
      </c>
      <c r="AL336" s="825">
        <v>9255</v>
      </c>
      <c r="AM336" s="825">
        <v>9370</v>
      </c>
      <c r="AN336" s="825">
        <v>9486</v>
      </c>
      <c r="AO336" s="825">
        <v>9576</v>
      </c>
      <c r="AP336" s="825">
        <v>9654</v>
      </c>
      <c r="AQ336" s="51"/>
      <c r="AR336" s="51"/>
      <c r="AS336" s="51"/>
      <c r="AT336" s="51"/>
      <c r="AU336" s="51"/>
      <c r="AV336" s="51"/>
      <c r="AW336" s="51"/>
      <c r="AX336" s="51"/>
      <c r="AY336" s="51"/>
      <c r="AZ336" s="51"/>
      <c r="BA336" s="51"/>
      <c r="BB336" s="51"/>
      <c r="BC336" s="51"/>
      <c r="BD336" s="51"/>
      <c r="BE336" s="51"/>
      <c r="BF336" s="51"/>
      <c r="BG336" s="51"/>
      <c r="BH336" s="51"/>
      <c r="BI336" s="51"/>
      <c r="BJ336" s="51"/>
      <c r="BK336" s="51"/>
      <c r="BL336" s="51"/>
      <c r="BM336" s="51"/>
      <c r="BN336" s="51"/>
      <c r="BO336" s="51"/>
      <c r="BP336" s="51"/>
      <c r="BQ336" s="51"/>
      <c r="BR336" s="51"/>
      <c r="BS336" s="51"/>
      <c r="BT336" s="51"/>
      <c r="BU336" s="51"/>
      <c r="BV336" s="51"/>
      <c r="BW336" s="51"/>
      <c r="BX336" s="51"/>
      <c r="BY336" s="51"/>
      <c r="BZ336" s="51"/>
      <c r="CA336" s="51"/>
      <c r="CB336" s="51"/>
      <c r="CC336" s="51"/>
      <c r="CD336" s="51"/>
      <c r="CE336" s="51"/>
      <c r="CF336" s="51"/>
      <c r="CG336" s="51"/>
      <c r="CH336" s="51"/>
      <c r="CI336" s="51"/>
      <c r="CJ336" s="51"/>
      <c r="CK336" s="51"/>
      <c r="CL336" s="51"/>
      <c r="CM336" s="51"/>
      <c r="CN336" s="51"/>
      <c r="CO336" s="51"/>
      <c r="CP336" s="51"/>
      <c r="CQ336" s="51"/>
      <c r="CR336" s="51"/>
      <c r="CS336" s="51"/>
      <c r="CT336" s="51"/>
      <c r="CU336" s="51"/>
      <c r="CV336" s="51"/>
      <c r="CW336" s="51"/>
      <c r="CX336" s="51"/>
      <c r="CY336" s="51"/>
      <c r="CZ336" s="51"/>
      <c r="DA336" s="51"/>
      <c r="DB336" s="51"/>
      <c r="DC336" s="51"/>
      <c r="DD336" s="51"/>
      <c r="DE336" s="51"/>
      <c r="DF336" s="51"/>
      <c r="DG336" s="51"/>
      <c r="DH336" s="51"/>
      <c r="DI336" s="51"/>
      <c r="DJ336" s="51"/>
      <c r="DK336" s="51"/>
      <c r="DL336" s="51"/>
      <c r="DM336" s="51"/>
      <c r="DN336" s="51"/>
      <c r="DO336" s="51"/>
      <c r="DP336" s="51"/>
      <c r="DQ336" s="51"/>
      <c r="DR336" s="51"/>
      <c r="DS336" s="51"/>
      <c r="DT336" s="51"/>
      <c r="DU336" s="51"/>
      <c r="DV336" s="51"/>
      <c r="DW336" s="51"/>
      <c r="DX336" s="51"/>
      <c r="DY336" s="51"/>
      <c r="DZ336" s="51"/>
      <c r="EA336" s="51"/>
      <c r="EB336" s="51"/>
      <c r="EC336" s="51"/>
      <c r="ED336" s="51"/>
      <c r="EE336" s="51"/>
      <c r="EF336" s="51"/>
      <c r="EG336" s="51"/>
      <c r="EH336" s="51"/>
      <c r="EI336" s="51"/>
      <c r="EJ336" s="51"/>
      <c r="EK336" s="51"/>
      <c r="EL336" s="51"/>
      <c r="EM336" s="51"/>
      <c r="EN336" s="51"/>
      <c r="EO336" s="51"/>
      <c r="EP336" s="51"/>
      <c r="EQ336" s="51"/>
      <c r="ER336" s="51"/>
      <c r="ES336" s="51"/>
      <c r="ET336" s="51"/>
      <c r="EU336" s="51"/>
      <c r="EV336" s="51"/>
      <c r="EW336" s="51"/>
      <c r="EX336" s="51"/>
      <c r="EY336" s="51"/>
      <c r="EZ336" s="51"/>
      <c r="FA336" s="51"/>
      <c r="FB336" s="51"/>
      <c r="FC336" s="51"/>
      <c r="FD336" s="51"/>
      <c r="FE336" s="51"/>
      <c r="FF336" s="51"/>
      <c r="FG336" s="51"/>
      <c r="FH336" s="51"/>
      <c r="FI336" s="51"/>
      <c r="FJ336" s="51"/>
      <c r="FK336" s="51"/>
      <c r="FL336" s="51"/>
      <c r="FM336" s="51"/>
      <c r="FN336" s="51"/>
      <c r="FO336" s="51"/>
      <c r="FP336" s="51"/>
      <c r="FQ336" s="51"/>
      <c r="FR336" s="51"/>
      <c r="FS336" s="51"/>
      <c r="FT336" s="51"/>
      <c r="FU336" s="51"/>
      <c r="FV336" s="51"/>
      <c r="FW336" s="51"/>
      <c r="FX336" s="51"/>
      <c r="FY336" s="51"/>
      <c r="FZ336" s="51"/>
      <c r="GA336" s="51"/>
      <c r="GB336" s="51"/>
      <c r="GC336" s="51"/>
      <c r="GD336" s="51"/>
      <c r="GE336" s="51"/>
      <c r="GF336" s="51"/>
      <c r="GG336" s="51"/>
      <c r="GH336" s="51"/>
      <c r="GI336" s="51"/>
      <c r="GJ336" s="51"/>
      <c r="GK336" s="51"/>
      <c r="GL336" s="51"/>
      <c r="GM336" s="51"/>
      <c r="GN336" s="51"/>
      <c r="GO336" s="51"/>
      <c r="GP336" s="51"/>
      <c r="GQ336" s="51"/>
      <c r="GR336" s="51"/>
      <c r="GS336" s="51"/>
      <c r="GT336" s="51"/>
      <c r="GU336" s="51"/>
      <c r="GV336" s="51"/>
      <c r="GW336" s="51"/>
      <c r="GX336" s="51"/>
      <c r="GY336" s="51"/>
      <c r="GZ336" s="51"/>
      <c r="HA336" s="51"/>
      <c r="HB336" s="51"/>
      <c r="HC336" s="51"/>
      <c r="HD336" s="51"/>
      <c r="HE336" s="51"/>
      <c r="HF336" s="51"/>
      <c r="HG336" s="51"/>
      <c r="HH336" s="51"/>
      <c r="HI336" s="51"/>
      <c r="HJ336" s="51"/>
      <c r="HK336" s="51"/>
      <c r="HL336" s="51"/>
      <c r="HM336" s="51"/>
      <c r="HN336" s="51"/>
      <c r="HO336" s="51"/>
      <c r="HP336" s="51"/>
      <c r="HQ336" s="51"/>
      <c r="HR336" s="51"/>
      <c r="HS336" s="51"/>
      <c r="HT336" s="51"/>
      <c r="HU336" s="51"/>
      <c r="HV336" s="51"/>
      <c r="HW336" s="51"/>
      <c r="HX336" s="51"/>
      <c r="HY336" s="51"/>
      <c r="HZ336" s="51"/>
      <c r="IA336" s="51"/>
      <c r="IB336" s="51"/>
      <c r="IC336" s="51"/>
      <c r="ID336" s="51"/>
      <c r="IE336" s="51"/>
      <c r="IF336" s="51"/>
      <c r="IG336" s="51"/>
      <c r="IH336" s="51"/>
      <c r="II336" s="51"/>
      <c r="IJ336" s="51"/>
      <c r="IK336" s="51"/>
      <c r="IL336" s="51"/>
      <c r="IM336" s="51"/>
      <c r="IN336" s="51"/>
      <c r="IO336" s="51"/>
      <c r="IP336" s="51"/>
      <c r="IQ336" s="51"/>
      <c r="IR336" s="51"/>
      <c r="IS336" s="51"/>
      <c r="IT336" s="51"/>
      <c r="IU336" s="51"/>
      <c r="IV336" s="51"/>
    </row>
    <row r="337" hidden="1">
      <c r="B337" s="826" t="s">
        <v>16</v>
      </c>
      <c r="C337" s="827">
        <v>602</v>
      </c>
      <c r="D337" s="827">
        <v>2627</v>
      </c>
      <c r="E337" s="827">
        <v>2714</v>
      </c>
      <c r="F337" s="827">
        <v>2757</v>
      </c>
      <c r="G337" s="827">
        <v>919</v>
      </c>
      <c r="H337" s="827">
        <v>904</v>
      </c>
      <c r="I337" s="827">
        <v>863</v>
      </c>
      <c r="J337" s="827">
        <v>860</v>
      </c>
      <c r="K337" s="827">
        <v>842</v>
      </c>
      <c r="L337" s="827">
        <v>839</v>
      </c>
      <c r="M337" s="827">
        <v>815</v>
      </c>
      <c r="N337" s="827">
        <v>807</v>
      </c>
      <c r="O337" s="827">
        <v>811</v>
      </c>
      <c r="P337" s="827">
        <v>838</v>
      </c>
      <c r="Q337" s="827">
        <v>831</v>
      </c>
      <c r="R337" s="827">
        <v>917</v>
      </c>
      <c r="S337" s="827">
        <v>978</v>
      </c>
      <c r="T337" s="827">
        <v>1007</v>
      </c>
      <c r="U337" s="827">
        <v>1080</v>
      </c>
      <c r="V337" s="827">
        <v>1471</v>
      </c>
      <c r="W337" s="827">
        <v>1559</v>
      </c>
      <c r="X337" s="827">
        <v>1664</v>
      </c>
      <c r="Y337" s="827">
        <v>3204</v>
      </c>
      <c r="Z337" s="827">
        <v>3393</v>
      </c>
      <c r="AA337" s="827">
        <v>3562</v>
      </c>
      <c r="AB337" s="827">
        <v>3701</v>
      </c>
      <c r="AC337" s="828">
        <v>3780</v>
      </c>
      <c r="AD337" s="828">
        <v>3833</v>
      </c>
      <c r="AE337" s="828">
        <v>3856</v>
      </c>
      <c r="AF337" s="828">
        <v>4146</v>
      </c>
      <c r="AG337" s="828">
        <v>4448</v>
      </c>
      <c r="AH337" s="828">
        <v>4659</v>
      </c>
      <c r="AI337" s="828">
        <v>4936</v>
      </c>
      <c r="AJ337" s="828">
        <v>5171</v>
      </c>
      <c r="AK337" s="828">
        <v>5403</v>
      </c>
      <c r="AL337" s="828">
        <v>5603</v>
      </c>
      <c r="AM337" s="828">
        <v>5752</v>
      </c>
      <c r="AN337" s="828">
        <v>5941</v>
      </c>
      <c r="AO337" s="828">
        <v>6192</v>
      </c>
      <c r="AP337" s="828">
        <v>6382</v>
      </c>
      <c r="AQ337" s="51"/>
      <c r="AR337" s="51"/>
      <c r="AS337" s="51"/>
      <c r="AT337" s="51"/>
      <c r="AU337" s="51"/>
      <c r="AV337" s="51"/>
      <c r="AW337" s="51"/>
      <c r="AX337" s="51"/>
      <c r="AY337" s="51"/>
      <c r="AZ337" s="51"/>
      <c r="BA337" s="51"/>
      <c r="BB337" s="51"/>
      <c r="BC337" s="51"/>
      <c r="BD337" s="51"/>
      <c r="BE337" s="51"/>
      <c r="BF337" s="51"/>
      <c r="BG337" s="51"/>
      <c r="BH337" s="51"/>
      <c r="BI337" s="51"/>
      <c r="BJ337" s="51"/>
      <c r="BK337" s="51"/>
      <c r="BL337" s="51"/>
      <c r="BM337" s="51"/>
      <c r="BN337" s="51"/>
      <c r="BO337" s="51"/>
      <c r="BP337" s="51"/>
      <c r="BQ337" s="51"/>
      <c r="BR337" s="51"/>
      <c r="BS337" s="51"/>
      <c r="BT337" s="51"/>
      <c r="BU337" s="51"/>
      <c r="BV337" s="51"/>
      <c r="BW337" s="51"/>
      <c r="BX337" s="51"/>
      <c r="BY337" s="51"/>
      <c r="BZ337" s="51"/>
      <c r="CA337" s="51"/>
      <c r="CB337" s="51"/>
      <c r="CC337" s="51"/>
      <c r="CD337" s="51"/>
      <c r="CE337" s="51"/>
      <c r="CF337" s="51"/>
      <c r="CG337" s="51"/>
      <c r="CH337" s="51"/>
      <c r="CI337" s="51"/>
      <c r="CJ337" s="51"/>
      <c r="CK337" s="51"/>
      <c r="CL337" s="51"/>
      <c r="CM337" s="51"/>
      <c r="CN337" s="51"/>
      <c r="CO337" s="51"/>
      <c r="CP337" s="51"/>
      <c r="CQ337" s="51"/>
      <c r="CR337" s="51"/>
      <c r="CS337" s="51"/>
      <c r="CT337" s="51"/>
      <c r="CU337" s="51"/>
      <c r="CV337" s="51"/>
      <c r="CW337" s="51"/>
      <c r="CX337" s="51"/>
      <c r="CY337" s="51"/>
      <c r="CZ337" s="51"/>
      <c r="DA337" s="51"/>
      <c r="DB337" s="51"/>
      <c r="DC337" s="51"/>
      <c r="DD337" s="51"/>
      <c r="DE337" s="51"/>
      <c r="DF337" s="51"/>
      <c r="DG337" s="51"/>
      <c r="DH337" s="51"/>
      <c r="DI337" s="51"/>
      <c r="DJ337" s="51"/>
      <c r="DK337" s="51"/>
      <c r="DL337" s="51"/>
      <c r="DM337" s="51"/>
      <c r="DN337" s="51"/>
      <c r="DO337" s="51"/>
      <c r="DP337" s="51"/>
      <c r="DQ337" s="51"/>
      <c r="DR337" s="51"/>
      <c r="DS337" s="51"/>
      <c r="DT337" s="51"/>
      <c r="DU337" s="51"/>
      <c r="DV337" s="51"/>
      <c r="DW337" s="51"/>
      <c r="DX337" s="51"/>
      <c r="DY337" s="51"/>
      <c r="DZ337" s="51"/>
      <c r="EA337" s="51"/>
      <c r="EB337" s="51"/>
      <c r="EC337" s="51"/>
      <c r="ED337" s="51"/>
      <c r="EE337" s="51"/>
      <c r="EF337" s="51"/>
      <c r="EG337" s="51"/>
      <c r="EH337" s="51"/>
      <c r="EI337" s="51"/>
      <c r="EJ337" s="51"/>
      <c r="EK337" s="51"/>
      <c r="EL337" s="51"/>
      <c r="EM337" s="51"/>
      <c r="EN337" s="51"/>
      <c r="EO337" s="51"/>
      <c r="EP337" s="51"/>
      <c r="EQ337" s="51"/>
      <c r="ER337" s="51"/>
      <c r="ES337" s="51"/>
      <c r="ET337" s="51"/>
      <c r="EU337" s="51"/>
      <c r="EV337" s="51"/>
      <c r="EW337" s="51"/>
      <c r="EX337" s="51"/>
      <c r="EY337" s="51"/>
      <c r="EZ337" s="51"/>
      <c r="FA337" s="51"/>
      <c r="FB337" s="51"/>
      <c r="FC337" s="51"/>
      <c r="FD337" s="51"/>
      <c r="FE337" s="51"/>
      <c r="FF337" s="51"/>
      <c r="FG337" s="51"/>
      <c r="FH337" s="51"/>
      <c r="FI337" s="51"/>
      <c r="FJ337" s="51"/>
      <c r="FK337" s="51"/>
      <c r="FL337" s="51"/>
      <c r="FM337" s="51"/>
      <c r="FN337" s="51"/>
      <c r="FO337" s="51"/>
      <c r="FP337" s="51"/>
      <c r="FQ337" s="51"/>
      <c r="FR337" s="51"/>
      <c r="FS337" s="51"/>
      <c r="FT337" s="51"/>
      <c r="FU337" s="51"/>
      <c r="FV337" s="51"/>
      <c r="FW337" s="51"/>
      <c r="FX337" s="51"/>
      <c r="FY337" s="51"/>
      <c r="FZ337" s="51"/>
      <c r="GA337" s="51"/>
      <c r="GB337" s="51"/>
      <c r="GC337" s="51"/>
      <c r="GD337" s="51"/>
      <c r="GE337" s="51"/>
      <c r="GF337" s="51"/>
      <c r="GG337" s="51"/>
      <c r="GH337" s="51"/>
      <c r="GI337" s="51"/>
      <c r="GJ337" s="51"/>
      <c r="GK337" s="51"/>
      <c r="GL337" s="51"/>
      <c r="GM337" s="51"/>
      <c r="GN337" s="51"/>
      <c r="GO337" s="51"/>
      <c r="GP337" s="51"/>
      <c r="GQ337" s="51"/>
      <c r="GR337" s="51"/>
      <c r="GS337" s="51"/>
      <c r="GT337" s="51"/>
      <c r="GU337" s="51"/>
      <c r="GV337" s="51"/>
      <c r="GW337" s="51"/>
      <c r="GX337" s="51"/>
      <c r="GY337" s="51"/>
      <c r="GZ337" s="51"/>
      <c r="HA337" s="51"/>
      <c r="HB337" s="51"/>
      <c r="HC337" s="51"/>
      <c r="HD337" s="51"/>
      <c r="HE337" s="51"/>
      <c r="HF337" s="51"/>
      <c r="HG337" s="51"/>
      <c r="HH337" s="51"/>
      <c r="HI337" s="51"/>
      <c r="HJ337" s="51"/>
      <c r="HK337" s="51"/>
      <c r="HL337" s="51"/>
      <c r="HM337" s="51"/>
      <c r="HN337" s="51"/>
      <c r="HO337" s="51"/>
      <c r="HP337" s="51"/>
      <c r="HQ337" s="51"/>
      <c r="HR337" s="51"/>
      <c r="HS337" s="51"/>
      <c r="HT337" s="51"/>
      <c r="HU337" s="51"/>
      <c r="HV337" s="51"/>
      <c r="HW337" s="51"/>
      <c r="HX337" s="51"/>
      <c r="HY337" s="51"/>
      <c r="HZ337" s="51"/>
      <c r="IA337" s="51"/>
      <c r="IB337" s="51"/>
      <c r="IC337" s="51"/>
      <c r="ID337" s="51"/>
      <c r="IE337" s="51"/>
      <c r="IF337" s="51"/>
      <c r="IG337" s="51"/>
      <c r="IH337" s="51"/>
      <c r="II337" s="51"/>
      <c r="IJ337" s="51"/>
      <c r="IK337" s="51"/>
      <c r="IL337" s="51"/>
      <c r="IM337" s="51"/>
      <c r="IN337" s="51"/>
      <c r="IO337" s="51"/>
      <c r="IP337" s="51"/>
      <c r="IQ337" s="51"/>
      <c r="IR337" s="51"/>
      <c r="IS337" s="51"/>
      <c r="IT337" s="51"/>
      <c r="IU337" s="51"/>
      <c r="IV337" s="51"/>
    </row>
    <row r="338" hidden="1">
      <c r="B338" s="829" t="s">
        <v>17</v>
      </c>
      <c r="C338" s="823">
        <v>13011</v>
      </c>
      <c r="D338" s="823">
        <v>12768</v>
      </c>
      <c r="E338" s="823">
        <v>12493</v>
      </c>
      <c r="F338" s="823">
        <v>12323</v>
      </c>
      <c r="G338" s="823">
        <v>12094</v>
      </c>
      <c r="H338" s="823">
        <v>11984</v>
      </c>
      <c r="I338" s="823">
        <v>11777</v>
      </c>
      <c r="J338" s="823">
        <v>11645</v>
      </c>
      <c r="K338" s="823">
        <v>11390</v>
      </c>
      <c r="L338" s="823">
        <v>11186</v>
      </c>
      <c r="M338" s="823">
        <v>10941</v>
      </c>
      <c r="N338" s="823">
        <v>10803</v>
      </c>
      <c r="O338" s="823">
        <v>10581</v>
      </c>
      <c r="P338" s="823">
        <v>11306</v>
      </c>
      <c r="Q338" s="823">
        <v>8692</v>
      </c>
      <c r="R338" s="823">
        <v>8551</v>
      </c>
      <c r="S338" s="823">
        <v>8157</v>
      </c>
      <c r="T338" s="823">
        <v>8068</v>
      </c>
      <c r="U338" s="823">
        <v>7852</v>
      </c>
      <c r="V338" s="823">
        <v>7735</v>
      </c>
      <c r="W338" s="823">
        <v>524</v>
      </c>
      <c r="X338" s="823">
        <v>529</v>
      </c>
      <c r="Y338" s="823">
        <v>543</v>
      </c>
      <c r="Z338" s="823">
        <v>500</v>
      </c>
      <c r="AA338" s="823">
        <v>503</v>
      </c>
      <c r="AB338" s="823">
        <v>683</v>
      </c>
      <c r="AC338" s="825">
        <v>682</v>
      </c>
      <c r="AD338" s="825">
        <v>680</v>
      </c>
      <c r="AE338" s="825">
        <v>681</v>
      </c>
      <c r="AF338" s="825">
        <v>680</v>
      </c>
      <c r="AG338" s="825">
        <v>682</v>
      </c>
      <c r="AH338" s="825">
        <v>682</v>
      </c>
      <c r="AI338" s="825">
        <v>684</v>
      </c>
      <c r="AJ338" s="825">
        <v>685</v>
      </c>
      <c r="AK338" s="825">
        <v>688</v>
      </c>
      <c r="AL338" s="825">
        <v>687</v>
      </c>
      <c r="AM338" s="825">
        <v>687</v>
      </c>
      <c r="AN338" s="825">
        <v>689</v>
      </c>
      <c r="AO338" s="825">
        <v>690</v>
      </c>
      <c r="AP338" s="825">
        <v>696</v>
      </c>
      <c r="AQ338" s="51"/>
      <c r="AR338" s="51"/>
      <c r="AS338" s="51"/>
      <c r="AT338" s="51"/>
      <c r="AU338" s="51"/>
      <c r="AV338" s="51"/>
      <c r="AW338" s="51"/>
      <c r="AX338" s="51"/>
      <c r="AY338" s="51"/>
      <c r="AZ338" s="51"/>
      <c r="BA338" s="51"/>
      <c r="BB338" s="51"/>
      <c r="BC338" s="51"/>
      <c r="BD338" s="51"/>
      <c r="BE338" s="51"/>
      <c r="BF338" s="51"/>
      <c r="BG338" s="51"/>
      <c r="BH338" s="51"/>
      <c r="BI338" s="51"/>
      <c r="BJ338" s="51"/>
      <c r="BK338" s="51"/>
      <c r="BL338" s="51"/>
      <c r="BM338" s="51"/>
      <c r="BN338" s="51"/>
      <c r="BO338" s="51"/>
      <c r="BP338" s="51"/>
      <c r="BQ338" s="51"/>
      <c r="BR338" s="51"/>
      <c r="BS338" s="51"/>
      <c r="BT338" s="51"/>
      <c r="BU338" s="51"/>
      <c r="BV338" s="51"/>
      <c r="BW338" s="51"/>
      <c r="BX338" s="51"/>
      <c r="BY338" s="51"/>
      <c r="BZ338" s="51"/>
      <c r="CA338" s="51"/>
      <c r="CB338" s="51"/>
      <c r="CC338" s="51"/>
      <c r="CD338" s="51"/>
      <c r="CE338" s="51"/>
      <c r="CF338" s="51"/>
      <c r="CG338" s="51"/>
      <c r="CH338" s="51"/>
      <c r="CI338" s="51"/>
      <c r="CJ338" s="51"/>
      <c r="CK338" s="51"/>
      <c r="CL338" s="51"/>
      <c r="CM338" s="51"/>
      <c r="CN338" s="51"/>
      <c r="CO338" s="51"/>
      <c r="CP338" s="51"/>
      <c r="CQ338" s="51"/>
      <c r="CR338" s="51"/>
      <c r="CS338" s="51"/>
      <c r="CT338" s="51"/>
      <c r="CU338" s="51"/>
      <c r="CV338" s="51"/>
      <c r="CW338" s="51"/>
      <c r="CX338" s="51"/>
      <c r="CY338" s="51"/>
      <c r="CZ338" s="51"/>
      <c r="DA338" s="51"/>
      <c r="DB338" s="51"/>
      <c r="DC338" s="51"/>
      <c r="DD338" s="51"/>
      <c r="DE338" s="51"/>
      <c r="DF338" s="51"/>
      <c r="DG338" s="51"/>
      <c r="DH338" s="51"/>
      <c r="DI338" s="51"/>
      <c r="DJ338" s="51"/>
      <c r="DK338" s="51"/>
      <c r="DL338" s="51"/>
      <c r="DM338" s="51"/>
      <c r="DN338" s="51"/>
      <c r="DO338" s="51"/>
      <c r="DP338" s="51"/>
      <c r="DQ338" s="51"/>
      <c r="DR338" s="51"/>
      <c r="DS338" s="51"/>
      <c r="DT338" s="51"/>
      <c r="DU338" s="51"/>
      <c r="DV338" s="51"/>
      <c r="DW338" s="51"/>
      <c r="DX338" s="51"/>
      <c r="DY338" s="51"/>
      <c r="DZ338" s="51"/>
      <c r="EA338" s="51"/>
      <c r="EB338" s="51"/>
      <c r="EC338" s="51"/>
      <c r="ED338" s="51"/>
      <c r="EE338" s="51"/>
      <c r="EF338" s="51"/>
      <c r="EG338" s="51"/>
      <c r="EH338" s="51"/>
      <c r="EI338" s="51"/>
      <c r="EJ338" s="51"/>
      <c r="EK338" s="51"/>
      <c r="EL338" s="51"/>
      <c r="EM338" s="51"/>
      <c r="EN338" s="51"/>
      <c r="EO338" s="51"/>
      <c r="EP338" s="51"/>
      <c r="EQ338" s="51"/>
      <c r="ER338" s="51"/>
      <c r="ES338" s="51"/>
      <c r="ET338" s="51"/>
      <c r="EU338" s="51"/>
      <c r="EV338" s="51"/>
      <c r="EW338" s="51"/>
      <c r="EX338" s="51"/>
      <c r="EY338" s="51"/>
      <c r="EZ338" s="51"/>
      <c r="FA338" s="51"/>
      <c r="FB338" s="51"/>
      <c r="FC338" s="51"/>
      <c r="FD338" s="51"/>
      <c r="FE338" s="51"/>
      <c r="FF338" s="51"/>
      <c r="FG338" s="51"/>
      <c r="FH338" s="51"/>
      <c r="FI338" s="51"/>
      <c r="FJ338" s="51"/>
      <c r="FK338" s="51"/>
      <c r="FL338" s="51"/>
      <c r="FM338" s="51"/>
      <c r="FN338" s="51"/>
      <c r="FO338" s="51"/>
      <c r="FP338" s="51"/>
      <c r="FQ338" s="51"/>
      <c r="FR338" s="51"/>
      <c r="FS338" s="51"/>
      <c r="FT338" s="51"/>
      <c r="FU338" s="51"/>
      <c r="FV338" s="51"/>
      <c r="FW338" s="51"/>
      <c r="FX338" s="51"/>
      <c r="FY338" s="51"/>
      <c r="FZ338" s="51"/>
      <c r="GA338" s="51"/>
      <c r="GB338" s="51"/>
      <c r="GC338" s="51"/>
      <c r="GD338" s="51"/>
      <c r="GE338" s="51"/>
      <c r="GF338" s="51"/>
      <c r="GG338" s="51"/>
      <c r="GH338" s="51"/>
      <c r="GI338" s="51"/>
      <c r="GJ338" s="51"/>
      <c r="GK338" s="51"/>
      <c r="GL338" s="51"/>
      <c r="GM338" s="51"/>
      <c r="GN338" s="51"/>
      <c r="GO338" s="51"/>
      <c r="GP338" s="51"/>
      <c r="GQ338" s="51"/>
      <c r="GR338" s="51"/>
      <c r="GS338" s="51"/>
      <c r="GT338" s="51"/>
      <c r="GU338" s="51"/>
      <c r="GV338" s="51"/>
      <c r="GW338" s="51"/>
      <c r="GX338" s="51"/>
      <c r="GY338" s="51"/>
      <c r="GZ338" s="51"/>
      <c r="HA338" s="51"/>
      <c r="HB338" s="51"/>
      <c r="HC338" s="51"/>
      <c r="HD338" s="51"/>
      <c r="HE338" s="51"/>
      <c r="HF338" s="51"/>
      <c r="HG338" s="51"/>
      <c r="HH338" s="51"/>
      <c r="HI338" s="51"/>
      <c r="HJ338" s="51"/>
      <c r="HK338" s="51"/>
      <c r="HL338" s="51"/>
      <c r="HM338" s="51"/>
      <c r="HN338" s="51"/>
      <c r="HO338" s="51"/>
      <c r="HP338" s="51"/>
      <c r="HQ338" s="51"/>
      <c r="HR338" s="51"/>
      <c r="HS338" s="51"/>
      <c r="HT338" s="51"/>
      <c r="HU338" s="51"/>
      <c r="HV338" s="51"/>
      <c r="HW338" s="51"/>
      <c r="HX338" s="51"/>
      <c r="HY338" s="51"/>
      <c r="HZ338" s="51"/>
      <c r="IA338" s="51"/>
      <c r="IB338" s="51"/>
      <c r="IC338" s="51"/>
      <c r="ID338" s="51"/>
      <c r="IE338" s="51"/>
      <c r="IF338" s="51"/>
      <c r="IG338" s="51"/>
      <c r="IH338" s="51"/>
      <c r="II338" s="51"/>
      <c r="IJ338" s="51"/>
      <c r="IK338" s="51"/>
      <c r="IL338" s="51"/>
      <c r="IM338" s="51"/>
      <c r="IN338" s="51"/>
      <c r="IO338" s="51"/>
      <c r="IP338" s="51"/>
      <c r="IQ338" s="51"/>
      <c r="IR338" s="51"/>
      <c r="IS338" s="51"/>
      <c r="IT338" s="51"/>
      <c r="IU338" s="51"/>
      <c r="IV338" s="51"/>
    </row>
    <row r="339" hidden="1">
      <c r="B339" s="826" t="s">
        <v>18</v>
      </c>
      <c r="C339" s="827">
        <v>4784</v>
      </c>
      <c r="D339" s="827">
        <v>6816</v>
      </c>
      <c r="E339" s="827">
        <v>7756</v>
      </c>
      <c r="F339" s="827">
        <v>8364</v>
      </c>
      <c r="G339" s="827">
        <v>9246</v>
      </c>
      <c r="H339" s="827">
        <v>9898</v>
      </c>
      <c r="I339" s="827">
        <v>10546</v>
      </c>
      <c r="J339" s="827">
        <v>10994</v>
      </c>
      <c r="K339" s="827">
        <v>2130</v>
      </c>
      <c r="L339" s="827">
        <v>2615</v>
      </c>
      <c r="M339" s="827">
        <v>3694</v>
      </c>
      <c r="N339" s="827">
        <v>4448</v>
      </c>
      <c r="O339" s="827">
        <v>4018</v>
      </c>
      <c r="P339" s="827">
        <v>4453</v>
      </c>
      <c r="Q339" s="827">
        <v>4966</v>
      </c>
      <c r="R339" s="827">
        <v>5212</v>
      </c>
      <c r="S339" s="827">
        <v>5609</v>
      </c>
      <c r="T339" s="827">
        <v>5720</v>
      </c>
      <c r="U339" s="827">
        <v>5791</v>
      </c>
      <c r="V339" s="827">
        <v>5950</v>
      </c>
      <c r="W339" s="827">
        <v>5969</v>
      </c>
      <c r="X339" s="827">
        <v>5823</v>
      </c>
      <c r="Y339" s="827">
        <v>5810</v>
      </c>
      <c r="Z339" s="827">
        <v>5800</v>
      </c>
      <c r="AA339" s="827">
        <v>5845</v>
      </c>
      <c r="AB339" s="827">
        <v>5857</v>
      </c>
      <c r="AC339" s="828">
        <v>5569</v>
      </c>
      <c r="AD339" s="828">
        <v>5676</v>
      </c>
      <c r="AE339" s="828">
        <v>5635</v>
      </c>
      <c r="AF339" s="828">
        <v>5812</v>
      </c>
      <c r="AG339" s="828">
        <v>5945</v>
      </c>
      <c r="AH339" s="828">
        <v>6070</v>
      </c>
      <c r="AI339" s="828">
        <v>5218</v>
      </c>
      <c r="AJ339" s="828">
        <v>5314</v>
      </c>
      <c r="AK339" s="828">
        <v>5195</v>
      </c>
      <c r="AL339" s="828">
        <v>5141</v>
      </c>
      <c r="AM339" s="828">
        <v>4950</v>
      </c>
      <c r="AN339" s="828">
        <v>4904</v>
      </c>
      <c r="AO339" s="828">
        <v>4867</v>
      </c>
      <c r="AP339" s="828">
        <v>4902</v>
      </c>
      <c r="AQ339" s="51"/>
      <c r="AR339" s="51"/>
      <c r="AS339" s="51"/>
      <c r="AT339" s="51"/>
      <c r="AU339" s="51"/>
      <c r="AV339" s="51"/>
      <c r="AW339" s="51"/>
      <c r="AX339" s="51"/>
      <c r="AY339" s="51"/>
      <c r="AZ339" s="51"/>
      <c r="BA339" s="51"/>
      <c r="BB339" s="51"/>
      <c r="BC339" s="51"/>
      <c r="BD339" s="51"/>
      <c r="BE339" s="51"/>
      <c r="BF339" s="51"/>
      <c r="BG339" s="51"/>
      <c r="BH339" s="51"/>
      <c r="BI339" s="51"/>
      <c r="BJ339" s="51"/>
      <c r="BK339" s="51"/>
      <c r="BL339" s="51"/>
      <c r="BM339" s="51"/>
      <c r="BN339" s="51"/>
      <c r="BO339" s="51"/>
      <c r="BP339" s="51"/>
      <c r="BQ339" s="51"/>
      <c r="BR339" s="51"/>
      <c r="BS339" s="51"/>
      <c r="BT339" s="51"/>
      <c r="BU339" s="51"/>
      <c r="BV339" s="51"/>
      <c r="BW339" s="51"/>
      <c r="BX339" s="51"/>
      <c r="BY339" s="51"/>
      <c r="BZ339" s="51"/>
      <c r="CA339" s="51"/>
      <c r="CB339" s="51"/>
      <c r="CC339" s="51"/>
      <c r="CD339" s="51"/>
      <c r="CE339" s="51"/>
      <c r="CF339" s="51"/>
      <c r="CG339" s="51"/>
      <c r="CH339" s="51"/>
      <c r="CI339" s="51"/>
      <c r="CJ339" s="51"/>
      <c r="CK339" s="51"/>
      <c r="CL339" s="51"/>
      <c r="CM339" s="51"/>
      <c r="CN339" s="51"/>
      <c r="CO339" s="51"/>
      <c r="CP339" s="51"/>
      <c r="CQ339" s="51"/>
      <c r="CR339" s="51"/>
      <c r="CS339" s="51"/>
      <c r="CT339" s="51"/>
      <c r="CU339" s="51"/>
      <c r="CV339" s="51"/>
      <c r="CW339" s="51"/>
      <c r="CX339" s="51"/>
      <c r="CY339" s="51"/>
      <c r="CZ339" s="51"/>
      <c r="DA339" s="51"/>
      <c r="DB339" s="51"/>
      <c r="DC339" s="51"/>
      <c r="DD339" s="51"/>
      <c r="DE339" s="51"/>
      <c r="DF339" s="51"/>
      <c r="DG339" s="51"/>
      <c r="DH339" s="51"/>
      <c r="DI339" s="51"/>
      <c r="DJ339" s="51"/>
      <c r="DK339" s="51"/>
      <c r="DL339" s="51"/>
      <c r="DM339" s="51"/>
      <c r="DN339" s="51"/>
      <c r="DO339" s="51"/>
      <c r="DP339" s="51"/>
      <c r="DQ339" s="51"/>
      <c r="DR339" s="51"/>
      <c r="DS339" s="51"/>
      <c r="DT339" s="51"/>
      <c r="DU339" s="51"/>
      <c r="DV339" s="51"/>
      <c r="DW339" s="51"/>
      <c r="DX339" s="51"/>
      <c r="DY339" s="51"/>
      <c r="DZ339" s="51"/>
      <c r="EA339" s="51"/>
      <c r="EB339" s="51"/>
      <c r="EC339" s="51"/>
      <c r="ED339" s="51"/>
      <c r="EE339" s="51"/>
      <c r="EF339" s="51"/>
      <c r="EG339" s="51"/>
      <c r="EH339" s="51"/>
      <c r="EI339" s="51"/>
      <c r="EJ339" s="51"/>
      <c r="EK339" s="51"/>
      <c r="EL339" s="51"/>
      <c r="EM339" s="51"/>
      <c r="EN339" s="51"/>
      <c r="EO339" s="51"/>
      <c r="EP339" s="51"/>
      <c r="EQ339" s="51"/>
      <c r="ER339" s="51"/>
      <c r="ES339" s="51"/>
      <c r="ET339" s="51"/>
      <c r="EU339" s="51"/>
      <c r="EV339" s="51"/>
      <c r="EW339" s="51"/>
      <c r="EX339" s="51"/>
      <c r="EY339" s="51"/>
      <c r="EZ339" s="51"/>
      <c r="FA339" s="51"/>
      <c r="FB339" s="51"/>
      <c r="FC339" s="51"/>
      <c r="FD339" s="51"/>
      <c r="FE339" s="51"/>
      <c r="FF339" s="51"/>
      <c r="FG339" s="51"/>
      <c r="FH339" s="51"/>
      <c r="FI339" s="51"/>
      <c r="FJ339" s="51"/>
      <c r="FK339" s="51"/>
      <c r="FL339" s="51"/>
      <c r="FM339" s="51"/>
      <c r="FN339" s="51"/>
      <c r="FO339" s="51"/>
      <c r="FP339" s="51"/>
      <c r="FQ339" s="51"/>
      <c r="FR339" s="51"/>
      <c r="FS339" s="51"/>
      <c r="FT339" s="51"/>
      <c r="FU339" s="51"/>
      <c r="FV339" s="51"/>
      <c r="FW339" s="51"/>
      <c r="FX339" s="51"/>
      <c r="FY339" s="51"/>
      <c r="FZ339" s="51"/>
      <c r="GA339" s="51"/>
      <c r="GB339" s="51"/>
      <c r="GC339" s="51"/>
      <c r="GD339" s="51"/>
      <c r="GE339" s="51"/>
      <c r="GF339" s="51"/>
      <c r="GG339" s="51"/>
      <c r="GH339" s="51"/>
      <c r="GI339" s="51"/>
      <c r="GJ339" s="51"/>
      <c r="GK339" s="51"/>
      <c r="GL339" s="51"/>
      <c r="GM339" s="51"/>
      <c r="GN339" s="51"/>
      <c r="GO339" s="51"/>
      <c r="GP339" s="51"/>
      <c r="GQ339" s="51"/>
      <c r="GR339" s="51"/>
      <c r="GS339" s="51"/>
      <c r="GT339" s="51"/>
      <c r="GU339" s="51"/>
      <c r="GV339" s="51"/>
      <c r="GW339" s="51"/>
      <c r="GX339" s="51"/>
      <c r="GY339" s="51"/>
      <c r="GZ339" s="51"/>
      <c r="HA339" s="51"/>
      <c r="HB339" s="51"/>
      <c r="HC339" s="51"/>
      <c r="HD339" s="51"/>
      <c r="HE339" s="51"/>
      <c r="HF339" s="51"/>
      <c r="HG339" s="51"/>
      <c r="HH339" s="51"/>
      <c r="HI339" s="51"/>
      <c r="HJ339" s="51"/>
      <c r="HK339" s="51"/>
      <c r="HL339" s="51"/>
      <c r="HM339" s="51"/>
      <c r="HN339" s="51"/>
      <c r="HO339" s="51"/>
      <c r="HP339" s="51"/>
      <c r="HQ339" s="51"/>
      <c r="HR339" s="51"/>
      <c r="HS339" s="51"/>
      <c r="HT339" s="51"/>
      <c r="HU339" s="51"/>
      <c r="HV339" s="51"/>
      <c r="HW339" s="51"/>
      <c r="HX339" s="51"/>
      <c r="HY339" s="51"/>
      <c r="HZ339" s="51"/>
      <c r="IA339" s="51"/>
      <c r="IB339" s="51"/>
      <c r="IC339" s="51"/>
      <c r="ID339" s="51"/>
      <c r="IE339" s="51"/>
      <c r="IF339" s="51"/>
      <c r="IG339" s="51"/>
      <c r="IH339" s="51"/>
      <c r="II339" s="51"/>
      <c r="IJ339" s="51"/>
      <c r="IK339" s="51"/>
      <c r="IL339" s="51"/>
      <c r="IM339" s="51"/>
      <c r="IN339" s="51"/>
      <c r="IO339" s="51"/>
      <c r="IP339" s="51"/>
      <c r="IQ339" s="51"/>
      <c r="IR339" s="51"/>
      <c r="IS339" s="51"/>
      <c r="IT339" s="51"/>
      <c r="IU339" s="51"/>
      <c r="IV339" s="51"/>
    </row>
    <row r="340" hidden="1">
      <c r="B340" s="829" t="s">
        <v>19</v>
      </c>
      <c r="C340" s="823">
        <v>155</v>
      </c>
      <c r="D340" s="823">
        <v>151</v>
      </c>
      <c r="E340" s="823">
        <v>195</v>
      </c>
      <c r="F340" s="823">
        <v>225</v>
      </c>
      <c r="G340" s="823">
        <v>258</v>
      </c>
      <c r="H340" s="823">
        <v>351</v>
      </c>
      <c r="I340" s="823">
        <v>279</v>
      </c>
      <c r="J340" s="823">
        <v>289</v>
      </c>
      <c r="K340" s="823">
        <v>300</v>
      </c>
      <c r="L340" s="823">
        <v>278</v>
      </c>
      <c r="M340" s="823">
        <v>296</v>
      </c>
      <c r="N340" s="823">
        <v>297</v>
      </c>
      <c r="O340" s="823">
        <v>1188</v>
      </c>
      <c r="P340" s="823">
        <v>1202</v>
      </c>
      <c r="Q340" s="823">
        <v>1211</v>
      </c>
      <c r="R340" s="823">
        <v>1257</v>
      </c>
      <c r="S340" s="823">
        <v>1417</v>
      </c>
      <c r="T340" s="823">
        <v>1362</v>
      </c>
      <c r="U340" s="823">
        <v>1395</v>
      </c>
      <c r="V340" s="823">
        <v>1424</v>
      </c>
      <c r="W340" s="823">
        <v>1464</v>
      </c>
      <c r="X340" s="823">
        <v>1490</v>
      </c>
      <c r="Y340" s="823">
        <v>1499</v>
      </c>
      <c r="Z340" s="823">
        <v>1519</v>
      </c>
      <c r="AA340" s="823">
        <v>1510</v>
      </c>
      <c r="AB340" s="823">
        <v>1521</v>
      </c>
      <c r="AC340" s="825">
        <v>1581</v>
      </c>
      <c r="AD340" s="825">
        <v>1580</v>
      </c>
      <c r="AE340" s="825">
        <v>1600</v>
      </c>
      <c r="AF340" s="825">
        <v>1630</v>
      </c>
      <c r="AG340" s="825">
        <v>1638</v>
      </c>
      <c r="AH340" s="825">
        <v>1719</v>
      </c>
      <c r="AI340" s="825">
        <v>1839</v>
      </c>
      <c r="AJ340" s="825">
        <v>1545</v>
      </c>
      <c r="AK340" s="825">
        <v>1684</v>
      </c>
      <c r="AL340" s="825">
        <v>1788</v>
      </c>
      <c r="AM340" s="825">
        <v>1870</v>
      </c>
      <c r="AN340" s="825">
        <v>2024</v>
      </c>
      <c r="AO340" s="825">
        <v>2051</v>
      </c>
      <c r="AP340" s="825">
        <v>2134</v>
      </c>
      <c r="AQ340" s="51"/>
      <c r="AR340" s="51"/>
      <c r="AS340" s="51"/>
      <c r="AT340" s="51"/>
      <c r="AU340" s="51"/>
      <c r="AV340" s="51"/>
      <c r="AW340" s="51"/>
      <c r="AX340" s="51"/>
      <c r="AY340" s="51"/>
      <c r="AZ340" s="51"/>
      <c r="BA340" s="51"/>
      <c r="BB340" s="51"/>
      <c r="BC340" s="51"/>
      <c r="BD340" s="51"/>
      <c r="BE340" s="51"/>
      <c r="BF340" s="51"/>
      <c r="BG340" s="51"/>
      <c r="BH340" s="51"/>
      <c r="BI340" s="51"/>
      <c r="BJ340" s="51"/>
      <c r="BK340" s="51"/>
      <c r="BL340" s="51"/>
      <c r="BM340" s="51"/>
      <c r="BN340" s="51"/>
      <c r="BO340" s="51"/>
      <c r="BP340" s="51"/>
      <c r="BQ340" s="51"/>
      <c r="BR340" s="51"/>
      <c r="BS340" s="51"/>
      <c r="BT340" s="51"/>
      <c r="BU340" s="51"/>
      <c r="BV340" s="51"/>
      <c r="BW340" s="51"/>
      <c r="BX340" s="51"/>
      <c r="BY340" s="51"/>
      <c r="BZ340" s="51"/>
      <c r="CA340" s="51"/>
      <c r="CB340" s="51"/>
      <c r="CC340" s="51"/>
      <c r="CD340" s="51"/>
      <c r="CE340" s="51"/>
      <c r="CF340" s="51"/>
      <c r="CG340" s="51"/>
      <c r="CH340" s="51"/>
      <c r="CI340" s="51"/>
      <c r="CJ340" s="51"/>
      <c r="CK340" s="51"/>
      <c r="CL340" s="51"/>
      <c r="CM340" s="51"/>
      <c r="CN340" s="51"/>
      <c r="CO340" s="51"/>
      <c r="CP340" s="51"/>
      <c r="CQ340" s="51"/>
      <c r="CR340" s="51"/>
      <c r="CS340" s="51"/>
      <c r="CT340" s="51"/>
      <c r="CU340" s="51"/>
      <c r="CV340" s="51"/>
      <c r="CW340" s="51"/>
      <c r="CX340" s="51"/>
      <c r="CY340" s="51"/>
      <c r="CZ340" s="51"/>
      <c r="DA340" s="51"/>
      <c r="DB340" s="51"/>
      <c r="DC340" s="51"/>
      <c r="DD340" s="51"/>
      <c r="DE340" s="51"/>
      <c r="DF340" s="51"/>
      <c r="DG340" s="51"/>
      <c r="DH340" s="51"/>
      <c r="DI340" s="51"/>
      <c r="DJ340" s="51"/>
      <c r="DK340" s="51"/>
      <c r="DL340" s="51"/>
      <c r="DM340" s="51"/>
      <c r="DN340" s="51"/>
      <c r="DO340" s="51"/>
      <c r="DP340" s="51"/>
      <c r="DQ340" s="51"/>
      <c r="DR340" s="51"/>
      <c r="DS340" s="51"/>
      <c r="DT340" s="51"/>
      <c r="DU340" s="51"/>
      <c r="DV340" s="51"/>
      <c r="DW340" s="51"/>
      <c r="DX340" s="51"/>
      <c r="DY340" s="51"/>
      <c r="DZ340" s="51"/>
      <c r="EA340" s="51"/>
      <c r="EB340" s="51"/>
      <c r="EC340" s="51"/>
      <c r="ED340" s="51"/>
      <c r="EE340" s="51"/>
      <c r="EF340" s="51"/>
      <c r="EG340" s="51"/>
      <c r="EH340" s="51"/>
      <c r="EI340" s="51"/>
      <c r="EJ340" s="51"/>
      <c r="EK340" s="51"/>
      <c r="EL340" s="51"/>
      <c r="EM340" s="51"/>
      <c r="EN340" s="51"/>
      <c r="EO340" s="51"/>
      <c r="EP340" s="51"/>
      <c r="EQ340" s="51"/>
      <c r="ER340" s="51"/>
      <c r="ES340" s="51"/>
      <c r="ET340" s="51"/>
      <c r="EU340" s="51"/>
      <c r="EV340" s="51"/>
      <c r="EW340" s="51"/>
      <c r="EX340" s="51"/>
      <c r="EY340" s="51"/>
      <c r="EZ340" s="51"/>
      <c r="FA340" s="51"/>
      <c r="FB340" s="51"/>
      <c r="FC340" s="51"/>
      <c r="FD340" s="51"/>
      <c r="FE340" s="51"/>
      <c r="FF340" s="51"/>
      <c r="FG340" s="51"/>
      <c r="FH340" s="51"/>
      <c r="FI340" s="51"/>
      <c r="FJ340" s="51"/>
      <c r="FK340" s="51"/>
      <c r="FL340" s="51"/>
      <c r="FM340" s="51"/>
      <c r="FN340" s="51"/>
      <c r="FO340" s="51"/>
      <c r="FP340" s="51"/>
      <c r="FQ340" s="51"/>
      <c r="FR340" s="51"/>
      <c r="FS340" s="51"/>
      <c r="FT340" s="51"/>
      <c r="FU340" s="51"/>
      <c r="FV340" s="51"/>
      <c r="FW340" s="51"/>
      <c r="FX340" s="51"/>
      <c r="FY340" s="51"/>
      <c r="FZ340" s="51"/>
      <c r="GA340" s="51"/>
      <c r="GB340" s="51"/>
      <c r="GC340" s="51"/>
      <c r="GD340" s="51"/>
      <c r="GE340" s="51"/>
      <c r="GF340" s="51"/>
      <c r="GG340" s="51"/>
      <c r="GH340" s="51"/>
      <c r="GI340" s="51"/>
      <c r="GJ340" s="51"/>
      <c r="GK340" s="51"/>
      <c r="GL340" s="51"/>
      <c r="GM340" s="51"/>
      <c r="GN340" s="51"/>
      <c r="GO340" s="51"/>
      <c r="GP340" s="51"/>
      <c r="GQ340" s="51"/>
      <c r="GR340" s="51"/>
      <c r="GS340" s="51"/>
      <c r="GT340" s="51"/>
      <c r="GU340" s="51"/>
      <c r="GV340" s="51"/>
      <c r="GW340" s="51"/>
      <c r="GX340" s="51"/>
      <c r="GY340" s="51"/>
      <c r="GZ340" s="51"/>
      <c r="HA340" s="51"/>
      <c r="HB340" s="51"/>
      <c r="HC340" s="51"/>
      <c r="HD340" s="51"/>
      <c r="HE340" s="51"/>
      <c r="HF340" s="51"/>
      <c r="HG340" s="51"/>
      <c r="HH340" s="51"/>
      <c r="HI340" s="51"/>
      <c r="HJ340" s="51"/>
      <c r="HK340" s="51"/>
      <c r="HL340" s="51"/>
      <c r="HM340" s="51"/>
      <c r="HN340" s="51"/>
      <c r="HO340" s="51"/>
      <c r="HP340" s="51"/>
      <c r="HQ340" s="51"/>
      <c r="HR340" s="51"/>
      <c r="HS340" s="51"/>
      <c r="HT340" s="51"/>
      <c r="HU340" s="51"/>
      <c r="HV340" s="51"/>
      <c r="HW340" s="51"/>
      <c r="HX340" s="51"/>
      <c r="HY340" s="51"/>
      <c r="HZ340" s="51"/>
      <c r="IA340" s="51"/>
      <c r="IB340" s="51"/>
      <c r="IC340" s="51"/>
      <c r="ID340" s="51"/>
      <c r="IE340" s="51"/>
      <c r="IF340" s="51"/>
      <c r="IG340" s="51"/>
      <c r="IH340" s="51"/>
      <c r="II340" s="51"/>
      <c r="IJ340" s="51"/>
      <c r="IK340" s="51"/>
      <c r="IL340" s="51"/>
      <c r="IM340" s="51"/>
      <c r="IN340" s="51"/>
      <c r="IO340" s="51"/>
      <c r="IP340" s="51"/>
      <c r="IQ340" s="51"/>
      <c r="IR340" s="51"/>
      <c r="IS340" s="51"/>
      <c r="IT340" s="51"/>
      <c r="IU340" s="51"/>
      <c r="IV340" s="51"/>
    </row>
    <row r="341" hidden="1">
      <c r="B341" s="826" t="s">
        <v>20</v>
      </c>
      <c r="C341" s="827">
        <v>90</v>
      </c>
      <c r="D341" s="827">
        <v>29</v>
      </c>
      <c r="E341" s="827">
        <v>34</v>
      </c>
      <c r="F341" s="827">
        <v>34</v>
      </c>
      <c r="G341" s="827">
        <v>23</v>
      </c>
      <c r="H341" s="827">
        <v>23</v>
      </c>
      <c r="I341" s="827">
        <v>28</v>
      </c>
      <c r="J341" s="827">
        <v>29</v>
      </c>
      <c r="K341" s="827">
        <v>93</v>
      </c>
      <c r="L341" s="827">
        <v>95</v>
      </c>
      <c r="M341" s="827">
        <v>96</v>
      </c>
      <c r="N341" s="827">
        <v>96</v>
      </c>
      <c r="O341" s="827">
        <v>1548</v>
      </c>
      <c r="P341" s="827">
        <v>1629</v>
      </c>
      <c r="Q341" s="827">
        <v>1689</v>
      </c>
      <c r="R341" s="827">
        <v>1712</v>
      </c>
      <c r="S341" s="827">
        <v>1802</v>
      </c>
      <c r="T341" s="827">
        <v>1839</v>
      </c>
      <c r="U341" s="827">
        <v>1903</v>
      </c>
      <c r="V341" s="827">
        <v>1948</v>
      </c>
      <c r="W341" s="827">
        <v>1971</v>
      </c>
      <c r="X341" s="827">
        <v>1976</v>
      </c>
      <c r="Y341" s="827">
        <v>1979</v>
      </c>
      <c r="Z341" s="827">
        <v>1983</v>
      </c>
      <c r="AA341" s="827">
        <v>2011</v>
      </c>
      <c r="AB341" s="827">
        <v>2006</v>
      </c>
      <c r="AC341" s="828">
        <v>2005</v>
      </c>
      <c r="AD341" s="828">
        <v>1959</v>
      </c>
      <c r="AE341" s="828">
        <v>1947</v>
      </c>
      <c r="AF341" s="828">
        <v>1946</v>
      </c>
      <c r="AG341" s="828">
        <v>1275</v>
      </c>
      <c r="AH341" s="828">
        <v>1304</v>
      </c>
      <c r="AI341" s="828">
        <v>1292</v>
      </c>
      <c r="AJ341" s="828">
        <v>1290</v>
      </c>
      <c r="AK341" s="828">
        <v>1280</v>
      </c>
      <c r="AL341" s="828">
        <v>1272</v>
      </c>
      <c r="AM341" s="828">
        <v>1259</v>
      </c>
      <c r="AN341" s="828">
        <v>1223</v>
      </c>
      <c r="AO341" s="828">
        <v>1209</v>
      </c>
      <c r="AP341" s="828">
        <v>1198</v>
      </c>
      <c r="AQ341" s="51"/>
      <c r="AR341" s="51"/>
      <c r="AS341" s="51"/>
      <c r="AT341" s="51"/>
      <c r="AU341" s="51"/>
      <c r="AV341" s="51"/>
      <c r="AW341" s="51"/>
      <c r="AX341" s="51"/>
      <c r="AY341" s="51"/>
      <c r="AZ341" s="51"/>
      <c r="BA341" s="51"/>
      <c r="BB341" s="51"/>
      <c r="BC341" s="51"/>
      <c r="BD341" s="51"/>
      <c r="BE341" s="51"/>
      <c r="BF341" s="51"/>
      <c r="BG341" s="51"/>
      <c r="BH341" s="51"/>
      <c r="BI341" s="51"/>
      <c r="BJ341" s="51"/>
      <c r="BK341" s="51"/>
      <c r="BL341" s="51"/>
      <c r="BM341" s="51"/>
      <c r="BN341" s="51"/>
      <c r="BO341" s="51"/>
      <c r="BP341" s="51"/>
      <c r="BQ341" s="51"/>
      <c r="BR341" s="51"/>
      <c r="BS341" s="51"/>
      <c r="BT341" s="51"/>
      <c r="BU341" s="51"/>
      <c r="BV341" s="51"/>
      <c r="BW341" s="51"/>
      <c r="BX341" s="51"/>
      <c r="BY341" s="51"/>
      <c r="BZ341" s="51"/>
      <c r="CA341" s="51"/>
      <c r="CB341" s="51"/>
      <c r="CC341" s="51"/>
      <c r="CD341" s="51"/>
      <c r="CE341" s="51"/>
      <c r="CF341" s="51"/>
      <c r="CG341" s="51"/>
      <c r="CH341" s="51"/>
      <c r="CI341" s="51"/>
      <c r="CJ341" s="51"/>
      <c r="CK341" s="51"/>
      <c r="CL341" s="51"/>
      <c r="CM341" s="51"/>
      <c r="CN341" s="51"/>
      <c r="CO341" s="51"/>
      <c r="CP341" s="51"/>
      <c r="CQ341" s="51"/>
      <c r="CR341" s="51"/>
      <c r="CS341" s="51"/>
      <c r="CT341" s="51"/>
      <c r="CU341" s="51"/>
      <c r="CV341" s="51"/>
      <c r="CW341" s="51"/>
      <c r="CX341" s="51"/>
      <c r="CY341" s="51"/>
      <c r="CZ341" s="51"/>
      <c r="DA341" s="51"/>
      <c r="DB341" s="51"/>
      <c r="DC341" s="51"/>
      <c r="DD341" s="51"/>
      <c r="DE341" s="51"/>
      <c r="DF341" s="51"/>
      <c r="DG341" s="51"/>
      <c r="DH341" s="51"/>
      <c r="DI341" s="51"/>
      <c r="DJ341" s="51"/>
      <c r="DK341" s="51"/>
      <c r="DL341" s="51"/>
      <c r="DM341" s="51"/>
      <c r="DN341" s="51"/>
      <c r="DO341" s="51"/>
      <c r="DP341" s="51"/>
      <c r="DQ341" s="51"/>
      <c r="DR341" s="51"/>
      <c r="DS341" s="51"/>
      <c r="DT341" s="51"/>
      <c r="DU341" s="51"/>
      <c r="DV341" s="51"/>
      <c r="DW341" s="51"/>
      <c r="DX341" s="51"/>
      <c r="DY341" s="51"/>
      <c r="DZ341" s="51"/>
      <c r="EA341" s="51"/>
      <c r="EB341" s="51"/>
      <c r="EC341" s="51"/>
      <c r="ED341" s="51"/>
      <c r="EE341" s="51"/>
      <c r="EF341" s="51"/>
      <c r="EG341" s="51"/>
      <c r="EH341" s="51"/>
      <c r="EI341" s="51"/>
      <c r="EJ341" s="51"/>
      <c r="EK341" s="51"/>
      <c r="EL341" s="51"/>
      <c r="EM341" s="51"/>
      <c r="EN341" s="51"/>
      <c r="EO341" s="51"/>
      <c r="EP341" s="51"/>
      <c r="EQ341" s="51"/>
      <c r="ER341" s="51"/>
      <c r="ES341" s="51"/>
      <c r="ET341" s="51"/>
      <c r="EU341" s="51"/>
      <c r="EV341" s="51"/>
      <c r="EW341" s="51"/>
      <c r="EX341" s="51"/>
      <c r="EY341" s="51"/>
      <c r="EZ341" s="51"/>
      <c r="FA341" s="51"/>
      <c r="FB341" s="51"/>
      <c r="FC341" s="51"/>
      <c r="FD341" s="51"/>
      <c r="FE341" s="51"/>
      <c r="FF341" s="51"/>
      <c r="FG341" s="51"/>
      <c r="FH341" s="51"/>
      <c r="FI341" s="51"/>
      <c r="FJ341" s="51"/>
      <c r="FK341" s="51"/>
      <c r="FL341" s="51"/>
      <c r="FM341" s="51"/>
      <c r="FN341" s="51"/>
      <c r="FO341" s="51"/>
      <c r="FP341" s="51"/>
      <c r="FQ341" s="51"/>
      <c r="FR341" s="51"/>
      <c r="FS341" s="51"/>
      <c r="FT341" s="51"/>
      <c r="FU341" s="51"/>
      <c r="FV341" s="51"/>
      <c r="FW341" s="51"/>
      <c r="FX341" s="51"/>
      <c r="FY341" s="51"/>
      <c r="FZ341" s="51"/>
      <c r="GA341" s="51"/>
      <c r="GB341" s="51"/>
      <c r="GC341" s="51"/>
      <c r="GD341" s="51"/>
      <c r="GE341" s="51"/>
      <c r="GF341" s="51"/>
      <c r="GG341" s="51"/>
      <c r="GH341" s="51"/>
      <c r="GI341" s="51"/>
      <c r="GJ341" s="51"/>
      <c r="GK341" s="51"/>
      <c r="GL341" s="51"/>
      <c r="GM341" s="51"/>
      <c r="GN341" s="51"/>
      <c r="GO341" s="51"/>
      <c r="GP341" s="51"/>
      <c r="GQ341" s="51"/>
      <c r="GR341" s="51"/>
      <c r="GS341" s="51"/>
      <c r="GT341" s="51"/>
      <c r="GU341" s="51"/>
      <c r="GV341" s="51"/>
      <c r="GW341" s="51"/>
      <c r="GX341" s="51"/>
      <c r="GY341" s="51"/>
      <c r="GZ341" s="51"/>
      <c r="HA341" s="51"/>
      <c r="HB341" s="51"/>
      <c r="HC341" s="51"/>
      <c r="HD341" s="51"/>
      <c r="HE341" s="51"/>
      <c r="HF341" s="51"/>
      <c r="HG341" s="51"/>
      <c r="HH341" s="51"/>
      <c r="HI341" s="51"/>
      <c r="HJ341" s="51"/>
      <c r="HK341" s="51"/>
      <c r="HL341" s="51"/>
      <c r="HM341" s="51"/>
      <c r="HN341" s="51"/>
      <c r="HO341" s="51"/>
      <c r="HP341" s="51"/>
      <c r="HQ341" s="51"/>
      <c r="HR341" s="51"/>
      <c r="HS341" s="51"/>
      <c r="HT341" s="51"/>
      <c r="HU341" s="51"/>
      <c r="HV341" s="51"/>
      <c r="HW341" s="51"/>
      <c r="HX341" s="51"/>
      <c r="HY341" s="51"/>
      <c r="HZ341" s="51"/>
      <c r="IA341" s="51"/>
      <c r="IB341" s="51"/>
      <c r="IC341" s="51"/>
      <c r="ID341" s="51"/>
      <c r="IE341" s="51"/>
      <c r="IF341" s="51"/>
      <c r="IG341" s="51"/>
      <c r="IH341" s="51"/>
      <c r="II341" s="51"/>
      <c r="IJ341" s="51"/>
      <c r="IK341" s="51"/>
      <c r="IL341" s="51"/>
      <c r="IM341" s="51"/>
      <c r="IN341" s="51"/>
      <c r="IO341" s="51"/>
      <c r="IP341" s="51"/>
      <c r="IQ341" s="51"/>
      <c r="IR341" s="51"/>
      <c r="IS341" s="51"/>
      <c r="IT341" s="51"/>
      <c r="IU341" s="51"/>
      <c r="IV341" s="51"/>
    </row>
    <row r="342" hidden="1">
      <c r="B342" s="829" t="s">
        <v>21</v>
      </c>
      <c r="C342" s="823">
        <v>1738</v>
      </c>
      <c r="D342" s="823">
        <v>1010</v>
      </c>
      <c r="E342" s="823">
        <v>599</v>
      </c>
      <c r="F342" s="823">
        <v>565</v>
      </c>
      <c r="G342" s="823">
        <v>504</v>
      </c>
      <c r="H342" s="823">
        <v>495</v>
      </c>
      <c r="I342" s="823">
        <v>478</v>
      </c>
      <c r="J342" s="823">
        <v>471</v>
      </c>
      <c r="K342" s="823">
        <v>313</v>
      </c>
      <c r="L342" s="823">
        <v>313</v>
      </c>
      <c r="M342" s="823">
        <v>313</v>
      </c>
      <c r="N342" s="823">
        <v>313</v>
      </c>
      <c r="O342" s="823">
        <v>315</v>
      </c>
      <c r="P342" s="823">
        <v>314</v>
      </c>
      <c r="Q342" s="823">
        <v>313</v>
      </c>
      <c r="R342" s="823">
        <v>313</v>
      </c>
      <c r="S342" s="823">
        <v>313</v>
      </c>
      <c r="T342" s="823">
        <v>313</v>
      </c>
      <c r="U342" s="823">
        <v>313</v>
      </c>
      <c r="V342" s="823">
        <v>312</v>
      </c>
      <c r="W342" s="823">
        <v>311</v>
      </c>
      <c r="X342" s="823">
        <v>316</v>
      </c>
      <c r="Y342" s="823">
        <v>315</v>
      </c>
      <c r="Z342" s="823">
        <v>315</v>
      </c>
      <c r="AA342" s="823">
        <v>315</v>
      </c>
      <c r="AB342" s="823">
        <v>317</v>
      </c>
      <c r="AC342" s="825">
        <v>322</v>
      </c>
      <c r="AD342" s="825">
        <v>349</v>
      </c>
      <c r="AE342" s="825">
        <v>349</v>
      </c>
      <c r="AF342" s="825">
        <v>349</v>
      </c>
      <c r="AG342" s="825">
        <v>352</v>
      </c>
      <c r="AH342" s="825">
        <v>349</v>
      </c>
      <c r="AI342" s="825">
        <v>350</v>
      </c>
      <c r="AJ342" s="825">
        <v>356</v>
      </c>
      <c r="AK342" s="825">
        <v>361</v>
      </c>
      <c r="AL342" s="825">
        <v>367</v>
      </c>
      <c r="AM342" s="825">
        <v>365</v>
      </c>
      <c r="AN342" s="825">
        <v>375</v>
      </c>
      <c r="AO342" s="825">
        <v>377</v>
      </c>
      <c r="AP342" s="825">
        <v>381</v>
      </c>
      <c r="AQ342" s="51"/>
      <c r="AR342" s="51"/>
      <c r="AS342" s="51"/>
      <c r="AT342" s="51"/>
      <c r="AU342" s="51"/>
      <c r="AV342" s="51"/>
      <c r="AW342" s="51"/>
      <c r="AX342" s="51"/>
      <c r="AY342" s="51"/>
      <c r="AZ342" s="51"/>
      <c r="BA342" s="51"/>
      <c r="BB342" s="51"/>
      <c r="BC342" s="51"/>
      <c r="BD342" s="51"/>
      <c r="BE342" s="51"/>
      <c r="BF342" s="51"/>
      <c r="BG342" s="51"/>
      <c r="BH342" s="51"/>
      <c r="BI342" s="51"/>
      <c r="BJ342" s="51"/>
      <c r="BK342" s="51"/>
      <c r="BL342" s="51"/>
      <c r="BM342" s="51"/>
      <c r="BN342" s="51"/>
      <c r="BO342" s="51"/>
      <c r="BP342" s="51"/>
      <c r="BQ342" s="51"/>
      <c r="BR342" s="51"/>
      <c r="BS342" s="51"/>
      <c r="BT342" s="51"/>
      <c r="BU342" s="51"/>
      <c r="BV342" s="51"/>
      <c r="BW342" s="51"/>
      <c r="BX342" s="51"/>
      <c r="BY342" s="51"/>
      <c r="BZ342" s="51"/>
      <c r="CA342" s="51"/>
      <c r="CB342" s="51"/>
      <c r="CC342" s="51"/>
      <c r="CD342" s="51"/>
      <c r="CE342" s="51"/>
      <c r="CF342" s="51"/>
      <c r="CG342" s="51"/>
      <c r="CH342" s="51"/>
      <c r="CI342" s="51"/>
      <c r="CJ342" s="51"/>
      <c r="CK342" s="51"/>
      <c r="CL342" s="51"/>
      <c r="CM342" s="51"/>
      <c r="CN342" s="51"/>
      <c r="CO342" s="51"/>
      <c r="CP342" s="51"/>
      <c r="CQ342" s="51"/>
      <c r="CR342" s="51"/>
      <c r="CS342" s="51"/>
      <c r="CT342" s="51"/>
      <c r="CU342" s="51"/>
      <c r="CV342" s="51"/>
      <c r="CW342" s="51"/>
      <c r="CX342" s="51"/>
      <c r="CY342" s="51"/>
      <c r="CZ342" s="51"/>
      <c r="DA342" s="51"/>
      <c r="DB342" s="51"/>
      <c r="DC342" s="51"/>
      <c r="DD342" s="51"/>
      <c r="DE342" s="51"/>
      <c r="DF342" s="51"/>
      <c r="DG342" s="51"/>
      <c r="DH342" s="51"/>
      <c r="DI342" s="51"/>
      <c r="DJ342" s="51"/>
      <c r="DK342" s="51"/>
      <c r="DL342" s="51"/>
      <c r="DM342" s="51"/>
      <c r="DN342" s="51"/>
      <c r="DO342" s="51"/>
      <c r="DP342" s="51"/>
      <c r="DQ342" s="51"/>
      <c r="DR342" s="51"/>
      <c r="DS342" s="51"/>
      <c r="DT342" s="51"/>
      <c r="DU342" s="51"/>
      <c r="DV342" s="51"/>
      <c r="DW342" s="51"/>
      <c r="DX342" s="51"/>
      <c r="DY342" s="51"/>
      <c r="DZ342" s="51"/>
      <c r="EA342" s="51"/>
      <c r="EB342" s="51"/>
      <c r="EC342" s="51"/>
      <c r="ED342" s="51"/>
      <c r="EE342" s="51"/>
      <c r="EF342" s="51"/>
      <c r="EG342" s="51"/>
      <c r="EH342" s="51"/>
      <c r="EI342" s="51"/>
      <c r="EJ342" s="51"/>
      <c r="EK342" s="51"/>
      <c r="EL342" s="51"/>
      <c r="EM342" s="51"/>
      <c r="EN342" s="51"/>
      <c r="EO342" s="51"/>
      <c r="EP342" s="51"/>
      <c r="EQ342" s="51"/>
      <c r="ER342" s="51"/>
      <c r="ES342" s="51"/>
      <c r="ET342" s="51"/>
      <c r="EU342" s="51"/>
      <c r="EV342" s="51"/>
      <c r="EW342" s="51"/>
      <c r="EX342" s="51"/>
      <c r="EY342" s="51"/>
      <c r="EZ342" s="51"/>
      <c r="FA342" s="51"/>
      <c r="FB342" s="51"/>
      <c r="FC342" s="51"/>
      <c r="FD342" s="51"/>
      <c r="FE342" s="51"/>
      <c r="FF342" s="51"/>
      <c r="FG342" s="51"/>
      <c r="FH342" s="51"/>
      <c r="FI342" s="51"/>
      <c r="FJ342" s="51"/>
      <c r="FK342" s="51"/>
      <c r="FL342" s="51"/>
      <c r="FM342" s="51"/>
      <c r="FN342" s="51"/>
      <c r="FO342" s="51"/>
      <c r="FP342" s="51"/>
      <c r="FQ342" s="51"/>
      <c r="FR342" s="51"/>
      <c r="FS342" s="51"/>
      <c r="FT342" s="51"/>
      <c r="FU342" s="51"/>
      <c r="FV342" s="51"/>
      <c r="FW342" s="51"/>
      <c r="FX342" s="51"/>
      <c r="FY342" s="51"/>
      <c r="FZ342" s="51"/>
      <c r="GA342" s="51"/>
      <c r="GB342" s="51"/>
      <c r="GC342" s="51"/>
      <c r="GD342" s="51"/>
      <c r="GE342" s="51"/>
      <c r="GF342" s="51"/>
      <c r="GG342" s="51"/>
      <c r="GH342" s="51"/>
      <c r="GI342" s="51"/>
      <c r="GJ342" s="51"/>
      <c r="GK342" s="51"/>
      <c r="GL342" s="51"/>
      <c r="GM342" s="51"/>
      <c r="GN342" s="51"/>
      <c r="GO342" s="51"/>
      <c r="GP342" s="51"/>
      <c r="GQ342" s="51"/>
      <c r="GR342" s="51"/>
      <c r="GS342" s="51"/>
      <c r="GT342" s="51"/>
      <c r="GU342" s="51"/>
      <c r="GV342" s="51"/>
      <c r="GW342" s="51"/>
      <c r="GX342" s="51"/>
      <c r="GY342" s="51"/>
      <c r="GZ342" s="51"/>
      <c r="HA342" s="51"/>
      <c r="HB342" s="51"/>
      <c r="HC342" s="51"/>
      <c r="HD342" s="51"/>
      <c r="HE342" s="51"/>
      <c r="HF342" s="51"/>
      <c r="HG342" s="51"/>
      <c r="HH342" s="51"/>
      <c r="HI342" s="51"/>
      <c r="HJ342" s="51"/>
      <c r="HK342" s="51"/>
      <c r="HL342" s="51"/>
      <c r="HM342" s="51"/>
      <c r="HN342" s="51"/>
      <c r="HO342" s="51"/>
      <c r="HP342" s="51"/>
      <c r="HQ342" s="51"/>
      <c r="HR342" s="51"/>
      <c r="HS342" s="51"/>
      <c r="HT342" s="51"/>
      <c r="HU342" s="51"/>
      <c r="HV342" s="51"/>
      <c r="HW342" s="51"/>
      <c r="HX342" s="51"/>
      <c r="HY342" s="51"/>
      <c r="HZ342" s="51"/>
      <c r="IA342" s="51"/>
      <c r="IB342" s="51"/>
      <c r="IC342" s="51"/>
      <c r="ID342" s="51"/>
      <c r="IE342" s="51"/>
      <c r="IF342" s="51"/>
      <c r="IG342" s="51"/>
      <c r="IH342" s="51"/>
      <c r="II342" s="51"/>
      <c r="IJ342" s="51"/>
      <c r="IK342" s="51"/>
      <c r="IL342" s="51"/>
      <c r="IM342" s="51"/>
      <c r="IN342" s="51"/>
      <c r="IO342" s="51"/>
      <c r="IP342" s="51"/>
      <c r="IQ342" s="51"/>
      <c r="IR342" s="51"/>
      <c r="IS342" s="51"/>
      <c r="IT342" s="51"/>
      <c r="IU342" s="51"/>
      <c r="IV342" s="51"/>
    </row>
    <row r="343" hidden="1">
      <c r="B343" s="826" t="s">
        <v>22</v>
      </c>
      <c r="C343" s="827">
        <v>6591</v>
      </c>
      <c r="D343" s="827">
        <v>6687</v>
      </c>
      <c r="E343" s="827">
        <v>6818</v>
      </c>
      <c r="F343" s="827">
        <v>6968</v>
      </c>
      <c r="G343" s="827">
        <v>7131</v>
      </c>
      <c r="H343" s="827">
        <v>7291</v>
      </c>
      <c r="I343" s="827">
        <v>7158</v>
      </c>
      <c r="J343" s="827">
        <v>7239</v>
      </c>
      <c r="K343" s="827">
        <v>7379</v>
      </c>
      <c r="L343" s="827">
        <v>7508</v>
      </c>
      <c r="M343" s="827">
        <v>5583</v>
      </c>
      <c r="N343" s="827">
        <v>5671</v>
      </c>
      <c r="O343" s="827">
        <v>4992</v>
      </c>
      <c r="P343" s="827">
        <v>5053</v>
      </c>
      <c r="Q343" s="827">
        <v>4839</v>
      </c>
      <c r="R343" s="827">
        <v>4862</v>
      </c>
      <c r="S343" s="827">
        <v>2419</v>
      </c>
      <c r="T343" s="827">
        <v>2377</v>
      </c>
      <c r="U343" s="827">
        <v>252</v>
      </c>
      <c r="V343" s="827">
        <v>1175</v>
      </c>
      <c r="W343" s="827">
        <v>1184</v>
      </c>
      <c r="X343" s="827">
        <v>1120</v>
      </c>
      <c r="Y343" s="827">
        <v>1077</v>
      </c>
      <c r="Z343" s="827">
        <v>1075</v>
      </c>
      <c r="AA343" s="827">
        <v>775</v>
      </c>
      <c r="AB343" s="827">
        <v>747</v>
      </c>
      <c r="AC343" s="828">
        <v>798</v>
      </c>
      <c r="AD343" s="828">
        <v>782</v>
      </c>
      <c r="AE343" s="828">
        <v>1278</v>
      </c>
      <c r="AF343" s="828">
        <v>1273</v>
      </c>
      <c r="AG343" s="828">
        <v>1265</v>
      </c>
      <c r="AH343" s="828">
        <v>1251</v>
      </c>
      <c r="AI343" s="828">
        <v>1739</v>
      </c>
      <c r="AJ343" s="828">
        <v>1652</v>
      </c>
      <c r="AK343" s="828">
        <v>1475</v>
      </c>
      <c r="AL343" s="828">
        <v>1638</v>
      </c>
      <c r="AM343" s="828">
        <v>1590</v>
      </c>
      <c r="AN343" s="828">
        <v>1465</v>
      </c>
      <c r="AO343" s="828">
        <v>1384</v>
      </c>
      <c r="AP343" s="828">
        <v>1343</v>
      </c>
      <c r="AQ343" s="51"/>
      <c r="AR343" s="51"/>
      <c r="AS343" s="51"/>
      <c r="AT343" s="51"/>
      <c r="AU343" s="51"/>
      <c r="AV343" s="51"/>
      <c r="AW343" s="51"/>
      <c r="AX343" s="51"/>
      <c r="AY343" s="51"/>
      <c r="AZ343" s="51"/>
      <c r="BA343" s="51"/>
      <c r="BB343" s="51"/>
      <c r="BC343" s="51"/>
      <c r="BD343" s="51"/>
      <c r="BE343" s="51"/>
      <c r="BF343" s="51"/>
      <c r="BG343" s="51"/>
      <c r="BH343" s="51"/>
      <c r="BI343" s="51"/>
      <c r="BJ343" s="51"/>
      <c r="BK343" s="51"/>
      <c r="BL343" s="51"/>
      <c r="BM343" s="51"/>
      <c r="BN343" s="51"/>
      <c r="BO343" s="51"/>
      <c r="BP343" s="51"/>
      <c r="BQ343" s="51"/>
      <c r="BR343" s="51"/>
      <c r="BS343" s="51"/>
      <c r="BT343" s="51"/>
      <c r="BU343" s="51"/>
      <c r="BV343" s="51"/>
      <c r="BW343" s="51"/>
      <c r="BX343" s="51"/>
      <c r="BY343" s="51"/>
      <c r="BZ343" s="51"/>
      <c r="CA343" s="51"/>
      <c r="CB343" s="51"/>
      <c r="CC343" s="51"/>
      <c r="CD343" s="51"/>
      <c r="CE343" s="51"/>
      <c r="CF343" s="51"/>
      <c r="CG343" s="51"/>
      <c r="CH343" s="51"/>
      <c r="CI343" s="51"/>
      <c r="CJ343" s="51"/>
      <c r="CK343" s="51"/>
      <c r="CL343" s="51"/>
      <c r="CM343" s="51"/>
      <c r="CN343" s="51"/>
      <c r="CO343" s="51"/>
      <c r="CP343" s="51"/>
      <c r="CQ343" s="51"/>
      <c r="CR343" s="51"/>
      <c r="CS343" s="51"/>
      <c r="CT343" s="51"/>
      <c r="CU343" s="51"/>
      <c r="CV343" s="51"/>
      <c r="CW343" s="51"/>
      <c r="CX343" s="51"/>
      <c r="CY343" s="51"/>
      <c r="CZ343" s="51"/>
      <c r="DA343" s="51"/>
      <c r="DB343" s="51"/>
      <c r="DC343" s="51"/>
      <c r="DD343" s="51"/>
      <c r="DE343" s="51"/>
      <c r="DF343" s="51"/>
      <c r="DG343" s="51"/>
      <c r="DH343" s="51"/>
      <c r="DI343" s="51"/>
      <c r="DJ343" s="51"/>
      <c r="DK343" s="51"/>
      <c r="DL343" s="51"/>
      <c r="DM343" s="51"/>
      <c r="DN343" s="51"/>
      <c r="DO343" s="51"/>
      <c r="DP343" s="51"/>
      <c r="DQ343" s="51"/>
      <c r="DR343" s="51"/>
      <c r="DS343" s="51"/>
      <c r="DT343" s="51"/>
      <c r="DU343" s="51"/>
      <c r="DV343" s="51"/>
      <c r="DW343" s="51"/>
      <c r="DX343" s="51"/>
      <c r="DY343" s="51"/>
      <c r="DZ343" s="51"/>
      <c r="EA343" s="51"/>
      <c r="EB343" s="51"/>
      <c r="EC343" s="51"/>
      <c r="ED343" s="51"/>
      <c r="EE343" s="51"/>
      <c r="EF343" s="51"/>
      <c r="EG343" s="51"/>
      <c r="EH343" s="51"/>
      <c r="EI343" s="51"/>
      <c r="EJ343" s="51"/>
      <c r="EK343" s="51"/>
      <c r="EL343" s="51"/>
      <c r="EM343" s="51"/>
      <c r="EN343" s="51"/>
      <c r="EO343" s="51"/>
      <c r="EP343" s="51"/>
      <c r="EQ343" s="51"/>
      <c r="ER343" s="51"/>
      <c r="ES343" s="51"/>
      <c r="ET343" s="51"/>
      <c r="EU343" s="51"/>
      <c r="EV343" s="51"/>
      <c r="EW343" s="51"/>
      <c r="EX343" s="51"/>
      <c r="EY343" s="51"/>
      <c r="EZ343" s="51"/>
      <c r="FA343" s="51"/>
      <c r="FB343" s="51"/>
      <c r="FC343" s="51"/>
      <c r="FD343" s="51"/>
      <c r="FE343" s="51"/>
      <c r="FF343" s="51"/>
      <c r="FG343" s="51"/>
      <c r="FH343" s="51"/>
      <c r="FI343" s="51"/>
      <c r="FJ343" s="51"/>
      <c r="FK343" s="51"/>
      <c r="FL343" s="51"/>
      <c r="FM343" s="51"/>
      <c r="FN343" s="51"/>
      <c r="FO343" s="51"/>
      <c r="FP343" s="51"/>
      <c r="FQ343" s="51"/>
      <c r="FR343" s="51"/>
      <c r="FS343" s="51"/>
      <c r="FT343" s="51"/>
      <c r="FU343" s="51"/>
      <c r="FV343" s="51"/>
      <c r="FW343" s="51"/>
      <c r="FX343" s="51"/>
      <c r="FY343" s="51"/>
      <c r="FZ343" s="51"/>
      <c r="GA343" s="51"/>
      <c r="GB343" s="51"/>
      <c r="GC343" s="51"/>
      <c r="GD343" s="51"/>
      <c r="GE343" s="51"/>
      <c r="GF343" s="51"/>
      <c r="GG343" s="51"/>
      <c r="GH343" s="51"/>
      <c r="GI343" s="51"/>
      <c r="GJ343" s="51"/>
      <c r="GK343" s="51"/>
      <c r="GL343" s="51"/>
      <c r="GM343" s="51"/>
      <c r="GN343" s="51"/>
      <c r="GO343" s="51"/>
      <c r="GP343" s="51"/>
      <c r="GQ343" s="51"/>
      <c r="GR343" s="51"/>
      <c r="GS343" s="51"/>
      <c r="GT343" s="51"/>
      <c r="GU343" s="51"/>
      <c r="GV343" s="51"/>
      <c r="GW343" s="51"/>
      <c r="GX343" s="51"/>
      <c r="GY343" s="51"/>
      <c r="GZ343" s="51"/>
      <c r="HA343" s="51"/>
      <c r="HB343" s="51"/>
      <c r="HC343" s="51"/>
      <c r="HD343" s="51"/>
      <c r="HE343" s="51"/>
      <c r="HF343" s="51"/>
      <c r="HG343" s="51"/>
      <c r="HH343" s="51"/>
      <c r="HI343" s="51"/>
      <c r="HJ343" s="51"/>
      <c r="HK343" s="51"/>
      <c r="HL343" s="51"/>
      <c r="HM343" s="51"/>
      <c r="HN343" s="51"/>
      <c r="HO343" s="51"/>
      <c r="HP343" s="51"/>
      <c r="HQ343" s="51"/>
      <c r="HR343" s="51"/>
      <c r="HS343" s="51"/>
      <c r="HT343" s="51"/>
      <c r="HU343" s="51"/>
      <c r="HV343" s="51"/>
      <c r="HW343" s="51"/>
      <c r="HX343" s="51"/>
      <c r="HY343" s="51"/>
      <c r="HZ343" s="51"/>
      <c r="IA343" s="51"/>
      <c r="IB343" s="51"/>
      <c r="IC343" s="51"/>
      <c r="ID343" s="51"/>
      <c r="IE343" s="51"/>
      <c r="IF343" s="51"/>
      <c r="IG343" s="51"/>
      <c r="IH343" s="51"/>
      <c r="II343" s="51"/>
      <c r="IJ343" s="51"/>
      <c r="IK343" s="51"/>
      <c r="IL343" s="51"/>
      <c r="IM343" s="51"/>
      <c r="IN343" s="51"/>
      <c r="IO343" s="51"/>
      <c r="IP343" s="51"/>
      <c r="IQ343" s="51"/>
      <c r="IR343" s="51"/>
      <c r="IS343" s="51"/>
      <c r="IT343" s="51"/>
      <c r="IU343" s="51"/>
      <c r="IV343" s="51"/>
    </row>
    <row r="344" hidden="1">
      <c r="B344" s="829" t="s">
        <v>23</v>
      </c>
      <c r="C344" s="823">
        <v>180</v>
      </c>
      <c r="D344" s="823">
        <v>51</v>
      </c>
      <c r="E344" s="823">
        <v>40</v>
      </c>
      <c r="F344" s="823">
        <v>41</v>
      </c>
      <c r="G344" s="823">
        <v>37</v>
      </c>
      <c r="H344" s="823">
        <v>39</v>
      </c>
      <c r="I344" s="823">
        <v>33</v>
      </c>
      <c r="J344" s="823">
        <v>37</v>
      </c>
      <c r="K344" s="823">
        <v>35</v>
      </c>
      <c r="L344" s="823">
        <v>36</v>
      </c>
      <c r="M344" s="823">
        <v>38</v>
      </c>
      <c r="N344" s="823">
        <v>41</v>
      </c>
      <c r="O344" s="823">
        <v>51</v>
      </c>
      <c r="P344" s="823">
        <v>54</v>
      </c>
      <c r="Q344" s="823">
        <v>55</v>
      </c>
      <c r="R344" s="823">
        <v>59</v>
      </c>
      <c r="S344" s="823">
        <v>68</v>
      </c>
      <c r="T344" s="823">
        <v>66</v>
      </c>
      <c r="U344" s="823">
        <v>66</v>
      </c>
      <c r="V344" s="823">
        <v>76</v>
      </c>
      <c r="W344" s="823">
        <v>84</v>
      </c>
      <c r="X344" s="823">
        <v>400</v>
      </c>
      <c r="Y344" s="823">
        <v>411</v>
      </c>
      <c r="Z344" s="823">
        <v>504</v>
      </c>
      <c r="AA344" s="823">
        <v>510</v>
      </c>
      <c r="AB344" s="823">
        <v>508</v>
      </c>
      <c r="AC344" s="825">
        <v>508</v>
      </c>
      <c r="AD344" s="825">
        <v>517</v>
      </c>
      <c r="AE344" s="825">
        <v>524</v>
      </c>
      <c r="AF344" s="825">
        <v>543</v>
      </c>
      <c r="AG344" s="825">
        <v>557</v>
      </c>
      <c r="AH344" s="825">
        <v>549</v>
      </c>
      <c r="AI344" s="825">
        <v>520</v>
      </c>
      <c r="AJ344" s="825">
        <v>540</v>
      </c>
      <c r="AK344" s="825">
        <v>537</v>
      </c>
      <c r="AL344" s="825">
        <v>525</v>
      </c>
      <c r="AM344" s="825">
        <v>539</v>
      </c>
      <c r="AN344" s="825">
        <v>592</v>
      </c>
      <c r="AO344" s="825">
        <v>594</v>
      </c>
      <c r="AP344" s="825">
        <v>583</v>
      </c>
      <c r="AQ344" s="51"/>
      <c r="AR344" s="51"/>
      <c r="AS344" s="51"/>
      <c r="AT344" s="51"/>
      <c r="AU344" s="51"/>
      <c r="AV344" s="51"/>
      <c r="AW344" s="51"/>
      <c r="AX344" s="51"/>
      <c r="AY344" s="51"/>
      <c r="AZ344" s="51"/>
      <c r="BA344" s="51"/>
      <c r="BB344" s="51"/>
      <c r="BC344" s="51"/>
      <c r="BD344" s="51"/>
      <c r="BE344" s="51"/>
      <c r="BF344" s="51"/>
      <c r="BG344" s="51"/>
      <c r="BH344" s="51"/>
      <c r="BI344" s="51"/>
      <c r="BJ344" s="51"/>
      <c r="BK344" s="51"/>
      <c r="BL344" s="51"/>
      <c r="BM344" s="51"/>
      <c r="BN344" s="51"/>
      <c r="BO344" s="51"/>
      <c r="BP344" s="51"/>
      <c r="BQ344" s="51"/>
      <c r="BR344" s="51"/>
      <c r="BS344" s="51"/>
      <c r="BT344" s="51"/>
      <c r="BU344" s="51"/>
      <c r="BV344" s="51"/>
      <c r="BW344" s="51"/>
      <c r="BX344" s="51"/>
      <c r="BY344" s="51"/>
      <c r="BZ344" s="51"/>
      <c r="CA344" s="51"/>
      <c r="CB344" s="51"/>
      <c r="CC344" s="51"/>
      <c r="CD344" s="51"/>
      <c r="CE344" s="51"/>
      <c r="CF344" s="51"/>
      <c r="CG344" s="51"/>
      <c r="CH344" s="51"/>
      <c r="CI344" s="51"/>
      <c r="CJ344" s="51"/>
      <c r="CK344" s="51"/>
      <c r="CL344" s="51"/>
      <c r="CM344" s="51"/>
      <c r="CN344" s="51"/>
      <c r="CO344" s="51"/>
      <c r="CP344" s="51"/>
      <c r="CQ344" s="51"/>
      <c r="CR344" s="51"/>
      <c r="CS344" s="51"/>
      <c r="CT344" s="51"/>
      <c r="CU344" s="51"/>
      <c r="CV344" s="51"/>
      <c r="CW344" s="51"/>
      <c r="CX344" s="51"/>
      <c r="CY344" s="51"/>
      <c r="CZ344" s="51"/>
      <c r="DA344" s="51"/>
      <c r="DB344" s="51"/>
      <c r="DC344" s="51"/>
      <c r="DD344" s="51"/>
      <c r="DE344" s="51"/>
      <c r="DF344" s="51"/>
      <c r="DG344" s="51"/>
      <c r="DH344" s="51"/>
      <c r="DI344" s="51"/>
      <c r="DJ344" s="51"/>
      <c r="DK344" s="51"/>
      <c r="DL344" s="51"/>
      <c r="DM344" s="51"/>
      <c r="DN344" s="51"/>
      <c r="DO344" s="51"/>
      <c r="DP344" s="51"/>
      <c r="DQ344" s="51"/>
      <c r="DR344" s="51"/>
      <c r="DS344" s="51"/>
      <c r="DT344" s="51"/>
      <c r="DU344" s="51"/>
      <c r="DV344" s="51"/>
      <c r="DW344" s="51"/>
      <c r="DX344" s="51"/>
      <c r="DY344" s="51"/>
      <c r="DZ344" s="51"/>
      <c r="EA344" s="51"/>
      <c r="EB344" s="51"/>
      <c r="EC344" s="51"/>
      <c r="ED344" s="51"/>
      <c r="EE344" s="51"/>
      <c r="EF344" s="51"/>
      <c r="EG344" s="51"/>
      <c r="EH344" s="51"/>
      <c r="EI344" s="51"/>
      <c r="EJ344" s="51"/>
      <c r="EK344" s="51"/>
      <c r="EL344" s="51"/>
      <c r="EM344" s="51"/>
      <c r="EN344" s="51"/>
      <c r="EO344" s="51"/>
      <c r="EP344" s="51"/>
      <c r="EQ344" s="51"/>
      <c r="ER344" s="51"/>
      <c r="ES344" s="51"/>
      <c r="ET344" s="51"/>
      <c r="EU344" s="51"/>
      <c r="EV344" s="51"/>
      <c r="EW344" s="51"/>
      <c r="EX344" s="51"/>
      <c r="EY344" s="51"/>
      <c r="EZ344" s="51"/>
      <c r="FA344" s="51"/>
      <c r="FB344" s="51"/>
      <c r="FC344" s="51"/>
      <c r="FD344" s="51"/>
      <c r="FE344" s="51"/>
      <c r="FF344" s="51"/>
      <c r="FG344" s="51"/>
      <c r="FH344" s="51"/>
      <c r="FI344" s="51"/>
      <c r="FJ344" s="51"/>
      <c r="FK344" s="51"/>
      <c r="FL344" s="51"/>
      <c r="FM344" s="51"/>
      <c r="FN344" s="51"/>
      <c r="FO344" s="51"/>
      <c r="FP344" s="51"/>
      <c r="FQ344" s="51"/>
      <c r="FR344" s="51"/>
      <c r="FS344" s="51"/>
      <c r="FT344" s="51"/>
      <c r="FU344" s="51"/>
      <c r="FV344" s="51"/>
      <c r="FW344" s="51"/>
      <c r="FX344" s="51"/>
      <c r="FY344" s="51"/>
      <c r="FZ344" s="51"/>
      <c r="GA344" s="51"/>
      <c r="GB344" s="51"/>
      <c r="GC344" s="51"/>
      <c r="GD344" s="51"/>
      <c r="GE344" s="51"/>
      <c r="GF344" s="51"/>
      <c r="GG344" s="51"/>
      <c r="GH344" s="51"/>
      <c r="GI344" s="51"/>
      <c r="GJ344" s="51"/>
      <c r="GK344" s="51"/>
      <c r="GL344" s="51"/>
      <c r="GM344" s="51"/>
      <c r="GN344" s="51"/>
      <c r="GO344" s="51"/>
      <c r="GP344" s="51"/>
      <c r="GQ344" s="51"/>
      <c r="GR344" s="51"/>
      <c r="GS344" s="51"/>
      <c r="GT344" s="51"/>
      <c r="GU344" s="51"/>
      <c r="GV344" s="51"/>
      <c r="GW344" s="51"/>
      <c r="GX344" s="51"/>
      <c r="GY344" s="51"/>
      <c r="GZ344" s="51"/>
      <c r="HA344" s="51"/>
      <c r="HB344" s="51"/>
      <c r="HC344" s="51"/>
      <c r="HD344" s="51"/>
      <c r="HE344" s="51"/>
      <c r="HF344" s="51"/>
      <c r="HG344" s="51"/>
      <c r="HH344" s="51"/>
      <c r="HI344" s="51"/>
      <c r="HJ344" s="51"/>
      <c r="HK344" s="51"/>
      <c r="HL344" s="51"/>
      <c r="HM344" s="51"/>
      <c r="HN344" s="51"/>
      <c r="HO344" s="51"/>
      <c r="HP344" s="51"/>
      <c r="HQ344" s="51"/>
      <c r="HR344" s="51"/>
      <c r="HS344" s="51"/>
      <c r="HT344" s="51"/>
      <c r="HU344" s="51"/>
      <c r="HV344" s="51"/>
      <c r="HW344" s="51"/>
      <c r="HX344" s="51"/>
      <c r="HY344" s="51"/>
      <c r="HZ344" s="51"/>
      <c r="IA344" s="51"/>
      <c r="IB344" s="51"/>
      <c r="IC344" s="51"/>
      <c r="ID344" s="51"/>
      <c r="IE344" s="51"/>
      <c r="IF344" s="51"/>
      <c r="IG344" s="51"/>
      <c r="IH344" s="51"/>
      <c r="II344" s="51"/>
      <c r="IJ344" s="51"/>
      <c r="IK344" s="51"/>
      <c r="IL344" s="51"/>
      <c r="IM344" s="51"/>
      <c r="IN344" s="51"/>
      <c r="IO344" s="51"/>
      <c r="IP344" s="51"/>
      <c r="IQ344" s="51"/>
      <c r="IR344" s="51"/>
      <c r="IS344" s="51"/>
      <c r="IT344" s="51"/>
      <c r="IU344" s="51"/>
      <c r="IV344" s="51"/>
    </row>
    <row r="345" hidden="1">
      <c r="B345" s="835" t="s">
        <v>24</v>
      </c>
      <c r="C345" s="827">
        <v>20</v>
      </c>
      <c r="D345" s="827">
        <v>21</v>
      </c>
      <c r="E345" s="827">
        <v>28</v>
      </c>
      <c r="F345" s="827">
        <v>30</v>
      </c>
      <c r="G345" s="827">
        <v>34</v>
      </c>
      <c r="H345" s="827">
        <v>60</v>
      </c>
      <c r="I345" s="827">
        <v>94</v>
      </c>
      <c r="J345" s="827">
        <v>110</v>
      </c>
      <c r="K345" s="827">
        <v>181</v>
      </c>
      <c r="L345" s="827">
        <v>128</v>
      </c>
      <c r="M345" s="827">
        <v>5</v>
      </c>
      <c r="N345" s="827">
        <v>145</v>
      </c>
      <c r="O345" s="827">
        <v>2420</v>
      </c>
      <c r="P345" s="827">
        <v>2625</v>
      </c>
      <c r="Q345" s="827">
        <v>2830</v>
      </c>
      <c r="R345" s="827">
        <v>2976</v>
      </c>
      <c r="S345" s="827">
        <v>3235</v>
      </c>
      <c r="T345" s="827">
        <v>3315</v>
      </c>
      <c r="U345" s="827">
        <v>3654</v>
      </c>
      <c r="V345" s="827">
        <v>3890</v>
      </c>
      <c r="W345" s="827">
        <v>4150</v>
      </c>
      <c r="X345" s="827">
        <v>4408</v>
      </c>
      <c r="Y345" s="827">
        <v>4611</v>
      </c>
      <c r="Z345" s="827">
        <v>4808</v>
      </c>
      <c r="AA345" s="827">
        <v>4926</v>
      </c>
      <c r="AB345" s="827">
        <v>5074</v>
      </c>
      <c r="AC345" s="828">
        <v>5228</v>
      </c>
      <c r="AD345" s="828">
        <v>5350</v>
      </c>
      <c r="AE345" s="828">
        <v>5428</v>
      </c>
      <c r="AF345" s="828">
        <v>5577</v>
      </c>
      <c r="AG345" s="828">
        <v>5732</v>
      </c>
      <c r="AH345" s="828">
        <v>5896</v>
      </c>
      <c r="AI345" s="828">
        <v>6021</v>
      </c>
      <c r="AJ345" s="828">
        <v>0</v>
      </c>
      <c r="AK345" s="828">
        <v>0</v>
      </c>
      <c r="AL345" s="828">
        <v>0</v>
      </c>
      <c r="AM345" s="828">
        <v>6365</v>
      </c>
      <c r="AN345" s="828">
        <v>6594</v>
      </c>
      <c r="AO345" s="828">
        <v>6688</v>
      </c>
      <c r="AP345" s="828">
        <v>6667</v>
      </c>
      <c r="AQ345" s="51"/>
      <c r="AR345" s="51"/>
      <c r="AS345" s="51"/>
      <c r="AT345" s="51"/>
      <c r="AU345" s="51"/>
      <c r="AV345" s="51"/>
      <c r="AW345" s="51"/>
      <c r="AX345" s="51"/>
      <c r="AY345" s="51"/>
      <c r="AZ345" s="51"/>
      <c r="BA345" s="51"/>
      <c r="BB345" s="51"/>
      <c r="BC345" s="51"/>
      <c r="BD345" s="51"/>
      <c r="BE345" s="51"/>
      <c r="BF345" s="51"/>
      <c r="BG345" s="51"/>
      <c r="BH345" s="51"/>
      <c r="BI345" s="51"/>
      <c r="BJ345" s="51"/>
      <c r="BK345" s="51"/>
      <c r="BL345" s="51"/>
      <c r="BM345" s="51"/>
      <c r="BN345" s="51"/>
      <c r="BO345" s="51"/>
      <c r="BP345" s="51"/>
      <c r="BQ345" s="51"/>
      <c r="BR345" s="51"/>
      <c r="BS345" s="51"/>
      <c r="BT345" s="51"/>
      <c r="BU345" s="51"/>
      <c r="BV345" s="51"/>
      <c r="BW345" s="51"/>
      <c r="BX345" s="51"/>
      <c r="BY345" s="51"/>
      <c r="BZ345" s="51"/>
      <c r="CA345" s="51"/>
      <c r="CB345" s="51"/>
      <c r="CC345" s="51"/>
      <c r="CD345" s="51"/>
      <c r="CE345" s="51"/>
      <c r="CF345" s="51"/>
      <c r="CG345" s="51"/>
      <c r="CH345" s="51"/>
      <c r="CI345" s="51"/>
      <c r="CJ345" s="51"/>
      <c r="CK345" s="51"/>
      <c r="CL345" s="51"/>
      <c r="CM345" s="51"/>
      <c r="CN345" s="51"/>
      <c r="CO345" s="51"/>
      <c r="CP345" s="51"/>
      <c r="CQ345" s="51"/>
      <c r="CR345" s="51"/>
      <c r="CS345" s="51"/>
      <c r="CT345" s="51"/>
      <c r="CU345" s="51"/>
      <c r="CV345" s="51"/>
      <c r="CW345" s="51"/>
      <c r="CX345" s="51"/>
      <c r="CY345" s="51"/>
      <c r="CZ345" s="51"/>
      <c r="DA345" s="51"/>
      <c r="DB345" s="51"/>
      <c r="DC345" s="51"/>
      <c r="DD345" s="51"/>
      <c r="DE345" s="51"/>
      <c r="DF345" s="51"/>
      <c r="DG345" s="51"/>
      <c r="DH345" s="51"/>
      <c r="DI345" s="51"/>
      <c r="DJ345" s="51"/>
      <c r="DK345" s="51"/>
      <c r="DL345" s="51"/>
      <c r="DM345" s="51"/>
      <c r="DN345" s="51"/>
      <c r="DO345" s="51"/>
      <c r="DP345" s="51"/>
      <c r="DQ345" s="51"/>
      <c r="DR345" s="51"/>
      <c r="DS345" s="51"/>
      <c r="DT345" s="51"/>
      <c r="DU345" s="51"/>
      <c r="DV345" s="51"/>
      <c r="DW345" s="51"/>
      <c r="DX345" s="51"/>
      <c r="DY345" s="51"/>
      <c r="DZ345" s="51"/>
      <c r="EA345" s="51"/>
      <c r="EB345" s="51"/>
      <c r="EC345" s="51"/>
      <c r="ED345" s="51"/>
      <c r="EE345" s="51"/>
      <c r="EF345" s="51"/>
      <c r="EG345" s="51"/>
      <c r="EH345" s="51"/>
      <c r="EI345" s="51"/>
      <c r="EJ345" s="51"/>
      <c r="EK345" s="51"/>
      <c r="EL345" s="51"/>
      <c r="EM345" s="51"/>
      <c r="EN345" s="51"/>
      <c r="EO345" s="51"/>
      <c r="EP345" s="51"/>
      <c r="EQ345" s="51"/>
      <c r="ER345" s="51"/>
      <c r="ES345" s="51"/>
      <c r="ET345" s="51"/>
      <c r="EU345" s="51"/>
      <c r="EV345" s="51"/>
      <c r="EW345" s="51"/>
      <c r="EX345" s="51"/>
      <c r="EY345" s="51"/>
      <c r="EZ345" s="51"/>
      <c r="FA345" s="51"/>
      <c r="FB345" s="51"/>
      <c r="FC345" s="51"/>
      <c r="FD345" s="51"/>
      <c r="FE345" s="51"/>
      <c r="FF345" s="51"/>
      <c r="FG345" s="51"/>
      <c r="FH345" s="51"/>
      <c r="FI345" s="51"/>
      <c r="FJ345" s="51"/>
      <c r="FK345" s="51"/>
      <c r="FL345" s="51"/>
      <c r="FM345" s="51"/>
      <c r="FN345" s="51"/>
      <c r="FO345" s="51"/>
      <c r="FP345" s="51"/>
      <c r="FQ345" s="51"/>
      <c r="FR345" s="51"/>
      <c r="FS345" s="51"/>
      <c r="FT345" s="51"/>
      <c r="FU345" s="51"/>
      <c r="FV345" s="51"/>
      <c r="FW345" s="51"/>
      <c r="FX345" s="51"/>
      <c r="FY345" s="51"/>
      <c r="FZ345" s="51"/>
      <c r="GA345" s="51"/>
      <c r="GB345" s="51"/>
      <c r="GC345" s="51"/>
      <c r="GD345" s="51"/>
      <c r="GE345" s="51"/>
      <c r="GF345" s="51"/>
      <c r="GG345" s="51"/>
      <c r="GH345" s="51"/>
      <c r="GI345" s="51"/>
      <c r="GJ345" s="51"/>
      <c r="GK345" s="51"/>
      <c r="GL345" s="51"/>
      <c r="GM345" s="51"/>
      <c r="GN345" s="51"/>
      <c r="GO345" s="51"/>
      <c r="GP345" s="51"/>
      <c r="GQ345" s="51"/>
      <c r="GR345" s="51"/>
      <c r="GS345" s="51"/>
      <c r="GT345" s="51"/>
      <c r="GU345" s="51"/>
      <c r="GV345" s="51"/>
      <c r="GW345" s="51"/>
      <c r="GX345" s="51"/>
      <c r="GY345" s="51"/>
      <c r="GZ345" s="51"/>
      <c r="HA345" s="51"/>
      <c r="HB345" s="51"/>
      <c r="HC345" s="51"/>
      <c r="HD345" s="51"/>
      <c r="HE345" s="51"/>
      <c r="HF345" s="51"/>
      <c r="HG345" s="51"/>
      <c r="HH345" s="51"/>
      <c r="HI345" s="51"/>
      <c r="HJ345" s="51"/>
      <c r="HK345" s="51"/>
      <c r="HL345" s="51"/>
      <c r="HM345" s="51"/>
      <c r="HN345" s="51"/>
      <c r="HO345" s="51"/>
      <c r="HP345" s="51"/>
      <c r="HQ345" s="51"/>
      <c r="HR345" s="51"/>
      <c r="HS345" s="51"/>
      <c r="HT345" s="51"/>
      <c r="HU345" s="51"/>
      <c r="HV345" s="51"/>
      <c r="HW345" s="51"/>
      <c r="HX345" s="51"/>
      <c r="HY345" s="51"/>
      <c r="HZ345" s="51"/>
      <c r="IA345" s="51"/>
      <c r="IB345" s="51"/>
      <c r="IC345" s="51"/>
      <c r="ID345" s="51"/>
      <c r="IE345" s="51"/>
      <c r="IF345" s="51"/>
      <c r="IG345" s="51"/>
      <c r="IH345" s="51"/>
      <c r="II345" s="51"/>
      <c r="IJ345" s="51"/>
      <c r="IK345" s="51"/>
      <c r="IL345" s="51"/>
      <c r="IM345" s="51"/>
      <c r="IN345" s="51"/>
      <c r="IO345" s="51"/>
      <c r="IP345" s="51"/>
      <c r="IQ345" s="51"/>
      <c r="IR345" s="51"/>
      <c r="IS345" s="51"/>
      <c r="IT345" s="51"/>
      <c r="IU345" s="51"/>
      <c r="IV345" s="51"/>
    </row>
    <row r="346" hidden="1">
      <c r="B346" s="829" t="s">
        <v>25</v>
      </c>
      <c r="C346" s="823">
        <v>0</v>
      </c>
      <c r="D346" s="823">
        <v>0</v>
      </c>
      <c r="E346" s="823">
        <v>0</v>
      </c>
      <c r="F346" s="823">
        <v>0</v>
      </c>
      <c r="G346" s="823">
        <v>0</v>
      </c>
      <c r="H346" s="823">
        <v>0</v>
      </c>
      <c r="I346" s="823">
        <v>0</v>
      </c>
      <c r="J346" s="823">
        <v>0</v>
      </c>
      <c r="K346" s="823">
        <v>0</v>
      </c>
      <c r="L346" s="823">
        <v>0</v>
      </c>
      <c r="M346" s="823">
        <v>0</v>
      </c>
      <c r="N346" s="823">
        <v>0</v>
      </c>
      <c r="O346" s="823">
        <v>0</v>
      </c>
      <c r="P346" s="823">
        <v>0</v>
      </c>
      <c r="Q346" s="823">
        <v>0</v>
      </c>
      <c r="R346" s="823">
        <v>0</v>
      </c>
      <c r="S346" s="823">
        <v>0</v>
      </c>
      <c r="T346" s="823">
        <v>0</v>
      </c>
      <c r="U346" s="823">
        <v>0</v>
      </c>
      <c r="V346" s="823">
        <v>0</v>
      </c>
      <c r="W346" s="823">
        <v>0</v>
      </c>
      <c r="X346" s="823">
        <v>0</v>
      </c>
      <c r="Y346" s="823">
        <v>0</v>
      </c>
      <c r="Z346" s="823">
        <v>0</v>
      </c>
      <c r="AA346" s="823">
        <v>0</v>
      </c>
      <c r="AB346" s="823">
        <v>0</v>
      </c>
      <c r="AC346" s="825">
        <v>0</v>
      </c>
      <c r="AD346" s="825">
        <v>0</v>
      </c>
      <c r="AE346" s="825">
        <v>0</v>
      </c>
      <c r="AF346" s="825">
        <v>0</v>
      </c>
      <c r="AG346" s="825">
        <v>0</v>
      </c>
      <c r="AH346" s="825">
        <v>0</v>
      </c>
      <c r="AI346" s="825">
        <v>0</v>
      </c>
      <c r="AJ346" s="825">
        <v>0</v>
      </c>
      <c r="AK346" s="825">
        <v>0</v>
      </c>
      <c r="AL346" s="825">
        <v>0</v>
      </c>
      <c r="AM346" s="825">
        <v>0</v>
      </c>
      <c r="AN346" s="825">
        <v>0</v>
      </c>
      <c r="AO346" s="825">
        <v>0</v>
      </c>
      <c r="AP346" s="825">
        <v>0</v>
      </c>
      <c r="AQ346" s="51"/>
      <c r="AR346" s="51"/>
      <c r="AS346" s="51"/>
      <c r="AT346" s="51"/>
      <c r="AU346" s="51"/>
      <c r="AV346" s="51"/>
      <c r="AW346" s="51"/>
      <c r="AX346" s="51"/>
      <c r="AY346" s="51"/>
      <c r="AZ346" s="51"/>
      <c r="BA346" s="51"/>
      <c r="BB346" s="51"/>
      <c r="BC346" s="51"/>
      <c r="BD346" s="51"/>
      <c r="BE346" s="51"/>
      <c r="BF346" s="51"/>
      <c r="BG346" s="51"/>
      <c r="BH346" s="51"/>
      <c r="BI346" s="51"/>
      <c r="BJ346" s="51"/>
      <c r="BK346" s="51"/>
      <c r="BL346" s="51"/>
      <c r="BM346" s="51"/>
      <c r="BN346" s="51"/>
      <c r="BO346" s="51"/>
      <c r="BP346" s="51"/>
      <c r="BQ346" s="51"/>
      <c r="BR346" s="51"/>
      <c r="BS346" s="51"/>
      <c r="BT346" s="51"/>
      <c r="BU346" s="51"/>
      <c r="BV346" s="51"/>
      <c r="BW346" s="51"/>
      <c r="BX346" s="51"/>
      <c r="BY346" s="51"/>
      <c r="BZ346" s="51"/>
      <c r="CA346" s="51"/>
      <c r="CB346" s="51"/>
      <c r="CC346" s="51"/>
      <c r="CD346" s="51"/>
      <c r="CE346" s="51"/>
      <c r="CF346" s="51"/>
      <c r="CG346" s="51"/>
      <c r="CH346" s="51"/>
      <c r="CI346" s="51"/>
      <c r="CJ346" s="51"/>
      <c r="CK346" s="51"/>
      <c r="CL346" s="51"/>
      <c r="CM346" s="51"/>
      <c r="CN346" s="51"/>
      <c r="CO346" s="51"/>
      <c r="CP346" s="51"/>
      <c r="CQ346" s="51"/>
      <c r="CR346" s="51"/>
      <c r="CS346" s="51"/>
      <c r="CT346" s="51"/>
      <c r="CU346" s="51"/>
      <c r="CV346" s="51"/>
      <c r="CW346" s="51"/>
      <c r="CX346" s="51"/>
      <c r="CY346" s="51"/>
      <c r="CZ346" s="51"/>
      <c r="DA346" s="51"/>
      <c r="DB346" s="51"/>
      <c r="DC346" s="51"/>
      <c r="DD346" s="51"/>
      <c r="DE346" s="51"/>
      <c r="DF346" s="51"/>
      <c r="DG346" s="51"/>
      <c r="DH346" s="51"/>
      <c r="DI346" s="51"/>
      <c r="DJ346" s="51"/>
      <c r="DK346" s="51"/>
      <c r="DL346" s="51"/>
      <c r="DM346" s="51"/>
      <c r="DN346" s="51"/>
      <c r="DO346" s="51"/>
      <c r="DP346" s="51"/>
      <c r="DQ346" s="51"/>
      <c r="DR346" s="51"/>
      <c r="DS346" s="51"/>
      <c r="DT346" s="51"/>
      <c r="DU346" s="51"/>
      <c r="DV346" s="51"/>
      <c r="DW346" s="51"/>
      <c r="DX346" s="51"/>
      <c r="DY346" s="51"/>
      <c r="DZ346" s="51"/>
      <c r="EA346" s="51"/>
      <c r="EB346" s="51"/>
      <c r="EC346" s="51"/>
      <c r="ED346" s="51"/>
      <c r="EE346" s="51"/>
      <c r="EF346" s="51"/>
      <c r="EG346" s="51"/>
      <c r="EH346" s="51"/>
      <c r="EI346" s="51"/>
      <c r="EJ346" s="51"/>
      <c r="EK346" s="51"/>
      <c r="EL346" s="51"/>
      <c r="EM346" s="51"/>
      <c r="EN346" s="51"/>
      <c r="EO346" s="51"/>
      <c r="EP346" s="51"/>
      <c r="EQ346" s="51"/>
      <c r="ER346" s="51"/>
      <c r="ES346" s="51"/>
      <c r="ET346" s="51"/>
      <c r="EU346" s="51"/>
      <c r="EV346" s="51"/>
      <c r="EW346" s="51"/>
      <c r="EX346" s="51"/>
      <c r="EY346" s="51"/>
      <c r="EZ346" s="51"/>
      <c r="FA346" s="51"/>
      <c r="FB346" s="51"/>
      <c r="FC346" s="51"/>
      <c r="FD346" s="51"/>
      <c r="FE346" s="51"/>
      <c r="FF346" s="51"/>
      <c r="FG346" s="51"/>
      <c r="FH346" s="51"/>
      <c r="FI346" s="51"/>
      <c r="FJ346" s="51"/>
      <c r="FK346" s="51"/>
      <c r="FL346" s="51"/>
      <c r="FM346" s="51"/>
      <c r="FN346" s="51"/>
      <c r="FO346" s="51"/>
      <c r="FP346" s="51"/>
      <c r="FQ346" s="51"/>
      <c r="FR346" s="51"/>
      <c r="FS346" s="51"/>
      <c r="FT346" s="51"/>
      <c r="FU346" s="51"/>
      <c r="FV346" s="51"/>
      <c r="FW346" s="51"/>
      <c r="FX346" s="51"/>
      <c r="FY346" s="51"/>
      <c r="FZ346" s="51"/>
      <c r="GA346" s="51"/>
      <c r="GB346" s="51"/>
      <c r="GC346" s="51"/>
      <c r="GD346" s="51"/>
      <c r="GE346" s="51"/>
      <c r="GF346" s="51"/>
      <c r="GG346" s="51"/>
      <c r="GH346" s="51"/>
      <c r="GI346" s="51"/>
      <c r="GJ346" s="51"/>
      <c r="GK346" s="51"/>
      <c r="GL346" s="51"/>
      <c r="GM346" s="51"/>
      <c r="GN346" s="51"/>
      <c r="GO346" s="51"/>
      <c r="GP346" s="51"/>
      <c r="GQ346" s="51"/>
      <c r="GR346" s="51"/>
      <c r="GS346" s="51"/>
      <c r="GT346" s="51"/>
      <c r="GU346" s="51"/>
      <c r="GV346" s="51"/>
      <c r="GW346" s="51"/>
      <c r="GX346" s="51"/>
      <c r="GY346" s="51"/>
      <c r="GZ346" s="51"/>
      <c r="HA346" s="51"/>
      <c r="HB346" s="51"/>
      <c r="HC346" s="51"/>
      <c r="HD346" s="51"/>
      <c r="HE346" s="51"/>
      <c r="HF346" s="51"/>
      <c r="HG346" s="51"/>
      <c r="HH346" s="51"/>
      <c r="HI346" s="51"/>
      <c r="HJ346" s="51"/>
      <c r="HK346" s="51"/>
      <c r="HL346" s="51"/>
      <c r="HM346" s="51"/>
      <c r="HN346" s="51"/>
      <c r="HO346" s="51"/>
      <c r="HP346" s="51"/>
      <c r="HQ346" s="51"/>
      <c r="HR346" s="51"/>
      <c r="HS346" s="51"/>
      <c r="HT346" s="51"/>
      <c r="HU346" s="51"/>
      <c r="HV346" s="51"/>
      <c r="HW346" s="51"/>
      <c r="HX346" s="51"/>
      <c r="HY346" s="51"/>
      <c r="HZ346" s="51"/>
      <c r="IA346" s="51"/>
      <c r="IB346" s="51"/>
      <c r="IC346" s="51"/>
      <c r="ID346" s="51"/>
      <c r="IE346" s="51"/>
      <c r="IF346" s="51"/>
      <c r="IG346" s="51"/>
      <c r="IH346" s="51"/>
      <c r="II346" s="51"/>
      <c r="IJ346" s="51"/>
      <c r="IK346" s="51"/>
      <c r="IL346" s="51"/>
      <c r="IM346" s="51"/>
      <c r="IN346" s="51"/>
      <c r="IO346" s="51"/>
      <c r="IP346" s="51"/>
      <c r="IQ346" s="51"/>
      <c r="IR346" s="51"/>
      <c r="IS346" s="51"/>
      <c r="IT346" s="51"/>
      <c r="IU346" s="51"/>
      <c r="IV346" s="51"/>
    </row>
    <row r="347" hidden="1" ht="13.5">
      <c r="B347" s="836" t="s">
        <v>26</v>
      </c>
      <c r="C347" s="827">
        <v>0</v>
      </c>
      <c r="D347" s="827">
        <v>0</v>
      </c>
      <c r="E347" s="827">
        <v>0</v>
      </c>
      <c r="F347" s="827">
        <v>0</v>
      </c>
      <c r="G347" s="827">
        <v>0</v>
      </c>
      <c r="H347" s="827">
        <v>0</v>
      </c>
      <c r="I347" s="827">
        <v>0</v>
      </c>
      <c r="J347" s="827">
        <v>0</v>
      </c>
      <c r="K347" s="827">
        <v>0</v>
      </c>
      <c r="L347" s="827">
        <v>0</v>
      </c>
      <c r="M347" s="827">
        <v>0</v>
      </c>
      <c r="N347" s="827">
        <v>0</v>
      </c>
      <c r="O347" s="827">
        <v>0</v>
      </c>
      <c r="P347" s="827">
        <v>0</v>
      </c>
      <c r="Q347" s="827">
        <v>0</v>
      </c>
      <c r="R347" s="827">
        <v>0</v>
      </c>
      <c r="S347" s="827">
        <v>0</v>
      </c>
      <c r="T347" s="827">
        <v>0</v>
      </c>
      <c r="U347" s="827">
        <v>0</v>
      </c>
      <c r="V347" s="827">
        <v>0</v>
      </c>
      <c r="W347" s="827">
        <v>0</v>
      </c>
      <c r="X347" s="827">
        <v>0</v>
      </c>
      <c r="Y347" s="827">
        <v>0</v>
      </c>
      <c r="Z347" s="827">
        <v>0</v>
      </c>
      <c r="AA347" s="827">
        <v>0</v>
      </c>
      <c r="AB347" s="837">
        <v>0</v>
      </c>
      <c r="AC347" s="828">
        <v>0</v>
      </c>
      <c r="AD347" s="828">
        <v>0</v>
      </c>
      <c r="AE347" s="828">
        <v>0</v>
      </c>
      <c r="AF347" s="828">
        <v>0</v>
      </c>
      <c r="AG347" s="828">
        <v>0</v>
      </c>
      <c r="AH347" s="828">
        <v>0</v>
      </c>
      <c r="AI347" s="828">
        <v>0</v>
      </c>
      <c r="AJ347" s="828">
        <v>0</v>
      </c>
      <c r="AK347" s="828">
        <v>0</v>
      </c>
      <c r="AL347" s="828">
        <v>0</v>
      </c>
      <c r="AM347" s="828">
        <v>0</v>
      </c>
      <c r="AN347" s="828">
        <v>0</v>
      </c>
      <c r="AO347" s="828">
        <v>0</v>
      </c>
      <c r="AP347" s="828">
        <v>0</v>
      </c>
      <c r="AQ347" s="51"/>
      <c r="AR347" s="51"/>
      <c r="AS347" s="51"/>
      <c r="AT347" s="51"/>
      <c r="AU347" s="51"/>
      <c r="AV347" s="51"/>
      <c r="AW347" s="51"/>
      <c r="AX347" s="51"/>
      <c r="AY347" s="51"/>
      <c r="AZ347" s="51"/>
      <c r="BA347" s="51"/>
      <c r="BB347" s="51"/>
      <c r="BC347" s="51"/>
      <c r="BD347" s="51"/>
      <c r="BE347" s="51"/>
      <c r="BF347" s="51"/>
      <c r="BG347" s="51"/>
      <c r="BH347" s="51"/>
      <c r="BI347" s="51"/>
      <c r="BJ347" s="51"/>
      <c r="BK347" s="51"/>
      <c r="BL347" s="51"/>
      <c r="BM347" s="51"/>
      <c r="BN347" s="51"/>
      <c r="BO347" s="51"/>
      <c r="BP347" s="51"/>
      <c r="BQ347" s="51"/>
      <c r="BR347" s="51"/>
      <c r="BS347" s="51"/>
      <c r="BT347" s="51"/>
      <c r="BU347" s="51"/>
      <c r="BV347" s="51"/>
      <c r="BW347" s="51"/>
      <c r="BX347" s="51"/>
      <c r="BY347" s="51"/>
      <c r="BZ347" s="51"/>
      <c r="CA347" s="51"/>
      <c r="CB347" s="51"/>
      <c r="CC347" s="51"/>
      <c r="CD347" s="51"/>
      <c r="CE347" s="51"/>
      <c r="CF347" s="51"/>
      <c r="CG347" s="51"/>
      <c r="CH347" s="51"/>
      <c r="CI347" s="51"/>
      <c r="CJ347" s="51"/>
      <c r="CK347" s="51"/>
      <c r="CL347" s="51"/>
      <c r="CM347" s="51"/>
      <c r="CN347" s="51"/>
      <c r="CO347" s="51"/>
      <c r="CP347" s="51"/>
      <c r="CQ347" s="51"/>
      <c r="CR347" s="51"/>
      <c r="CS347" s="51"/>
      <c r="CT347" s="51"/>
      <c r="CU347" s="51"/>
      <c r="CV347" s="51"/>
      <c r="CW347" s="51"/>
      <c r="CX347" s="51"/>
      <c r="CY347" s="51"/>
      <c r="CZ347" s="51"/>
      <c r="DA347" s="51"/>
      <c r="DB347" s="51"/>
      <c r="DC347" s="51"/>
      <c r="DD347" s="51"/>
      <c r="DE347" s="51"/>
      <c r="DF347" s="51"/>
      <c r="DG347" s="51"/>
      <c r="DH347" s="51"/>
      <c r="DI347" s="51"/>
      <c r="DJ347" s="51"/>
      <c r="DK347" s="51"/>
      <c r="DL347" s="51"/>
      <c r="DM347" s="51"/>
      <c r="DN347" s="51"/>
      <c r="DO347" s="51"/>
      <c r="DP347" s="51"/>
      <c r="DQ347" s="51"/>
      <c r="DR347" s="51"/>
      <c r="DS347" s="51"/>
      <c r="DT347" s="51"/>
      <c r="DU347" s="51"/>
      <c r="DV347" s="51"/>
      <c r="DW347" s="51"/>
      <c r="DX347" s="51"/>
      <c r="DY347" s="51"/>
      <c r="DZ347" s="51"/>
      <c r="EA347" s="51"/>
      <c r="EB347" s="51"/>
      <c r="EC347" s="51"/>
      <c r="ED347" s="51"/>
      <c r="EE347" s="51"/>
      <c r="EF347" s="51"/>
      <c r="EG347" s="51"/>
      <c r="EH347" s="51"/>
      <c r="EI347" s="51"/>
      <c r="EJ347" s="51"/>
      <c r="EK347" s="51"/>
      <c r="EL347" s="51"/>
      <c r="EM347" s="51"/>
      <c r="EN347" s="51"/>
      <c r="EO347" s="51"/>
      <c r="EP347" s="51"/>
      <c r="EQ347" s="51"/>
      <c r="ER347" s="51"/>
      <c r="ES347" s="51"/>
      <c r="ET347" s="51"/>
      <c r="EU347" s="51"/>
      <c r="EV347" s="51"/>
      <c r="EW347" s="51"/>
      <c r="EX347" s="51"/>
      <c r="EY347" s="51"/>
      <c r="EZ347" s="51"/>
      <c r="FA347" s="51"/>
      <c r="FB347" s="51"/>
      <c r="FC347" s="51"/>
      <c r="FD347" s="51"/>
      <c r="FE347" s="51"/>
      <c r="FF347" s="51"/>
      <c r="FG347" s="51"/>
      <c r="FH347" s="51"/>
      <c r="FI347" s="51"/>
      <c r="FJ347" s="51"/>
      <c r="FK347" s="51"/>
      <c r="FL347" s="51"/>
      <c r="FM347" s="51"/>
      <c r="FN347" s="51"/>
      <c r="FO347" s="51"/>
      <c r="FP347" s="51"/>
      <c r="FQ347" s="51"/>
      <c r="FR347" s="51"/>
      <c r="FS347" s="51"/>
      <c r="FT347" s="51"/>
      <c r="FU347" s="51"/>
      <c r="FV347" s="51"/>
      <c r="FW347" s="51"/>
      <c r="FX347" s="51"/>
      <c r="FY347" s="51"/>
      <c r="FZ347" s="51"/>
      <c r="GA347" s="51"/>
      <c r="GB347" s="51"/>
      <c r="GC347" s="51"/>
      <c r="GD347" s="51"/>
      <c r="GE347" s="51"/>
      <c r="GF347" s="51"/>
      <c r="GG347" s="51"/>
      <c r="GH347" s="51"/>
      <c r="GI347" s="51"/>
      <c r="GJ347" s="51"/>
      <c r="GK347" s="51"/>
      <c r="GL347" s="51"/>
      <c r="GM347" s="51"/>
      <c r="GN347" s="51"/>
      <c r="GO347" s="51"/>
      <c r="GP347" s="51"/>
      <c r="GQ347" s="51"/>
      <c r="GR347" s="51"/>
      <c r="GS347" s="51"/>
      <c r="GT347" s="51"/>
      <c r="GU347" s="51"/>
      <c r="GV347" s="51"/>
      <c r="GW347" s="51"/>
      <c r="GX347" s="51"/>
      <c r="GY347" s="51"/>
      <c r="GZ347" s="51"/>
      <c r="HA347" s="51"/>
      <c r="HB347" s="51"/>
      <c r="HC347" s="51"/>
      <c r="HD347" s="51"/>
      <c r="HE347" s="51"/>
      <c r="HF347" s="51"/>
      <c r="HG347" s="51"/>
      <c r="HH347" s="51"/>
      <c r="HI347" s="51"/>
      <c r="HJ347" s="51"/>
      <c r="HK347" s="51"/>
      <c r="HL347" s="51"/>
      <c r="HM347" s="51"/>
      <c r="HN347" s="51"/>
      <c r="HO347" s="51"/>
      <c r="HP347" s="51"/>
      <c r="HQ347" s="51"/>
      <c r="HR347" s="51"/>
      <c r="HS347" s="51"/>
      <c r="HT347" s="51"/>
      <c r="HU347" s="51"/>
      <c r="HV347" s="51"/>
      <c r="HW347" s="51"/>
      <c r="HX347" s="51"/>
      <c r="HY347" s="51"/>
      <c r="HZ347" s="51"/>
      <c r="IA347" s="51"/>
      <c r="IB347" s="51"/>
      <c r="IC347" s="51"/>
      <c r="ID347" s="51"/>
      <c r="IE347" s="51"/>
      <c r="IF347" s="51"/>
      <c r="IG347" s="51"/>
      <c r="IH347" s="51"/>
      <c r="II347" s="51"/>
      <c r="IJ347" s="51"/>
      <c r="IK347" s="51"/>
      <c r="IL347" s="51"/>
      <c r="IM347" s="51"/>
      <c r="IN347" s="51"/>
      <c r="IO347" s="51"/>
      <c r="IP347" s="51"/>
      <c r="IQ347" s="51"/>
      <c r="IR347" s="51"/>
      <c r="IS347" s="51"/>
      <c r="IT347" s="51"/>
      <c r="IU347" s="51"/>
      <c r="IV347" s="51"/>
    </row>
    <row r="348" hidden="1" ht="13.5">
      <c r="B348" s="128" t="s">
        <v>7</v>
      </c>
      <c r="C348" s="129" t="str">
        <f>IF(SUM(C329:C347)&lt;&gt;0,SUM(C329:C347),"")</f>
      </c>
      <c r="D348" s="129" t="str">
        <f ref="D348:AA348" t="shared" si="35">IF(SUM(D329:D347)&lt;&gt;0,SUM(D329:D347),"")</f>
      </c>
      <c r="E348" s="129" t="str">
        <f t="shared" si="35"/>
      </c>
      <c r="F348" s="129" t="str">
        <f t="shared" si="35"/>
      </c>
      <c r="G348" s="129" t="str">
        <f t="shared" si="35"/>
      </c>
      <c r="H348" s="129" t="str">
        <f t="shared" si="35"/>
      </c>
      <c r="I348" s="129" t="str">
        <f t="shared" si="35"/>
      </c>
      <c r="J348" s="129" t="str">
        <f t="shared" si="35"/>
      </c>
      <c r="K348" s="129" t="str">
        <f t="shared" si="35"/>
      </c>
      <c r="L348" s="129" t="str">
        <f t="shared" si="35"/>
      </c>
      <c r="M348" s="129" t="str">
        <f t="shared" si="35"/>
      </c>
      <c r="N348" s="129" t="str">
        <f t="shared" si="35"/>
      </c>
      <c r="O348" s="129" t="str">
        <f t="shared" si="35"/>
      </c>
      <c r="P348" s="129" t="str">
        <f t="shared" si="35"/>
      </c>
      <c r="Q348" s="129" t="str">
        <f t="shared" si="35"/>
      </c>
      <c r="R348" s="129" t="str">
        <f t="shared" si="35"/>
      </c>
      <c r="S348" s="129" t="str">
        <f t="shared" si="35"/>
      </c>
      <c r="T348" s="129" t="str">
        <f t="shared" si="35"/>
      </c>
      <c r="U348" s="129" t="str">
        <f t="shared" si="35"/>
      </c>
      <c r="V348" s="129" t="str">
        <f t="shared" si="35"/>
      </c>
      <c r="W348" s="129" t="str">
        <f t="shared" si="35"/>
      </c>
      <c r="X348" s="129" t="str">
        <f t="shared" si="35"/>
      </c>
      <c r="Y348" s="129" t="str">
        <f t="shared" si="35"/>
      </c>
      <c r="Z348" s="129" t="str">
        <f t="shared" si="35"/>
      </c>
      <c r="AA348" s="129" t="str">
        <f t="shared" si="35"/>
      </c>
      <c r="AB348" s="130" t="str">
        <f>IF(SUM(AB329:AB347)&lt;&gt;0,SUM(AB329:AB347),"")</f>
      </c>
      <c r="AC348" s="91" t="str">
        <f ref="AC348:CN348" t="shared" si="36">IF(SUM(AC329:AC347)&lt;&gt;0,SUM(AC329:AC347),"")</f>
      </c>
      <c r="AD348" s="91" t="str">
        <f t="shared" si="36"/>
      </c>
      <c r="AE348" s="91" t="str">
        <f t="shared" si="36"/>
      </c>
      <c r="AF348" s="91" t="str">
        <f t="shared" si="36"/>
      </c>
      <c r="AG348" s="91" t="str">
        <f t="shared" si="36"/>
      </c>
      <c r="AH348" s="91" t="str">
        <f t="shared" si="36"/>
      </c>
      <c r="AI348" s="91" t="str">
        <f t="shared" si="36"/>
      </c>
      <c r="AJ348" s="91" t="str">
        <f t="shared" si="36"/>
      </c>
      <c r="AK348" s="91" t="str">
        <f t="shared" si="36"/>
      </c>
      <c r="AL348" s="91" t="str">
        <f t="shared" si="36"/>
      </c>
      <c r="AM348" s="91" t="str">
        <f t="shared" si="36"/>
      </c>
      <c r="AN348" s="91" t="str">
        <f t="shared" si="36"/>
      </c>
      <c r="AO348" s="91" t="str">
        <f t="shared" si="36"/>
      </c>
      <c r="AP348" s="91" t="str">
        <f t="shared" si="36"/>
      </c>
      <c r="AQ348" s="91" t="str">
        <f t="shared" si="36"/>
      </c>
      <c r="AR348" s="91" t="str">
        <f t="shared" si="36"/>
      </c>
      <c r="AS348" s="91" t="str">
        <f t="shared" si="36"/>
      </c>
      <c r="AT348" s="91" t="str">
        <f t="shared" si="36"/>
      </c>
      <c r="AU348" s="91" t="str">
        <f t="shared" si="36"/>
      </c>
      <c r="AV348" s="91" t="str">
        <f t="shared" si="36"/>
      </c>
      <c r="AW348" s="91" t="str">
        <f t="shared" si="36"/>
      </c>
      <c r="AX348" s="91" t="str">
        <f t="shared" si="36"/>
      </c>
      <c r="AY348" s="91" t="str">
        <f t="shared" si="36"/>
      </c>
      <c r="AZ348" s="91" t="str">
        <f t="shared" si="36"/>
      </c>
      <c r="BA348" s="91" t="str">
        <f t="shared" si="36"/>
      </c>
      <c r="BB348" s="91" t="str">
        <f t="shared" si="36"/>
      </c>
      <c r="BC348" s="91" t="str">
        <f t="shared" si="36"/>
      </c>
      <c r="BD348" s="91" t="str">
        <f t="shared" si="36"/>
      </c>
      <c r="BE348" s="91" t="str">
        <f t="shared" si="36"/>
      </c>
      <c r="BF348" s="91" t="str">
        <f t="shared" si="36"/>
      </c>
      <c r="BG348" s="91" t="str">
        <f t="shared" si="36"/>
      </c>
      <c r="BH348" s="91" t="str">
        <f t="shared" si="36"/>
      </c>
      <c r="BI348" s="91" t="str">
        <f t="shared" si="36"/>
      </c>
      <c r="BJ348" s="91" t="str">
        <f t="shared" si="36"/>
      </c>
      <c r="BK348" s="91" t="str">
        <f t="shared" si="36"/>
      </c>
      <c r="BL348" s="91" t="str">
        <f t="shared" si="36"/>
      </c>
      <c r="BM348" s="91" t="str">
        <f t="shared" si="36"/>
      </c>
      <c r="BN348" s="91" t="str">
        <f t="shared" si="36"/>
      </c>
      <c r="BO348" s="91" t="str">
        <f t="shared" si="36"/>
      </c>
      <c r="BP348" s="91" t="str">
        <f t="shared" si="36"/>
      </c>
      <c r="BQ348" s="91" t="str">
        <f t="shared" si="36"/>
      </c>
      <c r="BR348" s="91" t="str">
        <f t="shared" si="36"/>
      </c>
      <c r="BS348" s="91" t="str">
        <f t="shared" si="36"/>
      </c>
      <c r="BT348" s="91" t="str">
        <f t="shared" si="36"/>
      </c>
      <c r="BU348" s="91" t="str">
        <f t="shared" si="36"/>
      </c>
      <c r="BV348" s="91" t="str">
        <f t="shared" si="36"/>
      </c>
      <c r="BW348" s="91" t="str">
        <f t="shared" si="36"/>
      </c>
      <c r="BX348" s="91" t="str">
        <f t="shared" si="36"/>
      </c>
      <c r="BY348" s="91" t="str">
        <f t="shared" si="36"/>
      </c>
      <c r="BZ348" s="91" t="str">
        <f t="shared" si="36"/>
      </c>
      <c r="CA348" s="91" t="str">
        <f t="shared" si="36"/>
      </c>
      <c r="CB348" s="91" t="str">
        <f t="shared" si="36"/>
      </c>
      <c r="CC348" s="91" t="str">
        <f t="shared" si="36"/>
      </c>
      <c r="CD348" s="91" t="str">
        <f t="shared" si="36"/>
      </c>
      <c r="CE348" s="91" t="str">
        <f t="shared" si="36"/>
      </c>
      <c r="CF348" s="91" t="str">
        <f t="shared" si="36"/>
      </c>
      <c r="CG348" s="91" t="str">
        <f t="shared" si="36"/>
      </c>
      <c r="CH348" s="91" t="str">
        <f t="shared" si="36"/>
      </c>
      <c r="CI348" s="91" t="str">
        <f t="shared" si="36"/>
      </c>
      <c r="CJ348" s="91" t="str">
        <f t="shared" si="36"/>
      </c>
      <c r="CK348" s="91" t="str">
        <f t="shared" si="36"/>
      </c>
      <c r="CL348" s="91" t="str">
        <f t="shared" si="36"/>
      </c>
      <c r="CM348" s="91" t="str">
        <f t="shared" si="36"/>
      </c>
      <c r="CN348" s="91" t="str">
        <f t="shared" si="36"/>
      </c>
      <c r="CO348" s="91" t="str">
        <f ref="CO348:EZ348" t="shared" si="37">IF(SUM(CO329:CO347)&lt;&gt;0,SUM(CO329:CO347),"")</f>
      </c>
      <c r="CP348" s="91" t="str">
        <f t="shared" si="37"/>
      </c>
      <c r="CQ348" s="91" t="str">
        <f t="shared" si="37"/>
      </c>
      <c r="CR348" s="91" t="str">
        <f t="shared" si="37"/>
      </c>
      <c r="CS348" s="91" t="str">
        <f t="shared" si="37"/>
      </c>
      <c r="CT348" s="91" t="str">
        <f t="shared" si="37"/>
      </c>
      <c r="CU348" s="91" t="str">
        <f t="shared" si="37"/>
      </c>
      <c r="CV348" s="91" t="str">
        <f t="shared" si="37"/>
      </c>
      <c r="CW348" s="91" t="str">
        <f t="shared" si="37"/>
      </c>
      <c r="CX348" s="91" t="str">
        <f t="shared" si="37"/>
      </c>
      <c r="CY348" s="91" t="str">
        <f t="shared" si="37"/>
      </c>
      <c r="CZ348" s="91" t="str">
        <f t="shared" si="37"/>
      </c>
      <c r="DA348" s="91" t="str">
        <f t="shared" si="37"/>
      </c>
      <c r="DB348" s="91" t="str">
        <f t="shared" si="37"/>
      </c>
      <c r="DC348" s="91" t="str">
        <f t="shared" si="37"/>
      </c>
      <c r="DD348" s="91" t="str">
        <f t="shared" si="37"/>
      </c>
      <c r="DE348" s="91" t="str">
        <f t="shared" si="37"/>
      </c>
      <c r="DF348" s="91" t="str">
        <f t="shared" si="37"/>
      </c>
      <c r="DG348" s="91" t="str">
        <f t="shared" si="37"/>
      </c>
      <c r="DH348" s="91" t="str">
        <f t="shared" si="37"/>
      </c>
      <c r="DI348" s="91" t="str">
        <f t="shared" si="37"/>
      </c>
      <c r="DJ348" s="91" t="str">
        <f t="shared" si="37"/>
      </c>
      <c r="DK348" s="91" t="str">
        <f t="shared" si="37"/>
      </c>
      <c r="DL348" s="91" t="str">
        <f t="shared" si="37"/>
      </c>
      <c r="DM348" s="91" t="str">
        <f t="shared" si="37"/>
      </c>
      <c r="DN348" s="91" t="str">
        <f t="shared" si="37"/>
      </c>
      <c r="DO348" s="91" t="str">
        <f t="shared" si="37"/>
      </c>
      <c r="DP348" s="91" t="str">
        <f t="shared" si="37"/>
      </c>
      <c r="DQ348" s="91" t="str">
        <f t="shared" si="37"/>
      </c>
      <c r="DR348" s="91" t="str">
        <f t="shared" si="37"/>
      </c>
      <c r="DS348" s="91" t="str">
        <f t="shared" si="37"/>
      </c>
      <c r="DT348" s="91" t="str">
        <f t="shared" si="37"/>
      </c>
      <c r="DU348" s="91" t="str">
        <f t="shared" si="37"/>
      </c>
      <c r="DV348" s="91" t="str">
        <f t="shared" si="37"/>
      </c>
      <c r="DW348" s="91" t="str">
        <f t="shared" si="37"/>
      </c>
      <c r="DX348" s="91" t="str">
        <f t="shared" si="37"/>
      </c>
      <c r="DY348" s="91" t="str">
        <f t="shared" si="37"/>
      </c>
      <c r="DZ348" s="91" t="str">
        <f t="shared" si="37"/>
      </c>
      <c r="EA348" s="91" t="str">
        <f t="shared" si="37"/>
      </c>
      <c r="EB348" s="91" t="str">
        <f t="shared" si="37"/>
      </c>
      <c r="EC348" s="91" t="str">
        <f t="shared" si="37"/>
      </c>
      <c r="ED348" s="91" t="str">
        <f t="shared" si="37"/>
      </c>
      <c r="EE348" s="91" t="str">
        <f t="shared" si="37"/>
      </c>
      <c r="EF348" s="91" t="str">
        <f t="shared" si="37"/>
      </c>
      <c r="EG348" s="91" t="str">
        <f t="shared" si="37"/>
      </c>
      <c r="EH348" s="91" t="str">
        <f t="shared" si="37"/>
      </c>
      <c r="EI348" s="91" t="str">
        <f t="shared" si="37"/>
      </c>
      <c r="EJ348" s="91" t="str">
        <f t="shared" si="37"/>
      </c>
      <c r="EK348" s="91" t="str">
        <f t="shared" si="37"/>
      </c>
      <c r="EL348" s="91" t="str">
        <f t="shared" si="37"/>
      </c>
      <c r="EM348" s="91" t="str">
        <f t="shared" si="37"/>
      </c>
      <c r="EN348" s="91" t="str">
        <f t="shared" si="37"/>
      </c>
      <c r="EO348" s="91" t="str">
        <f t="shared" si="37"/>
      </c>
      <c r="EP348" s="91" t="str">
        <f t="shared" si="37"/>
      </c>
      <c r="EQ348" s="91" t="str">
        <f t="shared" si="37"/>
      </c>
      <c r="ER348" s="91" t="str">
        <f t="shared" si="37"/>
      </c>
      <c r="ES348" s="91" t="str">
        <f t="shared" si="37"/>
      </c>
      <c r="ET348" s="91" t="str">
        <f t="shared" si="37"/>
      </c>
      <c r="EU348" s="91" t="str">
        <f t="shared" si="37"/>
      </c>
      <c r="EV348" s="91" t="str">
        <f t="shared" si="37"/>
      </c>
      <c r="EW348" s="91" t="str">
        <f t="shared" si="37"/>
      </c>
      <c r="EX348" s="91" t="str">
        <f t="shared" si="37"/>
      </c>
      <c r="EY348" s="91" t="str">
        <f t="shared" si="37"/>
      </c>
      <c r="EZ348" s="91" t="str">
        <f t="shared" si="37"/>
      </c>
      <c r="FA348" s="91" t="str">
        <f ref="FA348:HL348" t="shared" si="38">IF(SUM(FA329:FA347)&lt;&gt;0,SUM(FA329:FA347),"")</f>
      </c>
      <c r="FB348" s="91" t="str">
        <f t="shared" si="38"/>
      </c>
      <c r="FC348" s="91" t="str">
        <f t="shared" si="38"/>
      </c>
      <c r="FD348" s="91" t="str">
        <f t="shared" si="38"/>
      </c>
      <c r="FE348" s="91" t="str">
        <f t="shared" si="38"/>
      </c>
      <c r="FF348" s="91" t="str">
        <f t="shared" si="38"/>
      </c>
      <c r="FG348" s="91" t="str">
        <f t="shared" si="38"/>
      </c>
      <c r="FH348" s="91" t="str">
        <f t="shared" si="38"/>
      </c>
      <c r="FI348" s="91" t="str">
        <f t="shared" si="38"/>
      </c>
      <c r="FJ348" s="91" t="str">
        <f t="shared" si="38"/>
      </c>
      <c r="FK348" s="91" t="str">
        <f t="shared" si="38"/>
      </c>
      <c r="FL348" s="91" t="str">
        <f t="shared" si="38"/>
      </c>
      <c r="FM348" s="91" t="str">
        <f t="shared" si="38"/>
      </c>
      <c r="FN348" s="91" t="str">
        <f t="shared" si="38"/>
      </c>
      <c r="FO348" s="91" t="str">
        <f t="shared" si="38"/>
      </c>
      <c r="FP348" s="91" t="str">
        <f t="shared" si="38"/>
      </c>
      <c r="FQ348" s="91" t="str">
        <f t="shared" si="38"/>
      </c>
      <c r="FR348" s="91" t="str">
        <f t="shared" si="38"/>
      </c>
      <c r="FS348" s="91" t="str">
        <f t="shared" si="38"/>
      </c>
      <c r="FT348" s="91" t="str">
        <f t="shared" si="38"/>
      </c>
      <c r="FU348" s="91" t="str">
        <f t="shared" si="38"/>
      </c>
      <c r="FV348" s="91" t="str">
        <f t="shared" si="38"/>
      </c>
      <c r="FW348" s="91" t="str">
        <f t="shared" si="38"/>
      </c>
      <c r="FX348" s="91" t="str">
        <f t="shared" si="38"/>
      </c>
      <c r="FY348" s="91" t="str">
        <f t="shared" si="38"/>
      </c>
      <c r="FZ348" s="91" t="str">
        <f t="shared" si="38"/>
      </c>
      <c r="GA348" s="91" t="str">
        <f t="shared" si="38"/>
      </c>
      <c r="GB348" s="91" t="str">
        <f t="shared" si="38"/>
      </c>
      <c r="GC348" s="91" t="str">
        <f t="shared" si="38"/>
      </c>
      <c r="GD348" s="91" t="str">
        <f t="shared" si="38"/>
      </c>
      <c r="GE348" s="91" t="str">
        <f t="shared" si="38"/>
      </c>
      <c r="GF348" s="91" t="str">
        <f t="shared" si="38"/>
      </c>
      <c r="GG348" s="91" t="str">
        <f t="shared" si="38"/>
      </c>
      <c r="GH348" s="91" t="str">
        <f t="shared" si="38"/>
      </c>
      <c r="GI348" s="91" t="str">
        <f t="shared" si="38"/>
      </c>
      <c r="GJ348" s="91" t="str">
        <f t="shared" si="38"/>
      </c>
      <c r="GK348" s="91" t="str">
        <f t="shared" si="38"/>
      </c>
      <c r="GL348" s="91" t="str">
        <f t="shared" si="38"/>
      </c>
      <c r="GM348" s="91" t="str">
        <f t="shared" si="38"/>
      </c>
      <c r="GN348" s="91" t="str">
        <f t="shared" si="38"/>
      </c>
      <c r="GO348" s="91" t="str">
        <f t="shared" si="38"/>
      </c>
      <c r="GP348" s="91" t="str">
        <f t="shared" si="38"/>
      </c>
      <c r="GQ348" s="91" t="str">
        <f t="shared" si="38"/>
      </c>
      <c r="GR348" s="91" t="str">
        <f t="shared" si="38"/>
      </c>
      <c r="GS348" s="91" t="str">
        <f t="shared" si="38"/>
      </c>
      <c r="GT348" s="91" t="str">
        <f t="shared" si="38"/>
      </c>
      <c r="GU348" s="91" t="str">
        <f t="shared" si="38"/>
      </c>
      <c r="GV348" s="91" t="str">
        <f t="shared" si="38"/>
      </c>
      <c r="GW348" s="91" t="str">
        <f t="shared" si="38"/>
      </c>
      <c r="GX348" s="91" t="str">
        <f t="shared" si="38"/>
      </c>
      <c r="GY348" s="91" t="str">
        <f t="shared" si="38"/>
      </c>
      <c r="GZ348" s="91" t="str">
        <f t="shared" si="38"/>
      </c>
      <c r="HA348" s="91" t="str">
        <f t="shared" si="38"/>
      </c>
      <c r="HB348" s="91" t="str">
        <f t="shared" si="38"/>
      </c>
      <c r="HC348" s="91" t="str">
        <f t="shared" si="38"/>
      </c>
      <c r="HD348" s="91" t="str">
        <f t="shared" si="38"/>
      </c>
      <c r="HE348" s="91" t="str">
        <f t="shared" si="38"/>
      </c>
      <c r="HF348" s="91" t="str">
        <f t="shared" si="38"/>
      </c>
      <c r="HG348" s="91" t="str">
        <f t="shared" si="38"/>
      </c>
      <c r="HH348" s="91" t="str">
        <f t="shared" si="38"/>
      </c>
      <c r="HI348" s="91" t="str">
        <f t="shared" si="38"/>
      </c>
      <c r="HJ348" s="91" t="str">
        <f t="shared" si="38"/>
      </c>
      <c r="HK348" s="91" t="str">
        <f t="shared" si="38"/>
      </c>
      <c r="HL348" s="91" t="str">
        <f t="shared" si="38"/>
      </c>
      <c r="HM348" s="91" t="str">
        <f ref="HM348:IV348" t="shared" si="39">IF(SUM(HM329:HM347)&lt;&gt;0,SUM(HM329:HM347),"")</f>
      </c>
      <c r="HN348" s="91" t="str">
        <f t="shared" si="39"/>
      </c>
      <c r="HO348" s="91" t="str">
        <f t="shared" si="39"/>
      </c>
      <c r="HP348" s="91" t="str">
        <f t="shared" si="39"/>
      </c>
      <c r="HQ348" s="91" t="str">
        <f t="shared" si="39"/>
      </c>
      <c r="HR348" s="91" t="str">
        <f t="shared" si="39"/>
      </c>
      <c r="HS348" s="91" t="str">
        <f t="shared" si="39"/>
      </c>
      <c r="HT348" s="91" t="str">
        <f t="shared" si="39"/>
      </c>
      <c r="HU348" s="91" t="str">
        <f t="shared" si="39"/>
      </c>
      <c r="HV348" s="91" t="str">
        <f t="shared" si="39"/>
      </c>
      <c r="HW348" s="91" t="str">
        <f t="shared" si="39"/>
      </c>
      <c r="HX348" s="91" t="str">
        <f t="shared" si="39"/>
      </c>
      <c r="HY348" s="91" t="str">
        <f t="shared" si="39"/>
      </c>
      <c r="HZ348" s="91" t="str">
        <f t="shared" si="39"/>
      </c>
      <c r="IA348" s="91" t="str">
        <f t="shared" si="39"/>
      </c>
      <c r="IB348" s="91" t="str">
        <f t="shared" si="39"/>
      </c>
      <c r="IC348" s="91" t="str">
        <f t="shared" si="39"/>
      </c>
      <c r="ID348" s="91" t="str">
        <f t="shared" si="39"/>
      </c>
      <c r="IE348" s="91" t="str">
        <f t="shared" si="39"/>
      </c>
      <c r="IF348" s="91" t="str">
        <f t="shared" si="39"/>
      </c>
      <c r="IG348" s="91" t="str">
        <f t="shared" si="39"/>
      </c>
      <c r="IH348" s="91" t="str">
        <f t="shared" si="39"/>
      </c>
      <c r="II348" s="91" t="str">
        <f t="shared" si="39"/>
      </c>
      <c r="IJ348" s="91" t="str">
        <f t="shared" si="39"/>
      </c>
      <c r="IK348" s="91" t="str">
        <f t="shared" si="39"/>
      </c>
      <c r="IL348" s="91" t="str">
        <f t="shared" si="39"/>
      </c>
      <c r="IM348" s="91" t="str">
        <f t="shared" si="39"/>
      </c>
      <c r="IN348" s="91" t="str">
        <f t="shared" si="39"/>
      </c>
      <c r="IO348" s="91" t="str">
        <f t="shared" si="39"/>
      </c>
      <c r="IP348" s="91" t="str">
        <f t="shared" si="39"/>
      </c>
      <c r="IQ348" s="91" t="str">
        <f t="shared" si="39"/>
      </c>
      <c r="IR348" s="91" t="str">
        <f t="shared" si="39"/>
      </c>
      <c r="IS348" s="91" t="str">
        <f t="shared" si="39"/>
      </c>
      <c r="IT348" s="91" t="str">
        <f t="shared" si="39"/>
      </c>
      <c r="IU348" s="91" t="str">
        <f t="shared" si="39"/>
      </c>
      <c r="IV348" s="91" t="str">
        <f t="shared" si="39"/>
      </c>
    </row>
    <row r="349" hidden="1" ht="13.5"/>
    <row r="350" hidden="1" ht="13.5">
      <c r="C350" s="732" t="s">
        <v>108</v>
      </c>
      <c r="D350" s="733"/>
      <c r="E350" s="733"/>
      <c r="F350" s="733"/>
      <c r="G350" s="733"/>
      <c r="H350" s="733"/>
      <c r="I350" s="733"/>
      <c r="J350" s="733"/>
      <c r="K350" s="733"/>
      <c r="L350" s="733"/>
      <c r="M350" s="733"/>
      <c r="N350" s="733"/>
      <c r="O350" s="733"/>
      <c r="P350" s="733"/>
      <c r="Q350" s="733"/>
      <c r="R350" s="733"/>
      <c r="S350" s="733"/>
      <c r="T350" s="733"/>
      <c r="U350" s="733"/>
      <c r="V350" s="733"/>
      <c r="W350" s="733"/>
      <c r="X350" s="733"/>
      <c r="Y350" s="733"/>
      <c r="Z350" s="733"/>
      <c r="AA350" s="733"/>
      <c r="AB350" s="734"/>
    </row>
    <row r="351" hidden="1" ht="15" customHeight="1">
      <c r="B351" s="51"/>
      <c r="C351" s="435" t="str">
        <f> IF(C371&lt;&gt;"",TEXT(AUX!G$1,"dd-MMM-aa"),"")</f>
      </c>
      <c r="D351" s="435" t="str">
        <f> IF(D371&lt;&gt;"",TEXT(AUX!H$1,"dd-MMM-aa"),"")</f>
      </c>
      <c r="E351" s="435" t="str">
        <f> IF(E371&lt;&gt;"",TEXT(AUX!I$1,"dd-MMM-aa"),"")</f>
      </c>
      <c r="F351" s="435" t="str">
        <f> IF(F371&lt;&gt;"",TEXT(AUX!J$1,"dd-MMM-aa"),"")</f>
      </c>
      <c r="G351" s="435" t="str">
        <f> IF(G371&lt;&gt;"",TEXT(AUX!K$1,"dd-MMM-aa"),"")</f>
      </c>
      <c r="H351" s="435" t="str">
        <f> IF(H371&lt;&gt;"",TEXT(AUX!L$1,"dd-MMM-aa"),"")</f>
      </c>
      <c r="I351" s="435" t="str">
        <f> IF(I371&lt;&gt;"",TEXT(AUX!M$1,"dd-MMM-aa"),"")</f>
      </c>
      <c r="J351" s="435" t="str">
        <f> IF(J371&lt;&gt;"",TEXT(AUX!N$1,"dd-MMM-aa"),"")</f>
      </c>
      <c r="K351" s="435" t="str">
        <f> IF(K371&lt;&gt;"",TEXT(AUX!O$1,"dd-MMM-aa"),"")</f>
      </c>
      <c r="L351" s="435" t="str">
        <f> IF(L371&lt;&gt;"",TEXT(AUX!P$1,"dd-MMM-aa"),"")</f>
      </c>
      <c r="M351" s="435" t="str">
        <f> IF(M371&lt;&gt;"",TEXT(AUX!Q$1,"dd-MMM-aa"),"")</f>
      </c>
      <c r="N351" s="435" t="str">
        <f> IF(N371&lt;&gt;"",TEXT(AUX!R$1,"dd-MMM-aa"),"")</f>
      </c>
      <c r="O351" s="435" t="str">
        <f> IF(O371&lt;&gt;"",TEXT(AUX!S$1,"dd-MMM-aa"),"")</f>
      </c>
      <c r="P351" s="435" t="str">
        <f> IF(P371&lt;&gt;"",TEXT(AUX!T$1,"dd-MMM-aa"),"")</f>
      </c>
      <c r="Q351" s="435" t="str">
        <f> IF(Q371&lt;&gt;"",TEXT(AUX!U$1,"dd-MMM-aa"),"")</f>
      </c>
      <c r="R351" s="435" t="str">
        <f> IF(R371&lt;&gt;"",TEXT(AUX!V$1,"dd-MMM-aa"),"")</f>
      </c>
      <c r="S351" s="435" t="str">
        <f> IF(S371&lt;&gt;"",TEXT(AUX!W$1,"dd-MMM-aa"),"")</f>
      </c>
      <c r="T351" s="435" t="str">
        <f> IF(T371&lt;&gt;"",TEXT(AUX!X$1,"dd-MMM-aa"),"")</f>
      </c>
      <c r="U351" s="435" t="str">
        <f> IF(U371&lt;&gt;"",TEXT(AUX!Y$1,"dd-MMM-aa"),"")</f>
      </c>
      <c r="V351" s="435" t="str">
        <f> IF(V371&lt;&gt;"",TEXT(AUX!Z$1,"dd-MMM-aa"),"")</f>
      </c>
      <c r="W351" s="435" t="str">
        <f> IF(W371&lt;&gt;"",TEXT(AUX!AA$1,"dd-MMM-aa"),"")</f>
      </c>
      <c r="X351" s="435" t="str">
        <f> IF(X371&lt;&gt;"",TEXT(AUX!AB$1,"dd-MMM-aa"),"")</f>
      </c>
      <c r="Y351" s="435" t="str">
        <f> IF(Y371&lt;&gt;"",TEXT(AUX!AC$1,"dd-MMM-aa"),"")</f>
      </c>
      <c r="Z351" s="435" t="str">
        <f> IF(Z371&lt;&gt;"",TEXT(AUX!AD$1,"dd-MMM-aa"),"")</f>
      </c>
      <c r="AA351" s="435" t="str">
        <f> IF(AA371&lt;&gt;"",TEXT(AUX!AE$1,"dd-MMM-aa"),"")</f>
      </c>
      <c r="AB351" s="497" t="str">
        <f> IF(AB371&lt;&gt;"",TEXT(AUX!AF$1,"dd-MMM-aa"),"")</f>
      </c>
      <c r="AC351" s="496" t="str">
        <f> IF(AC371&lt;&gt;"",TEXT(AUX!AG$1,"dd-MMM-aa"),"")</f>
      </c>
      <c r="AD351" s="496" t="str">
        <f> IF(AD371&lt;&gt;"",TEXT(AUX!AH$1,"dd-MMM-aa"),"")</f>
      </c>
      <c r="AE351" s="496" t="str">
        <f> IF(AE371&lt;&gt;"",TEXT(AUX!AI$1,"dd-MMM-aa"),"")</f>
      </c>
      <c r="AF351" s="496" t="str">
        <f> IF(AF371&lt;&gt;"",TEXT(AUX!AJ$1,"dd-MMM-aa"),"")</f>
      </c>
      <c r="AG351" s="496" t="str">
        <f> IF(AG371&lt;&gt;"",TEXT(AUX!AK$1,"dd-MMM-aa"),"")</f>
      </c>
      <c r="AH351" s="496" t="str">
        <f> IF(AH371&lt;&gt;"",TEXT(AUX!AL$1,"dd-MMM-aa"),"")</f>
      </c>
      <c r="AI351" s="496" t="str">
        <f> IF(AI371&lt;&gt;"",TEXT(AUX!AM$1,"dd-MMM-aa"),"")</f>
      </c>
      <c r="AJ351" s="496" t="str">
        <f> IF(AJ371&lt;&gt;"",TEXT(AUX!AN$1,"dd-MMM-aa"),"")</f>
      </c>
      <c r="AK351" s="496" t="str">
        <f> IF(AK371&lt;&gt;"",TEXT(AUX!AO$1,"dd-MMM-aa"),"")</f>
      </c>
      <c r="AL351" s="496" t="str">
        <f> IF(AL371&lt;&gt;"",TEXT(AUX!AP$1,"dd-MMM-aa"),"")</f>
      </c>
      <c r="AM351" s="496" t="str">
        <f> IF(AM371&lt;&gt;"",TEXT(AUX!AQ$1,"dd-MMM-aa"),"")</f>
      </c>
      <c r="AN351" s="496" t="str">
        <f> IF(AN371&lt;&gt;"",TEXT(AUX!AR$1,"dd-MMM-aa"),"")</f>
      </c>
      <c r="AO351" s="496" t="str">
        <f> IF(AO371&lt;&gt;"",TEXT(AUX!AS$1,"dd-MMM-aa"),"")</f>
      </c>
      <c r="AP351" s="496" t="str">
        <f> IF(AP371&lt;&gt;"",TEXT(AUX!AT$1,"dd-MMM-aa"),"")</f>
      </c>
      <c r="AQ351" s="496" t="str">
        <f> IF(AQ371&lt;&gt;"",TEXT(AUX!AU$1,"dd-MMM-aa"),"")</f>
      </c>
      <c r="AR351" s="496" t="str">
        <f> IF(AR371&lt;&gt;"",TEXT(AUX!AV$1,"dd-MMM-aa"),"")</f>
      </c>
      <c r="AS351" s="496" t="str">
        <f> IF(AS371&lt;&gt;"",TEXT(AUX!AW$1,"dd-MMM-aa"),"")</f>
      </c>
      <c r="AT351" s="496" t="str">
        <f> IF(AT371&lt;&gt;"",TEXT(AUX!AX$1,"dd-MMM-aa"),"")</f>
      </c>
      <c r="AU351" s="496" t="str">
        <f> IF(AU371&lt;&gt;"",TEXT(AUX!AY$1,"dd-MMM-aa"),"")</f>
      </c>
      <c r="AV351" s="496" t="str">
        <f> IF(AV371&lt;&gt;"",TEXT(AUX!AZ$1,"dd-MMM-aa"),"")</f>
      </c>
      <c r="AW351" s="496" t="str">
        <f> IF(AW371&lt;&gt;"",TEXT(AUX!BA$1,"dd-MMM-aa"),"")</f>
      </c>
      <c r="AX351" s="496" t="str">
        <f> IF(AX371&lt;&gt;"",TEXT(AUX!BB$1,"dd-MMM-aa"),"")</f>
      </c>
      <c r="AY351" s="496" t="str">
        <f> IF(AY371&lt;&gt;"",TEXT(AUX!BC$1,"dd-MMM-aa"),"")</f>
      </c>
      <c r="AZ351" s="496" t="str">
        <f> IF(AZ371&lt;&gt;"",TEXT(AUX!BD$1,"dd-MMM-aa"),"")</f>
      </c>
      <c r="BA351" s="496" t="str">
        <f> IF(BA371&lt;&gt;"",TEXT(AUX!BE$1,"dd-MMM-aa"),"")</f>
      </c>
      <c r="BB351" s="496" t="str">
        <f> IF(BB371&lt;&gt;"",TEXT(AUX!BF$1,"dd-MMM-aa"),"")</f>
      </c>
      <c r="BC351" s="496" t="str">
        <f> IF(BC371&lt;&gt;"",TEXT(AUX!BG$1,"dd-MMM-aa"),"")</f>
      </c>
      <c r="BD351" s="496" t="str">
        <f> IF(BD371&lt;&gt;"",TEXT(AUX!BH$1,"dd-MMM-aa"),"")</f>
      </c>
      <c r="BE351" s="496" t="str">
        <f> IF(BE371&lt;&gt;"",TEXT(AUX!BI$1,"dd-MMM-aa"),"")</f>
      </c>
      <c r="BF351" s="496" t="str">
        <f> IF(BF371&lt;&gt;"",TEXT(AUX!BJ$1,"dd-MMM-aa"),"")</f>
      </c>
      <c r="BG351" s="496" t="str">
        <f> IF(BG371&lt;&gt;"",TEXT(AUX!BK$1,"dd-MMM-aa"),"")</f>
      </c>
      <c r="BH351" s="496" t="str">
        <f> IF(BH371&lt;&gt;"",TEXT(AUX!BL$1,"dd-MMM-aa"),"")</f>
      </c>
      <c r="BI351" s="496" t="str">
        <f> IF(BI371&lt;&gt;"",TEXT(AUX!BM$1,"dd-MMM-aa"),"")</f>
      </c>
      <c r="BJ351" s="496" t="str">
        <f> IF(BJ371&lt;&gt;"",TEXT(AUX!BN$1,"dd-MMM-aa"),"")</f>
      </c>
      <c r="BK351" s="496" t="str">
        <f> IF(BK371&lt;&gt;"",TEXT(AUX!BO$1,"dd-MMM-aa"),"")</f>
      </c>
      <c r="BL351" s="496" t="str">
        <f> IF(BL371&lt;&gt;"",TEXT(AUX!BP$1,"dd-MMM-aa"),"")</f>
      </c>
      <c r="BM351" s="496" t="str">
        <f> IF(BM371&lt;&gt;"",TEXT(AUX!BQ$1,"dd-MMM-aa"),"")</f>
      </c>
      <c r="BN351" s="496" t="str">
        <f> IF(BN371&lt;&gt;"",TEXT(AUX!BR$1,"dd-MMM-aa"),"")</f>
      </c>
      <c r="BO351" s="496" t="str">
        <f> IF(BO371&lt;&gt;"",TEXT(AUX!BS$1,"dd-MMM-aa"),"")</f>
      </c>
      <c r="BP351" s="496" t="str">
        <f> IF(BP371&lt;&gt;"",TEXT(AUX!BT$1,"dd-MMM-aa"),"")</f>
      </c>
      <c r="BQ351" s="496" t="str">
        <f> IF(BQ371&lt;&gt;"",TEXT(AUX!BU$1,"dd-MMM-aa"),"")</f>
      </c>
      <c r="BR351" s="496" t="str">
        <f> IF(BR371&lt;&gt;"",TEXT(AUX!BV$1,"dd-MMM-aa"),"")</f>
      </c>
      <c r="BS351" s="496" t="str">
        <f> IF(BS371&lt;&gt;"",TEXT(AUX!BW$1,"dd-MMM-aa"),"")</f>
      </c>
      <c r="BT351" s="496" t="str">
        <f> IF(BT371&lt;&gt;"",TEXT(AUX!BX$1,"dd-MMM-aa"),"")</f>
      </c>
      <c r="BU351" s="496" t="str">
        <f> IF(BU371&lt;&gt;"",TEXT(AUX!BY$1,"dd-MMM-aa"),"")</f>
      </c>
      <c r="BV351" s="496" t="str">
        <f> IF(BV371&lt;&gt;"",TEXT(AUX!BZ$1,"dd-MMM-aa"),"")</f>
      </c>
      <c r="BW351" s="496" t="str">
        <f> IF(BW371&lt;&gt;"",TEXT(AUX!CA$1,"dd-MMM-aa"),"")</f>
      </c>
      <c r="BX351" s="496" t="str">
        <f> IF(BX371&lt;&gt;"",TEXT(AUX!CB$1,"dd-MMM-aa"),"")</f>
      </c>
      <c r="BY351" s="496" t="str">
        <f> IF(BY371&lt;&gt;"",TEXT(AUX!CC$1,"dd-MMM-aa"),"")</f>
      </c>
      <c r="BZ351" s="496" t="str">
        <f> IF(BZ371&lt;&gt;"",TEXT(AUX!CD$1,"dd-MMM-aa"),"")</f>
      </c>
      <c r="CA351" s="496" t="str">
        <f> IF(CA371&lt;&gt;"",TEXT(AUX!CE$1,"dd-MMM-aa"),"")</f>
      </c>
      <c r="CB351" s="496" t="str">
        <f> IF(CB371&lt;&gt;"",TEXT(AUX!CF$1,"dd-MMM-aa"),"")</f>
      </c>
      <c r="CC351" s="496" t="str">
        <f> IF(CC371&lt;&gt;"",TEXT(AUX!CG$1,"dd-MMM-aa"),"")</f>
      </c>
      <c r="CD351" s="496" t="str">
        <f> IF(CD371&lt;&gt;"",TEXT(AUX!CH$1,"dd-MMM-aa"),"")</f>
      </c>
      <c r="CE351" s="496" t="str">
        <f> IF(CE371&lt;&gt;"",TEXT(AUX!CI$1,"dd-MMM-aa"),"")</f>
      </c>
      <c r="CF351" s="496" t="str">
        <f> IF(CF371&lt;&gt;"",TEXT(AUX!CJ$1,"dd-MMM-aa"),"")</f>
      </c>
      <c r="CG351" s="496" t="str">
        <f> IF(CG371&lt;&gt;"",TEXT(AUX!CK$1,"dd-MMM-aa"),"")</f>
      </c>
      <c r="CH351" s="496" t="str">
        <f> IF(CH371&lt;&gt;"",TEXT(AUX!CL$1,"dd-MMM-aa"),"")</f>
      </c>
      <c r="CI351" s="496" t="str">
        <f> IF(CI371&lt;&gt;"",TEXT(AUX!CM$1,"dd-MMM-aa"),"")</f>
      </c>
      <c r="CJ351" s="496" t="str">
        <f> IF(CJ371&lt;&gt;"",TEXT(AUX!CN$1,"dd-MMM-aa"),"")</f>
      </c>
      <c r="CK351" s="496" t="str">
        <f> IF(CK371&lt;&gt;"",TEXT(AUX!CO$1,"dd-MMM-aa"),"")</f>
      </c>
      <c r="CL351" s="496" t="str">
        <f> IF(CL371&lt;&gt;"",TEXT(AUX!CP$1,"dd-MMM-aa"),"")</f>
      </c>
      <c r="CM351" s="496" t="str">
        <f> IF(CM371&lt;&gt;"",TEXT(AUX!CQ$1,"dd-MMM-aa"),"")</f>
      </c>
      <c r="CN351" s="496" t="str">
        <f> IF(CN371&lt;&gt;"",TEXT(AUX!CR$1,"dd-MMM-aa"),"")</f>
      </c>
      <c r="CO351" s="496" t="str">
        <f> IF(CO371&lt;&gt;"",TEXT(AUX!CS$1,"dd-MMM-aa"),"")</f>
      </c>
      <c r="CP351" s="496" t="str">
        <f> IF(CP371&lt;&gt;"",TEXT(AUX!CT$1,"dd-MMM-aa"),"")</f>
      </c>
      <c r="CQ351" s="496" t="str">
        <f> IF(CQ371&lt;&gt;"",TEXT(AUX!CU$1,"dd-MMM-aa"),"")</f>
      </c>
      <c r="CR351" s="496" t="str">
        <f> IF(CR371&lt;&gt;"",TEXT(AUX!CV$1,"dd-MMM-aa"),"")</f>
      </c>
      <c r="CS351" s="496" t="str">
        <f> IF(CS371&lt;&gt;"",TEXT(AUX!CW$1,"dd-MMM-aa"),"")</f>
      </c>
      <c r="CT351" s="496" t="str">
        <f> IF(CT371&lt;&gt;"",TEXT(AUX!CX$1,"dd-MMM-aa"),"")</f>
      </c>
      <c r="CU351" s="496" t="str">
        <f> IF(CU371&lt;&gt;"",TEXT(AUX!CY$1,"dd-MMM-aa"),"")</f>
      </c>
      <c r="CV351" s="496" t="str">
        <f> IF(CV371&lt;&gt;"",TEXT(AUX!CZ$1,"dd-MMM-aa"),"")</f>
      </c>
      <c r="CW351" s="496" t="str">
        <f> IF(CW371&lt;&gt;"",TEXT(AUX!DA$1,"dd-MMM-aa"),"")</f>
      </c>
      <c r="CX351" s="496" t="str">
        <f> IF(CX371&lt;&gt;"",TEXT(AUX!DB$1,"dd-MMM-aa"),"")</f>
      </c>
      <c r="CY351" s="496" t="str">
        <f> IF(CY371&lt;&gt;"",TEXT(AUX!DC$1,"dd-MMM-aa"),"")</f>
      </c>
      <c r="CZ351" s="496" t="str">
        <f> IF(CZ371&lt;&gt;"",TEXT(AUX!DD$1,"dd-MMM-aa"),"")</f>
      </c>
      <c r="DA351" s="496" t="str">
        <f> IF(DA371&lt;&gt;"",TEXT(AUX!DE$1,"dd-MMM-aa"),"")</f>
      </c>
      <c r="DB351" s="496" t="str">
        <f> IF(DB371&lt;&gt;"",TEXT(AUX!DF$1,"dd-MMM-aa"),"")</f>
      </c>
      <c r="DC351" s="496" t="str">
        <f> IF(DC371&lt;&gt;"",TEXT(AUX!DG$1,"dd-MMM-aa"),"")</f>
      </c>
      <c r="DD351" s="496" t="str">
        <f> IF(DD371&lt;&gt;"",TEXT(AUX!DH$1,"dd-MMM-aa"),"")</f>
      </c>
      <c r="DE351" s="496" t="str">
        <f> IF(DE371&lt;&gt;"",TEXT(AUX!DI$1,"dd-MMM-aa"),"")</f>
      </c>
      <c r="DF351" s="496" t="str">
        <f> IF(DF371&lt;&gt;"",TEXT(AUX!DJ$1,"dd-MMM-aa"),"")</f>
      </c>
      <c r="DG351" s="496" t="str">
        <f> IF(DG371&lt;&gt;"",TEXT(AUX!DK$1,"dd-MMM-aa"),"")</f>
      </c>
      <c r="DH351" s="496" t="str">
        <f> IF(DH371&lt;&gt;"",TEXT(AUX!DL$1,"dd-MMM-aa"),"")</f>
      </c>
      <c r="DI351" s="496" t="str">
        <f> IF(DI371&lt;&gt;"",TEXT(AUX!DM$1,"dd-MMM-aa"),"")</f>
      </c>
      <c r="DJ351" s="496" t="str">
        <f> IF(DJ371&lt;&gt;"",TEXT(AUX!DN$1,"dd-MMM-aa"),"")</f>
      </c>
      <c r="DK351" s="496" t="str">
        <f> IF(DK371&lt;&gt;"",TEXT(AUX!DO$1,"dd-MMM-aa"),"")</f>
      </c>
      <c r="DL351" s="496" t="str">
        <f> IF(DL371&lt;&gt;"",TEXT(AUX!DP$1,"dd-MMM-aa"),"")</f>
      </c>
      <c r="DM351" s="496" t="str">
        <f> IF(DM371&lt;&gt;"",TEXT(AUX!DQ$1,"dd-MMM-aa"),"")</f>
      </c>
      <c r="DN351" s="496" t="str">
        <f> IF(DN371&lt;&gt;"",TEXT(AUX!DR$1,"dd-MMM-aa"),"")</f>
      </c>
      <c r="DO351" s="496" t="str">
        <f> IF(DO371&lt;&gt;"",TEXT(AUX!DS$1,"dd-MMM-aa"),"")</f>
      </c>
      <c r="DP351" s="496" t="str">
        <f> IF(DP371&lt;&gt;"",TEXT(AUX!DT$1,"dd-MMM-aa"),"")</f>
      </c>
      <c r="DQ351" s="496" t="str">
        <f> IF(DQ371&lt;&gt;"",TEXT(AUX!DU$1,"dd-MMM-aa"),"")</f>
      </c>
      <c r="DR351" s="496" t="str">
        <f> IF(DR371&lt;&gt;"",TEXT(AUX!DV$1,"dd-MMM-aa"),"")</f>
      </c>
      <c r="DS351" s="496" t="str">
        <f> IF(DS371&lt;&gt;"",TEXT(AUX!DW$1,"dd-MMM-aa"),"")</f>
      </c>
      <c r="DT351" s="496" t="str">
        <f> IF(DT371&lt;&gt;"",TEXT(AUX!DX$1,"dd-MMM-aa"),"")</f>
      </c>
      <c r="DU351" s="496" t="str">
        <f> IF(DU371&lt;&gt;"",TEXT(AUX!DY$1,"dd-MMM-aa"),"")</f>
      </c>
      <c r="DV351" s="496" t="str">
        <f> IF(DV371&lt;&gt;"",TEXT(AUX!DZ$1,"dd-MMM-aa"),"")</f>
      </c>
      <c r="DW351" s="496" t="str">
        <f> IF(DW371&lt;&gt;"",TEXT(AUX!EA$1,"dd-MMM-aa"),"")</f>
      </c>
      <c r="DX351" s="496" t="str">
        <f> IF(DX371&lt;&gt;"",TEXT(AUX!EB$1,"dd-MMM-aa"),"")</f>
      </c>
      <c r="DY351" s="496" t="str">
        <f> IF(DY371&lt;&gt;"",TEXT(AUX!EC$1,"dd-MMM-aa"),"")</f>
      </c>
      <c r="DZ351" s="496" t="str">
        <f> IF(DZ371&lt;&gt;"",TEXT(AUX!ED$1,"dd-MMM-aa"),"")</f>
      </c>
      <c r="EA351" s="496" t="str">
        <f> IF(EA371&lt;&gt;"",TEXT(AUX!EE$1,"dd-MMM-aa"),"")</f>
      </c>
      <c r="EB351" s="496" t="str">
        <f> IF(EB371&lt;&gt;"",TEXT(AUX!EF$1,"dd-MMM-aa"),"")</f>
      </c>
      <c r="EC351" s="496" t="str">
        <f> IF(EC371&lt;&gt;"",TEXT(AUX!EG$1,"dd-MMM-aa"),"")</f>
      </c>
      <c r="ED351" s="496" t="str">
        <f> IF(ED371&lt;&gt;"",TEXT(AUX!EH$1,"dd-MMM-aa"),"")</f>
      </c>
      <c r="EE351" s="496" t="str">
        <f> IF(EE371&lt;&gt;"",TEXT(AUX!EI$1,"dd-MMM-aa"),"")</f>
      </c>
      <c r="EF351" s="496" t="str">
        <f> IF(EF371&lt;&gt;"",TEXT(AUX!EJ$1,"dd-MMM-aa"),"")</f>
      </c>
      <c r="EG351" s="496" t="str">
        <f> IF(EG371&lt;&gt;"",TEXT(AUX!EK$1,"dd-MMM-aa"),"")</f>
      </c>
      <c r="EH351" s="496" t="str">
        <f> IF(EH371&lt;&gt;"",TEXT(AUX!EL$1,"dd-MMM-aa"),"")</f>
      </c>
      <c r="EI351" s="496" t="str">
        <f> IF(EI371&lt;&gt;"",TEXT(AUX!EM$1,"dd-MMM-aa"),"")</f>
      </c>
      <c r="EJ351" s="496" t="str">
        <f> IF(EJ371&lt;&gt;"",TEXT(AUX!EN$1,"dd-MMM-aa"),"")</f>
      </c>
      <c r="EK351" s="496" t="str">
        <f> IF(EK371&lt;&gt;"",TEXT(AUX!EO$1,"dd-MMM-aa"),"")</f>
      </c>
      <c r="EL351" s="496" t="str">
        <f> IF(EL371&lt;&gt;"",TEXT(AUX!EP$1,"dd-MMM-aa"),"")</f>
      </c>
      <c r="EM351" s="496" t="str">
        <f> IF(EM371&lt;&gt;"",TEXT(AUX!EQ$1,"dd-MMM-aa"),"")</f>
      </c>
      <c r="EN351" s="496" t="str">
        <f> IF(EN371&lt;&gt;"",TEXT(AUX!ER$1,"dd-MMM-aa"),"")</f>
      </c>
      <c r="EO351" s="496" t="str">
        <f> IF(EO371&lt;&gt;"",TEXT(AUX!ES$1,"dd-MMM-aa"),"")</f>
      </c>
      <c r="EP351" s="496" t="str">
        <f> IF(EP371&lt;&gt;"",TEXT(AUX!ET$1,"dd-MMM-aa"),"")</f>
      </c>
      <c r="EQ351" s="496" t="str">
        <f> IF(EQ371&lt;&gt;"",TEXT(AUX!EU$1,"dd-MMM-aa"),"")</f>
      </c>
      <c r="ER351" s="496" t="str">
        <f> IF(ER371&lt;&gt;"",TEXT(AUX!EV$1,"dd-MMM-aa"),"")</f>
      </c>
      <c r="ES351" s="496" t="str">
        <f> IF(ES371&lt;&gt;"",TEXT(AUX!EW$1,"dd-MMM-aa"),"")</f>
      </c>
      <c r="ET351" s="496" t="str">
        <f> IF(ET371&lt;&gt;"",TEXT(AUX!EX$1,"dd-MMM-aa"),"")</f>
      </c>
      <c r="EU351" s="496" t="str">
        <f> IF(EU371&lt;&gt;"",TEXT(AUX!EY$1,"dd-MMM-aa"),"")</f>
      </c>
      <c r="EV351" s="496" t="str">
        <f> IF(EV371&lt;&gt;"",TEXT(AUX!EZ$1,"dd-MMM-aa"),"")</f>
      </c>
      <c r="EW351" s="496" t="str">
        <f> IF(EW371&lt;&gt;"",TEXT(AUX!FA$1,"dd-MMM-aa"),"")</f>
      </c>
      <c r="EX351" s="496" t="str">
        <f> IF(EX371&lt;&gt;"",TEXT(AUX!FB$1,"dd-MMM-aa"),"")</f>
      </c>
      <c r="EY351" s="496" t="str">
        <f> IF(EY371&lt;&gt;"",TEXT(AUX!FC$1,"dd-MMM-aa"),"")</f>
      </c>
      <c r="EZ351" s="496" t="str">
        <f> IF(EZ371&lt;&gt;"",TEXT(AUX!FD$1,"dd-MMM-aa"),"")</f>
      </c>
      <c r="FA351" s="496" t="str">
        <f> IF(FA371&lt;&gt;"",TEXT(AUX!FE$1,"dd-MMM-aa"),"")</f>
      </c>
      <c r="FB351" s="496" t="str">
        <f> IF(FB371&lt;&gt;"",TEXT(AUX!FF$1,"dd-MMM-aa"),"")</f>
      </c>
      <c r="FC351" s="496" t="str">
        <f> IF(FC371&lt;&gt;"",TEXT(AUX!FG$1,"dd-MMM-aa"),"")</f>
      </c>
      <c r="FD351" s="496" t="str">
        <f> IF(FD371&lt;&gt;"",TEXT(AUX!FH$1,"dd-MMM-aa"),"")</f>
      </c>
      <c r="FE351" s="496" t="str">
        <f> IF(FE371&lt;&gt;"",TEXT(AUX!FI$1,"dd-MMM-aa"),"")</f>
      </c>
      <c r="FF351" s="496" t="str">
        <f> IF(FF371&lt;&gt;"",TEXT(AUX!FJ$1,"dd-MMM-aa"),"")</f>
      </c>
      <c r="FG351" s="496" t="str">
        <f> IF(FG371&lt;&gt;"",TEXT(AUX!FK$1,"dd-MMM-aa"),"")</f>
      </c>
      <c r="FH351" s="496" t="str">
        <f> IF(FH371&lt;&gt;"",TEXT(AUX!FL$1,"dd-MMM-aa"),"")</f>
      </c>
      <c r="FI351" s="496" t="str">
        <f> IF(FI371&lt;&gt;"",TEXT(AUX!FM$1,"dd-MMM-aa"),"")</f>
      </c>
      <c r="FJ351" s="496" t="str">
        <f> IF(FJ371&lt;&gt;"",TEXT(AUX!FN$1,"dd-MMM-aa"),"")</f>
      </c>
      <c r="FK351" s="496" t="str">
        <f> IF(FK371&lt;&gt;"",TEXT(AUX!FO$1,"dd-MMM-aa"),"")</f>
      </c>
      <c r="FL351" s="496" t="str">
        <f> IF(FL371&lt;&gt;"",TEXT(AUX!FP$1,"dd-MMM-aa"),"")</f>
      </c>
      <c r="FM351" s="496" t="str">
        <f> IF(FM371&lt;&gt;"",TEXT(AUX!FQ$1,"dd-MMM-aa"),"")</f>
      </c>
      <c r="FN351" s="496" t="str">
        <f> IF(FN371&lt;&gt;"",TEXT(AUX!FR$1,"dd-MMM-aa"),"")</f>
      </c>
      <c r="FO351" s="496" t="str">
        <f> IF(FO371&lt;&gt;"",TEXT(AUX!FS$1,"dd-MMM-aa"),"")</f>
      </c>
      <c r="FP351" s="496" t="str">
        <f> IF(FP371&lt;&gt;"",TEXT(AUX!FT$1,"dd-MMM-aa"),"")</f>
      </c>
      <c r="FQ351" s="496" t="str">
        <f> IF(FQ371&lt;&gt;"",TEXT(AUX!FU$1,"dd-MMM-aa"),"")</f>
      </c>
      <c r="FR351" s="496" t="str">
        <f> IF(FR371&lt;&gt;"",TEXT(AUX!FV$1,"dd-MMM-aa"),"")</f>
      </c>
      <c r="FS351" s="496" t="str">
        <f> IF(FS371&lt;&gt;"",TEXT(AUX!FW$1,"dd-MMM-aa"),"")</f>
      </c>
      <c r="FT351" s="496" t="str">
        <f> IF(FT371&lt;&gt;"",TEXT(AUX!FX$1,"dd-MMM-aa"),"")</f>
      </c>
      <c r="FU351" s="496" t="str">
        <f> IF(FU371&lt;&gt;"",TEXT(AUX!FY$1,"dd-MMM-aa"),"")</f>
      </c>
      <c r="FV351" s="496" t="str">
        <f> IF(FV371&lt;&gt;"",TEXT(AUX!FZ$1,"dd-MMM-aa"),"")</f>
      </c>
      <c r="FW351" s="496" t="str">
        <f> IF(FW371&lt;&gt;"",TEXT(AUX!GA$1,"dd-MMM-aa"),"")</f>
      </c>
      <c r="FX351" s="496" t="str">
        <f> IF(FX371&lt;&gt;"",TEXT(AUX!GB$1,"dd-MMM-aa"),"")</f>
      </c>
      <c r="FY351" s="496" t="str">
        <f> IF(FY371&lt;&gt;"",TEXT(AUX!GC$1,"dd-MMM-aa"),"")</f>
      </c>
      <c r="FZ351" s="496" t="str">
        <f> IF(FZ371&lt;&gt;"",TEXT(AUX!GD$1,"dd-MMM-aa"),"")</f>
      </c>
      <c r="GA351" s="496" t="str">
        <f> IF(GA371&lt;&gt;"",TEXT(AUX!GE$1,"dd-MMM-aa"),"")</f>
      </c>
      <c r="GB351" s="496" t="str">
        <f> IF(GB371&lt;&gt;"",TEXT(AUX!GF$1,"dd-MMM-aa"),"")</f>
      </c>
      <c r="GC351" s="496" t="str">
        <f> IF(GC371&lt;&gt;"",TEXT(AUX!GG$1,"dd-MMM-aa"),"")</f>
      </c>
      <c r="GD351" s="496" t="str">
        <f> IF(GD371&lt;&gt;"",TEXT(AUX!GH$1,"dd-MMM-aa"),"")</f>
      </c>
      <c r="GE351" s="496" t="str">
        <f> IF(GE371&lt;&gt;"",TEXT(AUX!GI$1,"dd-MMM-aa"),"")</f>
      </c>
      <c r="GF351" s="496" t="str">
        <f> IF(GF371&lt;&gt;"",TEXT(AUX!GJ$1,"dd-MMM-aa"),"")</f>
      </c>
      <c r="GG351" s="496" t="str">
        <f> IF(GG371&lt;&gt;"",TEXT(AUX!GK$1,"dd-MMM-aa"),"")</f>
      </c>
      <c r="GH351" s="496" t="str">
        <f> IF(GH371&lt;&gt;"",TEXT(AUX!GL$1,"dd-MMM-aa"),"")</f>
      </c>
      <c r="GI351" s="496" t="str">
        <f> IF(GI371&lt;&gt;"",TEXT(AUX!GM$1,"dd-MMM-aa"),"")</f>
      </c>
      <c r="GJ351" s="496" t="str">
        <f> IF(GJ371&lt;&gt;"",TEXT(AUX!GN$1,"dd-MMM-aa"),"")</f>
      </c>
      <c r="GK351" s="496" t="str">
        <f> IF(GK371&lt;&gt;"",TEXT(AUX!GO$1,"dd-MMM-aa"),"")</f>
      </c>
      <c r="GL351" s="496" t="str">
        <f> IF(GL371&lt;&gt;"",TEXT(AUX!GP$1,"dd-MMM-aa"),"")</f>
      </c>
      <c r="GM351" s="496" t="str">
        <f> IF(GM371&lt;&gt;"",TEXT(AUX!GQ$1,"dd-MMM-aa"),"")</f>
      </c>
      <c r="GN351" s="496" t="str">
        <f> IF(GN371&lt;&gt;"",TEXT(AUX!GR$1,"dd-MMM-aa"),"")</f>
      </c>
      <c r="GO351" s="496" t="str">
        <f> IF(GO371&lt;&gt;"",TEXT(AUX!GS$1,"dd-MMM-aa"),"")</f>
      </c>
      <c r="GP351" s="496" t="str">
        <f> IF(GP371&lt;&gt;"",TEXT(AUX!GT$1,"dd-MMM-aa"),"")</f>
      </c>
      <c r="GQ351" s="496" t="str">
        <f> IF(GQ371&lt;&gt;"",TEXT(AUX!GU$1,"dd-MMM-aa"),"")</f>
      </c>
      <c r="GR351" s="496" t="str">
        <f> IF(GR371&lt;&gt;"",TEXT(AUX!GV$1,"dd-MMM-aa"),"")</f>
      </c>
      <c r="GS351" s="496" t="str">
        <f> IF(GS371&lt;&gt;"",TEXT(AUX!GW$1,"dd-MMM-aa"),"")</f>
      </c>
      <c r="GT351" s="496" t="str">
        <f> IF(GT371&lt;&gt;"",TEXT(AUX!GX$1,"dd-MMM-aa"),"")</f>
      </c>
      <c r="GU351" s="496" t="str">
        <f> IF(GU371&lt;&gt;"",TEXT(AUX!GY$1,"dd-MMM-aa"),"")</f>
      </c>
      <c r="GV351" s="496" t="str">
        <f> IF(GV371&lt;&gt;"",TEXT(AUX!GZ$1,"dd-MMM-aa"),"")</f>
      </c>
      <c r="GW351" s="496" t="str">
        <f> IF(GW371&lt;&gt;"",TEXT(AUX!HA$1,"dd-MMM-aa"),"")</f>
      </c>
      <c r="GX351" s="496" t="str">
        <f> IF(GX371&lt;&gt;"",TEXT(AUX!HB$1,"dd-MMM-aa"),"")</f>
      </c>
      <c r="GY351" s="496" t="str">
        <f> IF(GY371&lt;&gt;"",TEXT(AUX!HC$1,"dd-MMM-aa"),"")</f>
      </c>
      <c r="GZ351" s="496" t="str">
        <f> IF(GZ371&lt;&gt;"",TEXT(AUX!HD$1,"dd-MMM-aa"),"")</f>
      </c>
      <c r="HA351" s="496" t="str">
        <f> IF(HA371&lt;&gt;"",TEXT(AUX!HE$1,"dd-MMM-aa"),"")</f>
      </c>
      <c r="HB351" s="496" t="str">
        <f> IF(HB371&lt;&gt;"",TEXT(AUX!HF$1,"dd-MMM-aa"),"")</f>
      </c>
      <c r="HC351" s="496" t="str">
        <f> IF(HC371&lt;&gt;"",TEXT(AUX!HG$1,"dd-MMM-aa"),"")</f>
      </c>
      <c r="HD351" s="496" t="str">
        <f> IF(HD371&lt;&gt;"",TEXT(AUX!HH$1,"dd-MMM-aa"),"")</f>
      </c>
      <c r="HE351" s="496" t="str">
        <f> IF(HE371&lt;&gt;"",TEXT(AUX!HI$1,"dd-MMM-aa"),"")</f>
      </c>
      <c r="HF351" s="496" t="str">
        <f> IF(HF371&lt;&gt;"",TEXT(AUX!HJ$1,"dd-MMM-aa"),"")</f>
      </c>
      <c r="HG351" s="496" t="str">
        <f> IF(HG371&lt;&gt;"",TEXT(AUX!HK$1,"dd-MMM-aa"),"")</f>
      </c>
      <c r="HH351" s="496" t="str">
        <f> IF(HH371&lt;&gt;"",TEXT(AUX!HL$1,"dd-MMM-aa"),"")</f>
      </c>
      <c r="HI351" s="496" t="str">
        <f> IF(HI371&lt;&gt;"",TEXT(AUX!HM$1,"dd-MMM-aa"),"")</f>
      </c>
      <c r="HJ351" s="496" t="str">
        <f> IF(HJ371&lt;&gt;"",TEXT(AUX!HN$1,"dd-MMM-aa"),"")</f>
      </c>
      <c r="HK351" s="496" t="str">
        <f> IF(HK371&lt;&gt;"",TEXT(AUX!HO$1,"dd-MMM-aa"),"")</f>
      </c>
      <c r="HL351" s="496" t="str">
        <f> IF(HL371&lt;&gt;"",TEXT(AUX!HP$1,"dd-MMM-aa"),"")</f>
      </c>
      <c r="HM351" s="496" t="str">
        <f> IF(HM371&lt;&gt;"",TEXT(AUX!HQ$1,"dd-MMM-aa"),"")</f>
      </c>
      <c r="HN351" s="496" t="str">
        <f> IF(HN371&lt;&gt;"",TEXT(AUX!HR$1,"dd-MMM-aa"),"")</f>
      </c>
      <c r="HO351" s="496" t="str">
        <f> IF(HO371&lt;&gt;"",TEXT(AUX!HS$1,"dd-MMM-aa"),"")</f>
      </c>
      <c r="HP351" s="496" t="str">
        <f> IF(HP371&lt;&gt;"",TEXT(AUX!HT$1,"dd-MMM-aa"),"")</f>
      </c>
      <c r="HQ351" s="496" t="str">
        <f> IF(HQ371&lt;&gt;"",TEXT(AUX!HU$1,"dd-MMM-aa"),"")</f>
      </c>
      <c r="HR351" s="496" t="str">
        <f> IF(HR371&lt;&gt;"",TEXT(AUX!HV$1,"dd-MMM-aa"),"")</f>
      </c>
      <c r="HS351" s="496" t="str">
        <f> IF(HS371&lt;&gt;"",TEXT(AUX!HW$1,"dd-MMM-aa"),"")</f>
      </c>
      <c r="HT351" s="496" t="str">
        <f> IF(HT371&lt;&gt;"",TEXT(AUX!HX$1,"dd-MMM-aa"),"")</f>
      </c>
      <c r="HU351" s="496" t="str">
        <f> IF(HU371&lt;&gt;"",TEXT(AUX!HY$1,"dd-MMM-aa"),"")</f>
      </c>
      <c r="HV351" s="496" t="str">
        <f> IF(HV371&lt;&gt;"",TEXT(AUX!HZ$1,"dd-MMM-aa"),"")</f>
      </c>
      <c r="HW351" s="496" t="str">
        <f> IF(HW371&lt;&gt;"",TEXT(AUX!IA$1,"dd-MMM-aa"),"")</f>
      </c>
      <c r="HX351" s="496" t="str">
        <f> IF(HX371&lt;&gt;"",TEXT(AUX!IB$1,"dd-MMM-aa"),"")</f>
      </c>
      <c r="HY351" s="496" t="str">
        <f> IF(HY371&lt;&gt;"",TEXT(AUX!IC$1,"dd-MMM-aa"),"")</f>
      </c>
      <c r="HZ351" s="496" t="str">
        <f> IF(HZ371&lt;&gt;"",TEXT(AUX!ID$1,"dd-MMM-aa"),"")</f>
      </c>
      <c r="IA351" s="496" t="str">
        <f> IF(IA371&lt;&gt;"",TEXT(AUX!IE$1,"dd-MMM-aa"),"")</f>
      </c>
      <c r="IB351" s="496" t="str">
        <f> IF(IB371&lt;&gt;"",TEXT(AUX!IF$1,"dd-MMM-aa"),"")</f>
      </c>
      <c r="IC351" s="496" t="str">
        <f> IF(IC371&lt;&gt;"",TEXT(AUX!IG$1,"dd-MMM-aa"),"")</f>
      </c>
      <c r="ID351" s="496" t="str">
        <f> IF(ID371&lt;&gt;"",TEXT(AUX!IH$1,"dd-MMM-aa"),"")</f>
      </c>
      <c r="IE351" s="496" t="str">
        <f> IF(IE371&lt;&gt;"",TEXT(AUX!II$1,"dd-MMM-aa"),"")</f>
      </c>
      <c r="IF351" s="496" t="str">
        <f> IF(IF371&lt;&gt;"",TEXT(AUX!IJ$1,"dd-MMM-aa"),"")</f>
      </c>
      <c r="IG351" s="496" t="str">
        <f> IF(IG371&lt;&gt;"",TEXT(AUX!IK$1,"dd-MMM-aa"),"")</f>
      </c>
      <c r="IH351" s="496" t="str">
        <f> IF(IH371&lt;&gt;"",TEXT(AUX!IL$1,"dd-MMM-aa"),"")</f>
      </c>
      <c r="II351" s="496" t="str">
        <f> IF(II371&lt;&gt;"",TEXT(AUX!IM$1,"dd-MMM-aa"),"")</f>
      </c>
      <c r="IJ351" s="496" t="str">
        <f> IF(IJ371&lt;&gt;"",TEXT(AUX!IN$1,"dd-MMM-aa"),"")</f>
      </c>
      <c r="IK351" s="496" t="str">
        <f> IF(IK371&lt;&gt;"",TEXT(AUX!IO$1,"dd-MMM-aa"),"")</f>
      </c>
      <c r="IL351" s="496" t="str">
        <f> IF(IL371&lt;&gt;"",TEXT(AUX!IP$1,"dd-MMM-aa"),"")</f>
      </c>
      <c r="IM351" s="496" t="str">
        <f> IF(IM371&lt;&gt;"",TEXT(AUX!IQ$1,"dd-MMM-aa"),"")</f>
      </c>
      <c r="IN351" s="496" t="str">
        <f> IF(IN371&lt;&gt;"",TEXT(AUX!IR$1,"dd-MMM-aa"),"")</f>
      </c>
      <c r="IO351" s="496" t="str">
        <f> IF(IO371&lt;&gt;"",TEXT(AUX!IS$1,"dd-MMM-aa"),"")</f>
      </c>
      <c r="IP351" s="496" t="str">
        <f> IF(IP371&lt;&gt;"",TEXT(AUX!IT$1,"dd-MMM-aa"),"")</f>
      </c>
      <c r="IQ351" s="496" t="str">
        <f> IF(IQ371&lt;&gt;"",TEXT(AUX!IU$1,"dd-MMM-aa"),"")</f>
      </c>
      <c r="IR351" s="496" t="str">
        <f> IF(IR371&lt;&gt;"",TEXT(AUX!IV$1,"dd-MMM-aa"),"")</f>
      </c>
      <c r="IS351" s="496" t="str">
        <f> IF(IS371&lt;&gt;"",TEXT(AUX!#REF!,"dd-MMM-aa"),"")</f>
      </c>
      <c r="IT351" s="496" t="str">
        <f> IF(IT371&lt;&gt;"",TEXT(AUX!#REF!,"dd-MMM-aa"),"")</f>
      </c>
      <c r="IU351" s="496" t="str">
        <f> IF(IU371&lt;&gt;"",TEXT(AUX!#REF!,"dd-MMM-aa"),"")</f>
      </c>
      <c r="IV351" s="496" t="str">
        <f> IF(IV371&lt;&gt;"",TEXT(AUX!#REF!,"dd-MMM-aa"),"")</f>
      </c>
    </row>
    <row r="352" hidden="1">
      <c r="B352" s="822" t="s">
        <v>8</v>
      </c>
      <c r="C352" s="823">
        <v>9</v>
      </c>
      <c r="D352" s="823">
        <v>16602</v>
      </c>
      <c r="E352" s="823">
        <v>42386</v>
      </c>
      <c r="F352" s="823">
        <v>52166</v>
      </c>
      <c r="G352" s="823">
        <v>56560</v>
      </c>
      <c r="H352" s="823">
        <v>59380</v>
      </c>
      <c r="I352" s="823">
        <v>61453</v>
      </c>
      <c r="J352" s="823">
        <v>63555</v>
      </c>
      <c r="K352" s="823">
        <v>65484</v>
      </c>
      <c r="L352" s="823">
        <v>66826</v>
      </c>
      <c r="M352" s="823">
        <v>68042</v>
      </c>
      <c r="N352" s="823">
        <v>69222</v>
      </c>
      <c r="O352" s="823">
        <v>4429</v>
      </c>
      <c r="P352" s="823">
        <v>71516</v>
      </c>
      <c r="Q352" s="823">
        <v>72298</v>
      </c>
      <c r="R352" s="823">
        <v>73247</v>
      </c>
      <c r="S352" s="823">
        <v>73759</v>
      </c>
      <c r="T352" s="823">
        <v>73945</v>
      </c>
      <c r="U352" s="823">
        <v>74307</v>
      </c>
      <c r="V352" s="823">
        <v>74785</v>
      </c>
      <c r="W352" s="823">
        <v>74454</v>
      </c>
      <c r="X352" s="823">
        <v>74458</v>
      </c>
      <c r="Y352" s="823">
        <v>74145</v>
      </c>
      <c r="Z352" s="823">
        <v>74304</v>
      </c>
      <c r="AA352" s="823">
        <v>73421</v>
      </c>
      <c r="AB352" s="824">
        <v>73462</v>
      </c>
      <c r="AC352" s="825">
        <v>73216</v>
      </c>
      <c r="AD352" s="825">
        <v>73197</v>
      </c>
      <c r="AE352" s="825">
        <v>73398</v>
      </c>
      <c r="AF352" s="825">
        <v>73573</v>
      </c>
      <c r="AG352" s="825">
        <v>73675</v>
      </c>
      <c r="AH352" s="825">
        <v>73759</v>
      </c>
      <c r="AI352" s="825">
        <v>73698</v>
      </c>
      <c r="AJ352" s="825">
        <v>73640</v>
      </c>
      <c r="AK352" s="825">
        <v>73942</v>
      </c>
      <c r="AL352" s="825">
        <v>66614</v>
      </c>
      <c r="AM352" s="825">
        <v>65174</v>
      </c>
      <c r="AN352" s="825">
        <v>65008</v>
      </c>
      <c r="AO352" s="825">
        <v>65227</v>
      </c>
      <c r="AP352" s="825">
        <v>65714</v>
      </c>
      <c r="AQ352" s="51"/>
      <c r="AR352" s="51"/>
      <c r="AS352" s="51"/>
      <c r="AT352" s="51"/>
      <c r="AU352" s="51"/>
      <c r="AV352" s="51"/>
      <c r="AW352" s="51"/>
      <c r="AX352" s="51"/>
      <c r="AY352" s="51"/>
      <c r="AZ352" s="51"/>
      <c r="BA352" s="51"/>
      <c r="BB352" s="51"/>
      <c r="BC352" s="51"/>
      <c r="BD352" s="51"/>
      <c r="BE352" s="51"/>
      <c r="BF352" s="51"/>
      <c r="BG352" s="51"/>
      <c r="BH352" s="51"/>
      <c r="BI352" s="51"/>
      <c r="BJ352" s="51"/>
      <c r="BK352" s="51"/>
      <c r="BL352" s="51"/>
      <c r="BM352" s="51"/>
      <c r="BN352" s="51"/>
      <c r="BO352" s="51"/>
      <c r="BP352" s="51"/>
      <c r="BQ352" s="51"/>
      <c r="BR352" s="51"/>
      <c r="BS352" s="51"/>
      <c r="BT352" s="51"/>
      <c r="BU352" s="51"/>
      <c r="BV352" s="51"/>
      <c r="BW352" s="51"/>
      <c r="BX352" s="51"/>
      <c r="BY352" s="51"/>
      <c r="BZ352" s="51"/>
      <c r="CA352" s="51"/>
      <c r="CB352" s="51"/>
      <c r="CC352" s="51"/>
      <c r="CD352" s="51"/>
      <c r="CE352" s="51"/>
      <c r="CF352" s="51"/>
      <c r="CG352" s="51"/>
      <c r="CH352" s="51"/>
      <c r="CI352" s="51"/>
      <c r="CJ352" s="51"/>
      <c r="CK352" s="51"/>
      <c r="CL352" s="51"/>
      <c r="CM352" s="51"/>
      <c r="CN352" s="51"/>
      <c r="CO352" s="51"/>
      <c r="CP352" s="51"/>
      <c r="CQ352" s="51"/>
      <c r="CR352" s="51"/>
      <c r="CS352" s="51"/>
      <c r="CT352" s="51"/>
      <c r="CU352" s="51"/>
      <c r="CV352" s="51"/>
      <c r="CW352" s="51"/>
      <c r="CX352" s="51"/>
      <c r="CY352" s="51"/>
      <c r="CZ352" s="51"/>
      <c r="DA352" s="51"/>
      <c r="DB352" s="51"/>
      <c r="DC352" s="51"/>
      <c r="DD352" s="51"/>
      <c r="DE352" s="51"/>
      <c r="DF352" s="51"/>
      <c r="DG352" s="51"/>
      <c r="DH352" s="51"/>
      <c r="DI352" s="51"/>
      <c r="DJ352" s="51"/>
      <c r="DK352" s="51"/>
      <c r="DL352" s="51"/>
      <c r="DM352" s="51"/>
      <c r="DN352" s="51"/>
      <c r="DO352" s="51"/>
      <c r="DP352" s="51"/>
      <c r="DQ352" s="51"/>
      <c r="DR352" s="51"/>
      <c r="DS352" s="51"/>
      <c r="DT352" s="51"/>
      <c r="DU352" s="51"/>
      <c r="DV352" s="51"/>
      <c r="DW352" s="51"/>
      <c r="DX352" s="51"/>
      <c r="DY352" s="51"/>
      <c r="DZ352" s="51"/>
      <c r="EA352" s="51"/>
      <c r="EB352" s="51"/>
      <c r="EC352" s="51"/>
      <c r="ED352" s="51"/>
      <c r="EE352" s="51"/>
      <c r="EF352" s="51"/>
      <c r="EG352" s="51"/>
      <c r="EH352" s="51"/>
      <c r="EI352" s="51"/>
      <c r="EJ352" s="51"/>
      <c r="EK352" s="51"/>
      <c r="EL352" s="51"/>
      <c r="EM352" s="51"/>
      <c r="EN352" s="51"/>
      <c r="EO352" s="51"/>
      <c r="EP352" s="51"/>
      <c r="EQ352" s="51"/>
      <c r="ER352" s="51"/>
      <c r="ES352" s="51"/>
      <c r="ET352" s="51"/>
      <c r="EU352" s="51"/>
      <c r="EV352" s="51"/>
      <c r="EW352" s="51"/>
      <c r="EX352" s="51"/>
      <c r="EY352" s="51"/>
      <c r="EZ352" s="51"/>
      <c r="FA352" s="51"/>
      <c r="FB352" s="51"/>
      <c r="FC352" s="51"/>
      <c r="FD352" s="51"/>
      <c r="FE352" s="51"/>
      <c r="FF352" s="51"/>
      <c r="FG352" s="51"/>
      <c r="FH352" s="51"/>
      <c r="FI352" s="51"/>
      <c r="FJ352" s="51"/>
      <c r="FK352" s="51"/>
      <c r="FL352" s="51"/>
      <c r="FM352" s="51"/>
      <c r="FN352" s="51"/>
      <c r="FO352" s="51"/>
      <c r="FP352" s="51"/>
      <c r="FQ352" s="51"/>
      <c r="FR352" s="51"/>
      <c r="FS352" s="51"/>
      <c r="FT352" s="51"/>
      <c r="FU352" s="51"/>
      <c r="FV352" s="51"/>
      <c r="FW352" s="51"/>
      <c r="FX352" s="51"/>
      <c r="FY352" s="51"/>
      <c r="FZ352" s="51"/>
      <c r="GA352" s="51"/>
      <c r="GB352" s="51"/>
      <c r="GC352" s="51"/>
      <c r="GD352" s="51"/>
      <c r="GE352" s="51"/>
      <c r="GF352" s="51"/>
      <c r="GG352" s="51"/>
      <c r="GH352" s="51"/>
      <c r="GI352" s="51"/>
      <c r="GJ352" s="51"/>
      <c r="GK352" s="51"/>
      <c r="GL352" s="51"/>
      <c r="GM352" s="51"/>
      <c r="GN352" s="51"/>
      <c r="GO352" s="51"/>
      <c r="GP352" s="51"/>
      <c r="GQ352" s="51"/>
      <c r="GR352" s="51"/>
      <c r="GS352" s="51"/>
      <c r="GT352" s="51"/>
      <c r="GU352" s="51"/>
      <c r="GV352" s="51"/>
      <c r="GW352" s="51"/>
      <c r="GX352" s="51"/>
      <c r="GY352" s="51"/>
      <c r="GZ352" s="51"/>
      <c r="HA352" s="51"/>
      <c r="HB352" s="51"/>
      <c r="HC352" s="51"/>
      <c r="HD352" s="51"/>
      <c r="HE352" s="51"/>
      <c r="HF352" s="51"/>
      <c r="HG352" s="51"/>
      <c r="HH352" s="51"/>
      <c r="HI352" s="51"/>
      <c r="HJ352" s="51"/>
      <c r="HK352" s="51"/>
      <c r="HL352" s="51"/>
      <c r="HM352" s="51"/>
      <c r="HN352" s="51"/>
      <c r="HO352" s="51"/>
      <c r="HP352" s="51"/>
      <c r="HQ352" s="51"/>
      <c r="HR352" s="51"/>
      <c r="HS352" s="51"/>
      <c r="HT352" s="51"/>
      <c r="HU352" s="51"/>
      <c r="HV352" s="51"/>
      <c r="HW352" s="51"/>
      <c r="HX352" s="51"/>
      <c r="HY352" s="51"/>
      <c r="HZ352" s="51"/>
      <c r="IA352" s="51"/>
      <c r="IB352" s="51"/>
      <c r="IC352" s="51"/>
      <c r="ID352" s="51"/>
      <c r="IE352" s="51"/>
      <c r="IF352" s="51"/>
      <c r="IG352" s="51"/>
      <c r="IH352" s="51"/>
      <c r="II352" s="51"/>
      <c r="IJ352" s="51"/>
      <c r="IK352" s="51"/>
      <c r="IL352" s="51"/>
      <c r="IM352" s="51"/>
      <c r="IN352" s="51"/>
      <c r="IO352" s="51"/>
      <c r="IP352" s="51"/>
      <c r="IQ352" s="51"/>
      <c r="IR352" s="51"/>
      <c r="IS352" s="51"/>
      <c r="IT352" s="51"/>
      <c r="IU352" s="51"/>
      <c r="IV352" s="51"/>
    </row>
    <row r="353" hidden="1">
      <c r="B353" s="826" t="s">
        <v>9</v>
      </c>
      <c r="C353" s="827">
        <v>298</v>
      </c>
      <c r="D353" s="827">
        <v>325</v>
      </c>
      <c r="E353" s="827">
        <v>372</v>
      </c>
      <c r="F353" s="827">
        <v>407</v>
      </c>
      <c r="G353" s="827">
        <v>428</v>
      </c>
      <c r="H353" s="827">
        <v>453</v>
      </c>
      <c r="I353" s="827">
        <v>489</v>
      </c>
      <c r="J353" s="827">
        <v>512</v>
      </c>
      <c r="K353" s="827">
        <v>710</v>
      </c>
      <c r="L353" s="827">
        <v>800</v>
      </c>
      <c r="M353" s="827">
        <v>859</v>
      </c>
      <c r="N353" s="827">
        <v>912</v>
      </c>
      <c r="O353" s="827">
        <v>930</v>
      </c>
      <c r="P353" s="827">
        <v>1218</v>
      </c>
      <c r="Q353" s="827">
        <v>1511</v>
      </c>
      <c r="R353" s="827">
        <v>1792</v>
      </c>
      <c r="S353" s="827">
        <v>2135</v>
      </c>
      <c r="T353" s="827">
        <v>2232</v>
      </c>
      <c r="U353" s="827">
        <v>2383</v>
      </c>
      <c r="V353" s="827">
        <v>2515</v>
      </c>
      <c r="W353" s="827">
        <v>2609</v>
      </c>
      <c r="X353" s="827">
        <v>2728</v>
      </c>
      <c r="Y353" s="827">
        <v>2850</v>
      </c>
      <c r="Z353" s="827">
        <v>2927</v>
      </c>
      <c r="AA353" s="827">
        <v>2985</v>
      </c>
      <c r="AB353" s="827">
        <v>3044</v>
      </c>
      <c r="AC353" s="828">
        <v>3118</v>
      </c>
      <c r="AD353" s="828">
        <v>3197</v>
      </c>
      <c r="AE353" s="828">
        <v>3268</v>
      </c>
      <c r="AF353" s="828">
        <v>3344</v>
      </c>
      <c r="AG353" s="828">
        <v>3433</v>
      </c>
      <c r="AH353" s="828">
        <v>3493</v>
      </c>
      <c r="AI353" s="828">
        <v>3550</v>
      </c>
      <c r="AJ353" s="828">
        <v>3624</v>
      </c>
      <c r="AK353" s="828">
        <v>3706</v>
      </c>
      <c r="AL353" s="828">
        <v>3777</v>
      </c>
      <c r="AM353" s="828">
        <v>3826</v>
      </c>
      <c r="AN353" s="828">
        <v>3871</v>
      </c>
      <c r="AO353" s="828">
        <v>3929</v>
      </c>
      <c r="AP353" s="828">
        <v>3985</v>
      </c>
      <c r="AQ353" s="51"/>
      <c r="AR353" s="51"/>
      <c r="AS353" s="51"/>
      <c r="AT353" s="51"/>
      <c r="AU353" s="51"/>
      <c r="AV353" s="51"/>
      <c r="AW353" s="51"/>
      <c r="AX353" s="51"/>
      <c r="AY353" s="51"/>
      <c r="AZ353" s="51"/>
      <c r="BA353" s="51"/>
      <c r="BB353" s="51"/>
      <c r="BC353" s="51"/>
      <c r="BD353" s="51"/>
      <c r="BE353" s="51"/>
      <c r="BF353" s="51"/>
      <c r="BG353" s="51"/>
      <c r="BH353" s="51"/>
      <c r="BI353" s="51"/>
      <c r="BJ353" s="51"/>
      <c r="BK353" s="51"/>
      <c r="BL353" s="51"/>
      <c r="BM353" s="51"/>
      <c r="BN353" s="51"/>
      <c r="BO353" s="51"/>
      <c r="BP353" s="51"/>
      <c r="BQ353" s="51"/>
      <c r="BR353" s="51"/>
      <c r="BS353" s="51"/>
      <c r="BT353" s="51"/>
      <c r="BU353" s="51"/>
      <c r="BV353" s="51"/>
      <c r="BW353" s="51"/>
      <c r="BX353" s="51"/>
      <c r="BY353" s="51"/>
      <c r="BZ353" s="51"/>
      <c r="CA353" s="51"/>
      <c r="CB353" s="51"/>
      <c r="CC353" s="51"/>
      <c r="CD353" s="51"/>
      <c r="CE353" s="51"/>
      <c r="CF353" s="51"/>
      <c r="CG353" s="51"/>
      <c r="CH353" s="51"/>
      <c r="CI353" s="51"/>
      <c r="CJ353" s="51"/>
      <c r="CK353" s="51"/>
      <c r="CL353" s="51"/>
      <c r="CM353" s="51"/>
      <c r="CN353" s="51"/>
      <c r="CO353" s="51"/>
      <c r="CP353" s="51"/>
      <c r="CQ353" s="51"/>
      <c r="CR353" s="51"/>
      <c r="CS353" s="51"/>
      <c r="CT353" s="51"/>
      <c r="CU353" s="51"/>
      <c r="CV353" s="51"/>
      <c r="CW353" s="51"/>
      <c r="CX353" s="51"/>
      <c r="CY353" s="51"/>
      <c r="CZ353" s="51"/>
      <c r="DA353" s="51"/>
      <c r="DB353" s="51"/>
      <c r="DC353" s="51"/>
      <c r="DD353" s="51"/>
      <c r="DE353" s="51"/>
      <c r="DF353" s="51"/>
      <c r="DG353" s="51"/>
      <c r="DH353" s="51"/>
      <c r="DI353" s="51"/>
      <c r="DJ353" s="51"/>
      <c r="DK353" s="51"/>
      <c r="DL353" s="51"/>
      <c r="DM353" s="51"/>
      <c r="DN353" s="51"/>
      <c r="DO353" s="51"/>
      <c r="DP353" s="51"/>
      <c r="DQ353" s="51"/>
      <c r="DR353" s="51"/>
      <c r="DS353" s="51"/>
      <c r="DT353" s="51"/>
      <c r="DU353" s="51"/>
      <c r="DV353" s="51"/>
      <c r="DW353" s="51"/>
      <c r="DX353" s="51"/>
      <c r="DY353" s="51"/>
      <c r="DZ353" s="51"/>
      <c r="EA353" s="51"/>
      <c r="EB353" s="51"/>
      <c r="EC353" s="51"/>
      <c r="ED353" s="51"/>
      <c r="EE353" s="51"/>
      <c r="EF353" s="51"/>
      <c r="EG353" s="51"/>
      <c r="EH353" s="51"/>
      <c r="EI353" s="51"/>
      <c r="EJ353" s="51"/>
      <c r="EK353" s="51"/>
      <c r="EL353" s="51"/>
      <c r="EM353" s="51"/>
      <c r="EN353" s="51"/>
      <c r="EO353" s="51"/>
      <c r="EP353" s="51"/>
      <c r="EQ353" s="51"/>
      <c r="ER353" s="51"/>
      <c r="ES353" s="51"/>
      <c r="ET353" s="51"/>
      <c r="EU353" s="51"/>
      <c r="EV353" s="51"/>
      <c r="EW353" s="51"/>
      <c r="EX353" s="51"/>
      <c r="EY353" s="51"/>
      <c r="EZ353" s="51"/>
      <c r="FA353" s="51"/>
      <c r="FB353" s="51"/>
      <c r="FC353" s="51"/>
      <c r="FD353" s="51"/>
      <c r="FE353" s="51"/>
      <c r="FF353" s="51"/>
      <c r="FG353" s="51"/>
      <c r="FH353" s="51"/>
      <c r="FI353" s="51"/>
      <c r="FJ353" s="51"/>
      <c r="FK353" s="51"/>
      <c r="FL353" s="51"/>
      <c r="FM353" s="51"/>
      <c r="FN353" s="51"/>
      <c r="FO353" s="51"/>
      <c r="FP353" s="51"/>
      <c r="FQ353" s="51"/>
      <c r="FR353" s="51"/>
      <c r="FS353" s="51"/>
      <c r="FT353" s="51"/>
      <c r="FU353" s="51"/>
      <c r="FV353" s="51"/>
      <c r="FW353" s="51"/>
      <c r="FX353" s="51"/>
      <c r="FY353" s="51"/>
      <c r="FZ353" s="51"/>
      <c r="GA353" s="51"/>
      <c r="GB353" s="51"/>
      <c r="GC353" s="51"/>
      <c r="GD353" s="51"/>
      <c r="GE353" s="51"/>
      <c r="GF353" s="51"/>
      <c r="GG353" s="51"/>
      <c r="GH353" s="51"/>
      <c r="GI353" s="51"/>
      <c r="GJ353" s="51"/>
      <c r="GK353" s="51"/>
      <c r="GL353" s="51"/>
      <c r="GM353" s="51"/>
      <c r="GN353" s="51"/>
      <c r="GO353" s="51"/>
      <c r="GP353" s="51"/>
      <c r="GQ353" s="51"/>
      <c r="GR353" s="51"/>
      <c r="GS353" s="51"/>
      <c r="GT353" s="51"/>
      <c r="GU353" s="51"/>
      <c r="GV353" s="51"/>
      <c r="GW353" s="51"/>
      <c r="GX353" s="51"/>
      <c r="GY353" s="51"/>
      <c r="GZ353" s="51"/>
      <c r="HA353" s="51"/>
      <c r="HB353" s="51"/>
      <c r="HC353" s="51"/>
      <c r="HD353" s="51"/>
      <c r="HE353" s="51"/>
      <c r="HF353" s="51"/>
      <c r="HG353" s="51"/>
      <c r="HH353" s="51"/>
      <c r="HI353" s="51"/>
      <c r="HJ353" s="51"/>
      <c r="HK353" s="51"/>
      <c r="HL353" s="51"/>
      <c r="HM353" s="51"/>
      <c r="HN353" s="51"/>
      <c r="HO353" s="51"/>
      <c r="HP353" s="51"/>
      <c r="HQ353" s="51"/>
      <c r="HR353" s="51"/>
      <c r="HS353" s="51"/>
      <c r="HT353" s="51"/>
      <c r="HU353" s="51"/>
      <c r="HV353" s="51"/>
      <c r="HW353" s="51"/>
      <c r="HX353" s="51"/>
      <c r="HY353" s="51"/>
      <c r="HZ353" s="51"/>
      <c r="IA353" s="51"/>
      <c r="IB353" s="51"/>
      <c r="IC353" s="51"/>
      <c r="ID353" s="51"/>
      <c r="IE353" s="51"/>
      <c r="IF353" s="51"/>
      <c r="IG353" s="51"/>
      <c r="IH353" s="51"/>
      <c r="II353" s="51"/>
      <c r="IJ353" s="51"/>
      <c r="IK353" s="51"/>
      <c r="IL353" s="51"/>
      <c r="IM353" s="51"/>
      <c r="IN353" s="51"/>
      <c r="IO353" s="51"/>
      <c r="IP353" s="51"/>
      <c r="IQ353" s="51"/>
      <c r="IR353" s="51"/>
      <c r="IS353" s="51"/>
      <c r="IT353" s="51"/>
      <c r="IU353" s="51"/>
      <c r="IV353" s="51"/>
    </row>
    <row r="354" hidden="1">
      <c r="B354" s="829" t="s">
        <v>10</v>
      </c>
      <c r="C354" s="823">
        <v>1042</v>
      </c>
      <c r="D354" s="823">
        <v>1158</v>
      </c>
      <c r="E354" s="823">
        <v>2252</v>
      </c>
      <c r="F354" s="823">
        <v>3362</v>
      </c>
      <c r="G354" s="823">
        <v>4127</v>
      </c>
      <c r="H354" s="823">
        <v>4727</v>
      </c>
      <c r="I354" s="823">
        <v>5474</v>
      </c>
      <c r="J354" s="823">
        <v>5811</v>
      </c>
      <c r="K354" s="823">
        <v>7829</v>
      </c>
      <c r="L354" s="823">
        <v>9437</v>
      </c>
      <c r="M354" s="823">
        <v>10001</v>
      </c>
      <c r="N354" s="823">
        <v>10516</v>
      </c>
      <c r="O354" s="823">
        <v>8019</v>
      </c>
      <c r="P354" s="823">
        <v>11911</v>
      </c>
      <c r="Q354" s="823">
        <v>11968</v>
      </c>
      <c r="R354" s="823">
        <v>12287</v>
      </c>
      <c r="S354" s="823">
        <v>12568</v>
      </c>
      <c r="T354" s="823">
        <v>11514</v>
      </c>
      <c r="U354" s="823">
        <v>11759</v>
      </c>
      <c r="V354" s="823">
        <v>10391</v>
      </c>
      <c r="W354" s="823">
        <v>10776</v>
      </c>
      <c r="X354" s="823">
        <v>10404</v>
      </c>
      <c r="Y354" s="823">
        <v>10675</v>
      </c>
      <c r="Z354" s="823">
        <v>10330</v>
      </c>
      <c r="AA354" s="823">
        <v>10622</v>
      </c>
      <c r="AB354" s="823">
        <v>10297</v>
      </c>
      <c r="AC354" s="825">
        <v>10577</v>
      </c>
      <c r="AD354" s="825">
        <v>10316</v>
      </c>
      <c r="AE354" s="825">
        <v>10653</v>
      </c>
      <c r="AF354" s="825">
        <v>10570</v>
      </c>
      <c r="AG354" s="825">
        <v>11013</v>
      </c>
      <c r="AH354" s="825">
        <v>10903</v>
      </c>
      <c r="AI354" s="825">
        <v>11229</v>
      </c>
      <c r="AJ354" s="825">
        <v>11022</v>
      </c>
      <c r="AK354" s="825">
        <v>11584</v>
      </c>
      <c r="AL354" s="825">
        <v>11399</v>
      </c>
      <c r="AM354" s="825">
        <v>11752</v>
      </c>
      <c r="AN354" s="825">
        <v>11640</v>
      </c>
      <c r="AO354" s="825">
        <v>11957</v>
      </c>
      <c r="AP354" s="825">
        <v>11802</v>
      </c>
      <c r="AQ354" s="51"/>
      <c r="AR354" s="51"/>
      <c r="AS354" s="51"/>
      <c r="AT354" s="51"/>
      <c r="AU354" s="51"/>
      <c r="AV354" s="51"/>
      <c r="AW354" s="51"/>
      <c r="AX354" s="51"/>
      <c r="AY354" s="51"/>
      <c r="AZ354" s="51"/>
      <c r="BA354" s="51"/>
      <c r="BB354" s="51"/>
      <c r="BC354" s="51"/>
      <c r="BD354" s="51"/>
      <c r="BE354" s="51"/>
      <c r="BF354" s="51"/>
      <c r="BG354" s="51"/>
      <c r="BH354" s="51"/>
      <c r="BI354" s="51"/>
      <c r="BJ354" s="51"/>
      <c r="BK354" s="51"/>
      <c r="BL354" s="51"/>
      <c r="BM354" s="51"/>
      <c r="BN354" s="51"/>
      <c r="BO354" s="51"/>
      <c r="BP354" s="51"/>
      <c r="BQ354" s="51"/>
      <c r="BR354" s="51"/>
      <c r="BS354" s="51"/>
      <c r="BT354" s="51"/>
      <c r="BU354" s="51"/>
      <c r="BV354" s="51"/>
      <c r="BW354" s="51"/>
      <c r="BX354" s="51"/>
      <c r="BY354" s="51"/>
      <c r="BZ354" s="51"/>
      <c r="CA354" s="51"/>
      <c r="CB354" s="51"/>
      <c r="CC354" s="51"/>
      <c r="CD354" s="51"/>
      <c r="CE354" s="51"/>
      <c r="CF354" s="51"/>
      <c r="CG354" s="51"/>
      <c r="CH354" s="51"/>
      <c r="CI354" s="51"/>
      <c r="CJ354" s="51"/>
      <c r="CK354" s="51"/>
      <c r="CL354" s="51"/>
      <c r="CM354" s="51"/>
      <c r="CN354" s="51"/>
      <c r="CO354" s="51"/>
      <c r="CP354" s="51"/>
      <c r="CQ354" s="51"/>
      <c r="CR354" s="51"/>
      <c r="CS354" s="51"/>
      <c r="CT354" s="51"/>
      <c r="CU354" s="51"/>
      <c r="CV354" s="51"/>
      <c r="CW354" s="51"/>
      <c r="CX354" s="51"/>
      <c r="CY354" s="51"/>
      <c r="CZ354" s="51"/>
      <c r="DA354" s="51"/>
      <c r="DB354" s="51"/>
      <c r="DC354" s="51"/>
      <c r="DD354" s="51"/>
      <c r="DE354" s="51"/>
      <c r="DF354" s="51"/>
      <c r="DG354" s="51"/>
      <c r="DH354" s="51"/>
      <c r="DI354" s="51"/>
      <c r="DJ354" s="51"/>
      <c r="DK354" s="51"/>
      <c r="DL354" s="51"/>
      <c r="DM354" s="51"/>
      <c r="DN354" s="51"/>
      <c r="DO354" s="51"/>
      <c r="DP354" s="51"/>
      <c r="DQ354" s="51"/>
      <c r="DR354" s="51"/>
      <c r="DS354" s="51"/>
      <c r="DT354" s="51"/>
      <c r="DU354" s="51"/>
      <c r="DV354" s="51"/>
      <c r="DW354" s="51"/>
      <c r="DX354" s="51"/>
      <c r="DY354" s="51"/>
      <c r="DZ354" s="51"/>
      <c r="EA354" s="51"/>
      <c r="EB354" s="51"/>
      <c r="EC354" s="51"/>
      <c r="ED354" s="51"/>
      <c r="EE354" s="51"/>
      <c r="EF354" s="51"/>
      <c r="EG354" s="51"/>
      <c r="EH354" s="51"/>
      <c r="EI354" s="51"/>
      <c r="EJ354" s="51"/>
      <c r="EK354" s="51"/>
      <c r="EL354" s="51"/>
      <c r="EM354" s="51"/>
      <c r="EN354" s="51"/>
      <c r="EO354" s="51"/>
      <c r="EP354" s="51"/>
      <c r="EQ354" s="51"/>
      <c r="ER354" s="51"/>
      <c r="ES354" s="51"/>
      <c r="ET354" s="51"/>
      <c r="EU354" s="51"/>
      <c r="EV354" s="51"/>
      <c r="EW354" s="51"/>
      <c r="EX354" s="51"/>
      <c r="EY354" s="51"/>
      <c r="EZ354" s="51"/>
      <c r="FA354" s="51"/>
      <c r="FB354" s="51"/>
      <c r="FC354" s="51"/>
      <c r="FD354" s="51"/>
      <c r="FE354" s="51"/>
      <c r="FF354" s="51"/>
      <c r="FG354" s="51"/>
      <c r="FH354" s="51"/>
      <c r="FI354" s="51"/>
      <c r="FJ354" s="51"/>
      <c r="FK354" s="51"/>
      <c r="FL354" s="51"/>
      <c r="FM354" s="51"/>
      <c r="FN354" s="51"/>
      <c r="FO354" s="51"/>
      <c r="FP354" s="51"/>
      <c r="FQ354" s="51"/>
      <c r="FR354" s="51"/>
      <c r="FS354" s="51"/>
      <c r="FT354" s="51"/>
      <c r="FU354" s="51"/>
      <c r="FV354" s="51"/>
      <c r="FW354" s="51"/>
      <c r="FX354" s="51"/>
      <c r="FY354" s="51"/>
      <c r="FZ354" s="51"/>
      <c r="GA354" s="51"/>
      <c r="GB354" s="51"/>
      <c r="GC354" s="51"/>
      <c r="GD354" s="51"/>
      <c r="GE354" s="51"/>
      <c r="GF354" s="51"/>
      <c r="GG354" s="51"/>
      <c r="GH354" s="51"/>
      <c r="GI354" s="51"/>
      <c r="GJ354" s="51"/>
      <c r="GK354" s="51"/>
      <c r="GL354" s="51"/>
      <c r="GM354" s="51"/>
      <c r="GN354" s="51"/>
      <c r="GO354" s="51"/>
      <c r="GP354" s="51"/>
      <c r="GQ354" s="51"/>
      <c r="GR354" s="51"/>
      <c r="GS354" s="51"/>
      <c r="GT354" s="51"/>
      <c r="GU354" s="51"/>
      <c r="GV354" s="51"/>
      <c r="GW354" s="51"/>
      <c r="GX354" s="51"/>
      <c r="GY354" s="51"/>
      <c r="GZ354" s="51"/>
      <c r="HA354" s="51"/>
      <c r="HB354" s="51"/>
      <c r="HC354" s="51"/>
      <c r="HD354" s="51"/>
      <c r="HE354" s="51"/>
      <c r="HF354" s="51"/>
      <c r="HG354" s="51"/>
      <c r="HH354" s="51"/>
      <c r="HI354" s="51"/>
      <c r="HJ354" s="51"/>
      <c r="HK354" s="51"/>
      <c r="HL354" s="51"/>
      <c r="HM354" s="51"/>
      <c r="HN354" s="51"/>
      <c r="HO354" s="51"/>
      <c r="HP354" s="51"/>
      <c r="HQ354" s="51"/>
      <c r="HR354" s="51"/>
      <c r="HS354" s="51"/>
      <c r="HT354" s="51"/>
      <c r="HU354" s="51"/>
      <c r="HV354" s="51"/>
      <c r="HW354" s="51"/>
      <c r="HX354" s="51"/>
      <c r="HY354" s="51"/>
      <c r="HZ354" s="51"/>
      <c r="IA354" s="51"/>
      <c r="IB354" s="51"/>
      <c r="IC354" s="51"/>
      <c r="ID354" s="51"/>
      <c r="IE354" s="51"/>
      <c r="IF354" s="51"/>
      <c r="IG354" s="51"/>
      <c r="IH354" s="51"/>
      <c r="II354" s="51"/>
      <c r="IJ354" s="51"/>
      <c r="IK354" s="51"/>
      <c r="IL354" s="51"/>
      <c r="IM354" s="51"/>
      <c r="IN354" s="51"/>
      <c r="IO354" s="51"/>
      <c r="IP354" s="51"/>
      <c r="IQ354" s="51"/>
      <c r="IR354" s="51"/>
      <c r="IS354" s="51"/>
      <c r="IT354" s="51"/>
      <c r="IU354" s="51"/>
      <c r="IV354" s="51"/>
    </row>
    <row r="355" hidden="1">
      <c r="B355" s="826" t="s">
        <v>11</v>
      </c>
      <c r="C355" s="827">
        <v>1678</v>
      </c>
      <c r="D355" s="827">
        <v>1716</v>
      </c>
      <c r="E355" s="827">
        <v>1879</v>
      </c>
      <c r="F355" s="827">
        <v>1970</v>
      </c>
      <c r="G355" s="827">
        <v>2009</v>
      </c>
      <c r="H355" s="827">
        <v>2007</v>
      </c>
      <c r="I355" s="827">
        <v>2158</v>
      </c>
      <c r="J355" s="827">
        <v>2208</v>
      </c>
      <c r="K355" s="827">
        <v>2273</v>
      </c>
      <c r="L355" s="827">
        <v>2454</v>
      </c>
      <c r="M355" s="827">
        <v>2693</v>
      </c>
      <c r="N355" s="827">
        <v>2892</v>
      </c>
      <c r="O355" s="827">
        <v>3085</v>
      </c>
      <c r="P355" s="827">
        <v>3263</v>
      </c>
      <c r="Q355" s="827">
        <v>3352</v>
      </c>
      <c r="R355" s="827">
        <v>3476</v>
      </c>
      <c r="S355" s="827">
        <v>3694</v>
      </c>
      <c r="T355" s="827">
        <v>3549</v>
      </c>
      <c r="U355" s="827">
        <v>3724</v>
      </c>
      <c r="V355" s="827">
        <v>3723</v>
      </c>
      <c r="W355" s="827">
        <v>3887</v>
      </c>
      <c r="X355" s="827">
        <v>3701</v>
      </c>
      <c r="Y355" s="827">
        <v>3868</v>
      </c>
      <c r="Z355" s="827">
        <v>3836</v>
      </c>
      <c r="AA355" s="827">
        <v>0</v>
      </c>
      <c r="AB355" s="827">
        <v>4070</v>
      </c>
      <c r="AC355" s="828">
        <v>4242</v>
      </c>
      <c r="AD355" s="828">
        <v>4334</v>
      </c>
      <c r="AE355" s="828">
        <v>4425</v>
      </c>
      <c r="AF355" s="828">
        <v>4592</v>
      </c>
      <c r="AG355" s="828">
        <v>4066</v>
      </c>
      <c r="AH355" s="828">
        <v>4260</v>
      </c>
      <c r="AI355" s="828">
        <v>4466</v>
      </c>
      <c r="AJ355" s="828">
        <v>4625</v>
      </c>
      <c r="AK355" s="828">
        <v>4874</v>
      </c>
      <c r="AL355" s="828">
        <v>4995</v>
      </c>
      <c r="AM355" s="828">
        <v>5114</v>
      </c>
      <c r="AN355" s="828">
        <v>5165</v>
      </c>
      <c r="AO355" s="828">
        <v>5285</v>
      </c>
      <c r="AP355" s="828">
        <v>5113</v>
      </c>
      <c r="AQ355" s="51"/>
      <c r="AR355" s="51"/>
      <c r="AS355" s="51"/>
      <c r="AT355" s="51"/>
      <c r="AU355" s="51"/>
      <c r="AV355" s="51"/>
      <c r="AW355" s="51"/>
      <c r="AX355" s="51"/>
      <c r="AY355" s="51"/>
      <c r="AZ355" s="51"/>
      <c r="BA355" s="51"/>
      <c r="BB355" s="51"/>
      <c r="BC355" s="51"/>
      <c r="BD355" s="51"/>
      <c r="BE355" s="51"/>
      <c r="BF355" s="51"/>
      <c r="BG355" s="51"/>
      <c r="BH355" s="51"/>
      <c r="BI355" s="51"/>
      <c r="BJ355" s="51"/>
      <c r="BK355" s="51"/>
      <c r="BL355" s="51"/>
      <c r="BM355" s="51"/>
      <c r="BN355" s="51"/>
      <c r="BO355" s="51"/>
      <c r="BP355" s="51"/>
      <c r="BQ355" s="51"/>
      <c r="BR355" s="51"/>
      <c r="BS355" s="51"/>
      <c r="BT355" s="51"/>
      <c r="BU355" s="51"/>
      <c r="BV355" s="51"/>
      <c r="BW355" s="51"/>
      <c r="BX355" s="51"/>
      <c r="BY355" s="51"/>
      <c r="BZ355" s="51"/>
      <c r="CA355" s="51"/>
      <c r="CB355" s="51"/>
      <c r="CC355" s="51"/>
      <c r="CD355" s="51"/>
      <c r="CE355" s="51"/>
      <c r="CF355" s="51"/>
      <c r="CG355" s="51"/>
      <c r="CH355" s="51"/>
      <c r="CI355" s="51"/>
      <c r="CJ355" s="51"/>
      <c r="CK355" s="51"/>
      <c r="CL355" s="51"/>
      <c r="CM355" s="51"/>
      <c r="CN355" s="51"/>
      <c r="CO355" s="51"/>
      <c r="CP355" s="51"/>
      <c r="CQ355" s="51"/>
      <c r="CR355" s="51"/>
      <c r="CS355" s="51"/>
      <c r="CT355" s="51"/>
      <c r="CU355" s="51"/>
      <c r="CV355" s="51"/>
      <c r="CW355" s="51"/>
      <c r="CX355" s="51"/>
      <c r="CY355" s="51"/>
      <c r="CZ355" s="51"/>
      <c r="DA355" s="51"/>
      <c r="DB355" s="51"/>
      <c r="DC355" s="51"/>
      <c r="DD355" s="51"/>
      <c r="DE355" s="51"/>
      <c r="DF355" s="51"/>
      <c r="DG355" s="51"/>
      <c r="DH355" s="51"/>
      <c r="DI355" s="51"/>
      <c r="DJ355" s="51"/>
      <c r="DK355" s="51"/>
      <c r="DL355" s="51"/>
      <c r="DM355" s="51"/>
      <c r="DN355" s="51"/>
      <c r="DO355" s="51"/>
      <c r="DP355" s="51"/>
      <c r="DQ355" s="51"/>
      <c r="DR355" s="51"/>
      <c r="DS355" s="51"/>
      <c r="DT355" s="51"/>
      <c r="DU355" s="51"/>
      <c r="DV355" s="51"/>
      <c r="DW355" s="51"/>
      <c r="DX355" s="51"/>
      <c r="DY355" s="51"/>
      <c r="DZ355" s="51"/>
      <c r="EA355" s="51"/>
      <c r="EB355" s="51"/>
      <c r="EC355" s="51"/>
      <c r="ED355" s="51"/>
      <c r="EE355" s="51"/>
      <c r="EF355" s="51"/>
      <c r="EG355" s="51"/>
      <c r="EH355" s="51"/>
      <c r="EI355" s="51"/>
      <c r="EJ355" s="51"/>
      <c r="EK355" s="51"/>
      <c r="EL355" s="51"/>
      <c r="EM355" s="51"/>
      <c r="EN355" s="51"/>
      <c r="EO355" s="51"/>
      <c r="EP355" s="51"/>
      <c r="EQ355" s="51"/>
      <c r="ER355" s="51"/>
      <c r="ES355" s="51"/>
      <c r="ET355" s="51"/>
      <c r="EU355" s="51"/>
      <c r="EV355" s="51"/>
      <c r="EW355" s="51"/>
      <c r="EX355" s="51"/>
      <c r="EY355" s="51"/>
      <c r="EZ355" s="51"/>
      <c r="FA355" s="51"/>
      <c r="FB355" s="51"/>
      <c r="FC355" s="51"/>
      <c r="FD355" s="51"/>
      <c r="FE355" s="51"/>
      <c r="FF355" s="51"/>
      <c r="FG355" s="51"/>
      <c r="FH355" s="51"/>
      <c r="FI355" s="51"/>
      <c r="FJ355" s="51"/>
      <c r="FK355" s="51"/>
      <c r="FL355" s="51"/>
      <c r="FM355" s="51"/>
      <c r="FN355" s="51"/>
      <c r="FO355" s="51"/>
      <c r="FP355" s="51"/>
      <c r="FQ355" s="51"/>
      <c r="FR355" s="51"/>
      <c r="FS355" s="51"/>
      <c r="FT355" s="51"/>
      <c r="FU355" s="51"/>
      <c r="FV355" s="51"/>
      <c r="FW355" s="51"/>
      <c r="FX355" s="51"/>
      <c r="FY355" s="51"/>
      <c r="FZ355" s="51"/>
      <c r="GA355" s="51"/>
      <c r="GB355" s="51"/>
      <c r="GC355" s="51"/>
      <c r="GD355" s="51"/>
      <c r="GE355" s="51"/>
      <c r="GF355" s="51"/>
      <c r="GG355" s="51"/>
      <c r="GH355" s="51"/>
      <c r="GI355" s="51"/>
      <c r="GJ355" s="51"/>
      <c r="GK355" s="51"/>
      <c r="GL355" s="51"/>
      <c r="GM355" s="51"/>
      <c r="GN355" s="51"/>
      <c r="GO355" s="51"/>
      <c r="GP355" s="51"/>
      <c r="GQ355" s="51"/>
      <c r="GR355" s="51"/>
      <c r="GS355" s="51"/>
      <c r="GT355" s="51"/>
      <c r="GU355" s="51"/>
      <c r="GV355" s="51"/>
      <c r="GW355" s="51"/>
      <c r="GX355" s="51"/>
      <c r="GY355" s="51"/>
      <c r="GZ355" s="51"/>
      <c r="HA355" s="51"/>
      <c r="HB355" s="51"/>
      <c r="HC355" s="51"/>
      <c r="HD355" s="51"/>
      <c r="HE355" s="51"/>
      <c r="HF355" s="51"/>
      <c r="HG355" s="51"/>
      <c r="HH355" s="51"/>
      <c r="HI355" s="51"/>
      <c r="HJ355" s="51"/>
      <c r="HK355" s="51"/>
      <c r="HL355" s="51"/>
      <c r="HM355" s="51"/>
      <c r="HN355" s="51"/>
      <c r="HO355" s="51"/>
      <c r="HP355" s="51"/>
      <c r="HQ355" s="51"/>
      <c r="HR355" s="51"/>
      <c r="HS355" s="51"/>
      <c r="HT355" s="51"/>
      <c r="HU355" s="51"/>
      <c r="HV355" s="51"/>
      <c r="HW355" s="51"/>
      <c r="HX355" s="51"/>
      <c r="HY355" s="51"/>
      <c r="HZ355" s="51"/>
      <c r="IA355" s="51"/>
      <c r="IB355" s="51"/>
      <c r="IC355" s="51"/>
      <c r="ID355" s="51"/>
      <c r="IE355" s="51"/>
      <c r="IF355" s="51"/>
      <c r="IG355" s="51"/>
      <c r="IH355" s="51"/>
      <c r="II355" s="51"/>
      <c r="IJ355" s="51"/>
      <c r="IK355" s="51"/>
      <c r="IL355" s="51"/>
      <c r="IM355" s="51"/>
      <c r="IN355" s="51"/>
      <c r="IO355" s="51"/>
      <c r="IP355" s="51"/>
      <c r="IQ355" s="51"/>
      <c r="IR355" s="51"/>
      <c r="IS355" s="51"/>
      <c r="IT355" s="51"/>
      <c r="IU355" s="51"/>
      <c r="IV355" s="51"/>
    </row>
    <row r="356" hidden="1">
      <c r="B356" s="829" t="s">
        <v>12</v>
      </c>
      <c r="C356" s="823">
        <v>1988</v>
      </c>
      <c r="D356" s="823">
        <v>2239</v>
      </c>
      <c r="E356" s="823">
        <v>2508</v>
      </c>
      <c r="F356" s="823">
        <v>2704</v>
      </c>
      <c r="G356" s="823">
        <v>2877</v>
      </c>
      <c r="H356" s="823">
        <v>3048</v>
      </c>
      <c r="I356" s="823">
        <v>3231</v>
      </c>
      <c r="J356" s="823">
        <v>1992</v>
      </c>
      <c r="K356" s="823">
        <v>1872</v>
      </c>
      <c r="L356" s="823">
        <v>1882</v>
      </c>
      <c r="M356" s="823">
        <v>1713</v>
      </c>
      <c r="N356" s="823">
        <v>1772</v>
      </c>
      <c r="O356" s="823">
        <v>977</v>
      </c>
      <c r="P356" s="823">
        <v>1733</v>
      </c>
      <c r="Q356" s="823">
        <v>1704</v>
      </c>
      <c r="R356" s="823">
        <v>1747</v>
      </c>
      <c r="S356" s="823">
        <v>1727</v>
      </c>
      <c r="T356" s="823">
        <v>1737</v>
      </c>
      <c r="U356" s="823">
        <v>1667</v>
      </c>
      <c r="V356" s="823">
        <v>1681</v>
      </c>
      <c r="W356" s="823">
        <v>1613</v>
      </c>
      <c r="X356" s="823">
        <v>1636</v>
      </c>
      <c r="Y356" s="823">
        <v>1553</v>
      </c>
      <c r="Z356" s="823">
        <v>1553</v>
      </c>
      <c r="AA356" s="823">
        <v>1469</v>
      </c>
      <c r="AB356" s="823">
        <v>1469</v>
      </c>
      <c r="AC356" s="825">
        <v>1412</v>
      </c>
      <c r="AD356" s="825">
        <v>1413</v>
      </c>
      <c r="AE356" s="825">
        <v>1342</v>
      </c>
      <c r="AF356" s="825">
        <v>1343</v>
      </c>
      <c r="AG356" s="825">
        <v>1312</v>
      </c>
      <c r="AH356" s="825">
        <v>1324</v>
      </c>
      <c r="AI356" s="825">
        <v>1332</v>
      </c>
      <c r="AJ356" s="825">
        <v>1358</v>
      </c>
      <c r="AK356" s="825">
        <v>1357</v>
      </c>
      <c r="AL356" s="825">
        <v>1385</v>
      </c>
      <c r="AM356" s="825">
        <v>1351</v>
      </c>
      <c r="AN356" s="825">
        <v>1390</v>
      </c>
      <c r="AO356" s="825">
        <v>1375</v>
      </c>
      <c r="AP356" s="825">
        <v>1395</v>
      </c>
      <c r="AQ356" s="51"/>
      <c r="AR356" s="51"/>
      <c r="AS356" s="51"/>
      <c r="AT356" s="51"/>
      <c r="AU356" s="51"/>
      <c r="AV356" s="51"/>
      <c r="AW356" s="51"/>
      <c r="AX356" s="51"/>
      <c r="AY356" s="51"/>
      <c r="AZ356" s="51"/>
      <c r="BA356" s="51"/>
      <c r="BB356" s="51"/>
      <c r="BC356" s="51"/>
      <c r="BD356" s="51"/>
      <c r="BE356" s="51"/>
      <c r="BF356" s="51"/>
      <c r="BG356" s="51"/>
      <c r="BH356" s="51"/>
      <c r="BI356" s="51"/>
      <c r="BJ356" s="51"/>
      <c r="BK356" s="51"/>
      <c r="BL356" s="51"/>
      <c r="BM356" s="51"/>
      <c r="BN356" s="51"/>
      <c r="BO356" s="51"/>
      <c r="BP356" s="51"/>
      <c r="BQ356" s="51"/>
      <c r="BR356" s="51"/>
      <c r="BS356" s="51"/>
      <c r="BT356" s="51"/>
      <c r="BU356" s="51"/>
      <c r="BV356" s="51"/>
      <c r="BW356" s="51"/>
      <c r="BX356" s="51"/>
      <c r="BY356" s="51"/>
      <c r="BZ356" s="51"/>
      <c r="CA356" s="51"/>
      <c r="CB356" s="51"/>
      <c r="CC356" s="51"/>
      <c r="CD356" s="51"/>
      <c r="CE356" s="51"/>
      <c r="CF356" s="51"/>
      <c r="CG356" s="51"/>
      <c r="CH356" s="51"/>
      <c r="CI356" s="51"/>
      <c r="CJ356" s="51"/>
      <c r="CK356" s="51"/>
      <c r="CL356" s="51"/>
      <c r="CM356" s="51"/>
      <c r="CN356" s="51"/>
      <c r="CO356" s="51"/>
      <c r="CP356" s="51"/>
      <c r="CQ356" s="51"/>
      <c r="CR356" s="51"/>
      <c r="CS356" s="51"/>
      <c r="CT356" s="51"/>
      <c r="CU356" s="51"/>
      <c r="CV356" s="51"/>
      <c r="CW356" s="51"/>
      <c r="CX356" s="51"/>
      <c r="CY356" s="51"/>
      <c r="CZ356" s="51"/>
      <c r="DA356" s="51"/>
      <c r="DB356" s="51"/>
      <c r="DC356" s="51"/>
      <c r="DD356" s="51"/>
      <c r="DE356" s="51"/>
      <c r="DF356" s="51"/>
      <c r="DG356" s="51"/>
      <c r="DH356" s="51"/>
      <c r="DI356" s="51"/>
      <c r="DJ356" s="51"/>
      <c r="DK356" s="51"/>
      <c r="DL356" s="51"/>
      <c r="DM356" s="51"/>
      <c r="DN356" s="51"/>
      <c r="DO356" s="51"/>
      <c r="DP356" s="51"/>
      <c r="DQ356" s="51"/>
      <c r="DR356" s="51"/>
      <c r="DS356" s="51"/>
      <c r="DT356" s="51"/>
      <c r="DU356" s="51"/>
      <c r="DV356" s="51"/>
      <c r="DW356" s="51"/>
      <c r="DX356" s="51"/>
      <c r="DY356" s="51"/>
      <c r="DZ356" s="51"/>
      <c r="EA356" s="51"/>
      <c r="EB356" s="51"/>
      <c r="EC356" s="51"/>
      <c r="ED356" s="51"/>
      <c r="EE356" s="51"/>
      <c r="EF356" s="51"/>
      <c r="EG356" s="51"/>
      <c r="EH356" s="51"/>
      <c r="EI356" s="51"/>
      <c r="EJ356" s="51"/>
      <c r="EK356" s="51"/>
      <c r="EL356" s="51"/>
      <c r="EM356" s="51"/>
      <c r="EN356" s="51"/>
      <c r="EO356" s="51"/>
      <c r="EP356" s="51"/>
      <c r="EQ356" s="51"/>
      <c r="ER356" s="51"/>
      <c r="ES356" s="51"/>
      <c r="ET356" s="51"/>
      <c r="EU356" s="51"/>
      <c r="EV356" s="51"/>
      <c r="EW356" s="51"/>
      <c r="EX356" s="51"/>
      <c r="EY356" s="51"/>
      <c r="EZ356" s="51"/>
      <c r="FA356" s="51"/>
      <c r="FB356" s="51"/>
      <c r="FC356" s="51"/>
      <c r="FD356" s="51"/>
      <c r="FE356" s="51"/>
      <c r="FF356" s="51"/>
      <c r="FG356" s="51"/>
      <c r="FH356" s="51"/>
      <c r="FI356" s="51"/>
      <c r="FJ356" s="51"/>
      <c r="FK356" s="51"/>
      <c r="FL356" s="51"/>
      <c r="FM356" s="51"/>
      <c r="FN356" s="51"/>
      <c r="FO356" s="51"/>
      <c r="FP356" s="51"/>
      <c r="FQ356" s="51"/>
      <c r="FR356" s="51"/>
      <c r="FS356" s="51"/>
      <c r="FT356" s="51"/>
      <c r="FU356" s="51"/>
      <c r="FV356" s="51"/>
      <c r="FW356" s="51"/>
      <c r="FX356" s="51"/>
      <c r="FY356" s="51"/>
      <c r="FZ356" s="51"/>
      <c r="GA356" s="51"/>
      <c r="GB356" s="51"/>
      <c r="GC356" s="51"/>
      <c r="GD356" s="51"/>
      <c r="GE356" s="51"/>
      <c r="GF356" s="51"/>
      <c r="GG356" s="51"/>
      <c r="GH356" s="51"/>
      <c r="GI356" s="51"/>
      <c r="GJ356" s="51"/>
      <c r="GK356" s="51"/>
      <c r="GL356" s="51"/>
      <c r="GM356" s="51"/>
      <c r="GN356" s="51"/>
      <c r="GO356" s="51"/>
      <c r="GP356" s="51"/>
      <c r="GQ356" s="51"/>
      <c r="GR356" s="51"/>
      <c r="GS356" s="51"/>
      <c r="GT356" s="51"/>
      <c r="GU356" s="51"/>
      <c r="GV356" s="51"/>
      <c r="GW356" s="51"/>
      <c r="GX356" s="51"/>
      <c r="GY356" s="51"/>
      <c r="GZ356" s="51"/>
      <c r="HA356" s="51"/>
      <c r="HB356" s="51"/>
      <c r="HC356" s="51"/>
      <c r="HD356" s="51"/>
      <c r="HE356" s="51"/>
      <c r="HF356" s="51"/>
      <c r="HG356" s="51"/>
      <c r="HH356" s="51"/>
      <c r="HI356" s="51"/>
      <c r="HJ356" s="51"/>
      <c r="HK356" s="51"/>
      <c r="HL356" s="51"/>
      <c r="HM356" s="51"/>
      <c r="HN356" s="51"/>
      <c r="HO356" s="51"/>
      <c r="HP356" s="51"/>
      <c r="HQ356" s="51"/>
      <c r="HR356" s="51"/>
      <c r="HS356" s="51"/>
      <c r="HT356" s="51"/>
      <c r="HU356" s="51"/>
      <c r="HV356" s="51"/>
      <c r="HW356" s="51"/>
      <c r="HX356" s="51"/>
      <c r="HY356" s="51"/>
      <c r="HZ356" s="51"/>
      <c r="IA356" s="51"/>
      <c r="IB356" s="51"/>
      <c r="IC356" s="51"/>
      <c r="ID356" s="51"/>
      <c r="IE356" s="51"/>
      <c r="IF356" s="51"/>
      <c r="IG356" s="51"/>
      <c r="IH356" s="51"/>
      <c r="II356" s="51"/>
      <c r="IJ356" s="51"/>
      <c r="IK356" s="51"/>
      <c r="IL356" s="51"/>
      <c r="IM356" s="51"/>
      <c r="IN356" s="51"/>
      <c r="IO356" s="51"/>
      <c r="IP356" s="51"/>
      <c r="IQ356" s="51"/>
      <c r="IR356" s="51"/>
      <c r="IS356" s="51"/>
      <c r="IT356" s="51"/>
      <c r="IU356" s="51"/>
      <c r="IV356" s="51"/>
    </row>
    <row r="357" hidden="1">
      <c r="B357" s="826" t="s">
        <v>13</v>
      </c>
      <c r="C357" s="827">
        <v>8242</v>
      </c>
      <c r="D357" s="827">
        <v>4365</v>
      </c>
      <c r="E357" s="827">
        <v>4720</v>
      </c>
      <c r="F357" s="827">
        <v>4990</v>
      </c>
      <c r="G357" s="827">
        <v>5873</v>
      </c>
      <c r="H357" s="827">
        <v>6232</v>
      </c>
      <c r="I357" s="827">
        <v>6559</v>
      </c>
      <c r="J357" s="827">
        <v>6779</v>
      </c>
      <c r="K357" s="827">
        <v>7596</v>
      </c>
      <c r="L357" s="827">
        <v>7641</v>
      </c>
      <c r="M357" s="827">
        <v>8152</v>
      </c>
      <c r="N357" s="827">
        <v>5147</v>
      </c>
      <c r="O357" s="827">
        <v>3691</v>
      </c>
      <c r="P357" s="827">
        <v>5994</v>
      </c>
      <c r="Q357" s="827">
        <v>6460</v>
      </c>
      <c r="R357" s="827">
        <v>6498</v>
      </c>
      <c r="S357" s="827">
        <v>6569</v>
      </c>
      <c r="T357" s="827">
        <v>6591</v>
      </c>
      <c r="U357" s="827">
        <v>6437</v>
      </c>
      <c r="V357" s="827">
        <v>6451</v>
      </c>
      <c r="W357" s="827">
        <v>6495</v>
      </c>
      <c r="X357" s="827">
        <v>6699</v>
      </c>
      <c r="Y357" s="827">
        <v>5841</v>
      </c>
      <c r="Z357" s="827">
        <v>6032</v>
      </c>
      <c r="AA357" s="827">
        <v>5968</v>
      </c>
      <c r="AB357" s="827">
        <v>6089</v>
      </c>
      <c r="AC357" s="828">
        <v>5932</v>
      </c>
      <c r="AD357" s="828">
        <v>6076</v>
      </c>
      <c r="AE357" s="828">
        <v>5910</v>
      </c>
      <c r="AF357" s="828">
        <v>6120</v>
      </c>
      <c r="AG357" s="828">
        <v>6157</v>
      </c>
      <c r="AH357" s="828">
        <v>6389</v>
      </c>
      <c r="AI357" s="828">
        <v>6327</v>
      </c>
      <c r="AJ357" s="828">
        <v>6470</v>
      </c>
      <c r="AK357" s="828">
        <v>6468</v>
      </c>
      <c r="AL357" s="828">
        <v>6671</v>
      </c>
      <c r="AM357" s="828">
        <v>6579</v>
      </c>
      <c r="AN357" s="828">
        <v>6862</v>
      </c>
      <c r="AO357" s="828">
        <v>7003</v>
      </c>
      <c r="AP357" s="828">
        <v>7505</v>
      </c>
      <c r="AQ357" s="51"/>
      <c r="AR357" s="51"/>
      <c r="AS357" s="51"/>
      <c r="AT357" s="51"/>
      <c r="AU357" s="51"/>
      <c r="AV357" s="51"/>
      <c r="AW357" s="51"/>
      <c r="AX357" s="51"/>
      <c r="AY357" s="51"/>
      <c r="AZ357" s="51"/>
      <c r="BA357" s="51"/>
      <c r="BB357" s="51"/>
      <c r="BC357" s="51"/>
      <c r="BD357" s="51"/>
      <c r="BE357" s="51"/>
      <c r="BF357" s="51"/>
      <c r="BG357" s="51"/>
      <c r="BH357" s="51"/>
      <c r="BI357" s="51"/>
      <c r="BJ357" s="51"/>
      <c r="BK357" s="51"/>
      <c r="BL357" s="51"/>
      <c r="BM357" s="51"/>
      <c r="BN357" s="51"/>
      <c r="BO357" s="51"/>
      <c r="BP357" s="51"/>
      <c r="BQ357" s="51"/>
      <c r="BR357" s="51"/>
      <c r="BS357" s="51"/>
      <c r="BT357" s="51"/>
      <c r="BU357" s="51"/>
      <c r="BV357" s="51"/>
      <c r="BW357" s="51"/>
      <c r="BX357" s="51"/>
      <c r="BY357" s="51"/>
      <c r="BZ357" s="51"/>
      <c r="CA357" s="51"/>
      <c r="CB357" s="51"/>
      <c r="CC357" s="51"/>
      <c r="CD357" s="51"/>
      <c r="CE357" s="51"/>
      <c r="CF357" s="51"/>
      <c r="CG357" s="51"/>
      <c r="CH357" s="51"/>
      <c r="CI357" s="51"/>
      <c r="CJ357" s="51"/>
      <c r="CK357" s="51"/>
      <c r="CL357" s="51"/>
      <c r="CM357" s="51"/>
      <c r="CN357" s="51"/>
      <c r="CO357" s="51"/>
      <c r="CP357" s="51"/>
      <c r="CQ357" s="51"/>
      <c r="CR357" s="51"/>
      <c r="CS357" s="51"/>
      <c r="CT357" s="51"/>
      <c r="CU357" s="51"/>
      <c r="CV357" s="51"/>
      <c r="CW357" s="51"/>
      <c r="CX357" s="51"/>
      <c r="CY357" s="51"/>
      <c r="CZ357" s="51"/>
      <c r="DA357" s="51"/>
      <c r="DB357" s="51"/>
      <c r="DC357" s="51"/>
      <c r="DD357" s="51"/>
      <c r="DE357" s="51"/>
      <c r="DF357" s="51"/>
      <c r="DG357" s="51"/>
      <c r="DH357" s="51"/>
      <c r="DI357" s="51"/>
      <c r="DJ357" s="51"/>
      <c r="DK357" s="51"/>
      <c r="DL357" s="51"/>
      <c r="DM357" s="51"/>
      <c r="DN357" s="51"/>
      <c r="DO357" s="51"/>
      <c r="DP357" s="51"/>
      <c r="DQ357" s="51"/>
      <c r="DR357" s="51"/>
      <c r="DS357" s="51"/>
      <c r="DT357" s="51"/>
      <c r="DU357" s="51"/>
      <c r="DV357" s="51"/>
      <c r="DW357" s="51"/>
      <c r="DX357" s="51"/>
      <c r="DY357" s="51"/>
      <c r="DZ357" s="51"/>
      <c r="EA357" s="51"/>
      <c r="EB357" s="51"/>
      <c r="EC357" s="51"/>
      <c r="ED357" s="51"/>
      <c r="EE357" s="51"/>
      <c r="EF357" s="51"/>
      <c r="EG357" s="51"/>
      <c r="EH357" s="51"/>
      <c r="EI357" s="51"/>
      <c r="EJ357" s="51"/>
      <c r="EK357" s="51"/>
      <c r="EL357" s="51"/>
      <c r="EM357" s="51"/>
      <c r="EN357" s="51"/>
      <c r="EO357" s="51"/>
      <c r="EP357" s="51"/>
      <c r="EQ357" s="51"/>
      <c r="ER357" s="51"/>
      <c r="ES357" s="51"/>
      <c r="ET357" s="51"/>
      <c r="EU357" s="51"/>
      <c r="EV357" s="51"/>
      <c r="EW357" s="51"/>
      <c r="EX357" s="51"/>
      <c r="EY357" s="51"/>
      <c r="EZ357" s="51"/>
      <c r="FA357" s="51"/>
      <c r="FB357" s="51"/>
      <c r="FC357" s="51"/>
      <c r="FD357" s="51"/>
      <c r="FE357" s="51"/>
      <c r="FF357" s="51"/>
      <c r="FG357" s="51"/>
      <c r="FH357" s="51"/>
      <c r="FI357" s="51"/>
      <c r="FJ357" s="51"/>
      <c r="FK357" s="51"/>
      <c r="FL357" s="51"/>
      <c r="FM357" s="51"/>
      <c r="FN357" s="51"/>
      <c r="FO357" s="51"/>
      <c r="FP357" s="51"/>
      <c r="FQ357" s="51"/>
      <c r="FR357" s="51"/>
      <c r="FS357" s="51"/>
      <c r="FT357" s="51"/>
      <c r="FU357" s="51"/>
      <c r="FV357" s="51"/>
      <c r="FW357" s="51"/>
      <c r="FX357" s="51"/>
      <c r="FY357" s="51"/>
      <c r="FZ357" s="51"/>
      <c r="GA357" s="51"/>
      <c r="GB357" s="51"/>
      <c r="GC357" s="51"/>
      <c r="GD357" s="51"/>
      <c r="GE357" s="51"/>
      <c r="GF357" s="51"/>
      <c r="GG357" s="51"/>
      <c r="GH357" s="51"/>
      <c r="GI357" s="51"/>
      <c r="GJ357" s="51"/>
      <c r="GK357" s="51"/>
      <c r="GL357" s="51"/>
      <c r="GM357" s="51"/>
      <c r="GN357" s="51"/>
      <c r="GO357" s="51"/>
      <c r="GP357" s="51"/>
      <c r="GQ357" s="51"/>
      <c r="GR357" s="51"/>
      <c r="GS357" s="51"/>
      <c r="GT357" s="51"/>
      <c r="GU357" s="51"/>
      <c r="GV357" s="51"/>
      <c r="GW357" s="51"/>
      <c r="GX357" s="51"/>
      <c r="GY357" s="51"/>
      <c r="GZ357" s="51"/>
      <c r="HA357" s="51"/>
      <c r="HB357" s="51"/>
      <c r="HC357" s="51"/>
      <c r="HD357" s="51"/>
      <c r="HE357" s="51"/>
      <c r="HF357" s="51"/>
      <c r="HG357" s="51"/>
      <c r="HH357" s="51"/>
      <c r="HI357" s="51"/>
      <c r="HJ357" s="51"/>
      <c r="HK357" s="51"/>
      <c r="HL357" s="51"/>
      <c r="HM357" s="51"/>
      <c r="HN357" s="51"/>
      <c r="HO357" s="51"/>
      <c r="HP357" s="51"/>
      <c r="HQ357" s="51"/>
      <c r="HR357" s="51"/>
      <c r="HS357" s="51"/>
      <c r="HT357" s="51"/>
      <c r="HU357" s="51"/>
      <c r="HV357" s="51"/>
      <c r="HW357" s="51"/>
      <c r="HX357" s="51"/>
      <c r="HY357" s="51"/>
      <c r="HZ357" s="51"/>
      <c r="IA357" s="51"/>
      <c r="IB357" s="51"/>
      <c r="IC357" s="51"/>
      <c r="ID357" s="51"/>
      <c r="IE357" s="51"/>
      <c r="IF357" s="51"/>
      <c r="IG357" s="51"/>
      <c r="IH357" s="51"/>
      <c r="II357" s="51"/>
      <c r="IJ357" s="51"/>
      <c r="IK357" s="51"/>
      <c r="IL357" s="51"/>
      <c r="IM357" s="51"/>
      <c r="IN357" s="51"/>
      <c r="IO357" s="51"/>
      <c r="IP357" s="51"/>
      <c r="IQ357" s="51"/>
      <c r="IR357" s="51"/>
      <c r="IS357" s="51"/>
      <c r="IT357" s="51"/>
      <c r="IU357" s="51"/>
      <c r="IV357" s="51"/>
    </row>
    <row r="358" hidden="1">
      <c r="B358" s="829" t="s">
        <v>109</v>
      </c>
      <c r="C358" s="823">
        <v>3409</v>
      </c>
      <c r="D358" s="823">
        <v>3585</v>
      </c>
      <c r="E358" s="823">
        <v>3897</v>
      </c>
      <c r="F358" s="823">
        <v>4107</v>
      </c>
      <c r="G358" s="823">
        <v>4378</v>
      </c>
      <c r="H358" s="823">
        <v>4546</v>
      </c>
      <c r="I358" s="823">
        <v>4757</v>
      </c>
      <c r="J358" s="823">
        <v>4737</v>
      </c>
      <c r="K358" s="823">
        <v>5128</v>
      </c>
      <c r="L358" s="823">
        <v>5435</v>
      </c>
      <c r="M358" s="823">
        <v>5733</v>
      </c>
      <c r="N358" s="823">
        <v>5939</v>
      </c>
      <c r="O358" s="823">
        <v>2480</v>
      </c>
      <c r="P358" s="823">
        <v>6358</v>
      </c>
      <c r="Q358" s="823">
        <v>6465</v>
      </c>
      <c r="R358" s="823">
        <v>6380</v>
      </c>
      <c r="S358" s="823">
        <v>6759</v>
      </c>
      <c r="T358" s="823">
        <v>6882</v>
      </c>
      <c r="U358" s="823">
        <v>7099</v>
      </c>
      <c r="V358" s="823">
        <v>7274</v>
      </c>
      <c r="W358" s="823">
        <v>7191</v>
      </c>
      <c r="X358" s="823">
        <v>7279</v>
      </c>
      <c r="Y358" s="823">
        <v>7335</v>
      </c>
      <c r="Z358" s="823">
        <v>7427</v>
      </c>
      <c r="AA358" s="823">
        <v>7510</v>
      </c>
      <c r="AB358" s="823">
        <v>7625</v>
      </c>
      <c r="AC358" s="825">
        <v>6782</v>
      </c>
      <c r="AD358" s="825">
        <v>6913</v>
      </c>
      <c r="AE358" s="825">
        <v>6954</v>
      </c>
      <c r="AF358" s="825">
        <v>7068</v>
      </c>
      <c r="AG358" s="825">
        <v>7082</v>
      </c>
      <c r="AH358" s="825">
        <v>7182</v>
      </c>
      <c r="AI358" s="825">
        <v>7263</v>
      </c>
      <c r="AJ358" s="825">
        <v>6380</v>
      </c>
      <c r="AK358" s="825">
        <v>6651</v>
      </c>
      <c r="AL358" s="825">
        <v>6810</v>
      </c>
      <c r="AM358" s="825">
        <v>6897</v>
      </c>
      <c r="AN358" s="825">
        <v>7205</v>
      </c>
      <c r="AO358" s="825">
        <v>7467</v>
      </c>
      <c r="AP358" s="825">
        <v>7556</v>
      </c>
      <c r="AQ358" s="51"/>
      <c r="AR358" s="51"/>
      <c r="AS358" s="51"/>
      <c r="AT358" s="51"/>
      <c r="AU358" s="51"/>
      <c r="AV358" s="51"/>
      <c r="AW358" s="51"/>
      <c r="AX358" s="51"/>
      <c r="AY358" s="51"/>
      <c r="AZ358" s="51"/>
      <c r="BA358" s="51"/>
      <c r="BB358" s="51"/>
      <c r="BC358" s="51"/>
      <c r="BD358" s="51"/>
      <c r="BE358" s="51"/>
      <c r="BF358" s="51"/>
      <c r="BG358" s="51"/>
      <c r="BH358" s="51"/>
      <c r="BI358" s="51"/>
      <c r="BJ358" s="51"/>
      <c r="BK358" s="51"/>
      <c r="BL358" s="51"/>
      <c r="BM358" s="51"/>
      <c r="BN358" s="51"/>
      <c r="BO358" s="51"/>
      <c r="BP358" s="51"/>
      <c r="BQ358" s="51"/>
      <c r="BR358" s="51"/>
      <c r="BS358" s="51"/>
      <c r="BT358" s="51"/>
      <c r="BU358" s="51"/>
      <c r="BV358" s="51"/>
      <c r="BW358" s="51"/>
      <c r="BX358" s="51"/>
      <c r="BY358" s="51"/>
      <c r="BZ358" s="51"/>
      <c r="CA358" s="51"/>
      <c r="CB358" s="51"/>
      <c r="CC358" s="51"/>
      <c r="CD358" s="51"/>
      <c r="CE358" s="51"/>
      <c r="CF358" s="51"/>
      <c r="CG358" s="51"/>
      <c r="CH358" s="51"/>
      <c r="CI358" s="51"/>
      <c r="CJ358" s="51"/>
      <c r="CK358" s="51"/>
      <c r="CL358" s="51"/>
      <c r="CM358" s="51"/>
      <c r="CN358" s="51"/>
      <c r="CO358" s="51"/>
      <c r="CP358" s="51"/>
      <c r="CQ358" s="51"/>
      <c r="CR358" s="51"/>
      <c r="CS358" s="51"/>
      <c r="CT358" s="51"/>
      <c r="CU358" s="51"/>
      <c r="CV358" s="51"/>
      <c r="CW358" s="51"/>
      <c r="CX358" s="51"/>
      <c r="CY358" s="51"/>
      <c r="CZ358" s="51"/>
      <c r="DA358" s="51"/>
      <c r="DB358" s="51"/>
      <c r="DC358" s="51"/>
      <c r="DD358" s="51"/>
      <c r="DE358" s="51"/>
      <c r="DF358" s="51"/>
      <c r="DG358" s="51"/>
      <c r="DH358" s="51"/>
      <c r="DI358" s="51"/>
      <c r="DJ358" s="51"/>
      <c r="DK358" s="51"/>
      <c r="DL358" s="51"/>
      <c r="DM358" s="51"/>
      <c r="DN358" s="51"/>
      <c r="DO358" s="51"/>
      <c r="DP358" s="51"/>
      <c r="DQ358" s="51"/>
      <c r="DR358" s="51"/>
      <c r="DS358" s="51"/>
      <c r="DT358" s="51"/>
      <c r="DU358" s="51"/>
      <c r="DV358" s="51"/>
      <c r="DW358" s="51"/>
      <c r="DX358" s="51"/>
      <c r="DY358" s="51"/>
      <c r="DZ358" s="51"/>
      <c r="EA358" s="51"/>
      <c r="EB358" s="51"/>
      <c r="EC358" s="51"/>
      <c r="ED358" s="51"/>
      <c r="EE358" s="51"/>
      <c r="EF358" s="51"/>
      <c r="EG358" s="51"/>
      <c r="EH358" s="51"/>
      <c r="EI358" s="51"/>
      <c r="EJ358" s="51"/>
      <c r="EK358" s="51"/>
      <c r="EL358" s="51"/>
      <c r="EM358" s="51"/>
      <c r="EN358" s="51"/>
      <c r="EO358" s="51"/>
      <c r="EP358" s="51"/>
      <c r="EQ358" s="51"/>
      <c r="ER358" s="51"/>
      <c r="ES358" s="51"/>
      <c r="ET358" s="51"/>
      <c r="EU358" s="51"/>
      <c r="EV358" s="51"/>
      <c r="EW358" s="51"/>
      <c r="EX358" s="51"/>
      <c r="EY358" s="51"/>
      <c r="EZ358" s="51"/>
      <c r="FA358" s="51"/>
      <c r="FB358" s="51"/>
      <c r="FC358" s="51"/>
      <c r="FD358" s="51"/>
      <c r="FE358" s="51"/>
      <c r="FF358" s="51"/>
      <c r="FG358" s="51"/>
      <c r="FH358" s="51"/>
      <c r="FI358" s="51"/>
      <c r="FJ358" s="51"/>
      <c r="FK358" s="51"/>
      <c r="FL358" s="51"/>
      <c r="FM358" s="51"/>
      <c r="FN358" s="51"/>
      <c r="FO358" s="51"/>
      <c r="FP358" s="51"/>
      <c r="FQ358" s="51"/>
      <c r="FR358" s="51"/>
      <c r="FS358" s="51"/>
      <c r="FT358" s="51"/>
      <c r="FU358" s="51"/>
      <c r="FV358" s="51"/>
      <c r="FW358" s="51"/>
      <c r="FX358" s="51"/>
      <c r="FY358" s="51"/>
      <c r="FZ358" s="51"/>
      <c r="GA358" s="51"/>
      <c r="GB358" s="51"/>
      <c r="GC358" s="51"/>
      <c r="GD358" s="51"/>
      <c r="GE358" s="51"/>
      <c r="GF358" s="51"/>
      <c r="GG358" s="51"/>
      <c r="GH358" s="51"/>
      <c r="GI358" s="51"/>
      <c r="GJ358" s="51"/>
      <c r="GK358" s="51"/>
      <c r="GL358" s="51"/>
      <c r="GM358" s="51"/>
      <c r="GN358" s="51"/>
      <c r="GO358" s="51"/>
      <c r="GP358" s="51"/>
      <c r="GQ358" s="51"/>
      <c r="GR358" s="51"/>
      <c r="GS358" s="51"/>
      <c r="GT358" s="51"/>
      <c r="GU358" s="51"/>
      <c r="GV358" s="51"/>
      <c r="GW358" s="51"/>
      <c r="GX358" s="51"/>
      <c r="GY358" s="51"/>
      <c r="GZ358" s="51"/>
      <c r="HA358" s="51"/>
      <c r="HB358" s="51"/>
      <c r="HC358" s="51"/>
      <c r="HD358" s="51"/>
      <c r="HE358" s="51"/>
      <c r="HF358" s="51"/>
      <c r="HG358" s="51"/>
      <c r="HH358" s="51"/>
      <c r="HI358" s="51"/>
      <c r="HJ358" s="51"/>
      <c r="HK358" s="51"/>
      <c r="HL358" s="51"/>
      <c r="HM358" s="51"/>
      <c r="HN358" s="51"/>
      <c r="HO358" s="51"/>
      <c r="HP358" s="51"/>
      <c r="HQ358" s="51"/>
      <c r="HR358" s="51"/>
      <c r="HS358" s="51"/>
      <c r="HT358" s="51"/>
      <c r="HU358" s="51"/>
      <c r="HV358" s="51"/>
      <c r="HW358" s="51"/>
      <c r="HX358" s="51"/>
      <c r="HY358" s="51"/>
      <c r="HZ358" s="51"/>
      <c r="IA358" s="51"/>
      <c r="IB358" s="51"/>
      <c r="IC358" s="51"/>
      <c r="ID358" s="51"/>
      <c r="IE358" s="51"/>
      <c r="IF358" s="51"/>
      <c r="IG358" s="51"/>
      <c r="IH358" s="51"/>
      <c r="II358" s="51"/>
      <c r="IJ358" s="51"/>
      <c r="IK358" s="51"/>
      <c r="IL358" s="51"/>
      <c r="IM358" s="51"/>
      <c r="IN358" s="51"/>
      <c r="IO358" s="51"/>
      <c r="IP358" s="51"/>
      <c r="IQ358" s="51"/>
      <c r="IR358" s="51"/>
      <c r="IS358" s="51"/>
      <c r="IT358" s="51"/>
      <c r="IU358" s="51"/>
      <c r="IV358" s="51"/>
    </row>
    <row r="359" hidden="1">
      <c r="B359" s="826" t="s">
        <v>110</v>
      </c>
      <c r="C359" s="827">
        <v>6237</v>
      </c>
      <c r="D359" s="827">
        <v>6959</v>
      </c>
      <c r="E359" s="827">
        <v>8192</v>
      </c>
      <c r="F359" s="827">
        <v>9058</v>
      </c>
      <c r="G359" s="827">
        <v>9757</v>
      </c>
      <c r="H359" s="827">
        <v>10301</v>
      </c>
      <c r="I359" s="827">
        <v>10719</v>
      </c>
      <c r="J359" s="827">
        <v>11610</v>
      </c>
      <c r="K359" s="827">
        <v>13630</v>
      </c>
      <c r="L359" s="827">
        <v>14481</v>
      </c>
      <c r="M359" s="827">
        <v>15022</v>
      </c>
      <c r="N359" s="827">
        <v>15243</v>
      </c>
      <c r="O359" s="827">
        <v>6874</v>
      </c>
      <c r="P359" s="827">
        <v>15644</v>
      </c>
      <c r="Q359" s="827">
        <v>16284</v>
      </c>
      <c r="R359" s="827">
        <v>16937</v>
      </c>
      <c r="S359" s="827">
        <v>17867</v>
      </c>
      <c r="T359" s="827">
        <v>17903</v>
      </c>
      <c r="U359" s="827">
        <v>17990</v>
      </c>
      <c r="V359" s="827">
        <v>18294</v>
      </c>
      <c r="W359" s="827">
        <v>18526</v>
      </c>
      <c r="X359" s="827">
        <v>18506</v>
      </c>
      <c r="Y359" s="827">
        <v>18638</v>
      </c>
      <c r="Z359" s="827">
        <v>18862</v>
      </c>
      <c r="AA359" s="827">
        <v>18923</v>
      </c>
      <c r="AB359" s="827">
        <v>18851</v>
      </c>
      <c r="AC359" s="828">
        <v>18590</v>
      </c>
      <c r="AD359" s="828">
        <v>18755</v>
      </c>
      <c r="AE359" s="828">
        <v>18699</v>
      </c>
      <c r="AF359" s="828">
        <v>18818</v>
      </c>
      <c r="AG359" s="828">
        <v>18779</v>
      </c>
      <c r="AH359" s="828">
        <v>18879</v>
      </c>
      <c r="AI359" s="828">
        <v>18910</v>
      </c>
      <c r="AJ359" s="828">
        <v>19000</v>
      </c>
      <c r="AK359" s="828">
        <v>19422</v>
      </c>
      <c r="AL359" s="828">
        <v>19489</v>
      </c>
      <c r="AM359" s="828">
        <v>19661</v>
      </c>
      <c r="AN359" s="828">
        <v>19643</v>
      </c>
      <c r="AO359" s="828">
        <v>19675</v>
      </c>
      <c r="AP359" s="828">
        <v>19794</v>
      </c>
      <c r="AQ359" s="51"/>
      <c r="AR359" s="51"/>
      <c r="AS359" s="51"/>
      <c r="AT359" s="51"/>
      <c r="AU359" s="51"/>
      <c r="AV359" s="51"/>
      <c r="AW359" s="51"/>
      <c r="AX359" s="51"/>
      <c r="AY359" s="51"/>
      <c r="AZ359" s="51"/>
      <c r="BA359" s="51"/>
      <c r="BB359" s="51"/>
      <c r="BC359" s="51"/>
      <c r="BD359" s="51"/>
      <c r="BE359" s="51"/>
      <c r="BF359" s="51"/>
      <c r="BG359" s="51"/>
      <c r="BH359" s="51"/>
      <c r="BI359" s="51"/>
      <c r="BJ359" s="51"/>
      <c r="BK359" s="51"/>
      <c r="BL359" s="51"/>
      <c r="BM359" s="51"/>
      <c r="BN359" s="51"/>
      <c r="BO359" s="51"/>
      <c r="BP359" s="51"/>
      <c r="BQ359" s="51"/>
      <c r="BR359" s="51"/>
      <c r="BS359" s="51"/>
      <c r="BT359" s="51"/>
      <c r="BU359" s="51"/>
      <c r="BV359" s="51"/>
      <c r="BW359" s="51"/>
      <c r="BX359" s="51"/>
      <c r="BY359" s="51"/>
      <c r="BZ359" s="51"/>
      <c r="CA359" s="51"/>
      <c r="CB359" s="51"/>
      <c r="CC359" s="51"/>
      <c r="CD359" s="51"/>
      <c r="CE359" s="51"/>
      <c r="CF359" s="51"/>
      <c r="CG359" s="51"/>
      <c r="CH359" s="51"/>
      <c r="CI359" s="51"/>
      <c r="CJ359" s="51"/>
      <c r="CK359" s="51"/>
      <c r="CL359" s="51"/>
      <c r="CM359" s="51"/>
      <c r="CN359" s="51"/>
      <c r="CO359" s="51"/>
      <c r="CP359" s="51"/>
      <c r="CQ359" s="51"/>
      <c r="CR359" s="51"/>
      <c r="CS359" s="51"/>
      <c r="CT359" s="51"/>
      <c r="CU359" s="51"/>
      <c r="CV359" s="51"/>
      <c r="CW359" s="51"/>
      <c r="CX359" s="51"/>
      <c r="CY359" s="51"/>
      <c r="CZ359" s="51"/>
      <c r="DA359" s="51"/>
      <c r="DB359" s="51"/>
      <c r="DC359" s="51"/>
      <c r="DD359" s="51"/>
      <c r="DE359" s="51"/>
      <c r="DF359" s="51"/>
      <c r="DG359" s="51"/>
      <c r="DH359" s="51"/>
      <c r="DI359" s="51"/>
      <c r="DJ359" s="51"/>
      <c r="DK359" s="51"/>
      <c r="DL359" s="51"/>
      <c r="DM359" s="51"/>
      <c r="DN359" s="51"/>
      <c r="DO359" s="51"/>
      <c r="DP359" s="51"/>
      <c r="DQ359" s="51"/>
      <c r="DR359" s="51"/>
      <c r="DS359" s="51"/>
      <c r="DT359" s="51"/>
      <c r="DU359" s="51"/>
      <c r="DV359" s="51"/>
      <c r="DW359" s="51"/>
      <c r="DX359" s="51"/>
      <c r="DY359" s="51"/>
      <c r="DZ359" s="51"/>
      <c r="EA359" s="51"/>
      <c r="EB359" s="51"/>
      <c r="EC359" s="51"/>
      <c r="ED359" s="51"/>
      <c r="EE359" s="51"/>
      <c r="EF359" s="51"/>
      <c r="EG359" s="51"/>
      <c r="EH359" s="51"/>
      <c r="EI359" s="51"/>
      <c r="EJ359" s="51"/>
      <c r="EK359" s="51"/>
      <c r="EL359" s="51"/>
      <c r="EM359" s="51"/>
      <c r="EN359" s="51"/>
      <c r="EO359" s="51"/>
      <c r="EP359" s="51"/>
      <c r="EQ359" s="51"/>
      <c r="ER359" s="51"/>
      <c r="ES359" s="51"/>
      <c r="ET359" s="51"/>
      <c r="EU359" s="51"/>
      <c r="EV359" s="51"/>
      <c r="EW359" s="51"/>
      <c r="EX359" s="51"/>
      <c r="EY359" s="51"/>
      <c r="EZ359" s="51"/>
      <c r="FA359" s="51"/>
      <c r="FB359" s="51"/>
      <c r="FC359" s="51"/>
      <c r="FD359" s="51"/>
      <c r="FE359" s="51"/>
      <c r="FF359" s="51"/>
      <c r="FG359" s="51"/>
      <c r="FH359" s="51"/>
      <c r="FI359" s="51"/>
      <c r="FJ359" s="51"/>
      <c r="FK359" s="51"/>
      <c r="FL359" s="51"/>
      <c r="FM359" s="51"/>
      <c r="FN359" s="51"/>
      <c r="FO359" s="51"/>
      <c r="FP359" s="51"/>
      <c r="FQ359" s="51"/>
      <c r="FR359" s="51"/>
      <c r="FS359" s="51"/>
      <c r="FT359" s="51"/>
      <c r="FU359" s="51"/>
      <c r="FV359" s="51"/>
      <c r="FW359" s="51"/>
      <c r="FX359" s="51"/>
      <c r="FY359" s="51"/>
      <c r="FZ359" s="51"/>
      <c r="GA359" s="51"/>
      <c r="GB359" s="51"/>
      <c r="GC359" s="51"/>
      <c r="GD359" s="51"/>
      <c r="GE359" s="51"/>
      <c r="GF359" s="51"/>
      <c r="GG359" s="51"/>
      <c r="GH359" s="51"/>
      <c r="GI359" s="51"/>
      <c r="GJ359" s="51"/>
      <c r="GK359" s="51"/>
      <c r="GL359" s="51"/>
      <c r="GM359" s="51"/>
      <c r="GN359" s="51"/>
      <c r="GO359" s="51"/>
      <c r="GP359" s="51"/>
      <c r="GQ359" s="51"/>
      <c r="GR359" s="51"/>
      <c r="GS359" s="51"/>
      <c r="GT359" s="51"/>
      <c r="GU359" s="51"/>
      <c r="GV359" s="51"/>
      <c r="GW359" s="51"/>
      <c r="GX359" s="51"/>
      <c r="GY359" s="51"/>
      <c r="GZ359" s="51"/>
      <c r="HA359" s="51"/>
      <c r="HB359" s="51"/>
      <c r="HC359" s="51"/>
      <c r="HD359" s="51"/>
      <c r="HE359" s="51"/>
      <c r="HF359" s="51"/>
      <c r="HG359" s="51"/>
      <c r="HH359" s="51"/>
      <c r="HI359" s="51"/>
      <c r="HJ359" s="51"/>
      <c r="HK359" s="51"/>
      <c r="HL359" s="51"/>
      <c r="HM359" s="51"/>
      <c r="HN359" s="51"/>
      <c r="HO359" s="51"/>
      <c r="HP359" s="51"/>
      <c r="HQ359" s="51"/>
      <c r="HR359" s="51"/>
      <c r="HS359" s="51"/>
      <c r="HT359" s="51"/>
      <c r="HU359" s="51"/>
      <c r="HV359" s="51"/>
      <c r="HW359" s="51"/>
      <c r="HX359" s="51"/>
      <c r="HY359" s="51"/>
      <c r="HZ359" s="51"/>
      <c r="IA359" s="51"/>
      <c r="IB359" s="51"/>
      <c r="IC359" s="51"/>
      <c r="ID359" s="51"/>
      <c r="IE359" s="51"/>
      <c r="IF359" s="51"/>
      <c r="IG359" s="51"/>
      <c r="IH359" s="51"/>
      <c r="II359" s="51"/>
      <c r="IJ359" s="51"/>
      <c r="IK359" s="51"/>
      <c r="IL359" s="51"/>
      <c r="IM359" s="51"/>
      <c r="IN359" s="51"/>
      <c r="IO359" s="51"/>
      <c r="IP359" s="51"/>
      <c r="IQ359" s="51"/>
      <c r="IR359" s="51"/>
      <c r="IS359" s="51"/>
      <c r="IT359" s="51"/>
      <c r="IU359" s="51"/>
      <c r="IV359" s="51"/>
    </row>
    <row r="360" hidden="1">
      <c r="B360" s="829" t="s">
        <v>16</v>
      </c>
      <c r="C360" s="823">
        <v>2614</v>
      </c>
      <c r="D360" s="823">
        <v>2662</v>
      </c>
      <c r="E360" s="823">
        <v>2734</v>
      </c>
      <c r="F360" s="823">
        <v>2777</v>
      </c>
      <c r="G360" s="823">
        <v>2883</v>
      </c>
      <c r="H360" s="823">
        <v>2943</v>
      </c>
      <c r="I360" s="823">
        <v>3049</v>
      </c>
      <c r="J360" s="823">
        <v>3216</v>
      </c>
      <c r="K360" s="823">
        <v>3689</v>
      </c>
      <c r="L360" s="823">
        <v>3927</v>
      </c>
      <c r="M360" s="823">
        <v>4155</v>
      </c>
      <c r="N360" s="823">
        <v>4287</v>
      </c>
      <c r="O360" s="823">
        <v>4484</v>
      </c>
      <c r="P360" s="823">
        <v>4568</v>
      </c>
      <c r="Q360" s="823">
        <v>4819</v>
      </c>
      <c r="R360" s="823">
        <v>4801</v>
      </c>
      <c r="S360" s="823">
        <v>4897</v>
      </c>
      <c r="T360" s="823">
        <v>4950</v>
      </c>
      <c r="U360" s="823">
        <v>5063</v>
      </c>
      <c r="V360" s="823">
        <v>5400</v>
      </c>
      <c r="W360" s="823">
        <v>5533</v>
      </c>
      <c r="X360" s="823">
        <v>5679</v>
      </c>
      <c r="Y360" s="823">
        <v>5779</v>
      </c>
      <c r="Z360" s="823">
        <v>5959</v>
      </c>
      <c r="AA360" s="823">
        <v>6076</v>
      </c>
      <c r="AB360" s="823">
        <v>6233</v>
      </c>
      <c r="AC360" s="825">
        <v>6290</v>
      </c>
      <c r="AD360" s="825">
        <v>6285</v>
      </c>
      <c r="AE360" s="825">
        <v>6346</v>
      </c>
      <c r="AF360" s="825">
        <v>6636</v>
      </c>
      <c r="AG360" s="825">
        <v>6880</v>
      </c>
      <c r="AH360" s="825">
        <v>6987</v>
      </c>
      <c r="AI360" s="825">
        <v>7225</v>
      </c>
      <c r="AJ360" s="825">
        <v>7410</v>
      </c>
      <c r="AK360" s="825">
        <v>7557</v>
      </c>
      <c r="AL360" s="825">
        <v>7710</v>
      </c>
      <c r="AM360" s="825">
        <v>7840</v>
      </c>
      <c r="AN360" s="825">
        <v>8026</v>
      </c>
      <c r="AO360" s="825">
        <v>8258</v>
      </c>
      <c r="AP360" s="825">
        <v>8445</v>
      </c>
      <c r="AQ360" s="51"/>
      <c r="AR360" s="51"/>
      <c r="AS360" s="51"/>
      <c r="AT360" s="51"/>
      <c r="AU360" s="51"/>
      <c r="AV360" s="51"/>
      <c r="AW360" s="51"/>
      <c r="AX360" s="51"/>
      <c r="AY360" s="51"/>
      <c r="AZ360" s="51"/>
      <c r="BA360" s="51"/>
      <c r="BB360" s="51"/>
      <c r="BC360" s="51"/>
      <c r="BD360" s="51"/>
      <c r="BE360" s="51"/>
      <c r="BF360" s="51"/>
      <c r="BG360" s="51"/>
      <c r="BH360" s="51"/>
      <c r="BI360" s="51"/>
      <c r="BJ360" s="51"/>
      <c r="BK360" s="51"/>
      <c r="BL360" s="51"/>
      <c r="BM360" s="51"/>
      <c r="BN360" s="51"/>
      <c r="BO360" s="51"/>
      <c r="BP360" s="51"/>
      <c r="BQ360" s="51"/>
      <c r="BR360" s="51"/>
      <c r="BS360" s="51"/>
      <c r="BT360" s="51"/>
      <c r="BU360" s="51"/>
      <c r="BV360" s="51"/>
      <c r="BW360" s="51"/>
      <c r="BX360" s="51"/>
      <c r="BY360" s="51"/>
      <c r="BZ360" s="51"/>
      <c r="CA360" s="51"/>
      <c r="CB360" s="51"/>
      <c r="CC360" s="51"/>
      <c r="CD360" s="51"/>
      <c r="CE360" s="51"/>
      <c r="CF360" s="51"/>
      <c r="CG360" s="51"/>
      <c r="CH360" s="51"/>
      <c r="CI360" s="51"/>
      <c r="CJ360" s="51"/>
      <c r="CK360" s="51"/>
      <c r="CL360" s="51"/>
      <c r="CM360" s="51"/>
      <c r="CN360" s="51"/>
      <c r="CO360" s="51"/>
      <c r="CP360" s="51"/>
      <c r="CQ360" s="51"/>
      <c r="CR360" s="51"/>
      <c r="CS360" s="51"/>
      <c r="CT360" s="51"/>
      <c r="CU360" s="51"/>
      <c r="CV360" s="51"/>
      <c r="CW360" s="51"/>
      <c r="CX360" s="51"/>
      <c r="CY360" s="51"/>
      <c r="CZ360" s="51"/>
      <c r="DA360" s="51"/>
      <c r="DB360" s="51"/>
      <c r="DC360" s="51"/>
      <c r="DD360" s="51"/>
      <c r="DE360" s="51"/>
      <c r="DF360" s="51"/>
      <c r="DG360" s="51"/>
      <c r="DH360" s="51"/>
      <c r="DI360" s="51"/>
      <c r="DJ360" s="51"/>
      <c r="DK360" s="51"/>
      <c r="DL360" s="51"/>
      <c r="DM360" s="51"/>
      <c r="DN360" s="51"/>
      <c r="DO360" s="51"/>
      <c r="DP360" s="51"/>
      <c r="DQ360" s="51"/>
      <c r="DR360" s="51"/>
      <c r="DS360" s="51"/>
      <c r="DT360" s="51"/>
      <c r="DU360" s="51"/>
      <c r="DV360" s="51"/>
      <c r="DW360" s="51"/>
      <c r="DX360" s="51"/>
      <c r="DY360" s="51"/>
      <c r="DZ360" s="51"/>
      <c r="EA360" s="51"/>
      <c r="EB360" s="51"/>
      <c r="EC360" s="51"/>
      <c r="ED360" s="51"/>
      <c r="EE360" s="51"/>
      <c r="EF360" s="51"/>
      <c r="EG360" s="51"/>
      <c r="EH360" s="51"/>
      <c r="EI360" s="51"/>
      <c r="EJ360" s="51"/>
      <c r="EK360" s="51"/>
      <c r="EL360" s="51"/>
      <c r="EM360" s="51"/>
      <c r="EN360" s="51"/>
      <c r="EO360" s="51"/>
      <c r="EP360" s="51"/>
      <c r="EQ360" s="51"/>
      <c r="ER360" s="51"/>
      <c r="ES360" s="51"/>
      <c r="ET360" s="51"/>
      <c r="EU360" s="51"/>
      <c r="EV360" s="51"/>
      <c r="EW360" s="51"/>
      <c r="EX360" s="51"/>
      <c r="EY360" s="51"/>
      <c r="EZ360" s="51"/>
      <c r="FA360" s="51"/>
      <c r="FB360" s="51"/>
      <c r="FC360" s="51"/>
      <c r="FD360" s="51"/>
      <c r="FE360" s="51"/>
      <c r="FF360" s="51"/>
      <c r="FG360" s="51"/>
      <c r="FH360" s="51"/>
      <c r="FI360" s="51"/>
      <c r="FJ360" s="51"/>
      <c r="FK360" s="51"/>
      <c r="FL360" s="51"/>
      <c r="FM360" s="51"/>
      <c r="FN360" s="51"/>
      <c r="FO360" s="51"/>
      <c r="FP360" s="51"/>
      <c r="FQ360" s="51"/>
      <c r="FR360" s="51"/>
      <c r="FS360" s="51"/>
      <c r="FT360" s="51"/>
      <c r="FU360" s="51"/>
      <c r="FV360" s="51"/>
      <c r="FW360" s="51"/>
      <c r="FX360" s="51"/>
      <c r="FY360" s="51"/>
      <c r="FZ360" s="51"/>
      <c r="GA360" s="51"/>
      <c r="GB360" s="51"/>
      <c r="GC360" s="51"/>
      <c r="GD360" s="51"/>
      <c r="GE360" s="51"/>
      <c r="GF360" s="51"/>
      <c r="GG360" s="51"/>
      <c r="GH360" s="51"/>
      <c r="GI360" s="51"/>
      <c r="GJ360" s="51"/>
      <c r="GK360" s="51"/>
      <c r="GL360" s="51"/>
      <c r="GM360" s="51"/>
      <c r="GN360" s="51"/>
      <c r="GO360" s="51"/>
      <c r="GP360" s="51"/>
      <c r="GQ360" s="51"/>
      <c r="GR360" s="51"/>
      <c r="GS360" s="51"/>
      <c r="GT360" s="51"/>
      <c r="GU360" s="51"/>
      <c r="GV360" s="51"/>
      <c r="GW360" s="51"/>
      <c r="GX360" s="51"/>
      <c r="GY360" s="51"/>
      <c r="GZ360" s="51"/>
      <c r="HA360" s="51"/>
      <c r="HB360" s="51"/>
      <c r="HC360" s="51"/>
      <c r="HD360" s="51"/>
      <c r="HE360" s="51"/>
      <c r="HF360" s="51"/>
      <c r="HG360" s="51"/>
      <c r="HH360" s="51"/>
      <c r="HI360" s="51"/>
      <c r="HJ360" s="51"/>
      <c r="HK360" s="51"/>
      <c r="HL360" s="51"/>
      <c r="HM360" s="51"/>
      <c r="HN360" s="51"/>
      <c r="HO360" s="51"/>
      <c r="HP360" s="51"/>
      <c r="HQ360" s="51"/>
      <c r="HR360" s="51"/>
      <c r="HS360" s="51"/>
      <c r="HT360" s="51"/>
      <c r="HU360" s="51"/>
      <c r="HV360" s="51"/>
      <c r="HW360" s="51"/>
      <c r="HX360" s="51"/>
      <c r="HY360" s="51"/>
      <c r="HZ360" s="51"/>
      <c r="IA360" s="51"/>
      <c r="IB360" s="51"/>
      <c r="IC360" s="51"/>
      <c r="ID360" s="51"/>
      <c r="IE360" s="51"/>
      <c r="IF360" s="51"/>
      <c r="IG360" s="51"/>
      <c r="IH360" s="51"/>
      <c r="II360" s="51"/>
      <c r="IJ360" s="51"/>
      <c r="IK360" s="51"/>
      <c r="IL360" s="51"/>
      <c r="IM360" s="51"/>
      <c r="IN360" s="51"/>
      <c r="IO360" s="51"/>
      <c r="IP360" s="51"/>
      <c r="IQ360" s="51"/>
      <c r="IR360" s="51"/>
      <c r="IS360" s="51"/>
      <c r="IT360" s="51"/>
      <c r="IU360" s="51"/>
      <c r="IV360" s="51"/>
    </row>
    <row r="361" hidden="1">
      <c r="B361" s="826" t="s">
        <v>17</v>
      </c>
      <c r="C361" s="827">
        <v>14060</v>
      </c>
      <c r="D361" s="827">
        <v>14360</v>
      </c>
      <c r="E361" s="827">
        <v>14763</v>
      </c>
      <c r="F361" s="827">
        <v>15123</v>
      </c>
      <c r="G361" s="827">
        <v>15552</v>
      </c>
      <c r="H361" s="827">
        <v>15884</v>
      </c>
      <c r="I361" s="827">
        <v>16260</v>
      </c>
      <c r="J361" s="827">
        <v>16574</v>
      </c>
      <c r="K361" s="827">
        <v>17036</v>
      </c>
      <c r="L361" s="827">
        <v>17588</v>
      </c>
      <c r="M361" s="827">
        <v>17991</v>
      </c>
      <c r="N361" s="827">
        <v>18480</v>
      </c>
      <c r="O361" s="827">
        <v>10668</v>
      </c>
      <c r="P361" s="827">
        <v>19287</v>
      </c>
      <c r="Q361" s="827">
        <v>16929</v>
      </c>
      <c r="R361" s="827">
        <v>17395</v>
      </c>
      <c r="S361" s="827">
        <v>18025</v>
      </c>
      <c r="T361" s="827">
        <v>18255</v>
      </c>
      <c r="U361" s="827">
        <v>18679</v>
      </c>
      <c r="V361" s="827">
        <v>18988</v>
      </c>
      <c r="W361" s="827">
        <v>15573</v>
      </c>
      <c r="X361" s="827">
        <v>15919</v>
      </c>
      <c r="Y361" s="827">
        <v>16255</v>
      </c>
      <c r="Z361" s="827">
        <v>16527</v>
      </c>
      <c r="AA361" s="827">
        <v>16816</v>
      </c>
      <c r="AB361" s="827">
        <v>17160</v>
      </c>
      <c r="AC361" s="828">
        <v>17464</v>
      </c>
      <c r="AD361" s="828">
        <v>17679</v>
      </c>
      <c r="AE361" s="828">
        <v>17914</v>
      </c>
      <c r="AF361" s="828">
        <v>18133</v>
      </c>
      <c r="AG361" s="828">
        <v>18394</v>
      </c>
      <c r="AH361" s="828">
        <v>18531</v>
      </c>
      <c r="AI361" s="828">
        <v>18751</v>
      </c>
      <c r="AJ361" s="828">
        <v>18928</v>
      </c>
      <c r="AK361" s="828">
        <v>19141</v>
      </c>
      <c r="AL361" s="828">
        <v>19319</v>
      </c>
      <c r="AM361" s="828">
        <v>19513</v>
      </c>
      <c r="AN361" s="828">
        <v>19637</v>
      </c>
      <c r="AO361" s="828">
        <v>19858</v>
      </c>
      <c r="AP361" s="828">
        <v>20029</v>
      </c>
      <c r="AQ361" s="51"/>
      <c r="AR361" s="51"/>
      <c r="AS361" s="51"/>
      <c r="AT361" s="51"/>
      <c r="AU361" s="51"/>
      <c r="AV361" s="51"/>
      <c r="AW361" s="51"/>
      <c r="AX361" s="51"/>
      <c r="AY361" s="51"/>
      <c r="AZ361" s="51"/>
      <c r="BA361" s="51"/>
      <c r="BB361" s="51"/>
      <c r="BC361" s="51"/>
      <c r="BD361" s="51"/>
      <c r="BE361" s="51"/>
      <c r="BF361" s="51"/>
      <c r="BG361" s="51"/>
      <c r="BH361" s="51"/>
      <c r="BI361" s="51"/>
      <c r="BJ361" s="51"/>
      <c r="BK361" s="51"/>
      <c r="BL361" s="51"/>
      <c r="BM361" s="51"/>
      <c r="BN361" s="51"/>
      <c r="BO361" s="51"/>
      <c r="BP361" s="51"/>
      <c r="BQ361" s="51"/>
      <c r="BR361" s="51"/>
      <c r="BS361" s="51"/>
      <c r="BT361" s="51"/>
      <c r="BU361" s="51"/>
      <c r="BV361" s="51"/>
      <c r="BW361" s="51"/>
      <c r="BX361" s="51"/>
      <c r="BY361" s="51"/>
      <c r="BZ361" s="51"/>
      <c r="CA361" s="51"/>
      <c r="CB361" s="51"/>
      <c r="CC361" s="51"/>
      <c r="CD361" s="51"/>
      <c r="CE361" s="51"/>
      <c r="CF361" s="51"/>
      <c r="CG361" s="51"/>
      <c r="CH361" s="51"/>
      <c r="CI361" s="51"/>
      <c r="CJ361" s="51"/>
      <c r="CK361" s="51"/>
      <c r="CL361" s="51"/>
      <c r="CM361" s="51"/>
      <c r="CN361" s="51"/>
      <c r="CO361" s="51"/>
      <c r="CP361" s="51"/>
      <c r="CQ361" s="51"/>
      <c r="CR361" s="51"/>
      <c r="CS361" s="51"/>
      <c r="CT361" s="51"/>
      <c r="CU361" s="51"/>
      <c r="CV361" s="51"/>
      <c r="CW361" s="51"/>
      <c r="CX361" s="51"/>
      <c r="CY361" s="51"/>
      <c r="CZ361" s="51"/>
      <c r="DA361" s="51"/>
      <c r="DB361" s="51"/>
      <c r="DC361" s="51"/>
      <c r="DD361" s="51"/>
      <c r="DE361" s="51"/>
      <c r="DF361" s="51"/>
      <c r="DG361" s="51"/>
      <c r="DH361" s="51"/>
      <c r="DI361" s="51"/>
      <c r="DJ361" s="51"/>
      <c r="DK361" s="51"/>
      <c r="DL361" s="51"/>
      <c r="DM361" s="51"/>
      <c r="DN361" s="51"/>
      <c r="DO361" s="51"/>
      <c r="DP361" s="51"/>
      <c r="DQ361" s="51"/>
      <c r="DR361" s="51"/>
      <c r="DS361" s="51"/>
      <c r="DT361" s="51"/>
      <c r="DU361" s="51"/>
      <c r="DV361" s="51"/>
      <c r="DW361" s="51"/>
      <c r="DX361" s="51"/>
      <c r="DY361" s="51"/>
      <c r="DZ361" s="51"/>
      <c r="EA361" s="51"/>
      <c r="EB361" s="51"/>
      <c r="EC361" s="51"/>
      <c r="ED361" s="51"/>
      <c r="EE361" s="51"/>
      <c r="EF361" s="51"/>
      <c r="EG361" s="51"/>
      <c r="EH361" s="51"/>
      <c r="EI361" s="51"/>
      <c r="EJ361" s="51"/>
      <c r="EK361" s="51"/>
      <c r="EL361" s="51"/>
      <c r="EM361" s="51"/>
      <c r="EN361" s="51"/>
      <c r="EO361" s="51"/>
      <c r="EP361" s="51"/>
      <c r="EQ361" s="51"/>
      <c r="ER361" s="51"/>
      <c r="ES361" s="51"/>
      <c r="ET361" s="51"/>
      <c r="EU361" s="51"/>
      <c r="EV361" s="51"/>
      <c r="EW361" s="51"/>
      <c r="EX361" s="51"/>
      <c r="EY361" s="51"/>
      <c r="EZ361" s="51"/>
      <c r="FA361" s="51"/>
      <c r="FB361" s="51"/>
      <c r="FC361" s="51"/>
      <c r="FD361" s="51"/>
      <c r="FE361" s="51"/>
      <c r="FF361" s="51"/>
      <c r="FG361" s="51"/>
      <c r="FH361" s="51"/>
      <c r="FI361" s="51"/>
      <c r="FJ361" s="51"/>
      <c r="FK361" s="51"/>
      <c r="FL361" s="51"/>
      <c r="FM361" s="51"/>
      <c r="FN361" s="51"/>
      <c r="FO361" s="51"/>
      <c r="FP361" s="51"/>
      <c r="FQ361" s="51"/>
      <c r="FR361" s="51"/>
      <c r="FS361" s="51"/>
      <c r="FT361" s="51"/>
      <c r="FU361" s="51"/>
      <c r="FV361" s="51"/>
      <c r="FW361" s="51"/>
      <c r="FX361" s="51"/>
      <c r="FY361" s="51"/>
      <c r="FZ361" s="51"/>
      <c r="GA361" s="51"/>
      <c r="GB361" s="51"/>
      <c r="GC361" s="51"/>
      <c r="GD361" s="51"/>
      <c r="GE361" s="51"/>
      <c r="GF361" s="51"/>
      <c r="GG361" s="51"/>
      <c r="GH361" s="51"/>
      <c r="GI361" s="51"/>
      <c r="GJ361" s="51"/>
      <c r="GK361" s="51"/>
      <c r="GL361" s="51"/>
      <c r="GM361" s="51"/>
      <c r="GN361" s="51"/>
      <c r="GO361" s="51"/>
      <c r="GP361" s="51"/>
      <c r="GQ361" s="51"/>
      <c r="GR361" s="51"/>
      <c r="GS361" s="51"/>
      <c r="GT361" s="51"/>
      <c r="GU361" s="51"/>
      <c r="GV361" s="51"/>
      <c r="GW361" s="51"/>
      <c r="GX361" s="51"/>
      <c r="GY361" s="51"/>
      <c r="GZ361" s="51"/>
      <c r="HA361" s="51"/>
      <c r="HB361" s="51"/>
      <c r="HC361" s="51"/>
      <c r="HD361" s="51"/>
      <c r="HE361" s="51"/>
      <c r="HF361" s="51"/>
      <c r="HG361" s="51"/>
      <c r="HH361" s="51"/>
      <c r="HI361" s="51"/>
      <c r="HJ361" s="51"/>
      <c r="HK361" s="51"/>
      <c r="HL361" s="51"/>
      <c r="HM361" s="51"/>
      <c r="HN361" s="51"/>
      <c r="HO361" s="51"/>
      <c r="HP361" s="51"/>
      <c r="HQ361" s="51"/>
      <c r="HR361" s="51"/>
      <c r="HS361" s="51"/>
      <c r="HT361" s="51"/>
      <c r="HU361" s="51"/>
      <c r="HV361" s="51"/>
      <c r="HW361" s="51"/>
      <c r="HX361" s="51"/>
      <c r="HY361" s="51"/>
      <c r="HZ361" s="51"/>
      <c r="IA361" s="51"/>
      <c r="IB361" s="51"/>
      <c r="IC361" s="51"/>
      <c r="ID361" s="51"/>
      <c r="IE361" s="51"/>
      <c r="IF361" s="51"/>
      <c r="IG361" s="51"/>
      <c r="IH361" s="51"/>
      <c r="II361" s="51"/>
      <c r="IJ361" s="51"/>
      <c r="IK361" s="51"/>
      <c r="IL361" s="51"/>
      <c r="IM361" s="51"/>
      <c r="IN361" s="51"/>
      <c r="IO361" s="51"/>
      <c r="IP361" s="51"/>
      <c r="IQ361" s="51"/>
      <c r="IR361" s="51"/>
      <c r="IS361" s="51"/>
      <c r="IT361" s="51"/>
      <c r="IU361" s="51"/>
      <c r="IV361" s="51"/>
    </row>
    <row r="362" hidden="1">
      <c r="B362" s="829" t="s">
        <v>18</v>
      </c>
      <c r="C362" s="823">
        <v>4784</v>
      </c>
      <c r="D362" s="823">
        <v>6816</v>
      </c>
      <c r="E362" s="823">
        <v>7756</v>
      </c>
      <c r="F362" s="823">
        <v>8364</v>
      </c>
      <c r="G362" s="823">
        <v>9246</v>
      </c>
      <c r="H362" s="823">
        <v>9898</v>
      </c>
      <c r="I362" s="823">
        <v>10546</v>
      </c>
      <c r="J362" s="823">
        <v>10994</v>
      </c>
      <c r="K362" s="823">
        <v>11448</v>
      </c>
      <c r="L362" s="823">
        <v>12170</v>
      </c>
      <c r="M362" s="823">
        <v>13245</v>
      </c>
      <c r="N362" s="823">
        <v>14405</v>
      </c>
      <c r="O362" s="823">
        <v>5217</v>
      </c>
      <c r="P362" s="823">
        <v>16433</v>
      </c>
      <c r="Q362" s="823">
        <v>17726</v>
      </c>
      <c r="R362" s="823">
        <v>18185</v>
      </c>
      <c r="S362" s="823">
        <v>19149</v>
      </c>
      <c r="T362" s="823">
        <v>19533</v>
      </c>
      <c r="U362" s="823">
        <v>19650</v>
      </c>
      <c r="V362" s="823">
        <v>20143</v>
      </c>
      <c r="W362" s="823">
        <v>19891</v>
      </c>
      <c r="X362" s="823">
        <v>18926</v>
      </c>
      <c r="Y362" s="823">
        <v>18778</v>
      </c>
      <c r="Z362" s="823">
        <v>18819</v>
      </c>
      <c r="AA362" s="823">
        <v>18927</v>
      </c>
      <c r="AB362" s="823">
        <v>19017</v>
      </c>
      <c r="AC362" s="825">
        <v>18595</v>
      </c>
      <c r="AD362" s="825">
        <v>18967</v>
      </c>
      <c r="AE362" s="825">
        <v>19045</v>
      </c>
      <c r="AF362" s="825">
        <v>19534</v>
      </c>
      <c r="AG362" s="825">
        <v>19736</v>
      </c>
      <c r="AH362" s="825">
        <v>20142</v>
      </c>
      <c r="AI362" s="825">
        <v>17076</v>
      </c>
      <c r="AJ362" s="825">
        <v>17414</v>
      </c>
      <c r="AK362" s="825">
        <v>17315</v>
      </c>
      <c r="AL362" s="825">
        <v>17456</v>
      </c>
      <c r="AM362" s="825">
        <v>17490</v>
      </c>
      <c r="AN362" s="825">
        <v>17644</v>
      </c>
      <c r="AO362" s="825">
        <v>17564</v>
      </c>
      <c r="AP362" s="825">
        <v>17883</v>
      </c>
      <c r="AQ362" s="51"/>
      <c r="AR362" s="51"/>
      <c r="AS362" s="51"/>
      <c r="AT362" s="51"/>
      <c r="AU362" s="51"/>
      <c r="AV362" s="51"/>
      <c r="AW362" s="51"/>
      <c r="AX362" s="51"/>
      <c r="AY362" s="51"/>
      <c r="AZ362" s="51"/>
      <c r="BA362" s="51"/>
      <c r="BB362" s="51"/>
      <c r="BC362" s="51"/>
      <c r="BD362" s="51"/>
      <c r="BE362" s="51"/>
      <c r="BF362" s="51"/>
      <c r="BG362" s="51"/>
      <c r="BH362" s="51"/>
      <c r="BI362" s="51"/>
      <c r="BJ362" s="51"/>
      <c r="BK362" s="51"/>
      <c r="BL362" s="51"/>
      <c r="BM362" s="51"/>
      <c r="BN362" s="51"/>
      <c r="BO362" s="51"/>
      <c r="BP362" s="51"/>
      <c r="BQ362" s="51"/>
      <c r="BR362" s="51"/>
      <c r="BS362" s="51"/>
      <c r="BT362" s="51"/>
      <c r="BU362" s="51"/>
      <c r="BV362" s="51"/>
      <c r="BW362" s="51"/>
      <c r="BX362" s="51"/>
      <c r="BY362" s="51"/>
      <c r="BZ362" s="51"/>
      <c r="CA362" s="51"/>
      <c r="CB362" s="51"/>
      <c r="CC362" s="51"/>
      <c r="CD362" s="51"/>
      <c r="CE362" s="51"/>
      <c r="CF362" s="51"/>
      <c r="CG362" s="51"/>
      <c r="CH362" s="51"/>
      <c r="CI362" s="51"/>
      <c r="CJ362" s="51"/>
      <c r="CK362" s="51"/>
      <c r="CL362" s="51"/>
      <c r="CM362" s="51"/>
      <c r="CN362" s="51"/>
      <c r="CO362" s="51"/>
      <c r="CP362" s="51"/>
      <c r="CQ362" s="51"/>
      <c r="CR362" s="51"/>
      <c r="CS362" s="51"/>
      <c r="CT362" s="51"/>
      <c r="CU362" s="51"/>
      <c r="CV362" s="51"/>
      <c r="CW362" s="51"/>
      <c r="CX362" s="51"/>
      <c r="CY362" s="51"/>
      <c r="CZ362" s="51"/>
      <c r="DA362" s="51"/>
      <c r="DB362" s="51"/>
      <c r="DC362" s="51"/>
      <c r="DD362" s="51"/>
      <c r="DE362" s="51"/>
      <c r="DF362" s="51"/>
      <c r="DG362" s="51"/>
      <c r="DH362" s="51"/>
      <c r="DI362" s="51"/>
      <c r="DJ362" s="51"/>
      <c r="DK362" s="51"/>
      <c r="DL362" s="51"/>
      <c r="DM362" s="51"/>
      <c r="DN362" s="51"/>
      <c r="DO362" s="51"/>
      <c r="DP362" s="51"/>
      <c r="DQ362" s="51"/>
      <c r="DR362" s="51"/>
      <c r="DS362" s="51"/>
      <c r="DT362" s="51"/>
      <c r="DU362" s="51"/>
      <c r="DV362" s="51"/>
      <c r="DW362" s="51"/>
      <c r="DX362" s="51"/>
      <c r="DY362" s="51"/>
      <c r="DZ362" s="51"/>
      <c r="EA362" s="51"/>
      <c r="EB362" s="51"/>
      <c r="EC362" s="51"/>
      <c r="ED362" s="51"/>
      <c r="EE362" s="51"/>
      <c r="EF362" s="51"/>
      <c r="EG362" s="51"/>
      <c r="EH362" s="51"/>
      <c r="EI362" s="51"/>
      <c r="EJ362" s="51"/>
      <c r="EK362" s="51"/>
      <c r="EL362" s="51"/>
      <c r="EM362" s="51"/>
      <c r="EN362" s="51"/>
      <c r="EO362" s="51"/>
      <c r="EP362" s="51"/>
      <c r="EQ362" s="51"/>
      <c r="ER362" s="51"/>
      <c r="ES362" s="51"/>
      <c r="ET362" s="51"/>
      <c r="EU362" s="51"/>
      <c r="EV362" s="51"/>
      <c r="EW362" s="51"/>
      <c r="EX362" s="51"/>
      <c r="EY362" s="51"/>
      <c r="EZ362" s="51"/>
      <c r="FA362" s="51"/>
      <c r="FB362" s="51"/>
      <c r="FC362" s="51"/>
      <c r="FD362" s="51"/>
      <c r="FE362" s="51"/>
      <c r="FF362" s="51"/>
      <c r="FG362" s="51"/>
      <c r="FH362" s="51"/>
      <c r="FI362" s="51"/>
      <c r="FJ362" s="51"/>
      <c r="FK362" s="51"/>
      <c r="FL362" s="51"/>
      <c r="FM362" s="51"/>
      <c r="FN362" s="51"/>
      <c r="FO362" s="51"/>
      <c r="FP362" s="51"/>
      <c r="FQ362" s="51"/>
      <c r="FR362" s="51"/>
      <c r="FS362" s="51"/>
      <c r="FT362" s="51"/>
      <c r="FU362" s="51"/>
      <c r="FV362" s="51"/>
      <c r="FW362" s="51"/>
      <c r="FX362" s="51"/>
      <c r="FY362" s="51"/>
      <c r="FZ362" s="51"/>
      <c r="GA362" s="51"/>
      <c r="GB362" s="51"/>
      <c r="GC362" s="51"/>
      <c r="GD362" s="51"/>
      <c r="GE362" s="51"/>
      <c r="GF362" s="51"/>
      <c r="GG362" s="51"/>
      <c r="GH362" s="51"/>
      <c r="GI362" s="51"/>
      <c r="GJ362" s="51"/>
      <c r="GK362" s="51"/>
      <c r="GL362" s="51"/>
      <c r="GM362" s="51"/>
      <c r="GN362" s="51"/>
      <c r="GO362" s="51"/>
      <c r="GP362" s="51"/>
      <c r="GQ362" s="51"/>
      <c r="GR362" s="51"/>
      <c r="GS362" s="51"/>
      <c r="GT362" s="51"/>
      <c r="GU362" s="51"/>
      <c r="GV362" s="51"/>
      <c r="GW362" s="51"/>
      <c r="GX362" s="51"/>
      <c r="GY362" s="51"/>
      <c r="GZ362" s="51"/>
      <c r="HA362" s="51"/>
      <c r="HB362" s="51"/>
      <c r="HC362" s="51"/>
      <c r="HD362" s="51"/>
      <c r="HE362" s="51"/>
      <c r="HF362" s="51"/>
      <c r="HG362" s="51"/>
      <c r="HH362" s="51"/>
      <c r="HI362" s="51"/>
      <c r="HJ362" s="51"/>
      <c r="HK362" s="51"/>
      <c r="HL362" s="51"/>
      <c r="HM362" s="51"/>
      <c r="HN362" s="51"/>
      <c r="HO362" s="51"/>
      <c r="HP362" s="51"/>
      <c r="HQ362" s="51"/>
      <c r="HR362" s="51"/>
      <c r="HS362" s="51"/>
      <c r="HT362" s="51"/>
      <c r="HU362" s="51"/>
      <c r="HV362" s="51"/>
      <c r="HW362" s="51"/>
      <c r="HX362" s="51"/>
      <c r="HY362" s="51"/>
      <c r="HZ362" s="51"/>
      <c r="IA362" s="51"/>
      <c r="IB362" s="51"/>
      <c r="IC362" s="51"/>
      <c r="ID362" s="51"/>
      <c r="IE362" s="51"/>
      <c r="IF362" s="51"/>
      <c r="IG362" s="51"/>
      <c r="IH362" s="51"/>
      <c r="II362" s="51"/>
      <c r="IJ362" s="51"/>
      <c r="IK362" s="51"/>
      <c r="IL362" s="51"/>
      <c r="IM362" s="51"/>
      <c r="IN362" s="51"/>
      <c r="IO362" s="51"/>
      <c r="IP362" s="51"/>
      <c r="IQ362" s="51"/>
      <c r="IR362" s="51"/>
      <c r="IS362" s="51"/>
      <c r="IT362" s="51"/>
      <c r="IU362" s="51"/>
      <c r="IV362" s="51"/>
    </row>
    <row r="363" hidden="1">
      <c r="B363" s="826" t="s">
        <v>19</v>
      </c>
      <c r="C363" s="827">
        <v>677</v>
      </c>
      <c r="D363" s="827">
        <v>847</v>
      </c>
      <c r="E363" s="827">
        <v>992</v>
      </c>
      <c r="F363" s="827">
        <v>1127</v>
      </c>
      <c r="G363" s="827">
        <v>1313</v>
      </c>
      <c r="H363" s="827">
        <v>1495</v>
      </c>
      <c r="I363" s="827">
        <v>1474</v>
      </c>
      <c r="J363" s="827">
        <v>1547</v>
      </c>
      <c r="K363" s="827">
        <v>1611</v>
      </c>
      <c r="L363" s="827">
        <v>1469</v>
      </c>
      <c r="M363" s="827">
        <v>1607</v>
      </c>
      <c r="N363" s="827">
        <v>1714</v>
      </c>
      <c r="O363" s="827">
        <v>1395</v>
      </c>
      <c r="P363" s="827">
        <v>1910</v>
      </c>
      <c r="Q363" s="827">
        <v>1911</v>
      </c>
      <c r="R363" s="827">
        <v>2002</v>
      </c>
      <c r="S363" s="827">
        <v>2214</v>
      </c>
      <c r="T363" s="827">
        <v>2175</v>
      </c>
      <c r="U363" s="827">
        <v>2257</v>
      </c>
      <c r="V363" s="827">
        <v>2323</v>
      </c>
      <c r="W363" s="827">
        <v>2374</v>
      </c>
      <c r="X363" s="827">
        <v>2357</v>
      </c>
      <c r="Y363" s="827">
        <v>2384</v>
      </c>
      <c r="Z363" s="827">
        <v>2425</v>
      </c>
      <c r="AA363" s="827">
        <v>2434</v>
      </c>
      <c r="AB363" s="827">
        <v>2454</v>
      </c>
      <c r="AC363" s="828">
        <v>2520</v>
      </c>
      <c r="AD363" s="828">
        <v>2530</v>
      </c>
      <c r="AE363" s="828">
        <v>2548</v>
      </c>
      <c r="AF363" s="828">
        <v>2587</v>
      </c>
      <c r="AG363" s="828">
        <v>2634</v>
      </c>
      <c r="AH363" s="828">
        <v>2734</v>
      </c>
      <c r="AI363" s="828">
        <v>2879</v>
      </c>
      <c r="AJ363" s="828">
        <v>2374</v>
      </c>
      <c r="AK363" s="828">
        <v>2590</v>
      </c>
      <c r="AL363" s="828">
        <v>2745</v>
      </c>
      <c r="AM363" s="828">
        <v>2862</v>
      </c>
      <c r="AN363" s="828">
        <v>2935</v>
      </c>
      <c r="AO363" s="828">
        <v>3008</v>
      </c>
      <c r="AP363" s="828">
        <v>3138</v>
      </c>
      <c r="AQ363" s="51"/>
      <c r="AR363" s="51"/>
      <c r="AS363" s="51"/>
      <c r="AT363" s="51"/>
      <c r="AU363" s="51"/>
      <c r="AV363" s="51"/>
      <c r="AW363" s="51"/>
      <c r="AX363" s="51"/>
      <c r="AY363" s="51"/>
      <c r="AZ363" s="51"/>
      <c r="BA363" s="51"/>
      <c r="BB363" s="51"/>
      <c r="BC363" s="51"/>
      <c r="BD363" s="51"/>
      <c r="BE363" s="51"/>
      <c r="BF363" s="51"/>
      <c r="BG363" s="51"/>
      <c r="BH363" s="51"/>
      <c r="BI363" s="51"/>
      <c r="BJ363" s="51"/>
      <c r="BK363" s="51"/>
      <c r="BL363" s="51"/>
      <c r="BM363" s="51"/>
      <c r="BN363" s="51"/>
      <c r="BO363" s="51"/>
      <c r="BP363" s="51"/>
      <c r="BQ363" s="51"/>
      <c r="BR363" s="51"/>
      <c r="BS363" s="51"/>
      <c r="BT363" s="51"/>
      <c r="BU363" s="51"/>
      <c r="BV363" s="51"/>
      <c r="BW363" s="51"/>
      <c r="BX363" s="51"/>
      <c r="BY363" s="51"/>
      <c r="BZ363" s="51"/>
      <c r="CA363" s="51"/>
      <c r="CB363" s="51"/>
      <c r="CC363" s="51"/>
      <c r="CD363" s="51"/>
      <c r="CE363" s="51"/>
      <c r="CF363" s="51"/>
      <c r="CG363" s="51"/>
      <c r="CH363" s="51"/>
      <c r="CI363" s="51"/>
      <c r="CJ363" s="51"/>
      <c r="CK363" s="51"/>
      <c r="CL363" s="51"/>
      <c r="CM363" s="51"/>
      <c r="CN363" s="51"/>
      <c r="CO363" s="51"/>
      <c r="CP363" s="51"/>
      <c r="CQ363" s="51"/>
      <c r="CR363" s="51"/>
      <c r="CS363" s="51"/>
      <c r="CT363" s="51"/>
      <c r="CU363" s="51"/>
      <c r="CV363" s="51"/>
      <c r="CW363" s="51"/>
      <c r="CX363" s="51"/>
      <c r="CY363" s="51"/>
      <c r="CZ363" s="51"/>
      <c r="DA363" s="51"/>
      <c r="DB363" s="51"/>
      <c r="DC363" s="51"/>
      <c r="DD363" s="51"/>
      <c r="DE363" s="51"/>
      <c r="DF363" s="51"/>
      <c r="DG363" s="51"/>
      <c r="DH363" s="51"/>
      <c r="DI363" s="51"/>
      <c r="DJ363" s="51"/>
      <c r="DK363" s="51"/>
      <c r="DL363" s="51"/>
      <c r="DM363" s="51"/>
      <c r="DN363" s="51"/>
      <c r="DO363" s="51"/>
      <c r="DP363" s="51"/>
      <c r="DQ363" s="51"/>
      <c r="DR363" s="51"/>
      <c r="DS363" s="51"/>
      <c r="DT363" s="51"/>
      <c r="DU363" s="51"/>
      <c r="DV363" s="51"/>
      <c r="DW363" s="51"/>
      <c r="DX363" s="51"/>
      <c r="DY363" s="51"/>
      <c r="DZ363" s="51"/>
      <c r="EA363" s="51"/>
      <c r="EB363" s="51"/>
      <c r="EC363" s="51"/>
      <c r="ED363" s="51"/>
      <c r="EE363" s="51"/>
      <c r="EF363" s="51"/>
      <c r="EG363" s="51"/>
      <c r="EH363" s="51"/>
      <c r="EI363" s="51"/>
      <c r="EJ363" s="51"/>
      <c r="EK363" s="51"/>
      <c r="EL363" s="51"/>
      <c r="EM363" s="51"/>
      <c r="EN363" s="51"/>
      <c r="EO363" s="51"/>
      <c r="EP363" s="51"/>
      <c r="EQ363" s="51"/>
      <c r="ER363" s="51"/>
      <c r="ES363" s="51"/>
      <c r="ET363" s="51"/>
      <c r="EU363" s="51"/>
      <c r="EV363" s="51"/>
      <c r="EW363" s="51"/>
      <c r="EX363" s="51"/>
      <c r="EY363" s="51"/>
      <c r="EZ363" s="51"/>
      <c r="FA363" s="51"/>
      <c r="FB363" s="51"/>
      <c r="FC363" s="51"/>
      <c r="FD363" s="51"/>
      <c r="FE363" s="51"/>
      <c r="FF363" s="51"/>
      <c r="FG363" s="51"/>
      <c r="FH363" s="51"/>
      <c r="FI363" s="51"/>
      <c r="FJ363" s="51"/>
      <c r="FK363" s="51"/>
      <c r="FL363" s="51"/>
      <c r="FM363" s="51"/>
      <c r="FN363" s="51"/>
      <c r="FO363" s="51"/>
      <c r="FP363" s="51"/>
      <c r="FQ363" s="51"/>
      <c r="FR363" s="51"/>
      <c r="FS363" s="51"/>
      <c r="FT363" s="51"/>
      <c r="FU363" s="51"/>
      <c r="FV363" s="51"/>
      <c r="FW363" s="51"/>
      <c r="FX363" s="51"/>
      <c r="FY363" s="51"/>
      <c r="FZ363" s="51"/>
      <c r="GA363" s="51"/>
      <c r="GB363" s="51"/>
      <c r="GC363" s="51"/>
      <c r="GD363" s="51"/>
      <c r="GE363" s="51"/>
      <c r="GF363" s="51"/>
      <c r="GG363" s="51"/>
      <c r="GH363" s="51"/>
      <c r="GI363" s="51"/>
      <c r="GJ363" s="51"/>
      <c r="GK363" s="51"/>
      <c r="GL363" s="51"/>
      <c r="GM363" s="51"/>
      <c r="GN363" s="51"/>
      <c r="GO363" s="51"/>
      <c r="GP363" s="51"/>
      <c r="GQ363" s="51"/>
      <c r="GR363" s="51"/>
      <c r="GS363" s="51"/>
      <c r="GT363" s="51"/>
      <c r="GU363" s="51"/>
      <c r="GV363" s="51"/>
      <c r="GW363" s="51"/>
      <c r="GX363" s="51"/>
      <c r="GY363" s="51"/>
      <c r="GZ363" s="51"/>
      <c r="HA363" s="51"/>
      <c r="HB363" s="51"/>
      <c r="HC363" s="51"/>
      <c r="HD363" s="51"/>
      <c r="HE363" s="51"/>
      <c r="HF363" s="51"/>
      <c r="HG363" s="51"/>
      <c r="HH363" s="51"/>
      <c r="HI363" s="51"/>
      <c r="HJ363" s="51"/>
      <c r="HK363" s="51"/>
      <c r="HL363" s="51"/>
      <c r="HM363" s="51"/>
      <c r="HN363" s="51"/>
      <c r="HO363" s="51"/>
      <c r="HP363" s="51"/>
      <c r="HQ363" s="51"/>
      <c r="HR363" s="51"/>
      <c r="HS363" s="51"/>
      <c r="HT363" s="51"/>
      <c r="HU363" s="51"/>
      <c r="HV363" s="51"/>
      <c r="HW363" s="51"/>
      <c r="HX363" s="51"/>
      <c r="HY363" s="51"/>
      <c r="HZ363" s="51"/>
      <c r="IA363" s="51"/>
      <c r="IB363" s="51"/>
      <c r="IC363" s="51"/>
      <c r="ID363" s="51"/>
      <c r="IE363" s="51"/>
      <c r="IF363" s="51"/>
      <c r="IG363" s="51"/>
      <c r="IH363" s="51"/>
      <c r="II363" s="51"/>
      <c r="IJ363" s="51"/>
      <c r="IK363" s="51"/>
      <c r="IL363" s="51"/>
      <c r="IM363" s="51"/>
      <c r="IN363" s="51"/>
      <c r="IO363" s="51"/>
      <c r="IP363" s="51"/>
      <c r="IQ363" s="51"/>
      <c r="IR363" s="51"/>
      <c r="IS363" s="51"/>
      <c r="IT363" s="51"/>
      <c r="IU363" s="51"/>
      <c r="IV363" s="51"/>
    </row>
    <row r="364" hidden="1">
      <c r="B364" s="829" t="s">
        <v>20</v>
      </c>
      <c r="C364" s="823">
        <v>99</v>
      </c>
      <c r="D364" s="823">
        <v>249</v>
      </c>
      <c r="E364" s="823">
        <v>612</v>
      </c>
      <c r="F364" s="823">
        <v>887</v>
      </c>
      <c r="G364" s="823">
        <v>1041</v>
      </c>
      <c r="H364" s="823">
        <v>1158</v>
      </c>
      <c r="I364" s="823">
        <v>1248</v>
      </c>
      <c r="J364" s="823">
        <v>1298</v>
      </c>
      <c r="K364" s="823">
        <v>1546</v>
      </c>
      <c r="L364" s="823">
        <v>1692</v>
      </c>
      <c r="M364" s="823">
        <v>1844</v>
      </c>
      <c r="N364" s="823">
        <v>1920</v>
      </c>
      <c r="O364" s="823">
        <v>1548</v>
      </c>
      <c r="P364" s="823">
        <v>2155</v>
      </c>
      <c r="Q364" s="823">
        <v>2253</v>
      </c>
      <c r="R364" s="823">
        <v>2321</v>
      </c>
      <c r="S364" s="823">
        <v>2423</v>
      </c>
      <c r="T364" s="823">
        <v>2461</v>
      </c>
      <c r="U364" s="823">
        <v>2529</v>
      </c>
      <c r="V364" s="823">
        <v>2579</v>
      </c>
      <c r="W364" s="823">
        <v>2639</v>
      </c>
      <c r="X364" s="823">
        <v>2689</v>
      </c>
      <c r="Y364" s="823">
        <v>2749</v>
      </c>
      <c r="Z364" s="823">
        <v>2795</v>
      </c>
      <c r="AA364" s="823">
        <v>2840</v>
      </c>
      <c r="AB364" s="823">
        <v>2871</v>
      </c>
      <c r="AC364" s="825">
        <v>2911</v>
      </c>
      <c r="AD364" s="825">
        <v>2898</v>
      </c>
      <c r="AE364" s="825">
        <v>2924</v>
      </c>
      <c r="AF364" s="825">
        <v>2954</v>
      </c>
      <c r="AG364" s="825">
        <v>2175</v>
      </c>
      <c r="AH364" s="825">
        <v>2238</v>
      </c>
      <c r="AI364" s="825">
        <v>2275</v>
      </c>
      <c r="AJ364" s="825">
        <v>2323</v>
      </c>
      <c r="AK364" s="825">
        <v>2366</v>
      </c>
      <c r="AL364" s="825">
        <v>2408</v>
      </c>
      <c r="AM364" s="825">
        <v>2471</v>
      </c>
      <c r="AN364" s="825">
        <v>2506</v>
      </c>
      <c r="AO364" s="825">
        <v>2531</v>
      </c>
      <c r="AP364" s="825">
        <v>2547</v>
      </c>
      <c r="AQ364" s="51"/>
      <c r="AR364" s="51"/>
      <c r="AS364" s="51"/>
      <c r="AT364" s="51"/>
      <c r="AU364" s="51"/>
      <c r="AV364" s="51"/>
      <c r="AW364" s="51"/>
      <c r="AX364" s="51"/>
      <c r="AY364" s="51"/>
      <c r="AZ364" s="51"/>
      <c r="BA364" s="51"/>
      <c r="BB364" s="51"/>
      <c r="BC364" s="51"/>
      <c r="BD364" s="51"/>
      <c r="BE364" s="51"/>
      <c r="BF364" s="51"/>
      <c r="BG364" s="51"/>
      <c r="BH364" s="51"/>
      <c r="BI364" s="51"/>
      <c r="BJ364" s="51"/>
      <c r="BK364" s="51"/>
      <c r="BL364" s="51"/>
      <c r="BM364" s="51"/>
      <c r="BN364" s="51"/>
      <c r="BO364" s="51"/>
      <c r="BP364" s="51"/>
      <c r="BQ364" s="51"/>
      <c r="BR364" s="51"/>
      <c r="BS364" s="51"/>
      <c r="BT364" s="51"/>
      <c r="BU364" s="51"/>
      <c r="BV364" s="51"/>
      <c r="BW364" s="51"/>
      <c r="BX364" s="51"/>
      <c r="BY364" s="51"/>
      <c r="BZ364" s="51"/>
      <c r="CA364" s="51"/>
      <c r="CB364" s="51"/>
      <c r="CC364" s="51"/>
      <c r="CD364" s="51"/>
      <c r="CE364" s="51"/>
      <c r="CF364" s="51"/>
      <c r="CG364" s="51"/>
      <c r="CH364" s="51"/>
      <c r="CI364" s="51"/>
      <c r="CJ364" s="51"/>
      <c r="CK364" s="51"/>
      <c r="CL364" s="51"/>
      <c r="CM364" s="51"/>
      <c r="CN364" s="51"/>
      <c r="CO364" s="51"/>
      <c r="CP364" s="51"/>
      <c r="CQ364" s="51"/>
      <c r="CR364" s="51"/>
      <c r="CS364" s="51"/>
      <c r="CT364" s="51"/>
      <c r="CU364" s="51"/>
      <c r="CV364" s="51"/>
      <c r="CW364" s="51"/>
      <c r="CX364" s="51"/>
      <c r="CY364" s="51"/>
      <c r="CZ364" s="51"/>
      <c r="DA364" s="51"/>
      <c r="DB364" s="51"/>
      <c r="DC364" s="51"/>
      <c r="DD364" s="51"/>
      <c r="DE364" s="51"/>
      <c r="DF364" s="51"/>
      <c r="DG364" s="51"/>
      <c r="DH364" s="51"/>
      <c r="DI364" s="51"/>
      <c r="DJ364" s="51"/>
      <c r="DK364" s="51"/>
      <c r="DL364" s="51"/>
      <c r="DM364" s="51"/>
      <c r="DN364" s="51"/>
      <c r="DO364" s="51"/>
      <c r="DP364" s="51"/>
      <c r="DQ364" s="51"/>
      <c r="DR364" s="51"/>
      <c r="DS364" s="51"/>
      <c r="DT364" s="51"/>
      <c r="DU364" s="51"/>
      <c r="DV364" s="51"/>
      <c r="DW364" s="51"/>
      <c r="DX364" s="51"/>
      <c r="DY364" s="51"/>
      <c r="DZ364" s="51"/>
      <c r="EA364" s="51"/>
      <c r="EB364" s="51"/>
      <c r="EC364" s="51"/>
      <c r="ED364" s="51"/>
      <c r="EE364" s="51"/>
      <c r="EF364" s="51"/>
      <c r="EG364" s="51"/>
      <c r="EH364" s="51"/>
      <c r="EI364" s="51"/>
      <c r="EJ364" s="51"/>
      <c r="EK364" s="51"/>
      <c r="EL364" s="51"/>
      <c r="EM364" s="51"/>
      <c r="EN364" s="51"/>
      <c r="EO364" s="51"/>
      <c r="EP364" s="51"/>
      <c r="EQ364" s="51"/>
      <c r="ER364" s="51"/>
      <c r="ES364" s="51"/>
      <c r="ET364" s="51"/>
      <c r="EU364" s="51"/>
      <c r="EV364" s="51"/>
      <c r="EW364" s="51"/>
      <c r="EX364" s="51"/>
      <c r="EY364" s="51"/>
      <c r="EZ364" s="51"/>
      <c r="FA364" s="51"/>
      <c r="FB364" s="51"/>
      <c r="FC364" s="51"/>
      <c r="FD364" s="51"/>
      <c r="FE364" s="51"/>
      <c r="FF364" s="51"/>
      <c r="FG364" s="51"/>
      <c r="FH364" s="51"/>
      <c r="FI364" s="51"/>
      <c r="FJ364" s="51"/>
      <c r="FK364" s="51"/>
      <c r="FL364" s="51"/>
      <c r="FM364" s="51"/>
      <c r="FN364" s="51"/>
      <c r="FO364" s="51"/>
      <c r="FP364" s="51"/>
      <c r="FQ364" s="51"/>
      <c r="FR364" s="51"/>
      <c r="FS364" s="51"/>
      <c r="FT364" s="51"/>
      <c r="FU364" s="51"/>
      <c r="FV364" s="51"/>
      <c r="FW364" s="51"/>
      <c r="FX364" s="51"/>
      <c r="FY364" s="51"/>
      <c r="FZ364" s="51"/>
      <c r="GA364" s="51"/>
      <c r="GB364" s="51"/>
      <c r="GC364" s="51"/>
      <c r="GD364" s="51"/>
      <c r="GE364" s="51"/>
      <c r="GF364" s="51"/>
      <c r="GG364" s="51"/>
      <c r="GH364" s="51"/>
      <c r="GI364" s="51"/>
      <c r="GJ364" s="51"/>
      <c r="GK364" s="51"/>
      <c r="GL364" s="51"/>
      <c r="GM364" s="51"/>
      <c r="GN364" s="51"/>
      <c r="GO364" s="51"/>
      <c r="GP364" s="51"/>
      <c r="GQ364" s="51"/>
      <c r="GR364" s="51"/>
      <c r="GS364" s="51"/>
      <c r="GT364" s="51"/>
      <c r="GU364" s="51"/>
      <c r="GV364" s="51"/>
      <c r="GW364" s="51"/>
      <c r="GX364" s="51"/>
      <c r="GY364" s="51"/>
      <c r="GZ364" s="51"/>
      <c r="HA364" s="51"/>
      <c r="HB364" s="51"/>
      <c r="HC364" s="51"/>
      <c r="HD364" s="51"/>
      <c r="HE364" s="51"/>
      <c r="HF364" s="51"/>
      <c r="HG364" s="51"/>
      <c r="HH364" s="51"/>
      <c r="HI364" s="51"/>
      <c r="HJ364" s="51"/>
      <c r="HK364" s="51"/>
      <c r="HL364" s="51"/>
      <c r="HM364" s="51"/>
      <c r="HN364" s="51"/>
      <c r="HO364" s="51"/>
      <c r="HP364" s="51"/>
      <c r="HQ364" s="51"/>
      <c r="HR364" s="51"/>
      <c r="HS364" s="51"/>
      <c r="HT364" s="51"/>
      <c r="HU364" s="51"/>
      <c r="HV364" s="51"/>
      <c r="HW364" s="51"/>
      <c r="HX364" s="51"/>
      <c r="HY364" s="51"/>
      <c r="HZ364" s="51"/>
      <c r="IA364" s="51"/>
      <c r="IB364" s="51"/>
      <c r="IC364" s="51"/>
      <c r="ID364" s="51"/>
      <c r="IE364" s="51"/>
      <c r="IF364" s="51"/>
      <c r="IG364" s="51"/>
      <c r="IH364" s="51"/>
      <c r="II364" s="51"/>
      <c r="IJ364" s="51"/>
      <c r="IK364" s="51"/>
      <c r="IL364" s="51"/>
      <c r="IM364" s="51"/>
      <c r="IN364" s="51"/>
      <c r="IO364" s="51"/>
      <c r="IP364" s="51"/>
      <c r="IQ364" s="51"/>
      <c r="IR364" s="51"/>
      <c r="IS364" s="51"/>
      <c r="IT364" s="51"/>
      <c r="IU364" s="51"/>
      <c r="IV364" s="51"/>
    </row>
    <row r="365" hidden="1">
      <c r="B365" s="826" t="s">
        <v>21</v>
      </c>
      <c r="C365" s="827">
        <v>1738</v>
      </c>
      <c r="D365" s="827">
        <v>1775</v>
      </c>
      <c r="E365" s="827">
        <v>1642</v>
      </c>
      <c r="F365" s="827">
        <v>1718</v>
      </c>
      <c r="G365" s="827">
        <v>1764</v>
      </c>
      <c r="H365" s="827">
        <v>1795</v>
      </c>
      <c r="I365" s="827">
        <v>1819</v>
      </c>
      <c r="J365" s="827">
        <v>1925</v>
      </c>
      <c r="K365" s="827">
        <v>2204</v>
      </c>
      <c r="L365" s="827">
        <v>2317</v>
      </c>
      <c r="M365" s="827">
        <v>2424</v>
      </c>
      <c r="N365" s="827">
        <v>2545</v>
      </c>
      <c r="O365" s="827">
        <v>1577</v>
      </c>
      <c r="P365" s="827">
        <v>2687</v>
      </c>
      <c r="Q365" s="827">
        <v>2736</v>
      </c>
      <c r="R365" s="827">
        <v>2689</v>
      </c>
      <c r="S365" s="827">
        <v>2771</v>
      </c>
      <c r="T365" s="827">
        <v>2808</v>
      </c>
      <c r="U365" s="827">
        <v>2815</v>
      </c>
      <c r="V365" s="827">
        <v>2884</v>
      </c>
      <c r="W365" s="827">
        <v>2861</v>
      </c>
      <c r="X365" s="827">
        <v>2920</v>
      </c>
      <c r="Y365" s="827">
        <v>2834</v>
      </c>
      <c r="Z365" s="827">
        <v>2920</v>
      </c>
      <c r="AA365" s="827">
        <v>2974</v>
      </c>
      <c r="AB365" s="827">
        <v>3026</v>
      </c>
      <c r="AC365" s="828">
        <v>2924</v>
      </c>
      <c r="AD365" s="828">
        <v>3036</v>
      </c>
      <c r="AE365" s="828">
        <v>3127</v>
      </c>
      <c r="AF365" s="828">
        <v>3103</v>
      </c>
      <c r="AG365" s="828">
        <v>3121</v>
      </c>
      <c r="AH365" s="828">
        <v>3163</v>
      </c>
      <c r="AI365" s="828">
        <v>3195</v>
      </c>
      <c r="AJ365" s="828">
        <v>3191</v>
      </c>
      <c r="AK365" s="828">
        <v>3190</v>
      </c>
      <c r="AL365" s="828">
        <v>3252</v>
      </c>
      <c r="AM365" s="828">
        <v>3265</v>
      </c>
      <c r="AN365" s="828">
        <v>3345</v>
      </c>
      <c r="AO365" s="828">
        <v>3421</v>
      </c>
      <c r="AP365" s="828">
        <v>3495</v>
      </c>
      <c r="AQ365" s="51"/>
      <c r="AR365" s="51"/>
      <c r="AS365" s="51"/>
      <c r="AT365" s="51"/>
      <c r="AU365" s="51"/>
      <c r="AV365" s="51"/>
      <c r="AW365" s="51"/>
      <c r="AX365" s="51"/>
      <c r="AY365" s="51"/>
      <c r="AZ365" s="51"/>
      <c r="BA365" s="51"/>
      <c r="BB365" s="51"/>
      <c r="BC365" s="51"/>
      <c r="BD365" s="51"/>
      <c r="BE365" s="51"/>
      <c r="BF365" s="51"/>
      <c r="BG365" s="51"/>
      <c r="BH365" s="51"/>
      <c r="BI365" s="51"/>
      <c r="BJ365" s="51"/>
      <c r="BK365" s="51"/>
      <c r="BL365" s="51"/>
      <c r="BM365" s="51"/>
      <c r="BN365" s="51"/>
      <c r="BO365" s="51"/>
      <c r="BP365" s="51"/>
      <c r="BQ365" s="51"/>
      <c r="BR365" s="51"/>
      <c r="BS365" s="51"/>
      <c r="BT365" s="51"/>
      <c r="BU365" s="51"/>
      <c r="BV365" s="51"/>
      <c r="BW365" s="51"/>
      <c r="BX365" s="51"/>
      <c r="BY365" s="51"/>
      <c r="BZ365" s="51"/>
      <c r="CA365" s="51"/>
      <c r="CB365" s="51"/>
      <c r="CC365" s="51"/>
      <c r="CD365" s="51"/>
      <c r="CE365" s="51"/>
      <c r="CF365" s="51"/>
      <c r="CG365" s="51"/>
      <c r="CH365" s="51"/>
      <c r="CI365" s="51"/>
      <c r="CJ365" s="51"/>
      <c r="CK365" s="51"/>
      <c r="CL365" s="51"/>
      <c r="CM365" s="51"/>
      <c r="CN365" s="51"/>
      <c r="CO365" s="51"/>
      <c r="CP365" s="51"/>
      <c r="CQ365" s="51"/>
      <c r="CR365" s="51"/>
      <c r="CS365" s="51"/>
      <c r="CT365" s="51"/>
      <c r="CU365" s="51"/>
      <c r="CV365" s="51"/>
      <c r="CW365" s="51"/>
      <c r="CX365" s="51"/>
      <c r="CY365" s="51"/>
      <c r="CZ365" s="51"/>
      <c r="DA365" s="51"/>
      <c r="DB365" s="51"/>
      <c r="DC365" s="51"/>
      <c r="DD365" s="51"/>
      <c r="DE365" s="51"/>
      <c r="DF365" s="51"/>
      <c r="DG365" s="51"/>
      <c r="DH365" s="51"/>
      <c r="DI365" s="51"/>
      <c r="DJ365" s="51"/>
      <c r="DK365" s="51"/>
      <c r="DL365" s="51"/>
      <c r="DM365" s="51"/>
      <c r="DN365" s="51"/>
      <c r="DO365" s="51"/>
      <c r="DP365" s="51"/>
      <c r="DQ365" s="51"/>
      <c r="DR365" s="51"/>
      <c r="DS365" s="51"/>
      <c r="DT365" s="51"/>
      <c r="DU365" s="51"/>
      <c r="DV365" s="51"/>
      <c r="DW365" s="51"/>
      <c r="DX365" s="51"/>
      <c r="DY365" s="51"/>
      <c r="DZ365" s="51"/>
      <c r="EA365" s="51"/>
      <c r="EB365" s="51"/>
      <c r="EC365" s="51"/>
      <c r="ED365" s="51"/>
      <c r="EE365" s="51"/>
      <c r="EF365" s="51"/>
      <c r="EG365" s="51"/>
      <c r="EH365" s="51"/>
      <c r="EI365" s="51"/>
      <c r="EJ365" s="51"/>
      <c r="EK365" s="51"/>
      <c r="EL365" s="51"/>
      <c r="EM365" s="51"/>
      <c r="EN365" s="51"/>
      <c r="EO365" s="51"/>
      <c r="EP365" s="51"/>
      <c r="EQ365" s="51"/>
      <c r="ER365" s="51"/>
      <c r="ES365" s="51"/>
      <c r="ET365" s="51"/>
      <c r="EU365" s="51"/>
      <c r="EV365" s="51"/>
      <c r="EW365" s="51"/>
      <c r="EX365" s="51"/>
      <c r="EY365" s="51"/>
      <c r="EZ365" s="51"/>
      <c r="FA365" s="51"/>
      <c r="FB365" s="51"/>
      <c r="FC365" s="51"/>
      <c r="FD365" s="51"/>
      <c r="FE365" s="51"/>
      <c r="FF365" s="51"/>
      <c r="FG365" s="51"/>
      <c r="FH365" s="51"/>
      <c r="FI365" s="51"/>
      <c r="FJ365" s="51"/>
      <c r="FK365" s="51"/>
      <c r="FL365" s="51"/>
      <c r="FM365" s="51"/>
      <c r="FN365" s="51"/>
      <c r="FO365" s="51"/>
      <c r="FP365" s="51"/>
      <c r="FQ365" s="51"/>
      <c r="FR365" s="51"/>
      <c r="FS365" s="51"/>
      <c r="FT365" s="51"/>
      <c r="FU365" s="51"/>
      <c r="FV365" s="51"/>
      <c r="FW365" s="51"/>
      <c r="FX365" s="51"/>
      <c r="FY365" s="51"/>
      <c r="FZ365" s="51"/>
      <c r="GA365" s="51"/>
      <c r="GB365" s="51"/>
      <c r="GC365" s="51"/>
      <c r="GD365" s="51"/>
      <c r="GE365" s="51"/>
      <c r="GF365" s="51"/>
      <c r="GG365" s="51"/>
      <c r="GH365" s="51"/>
      <c r="GI365" s="51"/>
      <c r="GJ365" s="51"/>
      <c r="GK365" s="51"/>
      <c r="GL365" s="51"/>
      <c r="GM365" s="51"/>
      <c r="GN365" s="51"/>
      <c r="GO365" s="51"/>
      <c r="GP365" s="51"/>
      <c r="GQ365" s="51"/>
      <c r="GR365" s="51"/>
      <c r="GS365" s="51"/>
      <c r="GT365" s="51"/>
      <c r="GU365" s="51"/>
      <c r="GV365" s="51"/>
      <c r="GW365" s="51"/>
      <c r="GX365" s="51"/>
      <c r="GY365" s="51"/>
      <c r="GZ365" s="51"/>
      <c r="HA365" s="51"/>
      <c r="HB365" s="51"/>
      <c r="HC365" s="51"/>
      <c r="HD365" s="51"/>
      <c r="HE365" s="51"/>
      <c r="HF365" s="51"/>
      <c r="HG365" s="51"/>
      <c r="HH365" s="51"/>
      <c r="HI365" s="51"/>
      <c r="HJ365" s="51"/>
      <c r="HK365" s="51"/>
      <c r="HL365" s="51"/>
      <c r="HM365" s="51"/>
      <c r="HN365" s="51"/>
      <c r="HO365" s="51"/>
      <c r="HP365" s="51"/>
      <c r="HQ365" s="51"/>
      <c r="HR365" s="51"/>
      <c r="HS365" s="51"/>
      <c r="HT365" s="51"/>
      <c r="HU365" s="51"/>
      <c r="HV365" s="51"/>
      <c r="HW365" s="51"/>
      <c r="HX365" s="51"/>
      <c r="HY365" s="51"/>
      <c r="HZ365" s="51"/>
      <c r="IA365" s="51"/>
      <c r="IB365" s="51"/>
      <c r="IC365" s="51"/>
      <c r="ID365" s="51"/>
      <c r="IE365" s="51"/>
      <c r="IF365" s="51"/>
      <c r="IG365" s="51"/>
      <c r="IH365" s="51"/>
      <c r="II365" s="51"/>
      <c r="IJ365" s="51"/>
      <c r="IK365" s="51"/>
      <c r="IL365" s="51"/>
      <c r="IM365" s="51"/>
      <c r="IN365" s="51"/>
      <c r="IO365" s="51"/>
      <c r="IP365" s="51"/>
      <c r="IQ365" s="51"/>
      <c r="IR365" s="51"/>
      <c r="IS365" s="51"/>
      <c r="IT365" s="51"/>
      <c r="IU365" s="51"/>
      <c r="IV365" s="51"/>
    </row>
    <row r="366" hidden="1">
      <c r="B366" s="829" t="s">
        <v>22</v>
      </c>
      <c r="C366" s="823">
        <v>6591</v>
      </c>
      <c r="D366" s="823">
        <v>6688</v>
      </c>
      <c r="E366" s="823">
        <v>6819</v>
      </c>
      <c r="F366" s="823">
        <v>7962</v>
      </c>
      <c r="G366" s="823">
        <v>8175</v>
      </c>
      <c r="H366" s="823">
        <v>8398</v>
      </c>
      <c r="I366" s="823">
        <v>8223</v>
      </c>
      <c r="J366" s="823">
        <v>8426</v>
      </c>
      <c r="K366" s="823">
        <v>8551</v>
      </c>
      <c r="L366" s="823">
        <v>8886</v>
      </c>
      <c r="M366" s="823">
        <v>7160</v>
      </c>
      <c r="N366" s="823">
        <v>7596</v>
      </c>
      <c r="O366" s="823">
        <v>6344</v>
      </c>
      <c r="P366" s="823">
        <v>8044</v>
      </c>
      <c r="Q366" s="823">
        <v>8090</v>
      </c>
      <c r="R366" s="823">
        <v>8379</v>
      </c>
      <c r="S366" s="823">
        <v>8564</v>
      </c>
      <c r="T366" s="823">
        <v>8703</v>
      </c>
      <c r="U366" s="823">
        <v>7803</v>
      </c>
      <c r="V366" s="823">
        <v>7949</v>
      </c>
      <c r="W366" s="823">
        <v>8156</v>
      </c>
      <c r="X366" s="823">
        <v>7558</v>
      </c>
      <c r="Y366" s="823">
        <v>7632</v>
      </c>
      <c r="Z366" s="823">
        <v>7828</v>
      </c>
      <c r="AA366" s="823">
        <v>7635</v>
      </c>
      <c r="AB366" s="823">
        <v>7690</v>
      </c>
      <c r="AC366" s="825">
        <v>7707</v>
      </c>
      <c r="AD366" s="825">
        <v>7754</v>
      </c>
      <c r="AE366" s="825">
        <v>7936</v>
      </c>
      <c r="AF366" s="825">
        <v>8198</v>
      </c>
      <c r="AG366" s="825">
        <v>8485</v>
      </c>
      <c r="AH366" s="825">
        <v>8591</v>
      </c>
      <c r="AI366" s="825">
        <v>8638</v>
      </c>
      <c r="AJ366" s="825">
        <v>8679</v>
      </c>
      <c r="AK366" s="825">
        <v>8556</v>
      </c>
      <c r="AL366" s="825">
        <v>8701</v>
      </c>
      <c r="AM366" s="825">
        <v>8756</v>
      </c>
      <c r="AN366" s="825">
        <v>8751</v>
      </c>
      <c r="AO366" s="825">
        <v>8826</v>
      </c>
      <c r="AP366" s="825">
        <v>8953</v>
      </c>
      <c r="AQ366" s="51"/>
      <c r="AR366" s="51"/>
      <c r="AS366" s="51"/>
      <c r="AT366" s="51"/>
      <c r="AU366" s="51"/>
      <c r="AV366" s="51"/>
      <c r="AW366" s="51"/>
      <c r="AX366" s="51"/>
      <c r="AY366" s="51"/>
      <c r="AZ366" s="51"/>
      <c r="BA366" s="51"/>
      <c r="BB366" s="51"/>
      <c r="BC366" s="51"/>
      <c r="BD366" s="51"/>
      <c r="BE366" s="51"/>
      <c r="BF366" s="51"/>
      <c r="BG366" s="51"/>
      <c r="BH366" s="51"/>
      <c r="BI366" s="51"/>
      <c r="BJ366" s="51"/>
      <c r="BK366" s="51"/>
      <c r="BL366" s="51"/>
      <c r="BM366" s="51"/>
      <c r="BN366" s="51"/>
      <c r="BO366" s="51"/>
      <c r="BP366" s="51"/>
      <c r="BQ366" s="51"/>
      <c r="BR366" s="51"/>
      <c r="BS366" s="51"/>
      <c r="BT366" s="51"/>
      <c r="BU366" s="51"/>
      <c r="BV366" s="51"/>
      <c r="BW366" s="51"/>
      <c r="BX366" s="51"/>
      <c r="BY366" s="51"/>
      <c r="BZ366" s="51"/>
      <c r="CA366" s="51"/>
      <c r="CB366" s="51"/>
      <c r="CC366" s="51"/>
      <c r="CD366" s="51"/>
      <c r="CE366" s="51"/>
      <c r="CF366" s="51"/>
      <c r="CG366" s="51"/>
      <c r="CH366" s="51"/>
      <c r="CI366" s="51"/>
      <c r="CJ366" s="51"/>
      <c r="CK366" s="51"/>
      <c r="CL366" s="51"/>
      <c r="CM366" s="51"/>
      <c r="CN366" s="51"/>
      <c r="CO366" s="51"/>
      <c r="CP366" s="51"/>
      <c r="CQ366" s="51"/>
      <c r="CR366" s="51"/>
      <c r="CS366" s="51"/>
      <c r="CT366" s="51"/>
      <c r="CU366" s="51"/>
      <c r="CV366" s="51"/>
      <c r="CW366" s="51"/>
      <c r="CX366" s="51"/>
      <c r="CY366" s="51"/>
      <c r="CZ366" s="51"/>
      <c r="DA366" s="51"/>
      <c r="DB366" s="51"/>
      <c r="DC366" s="51"/>
      <c r="DD366" s="51"/>
      <c r="DE366" s="51"/>
      <c r="DF366" s="51"/>
      <c r="DG366" s="51"/>
      <c r="DH366" s="51"/>
      <c r="DI366" s="51"/>
      <c r="DJ366" s="51"/>
      <c r="DK366" s="51"/>
      <c r="DL366" s="51"/>
      <c r="DM366" s="51"/>
      <c r="DN366" s="51"/>
      <c r="DO366" s="51"/>
      <c r="DP366" s="51"/>
      <c r="DQ366" s="51"/>
      <c r="DR366" s="51"/>
      <c r="DS366" s="51"/>
      <c r="DT366" s="51"/>
      <c r="DU366" s="51"/>
      <c r="DV366" s="51"/>
      <c r="DW366" s="51"/>
      <c r="DX366" s="51"/>
      <c r="DY366" s="51"/>
      <c r="DZ366" s="51"/>
      <c r="EA366" s="51"/>
      <c r="EB366" s="51"/>
      <c r="EC366" s="51"/>
      <c r="ED366" s="51"/>
      <c r="EE366" s="51"/>
      <c r="EF366" s="51"/>
      <c r="EG366" s="51"/>
      <c r="EH366" s="51"/>
      <c r="EI366" s="51"/>
      <c r="EJ366" s="51"/>
      <c r="EK366" s="51"/>
      <c r="EL366" s="51"/>
      <c r="EM366" s="51"/>
      <c r="EN366" s="51"/>
      <c r="EO366" s="51"/>
      <c r="EP366" s="51"/>
      <c r="EQ366" s="51"/>
      <c r="ER366" s="51"/>
      <c r="ES366" s="51"/>
      <c r="ET366" s="51"/>
      <c r="EU366" s="51"/>
      <c r="EV366" s="51"/>
      <c r="EW366" s="51"/>
      <c r="EX366" s="51"/>
      <c r="EY366" s="51"/>
      <c r="EZ366" s="51"/>
      <c r="FA366" s="51"/>
      <c r="FB366" s="51"/>
      <c r="FC366" s="51"/>
      <c r="FD366" s="51"/>
      <c r="FE366" s="51"/>
      <c r="FF366" s="51"/>
      <c r="FG366" s="51"/>
      <c r="FH366" s="51"/>
      <c r="FI366" s="51"/>
      <c r="FJ366" s="51"/>
      <c r="FK366" s="51"/>
      <c r="FL366" s="51"/>
      <c r="FM366" s="51"/>
      <c r="FN366" s="51"/>
      <c r="FO366" s="51"/>
      <c r="FP366" s="51"/>
      <c r="FQ366" s="51"/>
      <c r="FR366" s="51"/>
      <c r="FS366" s="51"/>
      <c r="FT366" s="51"/>
      <c r="FU366" s="51"/>
      <c r="FV366" s="51"/>
      <c r="FW366" s="51"/>
      <c r="FX366" s="51"/>
      <c r="FY366" s="51"/>
      <c r="FZ366" s="51"/>
      <c r="GA366" s="51"/>
      <c r="GB366" s="51"/>
      <c r="GC366" s="51"/>
      <c r="GD366" s="51"/>
      <c r="GE366" s="51"/>
      <c r="GF366" s="51"/>
      <c r="GG366" s="51"/>
      <c r="GH366" s="51"/>
      <c r="GI366" s="51"/>
      <c r="GJ366" s="51"/>
      <c r="GK366" s="51"/>
      <c r="GL366" s="51"/>
      <c r="GM366" s="51"/>
      <c r="GN366" s="51"/>
      <c r="GO366" s="51"/>
      <c r="GP366" s="51"/>
      <c r="GQ366" s="51"/>
      <c r="GR366" s="51"/>
      <c r="GS366" s="51"/>
      <c r="GT366" s="51"/>
      <c r="GU366" s="51"/>
      <c r="GV366" s="51"/>
      <c r="GW366" s="51"/>
      <c r="GX366" s="51"/>
      <c r="GY366" s="51"/>
      <c r="GZ366" s="51"/>
      <c r="HA366" s="51"/>
      <c r="HB366" s="51"/>
      <c r="HC366" s="51"/>
      <c r="HD366" s="51"/>
      <c r="HE366" s="51"/>
      <c r="HF366" s="51"/>
      <c r="HG366" s="51"/>
      <c r="HH366" s="51"/>
      <c r="HI366" s="51"/>
      <c r="HJ366" s="51"/>
      <c r="HK366" s="51"/>
      <c r="HL366" s="51"/>
      <c r="HM366" s="51"/>
      <c r="HN366" s="51"/>
      <c r="HO366" s="51"/>
      <c r="HP366" s="51"/>
      <c r="HQ366" s="51"/>
      <c r="HR366" s="51"/>
      <c r="HS366" s="51"/>
      <c r="HT366" s="51"/>
      <c r="HU366" s="51"/>
      <c r="HV366" s="51"/>
      <c r="HW366" s="51"/>
      <c r="HX366" s="51"/>
      <c r="HY366" s="51"/>
      <c r="HZ366" s="51"/>
      <c r="IA366" s="51"/>
      <c r="IB366" s="51"/>
      <c r="IC366" s="51"/>
      <c r="ID366" s="51"/>
      <c r="IE366" s="51"/>
      <c r="IF366" s="51"/>
      <c r="IG366" s="51"/>
      <c r="IH366" s="51"/>
      <c r="II366" s="51"/>
      <c r="IJ366" s="51"/>
      <c r="IK366" s="51"/>
      <c r="IL366" s="51"/>
      <c r="IM366" s="51"/>
      <c r="IN366" s="51"/>
      <c r="IO366" s="51"/>
      <c r="IP366" s="51"/>
      <c r="IQ366" s="51"/>
      <c r="IR366" s="51"/>
      <c r="IS366" s="51"/>
      <c r="IT366" s="51"/>
      <c r="IU366" s="51"/>
      <c r="IV366" s="51"/>
    </row>
    <row r="367" hidden="1">
      <c r="B367" s="826" t="s">
        <v>23</v>
      </c>
      <c r="C367" s="827">
        <v>898</v>
      </c>
      <c r="D367" s="827">
        <v>923</v>
      </c>
      <c r="E367" s="827">
        <v>926</v>
      </c>
      <c r="F367" s="827">
        <v>947</v>
      </c>
      <c r="G367" s="827">
        <v>966</v>
      </c>
      <c r="H367" s="827">
        <v>1000</v>
      </c>
      <c r="I367" s="827">
        <v>977</v>
      </c>
      <c r="J367" s="827">
        <v>990</v>
      </c>
      <c r="K367" s="827">
        <v>1006</v>
      </c>
      <c r="L367" s="827">
        <v>989</v>
      </c>
      <c r="M367" s="827">
        <v>986</v>
      </c>
      <c r="N367" s="827">
        <v>1010</v>
      </c>
      <c r="O367" s="827">
        <v>757</v>
      </c>
      <c r="P367" s="827">
        <v>969</v>
      </c>
      <c r="Q367" s="827">
        <v>976</v>
      </c>
      <c r="R367" s="827">
        <v>996</v>
      </c>
      <c r="S367" s="827">
        <v>1005</v>
      </c>
      <c r="T367" s="827">
        <v>942</v>
      </c>
      <c r="U367" s="827">
        <v>952</v>
      </c>
      <c r="V367" s="827">
        <v>929</v>
      </c>
      <c r="W367" s="827">
        <v>946</v>
      </c>
      <c r="X367" s="827">
        <v>959</v>
      </c>
      <c r="Y367" s="827">
        <v>958</v>
      </c>
      <c r="Z367" s="827">
        <v>949</v>
      </c>
      <c r="AA367" s="827">
        <v>958</v>
      </c>
      <c r="AB367" s="827">
        <v>944</v>
      </c>
      <c r="AC367" s="828">
        <v>942</v>
      </c>
      <c r="AD367" s="828">
        <v>953</v>
      </c>
      <c r="AE367" s="828">
        <v>955</v>
      </c>
      <c r="AF367" s="828">
        <v>974</v>
      </c>
      <c r="AG367" s="828">
        <v>999</v>
      </c>
      <c r="AH367" s="828">
        <v>1003</v>
      </c>
      <c r="AI367" s="828">
        <v>985</v>
      </c>
      <c r="AJ367" s="828">
        <v>995</v>
      </c>
      <c r="AK367" s="828">
        <v>992</v>
      </c>
      <c r="AL367" s="828">
        <v>984</v>
      </c>
      <c r="AM367" s="828">
        <v>1004</v>
      </c>
      <c r="AN367" s="828">
        <v>1010</v>
      </c>
      <c r="AO367" s="828">
        <v>1027</v>
      </c>
      <c r="AP367" s="828">
        <v>1043</v>
      </c>
      <c r="AQ367" s="51"/>
      <c r="AR367" s="51"/>
      <c r="AS367" s="51"/>
      <c r="AT367" s="51"/>
      <c r="AU367" s="51"/>
      <c r="AV367" s="51"/>
      <c r="AW367" s="51"/>
      <c r="AX367" s="51"/>
      <c r="AY367" s="51"/>
      <c r="AZ367" s="51"/>
      <c r="BA367" s="51"/>
      <c r="BB367" s="51"/>
      <c r="BC367" s="51"/>
      <c r="BD367" s="51"/>
      <c r="BE367" s="51"/>
      <c r="BF367" s="51"/>
      <c r="BG367" s="51"/>
      <c r="BH367" s="51"/>
      <c r="BI367" s="51"/>
      <c r="BJ367" s="51"/>
      <c r="BK367" s="51"/>
      <c r="BL367" s="51"/>
      <c r="BM367" s="51"/>
      <c r="BN367" s="51"/>
      <c r="BO367" s="51"/>
      <c r="BP367" s="51"/>
      <c r="BQ367" s="51"/>
      <c r="BR367" s="51"/>
      <c r="BS367" s="51"/>
      <c r="BT367" s="51"/>
      <c r="BU367" s="51"/>
      <c r="BV367" s="51"/>
      <c r="BW367" s="51"/>
      <c r="BX367" s="51"/>
      <c r="BY367" s="51"/>
      <c r="BZ367" s="51"/>
      <c r="CA367" s="51"/>
      <c r="CB367" s="51"/>
      <c r="CC367" s="51"/>
      <c r="CD367" s="51"/>
      <c r="CE367" s="51"/>
      <c r="CF367" s="51"/>
      <c r="CG367" s="51"/>
      <c r="CH367" s="51"/>
      <c r="CI367" s="51"/>
      <c r="CJ367" s="51"/>
      <c r="CK367" s="51"/>
      <c r="CL367" s="51"/>
      <c r="CM367" s="51"/>
      <c r="CN367" s="51"/>
      <c r="CO367" s="51"/>
      <c r="CP367" s="51"/>
      <c r="CQ367" s="51"/>
      <c r="CR367" s="51"/>
      <c r="CS367" s="51"/>
      <c r="CT367" s="51"/>
      <c r="CU367" s="51"/>
      <c r="CV367" s="51"/>
      <c r="CW367" s="51"/>
      <c r="CX367" s="51"/>
      <c r="CY367" s="51"/>
      <c r="CZ367" s="51"/>
      <c r="DA367" s="51"/>
      <c r="DB367" s="51"/>
      <c r="DC367" s="51"/>
      <c r="DD367" s="51"/>
      <c r="DE367" s="51"/>
      <c r="DF367" s="51"/>
      <c r="DG367" s="51"/>
      <c r="DH367" s="51"/>
      <c r="DI367" s="51"/>
      <c r="DJ367" s="51"/>
      <c r="DK367" s="51"/>
      <c r="DL367" s="51"/>
      <c r="DM367" s="51"/>
      <c r="DN367" s="51"/>
      <c r="DO367" s="51"/>
      <c r="DP367" s="51"/>
      <c r="DQ367" s="51"/>
      <c r="DR367" s="51"/>
      <c r="DS367" s="51"/>
      <c r="DT367" s="51"/>
      <c r="DU367" s="51"/>
      <c r="DV367" s="51"/>
      <c r="DW367" s="51"/>
      <c r="DX367" s="51"/>
      <c r="DY367" s="51"/>
      <c r="DZ367" s="51"/>
      <c r="EA367" s="51"/>
      <c r="EB367" s="51"/>
      <c r="EC367" s="51"/>
      <c r="ED367" s="51"/>
      <c r="EE367" s="51"/>
      <c r="EF367" s="51"/>
      <c r="EG367" s="51"/>
      <c r="EH367" s="51"/>
      <c r="EI367" s="51"/>
      <c r="EJ367" s="51"/>
      <c r="EK367" s="51"/>
      <c r="EL367" s="51"/>
      <c r="EM367" s="51"/>
      <c r="EN367" s="51"/>
      <c r="EO367" s="51"/>
      <c r="EP367" s="51"/>
      <c r="EQ367" s="51"/>
      <c r="ER367" s="51"/>
      <c r="ES367" s="51"/>
      <c r="ET367" s="51"/>
      <c r="EU367" s="51"/>
      <c r="EV367" s="51"/>
      <c r="EW367" s="51"/>
      <c r="EX367" s="51"/>
      <c r="EY367" s="51"/>
      <c r="EZ367" s="51"/>
      <c r="FA367" s="51"/>
      <c r="FB367" s="51"/>
      <c r="FC367" s="51"/>
      <c r="FD367" s="51"/>
      <c r="FE367" s="51"/>
      <c r="FF367" s="51"/>
      <c r="FG367" s="51"/>
      <c r="FH367" s="51"/>
      <c r="FI367" s="51"/>
      <c r="FJ367" s="51"/>
      <c r="FK367" s="51"/>
      <c r="FL367" s="51"/>
      <c r="FM367" s="51"/>
      <c r="FN367" s="51"/>
      <c r="FO367" s="51"/>
      <c r="FP367" s="51"/>
      <c r="FQ367" s="51"/>
      <c r="FR367" s="51"/>
      <c r="FS367" s="51"/>
      <c r="FT367" s="51"/>
      <c r="FU367" s="51"/>
      <c r="FV367" s="51"/>
      <c r="FW367" s="51"/>
      <c r="FX367" s="51"/>
      <c r="FY367" s="51"/>
      <c r="FZ367" s="51"/>
      <c r="GA367" s="51"/>
      <c r="GB367" s="51"/>
      <c r="GC367" s="51"/>
      <c r="GD367" s="51"/>
      <c r="GE367" s="51"/>
      <c r="GF367" s="51"/>
      <c r="GG367" s="51"/>
      <c r="GH367" s="51"/>
      <c r="GI367" s="51"/>
      <c r="GJ367" s="51"/>
      <c r="GK367" s="51"/>
      <c r="GL367" s="51"/>
      <c r="GM367" s="51"/>
      <c r="GN367" s="51"/>
      <c r="GO367" s="51"/>
      <c r="GP367" s="51"/>
      <c r="GQ367" s="51"/>
      <c r="GR367" s="51"/>
      <c r="GS367" s="51"/>
      <c r="GT367" s="51"/>
      <c r="GU367" s="51"/>
      <c r="GV367" s="51"/>
      <c r="GW367" s="51"/>
      <c r="GX367" s="51"/>
      <c r="GY367" s="51"/>
      <c r="GZ367" s="51"/>
      <c r="HA367" s="51"/>
      <c r="HB367" s="51"/>
      <c r="HC367" s="51"/>
      <c r="HD367" s="51"/>
      <c r="HE367" s="51"/>
      <c r="HF367" s="51"/>
      <c r="HG367" s="51"/>
      <c r="HH367" s="51"/>
      <c r="HI367" s="51"/>
      <c r="HJ367" s="51"/>
      <c r="HK367" s="51"/>
      <c r="HL367" s="51"/>
      <c r="HM367" s="51"/>
      <c r="HN367" s="51"/>
      <c r="HO367" s="51"/>
      <c r="HP367" s="51"/>
      <c r="HQ367" s="51"/>
      <c r="HR367" s="51"/>
      <c r="HS367" s="51"/>
      <c r="HT367" s="51"/>
      <c r="HU367" s="51"/>
      <c r="HV367" s="51"/>
      <c r="HW367" s="51"/>
      <c r="HX367" s="51"/>
      <c r="HY367" s="51"/>
      <c r="HZ367" s="51"/>
      <c r="IA367" s="51"/>
      <c r="IB367" s="51"/>
      <c r="IC367" s="51"/>
      <c r="ID367" s="51"/>
      <c r="IE367" s="51"/>
      <c r="IF367" s="51"/>
      <c r="IG367" s="51"/>
      <c r="IH367" s="51"/>
      <c r="II367" s="51"/>
      <c r="IJ367" s="51"/>
      <c r="IK367" s="51"/>
      <c r="IL367" s="51"/>
      <c r="IM367" s="51"/>
      <c r="IN367" s="51"/>
      <c r="IO367" s="51"/>
      <c r="IP367" s="51"/>
      <c r="IQ367" s="51"/>
      <c r="IR367" s="51"/>
      <c r="IS367" s="51"/>
      <c r="IT367" s="51"/>
      <c r="IU367" s="51"/>
      <c r="IV367" s="51"/>
    </row>
    <row r="368" hidden="1">
      <c r="B368" s="830" t="s">
        <v>24</v>
      </c>
      <c r="C368" s="823">
        <v>321</v>
      </c>
      <c r="D368" s="823">
        <v>285</v>
      </c>
      <c r="E368" s="823">
        <v>275</v>
      </c>
      <c r="F368" s="823">
        <v>262</v>
      </c>
      <c r="G368" s="823">
        <v>257</v>
      </c>
      <c r="H368" s="823">
        <v>279</v>
      </c>
      <c r="I368" s="823">
        <v>308</v>
      </c>
      <c r="J368" s="823">
        <v>324</v>
      </c>
      <c r="K368" s="823">
        <v>716</v>
      </c>
      <c r="L368" s="823">
        <v>834</v>
      </c>
      <c r="M368" s="823">
        <v>12</v>
      </c>
      <c r="N368" s="823">
        <v>2160</v>
      </c>
      <c r="O368" s="823">
        <v>2514</v>
      </c>
      <c r="P368" s="823">
        <v>2850</v>
      </c>
      <c r="Q368" s="823">
        <v>3052</v>
      </c>
      <c r="R368" s="823">
        <v>3206</v>
      </c>
      <c r="S368" s="823">
        <v>3467</v>
      </c>
      <c r="T368" s="823">
        <v>3551</v>
      </c>
      <c r="U368" s="823">
        <v>3902</v>
      </c>
      <c r="V368" s="823">
        <v>4174</v>
      </c>
      <c r="W368" s="823">
        <v>4461</v>
      </c>
      <c r="X368" s="823">
        <v>4736</v>
      </c>
      <c r="Y368" s="823">
        <v>4943</v>
      </c>
      <c r="Z368" s="823">
        <v>5141</v>
      </c>
      <c r="AA368" s="823">
        <v>5264</v>
      </c>
      <c r="AB368" s="823">
        <v>5422</v>
      </c>
      <c r="AC368" s="825">
        <v>5588</v>
      </c>
      <c r="AD368" s="825">
        <v>5714</v>
      </c>
      <c r="AE368" s="825">
        <v>5794</v>
      </c>
      <c r="AF368" s="825">
        <v>5953</v>
      </c>
      <c r="AG368" s="825">
        <v>6112</v>
      </c>
      <c r="AH368" s="825">
        <v>6289</v>
      </c>
      <c r="AI368" s="825">
        <v>6428</v>
      </c>
      <c r="AJ368" s="825">
        <v>412</v>
      </c>
      <c r="AK368" s="825">
        <v>418</v>
      </c>
      <c r="AL368" s="825">
        <v>470</v>
      </c>
      <c r="AM368" s="825">
        <v>6909</v>
      </c>
      <c r="AN368" s="825">
        <v>7038</v>
      </c>
      <c r="AO368" s="825">
        <v>7191</v>
      </c>
      <c r="AP368" s="825">
        <v>7371</v>
      </c>
      <c r="AQ368" s="51"/>
      <c r="AR368" s="51"/>
      <c r="AS368" s="51"/>
      <c r="AT368" s="51"/>
      <c r="AU368" s="51"/>
      <c r="AV368" s="51"/>
      <c r="AW368" s="51"/>
      <c r="AX368" s="51"/>
      <c r="AY368" s="51"/>
      <c r="AZ368" s="51"/>
      <c r="BA368" s="51"/>
      <c r="BB368" s="51"/>
      <c r="BC368" s="51"/>
      <c r="BD368" s="51"/>
      <c r="BE368" s="51"/>
      <c r="BF368" s="51"/>
      <c r="BG368" s="51"/>
      <c r="BH368" s="51"/>
      <c r="BI368" s="51"/>
      <c r="BJ368" s="51"/>
      <c r="BK368" s="51"/>
      <c r="BL368" s="51"/>
      <c r="BM368" s="51"/>
      <c r="BN368" s="51"/>
      <c r="BO368" s="51"/>
      <c r="BP368" s="51"/>
      <c r="BQ368" s="51"/>
      <c r="BR368" s="51"/>
      <c r="BS368" s="51"/>
      <c r="BT368" s="51"/>
      <c r="BU368" s="51"/>
      <c r="BV368" s="51"/>
      <c r="BW368" s="51"/>
      <c r="BX368" s="51"/>
      <c r="BY368" s="51"/>
      <c r="BZ368" s="51"/>
      <c r="CA368" s="51"/>
      <c r="CB368" s="51"/>
      <c r="CC368" s="51"/>
      <c r="CD368" s="51"/>
      <c r="CE368" s="51"/>
      <c r="CF368" s="51"/>
      <c r="CG368" s="51"/>
      <c r="CH368" s="51"/>
      <c r="CI368" s="51"/>
      <c r="CJ368" s="51"/>
      <c r="CK368" s="51"/>
      <c r="CL368" s="51"/>
      <c r="CM368" s="51"/>
      <c r="CN368" s="51"/>
      <c r="CO368" s="51"/>
      <c r="CP368" s="51"/>
      <c r="CQ368" s="51"/>
      <c r="CR368" s="51"/>
      <c r="CS368" s="51"/>
      <c r="CT368" s="51"/>
      <c r="CU368" s="51"/>
      <c r="CV368" s="51"/>
      <c r="CW368" s="51"/>
      <c r="CX368" s="51"/>
      <c r="CY368" s="51"/>
      <c r="CZ368" s="51"/>
      <c r="DA368" s="51"/>
      <c r="DB368" s="51"/>
      <c r="DC368" s="51"/>
      <c r="DD368" s="51"/>
      <c r="DE368" s="51"/>
      <c r="DF368" s="51"/>
      <c r="DG368" s="51"/>
      <c r="DH368" s="51"/>
      <c r="DI368" s="51"/>
      <c r="DJ368" s="51"/>
      <c r="DK368" s="51"/>
      <c r="DL368" s="51"/>
      <c r="DM368" s="51"/>
      <c r="DN368" s="51"/>
      <c r="DO368" s="51"/>
      <c r="DP368" s="51"/>
      <c r="DQ368" s="51"/>
      <c r="DR368" s="51"/>
      <c r="DS368" s="51"/>
      <c r="DT368" s="51"/>
      <c r="DU368" s="51"/>
      <c r="DV368" s="51"/>
      <c r="DW368" s="51"/>
      <c r="DX368" s="51"/>
      <c r="DY368" s="51"/>
      <c r="DZ368" s="51"/>
      <c r="EA368" s="51"/>
      <c r="EB368" s="51"/>
      <c r="EC368" s="51"/>
      <c r="ED368" s="51"/>
      <c r="EE368" s="51"/>
      <c r="EF368" s="51"/>
      <c r="EG368" s="51"/>
      <c r="EH368" s="51"/>
      <c r="EI368" s="51"/>
      <c r="EJ368" s="51"/>
      <c r="EK368" s="51"/>
      <c r="EL368" s="51"/>
      <c r="EM368" s="51"/>
      <c r="EN368" s="51"/>
      <c r="EO368" s="51"/>
      <c r="EP368" s="51"/>
      <c r="EQ368" s="51"/>
      <c r="ER368" s="51"/>
      <c r="ES368" s="51"/>
      <c r="ET368" s="51"/>
      <c r="EU368" s="51"/>
      <c r="EV368" s="51"/>
      <c r="EW368" s="51"/>
      <c r="EX368" s="51"/>
      <c r="EY368" s="51"/>
      <c r="EZ368" s="51"/>
      <c r="FA368" s="51"/>
      <c r="FB368" s="51"/>
      <c r="FC368" s="51"/>
      <c r="FD368" s="51"/>
      <c r="FE368" s="51"/>
      <c r="FF368" s="51"/>
      <c r="FG368" s="51"/>
      <c r="FH368" s="51"/>
      <c r="FI368" s="51"/>
      <c r="FJ368" s="51"/>
      <c r="FK368" s="51"/>
      <c r="FL368" s="51"/>
      <c r="FM368" s="51"/>
      <c r="FN368" s="51"/>
      <c r="FO368" s="51"/>
      <c r="FP368" s="51"/>
      <c r="FQ368" s="51"/>
      <c r="FR368" s="51"/>
      <c r="FS368" s="51"/>
      <c r="FT368" s="51"/>
      <c r="FU368" s="51"/>
      <c r="FV368" s="51"/>
      <c r="FW368" s="51"/>
      <c r="FX368" s="51"/>
      <c r="FY368" s="51"/>
      <c r="FZ368" s="51"/>
      <c r="GA368" s="51"/>
      <c r="GB368" s="51"/>
      <c r="GC368" s="51"/>
      <c r="GD368" s="51"/>
      <c r="GE368" s="51"/>
      <c r="GF368" s="51"/>
      <c r="GG368" s="51"/>
      <c r="GH368" s="51"/>
      <c r="GI368" s="51"/>
      <c r="GJ368" s="51"/>
      <c r="GK368" s="51"/>
      <c r="GL368" s="51"/>
      <c r="GM368" s="51"/>
      <c r="GN368" s="51"/>
      <c r="GO368" s="51"/>
      <c r="GP368" s="51"/>
      <c r="GQ368" s="51"/>
      <c r="GR368" s="51"/>
      <c r="GS368" s="51"/>
      <c r="GT368" s="51"/>
      <c r="GU368" s="51"/>
      <c r="GV368" s="51"/>
      <c r="GW368" s="51"/>
      <c r="GX368" s="51"/>
      <c r="GY368" s="51"/>
      <c r="GZ368" s="51"/>
      <c r="HA368" s="51"/>
      <c r="HB368" s="51"/>
      <c r="HC368" s="51"/>
      <c r="HD368" s="51"/>
      <c r="HE368" s="51"/>
      <c r="HF368" s="51"/>
      <c r="HG368" s="51"/>
      <c r="HH368" s="51"/>
      <c r="HI368" s="51"/>
      <c r="HJ368" s="51"/>
      <c r="HK368" s="51"/>
      <c r="HL368" s="51"/>
      <c r="HM368" s="51"/>
      <c r="HN368" s="51"/>
      <c r="HO368" s="51"/>
      <c r="HP368" s="51"/>
      <c r="HQ368" s="51"/>
      <c r="HR368" s="51"/>
      <c r="HS368" s="51"/>
      <c r="HT368" s="51"/>
      <c r="HU368" s="51"/>
      <c r="HV368" s="51"/>
      <c r="HW368" s="51"/>
      <c r="HX368" s="51"/>
      <c r="HY368" s="51"/>
      <c r="HZ368" s="51"/>
      <c r="IA368" s="51"/>
      <c r="IB368" s="51"/>
      <c r="IC368" s="51"/>
      <c r="ID368" s="51"/>
      <c r="IE368" s="51"/>
      <c r="IF368" s="51"/>
      <c r="IG368" s="51"/>
      <c r="IH368" s="51"/>
      <c r="II368" s="51"/>
      <c r="IJ368" s="51"/>
      <c r="IK368" s="51"/>
      <c r="IL368" s="51"/>
      <c r="IM368" s="51"/>
      <c r="IN368" s="51"/>
      <c r="IO368" s="51"/>
      <c r="IP368" s="51"/>
      <c r="IQ368" s="51"/>
      <c r="IR368" s="51"/>
      <c r="IS368" s="51"/>
      <c r="IT368" s="51"/>
      <c r="IU368" s="51"/>
      <c r="IV368" s="51"/>
    </row>
    <row r="369" hidden="1">
      <c r="B369" s="826" t="s">
        <v>25</v>
      </c>
      <c r="C369" s="827">
        <v>0</v>
      </c>
      <c r="D369" s="827">
        <v>0</v>
      </c>
      <c r="E369" s="827">
        <v>0</v>
      </c>
      <c r="F369" s="827">
        <v>0</v>
      </c>
      <c r="G369" s="827">
        <v>0</v>
      </c>
      <c r="H369" s="827">
        <v>0</v>
      </c>
      <c r="I369" s="827">
        <v>0</v>
      </c>
      <c r="J369" s="827">
        <v>0</v>
      </c>
      <c r="K369" s="827">
        <v>0</v>
      </c>
      <c r="L369" s="827">
        <v>0</v>
      </c>
      <c r="M369" s="827">
        <v>0</v>
      </c>
      <c r="N369" s="827">
        <v>0</v>
      </c>
      <c r="O369" s="827">
        <v>0</v>
      </c>
      <c r="P369" s="827">
        <v>0</v>
      </c>
      <c r="Q369" s="827">
        <v>0</v>
      </c>
      <c r="R369" s="827">
        <v>0</v>
      </c>
      <c r="S369" s="827">
        <v>0</v>
      </c>
      <c r="T369" s="827">
        <v>0</v>
      </c>
      <c r="U369" s="827">
        <v>0</v>
      </c>
      <c r="V369" s="827">
        <v>0</v>
      </c>
      <c r="W369" s="827">
        <v>0</v>
      </c>
      <c r="X369" s="827">
        <v>0</v>
      </c>
      <c r="Y369" s="827">
        <v>0</v>
      </c>
      <c r="Z369" s="827">
        <v>0</v>
      </c>
      <c r="AA369" s="827">
        <v>0</v>
      </c>
      <c r="AB369" s="827">
        <v>0</v>
      </c>
      <c r="AC369" s="828">
        <v>0</v>
      </c>
      <c r="AD369" s="828">
        <v>0</v>
      </c>
      <c r="AE369" s="828">
        <v>0</v>
      </c>
      <c r="AF369" s="828">
        <v>0</v>
      </c>
      <c r="AG369" s="828">
        <v>0</v>
      </c>
      <c r="AH369" s="828">
        <v>0</v>
      </c>
      <c r="AI369" s="828">
        <v>0</v>
      </c>
      <c r="AJ369" s="828">
        <v>0</v>
      </c>
      <c r="AK369" s="828">
        <v>0</v>
      </c>
      <c r="AL369" s="828">
        <v>0</v>
      </c>
      <c r="AM369" s="828">
        <v>0</v>
      </c>
      <c r="AN369" s="828">
        <v>0</v>
      </c>
      <c r="AO369" s="828">
        <v>0</v>
      </c>
      <c r="AP369" s="828">
        <v>0</v>
      </c>
      <c r="AQ369" s="51"/>
      <c r="AR369" s="51"/>
      <c r="AS369" s="51"/>
      <c r="AT369" s="51"/>
      <c r="AU369" s="51"/>
      <c r="AV369" s="51"/>
      <c r="AW369" s="51"/>
      <c r="AX369" s="51"/>
      <c r="AY369" s="51"/>
      <c r="AZ369" s="51"/>
      <c r="BA369" s="51"/>
      <c r="BB369" s="51"/>
      <c r="BC369" s="51"/>
      <c r="BD369" s="51"/>
      <c r="BE369" s="51"/>
      <c r="BF369" s="51"/>
      <c r="BG369" s="51"/>
      <c r="BH369" s="51"/>
      <c r="BI369" s="51"/>
      <c r="BJ369" s="51"/>
      <c r="BK369" s="51"/>
      <c r="BL369" s="51"/>
      <c r="BM369" s="51"/>
      <c r="BN369" s="51"/>
      <c r="BO369" s="51"/>
      <c r="BP369" s="51"/>
      <c r="BQ369" s="51"/>
      <c r="BR369" s="51"/>
      <c r="BS369" s="51"/>
      <c r="BT369" s="51"/>
      <c r="BU369" s="51"/>
      <c r="BV369" s="51"/>
      <c r="BW369" s="51"/>
      <c r="BX369" s="51"/>
      <c r="BY369" s="51"/>
      <c r="BZ369" s="51"/>
      <c r="CA369" s="51"/>
      <c r="CB369" s="51"/>
      <c r="CC369" s="51"/>
      <c r="CD369" s="51"/>
      <c r="CE369" s="51"/>
      <c r="CF369" s="51"/>
      <c r="CG369" s="51"/>
      <c r="CH369" s="51"/>
      <c r="CI369" s="51"/>
      <c r="CJ369" s="51"/>
      <c r="CK369" s="51"/>
      <c r="CL369" s="51"/>
      <c r="CM369" s="51"/>
      <c r="CN369" s="51"/>
      <c r="CO369" s="51"/>
      <c r="CP369" s="51"/>
      <c r="CQ369" s="51"/>
      <c r="CR369" s="51"/>
      <c r="CS369" s="51"/>
      <c r="CT369" s="51"/>
      <c r="CU369" s="51"/>
      <c r="CV369" s="51"/>
      <c r="CW369" s="51"/>
      <c r="CX369" s="51"/>
      <c r="CY369" s="51"/>
      <c r="CZ369" s="51"/>
      <c r="DA369" s="51"/>
      <c r="DB369" s="51"/>
      <c r="DC369" s="51"/>
      <c r="DD369" s="51"/>
      <c r="DE369" s="51"/>
      <c r="DF369" s="51"/>
      <c r="DG369" s="51"/>
      <c r="DH369" s="51"/>
      <c r="DI369" s="51"/>
      <c r="DJ369" s="51"/>
      <c r="DK369" s="51"/>
      <c r="DL369" s="51"/>
      <c r="DM369" s="51"/>
      <c r="DN369" s="51"/>
      <c r="DO369" s="51"/>
      <c r="DP369" s="51"/>
      <c r="DQ369" s="51"/>
      <c r="DR369" s="51"/>
      <c r="DS369" s="51"/>
      <c r="DT369" s="51"/>
      <c r="DU369" s="51"/>
      <c r="DV369" s="51"/>
      <c r="DW369" s="51"/>
      <c r="DX369" s="51"/>
      <c r="DY369" s="51"/>
      <c r="DZ369" s="51"/>
      <c r="EA369" s="51"/>
      <c r="EB369" s="51"/>
      <c r="EC369" s="51"/>
      <c r="ED369" s="51"/>
      <c r="EE369" s="51"/>
      <c r="EF369" s="51"/>
      <c r="EG369" s="51"/>
      <c r="EH369" s="51"/>
      <c r="EI369" s="51"/>
      <c r="EJ369" s="51"/>
      <c r="EK369" s="51"/>
      <c r="EL369" s="51"/>
      <c r="EM369" s="51"/>
      <c r="EN369" s="51"/>
      <c r="EO369" s="51"/>
      <c r="EP369" s="51"/>
      <c r="EQ369" s="51"/>
      <c r="ER369" s="51"/>
      <c r="ES369" s="51"/>
      <c r="ET369" s="51"/>
      <c r="EU369" s="51"/>
      <c r="EV369" s="51"/>
      <c r="EW369" s="51"/>
      <c r="EX369" s="51"/>
      <c r="EY369" s="51"/>
      <c r="EZ369" s="51"/>
      <c r="FA369" s="51"/>
      <c r="FB369" s="51"/>
      <c r="FC369" s="51"/>
      <c r="FD369" s="51"/>
      <c r="FE369" s="51"/>
      <c r="FF369" s="51"/>
      <c r="FG369" s="51"/>
      <c r="FH369" s="51"/>
      <c r="FI369" s="51"/>
      <c r="FJ369" s="51"/>
      <c r="FK369" s="51"/>
      <c r="FL369" s="51"/>
      <c r="FM369" s="51"/>
      <c r="FN369" s="51"/>
      <c r="FO369" s="51"/>
      <c r="FP369" s="51"/>
      <c r="FQ369" s="51"/>
      <c r="FR369" s="51"/>
      <c r="FS369" s="51"/>
      <c r="FT369" s="51"/>
      <c r="FU369" s="51"/>
      <c r="FV369" s="51"/>
      <c r="FW369" s="51"/>
      <c r="FX369" s="51"/>
      <c r="FY369" s="51"/>
      <c r="FZ369" s="51"/>
      <c r="GA369" s="51"/>
      <c r="GB369" s="51"/>
      <c r="GC369" s="51"/>
      <c r="GD369" s="51"/>
      <c r="GE369" s="51"/>
      <c r="GF369" s="51"/>
      <c r="GG369" s="51"/>
      <c r="GH369" s="51"/>
      <c r="GI369" s="51"/>
      <c r="GJ369" s="51"/>
      <c r="GK369" s="51"/>
      <c r="GL369" s="51"/>
      <c r="GM369" s="51"/>
      <c r="GN369" s="51"/>
      <c r="GO369" s="51"/>
      <c r="GP369" s="51"/>
      <c r="GQ369" s="51"/>
      <c r="GR369" s="51"/>
      <c r="GS369" s="51"/>
      <c r="GT369" s="51"/>
      <c r="GU369" s="51"/>
      <c r="GV369" s="51"/>
      <c r="GW369" s="51"/>
      <c r="GX369" s="51"/>
      <c r="GY369" s="51"/>
      <c r="GZ369" s="51"/>
      <c r="HA369" s="51"/>
      <c r="HB369" s="51"/>
      <c r="HC369" s="51"/>
      <c r="HD369" s="51"/>
      <c r="HE369" s="51"/>
      <c r="HF369" s="51"/>
      <c r="HG369" s="51"/>
      <c r="HH369" s="51"/>
      <c r="HI369" s="51"/>
      <c r="HJ369" s="51"/>
      <c r="HK369" s="51"/>
      <c r="HL369" s="51"/>
      <c r="HM369" s="51"/>
      <c r="HN369" s="51"/>
      <c r="HO369" s="51"/>
      <c r="HP369" s="51"/>
      <c r="HQ369" s="51"/>
      <c r="HR369" s="51"/>
      <c r="HS369" s="51"/>
      <c r="HT369" s="51"/>
      <c r="HU369" s="51"/>
      <c r="HV369" s="51"/>
      <c r="HW369" s="51"/>
      <c r="HX369" s="51"/>
      <c r="HY369" s="51"/>
      <c r="HZ369" s="51"/>
      <c r="IA369" s="51"/>
      <c r="IB369" s="51"/>
      <c r="IC369" s="51"/>
      <c r="ID369" s="51"/>
      <c r="IE369" s="51"/>
      <c r="IF369" s="51"/>
      <c r="IG369" s="51"/>
      <c r="IH369" s="51"/>
      <c r="II369" s="51"/>
      <c r="IJ369" s="51"/>
      <c r="IK369" s="51"/>
      <c r="IL369" s="51"/>
      <c r="IM369" s="51"/>
      <c r="IN369" s="51"/>
      <c r="IO369" s="51"/>
      <c r="IP369" s="51"/>
      <c r="IQ369" s="51"/>
      <c r="IR369" s="51"/>
      <c r="IS369" s="51"/>
      <c r="IT369" s="51"/>
      <c r="IU369" s="51"/>
      <c r="IV369" s="51"/>
    </row>
    <row r="370" hidden="1" ht="13.5">
      <c r="B370" s="831" t="s">
        <v>26</v>
      </c>
      <c r="C370" s="823">
        <v>0</v>
      </c>
      <c r="D370" s="823">
        <v>0</v>
      </c>
      <c r="E370" s="823">
        <v>0</v>
      </c>
      <c r="F370" s="823">
        <v>0</v>
      </c>
      <c r="G370" s="823">
        <v>0</v>
      </c>
      <c r="H370" s="823">
        <v>0</v>
      </c>
      <c r="I370" s="823">
        <v>0</v>
      </c>
      <c r="J370" s="823">
        <v>0</v>
      </c>
      <c r="K370" s="823">
        <v>0</v>
      </c>
      <c r="L370" s="823">
        <v>0</v>
      </c>
      <c r="M370" s="823">
        <v>0</v>
      </c>
      <c r="N370" s="823">
        <v>0</v>
      </c>
      <c r="O370" s="823">
        <v>0</v>
      </c>
      <c r="P370" s="823">
        <v>0</v>
      </c>
      <c r="Q370" s="823">
        <v>0</v>
      </c>
      <c r="R370" s="823">
        <v>0</v>
      </c>
      <c r="S370" s="823">
        <v>0</v>
      </c>
      <c r="T370" s="823">
        <v>0</v>
      </c>
      <c r="U370" s="823">
        <v>0</v>
      </c>
      <c r="V370" s="823">
        <v>0</v>
      </c>
      <c r="W370" s="823">
        <v>0</v>
      </c>
      <c r="X370" s="823">
        <v>0</v>
      </c>
      <c r="Y370" s="823">
        <v>0</v>
      </c>
      <c r="Z370" s="823">
        <v>0</v>
      </c>
      <c r="AA370" s="823">
        <v>0</v>
      </c>
      <c r="AB370" s="832">
        <v>0</v>
      </c>
      <c r="AC370" s="825">
        <v>0</v>
      </c>
      <c r="AD370" s="825">
        <v>0</v>
      </c>
      <c r="AE370" s="825">
        <v>0</v>
      </c>
      <c r="AF370" s="825">
        <v>0</v>
      </c>
      <c r="AG370" s="825">
        <v>0</v>
      </c>
      <c r="AH370" s="825">
        <v>0</v>
      </c>
      <c r="AI370" s="825">
        <v>0</v>
      </c>
      <c r="AJ370" s="825">
        <v>0</v>
      </c>
      <c r="AK370" s="825">
        <v>0</v>
      </c>
      <c r="AL370" s="825">
        <v>0</v>
      </c>
      <c r="AM370" s="825">
        <v>0</v>
      </c>
      <c r="AN370" s="825">
        <v>0</v>
      </c>
      <c r="AO370" s="825">
        <v>0</v>
      </c>
      <c r="AP370" s="825">
        <v>0</v>
      </c>
      <c r="AQ370" s="51"/>
      <c r="AR370" s="51"/>
      <c r="AS370" s="51"/>
      <c r="AT370" s="51"/>
      <c r="AU370" s="51"/>
      <c r="AV370" s="51"/>
      <c r="AW370" s="51"/>
      <c r="AX370" s="51"/>
      <c r="AY370" s="51"/>
      <c r="AZ370" s="51"/>
      <c r="BA370" s="51"/>
      <c r="BB370" s="51"/>
      <c r="BC370" s="51"/>
      <c r="BD370" s="51"/>
      <c r="BE370" s="51"/>
      <c r="BF370" s="51"/>
      <c r="BG370" s="51"/>
      <c r="BH370" s="51"/>
      <c r="BI370" s="51"/>
      <c r="BJ370" s="51"/>
      <c r="BK370" s="51"/>
      <c r="BL370" s="51"/>
      <c r="BM370" s="51"/>
      <c r="BN370" s="51"/>
      <c r="BO370" s="51"/>
      <c r="BP370" s="51"/>
      <c r="BQ370" s="51"/>
      <c r="BR370" s="51"/>
      <c r="BS370" s="51"/>
      <c r="BT370" s="51"/>
      <c r="BU370" s="51"/>
      <c r="BV370" s="51"/>
      <c r="BW370" s="51"/>
      <c r="BX370" s="51"/>
      <c r="BY370" s="51"/>
      <c r="BZ370" s="51"/>
      <c r="CA370" s="51"/>
      <c r="CB370" s="51"/>
      <c r="CC370" s="51"/>
      <c r="CD370" s="51"/>
      <c r="CE370" s="51"/>
      <c r="CF370" s="51"/>
      <c r="CG370" s="51"/>
      <c r="CH370" s="51"/>
      <c r="CI370" s="51"/>
      <c r="CJ370" s="51"/>
      <c r="CK370" s="51"/>
      <c r="CL370" s="51"/>
      <c r="CM370" s="51"/>
      <c r="CN370" s="51"/>
      <c r="CO370" s="51"/>
      <c r="CP370" s="51"/>
      <c r="CQ370" s="51"/>
      <c r="CR370" s="51"/>
      <c r="CS370" s="51"/>
      <c r="CT370" s="51"/>
      <c r="CU370" s="51"/>
      <c r="CV370" s="51"/>
      <c r="CW370" s="51"/>
      <c r="CX370" s="51"/>
      <c r="CY370" s="51"/>
      <c r="CZ370" s="51"/>
      <c r="DA370" s="51"/>
      <c r="DB370" s="51"/>
      <c r="DC370" s="51"/>
      <c r="DD370" s="51"/>
      <c r="DE370" s="51"/>
      <c r="DF370" s="51"/>
      <c r="DG370" s="51"/>
      <c r="DH370" s="51"/>
      <c r="DI370" s="51"/>
      <c r="DJ370" s="51"/>
      <c r="DK370" s="51"/>
      <c r="DL370" s="51"/>
      <c r="DM370" s="51"/>
      <c r="DN370" s="51"/>
      <c r="DO370" s="51"/>
      <c r="DP370" s="51"/>
      <c r="DQ370" s="51"/>
      <c r="DR370" s="51"/>
      <c r="DS370" s="51"/>
      <c r="DT370" s="51"/>
      <c r="DU370" s="51"/>
      <c r="DV370" s="51"/>
      <c r="DW370" s="51"/>
      <c r="DX370" s="51"/>
      <c r="DY370" s="51"/>
      <c r="DZ370" s="51"/>
      <c r="EA370" s="51"/>
      <c r="EB370" s="51"/>
      <c r="EC370" s="51"/>
      <c r="ED370" s="51"/>
      <c r="EE370" s="51"/>
      <c r="EF370" s="51"/>
      <c r="EG370" s="51"/>
      <c r="EH370" s="51"/>
      <c r="EI370" s="51"/>
      <c r="EJ370" s="51"/>
      <c r="EK370" s="51"/>
      <c r="EL370" s="51"/>
      <c r="EM370" s="51"/>
      <c r="EN370" s="51"/>
      <c r="EO370" s="51"/>
      <c r="EP370" s="51"/>
      <c r="EQ370" s="51"/>
      <c r="ER370" s="51"/>
      <c r="ES370" s="51"/>
      <c r="ET370" s="51"/>
      <c r="EU370" s="51"/>
      <c r="EV370" s="51"/>
      <c r="EW370" s="51"/>
      <c r="EX370" s="51"/>
      <c r="EY370" s="51"/>
      <c r="EZ370" s="51"/>
      <c r="FA370" s="51"/>
      <c r="FB370" s="51"/>
      <c r="FC370" s="51"/>
      <c r="FD370" s="51"/>
      <c r="FE370" s="51"/>
      <c r="FF370" s="51"/>
      <c r="FG370" s="51"/>
      <c r="FH370" s="51"/>
      <c r="FI370" s="51"/>
      <c r="FJ370" s="51"/>
      <c r="FK370" s="51"/>
      <c r="FL370" s="51"/>
      <c r="FM370" s="51"/>
      <c r="FN370" s="51"/>
      <c r="FO370" s="51"/>
      <c r="FP370" s="51"/>
      <c r="FQ370" s="51"/>
      <c r="FR370" s="51"/>
      <c r="FS370" s="51"/>
      <c r="FT370" s="51"/>
      <c r="FU370" s="51"/>
      <c r="FV370" s="51"/>
      <c r="FW370" s="51"/>
      <c r="FX370" s="51"/>
      <c r="FY370" s="51"/>
      <c r="FZ370" s="51"/>
      <c r="GA370" s="51"/>
      <c r="GB370" s="51"/>
      <c r="GC370" s="51"/>
      <c r="GD370" s="51"/>
      <c r="GE370" s="51"/>
      <c r="GF370" s="51"/>
      <c r="GG370" s="51"/>
      <c r="GH370" s="51"/>
      <c r="GI370" s="51"/>
      <c r="GJ370" s="51"/>
      <c r="GK370" s="51"/>
      <c r="GL370" s="51"/>
      <c r="GM370" s="51"/>
      <c r="GN370" s="51"/>
      <c r="GO370" s="51"/>
      <c r="GP370" s="51"/>
      <c r="GQ370" s="51"/>
      <c r="GR370" s="51"/>
      <c r="GS370" s="51"/>
      <c r="GT370" s="51"/>
      <c r="GU370" s="51"/>
      <c r="GV370" s="51"/>
      <c r="GW370" s="51"/>
      <c r="GX370" s="51"/>
      <c r="GY370" s="51"/>
      <c r="GZ370" s="51"/>
      <c r="HA370" s="51"/>
      <c r="HB370" s="51"/>
      <c r="HC370" s="51"/>
      <c r="HD370" s="51"/>
      <c r="HE370" s="51"/>
      <c r="HF370" s="51"/>
      <c r="HG370" s="51"/>
      <c r="HH370" s="51"/>
      <c r="HI370" s="51"/>
      <c r="HJ370" s="51"/>
      <c r="HK370" s="51"/>
      <c r="HL370" s="51"/>
      <c r="HM370" s="51"/>
      <c r="HN370" s="51"/>
      <c r="HO370" s="51"/>
      <c r="HP370" s="51"/>
      <c r="HQ370" s="51"/>
      <c r="HR370" s="51"/>
      <c r="HS370" s="51"/>
      <c r="HT370" s="51"/>
      <c r="HU370" s="51"/>
      <c r="HV370" s="51"/>
      <c r="HW370" s="51"/>
      <c r="HX370" s="51"/>
      <c r="HY370" s="51"/>
      <c r="HZ370" s="51"/>
      <c r="IA370" s="51"/>
      <c r="IB370" s="51"/>
      <c r="IC370" s="51"/>
      <c r="ID370" s="51"/>
      <c r="IE370" s="51"/>
      <c r="IF370" s="51"/>
      <c r="IG370" s="51"/>
      <c r="IH370" s="51"/>
      <c r="II370" s="51"/>
      <c r="IJ370" s="51"/>
      <c r="IK370" s="51"/>
      <c r="IL370" s="51"/>
      <c r="IM370" s="51"/>
      <c r="IN370" s="51"/>
      <c r="IO370" s="51"/>
      <c r="IP370" s="51"/>
      <c r="IQ370" s="51"/>
      <c r="IR370" s="51"/>
      <c r="IS370" s="51"/>
      <c r="IT370" s="51"/>
      <c r="IU370" s="51"/>
      <c r="IV370" s="51"/>
    </row>
    <row r="371" hidden="1" ht="13.5">
      <c r="B371" s="128" t="s">
        <v>7</v>
      </c>
      <c r="C371" s="129" t="str">
        <f>IF(SUM(C352:C370)&lt;&gt;0,SUM(C352:C370),"")</f>
      </c>
      <c r="D371" s="129" t="str">
        <f ref="D371:AA371" t="shared" si="40">IF(SUM(D352:D370)&lt;&gt;0,SUM(D352:D370),"")</f>
      </c>
      <c r="E371" s="129" t="str">
        <f t="shared" si="40"/>
      </c>
      <c r="F371" s="129" t="str">
        <f t="shared" si="40"/>
      </c>
      <c r="G371" s="129" t="str">
        <f t="shared" si="40"/>
      </c>
      <c r="H371" s="129" t="str">
        <f t="shared" si="40"/>
      </c>
      <c r="I371" s="129" t="str">
        <f t="shared" si="40"/>
      </c>
      <c r="J371" s="129" t="str">
        <f t="shared" si="40"/>
      </c>
      <c r="K371" s="129" t="str">
        <f t="shared" si="40"/>
      </c>
      <c r="L371" s="129" t="str">
        <f t="shared" si="40"/>
      </c>
      <c r="M371" s="129" t="str">
        <f t="shared" si="40"/>
      </c>
      <c r="N371" s="129" t="str">
        <f t="shared" si="40"/>
      </c>
      <c r="O371" s="129" t="str">
        <f t="shared" si="40"/>
      </c>
      <c r="P371" s="129" t="str">
        <f t="shared" si="40"/>
      </c>
      <c r="Q371" s="129" t="str">
        <f t="shared" si="40"/>
      </c>
      <c r="R371" s="129" t="str">
        <f t="shared" si="40"/>
      </c>
      <c r="S371" s="129" t="str">
        <f t="shared" si="40"/>
      </c>
      <c r="T371" s="129" t="str">
        <f t="shared" si="40"/>
      </c>
      <c r="U371" s="129" t="str">
        <f t="shared" si="40"/>
      </c>
      <c r="V371" s="129" t="str">
        <f t="shared" si="40"/>
      </c>
      <c r="W371" s="129" t="str">
        <f t="shared" si="40"/>
      </c>
      <c r="X371" s="129" t="str">
        <f t="shared" si="40"/>
      </c>
      <c r="Y371" s="129" t="str">
        <f t="shared" si="40"/>
      </c>
      <c r="Z371" s="129" t="str">
        <f t="shared" si="40"/>
      </c>
      <c r="AA371" s="129" t="str">
        <f t="shared" si="40"/>
      </c>
      <c r="AB371" s="130" t="str">
        <f>IF(SUM(AB352:AB370)&lt;&gt;0,SUM(AB352:AB370),"")</f>
      </c>
      <c r="AC371" s="91" t="str">
        <f ref="AC371:CN371" t="shared" si="41">IF(SUM(AC352:AC370)&lt;&gt;0,SUM(AC352:AC370),"")</f>
      </c>
      <c r="AD371" s="91" t="str">
        <f t="shared" si="41"/>
      </c>
      <c r="AE371" s="91" t="str">
        <f t="shared" si="41"/>
      </c>
      <c r="AF371" s="91" t="str">
        <f t="shared" si="41"/>
      </c>
      <c r="AG371" s="91" t="str">
        <f t="shared" si="41"/>
      </c>
      <c r="AH371" s="91" t="str">
        <f t="shared" si="41"/>
      </c>
      <c r="AI371" s="91" t="str">
        <f t="shared" si="41"/>
      </c>
      <c r="AJ371" s="91" t="str">
        <f t="shared" si="41"/>
      </c>
      <c r="AK371" s="91" t="str">
        <f t="shared" si="41"/>
      </c>
      <c r="AL371" s="91" t="str">
        <f t="shared" si="41"/>
      </c>
      <c r="AM371" s="91" t="str">
        <f t="shared" si="41"/>
      </c>
      <c r="AN371" s="91" t="str">
        <f t="shared" si="41"/>
      </c>
      <c r="AO371" s="91" t="str">
        <f t="shared" si="41"/>
      </c>
      <c r="AP371" s="91" t="str">
        <f t="shared" si="41"/>
      </c>
      <c r="AQ371" s="91" t="str">
        <f t="shared" si="41"/>
      </c>
      <c r="AR371" s="91" t="str">
        <f t="shared" si="41"/>
      </c>
      <c r="AS371" s="91" t="str">
        <f t="shared" si="41"/>
      </c>
      <c r="AT371" s="91" t="str">
        <f t="shared" si="41"/>
      </c>
      <c r="AU371" s="91" t="str">
        <f t="shared" si="41"/>
      </c>
      <c r="AV371" s="91" t="str">
        <f t="shared" si="41"/>
      </c>
      <c r="AW371" s="91" t="str">
        <f t="shared" si="41"/>
      </c>
      <c r="AX371" s="91" t="str">
        <f t="shared" si="41"/>
      </c>
      <c r="AY371" s="91" t="str">
        <f t="shared" si="41"/>
      </c>
      <c r="AZ371" s="91" t="str">
        <f t="shared" si="41"/>
      </c>
      <c r="BA371" s="91" t="str">
        <f t="shared" si="41"/>
      </c>
      <c r="BB371" s="91" t="str">
        <f t="shared" si="41"/>
      </c>
      <c r="BC371" s="91" t="str">
        <f t="shared" si="41"/>
      </c>
      <c r="BD371" s="91" t="str">
        <f t="shared" si="41"/>
      </c>
      <c r="BE371" s="91" t="str">
        <f t="shared" si="41"/>
      </c>
      <c r="BF371" s="91" t="str">
        <f t="shared" si="41"/>
      </c>
      <c r="BG371" s="91" t="str">
        <f t="shared" si="41"/>
      </c>
      <c r="BH371" s="91" t="str">
        <f t="shared" si="41"/>
      </c>
      <c r="BI371" s="91" t="str">
        <f t="shared" si="41"/>
      </c>
      <c r="BJ371" s="91" t="str">
        <f t="shared" si="41"/>
      </c>
      <c r="BK371" s="91" t="str">
        <f t="shared" si="41"/>
      </c>
      <c r="BL371" s="91" t="str">
        <f t="shared" si="41"/>
      </c>
      <c r="BM371" s="91" t="str">
        <f t="shared" si="41"/>
      </c>
      <c r="BN371" s="91" t="str">
        <f t="shared" si="41"/>
      </c>
      <c r="BO371" s="91" t="str">
        <f t="shared" si="41"/>
      </c>
      <c r="BP371" s="91" t="str">
        <f t="shared" si="41"/>
      </c>
      <c r="BQ371" s="91" t="str">
        <f t="shared" si="41"/>
      </c>
      <c r="BR371" s="91" t="str">
        <f t="shared" si="41"/>
      </c>
      <c r="BS371" s="91" t="str">
        <f t="shared" si="41"/>
      </c>
      <c r="BT371" s="91" t="str">
        <f t="shared" si="41"/>
      </c>
      <c r="BU371" s="91" t="str">
        <f t="shared" si="41"/>
      </c>
      <c r="BV371" s="91" t="str">
        <f t="shared" si="41"/>
      </c>
      <c r="BW371" s="91" t="str">
        <f t="shared" si="41"/>
      </c>
      <c r="BX371" s="91" t="str">
        <f t="shared" si="41"/>
      </c>
      <c r="BY371" s="91" t="str">
        <f t="shared" si="41"/>
      </c>
      <c r="BZ371" s="91" t="str">
        <f t="shared" si="41"/>
      </c>
      <c r="CA371" s="91" t="str">
        <f t="shared" si="41"/>
      </c>
      <c r="CB371" s="91" t="str">
        <f t="shared" si="41"/>
      </c>
      <c r="CC371" s="91" t="str">
        <f t="shared" si="41"/>
      </c>
      <c r="CD371" s="91" t="str">
        <f t="shared" si="41"/>
      </c>
      <c r="CE371" s="91" t="str">
        <f t="shared" si="41"/>
      </c>
      <c r="CF371" s="91" t="str">
        <f t="shared" si="41"/>
      </c>
      <c r="CG371" s="91" t="str">
        <f t="shared" si="41"/>
      </c>
      <c r="CH371" s="91" t="str">
        <f t="shared" si="41"/>
      </c>
      <c r="CI371" s="91" t="str">
        <f t="shared" si="41"/>
      </c>
      <c r="CJ371" s="91" t="str">
        <f t="shared" si="41"/>
      </c>
      <c r="CK371" s="91" t="str">
        <f t="shared" si="41"/>
      </c>
      <c r="CL371" s="91" t="str">
        <f t="shared" si="41"/>
      </c>
      <c r="CM371" s="91" t="str">
        <f t="shared" si="41"/>
      </c>
      <c r="CN371" s="91" t="str">
        <f t="shared" si="41"/>
      </c>
      <c r="CO371" s="91" t="str">
        <f ref="CO371:EZ371" t="shared" si="42">IF(SUM(CO352:CO370)&lt;&gt;0,SUM(CO352:CO370),"")</f>
      </c>
      <c r="CP371" s="91" t="str">
        <f t="shared" si="42"/>
      </c>
      <c r="CQ371" s="91" t="str">
        <f t="shared" si="42"/>
      </c>
      <c r="CR371" s="91" t="str">
        <f t="shared" si="42"/>
      </c>
      <c r="CS371" s="91" t="str">
        <f t="shared" si="42"/>
      </c>
      <c r="CT371" s="91" t="str">
        <f t="shared" si="42"/>
      </c>
      <c r="CU371" s="91" t="str">
        <f t="shared" si="42"/>
      </c>
      <c r="CV371" s="91" t="str">
        <f t="shared" si="42"/>
      </c>
      <c r="CW371" s="91" t="str">
        <f t="shared" si="42"/>
      </c>
      <c r="CX371" s="91" t="str">
        <f t="shared" si="42"/>
      </c>
      <c r="CY371" s="91" t="str">
        <f t="shared" si="42"/>
      </c>
      <c r="CZ371" s="91" t="str">
        <f t="shared" si="42"/>
      </c>
      <c r="DA371" s="91" t="str">
        <f t="shared" si="42"/>
      </c>
      <c r="DB371" s="91" t="str">
        <f t="shared" si="42"/>
      </c>
      <c r="DC371" s="91" t="str">
        <f t="shared" si="42"/>
      </c>
      <c r="DD371" s="91" t="str">
        <f t="shared" si="42"/>
      </c>
      <c r="DE371" s="91" t="str">
        <f t="shared" si="42"/>
      </c>
      <c r="DF371" s="91" t="str">
        <f t="shared" si="42"/>
      </c>
      <c r="DG371" s="91" t="str">
        <f t="shared" si="42"/>
      </c>
      <c r="DH371" s="91" t="str">
        <f t="shared" si="42"/>
      </c>
      <c r="DI371" s="91" t="str">
        <f t="shared" si="42"/>
      </c>
      <c r="DJ371" s="91" t="str">
        <f t="shared" si="42"/>
      </c>
      <c r="DK371" s="91" t="str">
        <f t="shared" si="42"/>
      </c>
      <c r="DL371" s="91" t="str">
        <f t="shared" si="42"/>
      </c>
      <c r="DM371" s="91" t="str">
        <f t="shared" si="42"/>
      </c>
      <c r="DN371" s="91" t="str">
        <f t="shared" si="42"/>
      </c>
      <c r="DO371" s="91" t="str">
        <f t="shared" si="42"/>
      </c>
      <c r="DP371" s="91" t="str">
        <f t="shared" si="42"/>
      </c>
      <c r="DQ371" s="91" t="str">
        <f t="shared" si="42"/>
      </c>
      <c r="DR371" s="91" t="str">
        <f t="shared" si="42"/>
      </c>
      <c r="DS371" s="91" t="str">
        <f t="shared" si="42"/>
      </c>
      <c r="DT371" s="91" t="str">
        <f t="shared" si="42"/>
      </c>
      <c r="DU371" s="91" t="str">
        <f t="shared" si="42"/>
      </c>
      <c r="DV371" s="91" t="str">
        <f t="shared" si="42"/>
      </c>
      <c r="DW371" s="91" t="str">
        <f t="shared" si="42"/>
      </c>
      <c r="DX371" s="91" t="str">
        <f t="shared" si="42"/>
      </c>
      <c r="DY371" s="91" t="str">
        <f t="shared" si="42"/>
      </c>
      <c r="DZ371" s="91" t="str">
        <f t="shared" si="42"/>
      </c>
      <c r="EA371" s="91" t="str">
        <f t="shared" si="42"/>
      </c>
      <c r="EB371" s="91" t="str">
        <f t="shared" si="42"/>
      </c>
      <c r="EC371" s="91" t="str">
        <f t="shared" si="42"/>
      </c>
      <c r="ED371" s="91" t="str">
        <f t="shared" si="42"/>
      </c>
      <c r="EE371" s="91" t="str">
        <f t="shared" si="42"/>
      </c>
      <c r="EF371" s="91" t="str">
        <f t="shared" si="42"/>
      </c>
      <c r="EG371" s="91" t="str">
        <f t="shared" si="42"/>
      </c>
      <c r="EH371" s="91" t="str">
        <f t="shared" si="42"/>
      </c>
      <c r="EI371" s="91" t="str">
        <f t="shared" si="42"/>
      </c>
      <c r="EJ371" s="91" t="str">
        <f t="shared" si="42"/>
      </c>
      <c r="EK371" s="91" t="str">
        <f t="shared" si="42"/>
      </c>
      <c r="EL371" s="91" t="str">
        <f t="shared" si="42"/>
      </c>
      <c r="EM371" s="91" t="str">
        <f t="shared" si="42"/>
      </c>
      <c r="EN371" s="91" t="str">
        <f t="shared" si="42"/>
      </c>
      <c r="EO371" s="91" t="str">
        <f t="shared" si="42"/>
      </c>
      <c r="EP371" s="91" t="str">
        <f t="shared" si="42"/>
      </c>
      <c r="EQ371" s="91" t="str">
        <f t="shared" si="42"/>
      </c>
      <c r="ER371" s="91" t="str">
        <f t="shared" si="42"/>
      </c>
      <c r="ES371" s="91" t="str">
        <f t="shared" si="42"/>
      </c>
      <c r="ET371" s="91" t="str">
        <f t="shared" si="42"/>
      </c>
      <c r="EU371" s="91" t="str">
        <f t="shared" si="42"/>
      </c>
      <c r="EV371" s="91" t="str">
        <f t="shared" si="42"/>
      </c>
      <c r="EW371" s="91" t="str">
        <f t="shared" si="42"/>
      </c>
      <c r="EX371" s="91" t="str">
        <f t="shared" si="42"/>
      </c>
      <c r="EY371" s="91" t="str">
        <f t="shared" si="42"/>
      </c>
      <c r="EZ371" s="91" t="str">
        <f t="shared" si="42"/>
      </c>
      <c r="FA371" s="91" t="str">
        <f ref="FA371:HL371" t="shared" si="43">IF(SUM(FA352:FA370)&lt;&gt;0,SUM(FA352:FA370),"")</f>
      </c>
      <c r="FB371" s="91" t="str">
        <f t="shared" si="43"/>
      </c>
      <c r="FC371" s="91" t="str">
        <f t="shared" si="43"/>
      </c>
      <c r="FD371" s="91" t="str">
        <f t="shared" si="43"/>
      </c>
      <c r="FE371" s="91" t="str">
        <f t="shared" si="43"/>
      </c>
      <c r="FF371" s="91" t="str">
        <f t="shared" si="43"/>
      </c>
      <c r="FG371" s="91" t="str">
        <f t="shared" si="43"/>
      </c>
      <c r="FH371" s="91" t="str">
        <f t="shared" si="43"/>
      </c>
      <c r="FI371" s="91" t="str">
        <f t="shared" si="43"/>
      </c>
      <c r="FJ371" s="91" t="str">
        <f t="shared" si="43"/>
      </c>
      <c r="FK371" s="91" t="str">
        <f t="shared" si="43"/>
      </c>
      <c r="FL371" s="91" t="str">
        <f t="shared" si="43"/>
      </c>
      <c r="FM371" s="91" t="str">
        <f t="shared" si="43"/>
      </c>
      <c r="FN371" s="91" t="str">
        <f t="shared" si="43"/>
      </c>
      <c r="FO371" s="91" t="str">
        <f t="shared" si="43"/>
      </c>
      <c r="FP371" s="91" t="str">
        <f t="shared" si="43"/>
      </c>
      <c r="FQ371" s="91" t="str">
        <f t="shared" si="43"/>
      </c>
      <c r="FR371" s="91" t="str">
        <f t="shared" si="43"/>
      </c>
      <c r="FS371" s="91" t="str">
        <f t="shared" si="43"/>
      </c>
      <c r="FT371" s="91" t="str">
        <f t="shared" si="43"/>
      </c>
      <c r="FU371" s="91" t="str">
        <f t="shared" si="43"/>
      </c>
      <c r="FV371" s="91" t="str">
        <f t="shared" si="43"/>
      </c>
      <c r="FW371" s="91" t="str">
        <f t="shared" si="43"/>
      </c>
      <c r="FX371" s="91" t="str">
        <f t="shared" si="43"/>
      </c>
      <c r="FY371" s="91" t="str">
        <f t="shared" si="43"/>
      </c>
      <c r="FZ371" s="91" t="str">
        <f t="shared" si="43"/>
      </c>
      <c r="GA371" s="91" t="str">
        <f t="shared" si="43"/>
      </c>
      <c r="GB371" s="91" t="str">
        <f t="shared" si="43"/>
      </c>
      <c r="GC371" s="91" t="str">
        <f t="shared" si="43"/>
      </c>
      <c r="GD371" s="91" t="str">
        <f t="shared" si="43"/>
      </c>
      <c r="GE371" s="91" t="str">
        <f t="shared" si="43"/>
      </c>
      <c r="GF371" s="91" t="str">
        <f t="shared" si="43"/>
      </c>
      <c r="GG371" s="91" t="str">
        <f t="shared" si="43"/>
      </c>
      <c r="GH371" s="91" t="str">
        <f t="shared" si="43"/>
      </c>
      <c r="GI371" s="91" t="str">
        <f t="shared" si="43"/>
      </c>
      <c r="GJ371" s="91" t="str">
        <f t="shared" si="43"/>
      </c>
      <c r="GK371" s="91" t="str">
        <f t="shared" si="43"/>
      </c>
      <c r="GL371" s="91" t="str">
        <f t="shared" si="43"/>
      </c>
      <c r="GM371" s="91" t="str">
        <f t="shared" si="43"/>
      </c>
      <c r="GN371" s="91" t="str">
        <f t="shared" si="43"/>
      </c>
      <c r="GO371" s="91" t="str">
        <f t="shared" si="43"/>
      </c>
      <c r="GP371" s="91" t="str">
        <f t="shared" si="43"/>
      </c>
      <c r="GQ371" s="91" t="str">
        <f t="shared" si="43"/>
      </c>
      <c r="GR371" s="91" t="str">
        <f t="shared" si="43"/>
      </c>
      <c r="GS371" s="91" t="str">
        <f t="shared" si="43"/>
      </c>
      <c r="GT371" s="91" t="str">
        <f t="shared" si="43"/>
      </c>
      <c r="GU371" s="91" t="str">
        <f t="shared" si="43"/>
      </c>
      <c r="GV371" s="91" t="str">
        <f t="shared" si="43"/>
      </c>
      <c r="GW371" s="91" t="str">
        <f t="shared" si="43"/>
      </c>
      <c r="GX371" s="91" t="str">
        <f t="shared" si="43"/>
      </c>
      <c r="GY371" s="91" t="str">
        <f t="shared" si="43"/>
      </c>
      <c r="GZ371" s="91" t="str">
        <f t="shared" si="43"/>
      </c>
      <c r="HA371" s="91" t="str">
        <f t="shared" si="43"/>
      </c>
      <c r="HB371" s="91" t="str">
        <f t="shared" si="43"/>
      </c>
      <c r="HC371" s="91" t="str">
        <f t="shared" si="43"/>
      </c>
      <c r="HD371" s="91" t="str">
        <f t="shared" si="43"/>
      </c>
      <c r="HE371" s="91" t="str">
        <f t="shared" si="43"/>
      </c>
      <c r="HF371" s="91" t="str">
        <f t="shared" si="43"/>
      </c>
      <c r="HG371" s="91" t="str">
        <f t="shared" si="43"/>
      </c>
      <c r="HH371" s="91" t="str">
        <f t="shared" si="43"/>
      </c>
      <c r="HI371" s="91" t="str">
        <f t="shared" si="43"/>
      </c>
      <c r="HJ371" s="91" t="str">
        <f t="shared" si="43"/>
      </c>
      <c r="HK371" s="91" t="str">
        <f t="shared" si="43"/>
      </c>
      <c r="HL371" s="91" t="str">
        <f t="shared" si="43"/>
      </c>
      <c r="HM371" s="91" t="str">
        <f ref="HM371:IV371" t="shared" si="44">IF(SUM(HM352:HM370)&lt;&gt;0,SUM(HM352:HM370),"")</f>
      </c>
      <c r="HN371" s="91" t="str">
        <f t="shared" si="44"/>
      </c>
      <c r="HO371" s="91" t="str">
        <f t="shared" si="44"/>
      </c>
      <c r="HP371" s="91" t="str">
        <f t="shared" si="44"/>
      </c>
      <c r="HQ371" s="91" t="str">
        <f t="shared" si="44"/>
      </c>
      <c r="HR371" s="91" t="str">
        <f t="shared" si="44"/>
      </c>
      <c r="HS371" s="91" t="str">
        <f t="shared" si="44"/>
      </c>
      <c r="HT371" s="91" t="str">
        <f t="shared" si="44"/>
      </c>
      <c r="HU371" s="91" t="str">
        <f t="shared" si="44"/>
      </c>
      <c r="HV371" s="91" t="str">
        <f t="shared" si="44"/>
      </c>
      <c r="HW371" s="91" t="str">
        <f t="shared" si="44"/>
      </c>
      <c r="HX371" s="91" t="str">
        <f t="shared" si="44"/>
      </c>
      <c r="HY371" s="91" t="str">
        <f t="shared" si="44"/>
      </c>
      <c r="HZ371" s="91" t="str">
        <f t="shared" si="44"/>
      </c>
      <c r="IA371" s="91" t="str">
        <f t="shared" si="44"/>
      </c>
      <c r="IB371" s="91" t="str">
        <f t="shared" si="44"/>
      </c>
      <c r="IC371" s="91" t="str">
        <f t="shared" si="44"/>
      </c>
      <c r="ID371" s="91" t="str">
        <f t="shared" si="44"/>
      </c>
      <c r="IE371" s="91" t="str">
        <f t="shared" si="44"/>
      </c>
      <c r="IF371" s="91" t="str">
        <f t="shared" si="44"/>
      </c>
      <c r="IG371" s="91" t="str">
        <f t="shared" si="44"/>
      </c>
      <c r="IH371" s="91" t="str">
        <f t="shared" si="44"/>
      </c>
      <c r="II371" s="91" t="str">
        <f t="shared" si="44"/>
      </c>
      <c r="IJ371" s="91" t="str">
        <f t="shared" si="44"/>
      </c>
      <c r="IK371" s="91" t="str">
        <f t="shared" si="44"/>
      </c>
      <c r="IL371" s="91" t="str">
        <f t="shared" si="44"/>
      </c>
      <c r="IM371" s="91" t="str">
        <f t="shared" si="44"/>
      </c>
      <c r="IN371" s="91" t="str">
        <f t="shared" si="44"/>
      </c>
      <c r="IO371" s="91" t="str">
        <f t="shared" si="44"/>
      </c>
      <c r="IP371" s="91" t="str">
        <f t="shared" si="44"/>
      </c>
      <c r="IQ371" s="91" t="str">
        <f t="shared" si="44"/>
      </c>
      <c r="IR371" s="91" t="str">
        <f t="shared" si="44"/>
      </c>
      <c r="IS371" s="91" t="str">
        <f t="shared" si="44"/>
      </c>
      <c r="IT371" s="91" t="str">
        <f t="shared" si="44"/>
      </c>
      <c r="IU371" s="91" t="str">
        <f t="shared" si="44"/>
      </c>
      <c r="IV371" s="91" t="str">
        <f t="shared" si="44"/>
      </c>
    </row>
    <row r="372" hidden="1"/>
    <row r="373" hidden="1" ht="13.5"/>
    <row r="374" hidden="1" ht="12.75" customHeight="1">
      <c r="B374" s="20" t="s">
        <v>194</v>
      </c>
      <c r="C374" s="437" t="str">
        <f>INDEX($C168:$II$187,$F$8,38)</f>
      </c>
    </row>
    <row r="375" hidden="1" ht="18">
      <c r="B375" s="21" t="s">
        <v>244</v>
      </c>
      <c r="C375" s="438" t="str">
        <f>INDEX($C191:$II$210,$F$8,38)</f>
      </c>
    </row>
    <row r="376" hidden="1" ht="12.75" customHeight="1">
      <c r="B376" s="21" t="s">
        <v>120</v>
      </c>
      <c r="C376" s="438" t="str">
        <f>INDEX($C214:$II$233,$F$8,38)</f>
      </c>
    </row>
    <row r="377" hidden="1" ht="12.75" customHeight="1">
      <c r="B377" s="21" t="s">
        <v>416</v>
      </c>
      <c r="C377" s="438" t="str">
        <f>INDEX($C237:$II$256,$F$8,38)</f>
      </c>
    </row>
    <row r="378" hidden="1" ht="18">
      <c r="B378" s="21" t="s">
        <v>417</v>
      </c>
      <c r="C378" s="438" t="str">
        <f>INDEX($C260:$II$279,$F$8,38)</f>
      </c>
    </row>
    <row r="379" hidden="1" ht="12.75" customHeight="1">
      <c r="B379" s="21" t="s">
        <v>418</v>
      </c>
      <c r="C379" s="438" t="str">
        <f>INDEX($C283:$II$302,$F$8,38)</f>
      </c>
    </row>
    <row r="380" hidden="1" ht="12.75" customHeight="1">
      <c r="B380" s="21" t="s">
        <v>419</v>
      </c>
      <c r="C380" s="438" t="str">
        <f>INDEX($C306:$II$325,$F$8,38)</f>
      </c>
    </row>
    <row r="381" hidden="1" ht="12.75" customHeight="1">
      <c r="B381" s="21" t="s">
        <v>253</v>
      </c>
      <c r="C381" s="438" t="str">
        <f>INDEX($C329:$II$348,$F$8,38)</f>
      </c>
    </row>
    <row r="382" hidden="1">
      <c r="B382" s="21" t="s">
        <v>420</v>
      </c>
      <c r="C382" s="438" t="str">
        <f>INDEX($C390:$II$409,$F$8,38)</f>
      </c>
    </row>
    <row r="383" hidden="1" ht="18">
      <c r="B383" s="21" t="s">
        <v>421</v>
      </c>
      <c r="C383" s="438" t="str">
        <f>INDEX($C414:$II$433,$F$8,38)</f>
      </c>
    </row>
    <row r="384" hidden="1" ht="27">
      <c r="B384" s="21" t="s">
        <v>422</v>
      </c>
      <c r="C384" s="438" t="str">
        <f>INDEX($C438:$II$457,$F$8,38)</f>
      </c>
    </row>
    <row r="385" hidden="1" ht="27">
      <c r="B385" s="21" t="s">
        <v>423</v>
      </c>
      <c r="C385" s="438" t="str">
        <f>INDEX($C462:$II$481,$F$8,38)</f>
      </c>
    </row>
    <row r="386" hidden="1" ht="18.75">
      <c r="B386" s="436" t="s">
        <v>415</v>
      </c>
      <c r="C386" s="439" t="str">
        <f>INDEX($C486:$II$505,$F$8,38)</f>
      </c>
    </row>
    <row r="387" hidden="1" ht="13.5"/>
    <row r="388" hidden="1" ht="13.5" customHeight="1">
      <c r="C388" s="732" t="s">
        <v>420</v>
      </c>
      <c r="D388" s="733"/>
      <c r="E388" s="733"/>
      <c r="F388" s="733"/>
      <c r="G388" s="733"/>
      <c r="H388" s="733"/>
      <c r="I388" s="733"/>
      <c r="J388" s="733"/>
      <c r="K388" s="733"/>
      <c r="L388" s="733"/>
      <c r="M388" s="733"/>
      <c r="N388" s="733"/>
      <c r="O388" s="733"/>
      <c r="P388" s="733"/>
      <c r="Q388" s="733"/>
      <c r="R388" s="733"/>
      <c r="S388" s="733"/>
      <c r="T388" s="733"/>
      <c r="U388" s="733"/>
      <c r="V388" s="733"/>
      <c r="W388" s="733"/>
      <c r="X388" s="733"/>
      <c r="Y388" s="733"/>
      <c r="Z388" s="733"/>
      <c r="AA388" s="733"/>
      <c r="AB388" s="734"/>
    </row>
    <row r="389" hidden="1" ht="13.5">
      <c r="B389" s="51"/>
      <c r="C389" s="435" t="str">
        <f> IF(C409&lt;&gt;"",TEXT(AUX!G$1,"dd-MMM-aa"),"")</f>
      </c>
      <c r="D389" s="435" t="str">
        <f> IF(D409&lt;&gt;"",TEXT(AUX!H$1,"dd-MMM-aa"),"")</f>
      </c>
      <c r="E389" s="435" t="str">
        <f> IF(E409&lt;&gt;"",TEXT(AUX!I$1,"dd-MMM-aa"),"")</f>
      </c>
      <c r="F389" s="435" t="str">
        <f> IF(F409&lt;&gt;"",TEXT(AUX!J$1,"dd-MMM-aa"),"")</f>
      </c>
      <c r="G389" s="435" t="str">
        <f> IF(G409&lt;&gt;"",TEXT(AUX!K$1,"dd-MMM-aa"),"")</f>
      </c>
      <c r="H389" s="435" t="str">
        <f> IF(H409&lt;&gt;"",TEXT(AUX!L$1,"dd-MMM-aa"),"")</f>
      </c>
      <c r="I389" s="435" t="str">
        <f> IF(I409&lt;&gt;"",TEXT(AUX!M$1,"dd-MMM-aa"),"")</f>
      </c>
      <c r="J389" s="435" t="str">
        <f> IF(J409&lt;&gt;"",TEXT(AUX!N$1,"dd-MMM-aa"),"")</f>
      </c>
      <c r="K389" s="435" t="str">
        <f> IF(K409&lt;&gt;"",TEXT(AUX!O$1,"dd-MMM-aa"),"")</f>
      </c>
      <c r="L389" s="435" t="str">
        <f> IF(L409&lt;&gt;"",TEXT(AUX!P$1,"dd-MMM-aa"),"")</f>
      </c>
      <c r="M389" s="435" t="str">
        <f> IF(M409&lt;&gt;"",TEXT(AUX!Q$1,"dd-MMM-aa"),"")</f>
      </c>
      <c r="N389" s="435" t="str">
        <f> IF(N409&lt;&gt;"",TEXT(AUX!R$1,"dd-MMM-aa"),"")</f>
      </c>
      <c r="O389" s="435" t="str">
        <f> IF(O409&lt;&gt;"",TEXT(AUX!S$1,"dd-MMM-aa"),"")</f>
      </c>
      <c r="P389" s="435" t="str">
        <f> IF(P409&lt;&gt;"",TEXT(AUX!T$1,"dd-MMM-aa"),"")</f>
      </c>
      <c r="Q389" s="435" t="str">
        <f> IF(Q409&lt;&gt;"",TEXT(AUX!U$1,"dd-MMM-aa"),"")</f>
      </c>
      <c r="R389" s="435" t="str">
        <f> IF(R409&lt;&gt;"",TEXT(AUX!V$1,"dd-MMM-aa"),"")</f>
      </c>
      <c r="S389" s="435" t="str">
        <f> IF(S409&lt;&gt;"",TEXT(AUX!W$1,"dd-MMM-aa"),"")</f>
      </c>
      <c r="T389" s="435" t="str">
        <f> IF(T409&lt;&gt;"",TEXT(AUX!X$1,"dd-MMM-aa"),"")</f>
      </c>
      <c r="U389" s="435" t="str">
        <f> IF(U409&lt;&gt;"",TEXT(AUX!Y$1,"dd-MMM-aa"),"")</f>
      </c>
      <c r="V389" s="435" t="str">
        <f> IF(V409&lt;&gt;"",TEXT(AUX!Z$1,"dd-MMM-aa"),"")</f>
      </c>
      <c r="W389" s="435" t="str">
        <f> IF(W409&lt;&gt;"",TEXT(AUX!AA$1,"dd-MMM-aa"),"")</f>
      </c>
      <c r="X389" s="435" t="str">
        <f> IF(X409&lt;&gt;"",TEXT(AUX!AB$1,"dd-MMM-aa"),"")</f>
      </c>
      <c r="Y389" s="435" t="str">
        <f> IF(Y409&lt;&gt;"",TEXT(AUX!AC$1,"dd-MMM-aa"),"")</f>
      </c>
      <c r="Z389" s="435" t="str">
        <f> IF(Z409&lt;&gt;"",TEXT(AUX!AD$1,"dd-MMM-aa"),"")</f>
      </c>
      <c r="AA389" s="435" t="str">
        <f> IF(AA409&lt;&gt;"",TEXT(AUX!AE$1,"dd-MMM-aa"),"")</f>
      </c>
      <c r="AB389" s="497" t="str">
        <f> IF(AB409&lt;&gt;"",TEXT(AUX!AF$1,"dd-MMM-aa"),"")</f>
      </c>
      <c r="AC389" s="496" t="str">
        <f> IF(AC409&lt;&gt;"",TEXT(AUX!AG$1,"dd-MMM-aa"),"")</f>
      </c>
      <c r="AD389" s="496" t="str">
        <f> IF(AD409&lt;&gt;"",TEXT(AUX!AH$1,"dd-MMM-aa"),"")</f>
      </c>
      <c r="AE389" s="496" t="str">
        <f> IF(AE409&lt;&gt;"",TEXT(AUX!AI$1,"dd-MMM-aa"),"")</f>
      </c>
      <c r="AF389" s="496" t="str">
        <f> IF(AF409&lt;&gt;"",TEXT(AUX!AJ$1,"dd-MMM-aa"),"")</f>
      </c>
      <c r="AG389" s="496" t="str">
        <f> IF(AG409&lt;&gt;"",TEXT(AUX!AK$1,"dd-MMM-aa"),"")</f>
      </c>
      <c r="AH389" s="496" t="str">
        <f> IF(AH409&lt;&gt;"",TEXT(AUX!AL$1,"dd-MMM-aa"),"")</f>
      </c>
      <c r="AI389" s="496" t="str">
        <f> IF(AI409&lt;&gt;"",TEXT(AUX!AM$1,"dd-MMM-aa"),"")</f>
      </c>
      <c r="AJ389" s="496" t="str">
        <f> IF(AJ409&lt;&gt;"",TEXT(AUX!AN$1,"dd-MMM-aa"),"")</f>
      </c>
      <c r="AK389" s="496" t="str">
        <f> IF(AK409&lt;&gt;"",TEXT(AUX!AO$1,"dd-MMM-aa"),"")</f>
      </c>
      <c r="AL389" s="496" t="str">
        <f> IF(AL409&lt;&gt;"",TEXT(AUX!AP$1,"dd-MMM-aa"),"")</f>
      </c>
      <c r="AM389" s="496" t="str">
        <f> IF(AM409&lt;&gt;"",TEXT(AUX!AQ$1,"dd-MMM-aa"),"")</f>
      </c>
      <c r="AN389" s="496" t="str">
        <f> IF(AN409&lt;&gt;"",TEXT(AUX!AR$1,"dd-MMM-aa"),"")</f>
      </c>
      <c r="AO389" s="496" t="str">
        <f> IF(AO409&lt;&gt;"",TEXT(AUX!AS$1,"dd-MMM-aa"),"")</f>
      </c>
      <c r="AP389" s="496" t="str">
        <f> IF(AP409&lt;&gt;"",TEXT(AUX!AT$1,"dd-MMM-aa"),"")</f>
      </c>
      <c r="AQ389" s="496" t="str">
        <f> IF(AQ409&lt;&gt;"",TEXT(AUX!AU$1,"dd-MMM-aa"),"")</f>
      </c>
      <c r="AR389" s="496" t="str">
        <f> IF(AR409&lt;&gt;"",TEXT(AUX!AV$1,"dd-MMM-aa"),"")</f>
      </c>
      <c r="AS389" s="496" t="str">
        <f> IF(AS409&lt;&gt;"",TEXT(AUX!AW$1,"dd-MMM-aa"),"")</f>
      </c>
      <c r="AT389" s="496" t="str">
        <f> IF(AT409&lt;&gt;"",TEXT(AUX!AX$1,"dd-MMM-aa"),"")</f>
      </c>
      <c r="AU389" s="496" t="str">
        <f> IF(AU409&lt;&gt;"",TEXT(AUX!AY$1,"dd-MMM-aa"),"")</f>
      </c>
      <c r="AV389" s="496" t="str">
        <f> IF(AV409&lt;&gt;"",TEXT(AUX!AZ$1,"dd-MMM-aa"),"")</f>
      </c>
      <c r="AW389" s="496" t="str">
        <f> IF(AW409&lt;&gt;"",TEXT(AUX!BA$1,"dd-MMM-aa"),"")</f>
      </c>
      <c r="AX389" s="496" t="str">
        <f> IF(AX409&lt;&gt;"",TEXT(AUX!BB$1,"dd-MMM-aa"),"")</f>
      </c>
      <c r="AY389" s="496" t="str">
        <f> IF(AY409&lt;&gt;"",TEXT(AUX!BC$1,"dd-MMM-aa"),"")</f>
      </c>
      <c r="AZ389" s="496" t="str">
        <f> IF(AZ409&lt;&gt;"",TEXT(AUX!BD$1,"dd-MMM-aa"),"")</f>
      </c>
      <c r="BA389" s="496" t="str">
        <f> IF(BA409&lt;&gt;"",TEXT(AUX!BE$1,"dd-MMM-aa"),"")</f>
      </c>
      <c r="BB389" s="496" t="str">
        <f> IF(BB409&lt;&gt;"",TEXT(AUX!BF$1,"dd-MMM-aa"),"")</f>
      </c>
      <c r="BC389" s="496" t="str">
        <f> IF(BC409&lt;&gt;"",TEXT(AUX!BG$1,"dd-MMM-aa"),"")</f>
      </c>
      <c r="BD389" s="496" t="str">
        <f> IF(BD409&lt;&gt;"",TEXT(AUX!BH$1,"dd-MMM-aa"),"")</f>
      </c>
      <c r="BE389" s="496" t="str">
        <f> IF(BE409&lt;&gt;"",TEXT(AUX!BI$1,"dd-MMM-aa"),"")</f>
      </c>
      <c r="BF389" s="496" t="str">
        <f> IF(BF409&lt;&gt;"",TEXT(AUX!BJ$1,"dd-MMM-aa"),"")</f>
      </c>
      <c r="BG389" s="496" t="str">
        <f> IF(BG409&lt;&gt;"",TEXT(AUX!BK$1,"dd-MMM-aa"),"")</f>
      </c>
      <c r="BH389" s="496" t="str">
        <f> IF(BH409&lt;&gt;"",TEXT(AUX!BL$1,"dd-MMM-aa"),"")</f>
      </c>
      <c r="BI389" s="496" t="str">
        <f> IF(BI409&lt;&gt;"",TEXT(AUX!BM$1,"dd-MMM-aa"),"")</f>
      </c>
      <c r="BJ389" s="496" t="str">
        <f> IF(BJ409&lt;&gt;"",TEXT(AUX!BN$1,"dd-MMM-aa"),"")</f>
      </c>
      <c r="BK389" s="496" t="str">
        <f> IF(BK409&lt;&gt;"",TEXT(AUX!BO$1,"dd-MMM-aa"),"")</f>
      </c>
      <c r="BL389" s="496" t="str">
        <f> IF(BL409&lt;&gt;"",TEXT(AUX!BP$1,"dd-MMM-aa"),"")</f>
      </c>
      <c r="BM389" s="496" t="str">
        <f> IF(BM409&lt;&gt;"",TEXT(AUX!BQ$1,"dd-MMM-aa"),"")</f>
      </c>
      <c r="BN389" s="496" t="str">
        <f> IF(BN409&lt;&gt;"",TEXT(AUX!BR$1,"dd-MMM-aa"),"")</f>
      </c>
      <c r="BO389" s="496" t="str">
        <f> IF(BO409&lt;&gt;"",TEXT(AUX!BS$1,"dd-MMM-aa"),"")</f>
      </c>
      <c r="BP389" s="496" t="str">
        <f> IF(BP409&lt;&gt;"",TEXT(AUX!BT$1,"dd-MMM-aa"),"")</f>
      </c>
      <c r="BQ389" s="496" t="str">
        <f> IF(BQ409&lt;&gt;"",TEXT(AUX!BU$1,"dd-MMM-aa"),"")</f>
      </c>
      <c r="BR389" s="496" t="str">
        <f> IF(BR409&lt;&gt;"",TEXT(AUX!BV$1,"dd-MMM-aa"),"")</f>
      </c>
      <c r="BS389" s="496" t="str">
        <f> IF(BS409&lt;&gt;"",TEXT(AUX!BW$1,"dd-MMM-aa"),"")</f>
      </c>
      <c r="BT389" s="496" t="str">
        <f> IF(BT409&lt;&gt;"",TEXT(AUX!BX$1,"dd-MMM-aa"),"")</f>
      </c>
      <c r="BU389" s="496" t="str">
        <f> IF(BU409&lt;&gt;"",TEXT(AUX!BY$1,"dd-MMM-aa"),"")</f>
      </c>
      <c r="BV389" s="496" t="str">
        <f> IF(BV409&lt;&gt;"",TEXT(AUX!BZ$1,"dd-MMM-aa"),"")</f>
      </c>
      <c r="BW389" s="496" t="str">
        <f> IF(BW409&lt;&gt;"",TEXT(AUX!CA$1,"dd-MMM-aa"),"")</f>
      </c>
      <c r="BX389" s="496" t="str">
        <f> IF(BX409&lt;&gt;"",TEXT(AUX!CB$1,"dd-MMM-aa"),"")</f>
      </c>
      <c r="BY389" s="496" t="str">
        <f> IF(BY409&lt;&gt;"",TEXT(AUX!CC$1,"dd-MMM-aa"),"")</f>
      </c>
      <c r="BZ389" s="496" t="str">
        <f> IF(BZ409&lt;&gt;"",TEXT(AUX!CD$1,"dd-MMM-aa"),"")</f>
      </c>
      <c r="CA389" s="496" t="str">
        <f> IF(CA409&lt;&gt;"",TEXT(AUX!CE$1,"dd-MMM-aa"),"")</f>
      </c>
      <c r="CB389" s="496" t="str">
        <f> IF(CB409&lt;&gt;"",TEXT(AUX!CF$1,"dd-MMM-aa"),"")</f>
      </c>
      <c r="CC389" s="496" t="str">
        <f> IF(CC409&lt;&gt;"",TEXT(AUX!CG$1,"dd-MMM-aa"),"")</f>
      </c>
      <c r="CD389" s="496" t="str">
        <f> IF(CD409&lt;&gt;"",TEXT(AUX!CH$1,"dd-MMM-aa"),"")</f>
      </c>
      <c r="CE389" s="496" t="str">
        <f> IF(CE409&lt;&gt;"",TEXT(AUX!CI$1,"dd-MMM-aa"),"")</f>
      </c>
      <c r="CF389" s="496" t="str">
        <f> IF(CF409&lt;&gt;"",TEXT(AUX!CJ$1,"dd-MMM-aa"),"")</f>
      </c>
      <c r="CG389" s="496" t="str">
        <f> IF(CG409&lt;&gt;"",TEXT(AUX!CK$1,"dd-MMM-aa"),"")</f>
      </c>
      <c r="CH389" s="496" t="str">
        <f> IF(CH409&lt;&gt;"",TEXT(AUX!CL$1,"dd-MMM-aa"),"")</f>
      </c>
      <c r="CI389" s="496" t="str">
        <f> IF(CI409&lt;&gt;"",TEXT(AUX!CM$1,"dd-MMM-aa"),"")</f>
      </c>
      <c r="CJ389" s="496" t="str">
        <f> IF(CJ409&lt;&gt;"",TEXT(AUX!CN$1,"dd-MMM-aa"),"")</f>
      </c>
      <c r="CK389" s="496" t="str">
        <f> IF(CK409&lt;&gt;"",TEXT(AUX!CO$1,"dd-MMM-aa"),"")</f>
      </c>
      <c r="CL389" s="496" t="str">
        <f> IF(CL409&lt;&gt;"",TEXT(AUX!CP$1,"dd-MMM-aa"),"")</f>
      </c>
      <c r="CM389" s="496" t="str">
        <f> IF(CM409&lt;&gt;"",TEXT(AUX!CQ$1,"dd-MMM-aa"),"")</f>
      </c>
      <c r="CN389" s="496" t="str">
        <f> IF(CN409&lt;&gt;"",TEXT(AUX!CR$1,"dd-MMM-aa"),"")</f>
      </c>
      <c r="CO389" s="496" t="str">
        <f> IF(CO409&lt;&gt;"",TEXT(AUX!CS$1,"dd-MMM-aa"),"")</f>
      </c>
      <c r="CP389" s="496" t="str">
        <f> IF(CP409&lt;&gt;"",TEXT(AUX!CT$1,"dd-MMM-aa"),"")</f>
      </c>
      <c r="CQ389" s="496" t="str">
        <f> IF(CQ409&lt;&gt;"",TEXT(AUX!CU$1,"dd-MMM-aa"),"")</f>
      </c>
      <c r="CR389" s="496" t="str">
        <f> IF(CR409&lt;&gt;"",TEXT(AUX!CV$1,"dd-MMM-aa"),"")</f>
      </c>
      <c r="CS389" s="496" t="str">
        <f> IF(CS409&lt;&gt;"",TEXT(AUX!CW$1,"dd-MMM-aa"),"")</f>
      </c>
      <c r="CT389" s="496" t="str">
        <f> IF(CT409&lt;&gt;"",TEXT(AUX!CX$1,"dd-MMM-aa"),"")</f>
      </c>
      <c r="CU389" s="496" t="str">
        <f> IF(CU409&lt;&gt;"",TEXT(AUX!CY$1,"dd-MMM-aa"),"")</f>
      </c>
      <c r="CV389" s="496" t="str">
        <f> IF(CV409&lt;&gt;"",TEXT(AUX!CZ$1,"dd-MMM-aa"),"")</f>
      </c>
      <c r="CW389" s="496" t="str">
        <f> IF(CW409&lt;&gt;"",TEXT(AUX!DA$1,"dd-MMM-aa"),"")</f>
      </c>
      <c r="CX389" s="496" t="str">
        <f> IF(CX409&lt;&gt;"",TEXT(AUX!DB$1,"dd-MMM-aa"),"")</f>
      </c>
      <c r="CY389" s="496" t="str">
        <f> IF(CY409&lt;&gt;"",TEXT(AUX!DC$1,"dd-MMM-aa"),"")</f>
      </c>
      <c r="CZ389" s="496" t="str">
        <f> IF(CZ409&lt;&gt;"",TEXT(AUX!DD$1,"dd-MMM-aa"),"")</f>
      </c>
      <c r="DA389" s="496" t="str">
        <f> IF(DA409&lt;&gt;"",TEXT(AUX!DE$1,"dd-MMM-aa"),"")</f>
      </c>
      <c r="DB389" s="496" t="str">
        <f> IF(DB409&lt;&gt;"",TEXT(AUX!DF$1,"dd-MMM-aa"),"")</f>
      </c>
      <c r="DC389" s="496" t="str">
        <f> IF(DC409&lt;&gt;"",TEXT(AUX!DG$1,"dd-MMM-aa"),"")</f>
      </c>
      <c r="DD389" s="496" t="str">
        <f> IF(DD409&lt;&gt;"",TEXT(AUX!DH$1,"dd-MMM-aa"),"")</f>
      </c>
      <c r="DE389" s="496" t="str">
        <f> IF(DE409&lt;&gt;"",TEXT(AUX!DI$1,"dd-MMM-aa"),"")</f>
      </c>
      <c r="DF389" s="496" t="str">
        <f> IF(DF409&lt;&gt;"",TEXT(AUX!DJ$1,"dd-MMM-aa"),"")</f>
      </c>
      <c r="DG389" s="496" t="str">
        <f> IF(DG409&lt;&gt;"",TEXT(AUX!DK$1,"dd-MMM-aa"),"")</f>
      </c>
      <c r="DH389" s="496" t="str">
        <f> IF(DH409&lt;&gt;"",TEXT(AUX!DL$1,"dd-MMM-aa"),"")</f>
      </c>
      <c r="DI389" s="496" t="str">
        <f> IF(DI409&lt;&gt;"",TEXT(AUX!DM$1,"dd-MMM-aa"),"")</f>
      </c>
      <c r="DJ389" s="496" t="str">
        <f> IF(DJ409&lt;&gt;"",TEXT(AUX!DN$1,"dd-MMM-aa"),"")</f>
      </c>
      <c r="DK389" s="496" t="str">
        <f> IF(DK409&lt;&gt;"",TEXT(AUX!DO$1,"dd-MMM-aa"),"")</f>
      </c>
      <c r="DL389" s="496" t="str">
        <f> IF(DL409&lt;&gt;"",TEXT(AUX!DP$1,"dd-MMM-aa"),"")</f>
      </c>
      <c r="DM389" s="496" t="str">
        <f> IF(DM409&lt;&gt;"",TEXT(AUX!DQ$1,"dd-MMM-aa"),"")</f>
      </c>
      <c r="DN389" s="496" t="str">
        <f> IF(DN409&lt;&gt;"",TEXT(AUX!DR$1,"dd-MMM-aa"),"")</f>
      </c>
      <c r="DO389" s="496" t="str">
        <f> IF(DO409&lt;&gt;"",TEXT(AUX!DS$1,"dd-MMM-aa"),"")</f>
      </c>
      <c r="DP389" s="496" t="str">
        <f> IF(DP409&lt;&gt;"",TEXT(AUX!DT$1,"dd-MMM-aa"),"")</f>
      </c>
      <c r="DQ389" s="496" t="str">
        <f> IF(DQ409&lt;&gt;"",TEXT(AUX!DU$1,"dd-MMM-aa"),"")</f>
      </c>
      <c r="DR389" s="496" t="str">
        <f> IF(DR409&lt;&gt;"",TEXT(AUX!DV$1,"dd-MMM-aa"),"")</f>
      </c>
      <c r="DS389" s="496" t="str">
        <f> IF(DS409&lt;&gt;"",TEXT(AUX!DW$1,"dd-MMM-aa"),"")</f>
      </c>
      <c r="DT389" s="496" t="str">
        <f> IF(DT409&lt;&gt;"",TEXT(AUX!DX$1,"dd-MMM-aa"),"")</f>
      </c>
      <c r="DU389" s="496" t="str">
        <f> IF(DU409&lt;&gt;"",TEXT(AUX!DY$1,"dd-MMM-aa"),"")</f>
      </c>
      <c r="DV389" s="496" t="str">
        <f> IF(DV409&lt;&gt;"",TEXT(AUX!DZ$1,"dd-MMM-aa"),"")</f>
      </c>
      <c r="DW389" s="496" t="str">
        <f> IF(DW409&lt;&gt;"",TEXT(AUX!EA$1,"dd-MMM-aa"),"")</f>
      </c>
      <c r="DX389" s="496" t="str">
        <f> IF(DX409&lt;&gt;"",TEXT(AUX!EB$1,"dd-MMM-aa"),"")</f>
      </c>
      <c r="DY389" s="496" t="str">
        <f> IF(DY409&lt;&gt;"",TEXT(AUX!EC$1,"dd-MMM-aa"),"")</f>
      </c>
      <c r="DZ389" s="496" t="str">
        <f> IF(DZ409&lt;&gt;"",TEXT(AUX!ED$1,"dd-MMM-aa"),"")</f>
      </c>
      <c r="EA389" s="496" t="str">
        <f> IF(EA409&lt;&gt;"",TEXT(AUX!EE$1,"dd-MMM-aa"),"")</f>
      </c>
      <c r="EB389" s="496" t="str">
        <f> IF(EB409&lt;&gt;"",TEXT(AUX!EF$1,"dd-MMM-aa"),"")</f>
      </c>
      <c r="EC389" s="496" t="str">
        <f> IF(EC409&lt;&gt;"",TEXT(AUX!EG$1,"dd-MMM-aa"),"")</f>
      </c>
      <c r="ED389" s="496" t="str">
        <f> IF(ED409&lt;&gt;"",TEXT(AUX!EH$1,"dd-MMM-aa"),"")</f>
      </c>
      <c r="EE389" s="496" t="str">
        <f> IF(EE409&lt;&gt;"",TEXT(AUX!EI$1,"dd-MMM-aa"),"")</f>
      </c>
      <c r="EF389" s="496" t="str">
        <f> IF(EF409&lt;&gt;"",TEXT(AUX!EJ$1,"dd-MMM-aa"),"")</f>
      </c>
      <c r="EG389" s="496" t="str">
        <f> IF(EG409&lt;&gt;"",TEXT(AUX!EK$1,"dd-MMM-aa"),"")</f>
      </c>
      <c r="EH389" s="496" t="str">
        <f> IF(EH409&lt;&gt;"",TEXT(AUX!EL$1,"dd-MMM-aa"),"")</f>
      </c>
      <c r="EI389" s="496" t="str">
        <f> IF(EI409&lt;&gt;"",TEXT(AUX!EM$1,"dd-MMM-aa"),"")</f>
      </c>
      <c r="EJ389" s="496" t="str">
        <f> IF(EJ409&lt;&gt;"",TEXT(AUX!EN$1,"dd-MMM-aa"),"")</f>
      </c>
      <c r="EK389" s="496" t="str">
        <f> IF(EK409&lt;&gt;"",TEXT(AUX!EO$1,"dd-MMM-aa"),"")</f>
      </c>
      <c r="EL389" s="496" t="str">
        <f> IF(EL409&lt;&gt;"",TEXT(AUX!EP$1,"dd-MMM-aa"),"")</f>
      </c>
      <c r="EM389" s="496" t="str">
        <f> IF(EM409&lt;&gt;"",TEXT(AUX!EQ$1,"dd-MMM-aa"),"")</f>
      </c>
      <c r="EN389" s="496" t="str">
        <f> IF(EN409&lt;&gt;"",TEXT(AUX!ER$1,"dd-MMM-aa"),"")</f>
      </c>
      <c r="EO389" s="496" t="str">
        <f> IF(EO409&lt;&gt;"",TEXT(AUX!ES$1,"dd-MMM-aa"),"")</f>
      </c>
      <c r="EP389" s="496" t="str">
        <f> IF(EP409&lt;&gt;"",TEXT(AUX!ET$1,"dd-MMM-aa"),"")</f>
      </c>
      <c r="EQ389" s="496" t="str">
        <f> IF(EQ409&lt;&gt;"",TEXT(AUX!EU$1,"dd-MMM-aa"),"")</f>
      </c>
      <c r="ER389" s="496" t="str">
        <f> IF(ER409&lt;&gt;"",TEXT(AUX!EV$1,"dd-MMM-aa"),"")</f>
      </c>
      <c r="ES389" s="496" t="str">
        <f> IF(ES409&lt;&gt;"",TEXT(AUX!EW$1,"dd-MMM-aa"),"")</f>
      </c>
      <c r="ET389" s="496" t="str">
        <f> IF(ET409&lt;&gt;"",TEXT(AUX!EX$1,"dd-MMM-aa"),"")</f>
      </c>
      <c r="EU389" s="496" t="str">
        <f> IF(EU409&lt;&gt;"",TEXT(AUX!EY$1,"dd-MMM-aa"),"")</f>
      </c>
      <c r="EV389" s="496" t="str">
        <f> IF(EV409&lt;&gt;"",TEXT(AUX!EZ$1,"dd-MMM-aa"),"")</f>
      </c>
      <c r="EW389" s="496" t="str">
        <f> IF(EW409&lt;&gt;"",TEXT(AUX!FA$1,"dd-MMM-aa"),"")</f>
      </c>
      <c r="EX389" s="496" t="str">
        <f> IF(EX409&lt;&gt;"",TEXT(AUX!FB$1,"dd-MMM-aa"),"")</f>
      </c>
      <c r="EY389" s="496" t="str">
        <f> IF(EY409&lt;&gt;"",TEXT(AUX!FC$1,"dd-MMM-aa"),"")</f>
      </c>
      <c r="EZ389" s="496" t="str">
        <f> IF(EZ409&lt;&gt;"",TEXT(AUX!FD$1,"dd-MMM-aa"),"")</f>
      </c>
      <c r="FA389" s="496" t="str">
        <f> IF(FA409&lt;&gt;"",TEXT(AUX!FE$1,"dd-MMM-aa"),"")</f>
      </c>
      <c r="FB389" s="496" t="str">
        <f> IF(FB409&lt;&gt;"",TEXT(AUX!FF$1,"dd-MMM-aa"),"")</f>
      </c>
      <c r="FC389" s="496" t="str">
        <f> IF(FC409&lt;&gt;"",TEXT(AUX!FG$1,"dd-MMM-aa"),"")</f>
      </c>
      <c r="FD389" s="496" t="str">
        <f> IF(FD409&lt;&gt;"",TEXT(AUX!FH$1,"dd-MMM-aa"),"")</f>
      </c>
      <c r="FE389" s="496" t="str">
        <f> IF(FE409&lt;&gt;"",TEXT(AUX!FI$1,"dd-MMM-aa"),"")</f>
      </c>
      <c r="FF389" s="496" t="str">
        <f> IF(FF409&lt;&gt;"",TEXT(AUX!FJ$1,"dd-MMM-aa"),"")</f>
      </c>
      <c r="FG389" s="496" t="str">
        <f> IF(FG409&lt;&gt;"",TEXT(AUX!FK$1,"dd-MMM-aa"),"")</f>
      </c>
      <c r="FH389" s="496" t="str">
        <f> IF(FH409&lt;&gt;"",TEXT(AUX!FL$1,"dd-MMM-aa"),"")</f>
      </c>
      <c r="FI389" s="496" t="str">
        <f> IF(FI409&lt;&gt;"",TEXT(AUX!FM$1,"dd-MMM-aa"),"")</f>
      </c>
      <c r="FJ389" s="496" t="str">
        <f> IF(FJ409&lt;&gt;"",TEXT(AUX!FN$1,"dd-MMM-aa"),"")</f>
      </c>
      <c r="FK389" s="496" t="str">
        <f> IF(FK409&lt;&gt;"",TEXT(AUX!FO$1,"dd-MMM-aa"),"")</f>
      </c>
      <c r="FL389" s="496" t="str">
        <f> IF(FL409&lt;&gt;"",TEXT(AUX!FP$1,"dd-MMM-aa"),"")</f>
      </c>
      <c r="FM389" s="496" t="str">
        <f> IF(FM409&lt;&gt;"",TEXT(AUX!FQ$1,"dd-MMM-aa"),"")</f>
      </c>
      <c r="FN389" s="496" t="str">
        <f> IF(FN409&lt;&gt;"",TEXT(AUX!FR$1,"dd-MMM-aa"),"")</f>
      </c>
      <c r="FO389" s="496" t="str">
        <f> IF(FO409&lt;&gt;"",TEXT(AUX!FS$1,"dd-MMM-aa"),"")</f>
      </c>
      <c r="FP389" s="496" t="str">
        <f> IF(FP409&lt;&gt;"",TEXT(AUX!FT$1,"dd-MMM-aa"),"")</f>
      </c>
      <c r="FQ389" s="496" t="str">
        <f> IF(FQ409&lt;&gt;"",TEXT(AUX!FU$1,"dd-MMM-aa"),"")</f>
      </c>
      <c r="FR389" s="496" t="str">
        <f> IF(FR409&lt;&gt;"",TEXT(AUX!FV$1,"dd-MMM-aa"),"")</f>
      </c>
      <c r="FS389" s="496" t="str">
        <f> IF(FS409&lt;&gt;"",TEXT(AUX!FW$1,"dd-MMM-aa"),"")</f>
      </c>
      <c r="FT389" s="496" t="str">
        <f> IF(FT409&lt;&gt;"",TEXT(AUX!FX$1,"dd-MMM-aa"),"")</f>
      </c>
      <c r="FU389" s="496" t="str">
        <f> IF(FU409&lt;&gt;"",TEXT(AUX!FY$1,"dd-MMM-aa"),"")</f>
      </c>
      <c r="FV389" s="496" t="str">
        <f> IF(FV409&lt;&gt;"",TEXT(AUX!FZ$1,"dd-MMM-aa"),"")</f>
      </c>
      <c r="FW389" s="496" t="str">
        <f> IF(FW409&lt;&gt;"",TEXT(AUX!GA$1,"dd-MMM-aa"),"")</f>
      </c>
      <c r="FX389" s="496" t="str">
        <f> IF(FX409&lt;&gt;"",TEXT(AUX!GB$1,"dd-MMM-aa"),"")</f>
      </c>
      <c r="FY389" s="496" t="str">
        <f> IF(FY409&lt;&gt;"",TEXT(AUX!GC$1,"dd-MMM-aa"),"")</f>
      </c>
      <c r="FZ389" s="496" t="str">
        <f> IF(FZ409&lt;&gt;"",TEXT(AUX!GD$1,"dd-MMM-aa"),"")</f>
      </c>
      <c r="GA389" s="496" t="str">
        <f> IF(GA409&lt;&gt;"",TEXT(AUX!GE$1,"dd-MMM-aa"),"")</f>
      </c>
      <c r="GB389" s="496" t="str">
        <f> IF(GB409&lt;&gt;"",TEXT(AUX!GF$1,"dd-MMM-aa"),"")</f>
      </c>
      <c r="GC389" s="496" t="str">
        <f> IF(GC409&lt;&gt;"",TEXT(AUX!GG$1,"dd-MMM-aa"),"")</f>
      </c>
      <c r="GD389" s="496" t="str">
        <f> IF(GD409&lt;&gt;"",TEXT(AUX!GH$1,"dd-MMM-aa"),"")</f>
      </c>
      <c r="GE389" s="496" t="str">
        <f> IF(GE409&lt;&gt;"",TEXT(AUX!GI$1,"dd-MMM-aa"),"")</f>
      </c>
      <c r="GF389" s="496" t="str">
        <f> IF(GF409&lt;&gt;"",TEXT(AUX!GJ$1,"dd-MMM-aa"),"")</f>
      </c>
      <c r="GG389" s="496" t="str">
        <f> IF(GG409&lt;&gt;"",TEXT(AUX!GK$1,"dd-MMM-aa"),"")</f>
      </c>
      <c r="GH389" s="496" t="str">
        <f> IF(GH409&lt;&gt;"",TEXT(AUX!GL$1,"dd-MMM-aa"),"")</f>
      </c>
      <c r="GI389" s="496" t="str">
        <f> IF(GI409&lt;&gt;"",TEXT(AUX!GM$1,"dd-MMM-aa"),"")</f>
      </c>
      <c r="GJ389" s="496" t="str">
        <f> IF(GJ409&lt;&gt;"",TEXT(AUX!GN$1,"dd-MMM-aa"),"")</f>
      </c>
      <c r="GK389" s="496" t="str">
        <f> IF(GK409&lt;&gt;"",TEXT(AUX!GO$1,"dd-MMM-aa"),"")</f>
      </c>
      <c r="GL389" s="496" t="str">
        <f> IF(GL409&lt;&gt;"",TEXT(AUX!GP$1,"dd-MMM-aa"),"")</f>
      </c>
      <c r="GM389" s="496" t="str">
        <f> IF(GM409&lt;&gt;"",TEXT(AUX!GQ$1,"dd-MMM-aa"),"")</f>
      </c>
      <c r="GN389" s="496" t="str">
        <f> IF(GN409&lt;&gt;"",TEXT(AUX!GR$1,"dd-MMM-aa"),"")</f>
      </c>
      <c r="GO389" s="496" t="str">
        <f> IF(GO409&lt;&gt;"",TEXT(AUX!GS$1,"dd-MMM-aa"),"")</f>
      </c>
      <c r="GP389" s="496" t="str">
        <f> IF(GP409&lt;&gt;"",TEXT(AUX!GT$1,"dd-MMM-aa"),"")</f>
      </c>
      <c r="GQ389" s="496" t="str">
        <f> IF(GQ409&lt;&gt;"",TEXT(AUX!GU$1,"dd-MMM-aa"),"")</f>
      </c>
      <c r="GR389" s="496" t="str">
        <f> IF(GR409&lt;&gt;"",TEXT(AUX!GV$1,"dd-MMM-aa"),"")</f>
      </c>
      <c r="GS389" s="496" t="str">
        <f> IF(GS409&lt;&gt;"",TEXT(AUX!GW$1,"dd-MMM-aa"),"")</f>
      </c>
      <c r="GT389" s="496" t="str">
        <f> IF(GT409&lt;&gt;"",TEXT(AUX!GX$1,"dd-MMM-aa"),"")</f>
      </c>
      <c r="GU389" s="496" t="str">
        <f> IF(GU409&lt;&gt;"",TEXT(AUX!GY$1,"dd-MMM-aa"),"")</f>
      </c>
      <c r="GV389" s="496" t="str">
        <f> IF(GV409&lt;&gt;"",TEXT(AUX!GZ$1,"dd-MMM-aa"),"")</f>
      </c>
      <c r="GW389" s="496" t="str">
        <f> IF(GW409&lt;&gt;"",TEXT(AUX!HA$1,"dd-MMM-aa"),"")</f>
      </c>
      <c r="GX389" s="496" t="str">
        <f> IF(GX409&lt;&gt;"",TEXT(AUX!HB$1,"dd-MMM-aa"),"")</f>
      </c>
      <c r="GY389" s="496" t="str">
        <f> IF(GY409&lt;&gt;"",TEXT(AUX!HC$1,"dd-MMM-aa"),"")</f>
      </c>
      <c r="GZ389" s="496" t="str">
        <f> IF(GZ409&lt;&gt;"",TEXT(AUX!HD$1,"dd-MMM-aa"),"")</f>
      </c>
      <c r="HA389" s="496" t="str">
        <f> IF(HA409&lt;&gt;"",TEXT(AUX!HE$1,"dd-MMM-aa"),"")</f>
      </c>
      <c r="HB389" s="496" t="str">
        <f> IF(HB409&lt;&gt;"",TEXT(AUX!HF$1,"dd-MMM-aa"),"")</f>
      </c>
      <c r="HC389" s="496" t="str">
        <f> IF(HC409&lt;&gt;"",TEXT(AUX!HG$1,"dd-MMM-aa"),"")</f>
      </c>
      <c r="HD389" s="496" t="str">
        <f> IF(HD409&lt;&gt;"",TEXT(AUX!HH$1,"dd-MMM-aa"),"")</f>
      </c>
      <c r="HE389" s="496" t="str">
        <f> IF(HE409&lt;&gt;"",TEXT(AUX!HI$1,"dd-MMM-aa"),"")</f>
      </c>
      <c r="HF389" s="496" t="str">
        <f> IF(HF409&lt;&gt;"",TEXT(AUX!HJ$1,"dd-MMM-aa"),"")</f>
      </c>
      <c r="HG389" s="496" t="str">
        <f> IF(HG409&lt;&gt;"",TEXT(AUX!HK$1,"dd-MMM-aa"),"")</f>
      </c>
      <c r="HH389" s="496" t="str">
        <f> IF(HH409&lt;&gt;"",TEXT(AUX!HL$1,"dd-MMM-aa"),"")</f>
      </c>
      <c r="HI389" s="496" t="str">
        <f> IF(HI409&lt;&gt;"",TEXT(AUX!HM$1,"dd-MMM-aa"),"")</f>
      </c>
      <c r="HJ389" s="496" t="str">
        <f> IF(HJ409&lt;&gt;"",TEXT(AUX!HN$1,"dd-MMM-aa"),"")</f>
      </c>
      <c r="HK389" s="496" t="str">
        <f> IF(HK409&lt;&gt;"",TEXT(AUX!HO$1,"dd-MMM-aa"),"")</f>
      </c>
      <c r="HL389" s="496" t="str">
        <f> IF(HL409&lt;&gt;"",TEXT(AUX!HP$1,"dd-MMM-aa"),"")</f>
      </c>
      <c r="HM389" s="496" t="str">
        <f> IF(HM409&lt;&gt;"",TEXT(AUX!HQ$1,"dd-MMM-aa"),"")</f>
      </c>
      <c r="HN389" s="496" t="str">
        <f> IF(HN409&lt;&gt;"",TEXT(AUX!HR$1,"dd-MMM-aa"),"")</f>
      </c>
      <c r="HO389" s="496" t="str">
        <f> IF(HO409&lt;&gt;"",TEXT(AUX!HS$1,"dd-MMM-aa"),"")</f>
      </c>
      <c r="HP389" s="496" t="str">
        <f> IF(HP409&lt;&gt;"",TEXT(AUX!HT$1,"dd-MMM-aa"),"")</f>
      </c>
      <c r="HQ389" s="496" t="str">
        <f> IF(HQ409&lt;&gt;"",TEXT(AUX!HU$1,"dd-MMM-aa"),"")</f>
      </c>
      <c r="HR389" s="496" t="str">
        <f> IF(HR409&lt;&gt;"",TEXT(AUX!HV$1,"dd-MMM-aa"),"")</f>
      </c>
      <c r="HS389" s="496" t="str">
        <f> IF(HS409&lt;&gt;"",TEXT(AUX!HW$1,"dd-MMM-aa"),"")</f>
      </c>
      <c r="HT389" s="496" t="str">
        <f> IF(HT409&lt;&gt;"",TEXT(AUX!HX$1,"dd-MMM-aa"),"")</f>
      </c>
      <c r="HU389" s="496" t="str">
        <f> IF(HU409&lt;&gt;"",TEXT(AUX!HY$1,"dd-MMM-aa"),"")</f>
      </c>
      <c r="HV389" s="496" t="str">
        <f> IF(HV409&lt;&gt;"",TEXT(AUX!HZ$1,"dd-MMM-aa"),"")</f>
      </c>
      <c r="HW389" s="496" t="str">
        <f> IF(HW409&lt;&gt;"",TEXT(AUX!IA$1,"dd-MMM-aa"),"")</f>
      </c>
      <c r="HX389" s="496" t="str">
        <f> IF(HX409&lt;&gt;"",TEXT(AUX!IB$1,"dd-MMM-aa"),"")</f>
      </c>
      <c r="HY389" s="496" t="str">
        <f> IF(HY409&lt;&gt;"",TEXT(AUX!IC$1,"dd-MMM-aa"),"")</f>
      </c>
      <c r="HZ389" s="496" t="str">
        <f> IF(HZ409&lt;&gt;"",TEXT(AUX!ID$1,"dd-MMM-aa"),"")</f>
      </c>
      <c r="IA389" s="496" t="str">
        <f> IF(IA409&lt;&gt;"",TEXT(AUX!IE$1,"dd-MMM-aa"),"")</f>
      </c>
      <c r="IB389" s="496" t="str">
        <f> IF(IB409&lt;&gt;"",TEXT(AUX!IF$1,"dd-MMM-aa"),"")</f>
      </c>
      <c r="IC389" s="496" t="str">
        <f> IF(IC409&lt;&gt;"",TEXT(AUX!IG$1,"dd-MMM-aa"),"")</f>
      </c>
      <c r="ID389" s="496" t="str">
        <f> IF(ID409&lt;&gt;"",TEXT(AUX!IH$1,"dd-MMM-aa"),"")</f>
      </c>
      <c r="IE389" s="496" t="str">
        <f> IF(IE409&lt;&gt;"",TEXT(AUX!II$1,"dd-MMM-aa"),"")</f>
      </c>
      <c r="IF389" s="496" t="str">
        <f> IF(IF409&lt;&gt;"",TEXT(AUX!IJ$1,"dd-MMM-aa"),"")</f>
      </c>
      <c r="IG389" s="496" t="str">
        <f> IF(IG409&lt;&gt;"",TEXT(AUX!IK$1,"dd-MMM-aa"),"")</f>
      </c>
      <c r="IH389" s="496" t="str">
        <f> IF(IH409&lt;&gt;"",TEXT(AUX!IL$1,"dd-MMM-aa"),"")</f>
      </c>
      <c r="II389" s="496" t="str">
        <f> IF(II409&lt;&gt;"",TEXT(AUX!IM$1,"dd-MMM-aa"),"")</f>
      </c>
      <c r="IJ389" s="496" t="str">
        <f> IF(IJ409&lt;&gt;"",TEXT(AUX!IN$1,"dd-MMM-aa"),"")</f>
      </c>
      <c r="IK389" s="496" t="str">
        <f> IF(IK409&lt;&gt;"",TEXT(AUX!IO$1,"dd-MMM-aa"),"")</f>
      </c>
      <c r="IL389" s="496" t="str">
        <f> IF(IL409&lt;&gt;"",TEXT(AUX!IP$1,"dd-MMM-aa"),"")</f>
      </c>
      <c r="IM389" s="496" t="str">
        <f> IF(IM409&lt;&gt;"",TEXT(AUX!IQ$1,"dd-MMM-aa"),"")</f>
      </c>
      <c r="IN389" s="496" t="str">
        <f> IF(IN409&lt;&gt;"",TEXT(AUX!IR$1,"dd-MMM-aa"),"")</f>
      </c>
      <c r="IO389" s="496" t="str">
        <f> IF(IO409&lt;&gt;"",TEXT(AUX!IS$1,"dd-MMM-aa"),"")</f>
      </c>
      <c r="IP389" s="496" t="str">
        <f> IF(IP409&lt;&gt;"",TEXT(AUX!IT$1,"dd-MMM-aa"),"")</f>
      </c>
      <c r="IQ389" s="496" t="str">
        <f> IF(IQ409&lt;&gt;"",TEXT(AUX!IU$1,"dd-MMM-aa"),"")</f>
      </c>
      <c r="IR389" s="496" t="str">
        <f> IF(IR409&lt;&gt;"",TEXT(AUX!IV$1,"dd-MMM-aa"),"")</f>
      </c>
      <c r="IS389" s="496" t="str">
        <f> IF(IS409&lt;&gt;"",TEXT(AUX!#REF!,"dd-MMM-aa"),"")</f>
      </c>
      <c r="IT389" s="496" t="str">
        <f> IF(IT409&lt;&gt;"",TEXT(AUX!#REF!,"dd-MMM-aa"),"")</f>
      </c>
      <c r="IU389" s="496" t="str">
        <f> IF(IU409&lt;&gt;"",TEXT(AUX!#REF!,"dd-MMM-aa"),"")</f>
      </c>
      <c r="IV389" s="496" t="str">
        <f> IF(IV409&lt;&gt;"",TEXT(AUX!#REF!,"dd-MMM-aa"),"")</f>
      </c>
    </row>
    <row r="390" hidden="1">
      <c r="B390" s="822" t="s">
        <v>8</v>
      </c>
      <c r="C390" s="823">
        <v>0</v>
      </c>
      <c r="D390" s="823">
        <v>0</v>
      </c>
      <c r="E390" s="823">
        <v>0</v>
      </c>
      <c r="F390" s="823">
        <v>0</v>
      </c>
      <c r="G390" s="823">
        <v>0</v>
      </c>
      <c r="H390" s="823">
        <v>0</v>
      </c>
      <c r="I390" s="823">
        <v>0</v>
      </c>
      <c r="J390" s="823">
        <v>0</v>
      </c>
      <c r="K390" s="823">
        <v>0</v>
      </c>
      <c r="L390" s="823">
        <v>0</v>
      </c>
      <c r="M390" s="823">
        <v>0</v>
      </c>
      <c r="N390" s="823">
        <v>0</v>
      </c>
      <c r="O390" s="823">
        <v>0</v>
      </c>
      <c r="P390" s="823">
        <v>6037</v>
      </c>
      <c r="Q390" s="823">
        <v>6100</v>
      </c>
      <c r="R390" s="823">
        <v>6087</v>
      </c>
      <c r="S390" s="823">
        <v>6199</v>
      </c>
      <c r="T390" s="823">
        <v>6199</v>
      </c>
      <c r="U390" s="823">
        <v>6233</v>
      </c>
      <c r="V390" s="823">
        <v>6254</v>
      </c>
      <c r="W390" s="823">
        <v>6245</v>
      </c>
      <c r="X390" s="823">
        <v>6264</v>
      </c>
      <c r="Y390" s="823">
        <v>6264</v>
      </c>
      <c r="Z390" s="823">
        <v>6144</v>
      </c>
      <c r="AA390" s="823">
        <v>6156</v>
      </c>
      <c r="AB390" s="824">
        <v>6162</v>
      </c>
      <c r="AC390" s="825">
        <v>6172</v>
      </c>
      <c r="AD390" s="825">
        <v>6187</v>
      </c>
      <c r="AE390" s="825">
        <v>6207</v>
      </c>
      <c r="AF390" s="825">
        <v>6216</v>
      </c>
      <c r="AG390" s="825">
        <v>6209</v>
      </c>
      <c r="AH390" s="825">
        <v>6206</v>
      </c>
      <c r="AI390" s="825">
        <v>6214</v>
      </c>
      <c r="AJ390" s="825">
        <v>6218</v>
      </c>
      <c r="AK390" s="825">
        <v>6213</v>
      </c>
      <c r="AL390" s="825">
        <v>5882</v>
      </c>
      <c r="AM390" s="825">
        <v>5818</v>
      </c>
      <c r="AN390" s="825">
        <v>5765</v>
      </c>
      <c r="AO390" s="825">
        <v>5747</v>
      </c>
      <c r="AP390" s="825">
        <v>5740</v>
      </c>
      <c r="AQ390" s="51"/>
      <c r="AR390" s="51"/>
      <c r="AS390" s="51"/>
      <c r="AT390" s="51"/>
      <c r="AU390" s="51"/>
      <c r="AV390" s="51"/>
      <c r="AW390" s="51"/>
      <c r="AX390" s="51"/>
      <c r="AY390" s="51"/>
      <c r="AZ390" s="51"/>
      <c r="BA390" s="51"/>
      <c r="BB390" s="51"/>
      <c r="BC390" s="51"/>
      <c r="BD390" s="51"/>
      <c r="BE390" s="51"/>
      <c r="BF390" s="51"/>
      <c r="BG390" s="51"/>
      <c r="BH390" s="51"/>
      <c r="BI390" s="51"/>
      <c r="BJ390" s="51"/>
      <c r="BK390" s="51"/>
      <c r="BL390" s="51"/>
      <c r="BM390" s="51"/>
      <c r="BN390" s="51"/>
      <c r="BO390" s="51"/>
      <c r="BP390" s="51"/>
      <c r="BQ390" s="51"/>
      <c r="BR390" s="51"/>
      <c r="BS390" s="51"/>
      <c r="BT390" s="51"/>
      <c r="BU390" s="51"/>
      <c r="BV390" s="51"/>
      <c r="BW390" s="51"/>
      <c r="BX390" s="51"/>
      <c r="BY390" s="51"/>
      <c r="BZ390" s="51"/>
      <c r="CA390" s="51"/>
      <c r="CB390" s="51"/>
      <c r="CC390" s="51"/>
      <c r="CD390" s="51"/>
      <c r="CE390" s="51"/>
      <c r="CF390" s="51"/>
      <c r="CG390" s="51"/>
      <c r="CH390" s="51"/>
      <c r="CI390" s="51"/>
      <c r="CJ390" s="51"/>
      <c r="CK390" s="51"/>
      <c r="CL390" s="51"/>
      <c r="CM390" s="51"/>
      <c r="CN390" s="51"/>
      <c r="CO390" s="51"/>
      <c r="CP390" s="51"/>
      <c r="CQ390" s="51"/>
      <c r="CR390" s="51"/>
      <c r="CS390" s="51"/>
      <c r="CT390" s="51"/>
      <c r="CU390" s="51"/>
      <c r="CV390" s="51"/>
      <c r="CW390" s="51"/>
      <c r="CX390" s="51"/>
      <c r="CY390" s="51"/>
      <c r="CZ390" s="51"/>
      <c r="DA390" s="51"/>
      <c r="DB390" s="51"/>
      <c r="DC390" s="51"/>
      <c r="DD390" s="51"/>
      <c r="DE390" s="51"/>
      <c r="DF390" s="51"/>
      <c r="DG390" s="51"/>
      <c r="DH390" s="51"/>
      <c r="DI390" s="51"/>
      <c r="DJ390" s="51"/>
      <c r="DK390" s="51"/>
      <c r="DL390" s="51"/>
      <c r="DM390" s="51"/>
      <c r="DN390" s="51"/>
      <c r="DO390" s="51"/>
      <c r="DP390" s="51"/>
      <c r="DQ390" s="51"/>
      <c r="DR390" s="51"/>
      <c r="DS390" s="51"/>
      <c r="DT390" s="51"/>
      <c r="DU390" s="51"/>
      <c r="DV390" s="51"/>
      <c r="DW390" s="51"/>
      <c r="DX390" s="51"/>
      <c r="DY390" s="51"/>
      <c r="DZ390" s="51"/>
      <c r="EA390" s="51"/>
      <c r="EB390" s="51"/>
      <c r="EC390" s="51"/>
      <c r="ED390" s="51"/>
      <c r="EE390" s="51"/>
      <c r="EF390" s="51"/>
      <c r="EG390" s="51"/>
      <c r="EH390" s="51"/>
      <c r="EI390" s="51"/>
      <c r="EJ390" s="51"/>
      <c r="EK390" s="51"/>
      <c r="EL390" s="51"/>
      <c r="EM390" s="51"/>
      <c r="EN390" s="51"/>
      <c r="EO390" s="51"/>
      <c r="EP390" s="51"/>
      <c r="EQ390" s="51"/>
      <c r="ER390" s="51"/>
      <c r="ES390" s="51"/>
      <c r="ET390" s="51"/>
      <c r="EU390" s="51"/>
      <c r="EV390" s="51"/>
      <c r="EW390" s="51"/>
      <c r="EX390" s="51"/>
      <c r="EY390" s="51"/>
      <c r="EZ390" s="51"/>
      <c r="FA390" s="51"/>
      <c r="FB390" s="51"/>
      <c r="FC390" s="51"/>
      <c r="FD390" s="51"/>
      <c r="FE390" s="51"/>
      <c r="FF390" s="51"/>
      <c r="FG390" s="51"/>
      <c r="FH390" s="51"/>
      <c r="FI390" s="51"/>
      <c r="FJ390" s="51"/>
      <c r="FK390" s="51"/>
      <c r="FL390" s="51"/>
      <c r="FM390" s="51"/>
      <c r="FN390" s="51"/>
      <c r="FO390" s="51"/>
      <c r="FP390" s="51"/>
      <c r="FQ390" s="51"/>
      <c r="FR390" s="51"/>
      <c r="FS390" s="51"/>
      <c r="FT390" s="51"/>
      <c r="FU390" s="51"/>
      <c r="FV390" s="51"/>
      <c r="FW390" s="51"/>
      <c r="FX390" s="51"/>
      <c r="FY390" s="51"/>
      <c r="FZ390" s="51"/>
      <c r="GA390" s="51"/>
      <c r="GB390" s="51"/>
      <c r="GC390" s="51"/>
      <c r="GD390" s="51"/>
      <c r="GE390" s="51"/>
      <c r="GF390" s="51"/>
      <c r="GG390" s="51"/>
      <c r="GH390" s="51"/>
      <c r="GI390" s="51"/>
      <c r="GJ390" s="51"/>
      <c r="GK390" s="51"/>
      <c r="GL390" s="51"/>
      <c r="GM390" s="51"/>
      <c r="GN390" s="51"/>
      <c r="GO390" s="51"/>
      <c r="GP390" s="51"/>
      <c r="GQ390" s="51"/>
      <c r="GR390" s="51"/>
      <c r="GS390" s="51"/>
      <c r="GT390" s="51"/>
      <c r="GU390" s="51"/>
      <c r="GV390" s="51"/>
      <c r="GW390" s="51"/>
      <c r="GX390" s="51"/>
      <c r="GY390" s="51"/>
      <c r="GZ390" s="51"/>
      <c r="HA390" s="51"/>
      <c r="HB390" s="51"/>
      <c r="HC390" s="51"/>
      <c r="HD390" s="51"/>
      <c r="HE390" s="51"/>
      <c r="HF390" s="51"/>
      <c r="HG390" s="51"/>
      <c r="HH390" s="51"/>
      <c r="HI390" s="51"/>
      <c r="HJ390" s="51"/>
      <c r="HK390" s="51"/>
      <c r="HL390" s="51"/>
      <c r="HM390" s="51"/>
      <c r="HN390" s="51"/>
      <c r="HO390" s="51"/>
      <c r="HP390" s="51"/>
      <c r="HQ390" s="51"/>
      <c r="HR390" s="51"/>
      <c r="HS390" s="51"/>
      <c r="HT390" s="51"/>
      <c r="HU390" s="51"/>
      <c r="HV390" s="51"/>
      <c r="HW390" s="51"/>
      <c r="HX390" s="51"/>
      <c r="HY390" s="51"/>
      <c r="HZ390" s="51"/>
      <c r="IA390" s="51"/>
      <c r="IB390" s="51"/>
      <c r="IC390" s="51"/>
      <c r="ID390" s="51"/>
      <c r="IE390" s="51"/>
      <c r="IF390" s="51"/>
      <c r="IG390" s="51"/>
      <c r="IH390" s="51"/>
      <c r="II390" s="51"/>
      <c r="IJ390" s="51"/>
      <c r="IK390" s="51"/>
      <c r="IL390" s="51"/>
      <c r="IM390" s="51"/>
      <c r="IN390" s="51"/>
      <c r="IO390" s="51"/>
      <c r="IP390" s="51"/>
      <c r="IQ390" s="51"/>
      <c r="IR390" s="51"/>
      <c r="IS390" s="51"/>
      <c r="IT390" s="51"/>
      <c r="IU390" s="51"/>
      <c r="IV390" s="51"/>
    </row>
    <row r="391" hidden="1">
      <c r="B391" s="826" t="s">
        <v>9</v>
      </c>
      <c r="C391" s="827">
        <v>0</v>
      </c>
      <c r="D391" s="827">
        <v>0</v>
      </c>
      <c r="E391" s="827">
        <v>0</v>
      </c>
      <c r="F391" s="827">
        <v>0</v>
      </c>
      <c r="G391" s="827">
        <v>0</v>
      </c>
      <c r="H391" s="827">
        <v>0</v>
      </c>
      <c r="I391" s="827">
        <v>0</v>
      </c>
      <c r="J391" s="827">
        <v>0</v>
      </c>
      <c r="K391" s="827">
        <v>0</v>
      </c>
      <c r="L391" s="827">
        <v>0</v>
      </c>
      <c r="M391" s="827">
        <v>0</v>
      </c>
      <c r="N391" s="827">
        <v>0</v>
      </c>
      <c r="O391" s="827">
        <v>0</v>
      </c>
      <c r="P391" s="827">
        <v>11</v>
      </c>
      <c r="Q391" s="827">
        <v>11</v>
      </c>
      <c r="R391" s="827">
        <v>10</v>
      </c>
      <c r="S391" s="827">
        <v>10</v>
      </c>
      <c r="T391" s="827">
        <v>10</v>
      </c>
      <c r="U391" s="827">
        <v>13</v>
      </c>
      <c r="V391" s="827">
        <v>12</v>
      </c>
      <c r="W391" s="827">
        <v>13</v>
      </c>
      <c r="X391" s="827">
        <v>16</v>
      </c>
      <c r="Y391" s="827">
        <v>16</v>
      </c>
      <c r="Z391" s="827">
        <v>16</v>
      </c>
      <c r="AA391" s="827">
        <v>18</v>
      </c>
      <c r="AB391" s="827">
        <v>19</v>
      </c>
      <c r="AC391" s="828">
        <v>20</v>
      </c>
      <c r="AD391" s="828">
        <v>20</v>
      </c>
      <c r="AE391" s="828">
        <v>21</v>
      </c>
      <c r="AF391" s="828">
        <v>21</v>
      </c>
      <c r="AG391" s="828">
        <v>22</v>
      </c>
      <c r="AH391" s="828">
        <v>23</v>
      </c>
      <c r="AI391" s="828">
        <v>24</v>
      </c>
      <c r="AJ391" s="828">
        <v>24</v>
      </c>
      <c r="AK391" s="828">
        <v>23</v>
      </c>
      <c r="AL391" s="828">
        <v>25</v>
      </c>
      <c r="AM391" s="828">
        <v>26</v>
      </c>
      <c r="AN391" s="828">
        <v>25</v>
      </c>
      <c r="AO391" s="828">
        <v>27</v>
      </c>
      <c r="AP391" s="828">
        <v>28</v>
      </c>
      <c r="AQ391" s="51"/>
      <c r="AR391" s="51"/>
      <c r="AS391" s="51"/>
      <c r="AT391" s="51"/>
      <c r="AU391" s="51"/>
      <c r="AV391" s="51"/>
      <c r="AW391" s="51"/>
      <c r="AX391" s="51"/>
      <c r="AY391" s="51"/>
      <c r="AZ391" s="51"/>
      <c r="BA391" s="51"/>
      <c r="BB391" s="51"/>
      <c r="BC391" s="51"/>
      <c r="BD391" s="51"/>
      <c r="BE391" s="51"/>
      <c r="BF391" s="51"/>
      <c r="BG391" s="51"/>
      <c r="BH391" s="51"/>
      <c r="BI391" s="51"/>
      <c r="BJ391" s="51"/>
      <c r="BK391" s="51"/>
      <c r="BL391" s="51"/>
      <c r="BM391" s="51"/>
      <c r="BN391" s="51"/>
      <c r="BO391" s="51"/>
      <c r="BP391" s="51"/>
      <c r="BQ391" s="51"/>
      <c r="BR391" s="51"/>
      <c r="BS391" s="51"/>
      <c r="BT391" s="51"/>
      <c r="BU391" s="51"/>
      <c r="BV391" s="51"/>
      <c r="BW391" s="51"/>
      <c r="BX391" s="51"/>
      <c r="BY391" s="51"/>
      <c r="BZ391" s="51"/>
      <c r="CA391" s="51"/>
      <c r="CB391" s="51"/>
      <c r="CC391" s="51"/>
      <c r="CD391" s="51"/>
      <c r="CE391" s="51"/>
      <c r="CF391" s="51"/>
      <c r="CG391" s="51"/>
      <c r="CH391" s="51"/>
      <c r="CI391" s="51"/>
      <c r="CJ391" s="51"/>
      <c r="CK391" s="51"/>
      <c r="CL391" s="51"/>
      <c r="CM391" s="51"/>
      <c r="CN391" s="51"/>
      <c r="CO391" s="51"/>
      <c r="CP391" s="51"/>
      <c r="CQ391" s="51"/>
      <c r="CR391" s="51"/>
      <c r="CS391" s="51"/>
      <c r="CT391" s="51"/>
      <c r="CU391" s="51"/>
      <c r="CV391" s="51"/>
      <c r="CW391" s="51"/>
      <c r="CX391" s="51"/>
      <c r="CY391" s="51"/>
      <c r="CZ391" s="51"/>
      <c r="DA391" s="51"/>
      <c r="DB391" s="51"/>
      <c r="DC391" s="51"/>
      <c r="DD391" s="51"/>
      <c r="DE391" s="51"/>
      <c r="DF391" s="51"/>
      <c r="DG391" s="51"/>
      <c r="DH391" s="51"/>
      <c r="DI391" s="51"/>
      <c r="DJ391" s="51"/>
      <c r="DK391" s="51"/>
      <c r="DL391" s="51"/>
      <c r="DM391" s="51"/>
      <c r="DN391" s="51"/>
      <c r="DO391" s="51"/>
      <c r="DP391" s="51"/>
      <c r="DQ391" s="51"/>
      <c r="DR391" s="51"/>
      <c r="DS391" s="51"/>
      <c r="DT391" s="51"/>
      <c r="DU391" s="51"/>
      <c r="DV391" s="51"/>
      <c r="DW391" s="51"/>
      <c r="DX391" s="51"/>
      <c r="DY391" s="51"/>
      <c r="DZ391" s="51"/>
      <c r="EA391" s="51"/>
      <c r="EB391" s="51"/>
      <c r="EC391" s="51"/>
      <c r="ED391" s="51"/>
      <c r="EE391" s="51"/>
      <c r="EF391" s="51"/>
      <c r="EG391" s="51"/>
      <c r="EH391" s="51"/>
      <c r="EI391" s="51"/>
      <c r="EJ391" s="51"/>
      <c r="EK391" s="51"/>
      <c r="EL391" s="51"/>
      <c r="EM391" s="51"/>
      <c r="EN391" s="51"/>
      <c r="EO391" s="51"/>
      <c r="EP391" s="51"/>
      <c r="EQ391" s="51"/>
      <c r="ER391" s="51"/>
      <c r="ES391" s="51"/>
      <c r="ET391" s="51"/>
      <c r="EU391" s="51"/>
      <c r="EV391" s="51"/>
      <c r="EW391" s="51"/>
      <c r="EX391" s="51"/>
      <c r="EY391" s="51"/>
      <c r="EZ391" s="51"/>
      <c r="FA391" s="51"/>
      <c r="FB391" s="51"/>
      <c r="FC391" s="51"/>
      <c r="FD391" s="51"/>
      <c r="FE391" s="51"/>
      <c r="FF391" s="51"/>
      <c r="FG391" s="51"/>
      <c r="FH391" s="51"/>
      <c r="FI391" s="51"/>
      <c r="FJ391" s="51"/>
      <c r="FK391" s="51"/>
      <c r="FL391" s="51"/>
      <c r="FM391" s="51"/>
      <c r="FN391" s="51"/>
      <c r="FO391" s="51"/>
      <c r="FP391" s="51"/>
      <c r="FQ391" s="51"/>
      <c r="FR391" s="51"/>
      <c r="FS391" s="51"/>
      <c r="FT391" s="51"/>
      <c r="FU391" s="51"/>
      <c r="FV391" s="51"/>
      <c r="FW391" s="51"/>
      <c r="FX391" s="51"/>
      <c r="FY391" s="51"/>
      <c r="FZ391" s="51"/>
      <c r="GA391" s="51"/>
      <c r="GB391" s="51"/>
      <c r="GC391" s="51"/>
      <c r="GD391" s="51"/>
      <c r="GE391" s="51"/>
      <c r="GF391" s="51"/>
      <c r="GG391" s="51"/>
      <c r="GH391" s="51"/>
      <c r="GI391" s="51"/>
      <c r="GJ391" s="51"/>
      <c r="GK391" s="51"/>
      <c r="GL391" s="51"/>
      <c r="GM391" s="51"/>
      <c r="GN391" s="51"/>
      <c r="GO391" s="51"/>
      <c r="GP391" s="51"/>
      <c r="GQ391" s="51"/>
      <c r="GR391" s="51"/>
      <c r="GS391" s="51"/>
      <c r="GT391" s="51"/>
      <c r="GU391" s="51"/>
      <c r="GV391" s="51"/>
      <c r="GW391" s="51"/>
      <c r="GX391" s="51"/>
      <c r="GY391" s="51"/>
      <c r="GZ391" s="51"/>
      <c r="HA391" s="51"/>
      <c r="HB391" s="51"/>
      <c r="HC391" s="51"/>
      <c r="HD391" s="51"/>
      <c r="HE391" s="51"/>
      <c r="HF391" s="51"/>
      <c r="HG391" s="51"/>
      <c r="HH391" s="51"/>
      <c r="HI391" s="51"/>
      <c r="HJ391" s="51"/>
      <c r="HK391" s="51"/>
      <c r="HL391" s="51"/>
      <c r="HM391" s="51"/>
      <c r="HN391" s="51"/>
      <c r="HO391" s="51"/>
      <c r="HP391" s="51"/>
      <c r="HQ391" s="51"/>
      <c r="HR391" s="51"/>
      <c r="HS391" s="51"/>
      <c r="HT391" s="51"/>
      <c r="HU391" s="51"/>
      <c r="HV391" s="51"/>
      <c r="HW391" s="51"/>
      <c r="HX391" s="51"/>
      <c r="HY391" s="51"/>
      <c r="HZ391" s="51"/>
      <c r="IA391" s="51"/>
      <c r="IB391" s="51"/>
      <c r="IC391" s="51"/>
      <c r="ID391" s="51"/>
      <c r="IE391" s="51"/>
      <c r="IF391" s="51"/>
      <c r="IG391" s="51"/>
      <c r="IH391" s="51"/>
      <c r="II391" s="51"/>
      <c r="IJ391" s="51"/>
      <c r="IK391" s="51"/>
      <c r="IL391" s="51"/>
      <c r="IM391" s="51"/>
      <c r="IN391" s="51"/>
      <c r="IO391" s="51"/>
      <c r="IP391" s="51"/>
      <c r="IQ391" s="51"/>
      <c r="IR391" s="51"/>
      <c r="IS391" s="51"/>
      <c r="IT391" s="51"/>
      <c r="IU391" s="51"/>
      <c r="IV391" s="51"/>
    </row>
    <row r="392" hidden="1">
      <c r="B392" s="829" t="s">
        <v>10</v>
      </c>
      <c r="C392" s="823">
        <v>0</v>
      </c>
      <c r="D392" s="823">
        <v>0</v>
      </c>
      <c r="E392" s="823">
        <v>0</v>
      </c>
      <c r="F392" s="823">
        <v>0</v>
      </c>
      <c r="G392" s="823">
        <v>0</v>
      </c>
      <c r="H392" s="823">
        <v>0</v>
      </c>
      <c r="I392" s="823">
        <v>0</v>
      </c>
      <c r="J392" s="823">
        <v>0</v>
      </c>
      <c r="K392" s="823">
        <v>0</v>
      </c>
      <c r="L392" s="823">
        <v>0</v>
      </c>
      <c r="M392" s="823">
        <v>0</v>
      </c>
      <c r="N392" s="823">
        <v>0</v>
      </c>
      <c r="O392" s="823">
        <v>0</v>
      </c>
      <c r="P392" s="823">
        <v>2087</v>
      </c>
      <c r="Q392" s="823">
        <v>2114</v>
      </c>
      <c r="R392" s="823">
        <v>2175</v>
      </c>
      <c r="S392" s="823">
        <v>2228</v>
      </c>
      <c r="T392" s="823">
        <v>2010</v>
      </c>
      <c r="U392" s="823">
        <v>2065</v>
      </c>
      <c r="V392" s="823">
        <v>1831</v>
      </c>
      <c r="W392" s="823">
        <v>1915</v>
      </c>
      <c r="X392" s="823">
        <v>1849</v>
      </c>
      <c r="Y392" s="823">
        <v>1903</v>
      </c>
      <c r="Z392" s="823">
        <v>1842</v>
      </c>
      <c r="AA392" s="823">
        <v>1892</v>
      </c>
      <c r="AB392" s="823">
        <v>1845</v>
      </c>
      <c r="AC392" s="825">
        <v>1878</v>
      </c>
      <c r="AD392" s="825">
        <v>1815</v>
      </c>
      <c r="AE392" s="825">
        <v>1816</v>
      </c>
      <c r="AF392" s="825">
        <v>1816</v>
      </c>
      <c r="AG392" s="825">
        <v>1856</v>
      </c>
      <c r="AH392" s="825">
        <v>1803</v>
      </c>
      <c r="AI392" s="825">
        <v>1830</v>
      </c>
      <c r="AJ392" s="825">
        <v>1757</v>
      </c>
      <c r="AK392" s="825">
        <v>1795</v>
      </c>
      <c r="AL392" s="825">
        <v>1758</v>
      </c>
      <c r="AM392" s="825">
        <v>1820</v>
      </c>
      <c r="AN392" s="825">
        <v>1799</v>
      </c>
      <c r="AO392" s="825">
        <v>1854</v>
      </c>
      <c r="AP392" s="825">
        <v>1826</v>
      </c>
      <c r="AQ392" s="51"/>
      <c r="AR392" s="51"/>
      <c r="AS392" s="51"/>
      <c r="AT392" s="51"/>
      <c r="AU392" s="51"/>
      <c r="AV392" s="51"/>
      <c r="AW392" s="51"/>
      <c r="AX392" s="51"/>
      <c r="AY392" s="51"/>
      <c r="AZ392" s="51"/>
      <c r="BA392" s="51"/>
      <c r="BB392" s="51"/>
      <c r="BC392" s="51"/>
      <c r="BD392" s="51"/>
      <c r="BE392" s="51"/>
      <c r="BF392" s="51"/>
      <c r="BG392" s="51"/>
      <c r="BH392" s="51"/>
      <c r="BI392" s="51"/>
      <c r="BJ392" s="51"/>
      <c r="BK392" s="51"/>
      <c r="BL392" s="51"/>
      <c r="BM392" s="51"/>
      <c r="BN392" s="51"/>
      <c r="BO392" s="51"/>
      <c r="BP392" s="51"/>
      <c r="BQ392" s="51"/>
      <c r="BR392" s="51"/>
      <c r="BS392" s="51"/>
      <c r="BT392" s="51"/>
      <c r="BU392" s="51"/>
      <c r="BV392" s="51"/>
      <c r="BW392" s="51"/>
      <c r="BX392" s="51"/>
      <c r="BY392" s="51"/>
      <c r="BZ392" s="51"/>
      <c r="CA392" s="51"/>
      <c r="CB392" s="51"/>
      <c r="CC392" s="51"/>
      <c r="CD392" s="51"/>
      <c r="CE392" s="51"/>
      <c r="CF392" s="51"/>
      <c r="CG392" s="51"/>
      <c r="CH392" s="51"/>
      <c r="CI392" s="51"/>
      <c r="CJ392" s="51"/>
      <c r="CK392" s="51"/>
      <c r="CL392" s="51"/>
      <c r="CM392" s="51"/>
      <c r="CN392" s="51"/>
      <c r="CO392" s="51"/>
      <c r="CP392" s="51"/>
      <c r="CQ392" s="51"/>
      <c r="CR392" s="51"/>
      <c r="CS392" s="51"/>
      <c r="CT392" s="51"/>
      <c r="CU392" s="51"/>
      <c r="CV392" s="51"/>
      <c r="CW392" s="51"/>
      <c r="CX392" s="51"/>
      <c r="CY392" s="51"/>
      <c r="CZ392" s="51"/>
      <c r="DA392" s="51"/>
      <c r="DB392" s="51"/>
      <c r="DC392" s="51"/>
      <c r="DD392" s="51"/>
      <c r="DE392" s="51"/>
      <c r="DF392" s="51"/>
      <c r="DG392" s="51"/>
      <c r="DH392" s="51"/>
      <c r="DI392" s="51"/>
      <c r="DJ392" s="51"/>
      <c r="DK392" s="51"/>
      <c r="DL392" s="51"/>
      <c r="DM392" s="51"/>
      <c r="DN392" s="51"/>
      <c r="DO392" s="51"/>
      <c r="DP392" s="51"/>
      <c r="DQ392" s="51"/>
      <c r="DR392" s="51"/>
      <c r="DS392" s="51"/>
      <c r="DT392" s="51"/>
      <c r="DU392" s="51"/>
      <c r="DV392" s="51"/>
      <c r="DW392" s="51"/>
      <c r="DX392" s="51"/>
      <c r="DY392" s="51"/>
      <c r="DZ392" s="51"/>
      <c r="EA392" s="51"/>
      <c r="EB392" s="51"/>
      <c r="EC392" s="51"/>
      <c r="ED392" s="51"/>
      <c r="EE392" s="51"/>
      <c r="EF392" s="51"/>
      <c r="EG392" s="51"/>
      <c r="EH392" s="51"/>
      <c r="EI392" s="51"/>
      <c r="EJ392" s="51"/>
      <c r="EK392" s="51"/>
      <c r="EL392" s="51"/>
      <c r="EM392" s="51"/>
      <c r="EN392" s="51"/>
      <c r="EO392" s="51"/>
      <c r="EP392" s="51"/>
      <c r="EQ392" s="51"/>
      <c r="ER392" s="51"/>
      <c r="ES392" s="51"/>
      <c r="ET392" s="51"/>
      <c r="EU392" s="51"/>
      <c r="EV392" s="51"/>
      <c r="EW392" s="51"/>
      <c r="EX392" s="51"/>
      <c r="EY392" s="51"/>
      <c r="EZ392" s="51"/>
      <c r="FA392" s="51"/>
      <c r="FB392" s="51"/>
      <c r="FC392" s="51"/>
      <c r="FD392" s="51"/>
      <c r="FE392" s="51"/>
      <c r="FF392" s="51"/>
      <c r="FG392" s="51"/>
      <c r="FH392" s="51"/>
      <c r="FI392" s="51"/>
      <c r="FJ392" s="51"/>
      <c r="FK392" s="51"/>
      <c r="FL392" s="51"/>
      <c r="FM392" s="51"/>
      <c r="FN392" s="51"/>
      <c r="FO392" s="51"/>
      <c r="FP392" s="51"/>
      <c r="FQ392" s="51"/>
      <c r="FR392" s="51"/>
      <c r="FS392" s="51"/>
      <c r="FT392" s="51"/>
      <c r="FU392" s="51"/>
      <c r="FV392" s="51"/>
      <c r="FW392" s="51"/>
      <c r="FX392" s="51"/>
      <c r="FY392" s="51"/>
      <c r="FZ392" s="51"/>
      <c r="GA392" s="51"/>
      <c r="GB392" s="51"/>
      <c r="GC392" s="51"/>
      <c r="GD392" s="51"/>
      <c r="GE392" s="51"/>
      <c r="GF392" s="51"/>
      <c r="GG392" s="51"/>
      <c r="GH392" s="51"/>
      <c r="GI392" s="51"/>
      <c r="GJ392" s="51"/>
      <c r="GK392" s="51"/>
      <c r="GL392" s="51"/>
      <c r="GM392" s="51"/>
      <c r="GN392" s="51"/>
      <c r="GO392" s="51"/>
      <c r="GP392" s="51"/>
      <c r="GQ392" s="51"/>
      <c r="GR392" s="51"/>
      <c r="GS392" s="51"/>
      <c r="GT392" s="51"/>
      <c r="GU392" s="51"/>
      <c r="GV392" s="51"/>
      <c r="GW392" s="51"/>
      <c r="GX392" s="51"/>
      <c r="GY392" s="51"/>
      <c r="GZ392" s="51"/>
      <c r="HA392" s="51"/>
      <c r="HB392" s="51"/>
      <c r="HC392" s="51"/>
      <c r="HD392" s="51"/>
      <c r="HE392" s="51"/>
      <c r="HF392" s="51"/>
      <c r="HG392" s="51"/>
      <c r="HH392" s="51"/>
      <c r="HI392" s="51"/>
      <c r="HJ392" s="51"/>
      <c r="HK392" s="51"/>
      <c r="HL392" s="51"/>
      <c r="HM392" s="51"/>
      <c r="HN392" s="51"/>
      <c r="HO392" s="51"/>
      <c r="HP392" s="51"/>
      <c r="HQ392" s="51"/>
      <c r="HR392" s="51"/>
      <c r="HS392" s="51"/>
      <c r="HT392" s="51"/>
      <c r="HU392" s="51"/>
      <c r="HV392" s="51"/>
      <c r="HW392" s="51"/>
      <c r="HX392" s="51"/>
      <c r="HY392" s="51"/>
      <c r="HZ392" s="51"/>
      <c r="IA392" s="51"/>
      <c r="IB392" s="51"/>
      <c r="IC392" s="51"/>
      <c r="ID392" s="51"/>
      <c r="IE392" s="51"/>
      <c r="IF392" s="51"/>
      <c r="IG392" s="51"/>
      <c r="IH392" s="51"/>
      <c r="II392" s="51"/>
      <c r="IJ392" s="51"/>
      <c r="IK392" s="51"/>
      <c r="IL392" s="51"/>
      <c r="IM392" s="51"/>
      <c r="IN392" s="51"/>
      <c r="IO392" s="51"/>
      <c r="IP392" s="51"/>
      <c r="IQ392" s="51"/>
      <c r="IR392" s="51"/>
      <c r="IS392" s="51"/>
      <c r="IT392" s="51"/>
      <c r="IU392" s="51"/>
      <c r="IV392" s="51"/>
    </row>
    <row r="393" hidden="1">
      <c r="B393" s="826" t="s">
        <v>11</v>
      </c>
      <c r="C393" s="827">
        <v>0</v>
      </c>
      <c r="D393" s="827">
        <v>0</v>
      </c>
      <c r="E393" s="827">
        <v>0</v>
      </c>
      <c r="F393" s="827">
        <v>0</v>
      </c>
      <c r="G393" s="827">
        <v>0</v>
      </c>
      <c r="H393" s="827">
        <v>0</v>
      </c>
      <c r="I393" s="827">
        <v>0</v>
      </c>
      <c r="J393" s="827">
        <v>0</v>
      </c>
      <c r="K393" s="827">
        <v>0</v>
      </c>
      <c r="L393" s="827">
        <v>0</v>
      </c>
      <c r="M393" s="827">
        <v>0</v>
      </c>
      <c r="N393" s="827">
        <v>0</v>
      </c>
      <c r="O393" s="827">
        <v>0</v>
      </c>
      <c r="P393" s="827">
        <v>27</v>
      </c>
      <c r="Q393" s="827">
        <v>78</v>
      </c>
      <c r="R393" s="827">
        <v>91</v>
      </c>
      <c r="S393" s="827">
        <v>110</v>
      </c>
      <c r="T393" s="827">
        <v>111</v>
      </c>
      <c r="U393" s="827">
        <v>122</v>
      </c>
      <c r="V393" s="827">
        <v>131</v>
      </c>
      <c r="W393" s="827">
        <v>149</v>
      </c>
      <c r="X393" s="827">
        <v>150</v>
      </c>
      <c r="Y393" s="827">
        <v>167</v>
      </c>
      <c r="Z393" s="827">
        <v>256</v>
      </c>
      <c r="AA393" s="827">
        <v>0</v>
      </c>
      <c r="AB393" s="827">
        <v>277</v>
      </c>
      <c r="AC393" s="828">
        <v>367</v>
      </c>
      <c r="AD393" s="828">
        <v>378</v>
      </c>
      <c r="AE393" s="828">
        <v>385</v>
      </c>
      <c r="AF393" s="828">
        <v>389</v>
      </c>
      <c r="AG393" s="828">
        <v>363</v>
      </c>
      <c r="AH393" s="828">
        <v>373</v>
      </c>
      <c r="AI393" s="828">
        <v>379</v>
      </c>
      <c r="AJ393" s="828">
        <v>385</v>
      </c>
      <c r="AK393" s="828">
        <v>387</v>
      </c>
      <c r="AL393" s="828">
        <v>389</v>
      </c>
      <c r="AM393" s="828">
        <v>395</v>
      </c>
      <c r="AN393" s="828">
        <v>397</v>
      </c>
      <c r="AO393" s="828">
        <v>405</v>
      </c>
      <c r="AP393" s="828">
        <v>404</v>
      </c>
      <c r="AQ393" s="51"/>
      <c r="AR393" s="51"/>
      <c r="AS393" s="51"/>
      <c r="AT393" s="51"/>
      <c r="AU393" s="51"/>
      <c r="AV393" s="51"/>
      <c r="AW393" s="51"/>
      <c r="AX393" s="51"/>
      <c r="AY393" s="51"/>
      <c r="AZ393" s="51"/>
      <c r="BA393" s="51"/>
      <c r="BB393" s="51"/>
      <c r="BC393" s="51"/>
      <c r="BD393" s="51"/>
      <c r="BE393" s="51"/>
      <c r="BF393" s="51"/>
      <c r="BG393" s="51"/>
      <c r="BH393" s="51"/>
      <c r="BI393" s="51"/>
      <c r="BJ393" s="51"/>
      <c r="BK393" s="51"/>
      <c r="BL393" s="51"/>
      <c r="BM393" s="51"/>
      <c r="BN393" s="51"/>
      <c r="BO393" s="51"/>
      <c r="BP393" s="51"/>
      <c r="BQ393" s="51"/>
      <c r="BR393" s="51"/>
      <c r="BS393" s="51"/>
      <c r="BT393" s="51"/>
      <c r="BU393" s="51"/>
      <c r="BV393" s="51"/>
      <c r="BW393" s="51"/>
      <c r="BX393" s="51"/>
      <c r="BY393" s="51"/>
      <c r="BZ393" s="51"/>
      <c r="CA393" s="51"/>
      <c r="CB393" s="51"/>
      <c r="CC393" s="51"/>
      <c r="CD393" s="51"/>
      <c r="CE393" s="51"/>
      <c r="CF393" s="51"/>
      <c r="CG393" s="51"/>
      <c r="CH393" s="51"/>
      <c r="CI393" s="51"/>
      <c r="CJ393" s="51"/>
      <c r="CK393" s="51"/>
      <c r="CL393" s="51"/>
      <c r="CM393" s="51"/>
      <c r="CN393" s="51"/>
      <c r="CO393" s="51"/>
      <c r="CP393" s="51"/>
      <c r="CQ393" s="51"/>
      <c r="CR393" s="51"/>
      <c r="CS393" s="51"/>
      <c r="CT393" s="51"/>
      <c r="CU393" s="51"/>
      <c r="CV393" s="51"/>
      <c r="CW393" s="51"/>
      <c r="CX393" s="51"/>
      <c r="CY393" s="51"/>
      <c r="CZ393" s="51"/>
      <c r="DA393" s="51"/>
      <c r="DB393" s="51"/>
      <c r="DC393" s="51"/>
      <c r="DD393" s="51"/>
      <c r="DE393" s="51"/>
      <c r="DF393" s="51"/>
      <c r="DG393" s="51"/>
      <c r="DH393" s="51"/>
      <c r="DI393" s="51"/>
      <c r="DJ393" s="51"/>
      <c r="DK393" s="51"/>
      <c r="DL393" s="51"/>
      <c r="DM393" s="51"/>
      <c r="DN393" s="51"/>
      <c r="DO393" s="51"/>
      <c r="DP393" s="51"/>
      <c r="DQ393" s="51"/>
      <c r="DR393" s="51"/>
      <c r="DS393" s="51"/>
      <c r="DT393" s="51"/>
      <c r="DU393" s="51"/>
      <c r="DV393" s="51"/>
      <c r="DW393" s="51"/>
      <c r="DX393" s="51"/>
      <c r="DY393" s="51"/>
      <c r="DZ393" s="51"/>
      <c r="EA393" s="51"/>
      <c r="EB393" s="51"/>
      <c r="EC393" s="51"/>
      <c r="ED393" s="51"/>
      <c r="EE393" s="51"/>
      <c r="EF393" s="51"/>
      <c r="EG393" s="51"/>
      <c r="EH393" s="51"/>
      <c r="EI393" s="51"/>
      <c r="EJ393" s="51"/>
      <c r="EK393" s="51"/>
      <c r="EL393" s="51"/>
      <c r="EM393" s="51"/>
      <c r="EN393" s="51"/>
      <c r="EO393" s="51"/>
      <c r="EP393" s="51"/>
      <c r="EQ393" s="51"/>
      <c r="ER393" s="51"/>
      <c r="ES393" s="51"/>
      <c r="ET393" s="51"/>
      <c r="EU393" s="51"/>
      <c r="EV393" s="51"/>
      <c r="EW393" s="51"/>
      <c r="EX393" s="51"/>
      <c r="EY393" s="51"/>
      <c r="EZ393" s="51"/>
      <c r="FA393" s="51"/>
      <c r="FB393" s="51"/>
      <c r="FC393" s="51"/>
      <c r="FD393" s="51"/>
      <c r="FE393" s="51"/>
      <c r="FF393" s="51"/>
      <c r="FG393" s="51"/>
      <c r="FH393" s="51"/>
      <c r="FI393" s="51"/>
      <c r="FJ393" s="51"/>
      <c r="FK393" s="51"/>
      <c r="FL393" s="51"/>
      <c r="FM393" s="51"/>
      <c r="FN393" s="51"/>
      <c r="FO393" s="51"/>
      <c r="FP393" s="51"/>
      <c r="FQ393" s="51"/>
      <c r="FR393" s="51"/>
      <c r="FS393" s="51"/>
      <c r="FT393" s="51"/>
      <c r="FU393" s="51"/>
      <c r="FV393" s="51"/>
      <c r="FW393" s="51"/>
      <c r="FX393" s="51"/>
      <c r="FY393" s="51"/>
      <c r="FZ393" s="51"/>
      <c r="GA393" s="51"/>
      <c r="GB393" s="51"/>
      <c r="GC393" s="51"/>
      <c r="GD393" s="51"/>
      <c r="GE393" s="51"/>
      <c r="GF393" s="51"/>
      <c r="GG393" s="51"/>
      <c r="GH393" s="51"/>
      <c r="GI393" s="51"/>
      <c r="GJ393" s="51"/>
      <c r="GK393" s="51"/>
      <c r="GL393" s="51"/>
      <c r="GM393" s="51"/>
      <c r="GN393" s="51"/>
      <c r="GO393" s="51"/>
      <c r="GP393" s="51"/>
      <c r="GQ393" s="51"/>
      <c r="GR393" s="51"/>
      <c r="GS393" s="51"/>
      <c r="GT393" s="51"/>
      <c r="GU393" s="51"/>
      <c r="GV393" s="51"/>
      <c r="GW393" s="51"/>
      <c r="GX393" s="51"/>
      <c r="GY393" s="51"/>
      <c r="GZ393" s="51"/>
      <c r="HA393" s="51"/>
      <c r="HB393" s="51"/>
      <c r="HC393" s="51"/>
      <c r="HD393" s="51"/>
      <c r="HE393" s="51"/>
      <c r="HF393" s="51"/>
      <c r="HG393" s="51"/>
      <c r="HH393" s="51"/>
      <c r="HI393" s="51"/>
      <c r="HJ393" s="51"/>
      <c r="HK393" s="51"/>
      <c r="HL393" s="51"/>
      <c r="HM393" s="51"/>
      <c r="HN393" s="51"/>
      <c r="HO393" s="51"/>
      <c r="HP393" s="51"/>
      <c r="HQ393" s="51"/>
      <c r="HR393" s="51"/>
      <c r="HS393" s="51"/>
      <c r="HT393" s="51"/>
      <c r="HU393" s="51"/>
      <c r="HV393" s="51"/>
      <c r="HW393" s="51"/>
      <c r="HX393" s="51"/>
      <c r="HY393" s="51"/>
      <c r="HZ393" s="51"/>
      <c r="IA393" s="51"/>
      <c r="IB393" s="51"/>
      <c r="IC393" s="51"/>
      <c r="ID393" s="51"/>
      <c r="IE393" s="51"/>
      <c r="IF393" s="51"/>
      <c r="IG393" s="51"/>
      <c r="IH393" s="51"/>
      <c r="II393" s="51"/>
      <c r="IJ393" s="51"/>
      <c r="IK393" s="51"/>
      <c r="IL393" s="51"/>
      <c r="IM393" s="51"/>
      <c r="IN393" s="51"/>
      <c r="IO393" s="51"/>
      <c r="IP393" s="51"/>
      <c r="IQ393" s="51"/>
      <c r="IR393" s="51"/>
      <c r="IS393" s="51"/>
      <c r="IT393" s="51"/>
      <c r="IU393" s="51"/>
      <c r="IV393" s="51"/>
    </row>
    <row r="394" hidden="1">
      <c r="B394" s="829" t="s">
        <v>12</v>
      </c>
      <c r="C394" s="823">
        <v>0</v>
      </c>
      <c r="D394" s="823">
        <v>0</v>
      </c>
      <c r="E394" s="823">
        <v>0</v>
      </c>
      <c r="F394" s="823">
        <v>0</v>
      </c>
      <c r="G394" s="823">
        <v>0</v>
      </c>
      <c r="H394" s="823">
        <v>0</v>
      </c>
      <c r="I394" s="823">
        <v>0</v>
      </c>
      <c r="J394" s="823">
        <v>0</v>
      </c>
      <c r="K394" s="823">
        <v>0</v>
      </c>
      <c r="L394" s="823">
        <v>0</v>
      </c>
      <c r="M394" s="823">
        <v>0</v>
      </c>
      <c r="N394" s="823">
        <v>0</v>
      </c>
      <c r="O394" s="823">
        <v>0</v>
      </c>
      <c r="P394" s="823">
        <v>0</v>
      </c>
      <c r="Q394" s="823">
        <v>0</v>
      </c>
      <c r="R394" s="823">
        <v>0</v>
      </c>
      <c r="S394" s="823">
        <v>0</v>
      </c>
      <c r="T394" s="823">
        <v>0</v>
      </c>
      <c r="U394" s="823">
        <v>0</v>
      </c>
      <c r="V394" s="823">
        <v>0</v>
      </c>
      <c r="W394" s="823">
        <v>0</v>
      </c>
      <c r="X394" s="823">
        <v>0</v>
      </c>
      <c r="Y394" s="823">
        <v>1</v>
      </c>
      <c r="Z394" s="823">
        <v>2</v>
      </c>
      <c r="AA394" s="823">
        <v>3</v>
      </c>
      <c r="AB394" s="823">
        <v>3</v>
      </c>
      <c r="AC394" s="825">
        <v>5</v>
      </c>
      <c r="AD394" s="825">
        <v>5</v>
      </c>
      <c r="AE394" s="825">
        <v>5</v>
      </c>
      <c r="AF394" s="825">
        <v>4</v>
      </c>
      <c r="AG394" s="825">
        <v>4</v>
      </c>
      <c r="AH394" s="825">
        <v>4</v>
      </c>
      <c r="AI394" s="825">
        <v>6</v>
      </c>
      <c r="AJ394" s="825">
        <v>6</v>
      </c>
      <c r="AK394" s="825">
        <v>6</v>
      </c>
      <c r="AL394" s="825">
        <v>7</v>
      </c>
      <c r="AM394" s="825">
        <v>7</v>
      </c>
      <c r="AN394" s="825">
        <v>8</v>
      </c>
      <c r="AO394" s="825">
        <v>10</v>
      </c>
      <c r="AP394" s="825">
        <v>9</v>
      </c>
      <c r="AQ394" s="51"/>
      <c r="AR394" s="51"/>
      <c r="AS394" s="51"/>
      <c r="AT394" s="51"/>
      <c r="AU394" s="51"/>
      <c r="AV394" s="51"/>
      <c r="AW394" s="51"/>
      <c r="AX394" s="51"/>
      <c r="AY394" s="51"/>
      <c r="AZ394" s="51"/>
      <c r="BA394" s="51"/>
      <c r="BB394" s="51"/>
      <c r="BC394" s="51"/>
      <c r="BD394" s="51"/>
      <c r="BE394" s="51"/>
      <c r="BF394" s="51"/>
      <c r="BG394" s="51"/>
      <c r="BH394" s="51"/>
      <c r="BI394" s="51"/>
      <c r="BJ394" s="51"/>
      <c r="BK394" s="51"/>
      <c r="BL394" s="51"/>
      <c r="BM394" s="51"/>
      <c r="BN394" s="51"/>
      <c r="BO394" s="51"/>
      <c r="BP394" s="51"/>
      <c r="BQ394" s="51"/>
      <c r="BR394" s="51"/>
      <c r="BS394" s="51"/>
      <c r="BT394" s="51"/>
      <c r="BU394" s="51"/>
      <c r="BV394" s="51"/>
      <c r="BW394" s="51"/>
      <c r="BX394" s="51"/>
      <c r="BY394" s="51"/>
      <c r="BZ394" s="51"/>
      <c r="CA394" s="51"/>
      <c r="CB394" s="51"/>
      <c r="CC394" s="51"/>
      <c r="CD394" s="51"/>
      <c r="CE394" s="51"/>
      <c r="CF394" s="51"/>
      <c r="CG394" s="51"/>
      <c r="CH394" s="51"/>
      <c r="CI394" s="51"/>
      <c r="CJ394" s="51"/>
      <c r="CK394" s="51"/>
      <c r="CL394" s="51"/>
      <c r="CM394" s="51"/>
      <c r="CN394" s="51"/>
      <c r="CO394" s="51"/>
      <c r="CP394" s="51"/>
      <c r="CQ394" s="51"/>
      <c r="CR394" s="51"/>
      <c r="CS394" s="51"/>
      <c r="CT394" s="51"/>
      <c r="CU394" s="51"/>
      <c r="CV394" s="51"/>
      <c r="CW394" s="51"/>
      <c r="CX394" s="51"/>
      <c r="CY394" s="51"/>
      <c r="CZ394" s="51"/>
      <c r="DA394" s="51"/>
      <c r="DB394" s="51"/>
      <c r="DC394" s="51"/>
      <c r="DD394" s="51"/>
      <c r="DE394" s="51"/>
      <c r="DF394" s="51"/>
      <c r="DG394" s="51"/>
      <c r="DH394" s="51"/>
      <c r="DI394" s="51"/>
      <c r="DJ394" s="51"/>
      <c r="DK394" s="51"/>
      <c r="DL394" s="51"/>
      <c r="DM394" s="51"/>
      <c r="DN394" s="51"/>
      <c r="DO394" s="51"/>
      <c r="DP394" s="51"/>
      <c r="DQ394" s="51"/>
      <c r="DR394" s="51"/>
      <c r="DS394" s="51"/>
      <c r="DT394" s="51"/>
      <c r="DU394" s="51"/>
      <c r="DV394" s="51"/>
      <c r="DW394" s="51"/>
      <c r="DX394" s="51"/>
      <c r="DY394" s="51"/>
      <c r="DZ394" s="51"/>
      <c r="EA394" s="51"/>
      <c r="EB394" s="51"/>
      <c r="EC394" s="51"/>
      <c r="ED394" s="51"/>
      <c r="EE394" s="51"/>
      <c r="EF394" s="51"/>
      <c r="EG394" s="51"/>
      <c r="EH394" s="51"/>
      <c r="EI394" s="51"/>
      <c r="EJ394" s="51"/>
      <c r="EK394" s="51"/>
      <c r="EL394" s="51"/>
      <c r="EM394" s="51"/>
      <c r="EN394" s="51"/>
      <c r="EO394" s="51"/>
      <c r="EP394" s="51"/>
      <c r="EQ394" s="51"/>
      <c r="ER394" s="51"/>
      <c r="ES394" s="51"/>
      <c r="ET394" s="51"/>
      <c r="EU394" s="51"/>
      <c r="EV394" s="51"/>
      <c r="EW394" s="51"/>
      <c r="EX394" s="51"/>
      <c r="EY394" s="51"/>
      <c r="EZ394" s="51"/>
      <c r="FA394" s="51"/>
      <c r="FB394" s="51"/>
      <c r="FC394" s="51"/>
      <c r="FD394" s="51"/>
      <c r="FE394" s="51"/>
      <c r="FF394" s="51"/>
      <c r="FG394" s="51"/>
      <c r="FH394" s="51"/>
      <c r="FI394" s="51"/>
      <c r="FJ394" s="51"/>
      <c r="FK394" s="51"/>
      <c r="FL394" s="51"/>
      <c r="FM394" s="51"/>
      <c r="FN394" s="51"/>
      <c r="FO394" s="51"/>
      <c r="FP394" s="51"/>
      <c r="FQ394" s="51"/>
      <c r="FR394" s="51"/>
      <c r="FS394" s="51"/>
      <c r="FT394" s="51"/>
      <c r="FU394" s="51"/>
      <c r="FV394" s="51"/>
      <c r="FW394" s="51"/>
      <c r="FX394" s="51"/>
      <c r="FY394" s="51"/>
      <c r="FZ394" s="51"/>
      <c r="GA394" s="51"/>
      <c r="GB394" s="51"/>
      <c r="GC394" s="51"/>
      <c r="GD394" s="51"/>
      <c r="GE394" s="51"/>
      <c r="GF394" s="51"/>
      <c r="GG394" s="51"/>
      <c r="GH394" s="51"/>
      <c r="GI394" s="51"/>
      <c r="GJ394" s="51"/>
      <c r="GK394" s="51"/>
      <c r="GL394" s="51"/>
      <c r="GM394" s="51"/>
      <c r="GN394" s="51"/>
      <c r="GO394" s="51"/>
      <c r="GP394" s="51"/>
      <c r="GQ394" s="51"/>
      <c r="GR394" s="51"/>
      <c r="GS394" s="51"/>
      <c r="GT394" s="51"/>
      <c r="GU394" s="51"/>
      <c r="GV394" s="51"/>
      <c r="GW394" s="51"/>
      <c r="GX394" s="51"/>
      <c r="GY394" s="51"/>
      <c r="GZ394" s="51"/>
      <c r="HA394" s="51"/>
      <c r="HB394" s="51"/>
      <c r="HC394" s="51"/>
      <c r="HD394" s="51"/>
      <c r="HE394" s="51"/>
      <c r="HF394" s="51"/>
      <c r="HG394" s="51"/>
      <c r="HH394" s="51"/>
      <c r="HI394" s="51"/>
      <c r="HJ394" s="51"/>
      <c r="HK394" s="51"/>
      <c r="HL394" s="51"/>
      <c r="HM394" s="51"/>
      <c r="HN394" s="51"/>
      <c r="HO394" s="51"/>
      <c r="HP394" s="51"/>
      <c r="HQ394" s="51"/>
      <c r="HR394" s="51"/>
      <c r="HS394" s="51"/>
      <c r="HT394" s="51"/>
      <c r="HU394" s="51"/>
      <c r="HV394" s="51"/>
      <c r="HW394" s="51"/>
      <c r="HX394" s="51"/>
      <c r="HY394" s="51"/>
      <c r="HZ394" s="51"/>
      <c r="IA394" s="51"/>
      <c r="IB394" s="51"/>
      <c r="IC394" s="51"/>
      <c r="ID394" s="51"/>
      <c r="IE394" s="51"/>
      <c r="IF394" s="51"/>
      <c r="IG394" s="51"/>
      <c r="IH394" s="51"/>
      <c r="II394" s="51"/>
      <c r="IJ394" s="51"/>
      <c r="IK394" s="51"/>
      <c r="IL394" s="51"/>
      <c r="IM394" s="51"/>
      <c r="IN394" s="51"/>
      <c r="IO394" s="51"/>
      <c r="IP394" s="51"/>
      <c r="IQ394" s="51"/>
      <c r="IR394" s="51"/>
      <c r="IS394" s="51"/>
      <c r="IT394" s="51"/>
      <c r="IU394" s="51"/>
      <c r="IV394" s="51"/>
    </row>
    <row r="395" hidden="1" ht="15" customHeight="1">
      <c r="B395" s="826" t="s">
        <v>13</v>
      </c>
      <c r="C395" s="827">
        <v>0</v>
      </c>
      <c r="D395" s="827">
        <v>0</v>
      </c>
      <c r="E395" s="827">
        <v>0</v>
      </c>
      <c r="F395" s="827">
        <v>0</v>
      </c>
      <c r="G395" s="827">
        <v>0</v>
      </c>
      <c r="H395" s="827">
        <v>0</v>
      </c>
      <c r="I395" s="827">
        <v>0</v>
      </c>
      <c r="J395" s="827">
        <v>0</v>
      </c>
      <c r="K395" s="827">
        <v>0</v>
      </c>
      <c r="L395" s="827">
        <v>0</v>
      </c>
      <c r="M395" s="827">
        <v>0</v>
      </c>
      <c r="N395" s="827">
        <v>0</v>
      </c>
      <c r="O395" s="827">
        <v>0</v>
      </c>
      <c r="P395" s="827">
        <v>21</v>
      </c>
      <c r="Q395" s="827">
        <v>34</v>
      </c>
      <c r="R395" s="827">
        <v>43</v>
      </c>
      <c r="S395" s="827">
        <v>43</v>
      </c>
      <c r="T395" s="827">
        <v>45</v>
      </c>
      <c r="U395" s="827">
        <v>53</v>
      </c>
      <c r="V395" s="827">
        <v>59</v>
      </c>
      <c r="W395" s="827">
        <v>62</v>
      </c>
      <c r="X395" s="827">
        <v>68</v>
      </c>
      <c r="Y395" s="827">
        <v>61</v>
      </c>
      <c r="Z395" s="827">
        <v>59</v>
      </c>
      <c r="AA395" s="827">
        <v>65</v>
      </c>
      <c r="AB395" s="827">
        <v>62</v>
      </c>
      <c r="AC395" s="828">
        <v>69</v>
      </c>
      <c r="AD395" s="828">
        <v>78</v>
      </c>
      <c r="AE395" s="828">
        <v>76</v>
      </c>
      <c r="AF395" s="828">
        <v>78</v>
      </c>
      <c r="AG395" s="828">
        <v>88</v>
      </c>
      <c r="AH395" s="828">
        <v>101</v>
      </c>
      <c r="AI395" s="828">
        <v>114</v>
      </c>
      <c r="AJ395" s="828">
        <v>122</v>
      </c>
      <c r="AK395" s="828">
        <v>138</v>
      </c>
      <c r="AL395" s="828">
        <v>145</v>
      </c>
      <c r="AM395" s="828">
        <v>147</v>
      </c>
      <c r="AN395" s="828">
        <v>162</v>
      </c>
      <c r="AO395" s="828">
        <v>168</v>
      </c>
      <c r="AP395" s="828">
        <v>201</v>
      </c>
      <c r="AQ395" s="51"/>
      <c r="AR395" s="51"/>
      <c r="AS395" s="51"/>
      <c r="AT395" s="51"/>
      <c r="AU395" s="51"/>
      <c r="AV395" s="51"/>
      <c r="AW395" s="51"/>
      <c r="AX395" s="51"/>
      <c r="AY395" s="51"/>
      <c r="AZ395" s="51"/>
      <c r="BA395" s="51"/>
      <c r="BB395" s="51"/>
      <c r="BC395" s="51"/>
      <c r="BD395" s="51"/>
      <c r="BE395" s="51"/>
      <c r="BF395" s="51"/>
      <c r="BG395" s="51"/>
      <c r="BH395" s="51"/>
      <c r="BI395" s="51"/>
      <c r="BJ395" s="51"/>
      <c r="BK395" s="51"/>
      <c r="BL395" s="51"/>
      <c r="BM395" s="51"/>
      <c r="BN395" s="51"/>
      <c r="BO395" s="51"/>
      <c r="BP395" s="51"/>
      <c r="BQ395" s="51"/>
      <c r="BR395" s="51"/>
      <c r="BS395" s="51"/>
      <c r="BT395" s="51"/>
      <c r="BU395" s="51"/>
      <c r="BV395" s="51"/>
      <c r="BW395" s="51"/>
      <c r="BX395" s="51"/>
      <c r="BY395" s="51"/>
      <c r="BZ395" s="51"/>
      <c r="CA395" s="51"/>
      <c r="CB395" s="51"/>
      <c r="CC395" s="51"/>
      <c r="CD395" s="51"/>
      <c r="CE395" s="51"/>
      <c r="CF395" s="51"/>
      <c r="CG395" s="51"/>
      <c r="CH395" s="51"/>
      <c r="CI395" s="51"/>
      <c r="CJ395" s="51"/>
      <c r="CK395" s="51"/>
      <c r="CL395" s="51"/>
      <c r="CM395" s="51"/>
      <c r="CN395" s="51"/>
      <c r="CO395" s="51"/>
      <c r="CP395" s="51"/>
      <c r="CQ395" s="51"/>
      <c r="CR395" s="51"/>
      <c r="CS395" s="51"/>
      <c r="CT395" s="51"/>
      <c r="CU395" s="51"/>
      <c r="CV395" s="51"/>
      <c r="CW395" s="51"/>
      <c r="CX395" s="51"/>
      <c r="CY395" s="51"/>
      <c r="CZ395" s="51"/>
      <c r="DA395" s="51"/>
      <c r="DB395" s="51"/>
      <c r="DC395" s="51"/>
      <c r="DD395" s="51"/>
      <c r="DE395" s="51"/>
      <c r="DF395" s="51"/>
      <c r="DG395" s="51"/>
      <c r="DH395" s="51"/>
      <c r="DI395" s="51"/>
      <c r="DJ395" s="51"/>
      <c r="DK395" s="51"/>
      <c r="DL395" s="51"/>
      <c r="DM395" s="51"/>
      <c r="DN395" s="51"/>
      <c r="DO395" s="51"/>
      <c r="DP395" s="51"/>
      <c r="DQ395" s="51"/>
      <c r="DR395" s="51"/>
      <c r="DS395" s="51"/>
      <c r="DT395" s="51"/>
      <c r="DU395" s="51"/>
      <c r="DV395" s="51"/>
      <c r="DW395" s="51"/>
      <c r="DX395" s="51"/>
      <c r="DY395" s="51"/>
      <c r="DZ395" s="51"/>
      <c r="EA395" s="51"/>
      <c r="EB395" s="51"/>
      <c r="EC395" s="51"/>
      <c r="ED395" s="51"/>
      <c r="EE395" s="51"/>
      <c r="EF395" s="51"/>
      <c r="EG395" s="51"/>
      <c r="EH395" s="51"/>
      <c r="EI395" s="51"/>
      <c r="EJ395" s="51"/>
      <c r="EK395" s="51"/>
      <c r="EL395" s="51"/>
      <c r="EM395" s="51"/>
      <c r="EN395" s="51"/>
      <c r="EO395" s="51"/>
      <c r="EP395" s="51"/>
      <c r="EQ395" s="51"/>
      <c r="ER395" s="51"/>
      <c r="ES395" s="51"/>
      <c r="ET395" s="51"/>
      <c r="EU395" s="51"/>
      <c r="EV395" s="51"/>
      <c r="EW395" s="51"/>
      <c r="EX395" s="51"/>
      <c r="EY395" s="51"/>
      <c r="EZ395" s="51"/>
      <c r="FA395" s="51"/>
      <c r="FB395" s="51"/>
      <c r="FC395" s="51"/>
      <c r="FD395" s="51"/>
      <c r="FE395" s="51"/>
      <c r="FF395" s="51"/>
      <c r="FG395" s="51"/>
      <c r="FH395" s="51"/>
      <c r="FI395" s="51"/>
      <c r="FJ395" s="51"/>
      <c r="FK395" s="51"/>
      <c r="FL395" s="51"/>
      <c r="FM395" s="51"/>
      <c r="FN395" s="51"/>
      <c r="FO395" s="51"/>
      <c r="FP395" s="51"/>
      <c r="FQ395" s="51"/>
      <c r="FR395" s="51"/>
      <c r="FS395" s="51"/>
      <c r="FT395" s="51"/>
      <c r="FU395" s="51"/>
      <c r="FV395" s="51"/>
      <c r="FW395" s="51"/>
      <c r="FX395" s="51"/>
      <c r="FY395" s="51"/>
      <c r="FZ395" s="51"/>
      <c r="GA395" s="51"/>
      <c r="GB395" s="51"/>
      <c r="GC395" s="51"/>
      <c r="GD395" s="51"/>
      <c r="GE395" s="51"/>
      <c r="GF395" s="51"/>
      <c r="GG395" s="51"/>
      <c r="GH395" s="51"/>
      <c r="GI395" s="51"/>
      <c r="GJ395" s="51"/>
      <c r="GK395" s="51"/>
      <c r="GL395" s="51"/>
      <c r="GM395" s="51"/>
      <c r="GN395" s="51"/>
      <c r="GO395" s="51"/>
      <c r="GP395" s="51"/>
      <c r="GQ395" s="51"/>
      <c r="GR395" s="51"/>
      <c r="GS395" s="51"/>
      <c r="GT395" s="51"/>
      <c r="GU395" s="51"/>
      <c r="GV395" s="51"/>
      <c r="GW395" s="51"/>
      <c r="GX395" s="51"/>
      <c r="GY395" s="51"/>
      <c r="GZ395" s="51"/>
      <c r="HA395" s="51"/>
      <c r="HB395" s="51"/>
      <c r="HC395" s="51"/>
      <c r="HD395" s="51"/>
      <c r="HE395" s="51"/>
      <c r="HF395" s="51"/>
      <c r="HG395" s="51"/>
      <c r="HH395" s="51"/>
      <c r="HI395" s="51"/>
      <c r="HJ395" s="51"/>
      <c r="HK395" s="51"/>
      <c r="HL395" s="51"/>
      <c r="HM395" s="51"/>
      <c r="HN395" s="51"/>
      <c r="HO395" s="51"/>
      <c r="HP395" s="51"/>
      <c r="HQ395" s="51"/>
      <c r="HR395" s="51"/>
      <c r="HS395" s="51"/>
      <c r="HT395" s="51"/>
      <c r="HU395" s="51"/>
      <c r="HV395" s="51"/>
      <c r="HW395" s="51"/>
      <c r="HX395" s="51"/>
      <c r="HY395" s="51"/>
      <c r="HZ395" s="51"/>
      <c r="IA395" s="51"/>
      <c r="IB395" s="51"/>
      <c r="IC395" s="51"/>
      <c r="ID395" s="51"/>
      <c r="IE395" s="51"/>
      <c r="IF395" s="51"/>
      <c r="IG395" s="51"/>
      <c r="IH395" s="51"/>
      <c r="II395" s="51"/>
      <c r="IJ395" s="51"/>
      <c r="IK395" s="51"/>
      <c r="IL395" s="51"/>
      <c r="IM395" s="51"/>
      <c r="IN395" s="51"/>
      <c r="IO395" s="51"/>
      <c r="IP395" s="51"/>
      <c r="IQ395" s="51"/>
      <c r="IR395" s="51"/>
      <c r="IS395" s="51"/>
      <c r="IT395" s="51"/>
      <c r="IU395" s="51"/>
      <c r="IV395" s="51"/>
    </row>
    <row r="396" hidden="1">
      <c r="B396" s="829" t="s">
        <v>109</v>
      </c>
      <c r="C396" s="823">
        <v>0</v>
      </c>
      <c r="D396" s="823">
        <v>0</v>
      </c>
      <c r="E396" s="823">
        <v>0</v>
      </c>
      <c r="F396" s="823">
        <v>0</v>
      </c>
      <c r="G396" s="823">
        <v>0</v>
      </c>
      <c r="H396" s="823">
        <v>0</v>
      </c>
      <c r="I396" s="823">
        <v>0</v>
      </c>
      <c r="J396" s="823">
        <v>0</v>
      </c>
      <c r="K396" s="823">
        <v>0</v>
      </c>
      <c r="L396" s="823">
        <v>0</v>
      </c>
      <c r="M396" s="823">
        <v>0</v>
      </c>
      <c r="N396" s="823">
        <v>0</v>
      </c>
      <c r="O396" s="823">
        <v>0</v>
      </c>
      <c r="P396" s="823">
        <v>0</v>
      </c>
      <c r="Q396" s="823">
        <v>0</v>
      </c>
      <c r="R396" s="823">
        <v>0</v>
      </c>
      <c r="S396" s="823">
        <v>756</v>
      </c>
      <c r="T396" s="823">
        <v>758</v>
      </c>
      <c r="U396" s="823">
        <v>767</v>
      </c>
      <c r="V396" s="823">
        <v>790</v>
      </c>
      <c r="W396" s="823">
        <v>781</v>
      </c>
      <c r="X396" s="823">
        <v>789</v>
      </c>
      <c r="Y396" s="823">
        <v>778</v>
      </c>
      <c r="Z396" s="823">
        <v>780</v>
      </c>
      <c r="AA396" s="823">
        <v>776</v>
      </c>
      <c r="AB396" s="823">
        <v>786</v>
      </c>
      <c r="AC396" s="825">
        <v>702</v>
      </c>
      <c r="AD396" s="825">
        <v>721</v>
      </c>
      <c r="AE396" s="825">
        <v>727</v>
      </c>
      <c r="AF396" s="825">
        <v>734</v>
      </c>
      <c r="AG396" s="825">
        <v>764</v>
      </c>
      <c r="AH396" s="825">
        <v>776</v>
      </c>
      <c r="AI396" s="825">
        <v>792</v>
      </c>
      <c r="AJ396" s="825">
        <v>705</v>
      </c>
      <c r="AK396" s="825">
        <v>739</v>
      </c>
      <c r="AL396" s="825">
        <v>757</v>
      </c>
      <c r="AM396" s="825">
        <v>765</v>
      </c>
      <c r="AN396" s="825">
        <v>789</v>
      </c>
      <c r="AO396" s="825">
        <v>817</v>
      </c>
      <c r="AP396" s="825">
        <v>819</v>
      </c>
      <c r="AQ396" s="51"/>
      <c r="AR396" s="51"/>
      <c r="AS396" s="51"/>
      <c r="AT396" s="51"/>
      <c r="AU396" s="51"/>
      <c r="AV396" s="51"/>
      <c r="AW396" s="51"/>
      <c r="AX396" s="51"/>
      <c r="AY396" s="51"/>
      <c r="AZ396" s="51"/>
      <c r="BA396" s="51"/>
      <c r="BB396" s="51"/>
      <c r="BC396" s="51"/>
      <c r="BD396" s="51"/>
      <c r="BE396" s="51"/>
      <c r="BF396" s="51"/>
      <c r="BG396" s="51"/>
      <c r="BH396" s="51"/>
      <c r="BI396" s="51"/>
      <c r="BJ396" s="51"/>
      <c r="BK396" s="51"/>
      <c r="BL396" s="51"/>
      <c r="BM396" s="51"/>
      <c r="BN396" s="51"/>
      <c r="BO396" s="51"/>
      <c r="BP396" s="51"/>
      <c r="BQ396" s="51"/>
      <c r="BR396" s="51"/>
      <c r="BS396" s="51"/>
      <c r="BT396" s="51"/>
      <c r="BU396" s="51"/>
      <c r="BV396" s="51"/>
      <c r="BW396" s="51"/>
      <c r="BX396" s="51"/>
      <c r="BY396" s="51"/>
      <c r="BZ396" s="51"/>
      <c r="CA396" s="51"/>
      <c r="CB396" s="51"/>
      <c r="CC396" s="51"/>
      <c r="CD396" s="51"/>
      <c r="CE396" s="51"/>
      <c r="CF396" s="51"/>
      <c r="CG396" s="51"/>
      <c r="CH396" s="51"/>
      <c r="CI396" s="51"/>
      <c r="CJ396" s="51"/>
      <c r="CK396" s="51"/>
      <c r="CL396" s="51"/>
      <c r="CM396" s="51"/>
      <c r="CN396" s="51"/>
      <c r="CO396" s="51"/>
      <c r="CP396" s="51"/>
      <c r="CQ396" s="51"/>
      <c r="CR396" s="51"/>
      <c r="CS396" s="51"/>
      <c r="CT396" s="51"/>
      <c r="CU396" s="51"/>
      <c r="CV396" s="51"/>
      <c r="CW396" s="51"/>
      <c r="CX396" s="51"/>
      <c r="CY396" s="51"/>
      <c r="CZ396" s="51"/>
      <c r="DA396" s="51"/>
      <c r="DB396" s="51"/>
      <c r="DC396" s="51"/>
      <c r="DD396" s="51"/>
      <c r="DE396" s="51"/>
      <c r="DF396" s="51"/>
      <c r="DG396" s="51"/>
      <c r="DH396" s="51"/>
      <c r="DI396" s="51"/>
      <c r="DJ396" s="51"/>
      <c r="DK396" s="51"/>
      <c r="DL396" s="51"/>
      <c r="DM396" s="51"/>
      <c r="DN396" s="51"/>
      <c r="DO396" s="51"/>
      <c r="DP396" s="51"/>
      <c r="DQ396" s="51"/>
      <c r="DR396" s="51"/>
      <c r="DS396" s="51"/>
      <c r="DT396" s="51"/>
      <c r="DU396" s="51"/>
      <c r="DV396" s="51"/>
      <c r="DW396" s="51"/>
      <c r="DX396" s="51"/>
      <c r="DY396" s="51"/>
      <c r="DZ396" s="51"/>
      <c r="EA396" s="51"/>
      <c r="EB396" s="51"/>
      <c r="EC396" s="51"/>
      <c r="ED396" s="51"/>
      <c r="EE396" s="51"/>
      <c r="EF396" s="51"/>
      <c r="EG396" s="51"/>
      <c r="EH396" s="51"/>
      <c r="EI396" s="51"/>
      <c r="EJ396" s="51"/>
      <c r="EK396" s="51"/>
      <c r="EL396" s="51"/>
      <c r="EM396" s="51"/>
      <c r="EN396" s="51"/>
      <c r="EO396" s="51"/>
      <c r="EP396" s="51"/>
      <c r="EQ396" s="51"/>
      <c r="ER396" s="51"/>
      <c r="ES396" s="51"/>
      <c r="ET396" s="51"/>
      <c r="EU396" s="51"/>
      <c r="EV396" s="51"/>
      <c r="EW396" s="51"/>
      <c r="EX396" s="51"/>
      <c r="EY396" s="51"/>
      <c r="EZ396" s="51"/>
      <c r="FA396" s="51"/>
      <c r="FB396" s="51"/>
      <c r="FC396" s="51"/>
      <c r="FD396" s="51"/>
      <c r="FE396" s="51"/>
      <c r="FF396" s="51"/>
      <c r="FG396" s="51"/>
      <c r="FH396" s="51"/>
      <c r="FI396" s="51"/>
      <c r="FJ396" s="51"/>
      <c r="FK396" s="51"/>
      <c r="FL396" s="51"/>
      <c r="FM396" s="51"/>
      <c r="FN396" s="51"/>
      <c r="FO396" s="51"/>
      <c r="FP396" s="51"/>
      <c r="FQ396" s="51"/>
      <c r="FR396" s="51"/>
      <c r="FS396" s="51"/>
      <c r="FT396" s="51"/>
      <c r="FU396" s="51"/>
      <c r="FV396" s="51"/>
      <c r="FW396" s="51"/>
      <c r="FX396" s="51"/>
      <c r="FY396" s="51"/>
      <c r="FZ396" s="51"/>
      <c r="GA396" s="51"/>
      <c r="GB396" s="51"/>
      <c r="GC396" s="51"/>
      <c r="GD396" s="51"/>
      <c r="GE396" s="51"/>
      <c r="GF396" s="51"/>
      <c r="GG396" s="51"/>
      <c r="GH396" s="51"/>
      <c r="GI396" s="51"/>
      <c r="GJ396" s="51"/>
      <c r="GK396" s="51"/>
      <c r="GL396" s="51"/>
      <c r="GM396" s="51"/>
      <c r="GN396" s="51"/>
      <c r="GO396" s="51"/>
      <c r="GP396" s="51"/>
      <c r="GQ396" s="51"/>
      <c r="GR396" s="51"/>
      <c r="GS396" s="51"/>
      <c r="GT396" s="51"/>
      <c r="GU396" s="51"/>
      <c r="GV396" s="51"/>
      <c r="GW396" s="51"/>
      <c r="GX396" s="51"/>
      <c r="GY396" s="51"/>
      <c r="GZ396" s="51"/>
      <c r="HA396" s="51"/>
      <c r="HB396" s="51"/>
      <c r="HC396" s="51"/>
      <c r="HD396" s="51"/>
      <c r="HE396" s="51"/>
      <c r="HF396" s="51"/>
      <c r="HG396" s="51"/>
      <c r="HH396" s="51"/>
      <c r="HI396" s="51"/>
      <c r="HJ396" s="51"/>
      <c r="HK396" s="51"/>
      <c r="HL396" s="51"/>
      <c r="HM396" s="51"/>
      <c r="HN396" s="51"/>
      <c r="HO396" s="51"/>
      <c r="HP396" s="51"/>
      <c r="HQ396" s="51"/>
      <c r="HR396" s="51"/>
      <c r="HS396" s="51"/>
      <c r="HT396" s="51"/>
      <c r="HU396" s="51"/>
      <c r="HV396" s="51"/>
      <c r="HW396" s="51"/>
      <c r="HX396" s="51"/>
      <c r="HY396" s="51"/>
      <c r="HZ396" s="51"/>
      <c r="IA396" s="51"/>
      <c r="IB396" s="51"/>
      <c r="IC396" s="51"/>
      <c r="ID396" s="51"/>
      <c r="IE396" s="51"/>
      <c r="IF396" s="51"/>
      <c r="IG396" s="51"/>
      <c r="IH396" s="51"/>
      <c r="II396" s="51"/>
      <c r="IJ396" s="51"/>
      <c r="IK396" s="51"/>
      <c r="IL396" s="51"/>
      <c r="IM396" s="51"/>
      <c r="IN396" s="51"/>
      <c r="IO396" s="51"/>
      <c r="IP396" s="51"/>
      <c r="IQ396" s="51"/>
      <c r="IR396" s="51"/>
      <c r="IS396" s="51"/>
      <c r="IT396" s="51"/>
      <c r="IU396" s="51"/>
      <c r="IV396" s="51"/>
    </row>
    <row r="397" hidden="1">
      <c r="B397" s="826" t="s">
        <v>110</v>
      </c>
      <c r="C397" s="827">
        <v>0</v>
      </c>
      <c r="D397" s="827">
        <v>0</v>
      </c>
      <c r="E397" s="827">
        <v>0</v>
      </c>
      <c r="F397" s="827">
        <v>0</v>
      </c>
      <c r="G397" s="827">
        <v>0</v>
      </c>
      <c r="H397" s="827">
        <v>0</v>
      </c>
      <c r="I397" s="827">
        <v>0</v>
      </c>
      <c r="J397" s="827">
        <v>0</v>
      </c>
      <c r="K397" s="827">
        <v>0</v>
      </c>
      <c r="L397" s="827">
        <v>0</v>
      </c>
      <c r="M397" s="827">
        <v>0</v>
      </c>
      <c r="N397" s="827">
        <v>0</v>
      </c>
      <c r="O397" s="827">
        <v>0</v>
      </c>
      <c r="P397" s="827">
        <v>636</v>
      </c>
      <c r="Q397" s="827">
        <v>723</v>
      </c>
      <c r="R397" s="827">
        <v>786</v>
      </c>
      <c r="S397" s="827">
        <v>904</v>
      </c>
      <c r="T397" s="827">
        <v>913</v>
      </c>
      <c r="U397" s="827">
        <v>931</v>
      </c>
      <c r="V397" s="827">
        <v>967</v>
      </c>
      <c r="W397" s="827">
        <v>986</v>
      </c>
      <c r="X397" s="827">
        <v>981</v>
      </c>
      <c r="Y397" s="827">
        <v>1003</v>
      </c>
      <c r="Z397" s="827">
        <v>1043</v>
      </c>
      <c r="AA397" s="827">
        <v>1060</v>
      </c>
      <c r="AB397" s="827">
        <v>1065</v>
      </c>
      <c r="AC397" s="828">
        <v>1068</v>
      </c>
      <c r="AD397" s="828">
        <v>1072</v>
      </c>
      <c r="AE397" s="828">
        <v>1062</v>
      </c>
      <c r="AF397" s="828">
        <v>1087</v>
      </c>
      <c r="AG397" s="828">
        <v>1122</v>
      </c>
      <c r="AH397" s="828">
        <v>1148</v>
      </c>
      <c r="AI397" s="828">
        <v>1177</v>
      </c>
      <c r="AJ397" s="828">
        <v>1184</v>
      </c>
      <c r="AK397" s="828">
        <v>1156</v>
      </c>
      <c r="AL397" s="828">
        <v>1153</v>
      </c>
      <c r="AM397" s="828">
        <v>1155</v>
      </c>
      <c r="AN397" s="828">
        <v>1157</v>
      </c>
      <c r="AO397" s="828">
        <v>1153</v>
      </c>
      <c r="AP397" s="828">
        <v>1151</v>
      </c>
      <c r="AQ397" s="51"/>
      <c r="AR397" s="51"/>
      <c r="AS397" s="51"/>
      <c r="AT397" s="51"/>
      <c r="AU397" s="51"/>
      <c r="AV397" s="51"/>
      <c r="AW397" s="51"/>
      <c r="AX397" s="51"/>
      <c r="AY397" s="51"/>
      <c r="AZ397" s="51"/>
      <c r="BA397" s="51"/>
      <c r="BB397" s="51"/>
      <c r="BC397" s="51"/>
      <c r="BD397" s="51"/>
      <c r="BE397" s="51"/>
      <c r="BF397" s="51"/>
      <c r="BG397" s="51"/>
      <c r="BH397" s="51"/>
      <c r="BI397" s="51"/>
      <c r="BJ397" s="51"/>
      <c r="BK397" s="51"/>
      <c r="BL397" s="51"/>
      <c r="BM397" s="51"/>
      <c r="BN397" s="51"/>
      <c r="BO397" s="51"/>
      <c r="BP397" s="51"/>
      <c r="BQ397" s="51"/>
      <c r="BR397" s="51"/>
      <c r="BS397" s="51"/>
      <c r="BT397" s="51"/>
      <c r="BU397" s="51"/>
      <c r="BV397" s="51"/>
      <c r="BW397" s="51"/>
      <c r="BX397" s="51"/>
      <c r="BY397" s="51"/>
      <c r="BZ397" s="51"/>
      <c r="CA397" s="51"/>
      <c r="CB397" s="51"/>
      <c r="CC397" s="51"/>
      <c r="CD397" s="51"/>
      <c r="CE397" s="51"/>
      <c r="CF397" s="51"/>
      <c r="CG397" s="51"/>
      <c r="CH397" s="51"/>
      <c r="CI397" s="51"/>
      <c r="CJ397" s="51"/>
      <c r="CK397" s="51"/>
      <c r="CL397" s="51"/>
      <c r="CM397" s="51"/>
      <c r="CN397" s="51"/>
      <c r="CO397" s="51"/>
      <c r="CP397" s="51"/>
      <c r="CQ397" s="51"/>
      <c r="CR397" s="51"/>
      <c r="CS397" s="51"/>
      <c r="CT397" s="51"/>
      <c r="CU397" s="51"/>
      <c r="CV397" s="51"/>
      <c r="CW397" s="51"/>
      <c r="CX397" s="51"/>
      <c r="CY397" s="51"/>
      <c r="CZ397" s="51"/>
      <c r="DA397" s="51"/>
      <c r="DB397" s="51"/>
      <c r="DC397" s="51"/>
      <c r="DD397" s="51"/>
      <c r="DE397" s="51"/>
      <c r="DF397" s="51"/>
      <c r="DG397" s="51"/>
      <c r="DH397" s="51"/>
      <c r="DI397" s="51"/>
      <c r="DJ397" s="51"/>
      <c r="DK397" s="51"/>
      <c r="DL397" s="51"/>
      <c r="DM397" s="51"/>
      <c r="DN397" s="51"/>
      <c r="DO397" s="51"/>
      <c r="DP397" s="51"/>
      <c r="DQ397" s="51"/>
      <c r="DR397" s="51"/>
      <c r="DS397" s="51"/>
      <c r="DT397" s="51"/>
      <c r="DU397" s="51"/>
      <c r="DV397" s="51"/>
      <c r="DW397" s="51"/>
      <c r="DX397" s="51"/>
      <c r="DY397" s="51"/>
      <c r="DZ397" s="51"/>
      <c r="EA397" s="51"/>
      <c r="EB397" s="51"/>
      <c r="EC397" s="51"/>
      <c r="ED397" s="51"/>
      <c r="EE397" s="51"/>
      <c r="EF397" s="51"/>
      <c r="EG397" s="51"/>
      <c r="EH397" s="51"/>
      <c r="EI397" s="51"/>
      <c r="EJ397" s="51"/>
      <c r="EK397" s="51"/>
      <c r="EL397" s="51"/>
      <c r="EM397" s="51"/>
      <c r="EN397" s="51"/>
      <c r="EO397" s="51"/>
      <c r="EP397" s="51"/>
      <c r="EQ397" s="51"/>
      <c r="ER397" s="51"/>
      <c r="ES397" s="51"/>
      <c r="ET397" s="51"/>
      <c r="EU397" s="51"/>
      <c r="EV397" s="51"/>
      <c r="EW397" s="51"/>
      <c r="EX397" s="51"/>
      <c r="EY397" s="51"/>
      <c r="EZ397" s="51"/>
      <c r="FA397" s="51"/>
      <c r="FB397" s="51"/>
      <c r="FC397" s="51"/>
      <c r="FD397" s="51"/>
      <c r="FE397" s="51"/>
      <c r="FF397" s="51"/>
      <c r="FG397" s="51"/>
      <c r="FH397" s="51"/>
      <c r="FI397" s="51"/>
      <c r="FJ397" s="51"/>
      <c r="FK397" s="51"/>
      <c r="FL397" s="51"/>
      <c r="FM397" s="51"/>
      <c r="FN397" s="51"/>
      <c r="FO397" s="51"/>
      <c r="FP397" s="51"/>
      <c r="FQ397" s="51"/>
      <c r="FR397" s="51"/>
      <c r="FS397" s="51"/>
      <c r="FT397" s="51"/>
      <c r="FU397" s="51"/>
      <c r="FV397" s="51"/>
      <c r="FW397" s="51"/>
      <c r="FX397" s="51"/>
      <c r="FY397" s="51"/>
      <c r="FZ397" s="51"/>
      <c r="GA397" s="51"/>
      <c r="GB397" s="51"/>
      <c r="GC397" s="51"/>
      <c r="GD397" s="51"/>
      <c r="GE397" s="51"/>
      <c r="GF397" s="51"/>
      <c r="GG397" s="51"/>
      <c r="GH397" s="51"/>
      <c r="GI397" s="51"/>
      <c r="GJ397" s="51"/>
      <c r="GK397" s="51"/>
      <c r="GL397" s="51"/>
      <c r="GM397" s="51"/>
      <c r="GN397" s="51"/>
      <c r="GO397" s="51"/>
      <c r="GP397" s="51"/>
      <c r="GQ397" s="51"/>
      <c r="GR397" s="51"/>
      <c r="GS397" s="51"/>
      <c r="GT397" s="51"/>
      <c r="GU397" s="51"/>
      <c r="GV397" s="51"/>
      <c r="GW397" s="51"/>
      <c r="GX397" s="51"/>
      <c r="GY397" s="51"/>
      <c r="GZ397" s="51"/>
      <c r="HA397" s="51"/>
      <c r="HB397" s="51"/>
      <c r="HC397" s="51"/>
      <c r="HD397" s="51"/>
      <c r="HE397" s="51"/>
      <c r="HF397" s="51"/>
      <c r="HG397" s="51"/>
      <c r="HH397" s="51"/>
      <c r="HI397" s="51"/>
      <c r="HJ397" s="51"/>
      <c r="HK397" s="51"/>
      <c r="HL397" s="51"/>
      <c r="HM397" s="51"/>
      <c r="HN397" s="51"/>
      <c r="HO397" s="51"/>
      <c r="HP397" s="51"/>
      <c r="HQ397" s="51"/>
      <c r="HR397" s="51"/>
      <c r="HS397" s="51"/>
      <c r="HT397" s="51"/>
      <c r="HU397" s="51"/>
      <c r="HV397" s="51"/>
      <c r="HW397" s="51"/>
      <c r="HX397" s="51"/>
      <c r="HY397" s="51"/>
      <c r="HZ397" s="51"/>
      <c r="IA397" s="51"/>
      <c r="IB397" s="51"/>
      <c r="IC397" s="51"/>
      <c r="ID397" s="51"/>
      <c r="IE397" s="51"/>
      <c r="IF397" s="51"/>
      <c r="IG397" s="51"/>
      <c r="IH397" s="51"/>
      <c r="II397" s="51"/>
      <c r="IJ397" s="51"/>
      <c r="IK397" s="51"/>
      <c r="IL397" s="51"/>
      <c r="IM397" s="51"/>
      <c r="IN397" s="51"/>
      <c r="IO397" s="51"/>
      <c r="IP397" s="51"/>
      <c r="IQ397" s="51"/>
      <c r="IR397" s="51"/>
      <c r="IS397" s="51"/>
      <c r="IT397" s="51"/>
      <c r="IU397" s="51"/>
      <c r="IV397" s="51"/>
    </row>
    <row r="398" hidden="1">
      <c r="B398" s="829" t="s">
        <v>16</v>
      </c>
      <c r="C398" s="823">
        <v>0</v>
      </c>
      <c r="D398" s="823">
        <v>0</v>
      </c>
      <c r="E398" s="823">
        <v>0</v>
      </c>
      <c r="F398" s="823">
        <v>0</v>
      </c>
      <c r="G398" s="823">
        <v>0</v>
      </c>
      <c r="H398" s="823">
        <v>0</v>
      </c>
      <c r="I398" s="823">
        <v>0</v>
      </c>
      <c r="J398" s="823">
        <v>0</v>
      </c>
      <c r="K398" s="823">
        <v>0</v>
      </c>
      <c r="L398" s="823">
        <v>0</v>
      </c>
      <c r="M398" s="823">
        <v>0</v>
      </c>
      <c r="N398" s="823">
        <v>0</v>
      </c>
      <c r="O398" s="823">
        <v>0</v>
      </c>
      <c r="P398" s="823">
        <v>0</v>
      </c>
      <c r="Q398" s="823">
        <v>171</v>
      </c>
      <c r="R398" s="823">
        <v>225</v>
      </c>
      <c r="S398" s="823">
        <v>316</v>
      </c>
      <c r="T398" s="823">
        <v>341</v>
      </c>
      <c r="U398" s="823">
        <v>400</v>
      </c>
      <c r="V398" s="823">
        <v>442</v>
      </c>
      <c r="W398" s="823">
        <v>536</v>
      </c>
      <c r="X398" s="823">
        <v>581</v>
      </c>
      <c r="Y398" s="823">
        <v>341</v>
      </c>
      <c r="Z398" s="823">
        <v>342</v>
      </c>
      <c r="AA398" s="823">
        <v>336</v>
      </c>
      <c r="AB398" s="823">
        <v>348</v>
      </c>
      <c r="AC398" s="825">
        <v>349</v>
      </c>
      <c r="AD398" s="825">
        <v>339</v>
      </c>
      <c r="AE398" s="825">
        <v>364</v>
      </c>
      <c r="AF398" s="825">
        <v>364</v>
      </c>
      <c r="AG398" s="825">
        <v>361</v>
      </c>
      <c r="AH398" s="825">
        <v>358</v>
      </c>
      <c r="AI398" s="825">
        <v>356</v>
      </c>
      <c r="AJ398" s="825">
        <v>348</v>
      </c>
      <c r="AK398" s="825">
        <v>341</v>
      </c>
      <c r="AL398" s="825">
        <v>337</v>
      </c>
      <c r="AM398" s="825">
        <v>336</v>
      </c>
      <c r="AN398" s="825">
        <v>335</v>
      </c>
      <c r="AO398" s="825">
        <v>331</v>
      </c>
      <c r="AP398" s="825">
        <v>331</v>
      </c>
      <c r="AQ398" s="51"/>
      <c r="AR398" s="51"/>
      <c r="AS398" s="51"/>
      <c r="AT398" s="51"/>
      <c r="AU398" s="51"/>
      <c r="AV398" s="51"/>
      <c r="AW398" s="51"/>
      <c r="AX398" s="51"/>
      <c r="AY398" s="51"/>
      <c r="AZ398" s="51"/>
      <c r="BA398" s="51"/>
      <c r="BB398" s="51"/>
      <c r="BC398" s="51"/>
      <c r="BD398" s="51"/>
      <c r="BE398" s="51"/>
      <c r="BF398" s="51"/>
      <c r="BG398" s="51"/>
      <c r="BH398" s="51"/>
      <c r="BI398" s="51"/>
      <c r="BJ398" s="51"/>
      <c r="BK398" s="51"/>
      <c r="BL398" s="51"/>
      <c r="BM398" s="51"/>
      <c r="BN398" s="51"/>
      <c r="BO398" s="51"/>
      <c r="BP398" s="51"/>
      <c r="BQ398" s="51"/>
      <c r="BR398" s="51"/>
      <c r="BS398" s="51"/>
      <c r="BT398" s="51"/>
      <c r="BU398" s="51"/>
      <c r="BV398" s="51"/>
      <c r="BW398" s="51"/>
      <c r="BX398" s="51"/>
      <c r="BY398" s="51"/>
      <c r="BZ398" s="51"/>
      <c r="CA398" s="51"/>
      <c r="CB398" s="51"/>
      <c r="CC398" s="51"/>
      <c r="CD398" s="51"/>
      <c r="CE398" s="51"/>
      <c r="CF398" s="51"/>
      <c r="CG398" s="51"/>
      <c r="CH398" s="51"/>
      <c r="CI398" s="51"/>
      <c r="CJ398" s="51"/>
      <c r="CK398" s="51"/>
      <c r="CL398" s="51"/>
      <c r="CM398" s="51"/>
      <c r="CN398" s="51"/>
      <c r="CO398" s="51"/>
      <c r="CP398" s="51"/>
      <c r="CQ398" s="51"/>
      <c r="CR398" s="51"/>
      <c r="CS398" s="51"/>
      <c r="CT398" s="51"/>
      <c r="CU398" s="51"/>
      <c r="CV398" s="51"/>
      <c r="CW398" s="51"/>
      <c r="CX398" s="51"/>
      <c r="CY398" s="51"/>
      <c r="CZ398" s="51"/>
      <c r="DA398" s="51"/>
      <c r="DB398" s="51"/>
      <c r="DC398" s="51"/>
      <c r="DD398" s="51"/>
      <c r="DE398" s="51"/>
      <c r="DF398" s="51"/>
      <c r="DG398" s="51"/>
      <c r="DH398" s="51"/>
      <c r="DI398" s="51"/>
      <c r="DJ398" s="51"/>
      <c r="DK398" s="51"/>
      <c r="DL398" s="51"/>
      <c r="DM398" s="51"/>
      <c r="DN398" s="51"/>
      <c r="DO398" s="51"/>
      <c r="DP398" s="51"/>
      <c r="DQ398" s="51"/>
      <c r="DR398" s="51"/>
      <c r="DS398" s="51"/>
      <c r="DT398" s="51"/>
      <c r="DU398" s="51"/>
      <c r="DV398" s="51"/>
      <c r="DW398" s="51"/>
      <c r="DX398" s="51"/>
      <c r="DY398" s="51"/>
      <c r="DZ398" s="51"/>
      <c r="EA398" s="51"/>
      <c r="EB398" s="51"/>
      <c r="EC398" s="51"/>
      <c r="ED398" s="51"/>
      <c r="EE398" s="51"/>
      <c r="EF398" s="51"/>
      <c r="EG398" s="51"/>
      <c r="EH398" s="51"/>
      <c r="EI398" s="51"/>
      <c r="EJ398" s="51"/>
      <c r="EK398" s="51"/>
      <c r="EL398" s="51"/>
      <c r="EM398" s="51"/>
      <c r="EN398" s="51"/>
      <c r="EO398" s="51"/>
      <c r="EP398" s="51"/>
      <c r="EQ398" s="51"/>
      <c r="ER398" s="51"/>
      <c r="ES398" s="51"/>
      <c r="ET398" s="51"/>
      <c r="EU398" s="51"/>
      <c r="EV398" s="51"/>
      <c r="EW398" s="51"/>
      <c r="EX398" s="51"/>
      <c r="EY398" s="51"/>
      <c r="EZ398" s="51"/>
      <c r="FA398" s="51"/>
      <c r="FB398" s="51"/>
      <c r="FC398" s="51"/>
      <c r="FD398" s="51"/>
      <c r="FE398" s="51"/>
      <c r="FF398" s="51"/>
      <c r="FG398" s="51"/>
      <c r="FH398" s="51"/>
      <c r="FI398" s="51"/>
      <c r="FJ398" s="51"/>
      <c r="FK398" s="51"/>
      <c r="FL398" s="51"/>
      <c r="FM398" s="51"/>
      <c r="FN398" s="51"/>
      <c r="FO398" s="51"/>
      <c r="FP398" s="51"/>
      <c r="FQ398" s="51"/>
      <c r="FR398" s="51"/>
      <c r="FS398" s="51"/>
      <c r="FT398" s="51"/>
      <c r="FU398" s="51"/>
      <c r="FV398" s="51"/>
      <c r="FW398" s="51"/>
      <c r="FX398" s="51"/>
      <c r="FY398" s="51"/>
      <c r="FZ398" s="51"/>
      <c r="GA398" s="51"/>
      <c r="GB398" s="51"/>
      <c r="GC398" s="51"/>
      <c r="GD398" s="51"/>
      <c r="GE398" s="51"/>
      <c r="GF398" s="51"/>
      <c r="GG398" s="51"/>
      <c r="GH398" s="51"/>
      <c r="GI398" s="51"/>
      <c r="GJ398" s="51"/>
      <c r="GK398" s="51"/>
      <c r="GL398" s="51"/>
      <c r="GM398" s="51"/>
      <c r="GN398" s="51"/>
      <c r="GO398" s="51"/>
      <c r="GP398" s="51"/>
      <c r="GQ398" s="51"/>
      <c r="GR398" s="51"/>
      <c r="GS398" s="51"/>
      <c r="GT398" s="51"/>
      <c r="GU398" s="51"/>
      <c r="GV398" s="51"/>
      <c r="GW398" s="51"/>
      <c r="GX398" s="51"/>
      <c r="GY398" s="51"/>
      <c r="GZ398" s="51"/>
      <c r="HA398" s="51"/>
      <c r="HB398" s="51"/>
      <c r="HC398" s="51"/>
      <c r="HD398" s="51"/>
      <c r="HE398" s="51"/>
      <c r="HF398" s="51"/>
      <c r="HG398" s="51"/>
      <c r="HH398" s="51"/>
      <c r="HI398" s="51"/>
      <c r="HJ398" s="51"/>
      <c r="HK398" s="51"/>
      <c r="HL398" s="51"/>
      <c r="HM398" s="51"/>
      <c r="HN398" s="51"/>
      <c r="HO398" s="51"/>
      <c r="HP398" s="51"/>
      <c r="HQ398" s="51"/>
      <c r="HR398" s="51"/>
      <c r="HS398" s="51"/>
      <c r="HT398" s="51"/>
      <c r="HU398" s="51"/>
      <c r="HV398" s="51"/>
      <c r="HW398" s="51"/>
      <c r="HX398" s="51"/>
      <c r="HY398" s="51"/>
      <c r="HZ398" s="51"/>
      <c r="IA398" s="51"/>
      <c r="IB398" s="51"/>
      <c r="IC398" s="51"/>
      <c r="ID398" s="51"/>
      <c r="IE398" s="51"/>
      <c r="IF398" s="51"/>
      <c r="IG398" s="51"/>
      <c r="IH398" s="51"/>
      <c r="II398" s="51"/>
      <c r="IJ398" s="51"/>
      <c r="IK398" s="51"/>
      <c r="IL398" s="51"/>
      <c r="IM398" s="51"/>
      <c r="IN398" s="51"/>
      <c r="IO398" s="51"/>
      <c r="IP398" s="51"/>
      <c r="IQ398" s="51"/>
      <c r="IR398" s="51"/>
      <c r="IS398" s="51"/>
      <c r="IT398" s="51"/>
      <c r="IU398" s="51"/>
      <c r="IV398" s="51"/>
    </row>
    <row r="399" hidden="1">
      <c r="B399" s="826" t="s">
        <v>17</v>
      </c>
      <c r="C399" s="827">
        <v>0</v>
      </c>
      <c r="D399" s="827">
        <v>0</v>
      </c>
      <c r="E399" s="827">
        <v>0</v>
      </c>
      <c r="F399" s="827">
        <v>0</v>
      </c>
      <c r="G399" s="827">
        <v>0</v>
      </c>
      <c r="H399" s="827">
        <v>0</v>
      </c>
      <c r="I399" s="827">
        <v>0</v>
      </c>
      <c r="J399" s="827">
        <v>0</v>
      </c>
      <c r="K399" s="827">
        <v>0</v>
      </c>
      <c r="L399" s="827">
        <v>0</v>
      </c>
      <c r="M399" s="827">
        <v>0</v>
      </c>
      <c r="N399" s="827">
        <v>0</v>
      </c>
      <c r="O399" s="827">
        <v>0</v>
      </c>
      <c r="P399" s="827">
        <v>2</v>
      </c>
      <c r="Q399" s="827">
        <v>8</v>
      </c>
      <c r="R399" s="827">
        <v>10</v>
      </c>
      <c r="S399" s="827">
        <v>13</v>
      </c>
      <c r="T399" s="827">
        <v>13</v>
      </c>
      <c r="U399" s="827">
        <v>20</v>
      </c>
      <c r="V399" s="827">
        <v>22</v>
      </c>
      <c r="W399" s="827">
        <v>22</v>
      </c>
      <c r="X399" s="827">
        <v>25</v>
      </c>
      <c r="Y399" s="827">
        <v>34</v>
      </c>
      <c r="Z399" s="827">
        <v>34</v>
      </c>
      <c r="AA399" s="827">
        <v>37</v>
      </c>
      <c r="AB399" s="827">
        <v>46</v>
      </c>
      <c r="AC399" s="828">
        <v>52</v>
      </c>
      <c r="AD399" s="828">
        <v>58</v>
      </c>
      <c r="AE399" s="828">
        <v>62</v>
      </c>
      <c r="AF399" s="828">
        <v>72</v>
      </c>
      <c r="AG399" s="828">
        <v>83</v>
      </c>
      <c r="AH399" s="828">
        <v>87</v>
      </c>
      <c r="AI399" s="828">
        <v>92</v>
      </c>
      <c r="AJ399" s="828">
        <v>93</v>
      </c>
      <c r="AK399" s="828">
        <v>102</v>
      </c>
      <c r="AL399" s="828">
        <v>104</v>
      </c>
      <c r="AM399" s="828">
        <v>110</v>
      </c>
      <c r="AN399" s="828">
        <v>117</v>
      </c>
      <c r="AO399" s="828">
        <v>126</v>
      </c>
      <c r="AP399" s="828">
        <v>131</v>
      </c>
      <c r="AQ399" s="51"/>
      <c r="AR399" s="51"/>
      <c r="AS399" s="51"/>
      <c r="AT399" s="51"/>
      <c r="AU399" s="51"/>
      <c r="AV399" s="51"/>
      <c r="AW399" s="51"/>
      <c r="AX399" s="51"/>
      <c r="AY399" s="51"/>
      <c r="AZ399" s="51"/>
      <c r="BA399" s="51"/>
      <c r="BB399" s="51"/>
      <c r="BC399" s="51"/>
      <c r="BD399" s="51"/>
      <c r="BE399" s="51"/>
      <c r="BF399" s="51"/>
      <c r="BG399" s="51"/>
      <c r="BH399" s="51"/>
      <c r="BI399" s="51"/>
      <c r="BJ399" s="51"/>
      <c r="BK399" s="51"/>
      <c r="BL399" s="51"/>
      <c r="BM399" s="51"/>
      <c r="BN399" s="51"/>
      <c r="BO399" s="51"/>
      <c r="BP399" s="51"/>
      <c r="BQ399" s="51"/>
      <c r="BR399" s="51"/>
      <c r="BS399" s="51"/>
      <c r="BT399" s="51"/>
      <c r="BU399" s="51"/>
      <c r="BV399" s="51"/>
      <c r="BW399" s="51"/>
      <c r="BX399" s="51"/>
      <c r="BY399" s="51"/>
      <c r="BZ399" s="51"/>
      <c r="CA399" s="51"/>
      <c r="CB399" s="51"/>
      <c r="CC399" s="51"/>
      <c r="CD399" s="51"/>
      <c r="CE399" s="51"/>
      <c r="CF399" s="51"/>
      <c r="CG399" s="51"/>
      <c r="CH399" s="51"/>
      <c r="CI399" s="51"/>
      <c r="CJ399" s="51"/>
      <c r="CK399" s="51"/>
      <c r="CL399" s="51"/>
      <c r="CM399" s="51"/>
      <c r="CN399" s="51"/>
      <c r="CO399" s="51"/>
      <c r="CP399" s="51"/>
      <c r="CQ399" s="51"/>
      <c r="CR399" s="51"/>
      <c r="CS399" s="51"/>
      <c r="CT399" s="51"/>
      <c r="CU399" s="51"/>
      <c r="CV399" s="51"/>
      <c r="CW399" s="51"/>
      <c r="CX399" s="51"/>
      <c r="CY399" s="51"/>
      <c r="CZ399" s="51"/>
      <c r="DA399" s="51"/>
      <c r="DB399" s="51"/>
      <c r="DC399" s="51"/>
      <c r="DD399" s="51"/>
      <c r="DE399" s="51"/>
      <c r="DF399" s="51"/>
      <c r="DG399" s="51"/>
      <c r="DH399" s="51"/>
      <c r="DI399" s="51"/>
      <c r="DJ399" s="51"/>
      <c r="DK399" s="51"/>
      <c r="DL399" s="51"/>
      <c r="DM399" s="51"/>
      <c r="DN399" s="51"/>
      <c r="DO399" s="51"/>
      <c r="DP399" s="51"/>
      <c r="DQ399" s="51"/>
      <c r="DR399" s="51"/>
      <c r="DS399" s="51"/>
      <c r="DT399" s="51"/>
      <c r="DU399" s="51"/>
      <c r="DV399" s="51"/>
      <c r="DW399" s="51"/>
      <c r="DX399" s="51"/>
      <c r="DY399" s="51"/>
      <c r="DZ399" s="51"/>
      <c r="EA399" s="51"/>
      <c r="EB399" s="51"/>
      <c r="EC399" s="51"/>
      <c r="ED399" s="51"/>
      <c r="EE399" s="51"/>
      <c r="EF399" s="51"/>
      <c r="EG399" s="51"/>
      <c r="EH399" s="51"/>
      <c r="EI399" s="51"/>
      <c r="EJ399" s="51"/>
      <c r="EK399" s="51"/>
      <c r="EL399" s="51"/>
      <c r="EM399" s="51"/>
      <c r="EN399" s="51"/>
      <c r="EO399" s="51"/>
      <c r="EP399" s="51"/>
      <c r="EQ399" s="51"/>
      <c r="ER399" s="51"/>
      <c r="ES399" s="51"/>
      <c r="ET399" s="51"/>
      <c r="EU399" s="51"/>
      <c r="EV399" s="51"/>
      <c r="EW399" s="51"/>
      <c r="EX399" s="51"/>
      <c r="EY399" s="51"/>
      <c r="EZ399" s="51"/>
      <c r="FA399" s="51"/>
      <c r="FB399" s="51"/>
      <c r="FC399" s="51"/>
      <c r="FD399" s="51"/>
      <c r="FE399" s="51"/>
      <c r="FF399" s="51"/>
      <c r="FG399" s="51"/>
      <c r="FH399" s="51"/>
      <c r="FI399" s="51"/>
      <c r="FJ399" s="51"/>
      <c r="FK399" s="51"/>
      <c r="FL399" s="51"/>
      <c r="FM399" s="51"/>
      <c r="FN399" s="51"/>
      <c r="FO399" s="51"/>
      <c r="FP399" s="51"/>
      <c r="FQ399" s="51"/>
      <c r="FR399" s="51"/>
      <c r="FS399" s="51"/>
      <c r="FT399" s="51"/>
      <c r="FU399" s="51"/>
      <c r="FV399" s="51"/>
      <c r="FW399" s="51"/>
      <c r="FX399" s="51"/>
      <c r="FY399" s="51"/>
      <c r="FZ399" s="51"/>
      <c r="GA399" s="51"/>
      <c r="GB399" s="51"/>
      <c r="GC399" s="51"/>
      <c r="GD399" s="51"/>
      <c r="GE399" s="51"/>
      <c r="GF399" s="51"/>
      <c r="GG399" s="51"/>
      <c r="GH399" s="51"/>
      <c r="GI399" s="51"/>
      <c r="GJ399" s="51"/>
      <c r="GK399" s="51"/>
      <c r="GL399" s="51"/>
      <c r="GM399" s="51"/>
      <c r="GN399" s="51"/>
      <c r="GO399" s="51"/>
      <c r="GP399" s="51"/>
      <c r="GQ399" s="51"/>
      <c r="GR399" s="51"/>
      <c r="GS399" s="51"/>
      <c r="GT399" s="51"/>
      <c r="GU399" s="51"/>
      <c r="GV399" s="51"/>
      <c r="GW399" s="51"/>
      <c r="GX399" s="51"/>
      <c r="GY399" s="51"/>
      <c r="GZ399" s="51"/>
      <c r="HA399" s="51"/>
      <c r="HB399" s="51"/>
      <c r="HC399" s="51"/>
      <c r="HD399" s="51"/>
      <c r="HE399" s="51"/>
      <c r="HF399" s="51"/>
      <c r="HG399" s="51"/>
      <c r="HH399" s="51"/>
      <c r="HI399" s="51"/>
      <c r="HJ399" s="51"/>
      <c r="HK399" s="51"/>
      <c r="HL399" s="51"/>
      <c r="HM399" s="51"/>
      <c r="HN399" s="51"/>
      <c r="HO399" s="51"/>
      <c r="HP399" s="51"/>
      <c r="HQ399" s="51"/>
      <c r="HR399" s="51"/>
      <c r="HS399" s="51"/>
      <c r="HT399" s="51"/>
      <c r="HU399" s="51"/>
      <c r="HV399" s="51"/>
      <c r="HW399" s="51"/>
      <c r="HX399" s="51"/>
      <c r="HY399" s="51"/>
      <c r="HZ399" s="51"/>
      <c r="IA399" s="51"/>
      <c r="IB399" s="51"/>
      <c r="IC399" s="51"/>
      <c r="ID399" s="51"/>
      <c r="IE399" s="51"/>
      <c r="IF399" s="51"/>
      <c r="IG399" s="51"/>
      <c r="IH399" s="51"/>
      <c r="II399" s="51"/>
      <c r="IJ399" s="51"/>
      <c r="IK399" s="51"/>
      <c r="IL399" s="51"/>
      <c r="IM399" s="51"/>
      <c r="IN399" s="51"/>
      <c r="IO399" s="51"/>
      <c r="IP399" s="51"/>
      <c r="IQ399" s="51"/>
      <c r="IR399" s="51"/>
      <c r="IS399" s="51"/>
      <c r="IT399" s="51"/>
      <c r="IU399" s="51"/>
      <c r="IV399" s="51"/>
    </row>
    <row r="400" hidden="1">
      <c r="B400" s="829" t="s">
        <v>18</v>
      </c>
      <c r="C400" s="823">
        <v>0</v>
      </c>
      <c r="D400" s="823">
        <v>0</v>
      </c>
      <c r="E400" s="823">
        <v>0</v>
      </c>
      <c r="F400" s="823">
        <v>0</v>
      </c>
      <c r="G400" s="823">
        <v>0</v>
      </c>
      <c r="H400" s="823">
        <v>0</v>
      </c>
      <c r="I400" s="823">
        <v>0</v>
      </c>
      <c r="J400" s="823">
        <v>0</v>
      </c>
      <c r="K400" s="823">
        <v>0</v>
      </c>
      <c r="L400" s="823">
        <v>0</v>
      </c>
      <c r="M400" s="823">
        <v>0</v>
      </c>
      <c r="N400" s="823">
        <v>0</v>
      </c>
      <c r="O400" s="823">
        <v>0</v>
      </c>
      <c r="P400" s="823">
        <v>26</v>
      </c>
      <c r="Q400" s="823">
        <v>32</v>
      </c>
      <c r="R400" s="823">
        <v>31</v>
      </c>
      <c r="S400" s="823">
        <v>34</v>
      </c>
      <c r="T400" s="823">
        <v>36</v>
      </c>
      <c r="U400" s="823">
        <v>43</v>
      </c>
      <c r="V400" s="823">
        <v>56</v>
      </c>
      <c r="W400" s="823">
        <v>78</v>
      </c>
      <c r="X400" s="823">
        <v>91</v>
      </c>
      <c r="Y400" s="823">
        <v>92</v>
      </c>
      <c r="Z400" s="823">
        <v>92</v>
      </c>
      <c r="AA400" s="823">
        <v>86</v>
      </c>
      <c r="AB400" s="823">
        <v>86</v>
      </c>
      <c r="AC400" s="825">
        <v>84</v>
      </c>
      <c r="AD400" s="825">
        <v>86</v>
      </c>
      <c r="AE400" s="825">
        <v>85</v>
      </c>
      <c r="AF400" s="825">
        <v>86</v>
      </c>
      <c r="AG400" s="825">
        <v>87</v>
      </c>
      <c r="AH400" s="825">
        <v>94</v>
      </c>
      <c r="AI400" s="825">
        <v>85</v>
      </c>
      <c r="AJ400" s="825">
        <v>88</v>
      </c>
      <c r="AK400" s="825">
        <v>90</v>
      </c>
      <c r="AL400" s="825">
        <v>95</v>
      </c>
      <c r="AM400" s="825">
        <v>95</v>
      </c>
      <c r="AN400" s="825">
        <v>92</v>
      </c>
      <c r="AO400" s="825">
        <v>93</v>
      </c>
      <c r="AP400" s="825">
        <v>94</v>
      </c>
      <c r="AQ400" s="51"/>
      <c r="AR400" s="51"/>
      <c r="AS400" s="51"/>
      <c r="AT400" s="51"/>
      <c r="AU400" s="51"/>
      <c r="AV400" s="51"/>
      <c r="AW400" s="51"/>
      <c r="AX400" s="51"/>
      <c r="AY400" s="51"/>
      <c r="AZ400" s="51"/>
      <c r="BA400" s="51"/>
      <c r="BB400" s="51"/>
      <c r="BC400" s="51"/>
      <c r="BD400" s="51"/>
      <c r="BE400" s="51"/>
      <c r="BF400" s="51"/>
      <c r="BG400" s="51"/>
      <c r="BH400" s="51"/>
      <c r="BI400" s="51"/>
      <c r="BJ400" s="51"/>
      <c r="BK400" s="51"/>
      <c r="BL400" s="51"/>
      <c r="BM400" s="51"/>
      <c r="BN400" s="51"/>
      <c r="BO400" s="51"/>
      <c r="BP400" s="51"/>
      <c r="BQ400" s="51"/>
      <c r="BR400" s="51"/>
      <c r="BS400" s="51"/>
      <c r="BT400" s="51"/>
      <c r="BU400" s="51"/>
      <c r="BV400" s="51"/>
      <c r="BW400" s="51"/>
      <c r="BX400" s="51"/>
      <c r="BY400" s="51"/>
      <c r="BZ400" s="51"/>
      <c r="CA400" s="51"/>
      <c r="CB400" s="51"/>
      <c r="CC400" s="51"/>
      <c r="CD400" s="51"/>
      <c r="CE400" s="51"/>
      <c r="CF400" s="51"/>
      <c r="CG400" s="51"/>
      <c r="CH400" s="51"/>
      <c r="CI400" s="51"/>
      <c r="CJ400" s="51"/>
      <c r="CK400" s="51"/>
      <c r="CL400" s="51"/>
      <c r="CM400" s="51"/>
      <c r="CN400" s="51"/>
      <c r="CO400" s="51"/>
      <c r="CP400" s="51"/>
      <c r="CQ400" s="51"/>
      <c r="CR400" s="51"/>
      <c r="CS400" s="51"/>
      <c r="CT400" s="51"/>
      <c r="CU400" s="51"/>
      <c r="CV400" s="51"/>
      <c r="CW400" s="51"/>
      <c r="CX400" s="51"/>
      <c r="CY400" s="51"/>
      <c r="CZ400" s="51"/>
      <c r="DA400" s="51"/>
      <c r="DB400" s="51"/>
      <c r="DC400" s="51"/>
      <c r="DD400" s="51"/>
      <c r="DE400" s="51"/>
      <c r="DF400" s="51"/>
      <c r="DG400" s="51"/>
      <c r="DH400" s="51"/>
      <c r="DI400" s="51"/>
      <c r="DJ400" s="51"/>
      <c r="DK400" s="51"/>
      <c r="DL400" s="51"/>
      <c r="DM400" s="51"/>
      <c r="DN400" s="51"/>
      <c r="DO400" s="51"/>
      <c r="DP400" s="51"/>
      <c r="DQ400" s="51"/>
      <c r="DR400" s="51"/>
      <c r="DS400" s="51"/>
      <c r="DT400" s="51"/>
      <c r="DU400" s="51"/>
      <c r="DV400" s="51"/>
      <c r="DW400" s="51"/>
      <c r="DX400" s="51"/>
      <c r="DY400" s="51"/>
      <c r="DZ400" s="51"/>
      <c r="EA400" s="51"/>
      <c r="EB400" s="51"/>
      <c r="EC400" s="51"/>
      <c r="ED400" s="51"/>
      <c r="EE400" s="51"/>
      <c r="EF400" s="51"/>
      <c r="EG400" s="51"/>
      <c r="EH400" s="51"/>
      <c r="EI400" s="51"/>
      <c r="EJ400" s="51"/>
      <c r="EK400" s="51"/>
      <c r="EL400" s="51"/>
      <c r="EM400" s="51"/>
      <c r="EN400" s="51"/>
      <c r="EO400" s="51"/>
      <c r="EP400" s="51"/>
      <c r="EQ400" s="51"/>
      <c r="ER400" s="51"/>
      <c r="ES400" s="51"/>
      <c r="ET400" s="51"/>
      <c r="EU400" s="51"/>
      <c r="EV400" s="51"/>
      <c r="EW400" s="51"/>
      <c r="EX400" s="51"/>
      <c r="EY400" s="51"/>
      <c r="EZ400" s="51"/>
      <c r="FA400" s="51"/>
      <c r="FB400" s="51"/>
      <c r="FC400" s="51"/>
      <c r="FD400" s="51"/>
      <c r="FE400" s="51"/>
      <c r="FF400" s="51"/>
      <c r="FG400" s="51"/>
      <c r="FH400" s="51"/>
      <c r="FI400" s="51"/>
      <c r="FJ400" s="51"/>
      <c r="FK400" s="51"/>
      <c r="FL400" s="51"/>
      <c r="FM400" s="51"/>
      <c r="FN400" s="51"/>
      <c r="FO400" s="51"/>
      <c r="FP400" s="51"/>
      <c r="FQ400" s="51"/>
      <c r="FR400" s="51"/>
      <c r="FS400" s="51"/>
      <c r="FT400" s="51"/>
      <c r="FU400" s="51"/>
      <c r="FV400" s="51"/>
      <c r="FW400" s="51"/>
      <c r="FX400" s="51"/>
      <c r="FY400" s="51"/>
      <c r="FZ400" s="51"/>
      <c r="GA400" s="51"/>
      <c r="GB400" s="51"/>
      <c r="GC400" s="51"/>
      <c r="GD400" s="51"/>
      <c r="GE400" s="51"/>
      <c r="GF400" s="51"/>
      <c r="GG400" s="51"/>
      <c r="GH400" s="51"/>
      <c r="GI400" s="51"/>
      <c r="GJ400" s="51"/>
      <c r="GK400" s="51"/>
      <c r="GL400" s="51"/>
      <c r="GM400" s="51"/>
      <c r="GN400" s="51"/>
      <c r="GO400" s="51"/>
      <c r="GP400" s="51"/>
      <c r="GQ400" s="51"/>
      <c r="GR400" s="51"/>
      <c r="GS400" s="51"/>
      <c r="GT400" s="51"/>
      <c r="GU400" s="51"/>
      <c r="GV400" s="51"/>
      <c r="GW400" s="51"/>
      <c r="GX400" s="51"/>
      <c r="GY400" s="51"/>
      <c r="GZ400" s="51"/>
      <c r="HA400" s="51"/>
      <c r="HB400" s="51"/>
      <c r="HC400" s="51"/>
      <c r="HD400" s="51"/>
      <c r="HE400" s="51"/>
      <c r="HF400" s="51"/>
      <c r="HG400" s="51"/>
      <c r="HH400" s="51"/>
      <c r="HI400" s="51"/>
      <c r="HJ400" s="51"/>
      <c r="HK400" s="51"/>
      <c r="HL400" s="51"/>
      <c r="HM400" s="51"/>
      <c r="HN400" s="51"/>
      <c r="HO400" s="51"/>
      <c r="HP400" s="51"/>
      <c r="HQ400" s="51"/>
      <c r="HR400" s="51"/>
      <c r="HS400" s="51"/>
      <c r="HT400" s="51"/>
      <c r="HU400" s="51"/>
      <c r="HV400" s="51"/>
      <c r="HW400" s="51"/>
      <c r="HX400" s="51"/>
      <c r="HY400" s="51"/>
      <c r="HZ400" s="51"/>
      <c r="IA400" s="51"/>
      <c r="IB400" s="51"/>
      <c r="IC400" s="51"/>
      <c r="ID400" s="51"/>
      <c r="IE400" s="51"/>
      <c r="IF400" s="51"/>
      <c r="IG400" s="51"/>
      <c r="IH400" s="51"/>
      <c r="II400" s="51"/>
      <c r="IJ400" s="51"/>
      <c r="IK400" s="51"/>
      <c r="IL400" s="51"/>
      <c r="IM400" s="51"/>
      <c r="IN400" s="51"/>
      <c r="IO400" s="51"/>
      <c r="IP400" s="51"/>
      <c r="IQ400" s="51"/>
      <c r="IR400" s="51"/>
      <c r="IS400" s="51"/>
      <c r="IT400" s="51"/>
      <c r="IU400" s="51"/>
      <c r="IV400" s="51"/>
    </row>
    <row r="401" hidden="1">
      <c r="B401" s="826" t="s">
        <v>19</v>
      </c>
      <c r="C401" s="827">
        <v>0</v>
      </c>
      <c r="D401" s="827">
        <v>0</v>
      </c>
      <c r="E401" s="827">
        <v>0</v>
      </c>
      <c r="F401" s="827">
        <v>0</v>
      </c>
      <c r="G401" s="827">
        <v>0</v>
      </c>
      <c r="H401" s="827">
        <v>0</v>
      </c>
      <c r="I401" s="827">
        <v>0</v>
      </c>
      <c r="J401" s="827">
        <v>0</v>
      </c>
      <c r="K401" s="827">
        <v>0</v>
      </c>
      <c r="L401" s="827">
        <v>0</v>
      </c>
      <c r="M401" s="827">
        <v>0</v>
      </c>
      <c r="N401" s="827">
        <v>0</v>
      </c>
      <c r="O401" s="827">
        <v>0</v>
      </c>
      <c r="P401" s="827">
        <v>156</v>
      </c>
      <c r="Q401" s="827">
        <v>172</v>
      </c>
      <c r="R401" s="827">
        <v>191</v>
      </c>
      <c r="S401" s="827">
        <v>208</v>
      </c>
      <c r="T401" s="827">
        <v>209</v>
      </c>
      <c r="U401" s="827">
        <v>227</v>
      </c>
      <c r="V401" s="827">
        <v>240</v>
      </c>
      <c r="W401" s="827">
        <v>242</v>
      </c>
      <c r="X401" s="827">
        <v>246</v>
      </c>
      <c r="Y401" s="827">
        <v>250</v>
      </c>
      <c r="Z401" s="827">
        <v>254</v>
      </c>
      <c r="AA401" s="827">
        <v>256</v>
      </c>
      <c r="AB401" s="827">
        <v>258</v>
      </c>
      <c r="AC401" s="828">
        <v>260</v>
      </c>
      <c r="AD401" s="828">
        <v>263</v>
      </c>
      <c r="AE401" s="828">
        <v>261</v>
      </c>
      <c r="AF401" s="828">
        <v>261</v>
      </c>
      <c r="AG401" s="828">
        <v>263</v>
      </c>
      <c r="AH401" s="828">
        <v>270</v>
      </c>
      <c r="AI401" s="828">
        <v>272</v>
      </c>
      <c r="AJ401" s="828">
        <v>228</v>
      </c>
      <c r="AK401" s="828">
        <v>250</v>
      </c>
      <c r="AL401" s="828">
        <v>268</v>
      </c>
      <c r="AM401" s="828">
        <v>281</v>
      </c>
      <c r="AN401" s="828">
        <v>284</v>
      </c>
      <c r="AO401" s="828">
        <v>291</v>
      </c>
      <c r="AP401" s="828">
        <v>304</v>
      </c>
      <c r="AQ401" s="51"/>
      <c r="AR401" s="51"/>
      <c r="AS401" s="51"/>
      <c r="AT401" s="51"/>
      <c r="AU401" s="51"/>
      <c r="AV401" s="51"/>
      <c r="AW401" s="51"/>
      <c r="AX401" s="51"/>
      <c r="AY401" s="51"/>
      <c r="AZ401" s="51"/>
      <c r="BA401" s="51"/>
      <c r="BB401" s="51"/>
      <c r="BC401" s="51"/>
      <c r="BD401" s="51"/>
      <c r="BE401" s="51"/>
      <c r="BF401" s="51"/>
      <c r="BG401" s="51"/>
      <c r="BH401" s="51"/>
      <c r="BI401" s="51"/>
      <c r="BJ401" s="51"/>
      <c r="BK401" s="51"/>
      <c r="BL401" s="51"/>
      <c r="BM401" s="51"/>
      <c r="BN401" s="51"/>
      <c r="BO401" s="51"/>
      <c r="BP401" s="51"/>
      <c r="BQ401" s="51"/>
      <c r="BR401" s="51"/>
      <c r="BS401" s="51"/>
      <c r="BT401" s="51"/>
      <c r="BU401" s="51"/>
      <c r="BV401" s="51"/>
      <c r="BW401" s="51"/>
      <c r="BX401" s="51"/>
      <c r="BY401" s="51"/>
      <c r="BZ401" s="51"/>
      <c r="CA401" s="51"/>
      <c r="CB401" s="51"/>
      <c r="CC401" s="51"/>
      <c r="CD401" s="51"/>
      <c r="CE401" s="51"/>
      <c r="CF401" s="51"/>
      <c r="CG401" s="51"/>
      <c r="CH401" s="51"/>
      <c r="CI401" s="51"/>
      <c r="CJ401" s="51"/>
      <c r="CK401" s="51"/>
      <c r="CL401" s="51"/>
      <c r="CM401" s="51"/>
      <c r="CN401" s="51"/>
      <c r="CO401" s="51"/>
      <c r="CP401" s="51"/>
      <c r="CQ401" s="51"/>
      <c r="CR401" s="51"/>
      <c r="CS401" s="51"/>
      <c r="CT401" s="51"/>
      <c r="CU401" s="51"/>
      <c r="CV401" s="51"/>
      <c r="CW401" s="51"/>
      <c r="CX401" s="51"/>
      <c r="CY401" s="51"/>
      <c r="CZ401" s="51"/>
      <c r="DA401" s="51"/>
      <c r="DB401" s="51"/>
      <c r="DC401" s="51"/>
      <c r="DD401" s="51"/>
      <c r="DE401" s="51"/>
      <c r="DF401" s="51"/>
      <c r="DG401" s="51"/>
      <c r="DH401" s="51"/>
      <c r="DI401" s="51"/>
      <c r="DJ401" s="51"/>
      <c r="DK401" s="51"/>
      <c r="DL401" s="51"/>
      <c r="DM401" s="51"/>
      <c r="DN401" s="51"/>
      <c r="DO401" s="51"/>
      <c r="DP401" s="51"/>
      <c r="DQ401" s="51"/>
      <c r="DR401" s="51"/>
      <c r="DS401" s="51"/>
      <c r="DT401" s="51"/>
      <c r="DU401" s="51"/>
      <c r="DV401" s="51"/>
      <c r="DW401" s="51"/>
      <c r="DX401" s="51"/>
      <c r="DY401" s="51"/>
      <c r="DZ401" s="51"/>
      <c r="EA401" s="51"/>
      <c r="EB401" s="51"/>
      <c r="EC401" s="51"/>
      <c r="ED401" s="51"/>
      <c r="EE401" s="51"/>
      <c r="EF401" s="51"/>
      <c r="EG401" s="51"/>
      <c r="EH401" s="51"/>
      <c r="EI401" s="51"/>
      <c r="EJ401" s="51"/>
      <c r="EK401" s="51"/>
      <c r="EL401" s="51"/>
      <c r="EM401" s="51"/>
      <c r="EN401" s="51"/>
      <c r="EO401" s="51"/>
      <c r="EP401" s="51"/>
      <c r="EQ401" s="51"/>
      <c r="ER401" s="51"/>
      <c r="ES401" s="51"/>
      <c r="ET401" s="51"/>
      <c r="EU401" s="51"/>
      <c r="EV401" s="51"/>
      <c r="EW401" s="51"/>
      <c r="EX401" s="51"/>
      <c r="EY401" s="51"/>
      <c r="EZ401" s="51"/>
      <c r="FA401" s="51"/>
      <c r="FB401" s="51"/>
      <c r="FC401" s="51"/>
      <c r="FD401" s="51"/>
      <c r="FE401" s="51"/>
      <c r="FF401" s="51"/>
      <c r="FG401" s="51"/>
      <c r="FH401" s="51"/>
      <c r="FI401" s="51"/>
      <c r="FJ401" s="51"/>
      <c r="FK401" s="51"/>
      <c r="FL401" s="51"/>
      <c r="FM401" s="51"/>
      <c r="FN401" s="51"/>
      <c r="FO401" s="51"/>
      <c r="FP401" s="51"/>
      <c r="FQ401" s="51"/>
      <c r="FR401" s="51"/>
      <c r="FS401" s="51"/>
      <c r="FT401" s="51"/>
      <c r="FU401" s="51"/>
      <c r="FV401" s="51"/>
      <c r="FW401" s="51"/>
      <c r="FX401" s="51"/>
      <c r="FY401" s="51"/>
      <c r="FZ401" s="51"/>
      <c r="GA401" s="51"/>
      <c r="GB401" s="51"/>
      <c r="GC401" s="51"/>
      <c r="GD401" s="51"/>
      <c r="GE401" s="51"/>
      <c r="GF401" s="51"/>
      <c r="GG401" s="51"/>
      <c r="GH401" s="51"/>
      <c r="GI401" s="51"/>
      <c r="GJ401" s="51"/>
      <c r="GK401" s="51"/>
      <c r="GL401" s="51"/>
      <c r="GM401" s="51"/>
      <c r="GN401" s="51"/>
      <c r="GO401" s="51"/>
      <c r="GP401" s="51"/>
      <c r="GQ401" s="51"/>
      <c r="GR401" s="51"/>
      <c r="GS401" s="51"/>
      <c r="GT401" s="51"/>
      <c r="GU401" s="51"/>
      <c r="GV401" s="51"/>
      <c r="GW401" s="51"/>
      <c r="GX401" s="51"/>
      <c r="GY401" s="51"/>
      <c r="GZ401" s="51"/>
      <c r="HA401" s="51"/>
      <c r="HB401" s="51"/>
      <c r="HC401" s="51"/>
      <c r="HD401" s="51"/>
      <c r="HE401" s="51"/>
      <c r="HF401" s="51"/>
      <c r="HG401" s="51"/>
      <c r="HH401" s="51"/>
      <c r="HI401" s="51"/>
      <c r="HJ401" s="51"/>
      <c r="HK401" s="51"/>
      <c r="HL401" s="51"/>
      <c r="HM401" s="51"/>
      <c r="HN401" s="51"/>
      <c r="HO401" s="51"/>
      <c r="HP401" s="51"/>
      <c r="HQ401" s="51"/>
      <c r="HR401" s="51"/>
      <c r="HS401" s="51"/>
      <c r="HT401" s="51"/>
      <c r="HU401" s="51"/>
      <c r="HV401" s="51"/>
      <c r="HW401" s="51"/>
      <c r="HX401" s="51"/>
      <c r="HY401" s="51"/>
      <c r="HZ401" s="51"/>
      <c r="IA401" s="51"/>
      <c r="IB401" s="51"/>
      <c r="IC401" s="51"/>
      <c r="ID401" s="51"/>
      <c r="IE401" s="51"/>
      <c r="IF401" s="51"/>
      <c r="IG401" s="51"/>
      <c r="IH401" s="51"/>
      <c r="II401" s="51"/>
      <c r="IJ401" s="51"/>
      <c r="IK401" s="51"/>
      <c r="IL401" s="51"/>
      <c r="IM401" s="51"/>
      <c r="IN401" s="51"/>
      <c r="IO401" s="51"/>
      <c r="IP401" s="51"/>
      <c r="IQ401" s="51"/>
      <c r="IR401" s="51"/>
      <c r="IS401" s="51"/>
      <c r="IT401" s="51"/>
      <c r="IU401" s="51"/>
      <c r="IV401" s="51"/>
    </row>
    <row r="402" hidden="1">
      <c r="B402" s="829" t="s">
        <v>20</v>
      </c>
      <c r="C402" s="823">
        <v>0</v>
      </c>
      <c r="D402" s="823">
        <v>0</v>
      </c>
      <c r="E402" s="823">
        <v>0</v>
      </c>
      <c r="F402" s="823">
        <v>0</v>
      </c>
      <c r="G402" s="823">
        <v>0</v>
      </c>
      <c r="H402" s="823">
        <v>0</v>
      </c>
      <c r="I402" s="823">
        <v>0</v>
      </c>
      <c r="J402" s="823">
        <v>0</v>
      </c>
      <c r="K402" s="823">
        <v>0</v>
      </c>
      <c r="L402" s="823">
        <v>0</v>
      </c>
      <c r="M402" s="823">
        <v>0</v>
      </c>
      <c r="N402" s="823">
        <v>0</v>
      </c>
      <c r="O402" s="823">
        <v>0</v>
      </c>
      <c r="P402" s="823">
        <v>523</v>
      </c>
      <c r="Q402" s="823">
        <v>524</v>
      </c>
      <c r="R402" s="823">
        <v>524</v>
      </c>
      <c r="S402" s="823">
        <v>525</v>
      </c>
      <c r="T402" s="823">
        <v>524</v>
      </c>
      <c r="U402" s="823">
        <v>527</v>
      </c>
      <c r="V402" s="823">
        <v>529</v>
      </c>
      <c r="W402" s="823">
        <v>532</v>
      </c>
      <c r="X402" s="823">
        <v>533</v>
      </c>
      <c r="Y402" s="823">
        <v>532</v>
      </c>
      <c r="Z402" s="823">
        <v>533</v>
      </c>
      <c r="AA402" s="823">
        <v>529</v>
      </c>
      <c r="AB402" s="823">
        <v>529</v>
      </c>
      <c r="AC402" s="825">
        <v>527</v>
      </c>
      <c r="AD402" s="825">
        <v>528</v>
      </c>
      <c r="AE402" s="825">
        <v>530</v>
      </c>
      <c r="AF402" s="825">
        <v>530</v>
      </c>
      <c r="AG402" s="825">
        <v>439</v>
      </c>
      <c r="AH402" s="825">
        <v>441</v>
      </c>
      <c r="AI402" s="825">
        <v>437</v>
      </c>
      <c r="AJ402" s="825">
        <v>432</v>
      </c>
      <c r="AK402" s="825">
        <v>423</v>
      </c>
      <c r="AL402" s="825">
        <v>419</v>
      </c>
      <c r="AM402" s="825">
        <v>416</v>
      </c>
      <c r="AN402" s="825">
        <v>411</v>
      </c>
      <c r="AO402" s="825">
        <v>407</v>
      </c>
      <c r="AP402" s="825">
        <v>408</v>
      </c>
      <c r="AQ402" s="51"/>
      <c r="AR402" s="51"/>
      <c r="AS402" s="51"/>
      <c r="AT402" s="51"/>
      <c r="AU402" s="51"/>
      <c r="AV402" s="51"/>
      <c r="AW402" s="51"/>
      <c r="AX402" s="51"/>
      <c r="AY402" s="51"/>
      <c r="AZ402" s="51"/>
      <c r="BA402" s="51"/>
      <c r="BB402" s="51"/>
      <c r="BC402" s="51"/>
      <c r="BD402" s="51"/>
      <c r="BE402" s="51"/>
      <c r="BF402" s="51"/>
      <c r="BG402" s="51"/>
      <c r="BH402" s="51"/>
      <c r="BI402" s="51"/>
      <c r="BJ402" s="51"/>
      <c r="BK402" s="51"/>
      <c r="BL402" s="51"/>
      <c r="BM402" s="51"/>
      <c r="BN402" s="51"/>
      <c r="BO402" s="51"/>
      <c r="BP402" s="51"/>
      <c r="BQ402" s="51"/>
      <c r="BR402" s="51"/>
      <c r="BS402" s="51"/>
      <c r="BT402" s="51"/>
      <c r="BU402" s="51"/>
      <c r="BV402" s="51"/>
      <c r="BW402" s="51"/>
      <c r="BX402" s="51"/>
      <c r="BY402" s="51"/>
      <c r="BZ402" s="51"/>
      <c r="CA402" s="51"/>
      <c r="CB402" s="51"/>
      <c r="CC402" s="51"/>
      <c r="CD402" s="51"/>
      <c r="CE402" s="51"/>
      <c r="CF402" s="51"/>
      <c r="CG402" s="51"/>
      <c r="CH402" s="51"/>
      <c r="CI402" s="51"/>
      <c r="CJ402" s="51"/>
      <c r="CK402" s="51"/>
      <c r="CL402" s="51"/>
      <c r="CM402" s="51"/>
      <c r="CN402" s="51"/>
      <c r="CO402" s="51"/>
      <c r="CP402" s="51"/>
      <c r="CQ402" s="51"/>
      <c r="CR402" s="51"/>
      <c r="CS402" s="51"/>
      <c r="CT402" s="51"/>
      <c r="CU402" s="51"/>
      <c r="CV402" s="51"/>
      <c r="CW402" s="51"/>
      <c r="CX402" s="51"/>
      <c r="CY402" s="51"/>
      <c r="CZ402" s="51"/>
      <c r="DA402" s="51"/>
      <c r="DB402" s="51"/>
      <c r="DC402" s="51"/>
      <c r="DD402" s="51"/>
      <c r="DE402" s="51"/>
      <c r="DF402" s="51"/>
      <c r="DG402" s="51"/>
      <c r="DH402" s="51"/>
      <c r="DI402" s="51"/>
      <c r="DJ402" s="51"/>
      <c r="DK402" s="51"/>
      <c r="DL402" s="51"/>
      <c r="DM402" s="51"/>
      <c r="DN402" s="51"/>
      <c r="DO402" s="51"/>
      <c r="DP402" s="51"/>
      <c r="DQ402" s="51"/>
      <c r="DR402" s="51"/>
      <c r="DS402" s="51"/>
      <c r="DT402" s="51"/>
      <c r="DU402" s="51"/>
      <c r="DV402" s="51"/>
      <c r="DW402" s="51"/>
      <c r="DX402" s="51"/>
      <c r="DY402" s="51"/>
      <c r="DZ402" s="51"/>
      <c r="EA402" s="51"/>
      <c r="EB402" s="51"/>
      <c r="EC402" s="51"/>
      <c r="ED402" s="51"/>
      <c r="EE402" s="51"/>
      <c r="EF402" s="51"/>
      <c r="EG402" s="51"/>
      <c r="EH402" s="51"/>
      <c r="EI402" s="51"/>
      <c r="EJ402" s="51"/>
      <c r="EK402" s="51"/>
      <c r="EL402" s="51"/>
      <c r="EM402" s="51"/>
      <c r="EN402" s="51"/>
      <c r="EO402" s="51"/>
      <c r="EP402" s="51"/>
      <c r="EQ402" s="51"/>
      <c r="ER402" s="51"/>
      <c r="ES402" s="51"/>
      <c r="ET402" s="51"/>
      <c r="EU402" s="51"/>
      <c r="EV402" s="51"/>
      <c r="EW402" s="51"/>
      <c r="EX402" s="51"/>
      <c r="EY402" s="51"/>
      <c r="EZ402" s="51"/>
      <c r="FA402" s="51"/>
      <c r="FB402" s="51"/>
      <c r="FC402" s="51"/>
      <c r="FD402" s="51"/>
      <c r="FE402" s="51"/>
      <c r="FF402" s="51"/>
      <c r="FG402" s="51"/>
      <c r="FH402" s="51"/>
      <c r="FI402" s="51"/>
      <c r="FJ402" s="51"/>
      <c r="FK402" s="51"/>
      <c r="FL402" s="51"/>
      <c r="FM402" s="51"/>
      <c r="FN402" s="51"/>
      <c r="FO402" s="51"/>
      <c r="FP402" s="51"/>
      <c r="FQ402" s="51"/>
      <c r="FR402" s="51"/>
      <c r="FS402" s="51"/>
      <c r="FT402" s="51"/>
      <c r="FU402" s="51"/>
      <c r="FV402" s="51"/>
      <c r="FW402" s="51"/>
      <c r="FX402" s="51"/>
      <c r="FY402" s="51"/>
      <c r="FZ402" s="51"/>
      <c r="GA402" s="51"/>
      <c r="GB402" s="51"/>
      <c r="GC402" s="51"/>
      <c r="GD402" s="51"/>
      <c r="GE402" s="51"/>
      <c r="GF402" s="51"/>
      <c r="GG402" s="51"/>
      <c r="GH402" s="51"/>
      <c r="GI402" s="51"/>
      <c r="GJ402" s="51"/>
      <c r="GK402" s="51"/>
      <c r="GL402" s="51"/>
      <c r="GM402" s="51"/>
      <c r="GN402" s="51"/>
      <c r="GO402" s="51"/>
      <c r="GP402" s="51"/>
      <c r="GQ402" s="51"/>
      <c r="GR402" s="51"/>
      <c r="GS402" s="51"/>
      <c r="GT402" s="51"/>
      <c r="GU402" s="51"/>
      <c r="GV402" s="51"/>
      <c r="GW402" s="51"/>
      <c r="GX402" s="51"/>
      <c r="GY402" s="51"/>
      <c r="GZ402" s="51"/>
      <c r="HA402" s="51"/>
      <c r="HB402" s="51"/>
      <c r="HC402" s="51"/>
      <c r="HD402" s="51"/>
      <c r="HE402" s="51"/>
      <c r="HF402" s="51"/>
      <c r="HG402" s="51"/>
      <c r="HH402" s="51"/>
      <c r="HI402" s="51"/>
      <c r="HJ402" s="51"/>
      <c r="HK402" s="51"/>
      <c r="HL402" s="51"/>
      <c r="HM402" s="51"/>
      <c r="HN402" s="51"/>
      <c r="HO402" s="51"/>
      <c r="HP402" s="51"/>
      <c r="HQ402" s="51"/>
      <c r="HR402" s="51"/>
      <c r="HS402" s="51"/>
      <c r="HT402" s="51"/>
      <c r="HU402" s="51"/>
      <c r="HV402" s="51"/>
      <c r="HW402" s="51"/>
      <c r="HX402" s="51"/>
      <c r="HY402" s="51"/>
      <c r="HZ402" s="51"/>
      <c r="IA402" s="51"/>
      <c r="IB402" s="51"/>
      <c r="IC402" s="51"/>
      <c r="ID402" s="51"/>
      <c r="IE402" s="51"/>
      <c r="IF402" s="51"/>
      <c r="IG402" s="51"/>
      <c r="IH402" s="51"/>
      <c r="II402" s="51"/>
      <c r="IJ402" s="51"/>
      <c r="IK402" s="51"/>
      <c r="IL402" s="51"/>
      <c r="IM402" s="51"/>
      <c r="IN402" s="51"/>
      <c r="IO402" s="51"/>
      <c r="IP402" s="51"/>
      <c r="IQ402" s="51"/>
      <c r="IR402" s="51"/>
      <c r="IS402" s="51"/>
      <c r="IT402" s="51"/>
      <c r="IU402" s="51"/>
      <c r="IV402" s="51"/>
    </row>
    <row r="403" hidden="1">
      <c r="B403" s="826" t="s">
        <v>21</v>
      </c>
      <c r="C403" s="827">
        <v>0</v>
      </c>
      <c r="D403" s="827">
        <v>0</v>
      </c>
      <c r="E403" s="827">
        <v>0</v>
      </c>
      <c r="F403" s="827">
        <v>0</v>
      </c>
      <c r="G403" s="827">
        <v>0</v>
      </c>
      <c r="H403" s="827">
        <v>0</v>
      </c>
      <c r="I403" s="827">
        <v>0</v>
      </c>
      <c r="J403" s="827">
        <v>0</v>
      </c>
      <c r="K403" s="827">
        <v>0</v>
      </c>
      <c r="L403" s="827">
        <v>0</v>
      </c>
      <c r="M403" s="827">
        <v>0</v>
      </c>
      <c r="N403" s="827">
        <v>0</v>
      </c>
      <c r="O403" s="827">
        <v>0</v>
      </c>
      <c r="P403" s="827">
        <v>63</v>
      </c>
      <c r="Q403" s="827">
        <v>64</v>
      </c>
      <c r="R403" s="827">
        <v>72</v>
      </c>
      <c r="S403" s="827">
        <v>76</v>
      </c>
      <c r="T403" s="827">
        <v>76</v>
      </c>
      <c r="U403" s="827">
        <v>78</v>
      </c>
      <c r="V403" s="827">
        <v>79</v>
      </c>
      <c r="W403" s="827">
        <v>80</v>
      </c>
      <c r="X403" s="827">
        <v>82</v>
      </c>
      <c r="Y403" s="827">
        <v>80</v>
      </c>
      <c r="Z403" s="827">
        <v>80</v>
      </c>
      <c r="AA403" s="827">
        <v>99</v>
      </c>
      <c r="AB403" s="827">
        <v>100</v>
      </c>
      <c r="AC403" s="828">
        <v>94</v>
      </c>
      <c r="AD403" s="828">
        <v>94</v>
      </c>
      <c r="AE403" s="828">
        <v>94</v>
      </c>
      <c r="AF403" s="828">
        <v>93</v>
      </c>
      <c r="AG403" s="828">
        <v>92</v>
      </c>
      <c r="AH403" s="828">
        <v>95</v>
      </c>
      <c r="AI403" s="828">
        <v>97</v>
      </c>
      <c r="AJ403" s="828">
        <v>98</v>
      </c>
      <c r="AK403" s="828">
        <v>95</v>
      </c>
      <c r="AL403" s="828">
        <v>95</v>
      </c>
      <c r="AM403" s="828">
        <v>92</v>
      </c>
      <c r="AN403" s="828">
        <v>91</v>
      </c>
      <c r="AO403" s="828">
        <v>90</v>
      </c>
      <c r="AP403" s="828">
        <v>91</v>
      </c>
      <c r="AQ403" s="51"/>
      <c r="AR403" s="51"/>
      <c r="AS403" s="51"/>
      <c r="AT403" s="51"/>
      <c r="AU403" s="51"/>
      <c r="AV403" s="51"/>
      <c r="AW403" s="51"/>
      <c r="AX403" s="51"/>
      <c r="AY403" s="51"/>
      <c r="AZ403" s="51"/>
      <c r="BA403" s="51"/>
      <c r="BB403" s="51"/>
      <c r="BC403" s="51"/>
      <c r="BD403" s="51"/>
      <c r="BE403" s="51"/>
      <c r="BF403" s="51"/>
      <c r="BG403" s="51"/>
      <c r="BH403" s="51"/>
      <c r="BI403" s="51"/>
      <c r="BJ403" s="51"/>
      <c r="BK403" s="51"/>
      <c r="BL403" s="51"/>
      <c r="BM403" s="51"/>
      <c r="BN403" s="51"/>
      <c r="BO403" s="51"/>
      <c r="BP403" s="51"/>
      <c r="BQ403" s="51"/>
      <c r="BR403" s="51"/>
      <c r="BS403" s="51"/>
      <c r="BT403" s="51"/>
      <c r="BU403" s="51"/>
      <c r="BV403" s="51"/>
      <c r="BW403" s="51"/>
      <c r="BX403" s="51"/>
      <c r="BY403" s="51"/>
      <c r="BZ403" s="51"/>
      <c r="CA403" s="51"/>
      <c r="CB403" s="51"/>
      <c r="CC403" s="51"/>
      <c r="CD403" s="51"/>
      <c r="CE403" s="51"/>
      <c r="CF403" s="51"/>
      <c r="CG403" s="51"/>
      <c r="CH403" s="51"/>
      <c r="CI403" s="51"/>
      <c r="CJ403" s="51"/>
      <c r="CK403" s="51"/>
      <c r="CL403" s="51"/>
      <c r="CM403" s="51"/>
      <c r="CN403" s="51"/>
      <c r="CO403" s="51"/>
      <c r="CP403" s="51"/>
      <c r="CQ403" s="51"/>
      <c r="CR403" s="51"/>
      <c r="CS403" s="51"/>
      <c r="CT403" s="51"/>
      <c r="CU403" s="51"/>
      <c r="CV403" s="51"/>
      <c r="CW403" s="51"/>
      <c r="CX403" s="51"/>
      <c r="CY403" s="51"/>
      <c r="CZ403" s="51"/>
      <c r="DA403" s="51"/>
      <c r="DB403" s="51"/>
      <c r="DC403" s="51"/>
      <c r="DD403" s="51"/>
      <c r="DE403" s="51"/>
      <c r="DF403" s="51"/>
      <c r="DG403" s="51"/>
      <c r="DH403" s="51"/>
      <c r="DI403" s="51"/>
      <c r="DJ403" s="51"/>
      <c r="DK403" s="51"/>
      <c r="DL403" s="51"/>
      <c r="DM403" s="51"/>
      <c r="DN403" s="51"/>
      <c r="DO403" s="51"/>
      <c r="DP403" s="51"/>
      <c r="DQ403" s="51"/>
      <c r="DR403" s="51"/>
      <c r="DS403" s="51"/>
      <c r="DT403" s="51"/>
      <c r="DU403" s="51"/>
      <c r="DV403" s="51"/>
      <c r="DW403" s="51"/>
      <c r="DX403" s="51"/>
      <c r="DY403" s="51"/>
      <c r="DZ403" s="51"/>
      <c r="EA403" s="51"/>
      <c r="EB403" s="51"/>
      <c r="EC403" s="51"/>
      <c r="ED403" s="51"/>
      <c r="EE403" s="51"/>
      <c r="EF403" s="51"/>
      <c r="EG403" s="51"/>
      <c r="EH403" s="51"/>
      <c r="EI403" s="51"/>
      <c r="EJ403" s="51"/>
      <c r="EK403" s="51"/>
      <c r="EL403" s="51"/>
      <c r="EM403" s="51"/>
      <c r="EN403" s="51"/>
      <c r="EO403" s="51"/>
      <c r="EP403" s="51"/>
      <c r="EQ403" s="51"/>
      <c r="ER403" s="51"/>
      <c r="ES403" s="51"/>
      <c r="ET403" s="51"/>
      <c r="EU403" s="51"/>
      <c r="EV403" s="51"/>
      <c r="EW403" s="51"/>
      <c r="EX403" s="51"/>
      <c r="EY403" s="51"/>
      <c r="EZ403" s="51"/>
      <c r="FA403" s="51"/>
      <c r="FB403" s="51"/>
      <c r="FC403" s="51"/>
      <c r="FD403" s="51"/>
      <c r="FE403" s="51"/>
      <c r="FF403" s="51"/>
      <c r="FG403" s="51"/>
      <c r="FH403" s="51"/>
      <c r="FI403" s="51"/>
      <c r="FJ403" s="51"/>
      <c r="FK403" s="51"/>
      <c r="FL403" s="51"/>
      <c r="FM403" s="51"/>
      <c r="FN403" s="51"/>
      <c r="FO403" s="51"/>
      <c r="FP403" s="51"/>
      <c r="FQ403" s="51"/>
      <c r="FR403" s="51"/>
      <c r="FS403" s="51"/>
      <c r="FT403" s="51"/>
      <c r="FU403" s="51"/>
      <c r="FV403" s="51"/>
      <c r="FW403" s="51"/>
      <c r="FX403" s="51"/>
      <c r="FY403" s="51"/>
      <c r="FZ403" s="51"/>
      <c r="GA403" s="51"/>
      <c r="GB403" s="51"/>
      <c r="GC403" s="51"/>
      <c r="GD403" s="51"/>
      <c r="GE403" s="51"/>
      <c r="GF403" s="51"/>
      <c r="GG403" s="51"/>
      <c r="GH403" s="51"/>
      <c r="GI403" s="51"/>
      <c r="GJ403" s="51"/>
      <c r="GK403" s="51"/>
      <c r="GL403" s="51"/>
      <c r="GM403" s="51"/>
      <c r="GN403" s="51"/>
      <c r="GO403" s="51"/>
      <c r="GP403" s="51"/>
      <c r="GQ403" s="51"/>
      <c r="GR403" s="51"/>
      <c r="GS403" s="51"/>
      <c r="GT403" s="51"/>
      <c r="GU403" s="51"/>
      <c r="GV403" s="51"/>
      <c r="GW403" s="51"/>
      <c r="GX403" s="51"/>
      <c r="GY403" s="51"/>
      <c r="GZ403" s="51"/>
      <c r="HA403" s="51"/>
      <c r="HB403" s="51"/>
      <c r="HC403" s="51"/>
      <c r="HD403" s="51"/>
      <c r="HE403" s="51"/>
      <c r="HF403" s="51"/>
      <c r="HG403" s="51"/>
      <c r="HH403" s="51"/>
      <c r="HI403" s="51"/>
      <c r="HJ403" s="51"/>
      <c r="HK403" s="51"/>
      <c r="HL403" s="51"/>
      <c r="HM403" s="51"/>
      <c r="HN403" s="51"/>
      <c r="HO403" s="51"/>
      <c r="HP403" s="51"/>
      <c r="HQ403" s="51"/>
      <c r="HR403" s="51"/>
      <c r="HS403" s="51"/>
      <c r="HT403" s="51"/>
      <c r="HU403" s="51"/>
      <c r="HV403" s="51"/>
      <c r="HW403" s="51"/>
      <c r="HX403" s="51"/>
      <c r="HY403" s="51"/>
      <c r="HZ403" s="51"/>
      <c r="IA403" s="51"/>
      <c r="IB403" s="51"/>
      <c r="IC403" s="51"/>
      <c r="ID403" s="51"/>
      <c r="IE403" s="51"/>
      <c r="IF403" s="51"/>
      <c r="IG403" s="51"/>
      <c r="IH403" s="51"/>
      <c r="II403" s="51"/>
      <c r="IJ403" s="51"/>
      <c r="IK403" s="51"/>
      <c r="IL403" s="51"/>
      <c r="IM403" s="51"/>
      <c r="IN403" s="51"/>
      <c r="IO403" s="51"/>
      <c r="IP403" s="51"/>
      <c r="IQ403" s="51"/>
      <c r="IR403" s="51"/>
      <c r="IS403" s="51"/>
      <c r="IT403" s="51"/>
      <c r="IU403" s="51"/>
      <c r="IV403" s="51"/>
    </row>
    <row r="404" hidden="1">
      <c r="B404" s="829" t="s">
        <v>22</v>
      </c>
      <c r="C404" s="823">
        <v>0</v>
      </c>
      <c r="D404" s="823">
        <v>0</v>
      </c>
      <c r="E404" s="823">
        <v>0</v>
      </c>
      <c r="F404" s="823">
        <v>0</v>
      </c>
      <c r="G404" s="823">
        <v>0</v>
      </c>
      <c r="H404" s="823">
        <v>0</v>
      </c>
      <c r="I404" s="823">
        <v>0</v>
      </c>
      <c r="J404" s="823">
        <v>0</v>
      </c>
      <c r="K404" s="823">
        <v>0</v>
      </c>
      <c r="L404" s="823">
        <v>0</v>
      </c>
      <c r="M404" s="823">
        <v>0</v>
      </c>
      <c r="N404" s="823">
        <v>0</v>
      </c>
      <c r="O404" s="823">
        <v>0</v>
      </c>
      <c r="P404" s="823">
        <v>6</v>
      </c>
      <c r="Q404" s="823">
        <v>16</v>
      </c>
      <c r="R404" s="823">
        <v>23</v>
      </c>
      <c r="S404" s="823">
        <v>34</v>
      </c>
      <c r="T404" s="823">
        <v>36</v>
      </c>
      <c r="U404" s="823">
        <v>35</v>
      </c>
      <c r="V404" s="823">
        <v>44</v>
      </c>
      <c r="W404" s="823">
        <v>50</v>
      </c>
      <c r="X404" s="823">
        <v>50</v>
      </c>
      <c r="Y404" s="823">
        <v>54</v>
      </c>
      <c r="Z404" s="823">
        <v>54</v>
      </c>
      <c r="AA404" s="823">
        <v>54</v>
      </c>
      <c r="AB404" s="823">
        <v>55</v>
      </c>
      <c r="AC404" s="825">
        <v>55</v>
      </c>
      <c r="AD404" s="825">
        <v>61</v>
      </c>
      <c r="AE404" s="825">
        <v>79</v>
      </c>
      <c r="AF404" s="825">
        <v>90</v>
      </c>
      <c r="AG404" s="825">
        <v>95</v>
      </c>
      <c r="AH404" s="825">
        <v>100</v>
      </c>
      <c r="AI404" s="825">
        <v>126</v>
      </c>
      <c r="AJ404" s="825">
        <v>132</v>
      </c>
      <c r="AK404" s="825">
        <v>142</v>
      </c>
      <c r="AL404" s="825">
        <v>147</v>
      </c>
      <c r="AM404" s="825">
        <v>149</v>
      </c>
      <c r="AN404" s="825">
        <v>156</v>
      </c>
      <c r="AO404" s="825">
        <v>160</v>
      </c>
      <c r="AP404" s="825">
        <v>167</v>
      </c>
      <c r="AQ404" s="51"/>
      <c r="AR404" s="51"/>
      <c r="AS404" s="51"/>
      <c r="AT404" s="51"/>
      <c r="AU404" s="51"/>
      <c r="AV404" s="51"/>
      <c r="AW404" s="51"/>
      <c r="AX404" s="51"/>
      <c r="AY404" s="51"/>
      <c r="AZ404" s="51"/>
      <c r="BA404" s="51"/>
      <c r="BB404" s="51"/>
      <c r="BC404" s="51"/>
      <c r="BD404" s="51"/>
      <c r="BE404" s="51"/>
      <c r="BF404" s="51"/>
      <c r="BG404" s="51"/>
      <c r="BH404" s="51"/>
      <c r="BI404" s="51"/>
      <c r="BJ404" s="51"/>
      <c r="BK404" s="51"/>
      <c r="BL404" s="51"/>
      <c r="BM404" s="51"/>
      <c r="BN404" s="51"/>
      <c r="BO404" s="51"/>
      <c r="BP404" s="51"/>
      <c r="BQ404" s="51"/>
      <c r="BR404" s="51"/>
      <c r="BS404" s="51"/>
      <c r="BT404" s="51"/>
      <c r="BU404" s="51"/>
      <c r="BV404" s="51"/>
      <c r="BW404" s="51"/>
      <c r="BX404" s="51"/>
      <c r="BY404" s="51"/>
      <c r="BZ404" s="51"/>
      <c r="CA404" s="51"/>
      <c r="CB404" s="51"/>
      <c r="CC404" s="51"/>
      <c r="CD404" s="51"/>
      <c r="CE404" s="51"/>
      <c r="CF404" s="51"/>
      <c r="CG404" s="51"/>
      <c r="CH404" s="51"/>
      <c r="CI404" s="51"/>
      <c r="CJ404" s="51"/>
      <c r="CK404" s="51"/>
      <c r="CL404" s="51"/>
      <c r="CM404" s="51"/>
      <c r="CN404" s="51"/>
      <c r="CO404" s="51"/>
      <c r="CP404" s="51"/>
      <c r="CQ404" s="51"/>
      <c r="CR404" s="51"/>
      <c r="CS404" s="51"/>
      <c r="CT404" s="51"/>
      <c r="CU404" s="51"/>
      <c r="CV404" s="51"/>
      <c r="CW404" s="51"/>
      <c r="CX404" s="51"/>
      <c r="CY404" s="51"/>
      <c r="CZ404" s="51"/>
      <c r="DA404" s="51"/>
      <c r="DB404" s="51"/>
      <c r="DC404" s="51"/>
      <c r="DD404" s="51"/>
      <c r="DE404" s="51"/>
      <c r="DF404" s="51"/>
      <c r="DG404" s="51"/>
      <c r="DH404" s="51"/>
      <c r="DI404" s="51"/>
      <c r="DJ404" s="51"/>
      <c r="DK404" s="51"/>
      <c r="DL404" s="51"/>
      <c r="DM404" s="51"/>
      <c r="DN404" s="51"/>
      <c r="DO404" s="51"/>
      <c r="DP404" s="51"/>
      <c r="DQ404" s="51"/>
      <c r="DR404" s="51"/>
      <c r="DS404" s="51"/>
      <c r="DT404" s="51"/>
      <c r="DU404" s="51"/>
      <c r="DV404" s="51"/>
      <c r="DW404" s="51"/>
      <c r="DX404" s="51"/>
      <c r="DY404" s="51"/>
      <c r="DZ404" s="51"/>
      <c r="EA404" s="51"/>
      <c r="EB404" s="51"/>
      <c r="EC404" s="51"/>
      <c r="ED404" s="51"/>
      <c r="EE404" s="51"/>
      <c r="EF404" s="51"/>
      <c r="EG404" s="51"/>
      <c r="EH404" s="51"/>
      <c r="EI404" s="51"/>
      <c r="EJ404" s="51"/>
      <c r="EK404" s="51"/>
      <c r="EL404" s="51"/>
      <c r="EM404" s="51"/>
      <c r="EN404" s="51"/>
      <c r="EO404" s="51"/>
      <c r="EP404" s="51"/>
      <c r="EQ404" s="51"/>
      <c r="ER404" s="51"/>
      <c r="ES404" s="51"/>
      <c r="ET404" s="51"/>
      <c r="EU404" s="51"/>
      <c r="EV404" s="51"/>
      <c r="EW404" s="51"/>
      <c r="EX404" s="51"/>
      <c r="EY404" s="51"/>
      <c r="EZ404" s="51"/>
      <c r="FA404" s="51"/>
      <c r="FB404" s="51"/>
      <c r="FC404" s="51"/>
      <c r="FD404" s="51"/>
      <c r="FE404" s="51"/>
      <c r="FF404" s="51"/>
      <c r="FG404" s="51"/>
      <c r="FH404" s="51"/>
      <c r="FI404" s="51"/>
      <c r="FJ404" s="51"/>
      <c r="FK404" s="51"/>
      <c r="FL404" s="51"/>
      <c r="FM404" s="51"/>
      <c r="FN404" s="51"/>
      <c r="FO404" s="51"/>
      <c r="FP404" s="51"/>
      <c r="FQ404" s="51"/>
      <c r="FR404" s="51"/>
      <c r="FS404" s="51"/>
      <c r="FT404" s="51"/>
      <c r="FU404" s="51"/>
      <c r="FV404" s="51"/>
      <c r="FW404" s="51"/>
      <c r="FX404" s="51"/>
      <c r="FY404" s="51"/>
      <c r="FZ404" s="51"/>
      <c r="GA404" s="51"/>
      <c r="GB404" s="51"/>
      <c r="GC404" s="51"/>
      <c r="GD404" s="51"/>
      <c r="GE404" s="51"/>
      <c r="GF404" s="51"/>
      <c r="GG404" s="51"/>
      <c r="GH404" s="51"/>
      <c r="GI404" s="51"/>
      <c r="GJ404" s="51"/>
      <c r="GK404" s="51"/>
      <c r="GL404" s="51"/>
      <c r="GM404" s="51"/>
      <c r="GN404" s="51"/>
      <c r="GO404" s="51"/>
      <c r="GP404" s="51"/>
      <c r="GQ404" s="51"/>
      <c r="GR404" s="51"/>
      <c r="GS404" s="51"/>
      <c r="GT404" s="51"/>
      <c r="GU404" s="51"/>
      <c r="GV404" s="51"/>
      <c r="GW404" s="51"/>
      <c r="GX404" s="51"/>
      <c r="GY404" s="51"/>
      <c r="GZ404" s="51"/>
      <c r="HA404" s="51"/>
      <c r="HB404" s="51"/>
      <c r="HC404" s="51"/>
      <c r="HD404" s="51"/>
      <c r="HE404" s="51"/>
      <c r="HF404" s="51"/>
      <c r="HG404" s="51"/>
      <c r="HH404" s="51"/>
      <c r="HI404" s="51"/>
      <c r="HJ404" s="51"/>
      <c r="HK404" s="51"/>
      <c r="HL404" s="51"/>
      <c r="HM404" s="51"/>
      <c r="HN404" s="51"/>
      <c r="HO404" s="51"/>
      <c r="HP404" s="51"/>
      <c r="HQ404" s="51"/>
      <c r="HR404" s="51"/>
      <c r="HS404" s="51"/>
      <c r="HT404" s="51"/>
      <c r="HU404" s="51"/>
      <c r="HV404" s="51"/>
      <c r="HW404" s="51"/>
      <c r="HX404" s="51"/>
      <c r="HY404" s="51"/>
      <c r="HZ404" s="51"/>
      <c r="IA404" s="51"/>
      <c r="IB404" s="51"/>
      <c r="IC404" s="51"/>
      <c r="ID404" s="51"/>
      <c r="IE404" s="51"/>
      <c r="IF404" s="51"/>
      <c r="IG404" s="51"/>
      <c r="IH404" s="51"/>
      <c r="II404" s="51"/>
      <c r="IJ404" s="51"/>
      <c r="IK404" s="51"/>
      <c r="IL404" s="51"/>
      <c r="IM404" s="51"/>
      <c r="IN404" s="51"/>
      <c r="IO404" s="51"/>
      <c r="IP404" s="51"/>
      <c r="IQ404" s="51"/>
      <c r="IR404" s="51"/>
      <c r="IS404" s="51"/>
      <c r="IT404" s="51"/>
      <c r="IU404" s="51"/>
      <c r="IV404" s="51"/>
    </row>
    <row r="405" hidden="1">
      <c r="B405" s="826" t="s">
        <v>23</v>
      </c>
      <c r="C405" s="827">
        <v>0</v>
      </c>
      <c r="D405" s="827">
        <v>0</v>
      </c>
      <c r="E405" s="827">
        <v>0</v>
      </c>
      <c r="F405" s="827">
        <v>0</v>
      </c>
      <c r="G405" s="827">
        <v>0</v>
      </c>
      <c r="H405" s="827">
        <v>0</v>
      </c>
      <c r="I405" s="827">
        <v>0</v>
      </c>
      <c r="J405" s="827">
        <v>0</v>
      </c>
      <c r="K405" s="827">
        <v>0</v>
      </c>
      <c r="L405" s="827">
        <v>0</v>
      </c>
      <c r="M405" s="827">
        <v>0</v>
      </c>
      <c r="N405" s="827">
        <v>0</v>
      </c>
      <c r="O405" s="827">
        <v>0</v>
      </c>
      <c r="P405" s="827">
        <v>14</v>
      </c>
      <c r="Q405" s="827">
        <v>14</v>
      </c>
      <c r="R405" s="827">
        <v>14</v>
      </c>
      <c r="S405" s="827">
        <v>13</v>
      </c>
      <c r="T405" s="827">
        <v>13</v>
      </c>
      <c r="U405" s="827">
        <v>14</v>
      </c>
      <c r="V405" s="827">
        <v>16</v>
      </c>
      <c r="W405" s="827">
        <v>14</v>
      </c>
      <c r="X405" s="827">
        <v>15</v>
      </c>
      <c r="Y405" s="827">
        <v>15</v>
      </c>
      <c r="Z405" s="827">
        <v>15</v>
      </c>
      <c r="AA405" s="827">
        <v>15</v>
      </c>
      <c r="AB405" s="827">
        <v>14</v>
      </c>
      <c r="AC405" s="828">
        <v>14</v>
      </c>
      <c r="AD405" s="828">
        <v>14</v>
      </c>
      <c r="AE405" s="828">
        <v>14</v>
      </c>
      <c r="AF405" s="828">
        <v>14</v>
      </c>
      <c r="AG405" s="828">
        <v>14</v>
      </c>
      <c r="AH405" s="828">
        <v>14</v>
      </c>
      <c r="AI405" s="828">
        <v>15</v>
      </c>
      <c r="AJ405" s="828">
        <v>14</v>
      </c>
      <c r="AK405" s="828">
        <v>14</v>
      </c>
      <c r="AL405" s="828">
        <v>14</v>
      </c>
      <c r="AM405" s="828">
        <v>14</v>
      </c>
      <c r="AN405" s="828">
        <v>14</v>
      </c>
      <c r="AO405" s="828">
        <v>15</v>
      </c>
      <c r="AP405" s="828">
        <v>16</v>
      </c>
      <c r="AQ405" s="51"/>
      <c r="AR405" s="51"/>
      <c r="AS405" s="51"/>
      <c r="AT405" s="51"/>
      <c r="AU405" s="51"/>
      <c r="AV405" s="51"/>
      <c r="AW405" s="51"/>
      <c r="AX405" s="51"/>
      <c r="AY405" s="51"/>
      <c r="AZ405" s="51"/>
      <c r="BA405" s="51"/>
      <c r="BB405" s="51"/>
      <c r="BC405" s="51"/>
      <c r="BD405" s="51"/>
      <c r="BE405" s="51"/>
      <c r="BF405" s="51"/>
      <c r="BG405" s="51"/>
      <c r="BH405" s="51"/>
      <c r="BI405" s="51"/>
      <c r="BJ405" s="51"/>
      <c r="BK405" s="51"/>
      <c r="BL405" s="51"/>
      <c r="BM405" s="51"/>
      <c r="BN405" s="51"/>
      <c r="BO405" s="51"/>
      <c r="BP405" s="51"/>
      <c r="BQ405" s="51"/>
      <c r="BR405" s="51"/>
      <c r="BS405" s="51"/>
      <c r="BT405" s="51"/>
      <c r="BU405" s="51"/>
      <c r="BV405" s="51"/>
      <c r="BW405" s="51"/>
      <c r="BX405" s="51"/>
      <c r="BY405" s="51"/>
      <c r="BZ405" s="51"/>
      <c r="CA405" s="51"/>
      <c r="CB405" s="51"/>
      <c r="CC405" s="51"/>
      <c r="CD405" s="51"/>
      <c r="CE405" s="51"/>
      <c r="CF405" s="51"/>
      <c r="CG405" s="51"/>
      <c r="CH405" s="51"/>
      <c r="CI405" s="51"/>
      <c r="CJ405" s="51"/>
      <c r="CK405" s="51"/>
      <c r="CL405" s="51"/>
      <c r="CM405" s="51"/>
      <c r="CN405" s="51"/>
      <c r="CO405" s="51"/>
      <c r="CP405" s="51"/>
      <c r="CQ405" s="51"/>
      <c r="CR405" s="51"/>
      <c r="CS405" s="51"/>
      <c r="CT405" s="51"/>
      <c r="CU405" s="51"/>
      <c r="CV405" s="51"/>
      <c r="CW405" s="51"/>
      <c r="CX405" s="51"/>
      <c r="CY405" s="51"/>
      <c r="CZ405" s="51"/>
      <c r="DA405" s="51"/>
      <c r="DB405" s="51"/>
      <c r="DC405" s="51"/>
      <c r="DD405" s="51"/>
      <c r="DE405" s="51"/>
      <c r="DF405" s="51"/>
      <c r="DG405" s="51"/>
      <c r="DH405" s="51"/>
      <c r="DI405" s="51"/>
      <c r="DJ405" s="51"/>
      <c r="DK405" s="51"/>
      <c r="DL405" s="51"/>
      <c r="DM405" s="51"/>
      <c r="DN405" s="51"/>
      <c r="DO405" s="51"/>
      <c r="DP405" s="51"/>
      <c r="DQ405" s="51"/>
      <c r="DR405" s="51"/>
      <c r="DS405" s="51"/>
      <c r="DT405" s="51"/>
      <c r="DU405" s="51"/>
      <c r="DV405" s="51"/>
      <c r="DW405" s="51"/>
      <c r="DX405" s="51"/>
      <c r="DY405" s="51"/>
      <c r="DZ405" s="51"/>
      <c r="EA405" s="51"/>
      <c r="EB405" s="51"/>
      <c r="EC405" s="51"/>
      <c r="ED405" s="51"/>
      <c r="EE405" s="51"/>
      <c r="EF405" s="51"/>
      <c r="EG405" s="51"/>
      <c r="EH405" s="51"/>
      <c r="EI405" s="51"/>
      <c r="EJ405" s="51"/>
      <c r="EK405" s="51"/>
      <c r="EL405" s="51"/>
      <c r="EM405" s="51"/>
      <c r="EN405" s="51"/>
      <c r="EO405" s="51"/>
      <c r="EP405" s="51"/>
      <c r="EQ405" s="51"/>
      <c r="ER405" s="51"/>
      <c r="ES405" s="51"/>
      <c r="ET405" s="51"/>
      <c r="EU405" s="51"/>
      <c r="EV405" s="51"/>
      <c r="EW405" s="51"/>
      <c r="EX405" s="51"/>
      <c r="EY405" s="51"/>
      <c r="EZ405" s="51"/>
      <c r="FA405" s="51"/>
      <c r="FB405" s="51"/>
      <c r="FC405" s="51"/>
      <c r="FD405" s="51"/>
      <c r="FE405" s="51"/>
      <c r="FF405" s="51"/>
      <c r="FG405" s="51"/>
      <c r="FH405" s="51"/>
      <c r="FI405" s="51"/>
      <c r="FJ405" s="51"/>
      <c r="FK405" s="51"/>
      <c r="FL405" s="51"/>
      <c r="FM405" s="51"/>
      <c r="FN405" s="51"/>
      <c r="FO405" s="51"/>
      <c r="FP405" s="51"/>
      <c r="FQ405" s="51"/>
      <c r="FR405" s="51"/>
      <c r="FS405" s="51"/>
      <c r="FT405" s="51"/>
      <c r="FU405" s="51"/>
      <c r="FV405" s="51"/>
      <c r="FW405" s="51"/>
      <c r="FX405" s="51"/>
      <c r="FY405" s="51"/>
      <c r="FZ405" s="51"/>
      <c r="GA405" s="51"/>
      <c r="GB405" s="51"/>
      <c r="GC405" s="51"/>
      <c r="GD405" s="51"/>
      <c r="GE405" s="51"/>
      <c r="GF405" s="51"/>
      <c r="GG405" s="51"/>
      <c r="GH405" s="51"/>
      <c r="GI405" s="51"/>
      <c r="GJ405" s="51"/>
      <c r="GK405" s="51"/>
      <c r="GL405" s="51"/>
      <c r="GM405" s="51"/>
      <c r="GN405" s="51"/>
      <c r="GO405" s="51"/>
      <c r="GP405" s="51"/>
      <c r="GQ405" s="51"/>
      <c r="GR405" s="51"/>
      <c r="GS405" s="51"/>
      <c r="GT405" s="51"/>
      <c r="GU405" s="51"/>
      <c r="GV405" s="51"/>
      <c r="GW405" s="51"/>
      <c r="GX405" s="51"/>
      <c r="GY405" s="51"/>
      <c r="GZ405" s="51"/>
      <c r="HA405" s="51"/>
      <c r="HB405" s="51"/>
      <c r="HC405" s="51"/>
      <c r="HD405" s="51"/>
      <c r="HE405" s="51"/>
      <c r="HF405" s="51"/>
      <c r="HG405" s="51"/>
      <c r="HH405" s="51"/>
      <c r="HI405" s="51"/>
      <c r="HJ405" s="51"/>
      <c r="HK405" s="51"/>
      <c r="HL405" s="51"/>
      <c r="HM405" s="51"/>
      <c r="HN405" s="51"/>
      <c r="HO405" s="51"/>
      <c r="HP405" s="51"/>
      <c r="HQ405" s="51"/>
      <c r="HR405" s="51"/>
      <c r="HS405" s="51"/>
      <c r="HT405" s="51"/>
      <c r="HU405" s="51"/>
      <c r="HV405" s="51"/>
      <c r="HW405" s="51"/>
      <c r="HX405" s="51"/>
      <c r="HY405" s="51"/>
      <c r="HZ405" s="51"/>
      <c r="IA405" s="51"/>
      <c r="IB405" s="51"/>
      <c r="IC405" s="51"/>
      <c r="ID405" s="51"/>
      <c r="IE405" s="51"/>
      <c r="IF405" s="51"/>
      <c r="IG405" s="51"/>
      <c r="IH405" s="51"/>
      <c r="II405" s="51"/>
      <c r="IJ405" s="51"/>
      <c r="IK405" s="51"/>
      <c r="IL405" s="51"/>
      <c r="IM405" s="51"/>
      <c r="IN405" s="51"/>
      <c r="IO405" s="51"/>
      <c r="IP405" s="51"/>
      <c r="IQ405" s="51"/>
      <c r="IR405" s="51"/>
      <c r="IS405" s="51"/>
      <c r="IT405" s="51"/>
      <c r="IU405" s="51"/>
      <c r="IV405" s="51"/>
    </row>
    <row r="406" hidden="1">
      <c r="B406" s="830" t="s">
        <v>24</v>
      </c>
      <c r="C406" s="823">
        <v>0</v>
      </c>
      <c r="D406" s="823">
        <v>0</v>
      </c>
      <c r="E406" s="823">
        <v>0</v>
      </c>
      <c r="F406" s="823">
        <v>0</v>
      </c>
      <c r="G406" s="823">
        <v>0</v>
      </c>
      <c r="H406" s="823">
        <v>0</v>
      </c>
      <c r="I406" s="823">
        <v>0</v>
      </c>
      <c r="J406" s="823">
        <v>0</v>
      </c>
      <c r="K406" s="823">
        <v>0</v>
      </c>
      <c r="L406" s="823">
        <v>0</v>
      </c>
      <c r="M406" s="823">
        <v>0</v>
      </c>
      <c r="N406" s="823">
        <v>0</v>
      </c>
      <c r="O406" s="823">
        <v>0</v>
      </c>
      <c r="P406" s="823">
        <v>67</v>
      </c>
      <c r="Q406" s="823">
        <v>67</v>
      </c>
      <c r="R406" s="823">
        <v>72</v>
      </c>
      <c r="S406" s="823">
        <v>73</v>
      </c>
      <c r="T406" s="823">
        <v>78</v>
      </c>
      <c r="U406" s="823">
        <v>83</v>
      </c>
      <c r="V406" s="823">
        <v>98</v>
      </c>
      <c r="W406" s="823">
        <v>108</v>
      </c>
      <c r="X406" s="823">
        <v>113</v>
      </c>
      <c r="Y406" s="823">
        <v>112</v>
      </c>
      <c r="Z406" s="823">
        <v>110</v>
      </c>
      <c r="AA406" s="823">
        <v>109</v>
      </c>
      <c r="AB406" s="823">
        <v>114</v>
      </c>
      <c r="AC406" s="825">
        <v>115</v>
      </c>
      <c r="AD406" s="825">
        <v>117</v>
      </c>
      <c r="AE406" s="825">
        <v>117</v>
      </c>
      <c r="AF406" s="825">
        <v>116</v>
      </c>
      <c r="AG406" s="825">
        <v>114</v>
      </c>
      <c r="AH406" s="825">
        <v>114</v>
      </c>
      <c r="AI406" s="825">
        <v>115</v>
      </c>
      <c r="AJ406" s="825">
        <v>114</v>
      </c>
      <c r="AK406" s="825">
        <v>115</v>
      </c>
      <c r="AL406" s="825">
        <v>113</v>
      </c>
      <c r="AM406" s="825">
        <v>116</v>
      </c>
      <c r="AN406" s="825">
        <v>115</v>
      </c>
      <c r="AO406" s="825">
        <v>114</v>
      </c>
      <c r="AP406" s="825">
        <v>114</v>
      </c>
      <c r="AQ406" s="51"/>
      <c r="AR406" s="51"/>
      <c r="AS406" s="51"/>
      <c r="AT406" s="51"/>
      <c r="AU406" s="51"/>
      <c r="AV406" s="51"/>
      <c r="AW406" s="51"/>
      <c r="AX406" s="51"/>
      <c r="AY406" s="51"/>
      <c r="AZ406" s="51"/>
      <c r="BA406" s="51"/>
      <c r="BB406" s="51"/>
      <c r="BC406" s="51"/>
      <c r="BD406" s="51"/>
      <c r="BE406" s="51"/>
      <c r="BF406" s="51"/>
      <c r="BG406" s="51"/>
      <c r="BH406" s="51"/>
      <c r="BI406" s="51"/>
      <c r="BJ406" s="51"/>
      <c r="BK406" s="51"/>
      <c r="BL406" s="51"/>
      <c r="BM406" s="51"/>
      <c r="BN406" s="51"/>
      <c r="BO406" s="51"/>
      <c r="BP406" s="51"/>
      <c r="BQ406" s="51"/>
      <c r="BR406" s="51"/>
      <c r="BS406" s="51"/>
      <c r="BT406" s="51"/>
      <c r="BU406" s="51"/>
      <c r="BV406" s="51"/>
      <c r="BW406" s="51"/>
      <c r="BX406" s="51"/>
      <c r="BY406" s="51"/>
      <c r="BZ406" s="51"/>
      <c r="CA406" s="51"/>
      <c r="CB406" s="51"/>
      <c r="CC406" s="51"/>
      <c r="CD406" s="51"/>
      <c r="CE406" s="51"/>
      <c r="CF406" s="51"/>
      <c r="CG406" s="51"/>
      <c r="CH406" s="51"/>
      <c r="CI406" s="51"/>
      <c r="CJ406" s="51"/>
      <c r="CK406" s="51"/>
      <c r="CL406" s="51"/>
      <c r="CM406" s="51"/>
      <c r="CN406" s="51"/>
      <c r="CO406" s="51"/>
      <c r="CP406" s="51"/>
      <c r="CQ406" s="51"/>
      <c r="CR406" s="51"/>
      <c r="CS406" s="51"/>
      <c r="CT406" s="51"/>
      <c r="CU406" s="51"/>
      <c r="CV406" s="51"/>
      <c r="CW406" s="51"/>
      <c r="CX406" s="51"/>
      <c r="CY406" s="51"/>
      <c r="CZ406" s="51"/>
      <c r="DA406" s="51"/>
      <c r="DB406" s="51"/>
      <c r="DC406" s="51"/>
      <c r="DD406" s="51"/>
      <c r="DE406" s="51"/>
      <c r="DF406" s="51"/>
      <c r="DG406" s="51"/>
      <c r="DH406" s="51"/>
      <c r="DI406" s="51"/>
      <c r="DJ406" s="51"/>
      <c r="DK406" s="51"/>
      <c r="DL406" s="51"/>
      <c r="DM406" s="51"/>
      <c r="DN406" s="51"/>
      <c r="DO406" s="51"/>
      <c r="DP406" s="51"/>
      <c r="DQ406" s="51"/>
      <c r="DR406" s="51"/>
      <c r="DS406" s="51"/>
      <c r="DT406" s="51"/>
      <c r="DU406" s="51"/>
      <c r="DV406" s="51"/>
      <c r="DW406" s="51"/>
      <c r="DX406" s="51"/>
      <c r="DY406" s="51"/>
      <c r="DZ406" s="51"/>
      <c r="EA406" s="51"/>
      <c r="EB406" s="51"/>
      <c r="EC406" s="51"/>
      <c r="ED406" s="51"/>
      <c r="EE406" s="51"/>
      <c r="EF406" s="51"/>
      <c r="EG406" s="51"/>
      <c r="EH406" s="51"/>
      <c r="EI406" s="51"/>
      <c r="EJ406" s="51"/>
      <c r="EK406" s="51"/>
      <c r="EL406" s="51"/>
      <c r="EM406" s="51"/>
      <c r="EN406" s="51"/>
      <c r="EO406" s="51"/>
      <c r="EP406" s="51"/>
      <c r="EQ406" s="51"/>
      <c r="ER406" s="51"/>
      <c r="ES406" s="51"/>
      <c r="ET406" s="51"/>
      <c r="EU406" s="51"/>
      <c r="EV406" s="51"/>
      <c r="EW406" s="51"/>
      <c r="EX406" s="51"/>
      <c r="EY406" s="51"/>
      <c r="EZ406" s="51"/>
      <c r="FA406" s="51"/>
      <c r="FB406" s="51"/>
      <c r="FC406" s="51"/>
      <c r="FD406" s="51"/>
      <c r="FE406" s="51"/>
      <c r="FF406" s="51"/>
      <c r="FG406" s="51"/>
      <c r="FH406" s="51"/>
      <c r="FI406" s="51"/>
      <c r="FJ406" s="51"/>
      <c r="FK406" s="51"/>
      <c r="FL406" s="51"/>
      <c r="FM406" s="51"/>
      <c r="FN406" s="51"/>
      <c r="FO406" s="51"/>
      <c r="FP406" s="51"/>
      <c r="FQ406" s="51"/>
      <c r="FR406" s="51"/>
      <c r="FS406" s="51"/>
      <c r="FT406" s="51"/>
      <c r="FU406" s="51"/>
      <c r="FV406" s="51"/>
      <c r="FW406" s="51"/>
      <c r="FX406" s="51"/>
      <c r="FY406" s="51"/>
      <c r="FZ406" s="51"/>
      <c r="GA406" s="51"/>
      <c r="GB406" s="51"/>
      <c r="GC406" s="51"/>
      <c r="GD406" s="51"/>
      <c r="GE406" s="51"/>
      <c r="GF406" s="51"/>
      <c r="GG406" s="51"/>
      <c r="GH406" s="51"/>
      <c r="GI406" s="51"/>
      <c r="GJ406" s="51"/>
      <c r="GK406" s="51"/>
      <c r="GL406" s="51"/>
      <c r="GM406" s="51"/>
      <c r="GN406" s="51"/>
      <c r="GO406" s="51"/>
      <c r="GP406" s="51"/>
      <c r="GQ406" s="51"/>
      <c r="GR406" s="51"/>
      <c r="GS406" s="51"/>
      <c r="GT406" s="51"/>
      <c r="GU406" s="51"/>
      <c r="GV406" s="51"/>
      <c r="GW406" s="51"/>
      <c r="GX406" s="51"/>
      <c r="GY406" s="51"/>
      <c r="GZ406" s="51"/>
      <c r="HA406" s="51"/>
      <c r="HB406" s="51"/>
      <c r="HC406" s="51"/>
      <c r="HD406" s="51"/>
      <c r="HE406" s="51"/>
      <c r="HF406" s="51"/>
      <c r="HG406" s="51"/>
      <c r="HH406" s="51"/>
      <c r="HI406" s="51"/>
      <c r="HJ406" s="51"/>
      <c r="HK406" s="51"/>
      <c r="HL406" s="51"/>
      <c r="HM406" s="51"/>
      <c r="HN406" s="51"/>
      <c r="HO406" s="51"/>
      <c r="HP406" s="51"/>
      <c r="HQ406" s="51"/>
      <c r="HR406" s="51"/>
      <c r="HS406" s="51"/>
      <c r="HT406" s="51"/>
      <c r="HU406" s="51"/>
      <c r="HV406" s="51"/>
      <c r="HW406" s="51"/>
      <c r="HX406" s="51"/>
      <c r="HY406" s="51"/>
      <c r="HZ406" s="51"/>
      <c r="IA406" s="51"/>
      <c r="IB406" s="51"/>
      <c r="IC406" s="51"/>
      <c r="ID406" s="51"/>
      <c r="IE406" s="51"/>
      <c r="IF406" s="51"/>
      <c r="IG406" s="51"/>
      <c r="IH406" s="51"/>
      <c r="II406" s="51"/>
      <c r="IJ406" s="51"/>
      <c r="IK406" s="51"/>
      <c r="IL406" s="51"/>
      <c r="IM406" s="51"/>
      <c r="IN406" s="51"/>
      <c r="IO406" s="51"/>
      <c r="IP406" s="51"/>
      <c r="IQ406" s="51"/>
      <c r="IR406" s="51"/>
      <c r="IS406" s="51"/>
      <c r="IT406" s="51"/>
      <c r="IU406" s="51"/>
      <c r="IV406" s="51"/>
    </row>
    <row r="407" hidden="1">
      <c r="B407" s="826" t="s">
        <v>25</v>
      </c>
      <c r="C407" s="827">
        <v>0</v>
      </c>
      <c r="D407" s="827">
        <v>0</v>
      </c>
      <c r="E407" s="827">
        <v>0</v>
      </c>
      <c r="F407" s="827">
        <v>0</v>
      </c>
      <c r="G407" s="827">
        <v>0</v>
      </c>
      <c r="H407" s="827">
        <v>0</v>
      </c>
      <c r="I407" s="827">
        <v>0</v>
      </c>
      <c r="J407" s="827">
        <v>0</v>
      </c>
      <c r="K407" s="827">
        <v>0</v>
      </c>
      <c r="L407" s="827">
        <v>0</v>
      </c>
      <c r="M407" s="827">
        <v>0</v>
      </c>
      <c r="N407" s="827">
        <v>0</v>
      </c>
      <c r="O407" s="827">
        <v>0</v>
      </c>
      <c r="P407" s="827">
        <v>0</v>
      </c>
      <c r="Q407" s="827">
        <v>0</v>
      </c>
      <c r="R407" s="827">
        <v>0</v>
      </c>
      <c r="S407" s="827">
        <v>0</v>
      </c>
      <c r="T407" s="827">
        <v>0</v>
      </c>
      <c r="U407" s="827">
        <v>0</v>
      </c>
      <c r="V407" s="827">
        <v>0</v>
      </c>
      <c r="W407" s="827">
        <v>0</v>
      </c>
      <c r="X407" s="827">
        <v>0</v>
      </c>
      <c r="Y407" s="827">
        <v>0</v>
      </c>
      <c r="Z407" s="827">
        <v>0</v>
      </c>
      <c r="AA407" s="827">
        <v>0</v>
      </c>
      <c r="AB407" s="827">
        <v>0</v>
      </c>
      <c r="AC407" s="828">
        <v>0</v>
      </c>
      <c r="AD407" s="828">
        <v>0</v>
      </c>
      <c r="AE407" s="828">
        <v>0</v>
      </c>
      <c r="AF407" s="828">
        <v>0</v>
      </c>
      <c r="AG407" s="828">
        <v>0</v>
      </c>
      <c r="AH407" s="828">
        <v>0</v>
      </c>
      <c r="AI407" s="828">
        <v>0</v>
      </c>
      <c r="AJ407" s="828">
        <v>0</v>
      </c>
      <c r="AK407" s="828">
        <v>0</v>
      </c>
      <c r="AL407" s="828">
        <v>0</v>
      </c>
      <c r="AM407" s="828">
        <v>0</v>
      </c>
      <c r="AN407" s="828">
        <v>0</v>
      </c>
      <c r="AO407" s="828">
        <v>0</v>
      </c>
      <c r="AP407" s="828">
        <v>0</v>
      </c>
      <c r="AQ407" s="51"/>
      <c r="AR407" s="51"/>
      <c r="AS407" s="51"/>
      <c r="AT407" s="51"/>
      <c r="AU407" s="51"/>
      <c r="AV407" s="51"/>
      <c r="AW407" s="51"/>
      <c r="AX407" s="51"/>
      <c r="AY407" s="51"/>
      <c r="AZ407" s="51"/>
      <c r="BA407" s="51"/>
      <c r="BB407" s="51"/>
      <c r="BC407" s="51"/>
      <c r="BD407" s="51"/>
      <c r="BE407" s="51"/>
      <c r="BF407" s="51"/>
      <c r="BG407" s="51"/>
      <c r="BH407" s="51"/>
      <c r="BI407" s="51"/>
      <c r="BJ407" s="51"/>
      <c r="BK407" s="51"/>
      <c r="BL407" s="51"/>
      <c r="BM407" s="51"/>
      <c r="BN407" s="51"/>
      <c r="BO407" s="51"/>
      <c r="BP407" s="51"/>
      <c r="BQ407" s="51"/>
      <c r="BR407" s="51"/>
      <c r="BS407" s="51"/>
      <c r="BT407" s="51"/>
      <c r="BU407" s="51"/>
      <c r="BV407" s="51"/>
      <c r="BW407" s="51"/>
      <c r="BX407" s="51"/>
      <c r="BY407" s="51"/>
      <c r="BZ407" s="51"/>
      <c r="CA407" s="51"/>
      <c r="CB407" s="51"/>
      <c r="CC407" s="51"/>
      <c r="CD407" s="51"/>
      <c r="CE407" s="51"/>
      <c r="CF407" s="51"/>
      <c r="CG407" s="51"/>
      <c r="CH407" s="51"/>
      <c r="CI407" s="51"/>
      <c r="CJ407" s="51"/>
      <c r="CK407" s="51"/>
      <c r="CL407" s="51"/>
      <c r="CM407" s="51"/>
      <c r="CN407" s="51"/>
      <c r="CO407" s="51"/>
      <c r="CP407" s="51"/>
      <c r="CQ407" s="51"/>
      <c r="CR407" s="51"/>
      <c r="CS407" s="51"/>
      <c r="CT407" s="51"/>
      <c r="CU407" s="51"/>
      <c r="CV407" s="51"/>
      <c r="CW407" s="51"/>
      <c r="CX407" s="51"/>
      <c r="CY407" s="51"/>
      <c r="CZ407" s="51"/>
      <c r="DA407" s="51"/>
      <c r="DB407" s="51"/>
      <c r="DC407" s="51"/>
      <c r="DD407" s="51"/>
      <c r="DE407" s="51"/>
      <c r="DF407" s="51"/>
      <c r="DG407" s="51"/>
      <c r="DH407" s="51"/>
      <c r="DI407" s="51"/>
      <c r="DJ407" s="51"/>
      <c r="DK407" s="51"/>
      <c r="DL407" s="51"/>
      <c r="DM407" s="51"/>
      <c r="DN407" s="51"/>
      <c r="DO407" s="51"/>
      <c r="DP407" s="51"/>
      <c r="DQ407" s="51"/>
      <c r="DR407" s="51"/>
      <c r="DS407" s="51"/>
      <c r="DT407" s="51"/>
      <c r="DU407" s="51"/>
      <c r="DV407" s="51"/>
      <c r="DW407" s="51"/>
      <c r="DX407" s="51"/>
      <c r="DY407" s="51"/>
      <c r="DZ407" s="51"/>
      <c r="EA407" s="51"/>
      <c r="EB407" s="51"/>
      <c r="EC407" s="51"/>
      <c r="ED407" s="51"/>
      <c r="EE407" s="51"/>
      <c r="EF407" s="51"/>
      <c r="EG407" s="51"/>
      <c r="EH407" s="51"/>
      <c r="EI407" s="51"/>
      <c r="EJ407" s="51"/>
      <c r="EK407" s="51"/>
      <c r="EL407" s="51"/>
      <c r="EM407" s="51"/>
      <c r="EN407" s="51"/>
      <c r="EO407" s="51"/>
      <c r="EP407" s="51"/>
      <c r="EQ407" s="51"/>
      <c r="ER407" s="51"/>
      <c r="ES407" s="51"/>
      <c r="ET407" s="51"/>
      <c r="EU407" s="51"/>
      <c r="EV407" s="51"/>
      <c r="EW407" s="51"/>
      <c r="EX407" s="51"/>
      <c r="EY407" s="51"/>
      <c r="EZ407" s="51"/>
      <c r="FA407" s="51"/>
      <c r="FB407" s="51"/>
      <c r="FC407" s="51"/>
      <c r="FD407" s="51"/>
      <c r="FE407" s="51"/>
      <c r="FF407" s="51"/>
      <c r="FG407" s="51"/>
      <c r="FH407" s="51"/>
      <c r="FI407" s="51"/>
      <c r="FJ407" s="51"/>
      <c r="FK407" s="51"/>
      <c r="FL407" s="51"/>
      <c r="FM407" s="51"/>
      <c r="FN407" s="51"/>
      <c r="FO407" s="51"/>
      <c r="FP407" s="51"/>
      <c r="FQ407" s="51"/>
      <c r="FR407" s="51"/>
      <c r="FS407" s="51"/>
      <c r="FT407" s="51"/>
      <c r="FU407" s="51"/>
      <c r="FV407" s="51"/>
      <c r="FW407" s="51"/>
      <c r="FX407" s="51"/>
      <c r="FY407" s="51"/>
      <c r="FZ407" s="51"/>
      <c r="GA407" s="51"/>
      <c r="GB407" s="51"/>
      <c r="GC407" s="51"/>
      <c r="GD407" s="51"/>
      <c r="GE407" s="51"/>
      <c r="GF407" s="51"/>
      <c r="GG407" s="51"/>
      <c r="GH407" s="51"/>
      <c r="GI407" s="51"/>
      <c r="GJ407" s="51"/>
      <c r="GK407" s="51"/>
      <c r="GL407" s="51"/>
      <c r="GM407" s="51"/>
      <c r="GN407" s="51"/>
      <c r="GO407" s="51"/>
      <c r="GP407" s="51"/>
      <c r="GQ407" s="51"/>
      <c r="GR407" s="51"/>
      <c r="GS407" s="51"/>
      <c r="GT407" s="51"/>
      <c r="GU407" s="51"/>
      <c r="GV407" s="51"/>
      <c r="GW407" s="51"/>
      <c r="GX407" s="51"/>
      <c r="GY407" s="51"/>
      <c r="GZ407" s="51"/>
      <c r="HA407" s="51"/>
      <c r="HB407" s="51"/>
      <c r="HC407" s="51"/>
      <c r="HD407" s="51"/>
      <c r="HE407" s="51"/>
      <c r="HF407" s="51"/>
      <c r="HG407" s="51"/>
      <c r="HH407" s="51"/>
      <c r="HI407" s="51"/>
      <c r="HJ407" s="51"/>
      <c r="HK407" s="51"/>
      <c r="HL407" s="51"/>
      <c r="HM407" s="51"/>
      <c r="HN407" s="51"/>
      <c r="HO407" s="51"/>
      <c r="HP407" s="51"/>
      <c r="HQ407" s="51"/>
      <c r="HR407" s="51"/>
      <c r="HS407" s="51"/>
      <c r="HT407" s="51"/>
      <c r="HU407" s="51"/>
      <c r="HV407" s="51"/>
      <c r="HW407" s="51"/>
      <c r="HX407" s="51"/>
      <c r="HY407" s="51"/>
      <c r="HZ407" s="51"/>
      <c r="IA407" s="51"/>
      <c r="IB407" s="51"/>
      <c r="IC407" s="51"/>
      <c r="ID407" s="51"/>
      <c r="IE407" s="51"/>
      <c r="IF407" s="51"/>
      <c r="IG407" s="51"/>
      <c r="IH407" s="51"/>
      <c r="II407" s="51"/>
      <c r="IJ407" s="51"/>
      <c r="IK407" s="51"/>
      <c r="IL407" s="51"/>
      <c r="IM407" s="51"/>
      <c r="IN407" s="51"/>
      <c r="IO407" s="51"/>
      <c r="IP407" s="51"/>
      <c r="IQ407" s="51"/>
      <c r="IR407" s="51"/>
      <c r="IS407" s="51"/>
      <c r="IT407" s="51"/>
      <c r="IU407" s="51"/>
      <c r="IV407" s="51"/>
    </row>
    <row r="408" hidden="1" ht="13.5">
      <c r="B408" s="831" t="s">
        <v>26</v>
      </c>
      <c r="C408" s="823">
        <v>0</v>
      </c>
      <c r="D408" s="823">
        <v>0</v>
      </c>
      <c r="E408" s="823">
        <v>0</v>
      </c>
      <c r="F408" s="823">
        <v>0</v>
      </c>
      <c r="G408" s="823">
        <v>0</v>
      </c>
      <c r="H408" s="823">
        <v>0</v>
      </c>
      <c r="I408" s="823">
        <v>0</v>
      </c>
      <c r="J408" s="823">
        <v>0</v>
      </c>
      <c r="K408" s="823">
        <v>0</v>
      </c>
      <c r="L408" s="823">
        <v>0</v>
      </c>
      <c r="M408" s="823">
        <v>0</v>
      </c>
      <c r="N408" s="823">
        <v>0</v>
      </c>
      <c r="O408" s="823">
        <v>0</v>
      </c>
      <c r="P408" s="823">
        <v>0</v>
      </c>
      <c r="Q408" s="823">
        <v>0</v>
      </c>
      <c r="R408" s="823">
        <v>0</v>
      </c>
      <c r="S408" s="823">
        <v>0</v>
      </c>
      <c r="T408" s="823">
        <v>0</v>
      </c>
      <c r="U408" s="823">
        <v>0</v>
      </c>
      <c r="V408" s="823">
        <v>0</v>
      </c>
      <c r="W408" s="823">
        <v>0</v>
      </c>
      <c r="X408" s="823">
        <v>0</v>
      </c>
      <c r="Y408" s="823">
        <v>0</v>
      </c>
      <c r="Z408" s="823">
        <v>0</v>
      </c>
      <c r="AA408" s="823">
        <v>0</v>
      </c>
      <c r="AB408" s="832">
        <v>0</v>
      </c>
      <c r="AC408" s="825">
        <v>0</v>
      </c>
      <c r="AD408" s="825">
        <v>0</v>
      </c>
      <c r="AE408" s="825">
        <v>0</v>
      </c>
      <c r="AF408" s="825">
        <v>0</v>
      </c>
      <c r="AG408" s="825">
        <v>0</v>
      </c>
      <c r="AH408" s="825">
        <v>0</v>
      </c>
      <c r="AI408" s="825">
        <v>0</v>
      </c>
      <c r="AJ408" s="825">
        <v>0</v>
      </c>
      <c r="AK408" s="825">
        <v>0</v>
      </c>
      <c r="AL408" s="825">
        <v>0</v>
      </c>
      <c r="AM408" s="825">
        <v>0</v>
      </c>
      <c r="AN408" s="825">
        <v>0</v>
      </c>
      <c r="AO408" s="825">
        <v>0</v>
      </c>
      <c r="AP408" s="825">
        <v>0</v>
      </c>
      <c r="AQ408" s="51"/>
      <c r="AR408" s="51"/>
      <c r="AS408" s="51"/>
      <c r="AT408" s="51"/>
      <c r="AU408" s="51"/>
      <c r="AV408" s="51"/>
      <c r="AW408" s="51"/>
      <c r="AX408" s="51"/>
      <c r="AY408" s="51"/>
      <c r="AZ408" s="51"/>
      <c r="BA408" s="51"/>
      <c r="BB408" s="51"/>
      <c r="BC408" s="51"/>
      <c r="BD408" s="51"/>
      <c r="BE408" s="51"/>
      <c r="BF408" s="51"/>
      <c r="BG408" s="51"/>
      <c r="BH408" s="51"/>
      <c r="BI408" s="51"/>
      <c r="BJ408" s="51"/>
      <c r="BK408" s="51"/>
      <c r="BL408" s="51"/>
      <c r="BM408" s="51"/>
      <c r="BN408" s="51"/>
      <c r="BO408" s="51"/>
      <c r="BP408" s="51"/>
      <c r="BQ408" s="51"/>
      <c r="BR408" s="51"/>
      <c r="BS408" s="51"/>
      <c r="BT408" s="51"/>
      <c r="BU408" s="51"/>
      <c r="BV408" s="51"/>
      <c r="BW408" s="51"/>
      <c r="BX408" s="51"/>
      <c r="BY408" s="51"/>
      <c r="BZ408" s="51"/>
      <c r="CA408" s="51"/>
      <c r="CB408" s="51"/>
      <c r="CC408" s="51"/>
      <c r="CD408" s="51"/>
      <c r="CE408" s="51"/>
      <c r="CF408" s="51"/>
      <c r="CG408" s="51"/>
      <c r="CH408" s="51"/>
      <c r="CI408" s="51"/>
      <c r="CJ408" s="51"/>
      <c r="CK408" s="51"/>
      <c r="CL408" s="51"/>
      <c r="CM408" s="51"/>
      <c r="CN408" s="51"/>
      <c r="CO408" s="51"/>
      <c r="CP408" s="51"/>
      <c r="CQ408" s="51"/>
      <c r="CR408" s="51"/>
      <c r="CS408" s="51"/>
      <c r="CT408" s="51"/>
      <c r="CU408" s="51"/>
      <c r="CV408" s="51"/>
      <c r="CW408" s="51"/>
      <c r="CX408" s="51"/>
      <c r="CY408" s="51"/>
      <c r="CZ408" s="51"/>
      <c r="DA408" s="51"/>
      <c r="DB408" s="51"/>
      <c r="DC408" s="51"/>
      <c r="DD408" s="51"/>
      <c r="DE408" s="51"/>
      <c r="DF408" s="51"/>
      <c r="DG408" s="51"/>
      <c r="DH408" s="51"/>
      <c r="DI408" s="51"/>
      <c r="DJ408" s="51"/>
      <c r="DK408" s="51"/>
      <c r="DL408" s="51"/>
      <c r="DM408" s="51"/>
      <c r="DN408" s="51"/>
      <c r="DO408" s="51"/>
      <c r="DP408" s="51"/>
      <c r="DQ408" s="51"/>
      <c r="DR408" s="51"/>
      <c r="DS408" s="51"/>
      <c r="DT408" s="51"/>
      <c r="DU408" s="51"/>
      <c r="DV408" s="51"/>
      <c r="DW408" s="51"/>
      <c r="DX408" s="51"/>
      <c r="DY408" s="51"/>
      <c r="DZ408" s="51"/>
      <c r="EA408" s="51"/>
      <c r="EB408" s="51"/>
      <c r="EC408" s="51"/>
      <c r="ED408" s="51"/>
      <c r="EE408" s="51"/>
      <c r="EF408" s="51"/>
      <c r="EG408" s="51"/>
      <c r="EH408" s="51"/>
      <c r="EI408" s="51"/>
      <c r="EJ408" s="51"/>
      <c r="EK408" s="51"/>
      <c r="EL408" s="51"/>
      <c r="EM408" s="51"/>
      <c r="EN408" s="51"/>
      <c r="EO408" s="51"/>
      <c r="EP408" s="51"/>
      <c r="EQ408" s="51"/>
      <c r="ER408" s="51"/>
      <c r="ES408" s="51"/>
      <c r="ET408" s="51"/>
      <c r="EU408" s="51"/>
      <c r="EV408" s="51"/>
      <c r="EW408" s="51"/>
      <c r="EX408" s="51"/>
      <c r="EY408" s="51"/>
      <c r="EZ408" s="51"/>
      <c r="FA408" s="51"/>
      <c r="FB408" s="51"/>
      <c r="FC408" s="51"/>
      <c r="FD408" s="51"/>
      <c r="FE408" s="51"/>
      <c r="FF408" s="51"/>
      <c r="FG408" s="51"/>
      <c r="FH408" s="51"/>
      <c r="FI408" s="51"/>
      <c r="FJ408" s="51"/>
      <c r="FK408" s="51"/>
      <c r="FL408" s="51"/>
      <c r="FM408" s="51"/>
      <c r="FN408" s="51"/>
      <c r="FO408" s="51"/>
      <c r="FP408" s="51"/>
      <c r="FQ408" s="51"/>
      <c r="FR408" s="51"/>
      <c r="FS408" s="51"/>
      <c r="FT408" s="51"/>
      <c r="FU408" s="51"/>
      <c r="FV408" s="51"/>
      <c r="FW408" s="51"/>
      <c r="FX408" s="51"/>
      <c r="FY408" s="51"/>
      <c r="FZ408" s="51"/>
      <c r="GA408" s="51"/>
      <c r="GB408" s="51"/>
      <c r="GC408" s="51"/>
      <c r="GD408" s="51"/>
      <c r="GE408" s="51"/>
      <c r="GF408" s="51"/>
      <c r="GG408" s="51"/>
      <c r="GH408" s="51"/>
      <c r="GI408" s="51"/>
      <c r="GJ408" s="51"/>
      <c r="GK408" s="51"/>
      <c r="GL408" s="51"/>
      <c r="GM408" s="51"/>
      <c r="GN408" s="51"/>
      <c r="GO408" s="51"/>
      <c r="GP408" s="51"/>
      <c r="GQ408" s="51"/>
      <c r="GR408" s="51"/>
      <c r="GS408" s="51"/>
      <c r="GT408" s="51"/>
      <c r="GU408" s="51"/>
      <c r="GV408" s="51"/>
      <c r="GW408" s="51"/>
      <c r="GX408" s="51"/>
      <c r="GY408" s="51"/>
      <c r="GZ408" s="51"/>
      <c r="HA408" s="51"/>
      <c r="HB408" s="51"/>
      <c r="HC408" s="51"/>
      <c r="HD408" s="51"/>
      <c r="HE408" s="51"/>
      <c r="HF408" s="51"/>
      <c r="HG408" s="51"/>
      <c r="HH408" s="51"/>
      <c r="HI408" s="51"/>
      <c r="HJ408" s="51"/>
      <c r="HK408" s="51"/>
      <c r="HL408" s="51"/>
      <c r="HM408" s="51"/>
      <c r="HN408" s="51"/>
      <c r="HO408" s="51"/>
      <c r="HP408" s="51"/>
      <c r="HQ408" s="51"/>
      <c r="HR408" s="51"/>
      <c r="HS408" s="51"/>
      <c r="HT408" s="51"/>
      <c r="HU408" s="51"/>
      <c r="HV408" s="51"/>
      <c r="HW408" s="51"/>
      <c r="HX408" s="51"/>
      <c r="HY408" s="51"/>
      <c r="HZ408" s="51"/>
      <c r="IA408" s="51"/>
      <c r="IB408" s="51"/>
      <c r="IC408" s="51"/>
      <c r="ID408" s="51"/>
      <c r="IE408" s="51"/>
      <c r="IF408" s="51"/>
      <c r="IG408" s="51"/>
      <c r="IH408" s="51"/>
      <c r="II408" s="51"/>
      <c r="IJ408" s="51"/>
      <c r="IK408" s="51"/>
      <c r="IL408" s="51"/>
      <c r="IM408" s="51"/>
      <c r="IN408" s="51"/>
      <c r="IO408" s="51"/>
      <c r="IP408" s="51"/>
      <c r="IQ408" s="51"/>
      <c r="IR408" s="51"/>
      <c r="IS408" s="51"/>
      <c r="IT408" s="51"/>
      <c r="IU408" s="51"/>
      <c r="IV408" s="51"/>
    </row>
    <row r="409" hidden="1" ht="13.5">
      <c r="B409" s="128" t="s">
        <v>7</v>
      </c>
      <c r="C409" s="129" t="str">
        <f>IF(SUM(C390:C408)&lt;&gt;0,SUM(C390:C408),"")</f>
      </c>
      <c r="D409" s="129" t="str">
        <f ref="D409:AA409" t="shared" si="45">IF(SUM(D390:D408)&lt;&gt;0,SUM(D390:D408),"")</f>
      </c>
      <c r="E409" s="129" t="str">
        <f t="shared" si="45"/>
      </c>
      <c r="F409" s="129" t="str">
        <f t="shared" si="45"/>
      </c>
      <c r="G409" s="129" t="str">
        <f t="shared" si="45"/>
      </c>
      <c r="H409" s="129" t="str">
        <f t="shared" si="45"/>
      </c>
      <c r="I409" s="129" t="str">
        <f t="shared" si="45"/>
      </c>
      <c r="J409" s="129" t="str">
        <f t="shared" si="45"/>
      </c>
      <c r="K409" s="129" t="str">
        <f t="shared" si="45"/>
      </c>
      <c r="L409" s="129" t="str">
        <f t="shared" si="45"/>
      </c>
      <c r="M409" s="129" t="str">
        <f t="shared" si="45"/>
      </c>
      <c r="N409" s="129" t="str">
        <f t="shared" si="45"/>
      </c>
      <c r="O409" s="129" t="str">
        <f t="shared" si="45"/>
      </c>
      <c r="P409" s="129" t="str">
        <f t="shared" si="45"/>
      </c>
      <c r="Q409" s="129" t="str">
        <f t="shared" si="45"/>
      </c>
      <c r="R409" s="129" t="str">
        <f t="shared" si="45"/>
      </c>
      <c r="S409" s="129" t="str">
        <f t="shared" si="45"/>
      </c>
      <c r="T409" s="129" t="str">
        <f t="shared" si="45"/>
      </c>
      <c r="U409" s="129" t="str">
        <f t="shared" si="45"/>
      </c>
      <c r="V409" s="129" t="str">
        <f t="shared" si="45"/>
      </c>
      <c r="W409" s="129" t="str">
        <f t="shared" si="45"/>
      </c>
      <c r="X409" s="129" t="str">
        <f t="shared" si="45"/>
      </c>
      <c r="Y409" s="129" t="str">
        <f t="shared" si="45"/>
      </c>
      <c r="Z409" s="129" t="str">
        <f t="shared" si="45"/>
      </c>
      <c r="AA409" s="129" t="str">
        <f t="shared" si="45"/>
      </c>
      <c r="AB409" s="130" t="str">
        <f>IF(SUM(AB390:AB408)&lt;&gt;0,SUM(AB390:AB408),"")</f>
      </c>
      <c r="AC409" s="91" t="str">
        <f ref="AC409:CN409" t="shared" si="46">IF(SUM(AC390:AC408)&lt;&gt;0,SUM(AC390:AC408),"")</f>
      </c>
      <c r="AD409" s="91" t="str">
        <f t="shared" si="46"/>
      </c>
      <c r="AE409" s="91" t="str">
        <f t="shared" si="46"/>
      </c>
      <c r="AF409" s="91" t="str">
        <f t="shared" si="46"/>
      </c>
      <c r="AG409" s="91" t="str">
        <f t="shared" si="46"/>
      </c>
      <c r="AH409" s="91" t="str">
        <f t="shared" si="46"/>
      </c>
      <c r="AI409" s="91" t="str">
        <f t="shared" si="46"/>
      </c>
      <c r="AJ409" s="91" t="str">
        <f t="shared" si="46"/>
      </c>
      <c r="AK409" s="91" t="str">
        <f t="shared" si="46"/>
      </c>
      <c r="AL409" s="91" t="str">
        <f t="shared" si="46"/>
      </c>
      <c r="AM409" s="91" t="str">
        <f t="shared" si="46"/>
      </c>
      <c r="AN409" s="91" t="str">
        <f t="shared" si="46"/>
      </c>
      <c r="AO409" s="91" t="str">
        <f t="shared" si="46"/>
      </c>
      <c r="AP409" s="91" t="str">
        <f t="shared" si="46"/>
      </c>
      <c r="AQ409" s="91" t="str">
        <f t="shared" si="46"/>
      </c>
      <c r="AR409" s="91" t="str">
        <f t="shared" si="46"/>
      </c>
      <c r="AS409" s="91" t="str">
        <f t="shared" si="46"/>
      </c>
      <c r="AT409" s="91" t="str">
        <f t="shared" si="46"/>
      </c>
      <c r="AU409" s="91" t="str">
        <f t="shared" si="46"/>
      </c>
      <c r="AV409" s="91" t="str">
        <f t="shared" si="46"/>
      </c>
      <c r="AW409" s="91" t="str">
        <f t="shared" si="46"/>
      </c>
      <c r="AX409" s="91" t="str">
        <f t="shared" si="46"/>
      </c>
      <c r="AY409" s="91" t="str">
        <f t="shared" si="46"/>
      </c>
      <c r="AZ409" s="91" t="str">
        <f t="shared" si="46"/>
      </c>
      <c r="BA409" s="91" t="str">
        <f t="shared" si="46"/>
      </c>
      <c r="BB409" s="91" t="str">
        <f t="shared" si="46"/>
      </c>
      <c r="BC409" s="91" t="str">
        <f t="shared" si="46"/>
      </c>
      <c r="BD409" s="91" t="str">
        <f t="shared" si="46"/>
      </c>
      <c r="BE409" s="91" t="str">
        <f t="shared" si="46"/>
      </c>
      <c r="BF409" s="91" t="str">
        <f t="shared" si="46"/>
      </c>
      <c r="BG409" s="91" t="str">
        <f t="shared" si="46"/>
      </c>
      <c r="BH409" s="91" t="str">
        <f t="shared" si="46"/>
      </c>
      <c r="BI409" s="91" t="str">
        <f t="shared" si="46"/>
      </c>
      <c r="BJ409" s="91" t="str">
        <f t="shared" si="46"/>
      </c>
      <c r="BK409" s="91" t="str">
        <f t="shared" si="46"/>
      </c>
      <c r="BL409" s="91" t="str">
        <f t="shared" si="46"/>
      </c>
      <c r="BM409" s="91" t="str">
        <f t="shared" si="46"/>
      </c>
      <c r="BN409" s="91" t="str">
        <f t="shared" si="46"/>
      </c>
      <c r="BO409" s="91" t="str">
        <f t="shared" si="46"/>
      </c>
      <c r="BP409" s="91" t="str">
        <f t="shared" si="46"/>
      </c>
      <c r="BQ409" s="91" t="str">
        <f t="shared" si="46"/>
      </c>
      <c r="BR409" s="91" t="str">
        <f t="shared" si="46"/>
      </c>
      <c r="BS409" s="91" t="str">
        <f t="shared" si="46"/>
      </c>
      <c r="BT409" s="91" t="str">
        <f t="shared" si="46"/>
      </c>
      <c r="BU409" s="91" t="str">
        <f t="shared" si="46"/>
      </c>
      <c r="BV409" s="91" t="str">
        <f t="shared" si="46"/>
      </c>
      <c r="BW409" s="91" t="str">
        <f t="shared" si="46"/>
      </c>
      <c r="BX409" s="91" t="str">
        <f t="shared" si="46"/>
      </c>
      <c r="BY409" s="91" t="str">
        <f t="shared" si="46"/>
      </c>
      <c r="BZ409" s="91" t="str">
        <f t="shared" si="46"/>
      </c>
      <c r="CA409" s="91" t="str">
        <f t="shared" si="46"/>
      </c>
      <c r="CB409" s="91" t="str">
        <f t="shared" si="46"/>
      </c>
      <c r="CC409" s="91" t="str">
        <f t="shared" si="46"/>
      </c>
      <c r="CD409" s="91" t="str">
        <f t="shared" si="46"/>
      </c>
      <c r="CE409" s="91" t="str">
        <f t="shared" si="46"/>
      </c>
      <c r="CF409" s="91" t="str">
        <f t="shared" si="46"/>
      </c>
      <c r="CG409" s="91" t="str">
        <f t="shared" si="46"/>
      </c>
      <c r="CH409" s="91" t="str">
        <f t="shared" si="46"/>
      </c>
      <c r="CI409" s="91" t="str">
        <f t="shared" si="46"/>
      </c>
      <c r="CJ409" s="91" t="str">
        <f t="shared" si="46"/>
      </c>
      <c r="CK409" s="91" t="str">
        <f t="shared" si="46"/>
      </c>
      <c r="CL409" s="91" t="str">
        <f t="shared" si="46"/>
      </c>
      <c r="CM409" s="91" t="str">
        <f t="shared" si="46"/>
      </c>
      <c r="CN409" s="91" t="str">
        <f t="shared" si="46"/>
      </c>
      <c r="CO409" s="91" t="str">
        <f ref="CO409:EZ409" t="shared" si="47">IF(SUM(CO390:CO408)&lt;&gt;0,SUM(CO390:CO408),"")</f>
      </c>
      <c r="CP409" s="91" t="str">
        <f t="shared" si="47"/>
      </c>
      <c r="CQ409" s="91" t="str">
        <f t="shared" si="47"/>
      </c>
      <c r="CR409" s="91" t="str">
        <f t="shared" si="47"/>
      </c>
      <c r="CS409" s="91" t="str">
        <f t="shared" si="47"/>
      </c>
      <c r="CT409" s="91" t="str">
        <f t="shared" si="47"/>
      </c>
      <c r="CU409" s="91" t="str">
        <f t="shared" si="47"/>
      </c>
      <c r="CV409" s="91" t="str">
        <f t="shared" si="47"/>
      </c>
      <c r="CW409" s="91" t="str">
        <f t="shared" si="47"/>
      </c>
      <c r="CX409" s="91" t="str">
        <f t="shared" si="47"/>
      </c>
      <c r="CY409" s="91" t="str">
        <f t="shared" si="47"/>
      </c>
      <c r="CZ409" s="91" t="str">
        <f t="shared" si="47"/>
      </c>
      <c r="DA409" s="91" t="str">
        <f t="shared" si="47"/>
      </c>
      <c r="DB409" s="91" t="str">
        <f t="shared" si="47"/>
      </c>
      <c r="DC409" s="91" t="str">
        <f t="shared" si="47"/>
      </c>
      <c r="DD409" s="91" t="str">
        <f t="shared" si="47"/>
      </c>
      <c r="DE409" s="91" t="str">
        <f t="shared" si="47"/>
      </c>
      <c r="DF409" s="91" t="str">
        <f t="shared" si="47"/>
      </c>
      <c r="DG409" s="91" t="str">
        <f t="shared" si="47"/>
      </c>
      <c r="DH409" s="91" t="str">
        <f t="shared" si="47"/>
      </c>
      <c r="DI409" s="91" t="str">
        <f t="shared" si="47"/>
      </c>
      <c r="DJ409" s="91" t="str">
        <f t="shared" si="47"/>
      </c>
      <c r="DK409" s="91" t="str">
        <f t="shared" si="47"/>
      </c>
      <c r="DL409" s="91" t="str">
        <f t="shared" si="47"/>
      </c>
      <c r="DM409" s="91" t="str">
        <f t="shared" si="47"/>
      </c>
      <c r="DN409" s="91" t="str">
        <f t="shared" si="47"/>
      </c>
      <c r="DO409" s="91" t="str">
        <f t="shared" si="47"/>
      </c>
      <c r="DP409" s="91" t="str">
        <f t="shared" si="47"/>
      </c>
      <c r="DQ409" s="91" t="str">
        <f t="shared" si="47"/>
      </c>
      <c r="DR409" s="91" t="str">
        <f t="shared" si="47"/>
      </c>
      <c r="DS409" s="91" t="str">
        <f t="shared" si="47"/>
      </c>
      <c r="DT409" s="91" t="str">
        <f t="shared" si="47"/>
      </c>
      <c r="DU409" s="91" t="str">
        <f t="shared" si="47"/>
      </c>
      <c r="DV409" s="91" t="str">
        <f t="shared" si="47"/>
      </c>
      <c r="DW409" s="91" t="str">
        <f t="shared" si="47"/>
      </c>
      <c r="DX409" s="91" t="str">
        <f t="shared" si="47"/>
      </c>
      <c r="DY409" s="91" t="str">
        <f t="shared" si="47"/>
      </c>
      <c r="DZ409" s="91" t="str">
        <f t="shared" si="47"/>
      </c>
      <c r="EA409" s="91" t="str">
        <f t="shared" si="47"/>
      </c>
      <c r="EB409" s="91" t="str">
        <f t="shared" si="47"/>
      </c>
      <c r="EC409" s="91" t="str">
        <f t="shared" si="47"/>
      </c>
      <c r="ED409" s="91" t="str">
        <f t="shared" si="47"/>
      </c>
      <c r="EE409" s="91" t="str">
        <f t="shared" si="47"/>
      </c>
      <c r="EF409" s="91" t="str">
        <f t="shared" si="47"/>
      </c>
      <c r="EG409" s="91" t="str">
        <f t="shared" si="47"/>
      </c>
      <c r="EH409" s="91" t="str">
        <f t="shared" si="47"/>
      </c>
      <c r="EI409" s="91" t="str">
        <f t="shared" si="47"/>
      </c>
      <c r="EJ409" s="91" t="str">
        <f t="shared" si="47"/>
      </c>
      <c r="EK409" s="91" t="str">
        <f t="shared" si="47"/>
      </c>
      <c r="EL409" s="91" t="str">
        <f t="shared" si="47"/>
      </c>
      <c r="EM409" s="91" t="str">
        <f t="shared" si="47"/>
      </c>
      <c r="EN409" s="91" t="str">
        <f t="shared" si="47"/>
      </c>
      <c r="EO409" s="91" t="str">
        <f t="shared" si="47"/>
      </c>
      <c r="EP409" s="91" t="str">
        <f t="shared" si="47"/>
      </c>
      <c r="EQ409" s="91" t="str">
        <f t="shared" si="47"/>
      </c>
      <c r="ER409" s="91" t="str">
        <f t="shared" si="47"/>
      </c>
      <c r="ES409" s="91" t="str">
        <f t="shared" si="47"/>
      </c>
      <c r="ET409" s="91" t="str">
        <f t="shared" si="47"/>
      </c>
      <c r="EU409" s="91" t="str">
        <f t="shared" si="47"/>
      </c>
      <c r="EV409" s="91" t="str">
        <f t="shared" si="47"/>
      </c>
      <c r="EW409" s="91" t="str">
        <f t="shared" si="47"/>
      </c>
      <c r="EX409" s="91" t="str">
        <f t="shared" si="47"/>
      </c>
      <c r="EY409" s="91" t="str">
        <f t="shared" si="47"/>
      </c>
      <c r="EZ409" s="91" t="str">
        <f t="shared" si="47"/>
      </c>
      <c r="FA409" s="91" t="str">
        <f ref="FA409:HL409" t="shared" si="48">IF(SUM(FA390:FA408)&lt;&gt;0,SUM(FA390:FA408),"")</f>
      </c>
      <c r="FB409" s="91" t="str">
        <f t="shared" si="48"/>
      </c>
      <c r="FC409" s="91" t="str">
        <f t="shared" si="48"/>
      </c>
      <c r="FD409" s="91" t="str">
        <f t="shared" si="48"/>
      </c>
      <c r="FE409" s="91" t="str">
        <f t="shared" si="48"/>
      </c>
      <c r="FF409" s="91" t="str">
        <f t="shared" si="48"/>
      </c>
      <c r="FG409" s="91" t="str">
        <f t="shared" si="48"/>
      </c>
      <c r="FH409" s="91" t="str">
        <f t="shared" si="48"/>
      </c>
      <c r="FI409" s="91" t="str">
        <f t="shared" si="48"/>
      </c>
      <c r="FJ409" s="91" t="str">
        <f t="shared" si="48"/>
      </c>
      <c r="FK409" s="91" t="str">
        <f t="shared" si="48"/>
      </c>
      <c r="FL409" s="91" t="str">
        <f t="shared" si="48"/>
      </c>
      <c r="FM409" s="91" t="str">
        <f t="shared" si="48"/>
      </c>
      <c r="FN409" s="91" t="str">
        <f t="shared" si="48"/>
      </c>
      <c r="FO409" s="91" t="str">
        <f t="shared" si="48"/>
      </c>
      <c r="FP409" s="91" t="str">
        <f t="shared" si="48"/>
      </c>
      <c r="FQ409" s="91" t="str">
        <f t="shared" si="48"/>
      </c>
      <c r="FR409" s="91" t="str">
        <f t="shared" si="48"/>
      </c>
      <c r="FS409" s="91" t="str">
        <f t="shared" si="48"/>
      </c>
      <c r="FT409" s="91" t="str">
        <f t="shared" si="48"/>
      </c>
      <c r="FU409" s="91" t="str">
        <f t="shared" si="48"/>
      </c>
      <c r="FV409" s="91" t="str">
        <f t="shared" si="48"/>
      </c>
      <c r="FW409" s="91" t="str">
        <f t="shared" si="48"/>
      </c>
      <c r="FX409" s="91" t="str">
        <f t="shared" si="48"/>
      </c>
      <c r="FY409" s="91" t="str">
        <f t="shared" si="48"/>
      </c>
      <c r="FZ409" s="91" t="str">
        <f t="shared" si="48"/>
      </c>
      <c r="GA409" s="91" t="str">
        <f t="shared" si="48"/>
      </c>
      <c r="GB409" s="91" t="str">
        <f t="shared" si="48"/>
      </c>
      <c r="GC409" s="91" t="str">
        <f t="shared" si="48"/>
      </c>
      <c r="GD409" s="91" t="str">
        <f t="shared" si="48"/>
      </c>
      <c r="GE409" s="91" t="str">
        <f t="shared" si="48"/>
      </c>
      <c r="GF409" s="91" t="str">
        <f t="shared" si="48"/>
      </c>
      <c r="GG409" s="91" t="str">
        <f t="shared" si="48"/>
      </c>
      <c r="GH409" s="91" t="str">
        <f t="shared" si="48"/>
      </c>
      <c r="GI409" s="91" t="str">
        <f t="shared" si="48"/>
      </c>
      <c r="GJ409" s="91" t="str">
        <f t="shared" si="48"/>
      </c>
      <c r="GK409" s="91" t="str">
        <f t="shared" si="48"/>
      </c>
      <c r="GL409" s="91" t="str">
        <f t="shared" si="48"/>
      </c>
      <c r="GM409" s="91" t="str">
        <f t="shared" si="48"/>
      </c>
      <c r="GN409" s="91" t="str">
        <f t="shared" si="48"/>
      </c>
      <c r="GO409" s="91" t="str">
        <f t="shared" si="48"/>
      </c>
      <c r="GP409" s="91" t="str">
        <f t="shared" si="48"/>
      </c>
      <c r="GQ409" s="91" t="str">
        <f t="shared" si="48"/>
      </c>
      <c r="GR409" s="91" t="str">
        <f t="shared" si="48"/>
      </c>
      <c r="GS409" s="91" t="str">
        <f t="shared" si="48"/>
      </c>
      <c r="GT409" s="91" t="str">
        <f t="shared" si="48"/>
      </c>
      <c r="GU409" s="91" t="str">
        <f t="shared" si="48"/>
      </c>
      <c r="GV409" s="91" t="str">
        <f t="shared" si="48"/>
      </c>
      <c r="GW409" s="91" t="str">
        <f t="shared" si="48"/>
      </c>
      <c r="GX409" s="91" t="str">
        <f t="shared" si="48"/>
      </c>
      <c r="GY409" s="91" t="str">
        <f t="shared" si="48"/>
      </c>
      <c r="GZ409" s="91" t="str">
        <f t="shared" si="48"/>
      </c>
      <c r="HA409" s="91" t="str">
        <f t="shared" si="48"/>
      </c>
      <c r="HB409" s="91" t="str">
        <f t="shared" si="48"/>
      </c>
      <c r="HC409" s="91" t="str">
        <f t="shared" si="48"/>
      </c>
      <c r="HD409" s="91" t="str">
        <f t="shared" si="48"/>
      </c>
      <c r="HE409" s="91" t="str">
        <f t="shared" si="48"/>
      </c>
      <c r="HF409" s="91" t="str">
        <f t="shared" si="48"/>
      </c>
      <c r="HG409" s="91" t="str">
        <f t="shared" si="48"/>
      </c>
      <c r="HH409" s="91" t="str">
        <f t="shared" si="48"/>
      </c>
      <c r="HI409" s="91" t="str">
        <f t="shared" si="48"/>
      </c>
      <c r="HJ409" s="91" t="str">
        <f t="shared" si="48"/>
      </c>
      <c r="HK409" s="91" t="str">
        <f t="shared" si="48"/>
      </c>
      <c r="HL409" s="91" t="str">
        <f t="shared" si="48"/>
      </c>
      <c r="HM409" s="91" t="str">
        <f ref="HM409:IV409" t="shared" si="49">IF(SUM(HM390:HM408)&lt;&gt;0,SUM(HM390:HM408),"")</f>
      </c>
      <c r="HN409" s="91" t="str">
        <f t="shared" si="49"/>
      </c>
      <c r="HO409" s="91" t="str">
        <f t="shared" si="49"/>
      </c>
      <c r="HP409" s="91" t="str">
        <f t="shared" si="49"/>
      </c>
      <c r="HQ409" s="91" t="str">
        <f t="shared" si="49"/>
      </c>
      <c r="HR409" s="91" t="str">
        <f t="shared" si="49"/>
      </c>
      <c r="HS409" s="91" t="str">
        <f t="shared" si="49"/>
      </c>
      <c r="HT409" s="91" t="str">
        <f t="shared" si="49"/>
      </c>
      <c r="HU409" s="91" t="str">
        <f t="shared" si="49"/>
      </c>
      <c r="HV409" s="91" t="str">
        <f t="shared" si="49"/>
      </c>
      <c r="HW409" s="91" t="str">
        <f t="shared" si="49"/>
      </c>
      <c r="HX409" s="91" t="str">
        <f t="shared" si="49"/>
      </c>
      <c r="HY409" s="91" t="str">
        <f t="shared" si="49"/>
      </c>
      <c r="HZ409" s="91" t="str">
        <f t="shared" si="49"/>
      </c>
      <c r="IA409" s="91" t="str">
        <f t="shared" si="49"/>
      </c>
      <c r="IB409" s="91" t="str">
        <f t="shared" si="49"/>
      </c>
      <c r="IC409" s="91" t="str">
        <f t="shared" si="49"/>
      </c>
      <c r="ID409" s="91" t="str">
        <f t="shared" si="49"/>
      </c>
      <c r="IE409" s="91" t="str">
        <f t="shared" si="49"/>
      </c>
      <c r="IF409" s="91" t="str">
        <f t="shared" si="49"/>
      </c>
      <c r="IG409" s="91" t="str">
        <f t="shared" si="49"/>
      </c>
      <c r="IH409" s="91" t="str">
        <f t="shared" si="49"/>
      </c>
      <c r="II409" s="91" t="str">
        <f t="shared" si="49"/>
      </c>
      <c r="IJ409" s="91" t="str">
        <f t="shared" si="49"/>
      </c>
      <c r="IK409" s="91" t="str">
        <f t="shared" si="49"/>
      </c>
      <c r="IL409" s="91" t="str">
        <f t="shared" si="49"/>
      </c>
      <c r="IM409" s="91" t="str">
        <f t="shared" si="49"/>
      </c>
      <c r="IN409" s="91" t="str">
        <f t="shared" si="49"/>
      </c>
      <c r="IO409" s="91" t="str">
        <f t="shared" si="49"/>
      </c>
      <c r="IP409" s="91" t="str">
        <f t="shared" si="49"/>
      </c>
      <c r="IQ409" s="91" t="str">
        <f t="shared" si="49"/>
      </c>
      <c r="IR409" s="91" t="str">
        <f t="shared" si="49"/>
      </c>
      <c r="IS409" s="91" t="str">
        <f t="shared" si="49"/>
      </c>
      <c r="IT409" s="91" t="str">
        <f t="shared" si="49"/>
      </c>
      <c r="IU409" s="91" t="str">
        <f t="shared" si="49"/>
      </c>
      <c r="IV409" s="91" t="str">
        <f t="shared" si="49"/>
      </c>
    </row>
    <row r="410" hidden="1"/>
    <row r="411" hidden="1" ht="13.5"/>
    <row r="412" hidden="1" ht="13.5" customHeight="1">
      <c r="C412" s="732" t="s">
        <v>421</v>
      </c>
      <c r="D412" s="733"/>
      <c r="E412" s="733"/>
      <c r="F412" s="733"/>
      <c r="G412" s="733"/>
      <c r="H412" s="733"/>
      <c r="I412" s="733"/>
      <c r="J412" s="733"/>
      <c r="K412" s="733"/>
      <c r="L412" s="733"/>
      <c r="M412" s="733"/>
      <c r="N412" s="733"/>
      <c r="O412" s="733"/>
      <c r="P412" s="733"/>
      <c r="Q412" s="733"/>
      <c r="R412" s="733"/>
      <c r="S412" s="733"/>
      <c r="T412" s="733"/>
      <c r="U412" s="733"/>
      <c r="V412" s="733"/>
      <c r="W412" s="733"/>
      <c r="X412" s="733"/>
      <c r="Y412" s="733"/>
      <c r="Z412" s="733"/>
      <c r="AA412" s="733"/>
      <c r="AB412" s="734"/>
    </row>
    <row r="413" hidden="1" ht="13.5">
      <c r="B413" s="51"/>
      <c r="C413" s="435" t="str">
        <f> IF(C433&lt;&gt;"",TEXT(AUX!G$1,"dd-MMM-aa"),"")</f>
      </c>
      <c r="D413" s="435" t="str">
        <f> IF(D433&lt;&gt;"",TEXT(AUX!H$1,"dd-MMM-aa"),"")</f>
      </c>
      <c r="E413" s="435" t="str">
        <f> IF(E433&lt;&gt;"",TEXT(AUX!I$1,"dd-MMM-aa"),"")</f>
      </c>
      <c r="F413" s="435" t="str">
        <f> IF(F433&lt;&gt;"",TEXT(AUX!J$1,"dd-MMM-aa"),"")</f>
      </c>
      <c r="G413" s="435" t="str">
        <f> IF(G433&lt;&gt;"",TEXT(AUX!K$1,"dd-MMM-aa"),"")</f>
      </c>
      <c r="H413" s="435" t="str">
        <f> IF(H433&lt;&gt;"",TEXT(AUX!L$1,"dd-MMM-aa"),"")</f>
      </c>
      <c r="I413" s="435" t="str">
        <f> IF(I433&lt;&gt;"",TEXT(AUX!M$1,"dd-MMM-aa"),"")</f>
      </c>
      <c r="J413" s="435" t="str">
        <f> IF(J433&lt;&gt;"",TEXT(AUX!N$1,"dd-MMM-aa"),"")</f>
      </c>
      <c r="K413" s="435" t="str">
        <f> IF(K433&lt;&gt;"",TEXT(AUX!O$1,"dd-MMM-aa"),"")</f>
      </c>
      <c r="L413" s="435" t="str">
        <f> IF(L433&lt;&gt;"",TEXT(AUX!P$1,"dd-MMM-aa"),"")</f>
      </c>
      <c r="M413" s="435" t="str">
        <f> IF(M433&lt;&gt;"",TEXT(AUX!Q$1,"dd-MMM-aa"),"")</f>
      </c>
      <c r="N413" s="435" t="str">
        <f> IF(N433&lt;&gt;"",TEXT(AUX!R$1,"dd-MMM-aa"),"")</f>
      </c>
      <c r="O413" s="435" t="str">
        <f> IF(O433&lt;&gt;"",TEXT(AUX!S$1,"dd-MMM-aa"),"")</f>
      </c>
      <c r="P413" s="435" t="str">
        <f> IF(P433&lt;&gt;"",TEXT(AUX!T$1,"dd-MMM-aa"),"")</f>
      </c>
      <c r="Q413" s="435" t="str">
        <f> IF(Q433&lt;&gt;"",TEXT(AUX!U$1,"dd-MMM-aa"),"")</f>
      </c>
      <c r="R413" s="435" t="str">
        <f> IF(R433&lt;&gt;"",TEXT(AUX!V$1,"dd-MMM-aa"),"")</f>
      </c>
      <c r="S413" s="435" t="str">
        <f> IF(S433&lt;&gt;"",TEXT(AUX!W$1,"dd-MMM-aa"),"")</f>
      </c>
      <c r="T413" s="435" t="str">
        <f> IF(T433&lt;&gt;"",TEXT(AUX!X$1,"dd-MMM-aa"),"")</f>
      </c>
      <c r="U413" s="435" t="str">
        <f> IF(U433&lt;&gt;"",TEXT(AUX!Y$1,"dd-MMM-aa"),"")</f>
      </c>
      <c r="V413" s="435" t="str">
        <f> IF(V433&lt;&gt;"",TEXT(AUX!Z$1,"dd-MMM-aa"),"")</f>
      </c>
      <c r="W413" s="435" t="str">
        <f> IF(W433&lt;&gt;"",TEXT(AUX!AA$1,"dd-MMM-aa"),"")</f>
      </c>
      <c r="X413" s="435" t="str">
        <f> IF(X433&lt;&gt;"",TEXT(AUX!AB$1,"dd-MMM-aa"),"")</f>
      </c>
      <c r="Y413" s="435" t="str">
        <f> IF(Y433&lt;&gt;"",TEXT(AUX!AC$1,"dd-MMM-aa"),"")</f>
      </c>
      <c r="Z413" s="435" t="str">
        <f> IF(Z433&lt;&gt;"",TEXT(AUX!AD$1,"dd-MMM-aa"),"")</f>
      </c>
      <c r="AA413" s="435" t="str">
        <f> IF(AA433&lt;&gt;"",TEXT(AUX!AE$1,"dd-MMM-aa"),"")</f>
      </c>
      <c r="AB413" s="497" t="str">
        <f> IF(AB433&lt;&gt;"",TEXT(AUX!AF$1,"dd-MMM-aa"),"")</f>
      </c>
      <c r="AC413" s="496" t="str">
        <f> IF(AC433&lt;&gt;"",TEXT(AUX!AG$1,"dd-MMM-aa"),"")</f>
      </c>
      <c r="AD413" s="496" t="str">
        <f> IF(AD433&lt;&gt;"",TEXT(AUX!AH$1,"dd-MMM-aa"),"")</f>
      </c>
      <c r="AE413" s="496" t="str">
        <f> IF(AE433&lt;&gt;"",TEXT(AUX!AI$1,"dd-MMM-aa"),"")</f>
      </c>
      <c r="AF413" s="496" t="str">
        <f> IF(AF433&lt;&gt;"",TEXT(AUX!AJ$1,"dd-MMM-aa"),"")</f>
      </c>
      <c r="AG413" s="496" t="str">
        <f> IF(AG433&lt;&gt;"",TEXT(AUX!AK$1,"dd-MMM-aa"),"")</f>
      </c>
      <c r="AH413" s="496" t="str">
        <f> IF(AH433&lt;&gt;"",TEXT(AUX!AL$1,"dd-MMM-aa"),"")</f>
      </c>
      <c r="AI413" s="496" t="str">
        <f> IF(AI433&lt;&gt;"",TEXT(AUX!AM$1,"dd-MMM-aa"),"")</f>
      </c>
      <c r="AJ413" s="496" t="str">
        <f> IF(AJ433&lt;&gt;"",TEXT(AUX!AN$1,"dd-MMM-aa"),"")</f>
      </c>
      <c r="AK413" s="496" t="str">
        <f> IF(AK433&lt;&gt;"",TEXT(AUX!AO$1,"dd-MMM-aa"),"")</f>
      </c>
      <c r="AL413" s="496" t="str">
        <f> IF(AL433&lt;&gt;"",TEXT(AUX!AP$1,"dd-MMM-aa"),"")</f>
      </c>
      <c r="AM413" s="496" t="str">
        <f> IF(AM433&lt;&gt;"",TEXT(AUX!AQ$1,"dd-MMM-aa"),"")</f>
      </c>
      <c r="AN413" s="496" t="str">
        <f> IF(AN433&lt;&gt;"",TEXT(AUX!AR$1,"dd-MMM-aa"),"")</f>
      </c>
      <c r="AO413" s="496" t="str">
        <f> IF(AO433&lt;&gt;"",TEXT(AUX!AS$1,"dd-MMM-aa"),"")</f>
      </c>
      <c r="AP413" s="496" t="str">
        <f> IF(AP433&lt;&gt;"",TEXT(AUX!AT$1,"dd-MMM-aa"),"")</f>
      </c>
      <c r="AQ413" s="496" t="str">
        <f> IF(AQ433&lt;&gt;"",TEXT(AUX!AU$1,"dd-MMM-aa"),"")</f>
      </c>
      <c r="AR413" s="496" t="str">
        <f> IF(AR433&lt;&gt;"",TEXT(AUX!AV$1,"dd-MMM-aa"),"")</f>
      </c>
      <c r="AS413" s="496" t="str">
        <f> IF(AS433&lt;&gt;"",TEXT(AUX!AW$1,"dd-MMM-aa"),"")</f>
      </c>
      <c r="AT413" s="496" t="str">
        <f> IF(AT433&lt;&gt;"",TEXT(AUX!AX$1,"dd-MMM-aa"),"")</f>
      </c>
      <c r="AU413" s="496" t="str">
        <f> IF(AU433&lt;&gt;"",TEXT(AUX!AY$1,"dd-MMM-aa"),"")</f>
      </c>
      <c r="AV413" s="496" t="str">
        <f> IF(AV433&lt;&gt;"",TEXT(AUX!AZ$1,"dd-MMM-aa"),"")</f>
      </c>
      <c r="AW413" s="496" t="str">
        <f> IF(AW433&lt;&gt;"",TEXT(AUX!BA$1,"dd-MMM-aa"),"")</f>
      </c>
      <c r="AX413" s="496" t="str">
        <f> IF(AX433&lt;&gt;"",TEXT(AUX!BB$1,"dd-MMM-aa"),"")</f>
      </c>
      <c r="AY413" s="496" t="str">
        <f> IF(AY433&lt;&gt;"",TEXT(AUX!BC$1,"dd-MMM-aa"),"")</f>
      </c>
      <c r="AZ413" s="496" t="str">
        <f> IF(AZ433&lt;&gt;"",TEXT(AUX!BD$1,"dd-MMM-aa"),"")</f>
      </c>
      <c r="BA413" s="496" t="str">
        <f> IF(BA433&lt;&gt;"",TEXT(AUX!BE$1,"dd-MMM-aa"),"")</f>
      </c>
      <c r="BB413" s="496" t="str">
        <f> IF(BB433&lt;&gt;"",TEXT(AUX!BF$1,"dd-MMM-aa"),"")</f>
      </c>
      <c r="BC413" s="496" t="str">
        <f> IF(BC433&lt;&gt;"",TEXT(AUX!BG$1,"dd-MMM-aa"),"")</f>
      </c>
      <c r="BD413" s="496" t="str">
        <f> IF(BD433&lt;&gt;"",TEXT(AUX!BH$1,"dd-MMM-aa"),"")</f>
      </c>
      <c r="BE413" s="496" t="str">
        <f> IF(BE433&lt;&gt;"",TEXT(AUX!BI$1,"dd-MMM-aa"),"")</f>
      </c>
      <c r="BF413" s="496" t="str">
        <f> IF(BF433&lt;&gt;"",TEXT(AUX!BJ$1,"dd-MMM-aa"),"")</f>
      </c>
      <c r="BG413" s="496" t="str">
        <f> IF(BG433&lt;&gt;"",TEXT(AUX!BK$1,"dd-MMM-aa"),"")</f>
      </c>
      <c r="BH413" s="496" t="str">
        <f> IF(BH433&lt;&gt;"",TEXT(AUX!BL$1,"dd-MMM-aa"),"")</f>
      </c>
      <c r="BI413" s="496" t="str">
        <f> IF(BI433&lt;&gt;"",TEXT(AUX!BM$1,"dd-MMM-aa"),"")</f>
      </c>
      <c r="BJ413" s="496" t="str">
        <f> IF(BJ433&lt;&gt;"",TEXT(AUX!BN$1,"dd-MMM-aa"),"")</f>
      </c>
      <c r="BK413" s="496" t="str">
        <f> IF(BK433&lt;&gt;"",TEXT(AUX!BO$1,"dd-MMM-aa"),"")</f>
      </c>
      <c r="BL413" s="496" t="str">
        <f> IF(BL433&lt;&gt;"",TEXT(AUX!BP$1,"dd-MMM-aa"),"")</f>
      </c>
      <c r="BM413" s="496" t="str">
        <f> IF(BM433&lt;&gt;"",TEXT(AUX!BQ$1,"dd-MMM-aa"),"")</f>
      </c>
      <c r="BN413" s="496" t="str">
        <f> IF(BN433&lt;&gt;"",TEXT(AUX!BR$1,"dd-MMM-aa"),"")</f>
      </c>
      <c r="BO413" s="496" t="str">
        <f> IF(BO433&lt;&gt;"",TEXT(AUX!BS$1,"dd-MMM-aa"),"")</f>
      </c>
      <c r="BP413" s="496" t="str">
        <f> IF(BP433&lt;&gt;"",TEXT(AUX!BT$1,"dd-MMM-aa"),"")</f>
      </c>
      <c r="BQ413" s="496" t="str">
        <f> IF(BQ433&lt;&gt;"",TEXT(AUX!BU$1,"dd-MMM-aa"),"")</f>
      </c>
      <c r="BR413" s="496" t="str">
        <f> IF(BR433&lt;&gt;"",TEXT(AUX!BV$1,"dd-MMM-aa"),"")</f>
      </c>
      <c r="BS413" s="496" t="str">
        <f> IF(BS433&lt;&gt;"",TEXT(AUX!BW$1,"dd-MMM-aa"),"")</f>
      </c>
      <c r="BT413" s="496" t="str">
        <f> IF(BT433&lt;&gt;"",TEXT(AUX!BX$1,"dd-MMM-aa"),"")</f>
      </c>
      <c r="BU413" s="496" t="str">
        <f> IF(BU433&lt;&gt;"",TEXT(AUX!BY$1,"dd-MMM-aa"),"")</f>
      </c>
      <c r="BV413" s="496" t="str">
        <f> IF(BV433&lt;&gt;"",TEXT(AUX!BZ$1,"dd-MMM-aa"),"")</f>
      </c>
      <c r="BW413" s="496" t="str">
        <f> IF(BW433&lt;&gt;"",TEXT(AUX!CA$1,"dd-MMM-aa"),"")</f>
      </c>
      <c r="BX413" s="496" t="str">
        <f> IF(BX433&lt;&gt;"",TEXT(AUX!CB$1,"dd-MMM-aa"),"")</f>
      </c>
      <c r="BY413" s="496" t="str">
        <f> IF(BY433&lt;&gt;"",TEXT(AUX!CC$1,"dd-MMM-aa"),"")</f>
      </c>
      <c r="BZ413" s="496" t="str">
        <f> IF(BZ433&lt;&gt;"",TEXT(AUX!CD$1,"dd-MMM-aa"),"")</f>
      </c>
      <c r="CA413" s="496" t="str">
        <f> IF(CA433&lt;&gt;"",TEXT(AUX!CE$1,"dd-MMM-aa"),"")</f>
      </c>
      <c r="CB413" s="496" t="str">
        <f> IF(CB433&lt;&gt;"",TEXT(AUX!CF$1,"dd-MMM-aa"),"")</f>
      </c>
      <c r="CC413" s="496" t="str">
        <f> IF(CC433&lt;&gt;"",TEXT(AUX!CG$1,"dd-MMM-aa"),"")</f>
      </c>
      <c r="CD413" s="496" t="str">
        <f> IF(CD433&lt;&gt;"",TEXT(AUX!CH$1,"dd-MMM-aa"),"")</f>
      </c>
      <c r="CE413" s="496" t="str">
        <f> IF(CE433&lt;&gt;"",TEXT(AUX!CI$1,"dd-MMM-aa"),"")</f>
      </c>
      <c r="CF413" s="496" t="str">
        <f> IF(CF433&lt;&gt;"",TEXT(AUX!CJ$1,"dd-MMM-aa"),"")</f>
      </c>
      <c r="CG413" s="496" t="str">
        <f> IF(CG433&lt;&gt;"",TEXT(AUX!CK$1,"dd-MMM-aa"),"")</f>
      </c>
      <c r="CH413" s="496" t="str">
        <f> IF(CH433&lt;&gt;"",TEXT(AUX!CL$1,"dd-MMM-aa"),"")</f>
      </c>
      <c r="CI413" s="496" t="str">
        <f> IF(CI433&lt;&gt;"",TEXT(AUX!CM$1,"dd-MMM-aa"),"")</f>
      </c>
      <c r="CJ413" s="496" t="str">
        <f> IF(CJ433&lt;&gt;"",TEXT(AUX!CN$1,"dd-MMM-aa"),"")</f>
      </c>
      <c r="CK413" s="496" t="str">
        <f> IF(CK433&lt;&gt;"",TEXT(AUX!CO$1,"dd-MMM-aa"),"")</f>
      </c>
      <c r="CL413" s="496" t="str">
        <f> IF(CL433&lt;&gt;"",TEXT(AUX!CP$1,"dd-MMM-aa"),"")</f>
      </c>
      <c r="CM413" s="496" t="str">
        <f> IF(CM433&lt;&gt;"",TEXT(AUX!CQ$1,"dd-MMM-aa"),"")</f>
      </c>
      <c r="CN413" s="496" t="str">
        <f> IF(CN433&lt;&gt;"",TEXT(AUX!CR$1,"dd-MMM-aa"),"")</f>
      </c>
      <c r="CO413" s="496" t="str">
        <f> IF(CO433&lt;&gt;"",TEXT(AUX!CS$1,"dd-MMM-aa"),"")</f>
      </c>
      <c r="CP413" s="496" t="str">
        <f> IF(CP433&lt;&gt;"",TEXT(AUX!CT$1,"dd-MMM-aa"),"")</f>
      </c>
      <c r="CQ413" s="496" t="str">
        <f> IF(CQ433&lt;&gt;"",TEXT(AUX!CU$1,"dd-MMM-aa"),"")</f>
      </c>
      <c r="CR413" s="496" t="str">
        <f> IF(CR433&lt;&gt;"",TEXT(AUX!CV$1,"dd-MMM-aa"),"")</f>
      </c>
      <c r="CS413" s="496" t="str">
        <f> IF(CS433&lt;&gt;"",TEXT(AUX!CW$1,"dd-MMM-aa"),"")</f>
      </c>
      <c r="CT413" s="496" t="str">
        <f> IF(CT433&lt;&gt;"",TEXT(AUX!CX$1,"dd-MMM-aa"),"")</f>
      </c>
      <c r="CU413" s="496" t="str">
        <f> IF(CU433&lt;&gt;"",TEXT(AUX!CY$1,"dd-MMM-aa"),"")</f>
      </c>
      <c r="CV413" s="496" t="str">
        <f> IF(CV433&lt;&gt;"",TEXT(AUX!CZ$1,"dd-MMM-aa"),"")</f>
      </c>
      <c r="CW413" s="496" t="str">
        <f> IF(CW433&lt;&gt;"",TEXT(AUX!DA$1,"dd-MMM-aa"),"")</f>
      </c>
      <c r="CX413" s="496" t="str">
        <f> IF(CX433&lt;&gt;"",TEXT(AUX!DB$1,"dd-MMM-aa"),"")</f>
      </c>
      <c r="CY413" s="496" t="str">
        <f> IF(CY433&lt;&gt;"",TEXT(AUX!DC$1,"dd-MMM-aa"),"")</f>
      </c>
      <c r="CZ413" s="496" t="str">
        <f> IF(CZ433&lt;&gt;"",TEXT(AUX!DD$1,"dd-MMM-aa"),"")</f>
      </c>
      <c r="DA413" s="496" t="str">
        <f> IF(DA433&lt;&gt;"",TEXT(AUX!DE$1,"dd-MMM-aa"),"")</f>
      </c>
      <c r="DB413" s="496" t="str">
        <f> IF(DB433&lt;&gt;"",TEXT(AUX!DF$1,"dd-MMM-aa"),"")</f>
      </c>
      <c r="DC413" s="496" t="str">
        <f> IF(DC433&lt;&gt;"",TEXT(AUX!DG$1,"dd-MMM-aa"),"")</f>
      </c>
      <c r="DD413" s="496" t="str">
        <f> IF(DD433&lt;&gt;"",TEXT(AUX!DH$1,"dd-MMM-aa"),"")</f>
      </c>
      <c r="DE413" s="496" t="str">
        <f> IF(DE433&lt;&gt;"",TEXT(AUX!DI$1,"dd-MMM-aa"),"")</f>
      </c>
      <c r="DF413" s="496" t="str">
        <f> IF(DF433&lt;&gt;"",TEXT(AUX!DJ$1,"dd-MMM-aa"),"")</f>
      </c>
      <c r="DG413" s="496" t="str">
        <f> IF(DG433&lt;&gt;"",TEXT(AUX!DK$1,"dd-MMM-aa"),"")</f>
      </c>
      <c r="DH413" s="496" t="str">
        <f> IF(DH433&lt;&gt;"",TEXT(AUX!DL$1,"dd-MMM-aa"),"")</f>
      </c>
      <c r="DI413" s="496" t="str">
        <f> IF(DI433&lt;&gt;"",TEXT(AUX!DM$1,"dd-MMM-aa"),"")</f>
      </c>
      <c r="DJ413" s="496" t="str">
        <f> IF(DJ433&lt;&gt;"",TEXT(AUX!DN$1,"dd-MMM-aa"),"")</f>
      </c>
      <c r="DK413" s="496" t="str">
        <f> IF(DK433&lt;&gt;"",TEXT(AUX!DO$1,"dd-MMM-aa"),"")</f>
      </c>
      <c r="DL413" s="496" t="str">
        <f> IF(DL433&lt;&gt;"",TEXT(AUX!DP$1,"dd-MMM-aa"),"")</f>
      </c>
      <c r="DM413" s="496" t="str">
        <f> IF(DM433&lt;&gt;"",TEXT(AUX!DQ$1,"dd-MMM-aa"),"")</f>
      </c>
      <c r="DN413" s="496" t="str">
        <f> IF(DN433&lt;&gt;"",TEXT(AUX!DR$1,"dd-MMM-aa"),"")</f>
      </c>
      <c r="DO413" s="496" t="str">
        <f> IF(DO433&lt;&gt;"",TEXT(AUX!DS$1,"dd-MMM-aa"),"")</f>
      </c>
      <c r="DP413" s="496" t="str">
        <f> IF(DP433&lt;&gt;"",TEXT(AUX!DT$1,"dd-MMM-aa"),"")</f>
      </c>
      <c r="DQ413" s="496" t="str">
        <f> IF(DQ433&lt;&gt;"",TEXT(AUX!DU$1,"dd-MMM-aa"),"")</f>
      </c>
      <c r="DR413" s="496" t="str">
        <f> IF(DR433&lt;&gt;"",TEXT(AUX!DV$1,"dd-MMM-aa"),"")</f>
      </c>
      <c r="DS413" s="496" t="str">
        <f> IF(DS433&lt;&gt;"",TEXT(AUX!DW$1,"dd-MMM-aa"),"")</f>
      </c>
      <c r="DT413" s="496" t="str">
        <f> IF(DT433&lt;&gt;"",TEXT(AUX!DX$1,"dd-MMM-aa"),"")</f>
      </c>
      <c r="DU413" s="496" t="str">
        <f> IF(DU433&lt;&gt;"",TEXT(AUX!DY$1,"dd-MMM-aa"),"")</f>
      </c>
      <c r="DV413" s="496" t="str">
        <f> IF(DV433&lt;&gt;"",TEXT(AUX!DZ$1,"dd-MMM-aa"),"")</f>
      </c>
      <c r="DW413" s="496" t="str">
        <f> IF(DW433&lt;&gt;"",TEXT(AUX!EA$1,"dd-MMM-aa"),"")</f>
      </c>
      <c r="DX413" s="496" t="str">
        <f> IF(DX433&lt;&gt;"",TEXT(AUX!EB$1,"dd-MMM-aa"),"")</f>
      </c>
      <c r="DY413" s="496" t="str">
        <f> IF(DY433&lt;&gt;"",TEXT(AUX!EC$1,"dd-MMM-aa"),"")</f>
      </c>
      <c r="DZ413" s="496" t="str">
        <f> IF(DZ433&lt;&gt;"",TEXT(AUX!ED$1,"dd-MMM-aa"),"")</f>
      </c>
      <c r="EA413" s="496" t="str">
        <f> IF(EA433&lt;&gt;"",TEXT(AUX!EE$1,"dd-MMM-aa"),"")</f>
      </c>
      <c r="EB413" s="496" t="str">
        <f> IF(EB433&lt;&gt;"",TEXT(AUX!EF$1,"dd-MMM-aa"),"")</f>
      </c>
      <c r="EC413" s="496" t="str">
        <f> IF(EC433&lt;&gt;"",TEXT(AUX!EG$1,"dd-MMM-aa"),"")</f>
      </c>
      <c r="ED413" s="496" t="str">
        <f> IF(ED433&lt;&gt;"",TEXT(AUX!EH$1,"dd-MMM-aa"),"")</f>
      </c>
      <c r="EE413" s="496" t="str">
        <f> IF(EE433&lt;&gt;"",TEXT(AUX!EI$1,"dd-MMM-aa"),"")</f>
      </c>
      <c r="EF413" s="496" t="str">
        <f> IF(EF433&lt;&gt;"",TEXT(AUX!EJ$1,"dd-MMM-aa"),"")</f>
      </c>
      <c r="EG413" s="496" t="str">
        <f> IF(EG433&lt;&gt;"",TEXT(AUX!EK$1,"dd-MMM-aa"),"")</f>
      </c>
      <c r="EH413" s="496" t="str">
        <f> IF(EH433&lt;&gt;"",TEXT(AUX!EL$1,"dd-MMM-aa"),"")</f>
      </c>
      <c r="EI413" s="496" t="str">
        <f> IF(EI433&lt;&gt;"",TEXT(AUX!EM$1,"dd-MMM-aa"),"")</f>
      </c>
      <c r="EJ413" s="496" t="str">
        <f> IF(EJ433&lt;&gt;"",TEXT(AUX!EN$1,"dd-MMM-aa"),"")</f>
      </c>
      <c r="EK413" s="496" t="str">
        <f> IF(EK433&lt;&gt;"",TEXT(AUX!EO$1,"dd-MMM-aa"),"")</f>
      </c>
      <c r="EL413" s="496" t="str">
        <f> IF(EL433&lt;&gt;"",TEXT(AUX!EP$1,"dd-MMM-aa"),"")</f>
      </c>
      <c r="EM413" s="496" t="str">
        <f> IF(EM433&lt;&gt;"",TEXT(AUX!EQ$1,"dd-MMM-aa"),"")</f>
      </c>
      <c r="EN413" s="496" t="str">
        <f> IF(EN433&lt;&gt;"",TEXT(AUX!ER$1,"dd-MMM-aa"),"")</f>
      </c>
      <c r="EO413" s="496" t="str">
        <f> IF(EO433&lt;&gt;"",TEXT(AUX!ES$1,"dd-MMM-aa"),"")</f>
      </c>
      <c r="EP413" s="496" t="str">
        <f> IF(EP433&lt;&gt;"",TEXT(AUX!ET$1,"dd-MMM-aa"),"")</f>
      </c>
      <c r="EQ413" s="496" t="str">
        <f> IF(EQ433&lt;&gt;"",TEXT(AUX!EU$1,"dd-MMM-aa"),"")</f>
      </c>
      <c r="ER413" s="496" t="str">
        <f> IF(ER433&lt;&gt;"",TEXT(AUX!EV$1,"dd-MMM-aa"),"")</f>
      </c>
      <c r="ES413" s="496" t="str">
        <f> IF(ES433&lt;&gt;"",TEXT(AUX!EW$1,"dd-MMM-aa"),"")</f>
      </c>
      <c r="ET413" s="496" t="str">
        <f> IF(ET433&lt;&gt;"",TEXT(AUX!EX$1,"dd-MMM-aa"),"")</f>
      </c>
      <c r="EU413" s="496" t="str">
        <f> IF(EU433&lt;&gt;"",TEXT(AUX!EY$1,"dd-MMM-aa"),"")</f>
      </c>
      <c r="EV413" s="496" t="str">
        <f> IF(EV433&lt;&gt;"",TEXT(AUX!EZ$1,"dd-MMM-aa"),"")</f>
      </c>
      <c r="EW413" s="496" t="str">
        <f> IF(EW433&lt;&gt;"",TEXT(AUX!FA$1,"dd-MMM-aa"),"")</f>
      </c>
      <c r="EX413" s="496" t="str">
        <f> IF(EX433&lt;&gt;"",TEXT(AUX!FB$1,"dd-MMM-aa"),"")</f>
      </c>
      <c r="EY413" s="496" t="str">
        <f> IF(EY433&lt;&gt;"",TEXT(AUX!FC$1,"dd-MMM-aa"),"")</f>
      </c>
      <c r="EZ413" s="496" t="str">
        <f> IF(EZ433&lt;&gt;"",TEXT(AUX!FD$1,"dd-MMM-aa"),"")</f>
      </c>
      <c r="FA413" s="496" t="str">
        <f> IF(FA433&lt;&gt;"",TEXT(AUX!FE$1,"dd-MMM-aa"),"")</f>
      </c>
      <c r="FB413" s="496" t="str">
        <f> IF(FB433&lt;&gt;"",TEXT(AUX!FF$1,"dd-MMM-aa"),"")</f>
      </c>
      <c r="FC413" s="496" t="str">
        <f> IF(FC433&lt;&gt;"",TEXT(AUX!FG$1,"dd-MMM-aa"),"")</f>
      </c>
      <c r="FD413" s="496" t="str">
        <f> IF(FD433&lt;&gt;"",TEXT(AUX!FH$1,"dd-MMM-aa"),"")</f>
      </c>
      <c r="FE413" s="496" t="str">
        <f> IF(FE433&lt;&gt;"",TEXT(AUX!FI$1,"dd-MMM-aa"),"")</f>
      </c>
      <c r="FF413" s="496" t="str">
        <f> IF(FF433&lt;&gt;"",TEXT(AUX!FJ$1,"dd-MMM-aa"),"")</f>
      </c>
      <c r="FG413" s="496" t="str">
        <f> IF(FG433&lt;&gt;"",TEXT(AUX!FK$1,"dd-MMM-aa"),"")</f>
      </c>
      <c r="FH413" s="496" t="str">
        <f> IF(FH433&lt;&gt;"",TEXT(AUX!FL$1,"dd-MMM-aa"),"")</f>
      </c>
      <c r="FI413" s="496" t="str">
        <f> IF(FI433&lt;&gt;"",TEXT(AUX!FM$1,"dd-MMM-aa"),"")</f>
      </c>
      <c r="FJ413" s="496" t="str">
        <f> IF(FJ433&lt;&gt;"",TEXT(AUX!FN$1,"dd-MMM-aa"),"")</f>
      </c>
      <c r="FK413" s="496" t="str">
        <f> IF(FK433&lt;&gt;"",TEXT(AUX!FO$1,"dd-MMM-aa"),"")</f>
      </c>
      <c r="FL413" s="496" t="str">
        <f> IF(FL433&lt;&gt;"",TEXT(AUX!FP$1,"dd-MMM-aa"),"")</f>
      </c>
      <c r="FM413" s="496" t="str">
        <f> IF(FM433&lt;&gt;"",TEXT(AUX!FQ$1,"dd-MMM-aa"),"")</f>
      </c>
      <c r="FN413" s="496" t="str">
        <f> IF(FN433&lt;&gt;"",TEXT(AUX!FR$1,"dd-MMM-aa"),"")</f>
      </c>
      <c r="FO413" s="496" t="str">
        <f> IF(FO433&lt;&gt;"",TEXT(AUX!FS$1,"dd-MMM-aa"),"")</f>
      </c>
      <c r="FP413" s="496" t="str">
        <f> IF(FP433&lt;&gt;"",TEXT(AUX!FT$1,"dd-MMM-aa"),"")</f>
      </c>
      <c r="FQ413" s="496" t="str">
        <f> IF(FQ433&lt;&gt;"",TEXT(AUX!FU$1,"dd-MMM-aa"),"")</f>
      </c>
      <c r="FR413" s="496" t="str">
        <f> IF(FR433&lt;&gt;"",TEXT(AUX!FV$1,"dd-MMM-aa"),"")</f>
      </c>
      <c r="FS413" s="496" t="str">
        <f> IF(FS433&lt;&gt;"",TEXT(AUX!FW$1,"dd-MMM-aa"),"")</f>
      </c>
      <c r="FT413" s="496" t="str">
        <f> IF(FT433&lt;&gt;"",TEXT(AUX!FX$1,"dd-MMM-aa"),"")</f>
      </c>
      <c r="FU413" s="496" t="str">
        <f> IF(FU433&lt;&gt;"",TEXT(AUX!FY$1,"dd-MMM-aa"),"")</f>
      </c>
      <c r="FV413" s="496" t="str">
        <f> IF(FV433&lt;&gt;"",TEXT(AUX!FZ$1,"dd-MMM-aa"),"")</f>
      </c>
      <c r="FW413" s="496" t="str">
        <f> IF(FW433&lt;&gt;"",TEXT(AUX!GA$1,"dd-MMM-aa"),"")</f>
      </c>
      <c r="FX413" s="496" t="str">
        <f> IF(FX433&lt;&gt;"",TEXT(AUX!GB$1,"dd-MMM-aa"),"")</f>
      </c>
      <c r="FY413" s="496" t="str">
        <f> IF(FY433&lt;&gt;"",TEXT(AUX!GC$1,"dd-MMM-aa"),"")</f>
      </c>
      <c r="FZ413" s="496" t="str">
        <f> IF(FZ433&lt;&gt;"",TEXT(AUX!GD$1,"dd-MMM-aa"),"")</f>
      </c>
      <c r="GA413" s="496" t="str">
        <f> IF(GA433&lt;&gt;"",TEXT(AUX!GE$1,"dd-MMM-aa"),"")</f>
      </c>
      <c r="GB413" s="496" t="str">
        <f> IF(GB433&lt;&gt;"",TEXT(AUX!GF$1,"dd-MMM-aa"),"")</f>
      </c>
      <c r="GC413" s="496" t="str">
        <f> IF(GC433&lt;&gt;"",TEXT(AUX!GG$1,"dd-MMM-aa"),"")</f>
      </c>
      <c r="GD413" s="496" t="str">
        <f> IF(GD433&lt;&gt;"",TEXT(AUX!GH$1,"dd-MMM-aa"),"")</f>
      </c>
      <c r="GE413" s="496" t="str">
        <f> IF(GE433&lt;&gt;"",TEXT(AUX!GI$1,"dd-MMM-aa"),"")</f>
      </c>
      <c r="GF413" s="496" t="str">
        <f> IF(GF433&lt;&gt;"",TEXT(AUX!GJ$1,"dd-MMM-aa"),"")</f>
      </c>
      <c r="GG413" s="496" t="str">
        <f> IF(GG433&lt;&gt;"",TEXT(AUX!GK$1,"dd-MMM-aa"),"")</f>
      </c>
      <c r="GH413" s="496" t="str">
        <f> IF(GH433&lt;&gt;"",TEXT(AUX!GL$1,"dd-MMM-aa"),"")</f>
      </c>
      <c r="GI413" s="496" t="str">
        <f> IF(GI433&lt;&gt;"",TEXT(AUX!GM$1,"dd-MMM-aa"),"")</f>
      </c>
      <c r="GJ413" s="496" t="str">
        <f> IF(GJ433&lt;&gt;"",TEXT(AUX!GN$1,"dd-MMM-aa"),"")</f>
      </c>
      <c r="GK413" s="496" t="str">
        <f> IF(GK433&lt;&gt;"",TEXT(AUX!GO$1,"dd-MMM-aa"),"")</f>
      </c>
      <c r="GL413" s="496" t="str">
        <f> IF(GL433&lt;&gt;"",TEXT(AUX!GP$1,"dd-MMM-aa"),"")</f>
      </c>
      <c r="GM413" s="496" t="str">
        <f> IF(GM433&lt;&gt;"",TEXT(AUX!GQ$1,"dd-MMM-aa"),"")</f>
      </c>
      <c r="GN413" s="496" t="str">
        <f> IF(GN433&lt;&gt;"",TEXT(AUX!GR$1,"dd-MMM-aa"),"")</f>
      </c>
      <c r="GO413" s="496" t="str">
        <f> IF(GO433&lt;&gt;"",TEXT(AUX!GS$1,"dd-MMM-aa"),"")</f>
      </c>
      <c r="GP413" s="496" t="str">
        <f> IF(GP433&lt;&gt;"",TEXT(AUX!GT$1,"dd-MMM-aa"),"")</f>
      </c>
      <c r="GQ413" s="496" t="str">
        <f> IF(GQ433&lt;&gt;"",TEXT(AUX!GU$1,"dd-MMM-aa"),"")</f>
      </c>
      <c r="GR413" s="496" t="str">
        <f> IF(GR433&lt;&gt;"",TEXT(AUX!GV$1,"dd-MMM-aa"),"")</f>
      </c>
      <c r="GS413" s="496" t="str">
        <f> IF(GS433&lt;&gt;"",TEXT(AUX!GW$1,"dd-MMM-aa"),"")</f>
      </c>
      <c r="GT413" s="496" t="str">
        <f> IF(GT433&lt;&gt;"",TEXT(AUX!GX$1,"dd-MMM-aa"),"")</f>
      </c>
      <c r="GU413" s="496" t="str">
        <f> IF(GU433&lt;&gt;"",TEXT(AUX!GY$1,"dd-MMM-aa"),"")</f>
      </c>
      <c r="GV413" s="496" t="str">
        <f> IF(GV433&lt;&gt;"",TEXT(AUX!GZ$1,"dd-MMM-aa"),"")</f>
      </c>
      <c r="GW413" s="496" t="str">
        <f> IF(GW433&lt;&gt;"",TEXT(AUX!HA$1,"dd-MMM-aa"),"")</f>
      </c>
      <c r="GX413" s="496" t="str">
        <f> IF(GX433&lt;&gt;"",TEXT(AUX!HB$1,"dd-MMM-aa"),"")</f>
      </c>
      <c r="GY413" s="496" t="str">
        <f> IF(GY433&lt;&gt;"",TEXT(AUX!HC$1,"dd-MMM-aa"),"")</f>
      </c>
      <c r="GZ413" s="496" t="str">
        <f> IF(GZ433&lt;&gt;"",TEXT(AUX!HD$1,"dd-MMM-aa"),"")</f>
      </c>
      <c r="HA413" s="496" t="str">
        <f> IF(HA433&lt;&gt;"",TEXT(AUX!HE$1,"dd-MMM-aa"),"")</f>
      </c>
      <c r="HB413" s="496" t="str">
        <f> IF(HB433&lt;&gt;"",TEXT(AUX!HF$1,"dd-MMM-aa"),"")</f>
      </c>
      <c r="HC413" s="496" t="str">
        <f> IF(HC433&lt;&gt;"",TEXT(AUX!HG$1,"dd-MMM-aa"),"")</f>
      </c>
      <c r="HD413" s="496" t="str">
        <f> IF(HD433&lt;&gt;"",TEXT(AUX!HH$1,"dd-MMM-aa"),"")</f>
      </c>
      <c r="HE413" s="496" t="str">
        <f> IF(HE433&lt;&gt;"",TEXT(AUX!HI$1,"dd-MMM-aa"),"")</f>
      </c>
      <c r="HF413" s="496" t="str">
        <f> IF(HF433&lt;&gt;"",TEXT(AUX!HJ$1,"dd-MMM-aa"),"")</f>
      </c>
      <c r="HG413" s="496" t="str">
        <f> IF(HG433&lt;&gt;"",TEXT(AUX!HK$1,"dd-MMM-aa"),"")</f>
      </c>
      <c r="HH413" s="496" t="str">
        <f> IF(HH433&lt;&gt;"",TEXT(AUX!HL$1,"dd-MMM-aa"),"")</f>
      </c>
      <c r="HI413" s="496" t="str">
        <f> IF(HI433&lt;&gt;"",TEXT(AUX!HM$1,"dd-MMM-aa"),"")</f>
      </c>
      <c r="HJ413" s="496" t="str">
        <f> IF(HJ433&lt;&gt;"",TEXT(AUX!HN$1,"dd-MMM-aa"),"")</f>
      </c>
      <c r="HK413" s="496" t="str">
        <f> IF(HK433&lt;&gt;"",TEXT(AUX!HO$1,"dd-MMM-aa"),"")</f>
      </c>
      <c r="HL413" s="496" t="str">
        <f> IF(HL433&lt;&gt;"",TEXT(AUX!HP$1,"dd-MMM-aa"),"")</f>
      </c>
      <c r="HM413" s="496" t="str">
        <f> IF(HM433&lt;&gt;"",TEXT(AUX!HQ$1,"dd-MMM-aa"),"")</f>
      </c>
      <c r="HN413" s="496" t="str">
        <f> IF(HN433&lt;&gt;"",TEXT(AUX!HR$1,"dd-MMM-aa"),"")</f>
      </c>
      <c r="HO413" s="496" t="str">
        <f> IF(HO433&lt;&gt;"",TEXT(AUX!HS$1,"dd-MMM-aa"),"")</f>
      </c>
      <c r="HP413" s="496" t="str">
        <f> IF(HP433&lt;&gt;"",TEXT(AUX!HT$1,"dd-MMM-aa"),"")</f>
      </c>
      <c r="HQ413" s="496" t="str">
        <f> IF(HQ433&lt;&gt;"",TEXT(AUX!HU$1,"dd-MMM-aa"),"")</f>
      </c>
      <c r="HR413" s="496" t="str">
        <f> IF(HR433&lt;&gt;"",TEXT(AUX!HV$1,"dd-MMM-aa"),"")</f>
      </c>
      <c r="HS413" s="496" t="str">
        <f> IF(HS433&lt;&gt;"",TEXT(AUX!HW$1,"dd-MMM-aa"),"")</f>
      </c>
      <c r="HT413" s="496" t="str">
        <f> IF(HT433&lt;&gt;"",TEXT(AUX!HX$1,"dd-MMM-aa"),"")</f>
      </c>
      <c r="HU413" s="496" t="str">
        <f> IF(HU433&lt;&gt;"",TEXT(AUX!HY$1,"dd-MMM-aa"),"")</f>
      </c>
      <c r="HV413" s="496" t="str">
        <f> IF(HV433&lt;&gt;"",TEXT(AUX!HZ$1,"dd-MMM-aa"),"")</f>
      </c>
      <c r="HW413" s="496" t="str">
        <f> IF(HW433&lt;&gt;"",TEXT(AUX!IA$1,"dd-MMM-aa"),"")</f>
      </c>
      <c r="HX413" s="496" t="str">
        <f> IF(HX433&lt;&gt;"",TEXT(AUX!IB$1,"dd-MMM-aa"),"")</f>
      </c>
      <c r="HY413" s="496" t="str">
        <f> IF(HY433&lt;&gt;"",TEXT(AUX!IC$1,"dd-MMM-aa"),"")</f>
      </c>
      <c r="HZ413" s="496" t="str">
        <f> IF(HZ433&lt;&gt;"",TEXT(AUX!ID$1,"dd-MMM-aa"),"")</f>
      </c>
      <c r="IA413" s="496" t="str">
        <f> IF(IA433&lt;&gt;"",TEXT(AUX!IE$1,"dd-MMM-aa"),"")</f>
      </c>
      <c r="IB413" s="496" t="str">
        <f> IF(IB433&lt;&gt;"",TEXT(AUX!IF$1,"dd-MMM-aa"),"")</f>
      </c>
      <c r="IC413" s="496" t="str">
        <f> IF(IC433&lt;&gt;"",TEXT(AUX!IG$1,"dd-MMM-aa"),"")</f>
      </c>
      <c r="ID413" s="496" t="str">
        <f> IF(ID433&lt;&gt;"",TEXT(AUX!IH$1,"dd-MMM-aa"),"")</f>
      </c>
      <c r="IE413" s="496" t="str">
        <f> IF(IE433&lt;&gt;"",TEXT(AUX!II$1,"dd-MMM-aa"),"")</f>
      </c>
      <c r="IF413" s="496" t="str">
        <f> IF(IF433&lt;&gt;"",TEXT(AUX!IJ$1,"dd-MMM-aa"),"")</f>
      </c>
      <c r="IG413" s="496" t="str">
        <f> IF(IG433&lt;&gt;"",TEXT(AUX!IK$1,"dd-MMM-aa"),"")</f>
      </c>
      <c r="IH413" s="496" t="str">
        <f> IF(IH433&lt;&gt;"",TEXT(AUX!IL$1,"dd-MMM-aa"),"")</f>
      </c>
      <c r="II413" s="496" t="str">
        <f> IF(II433&lt;&gt;"",TEXT(AUX!IM$1,"dd-MMM-aa"),"")</f>
      </c>
      <c r="IJ413" s="496" t="str">
        <f> IF(IJ433&lt;&gt;"",TEXT(AUX!IN$1,"dd-MMM-aa"),"")</f>
      </c>
      <c r="IK413" s="496" t="str">
        <f> IF(IK433&lt;&gt;"",TEXT(AUX!IO$1,"dd-MMM-aa"),"")</f>
      </c>
      <c r="IL413" s="496" t="str">
        <f> IF(IL433&lt;&gt;"",TEXT(AUX!IP$1,"dd-MMM-aa"),"")</f>
      </c>
      <c r="IM413" s="496" t="str">
        <f> IF(IM433&lt;&gt;"",TEXT(AUX!IQ$1,"dd-MMM-aa"),"")</f>
      </c>
      <c r="IN413" s="496" t="str">
        <f> IF(IN433&lt;&gt;"",TEXT(AUX!IR$1,"dd-MMM-aa"),"")</f>
      </c>
      <c r="IO413" s="496" t="str">
        <f> IF(IO433&lt;&gt;"",TEXT(AUX!IS$1,"dd-MMM-aa"),"")</f>
      </c>
      <c r="IP413" s="496" t="str">
        <f> IF(IP433&lt;&gt;"",TEXT(AUX!IT$1,"dd-MMM-aa"),"")</f>
      </c>
      <c r="IQ413" s="496" t="str">
        <f> IF(IQ433&lt;&gt;"",TEXT(AUX!IU$1,"dd-MMM-aa"),"")</f>
      </c>
      <c r="IR413" s="496" t="str">
        <f> IF(IR433&lt;&gt;"",TEXT(AUX!IV$1,"dd-MMM-aa"),"")</f>
      </c>
      <c r="IS413" s="496" t="str">
        <f> IF(IS433&lt;&gt;"",TEXT(AUX!#REF!,"dd-MMM-aa"),"")</f>
      </c>
      <c r="IT413" s="496" t="str">
        <f> IF(IT433&lt;&gt;"",TEXT(AUX!#REF!,"dd-MMM-aa"),"")</f>
      </c>
      <c r="IU413" s="496" t="str">
        <f> IF(IU433&lt;&gt;"",TEXT(AUX!#REF!,"dd-MMM-aa"),"")</f>
      </c>
      <c r="IV413" s="496" t="str">
        <f> IF(IV433&lt;&gt;"",TEXT(AUX!#REF!,"dd-MMM-aa"),"")</f>
      </c>
    </row>
    <row r="414" hidden="1">
      <c r="B414" s="822" t="s">
        <v>8</v>
      </c>
      <c r="C414" s="823">
        <v>0</v>
      </c>
      <c r="D414" s="823">
        <v>0</v>
      </c>
      <c r="E414" s="823">
        <v>0</v>
      </c>
      <c r="F414" s="823">
        <v>0</v>
      </c>
      <c r="G414" s="823">
        <v>0</v>
      </c>
      <c r="H414" s="823">
        <v>0</v>
      </c>
      <c r="I414" s="823">
        <v>0</v>
      </c>
      <c r="J414" s="823">
        <v>0</v>
      </c>
      <c r="K414" s="823">
        <v>0</v>
      </c>
      <c r="L414" s="823">
        <v>0</v>
      </c>
      <c r="M414" s="823">
        <v>0</v>
      </c>
      <c r="N414" s="823">
        <v>0</v>
      </c>
      <c r="O414" s="823">
        <v>0</v>
      </c>
      <c r="P414" s="823">
        <v>61033</v>
      </c>
      <c r="Q414" s="823">
        <v>61798</v>
      </c>
      <c r="R414" s="823">
        <v>62306</v>
      </c>
      <c r="S414" s="823">
        <v>62652</v>
      </c>
      <c r="T414" s="823">
        <v>62766</v>
      </c>
      <c r="U414" s="823">
        <v>64146</v>
      </c>
      <c r="V414" s="823">
        <v>64166</v>
      </c>
      <c r="W414" s="823">
        <v>63468</v>
      </c>
      <c r="X414" s="823">
        <v>11694</v>
      </c>
      <c r="Y414" s="823">
        <v>11860</v>
      </c>
      <c r="Z414" s="823">
        <v>12157</v>
      </c>
      <c r="AA414" s="823">
        <v>12147</v>
      </c>
      <c r="AB414" s="824">
        <v>12301</v>
      </c>
      <c r="AC414" s="825">
        <v>12343</v>
      </c>
      <c r="AD414" s="825">
        <v>12448</v>
      </c>
      <c r="AE414" s="825">
        <v>12594</v>
      </c>
      <c r="AF414" s="825">
        <v>12753</v>
      </c>
      <c r="AG414" s="825">
        <v>12926</v>
      </c>
      <c r="AH414" s="825">
        <v>13035</v>
      </c>
      <c r="AI414" s="825">
        <v>13122</v>
      </c>
      <c r="AJ414" s="825">
        <v>13192</v>
      </c>
      <c r="AK414" s="825">
        <v>13342</v>
      </c>
      <c r="AL414" s="825">
        <v>12432</v>
      </c>
      <c r="AM414" s="825">
        <v>12327</v>
      </c>
      <c r="AN414" s="825">
        <v>12402</v>
      </c>
      <c r="AO414" s="825">
        <v>12460</v>
      </c>
      <c r="AP414" s="825">
        <v>12612</v>
      </c>
      <c r="AQ414" s="51"/>
      <c r="AR414" s="51"/>
      <c r="AS414" s="51"/>
      <c r="AT414" s="51"/>
      <c r="AU414" s="51"/>
      <c r="AV414" s="51"/>
      <c r="AW414" s="51"/>
      <c r="AX414" s="51"/>
      <c r="AY414" s="51"/>
      <c r="AZ414" s="51"/>
      <c r="BA414" s="51"/>
      <c r="BB414" s="51"/>
      <c r="BC414" s="51"/>
      <c r="BD414" s="51"/>
      <c r="BE414" s="51"/>
      <c r="BF414" s="51"/>
      <c r="BG414" s="51"/>
      <c r="BH414" s="51"/>
      <c r="BI414" s="51"/>
      <c r="BJ414" s="51"/>
      <c r="BK414" s="51"/>
      <c r="BL414" s="51"/>
      <c r="BM414" s="51"/>
      <c r="BN414" s="51"/>
      <c r="BO414" s="51"/>
      <c r="BP414" s="51"/>
      <c r="BQ414" s="51"/>
      <c r="BR414" s="51"/>
      <c r="BS414" s="51"/>
      <c r="BT414" s="51"/>
      <c r="BU414" s="51"/>
      <c r="BV414" s="51"/>
      <c r="BW414" s="51"/>
      <c r="BX414" s="51"/>
      <c r="BY414" s="51"/>
      <c r="BZ414" s="51"/>
      <c r="CA414" s="51"/>
      <c r="CB414" s="51"/>
      <c r="CC414" s="51"/>
      <c r="CD414" s="51"/>
      <c r="CE414" s="51"/>
      <c r="CF414" s="51"/>
      <c r="CG414" s="51"/>
      <c r="CH414" s="51"/>
      <c r="CI414" s="51"/>
      <c r="CJ414" s="51"/>
      <c r="CK414" s="51"/>
      <c r="CL414" s="51"/>
      <c r="CM414" s="51"/>
      <c r="CN414" s="51"/>
      <c r="CO414" s="51"/>
      <c r="CP414" s="51"/>
      <c r="CQ414" s="51"/>
      <c r="CR414" s="51"/>
      <c r="CS414" s="51"/>
      <c r="CT414" s="51"/>
      <c r="CU414" s="51"/>
      <c r="CV414" s="51"/>
      <c r="CW414" s="51"/>
      <c r="CX414" s="51"/>
      <c r="CY414" s="51"/>
      <c r="CZ414" s="51"/>
      <c r="DA414" s="51"/>
      <c r="DB414" s="51"/>
      <c r="DC414" s="51"/>
      <c r="DD414" s="51"/>
      <c r="DE414" s="51"/>
      <c r="DF414" s="51"/>
      <c r="DG414" s="51"/>
      <c r="DH414" s="51"/>
      <c r="DI414" s="51"/>
      <c r="DJ414" s="51"/>
      <c r="DK414" s="51"/>
      <c r="DL414" s="51"/>
      <c r="DM414" s="51"/>
      <c r="DN414" s="51"/>
      <c r="DO414" s="51"/>
      <c r="DP414" s="51"/>
      <c r="DQ414" s="51"/>
      <c r="DR414" s="51"/>
      <c r="DS414" s="51"/>
      <c r="DT414" s="51"/>
      <c r="DU414" s="51"/>
      <c r="DV414" s="51"/>
      <c r="DW414" s="51"/>
      <c r="DX414" s="51"/>
      <c r="DY414" s="51"/>
      <c r="DZ414" s="51"/>
      <c r="EA414" s="51"/>
      <c r="EB414" s="51"/>
      <c r="EC414" s="51"/>
      <c r="ED414" s="51"/>
      <c r="EE414" s="51"/>
      <c r="EF414" s="51"/>
      <c r="EG414" s="51"/>
      <c r="EH414" s="51"/>
      <c r="EI414" s="51"/>
      <c r="EJ414" s="51"/>
      <c r="EK414" s="51"/>
      <c r="EL414" s="51"/>
      <c r="EM414" s="51"/>
      <c r="EN414" s="51"/>
      <c r="EO414" s="51"/>
      <c r="EP414" s="51"/>
      <c r="EQ414" s="51"/>
      <c r="ER414" s="51"/>
      <c r="ES414" s="51"/>
      <c r="ET414" s="51"/>
      <c r="EU414" s="51"/>
      <c r="EV414" s="51"/>
      <c r="EW414" s="51"/>
      <c r="EX414" s="51"/>
      <c r="EY414" s="51"/>
      <c r="EZ414" s="51"/>
      <c r="FA414" s="51"/>
      <c r="FB414" s="51"/>
      <c r="FC414" s="51"/>
      <c r="FD414" s="51"/>
      <c r="FE414" s="51"/>
      <c r="FF414" s="51"/>
      <c r="FG414" s="51"/>
      <c r="FH414" s="51"/>
      <c r="FI414" s="51"/>
      <c r="FJ414" s="51"/>
      <c r="FK414" s="51"/>
      <c r="FL414" s="51"/>
      <c r="FM414" s="51"/>
      <c r="FN414" s="51"/>
      <c r="FO414" s="51"/>
      <c r="FP414" s="51"/>
      <c r="FQ414" s="51"/>
      <c r="FR414" s="51"/>
      <c r="FS414" s="51"/>
      <c r="FT414" s="51"/>
      <c r="FU414" s="51"/>
      <c r="FV414" s="51"/>
      <c r="FW414" s="51"/>
      <c r="FX414" s="51"/>
      <c r="FY414" s="51"/>
      <c r="FZ414" s="51"/>
      <c r="GA414" s="51"/>
      <c r="GB414" s="51"/>
      <c r="GC414" s="51"/>
      <c r="GD414" s="51"/>
      <c r="GE414" s="51"/>
      <c r="GF414" s="51"/>
      <c r="GG414" s="51"/>
      <c r="GH414" s="51"/>
      <c r="GI414" s="51"/>
      <c r="GJ414" s="51"/>
      <c r="GK414" s="51"/>
      <c r="GL414" s="51"/>
      <c r="GM414" s="51"/>
      <c r="GN414" s="51"/>
      <c r="GO414" s="51"/>
      <c r="GP414" s="51"/>
      <c r="GQ414" s="51"/>
      <c r="GR414" s="51"/>
      <c r="GS414" s="51"/>
      <c r="GT414" s="51"/>
      <c r="GU414" s="51"/>
      <c r="GV414" s="51"/>
      <c r="GW414" s="51"/>
      <c r="GX414" s="51"/>
      <c r="GY414" s="51"/>
      <c r="GZ414" s="51"/>
      <c r="HA414" s="51"/>
      <c r="HB414" s="51"/>
      <c r="HC414" s="51"/>
      <c r="HD414" s="51"/>
      <c r="HE414" s="51"/>
      <c r="HF414" s="51"/>
      <c r="HG414" s="51"/>
      <c r="HH414" s="51"/>
      <c r="HI414" s="51"/>
      <c r="HJ414" s="51"/>
      <c r="HK414" s="51"/>
      <c r="HL414" s="51"/>
      <c r="HM414" s="51"/>
      <c r="HN414" s="51"/>
      <c r="HO414" s="51"/>
      <c r="HP414" s="51"/>
      <c r="HQ414" s="51"/>
      <c r="HR414" s="51"/>
      <c r="HS414" s="51"/>
      <c r="HT414" s="51"/>
      <c r="HU414" s="51"/>
      <c r="HV414" s="51"/>
      <c r="HW414" s="51"/>
      <c r="HX414" s="51"/>
      <c r="HY414" s="51"/>
      <c r="HZ414" s="51"/>
      <c r="IA414" s="51"/>
      <c r="IB414" s="51"/>
      <c r="IC414" s="51"/>
      <c r="ID414" s="51"/>
      <c r="IE414" s="51"/>
      <c r="IF414" s="51"/>
      <c r="IG414" s="51"/>
      <c r="IH414" s="51"/>
      <c r="II414" s="51"/>
      <c r="IJ414" s="51"/>
      <c r="IK414" s="51"/>
      <c r="IL414" s="51"/>
      <c r="IM414" s="51"/>
      <c r="IN414" s="51"/>
      <c r="IO414" s="51"/>
      <c r="IP414" s="51"/>
      <c r="IQ414" s="51"/>
      <c r="IR414" s="51"/>
      <c r="IS414" s="51"/>
      <c r="IT414" s="51"/>
      <c r="IU414" s="51"/>
      <c r="IV414" s="51"/>
    </row>
    <row r="415" hidden="1">
      <c r="B415" s="826" t="s">
        <v>9</v>
      </c>
      <c r="C415" s="827">
        <v>0</v>
      </c>
      <c r="D415" s="827">
        <v>0</v>
      </c>
      <c r="E415" s="827">
        <v>0</v>
      </c>
      <c r="F415" s="827">
        <v>0</v>
      </c>
      <c r="G415" s="827">
        <v>0</v>
      </c>
      <c r="H415" s="827">
        <v>0</v>
      </c>
      <c r="I415" s="827">
        <v>0</v>
      </c>
      <c r="J415" s="827">
        <v>0</v>
      </c>
      <c r="K415" s="827">
        <v>0</v>
      </c>
      <c r="L415" s="827">
        <v>0</v>
      </c>
      <c r="M415" s="827">
        <v>0</v>
      </c>
      <c r="N415" s="827">
        <v>0</v>
      </c>
      <c r="O415" s="827">
        <v>0</v>
      </c>
      <c r="P415" s="827">
        <v>192</v>
      </c>
      <c r="Q415" s="827">
        <v>264</v>
      </c>
      <c r="R415" s="827">
        <v>342</v>
      </c>
      <c r="S415" s="827">
        <v>464</v>
      </c>
      <c r="T415" s="827">
        <v>491</v>
      </c>
      <c r="U415" s="827">
        <v>549</v>
      </c>
      <c r="V415" s="827">
        <v>588</v>
      </c>
      <c r="W415" s="827">
        <v>601</v>
      </c>
      <c r="X415" s="827">
        <v>623</v>
      </c>
      <c r="Y415" s="827">
        <v>655</v>
      </c>
      <c r="Z415" s="827">
        <v>677</v>
      </c>
      <c r="AA415" s="827">
        <v>688</v>
      </c>
      <c r="AB415" s="827">
        <v>697</v>
      </c>
      <c r="AC415" s="828">
        <v>722</v>
      </c>
      <c r="AD415" s="828">
        <v>742</v>
      </c>
      <c r="AE415" s="828">
        <v>766</v>
      </c>
      <c r="AF415" s="828">
        <v>783</v>
      </c>
      <c r="AG415" s="828">
        <v>798</v>
      </c>
      <c r="AH415" s="828">
        <v>811</v>
      </c>
      <c r="AI415" s="828">
        <v>848</v>
      </c>
      <c r="AJ415" s="828">
        <v>870</v>
      </c>
      <c r="AK415" s="828">
        <v>892</v>
      </c>
      <c r="AL415" s="828">
        <v>909</v>
      </c>
      <c r="AM415" s="828">
        <v>923</v>
      </c>
      <c r="AN415" s="828">
        <v>937</v>
      </c>
      <c r="AO415" s="828">
        <v>954</v>
      </c>
      <c r="AP415" s="828">
        <v>965</v>
      </c>
      <c r="AQ415" s="51"/>
      <c r="AR415" s="51"/>
      <c r="AS415" s="51"/>
      <c r="AT415" s="51"/>
      <c r="AU415" s="51"/>
      <c r="AV415" s="51"/>
      <c r="AW415" s="51"/>
      <c r="AX415" s="51"/>
      <c r="AY415" s="51"/>
      <c r="AZ415" s="51"/>
      <c r="BA415" s="51"/>
      <c r="BB415" s="51"/>
      <c r="BC415" s="51"/>
      <c r="BD415" s="51"/>
      <c r="BE415" s="51"/>
      <c r="BF415" s="51"/>
      <c r="BG415" s="51"/>
      <c r="BH415" s="51"/>
      <c r="BI415" s="51"/>
      <c r="BJ415" s="51"/>
      <c r="BK415" s="51"/>
      <c r="BL415" s="51"/>
      <c r="BM415" s="51"/>
      <c r="BN415" s="51"/>
      <c r="BO415" s="51"/>
      <c r="BP415" s="51"/>
      <c r="BQ415" s="51"/>
      <c r="BR415" s="51"/>
      <c r="BS415" s="51"/>
      <c r="BT415" s="51"/>
      <c r="BU415" s="51"/>
      <c r="BV415" s="51"/>
      <c r="BW415" s="51"/>
      <c r="BX415" s="51"/>
      <c r="BY415" s="51"/>
      <c r="BZ415" s="51"/>
      <c r="CA415" s="51"/>
      <c r="CB415" s="51"/>
      <c r="CC415" s="51"/>
      <c r="CD415" s="51"/>
      <c r="CE415" s="51"/>
      <c r="CF415" s="51"/>
      <c r="CG415" s="51"/>
      <c r="CH415" s="51"/>
      <c r="CI415" s="51"/>
      <c r="CJ415" s="51"/>
      <c r="CK415" s="51"/>
      <c r="CL415" s="51"/>
      <c r="CM415" s="51"/>
      <c r="CN415" s="51"/>
      <c r="CO415" s="51"/>
      <c r="CP415" s="51"/>
      <c r="CQ415" s="51"/>
      <c r="CR415" s="51"/>
      <c r="CS415" s="51"/>
      <c r="CT415" s="51"/>
      <c r="CU415" s="51"/>
      <c r="CV415" s="51"/>
      <c r="CW415" s="51"/>
      <c r="CX415" s="51"/>
      <c r="CY415" s="51"/>
      <c r="CZ415" s="51"/>
      <c r="DA415" s="51"/>
      <c r="DB415" s="51"/>
      <c r="DC415" s="51"/>
      <c r="DD415" s="51"/>
      <c r="DE415" s="51"/>
      <c r="DF415" s="51"/>
      <c r="DG415" s="51"/>
      <c r="DH415" s="51"/>
      <c r="DI415" s="51"/>
      <c r="DJ415" s="51"/>
      <c r="DK415" s="51"/>
      <c r="DL415" s="51"/>
      <c r="DM415" s="51"/>
      <c r="DN415" s="51"/>
      <c r="DO415" s="51"/>
      <c r="DP415" s="51"/>
      <c r="DQ415" s="51"/>
      <c r="DR415" s="51"/>
      <c r="DS415" s="51"/>
      <c r="DT415" s="51"/>
      <c r="DU415" s="51"/>
      <c r="DV415" s="51"/>
      <c r="DW415" s="51"/>
      <c r="DX415" s="51"/>
      <c r="DY415" s="51"/>
      <c r="DZ415" s="51"/>
      <c r="EA415" s="51"/>
      <c r="EB415" s="51"/>
      <c r="EC415" s="51"/>
      <c r="ED415" s="51"/>
      <c r="EE415" s="51"/>
      <c r="EF415" s="51"/>
      <c r="EG415" s="51"/>
      <c r="EH415" s="51"/>
      <c r="EI415" s="51"/>
      <c r="EJ415" s="51"/>
      <c r="EK415" s="51"/>
      <c r="EL415" s="51"/>
      <c r="EM415" s="51"/>
      <c r="EN415" s="51"/>
      <c r="EO415" s="51"/>
      <c r="EP415" s="51"/>
      <c r="EQ415" s="51"/>
      <c r="ER415" s="51"/>
      <c r="ES415" s="51"/>
      <c r="ET415" s="51"/>
      <c r="EU415" s="51"/>
      <c r="EV415" s="51"/>
      <c r="EW415" s="51"/>
      <c r="EX415" s="51"/>
      <c r="EY415" s="51"/>
      <c r="EZ415" s="51"/>
      <c r="FA415" s="51"/>
      <c r="FB415" s="51"/>
      <c r="FC415" s="51"/>
      <c r="FD415" s="51"/>
      <c r="FE415" s="51"/>
      <c r="FF415" s="51"/>
      <c r="FG415" s="51"/>
      <c r="FH415" s="51"/>
      <c r="FI415" s="51"/>
      <c r="FJ415" s="51"/>
      <c r="FK415" s="51"/>
      <c r="FL415" s="51"/>
      <c r="FM415" s="51"/>
      <c r="FN415" s="51"/>
      <c r="FO415" s="51"/>
      <c r="FP415" s="51"/>
      <c r="FQ415" s="51"/>
      <c r="FR415" s="51"/>
      <c r="FS415" s="51"/>
      <c r="FT415" s="51"/>
      <c r="FU415" s="51"/>
      <c r="FV415" s="51"/>
      <c r="FW415" s="51"/>
      <c r="FX415" s="51"/>
      <c r="FY415" s="51"/>
      <c r="FZ415" s="51"/>
      <c r="GA415" s="51"/>
      <c r="GB415" s="51"/>
      <c r="GC415" s="51"/>
      <c r="GD415" s="51"/>
      <c r="GE415" s="51"/>
      <c r="GF415" s="51"/>
      <c r="GG415" s="51"/>
      <c r="GH415" s="51"/>
      <c r="GI415" s="51"/>
      <c r="GJ415" s="51"/>
      <c r="GK415" s="51"/>
      <c r="GL415" s="51"/>
      <c r="GM415" s="51"/>
      <c r="GN415" s="51"/>
      <c r="GO415" s="51"/>
      <c r="GP415" s="51"/>
      <c r="GQ415" s="51"/>
      <c r="GR415" s="51"/>
      <c r="GS415" s="51"/>
      <c r="GT415" s="51"/>
      <c r="GU415" s="51"/>
      <c r="GV415" s="51"/>
      <c r="GW415" s="51"/>
      <c r="GX415" s="51"/>
      <c r="GY415" s="51"/>
      <c r="GZ415" s="51"/>
      <c r="HA415" s="51"/>
      <c r="HB415" s="51"/>
      <c r="HC415" s="51"/>
      <c r="HD415" s="51"/>
      <c r="HE415" s="51"/>
      <c r="HF415" s="51"/>
      <c r="HG415" s="51"/>
      <c r="HH415" s="51"/>
      <c r="HI415" s="51"/>
      <c r="HJ415" s="51"/>
      <c r="HK415" s="51"/>
      <c r="HL415" s="51"/>
      <c r="HM415" s="51"/>
      <c r="HN415" s="51"/>
      <c r="HO415" s="51"/>
      <c r="HP415" s="51"/>
      <c r="HQ415" s="51"/>
      <c r="HR415" s="51"/>
      <c r="HS415" s="51"/>
      <c r="HT415" s="51"/>
      <c r="HU415" s="51"/>
      <c r="HV415" s="51"/>
      <c r="HW415" s="51"/>
      <c r="HX415" s="51"/>
      <c r="HY415" s="51"/>
      <c r="HZ415" s="51"/>
      <c r="IA415" s="51"/>
      <c r="IB415" s="51"/>
      <c r="IC415" s="51"/>
      <c r="ID415" s="51"/>
      <c r="IE415" s="51"/>
      <c r="IF415" s="51"/>
      <c r="IG415" s="51"/>
      <c r="IH415" s="51"/>
      <c r="II415" s="51"/>
      <c r="IJ415" s="51"/>
      <c r="IK415" s="51"/>
      <c r="IL415" s="51"/>
      <c r="IM415" s="51"/>
      <c r="IN415" s="51"/>
      <c r="IO415" s="51"/>
      <c r="IP415" s="51"/>
      <c r="IQ415" s="51"/>
      <c r="IR415" s="51"/>
      <c r="IS415" s="51"/>
      <c r="IT415" s="51"/>
      <c r="IU415" s="51"/>
      <c r="IV415" s="51"/>
    </row>
    <row r="416" hidden="1">
      <c r="B416" s="829" t="s">
        <v>10</v>
      </c>
      <c r="C416" s="823">
        <v>0</v>
      </c>
      <c r="D416" s="823">
        <v>0</v>
      </c>
      <c r="E416" s="823">
        <v>0</v>
      </c>
      <c r="F416" s="823">
        <v>0</v>
      </c>
      <c r="G416" s="823">
        <v>0</v>
      </c>
      <c r="H416" s="823">
        <v>0</v>
      </c>
      <c r="I416" s="823">
        <v>0</v>
      </c>
      <c r="J416" s="823">
        <v>0</v>
      </c>
      <c r="K416" s="823">
        <v>0</v>
      </c>
      <c r="L416" s="823">
        <v>0</v>
      </c>
      <c r="M416" s="823">
        <v>0</v>
      </c>
      <c r="N416" s="823">
        <v>0</v>
      </c>
      <c r="O416" s="823">
        <v>0</v>
      </c>
      <c r="P416" s="823">
        <v>433</v>
      </c>
      <c r="Q416" s="823">
        <v>486</v>
      </c>
      <c r="R416" s="823">
        <v>548</v>
      </c>
      <c r="S416" s="823">
        <v>592</v>
      </c>
      <c r="T416" s="823">
        <v>509</v>
      </c>
      <c r="U416" s="823">
        <v>534</v>
      </c>
      <c r="V416" s="823">
        <v>479</v>
      </c>
      <c r="W416" s="823">
        <v>0</v>
      </c>
      <c r="X416" s="823">
        <v>0</v>
      </c>
      <c r="Y416" s="823">
        <v>0</v>
      </c>
      <c r="Z416" s="823">
        <v>515</v>
      </c>
      <c r="AA416" s="823">
        <v>538</v>
      </c>
      <c r="AB416" s="823">
        <v>530</v>
      </c>
      <c r="AC416" s="825">
        <v>544</v>
      </c>
      <c r="AD416" s="825">
        <v>567</v>
      </c>
      <c r="AE416" s="825">
        <v>586</v>
      </c>
      <c r="AF416" s="825">
        <v>606</v>
      </c>
      <c r="AG416" s="825">
        <v>641</v>
      </c>
      <c r="AH416" s="825">
        <v>659</v>
      </c>
      <c r="AI416" s="825">
        <v>672</v>
      </c>
      <c r="AJ416" s="825">
        <v>686</v>
      </c>
      <c r="AK416" s="825">
        <v>701</v>
      </c>
      <c r="AL416" s="825">
        <v>712</v>
      </c>
      <c r="AM416" s="825">
        <v>719</v>
      </c>
      <c r="AN416" s="825">
        <v>733</v>
      </c>
      <c r="AO416" s="825">
        <v>740</v>
      </c>
      <c r="AP416" s="825">
        <v>755</v>
      </c>
      <c r="AQ416" s="51"/>
      <c r="AR416" s="51"/>
      <c r="AS416" s="51"/>
      <c r="AT416" s="51"/>
      <c r="AU416" s="51"/>
      <c r="AV416" s="51"/>
      <c r="AW416" s="51"/>
      <c r="AX416" s="51"/>
      <c r="AY416" s="51"/>
      <c r="AZ416" s="51"/>
      <c r="BA416" s="51"/>
      <c r="BB416" s="51"/>
      <c r="BC416" s="51"/>
      <c r="BD416" s="51"/>
      <c r="BE416" s="51"/>
      <c r="BF416" s="51"/>
      <c r="BG416" s="51"/>
      <c r="BH416" s="51"/>
      <c r="BI416" s="51"/>
      <c r="BJ416" s="51"/>
      <c r="BK416" s="51"/>
      <c r="BL416" s="51"/>
      <c r="BM416" s="51"/>
      <c r="BN416" s="51"/>
      <c r="BO416" s="51"/>
      <c r="BP416" s="51"/>
      <c r="BQ416" s="51"/>
      <c r="BR416" s="51"/>
      <c r="BS416" s="51"/>
      <c r="BT416" s="51"/>
      <c r="BU416" s="51"/>
      <c r="BV416" s="51"/>
      <c r="BW416" s="51"/>
      <c r="BX416" s="51"/>
      <c r="BY416" s="51"/>
      <c r="BZ416" s="51"/>
      <c r="CA416" s="51"/>
      <c r="CB416" s="51"/>
      <c r="CC416" s="51"/>
      <c r="CD416" s="51"/>
      <c r="CE416" s="51"/>
      <c r="CF416" s="51"/>
      <c r="CG416" s="51"/>
      <c r="CH416" s="51"/>
      <c r="CI416" s="51"/>
      <c r="CJ416" s="51"/>
      <c r="CK416" s="51"/>
      <c r="CL416" s="51"/>
      <c r="CM416" s="51"/>
      <c r="CN416" s="51"/>
      <c r="CO416" s="51"/>
      <c r="CP416" s="51"/>
      <c r="CQ416" s="51"/>
      <c r="CR416" s="51"/>
      <c r="CS416" s="51"/>
      <c r="CT416" s="51"/>
      <c r="CU416" s="51"/>
      <c r="CV416" s="51"/>
      <c r="CW416" s="51"/>
      <c r="CX416" s="51"/>
      <c r="CY416" s="51"/>
      <c r="CZ416" s="51"/>
      <c r="DA416" s="51"/>
      <c r="DB416" s="51"/>
      <c r="DC416" s="51"/>
      <c r="DD416" s="51"/>
      <c r="DE416" s="51"/>
      <c r="DF416" s="51"/>
      <c r="DG416" s="51"/>
      <c r="DH416" s="51"/>
      <c r="DI416" s="51"/>
      <c r="DJ416" s="51"/>
      <c r="DK416" s="51"/>
      <c r="DL416" s="51"/>
      <c r="DM416" s="51"/>
      <c r="DN416" s="51"/>
      <c r="DO416" s="51"/>
      <c r="DP416" s="51"/>
      <c r="DQ416" s="51"/>
      <c r="DR416" s="51"/>
      <c r="DS416" s="51"/>
      <c r="DT416" s="51"/>
      <c r="DU416" s="51"/>
      <c r="DV416" s="51"/>
      <c r="DW416" s="51"/>
      <c r="DX416" s="51"/>
      <c r="DY416" s="51"/>
      <c r="DZ416" s="51"/>
      <c r="EA416" s="51"/>
      <c r="EB416" s="51"/>
      <c r="EC416" s="51"/>
      <c r="ED416" s="51"/>
      <c r="EE416" s="51"/>
      <c r="EF416" s="51"/>
      <c r="EG416" s="51"/>
      <c r="EH416" s="51"/>
      <c r="EI416" s="51"/>
      <c r="EJ416" s="51"/>
      <c r="EK416" s="51"/>
      <c r="EL416" s="51"/>
      <c r="EM416" s="51"/>
      <c r="EN416" s="51"/>
      <c r="EO416" s="51"/>
      <c r="EP416" s="51"/>
      <c r="EQ416" s="51"/>
      <c r="ER416" s="51"/>
      <c r="ES416" s="51"/>
      <c r="ET416" s="51"/>
      <c r="EU416" s="51"/>
      <c r="EV416" s="51"/>
      <c r="EW416" s="51"/>
      <c r="EX416" s="51"/>
      <c r="EY416" s="51"/>
      <c r="EZ416" s="51"/>
      <c r="FA416" s="51"/>
      <c r="FB416" s="51"/>
      <c r="FC416" s="51"/>
      <c r="FD416" s="51"/>
      <c r="FE416" s="51"/>
      <c r="FF416" s="51"/>
      <c r="FG416" s="51"/>
      <c r="FH416" s="51"/>
      <c r="FI416" s="51"/>
      <c r="FJ416" s="51"/>
      <c r="FK416" s="51"/>
      <c r="FL416" s="51"/>
      <c r="FM416" s="51"/>
      <c r="FN416" s="51"/>
      <c r="FO416" s="51"/>
      <c r="FP416" s="51"/>
      <c r="FQ416" s="51"/>
      <c r="FR416" s="51"/>
      <c r="FS416" s="51"/>
      <c r="FT416" s="51"/>
      <c r="FU416" s="51"/>
      <c r="FV416" s="51"/>
      <c r="FW416" s="51"/>
      <c r="FX416" s="51"/>
      <c r="FY416" s="51"/>
      <c r="FZ416" s="51"/>
      <c r="GA416" s="51"/>
      <c r="GB416" s="51"/>
      <c r="GC416" s="51"/>
      <c r="GD416" s="51"/>
      <c r="GE416" s="51"/>
      <c r="GF416" s="51"/>
      <c r="GG416" s="51"/>
      <c r="GH416" s="51"/>
      <c r="GI416" s="51"/>
      <c r="GJ416" s="51"/>
      <c r="GK416" s="51"/>
      <c r="GL416" s="51"/>
      <c r="GM416" s="51"/>
      <c r="GN416" s="51"/>
      <c r="GO416" s="51"/>
      <c r="GP416" s="51"/>
      <c r="GQ416" s="51"/>
      <c r="GR416" s="51"/>
      <c r="GS416" s="51"/>
      <c r="GT416" s="51"/>
      <c r="GU416" s="51"/>
      <c r="GV416" s="51"/>
      <c r="GW416" s="51"/>
      <c r="GX416" s="51"/>
      <c r="GY416" s="51"/>
      <c r="GZ416" s="51"/>
      <c r="HA416" s="51"/>
      <c r="HB416" s="51"/>
      <c r="HC416" s="51"/>
      <c r="HD416" s="51"/>
      <c r="HE416" s="51"/>
      <c r="HF416" s="51"/>
      <c r="HG416" s="51"/>
      <c r="HH416" s="51"/>
      <c r="HI416" s="51"/>
      <c r="HJ416" s="51"/>
      <c r="HK416" s="51"/>
      <c r="HL416" s="51"/>
      <c r="HM416" s="51"/>
      <c r="HN416" s="51"/>
      <c r="HO416" s="51"/>
      <c r="HP416" s="51"/>
      <c r="HQ416" s="51"/>
      <c r="HR416" s="51"/>
      <c r="HS416" s="51"/>
      <c r="HT416" s="51"/>
      <c r="HU416" s="51"/>
      <c r="HV416" s="51"/>
      <c r="HW416" s="51"/>
      <c r="HX416" s="51"/>
      <c r="HY416" s="51"/>
      <c r="HZ416" s="51"/>
      <c r="IA416" s="51"/>
      <c r="IB416" s="51"/>
      <c r="IC416" s="51"/>
      <c r="ID416" s="51"/>
      <c r="IE416" s="51"/>
      <c r="IF416" s="51"/>
      <c r="IG416" s="51"/>
      <c r="IH416" s="51"/>
      <c r="II416" s="51"/>
      <c r="IJ416" s="51"/>
      <c r="IK416" s="51"/>
      <c r="IL416" s="51"/>
      <c r="IM416" s="51"/>
      <c r="IN416" s="51"/>
      <c r="IO416" s="51"/>
      <c r="IP416" s="51"/>
      <c r="IQ416" s="51"/>
      <c r="IR416" s="51"/>
      <c r="IS416" s="51"/>
      <c r="IT416" s="51"/>
      <c r="IU416" s="51"/>
      <c r="IV416" s="51"/>
    </row>
    <row r="417" hidden="1">
      <c r="B417" s="826" t="s">
        <v>11</v>
      </c>
      <c r="C417" s="827">
        <v>0</v>
      </c>
      <c r="D417" s="827">
        <v>0</v>
      </c>
      <c r="E417" s="827">
        <v>0</v>
      </c>
      <c r="F417" s="827">
        <v>0</v>
      </c>
      <c r="G417" s="827">
        <v>0</v>
      </c>
      <c r="H417" s="827">
        <v>0</v>
      </c>
      <c r="I417" s="827">
        <v>0</v>
      </c>
      <c r="J417" s="827">
        <v>0</v>
      </c>
      <c r="K417" s="827">
        <v>0</v>
      </c>
      <c r="L417" s="827">
        <v>0</v>
      </c>
      <c r="M417" s="827">
        <v>0</v>
      </c>
      <c r="N417" s="827">
        <v>0</v>
      </c>
      <c r="O417" s="827">
        <v>0</v>
      </c>
      <c r="P417" s="827">
        <v>1284</v>
      </c>
      <c r="Q417" s="827">
        <v>1973</v>
      </c>
      <c r="R417" s="827">
        <v>2083</v>
      </c>
      <c r="S417" s="827">
        <v>2250</v>
      </c>
      <c r="T417" s="827">
        <v>2215</v>
      </c>
      <c r="U417" s="827">
        <v>2353</v>
      </c>
      <c r="V417" s="827">
        <v>2393</v>
      </c>
      <c r="W417" s="827">
        <v>2495</v>
      </c>
      <c r="X417" s="827">
        <v>2408</v>
      </c>
      <c r="Y417" s="827">
        <v>2503</v>
      </c>
      <c r="Z417" s="827">
        <v>2293</v>
      </c>
      <c r="AA417" s="827">
        <v>0</v>
      </c>
      <c r="AB417" s="827">
        <v>2410</v>
      </c>
      <c r="AC417" s="828">
        <v>2379</v>
      </c>
      <c r="AD417" s="828">
        <v>2421</v>
      </c>
      <c r="AE417" s="828">
        <v>2453</v>
      </c>
      <c r="AF417" s="828">
        <v>2526</v>
      </c>
      <c r="AG417" s="828">
        <v>2271</v>
      </c>
      <c r="AH417" s="828">
        <v>2361</v>
      </c>
      <c r="AI417" s="828">
        <v>2473</v>
      </c>
      <c r="AJ417" s="828">
        <v>2556</v>
      </c>
      <c r="AK417" s="828">
        <v>2688</v>
      </c>
      <c r="AL417" s="828">
        <v>2737</v>
      </c>
      <c r="AM417" s="828">
        <v>2739</v>
      </c>
      <c r="AN417" s="828">
        <v>2791</v>
      </c>
      <c r="AO417" s="828">
        <v>2840</v>
      </c>
      <c r="AP417" s="828">
        <v>2816</v>
      </c>
      <c r="AQ417" s="51"/>
      <c r="AR417" s="51"/>
      <c r="AS417" s="51"/>
      <c r="AT417" s="51"/>
      <c r="AU417" s="51"/>
      <c r="AV417" s="51"/>
      <c r="AW417" s="51"/>
      <c r="AX417" s="51"/>
      <c r="AY417" s="51"/>
      <c r="AZ417" s="51"/>
      <c r="BA417" s="51"/>
      <c r="BB417" s="51"/>
      <c r="BC417" s="51"/>
      <c r="BD417" s="51"/>
      <c r="BE417" s="51"/>
      <c r="BF417" s="51"/>
      <c r="BG417" s="51"/>
      <c r="BH417" s="51"/>
      <c r="BI417" s="51"/>
      <c r="BJ417" s="51"/>
      <c r="BK417" s="51"/>
      <c r="BL417" s="51"/>
      <c r="BM417" s="51"/>
      <c r="BN417" s="51"/>
      <c r="BO417" s="51"/>
      <c r="BP417" s="51"/>
      <c r="BQ417" s="51"/>
      <c r="BR417" s="51"/>
      <c r="BS417" s="51"/>
      <c r="BT417" s="51"/>
      <c r="BU417" s="51"/>
      <c r="BV417" s="51"/>
      <c r="BW417" s="51"/>
      <c r="BX417" s="51"/>
      <c r="BY417" s="51"/>
      <c r="BZ417" s="51"/>
      <c r="CA417" s="51"/>
      <c r="CB417" s="51"/>
      <c r="CC417" s="51"/>
      <c r="CD417" s="51"/>
      <c r="CE417" s="51"/>
      <c r="CF417" s="51"/>
      <c r="CG417" s="51"/>
      <c r="CH417" s="51"/>
      <c r="CI417" s="51"/>
      <c r="CJ417" s="51"/>
      <c r="CK417" s="51"/>
      <c r="CL417" s="51"/>
      <c r="CM417" s="51"/>
      <c r="CN417" s="51"/>
      <c r="CO417" s="51"/>
      <c r="CP417" s="51"/>
      <c r="CQ417" s="51"/>
      <c r="CR417" s="51"/>
      <c r="CS417" s="51"/>
      <c r="CT417" s="51"/>
      <c r="CU417" s="51"/>
      <c r="CV417" s="51"/>
      <c r="CW417" s="51"/>
      <c r="CX417" s="51"/>
      <c r="CY417" s="51"/>
      <c r="CZ417" s="51"/>
      <c r="DA417" s="51"/>
      <c r="DB417" s="51"/>
      <c r="DC417" s="51"/>
      <c r="DD417" s="51"/>
      <c r="DE417" s="51"/>
      <c r="DF417" s="51"/>
      <c r="DG417" s="51"/>
      <c r="DH417" s="51"/>
      <c r="DI417" s="51"/>
      <c r="DJ417" s="51"/>
      <c r="DK417" s="51"/>
      <c r="DL417" s="51"/>
      <c r="DM417" s="51"/>
      <c r="DN417" s="51"/>
      <c r="DO417" s="51"/>
      <c r="DP417" s="51"/>
      <c r="DQ417" s="51"/>
      <c r="DR417" s="51"/>
      <c r="DS417" s="51"/>
      <c r="DT417" s="51"/>
      <c r="DU417" s="51"/>
      <c r="DV417" s="51"/>
      <c r="DW417" s="51"/>
      <c r="DX417" s="51"/>
      <c r="DY417" s="51"/>
      <c r="DZ417" s="51"/>
      <c r="EA417" s="51"/>
      <c r="EB417" s="51"/>
      <c r="EC417" s="51"/>
      <c r="ED417" s="51"/>
      <c r="EE417" s="51"/>
      <c r="EF417" s="51"/>
      <c r="EG417" s="51"/>
      <c r="EH417" s="51"/>
      <c r="EI417" s="51"/>
      <c r="EJ417" s="51"/>
      <c r="EK417" s="51"/>
      <c r="EL417" s="51"/>
      <c r="EM417" s="51"/>
      <c r="EN417" s="51"/>
      <c r="EO417" s="51"/>
      <c r="EP417" s="51"/>
      <c r="EQ417" s="51"/>
      <c r="ER417" s="51"/>
      <c r="ES417" s="51"/>
      <c r="ET417" s="51"/>
      <c r="EU417" s="51"/>
      <c r="EV417" s="51"/>
      <c r="EW417" s="51"/>
      <c r="EX417" s="51"/>
      <c r="EY417" s="51"/>
      <c r="EZ417" s="51"/>
      <c r="FA417" s="51"/>
      <c r="FB417" s="51"/>
      <c r="FC417" s="51"/>
      <c r="FD417" s="51"/>
      <c r="FE417" s="51"/>
      <c r="FF417" s="51"/>
      <c r="FG417" s="51"/>
      <c r="FH417" s="51"/>
      <c r="FI417" s="51"/>
      <c r="FJ417" s="51"/>
      <c r="FK417" s="51"/>
      <c r="FL417" s="51"/>
      <c r="FM417" s="51"/>
      <c r="FN417" s="51"/>
      <c r="FO417" s="51"/>
      <c r="FP417" s="51"/>
      <c r="FQ417" s="51"/>
      <c r="FR417" s="51"/>
      <c r="FS417" s="51"/>
      <c r="FT417" s="51"/>
      <c r="FU417" s="51"/>
      <c r="FV417" s="51"/>
      <c r="FW417" s="51"/>
      <c r="FX417" s="51"/>
      <c r="FY417" s="51"/>
      <c r="FZ417" s="51"/>
      <c r="GA417" s="51"/>
      <c r="GB417" s="51"/>
      <c r="GC417" s="51"/>
      <c r="GD417" s="51"/>
      <c r="GE417" s="51"/>
      <c r="GF417" s="51"/>
      <c r="GG417" s="51"/>
      <c r="GH417" s="51"/>
      <c r="GI417" s="51"/>
      <c r="GJ417" s="51"/>
      <c r="GK417" s="51"/>
      <c r="GL417" s="51"/>
      <c r="GM417" s="51"/>
      <c r="GN417" s="51"/>
      <c r="GO417" s="51"/>
      <c r="GP417" s="51"/>
      <c r="GQ417" s="51"/>
      <c r="GR417" s="51"/>
      <c r="GS417" s="51"/>
      <c r="GT417" s="51"/>
      <c r="GU417" s="51"/>
      <c r="GV417" s="51"/>
      <c r="GW417" s="51"/>
      <c r="GX417" s="51"/>
      <c r="GY417" s="51"/>
      <c r="GZ417" s="51"/>
      <c r="HA417" s="51"/>
      <c r="HB417" s="51"/>
      <c r="HC417" s="51"/>
      <c r="HD417" s="51"/>
      <c r="HE417" s="51"/>
      <c r="HF417" s="51"/>
      <c r="HG417" s="51"/>
      <c r="HH417" s="51"/>
      <c r="HI417" s="51"/>
      <c r="HJ417" s="51"/>
      <c r="HK417" s="51"/>
      <c r="HL417" s="51"/>
      <c r="HM417" s="51"/>
      <c r="HN417" s="51"/>
      <c r="HO417" s="51"/>
      <c r="HP417" s="51"/>
      <c r="HQ417" s="51"/>
      <c r="HR417" s="51"/>
      <c r="HS417" s="51"/>
      <c r="HT417" s="51"/>
      <c r="HU417" s="51"/>
      <c r="HV417" s="51"/>
      <c r="HW417" s="51"/>
      <c r="HX417" s="51"/>
      <c r="HY417" s="51"/>
      <c r="HZ417" s="51"/>
      <c r="IA417" s="51"/>
      <c r="IB417" s="51"/>
      <c r="IC417" s="51"/>
      <c r="ID417" s="51"/>
      <c r="IE417" s="51"/>
      <c r="IF417" s="51"/>
      <c r="IG417" s="51"/>
      <c r="IH417" s="51"/>
      <c r="II417" s="51"/>
      <c r="IJ417" s="51"/>
      <c r="IK417" s="51"/>
      <c r="IL417" s="51"/>
      <c r="IM417" s="51"/>
      <c r="IN417" s="51"/>
      <c r="IO417" s="51"/>
      <c r="IP417" s="51"/>
      <c r="IQ417" s="51"/>
      <c r="IR417" s="51"/>
      <c r="IS417" s="51"/>
      <c r="IT417" s="51"/>
      <c r="IU417" s="51"/>
      <c r="IV417" s="51"/>
    </row>
    <row r="418" hidden="1">
      <c r="B418" s="829" t="s">
        <v>12</v>
      </c>
      <c r="C418" s="823">
        <v>0</v>
      </c>
      <c r="D418" s="823">
        <v>0</v>
      </c>
      <c r="E418" s="823">
        <v>0</v>
      </c>
      <c r="F418" s="823">
        <v>0</v>
      </c>
      <c r="G418" s="823">
        <v>0</v>
      </c>
      <c r="H418" s="823">
        <v>0</v>
      </c>
      <c r="I418" s="823">
        <v>0</v>
      </c>
      <c r="J418" s="823">
        <v>0</v>
      </c>
      <c r="K418" s="823">
        <v>0</v>
      </c>
      <c r="L418" s="823">
        <v>0</v>
      </c>
      <c r="M418" s="823">
        <v>0</v>
      </c>
      <c r="N418" s="823">
        <v>0</v>
      </c>
      <c r="O418" s="823">
        <v>0</v>
      </c>
      <c r="P418" s="823">
        <v>796</v>
      </c>
      <c r="Q418" s="823">
        <v>902</v>
      </c>
      <c r="R418" s="823">
        <v>980</v>
      </c>
      <c r="S418" s="823">
        <v>1067</v>
      </c>
      <c r="T418" s="823">
        <v>1078</v>
      </c>
      <c r="U418" s="823">
        <v>1109</v>
      </c>
      <c r="V418" s="823">
        <v>1146</v>
      </c>
      <c r="W418" s="823">
        <v>1139</v>
      </c>
      <c r="X418" s="823">
        <v>1160</v>
      </c>
      <c r="Y418" s="823">
        <v>1222</v>
      </c>
      <c r="Z418" s="823">
        <v>1220</v>
      </c>
      <c r="AA418" s="823">
        <v>1135</v>
      </c>
      <c r="AB418" s="823">
        <v>1124</v>
      </c>
      <c r="AC418" s="825">
        <v>1060</v>
      </c>
      <c r="AD418" s="825">
        <v>1060</v>
      </c>
      <c r="AE418" s="825">
        <v>987</v>
      </c>
      <c r="AF418" s="825">
        <v>982</v>
      </c>
      <c r="AG418" s="825">
        <v>937</v>
      </c>
      <c r="AH418" s="825">
        <v>932</v>
      </c>
      <c r="AI418" s="825">
        <v>921</v>
      </c>
      <c r="AJ418" s="825">
        <v>927</v>
      </c>
      <c r="AK418" s="825">
        <v>916</v>
      </c>
      <c r="AL418" s="825">
        <v>924</v>
      </c>
      <c r="AM418" s="825">
        <v>893</v>
      </c>
      <c r="AN418" s="825">
        <v>911</v>
      </c>
      <c r="AO418" s="825">
        <v>888</v>
      </c>
      <c r="AP418" s="825">
        <v>898</v>
      </c>
      <c r="AQ418" s="51"/>
      <c r="AR418" s="51"/>
      <c r="AS418" s="51"/>
      <c r="AT418" s="51"/>
      <c r="AU418" s="51"/>
      <c r="AV418" s="51"/>
      <c r="AW418" s="51"/>
      <c r="AX418" s="51"/>
      <c r="AY418" s="51"/>
      <c r="AZ418" s="51"/>
      <c r="BA418" s="51"/>
      <c r="BB418" s="51"/>
      <c r="BC418" s="51"/>
      <c r="BD418" s="51"/>
      <c r="BE418" s="51"/>
      <c r="BF418" s="51"/>
      <c r="BG418" s="51"/>
      <c r="BH418" s="51"/>
      <c r="BI418" s="51"/>
      <c r="BJ418" s="51"/>
      <c r="BK418" s="51"/>
      <c r="BL418" s="51"/>
      <c r="BM418" s="51"/>
      <c r="BN418" s="51"/>
      <c r="BO418" s="51"/>
      <c r="BP418" s="51"/>
      <c r="BQ418" s="51"/>
      <c r="BR418" s="51"/>
      <c r="BS418" s="51"/>
      <c r="BT418" s="51"/>
      <c r="BU418" s="51"/>
      <c r="BV418" s="51"/>
      <c r="BW418" s="51"/>
      <c r="BX418" s="51"/>
      <c r="BY418" s="51"/>
      <c r="BZ418" s="51"/>
      <c r="CA418" s="51"/>
      <c r="CB418" s="51"/>
      <c r="CC418" s="51"/>
      <c r="CD418" s="51"/>
      <c r="CE418" s="51"/>
      <c r="CF418" s="51"/>
      <c r="CG418" s="51"/>
      <c r="CH418" s="51"/>
      <c r="CI418" s="51"/>
      <c r="CJ418" s="51"/>
      <c r="CK418" s="51"/>
      <c r="CL418" s="51"/>
      <c r="CM418" s="51"/>
      <c r="CN418" s="51"/>
      <c r="CO418" s="51"/>
      <c r="CP418" s="51"/>
      <c r="CQ418" s="51"/>
      <c r="CR418" s="51"/>
      <c r="CS418" s="51"/>
      <c r="CT418" s="51"/>
      <c r="CU418" s="51"/>
      <c r="CV418" s="51"/>
      <c r="CW418" s="51"/>
      <c r="CX418" s="51"/>
      <c r="CY418" s="51"/>
      <c r="CZ418" s="51"/>
      <c r="DA418" s="51"/>
      <c r="DB418" s="51"/>
      <c r="DC418" s="51"/>
      <c r="DD418" s="51"/>
      <c r="DE418" s="51"/>
      <c r="DF418" s="51"/>
      <c r="DG418" s="51"/>
      <c r="DH418" s="51"/>
      <c r="DI418" s="51"/>
      <c r="DJ418" s="51"/>
      <c r="DK418" s="51"/>
      <c r="DL418" s="51"/>
      <c r="DM418" s="51"/>
      <c r="DN418" s="51"/>
      <c r="DO418" s="51"/>
      <c r="DP418" s="51"/>
      <c r="DQ418" s="51"/>
      <c r="DR418" s="51"/>
      <c r="DS418" s="51"/>
      <c r="DT418" s="51"/>
      <c r="DU418" s="51"/>
      <c r="DV418" s="51"/>
      <c r="DW418" s="51"/>
      <c r="DX418" s="51"/>
      <c r="DY418" s="51"/>
      <c r="DZ418" s="51"/>
      <c r="EA418" s="51"/>
      <c r="EB418" s="51"/>
      <c r="EC418" s="51"/>
      <c r="ED418" s="51"/>
      <c r="EE418" s="51"/>
      <c r="EF418" s="51"/>
      <c r="EG418" s="51"/>
      <c r="EH418" s="51"/>
      <c r="EI418" s="51"/>
      <c r="EJ418" s="51"/>
      <c r="EK418" s="51"/>
      <c r="EL418" s="51"/>
      <c r="EM418" s="51"/>
      <c r="EN418" s="51"/>
      <c r="EO418" s="51"/>
      <c r="EP418" s="51"/>
      <c r="EQ418" s="51"/>
      <c r="ER418" s="51"/>
      <c r="ES418" s="51"/>
      <c r="ET418" s="51"/>
      <c r="EU418" s="51"/>
      <c r="EV418" s="51"/>
      <c r="EW418" s="51"/>
      <c r="EX418" s="51"/>
      <c r="EY418" s="51"/>
      <c r="EZ418" s="51"/>
      <c r="FA418" s="51"/>
      <c r="FB418" s="51"/>
      <c r="FC418" s="51"/>
      <c r="FD418" s="51"/>
      <c r="FE418" s="51"/>
      <c r="FF418" s="51"/>
      <c r="FG418" s="51"/>
      <c r="FH418" s="51"/>
      <c r="FI418" s="51"/>
      <c r="FJ418" s="51"/>
      <c r="FK418" s="51"/>
      <c r="FL418" s="51"/>
      <c r="FM418" s="51"/>
      <c r="FN418" s="51"/>
      <c r="FO418" s="51"/>
      <c r="FP418" s="51"/>
      <c r="FQ418" s="51"/>
      <c r="FR418" s="51"/>
      <c r="FS418" s="51"/>
      <c r="FT418" s="51"/>
      <c r="FU418" s="51"/>
      <c r="FV418" s="51"/>
      <c r="FW418" s="51"/>
      <c r="FX418" s="51"/>
      <c r="FY418" s="51"/>
      <c r="FZ418" s="51"/>
      <c r="GA418" s="51"/>
      <c r="GB418" s="51"/>
      <c r="GC418" s="51"/>
      <c r="GD418" s="51"/>
      <c r="GE418" s="51"/>
      <c r="GF418" s="51"/>
      <c r="GG418" s="51"/>
      <c r="GH418" s="51"/>
      <c r="GI418" s="51"/>
      <c r="GJ418" s="51"/>
      <c r="GK418" s="51"/>
      <c r="GL418" s="51"/>
      <c r="GM418" s="51"/>
      <c r="GN418" s="51"/>
      <c r="GO418" s="51"/>
      <c r="GP418" s="51"/>
      <c r="GQ418" s="51"/>
      <c r="GR418" s="51"/>
      <c r="GS418" s="51"/>
      <c r="GT418" s="51"/>
      <c r="GU418" s="51"/>
      <c r="GV418" s="51"/>
      <c r="GW418" s="51"/>
      <c r="GX418" s="51"/>
      <c r="GY418" s="51"/>
      <c r="GZ418" s="51"/>
      <c r="HA418" s="51"/>
      <c r="HB418" s="51"/>
      <c r="HC418" s="51"/>
      <c r="HD418" s="51"/>
      <c r="HE418" s="51"/>
      <c r="HF418" s="51"/>
      <c r="HG418" s="51"/>
      <c r="HH418" s="51"/>
      <c r="HI418" s="51"/>
      <c r="HJ418" s="51"/>
      <c r="HK418" s="51"/>
      <c r="HL418" s="51"/>
      <c r="HM418" s="51"/>
      <c r="HN418" s="51"/>
      <c r="HO418" s="51"/>
      <c r="HP418" s="51"/>
      <c r="HQ418" s="51"/>
      <c r="HR418" s="51"/>
      <c r="HS418" s="51"/>
      <c r="HT418" s="51"/>
      <c r="HU418" s="51"/>
      <c r="HV418" s="51"/>
      <c r="HW418" s="51"/>
      <c r="HX418" s="51"/>
      <c r="HY418" s="51"/>
      <c r="HZ418" s="51"/>
      <c r="IA418" s="51"/>
      <c r="IB418" s="51"/>
      <c r="IC418" s="51"/>
      <c r="ID418" s="51"/>
      <c r="IE418" s="51"/>
      <c r="IF418" s="51"/>
      <c r="IG418" s="51"/>
      <c r="IH418" s="51"/>
      <c r="II418" s="51"/>
      <c r="IJ418" s="51"/>
      <c r="IK418" s="51"/>
      <c r="IL418" s="51"/>
      <c r="IM418" s="51"/>
      <c r="IN418" s="51"/>
      <c r="IO418" s="51"/>
      <c r="IP418" s="51"/>
      <c r="IQ418" s="51"/>
      <c r="IR418" s="51"/>
      <c r="IS418" s="51"/>
      <c r="IT418" s="51"/>
      <c r="IU418" s="51"/>
      <c r="IV418" s="51"/>
    </row>
    <row r="419" hidden="1">
      <c r="B419" s="826" t="s">
        <v>13</v>
      </c>
      <c r="C419" s="827">
        <v>0</v>
      </c>
      <c r="D419" s="827">
        <v>0</v>
      </c>
      <c r="E419" s="827">
        <v>0</v>
      </c>
      <c r="F419" s="827">
        <v>0</v>
      </c>
      <c r="G419" s="827">
        <v>0</v>
      </c>
      <c r="H419" s="827">
        <v>0</v>
      </c>
      <c r="I419" s="827">
        <v>0</v>
      </c>
      <c r="J419" s="827">
        <v>0</v>
      </c>
      <c r="K419" s="827">
        <v>0</v>
      </c>
      <c r="L419" s="827">
        <v>0</v>
      </c>
      <c r="M419" s="827">
        <v>0</v>
      </c>
      <c r="N419" s="827">
        <v>0</v>
      </c>
      <c r="O419" s="827">
        <v>0</v>
      </c>
      <c r="P419" s="827">
        <v>1395</v>
      </c>
      <c r="Q419" s="827">
        <v>1598</v>
      </c>
      <c r="R419" s="827">
        <v>1608</v>
      </c>
      <c r="S419" s="827">
        <v>1650</v>
      </c>
      <c r="T419" s="827">
        <v>1652</v>
      </c>
      <c r="U419" s="827">
        <v>1588</v>
      </c>
      <c r="V419" s="827">
        <v>1591</v>
      </c>
      <c r="W419" s="827">
        <v>1579</v>
      </c>
      <c r="X419" s="827">
        <v>1665</v>
      </c>
      <c r="Y419" s="827">
        <v>1386</v>
      </c>
      <c r="Z419" s="827">
        <v>1398</v>
      </c>
      <c r="AA419" s="827">
        <v>1381</v>
      </c>
      <c r="AB419" s="827">
        <v>1408</v>
      </c>
      <c r="AC419" s="828">
        <v>1326</v>
      </c>
      <c r="AD419" s="828">
        <v>1371</v>
      </c>
      <c r="AE419" s="828">
        <v>1260</v>
      </c>
      <c r="AF419" s="828">
        <v>1298</v>
      </c>
      <c r="AG419" s="828">
        <v>1270</v>
      </c>
      <c r="AH419" s="828">
        <v>1319</v>
      </c>
      <c r="AI419" s="828">
        <v>1275</v>
      </c>
      <c r="AJ419" s="828">
        <v>1286</v>
      </c>
      <c r="AK419" s="828">
        <v>1219</v>
      </c>
      <c r="AL419" s="828">
        <v>1247</v>
      </c>
      <c r="AM419" s="828">
        <v>1199</v>
      </c>
      <c r="AN419" s="828">
        <v>1239</v>
      </c>
      <c r="AO419" s="828">
        <v>1269</v>
      </c>
      <c r="AP419" s="828">
        <v>1379</v>
      </c>
      <c r="AQ419" s="51"/>
      <c r="AR419" s="51"/>
      <c r="AS419" s="51"/>
      <c r="AT419" s="51"/>
      <c r="AU419" s="51"/>
      <c r="AV419" s="51"/>
      <c r="AW419" s="51"/>
      <c r="AX419" s="51"/>
      <c r="AY419" s="51"/>
      <c r="AZ419" s="51"/>
      <c r="BA419" s="51"/>
      <c r="BB419" s="51"/>
      <c r="BC419" s="51"/>
      <c r="BD419" s="51"/>
      <c r="BE419" s="51"/>
      <c r="BF419" s="51"/>
      <c r="BG419" s="51"/>
      <c r="BH419" s="51"/>
      <c r="BI419" s="51"/>
      <c r="BJ419" s="51"/>
      <c r="BK419" s="51"/>
      <c r="BL419" s="51"/>
      <c r="BM419" s="51"/>
      <c r="BN419" s="51"/>
      <c r="BO419" s="51"/>
      <c r="BP419" s="51"/>
      <c r="BQ419" s="51"/>
      <c r="BR419" s="51"/>
      <c r="BS419" s="51"/>
      <c r="BT419" s="51"/>
      <c r="BU419" s="51"/>
      <c r="BV419" s="51"/>
      <c r="BW419" s="51"/>
      <c r="BX419" s="51"/>
      <c r="BY419" s="51"/>
      <c r="BZ419" s="51"/>
      <c r="CA419" s="51"/>
      <c r="CB419" s="51"/>
      <c r="CC419" s="51"/>
      <c r="CD419" s="51"/>
      <c r="CE419" s="51"/>
      <c r="CF419" s="51"/>
      <c r="CG419" s="51"/>
      <c r="CH419" s="51"/>
      <c r="CI419" s="51"/>
      <c r="CJ419" s="51"/>
      <c r="CK419" s="51"/>
      <c r="CL419" s="51"/>
      <c r="CM419" s="51"/>
      <c r="CN419" s="51"/>
      <c r="CO419" s="51"/>
      <c r="CP419" s="51"/>
      <c r="CQ419" s="51"/>
      <c r="CR419" s="51"/>
      <c r="CS419" s="51"/>
      <c r="CT419" s="51"/>
      <c r="CU419" s="51"/>
      <c r="CV419" s="51"/>
      <c r="CW419" s="51"/>
      <c r="CX419" s="51"/>
      <c r="CY419" s="51"/>
      <c r="CZ419" s="51"/>
      <c r="DA419" s="51"/>
      <c r="DB419" s="51"/>
      <c r="DC419" s="51"/>
      <c r="DD419" s="51"/>
      <c r="DE419" s="51"/>
      <c r="DF419" s="51"/>
      <c r="DG419" s="51"/>
      <c r="DH419" s="51"/>
      <c r="DI419" s="51"/>
      <c r="DJ419" s="51"/>
      <c r="DK419" s="51"/>
      <c r="DL419" s="51"/>
      <c r="DM419" s="51"/>
      <c r="DN419" s="51"/>
      <c r="DO419" s="51"/>
      <c r="DP419" s="51"/>
      <c r="DQ419" s="51"/>
      <c r="DR419" s="51"/>
      <c r="DS419" s="51"/>
      <c r="DT419" s="51"/>
      <c r="DU419" s="51"/>
      <c r="DV419" s="51"/>
      <c r="DW419" s="51"/>
      <c r="DX419" s="51"/>
      <c r="DY419" s="51"/>
      <c r="DZ419" s="51"/>
      <c r="EA419" s="51"/>
      <c r="EB419" s="51"/>
      <c r="EC419" s="51"/>
      <c r="ED419" s="51"/>
      <c r="EE419" s="51"/>
      <c r="EF419" s="51"/>
      <c r="EG419" s="51"/>
      <c r="EH419" s="51"/>
      <c r="EI419" s="51"/>
      <c r="EJ419" s="51"/>
      <c r="EK419" s="51"/>
      <c r="EL419" s="51"/>
      <c r="EM419" s="51"/>
      <c r="EN419" s="51"/>
      <c r="EO419" s="51"/>
      <c r="EP419" s="51"/>
      <c r="EQ419" s="51"/>
      <c r="ER419" s="51"/>
      <c r="ES419" s="51"/>
      <c r="ET419" s="51"/>
      <c r="EU419" s="51"/>
      <c r="EV419" s="51"/>
      <c r="EW419" s="51"/>
      <c r="EX419" s="51"/>
      <c r="EY419" s="51"/>
      <c r="EZ419" s="51"/>
      <c r="FA419" s="51"/>
      <c r="FB419" s="51"/>
      <c r="FC419" s="51"/>
      <c r="FD419" s="51"/>
      <c r="FE419" s="51"/>
      <c r="FF419" s="51"/>
      <c r="FG419" s="51"/>
      <c r="FH419" s="51"/>
      <c r="FI419" s="51"/>
      <c r="FJ419" s="51"/>
      <c r="FK419" s="51"/>
      <c r="FL419" s="51"/>
      <c r="FM419" s="51"/>
      <c r="FN419" s="51"/>
      <c r="FO419" s="51"/>
      <c r="FP419" s="51"/>
      <c r="FQ419" s="51"/>
      <c r="FR419" s="51"/>
      <c r="FS419" s="51"/>
      <c r="FT419" s="51"/>
      <c r="FU419" s="51"/>
      <c r="FV419" s="51"/>
      <c r="FW419" s="51"/>
      <c r="FX419" s="51"/>
      <c r="FY419" s="51"/>
      <c r="FZ419" s="51"/>
      <c r="GA419" s="51"/>
      <c r="GB419" s="51"/>
      <c r="GC419" s="51"/>
      <c r="GD419" s="51"/>
      <c r="GE419" s="51"/>
      <c r="GF419" s="51"/>
      <c r="GG419" s="51"/>
      <c r="GH419" s="51"/>
      <c r="GI419" s="51"/>
      <c r="GJ419" s="51"/>
      <c r="GK419" s="51"/>
      <c r="GL419" s="51"/>
      <c r="GM419" s="51"/>
      <c r="GN419" s="51"/>
      <c r="GO419" s="51"/>
      <c r="GP419" s="51"/>
      <c r="GQ419" s="51"/>
      <c r="GR419" s="51"/>
      <c r="GS419" s="51"/>
      <c r="GT419" s="51"/>
      <c r="GU419" s="51"/>
      <c r="GV419" s="51"/>
      <c r="GW419" s="51"/>
      <c r="GX419" s="51"/>
      <c r="GY419" s="51"/>
      <c r="GZ419" s="51"/>
      <c r="HA419" s="51"/>
      <c r="HB419" s="51"/>
      <c r="HC419" s="51"/>
      <c r="HD419" s="51"/>
      <c r="HE419" s="51"/>
      <c r="HF419" s="51"/>
      <c r="HG419" s="51"/>
      <c r="HH419" s="51"/>
      <c r="HI419" s="51"/>
      <c r="HJ419" s="51"/>
      <c r="HK419" s="51"/>
      <c r="HL419" s="51"/>
      <c r="HM419" s="51"/>
      <c r="HN419" s="51"/>
      <c r="HO419" s="51"/>
      <c r="HP419" s="51"/>
      <c r="HQ419" s="51"/>
      <c r="HR419" s="51"/>
      <c r="HS419" s="51"/>
      <c r="HT419" s="51"/>
      <c r="HU419" s="51"/>
      <c r="HV419" s="51"/>
      <c r="HW419" s="51"/>
      <c r="HX419" s="51"/>
      <c r="HY419" s="51"/>
      <c r="HZ419" s="51"/>
      <c r="IA419" s="51"/>
      <c r="IB419" s="51"/>
      <c r="IC419" s="51"/>
      <c r="ID419" s="51"/>
      <c r="IE419" s="51"/>
      <c r="IF419" s="51"/>
      <c r="IG419" s="51"/>
      <c r="IH419" s="51"/>
      <c r="II419" s="51"/>
      <c r="IJ419" s="51"/>
      <c r="IK419" s="51"/>
      <c r="IL419" s="51"/>
      <c r="IM419" s="51"/>
      <c r="IN419" s="51"/>
      <c r="IO419" s="51"/>
      <c r="IP419" s="51"/>
      <c r="IQ419" s="51"/>
      <c r="IR419" s="51"/>
      <c r="IS419" s="51"/>
      <c r="IT419" s="51"/>
      <c r="IU419" s="51"/>
      <c r="IV419" s="51"/>
    </row>
    <row r="420" hidden="1">
      <c r="B420" s="829" t="s">
        <v>109</v>
      </c>
      <c r="C420" s="823">
        <v>0</v>
      </c>
      <c r="D420" s="823">
        <v>0</v>
      </c>
      <c r="E420" s="823">
        <v>0</v>
      </c>
      <c r="F420" s="823">
        <v>0</v>
      </c>
      <c r="G420" s="823">
        <v>0</v>
      </c>
      <c r="H420" s="823">
        <v>0</v>
      </c>
      <c r="I420" s="823">
        <v>0</v>
      </c>
      <c r="J420" s="823">
        <v>0</v>
      </c>
      <c r="K420" s="823">
        <v>0</v>
      </c>
      <c r="L420" s="823">
        <v>0</v>
      </c>
      <c r="M420" s="823">
        <v>0</v>
      </c>
      <c r="N420" s="823">
        <v>0</v>
      </c>
      <c r="O420" s="823">
        <v>0</v>
      </c>
      <c r="P420" s="823">
        <v>2922</v>
      </c>
      <c r="Q420" s="823">
        <v>3073</v>
      </c>
      <c r="R420" s="823">
        <v>3151</v>
      </c>
      <c r="S420" s="823">
        <v>3466</v>
      </c>
      <c r="T420" s="823">
        <v>3555</v>
      </c>
      <c r="U420" s="823">
        <v>3696</v>
      </c>
      <c r="V420" s="823">
        <v>3800</v>
      </c>
      <c r="W420" s="823">
        <v>3750</v>
      </c>
      <c r="X420" s="823">
        <v>3813</v>
      </c>
      <c r="Y420" s="823">
        <v>3890</v>
      </c>
      <c r="Z420" s="823">
        <v>3972</v>
      </c>
      <c r="AA420" s="823">
        <v>4057</v>
      </c>
      <c r="AB420" s="823">
        <v>4134</v>
      </c>
      <c r="AC420" s="825">
        <v>3747</v>
      </c>
      <c r="AD420" s="825">
        <v>3834</v>
      </c>
      <c r="AE420" s="825">
        <v>3855</v>
      </c>
      <c r="AF420" s="825">
        <v>3954</v>
      </c>
      <c r="AG420" s="825">
        <v>4416</v>
      </c>
      <c r="AH420" s="825">
        <v>4495</v>
      </c>
      <c r="AI420" s="825">
        <v>4539</v>
      </c>
      <c r="AJ420" s="825">
        <v>4007</v>
      </c>
      <c r="AK420" s="825">
        <v>4185</v>
      </c>
      <c r="AL420" s="825">
        <v>4284</v>
      </c>
      <c r="AM420" s="825">
        <v>4349</v>
      </c>
      <c r="AN420" s="825">
        <v>4429</v>
      </c>
      <c r="AO420" s="825">
        <v>4538</v>
      </c>
      <c r="AP420" s="825">
        <v>4614</v>
      </c>
      <c r="AQ420" s="51"/>
      <c r="AR420" s="51"/>
      <c r="AS420" s="51"/>
      <c r="AT420" s="51"/>
      <c r="AU420" s="51"/>
      <c r="AV420" s="51"/>
      <c r="AW420" s="51"/>
      <c r="AX420" s="51"/>
      <c r="AY420" s="51"/>
      <c r="AZ420" s="51"/>
      <c r="BA420" s="51"/>
      <c r="BB420" s="51"/>
      <c r="BC420" s="51"/>
      <c r="BD420" s="51"/>
      <c r="BE420" s="51"/>
      <c r="BF420" s="51"/>
      <c r="BG420" s="51"/>
      <c r="BH420" s="51"/>
      <c r="BI420" s="51"/>
      <c r="BJ420" s="51"/>
      <c r="BK420" s="51"/>
      <c r="BL420" s="51"/>
      <c r="BM420" s="51"/>
      <c r="BN420" s="51"/>
      <c r="BO420" s="51"/>
      <c r="BP420" s="51"/>
      <c r="BQ420" s="51"/>
      <c r="BR420" s="51"/>
      <c r="BS420" s="51"/>
      <c r="BT420" s="51"/>
      <c r="BU420" s="51"/>
      <c r="BV420" s="51"/>
      <c r="BW420" s="51"/>
      <c r="BX420" s="51"/>
      <c r="BY420" s="51"/>
      <c r="BZ420" s="51"/>
      <c r="CA420" s="51"/>
      <c r="CB420" s="51"/>
      <c r="CC420" s="51"/>
      <c r="CD420" s="51"/>
      <c r="CE420" s="51"/>
      <c r="CF420" s="51"/>
      <c r="CG420" s="51"/>
      <c r="CH420" s="51"/>
      <c r="CI420" s="51"/>
      <c r="CJ420" s="51"/>
      <c r="CK420" s="51"/>
      <c r="CL420" s="51"/>
      <c r="CM420" s="51"/>
      <c r="CN420" s="51"/>
      <c r="CO420" s="51"/>
      <c r="CP420" s="51"/>
      <c r="CQ420" s="51"/>
      <c r="CR420" s="51"/>
      <c r="CS420" s="51"/>
      <c r="CT420" s="51"/>
      <c r="CU420" s="51"/>
      <c r="CV420" s="51"/>
      <c r="CW420" s="51"/>
      <c r="CX420" s="51"/>
      <c r="CY420" s="51"/>
      <c r="CZ420" s="51"/>
      <c r="DA420" s="51"/>
      <c r="DB420" s="51"/>
      <c r="DC420" s="51"/>
      <c r="DD420" s="51"/>
      <c r="DE420" s="51"/>
      <c r="DF420" s="51"/>
      <c r="DG420" s="51"/>
      <c r="DH420" s="51"/>
      <c r="DI420" s="51"/>
      <c r="DJ420" s="51"/>
      <c r="DK420" s="51"/>
      <c r="DL420" s="51"/>
      <c r="DM420" s="51"/>
      <c r="DN420" s="51"/>
      <c r="DO420" s="51"/>
      <c r="DP420" s="51"/>
      <c r="DQ420" s="51"/>
      <c r="DR420" s="51"/>
      <c r="DS420" s="51"/>
      <c r="DT420" s="51"/>
      <c r="DU420" s="51"/>
      <c r="DV420" s="51"/>
      <c r="DW420" s="51"/>
      <c r="DX420" s="51"/>
      <c r="DY420" s="51"/>
      <c r="DZ420" s="51"/>
      <c r="EA420" s="51"/>
      <c r="EB420" s="51"/>
      <c r="EC420" s="51"/>
      <c r="ED420" s="51"/>
      <c r="EE420" s="51"/>
      <c r="EF420" s="51"/>
      <c r="EG420" s="51"/>
      <c r="EH420" s="51"/>
      <c r="EI420" s="51"/>
      <c r="EJ420" s="51"/>
      <c r="EK420" s="51"/>
      <c r="EL420" s="51"/>
      <c r="EM420" s="51"/>
      <c r="EN420" s="51"/>
      <c r="EO420" s="51"/>
      <c r="EP420" s="51"/>
      <c r="EQ420" s="51"/>
      <c r="ER420" s="51"/>
      <c r="ES420" s="51"/>
      <c r="ET420" s="51"/>
      <c r="EU420" s="51"/>
      <c r="EV420" s="51"/>
      <c r="EW420" s="51"/>
      <c r="EX420" s="51"/>
      <c r="EY420" s="51"/>
      <c r="EZ420" s="51"/>
      <c r="FA420" s="51"/>
      <c r="FB420" s="51"/>
      <c r="FC420" s="51"/>
      <c r="FD420" s="51"/>
      <c r="FE420" s="51"/>
      <c r="FF420" s="51"/>
      <c r="FG420" s="51"/>
      <c r="FH420" s="51"/>
      <c r="FI420" s="51"/>
      <c r="FJ420" s="51"/>
      <c r="FK420" s="51"/>
      <c r="FL420" s="51"/>
      <c r="FM420" s="51"/>
      <c r="FN420" s="51"/>
      <c r="FO420" s="51"/>
      <c r="FP420" s="51"/>
      <c r="FQ420" s="51"/>
      <c r="FR420" s="51"/>
      <c r="FS420" s="51"/>
      <c r="FT420" s="51"/>
      <c r="FU420" s="51"/>
      <c r="FV420" s="51"/>
      <c r="FW420" s="51"/>
      <c r="FX420" s="51"/>
      <c r="FY420" s="51"/>
      <c r="FZ420" s="51"/>
      <c r="GA420" s="51"/>
      <c r="GB420" s="51"/>
      <c r="GC420" s="51"/>
      <c r="GD420" s="51"/>
      <c r="GE420" s="51"/>
      <c r="GF420" s="51"/>
      <c r="GG420" s="51"/>
      <c r="GH420" s="51"/>
      <c r="GI420" s="51"/>
      <c r="GJ420" s="51"/>
      <c r="GK420" s="51"/>
      <c r="GL420" s="51"/>
      <c r="GM420" s="51"/>
      <c r="GN420" s="51"/>
      <c r="GO420" s="51"/>
      <c r="GP420" s="51"/>
      <c r="GQ420" s="51"/>
      <c r="GR420" s="51"/>
      <c r="GS420" s="51"/>
      <c r="GT420" s="51"/>
      <c r="GU420" s="51"/>
      <c r="GV420" s="51"/>
      <c r="GW420" s="51"/>
      <c r="GX420" s="51"/>
      <c r="GY420" s="51"/>
      <c r="GZ420" s="51"/>
      <c r="HA420" s="51"/>
      <c r="HB420" s="51"/>
      <c r="HC420" s="51"/>
      <c r="HD420" s="51"/>
      <c r="HE420" s="51"/>
      <c r="HF420" s="51"/>
      <c r="HG420" s="51"/>
      <c r="HH420" s="51"/>
      <c r="HI420" s="51"/>
      <c r="HJ420" s="51"/>
      <c r="HK420" s="51"/>
      <c r="HL420" s="51"/>
      <c r="HM420" s="51"/>
      <c r="HN420" s="51"/>
      <c r="HO420" s="51"/>
      <c r="HP420" s="51"/>
      <c r="HQ420" s="51"/>
      <c r="HR420" s="51"/>
      <c r="HS420" s="51"/>
      <c r="HT420" s="51"/>
      <c r="HU420" s="51"/>
      <c r="HV420" s="51"/>
      <c r="HW420" s="51"/>
      <c r="HX420" s="51"/>
      <c r="HY420" s="51"/>
      <c r="HZ420" s="51"/>
      <c r="IA420" s="51"/>
      <c r="IB420" s="51"/>
      <c r="IC420" s="51"/>
      <c r="ID420" s="51"/>
      <c r="IE420" s="51"/>
      <c r="IF420" s="51"/>
      <c r="IG420" s="51"/>
      <c r="IH420" s="51"/>
      <c r="II420" s="51"/>
      <c r="IJ420" s="51"/>
      <c r="IK420" s="51"/>
      <c r="IL420" s="51"/>
      <c r="IM420" s="51"/>
      <c r="IN420" s="51"/>
      <c r="IO420" s="51"/>
      <c r="IP420" s="51"/>
      <c r="IQ420" s="51"/>
      <c r="IR420" s="51"/>
      <c r="IS420" s="51"/>
      <c r="IT420" s="51"/>
      <c r="IU420" s="51"/>
      <c r="IV420" s="51"/>
    </row>
    <row r="421" hidden="1">
      <c r="B421" s="826" t="s">
        <v>110</v>
      </c>
      <c r="C421" s="827">
        <v>0</v>
      </c>
      <c r="D421" s="827">
        <v>0</v>
      </c>
      <c r="E421" s="827">
        <v>0</v>
      </c>
      <c r="F421" s="827">
        <v>0</v>
      </c>
      <c r="G421" s="827">
        <v>0</v>
      </c>
      <c r="H421" s="827">
        <v>0</v>
      </c>
      <c r="I421" s="827">
        <v>0</v>
      </c>
      <c r="J421" s="827">
        <v>0</v>
      </c>
      <c r="K421" s="827">
        <v>0</v>
      </c>
      <c r="L421" s="827">
        <v>0</v>
      </c>
      <c r="M421" s="827">
        <v>0</v>
      </c>
      <c r="N421" s="827">
        <v>0</v>
      </c>
      <c r="O421" s="827">
        <v>0</v>
      </c>
      <c r="P421" s="827">
        <v>75</v>
      </c>
      <c r="Q421" s="827">
        <v>129</v>
      </c>
      <c r="R421" s="827">
        <v>258</v>
      </c>
      <c r="S421" s="827">
        <v>492</v>
      </c>
      <c r="T421" s="827">
        <v>533</v>
      </c>
      <c r="U421" s="827">
        <v>578</v>
      </c>
      <c r="V421" s="827">
        <v>616</v>
      </c>
      <c r="W421" s="827">
        <v>660</v>
      </c>
      <c r="X421" s="827">
        <v>682</v>
      </c>
      <c r="Y421" s="827">
        <v>713</v>
      </c>
      <c r="Z421" s="827">
        <v>738</v>
      </c>
      <c r="AA421" s="827">
        <v>746</v>
      </c>
      <c r="AB421" s="827">
        <v>763</v>
      </c>
      <c r="AC421" s="828">
        <v>797</v>
      </c>
      <c r="AD421" s="828">
        <v>843</v>
      </c>
      <c r="AE421" s="828">
        <v>857</v>
      </c>
      <c r="AF421" s="828">
        <v>896</v>
      </c>
      <c r="AG421" s="828">
        <v>960</v>
      </c>
      <c r="AH421" s="828">
        <v>1001</v>
      </c>
      <c r="AI421" s="828">
        <v>1031</v>
      </c>
      <c r="AJ421" s="828">
        <v>1051</v>
      </c>
      <c r="AK421" s="828">
        <v>1016</v>
      </c>
      <c r="AL421" s="828">
        <v>1060</v>
      </c>
      <c r="AM421" s="828">
        <v>1124</v>
      </c>
      <c r="AN421" s="828">
        <v>1117</v>
      </c>
      <c r="AO421" s="828">
        <v>1157</v>
      </c>
      <c r="AP421" s="828">
        <v>1220</v>
      </c>
      <c r="AQ421" s="51"/>
      <c r="AR421" s="51"/>
      <c r="AS421" s="51"/>
      <c r="AT421" s="51"/>
      <c r="AU421" s="51"/>
      <c r="AV421" s="51"/>
      <c r="AW421" s="51"/>
      <c r="AX421" s="51"/>
      <c r="AY421" s="51"/>
      <c r="AZ421" s="51"/>
      <c r="BA421" s="51"/>
      <c r="BB421" s="51"/>
      <c r="BC421" s="51"/>
      <c r="BD421" s="51"/>
      <c r="BE421" s="51"/>
      <c r="BF421" s="51"/>
      <c r="BG421" s="51"/>
      <c r="BH421" s="51"/>
      <c r="BI421" s="51"/>
      <c r="BJ421" s="51"/>
      <c r="BK421" s="51"/>
      <c r="BL421" s="51"/>
      <c r="BM421" s="51"/>
      <c r="BN421" s="51"/>
      <c r="BO421" s="51"/>
      <c r="BP421" s="51"/>
      <c r="BQ421" s="51"/>
      <c r="BR421" s="51"/>
      <c r="BS421" s="51"/>
      <c r="BT421" s="51"/>
      <c r="BU421" s="51"/>
      <c r="BV421" s="51"/>
      <c r="BW421" s="51"/>
      <c r="BX421" s="51"/>
      <c r="BY421" s="51"/>
      <c r="BZ421" s="51"/>
      <c r="CA421" s="51"/>
      <c r="CB421" s="51"/>
      <c r="CC421" s="51"/>
      <c r="CD421" s="51"/>
      <c r="CE421" s="51"/>
      <c r="CF421" s="51"/>
      <c r="CG421" s="51"/>
      <c r="CH421" s="51"/>
      <c r="CI421" s="51"/>
      <c r="CJ421" s="51"/>
      <c r="CK421" s="51"/>
      <c r="CL421" s="51"/>
      <c r="CM421" s="51"/>
      <c r="CN421" s="51"/>
      <c r="CO421" s="51"/>
      <c r="CP421" s="51"/>
      <c r="CQ421" s="51"/>
      <c r="CR421" s="51"/>
      <c r="CS421" s="51"/>
      <c r="CT421" s="51"/>
      <c r="CU421" s="51"/>
      <c r="CV421" s="51"/>
      <c r="CW421" s="51"/>
      <c r="CX421" s="51"/>
      <c r="CY421" s="51"/>
      <c r="CZ421" s="51"/>
      <c r="DA421" s="51"/>
      <c r="DB421" s="51"/>
      <c r="DC421" s="51"/>
      <c r="DD421" s="51"/>
      <c r="DE421" s="51"/>
      <c r="DF421" s="51"/>
      <c r="DG421" s="51"/>
      <c r="DH421" s="51"/>
      <c r="DI421" s="51"/>
      <c r="DJ421" s="51"/>
      <c r="DK421" s="51"/>
      <c r="DL421" s="51"/>
      <c r="DM421" s="51"/>
      <c r="DN421" s="51"/>
      <c r="DO421" s="51"/>
      <c r="DP421" s="51"/>
      <c r="DQ421" s="51"/>
      <c r="DR421" s="51"/>
      <c r="DS421" s="51"/>
      <c r="DT421" s="51"/>
      <c r="DU421" s="51"/>
      <c r="DV421" s="51"/>
      <c r="DW421" s="51"/>
      <c r="DX421" s="51"/>
      <c r="DY421" s="51"/>
      <c r="DZ421" s="51"/>
      <c r="EA421" s="51"/>
      <c r="EB421" s="51"/>
      <c r="EC421" s="51"/>
      <c r="ED421" s="51"/>
      <c r="EE421" s="51"/>
      <c r="EF421" s="51"/>
      <c r="EG421" s="51"/>
      <c r="EH421" s="51"/>
      <c r="EI421" s="51"/>
      <c r="EJ421" s="51"/>
      <c r="EK421" s="51"/>
      <c r="EL421" s="51"/>
      <c r="EM421" s="51"/>
      <c r="EN421" s="51"/>
      <c r="EO421" s="51"/>
      <c r="EP421" s="51"/>
      <c r="EQ421" s="51"/>
      <c r="ER421" s="51"/>
      <c r="ES421" s="51"/>
      <c r="ET421" s="51"/>
      <c r="EU421" s="51"/>
      <c r="EV421" s="51"/>
      <c r="EW421" s="51"/>
      <c r="EX421" s="51"/>
      <c r="EY421" s="51"/>
      <c r="EZ421" s="51"/>
      <c r="FA421" s="51"/>
      <c r="FB421" s="51"/>
      <c r="FC421" s="51"/>
      <c r="FD421" s="51"/>
      <c r="FE421" s="51"/>
      <c r="FF421" s="51"/>
      <c r="FG421" s="51"/>
      <c r="FH421" s="51"/>
      <c r="FI421" s="51"/>
      <c r="FJ421" s="51"/>
      <c r="FK421" s="51"/>
      <c r="FL421" s="51"/>
      <c r="FM421" s="51"/>
      <c r="FN421" s="51"/>
      <c r="FO421" s="51"/>
      <c r="FP421" s="51"/>
      <c r="FQ421" s="51"/>
      <c r="FR421" s="51"/>
      <c r="FS421" s="51"/>
      <c r="FT421" s="51"/>
      <c r="FU421" s="51"/>
      <c r="FV421" s="51"/>
      <c r="FW421" s="51"/>
      <c r="FX421" s="51"/>
      <c r="FY421" s="51"/>
      <c r="FZ421" s="51"/>
      <c r="GA421" s="51"/>
      <c r="GB421" s="51"/>
      <c r="GC421" s="51"/>
      <c r="GD421" s="51"/>
      <c r="GE421" s="51"/>
      <c r="GF421" s="51"/>
      <c r="GG421" s="51"/>
      <c r="GH421" s="51"/>
      <c r="GI421" s="51"/>
      <c r="GJ421" s="51"/>
      <c r="GK421" s="51"/>
      <c r="GL421" s="51"/>
      <c r="GM421" s="51"/>
      <c r="GN421" s="51"/>
      <c r="GO421" s="51"/>
      <c r="GP421" s="51"/>
      <c r="GQ421" s="51"/>
      <c r="GR421" s="51"/>
      <c r="GS421" s="51"/>
      <c r="GT421" s="51"/>
      <c r="GU421" s="51"/>
      <c r="GV421" s="51"/>
      <c r="GW421" s="51"/>
      <c r="GX421" s="51"/>
      <c r="GY421" s="51"/>
      <c r="GZ421" s="51"/>
      <c r="HA421" s="51"/>
      <c r="HB421" s="51"/>
      <c r="HC421" s="51"/>
      <c r="HD421" s="51"/>
      <c r="HE421" s="51"/>
      <c r="HF421" s="51"/>
      <c r="HG421" s="51"/>
      <c r="HH421" s="51"/>
      <c r="HI421" s="51"/>
      <c r="HJ421" s="51"/>
      <c r="HK421" s="51"/>
      <c r="HL421" s="51"/>
      <c r="HM421" s="51"/>
      <c r="HN421" s="51"/>
      <c r="HO421" s="51"/>
      <c r="HP421" s="51"/>
      <c r="HQ421" s="51"/>
      <c r="HR421" s="51"/>
      <c r="HS421" s="51"/>
      <c r="HT421" s="51"/>
      <c r="HU421" s="51"/>
      <c r="HV421" s="51"/>
      <c r="HW421" s="51"/>
      <c r="HX421" s="51"/>
      <c r="HY421" s="51"/>
      <c r="HZ421" s="51"/>
      <c r="IA421" s="51"/>
      <c r="IB421" s="51"/>
      <c r="IC421" s="51"/>
      <c r="ID421" s="51"/>
      <c r="IE421" s="51"/>
      <c r="IF421" s="51"/>
      <c r="IG421" s="51"/>
      <c r="IH421" s="51"/>
      <c r="II421" s="51"/>
      <c r="IJ421" s="51"/>
      <c r="IK421" s="51"/>
      <c r="IL421" s="51"/>
      <c r="IM421" s="51"/>
      <c r="IN421" s="51"/>
      <c r="IO421" s="51"/>
      <c r="IP421" s="51"/>
      <c r="IQ421" s="51"/>
      <c r="IR421" s="51"/>
      <c r="IS421" s="51"/>
      <c r="IT421" s="51"/>
      <c r="IU421" s="51"/>
      <c r="IV421" s="51"/>
    </row>
    <row r="422" hidden="1">
      <c r="B422" s="829" t="s">
        <v>16</v>
      </c>
      <c r="C422" s="823">
        <v>0</v>
      </c>
      <c r="D422" s="823">
        <v>0</v>
      </c>
      <c r="E422" s="823">
        <v>0</v>
      </c>
      <c r="F422" s="823">
        <v>0</v>
      </c>
      <c r="G422" s="823">
        <v>0</v>
      </c>
      <c r="H422" s="823">
        <v>0</v>
      </c>
      <c r="I422" s="823">
        <v>0</v>
      </c>
      <c r="J422" s="823">
        <v>0</v>
      </c>
      <c r="K422" s="823">
        <v>0</v>
      </c>
      <c r="L422" s="823">
        <v>0</v>
      </c>
      <c r="M422" s="823">
        <v>0</v>
      </c>
      <c r="N422" s="823">
        <v>0</v>
      </c>
      <c r="O422" s="823">
        <v>0</v>
      </c>
      <c r="P422" s="823">
        <v>0</v>
      </c>
      <c r="Q422" s="823">
        <v>695</v>
      </c>
      <c r="R422" s="823">
        <v>726</v>
      </c>
      <c r="S422" s="823">
        <v>736</v>
      </c>
      <c r="T422" s="823">
        <v>740</v>
      </c>
      <c r="U422" s="823">
        <v>743</v>
      </c>
      <c r="V422" s="823">
        <v>757</v>
      </c>
      <c r="W422" s="823">
        <v>764</v>
      </c>
      <c r="X422" s="823">
        <v>782</v>
      </c>
      <c r="Y422" s="823">
        <v>943</v>
      </c>
      <c r="Z422" s="823">
        <v>955</v>
      </c>
      <c r="AA422" s="823">
        <v>958</v>
      </c>
      <c r="AB422" s="823">
        <v>972</v>
      </c>
      <c r="AC422" s="825">
        <v>972</v>
      </c>
      <c r="AD422" s="825">
        <v>971</v>
      </c>
      <c r="AE422" s="825">
        <v>986</v>
      </c>
      <c r="AF422" s="825">
        <v>986</v>
      </c>
      <c r="AG422" s="825">
        <v>947</v>
      </c>
      <c r="AH422" s="825">
        <v>894</v>
      </c>
      <c r="AI422" s="825">
        <v>875</v>
      </c>
      <c r="AJ422" s="825">
        <v>848</v>
      </c>
      <c r="AK422" s="825">
        <v>810</v>
      </c>
      <c r="AL422" s="825">
        <v>789</v>
      </c>
      <c r="AM422" s="825">
        <v>782</v>
      </c>
      <c r="AN422" s="825">
        <v>783</v>
      </c>
      <c r="AO422" s="825">
        <v>772</v>
      </c>
      <c r="AP422" s="825">
        <v>767</v>
      </c>
      <c r="AQ422" s="51"/>
      <c r="AR422" s="51"/>
      <c r="AS422" s="51"/>
      <c r="AT422" s="51"/>
      <c r="AU422" s="51"/>
      <c r="AV422" s="51"/>
      <c r="AW422" s="51"/>
      <c r="AX422" s="51"/>
      <c r="AY422" s="51"/>
      <c r="AZ422" s="51"/>
      <c r="BA422" s="51"/>
      <c r="BB422" s="51"/>
      <c r="BC422" s="51"/>
      <c r="BD422" s="51"/>
      <c r="BE422" s="51"/>
      <c r="BF422" s="51"/>
      <c r="BG422" s="51"/>
      <c r="BH422" s="51"/>
      <c r="BI422" s="51"/>
      <c r="BJ422" s="51"/>
      <c r="BK422" s="51"/>
      <c r="BL422" s="51"/>
      <c r="BM422" s="51"/>
      <c r="BN422" s="51"/>
      <c r="BO422" s="51"/>
      <c r="BP422" s="51"/>
      <c r="BQ422" s="51"/>
      <c r="BR422" s="51"/>
      <c r="BS422" s="51"/>
      <c r="BT422" s="51"/>
      <c r="BU422" s="51"/>
      <c r="BV422" s="51"/>
      <c r="BW422" s="51"/>
      <c r="BX422" s="51"/>
      <c r="BY422" s="51"/>
      <c r="BZ422" s="51"/>
      <c r="CA422" s="51"/>
      <c r="CB422" s="51"/>
      <c r="CC422" s="51"/>
      <c r="CD422" s="51"/>
      <c r="CE422" s="51"/>
      <c r="CF422" s="51"/>
      <c r="CG422" s="51"/>
      <c r="CH422" s="51"/>
      <c r="CI422" s="51"/>
      <c r="CJ422" s="51"/>
      <c r="CK422" s="51"/>
      <c r="CL422" s="51"/>
      <c r="CM422" s="51"/>
      <c r="CN422" s="51"/>
      <c r="CO422" s="51"/>
      <c r="CP422" s="51"/>
      <c r="CQ422" s="51"/>
      <c r="CR422" s="51"/>
      <c r="CS422" s="51"/>
      <c r="CT422" s="51"/>
      <c r="CU422" s="51"/>
      <c r="CV422" s="51"/>
      <c r="CW422" s="51"/>
      <c r="CX422" s="51"/>
      <c r="CY422" s="51"/>
      <c r="CZ422" s="51"/>
      <c r="DA422" s="51"/>
      <c r="DB422" s="51"/>
      <c r="DC422" s="51"/>
      <c r="DD422" s="51"/>
      <c r="DE422" s="51"/>
      <c r="DF422" s="51"/>
      <c r="DG422" s="51"/>
      <c r="DH422" s="51"/>
      <c r="DI422" s="51"/>
      <c r="DJ422" s="51"/>
      <c r="DK422" s="51"/>
      <c r="DL422" s="51"/>
      <c r="DM422" s="51"/>
      <c r="DN422" s="51"/>
      <c r="DO422" s="51"/>
      <c r="DP422" s="51"/>
      <c r="DQ422" s="51"/>
      <c r="DR422" s="51"/>
      <c r="DS422" s="51"/>
      <c r="DT422" s="51"/>
      <c r="DU422" s="51"/>
      <c r="DV422" s="51"/>
      <c r="DW422" s="51"/>
      <c r="DX422" s="51"/>
      <c r="DY422" s="51"/>
      <c r="DZ422" s="51"/>
      <c r="EA422" s="51"/>
      <c r="EB422" s="51"/>
      <c r="EC422" s="51"/>
      <c r="ED422" s="51"/>
      <c r="EE422" s="51"/>
      <c r="EF422" s="51"/>
      <c r="EG422" s="51"/>
      <c r="EH422" s="51"/>
      <c r="EI422" s="51"/>
      <c r="EJ422" s="51"/>
      <c r="EK422" s="51"/>
      <c r="EL422" s="51"/>
      <c r="EM422" s="51"/>
      <c r="EN422" s="51"/>
      <c r="EO422" s="51"/>
      <c r="EP422" s="51"/>
      <c r="EQ422" s="51"/>
      <c r="ER422" s="51"/>
      <c r="ES422" s="51"/>
      <c r="ET422" s="51"/>
      <c r="EU422" s="51"/>
      <c r="EV422" s="51"/>
      <c r="EW422" s="51"/>
      <c r="EX422" s="51"/>
      <c r="EY422" s="51"/>
      <c r="EZ422" s="51"/>
      <c r="FA422" s="51"/>
      <c r="FB422" s="51"/>
      <c r="FC422" s="51"/>
      <c r="FD422" s="51"/>
      <c r="FE422" s="51"/>
      <c r="FF422" s="51"/>
      <c r="FG422" s="51"/>
      <c r="FH422" s="51"/>
      <c r="FI422" s="51"/>
      <c r="FJ422" s="51"/>
      <c r="FK422" s="51"/>
      <c r="FL422" s="51"/>
      <c r="FM422" s="51"/>
      <c r="FN422" s="51"/>
      <c r="FO422" s="51"/>
      <c r="FP422" s="51"/>
      <c r="FQ422" s="51"/>
      <c r="FR422" s="51"/>
      <c r="FS422" s="51"/>
      <c r="FT422" s="51"/>
      <c r="FU422" s="51"/>
      <c r="FV422" s="51"/>
      <c r="FW422" s="51"/>
      <c r="FX422" s="51"/>
      <c r="FY422" s="51"/>
      <c r="FZ422" s="51"/>
      <c r="GA422" s="51"/>
      <c r="GB422" s="51"/>
      <c r="GC422" s="51"/>
      <c r="GD422" s="51"/>
      <c r="GE422" s="51"/>
      <c r="GF422" s="51"/>
      <c r="GG422" s="51"/>
      <c r="GH422" s="51"/>
      <c r="GI422" s="51"/>
      <c r="GJ422" s="51"/>
      <c r="GK422" s="51"/>
      <c r="GL422" s="51"/>
      <c r="GM422" s="51"/>
      <c r="GN422" s="51"/>
      <c r="GO422" s="51"/>
      <c r="GP422" s="51"/>
      <c r="GQ422" s="51"/>
      <c r="GR422" s="51"/>
      <c r="GS422" s="51"/>
      <c r="GT422" s="51"/>
      <c r="GU422" s="51"/>
      <c r="GV422" s="51"/>
      <c r="GW422" s="51"/>
      <c r="GX422" s="51"/>
      <c r="GY422" s="51"/>
      <c r="GZ422" s="51"/>
      <c r="HA422" s="51"/>
      <c r="HB422" s="51"/>
      <c r="HC422" s="51"/>
      <c r="HD422" s="51"/>
      <c r="HE422" s="51"/>
      <c r="HF422" s="51"/>
      <c r="HG422" s="51"/>
      <c r="HH422" s="51"/>
      <c r="HI422" s="51"/>
      <c r="HJ422" s="51"/>
      <c r="HK422" s="51"/>
      <c r="HL422" s="51"/>
      <c r="HM422" s="51"/>
      <c r="HN422" s="51"/>
      <c r="HO422" s="51"/>
      <c r="HP422" s="51"/>
      <c r="HQ422" s="51"/>
      <c r="HR422" s="51"/>
      <c r="HS422" s="51"/>
      <c r="HT422" s="51"/>
      <c r="HU422" s="51"/>
      <c r="HV422" s="51"/>
      <c r="HW422" s="51"/>
      <c r="HX422" s="51"/>
      <c r="HY422" s="51"/>
      <c r="HZ422" s="51"/>
      <c r="IA422" s="51"/>
      <c r="IB422" s="51"/>
      <c r="IC422" s="51"/>
      <c r="ID422" s="51"/>
      <c r="IE422" s="51"/>
      <c r="IF422" s="51"/>
      <c r="IG422" s="51"/>
      <c r="IH422" s="51"/>
      <c r="II422" s="51"/>
      <c r="IJ422" s="51"/>
      <c r="IK422" s="51"/>
      <c r="IL422" s="51"/>
      <c r="IM422" s="51"/>
      <c r="IN422" s="51"/>
      <c r="IO422" s="51"/>
      <c r="IP422" s="51"/>
      <c r="IQ422" s="51"/>
      <c r="IR422" s="51"/>
      <c r="IS422" s="51"/>
      <c r="IT422" s="51"/>
      <c r="IU422" s="51"/>
      <c r="IV422" s="51"/>
    </row>
    <row r="423" hidden="1">
      <c r="B423" s="826" t="s">
        <v>17</v>
      </c>
      <c r="C423" s="827">
        <v>0</v>
      </c>
      <c r="D423" s="827">
        <v>0</v>
      </c>
      <c r="E423" s="827">
        <v>0</v>
      </c>
      <c r="F423" s="827">
        <v>0</v>
      </c>
      <c r="G423" s="827">
        <v>0</v>
      </c>
      <c r="H423" s="827">
        <v>0</v>
      </c>
      <c r="I423" s="827">
        <v>0</v>
      </c>
      <c r="J423" s="827">
        <v>0</v>
      </c>
      <c r="K423" s="827">
        <v>0</v>
      </c>
      <c r="L423" s="827">
        <v>0</v>
      </c>
      <c r="M423" s="827">
        <v>0</v>
      </c>
      <c r="N423" s="827">
        <v>0</v>
      </c>
      <c r="O423" s="827">
        <v>0</v>
      </c>
      <c r="P423" s="827">
        <v>7922</v>
      </c>
      <c r="Q423" s="827">
        <v>8149</v>
      </c>
      <c r="R423" s="827">
        <v>8739</v>
      </c>
      <c r="S423" s="827">
        <v>9746</v>
      </c>
      <c r="T423" s="827">
        <v>10059</v>
      </c>
      <c r="U423" s="827">
        <v>10671</v>
      </c>
      <c r="V423" s="827">
        <v>11048</v>
      </c>
      <c r="W423" s="827">
        <v>14377</v>
      </c>
      <c r="X423" s="827">
        <v>14710</v>
      </c>
      <c r="Y423" s="827">
        <v>15016</v>
      </c>
      <c r="Z423" s="827">
        <v>15306</v>
      </c>
      <c r="AA423" s="827">
        <v>15588</v>
      </c>
      <c r="AB423" s="827">
        <v>15741</v>
      </c>
      <c r="AC423" s="828">
        <v>16023</v>
      </c>
      <c r="AD423" s="828">
        <v>16230</v>
      </c>
      <c r="AE423" s="828">
        <v>16441</v>
      </c>
      <c r="AF423" s="828">
        <v>16624</v>
      </c>
      <c r="AG423" s="828">
        <v>16847</v>
      </c>
      <c r="AH423" s="828">
        <v>16966</v>
      </c>
      <c r="AI423" s="828">
        <v>17159</v>
      </c>
      <c r="AJ423" s="828">
        <v>17316</v>
      </c>
      <c r="AK423" s="828">
        <v>17505</v>
      </c>
      <c r="AL423" s="828">
        <v>17651</v>
      </c>
      <c r="AM423" s="828">
        <v>17828</v>
      </c>
      <c r="AN423" s="828">
        <v>17935</v>
      </c>
      <c r="AO423" s="828">
        <v>18125</v>
      </c>
      <c r="AP423" s="828">
        <v>18269</v>
      </c>
      <c r="AQ423" s="51"/>
      <c r="AR423" s="51"/>
      <c r="AS423" s="51"/>
      <c r="AT423" s="51"/>
      <c r="AU423" s="51"/>
      <c r="AV423" s="51"/>
      <c r="AW423" s="51"/>
      <c r="AX423" s="51"/>
      <c r="AY423" s="51"/>
      <c r="AZ423" s="51"/>
      <c r="BA423" s="51"/>
      <c r="BB423" s="51"/>
      <c r="BC423" s="51"/>
      <c r="BD423" s="51"/>
      <c r="BE423" s="51"/>
      <c r="BF423" s="51"/>
      <c r="BG423" s="51"/>
      <c r="BH423" s="51"/>
      <c r="BI423" s="51"/>
      <c r="BJ423" s="51"/>
      <c r="BK423" s="51"/>
      <c r="BL423" s="51"/>
      <c r="BM423" s="51"/>
      <c r="BN423" s="51"/>
      <c r="BO423" s="51"/>
      <c r="BP423" s="51"/>
      <c r="BQ423" s="51"/>
      <c r="BR423" s="51"/>
      <c r="BS423" s="51"/>
      <c r="BT423" s="51"/>
      <c r="BU423" s="51"/>
      <c r="BV423" s="51"/>
      <c r="BW423" s="51"/>
      <c r="BX423" s="51"/>
      <c r="BY423" s="51"/>
      <c r="BZ423" s="51"/>
      <c r="CA423" s="51"/>
      <c r="CB423" s="51"/>
      <c r="CC423" s="51"/>
      <c r="CD423" s="51"/>
      <c r="CE423" s="51"/>
      <c r="CF423" s="51"/>
      <c r="CG423" s="51"/>
      <c r="CH423" s="51"/>
      <c r="CI423" s="51"/>
      <c r="CJ423" s="51"/>
      <c r="CK423" s="51"/>
      <c r="CL423" s="51"/>
      <c r="CM423" s="51"/>
      <c r="CN423" s="51"/>
      <c r="CO423" s="51"/>
      <c r="CP423" s="51"/>
      <c r="CQ423" s="51"/>
      <c r="CR423" s="51"/>
      <c r="CS423" s="51"/>
      <c r="CT423" s="51"/>
      <c r="CU423" s="51"/>
      <c r="CV423" s="51"/>
      <c r="CW423" s="51"/>
      <c r="CX423" s="51"/>
      <c r="CY423" s="51"/>
      <c r="CZ423" s="51"/>
      <c r="DA423" s="51"/>
      <c r="DB423" s="51"/>
      <c r="DC423" s="51"/>
      <c r="DD423" s="51"/>
      <c r="DE423" s="51"/>
      <c r="DF423" s="51"/>
      <c r="DG423" s="51"/>
      <c r="DH423" s="51"/>
      <c r="DI423" s="51"/>
      <c r="DJ423" s="51"/>
      <c r="DK423" s="51"/>
      <c r="DL423" s="51"/>
      <c r="DM423" s="51"/>
      <c r="DN423" s="51"/>
      <c r="DO423" s="51"/>
      <c r="DP423" s="51"/>
      <c r="DQ423" s="51"/>
      <c r="DR423" s="51"/>
      <c r="DS423" s="51"/>
      <c r="DT423" s="51"/>
      <c r="DU423" s="51"/>
      <c r="DV423" s="51"/>
      <c r="DW423" s="51"/>
      <c r="DX423" s="51"/>
      <c r="DY423" s="51"/>
      <c r="DZ423" s="51"/>
      <c r="EA423" s="51"/>
      <c r="EB423" s="51"/>
      <c r="EC423" s="51"/>
      <c r="ED423" s="51"/>
      <c r="EE423" s="51"/>
      <c r="EF423" s="51"/>
      <c r="EG423" s="51"/>
      <c r="EH423" s="51"/>
      <c r="EI423" s="51"/>
      <c r="EJ423" s="51"/>
      <c r="EK423" s="51"/>
      <c r="EL423" s="51"/>
      <c r="EM423" s="51"/>
      <c r="EN423" s="51"/>
      <c r="EO423" s="51"/>
      <c r="EP423" s="51"/>
      <c r="EQ423" s="51"/>
      <c r="ER423" s="51"/>
      <c r="ES423" s="51"/>
      <c r="ET423" s="51"/>
      <c r="EU423" s="51"/>
      <c r="EV423" s="51"/>
      <c r="EW423" s="51"/>
      <c r="EX423" s="51"/>
      <c r="EY423" s="51"/>
      <c r="EZ423" s="51"/>
      <c r="FA423" s="51"/>
      <c r="FB423" s="51"/>
      <c r="FC423" s="51"/>
      <c r="FD423" s="51"/>
      <c r="FE423" s="51"/>
      <c r="FF423" s="51"/>
      <c r="FG423" s="51"/>
      <c r="FH423" s="51"/>
      <c r="FI423" s="51"/>
      <c r="FJ423" s="51"/>
      <c r="FK423" s="51"/>
      <c r="FL423" s="51"/>
      <c r="FM423" s="51"/>
      <c r="FN423" s="51"/>
      <c r="FO423" s="51"/>
      <c r="FP423" s="51"/>
      <c r="FQ423" s="51"/>
      <c r="FR423" s="51"/>
      <c r="FS423" s="51"/>
      <c r="FT423" s="51"/>
      <c r="FU423" s="51"/>
      <c r="FV423" s="51"/>
      <c r="FW423" s="51"/>
      <c r="FX423" s="51"/>
      <c r="FY423" s="51"/>
      <c r="FZ423" s="51"/>
      <c r="GA423" s="51"/>
      <c r="GB423" s="51"/>
      <c r="GC423" s="51"/>
      <c r="GD423" s="51"/>
      <c r="GE423" s="51"/>
      <c r="GF423" s="51"/>
      <c r="GG423" s="51"/>
      <c r="GH423" s="51"/>
      <c r="GI423" s="51"/>
      <c r="GJ423" s="51"/>
      <c r="GK423" s="51"/>
      <c r="GL423" s="51"/>
      <c r="GM423" s="51"/>
      <c r="GN423" s="51"/>
      <c r="GO423" s="51"/>
      <c r="GP423" s="51"/>
      <c r="GQ423" s="51"/>
      <c r="GR423" s="51"/>
      <c r="GS423" s="51"/>
      <c r="GT423" s="51"/>
      <c r="GU423" s="51"/>
      <c r="GV423" s="51"/>
      <c r="GW423" s="51"/>
      <c r="GX423" s="51"/>
      <c r="GY423" s="51"/>
      <c r="GZ423" s="51"/>
      <c r="HA423" s="51"/>
      <c r="HB423" s="51"/>
      <c r="HC423" s="51"/>
      <c r="HD423" s="51"/>
      <c r="HE423" s="51"/>
      <c r="HF423" s="51"/>
      <c r="HG423" s="51"/>
      <c r="HH423" s="51"/>
      <c r="HI423" s="51"/>
      <c r="HJ423" s="51"/>
      <c r="HK423" s="51"/>
      <c r="HL423" s="51"/>
      <c r="HM423" s="51"/>
      <c r="HN423" s="51"/>
      <c r="HO423" s="51"/>
      <c r="HP423" s="51"/>
      <c r="HQ423" s="51"/>
      <c r="HR423" s="51"/>
      <c r="HS423" s="51"/>
      <c r="HT423" s="51"/>
      <c r="HU423" s="51"/>
      <c r="HV423" s="51"/>
      <c r="HW423" s="51"/>
      <c r="HX423" s="51"/>
      <c r="HY423" s="51"/>
      <c r="HZ423" s="51"/>
      <c r="IA423" s="51"/>
      <c r="IB423" s="51"/>
      <c r="IC423" s="51"/>
      <c r="ID423" s="51"/>
      <c r="IE423" s="51"/>
      <c r="IF423" s="51"/>
      <c r="IG423" s="51"/>
      <c r="IH423" s="51"/>
      <c r="II423" s="51"/>
      <c r="IJ423" s="51"/>
      <c r="IK423" s="51"/>
      <c r="IL423" s="51"/>
      <c r="IM423" s="51"/>
      <c r="IN423" s="51"/>
      <c r="IO423" s="51"/>
      <c r="IP423" s="51"/>
      <c r="IQ423" s="51"/>
      <c r="IR423" s="51"/>
      <c r="IS423" s="51"/>
      <c r="IT423" s="51"/>
      <c r="IU423" s="51"/>
      <c r="IV423" s="51"/>
    </row>
    <row r="424" hidden="1">
      <c r="B424" s="829" t="s">
        <v>18</v>
      </c>
      <c r="C424" s="823">
        <v>0</v>
      </c>
      <c r="D424" s="823">
        <v>0</v>
      </c>
      <c r="E424" s="823">
        <v>0</v>
      </c>
      <c r="F424" s="823">
        <v>0</v>
      </c>
      <c r="G424" s="823">
        <v>0</v>
      </c>
      <c r="H424" s="823">
        <v>0</v>
      </c>
      <c r="I424" s="823">
        <v>0</v>
      </c>
      <c r="J424" s="823">
        <v>0</v>
      </c>
      <c r="K424" s="823">
        <v>0</v>
      </c>
      <c r="L424" s="823">
        <v>0</v>
      </c>
      <c r="M424" s="823">
        <v>0</v>
      </c>
      <c r="N424" s="823">
        <v>0</v>
      </c>
      <c r="O424" s="823">
        <v>0</v>
      </c>
      <c r="P424" s="823">
        <v>7439</v>
      </c>
      <c r="Q424" s="823">
        <v>7948</v>
      </c>
      <c r="R424" s="823">
        <v>8058</v>
      </c>
      <c r="S424" s="823">
        <v>8491</v>
      </c>
      <c r="T424" s="823">
        <v>8616</v>
      </c>
      <c r="U424" s="823">
        <v>8537</v>
      </c>
      <c r="V424" s="823">
        <v>8720</v>
      </c>
      <c r="W424" s="823">
        <v>8482</v>
      </c>
      <c r="X424" s="823">
        <v>7881</v>
      </c>
      <c r="Y424" s="823">
        <v>7810</v>
      </c>
      <c r="Z424" s="823">
        <v>7874</v>
      </c>
      <c r="AA424" s="823">
        <v>7898</v>
      </c>
      <c r="AB424" s="823">
        <v>7963</v>
      </c>
      <c r="AC424" s="825">
        <v>7740</v>
      </c>
      <c r="AD424" s="825">
        <v>7869</v>
      </c>
      <c r="AE424" s="825">
        <v>7901</v>
      </c>
      <c r="AF424" s="825">
        <v>8080</v>
      </c>
      <c r="AG424" s="825">
        <v>8022</v>
      </c>
      <c r="AH424" s="825">
        <v>8192</v>
      </c>
      <c r="AI424" s="825">
        <v>6907</v>
      </c>
      <c r="AJ424" s="825">
        <v>7066</v>
      </c>
      <c r="AK424" s="825">
        <v>7023</v>
      </c>
      <c r="AL424" s="825">
        <v>7133</v>
      </c>
      <c r="AM424" s="825">
        <v>7319</v>
      </c>
      <c r="AN424" s="825">
        <v>7464</v>
      </c>
      <c r="AO424" s="825">
        <v>7467</v>
      </c>
      <c r="AP424" s="825">
        <v>7664</v>
      </c>
      <c r="AQ424" s="51"/>
      <c r="AR424" s="51"/>
      <c r="AS424" s="51"/>
      <c r="AT424" s="51"/>
      <c r="AU424" s="51"/>
      <c r="AV424" s="51"/>
      <c r="AW424" s="51"/>
      <c r="AX424" s="51"/>
      <c r="AY424" s="51"/>
      <c r="AZ424" s="51"/>
      <c r="BA424" s="51"/>
      <c r="BB424" s="51"/>
      <c r="BC424" s="51"/>
      <c r="BD424" s="51"/>
      <c r="BE424" s="51"/>
      <c r="BF424" s="51"/>
      <c r="BG424" s="51"/>
      <c r="BH424" s="51"/>
      <c r="BI424" s="51"/>
      <c r="BJ424" s="51"/>
      <c r="BK424" s="51"/>
      <c r="BL424" s="51"/>
      <c r="BM424" s="51"/>
      <c r="BN424" s="51"/>
      <c r="BO424" s="51"/>
      <c r="BP424" s="51"/>
      <c r="BQ424" s="51"/>
      <c r="BR424" s="51"/>
      <c r="BS424" s="51"/>
      <c r="BT424" s="51"/>
      <c r="BU424" s="51"/>
      <c r="BV424" s="51"/>
      <c r="BW424" s="51"/>
      <c r="BX424" s="51"/>
      <c r="BY424" s="51"/>
      <c r="BZ424" s="51"/>
      <c r="CA424" s="51"/>
      <c r="CB424" s="51"/>
      <c r="CC424" s="51"/>
      <c r="CD424" s="51"/>
      <c r="CE424" s="51"/>
      <c r="CF424" s="51"/>
      <c r="CG424" s="51"/>
      <c r="CH424" s="51"/>
      <c r="CI424" s="51"/>
      <c r="CJ424" s="51"/>
      <c r="CK424" s="51"/>
      <c r="CL424" s="51"/>
      <c r="CM424" s="51"/>
      <c r="CN424" s="51"/>
      <c r="CO424" s="51"/>
      <c r="CP424" s="51"/>
      <c r="CQ424" s="51"/>
      <c r="CR424" s="51"/>
      <c r="CS424" s="51"/>
      <c r="CT424" s="51"/>
      <c r="CU424" s="51"/>
      <c r="CV424" s="51"/>
      <c r="CW424" s="51"/>
      <c r="CX424" s="51"/>
      <c r="CY424" s="51"/>
      <c r="CZ424" s="51"/>
      <c r="DA424" s="51"/>
      <c r="DB424" s="51"/>
      <c r="DC424" s="51"/>
      <c r="DD424" s="51"/>
      <c r="DE424" s="51"/>
      <c r="DF424" s="51"/>
      <c r="DG424" s="51"/>
      <c r="DH424" s="51"/>
      <c r="DI424" s="51"/>
      <c r="DJ424" s="51"/>
      <c r="DK424" s="51"/>
      <c r="DL424" s="51"/>
      <c r="DM424" s="51"/>
      <c r="DN424" s="51"/>
      <c r="DO424" s="51"/>
      <c r="DP424" s="51"/>
      <c r="DQ424" s="51"/>
      <c r="DR424" s="51"/>
      <c r="DS424" s="51"/>
      <c r="DT424" s="51"/>
      <c r="DU424" s="51"/>
      <c r="DV424" s="51"/>
      <c r="DW424" s="51"/>
      <c r="DX424" s="51"/>
      <c r="DY424" s="51"/>
      <c r="DZ424" s="51"/>
      <c r="EA424" s="51"/>
      <c r="EB424" s="51"/>
      <c r="EC424" s="51"/>
      <c r="ED424" s="51"/>
      <c r="EE424" s="51"/>
      <c r="EF424" s="51"/>
      <c r="EG424" s="51"/>
      <c r="EH424" s="51"/>
      <c r="EI424" s="51"/>
      <c r="EJ424" s="51"/>
      <c r="EK424" s="51"/>
      <c r="EL424" s="51"/>
      <c r="EM424" s="51"/>
      <c r="EN424" s="51"/>
      <c r="EO424" s="51"/>
      <c r="EP424" s="51"/>
      <c r="EQ424" s="51"/>
      <c r="ER424" s="51"/>
      <c r="ES424" s="51"/>
      <c r="ET424" s="51"/>
      <c r="EU424" s="51"/>
      <c r="EV424" s="51"/>
      <c r="EW424" s="51"/>
      <c r="EX424" s="51"/>
      <c r="EY424" s="51"/>
      <c r="EZ424" s="51"/>
      <c r="FA424" s="51"/>
      <c r="FB424" s="51"/>
      <c r="FC424" s="51"/>
      <c r="FD424" s="51"/>
      <c r="FE424" s="51"/>
      <c r="FF424" s="51"/>
      <c r="FG424" s="51"/>
      <c r="FH424" s="51"/>
      <c r="FI424" s="51"/>
      <c r="FJ424" s="51"/>
      <c r="FK424" s="51"/>
      <c r="FL424" s="51"/>
      <c r="FM424" s="51"/>
      <c r="FN424" s="51"/>
      <c r="FO424" s="51"/>
      <c r="FP424" s="51"/>
      <c r="FQ424" s="51"/>
      <c r="FR424" s="51"/>
      <c r="FS424" s="51"/>
      <c r="FT424" s="51"/>
      <c r="FU424" s="51"/>
      <c r="FV424" s="51"/>
      <c r="FW424" s="51"/>
      <c r="FX424" s="51"/>
      <c r="FY424" s="51"/>
      <c r="FZ424" s="51"/>
      <c r="GA424" s="51"/>
      <c r="GB424" s="51"/>
      <c r="GC424" s="51"/>
      <c r="GD424" s="51"/>
      <c r="GE424" s="51"/>
      <c r="GF424" s="51"/>
      <c r="GG424" s="51"/>
      <c r="GH424" s="51"/>
      <c r="GI424" s="51"/>
      <c r="GJ424" s="51"/>
      <c r="GK424" s="51"/>
      <c r="GL424" s="51"/>
      <c r="GM424" s="51"/>
      <c r="GN424" s="51"/>
      <c r="GO424" s="51"/>
      <c r="GP424" s="51"/>
      <c r="GQ424" s="51"/>
      <c r="GR424" s="51"/>
      <c r="GS424" s="51"/>
      <c r="GT424" s="51"/>
      <c r="GU424" s="51"/>
      <c r="GV424" s="51"/>
      <c r="GW424" s="51"/>
      <c r="GX424" s="51"/>
      <c r="GY424" s="51"/>
      <c r="GZ424" s="51"/>
      <c r="HA424" s="51"/>
      <c r="HB424" s="51"/>
      <c r="HC424" s="51"/>
      <c r="HD424" s="51"/>
      <c r="HE424" s="51"/>
      <c r="HF424" s="51"/>
      <c r="HG424" s="51"/>
      <c r="HH424" s="51"/>
      <c r="HI424" s="51"/>
      <c r="HJ424" s="51"/>
      <c r="HK424" s="51"/>
      <c r="HL424" s="51"/>
      <c r="HM424" s="51"/>
      <c r="HN424" s="51"/>
      <c r="HO424" s="51"/>
      <c r="HP424" s="51"/>
      <c r="HQ424" s="51"/>
      <c r="HR424" s="51"/>
      <c r="HS424" s="51"/>
      <c r="HT424" s="51"/>
      <c r="HU424" s="51"/>
      <c r="HV424" s="51"/>
      <c r="HW424" s="51"/>
      <c r="HX424" s="51"/>
      <c r="HY424" s="51"/>
      <c r="HZ424" s="51"/>
      <c r="IA424" s="51"/>
      <c r="IB424" s="51"/>
      <c r="IC424" s="51"/>
      <c r="ID424" s="51"/>
      <c r="IE424" s="51"/>
      <c r="IF424" s="51"/>
      <c r="IG424" s="51"/>
      <c r="IH424" s="51"/>
      <c r="II424" s="51"/>
      <c r="IJ424" s="51"/>
      <c r="IK424" s="51"/>
      <c r="IL424" s="51"/>
      <c r="IM424" s="51"/>
      <c r="IN424" s="51"/>
      <c r="IO424" s="51"/>
      <c r="IP424" s="51"/>
      <c r="IQ424" s="51"/>
      <c r="IR424" s="51"/>
      <c r="IS424" s="51"/>
      <c r="IT424" s="51"/>
      <c r="IU424" s="51"/>
      <c r="IV424" s="51"/>
    </row>
    <row r="425" hidden="1">
      <c r="B425" s="826" t="s">
        <v>19</v>
      </c>
      <c r="C425" s="827">
        <v>0</v>
      </c>
      <c r="D425" s="827">
        <v>0</v>
      </c>
      <c r="E425" s="827">
        <v>0</v>
      </c>
      <c r="F425" s="827">
        <v>0</v>
      </c>
      <c r="G425" s="827">
        <v>0</v>
      </c>
      <c r="H425" s="827">
        <v>0</v>
      </c>
      <c r="I425" s="827">
        <v>0</v>
      </c>
      <c r="J425" s="827">
        <v>0</v>
      </c>
      <c r="K425" s="827">
        <v>0</v>
      </c>
      <c r="L425" s="827">
        <v>0</v>
      </c>
      <c r="M425" s="827">
        <v>0</v>
      </c>
      <c r="N425" s="827">
        <v>0</v>
      </c>
      <c r="O425" s="827">
        <v>0</v>
      </c>
      <c r="P425" s="827">
        <v>344</v>
      </c>
      <c r="Q425" s="827">
        <v>342</v>
      </c>
      <c r="R425" s="827">
        <v>355</v>
      </c>
      <c r="S425" s="827">
        <v>376</v>
      </c>
      <c r="T425" s="827">
        <v>383</v>
      </c>
      <c r="U425" s="827">
        <v>408</v>
      </c>
      <c r="V425" s="827">
        <v>422</v>
      </c>
      <c r="W425" s="827">
        <v>428</v>
      </c>
      <c r="X425" s="827">
        <v>378</v>
      </c>
      <c r="Y425" s="827">
        <v>388</v>
      </c>
      <c r="Z425" s="827">
        <v>400</v>
      </c>
      <c r="AA425" s="827">
        <v>412</v>
      </c>
      <c r="AB425" s="827">
        <v>419</v>
      </c>
      <c r="AC425" s="828">
        <v>421</v>
      </c>
      <c r="AD425" s="828">
        <v>428</v>
      </c>
      <c r="AE425" s="828">
        <v>430</v>
      </c>
      <c r="AF425" s="828">
        <v>437</v>
      </c>
      <c r="AG425" s="828">
        <v>469</v>
      </c>
      <c r="AH425" s="828">
        <v>483</v>
      </c>
      <c r="AI425" s="828">
        <v>499</v>
      </c>
      <c r="AJ425" s="828">
        <v>410</v>
      </c>
      <c r="AK425" s="828">
        <v>451</v>
      </c>
      <c r="AL425" s="828">
        <v>477</v>
      </c>
      <c r="AM425" s="828">
        <v>492</v>
      </c>
      <c r="AN425" s="828">
        <v>435</v>
      </c>
      <c r="AO425" s="828">
        <v>464</v>
      </c>
      <c r="AP425" s="828">
        <v>503</v>
      </c>
      <c r="AQ425" s="51"/>
      <c r="AR425" s="51"/>
      <c r="AS425" s="51"/>
      <c r="AT425" s="51"/>
      <c r="AU425" s="51"/>
      <c r="AV425" s="51"/>
      <c r="AW425" s="51"/>
      <c r="AX425" s="51"/>
      <c r="AY425" s="51"/>
      <c r="AZ425" s="51"/>
      <c r="BA425" s="51"/>
      <c r="BB425" s="51"/>
      <c r="BC425" s="51"/>
      <c r="BD425" s="51"/>
      <c r="BE425" s="51"/>
      <c r="BF425" s="51"/>
      <c r="BG425" s="51"/>
      <c r="BH425" s="51"/>
      <c r="BI425" s="51"/>
      <c r="BJ425" s="51"/>
      <c r="BK425" s="51"/>
      <c r="BL425" s="51"/>
      <c r="BM425" s="51"/>
      <c r="BN425" s="51"/>
      <c r="BO425" s="51"/>
      <c r="BP425" s="51"/>
      <c r="BQ425" s="51"/>
      <c r="BR425" s="51"/>
      <c r="BS425" s="51"/>
      <c r="BT425" s="51"/>
      <c r="BU425" s="51"/>
      <c r="BV425" s="51"/>
      <c r="BW425" s="51"/>
      <c r="BX425" s="51"/>
      <c r="BY425" s="51"/>
      <c r="BZ425" s="51"/>
      <c r="CA425" s="51"/>
      <c r="CB425" s="51"/>
      <c r="CC425" s="51"/>
      <c r="CD425" s="51"/>
      <c r="CE425" s="51"/>
      <c r="CF425" s="51"/>
      <c r="CG425" s="51"/>
      <c r="CH425" s="51"/>
      <c r="CI425" s="51"/>
      <c r="CJ425" s="51"/>
      <c r="CK425" s="51"/>
      <c r="CL425" s="51"/>
      <c r="CM425" s="51"/>
      <c r="CN425" s="51"/>
      <c r="CO425" s="51"/>
      <c r="CP425" s="51"/>
      <c r="CQ425" s="51"/>
      <c r="CR425" s="51"/>
      <c r="CS425" s="51"/>
      <c r="CT425" s="51"/>
      <c r="CU425" s="51"/>
      <c r="CV425" s="51"/>
      <c r="CW425" s="51"/>
      <c r="CX425" s="51"/>
      <c r="CY425" s="51"/>
      <c r="CZ425" s="51"/>
      <c r="DA425" s="51"/>
      <c r="DB425" s="51"/>
      <c r="DC425" s="51"/>
      <c r="DD425" s="51"/>
      <c r="DE425" s="51"/>
      <c r="DF425" s="51"/>
      <c r="DG425" s="51"/>
      <c r="DH425" s="51"/>
      <c r="DI425" s="51"/>
      <c r="DJ425" s="51"/>
      <c r="DK425" s="51"/>
      <c r="DL425" s="51"/>
      <c r="DM425" s="51"/>
      <c r="DN425" s="51"/>
      <c r="DO425" s="51"/>
      <c r="DP425" s="51"/>
      <c r="DQ425" s="51"/>
      <c r="DR425" s="51"/>
      <c r="DS425" s="51"/>
      <c r="DT425" s="51"/>
      <c r="DU425" s="51"/>
      <c r="DV425" s="51"/>
      <c r="DW425" s="51"/>
      <c r="DX425" s="51"/>
      <c r="DY425" s="51"/>
      <c r="DZ425" s="51"/>
      <c r="EA425" s="51"/>
      <c r="EB425" s="51"/>
      <c r="EC425" s="51"/>
      <c r="ED425" s="51"/>
      <c r="EE425" s="51"/>
      <c r="EF425" s="51"/>
      <c r="EG425" s="51"/>
      <c r="EH425" s="51"/>
      <c r="EI425" s="51"/>
      <c r="EJ425" s="51"/>
      <c r="EK425" s="51"/>
      <c r="EL425" s="51"/>
      <c r="EM425" s="51"/>
      <c r="EN425" s="51"/>
      <c r="EO425" s="51"/>
      <c r="EP425" s="51"/>
      <c r="EQ425" s="51"/>
      <c r="ER425" s="51"/>
      <c r="ES425" s="51"/>
      <c r="ET425" s="51"/>
      <c r="EU425" s="51"/>
      <c r="EV425" s="51"/>
      <c r="EW425" s="51"/>
      <c r="EX425" s="51"/>
      <c r="EY425" s="51"/>
      <c r="EZ425" s="51"/>
      <c r="FA425" s="51"/>
      <c r="FB425" s="51"/>
      <c r="FC425" s="51"/>
      <c r="FD425" s="51"/>
      <c r="FE425" s="51"/>
      <c r="FF425" s="51"/>
      <c r="FG425" s="51"/>
      <c r="FH425" s="51"/>
      <c r="FI425" s="51"/>
      <c r="FJ425" s="51"/>
      <c r="FK425" s="51"/>
      <c r="FL425" s="51"/>
      <c r="FM425" s="51"/>
      <c r="FN425" s="51"/>
      <c r="FO425" s="51"/>
      <c r="FP425" s="51"/>
      <c r="FQ425" s="51"/>
      <c r="FR425" s="51"/>
      <c r="FS425" s="51"/>
      <c r="FT425" s="51"/>
      <c r="FU425" s="51"/>
      <c r="FV425" s="51"/>
      <c r="FW425" s="51"/>
      <c r="FX425" s="51"/>
      <c r="FY425" s="51"/>
      <c r="FZ425" s="51"/>
      <c r="GA425" s="51"/>
      <c r="GB425" s="51"/>
      <c r="GC425" s="51"/>
      <c r="GD425" s="51"/>
      <c r="GE425" s="51"/>
      <c r="GF425" s="51"/>
      <c r="GG425" s="51"/>
      <c r="GH425" s="51"/>
      <c r="GI425" s="51"/>
      <c r="GJ425" s="51"/>
      <c r="GK425" s="51"/>
      <c r="GL425" s="51"/>
      <c r="GM425" s="51"/>
      <c r="GN425" s="51"/>
      <c r="GO425" s="51"/>
      <c r="GP425" s="51"/>
      <c r="GQ425" s="51"/>
      <c r="GR425" s="51"/>
      <c r="GS425" s="51"/>
      <c r="GT425" s="51"/>
      <c r="GU425" s="51"/>
      <c r="GV425" s="51"/>
      <c r="GW425" s="51"/>
      <c r="GX425" s="51"/>
      <c r="GY425" s="51"/>
      <c r="GZ425" s="51"/>
      <c r="HA425" s="51"/>
      <c r="HB425" s="51"/>
      <c r="HC425" s="51"/>
      <c r="HD425" s="51"/>
      <c r="HE425" s="51"/>
      <c r="HF425" s="51"/>
      <c r="HG425" s="51"/>
      <c r="HH425" s="51"/>
      <c r="HI425" s="51"/>
      <c r="HJ425" s="51"/>
      <c r="HK425" s="51"/>
      <c r="HL425" s="51"/>
      <c r="HM425" s="51"/>
      <c r="HN425" s="51"/>
      <c r="HO425" s="51"/>
      <c r="HP425" s="51"/>
      <c r="HQ425" s="51"/>
      <c r="HR425" s="51"/>
      <c r="HS425" s="51"/>
      <c r="HT425" s="51"/>
      <c r="HU425" s="51"/>
      <c r="HV425" s="51"/>
      <c r="HW425" s="51"/>
      <c r="HX425" s="51"/>
      <c r="HY425" s="51"/>
      <c r="HZ425" s="51"/>
      <c r="IA425" s="51"/>
      <c r="IB425" s="51"/>
      <c r="IC425" s="51"/>
      <c r="ID425" s="51"/>
      <c r="IE425" s="51"/>
      <c r="IF425" s="51"/>
      <c r="IG425" s="51"/>
      <c r="IH425" s="51"/>
      <c r="II425" s="51"/>
      <c r="IJ425" s="51"/>
      <c r="IK425" s="51"/>
      <c r="IL425" s="51"/>
      <c r="IM425" s="51"/>
      <c r="IN425" s="51"/>
      <c r="IO425" s="51"/>
      <c r="IP425" s="51"/>
      <c r="IQ425" s="51"/>
      <c r="IR425" s="51"/>
      <c r="IS425" s="51"/>
      <c r="IT425" s="51"/>
      <c r="IU425" s="51"/>
      <c r="IV425" s="51"/>
    </row>
    <row r="426" hidden="1">
      <c r="B426" s="829" t="s">
        <v>20</v>
      </c>
      <c r="C426" s="823">
        <v>0</v>
      </c>
      <c r="D426" s="823">
        <v>0</v>
      </c>
      <c r="E426" s="823">
        <v>0</v>
      </c>
      <c r="F426" s="823">
        <v>0</v>
      </c>
      <c r="G426" s="823">
        <v>0</v>
      </c>
      <c r="H426" s="823">
        <v>0</v>
      </c>
      <c r="I426" s="823">
        <v>0</v>
      </c>
      <c r="J426" s="823">
        <v>0</v>
      </c>
      <c r="K426" s="823">
        <v>0</v>
      </c>
      <c r="L426" s="823">
        <v>0</v>
      </c>
      <c r="M426" s="823">
        <v>0</v>
      </c>
      <c r="N426" s="823">
        <v>0</v>
      </c>
      <c r="O426" s="823">
        <v>0</v>
      </c>
      <c r="P426" s="823">
        <v>3</v>
      </c>
      <c r="Q426" s="823">
        <v>40</v>
      </c>
      <c r="R426" s="823">
        <v>85</v>
      </c>
      <c r="S426" s="823">
        <v>95</v>
      </c>
      <c r="T426" s="823">
        <v>97</v>
      </c>
      <c r="U426" s="823">
        <v>98</v>
      </c>
      <c r="V426" s="823">
        <v>101</v>
      </c>
      <c r="W426" s="823">
        <v>135</v>
      </c>
      <c r="X426" s="823">
        <v>179</v>
      </c>
      <c r="Y426" s="823">
        <v>237</v>
      </c>
      <c r="Z426" s="823">
        <v>278</v>
      </c>
      <c r="AA426" s="823">
        <v>299</v>
      </c>
      <c r="AB426" s="823">
        <v>335</v>
      </c>
      <c r="AC426" s="825">
        <v>378</v>
      </c>
      <c r="AD426" s="825">
        <v>410</v>
      </c>
      <c r="AE426" s="825">
        <v>446</v>
      </c>
      <c r="AF426" s="825">
        <v>477</v>
      </c>
      <c r="AG426" s="825">
        <v>460</v>
      </c>
      <c r="AH426" s="825">
        <v>492</v>
      </c>
      <c r="AI426" s="825">
        <v>545</v>
      </c>
      <c r="AJ426" s="825">
        <v>600</v>
      </c>
      <c r="AK426" s="825">
        <v>662</v>
      </c>
      <c r="AL426" s="825">
        <v>716</v>
      </c>
      <c r="AM426" s="825">
        <v>795</v>
      </c>
      <c r="AN426" s="825">
        <v>871</v>
      </c>
      <c r="AO426" s="825">
        <v>914</v>
      </c>
      <c r="AP426" s="825">
        <v>940</v>
      </c>
      <c r="AQ426" s="51"/>
      <c r="AR426" s="51"/>
      <c r="AS426" s="51"/>
      <c r="AT426" s="51"/>
      <c r="AU426" s="51"/>
      <c r="AV426" s="51"/>
      <c r="AW426" s="51"/>
      <c r="AX426" s="51"/>
      <c r="AY426" s="51"/>
      <c r="AZ426" s="51"/>
      <c r="BA426" s="51"/>
      <c r="BB426" s="51"/>
      <c r="BC426" s="51"/>
      <c r="BD426" s="51"/>
      <c r="BE426" s="51"/>
      <c r="BF426" s="51"/>
      <c r="BG426" s="51"/>
      <c r="BH426" s="51"/>
      <c r="BI426" s="51"/>
      <c r="BJ426" s="51"/>
      <c r="BK426" s="51"/>
      <c r="BL426" s="51"/>
      <c r="BM426" s="51"/>
      <c r="BN426" s="51"/>
      <c r="BO426" s="51"/>
      <c r="BP426" s="51"/>
      <c r="BQ426" s="51"/>
      <c r="BR426" s="51"/>
      <c r="BS426" s="51"/>
      <c r="BT426" s="51"/>
      <c r="BU426" s="51"/>
      <c r="BV426" s="51"/>
      <c r="BW426" s="51"/>
      <c r="BX426" s="51"/>
      <c r="BY426" s="51"/>
      <c r="BZ426" s="51"/>
      <c r="CA426" s="51"/>
      <c r="CB426" s="51"/>
      <c r="CC426" s="51"/>
      <c r="CD426" s="51"/>
      <c r="CE426" s="51"/>
      <c r="CF426" s="51"/>
      <c r="CG426" s="51"/>
      <c r="CH426" s="51"/>
      <c r="CI426" s="51"/>
      <c r="CJ426" s="51"/>
      <c r="CK426" s="51"/>
      <c r="CL426" s="51"/>
      <c r="CM426" s="51"/>
      <c r="CN426" s="51"/>
      <c r="CO426" s="51"/>
      <c r="CP426" s="51"/>
      <c r="CQ426" s="51"/>
      <c r="CR426" s="51"/>
      <c r="CS426" s="51"/>
      <c r="CT426" s="51"/>
      <c r="CU426" s="51"/>
      <c r="CV426" s="51"/>
      <c r="CW426" s="51"/>
      <c r="CX426" s="51"/>
      <c r="CY426" s="51"/>
      <c r="CZ426" s="51"/>
      <c r="DA426" s="51"/>
      <c r="DB426" s="51"/>
      <c r="DC426" s="51"/>
      <c r="DD426" s="51"/>
      <c r="DE426" s="51"/>
      <c r="DF426" s="51"/>
      <c r="DG426" s="51"/>
      <c r="DH426" s="51"/>
      <c r="DI426" s="51"/>
      <c r="DJ426" s="51"/>
      <c r="DK426" s="51"/>
      <c r="DL426" s="51"/>
      <c r="DM426" s="51"/>
      <c r="DN426" s="51"/>
      <c r="DO426" s="51"/>
      <c r="DP426" s="51"/>
      <c r="DQ426" s="51"/>
      <c r="DR426" s="51"/>
      <c r="DS426" s="51"/>
      <c r="DT426" s="51"/>
      <c r="DU426" s="51"/>
      <c r="DV426" s="51"/>
      <c r="DW426" s="51"/>
      <c r="DX426" s="51"/>
      <c r="DY426" s="51"/>
      <c r="DZ426" s="51"/>
      <c r="EA426" s="51"/>
      <c r="EB426" s="51"/>
      <c r="EC426" s="51"/>
      <c r="ED426" s="51"/>
      <c r="EE426" s="51"/>
      <c r="EF426" s="51"/>
      <c r="EG426" s="51"/>
      <c r="EH426" s="51"/>
      <c r="EI426" s="51"/>
      <c r="EJ426" s="51"/>
      <c r="EK426" s="51"/>
      <c r="EL426" s="51"/>
      <c r="EM426" s="51"/>
      <c r="EN426" s="51"/>
      <c r="EO426" s="51"/>
      <c r="EP426" s="51"/>
      <c r="EQ426" s="51"/>
      <c r="ER426" s="51"/>
      <c r="ES426" s="51"/>
      <c r="ET426" s="51"/>
      <c r="EU426" s="51"/>
      <c r="EV426" s="51"/>
      <c r="EW426" s="51"/>
      <c r="EX426" s="51"/>
      <c r="EY426" s="51"/>
      <c r="EZ426" s="51"/>
      <c r="FA426" s="51"/>
      <c r="FB426" s="51"/>
      <c r="FC426" s="51"/>
      <c r="FD426" s="51"/>
      <c r="FE426" s="51"/>
      <c r="FF426" s="51"/>
      <c r="FG426" s="51"/>
      <c r="FH426" s="51"/>
      <c r="FI426" s="51"/>
      <c r="FJ426" s="51"/>
      <c r="FK426" s="51"/>
      <c r="FL426" s="51"/>
      <c r="FM426" s="51"/>
      <c r="FN426" s="51"/>
      <c r="FO426" s="51"/>
      <c r="FP426" s="51"/>
      <c r="FQ426" s="51"/>
      <c r="FR426" s="51"/>
      <c r="FS426" s="51"/>
      <c r="FT426" s="51"/>
      <c r="FU426" s="51"/>
      <c r="FV426" s="51"/>
      <c r="FW426" s="51"/>
      <c r="FX426" s="51"/>
      <c r="FY426" s="51"/>
      <c r="FZ426" s="51"/>
      <c r="GA426" s="51"/>
      <c r="GB426" s="51"/>
      <c r="GC426" s="51"/>
      <c r="GD426" s="51"/>
      <c r="GE426" s="51"/>
      <c r="GF426" s="51"/>
      <c r="GG426" s="51"/>
      <c r="GH426" s="51"/>
      <c r="GI426" s="51"/>
      <c r="GJ426" s="51"/>
      <c r="GK426" s="51"/>
      <c r="GL426" s="51"/>
      <c r="GM426" s="51"/>
      <c r="GN426" s="51"/>
      <c r="GO426" s="51"/>
      <c r="GP426" s="51"/>
      <c r="GQ426" s="51"/>
      <c r="GR426" s="51"/>
      <c r="GS426" s="51"/>
      <c r="GT426" s="51"/>
      <c r="GU426" s="51"/>
      <c r="GV426" s="51"/>
      <c r="GW426" s="51"/>
      <c r="GX426" s="51"/>
      <c r="GY426" s="51"/>
      <c r="GZ426" s="51"/>
      <c r="HA426" s="51"/>
      <c r="HB426" s="51"/>
      <c r="HC426" s="51"/>
      <c r="HD426" s="51"/>
      <c r="HE426" s="51"/>
      <c r="HF426" s="51"/>
      <c r="HG426" s="51"/>
      <c r="HH426" s="51"/>
      <c r="HI426" s="51"/>
      <c r="HJ426" s="51"/>
      <c r="HK426" s="51"/>
      <c r="HL426" s="51"/>
      <c r="HM426" s="51"/>
      <c r="HN426" s="51"/>
      <c r="HO426" s="51"/>
      <c r="HP426" s="51"/>
      <c r="HQ426" s="51"/>
      <c r="HR426" s="51"/>
      <c r="HS426" s="51"/>
      <c r="HT426" s="51"/>
      <c r="HU426" s="51"/>
      <c r="HV426" s="51"/>
      <c r="HW426" s="51"/>
      <c r="HX426" s="51"/>
      <c r="HY426" s="51"/>
      <c r="HZ426" s="51"/>
      <c r="IA426" s="51"/>
      <c r="IB426" s="51"/>
      <c r="IC426" s="51"/>
      <c r="ID426" s="51"/>
      <c r="IE426" s="51"/>
      <c r="IF426" s="51"/>
      <c r="IG426" s="51"/>
      <c r="IH426" s="51"/>
      <c r="II426" s="51"/>
      <c r="IJ426" s="51"/>
      <c r="IK426" s="51"/>
      <c r="IL426" s="51"/>
      <c r="IM426" s="51"/>
      <c r="IN426" s="51"/>
      <c r="IO426" s="51"/>
      <c r="IP426" s="51"/>
      <c r="IQ426" s="51"/>
      <c r="IR426" s="51"/>
      <c r="IS426" s="51"/>
      <c r="IT426" s="51"/>
      <c r="IU426" s="51"/>
      <c r="IV426" s="51"/>
    </row>
    <row r="427" hidden="1">
      <c r="B427" s="826" t="s">
        <v>21</v>
      </c>
      <c r="C427" s="827">
        <v>0</v>
      </c>
      <c r="D427" s="827">
        <v>0</v>
      </c>
      <c r="E427" s="827">
        <v>0</v>
      </c>
      <c r="F427" s="827">
        <v>0</v>
      </c>
      <c r="G427" s="827">
        <v>0</v>
      </c>
      <c r="H427" s="827">
        <v>0</v>
      </c>
      <c r="I427" s="827">
        <v>0</v>
      </c>
      <c r="J427" s="827">
        <v>0</v>
      </c>
      <c r="K427" s="827">
        <v>0</v>
      </c>
      <c r="L427" s="827">
        <v>0</v>
      </c>
      <c r="M427" s="827">
        <v>0</v>
      </c>
      <c r="N427" s="827">
        <v>0</v>
      </c>
      <c r="O427" s="827">
        <v>0</v>
      </c>
      <c r="P427" s="827">
        <v>1020</v>
      </c>
      <c r="Q427" s="827">
        <v>1055</v>
      </c>
      <c r="R427" s="827">
        <v>1020</v>
      </c>
      <c r="S427" s="827">
        <v>1040</v>
      </c>
      <c r="T427" s="827">
        <v>1055</v>
      </c>
      <c r="U427" s="827">
        <v>1048</v>
      </c>
      <c r="V427" s="827">
        <v>1084</v>
      </c>
      <c r="W427" s="827">
        <v>1070</v>
      </c>
      <c r="X427" s="827">
        <v>1099</v>
      </c>
      <c r="Y427" s="827">
        <v>1065</v>
      </c>
      <c r="Z427" s="827">
        <v>1113</v>
      </c>
      <c r="AA427" s="827">
        <v>1040</v>
      </c>
      <c r="AB427" s="827">
        <v>1059</v>
      </c>
      <c r="AC427" s="828">
        <v>1003</v>
      </c>
      <c r="AD427" s="828">
        <v>1040</v>
      </c>
      <c r="AE427" s="828">
        <v>1084</v>
      </c>
      <c r="AF427" s="828">
        <v>1055</v>
      </c>
      <c r="AG427" s="828">
        <v>1056</v>
      </c>
      <c r="AH427" s="828">
        <v>1063</v>
      </c>
      <c r="AI427" s="828">
        <v>1065</v>
      </c>
      <c r="AJ427" s="828">
        <v>1044</v>
      </c>
      <c r="AK427" s="828">
        <v>1012</v>
      </c>
      <c r="AL427" s="828">
        <v>1005</v>
      </c>
      <c r="AM427" s="828">
        <v>992</v>
      </c>
      <c r="AN427" s="828">
        <v>1030</v>
      </c>
      <c r="AO427" s="828">
        <v>1053</v>
      </c>
      <c r="AP427" s="828">
        <v>1069</v>
      </c>
      <c r="AQ427" s="51"/>
      <c r="AR427" s="51"/>
      <c r="AS427" s="51"/>
      <c r="AT427" s="51"/>
      <c r="AU427" s="51"/>
      <c r="AV427" s="51"/>
      <c r="AW427" s="51"/>
      <c r="AX427" s="51"/>
      <c r="AY427" s="51"/>
      <c r="AZ427" s="51"/>
      <c r="BA427" s="51"/>
      <c r="BB427" s="51"/>
      <c r="BC427" s="51"/>
      <c r="BD427" s="51"/>
      <c r="BE427" s="51"/>
      <c r="BF427" s="51"/>
      <c r="BG427" s="51"/>
      <c r="BH427" s="51"/>
      <c r="BI427" s="51"/>
      <c r="BJ427" s="51"/>
      <c r="BK427" s="51"/>
      <c r="BL427" s="51"/>
      <c r="BM427" s="51"/>
      <c r="BN427" s="51"/>
      <c r="BO427" s="51"/>
      <c r="BP427" s="51"/>
      <c r="BQ427" s="51"/>
      <c r="BR427" s="51"/>
      <c r="BS427" s="51"/>
      <c r="BT427" s="51"/>
      <c r="BU427" s="51"/>
      <c r="BV427" s="51"/>
      <c r="BW427" s="51"/>
      <c r="BX427" s="51"/>
      <c r="BY427" s="51"/>
      <c r="BZ427" s="51"/>
      <c r="CA427" s="51"/>
      <c r="CB427" s="51"/>
      <c r="CC427" s="51"/>
      <c r="CD427" s="51"/>
      <c r="CE427" s="51"/>
      <c r="CF427" s="51"/>
      <c r="CG427" s="51"/>
      <c r="CH427" s="51"/>
      <c r="CI427" s="51"/>
      <c r="CJ427" s="51"/>
      <c r="CK427" s="51"/>
      <c r="CL427" s="51"/>
      <c r="CM427" s="51"/>
      <c r="CN427" s="51"/>
      <c r="CO427" s="51"/>
      <c r="CP427" s="51"/>
      <c r="CQ427" s="51"/>
      <c r="CR427" s="51"/>
      <c r="CS427" s="51"/>
      <c r="CT427" s="51"/>
      <c r="CU427" s="51"/>
      <c r="CV427" s="51"/>
      <c r="CW427" s="51"/>
      <c r="CX427" s="51"/>
      <c r="CY427" s="51"/>
      <c r="CZ427" s="51"/>
      <c r="DA427" s="51"/>
      <c r="DB427" s="51"/>
      <c r="DC427" s="51"/>
      <c r="DD427" s="51"/>
      <c r="DE427" s="51"/>
      <c r="DF427" s="51"/>
      <c r="DG427" s="51"/>
      <c r="DH427" s="51"/>
      <c r="DI427" s="51"/>
      <c r="DJ427" s="51"/>
      <c r="DK427" s="51"/>
      <c r="DL427" s="51"/>
      <c r="DM427" s="51"/>
      <c r="DN427" s="51"/>
      <c r="DO427" s="51"/>
      <c r="DP427" s="51"/>
      <c r="DQ427" s="51"/>
      <c r="DR427" s="51"/>
      <c r="DS427" s="51"/>
      <c r="DT427" s="51"/>
      <c r="DU427" s="51"/>
      <c r="DV427" s="51"/>
      <c r="DW427" s="51"/>
      <c r="DX427" s="51"/>
      <c r="DY427" s="51"/>
      <c r="DZ427" s="51"/>
      <c r="EA427" s="51"/>
      <c r="EB427" s="51"/>
      <c r="EC427" s="51"/>
      <c r="ED427" s="51"/>
      <c r="EE427" s="51"/>
      <c r="EF427" s="51"/>
      <c r="EG427" s="51"/>
      <c r="EH427" s="51"/>
      <c r="EI427" s="51"/>
      <c r="EJ427" s="51"/>
      <c r="EK427" s="51"/>
      <c r="EL427" s="51"/>
      <c r="EM427" s="51"/>
      <c r="EN427" s="51"/>
      <c r="EO427" s="51"/>
      <c r="EP427" s="51"/>
      <c r="EQ427" s="51"/>
      <c r="ER427" s="51"/>
      <c r="ES427" s="51"/>
      <c r="ET427" s="51"/>
      <c r="EU427" s="51"/>
      <c r="EV427" s="51"/>
      <c r="EW427" s="51"/>
      <c r="EX427" s="51"/>
      <c r="EY427" s="51"/>
      <c r="EZ427" s="51"/>
      <c r="FA427" s="51"/>
      <c r="FB427" s="51"/>
      <c r="FC427" s="51"/>
      <c r="FD427" s="51"/>
      <c r="FE427" s="51"/>
      <c r="FF427" s="51"/>
      <c r="FG427" s="51"/>
      <c r="FH427" s="51"/>
      <c r="FI427" s="51"/>
      <c r="FJ427" s="51"/>
      <c r="FK427" s="51"/>
      <c r="FL427" s="51"/>
      <c r="FM427" s="51"/>
      <c r="FN427" s="51"/>
      <c r="FO427" s="51"/>
      <c r="FP427" s="51"/>
      <c r="FQ427" s="51"/>
      <c r="FR427" s="51"/>
      <c r="FS427" s="51"/>
      <c r="FT427" s="51"/>
      <c r="FU427" s="51"/>
      <c r="FV427" s="51"/>
      <c r="FW427" s="51"/>
      <c r="FX427" s="51"/>
      <c r="FY427" s="51"/>
      <c r="FZ427" s="51"/>
      <c r="GA427" s="51"/>
      <c r="GB427" s="51"/>
      <c r="GC427" s="51"/>
      <c r="GD427" s="51"/>
      <c r="GE427" s="51"/>
      <c r="GF427" s="51"/>
      <c r="GG427" s="51"/>
      <c r="GH427" s="51"/>
      <c r="GI427" s="51"/>
      <c r="GJ427" s="51"/>
      <c r="GK427" s="51"/>
      <c r="GL427" s="51"/>
      <c r="GM427" s="51"/>
      <c r="GN427" s="51"/>
      <c r="GO427" s="51"/>
      <c r="GP427" s="51"/>
      <c r="GQ427" s="51"/>
      <c r="GR427" s="51"/>
      <c r="GS427" s="51"/>
      <c r="GT427" s="51"/>
      <c r="GU427" s="51"/>
      <c r="GV427" s="51"/>
      <c r="GW427" s="51"/>
      <c r="GX427" s="51"/>
      <c r="GY427" s="51"/>
      <c r="GZ427" s="51"/>
      <c r="HA427" s="51"/>
      <c r="HB427" s="51"/>
      <c r="HC427" s="51"/>
      <c r="HD427" s="51"/>
      <c r="HE427" s="51"/>
      <c r="HF427" s="51"/>
      <c r="HG427" s="51"/>
      <c r="HH427" s="51"/>
      <c r="HI427" s="51"/>
      <c r="HJ427" s="51"/>
      <c r="HK427" s="51"/>
      <c r="HL427" s="51"/>
      <c r="HM427" s="51"/>
      <c r="HN427" s="51"/>
      <c r="HO427" s="51"/>
      <c r="HP427" s="51"/>
      <c r="HQ427" s="51"/>
      <c r="HR427" s="51"/>
      <c r="HS427" s="51"/>
      <c r="HT427" s="51"/>
      <c r="HU427" s="51"/>
      <c r="HV427" s="51"/>
      <c r="HW427" s="51"/>
      <c r="HX427" s="51"/>
      <c r="HY427" s="51"/>
      <c r="HZ427" s="51"/>
      <c r="IA427" s="51"/>
      <c r="IB427" s="51"/>
      <c r="IC427" s="51"/>
      <c r="ID427" s="51"/>
      <c r="IE427" s="51"/>
      <c r="IF427" s="51"/>
      <c r="IG427" s="51"/>
      <c r="IH427" s="51"/>
      <c r="II427" s="51"/>
      <c r="IJ427" s="51"/>
      <c r="IK427" s="51"/>
      <c r="IL427" s="51"/>
      <c r="IM427" s="51"/>
      <c r="IN427" s="51"/>
      <c r="IO427" s="51"/>
      <c r="IP427" s="51"/>
      <c r="IQ427" s="51"/>
      <c r="IR427" s="51"/>
      <c r="IS427" s="51"/>
      <c r="IT427" s="51"/>
      <c r="IU427" s="51"/>
      <c r="IV427" s="51"/>
    </row>
    <row r="428" hidden="1">
      <c r="B428" s="829" t="s">
        <v>22</v>
      </c>
      <c r="C428" s="823">
        <v>0</v>
      </c>
      <c r="D428" s="823">
        <v>0</v>
      </c>
      <c r="E428" s="823">
        <v>0</v>
      </c>
      <c r="F428" s="823">
        <v>0</v>
      </c>
      <c r="G428" s="823">
        <v>0</v>
      </c>
      <c r="H428" s="823">
        <v>0</v>
      </c>
      <c r="I428" s="823">
        <v>0</v>
      </c>
      <c r="J428" s="823">
        <v>0</v>
      </c>
      <c r="K428" s="823">
        <v>0</v>
      </c>
      <c r="L428" s="823">
        <v>0</v>
      </c>
      <c r="M428" s="823">
        <v>0</v>
      </c>
      <c r="N428" s="823">
        <v>0</v>
      </c>
      <c r="O428" s="823">
        <v>0</v>
      </c>
      <c r="P428" s="823">
        <v>1566</v>
      </c>
      <c r="Q428" s="823">
        <v>2316</v>
      </c>
      <c r="R428" s="823">
        <v>2501</v>
      </c>
      <c r="S428" s="823">
        <v>2689</v>
      </c>
      <c r="T428" s="823">
        <v>2790</v>
      </c>
      <c r="U428" s="823">
        <v>3806</v>
      </c>
      <c r="V428" s="823">
        <v>4080</v>
      </c>
      <c r="W428" s="823">
        <v>4199</v>
      </c>
      <c r="X428" s="823">
        <v>3992</v>
      </c>
      <c r="Y428" s="823">
        <v>4026</v>
      </c>
      <c r="Z428" s="823">
        <v>4161</v>
      </c>
      <c r="AA428" s="823">
        <v>3782</v>
      </c>
      <c r="AB428" s="823">
        <v>3808</v>
      </c>
      <c r="AC428" s="825">
        <v>3765</v>
      </c>
      <c r="AD428" s="825">
        <v>3786</v>
      </c>
      <c r="AE428" s="825">
        <v>4022</v>
      </c>
      <c r="AF428" s="825">
        <v>4183</v>
      </c>
      <c r="AG428" s="825">
        <v>4165</v>
      </c>
      <c r="AH428" s="825">
        <v>4200</v>
      </c>
      <c r="AI428" s="825">
        <v>3804</v>
      </c>
      <c r="AJ428" s="825">
        <v>3850</v>
      </c>
      <c r="AK428" s="825">
        <v>3864</v>
      </c>
      <c r="AL428" s="825">
        <v>3762</v>
      </c>
      <c r="AM428" s="825">
        <v>3808</v>
      </c>
      <c r="AN428" s="825">
        <v>3854</v>
      </c>
      <c r="AO428" s="825">
        <v>3791</v>
      </c>
      <c r="AP428" s="825">
        <v>3889</v>
      </c>
      <c r="AQ428" s="51"/>
      <c r="AR428" s="51"/>
      <c r="AS428" s="51"/>
      <c r="AT428" s="51"/>
      <c r="AU428" s="51"/>
      <c r="AV428" s="51"/>
      <c r="AW428" s="51"/>
      <c r="AX428" s="51"/>
      <c r="AY428" s="51"/>
      <c r="AZ428" s="51"/>
      <c r="BA428" s="51"/>
      <c r="BB428" s="51"/>
      <c r="BC428" s="51"/>
      <c r="BD428" s="51"/>
      <c r="BE428" s="51"/>
      <c r="BF428" s="51"/>
      <c r="BG428" s="51"/>
      <c r="BH428" s="51"/>
      <c r="BI428" s="51"/>
      <c r="BJ428" s="51"/>
      <c r="BK428" s="51"/>
      <c r="BL428" s="51"/>
      <c r="BM428" s="51"/>
      <c r="BN428" s="51"/>
      <c r="BO428" s="51"/>
      <c r="BP428" s="51"/>
      <c r="BQ428" s="51"/>
      <c r="BR428" s="51"/>
      <c r="BS428" s="51"/>
      <c r="BT428" s="51"/>
      <c r="BU428" s="51"/>
      <c r="BV428" s="51"/>
      <c r="BW428" s="51"/>
      <c r="BX428" s="51"/>
      <c r="BY428" s="51"/>
      <c r="BZ428" s="51"/>
      <c r="CA428" s="51"/>
      <c r="CB428" s="51"/>
      <c r="CC428" s="51"/>
      <c r="CD428" s="51"/>
      <c r="CE428" s="51"/>
      <c r="CF428" s="51"/>
      <c r="CG428" s="51"/>
      <c r="CH428" s="51"/>
      <c r="CI428" s="51"/>
      <c r="CJ428" s="51"/>
      <c r="CK428" s="51"/>
      <c r="CL428" s="51"/>
      <c r="CM428" s="51"/>
      <c r="CN428" s="51"/>
      <c r="CO428" s="51"/>
      <c r="CP428" s="51"/>
      <c r="CQ428" s="51"/>
      <c r="CR428" s="51"/>
      <c r="CS428" s="51"/>
      <c r="CT428" s="51"/>
      <c r="CU428" s="51"/>
      <c r="CV428" s="51"/>
      <c r="CW428" s="51"/>
      <c r="CX428" s="51"/>
      <c r="CY428" s="51"/>
      <c r="CZ428" s="51"/>
      <c r="DA428" s="51"/>
      <c r="DB428" s="51"/>
      <c r="DC428" s="51"/>
      <c r="DD428" s="51"/>
      <c r="DE428" s="51"/>
      <c r="DF428" s="51"/>
      <c r="DG428" s="51"/>
      <c r="DH428" s="51"/>
      <c r="DI428" s="51"/>
      <c r="DJ428" s="51"/>
      <c r="DK428" s="51"/>
      <c r="DL428" s="51"/>
      <c r="DM428" s="51"/>
      <c r="DN428" s="51"/>
      <c r="DO428" s="51"/>
      <c r="DP428" s="51"/>
      <c r="DQ428" s="51"/>
      <c r="DR428" s="51"/>
      <c r="DS428" s="51"/>
      <c r="DT428" s="51"/>
      <c r="DU428" s="51"/>
      <c r="DV428" s="51"/>
      <c r="DW428" s="51"/>
      <c r="DX428" s="51"/>
      <c r="DY428" s="51"/>
      <c r="DZ428" s="51"/>
      <c r="EA428" s="51"/>
      <c r="EB428" s="51"/>
      <c r="EC428" s="51"/>
      <c r="ED428" s="51"/>
      <c r="EE428" s="51"/>
      <c r="EF428" s="51"/>
      <c r="EG428" s="51"/>
      <c r="EH428" s="51"/>
      <c r="EI428" s="51"/>
      <c r="EJ428" s="51"/>
      <c r="EK428" s="51"/>
      <c r="EL428" s="51"/>
      <c r="EM428" s="51"/>
      <c r="EN428" s="51"/>
      <c r="EO428" s="51"/>
      <c r="EP428" s="51"/>
      <c r="EQ428" s="51"/>
      <c r="ER428" s="51"/>
      <c r="ES428" s="51"/>
      <c r="ET428" s="51"/>
      <c r="EU428" s="51"/>
      <c r="EV428" s="51"/>
      <c r="EW428" s="51"/>
      <c r="EX428" s="51"/>
      <c r="EY428" s="51"/>
      <c r="EZ428" s="51"/>
      <c r="FA428" s="51"/>
      <c r="FB428" s="51"/>
      <c r="FC428" s="51"/>
      <c r="FD428" s="51"/>
      <c r="FE428" s="51"/>
      <c r="FF428" s="51"/>
      <c r="FG428" s="51"/>
      <c r="FH428" s="51"/>
      <c r="FI428" s="51"/>
      <c r="FJ428" s="51"/>
      <c r="FK428" s="51"/>
      <c r="FL428" s="51"/>
      <c r="FM428" s="51"/>
      <c r="FN428" s="51"/>
      <c r="FO428" s="51"/>
      <c r="FP428" s="51"/>
      <c r="FQ428" s="51"/>
      <c r="FR428" s="51"/>
      <c r="FS428" s="51"/>
      <c r="FT428" s="51"/>
      <c r="FU428" s="51"/>
      <c r="FV428" s="51"/>
      <c r="FW428" s="51"/>
      <c r="FX428" s="51"/>
      <c r="FY428" s="51"/>
      <c r="FZ428" s="51"/>
      <c r="GA428" s="51"/>
      <c r="GB428" s="51"/>
      <c r="GC428" s="51"/>
      <c r="GD428" s="51"/>
      <c r="GE428" s="51"/>
      <c r="GF428" s="51"/>
      <c r="GG428" s="51"/>
      <c r="GH428" s="51"/>
      <c r="GI428" s="51"/>
      <c r="GJ428" s="51"/>
      <c r="GK428" s="51"/>
      <c r="GL428" s="51"/>
      <c r="GM428" s="51"/>
      <c r="GN428" s="51"/>
      <c r="GO428" s="51"/>
      <c r="GP428" s="51"/>
      <c r="GQ428" s="51"/>
      <c r="GR428" s="51"/>
      <c r="GS428" s="51"/>
      <c r="GT428" s="51"/>
      <c r="GU428" s="51"/>
      <c r="GV428" s="51"/>
      <c r="GW428" s="51"/>
      <c r="GX428" s="51"/>
      <c r="GY428" s="51"/>
      <c r="GZ428" s="51"/>
      <c r="HA428" s="51"/>
      <c r="HB428" s="51"/>
      <c r="HC428" s="51"/>
      <c r="HD428" s="51"/>
      <c r="HE428" s="51"/>
      <c r="HF428" s="51"/>
      <c r="HG428" s="51"/>
      <c r="HH428" s="51"/>
      <c r="HI428" s="51"/>
      <c r="HJ428" s="51"/>
      <c r="HK428" s="51"/>
      <c r="HL428" s="51"/>
      <c r="HM428" s="51"/>
      <c r="HN428" s="51"/>
      <c r="HO428" s="51"/>
      <c r="HP428" s="51"/>
      <c r="HQ428" s="51"/>
      <c r="HR428" s="51"/>
      <c r="HS428" s="51"/>
      <c r="HT428" s="51"/>
      <c r="HU428" s="51"/>
      <c r="HV428" s="51"/>
      <c r="HW428" s="51"/>
      <c r="HX428" s="51"/>
      <c r="HY428" s="51"/>
      <c r="HZ428" s="51"/>
      <c r="IA428" s="51"/>
      <c r="IB428" s="51"/>
      <c r="IC428" s="51"/>
      <c r="ID428" s="51"/>
      <c r="IE428" s="51"/>
      <c r="IF428" s="51"/>
      <c r="IG428" s="51"/>
      <c r="IH428" s="51"/>
      <c r="II428" s="51"/>
      <c r="IJ428" s="51"/>
      <c r="IK428" s="51"/>
      <c r="IL428" s="51"/>
      <c r="IM428" s="51"/>
      <c r="IN428" s="51"/>
      <c r="IO428" s="51"/>
      <c r="IP428" s="51"/>
      <c r="IQ428" s="51"/>
      <c r="IR428" s="51"/>
      <c r="IS428" s="51"/>
      <c r="IT428" s="51"/>
      <c r="IU428" s="51"/>
      <c r="IV428" s="51"/>
    </row>
    <row r="429" hidden="1">
      <c r="B429" s="826" t="s">
        <v>23</v>
      </c>
      <c r="C429" s="827">
        <v>0</v>
      </c>
      <c r="D429" s="827">
        <v>0</v>
      </c>
      <c r="E429" s="827">
        <v>0</v>
      </c>
      <c r="F429" s="827">
        <v>0</v>
      </c>
      <c r="G429" s="827">
        <v>0</v>
      </c>
      <c r="H429" s="827">
        <v>0</v>
      </c>
      <c r="I429" s="827">
        <v>0</v>
      </c>
      <c r="J429" s="827">
        <v>0</v>
      </c>
      <c r="K429" s="827">
        <v>0</v>
      </c>
      <c r="L429" s="827">
        <v>0</v>
      </c>
      <c r="M429" s="827">
        <v>0</v>
      </c>
      <c r="N429" s="827">
        <v>0</v>
      </c>
      <c r="O429" s="827">
        <v>0</v>
      </c>
      <c r="P429" s="827">
        <v>216</v>
      </c>
      <c r="Q429" s="827">
        <v>217</v>
      </c>
      <c r="R429" s="827">
        <v>225</v>
      </c>
      <c r="S429" s="827">
        <v>212</v>
      </c>
      <c r="T429" s="827">
        <v>212</v>
      </c>
      <c r="U429" s="827">
        <v>206</v>
      </c>
      <c r="V429" s="827">
        <v>205</v>
      </c>
      <c r="W429" s="827">
        <v>204</v>
      </c>
      <c r="X429" s="827">
        <v>225</v>
      </c>
      <c r="Y429" s="827">
        <v>215</v>
      </c>
      <c r="Z429" s="827">
        <v>126</v>
      </c>
      <c r="AA429" s="827">
        <v>126</v>
      </c>
      <c r="AB429" s="827">
        <v>127</v>
      </c>
      <c r="AC429" s="828">
        <v>125</v>
      </c>
      <c r="AD429" s="828">
        <v>129</v>
      </c>
      <c r="AE429" s="828">
        <v>127</v>
      </c>
      <c r="AF429" s="828">
        <v>127</v>
      </c>
      <c r="AG429" s="828">
        <v>133</v>
      </c>
      <c r="AH429" s="828">
        <v>138</v>
      </c>
      <c r="AI429" s="828">
        <v>138</v>
      </c>
      <c r="AJ429" s="828">
        <v>231</v>
      </c>
      <c r="AK429" s="828">
        <v>232</v>
      </c>
      <c r="AL429" s="828">
        <v>232</v>
      </c>
      <c r="AM429" s="828">
        <v>234</v>
      </c>
      <c r="AN429" s="828">
        <v>191</v>
      </c>
      <c r="AO429" s="828">
        <v>200</v>
      </c>
      <c r="AP429" s="828">
        <v>223</v>
      </c>
      <c r="AQ429" s="51"/>
      <c r="AR429" s="51"/>
      <c r="AS429" s="51"/>
      <c r="AT429" s="51"/>
      <c r="AU429" s="51"/>
      <c r="AV429" s="51"/>
      <c r="AW429" s="51"/>
      <c r="AX429" s="51"/>
      <c r="AY429" s="51"/>
      <c r="AZ429" s="51"/>
      <c r="BA429" s="51"/>
      <c r="BB429" s="51"/>
      <c r="BC429" s="51"/>
      <c r="BD429" s="51"/>
      <c r="BE429" s="51"/>
      <c r="BF429" s="51"/>
      <c r="BG429" s="51"/>
      <c r="BH429" s="51"/>
      <c r="BI429" s="51"/>
      <c r="BJ429" s="51"/>
      <c r="BK429" s="51"/>
      <c r="BL429" s="51"/>
      <c r="BM429" s="51"/>
      <c r="BN429" s="51"/>
      <c r="BO429" s="51"/>
      <c r="BP429" s="51"/>
      <c r="BQ429" s="51"/>
      <c r="BR429" s="51"/>
      <c r="BS429" s="51"/>
      <c r="BT429" s="51"/>
      <c r="BU429" s="51"/>
      <c r="BV429" s="51"/>
      <c r="BW429" s="51"/>
      <c r="BX429" s="51"/>
      <c r="BY429" s="51"/>
      <c r="BZ429" s="51"/>
      <c r="CA429" s="51"/>
      <c r="CB429" s="51"/>
      <c r="CC429" s="51"/>
      <c r="CD429" s="51"/>
      <c r="CE429" s="51"/>
      <c r="CF429" s="51"/>
      <c r="CG429" s="51"/>
      <c r="CH429" s="51"/>
      <c r="CI429" s="51"/>
      <c r="CJ429" s="51"/>
      <c r="CK429" s="51"/>
      <c r="CL429" s="51"/>
      <c r="CM429" s="51"/>
      <c r="CN429" s="51"/>
      <c r="CO429" s="51"/>
      <c r="CP429" s="51"/>
      <c r="CQ429" s="51"/>
      <c r="CR429" s="51"/>
      <c r="CS429" s="51"/>
      <c r="CT429" s="51"/>
      <c r="CU429" s="51"/>
      <c r="CV429" s="51"/>
      <c r="CW429" s="51"/>
      <c r="CX429" s="51"/>
      <c r="CY429" s="51"/>
      <c r="CZ429" s="51"/>
      <c r="DA429" s="51"/>
      <c r="DB429" s="51"/>
      <c r="DC429" s="51"/>
      <c r="DD429" s="51"/>
      <c r="DE429" s="51"/>
      <c r="DF429" s="51"/>
      <c r="DG429" s="51"/>
      <c r="DH429" s="51"/>
      <c r="DI429" s="51"/>
      <c r="DJ429" s="51"/>
      <c r="DK429" s="51"/>
      <c r="DL429" s="51"/>
      <c r="DM429" s="51"/>
      <c r="DN429" s="51"/>
      <c r="DO429" s="51"/>
      <c r="DP429" s="51"/>
      <c r="DQ429" s="51"/>
      <c r="DR429" s="51"/>
      <c r="DS429" s="51"/>
      <c r="DT429" s="51"/>
      <c r="DU429" s="51"/>
      <c r="DV429" s="51"/>
      <c r="DW429" s="51"/>
      <c r="DX429" s="51"/>
      <c r="DY429" s="51"/>
      <c r="DZ429" s="51"/>
      <c r="EA429" s="51"/>
      <c r="EB429" s="51"/>
      <c r="EC429" s="51"/>
      <c r="ED429" s="51"/>
      <c r="EE429" s="51"/>
      <c r="EF429" s="51"/>
      <c r="EG429" s="51"/>
      <c r="EH429" s="51"/>
      <c r="EI429" s="51"/>
      <c r="EJ429" s="51"/>
      <c r="EK429" s="51"/>
      <c r="EL429" s="51"/>
      <c r="EM429" s="51"/>
      <c r="EN429" s="51"/>
      <c r="EO429" s="51"/>
      <c r="EP429" s="51"/>
      <c r="EQ429" s="51"/>
      <c r="ER429" s="51"/>
      <c r="ES429" s="51"/>
      <c r="ET429" s="51"/>
      <c r="EU429" s="51"/>
      <c r="EV429" s="51"/>
      <c r="EW429" s="51"/>
      <c r="EX429" s="51"/>
      <c r="EY429" s="51"/>
      <c r="EZ429" s="51"/>
      <c r="FA429" s="51"/>
      <c r="FB429" s="51"/>
      <c r="FC429" s="51"/>
      <c r="FD429" s="51"/>
      <c r="FE429" s="51"/>
      <c r="FF429" s="51"/>
      <c r="FG429" s="51"/>
      <c r="FH429" s="51"/>
      <c r="FI429" s="51"/>
      <c r="FJ429" s="51"/>
      <c r="FK429" s="51"/>
      <c r="FL429" s="51"/>
      <c r="FM429" s="51"/>
      <c r="FN429" s="51"/>
      <c r="FO429" s="51"/>
      <c r="FP429" s="51"/>
      <c r="FQ429" s="51"/>
      <c r="FR429" s="51"/>
      <c r="FS429" s="51"/>
      <c r="FT429" s="51"/>
      <c r="FU429" s="51"/>
      <c r="FV429" s="51"/>
      <c r="FW429" s="51"/>
      <c r="FX429" s="51"/>
      <c r="FY429" s="51"/>
      <c r="FZ429" s="51"/>
      <c r="GA429" s="51"/>
      <c r="GB429" s="51"/>
      <c r="GC429" s="51"/>
      <c r="GD429" s="51"/>
      <c r="GE429" s="51"/>
      <c r="GF429" s="51"/>
      <c r="GG429" s="51"/>
      <c r="GH429" s="51"/>
      <c r="GI429" s="51"/>
      <c r="GJ429" s="51"/>
      <c r="GK429" s="51"/>
      <c r="GL429" s="51"/>
      <c r="GM429" s="51"/>
      <c r="GN429" s="51"/>
      <c r="GO429" s="51"/>
      <c r="GP429" s="51"/>
      <c r="GQ429" s="51"/>
      <c r="GR429" s="51"/>
      <c r="GS429" s="51"/>
      <c r="GT429" s="51"/>
      <c r="GU429" s="51"/>
      <c r="GV429" s="51"/>
      <c r="GW429" s="51"/>
      <c r="GX429" s="51"/>
      <c r="GY429" s="51"/>
      <c r="GZ429" s="51"/>
      <c r="HA429" s="51"/>
      <c r="HB429" s="51"/>
      <c r="HC429" s="51"/>
      <c r="HD429" s="51"/>
      <c r="HE429" s="51"/>
      <c r="HF429" s="51"/>
      <c r="HG429" s="51"/>
      <c r="HH429" s="51"/>
      <c r="HI429" s="51"/>
      <c r="HJ429" s="51"/>
      <c r="HK429" s="51"/>
      <c r="HL429" s="51"/>
      <c r="HM429" s="51"/>
      <c r="HN429" s="51"/>
      <c r="HO429" s="51"/>
      <c r="HP429" s="51"/>
      <c r="HQ429" s="51"/>
      <c r="HR429" s="51"/>
      <c r="HS429" s="51"/>
      <c r="HT429" s="51"/>
      <c r="HU429" s="51"/>
      <c r="HV429" s="51"/>
      <c r="HW429" s="51"/>
      <c r="HX429" s="51"/>
      <c r="HY429" s="51"/>
      <c r="HZ429" s="51"/>
      <c r="IA429" s="51"/>
      <c r="IB429" s="51"/>
      <c r="IC429" s="51"/>
      <c r="ID429" s="51"/>
      <c r="IE429" s="51"/>
      <c r="IF429" s="51"/>
      <c r="IG429" s="51"/>
      <c r="IH429" s="51"/>
      <c r="II429" s="51"/>
      <c r="IJ429" s="51"/>
      <c r="IK429" s="51"/>
      <c r="IL429" s="51"/>
      <c r="IM429" s="51"/>
      <c r="IN429" s="51"/>
      <c r="IO429" s="51"/>
      <c r="IP429" s="51"/>
      <c r="IQ429" s="51"/>
      <c r="IR429" s="51"/>
      <c r="IS429" s="51"/>
      <c r="IT429" s="51"/>
      <c r="IU429" s="51"/>
      <c r="IV429" s="51"/>
    </row>
    <row r="430" hidden="1">
      <c r="B430" s="830" t="s">
        <v>24</v>
      </c>
      <c r="C430" s="823">
        <v>0</v>
      </c>
      <c r="D430" s="823">
        <v>0</v>
      </c>
      <c r="E430" s="823">
        <v>0</v>
      </c>
      <c r="F430" s="823">
        <v>0</v>
      </c>
      <c r="G430" s="823">
        <v>0</v>
      </c>
      <c r="H430" s="823">
        <v>0</v>
      </c>
      <c r="I430" s="823">
        <v>0</v>
      </c>
      <c r="J430" s="823">
        <v>0</v>
      </c>
      <c r="K430" s="823">
        <v>0</v>
      </c>
      <c r="L430" s="823">
        <v>0</v>
      </c>
      <c r="M430" s="823">
        <v>0</v>
      </c>
      <c r="N430" s="823">
        <v>0</v>
      </c>
      <c r="O430" s="823">
        <v>0</v>
      </c>
      <c r="P430" s="823">
        <v>2</v>
      </c>
      <c r="Q430" s="823">
        <v>2</v>
      </c>
      <c r="R430" s="823">
        <v>3</v>
      </c>
      <c r="S430" s="823">
        <v>3</v>
      </c>
      <c r="T430" s="823">
        <v>3</v>
      </c>
      <c r="U430" s="823">
        <v>4</v>
      </c>
      <c r="V430" s="823">
        <v>21</v>
      </c>
      <c r="W430" s="823">
        <v>35</v>
      </c>
      <c r="X430" s="823">
        <v>52</v>
      </c>
      <c r="Y430" s="823">
        <v>57</v>
      </c>
      <c r="Z430" s="823">
        <v>66</v>
      </c>
      <c r="AA430" s="823">
        <v>74</v>
      </c>
      <c r="AB430" s="823">
        <v>77</v>
      </c>
      <c r="AC430" s="825">
        <v>91</v>
      </c>
      <c r="AD430" s="825">
        <v>98</v>
      </c>
      <c r="AE430" s="825">
        <v>102</v>
      </c>
      <c r="AF430" s="825">
        <v>114</v>
      </c>
      <c r="AG430" s="825">
        <v>121</v>
      </c>
      <c r="AH430" s="825">
        <v>131</v>
      </c>
      <c r="AI430" s="825">
        <v>141</v>
      </c>
      <c r="AJ430" s="825">
        <v>147</v>
      </c>
      <c r="AK430" s="825">
        <v>152</v>
      </c>
      <c r="AL430" s="825">
        <v>207</v>
      </c>
      <c r="AM430" s="825">
        <v>280</v>
      </c>
      <c r="AN430" s="825">
        <v>187</v>
      </c>
      <c r="AO430" s="825">
        <v>243</v>
      </c>
      <c r="AP430" s="825">
        <v>445</v>
      </c>
      <c r="AQ430" s="51"/>
      <c r="AR430" s="51"/>
      <c r="AS430" s="51"/>
      <c r="AT430" s="51"/>
      <c r="AU430" s="51"/>
      <c r="AV430" s="51"/>
      <c r="AW430" s="51"/>
      <c r="AX430" s="51"/>
      <c r="AY430" s="51"/>
      <c r="AZ430" s="51"/>
      <c r="BA430" s="51"/>
      <c r="BB430" s="51"/>
      <c r="BC430" s="51"/>
      <c r="BD430" s="51"/>
      <c r="BE430" s="51"/>
      <c r="BF430" s="51"/>
      <c r="BG430" s="51"/>
      <c r="BH430" s="51"/>
      <c r="BI430" s="51"/>
      <c r="BJ430" s="51"/>
      <c r="BK430" s="51"/>
      <c r="BL430" s="51"/>
      <c r="BM430" s="51"/>
      <c r="BN430" s="51"/>
      <c r="BO430" s="51"/>
      <c r="BP430" s="51"/>
      <c r="BQ430" s="51"/>
      <c r="BR430" s="51"/>
      <c r="BS430" s="51"/>
      <c r="BT430" s="51"/>
      <c r="BU430" s="51"/>
      <c r="BV430" s="51"/>
      <c r="BW430" s="51"/>
      <c r="BX430" s="51"/>
      <c r="BY430" s="51"/>
      <c r="BZ430" s="51"/>
      <c r="CA430" s="51"/>
      <c r="CB430" s="51"/>
      <c r="CC430" s="51"/>
      <c r="CD430" s="51"/>
      <c r="CE430" s="51"/>
      <c r="CF430" s="51"/>
      <c r="CG430" s="51"/>
      <c r="CH430" s="51"/>
      <c r="CI430" s="51"/>
      <c r="CJ430" s="51"/>
      <c r="CK430" s="51"/>
      <c r="CL430" s="51"/>
      <c r="CM430" s="51"/>
      <c r="CN430" s="51"/>
      <c r="CO430" s="51"/>
      <c r="CP430" s="51"/>
      <c r="CQ430" s="51"/>
      <c r="CR430" s="51"/>
      <c r="CS430" s="51"/>
      <c r="CT430" s="51"/>
      <c r="CU430" s="51"/>
      <c r="CV430" s="51"/>
      <c r="CW430" s="51"/>
      <c r="CX430" s="51"/>
      <c r="CY430" s="51"/>
      <c r="CZ430" s="51"/>
      <c r="DA430" s="51"/>
      <c r="DB430" s="51"/>
      <c r="DC430" s="51"/>
      <c r="DD430" s="51"/>
      <c r="DE430" s="51"/>
      <c r="DF430" s="51"/>
      <c r="DG430" s="51"/>
      <c r="DH430" s="51"/>
      <c r="DI430" s="51"/>
      <c r="DJ430" s="51"/>
      <c r="DK430" s="51"/>
      <c r="DL430" s="51"/>
      <c r="DM430" s="51"/>
      <c r="DN430" s="51"/>
      <c r="DO430" s="51"/>
      <c r="DP430" s="51"/>
      <c r="DQ430" s="51"/>
      <c r="DR430" s="51"/>
      <c r="DS430" s="51"/>
      <c r="DT430" s="51"/>
      <c r="DU430" s="51"/>
      <c r="DV430" s="51"/>
      <c r="DW430" s="51"/>
      <c r="DX430" s="51"/>
      <c r="DY430" s="51"/>
      <c r="DZ430" s="51"/>
      <c r="EA430" s="51"/>
      <c r="EB430" s="51"/>
      <c r="EC430" s="51"/>
      <c r="ED430" s="51"/>
      <c r="EE430" s="51"/>
      <c r="EF430" s="51"/>
      <c r="EG430" s="51"/>
      <c r="EH430" s="51"/>
      <c r="EI430" s="51"/>
      <c r="EJ430" s="51"/>
      <c r="EK430" s="51"/>
      <c r="EL430" s="51"/>
      <c r="EM430" s="51"/>
      <c r="EN430" s="51"/>
      <c r="EO430" s="51"/>
      <c r="EP430" s="51"/>
      <c r="EQ430" s="51"/>
      <c r="ER430" s="51"/>
      <c r="ES430" s="51"/>
      <c r="ET430" s="51"/>
      <c r="EU430" s="51"/>
      <c r="EV430" s="51"/>
      <c r="EW430" s="51"/>
      <c r="EX430" s="51"/>
      <c r="EY430" s="51"/>
      <c r="EZ430" s="51"/>
      <c r="FA430" s="51"/>
      <c r="FB430" s="51"/>
      <c r="FC430" s="51"/>
      <c r="FD430" s="51"/>
      <c r="FE430" s="51"/>
      <c r="FF430" s="51"/>
      <c r="FG430" s="51"/>
      <c r="FH430" s="51"/>
      <c r="FI430" s="51"/>
      <c r="FJ430" s="51"/>
      <c r="FK430" s="51"/>
      <c r="FL430" s="51"/>
      <c r="FM430" s="51"/>
      <c r="FN430" s="51"/>
      <c r="FO430" s="51"/>
      <c r="FP430" s="51"/>
      <c r="FQ430" s="51"/>
      <c r="FR430" s="51"/>
      <c r="FS430" s="51"/>
      <c r="FT430" s="51"/>
      <c r="FU430" s="51"/>
      <c r="FV430" s="51"/>
      <c r="FW430" s="51"/>
      <c r="FX430" s="51"/>
      <c r="FY430" s="51"/>
      <c r="FZ430" s="51"/>
      <c r="GA430" s="51"/>
      <c r="GB430" s="51"/>
      <c r="GC430" s="51"/>
      <c r="GD430" s="51"/>
      <c r="GE430" s="51"/>
      <c r="GF430" s="51"/>
      <c r="GG430" s="51"/>
      <c r="GH430" s="51"/>
      <c r="GI430" s="51"/>
      <c r="GJ430" s="51"/>
      <c r="GK430" s="51"/>
      <c r="GL430" s="51"/>
      <c r="GM430" s="51"/>
      <c r="GN430" s="51"/>
      <c r="GO430" s="51"/>
      <c r="GP430" s="51"/>
      <c r="GQ430" s="51"/>
      <c r="GR430" s="51"/>
      <c r="GS430" s="51"/>
      <c r="GT430" s="51"/>
      <c r="GU430" s="51"/>
      <c r="GV430" s="51"/>
      <c r="GW430" s="51"/>
      <c r="GX430" s="51"/>
      <c r="GY430" s="51"/>
      <c r="GZ430" s="51"/>
      <c r="HA430" s="51"/>
      <c r="HB430" s="51"/>
      <c r="HC430" s="51"/>
      <c r="HD430" s="51"/>
      <c r="HE430" s="51"/>
      <c r="HF430" s="51"/>
      <c r="HG430" s="51"/>
      <c r="HH430" s="51"/>
      <c r="HI430" s="51"/>
      <c r="HJ430" s="51"/>
      <c r="HK430" s="51"/>
      <c r="HL430" s="51"/>
      <c r="HM430" s="51"/>
      <c r="HN430" s="51"/>
      <c r="HO430" s="51"/>
      <c r="HP430" s="51"/>
      <c r="HQ430" s="51"/>
      <c r="HR430" s="51"/>
      <c r="HS430" s="51"/>
      <c r="HT430" s="51"/>
      <c r="HU430" s="51"/>
      <c r="HV430" s="51"/>
      <c r="HW430" s="51"/>
      <c r="HX430" s="51"/>
      <c r="HY430" s="51"/>
      <c r="HZ430" s="51"/>
      <c r="IA430" s="51"/>
      <c r="IB430" s="51"/>
      <c r="IC430" s="51"/>
      <c r="ID430" s="51"/>
      <c r="IE430" s="51"/>
      <c r="IF430" s="51"/>
      <c r="IG430" s="51"/>
      <c r="IH430" s="51"/>
      <c r="II430" s="51"/>
      <c r="IJ430" s="51"/>
      <c r="IK430" s="51"/>
      <c r="IL430" s="51"/>
      <c r="IM430" s="51"/>
      <c r="IN430" s="51"/>
      <c r="IO430" s="51"/>
      <c r="IP430" s="51"/>
      <c r="IQ430" s="51"/>
      <c r="IR430" s="51"/>
      <c r="IS430" s="51"/>
      <c r="IT430" s="51"/>
      <c r="IU430" s="51"/>
      <c r="IV430" s="51"/>
    </row>
    <row r="431" hidden="1">
      <c r="B431" s="826" t="s">
        <v>25</v>
      </c>
      <c r="C431" s="827">
        <v>0</v>
      </c>
      <c r="D431" s="827">
        <v>0</v>
      </c>
      <c r="E431" s="827">
        <v>0</v>
      </c>
      <c r="F431" s="827">
        <v>0</v>
      </c>
      <c r="G431" s="827">
        <v>0</v>
      </c>
      <c r="H431" s="827">
        <v>0</v>
      </c>
      <c r="I431" s="827">
        <v>0</v>
      </c>
      <c r="J431" s="827">
        <v>0</v>
      </c>
      <c r="K431" s="827">
        <v>0</v>
      </c>
      <c r="L431" s="827">
        <v>0</v>
      </c>
      <c r="M431" s="827">
        <v>0</v>
      </c>
      <c r="N431" s="827">
        <v>0</v>
      </c>
      <c r="O431" s="827">
        <v>0</v>
      </c>
      <c r="P431" s="827">
        <v>0</v>
      </c>
      <c r="Q431" s="827">
        <v>0</v>
      </c>
      <c r="R431" s="827">
        <v>0</v>
      </c>
      <c r="S431" s="827">
        <v>0</v>
      </c>
      <c r="T431" s="827">
        <v>0</v>
      </c>
      <c r="U431" s="827">
        <v>0</v>
      </c>
      <c r="V431" s="827">
        <v>0</v>
      </c>
      <c r="W431" s="827">
        <v>0</v>
      </c>
      <c r="X431" s="827">
        <v>0</v>
      </c>
      <c r="Y431" s="827">
        <v>0</v>
      </c>
      <c r="Z431" s="827">
        <v>0</v>
      </c>
      <c r="AA431" s="827">
        <v>0</v>
      </c>
      <c r="AB431" s="827">
        <v>0</v>
      </c>
      <c r="AC431" s="828">
        <v>0</v>
      </c>
      <c r="AD431" s="828">
        <v>0</v>
      </c>
      <c r="AE431" s="828">
        <v>0</v>
      </c>
      <c r="AF431" s="828">
        <v>0</v>
      </c>
      <c r="AG431" s="828">
        <v>0</v>
      </c>
      <c r="AH431" s="828">
        <v>0</v>
      </c>
      <c r="AI431" s="828">
        <v>0</v>
      </c>
      <c r="AJ431" s="828">
        <v>0</v>
      </c>
      <c r="AK431" s="828">
        <v>0</v>
      </c>
      <c r="AL431" s="828">
        <v>0</v>
      </c>
      <c r="AM431" s="828">
        <v>0</v>
      </c>
      <c r="AN431" s="828">
        <v>0</v>
      </c>
      <c r="AO431" s="828">
        <v>0</v>
      </c>
      <c r="AP431" s="828">
        <v>0</v>
      </c>
      <c r="AQ431" s="51"/>
      <c r="AR431" s="51"/>
      <c r="AS431" s="51"/>
      <c r="AT431" s="51"/>
      <c r="AU431" s="51"/>
      <c r="AV431" s="51"/>
      <c r="AW431" s="51"/>
      <c r="AX431" s="51"/>
      <c r="AY431" s="51"/>
      <c r="AZ431" s="51"/>
      <c r="BA431" s="51"/>
      <c r="BB431" s="51"/>
      <c r="BC431" s="51"/>
      <c r="BD431" s="51"/>
      <c r="BE431" s="51"/>
      <c r="BF431" s="51"/>
      <c r="BG431" s="51"/>
      <c r="BH431" s="51"/>
      <c r="BI431" s="51"/>
      <c r="BJ431" s="51"/>
      <c r="BK431" s="51"/>
      <c r="BL431" s="51"/>
      <c r="BM431" s="51"/>
      <c r="BN431" s="51"/>
      <c r="BO431" s="51"/>
      <c r="BP431" s="51"/>
      <c r="BQ431" s="51"/>
      <c r="BR431" s="51"/>
      <c r="BS431" s="51"/>
      <c r="BT431" s="51"/>
      <c r="BU431" s="51"/>
      <c r="BV431" s="51"/>
      <c r="BW431" s="51"/>
      <c r="BX431" s="51"/>
      <c r="BY431" s="51"/>
      <c r="BZ431" s="51"/>
      <c r="CA431" s="51"/>
      <c r="CB431" s="51"/>
      <c r="CC431" s="51"/>
      <c r="CD431" s="51"/>
      <c r="CE431" s="51"/>
      <c r="CF431" s="51"/>
      <c r="CG431" s="51"/>
      <c r="CH431" s="51"/>
      <c r="CI431" s="51"/>
      <c r="CJ431" s="51"/>
      <c r="CK431" s="51"/>
      <c r="CL431" s="51"/>
      <c r="CM431" s="51"/>
      <c r="CN431" s="51"/>
      <c r="CO431" s="51"/>
      <c r="CP431" s="51"/>
      <c r="CQ431" s="51"/>
      <c r="CR431" s="51"/>
      <c r="CS431" s="51"/>
      <c r="CT431" s="51"/>
      <c r="CU431" s="51"/>
      <c r="CV431" s="51"/>
      <c r="CW431" s="51"/>
      <c r="CX431" s="51"/>
      <c r="CY431" s="51"/>
      <c r="CZ431" s="51"/>
      <c r="DA431" s="51"/>
      <c r="DB431" s="51"/>
      <c r="DC431" s="51"/>
      <c r="DD431" s="51"/>
      <c r="DE431" s="51"/>
      <c r="DF431" s="51"/>
      <c r="DG431" s="51"/>
      <c r="DH431" s="51"/>
      <c r="DI431" s="51"/>
      <c r="DJ431" s="51"/>
      <c r="DK431" s="51"/>
      <c r="DL431" s="51"/>
      <c r="DM431" s="51"/>
      <c r="DN431" s="51"/>
      <c r="DO431" s="51"/>
      <c r="DP431" s="51"/>
      <c r="DQ431" s="51"/>
      <c r="DR431" s="51"/>
      <c r="DS431" s="51"/>
      <c r="DT431" s="51"/>
      <c r="DU431" s="51"/>
      <c r="DV431" s="51"/>
      <c r="DW431" s="51"/>
      <c r="DX431" s="51"/>
      <c r="DY431" s="51"/>
      <c r="DZ431" s="51"/>
      <c r="EA431" s="51"/>
      <c r="EB431" s="51"/>
      <c r="EC431" s="51"/>
      <c r="ED431" s="51"/>
      <c r="EE431" s="51"/>
      <c r="EF431" s="51"/>
      <c r="EG431" s="51"/>
      <c r="EH431" s="51"/>
      <c r="EI431" s="51"/>
      <c r="EJ431" s="51"/>
      <c r="EK431" s="51"/>
      <c r="EL431" s="51"/>
      <c r="EM431" s="51"/>
      <c r="EN431" s="51"/>
      <c r="EO431" s="51"/>
      <c r="EP431" s="51"/>
      <c r="EQ431" s="51"/>
      <c r="ER431" s="51"/>
      <c r="ES431" s="51"/>
      <c r="ET431" s="51"/>
      <c r="EU431" s="51"/>
      <c r="EV431" s="51"/>
      <c r="EW431" s="51"/>
      <c r="EX431" s="51"/>
      <c r="EY431" s="51"/>
      <c r="EZ431" s="51"/>
      <c r="FA431" s="51"/>
      <c r="FB431" s="51"/>
      <c r="FC431" s="51"/>
      <c r="FD431" s="51"/>
      <c r="FE431" s="51"/>
      <c r="FF431" s="51"/>
      <c r="FG431" s="51"/>
      <c r="FH431" s="51"/>
      <c r="FI431" s="51"/>
      <c r="FJ431" s="51"/>
      <c r="FK431" s="51"/>
      <c r="FL431" s="51"/>
      <c r="FM431" s="51"/>
      <c r="FN431" s="51"/>
      <c r="FO431" s="51"/>
      <c r="FP431" s="51"/>
      <c r="FQ431" s="51"/>
      <c r="FR431" s="51"/>
      <c r="FS431" s="51"/>
      <c r="FT431" s="51"/>
      <c r="FU431" s="51"/>
      <c r="FV431" s="51"/>
      <c r="FW431" s="51"/>
      <c r="FX431" s="51"/>
      <c r="FY431" s="51"/>
      <c r="FZ431" s="51"/>
      <c r="GA431" s="51"/>
      <c r="GB431" s="51"/>
      <c r="GC431" s="51"/>
      <c r="GD431" s="51"/>
      <c r="GE431" s="51"/>
      <c r="GF431" s="51"/>
      <c r="GG431" s="51"/>
      <c r="GH431" s="51"/>
      <c r="GI431" s="51"/>
      <c r="GJ431" s="51"/>
      <c r="GK431" s="51"/>
      <c r="GL431" s="51"/>
      <c r="GM431" s="51"/>
      <c r="GN431" s="51"/>
      <c r="GO431" s="51"/>
      <c r="GP431" s="51"/>
      <c r="GQ431" s="51"/>
      <c r="GR431" s="51"/>
      <c r="GS431" s="51"/>
      <c r="GT431" s="51"/>
      <c r="GU431" s="51"/>
      <c r="GV431" s="51"/>
      <c r="GW431" s="51"/>
      <c r="GX431" s="51"/>
      <c r="GY431" s="51"/>
      <c r="GZ431" s="51"/>
      <c r="HA431" s="51"/>
      <c r="HB431" s="51"/>
      <c r="HC431" s="51"/>
      <c r="HD431" s="51"/>
      <c r="HE431" s="51"/>
      <c r="HF431" s="51"/>
      <c r="HG431" s="51"/>
      <c r="HH431" s="51"/>
      <c r="HI431" s="51"/>
      <c r="HJ431" s="51"/>
      <c r="HK431" s="51"/>
      <c r="HL431" s="51"/>
      <c r="HM431" s="51"/>
      <c r="HN431" s="51"/>
      <c r="HO431" s="51"/>
      <c r="HP431" s="51"/>
      <c r="HQ431" s="51"/>
      <c r="HR431" s="51"/>
      <c r="HS431" s="51"/>
      <c r="HT431" s="51"/>
      <c r="HU431" s="51"/>
      <c r="HV431" s="51"/>
      <c r="HW431" s="51"/>
      <c r="HX431" s="51"/>
      <c r="HY431" s="51"/>
      <c r="HZ431" s="51"/>
      <c r="IA431" s="51"/>
      <c r="IB431" s="51"/>
      <c r="IC431" s="51"/>
      <c r="ID431" s="51"/>
      <c r="IE431" s="51"/>
      <c r="IF431" s="51"/>
      <c r="IG431" s="51"/>
      <c r="IH431" s="51"/>
      <c r="II431" s="51"/>
      <c r="IJ431" s="51"/>
      <c r="IK431" s="51"/>
      <c r="IL431" s="51"/>
      <c r="IM431" s="51"/>
      <c r="IN431" s="51"/>
      <c r="IO431" s="51"/>
      <c r="IP431" s="51"/>
      <c r="IQ431" s="51"/>
      <c r="IR431" s="51"/>
      <c r="IS431" s="51"/>
      <c r="IT431" s="51"/>
      <c r="IU431" s="51"/>
      <c r="IV431" s="51"/>
    </row>
    <row r="432" hidden="1" ht="13.5">
      <c r="B432" s="831" t="s">
        <v>26</v>
      </c>
      <c r="C432" s="823">
        <v>0</v>
      </c>
      <c r="D432" s="823">
        <v>0</v>
      </c>
      <c r="E432" s="823">
        <v>0</v>
      </c>
      <c r="F432" s="823">
        <v>0</v>
      </c>
      <c r="G432" s="823">
        <v>0</v>
      </c>
      <c r="H432" s="823">
        <v>0</v>
      </c>
      <c r="I432" s="823">
        <v>0</v>
      </c>
      <c r="J432" s="823">
        <v>0</v>
      </c>
      <c r="K432" s="823">
        <v>0</v>
      </c>
      <c r="L432" s="823">
        <v>0</v>
      </c>
      <c r="M432" s="823">
        <v>0</v>
      </c>
      <c r="N432" s="823">
        <v>0</v>
      </c>
      <c r="O432" s="823">
        <v>0</v>
      </c>
      <c r="P432" s="823">
        <v>0</v>
      </c>
      <c r="Q432" s="823">
        <v>0</v>
      </c>
      <c r="R432" s="823">
        <v>0</v>
      </c>
      <c r="S432" s="823">
        <v>0</v>
      </c>
      <c r="T432" s="823">
        <v>0</v>
      </c>
      <c r="U432" s="823">
        <v>0</v>
      </c>
      <c r="V432" s="823">
        <v>0</v>
      </c>
      <c r="W432" s="823">
        <v>0</v>
      </c>
      <c r="X432" s="823">
        <v>0</v>
      </c>
      <c r="Y432" s="823">
        <v>0</v>
      </c>
      <c r="Z432" s="823">
        <v>0</v>
      </c>
      <c r="AA432" s="823">
        <v>0</v>
      </c>
      <c r="AB432" s="832">
        <v>0</v>
      </c>
      <c r="AC432" s="825">
        <v>0</v>
      </c>
      <c r="AD432" s="825">
        <v>0</v>
      </c>
      <c r="AE432" s="825">
        <v>0</v>
      </c>
      <c r="AF432" s="825">
        <v>0</v>
      </c>
      <c r="AG432" s="825">
        <v>0</v>
      </c>
      <c r="AH432" s="825">
        <v>0</v>
      </c>
      <c r="AI432" s="825">
        <v>0</v>
      </c>
      <c r="AJ432" s="825">
        <v>0</v>
      </c>
      <c r="AK432" s="825">
        <v>0</v>
      </c>
      <c r="AL432" s="825">
        <v>0</v>
      </c>
      <c r="AM432" s="825">
        <v>0</v>
      </c>
      <c r="AN432" s="825">
        <v>0</v>
      </c>
      <c r="AO432" s="825">
        <v>0</v>
      </c>
      <c r="AP432" s="825">
        <v>0</v>
      </c>
      <c r="AQ432" s="51"/>
      <c r="AR432" s="51"/>
      <c r="AS432" s="51"/>
      <c r="AT432" s="51"/>
      <c r="AU432" s="51"/>
      <c r="AV432" s="51"/>
      <c r="AW432" s="51"/>
      <c r="AX432" s="51"/>
      <c r="AY432" s="51"/>
      <c r="AZ432" s="51"/>
      <c r="BA432" s="51"/>
      <c r="BB432" s="51"/>
      <c r="BC432" s="51"/>
      <c r="BD432" s="51"/>
      <c r="BE432" s="51"/>
      <c r="BF432" s="51"/>
      <c r="BG432" s="51"/>
      <c r="BH432" s="51"/>
      <c r="BI432" s="51"/>
      <c r="BJ432" s="51"/>
      <c r="BK432" s="51"/>
      <c r="BL432" s="51"/>
      <c r="BM432" s="51"/>
      <c r="BN432" s="51"/>
      <c r="BO432" s="51"/>
      <c r="BP432" s="51"/>
      <c r="BQ432" s="51"/>
      <c r="BR432" s="51"/>
      <c r="BS432" s="51"/>
      <c r="BT432" s="51"/>
      <c r="BU432" s="51"/>
      <c r="BV432" s="51"/>
      <c r="BW432" s="51"/>
      <c r="BX432" s="51"/>
      <c r="BY432" s="51"/>
      <c r="BZ432" s="51"/>
      <c r="CA432" s="51"/>
      <c r="CB432" s="51"/>
      <c r="CC432" s="51"/>
      <c r="CD432" s="51"/>
      <c r="CE432" s="51"/>
      <c r="CF432" s="51"/>
      <c r="CG432" s="51"/>
      <c r="CH432" s="51"/>
      <c r="CI432" s="51"/>
      <c r="CJ432" s="51"/>
      <c r="CK432" s="51"/>
      <c r="CL432" s="51"/>
      <c r="CM432" s="51"/>
      <c r="CN432" s="51"/>
      <c r="CO432" s="51"/>
      <c r="CP432" s="51"/>
      <c r="CQ432" s="51"/>
      <c r="CR432" s="51"/>
      <c r="CS432" s="51"/>
      <c r="CT432" s="51"/>
      <c r="CU432" s="51"/>
      <c r="CV432" s="51"/>
      <c r="CW432" s="51"/>
      <c r="CX432" s="51"/>
      <c r="CY432" s="51"/>
      <c r="CZ432" s="51"/>
      <c r="DA432" s="51"/>
      <c r="DB432" s="51"/>
      <c r="DC432" s="51"/>
      <c r="DD432" s="51"/>
      <c r="DE432" s="51"/>
      <c r="DF432" s="51"/>
      <c r="DG432" s="51"/>
      <c r="DH432" s="51"/>
      <c r="DI432" s="51"/>
      <c r="DJ432" s="51"/>
      <c r="DK432" s="51"/>
      <c r="DL432" s="51"/>
      <c r="DM432" s="51"/>
      <c r="DN432" s="51"/>
      <c r="DO432" s="51"/>
      <c r="DP432" s="51"/>
      <c r="DQ432" s="51"/>
      <c r="DR432" s="51"/>
      <c r="DS432" s="51"/>
      <c r="DT432" s="51"/>
      <c r="DU432" s="51"/>
      <c r="DV432" s="51"/>
      <c r="DW432" s="51"/>
      <c r="DX432" s="51"/>
      <c r="DY432" s="51"/>
      <c r="DZ432" s="51"/>
      <c r="EA432" s="51"/>
      <c r="EB432" s="51"/>
      <c r="EC432" s="51"/>
      <c r="ED432" s="51"/>
      <c r="EE432" s="51"/>
      <c r="EF432" s="51"/>
      <c r="EG432" s="51"/>
      <c r="EH432" s="51"/>
      <c r="EI432" s="51"/>
      <c r="EJ432" s="51"/>
      <c r="EK432" s="51"/>
      <c r="EL432" s="51"/>
      <c r="EM432" s="51"/>
      <c r="EN432" s="51"/>
      <c r="EO432" s="51"/>
      <c r="EP432" s="51"/>
      <c r="EQ432" s="51"/>
      <c r="ER432" s="51"/>
      <c r="ES432" s="51"/>
      <c r="ET432" s="51"/>
      <c r="EU432" s="51"/>
      <c r="EV432" s="51"/>
      <c r="EW432" s="51"/>
      <c r="EX432" s="51"/>
      <c r="EY432" s="51"/>
      <c r="EZ432" s="51"/>
      <c r="FA432" s="51"/>
      <c r="FB432" s="51"/>
      <c r="FC432" s="51"/>
      <c r="FD432" s="51"/>
      <c r="FE432" s="51"/>
      <c r="FF432" s="51"/>
      <c r="FG432" s="51"/>
      <c r="FH432" s="51"/>
      <c r="FI432" s="51"/>
      <c r="FJ432" s="51"/>
      <c r="FK432" s="51"/>
      <c r="FL432" s="51"/>
      <c r="FM432" s="51"/>
      <c r="FN432" s="51"/>
      <c r="FO432" s="51"/>
      <c r="FP432" s="51"/>
      <c r="FQ432" s="51"/>
      <c r="FR432" s="51"/>
      <c r="FS432" s="51"/>
      <c r="FT432" s="51"/>
      <c r="FU432" s="51"/>
      <c r="FV432" s="51"/>
      <c r="FW432" s="51"/>
      <c r="FX432" s="51"/>
      <c r="FY432" s="51"/>
      <c r="FZ432" s="51"/>
      <c r="GA432" s="51"/>
      <c r="GB432" s="51"/>
      <c r="GC432" s="51"/>
      <c r="GD432" s="51"/>
      <c r="GE432" s="51"/>
      <c r="GF432" s="51"/>
      <c r="GG432" s="51"/>
      <c r="GH432" s="51"/>
      <c r="GI432" s="51"/>
      <c r="GJ432" s="51"/>
      <c r="GK432" s="51"/>
      <c r="GL432" s="51"/>
      <c r="GM432" s="51"/>
      <c r="GN432" s="51"/>
      <c r="GO432" s="51"/>
      <c r="GP432" s="51"/>
      <c r="GQ432" s="51"/>
      <c r="GR432" s="51"/>
      <c r="GS432" s="51"/>
      <c r="GT432" s="51"/>
      <c r="GU432" s="51"/>
      <c r="GV432" s="51"/>
      <c r="GW432" s="51"/>
      <c r="GX432" s="51"/>
      <c r="GY432" s="51"/>
      <c r="GZ432" s="51"/>
      <c r="HA432" s="51"/>
      <c r="HB432" s="51"/>
      <c r="HC432" s="51"/>
      <c r="HD432" s="51"/>
      <c r="HE432" s="51"/>
      <c r="HF432" s="51"/>
      <c r="HG432" s="51"/>
      <c r="HH432" s="51"/>
      <c r="HI432" s="51"/>
      <c r="HJ432" s="51"/>
      <c r="HK432" s="51"/>
      <c r="HL432" s="51"/>
      <c r="HM432" s="51"/>
      <c r="HN432" s="51"/>
      <c r="HO432" s="51"/>
      <c r="HP432" s="51"/>
      <c r="HQ432" s="51"/>
      <c r="HR432" s="51"/>
      <c r="HS432" s="51"/>
      <c r="HT432" s="51"/>
      <c r="HU432" s="51"/>
      <c r="HV432" s="51"/>
      <c r="HW432" s="51"/>
      <c r="HX432" s="51"/>
      <c r="HY432" s="51"/>
      <c r="HZ432" s="51"/>
      <c r="IA432" s="51"/>
      <c r="IB432" s="51"/>
      <c r="IC432" s="51"/>
      <c r="ID432" s="51"/>
      <c r="IE432" s="51"/>
      <c r="IF432" s="51"/>
      <c r="IG432" s="51"/>
      <c r="IH432" s="51"/>
      <c r="II432" s="51"/>
      <c r="IJ432" s="51"/>
      <c r="IK432" s="51"/>
      <c r="IL432" s="51"/>
      <c r="IM432" s="51"/>
      <c r="IN432" s="51"/>
      <c r="IO432" s="51"/>
      <c r="IP432" s="51"/>
      <c r="IQ432" s="51"/>
      <c r="IR432" s="51"/>
      <c r="IS432" s="51"/>
      <c r="IT432" s="51"/>
      <c r="IU432" s="51"/>
      <c r="IV432" s="51"/>
    </row>
    <row r="433" hidden="1" ht="13.5">
      <c r="B433" s="128" t="s">
        <v>7</v>
      </c>
      <c r="C433" s="129" t="str">
        <f>IF(SUM(C414:C432)&lt;&gt;0,SUM(C414:C432),"")</f>
      </c>
      <c r="D433" s="129" t="str">
        <f ref="D433:AA433" t="shared" si="50">IF(SUM(D414:D432)&lt;&gt;0,SUM(D414:D432),"")</f>
      </c>
      <c r="E433" s="129" t="str">
        <f t="shared" si="50"/>
      </c>
      <c r="F433" s="129" t="str">
        <f t="shared" si="50"/>
      </c>
      <c r="G433" s="129" t="str">
        <f t="shared" si="50"/>
      </c>
      <c r="H433" s="129" t="str">
        <f t="shared" si="50"/>
      </c>
      <c r="I433" s="129" t="str">
        <f t="shared" si="50"/>
      </c>
      <c r="J433" s="129" t="str">
        <f t="shared" si="50"/>
      </c>
      <c r="K433" s="129" t="str">
        <f t="shared" si="50"/>
      </c>
      <c r="L433" s="129" t="str">
        <f t="shared" si="50"/>
      </c>
      <c r="M433" s="129" t="str">
        <f t="shared" si="50"/>
      </c>
      <c r="N433" s="129" t="str">
        <f t="shared" si="50"/>
      </c>
      <c r="O433" s="129" t="str">
        <f t="shared" si="50"/>
      </c>
      <c r="P433" s="129" t="str">
        <f t="shared" si="50"/>
      </c>
      <c r="Q433" s="129" t="str">
        <f t="shared" si="50"/>
      </c>
      <c r="R433" s="129" t="str">
        <f t="shared" si="50"/>
      </c>
      <c r="S433" s="129" t="str">
        <f t="shared" si="50"/>
      </c>
      <c r="T433" s="129" t="str">
        <f t="shared" si="50"/>
      </c>
      <c r="U433" s="129" t="str">
        <f t="shared" si="50"/>
      </c>
      <c r="V433" s="129" t="str">
        <f t="shared" si="50"/>
      </c>
      <c r="W433" s="129" t="str">
        <f t="shared" si="50"/>
      </c>
      <c r="X433" s="129" t="str">
        <f t="shared" si="50"/>
      </c>
      <c r="Y433" s="129" t="str">
        <f t="shared" si="50"/>
      </c>
      <c r="Z433" s="129" t="str">
        <f t="shared" si="50"/>
      </c>
      <c r="AA433" s="129" t="str">
        <f t="shared" si="50"/>
      </c>
      <c r="AB433" s="130" t="str">
        <f>IF(SUM(AB414:AB432)&lt;&gt;0,SUM(AB414:AB432),"")</f>
      </c>
      <c r="AC433" s="91" t="str">
        <f ref="AC433:CN433" t="shared" si="51">IF(SUM(AC414:AC432)&lt;&gt;0,SUM(AC414:AC432),"")</f>
      </c>
      <c r="AD433" s="91" t="str">
        <f t="shared" si="51"/>
      </c>
      <c r="AE433" s="91" t="str">
        <f t="shared" si="51"/>
      </c>
      <c r="AF433" s="91" t="str">
        <f t="shared" si="51"/>
      </c>
      <c r="AG433" s="91" t="str">
        <f t="shared" si="51"/>
      </c>
      <c r="AH433" s="91" t="str">
        <f t="shared" si="51"/>
      </c>
      <c r="AI433" s="91" t="str">
        <f t="shared" si="51"/>
      </c>
      <c r="AJ433" s="91" t="str">
        <f t="shared" si="51"/>
      </c>
      <c r="AK433" s="91" t="str">
        <f t="shared" si="51"/>
      </c>
      <c r="AL433" s="91" t="str">
        <f t="shared" si="51"/>
      </c>
      <c r="AM433" s="91" t="str">
        <f t="shared" si="51"/>
      </c>
      <c r="AN433" s="91" t="str">
        <f t="shared" si="51"/>
      </c>
      <c r="AO433" s="91" t="str">
        <f t="shared" si="51"/>
      </c>
      <c r="AP433" s="91" t="str">
        <f t="shared" si="51"/>
      </c>
      <c r="AQ433" s="91" t="str">
        <f t="shared" si="51"/>
      </c>
      <c r="AR433" s="91" t="str">
        <f t="shared" si="51"/>
      </c>
      <c r="AS433" s="91" t="str">
        <f t="shared" si="51"/>
      </c>
      <c r="AT433" s="91" t="str">
        <f t="shared" si="51"/>
      </c>
      <c r="AU433" s="91" t="str">
        <f t="shared" si="51"/>
      </c>
      <c r="AV433" s="91" t="str">
        <f t="shared" si="51"/>
      </c>
      <c r="AW433" s="91" t="str">
        <f t="shared" si="51"/>
      </c>
      <c r="AX433" s="91" t="str">
        <f t="shared" si="51"/>
      </c>
      <c r="AY433" s="91" t="str">
        <f t="shared" si="51"/>
      </c>
      <c r="AZ433" s="91" t="str">
        <f t="shared" si="51"/>
      </c>
      <c r="BA433" s="91" t="str">
        <f t="shared" si="51"/>
      </c>
      <c r="BB433" s="91" t="str">
        <f t="shared" si="51"/>
      </c>
      <c r="BC433" s="91" t="str">
        <f t="shared" si="51"/>
      </c>
      <c r="BD433" s="91" t="str">
        <f t="shared" si="51"/>
      </c>
      <c r="BE433" s="91" t="str">
        <f t="shared" si="51"/>
      </c>
      <c r="BF433" s="91" t="str">
        <f t="shared" si="51"/>
      </c>
      <c r="BG433" s="91" t="str">
        <f t="shared" si="51"/>
      </c>
      <c r="BH433" s="91" t="str">
        <f t="shared" si="51"/>
      </c>
      <c r="BI433" s="91" t="str">
        <f t="shared" si="51"/>
      </c>
      <c r="BJ433" s="91" t="str">
        <f t="shared" si="51"/>
      </c>
      <c r="BK433" s="91" t="str">
        <f t="shared" si="51"/>
      </c>
      <c r="BL433" s="91" t="str">
        <f t="shared" si="51"/>
      </c>
      <c r="BM433" s="91" t="str">
        <f t="shared" si="51"/>
      </c>
      <c r="BN433" s="91" t="str">
        <f t="shared" si="51"/>
      </c>
      <c r="BO433" s="91" t="str">
        <f t="shared" si="51"/>
      </c>
      <c r="BP433" s="91" t="str">
        <f t="shared" si="51"/>
      </c>
      <c r="BQ433" s="91" t="str">
        <f t="shared" si="51"/>
      </c>
      <c r="BR433" s="91" t="str">
        <f t="shared" si="51"/>
      </c>
      <c r="BS433" s="91" t="str">
        <f t="shared" si="51"/>
      </c>
      <c r="BT433" s="91" t="str">
        <f t="shared" si="51"/>
      </c>
      <c r="BU433" s="91" t="str">
        <f t="shared" si="51"/>
      </c>
      <c r="BV433" s="91" t="str">
        <f t="shared" si="51"/>
      </c>
      <c r="BW433" s="91" t="str">
        <f t="shared" si="51"/>
      </c>
      <c r="BX433" s="91" t="str">
        <f t="shared" si="51"/>
      </c>
      <c r="BY433" s="91" t="str">
        <f t="shared" si="51"/>
      </c>
      <c r="BZ433" s="91" t="str">
        <f t="shared" si="51"/>
      </c>
      <c r="CA433" s="91" t="str">
        <f t="shared" si="51"/>
      </c>
      <c r="CB433" s="91" t="str">
        <f t="shared" si="51"/>
      </c>
      <c r="CC433" s="91" t="str">
        <f t="shared" si="51"/>
      </c>
      <c r="CD433" s="91" t="str">
        <f t="shared" si="51"/>
      </c>
      <c r="CE433" s="91" t="str">
        <f t="shared" si="51"/>
      </c>
      <c r="CF433" s="91" t="str">
        <f t="shared" si="51"/>
      </c>
      <c r="CG433" s="91" t="str">
        <f t="shared" si="51"/>
      </c>
      <c r="CH433" s="91" t="str">
        <f t="shared" si="51"/>
      </c>
      <c r="CI433" s="91" t="str">
        <f t="shared" si="51"/>
      </c>
      <c r="CJ433" s="91" t="str">
        <f t="shared" si="51"/>
      </c>
      <c r="CK433" s="91" t="str">
        <f t="shared" si="51"/>
      </c>
      <c r="CL433" s="91" t="str">
        <f t="shared" si="51"/>
      </c>
      <c r="CM433" s="91" t="str">
        <f t="shared" si="51"/>
      </c>
      <c r="CN433" s="91" t="str">
        <f t="shared" si="51"/>
      </c>
      <c r="CO433" s="91" t="str">
        <f ref="CO433:EZ433" t="shared" si="52">IF(SUM(CO414:CO432)&lt;&gt;0,SUM(CO414:CO432),"")</f>
      </c>
      <c r="CP433" s="91" t="str">
        <f t="shared" si="52"/>
      </c>
      <c r="CQ433" s="91" t="str">
        <f t="shared" si="52"/>
      </c>
      <c r="CR433" s="91" t="str">
        <f t="shared" si="52"/>
      </c>
      <c r="CS433" s="91" t="str">
        <f t="shared" si="52"/>
      </c>
      <c r="CT433" s="91" t="str">
        <f t="shared" si="52"/>
      </c>
      <c r="CU433" s="91" t="str">
        <f t="shared" si="52"/>
      </c>
      <c r="CV433" s="91" t="str">
        <f t="shared" si="52"/>
      </c>
      <c r="CW433" s="91" t="str">
        <f t="shared" si="52"/>
      </c>
      <c r="CX433" s="91" t="str">
        <f t="shared" si="52"/>
      </c>
      <c r="CY433" s="91" t="str">
        <f t="shared" si="52"/>
      </c>
      <c r="CZ433" s="91" t="str">
        <f t="shared" si="52"/>
      </c>
      <c r="DA433" s="91" t="str">
        <f t="shared" si="52"/>
      </c>
      <c r="DB433" s="91" t="str">
        <f t="shared" si="52"/>
      </c>
      <c r="DC433" s="91" t="str">
        <f t="shared" si="52"/>
      </c>
      <c r="DD433" s="91" t="str">
        <f t="shared" si="52"/>
      </c>
      <c r="DE433" s="91" t="str">
        <f t="shared" si="52"/>
      </c>
      <c r="DF433" s="91" t="str">
        <f t="shared" si="52"/>
      </c>
      <c r="DG433" s="91" t="str">
        <f t="shared" si="52"/>
      </c>
      <c r="DH433" s="91" t="str">
        <f t="shared" si="52"/>
      </c>
      <c r="DI433" s="91" t="str">
        <f t="shared" si="52"/>
      </c>
      <c r="DJ433" s="91" t="str">
        <f t="shared" si="52"/>
      </c>
      <c r="DK433" s="91" t="str">
        <f t="shared" si="52"/>
      </c>
      <c r="DL433" s="91" t="str">
        <f t="shared" si="52"/>
      </c>
      <c r="DM433" s="91" t="str">
        <f t="shared" si="52"/>
      </c>
      <c r="DN433" s="91" t="str">
        <f t="shared" si="52"/>
      </c>
      <c r="DO433" s="91" t="str">
        <f t="shared" si="52"/>
      </c>
      <c r="DP433" s="91" t="str">
        <f t="shared" si="52"/>
      </c>
      <c r="DQ433" s="91" t="str">
        <f t="shared" si="52"/>
      </c>
      <c r="DR433" s="91" t="str">
        <f t="shared" si="52"/>
      </c>
      <c r="DS433" s="91" t="str">
        <f t="shared" si="52"/>
      </c>
      <c r="DT433" s="91" t="str">
        <f t="shared" si="52"/>
      </c>
      <c r="DU433" s="91" t="str">
        <f t="shared" si="52"/>
      </c>
      <c r="DV433" s="91" t="str">
        <f t="shared" si="52"/>
      </c>
      <c r="DW433" s="91" t="str">
        <f t="shared" si="52"/>
      </c>
      <c r="DX433" s="91" t="str">
        <f t="shared" si="52"/>
      </c>
      <c r="DY433" s="91" t="str">
        <f t="shared" si="52"/>
      </c>
      <c r="DZ433" s="91" t="str">
        <f t="shared" si="52"/>
      </c>
      <c r="EA433" s="91" t="str">
        <f t="shared" si="52"/>
      </c>
      <c r="EB433" s="91" t="str">
        <f t="shared" si="52"/>
      </c>
      <c r="EC433" s="91" t="str">
        <f t="shared" si="52"/>
      </c>
      <c r="ED433" s="91" t="str">
        <f t="shared" si="52"/>
      </c>
      <c r="EE433" s="91" t="str">
        <f t="shared" si="52"/>
      </c>
      <c r="EF433" s="91" t="str">
        <f t="shared" si="52"/>
      </c>
      <c r="EG433" s="91" t="str">
        <f t="shared" si="52"/>
      </c>
      <c r="EH433" s="91" t="str">
        <f t="shared" si="52"/>
      </c>
      <c r="EI433" s="91" t="str">
        <f t="shared" si="52"/>
      </c>
      <c r="EJ433" s="91" t="str">
        <f t="shared" si="52"/>
      </c>
      <c r="EK433" s="91" t="str">
        <f t="shared" si="52"/>
      </c>
      <c r="EL433" s="91" t="str">
        <f t="shared" si="52"/>
      </c>
      <c r="EM433" s="91" t="str">
        <f t="shared" si="52"/>
      </c>
      <c r="EN433" s="91" t="str">
        <f t="shared" si="52"/>
      </c>
      <c r="EO433" s="91" t="str">
        <f t="shared" si="52"/>
      </c>
      <c r="EP433" s="91" t="str">
        <f t="shared" si="52"/>
      </c>
      <c r="EQ433" s="91" t="str">
        <f t="shared" si="52"/>
      </c>
      <c r="ER433" s="91" t="str">
        <f t="shared" si="52"/>
      </c>
      <c r="ES433" s="91" t="str">
        <f t="shared" si="52"/>
      </c>
      <c r="ET433" s="91" t="str">
        <f t="shared" si="52"/>
      </c>
      <c r="EU433" s="91" t="str">
        <f t="shared" si="52"/>
      </c>
      <c r="EV433" s="91" t="str">
        <f t="shared" si="52"/>
      </c>
      <c r="EW433" s="91" t="str">
        <f t="shared" si="52"/>
      </c>
      <c r="EX433" s="91" t="str">
        <f t="shared" si="52"/>
      </c>
      <c r="EY433" s="91" t="str">
        <f t="shared" si="52"/>
      </c>
      <c r="EZ433" s="91" t="str">
        <f t="shared" si="52"/>
      </c>
      <c r="FA433" s="91" t="str">
        <f ref="FA433:HL433" t="shared" si="53">IF(SUM(FA414:FA432)&lt;&gt;0,SUM(FA414:FA432),"")</f>
      </c>
      <c r="FB433" s="91" t="str">
        <f t="shared" si="53"/>
      </c>
      <c r="FC433" s="91" t="str">
        <f t="shared" si="53"/>
      </c>
      <c r="FD433" s="91" t="str">
        <f t="shared" si="53"/>
      </c>
      <c r="FE433" s="91" t="str">
        <f t="shared" si="53"/>
      </c>
      <c r="FF433" s="91" t="str">
        <f t="shared" si="53"/>
      </c>
      <c r="FG433" s="91" t="str">
        <f t="shared" si="53"/>
      </c>
      <c r="FH433" s="91" t="str">
        <f t="shared" si="53"/>
      </c>
      <c r="FI433" s="91" t="str">
        <f t="shared" si="53"/>
      </c>
      <c r="FJ433" s="91" t="str">
        <f t="shared" si="53"/>
      </c>
      <c r="FK433" s="91" t="str">
        <f t="shared" si="53"/>
      </c>
      <c r="FL433" s="91" t="str">
        <f t="shared" si="53"/>
      </c>
      <c r="FM433" s="91" t="str">
        <f t="shared" si="53"/>
      </c>
      <c r="FN433" s="91" t="str">
        <f t="shared" si="53"/>
      </c>
      <c r="FO433" s="91" t="str">
        <f t="shared" si="53"/>
      </c>
      <c r="FP433" s="91" t="str">
        <f t="shared" si="53"/>
      </c>
      <c r="FQ433" s="91" t="str">
        <f t="shared" si="53"/>
      </c>
      <c r="FR433" s="91" t="str">
        <f t="shared" si="53"/>
      </c>
      <c r="FS433" s="91" t="str">
        <f t="shared" si="53"/>
      </c>
      <c r="FT433" s="91" t="str">
        <f t="shared" si="53"/>
      </c>
      <c r="FU433" s="91" t="str">
        <f t="shared" si="53"/>
      </c>
      <c r="FV433" s="91" t="str">
        <f t="shared" si="53"/>
      </c>
      <c r="FW433" s="91" t="str">
        <f t="shared" si="53"/>
      </c>
      <c r="FX433" s="91" t="str">
        <f t="shared" si="53"/>
      </c>
      <c r="FY433" s="91" t="str">
        <f t="shared" si="53"/>
      </c>
      <c r="FZ433" s="91" t="str">
        <f t="shared" si="53"/>
      </c>
      <c r="GA433" s="91" t="str">
        <f t="shared" si="53"/>
      </c>
      <c r="GB433" s="91" t="str">
        <f t="shared" si="53"/>
      </c>
      <c r="GC433" s="91" t="str">
        <f t="shared" si="53"/>
      </c>
      <c r="GD433" s="91" t="str">
        <f t="shared" si="53"/>
      </c>
      <c r="GE433" s="91" t="str">
        <f t="shared" si="53"/>
      </c>
      <c r="GF433" s="91" t="str">
        <f t="shared" si="53"/>
      </c>
      <c r="GG433" s="91" t="str">
        <f t="shared" si="53"/>
      </c>
      <c r="GH433" s="91" t="str">
        <f t="shared" si="53"/>
      </c>
      <c r="GI433" s="91" t="str">
        <f t="shared" si="53"/>
      </c>
      <c r="GJ433" s="91" t="str">
        <f t="shared" si="53"/>
      </c>
      <c r="GK433" s="91" t="str">
        <f t="shared" si="53"/>
      </c>
      <c r="GL433" s="91" t="str">
        <f t="shared" si="53"/>
      </c>
      <c r="GM433" s="91" t="str">
        <f t="shared" si="53"/>
      </c>
      <c r="GN433" s="91" t="str">
        <f t="shared" si="53"/>
      </c>
      <c r="GO433" s="91" t="str">
        <f t="shared" si="53"/>
      </c>
      <c r="GP433" s="91" t="str">
        <f t="shared" si="53"/>
      </c>
      <c r="GQ433" s="91" t="str">
        <f t="shared" si="53"/>
      </c>
      <c r="GR433" s="91" t="str">
        <f t="shared" si="53"/>
      </c>
      <c r="GS433" s="91" t="str">
        <f t="shared" si="53"/>
      </c>
      <c r="GT433" s="91" t="str">
        <f t="shared" si="53"/>
      </c>
      <c r="GU433" s="91" t="str">
        <f t="shared" si="53"/>
      </c>
      <c r="GV433" s="91" t="str">
        <f t="shared" si="53"/>
      </c>
      <c r="GW433" s="91" t="str">
        <f t="shared" si="53"/>
      </c>
      <c r="GX433" s="91" t="str">
        <f t="shared" si="53"/>
      </c>
      <c r="GY433" s="91" t="str">
        <f t="shared" si="53"/>
      </c>
      <c r="GZ433" s="91" t="str">
        <f t="shared" si="53"/>
      </c>
      <c r="HA433" s="91" t="str">
        <f t="shared" si="53"/>
      </c>
      <c r="HB433" s="91" t="str">
        <f t="shared" si="53"/>
      </c>
      <c r="HC433" s="91" t="str">
        <f t="shared" si="53"/>
      </c>
      <c r="HD433" s="91" t="str">
        <f t="shared" si="53"/>
      </c>
      <c r="HE433" s="91" t="str">
        <f t="shared" si="53"/>
      </c>
      <c r="HF433" s="91" t="str">
        <f t="shared" si="53"/>
      </c>
      <c r="HG433" s="91" t="str">
        <f t="shared" si="53"/>
      </c>
      <c r="HH433" s="91" t="str">
        <f t="shared" si="53"/>
      </c>
      <c r="HI433" s="91" t="str">
        <f t="shared" si="53"/>
      </c>
      <c r="HJ433" s="91" t="str">
        <f t="shared" si="53"/>
      </c>
      <c r="HK433" s="91" t="str">
        <f t="shared" si="53"/>
      </c>
      <c r="HL433" s="91" t="str">
        <f t="shared" si="53"/>
      </c>
      <c r="HM433" s="91" t="str">
        <f ref="HM433:IV433" t="shared" si="54">IF(SUM(HM414:HM432)&lt;&gt;0,SUM(HM414:HM432),"")</f>
      </c>
      <c r="HN433" s="91" t="str">
        <f t="shared" si="54"/>
      </c>
      <c r="HO433" s="91" t="str">
        <f t="shared" si="54"/>
      </c>
      <c r="HP433" s="91" t="str">
        <f t="shared" si="54"/>
      </c>
      <c r="HQ433" s="91" t="str">
        <f t="shared" si="54"/>
      </c>
      <c r="HR433" s="91" t="str">
        <f t="shared" si="54"/>
      </c>
      <c r="HS433" s="91" t="str">
        <f t="shared" si="54"/>
      </c>
      <c r="HT433" s="91" t="str">
        <f t="shared" si="54"/>
      </c>
      <c r="HU433" s="91" t="str">
        <f t="shared" si="54"/>
      </c>
      <c r="HV433" s="91" t="str">
        <f t="shared" si="54"/>
      </c>
      <c r="HW433" s="91" t="str">
        <f t="shared" si="54"/>
      </c>
      <c r="HX433" s="91" t="str">
        <f t="shared" si="54"/>
      </c>
      <c r="HY433" s="91" t="str">
        <f t="shared" si="54"/>
      </c>
      <c r="HZ433" s="91" t="str">
        <f t="shared" si="54"/>
      </c>
      <c r="IA433" s="91" t="str">
        <f t="shared" si="54"/>
      </c>
      <c r="IB433" s="91" t="str">
        <f t="shared" si="54"/>
      </c>
      <c r="IC433" s="91" t="str">
        <f t="shared" si="54"/>
      </c>
      <c r="ID433" s="91" t="str">
        <f t="shared" si="54"/>
      </c>
      <c r="IE433" s="91" t="str">
        <f t="shared" si="54"/>
      </c>
      <c r="IF433" s="91" t="str">
        <f t="shared" si="54"/>
      </c>
      <c r="IG433" s="91" t="str">
        <f t="shared" si="54"/>
      </c>
      <c r="IH433" s="91" t="str">
        <f t="shared" si="54"/>
      </c>
      <c r="II433" s="91" t="str">
        <f t="shared" si="54"/>
      </c>
      <c r="IJ433" s="91" t="str">
        <f t="shared" si="54"/>
      </c>
      <c r="IK433" s="91" t="str">
        <f t="shared" si="54"/>
      </c>
      <c r="IL433" s="91" t="str">
        <f t="shared" si="54"/>
      </c>
      <c r="IM433" s="91" t="str">
        <f t="shared" si="54"/>
      </c>
      <c r="IN433" s="91" t="str">
        <f t="shared" si="54"/>
      </c>
      <c r="IO433" s="91" t="str">
        <f t="shared" si="54"/>
      </c>
      <c r="IP433" s="91" t="str">
        <f t="shared" si="54"/>
      </c>
      <c r="IQ433" s="91" t="str">
        <f t="shared" si="54"/>
      </c>
      <c r="IR433" s="91" t="str">
        <f t="shared" si="54"/>
      </c>
      <c r="IS433" s="91" t="str">
        <f t="shared" si="54"/>
      </c>
      <c r="IT433" s="91" t="str">
        <f t="shared" si="54"/>
      </c>
      <c r="IU433" s="91" t="str">
        <f t="shared" si="54"/>
      </c>
      <c r="IV433" s="91" t="str">
        <f t="shared" si="54"/>
      </c>
    </row>
    <row r="434" hidden="1"/>
    <row r="435" hidden="1" ht="13.5"/>
    <row r="436" hidden="1" ht="13.5" customHeight="1">
      <c r="C436" s="732" t="s">
        <v>422</v>
      </c>
      <c r="D436" s="733"/>
      <c r="E436" s="733"/>
      <c r="F436" s="733"/>
      <c r="G436" s="733"/>
      <c r="H436" s="733"/>
      <c r="I436" s="733"/>
      <c r="J436" s="733"/>
      <c r="K436" s="733"/>
      <c r="L436" s="733"/>
      <c r="M436" s="733"/>
      <c r="N436" s="733"/>
      <c r="O436" s="733"/>
      <c r="P436" s="733"/>
      <c r="Q436" s="733"/>
      <c r="R436" s="733"/>
      <c r="S436" s="733"/>
      <c r="T436" s="733"/>
      <c r="U436" s="733"/>
      <c r="V436" s="733"/>
      <c r="W436" s="733"/>
      <c r="X436" s="733"/>
      <c r="Y436" s="733"/>
      <c r="Z436" s="733"/>
      <c r="AA436" s="733"/>
      <c r="AB436" s="734"/>
    </row>
    <row r="437" hidden="1" ht="13.5">
      <c r="B437" s="51"/>
      <c r="C437" s="435" t="str">
        <f> IF(C457&lt;&gt;"",TEXT(AUX!G$1,"dd-MMM-aa"),"")</f>
      </c>
      <c r="D437" s="435" t="str">
        <f> IF(D457&lt;&gt;"",TEXT(AUX!H$1,"dd-MMM-aa"),"")</f>
      </c>
      <c r="E437" s="435" t="str">
        <f> IF(E457&lt;&gt;"",TEXT(AUX!I$1,"dd-MMM-aa"),"")</f>
      </c>
      <c r="F437" s="435" t="str">
        <f> IF(F457&lt;&gt;"",TEXT(AUX!J$1,"dd-MMM-aa"),"")</f>
      </c>
      <c r="G437" s="435" t="str">
        <f> IF(G457&lt;&gt;"",TEXT(AUX!K$1,"dd-MMM-aa"),"")</f>
      </c>
      <c r="H437" s="435" t="str">
        <f> IF(H457&lt;&gt;"",TEXT(AUX!L$1,"dd-MMM-aa"),"")</f>
      </c>
      <c r="I437" s="435" t="str">
        <f> IF(I457&lt;&gt;"",TEXT(AUX!M$1,"dd-MMM-aa"),"")</f>
      </c>
      <c r="J437" s="435" t="str">
        <f> IF(J457&lt;&gt;"",TEXT(AUX!N$1,"dd-MMM-aa"),"")</f>
      </c>
      <c r="K437" s="435" t="str">
        <f> IF(K457&lt;&gt;"",TEXT(AUX!O$1,"dd-MMM-aa"),"")</f>
      </c>
      <c r="L437" s="435" t="str">
        <f> IF(L457&lt;&gt;"",TEXT(AUX!P$1,"dd-MMM-aa"),"")</f>
      </c>
      <c r="M437" s="435" t="str">
        <f> IF(M457&lt;&gt;"",TEXT(AUX!Q$1,"dd-MMM-aa"),"")</f>
      </c>
      <c r="N437" s="435" t="str">
        <f> IF(N457&lt;&gt;"",TEXT(AUX!R$1,"dd-MMM-aa"),"")</f>
      </c>
      <c r="O437" s="435" t="str">
        <f> IF(O457&lt;&gt;"",TEXT(AUX!S$1,"dd-MMM-aa"),"")</f>
      </c>
      <c r="P437" s="435" t="str">
        <f> IF(P457&lt;&gt;"",TEXT(AUX!T$1,"dd-MMM-aa"),"")</f>
      </c>
      <c r="Q437" s="435" t="str">
        <f> IF(Q457&lt;&gt;"",TEXT(AUX!U$1,"dd-MMM-aa"),"")</f>
      </c>
      <c r="R437" s="435" t="str">
        <f> IF(R457&lt;&gt;"",TEXT(AUX!V$1,"dd-MMM-aa"),"")</f>
      </c>
      <c r="S437" s="435" t="str">
        <f> IF(S457&lt;&gt;"",TEXT(AUX!W$1,"dd-MMM-aa"),"")</f>
      </c>
      <c r="T437" s="435" t="str">
        <f> IF(T457&lt;&gt;"",TEXT(AUX!X$1,"dd-MMM-aa"),"")</f>
      </c>
      <c r="U437" s="435" t="str">
        <f> IF(U457&lt;&gt;"",TEXT(AUX!Y$1,"dd-MMM-aa"),"")</f>
      </c>
      <c r="V437" s="435" t="str">
        <f> IF(V457&lt;&gt;"",TEXT(AUX!Z$1,"dd-MMM-aa"),"")</f>
      </c>
      <c r="W437" s="435" t="str">
        <f> IF(W457&lt;&gt;"",TEXT(AUX!AA$1,"dd-MMM-aa"),"")</f>
      </c>
      <c r="X437" s="435" t="str">
        <f> IF(X457&lt;&gt;"",TEXT(AUX!AB$1,"dd-MMM-aa"),"")</f>
      </c>
      <c r="Y437" s="435" t="str">
        <f> IF(Y457&lt;&gt;"",TEXT(AUX!AC$1,"dd-MMM-aa"),"")</f>
      </c>
      <c r="Z437" s="435" t="str">
        <f> IF(Z457&lt;&gt;"",TEXT(AUX!AD$1,"dd-MMM-aa"),"")</f>
      </c>
      <c r="AA437" s="435" t="str">
        <f> IF(AA457&lt;&gt;"",TEXT(AUX!AE$1,"dd-MMM-aa"),"")</f>
      </c>
      <c r="AB437" s="497" t="str">
        <f> IF(AB457&lt;&gt;"",TEXT(AUX!AF$1,"dd-MMM-aa"),"")</f>
      </c>
      <c r="AC437" s="496" t="str">
        <f> IF(AC457&lt;&gt;"",TEXT(AUX!AG$1,"dd-MMM-aa"),"")</f>
      </c>
      <c r="AD437" s="496" t="str">
        <f> IF(AD457&lt;&gt;"",TEXT(AUX!AH$1,"dd-MMM-aa"),"")</f>
      </c>
      <c r="AE437" s="496" t="str">
        <f> IF(AE457&lt;&gt;"",TEXT(AUX!AI$1,"dd-MMM-aa"),"")</f>
      </c>
      <c r="AF437" s="496" t="str">
        <f> IF(AF457&lt;&gt;"",TEXT(AUX!AJ$1,"dd-MMM-aa"),"")</f>
      </c>
      <c r="AG437" s="496" t="str">
        <f> IF(AG457&lt;&gt;"",TEXT(AUX!AK$1,"dd-MMM-aa"),"")</f>
      </c>
      <c r="AH437" s="496" t="str">
        <f> IF(AH457&lt;&gt;"",TEXT(AUX!AL$1,"dd-MMM-aa"),"")</f>
      </c>
      <c r="AI437" s="496" t="str">
        <f> IF(AI457&lt;&gt;"",TEXT(AUX!AM$1,"dd-MMM-aa"),"")</f>
      </c>
      <c r="AJ437" s="496" t="str">
        <f> IF(AJ457&lt;&gt;"",TEXT(AUX!AN$1,"dd-MMM-aa"),"")</f>
      </c>
      <c r="AK437" s="496" t="str">
        <f> IF(AK457&lt;&gt;"",TEXT(AUX!AO$1,"dd-MMM-aa"),"")</f>
      </c>
      <c r="AL437" s="496" t="str">
        <f> IF(AL457&lt;&gt;"",TEXT(AUX!AP$1,"dd-MMM-aa"),"")</f>
      </c>
      <c r="AM437" s="496" t="str">
        <f> IF(AM457&lt;&gt;"",TEXT(AUX!AQ$1,"dd-MMM-aa"),"")</f>
      </c>
      <c r="AN437" s="496" t="str">
        <f> IF(AN457&lt;&gt;"",TEXT(AUX!AR$1,"dd-MMM-aa"),"")</f>
      </c>
      <c r="AO437" s="496" t="str">
        <f> IF(AO457&lt;&gt;"",TEXT(AUX!AS$1,"dd-MMM-aa"),"")</f>
      </c>
      <c r="AP437" s="496" t="str">
        <f> IF(AP457&lt;&gt;"",TEXT(AUX!AT$1,"dd-MMM-aa"),"")</f>
      </c>
      <c r="AQ437" s="496" t="str">
        <f> IF(AQ457&lt;&gt;"",TEXT(AUX!AU$1,"dd-MMM-aa"),"")</f>
      </c>
      <c r="AR437" s="496" t="str">
        <f> IF(AR457&lt;&gt;"",TEXT(AUX!AV$1,"dd-MMM-aa"),"")</f>
      </c>
      <c r="AS437" s="496" t="str">
        <f> IF(AS457&lt;&gt;"",TEXT(AUX!AW$1,"dd-MMM-aa"),"")</f>
      </c>
      <c r="AT437" s="496" t="str">
        <f> IF(AT457&lt;&gt;"",TEXT(AUX!AX$1,"dd-MMM-aa"),"")</f>
      </c>
      <c r="AU437" s="496" t="str">
        <f> IF(AU457&lt;&gt;"",TEXT(AUX!AY$1,"dd-MMM-aa"),"")</f>
      </c>
      <c r="AV437" s="496" t="str">
        <f> IF(AV457&lt;&gt;"",TEXT(AUX!AZ$1,"dd-MMM-aa"),"")</f>
      </c>
      <c r="AW437" s="496" t="str">
        <f> IF(AW457&lt;&gt;"",TEXT(AUX!BA$1,"dd-MMM-aa"),"")</f>
      </c>
      <c r="AX437" s="496" t="str">
        <f> IF(AX457&lt;&gt;"",TEXT(AUX!BB$1,"dd-MMM-aa"),"")</f>
      </c>
      <c r="AY437" s="496" t="str">
        <f> IF(AY457&lt;&gt;"",TEXT(AUX!BC$1,"dd-MMM-aa"),"")</f>
      </c>
      <c r="AZ437" s="496" t="str">
        <f> IF(AZ457&lt;&gt;"",TEXT(AUX!BD$1,"dd-MMM-aa"),"")</f>
      </c>
      <c r="BA437" s="496" t="str">
        <f> IF(BA457&lt;&gt;"",TEXT(AUX!BE$1,"dd-MMM-aa"),"")</f>
      </c>
      <c r="BB437" s="496" t="str">
        <f> IF(BB457&lt;&gt;"",TEXT(AUX!BF$1,"dd-MMM-aa"),"")</f>
      </c>
      <c r="BC437" s="496" t="str">
        <f> IF(BC457&lt;&gt;"",TEXT(AUX!BG$1,"dd-MMM-aa"),"")</f>
      </c>
      <c r="BD437" s="496" t="str">
        <f> IF(BD457&lt;&gt;"",TEXT(AUX!BH$1,"dd-MMM-aa"),"")</f>
      </c>
      <c r="BE437" s="496" t="str">
        <f> IF(BE457&lt;&gt;"",TEXT(AUX!BI$1,"dd-MMM-aa"),"")</f>
      </c>
      <c r="BF437" s="496" t="str">
        <f> IF(BF457&lt;&gt;"",TEXT(AUX!BJ$1,"dd-MMM-aa"),"")</f>
      </c>
      <c r="BG437" s="496" t="str">
        <f> IF(BG457&lt;&gt;"",TEXT(AUX!BK$1,"dd-MMM-aa"),"")</f>
      </c>
      <c r="BH437" s="496" t="str">
        <f> IF(BH457&lt;&gt;"",TEXT(AUX!BL$1,"dd-MMM-aa"),"")</f>
      </c>
      <c r="BI437" s="496" t="str">
        <f> IF(BI457&lt;&gt;"",TEXT(AUX!BM$1,"dd-MMM-aa"),"")</f>
      </c>
      <c r="BJ437" s="496" t="str">
        <f> IF(BJ457&lt;&gt;"",TEXT(AUX!BN$1,"dd-MMM-aa"),"")</f>
      </c>
      <c r="BK437" s="496" t="str">
        <f> IF(BK457&lt;&gt;"",TEXT(AUX!BO$1,"dd-MMM-aa"),"")</f>
      </c>
      <c r="BL437" s="496" t="str">
        <f> IF(BL457&lt;&gt;"",TEXT(AUX!BP$1,"dd-MMM-aa"),"")</f>
      </c>
      <c r="BM437" s="496" t="str">
        <f> IF(BM457&lt;&gt;"",TEXT(AUX!BQ$1,"dd-MMM-aa"),"")</f>
      </c>
      <c r="BN437" s="496" t="str">
        <f> IF(BN457&lt;&gt;"",TEXT(AUX!BR$1,"dd-MMM-aa"),"")</f>
      </c>
      <c r="BO437" s="496" t="str">
        <f> IF(BO457&lt;&gt;"",TEXT(AUX!BS$1,"dd-MMM-aa"),"")</f>
      </c>
      <c r="BP437" s="496" t="str">
        <f> IF(BP457&lt;&gt;"",TEXT(AUX!BT$1,"dd-MMM-aa"),"")</f>
      </c>
      <c r="BQ437" s="496" t="str">
        <f> IF(BQ457&lt;&gt;"",TEXT(AUX!BU$1,"dd-MMM-aa"),"")</f>
      </c>
      <c r="BR437" s="496" t="str">
        <f> IF(BR457&lt;&gt;"",TEXT(AUX!BV$1,"dd-MMM-aa"),"")</f>
      </c>
      <c r="BS437" s="496" t="str">
        <f> IF(BS457&lt;&gt;"",TEXT(AUX!BW$1,"dd-MMM-aa"),"")</f>
      </c>
      <c r="BT437" s="496" t="str">
        <f> IF(BT457&lt;&gt;"",TEXT(AUX!BX$1,"dd-MMM-aa"),"")</f>
      </c>
      <c r="BU437" s="496" t="str">
        <f> IF(BU457&lt;&gt;"",TEXT(AUX!BY$1,"dd-MMM-aa"),"")</f>
      </c>
      <c r="BV437" s="496" t="str">
        <f> IF(BV457&lt;&gt;"",TEXT(AUX!BZ$1,"dd-MMM-aa"),"")</f>
      </c>
      <c r="BW437" s="496" t="str">
        <f> IF(BW457&lt;&gt;"",TEXT(AUX!CA$1,"dd-MMM-aa"),"")</f>
      </c>
      <c r="BX437" s="496" t="str">
        <f> IF(BX457&lt;&gt;"",TEXT(AUX!CB$1,"dd-MMM-aa"),"")</f>
      </c>
      <c r="BY437" s="496" t="str">
        <f> IF(BY457&lt;&gt;"",TEXT(AUX!CC$1,"dd-MMM-aa"),"")</f>
      </c>
      <c r="BZ437" s="496" t="str">
        <f> IF(BZ457&lt;&gt;"",TEXT(AUX!CD$1,"dd-MMM-aa"),"")</f>
      </c>
      <c r="CA437" s="496" t="str">
        <f> IF(CA457&lt;&gt;"",TEXT(AUX!CE$1,"dd-MMM-aa"),"")</f>
      </c>
      <c r="CB437" s="496" t="str">
        <f> IF(CB457&lt;&gt;"",TEXT(AUX!CF$1,"dd-MMM-aa"),"")</f>
      </c>
      <c r="CC437" s="496" t="str">
        <f> IF(CC457&lt;&gt;"",TEXT(AUX!CG$1,"dd-MMM-aa"),"")</f>
      </c>
      <c r="CD437" s="496" t="str">
        <f> IF(CD457&lt;&gt;"",TEXT(AUX!CH$1,"dd-MMM-aa"),"")</f>
      </c>
      <c r="CE437" s="496" t="str">
        <f> IF(CE457&lt;&gt;"",TEXT(AUX!CI$1,"dd-MMM-aa"),"")</f>
      </c>
      <c r="CF437" s="496" t="str">
        <f> IF(CF457&lt;&gt;"",TEXT(AUX!CJ$1,"dd-MMM-aa"),"")</f>
      </c>
      <c r="CG437" s="496" t="str">
        <f> IF(CG457&lt;&gt;"",TEXT(AUX!CK$1,"dd-MMM-aa"),"")</f>
      </c>
      <c r="CH437" s="496" t="str">
        <f> IF(CH457&lt;&gt;"",TEXT(AUX!CL$1,"dd-MMM-aa"),"")</f>
      </c>
      <c r="CI437" s="496" t="str">
        <f> IF(CI457&lt;&gt;"",TEXT(AUX!CM$1,"dd-MMM-aa"),"")</f>
      </c>
      <c r="CJ437" s="496" t="str">
        <f> IF(CJ457&lt;&gt;"",TEXT(AUX!CN$1,"dd-MMM-aa"),"")</f>
      </c>
      <c r="CK437" s="496" t="str">
        <f> IF(CK457&lt;&gt;"",TEXT(AUX!CO$1,"dd-MMM-aa"),"")</f>
      </c>
      <c r="CL437" s="496" t="str">
        <f> IF(CL457&lt;&gt;"",TEXT(AUX!CP$1,"dd-MMM-aa"),"")</f>
      </c>
      <c r="CM437" s="496" t="str">
        <f> IF(CM457&lt;&gt;"",TEXT(AUX!CQ$1,"dd-MMM-aa"),"")</f>
      </c>
      <c r="CN437" s="496" t="str">
        <f> IF(CN457&lt;&gt;"",TEXT(AUX!CR$1,"dd-MMM-aa"),"")</f>
      </c>
      <c r="CO437" s="496" t="str">
        <f> IF(CO457&lt;&gt;"",TEXT(AUX!CS$1,"dd-MMM-aa"),"")</f>
      </c>
      <c r="CP437" s="496" t="str">
        <f> IF(CP457&lt;&gt;"",TEXT(AUX!CT$1,"dd-MMM-aa"),"")</f>
      </c>
      <c r="CQ437" s="496" t="str">
        <f> IF(CQ457&lt;&gt;"",TEXT(AUX!CU$1,"dd-MMM-aa"),"")</f>
      </c>
      <c r="CR437" s="496" t="str">
        <f> IF(CR457&lt;&gt;"",TEXT(AUX!CV$1,"dd-MMM-aa"),"")</f>
      </c>
      <c r="CS437" s="496" t="str">
        <f> IF(CS457&lt;&gt;"",TEXT(AUX!CW$1,"dd-MMM-aa"),"")</f>
      </c>
      <c r="CT437" s="496" t="str">
        <f> IF(CT457&lt;&gt;"",TEXT(AUX!CX$1,"dd-MMM-aa"),"")</f>
      </c>
      <c r="CU437" s="496" t="str">
        <f> IF(CU457&lt;&gt;"",TEXT(AUX!CY$1,"dd-MMM-aa"),"")</f>
      </c>
      <c r="CV437" s="496" t="str">
        <f> IF(CV457&lt;&gt;"",TEXT(AUX!CZ$1,"dd-MMM-aa"),"")</f>
      </c>
      <c r="CW437" s="496" t="str">
        <f> IF(CW457&lt;&gt;"",TEXT(AUX!DA$1,"dd-MMM-aa"),"")</f>
      </c>
      <c r="CX437" s="496" t="str">
        <f> IF(CX457&lt;&gt;"",TEXT(AUX!DB$1,"dd-MMM-aa"),"")</f>
      </c>
      <c r="CY437" s="496" t="str">
        <f> IF(CY457&lt;&gt;"",TEXT(AUX!DC$1,"dd-MMM-aa"),"")</f>
      </c>
      <c r="CZ437" s="496" t="str">
        <f> IF(CZ457&lt;&gt;"",TEXT(AUX!DD$1,"dd-MMM-aa"),"")</f>
      </c>
      <c r="DA437" s="496" t="str">
        <f> IF(DA457&lt;&gt;"",TEXT(AUX!DE$1,"dd-MMM-aa"),"")</f>
      </c>
      <c r="DB437" s="496" t="str">
        <f> IF(DB457&lt;&gt;"",TEXT(AUX!DF$1,"dd-MMM-aa"),"")</f>
      </c>
      <c r="DC437" s="496" t="str">
        <f> IF(DC457&lt;&gt;"",TEXT(AUX!DG$1,"dd-MMM-aa"),"")</f>
      </c>
      <c r="DD437" s="496" t="str">
        <f> IF(DD457&lt;&gt;"",TEXT(AUX!DH$1,"dd-MMM-aa"),"")</f>
      </c>
      <c r="DE437" s="496" t="str">
        <f> IF(DE457&lt;&gt;"",TEXT(AUX!DI$1,"dd-MMM-aa"),"")</f>
      </c>
      <c r="DF437" s="496" t="str">
        <f> IF(DF457&lt;&gt;"",TEXT(AUX!DJ$1,"dd-MMM-aa"),"")</f>
      </c>
      <c r="DG437" s="496" t="str">
        <f> IF(DG457&lt;&gt;"",TEXT(AUX!DK$1,"dd-MMM-aa"),"")</f>
      </c>
      <c r="DH437" s="496" t="str">
        <f> IF(DH457&lt;&gt;"",TEXT(AUX!DL$1,"dd-MMM-aa"),"")</f>
      </c>
      <c r="DI437" s="496" t="str">
        <f> IF(DI457&lt;&gt;"",TEXT(AUX!DM$1,"dd-MMM-aa"),"")</f>
      </c>
      <c r="DJ437" s="496" t="str">
        <f> IF(DJ457&lt;&gt;"",TEXT(AUX!DN$1,"dd-MMM-aa"),"")</f>
      </c>
      <c r="DK437" s="496" t="str">
        <f> IF(DK457&lt;&gt;"",TEXT(AUX!DO$1,"dd-MMM-aa"),"")</f>
      </c>
      <c r="DL437" s="496" t="str">
        <f> IF(DL457&lt;&gt;"",TEXT(AUX!DP$1,"dd-MMM-aa"),"")</f>
      </c>
      <c r="DM437" s="496" t="str">
        <f> IF(DM457&lt;&gt;"",TEXT(AUX!DQ$1,"dd-MMM-aa"),"")</f>
      </c>
      <c r="DN437" s="496" t="str">
        <f> IF(DN457&lt;&gt;"",TEXT(AUX!DR$1,"dd-MMM-aa"),"")</f>
      </c>
      <c r="DO437" s="496" t="str">
        <f> IF(DO457&lt;&gt;"",TEXT(AUX!DS$1,"dd-MMM-aa"),"")</f>
      </c>
      <c r="DP437" s="496" t="str">
        <f> IF(DP457&lt;&gt;"",TEXT(AUX!DT$1,"dd-MMM-aa"),"")</f>
      </c>
      <c r="DQ437" s="496" t="str">
        <f> IF(DQ457&lt;&gt;"",TEXT(AUX!DU$1,"dd-MMM-aa"),"")</f>
      </c>
      <c r="DR437" s="496" t="str">
        <f> IF(DR457&lt;&gt;"",TEXT(AUX!DV$1,"dd-MMM-aa"),"")</f>
      </c>
      <c r="DS437" s="496" t="str">
        <f> IF(DS457&lt;&gt;"",TEXT(AUX!DW$1,"dd-MMM-aa"),"")</f>
      </c>
      <c r="DT437" s="496" t="str">
        <f> IF(DT457&lt;&gt;"",TEXT(AUX!DX$1,"dd-MMM-aa"),"")</f>
      </c>
      <c r="DU437" s="496" t="str">
        <f> IF(DU457&lt;&gt;"",TEXT(AUX!DY$1,"dd-MMM-aa"),"")</f>
      </c>
      <c r="DV437" s="496" t="str">
        <f> IF(DV457&lt;&gt;"",TEXT(AUX!DZ$1,"dd-MMM-aa"),"")</f>
      </c>
      <c r="DW437" s="496" t="str">
        <f> IF(DW457&lt;&gt;"",TEXT(AUX!EA$1,"dd-MMM-aa"),"")</f>
      </c>
      <c r="DX437" s="496" t="str">
        <f> IF(DX457&lt;&gt;"",TEXT(AUX!EB$1,"dd-MMM-aa"),"")</f>
      </c>
      <c r="DY437" s="496" t="str">
        <f> IF(DY457&lt;&gt;"",TEXT(AUX!EC$1,"dd-MMM-aa"),"")</f>
      </c>
      <c r="DZ437" s="496" t="str">
        <f> IF(DZ457&lt;&gt;"",TEXT(AUX!ED$1,"dd-MMM-aa"),"")</f>
      </c>
      <c r="EA437" s="496" t="str">
        <f> IF(EA457&lt;&gt;"",TEXT(AUX!EE$1,"dd-MMM-aa"),"")</f>
      </c>
      <c r="EB437" s="496" t="str">
        <f> IF(EB457&lt;&gt;"",TEXT(AUX!EF$1,"dd-MMM-aa"),"")</f>
      </c>
      <c r="EC437" s="496" t="str">
        <f> IF(EC457&lt;&gt;"",TEXT(AUX!EG$1,"dd-MMM-aa"),"")</f>
      </c>
      <c r="ED437" s="496" t="str">
        <f> IF(ED457&lt;&gt;"",TEXT(AUX!EH$1,"dd-MMM-aa"),"")</f>
      </c>
      <c r="EE437" s="496" t="str">
        <f> IF(EE457&lt;&gt;"",TEXT(AUX!EI$1,"dd-MMM-aa"),"")</f>
      </c>
      <c r="EF437" s="496" t="str">
        <f> IF(EF457&lt;&gt;"",TEXT(AUX!EJ$1,"dd-MMM-aa"),"")</f>
      </c>
      <c r="EG437" s="496" t="str">
        <f> IF(EG457&lt;&gt;"",TEXT(AUX!EK$1,"dd-MMM-aa"),"")</f>
      </c>
      <c r="EH437" s="496" t="str">
        <f> IF(EH457&lt;&gt;"",TEXT(AUX!EL$1,"dd-MMM-aa"),"")</f>
      </c>
      <c r="EI437" s="496" t="str">
        <f> IF(EI457&lt;&gt;"",TEXT(AUX!EM$1,"dd-MMM-aa"),"")</f>
      </c>
      <c r="EJ437" s="496" t="str">
        <f> IF(EJ457&lt;&gt;"",TEXT(AUX!EN$1,"dd-MMM-aa"),"")</f>
      </c>
      <c r="EK437" s="496" t="str">
        <f> IF(EK457&lt;&gt;"",TEXT(AUX!EO$1,"dd-MMM-aa"),"")</f>
      </c>
      <c r="EL437" s="496" t="str">
        <f> IF(EL457&lt;&gt;"",TEXT(AUX!EP$1,"dd-MMM-aa"),"")</f>
      </c>
      <c r="EM437" s="496" t="str">
        <f> IF(EM457&lt;&gt;"",TEXT(AUX!EQ$1,"dd-MMM-aa"),"")</f>
      </c>
      <c r="EN437" s="496" t="str">
        <f> IF(EN457&lt;&gt;"",TEXT(AUX!ER$1,"dd-MMM-aa"),"")</f>
      </c>
      <c r="EO437" s="496" t="str">
        <f> IF(EO457&lt;&gt;"",TEXT(AUX!ES$1,"dd-MMM-aa"),"")</f>
      </c>
      <c r="EP437" s="496" t="str">
        <f> IF(EP457&lt;&gt;"",TEXT(AUX!ET$1,"dd-MMM-aa"),"")</f>
      </c>
      <c r="EQ437" s="496" t="str">
        <f> IF(EQ457&lt;&gt;"",TEXT(AUX!EU$1,"dd-MMM-aa"),"")</f>
      </c>
      <c r="ER437" s="496" t="str">
        <f> IF(ER457&lt;&gt;"",TEXT(AUX!EV$1,"dd-MMM-aa"),"")</f>
      </c>
      <c r="ES437" s="496" t="str">
        <f> IF(ES457&lt;&gt;"",TEXT(AUX!EW$1,"dd-MMM-aa"),"")</f>
      </c>
      <c r="ET437" s="496" t="str">
        <f> IF(ET457&lt;&gt;"",TEXT(AUX!EX$1,"dd-MMM-aa"),"")</f>
      </c>
      <c r="EU437" s="496" t="str">
        <f> IF(EU457&lt;&gt;"",TEXT(AUX!EY$1,"dd-MMM-aa"),"")</f>
      </c>
      <c r="EV437" s="496" t="str">
        <f> IF(EV457&lt;&gt;"",TEXT(AUX!EZ$1,"dd-MMM-aa"),"")</f>
      </c>
      <c r="EW437" s="496" t="str">
        <f> IF(EW457&lt;&gt;"",TEXT(AUX!FA$1,"dd-MMM-aa"),"")</f>
      </c>
      <c r="EX437" s="496" t="str">
        <f> IF(EX457&lt;&gt;"",TEXT(AUX!FB$1,"dd-MMM-aa"),"")</f>
      </c>
      <c r="EY437" s="496" t="str">
        <f> IF(EY457&lt;&gt;"",TEXT(AUX!FC$1,"dd-MMM-aa"),"")</f>
      </c>
      <c r="EZ437" s="496" t="str">
        <f> IF(EZ457&lt;&gt;"",TEXT(AUX!FD$1,"dd-MMM-aa"),"")</f>
      </c>
      <c r="FA437" s="496" t="str">
        <f> IF(FA457&lt;&gt;"",TEXT(AUX!FE$1,"dd-MMM-aa"),"")</f>
      </c>
      <c r="FB437" s="496" t="str">
        <f> IF(FB457&lt;&gt;"",TEXT(AUX!FF$1,"dd-MMM-aa"),"")</f>
      </c>
      <c r="FC437" s="496" t="str">
        <f> IF(FC457&lt;&gt;"",TEXT(AUX!FG$1,"dd-MMM-aa"),"")</f>
      </c>
      <c r="FD437" s="496" t="str">
        <f> IF(FD457&lt;&gt;"",TEXT(AUX!FH$1,"dd-MMM-aa"),"")</f>
      </c>
      <c r="FE437" s="496" t="str">
        <f> IF(FE457&lt;&gt;"",TEXT(AUX!FI$1,"dd-MMM-aa"),"")</f>
      </c>
      <c r="FF437" s="496" t="str">
        <f> IF(FF457&lt;&gt;"",TEXT(AUX!FJ$1,"dd-MMM-aa"),"")</f>
      </c>
      <c r="FG437" s="496" t="str">
        <f> IF(FG457&lt;&gt;"",TEXT(AUX!FK$1,"dd-MMM-aa"),"")</f>
      </c>
      <c r="FH437" s="496" t="str">
        <f> IF(FH457&lt;&gt;"",TEXT(AUX!FL$1,"dd-MMM-aa"),"")</f>
      </c>
      <c r="FI437" s="496" t="str">
        <f> IF(FI457&lt;&gt;"",TEXT(AUX!FM$1,"dd-MMM-aa"),"")</f>
      </c>
      <c r="FJ437" s="496" t="str">
        <f> IF(FJ457&lt;&gt;"",TEXT(AUX!FN$1,"dd-MMM-aa"),"")</f>
      </c>
      <c r="FK437" s="496" t="str">
        <f> IF(FK457&lt;&gt;"",TEXT(AUX!FO$1,"dd-MMM-aa"),"")</f>
      </c>
      <c r="FL437" s="496" t="str">
        <f> IF(FL457&lt;&gt;"",TEXT(AUX!FP$1,"dd-MMM-aa"),"")</f>
      </c>
      <c r="FM437" s="496" t="str">
        <f> IF(FM457&lt;&gt;"",TEXT(AUX!FQ$1,"dd-MMM-aa"),"")</f>
      </c>
      <c r="FN437" s="496" t="str">
        <f> IF(FN457&lt;&gt;"",TEXT(AUX!FR$1,"dd-MMM-aa"),"")</f>
      </c>
      <c r="FO437" s="496" t="str">
        <f> IF(FO457&lt;&gt;"",TEXT(AUX!FS$1,"dd-MMM-aa"),"")</f>
      </c>
      <c r="FP437" s="496" t="str">
        <f> IF(FP457&lt;&gt;"",TEXT(AUX!FT$1,"dd-MMM-aa"),"")</f>
      </c>
      <c r="FQ437" s="496" t="str">
        <f> IF(FQ457&lt;&gt;"",TEXT(AUX!FU$1,"dd-MMM-aa"),"")</f>
      </c>
      <c r="FR437" s="496" t="str">
        <f> IF(FR457&lt;&gt;"",TEXT(AUX!FV$1,"dd-MMM-aa"),"")</f>
      </c>
      <c r="FS437" s="496" t="str">
        <f> IF(FS457&lt;&gt;"",TEXT(AUX!FW$1,"dd-MMM-aa"),"")</f>
      </c>
      <c r="FT437" s="496" t="str">
        <f> IF(FT457&lt;&gt;"",TEXT(AUX!FX$1,"dd-MMM-aa"),"")</f>
      </c>
      <c r="FU437" s="496" t="str">
        <f> IF(FU457&lt;&gt;"",TEXT(AUX!FY$1,"dd-MMM-aa"),"")</f>
      </c>
      <c r="FV437" s="496" t="str">
        <f> IF(FV457&lt;&gt;"",TEXT(AUX!FZ$1,"dd-MMM-aa"),"")</f>
      </c>
      <c r="FW437" s="496" t="str">
        <f> IF(FW457&lt;&gt;"",TEXT(AUX!GA$1,"dd-MMM-aa"),"")</f>
      </c>
      <c r="FX437" s="496" t="str">
        <f> IF(FX457&lt;&gt;"",TEXT(AUX!GB$1,"dd-MMM-aa"),"")</f>
      </c>
      <c r="FY437" s="496" t="str">
        <f> IF(FY457&lt;&gt;"",TEXT(AUX!GC$1,"dd-MMM-aa"),"")</f>
      </c>
      <c r="FZ437" s="496" t="str">
        <f> IF(FZ457&lt;&gt;"",TEXT(AUX!GD$1,"dd-MMM-aa"),"")</f>
      </c>
      <c r="GA437" s="496" t="str">
        <f> IF(GA457&lt;&gt;"",TEXT(AUX!GE$1,"dd-MMM-aa"),"")</f>
      </c>
      <c r="GB437" s="496" t="str">
        <f> IF(GB457&lt;&gt;"",TEXT(AUX!GF$1,"dd-MMM-aa"),"")</f>
      </c>
      <c r="GC437" s="496" t="str">
        <f> IF(GC457&lt;&gt;"",TEXT(AUX!GG$1,"dd-MMM-aa"),"")</f>
      </c>
      <c r="GD437" s="496" t="str">
        <f> IF(GD457&lt;&gt;"",TEXT(AUX!GH$1,"dd-MMM-aa"),"")</f>
      </c>
      <c r="GE437" s="496" t="str">
        <f> IF(GE457&lt;&gt;"",TEXT(AUX!GI$1,"dd-MMM-aa"),"")</f>
      </c>
      <c r="GF437" s="496" t="str">
        <f> IF(GF457&lt;&gt;"",TEXT(AUX!GJ$1,"dd-MMM-aa"),"")</f>
      </c>
      <c r="GG437" s="496" t="str">
        <f> IF(GG457&lt;&gt;"",TEXT(AUX!GK$1,"dd-MMM-aa"),"")</f>
      </c>
      <c r="GH437" s="496" t="str">
        <f> IF(GH457&lt;&gt;"",TEXT(AUX!GL$1,"dd-MMM-aa"),"")</f>
      </c>
      <c r="GI437" s="496" t="str">
        <f> IF(GI457&lt;&gt;"",TEXT(AUX!GM$1,"dd-MMM-aa"),"")</f>
      </c>
      <c r="GJ437" s="496" t="str">
        <f> IF(GJ457&lt;&gt;"",TEXT(AUX!GN$1,"dd-MMM-aa"),"")</f>
      </c>
      <c r="GK437" s="496" t="str">
        <f> IF(GK457&lt;&gt;"",TEXT(AUX!GO$1,"dd-MMM-aa"),"")</f>
      </c>
      <c r="GL437" s="496" t="str">
        <f> IF(GL457&lt;&gt;"",TEXT(AUX!GP$1,"dd-MMM-aa"),"")</f>
      </c>
      <c r="GM437" s="496" t="str">
        <f> IF(GM457&lt;&gt;"",TEXT(AUX!GQ$1,"dd-MMM-aa"),"")</f>
      </c>
      <c r="GN437" s="496" t="str">
        <f> IF(GN457&lt;&gt;"",TEXT(AUX!GR$1,"dd-MMM-aa"),"")</f>
      </c>
      <c r="GO437" s="496" t="str">
        <f> IF(GO457&lt;&gt;"",TEXT(AUX!GS$1,"dd-MMM-aa"),"")</f>
      </c>
      <c r="GP437" s="496" t="str">
        <f> IF(GP457&lt;&gt;"",TEXT(AUX!GT$1,"dd-MMM-aa"),"")</f>
      </c>
      <c r="GQ437" s="496" t="str">
        <f> IF(GQ457&lt;&gt;"",TEXT(AUX!GU$1,"dd-MMM-aa"),"")</f>
      </c>
      <c r="GR437" s="496" t="str">
        <f> IF(GR457&lt;&gt;"",TEXT(AUX!GV$1,"dd-MMM-aa"),"")</f>
      </c>
      <c r="GS437" s="496" t="str">
        <f> IF(GS457&lt;&gt;"",TEXT(AUX!GW$1,"dd-MMM-aa"),"")</f>
      </c>
      <c r="GT437" s="496" t="str">
        <f> IF(GT457&lt;&gt;"",TEXT(AUX!GX$1,"dd-MMM-aa"),"")</f>
      </c>
      <c r="GU437" s="496" t="str">
        <f> IF(GU457&lt;&gt;"",TEXT(AUX!GY$1,"dd-MMM-aa"),"")</f>
      </c>
      <c r="GV437" s="496" t="str">
        <f> IF(GV457&lt;&gt;"",TEXT(AUX!GZ$1,"dd-MMM-aa"),"")</f>
      </c>
      <c r="GW437" s="496" t="str">
        <f> IF(GW457&lt;&gt;"",TEXT(AUX!HA$1,"dd-MMM-aa"),"")</f>
      </c>
      <c r="GX437" s="496" t="str">
        <f> IF(GX457&lt;&gt;"",TEXT(AUX!HB$1,"dd-MMM-aa"),"")</f>
      </c>
      <c r="GY437" s="496" t="str">
        <f> IF(GY457&lt;&gt;"",TEXT(AUX!HC$1,"dd-MMM-aa"),"")</f>
      </c>
      <c r="GZ437" s="496" t="str">
        <f> IF(GZ457&lt;&gt;"",TEXT(AUX!HD$1,"dd-MMM-aa"),"")</f>
      </c>
      <c r="HA437" s="496" t="str">
        <f> IF(HA457&lt;&gt;"",TEXT(AUX!HE$1,"dd-MMM-aa"),"")</f>
      </c>
      <c r="HB437" s="496" t="str">
        <f> IF(HB457&lt;&gt;"",TEXT(AUX!HF$1,"dd-MMM-aa"),"")</f>
      </c>
      <c r="HC437" s="496" t="str">
        <f> IF(HC457&lt;&gt;"",TEXT(AUX!HG$1,"dd-MMM-aa"),"")</f>
      </c>
      <c r="HD437" s="496" t="str">
        <f> IF(HD457&lt;&gt;"",TEXT(AUX!HH$1,"dd-MMM-aa"),"")</f>
      </c>
      <c r="HE437" s="496" t="str">
        <f> IF(HE457&lt;&gt;"",TEXT(AUX!HI$1,"dd-MMM-aa"),"")</f>
      </c>
      <c r="HF437" s="496" t="str">
        <f> IF(HF457&lt;&gt;"",TEXT(AUX!HJ$1,"dd-MMM-aa"),"")</f>
      </c>
      <c r="HG437" s="496" t="str">
        <f> IF(HG457&lt;&gt;"",TEXT(AUX!HK$1,"dd-MMM-aa"),"")</f>
      </c>
      <c r="HH437" s="496" t="str">
        <f> IF(HH457&lt;&gt;"",TEXT(AUX!HL$1,"dd-MMM-aa"),"")</f>
      </c>
      <c r="HI437" s="496" t="str">
        <f> IF(HI457&lt;&gt;"",TEXT(AUX!HM$1,"dd-MMM-aa"),"")</f>
      </c>
      <c r="HJ437" s="496" t="str">
        <f> IF(HJ457&lt;&gt;"",TEXT(AUX!HN$1,"dd-MMM-aa"),"")</f>
      </c>
      <c r="HK437" s="496" t="str">
        <f> IF(HK457&lt;&gt;"",TEXT(AUX!HO$1,"dd-MMM-aa"),"")</f>
      </c>
      <c r="HL437" s="496" t="str">
        <f> IF(HL457&lt;&gt;"",TEXT(AUX!HP$1,"dd-MMM-aa"),"")</f>
      </c>
      <c r="HM437" s="496" t="str">
        <f> IF(HM457&lt;&gt;"",TEXT(AUX!HQ$1,"dd-MMM-aa"),"")</f>
      </c>
      <c r="HN437" s="496" t="str">
        <f> IF(HN457&lt;&gt;"",TEXT(AUX!HR$1,"dd-MMM-aa"),"")</f>
      </c>
      <c r="HO437" s="496" t="str">
        <f> IF(HO457&lt;&gt;"",TEXT(AUX!HS$1,"dd-MMM-aa"),"")</f>
      </c>
      <c r="HP437" s="496" t="str">
        <f> IF(HP457&lt;&gt;"",TEXT(AUX!HT$1,"dd-MMM-aa"),"")</f>
      </c>
      <c r="HQ437" s="496" t="str">
        <f> IF(HQ457&lt;&gt;"",TEXT(AUX!HU$1,"dd-MMM-aa"),"")</f>
      </c>
      <c r="HR437" s="496" t="str">
        <f> IF(HR457&lt;&gt;"",TEXT(AUX!HV$1,"dd-MMM-aa"),"")</f>
      </c>
      <c r="HS437" s="496" t="str">
        <f> IF(HS457&lt;&gt;"",TEXT(AUX!HW$1,"dd-MMM-aa"),"")</f>
      </c>
      <c r="HT437" s="496" t="str">
        <f> IF(HT457&lt;&gt;"",TEXT(AUX!HX$1,"dd-MMM-aa"),"")</f>
      </c>
      <c r="HU437" s="496" t="str">
        <f> IF(HU457&lt;&gt;"",TEXT(AUX!HY$1,"dd-MMM-aa"),"")</f>
      </c>
      <c r="HV437" s="496" t="str">
        <f> IF(HV457&lt;&gt;"",TEXT(AUX!HZ$1,"dd-MMM-aa"),"")</f>
      </c>
      <c r="HW437" s="496" t="str">
        <f> IF(HW457&lt;&gt;"",TEXT(AUX!IA$1,"dd-MMM-aa"),"")</f>
      </c>
      <c r="HX437" s="496" t="str">
        <f> IF(HX457&lt;&gt;"",TEXT(AUX!IB$1,"dd-MMM-aa"),"")</f>
      </c>
      <c r="HY437" s="496" t="str">
        <f> IF(HY457&lt;&gt;"",TEXT(AUX!IC$1,"dd-MMM-aa"),"")</f>
      </c>
      <c r="HZ437" s="496" t="str">
        <f> IF(HZ457&lt;&gt;"",TEXT(AUX!ID$1,"dd-MMM-aa"),"")</f>
      </c>
      <c r="IA437" s="496" t="str">
        <f> IF(IA457&lt;&gt;"",TEXT(AUX!IE$1,"dd-MMM-aa"),"")</f>
      </c>
      <c r="IB437" s="496" t="str">
        <f> IF(IB457&lt;&gt;"",TEXT(AUX!IF$1,"dd-MMM-aa"),"")</f>
      </c>
      <c r="IC437" s="496" t="str">
        <f> IF(IC457&lt;&gt;"",TEXT(AUX!IG$1,"dd-MMM-aa"),"")</f>
      </c>
      <c r="ID437" s="496" t="str">
        <f> IF(ID457&lt;&gt;"",TEXT(AUX!IH$1,"dd-MMM-aa"),"")</f>
      </c>
      <c r="IE437" s="496" t="str">
        <f> IF(IE457&lt;&gt;"",TEXT(AUX!II$1,"dd-MMM-aa"),"")</f>
      </c>
      <c r="IF437" s="496" t="str">
        <f> IF(IF457&lt;&gt;"",TEXT(AUX!IJ$1,"dd-MMM-aa"),"")</f>
      </c>
      <c r="IG437" s="496" t="str">
        <f> IF(IG457&lt;&gt;"",TEXT(AUX!IK$1,"dd-MMM-aa"),"")</f>
      </c>
      <c r="IH437" s="496" t="str">
        <f> IF(IH457&lt;&gt;"",TEXT(AUX!IL$1,"dd-MMM-aa"),"")</f>
      </c>
      <c r="II437" s="496" t="str">
        <f> IF(II457&lt;&gt;"",TEXT(AUX!IM$1,"dd-MMM-aa"),"")</f>
      </c>
      <c r="IJ437" s="496" t="str">
        <f> IF(IJ457&lt;&gt;"",TEXT(AUX!IN$1,"dd-MMM-aa"),"")</f>
      </c>
      <c r="IK437" s="496" t="str">
        <f> IF(IK457&lt;&gt;"",TEXT(AUX!IO$1,"dd-MMM-aa"),"")</f>
      </c>
      <c r="IL437" s="496" t="str">
        <f> IF(IL457&lt;&gt;"",TEXT(AUX!IP$1,"dd-MMM-aa"),"")</f>
      </c>
      <c r="IM437" s="496" t="str">
        <f> IF(IM457&lt;&gt;"",TEXT(AUX!IQ$1,"dd-MMM-aa"),"")</f>
      </c>
      <c r="IN437" s="496" t="str">
        <f> IF(IN457&lt;&gt;"",TEXT(AUX!IR$1,"dd-MMM-aa"),"")</f>
      </c>
      <c r="IO437" s="496" t="str">
        <f> IF(IO457&lt;&gt;"",TEXT(AUX!IS$1,"dd-MMM-aa"),"")</f>
      </c>
      <c r="IP437" s="496" t="str">
        <f> IF(IP457&lt;&gt;"",TEXT(AUX!IT$1,"dd-MMM-aa"),"")</f>
      </c>
      <c r="IQ437" s="496" t="str">
        <f> IF(IQ457&lt;&gt;"",TEXT(AUX!IU$1,"dd-MMM-aa"),"")</f>
      </c>
      <c r="IR437" s="496" t="str">
        <f> IF(IR457&lt;&gt;"",TEXT(AUX!IV$1,"dd-MMM-aa"),"")</f>
      </c>
      <c r="IS437" s="496" t="str">
        <f> IF(IS457&lt;&gt;"",TEXT(AUX!#REF!,"dd-MMM-aa"),"")</f>
      </c>
      <c r="IT437" s="496" t="str">
        <f> IF(IT457&lt;&gt;"",TEXT(AUX!#REF!,"dd-MMM-aa"),"")</f>
      </c>
      <c r="IU437" s="496" t="str">
        <f> IF(IU457&lt;&gt;"",TEXT(AUX!#REF!,"dd-MMM-aa"),"")</f>
      </c>
      <c r="IV437" s="496" t="str">
        <f> IF(IV457&lt;&gt;"",TEXT(AUX!#REF!,"dd-MMM-aa"),"")</f>
      </c>
    </row>
    <row r="438" hidden="1">
      <c r="B438" s="822" t="s">
        <v>8</v>
      </c>
      <c r="C438" s="823">
        <v>0</v>
      </c>
      <c r="D438" s="823">
        <v>0</v>
      </c>
      <c r="E438" s="823">
        <v>0</v>
      </c>
      <c r="F438" s="823">
        <v>0</v>
      </c>
      <c r="G438" s="823">
        <v>0</v>
      </c>
      <c r="H438" s="823">
        <v>0</v>
      </c>
      <c r="I438" s="823">
        <v>0</v>
      </c>
      <c r="J438" s="823">
        <v>0</v>
      </c>
      <c r="K438" s="823">
        <v>0</v>
      </c>
      <c r="L438" s="823">
        <v>0</v>
      </c>
      <c r="M438" s="823">
        <v>0</v>
      </c>
      <c r="N438" s="823">
        <v>0</v>
      </c>
      <c r="O438" s="823">
        <v>0</v>
      </c>
      <c r="P438" s="823">
        <v>0</v>
      </c>
      <c r="Q438" s="823">
        <v>0</v>
      </c>
      <c r="R438" s="823">
        <v>0</v>
      </c>
      <c r="S438" s="823">
        <v>0</v>
      </c>
      <c r="T438" s="823">
        <v>0</v>
      </c>
      <c r="U438" s="823">
        <v>0</v>
      </c>
      <c r="V438" s="823">
        <v>0</v>
      </c>
      <c r="W438" s="823">
        <v>0</v>
      </c>
      <c r="X438" s="823">
        <v>0</v>
      </c>
      <c r="Y438" s="823">
        <v>0</v>
      </c>
      <c r="Z438" s="823">
        <v>0</v>
      </c>
      <c r="AA438" s="823">
        <v>0</v>
      </c>
      <c r="AB438" s="824">
        <v>0</v>
      </c>
      <c r="AC438" s="825">
        <v>0</v>
      </c>
      <c r="AD438" s="825">
        <v>0</v>
      </c>
      <c r="AE438" s="825">
        <v>0</v>
      </c>
      <c r="AF438" s="825">
        <v>0</v>
      </c>
      <c r="AG438" s="825">
        <v>0</v>
      </c>
      <c r="AH438" s="825">
        <v>0</v>
      </c>
      <c r="AI438" s="825">
        <v>0</v>
      </c>
      <c r="AJ438" s="825">
        <v>0</v>
      </c>
      <c r="AK438" s="825">
        <v>0</v>
      </c>
      <c r="AL438" s="825">
        <v>0</v>
      </c>
      <c r="AM438" s="825">
        <v>0</v>
      </c>
      <c r="AN438" s="825">
        <v>0</v>
      </c>
      <c r="AO438" s="825">
        <v>0</v>
      </c>
      <c r="AP438" s="825">
        <v>0</v>
      </c>
      <c r="AQ438" s="51"/>
      <c r="AR438" s="51"/>
      <c r="AS438" s="51"/>
      <c r="AT438" s="51"/>
      <c r="AU438" s="51"/>
      <c r="AV438" s="51"/>
      <c r="AW438" s="51"/>
      <c r="AX438" s="51"/>
      <c r="AY438" s="51"/>
      <c r="AZ438" s="51"/>
      <c r="BA438" s="51"/>
      <c r="BB438" s="51"/>
      <c r="BC438" s="51"/>
      <c r="BD438" s="51"/>
      <c r="BE438" s="51"/>
      <c r="BF438" s="51"/>
      <c r="BG438" s="51"/>
      <c r="BH438" s="51"/>
      <c r="BI438" s="51"/>
      <c r="BJ438" s="51"/>
      <c r="BK438" s="51"/>
      <c r="BL438" s="51"/>
      <c r="BM438" s="51"/>
      <c r="BN438" s="51"/>
      <c r="BO438" s="51"/>
      <c r="BP438" s="51"/>
      <c r="BQ438" s="51"/>
      <c r="BR438" s="51"/>
      <c r="BS438" s="51"/>
      <c r="BT438" s="51"/>
      <c r="BU438" s="51"/>
      <c r="BV438" s="51"/>
      <c r="BW438" s="51"/>
      <c r="BX438" s="51"/>
      <c r="BY438" s="51"/>
      <c r="BZ438" s="51"/>
      <c r="CA438" s="51"/>
      <c r="CB438" s="51"/>
      <c r="CC438" s="51"/>
      <c r="CD438" s="51"/>
      <c r="CE438" s="51"/>
      <c r="CF438" s="51"/>
      <c r="CG438" s="51"/>
      <c r="CH438" s="51"/>
      <c r="CI438" s="51"/>
      <c r="CJ438" s="51"/>
      <c r="CK438" s="51"/>
      <c r="CL438" s="51"/>
      <c r="CM438" s="51"/>
      <c r="CN438" s="51"/>
      <c r="CO438" s="51"/>
      <c r="CP438" s="51"/>
      <c r="CQ438" s="51"/>
      <c r="CR438" s="51"/>
      <c r="CS438" s="51"/>
      <c r="CT438" s="51"/>
      <c r="CU438" s="51"/>
      <c r="CV438" s="51"/>
      <c r="CW438" s="51"/>
      <c r="CX438" s="51"/>
      <c r="CY438" s="51"/>
      <c r="CZ438" s="51"/>
      <c r="DA438" s="51"/>
      <c r="DB438" s="51"/>
      <c r="DC438" s="51"/>
      <c r="DD438" s="51"/>
      <c r="DE438" s="51"/>
      <c r="DF438" s="51"/>
      <c r="DG438" s="51"/>
      <c r="DH438" s="51"/>
      <c r="DI438" s="51"/>
      <c r="DJ438" s="51"/>
      <c r="DK438" s="51"/>
      <c r="DL438" s="51"/>
      <c r="DM438" s="51"/>
      <c r="DN438" s="51"/>
      <c r="DO438" s="51"/>
      <c r="DP438" s="51"/>
      <c r="DQ438" s="51"/>
      <c r="DR438" s="51"/>
      <c r="DS438" s="51"/>
      <c r="DT438" s="51"/>
      <c r="DU438" s="51"/>
      <c r="DV438" s="51"/>
      <c r="DW438" s="51"/>
      <c r="DX438" s="51"/>
      <c r="DY438" s="51"/>
      <c r="DZ438" s="51"/>
      <c r="EA438" s="51"/>
      <c r="EB438" s="51"/>
      <c r="EC438" s="51"/>
      <c r="ED438" s="51"/>
      <c r="EE438" s="51"/>
      <c r="EF438" s="51"/>
      <c r="EG438" s="51"/>
      <c r="EH438" s="51"/>
      <c r="EI438" s="51"/>
      <c r="EJ438" s="51"/>
      <c r="EK438" s="51"/>
      <c r="EL438" s="51"/>
      <c r="EM438" s="51"/>
      <c r="EN438" s="51"/>
      <c r="EO438" s="51"/>
      <c r="EP438" s="51"/>
      <c r="EQ438" s="51"/>
      <c r="ER438" s="51"/>
      <c r="ES438" s="51"/>
      <c r="ET438" s="51"/>
      <c r="EU438" s="51"/>
      <c r="EV438" s="51"/>
      <c r="EW438" s="51"/>
      <c r="EX438" s="51"/>
      <c r="EY438" s="51"/>
      <c r="EZ438" s="51"/>
      <c r="FA438" s="51"/>
      <c r="FB438" s="51"/>
      <c r="FC438" s="51"/>
      <c r="FD438" s="51"/>
      <c r="FE438" s="51"/>
      <c r="FF438" s="51"/>
      <c r="FG438" s="51"/>
      <c r="FH438" s="51"/>
      <c r="FI438" s="51"/>
      <c r="FJ438" s="51"/>
      <c r="FK438" s="51"/>
      <c r="FL438" s="51"/>
      <c r="FM438" s="51"/>
      <c r="FN438" s="51"/>
      <c r="FO438" s="51"/>
      <c r="FP438" s="51"/>
      <c r="FQ438" s="51"/>
      <c r="FR438" s="51"/>
      <c r="FS438" s="51"/>
      <c r="FT438" s="51"/>
      <c r="FU438" s="51"/>
      <c r="FV438" s="51"/>
      <c r="FW438" s="51"/>
      <c r="FX438" s="51"/>
      <c r="FY438" s="51"/>
      <c r="FZ438" s="51"/>
      <c r="GA438" s="51"/>
      <c r="GB438" s="51"/>
      <c r="GC438" s="51"/>
      <c r="GD438" s="51"/>
      <c r="GE438" s="51"/>
      <c r="GF438" s="51"/>
      <c r="GG438" s="51"/>
      <c r="GH438" s="51"/>
      <c r="GI438" s="51"/>
      <c r="GJ438" s="51"/>
      <c r="GK438" s="51"/>
      <c r="GL438" s="51"/>
      <c r="GM438" s="51"/>
      <c r="GN438" s="51"/>
      <c r="GO438" s="51"/>
      <c r="GP438" s="51"/>
      <c r="GQ438" s="51"/>
      <c r="GR438" s="51"/>
      <c r="GS438" s="51"/>
      <c r="GT438" s="51"/>
      <c r="GU438" s="51"/>
      <c r="GV438" s="51"/>
      <c r="GW438" s="51"/>
      <c r="GX438" s="51"/>
      <c r="GY438" s="51"/>
      <c r="GZ438" s="51"/>
      <c r="HA438" s="51"/>
      <c r="HB438" s="51"/>
      <c r="HC438" s="51"/>
      <c r="HD438" s="51"/>
      <c r="HE438" s="51"/>
      <c r="HF438" s="51"/>
      <c r="HG438" s="51"/>
      <c r="HH438" s="51"/>
      <c r="HI438" s="51"/>
      <c r="HJ438" s="51"/>
      <c r="HK438" s="51"/>
      <c r="HL438" s="51"/>
      <c r="HM438" s="51"/>
      <c r="HN438" s="51"/>
      <c r="HO438" s="51"/>
      <c r="HP438" s="51"/>
      <c r="HQ438" s="51"/>
      <c r="HR438" s="51"/>
      <c r="HS438" s="51"/>
      <c r="HT438" s="51"/>
      <c r="HU438" s="51"/>
      <c r="HV438" s="51"/>
      <c r="HW438" s="51"/>
      <c r="HX438" s="51"/>
      <c r="HY438" s="51"/>
      <c r="HZ438" s="51"/>
      <c r="IA438" s="51"/>
      <c r="IB438" s="51"/>
      <c r="IC438" s="51"/>
      <c r="ID438" s="51"/>
      <c r="IE438" s="51"/>
      <c r="IF438" s="51"/>
      <c r="IG438" s="51"/>
      <c r="IH438" s="51"/>
      <c r="II438" s="51"/>
      <c r="IJ438" s="51"/>
      <c r="IK438" s="51"/>
      <c r="IL438" s="51"/>
      <c r="IM438" s="51"/>
      <c r="IN438" s="51"/>
      <c r="IO438" s="51"/>
      <c r="IP438" s="51"/>
      <c r="IQ438" s="51"/>
      <c r="IR438" s="51"/>
      <c r="IS438" s="51"/>
      <c r="IT438" s="51"/>
      <c r="IU438" s="51"/>
      <c r="IV438" s="51"/>
    </row>
    <row r="439" hidden="1">
      <c r="B439" s="826" t="s">
        <v>9</v>
      </c>
      <c r="C439" s="827">
        <v>0</v>
      </c>
      <c r="D439" s="827">
        <v>0</v>
      </c>
      <c r="E439" s="827">
        <v>0</v>
      </c>
      <c r="F439" s="827">
        <v>0</v>
      </c>
      <c r="G439" s="827">
        <v>0</v>
      </c>
      <c r="H439" s="827">
        <v>0</v>
      </c>
      <c r="I439" s="827">
        <v>0</v>
      </c>
      <c r="J439" s="827">
        <v>0</v>
      </c>
      <c r="K439" s="827">
        <v>0</v>
      </c>
      <c r="L439" s="827">
        <v>0</v>
      </c>
      <c r="M439" s="827">
        <v>0</v>
      </c>
      <c r="N439" s="827">
        <v>0</v>
      </c>
      <c r="O439" s="827">
        <v>0</v>
      </c>
      <c r="P439" s="827">
        <v>0</v>
      </c>
      <c r="Q439" s="827">
        <v>0</v>
      </c>
      <c r="R439" s="827">
        <v>0</v>
      </c>
      <c r="S439" s="827">
        <v>0</v>
      </c>
      <c r="T439" s="827">
        <v>0</v>
      </c>
      <c r="U439" s="827">
        <v>0</v>
      </c>
      <c r="V439" s="827">
        <v>0</v>
      </c>
      <c r="W439" s="827">
        <v>0</v>
      </c>
      <c r="X439" s="827">
        <v>0</v>
      </c>
      <c r="Y439" s="827">
        <v>0</v>
      </c>
      <c r="Z439" s="827">
        <v>0</v>
      </c>
      <c r="AA439" s="827">
        <v>0</v>
      </c>
      <c r="AB439" s="827">
        <v>0</v>
      </c>
      <c r="AC439" s="828">
        <v>0</v>
      </c>
      <c r="AD439" s="828">
        <v>0</v>
      </c>
      <c r="AE439" s="828">
        <v>0</v>
      </c>
      <c r="AF439" s="828">
        <v>0</v>
      </c>
      <c r="AG439" s="828">
        <v>0</v>
      </c>
      <c r="AH439" s="828">
        <v>0</v>
      </c>
      <c r="AI439" s="828">
        <v>0</v>
      </c>
      <c r="AJ439" s="828">
        <v>0</v>
      </c>
      <c r="AK439" s="828">
        <v>0</v>
      </c>
      <c r="AL439" s="828">
        <v>0</v>
      </c>
      <c r="AM439" s="828">
        <v>0</v>
      </c>
      <c r="AN439" s="828">
        <v>0</v>
      </c>
      <c r="AO439" s="828">
        <v>0</v>
      </c>
      <c r="AP439" s="828">
        <v>0</v>
      </c>
      <c r="AQ439" s="51"/>
      <c r="AR439" s="51"/>
      <c r="AS439" s="51"/>
      <c r="AT439" s="51"/>
      <c r="AU439" s="51"/>
      <c r="AV439" s="51"/>
      <c r="AW439" s="51"/>
      <c r="AX439" s="51"/>
      <c r="AY439" s="51"/>
      <c r="AZ439" s="51"/>
      <c r="BA439" s="51"/>
      <c r="BB439" s="51"/>
      <c r="BC439" s="51"/>
      <c r="BD439" s="51"/>
      <c r="BE439" s="51"/>
      <c r="BF439" s="51"/>
      <c r="BG439" s="51"/>
      <c r="BH439" s="51"/>
      <c r="BI439" s="51"/>
      <c r="BJ439" s="51"/>
      <c r="BK439" s="51"/>
      <c r="BL439" s="51"/>
      <c r="BM439" s="51"/>
      <c r="BN439" s="51"/>
      <c r="BO439" s="51"/>
      <c r="BP439" s="51"/>
      <c r="BQ439" s="51"/>
      <c r="BR439" s="51"/>
      <c r="BS439" s="51"/>
      <c r="BT439" s="51"/>
      <c r="BU439" s="51"/>
      <c r="BV439" s="51"/>
      <c r="BW439" s="51"/>
      <c r="BX439" s="51"/>
      <c r="BY439" s="51"/>
      <c r="BZ439" s="51"/>
      <c r="CA439" s="51"/>
      <c r="CB439" s="51"/>
      <c r="CC439" s="51"/>
      <c r="CD439" s="51"/>
      <c r="CE439" s="51"/>
      <c r="CF439" s="51"/>
      <c r="CG439" s="51"/>
      <c r="CH439" s="51"/>
      <c r="CI439" s="51"/>
      <c r="CJ439" s="51"/>
      <c r="CK439" s="51"/>
      <c r="CL439" s="51"/>
      <c r="CM439" s="51"/>
      <c r="CN439" s="51"/>
      <c r="CO439" s="51"/>
      <c r="CP439" s="51"/>
      <c r="CQ439" s="51"/>
      <c r="CR439" s="51"/>
      <c r="CS439" s="51"/>
      <c r="CT439" s="51"/>
      <c r="CU439" s="51"/>
      <c r="CV439" s="51"/>
      <c r="CW439" s="51"/>
      <c r="CX439" s="51"/>
      <c r="CY439" s="51"/>
      <c r="CZ439" s="51"/>
      <c r="DA439" s="51"/>
      <c r="DB439" s="51"/>
      <c r="DC439" s="51"/>
      <c r="DD439" s="51"/>
      <c r="DE439" s="51"/>
      <c r="DF439" s="51"/>
      <c r="DG439" s="51"/>
      <c r="DH439" s="51"/>
      <c r="DI439" s="51"/>
      <c r="DJ439" s="51"/>
      <c r="DK439" s="51"/>
      <c r="DL439" s="51"/>
      <c r="DM439" s="51"/>
      <c r="DN439" s="51"/>
      <c r="DO439" s="51"/>
      <c r="DP439" s="51"/>
      <c r="DQ439" s="51"/>
      <c r="DR439" s="51"/>
      <c r="DS439" s="51"/>
      <c r="DT439" s="51"/>
      <c r="DU439" s="51"/>
      <c r="DV439" s="51"/>
      <c r="DW439" s="51"/>
      <c r="DX439" s="51"/>
      <c r="DY439" s="51"/>
      <c r="DZ439" s="51"/>
      <c r="EA439" s="51"/>
      <c r="EB439" s="51"/>
      <c r="EC439" s="51"/>
      <c r="ED439" s="51"/>
      <c r="EE439" s="51"/>
      <c r="EF439" s="51"/>
      <c r="EG439" s="51"/>
      <c r="EH439" s="51"/>
      <c r="EI439" s="51"/>
      <c r="EJ439" s="51"/>
      <c r="EK439" s="51"/>
      <c r="EL439" s="51"/>
      <c r="EM439" s="51"/>
      <c r="EN439" s="51"/>
      <c r="EO439" s="51"/>
      <c r="EP439" s="51"/>
      <c r="EQ439" s="51"/>
      <c r="ER439" s="51"/>
      <c r="ES439" s="51"/>
      <c r="ET439" s="51"/>
      <c r="EU439" s="51"/>
      <c r="EV439" s="51"/>
      <c r="EW439" s="51"/>
      <c r="EX439" s="51"/>
      <c r="EY439" s="51"/>
      <c r="EZ439" s="51"/>
      <c r="FA439" s="51"/>
      <c r="FB439" s="51"/>
      <c r="FC439" s="51"/>
      <c r="FD439" s="51"/>
      <c r="FE439" s="51"/>
      <c r="FF439" s="51"/>
      <c r="FG439" s="51"/>
      <c r="FH439" s="51"/>
      <c r="FI439" s="51"/>
      <c r="FJ439" s="51"/>
      <c r="FK439" s="51"/>
      <c r="FL439" s="51"/>
      <c r="FM439" s="51"/>
      <c r="FN439" s="51"/>
      <c r="FO439" s="51"/>
      <c r="FP439" s="51"/>
      <c r="FQ439" s="51"/>
      <c r="FR439" s="51"/>
      <c r="FS439" s="51"/>
      <c r="FT439" s="51"/>
      <c r="FU439" s="51"/>
      <c r="FV439" s="51"/>
      <c r="FW439" s="51"/>
      <c r="FX439" s="51"/>
      <c r="FY439" s="51"/>
      <c r="FZ439" s="51"/>
      <c r="GA439" s="51"/>
      <c r="GB439" s="51"/>
      <c r="GC439" s="51"/>
      <c r="GD439" s="51"/>
      <c r="GE439" s="51"/>
      <c r="GF439" s="51"/>
      <c r="GG439" s="51"/>
      <c r="GH439" s="51"/>
      <c r="GI439" s="51"/>
      <c r="GJ439" s="51"/>
      <c r="GK439" s="51"/>
      <c r="GL439" s="51"/>
      <c r="GM439" s="51"/>
      <c r="GN439" s="51"/>
      <c r="GO439" s="51"/>
      <c r="GP439" s="51"/>
      <c r="GQ439" s="51"/>
      <c r="GR439" s="51"/>
      <c r="GS439" s="51"/>
      <c r="GT439" s="51"/>
      <c r="GU439" s="51"/>
      <c r="GV439" s="51"/>
      <c r="GW439" s="51"/>
      <c r="GX439" s="51"/>
      <c r="GY439" s="51"/>
      <c r="GZ439" s="51"/>
      <c r="HA439" s="51"/>
      <c r="HB439" s="51"/>
      <c r="HC439" s="51"/>
      <c r="HD439" s="51"/>
      <c r="HE439" s="51"/>
      <c r="HF439" s="51"/>
      <c r="HG439" s="51"/>
      <c r="HH439" s="51"/>
      <c r="HI439" s="51"/>
      <c r="HJ439" s="51"/>
      <c r="HK439" s="51"/>
      <c r="HL439" s="51"/>
      <c r="HM439" s="51"/>
      <c r="HN439" s="51"/>
      <c r="HO439" s="51"/>
      <c r="HP439" s="51"/>
      <c r="HQ439" s="51"/>
      <c r="HR439" s="51"/>
      <c r="HS439" s="51"/>
      <c r="HT439" s="51"/>
      <c r="HU439" s="51"/>
      <c r="HV439" s="51"/>
      <c r="HW439" s="51"/>
      <c r="HX439" s="51"/>
      <c r="HY439" s="51"/>
      <c r="HZ439" s="51"/>
      <c r="IA439" s="51"/>
      <c r="IB439" s="51"/>
      <c r="IC439" s="51"/>
      <c r="ID439" s="51"/>
      <c r="IE439" s="51"/>
      <c r="IF439" s="51"/>
      <c r="IG439" s="51"/>
      <c r="IH439" s="51"/>
      <c r="II439" s="51"/>
      <c r="IJ439" s="51"/>
      <c r="IK439" s="51"/>
      <c r="IL439" s="51"/>
      <c r="IM439" s="51"/>
      <c r="IN439" s="51"/>
      <c r="IO439" s="51"/>
      <c r="IP439" s="51"/>
      <c r="IQ439" s="51"/>
      <c r="IR439" s="51"/>
      <c r="IS439" s="51"/>
      <c r="IT439" s="51"/>
      <c r="IU439" s="51"/>
      <c r="IV439" s="51"/>
    </row>
    <row r="440" hidden="1">
      <c r="B440" s="829" t="s">
        <v>10</v>
      </c>
      <c r="C440" s="823">
        <v>0</v>
      </c>
      <c r="D440" s="823">
        <v>0</v>
      </c>
      <c r="E440" s="823">
        <v>0</v>
      </c>
      <c r="F440" s="823">
        <v>0</v>
      </c>
      <c r="G440" s="823">
        <v>0</v>
      </c>
      <c r="H440" s="823">
        <v>0</v>
      </c>
      <c r="I440" s="823">
        <v>0</v>
      </c>
      <c r="J440" s="823">
        <v>0</v>
      </c>
      <c r="K440" s="823">
        <v>0</v>
      </c>
      <c r="L440" s="823">
        <v>0</v>
      </c>
      <c r="M440" s="823">
        <v>0</v>
      </c>
      <c r="N440" s="823">
        <v>0</v>
      </c>
      <c r="O440" s="823">
        <v>0</v>
      </c>
      <c r="P440" s="823">
        <v>0</v>
      </c>
      <c r="Q440" s="823">
        <v>0</v>
      </c>
      <c r="R440" s="823">
        <v>0</v>
      </c>
      <c r="S440" s="823">
        <v>0</v>
      </c>
      <c r="T440" s="823">
        <v>0</v>
      </c>
      <c r="U440" s="823">
        <v>0</v>
      </c>
      <c r="V440" s="823">
        <v>0</v>
      </c>
      <c r="W440" s="823">
        <v>0</v>
      </c>
      <c r="X440" s="823">
        <v>0</v>
      </c>
      <c r="Y440" s="823">
        <v>0</v>
      </c>
      <c r="Z440" s="823">
        <v>0</v>
      </c>
      <c r="AA440" s="823">
        <v>0</v>
      </c>
      <c r="AB440" s="823">
        <v>0</v>
      </c>
      <c r="AC440" s="825">
        <v>0</v>
      </c>
      <c r="AD440" s="825">
        <v>0</v>
      </c>
      <c r="AE440" s="825">
        <v>0</v>
      </c>
      <c r="AF440" s="825">
        <v>0</v>
      </c>
      <c r="AG440" s="825">
        <v>0</v>
      </c>
      <c r="AH440" s="825">
        <v>0</v>
      </c>
      <c r="AI440" s="825">
        <v>0</v>
      </c>
      <c r="AJ440" s="825">
        <v>0</v>
      </c>
      <c r="AK440" s="825">
        <v>0</v>
      </c>
      <c r="AL440" s="825">
        <v>0</v>
      </c>
      <c r="AM440" s="825">
        <v>0</v>
      </c>
      <c r="AN440" s="825">
        <v>0</v>
      </c>
      <c r="AO440" s="825">
        <v>0</v>
      </c>
      <c r="AP440" s="825">
        <v>0</v>
      </c>
      <c r="AQ440" s="51"/>
      <c r="AR440" s="51"/>
      <c r="AS440" s="51"/>
      <c r="AT440" s="51"/>
      <c r="AU440" s="51"/>
      <c r="AV440" s="51"/>
      <c r="AW440" s="51"/>
      <c r="AX440" s="51"/>
      <c r="AY440" s="51"/>
      <c r="AZ440" s="51"/>
      <c r="BA440" s="51"/>
      <c r="BB440" s="51"/>
      <c r="BC440" s="51"/>
      <c r="BD440" s="51"/>
      <c r="BE440" s="51"/>
      <c r="BF440" s="51"/>
      <c r="BG440" s="51"/>
      <c r="BH440" s="51"/>
      <c r="BI440" s="51"/>
      <c r="BJ440" s="51"/>
      <c r="BK440" s="51"/>
      <c r="BL440" s="51"/>
      <c r="BM440" s="51"/>
      <c r="BN440" s="51"/>
      <c r="BO440" s="51"/>
      <c r="BP440" s="51"/>
      <c r="BQ440" s="51"/>
      <c r="BR440" s="51"/>
      <c r="BS440" s="51"/>
      <c r="BT440" s="51"/>
      <c r="BU440" s="51"/>
      <c r="BV440" s="51"/>
      <c r="BW440" s="51"/>
      <c r="BX440" s="51"/>
      <c r="BY440" s="51"/>
      <c r="BZ440" s="51"/>
      <c r="CA440" s="51"/>
      <c r="CB440" s="51"/>
      <c r="CC440" s="51"/>
      <c r="CD440" s="51"/>
      <c r="CE440" s="51"/>
      <c r="CF440" s="51"/>
      <c r="CG440" s="51"/>
      <c r="CH440" s="51"/>
      <c r="CI440" s="51"/>
      <c r="CJ440" s="51"/>
      <c r="CK440" s="51"/>
      <c r="CL440" s="51"/>
      <c r="CM440" s="51"/>
      <c r="CN440" s="51"/>
      <c r="CO440" s="51"/>
      <c r="CP440" s="51"/>
      <c r="CQ440" s="51"/>
      <c r="CR440" s="51"/>
      <c r="CS440" s="51"/>
      <c r="CT440" s="51"/>
      <c r="CU440" s="51"/>
      <c r="CV440" s="51"/>
      <c r="CW440" s="51"/>
      <c r="CX440" s="51"/>
      <c r="CY440" s="51"/>
      <c r="CZ440" s="51"/>
      <c r="DA440" s="51"/>
      <c r="DB440" s="51"/>
      <c r="DC440" s="51"/>
      <c r="DD440" s="51"/>
      <c r="DE440" s="51"/>
      <c r="DF440" s="51"/>
      <c r="DG440" s="51"/>
      <c r="DH440" s="51"/>
      <c r="DI440" s="51"/>
      <c r="DJ440" s="51"/>
      <c r="DK440" s="51"/>
      <c r="DL440" s="51"/>
      <c r="DM440" s="51"/>
      <c r="DN440" s="51"/>
      <c r="DO440" s="51"/>
      <c r="DP440" s="51"/>
      <c r="DQ440" s="51"/>
      <c r="DR440" s="51"/>
      <c r="DS440" s="51"/>
      <c r="DT440" s="51"/>
      <c r="DU440" s="51"/>
      <c r="DV440" s="51"/>
      <c r="DW440" s="51"/>
      <c r="DX440" s="51"/>
      <c r="DY440" s="51"/>
      <c r="DZ440" s="51"/>
      <c r="EA440" s="51"/>
      <c r="EB440" s="51"/>
      <c r="EC440" s="51"/>
      <c r="ED440" s="51"/>
      <c r="EE440" s="51"/>
      <c r="EF440" s="51"/>
      <c r="EG440" s="51"/>
      <c r="EH440" s="51"/>
      <c r="EI440" s="51"/>
      <c r="EJ440" s="51"/>
      <c r="EK440" s="51"/>
      <c r="EL440" s="51"/>
      <c r="EM440" s="51"/>
      <c r="EN440" s="51"/>
      <c r="EO440" s="51"/>
      <c r="EP440" s="51"/>
      <c r="EQ440" s="51"/>
      <c r="ER440" s="51"/>
      <c r="ES440" s="51"/>
      <c r="ET440" s="51"/>
      <c r="EU440" s="51"/>
      <c r="EV440" s="51"/>
      <c r="EW440" s="51"/>
      <c r="EX440" s="51"/>
      <c r="EY440" s="51"/>
      <c r="EZ440" s="51"/>
      <c r="FA440" s="51"/>
      <c r="FB440" s="51"/>
      <c r="FC440" s="51"/>
      <c r="FD440" s="51"/>
      <c r="FE440" s="51"/>
      <c r="FF440" s="51"/>
      <c r="FG440" s="51"/>
      <c r="FH440" s="51"/>
      <c r="FI440" s="51"/>
      <c r="FJ440" s="51"/>
      <c r="FK440" s="51"/>
      <c r="FL440" s="51"/>
      <c r="FM440" s="51"/>
      <c r="FN440" s="51"/>
      <c r="FO440" s="51"/>
      <c r="FP440" s="51"/>
      <c r="FQ440" s="51"/>
      <c r="FR440" s="51"/>
      <c r="FS440" s="51"/>
      <c r="FT440" s="51"/>
      <c r="FU440" s="51"/>
      <c r="FV440" s="51"/>
      <c r="FW440" s="51"/>
      <c r="FX440" s="51"/>
      <c r="FY440" s="51"/>
      <c r="FZ440" s="51"/>
      <c r="GA440" s="51"/>
      <c r="GB440" s="51"/>
      <c r="GC440" s="51"/>
      <c r="GD440" s="51"/>
      <c r="GE440" s="51"/>
      <c r="GF440" s="51"/>
      <c r="GG440" s="51"/>
      <c r="GH440" s="51"/>
      <c r="GI440" s="51"/>
      <c r="GJ440" s="51"/>
      <c r="GK440" s="51"/>
      <c r="GL440" s="51"/>
      <c r="GM440" s="51"/>
      <c r="GN440" s="51"/>
      <c r="GO440" s="51"/>
      <c r="GP440" s="51"/>
      <c r="GQ440" s="51"/>
      <c r="GR440" s="51"/>
      <c r="GS440" s="51"/>
      <c r="GT440" s="51"/>
      <c r="GU440" s="51"/>
      <c r="GV440" s="51"/>
      <c r="GW440" s="51"/>
      <c r="GX440" s="51"/>
      <c r="GY440" s="51"/>
      <c r="GZ440" s="51"/>
      <c r="HA440" s="51"/>
      <c r="HB440" s="51"/>
      <c r="HC440" s="51"/>
      <c r="HD440" s="51"/>
      <c r="HE440" s="51"/>
      <c r="HF440" s="51"/>
      <c r="HG440" s="51"/>
      <c r="HH440" s="51"/>
      <c r="HI440" s="51"/>
      <c r="HJ440" s="51"/>
      <c r="HK440" s="51"/>
      <c r="HL440" s="51"/>
      <c r="HM440" s="51"/>
      <c r="HN440" s="51"/>
      <c r="HO440" s="51"/>
      <c r="HP440" s="51"/>
      <c r="HQ440" s="51"/>
      <c r="HR440" s="51"/>
      <c r="HS440" s="51"/>
      <c r="HT440" s="51"/>
      <c r="HU440" s="51"/>
      <c r="HV440" s="51"/>
      <c r="HW440" s="51"/>
      <c r="HX440" s="51"/>
      <c r="HY440" s="51"/>
      <c r="HZ440" s="51"/>
      <c r="IA440" s="51"/>
      <c r="IB440" s="51"/>
      <c r="IC440" s="51"/>
      <c r="ID440" s="51"/>
      <c r="IE440" s="51"/>
      <c r="IF440" s="51"/>
      <c r="IG440" s="51"/>
      <c r="IH440" s="51"/>
      <c r="II440" s="51"/>
      <c r="IJ440" s="51"/>
      <c r="IK440" s="51"/>
      <c r="IL440" s="51"/>
      <c r="IM440" s="51"/>
      <c r="IN440" s="51"/>
      <c r="IO440" s="51"/>
      <c r="IP440" s="51"/>
      <c r="IQ440" s="51"/>
      <c r="IR440" s="51"/>
      <c r="IS440" s="51"/>
      <c r="IT440" s="51"/>
      <c r="IU440" s="51"/>
      <c r="IV440" s="51"/>
    </row>
    <row r="441" hidden="1">
      <c r="B441" s="826" t="s">
        <v>11</v>
      </c>
      <c r="C441" s="827">
        <v>0</v>
      </c>
      <c r="D441" s="827">
        <v>0</v>
      </c>
      <c r="E441" s="827">
        <v>0</v>
      </c>
      <c r="F441" s="827">
        <v>0</v>
      </c>
      <c r="G441" s="827">
        <v>0</v>
      </c>
      <c r="H441" s="827">
        <v>0</v>
      </c>
      <c r="I441" s="827">
        <v>0</v>
      </c>
      <c r="J441" s="827">
        <v>0</v>
      </c>
      <c r="K441" s="827">
        <v>0</v>
      </c>
      <c r="L441" s="827">
        <v>0</v>
      </c>
      <c r="M441" s="827">
        <v>0</v>
      </c>
      <c r="N441" s="827">
        <v>0</v>
      </c>
      <c r="O441" s="827">
        <v>0</v>
      </c>
      <c r="P441" s="827">
        <v>0</v>
      </c>
      <c r="Q441" s="827">
        <v>0</v>
      </c>
      <c r="R441" s="827">
        <v>0</v>
      </c>
      <c r="S441" s="827">
        <v>0</v>
      </c>
      <c r="T441" s="827">
        <v>0</v>
      </c>
      <c r="U441" s="827">
        <v>0</v>
      </c>
      <c r="V441" s="827">
        <v>0</v>
      </c>
      <c r="W441" s="827">
        <v>0</v>
      </c>
      <c r="X441" s="827">
        <v>0</v>
      </c>
      <c r="Y441" s="827">
        <v>0</v>
      </c>
      <c r="Z441" s="827">
        <v>0</v>
      </c>
      <c r="AA441" s="827">
        <v>0</v>
      </c>
      <c r="AB441" s="827">
        <v>0</v>
      </c>
      <c r="AC441" s="828">
        <v>0</v>
      </c>
      <c r="AD441" s="828">
        <v>0</v>
      </c>
      <c r="AE441" s="828">
        <v>0</v>
      </c>
      <c r="AF441" s="828">
        <v>0</v>
      </c>
      <c r="AG441" s="828">
        <v>0</v>
      </c>
      <c r="AH441" s="828">
        <v>0</v>
      </c>
      <c r="AI441" s="828">
        <v>0</v>
      </c>
      <c r="AJ441" s="828">
        <v>0</v>
      </c>
      <c r="AK441" s="828">
        <v>0</v>
      </c>
      <c r="AL441" s="828">
        <v>0</v>
      </c>
      <c r="AM441" s="828">
        <v>0</v>
      </c>
      <c r="AN441" s="828">
        <v>0</v>
      </c>
      <c r="AO441" s="828">
        <v>0</v>
      </c>
      <c r="AP441" s="828">
        <v>0</v>
      </c>
      <c r="AQ441" s="51"/>
      <c r="AR441" s="51"/>
      <c r="AS441" s="51"/>
      <c r="AT441" s="51"/>
      <c r="AU441" s="51"/>
      <c r="AV441" s="51"/>
      <c r="AW441" s="51"/>
      <c r="AX441" s="51"/>
      <c r="AY441" s="51"/>
      <c r="AZ441" s="51"/>
      <c r="BA441" s="51"/>
      <c r="BB441" s="51"/>
      <c r="BC441" s="51"/>
      <c r="BD441" s="51"/>
      <c r="BE441" s="51"/>
      <c r="BF441" s="51"/>
      <c r="BG441" s="51"/>
      <c r="BH441" s="51"/>
      <c r="BI441" s="51"/>
      <c r="BJ441" s="51"/>
      <c r="BK441" s="51"/>
      <c r="BL441" s="51"/>
      <c r="BM441" s="51"/>
      <c r="BN441" s="51"/>
      <c r="BO441" s="51"/>
      <c r="BP441" s="51"/>
      <c r="BQ441" s="51"/>
      <c r="BR441" s="51"/>
      <c r="BS441" s="51"/>
      <c r="BT441" s="51"/>
      <c r="BU441" s="51"/>
      <c r="BV441" s="51"/>
      <c r="BW441" s="51"/>
      <c r="BX441" s="51"/>
      <c r="BY441" s="51"/>
      <c r="BZ441" s="51"/>
      <c r="CA441" s="51"/>
      <c r="CB441" s="51"/>
      <c r="CC441" s="51"/>
      <c r="CD441" s="51"/>
      <c r="CE441" s="51"/>
      <c r="CF441" s="51"/>
      <c r="CG441" s="51"/>
      <c r="CH441" s="51"/>
      <c r="CI441" s="51"/>
      <c r="CJ441" s="51"/>
      <c r="CK441" s="51"/>
      <c r="CL441" s="51"/>
      <c r="CM441" s="51"/>
      <c r="CN441" s="51"/>
      <c r="CO441" s="51"/>
      <c r="CP441" s="51"/>
      <c r="CQ441" s="51"/>
      <c r="CR441" s="51"/>
      <c r="CS441" s="51"/>
      <c r="CT441" s="51"/>
      <c r="CU441" s="51"/>
      <c r="CV441" s="51"/>
      <c r="CW441" s="51"/>
      <c r="CX441" s="51"/>
      <c r="CY441" s="51"/>
      <c r="CZ441" s="51"/>
      <c r="DA441" s="51"/>
      <c r="DB441" s="51"/>
      <c r="DC441" s="51"/>
      <c r="DD441" s="51"/>
      <c r="DE441" s="51"/>
      <c r="DF441" s="51"/>
      <c r="DG441" s="51"/>
      <c r="DH441" s="51"/>
      <c r="DI441" s="51"/>
      <c r="DJ441" s="51"/>
      <c r="DK441" s="51"/>
      <c r="DL441" s="51"/>
      <c r="DM441" s="51"/>
      <c r="DN441" s="51"/>
      <c r="DO441" s="51"/>
      <c r="DP441" s="51"/>
      <c r="DQ441" s="51"/>
      <c r="DR441" s="51"/>
      <c r="DS441" s="51"/>
      <c r="DT441" s="51"/>
      <c r="DU441" s="51"/>
      <c r="DV441" s="51"/>
      <c r="DW441" s="51"/>
      <c r="DX441" s="51"/>
      <c r="DY441" s="51"/>
      <c r="DZ441" s="51"/>
      <c r="EA441" s="51"/>
      <c r="EB441" s="51"/>
      <c r="EC441" s="51"/>
      <c r="ED441" s="51"/>
      <c r="EE441" s="51"/>
      <c r="EF441" s="51"/>
      <c r="EG441" s="51"/>
      <c r="EH441" s="51"/>
      <c r="EI441" s="51"/>
      <c r="EJ441" s="51"/>
      <c r="EK441" s="51"/>
      <c r="EL441" s="51"/>
      <c r="EM441" s="51"/>
      <c r="EN441" s="51"/>
      <c r="EO441" s="51"/>
      <c r="EP441" s="51"/>
      <c r="EQ441" s="51"/>
      <c r="ER441" s="51"/>
      <c r="ES441" s="51"/>
      <c r="ET441" s="51"/>
      <c r="EU441" s="51"/>
      <c r="EV441" s="51"/>
      <c r="EW441" s="51"/>
      <c r="EX441" s="51"/>
      <c r="EY441" s="51"/>
      <c r="EZ441" s="51"/>
      <c r="FA441" s="51"/>
      <c r="FB441" s="51"/>
      <c r="FC441" s="51"/>
      <c r="FD441" s="51"/>
      <c r="FE441" s="51"/>
      <c r="FF441" s="51"/>
      <c r="FG441" s="51"/>
      <c r="FH441" s="51"/>
      <c r="FI441" s="51"/>
      <c r="FJ441" s="51"/>
      <c r="FK441" s="51"/>
      <c r="FL441" s="51"/>
      <c r="FM441" s="51"/>
      <c r="FN441" s="51"/>
      <c r="FO441" s="51"/>
      <c r="FP441" s="51"/>
      <c r="FQ441" s="51"/>
      <c r="FR441" s="51"/>
      <c r="FS441" s="51"/>
      <c r="FT441" s="51"/>
      <c r="FU441" s="51"/>
      <c r="FV441" s="51"/>
      <c r="FW441" s="51"/>
      <c r="FX441" s="51"/>
      <c r="FY441" s="51"/>
      <c r="FZ441" s="51"/>
      <c r="GA441" s="51"/>
      <c r="GB441" s="51"/>
      <c r="GC441" s="51"/>
      <c r="GD441" s="51"/>
      <c r="GE441" s="51"/>
      <c r="GF441" s="51"/>
      <c r="GG441" s="51"/>
      <c r="GH441" s="51"/>
      <c r="GI441" s="51"/>
      <c r="GJ441" s="51"/>
      <c r="GK441" s="51"/>
      <c r="GL441" s="51"/>
      <c r="GM441" s="51"/>
      <c r="GN441" s="51"/>
      <c r="GO441" s="51"/>
      <c r="GP441" s="51"/>
      <c r="GQ441" s="51"/>
      <c r="GR441" s="51"/>
      <c r="GS441" s="51"/>
      <c r="GT441" s="51"/>
      <c r="GU441" s="51"/>
      <c r="GV441" s="51"/>
      <c r="GW441" s="51"/>
      <c r="GX441" s="51"/>
      <c r="GY441" s="51"/>
      <c r="GZ441" s="51"/>
      <c r="HA441" s="51"/>
      <c r="HB441" s="51"/>
      <c r="HC441" s="51"/>
      <c r="HD441" s="51"/>
      <c r="HE441" s="51"/>
      <c r="HF441" s="51"/>
      <c r="HG441" s="51"/>
      <c r="HH441" s="51"/>
      <c r="HI441" s="51"/>
      <c r="HJ441" s="51"/>
      <c r="HK441" s="51"/>
      <c r="HL441" s="51"/>
      <c r="HM441" s="51"/>
      <c r="HN441" s="51"/>
      <c r="HO441" s="51"/>
      <c r="HP441" s="51"/>
      <c r="HQ441" s="51"/>
      <c r="HR441" s="51"/>
      <c r="HS441" s="51"/>
      <c r="HT441" s="51"/>
      <c r="HU441" s="51"/>
      <c r="HV441" s="51"/>
      <c r="HW441" s="51"/>
      <c r="HX441" s="51"/>
      <c r="HY441" s="51"/>
      <c r="HZ441" s="51"/>
      <c r="IA441" s="51"/>
      <c r="IB441" s="51"/>
      <c r="IC441" s="51"/>
      <c r="ID441" s="51"/>
      <c r="IE441" s="51"/>
      <c r="IF441" s="51"/>
      <c r="IG441" s="51"/>
      <c r="IH441" s="51"/>
      <c r="II441" s="51"/>
      <c r="IJ441" s="51"/>
      <c r="IK441" s="51"/>
      <c r="IL441" s="51"/>
      <c r="IM441" s="51"/>
      <c r="IN441" s="51"/>
      <c r="IO441" s="51"/>
      <c r="IP441" s="51"/>
      <c r="IQ441" s="51"/>
      <c r="IR441" s="51"/>
      <c r="IS441" s="51"/>
      <c r="IT441" s="51"/>
      <c r="IU441" s="51"/>
      <c r="IV441" s="51"/>
    </row>
    <row r="442" hidden="1">
      <c r="B442" s="829" t="s">
        <v>12</v>
      </c>
      <c r="C442" s="823">
        <v>0</v>
      </c>
      <c r="D442" s="823">
        <v>0</v>
      </c>
      <c r="E442" s="823">
        <v>0</v>
      </c>
      <c r="F442" s="823">
        <v>0</v>
      </c>
      <c r="G442" s="823">
        <v>0</v>
      </c>
      <c r="H442" s="823">
        <v>0</v>
      </c>
      <c r="I442" s="823">
        <v>0</v>
      </c>
      <c r="J442" s="823">
        <v>0</v>
      </c>
      <c r="K442" s="823">
        <v>0</v>
      </c>
      <c r="L442" s="823">
        <v>0</v>
      </c>
      <c r="M442" s="823">
        <v>0</v>
      </c>
      <c r="N442" s="823">
        <v>0</v>
      </c>
      <c r="O442" s="823">
        <v>0</v>
      </c>
      <c r="P442" s="823">
        <v>0</v>
      </c>
      <c r="Q442" s="823">
        <v>0</v>
      </c>
      <c r="R442" s="823">
        <v>0</v>
      </c>
      <c r="S442" s="823">
        <v>0</v>
      </c>
      <c r="T442" s="823">
        <v>0</v>
      </c>
      <c r="U442" s="823">
        <v>0</v>
      </c>
      <c r="V442" s="823">
        <v>0</v>
      </c>
      <c r="W442" s="823">
        <v>0</v>
      </c>
      <c r="X442" s="823">
        <v>0</v>
      </c>
      <c r="Y442" s="823">
        <v>1</v>
      </c>
      <c r="Z442" s="823">
        <v>1</v>
      </c>
      <c r="AA442" s="823">
        <v>0</v>
      </c>
      <c r="AB442" s="823">
        <v>0</v>
      </c>
      <c r="AC442" s="825">
        <v>0</v>
      </c>
      <c r="AD442" s="825">
        <v>0</v>
      </c>
      <c r="AE442" s="825">
        <v>0</v>
      </c>
      <c r="AF442" s="825">
        <v>0</v>
      </c>
      <c r="AG442" s="825">
        <v>0</v>
      </c>
      <c r="AH442" s="825">
        <v>0</v>
      </c>
      <c r="AI442" s="825">
        <v>0</v>
      </c>
      <c r="AJ442" s="825">
        <v>0</v>
      </c>
      <c r="AK442" s="825">
        <v>0</v>
      </c>
      <c r="AL442" s="825">
        <v>0</v>
      </c>
      <c r="AM442" s="825">
        <v>0</v>
      </c>
      <c r="AN442" s="825">
        <v>0</v>
      </c>
      <c r="AO442" s="825">
        <v>0</v>
      </c>
      <c r="AP442" s="825">
        <v>0</v>
      </c>
      <c r="AQ442" s="51"/>
      <c r="AR442" s="51"/>
      <c r="AS442" s="51"/>
      <c r="AT442" s="51"/>
      <c r="AU442" s="51"/>
      <c r="AV442" s="51"/>
      <c r="AW442" s="51"/>
      <c r="AX442" s="51"/>
      <c r="AY442" s="51"/>
      <c r="AZ442" s="51"/>
      <c r="BA442" s="51"/>
      <c r="BB442" s="51"/>
      <c r="BC442" s="51"/>
      <c r="BD442" s="51"/>
      <c r="BE442" s="51"/>
      <c r="BF442" s="51"/>
      <c r="BG442" s="51"/>
      <c r="BH442" s="51"/>
      <c r="BI442" s="51"/>
      <c r="BJ442" s="51"/>
      <c r="BK442" s="51"/>
      <c r="BL442" s="51"/>
      <c r="BM442" s="51"/>
      <c r="BN442" s="51"/>
      <c r="BO442" s="51"/>
      <c r="BP442" s="51"/>
      <c r="BQ442" s="51"/>
      <c r="BR442" s="51"/>
      <c r="BS442" s="51"/>
      <c r="BT442" s="51"/>
      <c r="BU442" s="51"/>
      <c r="BV442" s="51"/>
      <c r="BW442" s="51"/>
      <c r="BX442" s="51"/>
      <c r="BY442" s="51"/>
      <c r="BZ442" s="51"/>
      <c r="CA442" s="51"/>
      <c r="CB442" s="51"/>
      <c r="CC442" s="51"/>
      <c r="CD442" s="51"/>
      <c r="CE442" s="51"/>
      <c r="CF442" s="51"/>
      <c r="CG442" s="51"/>
      <c r="CH442" s="51"/>
      <c r="CI442" s="51"/>
      <c r="CJ442" s="51"/>
      <c r="CK442" s="51"/>
      <c r="CL442" s="51"/>
      <c r="CM442" s="51"/>
      <c r="CN442" s="51"/>
      <c r="CO442" s="51"/>
      <c r="CP442" s="51"/>
      <c r="CQ442" s="51"/>
      <c r="CR442" s="51"/>
      <c r="CS442" s="51"/>
      <c r="CT442" s="51"/>
      <c r="CU442" s="51"/>
      <c r="CV442" s="51"/>
      <c r="CW442" s="51"/>
      <c r="CX442" s="51"/>
      <c r="CY442" s="51"/>
      <c r="CZ442" s="51"/>
      <c r="DA442" s="51"/>
      <c r="DB442" s="51"/>
      <c r="DC442" s="51"/>
      <c r="DD442" s="51"/>
      <c r="DE442" s="51"/>
      <c r="DF442" s="51"/>
      <c r="DG442" s="51"/>
      <c r="DH442" s="51"/>
      <c r="DI442" s="51"/>
      <c r="DJ442" s="51"/>
      <c r="DK442" s="51"/>
      <c r="DL442" s="51"/>
      <c r="DM442" s="51"/>
      <c r="DN442" s="51"/>
      <c r="DO442" s="51"/>
      <c r="DP442" s="51"/>
      <c r="DQ442" s="51"/>
      <c r="DR442" s="51"/>
      <c r="DS442" s="51"/>
      <c r="DT442" s="51"/>
      <c r="DU442" s="51"/>
      <c r="DV442" s="51"/>
      <c r="DW442" s="51"/>
      <c r="DX442" s="51"/>
      <c r="DY442" s="51"/>
      <c r="DZ442" s="51"/>
      <c r="EA442" s="51"/>
      <c r="EB442" s="51"/>
      <c r="EC442" s="51"/>
      <c r="ED442" s="51"/>
      <c r="EE442" s="51"/>
      <c r="EF442" s="51"/>
      <c r="EG442" s="51"/>
      <c r="EH442" s="51"/>
      <c r="EI442" s="51"/>
      <c r="EJ442" s="51"/>
      <c r="EK442" s="51"/>
      <c r="EL442" s="51"/>
      <c r="EM442" s="51"/>
      <c r="EN442" s="51"/>
      <c r="EO442" s="51"/>
      <c r="EP442" s="51"/>
      <c r="EQ442" s="51"/>
      <c r="ER442" s="51"/>
      <c r="ES442" s="51"/>
      <c r="ET442" s="51"/>
      <c r="EU442" s="51"/>
      <c r="EV442" s="51"/>
      <c r="EW442" s="51"/>
      <c r="EX442" s="51"/>
      <c r="EY442" s="51"/>
      <c r="EZ442" s="51"/>
      <c r="FA442" s="51"/>
      <c r="FB442" s="51"/>
      <c r="FC442" s="51"/>
      <c r="FD442" s="51"/>
      <c r="FE442" s="51"/>
      <c r="FF442" s="51"/>
      <c r="FG442" s="51"/>
      <c r="FH442" s="51"/>
      <c r="FI442" s="51"/>
      <c r="FJ442" s="51"/>
      <c r="FK442" s="51"/>
      <c r="FL442" s="51"/>
      <c r="FM442" s="51"/>
      <c r="FN442" s="51"/>
      <c r="FO442" s="51"/>
      <c r="FP442" s="51"/>
      <c r="FQ442" s="51"/>
      <c r="FR442" s="51"/>
      <c r="FS442" s="51"/>
      <c r="FT442" s="51"/>
      <c r="FU442" s="51"/>
      <c r="FV442" s="51"/>
      <c r="FW442" s="51"/>
      <c r="FX442" s="51"/>
      <c r="FY442" s="51"/>
      <c r="FZ442" s="51"/>
      <c r="GA442" s="51"/>
      <c r="GB442" s="51"/>
      <c r="GC442" s="51"/>
      <c r="GD442" s="51"/>
      <c r="GE442" s="51"/>
      <c r="GF442" s="51"/>
      <c r="GG442" s="51"/>
      <c r="GH442" s="51"/>
      <c r="GI442" s="51"/>
      <c r="GJ442" s="51"/>
      <c r="GK442" s="51"/>
      <c r="GL442" s="51"/>
      <c r="GM442" s="51"/>
      <c r="GN442" s="51"/>
      <c r="GO442" s="51"/>
      <c r="GP442" s="51"/>
      <c r="GQ442" s="51"/>
      <c r="GR442" s="51"/>
      <c r="GS442" s="51"/>
      <c r="GT442" s="51"/>
      <c r="GU442" s="51"/>
      <c r="GV442" s="51"/>
      <c r="GW442" s="51"/>
      <c r="GX442" s="51"/>
      <c r="GY442" s="51"/>
      <c r="GZ442" s="51"/>
      <c r="HA442" s="51"/>
      <c r="HB442" s="51"/>
      <c r="HC442" s="51"/>
      <c r="HD442" s="51"/>
      <c r="HE442" s="51"/>
      <c r="HF442" s="51"/>
      <c r="HG442" s="51"/>
      <c r="HH442" s="51"/>
      <c r="HI442" s="51"/>
      <c r="HJ442" s="51"/>
      <c r="HK442" s="51"/>
      <c r="HL442" s="51"/>
      <c r="HM442" s="51"/>
      <c r="HN442" s="51"/>
      <c r="HO442" s="51"/>
      <c r="HP442" s="51"/>
      <c r="HQ442" s="51"/>
      <c r="HR442" s="51"/>
      <c r="HS442" s="51"/>
      <c r="HT442" s="51"/>
      <c r="HU442" s="51"/>
      <c r="HV442" s="51"/>
      <c r="HW442" s="51"/>
      <c r="HX442" s="51"/>
      <c r="HY442" s="51"/>
      <c r="HZ442" s="51"/>
      <c r="IA442" s="51"/>
      <c r="IB442" s="51"/>
      <c r="IC442" s="51"/>
      <c r="ID442" s="51"/>
      <c r="IE442" s="51"/>
      <c r="IF442" s="51"/>
      <c r="IG442" s="51"/>
      <c r="IH442" s="51"/>
      <c r="II442" s="51"/>
      <c r="IJ442" s="51"/>
      <c r="IK442" s="51"/>
      <c r="IL442" s="51"/>
      <c r="IM442" s="51"/>
      <c r="IN442" s="51"/>
      <c r="IO442" s="51"/>
      <c r="IP442" s="51"/>
      <c r="IQ442" s="51"/>
      <c r="IR442" s="51"/>
      <c r="IS442" s="51"/>
      <c r="IT442" s="51"/>
      <c r="IU442" s="51"/>
      <c r="IV442" s="51"/>
    </row>
    <row r="443" hidden="1">
      <c r="B443" s="826" t="s">
        <v>13</v>
      </c>
      <c r="C443" s="827">
        <v>0</v>
      </c>
      <c r="D443" s="827">
        <v>0</v>
      </c>
      <c r="E443" s="827">
        <v>0</v>
      </c>
      <c r="F443" s="827">
        <v>0</v>
      </c>
      <c r="G443" s="827">
        <v>0</v>
      </c>
      <c r="H443" s="827">
        <v>0</v>
      </c>
      <c r="I443" s="827">
        <v>0</v>
      </c>
      <c r="J443" s="827">
        <v>0</v>
      </c>
      <c r="K443" s="827">
        <v>0</v>
      </c>
      <c r="L443" s="827">
        <v>0</v>
      </c>
      <c r="M443" s="827">
        <v>0</v>
      </c>
      <c r="N443" s="827">
        <v>0</v>
      </c>
      <c r="O443" s="827">
        <v>0</v>
      </c>
      <c r="P443" s="827">
        <v>0</v>
      </c>
      <c r="Q443" s="827">
        <v>1</v>
      </c>
      <c r="R443" s="827">
        <v>3</v>
      </c>
      <c r="S443" s="827">
        <v>2</v>
      </c>
      <c r="T443" s="827">
        <v>3</v>
      </c>
      <c r="U443" s="827">
        <v>3</v>
      </c>
      <c r="V443" s="827">
        <v>4</v>
      </c>
      <c r="W443" s="827">
        <v>3</v>
      </c>
      <c r="X443" s="827">
        <v>3</v>
      </c>
      <c r="Y443" s="827">
        <v>2</v>
      </c>
      <c r="Z443" s="827">
        <v>2</v>
      </c>
      <c r="AA443" s="827">
        <v>2</v>
      </c>
      <c r="AB443" s="827">
        <v>3</v>
      </c>
      <c r="AC443" s="828">
        <v>3</v>
      </c>
      <c r="AD443" s="828">
        <v>2</v>
      </c>
      <c r="AE443" s="828">
        <v>1</v>
      </c>
      <c r="AF443" s="828">
        <v>1</v>
      </c>
      <c r="AG443" s="828">
        <v>1</v>
      </c>
      <c r="AH443" s="828">
        <v>1</v>
      </c>
      <c r="AI443" s="828">
        <v>1</v>
      </c>
      <c r="AJ443" s="828">
        <v>1</v>
      </c>
      <c r="AK443" s="828">
        <v>1</v>
      </c>
      <c r="AL443" s="828">
        <v>1</v>
      </c>
      <c r="AM443" s="828">
        <v>1</v>
      </c>
      <c r="AN443" s="828">
        <v>1</v>
      </c>
      <c r="AO443" s="828">
        <v>1</v>
      </c>
      <c r="AP443" s="828">
        <v>1</v>
      </c>
      <c r="AQ443" s="51"/>
      <c r="AR443" s="51"/>
      <c r="AS443" s="51"/>
      <c r="AT443" s="51"/>
      <c r="AU443" s="51"/>
      <c r="AV443" s="51"/>
      <c r="AW443" s="51"/>
      <c r="AX443" s="51"/>
      <c r="AY443" s="51"/>
      <c r="AZ443" s="51"/>
      <c r="BA443" s="51"/>
      <c r="BB443" s="51"/>
      <c r="BC443" s="51"/>
      <c r="BD443" s="51"/>
      <c r="BE443" s="51"/>
      <c r="BF443" s="51"/>
      <c r="BG443" s="51"/>
      <c r="BH443" s="51"/>
      <c r="BI443" s="51"/>
      <c r="BJ443" s="51"/>
      <c r="BK443" s="51"/>
      <c r="BL443" s="51"/>
      <c r="BM443" s="51"/>
      <c r="BN443" s="51"/>
      <c r="BO443" s="51"/>
      <c r="BP443" s="51"/>
      <c r="BQ443" s="51"/>
      <c r="BR443" s="51"/>
      <c r="BS443" s="51"/>
      <c r="BT443" s="51"/>
      <c r="BU443" s="51"/>
      <c r="BV443" s="51"/>
      <c r="BW443" s="51"/>
      <c r="BX443" s="51"/>
      <c r="BY443" s="51"/>
      <c r="BZ443" s="51"/>
      <c r="CA443" s="51"/>
      <c r="CB443" s="51"/>
      <c r="CC443" s="51"/>
      <c r="CD443" s="51"/>
      <c r="CE443" s="51"/>
      <c r="CF443" s="51"/>
      <c r="CG443" s="51"/>
      <c r="CH443" s="51"/>
      <c r="CI443" s="51"/>
      <c r="CJ443" s="51"/>
      <c r="CK443" s="51"/>
      <c r="CL443" s="51"/>
      <c r="CM443" s="51"/>
      <c r="CN443" s="51"/>
      <c r="CO443" s="51"/>
      <c r="CP443" s="51"/>
      <c r="CQ443" s="51"/>
      <c r="CR443" s="51"/>
      <c r="CS443" s="51"/>
      <c r="CT443" s="51"/>
      <c r="CU443" s="51"/>
      <c r="CV443" s="51"/>
      <c r="CW443" s="51"/>
      <c r="CX443" s="51"/>
      <c r="CY443" s="51"/>
      <c r="CZ443" s="51"/>
      <c r="DA443" s="51"/>
      <c r="DB443" s="51"/>
      <c r="DC443" s="51"/>
      <c r="DD443" s="51"/>
      <c r="DE443" s="51"/>
      <c r="DF443" s="51"/>
      <c r="DG443" s="51"/>
      <c r="DH443" s="51"/>
      <c r="DI443" s="51"/>
      <c r="DJ443" s="51"/>
      <c r="DK443" s="51"/>
      <c r="DL443" s="51"/>
      <c r="DM443" s="51"/>
      <c r="DN443" s="51"/>
      <c r="DO443" s="51"/>
      <c r="DP443" s="51"/>
      <c r="DQ443" s="51"/>
      <c r="DR443" s="51"/>
      <c r="DS443" s="51"/>
      <c r="DT443" s="51"/>
      <c r="DU443" s="51"/>
      <c r="DV443" s="51"/>
      <c r="DW443" s="51"/>
      <c r="DX443" s="51"/>
      <c r="DY443" s="51"/>
      <c r="DZ443" s="51"/>
      <c r="EA443" s="51"/>
      <c r="EB443" s="51"/>
      <c r="EC443" s="51"/>
      <c r="ED443" s="51"/>
      <c r="EE443" s="51"/>
      <c r="EF443" s="51"/>
      <c r="EG443" s="51"/>
      <c r="EH443" s="51"/>
      <c r="EI443" s="51"/>
      <c r="EJ443" s="51"/>
      <c r="EK443" s="51"/>
      <c r="EL443" s="51"/>
      <c r="EM443" s="51"/>
      <c r="EN443" s="51"/>
      <c r="EO443" s="51"/>
      <c r="EP443" s="51"/>
      <c r="EQ443" s="51"/>
      <c r="ER443" s="51"/>
      <c r="ES443" s="51"/>
      <c r="ET443" s="51"/>
      <c r="EU443" s="51"/>
      <c r="EV443" s="51"/>
      <c r="EW443" s="51"/>
      <c r="EX443" s="51"/>
      <c r="EY443" s="51"/>
      <c r="EZ443" s="51"/>
      <c r="FA443" s="51"/>
      <c r="FB443" s="51"/>
      <c r="FC443" s="51"/>
      <c r="FD443" s="51"/>
      <c r="FE443" s="51"/>
      <c r="FF443" s="51"/>
      <c r="FG443" s="51"/>
      <c r="FH443" s="51"/>
      <c r="FI443" s="51"/>
      <c r="FJ443" s="51"/>
      <c r="FK443" s="51"/>
      <c r="FL443" s="51"/>
      <c r="FM443" s="51"/>
      <c r="FN443" s="51"/>
      <c r="FO443" s="51"/>
      <c r="FP443" s="51"/>
      <c r="FQ443" s="51"/>
      <c r="FR443" s="51"/>
      <c r="FS443" s="51"/>
      <c r="FT443" s="51"/>
      <c r="FU443" s="51"/>
      <c r="FV443" s="51"/>
      <c r="FW443" s="51"/>
      <c r="FX443" s="51"/>
      <c r="FY443" s="51"/>
      <c r="FZ443" s="51"/>
      <c r="GA443" s="51"/>
      <c r="GB443" s="51"/>
      <c r="GC443" s="51"/>
      <c r="GD443" s="51"/>
      <c r="GE443" s="51"/>
      <c r="GF443" s="51"/>
      <c r="GG443" s="51"/>
      <c r="GH443" s="51"/>
      <c r="GI443" s="51"/>
      <c r="GJ443" s="51"/>
      <c r="GK443" s="51"/>
      <c r="GL443" s="51"/>
      <c r="GM443" s="51"/>
      <c r="GN443" s="51"/>
      <c r="GO443" s="51"/>
      <c r="GP443" s="51"/>
      <c r="GQ443" s="51"/>
      <c r="GR443" s="51"/>
      <c r="GS443" s="51"/>
      <c r="GT443" s="51"/>
      <c r="GU443" s="51"/>
      <c r="GV443" s="51"/>
      <c r="GW443" s="51"/>
      <c r="GX443" s="51"/>
      <c r="GY443" s="51"/>
      <c r="GZ443" s="51"/>
      <c r="HA443" s="51"/>
      <c r="HB443" s="51"/>
      <c r="HC443" s="51"/>
      <c r="HD443" s="51"/>
      <c r="HE443" s="51"/>
      <c r="HF443" s="51"/>
      <c r="HG443" s="51"/>
      <c r="HH443" s="51"/>
      <c r="HI443" s="51"/>
      <c r="HJ443" s="51"/>
      <c r="HK443" s="51"/>
      <c r="HL443" s="51"/>
      <c r="HM443" s="51"/>
      <c r="HN443" s="51"/>
      <c r="HO443" s="51"/>
      <c r="HP443" s="51"/>
      <c r="HQ443" s="51"/>
      <c r="HR443" s="51"/>
      <c r="HS443" s="51"/>
      <c r="HT443" s="51"/>
      <c r="HU443" s="51"/>
      <c r="HV443" s="51"/>
      <c r="HW443" s="51"/>
      <c r="HX443" s="51"/>
      <c r="HY443" s="51"/>
      <c r="HZ443" s="51"/>
      <c r="IA443" s="51"/>
      <c r="IB443" s="51"/>
      <c r="IC443" s="51"/>
      <c r="ID443" s="51"/>
      <c r="IE443" s="51"/>
      <c r="IF443" s="51"/>
      <c r="IG443" s="51"/>
      <c r="IH443" s="51"/>
      <c r="II443" s="51"/>
      <c r="IJ443" s="51"/>
      <c r="IK443" s="51"/>
      <c r="IL443" s="51"/>
      <c r="IM443" s="51"/>
      <c r="IN443" s="51"/>
      <c r="IO443" s="51"/>
      <c r="IP443" s="51"/>
      <c r="IQ443" s="51"/>
      <c r="IR443" s="51"/>
      <c r="IS443" s="51"/>
      <c r="IT443" s="51"/>
      <c r="IU443" s="51"/>
      <c r="IV443" s="51"/>
    </row>
    <row r="444" hidden="1">
      <c r="B444" s="829" t="s">
        <v>109</v>
      </c>
      <c r="C444" s="823">
        <v>0</v>
      </c>
      <c r="D444" s="823">
        <v>0</v>
      </c>
      <c r="E444" s="823">
        <v>0</v>
      </c>
      <c r="F444" s="823">
        <v>0</v>
      </c>
      <c r="G444" s="823">
        <v>0</v>
      </c>
      <c r="H444" s="823">
        <v>0</v>
      </c>
      <c r="I444" s="823">
        <v>0</v>
      </c>
      <c r="J444" s="823">
        <v>0</v>
      </c>
      <c r="K444" s="823">
        <v>0</v>
      </c>
      <c r="L444" s="823">
        <v>0</v>
      </c>
      <c r="M444" s="823">
        <v>0</v>
      </c>
      <c r="N444" s="823">
        <v>0</v>
      </c>
      <c r="O444" s="823">
        <v>0</v>
      </c>
      <c r="P444" s="823">
        <v>0</v>
      </c>
      <c r="Q444" s="823">
        <v>0</v>
      </c>
      <c r="R444" s="823">
        <v>0</v>
      </c>
      <c r="S444" s="823">
        <v>0</v>
      </c>
      <c r="T444" s="823">
        <v>0</v>
      </c>
      <c r="U444" s="823">
        <v>0</v>
      </c>
      <c r="V444" s="823">
        <v>0</v>
      </c>
      <c r="W444" s="823">
        <v>0</v>
      </c>
      <c r="X444" s="823">
        <v>0</v>
      </c>
      <c r="Y444" s="823">
        <v>0</v>
      </c>
      <c r="Z444" s="823">
        <v>0</v>
      </c>
      <c r="AA444" s="823">
        <v>0</v>
      </c>
      <c r="AB444" s="823">
        <v>0</v>
      </c>
      <c r="AC444" s="825">
        <v>0</v>
      </c>
      <c r="AD444" s="825">
        <v>0</v>
      </c>
      <c r="AE444" s="825">
        <v>0</v>
      </c>
      <c r="AF444" s="825">
        <v>0</v>
      </c>
      <c r="AG444" s="825">
        <v>0</v>
      </c>
      <c r="AH444" s="825">
        <v>0</v>
      </c>
      <c r="AI444" s="825">
        <v>0</v>
      </c>
      <c r="AJ444" s="825">
        <v>0</v>
      </c>
      <c r="AK444" s="825">
        <v>0</v>
      </c>
      <c r="AL444" s="825">
        <v>0</v>
      </c>
      <c r="AM444" s="825">
        <v>0</v>
      </c>
      <c r="AN444" s="825">
        <v>0</v>
      </c>
      <c r="AO444" s="825">
        <v>0</v>
      </c>
      <c r="AP444" s="825">
        <v>0</v>
      </c>
      <c r="AQ444" s="51"/>
      <c r="AR444" s="51"/>
      <c r="AS444" s="51"/>
      <c r="AT444" s="51"/>
      <c r="AU444" s="51"/>
      <c r="AV444" s="51"/>
      <c r="AW444" s="51"/>
      <c r="AX444" s="51"/>
      <c r="AY444" s="51"/>
      <c r="AZ444" s="51"/>
      <c r="BA444" s="51"/>
      <c r="BB444" s="51"/>
      <c r="BC444" s="51"/>
      <c r="BD444" s="51"/>
      <c r="BE444" s="51"/>
      <c r="BF444" s="51"/>
      <c r="BG444" s="51"/>
      <c r="BH444" s="51"/>
      <c r="BI444" s="51"/>
      <c r="BJ444" s="51"/>
      <c r="BK444" s="51"/>
      <c r="BL444" s="51"/>
      <c r="BM444" s="51"/>
      <c r="BN444" s="51"/>
      <c r="BO444" s="51"/>
      <c r="BP444" s="51"/>
      <c r="BQ444" s="51"/>
      <c r="BR444" s="51"/>
      <c r="BS444" s="51"/>
      <c r="BT444" s="51"/>
      <c r="BU444" s="51"/>
      <c r="BV444" s="51"/>
      <c r="BW444" s="51"/>
      <c r="BX444" s="51"/>
      <c r="BY444" s="51"/>
      <c r="BZ444" s="51"/>
      <c r="CA444" s="51"/>
      <c r="CB444" s="51"/>
      <c r="CC444" s="51"/>
      <c r="CD444" s="51"/>
      <c r="CE444" s="51"/>
      <c r="CF444" s="51"/>
      <c r="CG444" s="51"/>
      <c r="CH444" s="51"/>
      <c r="CI444" s="51"/>
      <c r="CJ444" s="51"/>
      <c r="CK444" s="51"/>
      <c r="CL444" s="51"/>
      <c r="CM444" s="51"/>
      <c r="CN444" s="51"/>
      <c r="CO444" s="51"/>
      <c r="CP444" s="51"/>
      <c r="CQ444" s="51"/>
      <c r="CR444" s="51"/>
      <c r="CS444" s="51"/>
      <c r="CT444" s="51"/>
      <c r="CU444" s="51"/>
      <c r="CV444" s="51"/>
      <c r="CW444" s="51"/>
      <c r="CX444" s="51"/>
      <c r="CY444" s="51"/>
      <c r="CZ444" s="51"/>
      <c r="DA444" s="51"/>
      <c r="DB444" s="51"/>
      <c r="DC444" s="51"/>
      <c r="DD444" s="51"/>
      <c r="DE444" s="51"/>
      <c r="DF444" s="51"/>
      <c r="DG444" s="51"/>
      <c r="DH444" s="51"/>
      <c r="DI444" s="51"/>
      <c r="DJ444" s="51"/>
      <c r="DK444" s="51"/>
      <c r="DL444" s="51"/>
      <c r="DM444" s="51"/>
      <c r="DN444" s="51"/>
      <c r="DO444" s="51"/>
      <c r="DP444" s="51"/>
      <c r="DQ444" s="51"/>
      <c r="DR444" s="51"/>
      <c r="DS444" s="51"/>
      <c r="DT444" s="51"/>
      <c r="DU444" s="51"/>
      <c r="DV444" s="51"/>
      <c r="DW444" s="51"/>
      <c r="DX444" s="51"/>
      <c r="DY444" s="51"/>
      <c r="DZ444" s="51"/>
      <c r="EA444" s="51"/>
      <c r="EB444" s="51"/>
      <c r="EC444" s="51"/>
      <c r="ED444" s="51"/>
      <c r="EE444" s="51"/>
      <c r="EF444" s="51"/>
      <c r="EG444" s="51"/>
      <c r="EH444" s="51"/>
      <c r="EI444" s="51"/>
      <c r="EJ444" s="51"/>
      <c r="EK444" s="51"/>
      <c r="EL444" s="51"/>
      <c r="EM444" s="51"/>
      <c r="EN444" s="51"/>
      <c r="EO444" s="51"/>
      <c r="EP444" s="51"/>
      <c r="EQ444" s="51"/>
      <c r="ER444" s="51"/>
      <c r="ES444" s="51"/>
      <c r="ET444" s="51"/>
      <c r="EU444" s="51"/>
      <c r="EV444" s="51"/>
      <c r="EW444" s="51"/>
      <c r="EX444" s="51"/>
      <c r="EY444" s="51"/>
      <c r="EZ444" s="51"/>
      <c r="FA444" s="51"/>
      <c r="FB444" s="51"/>
      <c r="FC444" s="51"/>
      <c r="FD444" s="51"/>
      <c r="FE444" s="51"/>
      <c r="FF444" s="51"/>
      <c r="FG444" s="51"/>
      <c r="FH444" s="51"/>
      <c r="FI444" s="51"/>
      <c r="FJ444" s="51"/>
      <c r="FK444" s="51"/>
      <c r="FL444" s="51"/>
      <c r="FM444" s="51"/>
      <c r="FN444" s="51"/>
      <c r="FO444" s="51"/>
      <c r="FP444" s="51"/>
      <c r="FQ444" s="51"/>
      <c r="FR444" s="51"/>
      <c r="FS444" s="51"/>
      <c r="FT444" s="51"/>
      <c r="FU444" s="51"/>
      <c r="FV444" s="51"/>
      <c r="FW444" s="51"/>
      <c r="FX444" s="51"/>
      <c r="FY444" s="51"/>
      <c r="FZ444" s="51"/>
      <c r="GA444" s="51"/>
      <c r="GB444" s="51"/>
      <c r="GC444" s="51"/>
      <c r="GD444" s="51"/>
      <c r="GE444" s="51"/>
      <c r="GF444" s="51"/>
      <c r="GG444" s="51"/>
      <c r="GH444" s="51"/>
      <c r="GI444" s="51"/>
      <c r="GJ444" s="51"/>
      <c r="GK444" s="51"/>
      <c r="GL444" s="51"/>
      <c r="GM444" s="51"/>
      <c r="GN444" s="51"/>
      <c r="GO444" s="51"/>
      <c r="GP444" s="51"/>
      <c r="GQ444" s="51"/>
      <c r="GR444" s="51"/>
      <c r="GS444" s="51"/>
      <c r="GT444" s="51"/>
      <c r="GU444" s="51"/>
      <c r="GV444" s="51"/>
      <c r="GW444" s="51"/>
      <c r="GX444" s="51"/>
      <c r="GY444" s="51"/>
      <c r="GZ444" s="51"/>
      <c r="HA444" s="51"/>
      <c r="HB444" s="51"/>
      <c r="HC444" s="51"/>
      <c r="HD444" s="51"/>
      <c r="HE444" s="51"/>
      <c r="HF444" s="51"/>
      <c r="HG444" s="51"/>
      <c r="HH444" s="51"/>
      <c r="HI444" s="51"/>
      <c r="HJ444" s="51"/>
      <c r="HK444" s="51"/>
      <c r="HL444" s="51"/>
      <c r="HM444" s="51"/>
      <c r="HN444" s="51"/>
      <c r="HO444" s="51"/>
      <c r="HP444" s="51"/>
      <c r="HQ444" s="51"/>
      <c r="HR444" s="51"/>
      <c r="HS444" s="51"/>
      <c r="HT444" s="51"/>
      <c r="HU444" s="51"/>
      <c r="HV444" s="51"/>
      <c r="HW444" s="51"/>
      <c r="HX444" s="51"/>
      <c r="HY444" s="51"/>
      <c r="HZ444" s="51"/>
      <c r="IA444" s="51"/>
      <c r="IB444" s="51"/>
      <c r="IC444" s="51"/>
      <c r="ID444" s="51"/>
      <c r="IE444" s="51"/>
      <c r="IF444" s="51"/>
      <c r="IG444" s="51"/>
      <c r="IH444" s="51"/>
      <c r="II444" s="51"/>
      <c r="IJ444" s="51"/>
      <c r="IK444" s="51"/>
      <c r="IL444" s="51"/>
      <c r="IM444" s="51"/>
      <c r="IN444" s="51"/>
      <c r="IO444" s="51"/>
      <c r="IP444" s="51"/>
      <c r="IQ444" s="51"/>
      <c r="IR444" s="51"/>
      <c r="IS444" s="51"/>
      <c r="IT444" s="51"/>
      <c r="IU444" s="51"/>
      <c r="IV444" s="51"/>
    </row>
    <row r="445" hidden="1">
      <c r="B445" s="826" t="s">
        <v>110</v>
      </c>
      <c r="C445" s="827">
        <v>0</v>
      </c>
      <c r="D445" s="827">
        <v>0</v>
      </c>
      <c r="E445" s="827">
        <v>0</v>
      </c>
      <c r="F445" s="827">
        <v>0</v>
      </c>
      <c r="G445" s="827">
        <v>0</v>
      </c>
      <c r="H445" s="827">
        <v>0</v>
      </c>
      <c r="I445" s="827">
        <v>0</v>
      </c>
      <c r="J445" s="827">
        <v>0</v>
      </c>
      <c r="K445" s="827">
        <v>0</v>
      </c>
      <c r="L445" s="827">
        <v>0</v>
      </c>
      <c r="M445" s="827">
        <v>0</v>
      </c>
      <c r="N445" s="827">
        <v>0</v>
      </c>
      <c r="O445" s="827">
        <v>0</v>
      </c>
      <c r="P445" s="827">
        <v>487</v>
      </c>
      <c r="Q445" s="827">
        <v>674</v>
      </c>
      <c r="R445" s="827">
        <v>673</v>
      </c>
      <c r="S445" s="827">
        <v>676</v>
      </c>
      <c r="T445" s="827">
        <v>666</v>
      </c>
      <c r="U445" s="827">
        <v>657</v>
      </c>
      <c r="V445" s="827">
        <v>648</v>
      </c>
      <c r="W445" s="827">
        <v>642</v>
      </c>
      <c r="X445" s="827">
        <v>920</v>
      </c>
      <c r="Y445" s="827">
        <v>906</v>
      </c>
      <c r="Z445" s="827">
        <v>904</v>
      </c>
      <c r="AA445" s="827">
        <v>846</v>
      </c>
      <c r="AB445" s="827">
        <v>833</v>
      </c>
      <c r="AC445" s="828">
        <v>975</v>
      </c>
      <c r="AD445" s="828">
        <v>965</v>
      </c>
      <c r="AE445" s="828">
        <v>956</v>
      </c>
      <c r="AF445" s="828">
        <v>950</v>
      </c>
      <c r="AG445" s="828">
        <v>938</v>
      </c>
      <c r="AH445" s="828">
        <v>936</v>
      </c>
      <c r="AI445" s="828">
        <v>930</v>
      </c>
      <c r="AJ445" s="828">
        <v>927</v>
      </c>
      <c r="AK445" s="828">
        <v>843</v>
      </c>
      <c r="AL445" s="828">
        <v>777</v>
      </c>
      <c r="AM445" s="828">
        <v>764</v>
      </c>
      <c r="AN445" s="828">
        <v>754</v>
      </c>
      <c r="AO445" s="828">
        <v>738</v>
      </c>
      <c r="AP445" s="828">
        <v>730</v>
      </c>
      <c r="AQ445" s="51"/>
      <c r="AR445" s="51"/>
      <c r="AS445" s="51"/>
      <c r="AT445" s="51"/>
      <c r="AU445" s="51"/>
      <c r="AV445" s="51"/>
      <c r="AW445" s="51"/>
      <c r="AX445" s="51"/>
      <c r="AY445" s="51"/>
      <c r="AZ445" s="51"/>
      <c r="BA445" s="51"/>
      <c r="BB445" s="51"/>
      <c r="BC445" s="51"/>
      <c r="BD445" s="51"/>
      <c r="BE445" s="51"/>
      <c r="BF445" s="51"/>
      <c r="BG445" s="51"/>
      <c r="BH445" s="51"/>
      <c r="BI445" s="51"/>
      <c r="BJ445" s="51"/>
      <c r="BK445" s="51"/>
      <c r="BL445" s="51"/>
      <c r="BM445" s="51"/>
      <c r="BN445" s="51"/>
      <c r="BO445" s="51"/>
      <c r="BP445" s="51"/>
      <c r="BQ445" s="51"/>
      <c r="BR445" s="51"/>
      <c r="BS445" s="51"/>
      <c r="BT445" s="51"/>
      <c r="BU445" s="51"/>
      <c r="BV445" s="51"/>
      <c r="BW445" s="51"/>
      <c r="BX445" s="51"/>
      <c r="BY445" s="51"/>
      <c r="BZ445" s="51"/>
      <c r="CA445" s="51"/>
      <c r="CB445" s="51"/>
      <c r="CC445" s="51"/>
      <c r="CD445" s="51"/>
      <c r="CE445" s="51"/>
      <c r="CF445" s="51"/>
      <c r="CG445" s="51"/>
      <c r="CH445" s="51"/>
      <c r="CI445" s="51"/>
      <c r="CJ445" s="51"/>
      <c r="CK445" s="51"/>
      <c r="CL445" s="51"/>
      <c r="CM445" s="51"/>
      <c r="CN445" s="51"/>
      <c r="CO445" s="51"/>
      <c r="CP445" s="51"/>
      <c r="CQ445" s="51"/>
      <c r="CR445" s="51"/>
      <c r="CS445" s="51"/>
      <c r="CT445" s="51"/>
      <c r="CU445" s="51"/>
      <c r="CV445" s="51"/>
      <c r="CW445" s="51"/>
      <c r="CX445" s="51"/>
      <c r="CY445" s="51"/>
      <c r="CZ445" s="51"/>
      <c r="DA445" s="51"/>
      <c r="DB445" s="51"/>
      <c r="DC445" s="51"/>
      <c r="DD445" s="51"/>
      <c r="DE445" s="51"/>
      <c r="DF445" s="51"/>
      <c r="DG445" s="51"/>
      <c r="DH445" s="51"/>
      <c r="DI445" s="51"/>
      <c r="DJ445" s="51"/>
      <c r="DK445" s="51"/>
      <c r="DL445" s="51"/>
      <c r="DM445" s="51"/>
      <c r="DN445" s="51"/>
      <c r="DO445" s="51"/>
      <c r="DP445" s="51"/>
      <c r="DQ445" s="51"/>
      <c r="DR445" s="51"/>
      <c r="DS445" s="51"/>
      <c r="DT445" s="51"/>
      <c r="DU445" s="51"/>
      <c r="DV445" s="51"/>
      <c r="DW445" s="51"/>
      <c r="DX445" s="51"/>
      <c r="DY445" s="51"/>
      <c r="DZ445" s="51"/>
      <c r="EA445" s="51"/>
      <c r="EB445" s="51"/>
      <c r="EC445" s="51"/>
      <c r="ED445" s="51"/>
      <c r="EE445" s="51"/>
      <c r="EF445" s="51"/>
      <c r="EG445" s="51"/>
      <c r="EH445" s="51"/>
      <c r="EI445" s="51"/>
      <c r="EJ445" s="51"/>
      <c r="EK445" s="51"/>
      <c r="EL445" s="51"/>
      <c r="EM445" s="51"/>
      <c r="EN445" s="51"/>
      <c r="EO445" s="51"/>
      <c r="EP445" s="51"/>
      <c r="EQ445" s="51"/>
      <c r="ER445" s="51"/>
      <c r="ES445" s="51"/>
      <c r="ET445" s="51"/>
      <c r="EU445" s="51"/>
      <c r="EV445" s="51"/>
      <c r="EW445" s="51"/>
      <c r="EX445" s="51"/>
      <c r="EY445" s="51"/>
      <c r="EZ445" s="51"/>
      <c r="FA445" s="51"/>
      <c r="FB445" s="51"/>
      <c r="FC445" s="51"/>
      <c r="FD445" s="51"/>
      <c r="FE445" s="51"/>
      <c r="FF445" s="51"/>
      <c r="FG445" s="51"/>
      <c r="FH445" s="51"/>
      <c r="FI445" s="51"/>
      <c r="FJ445" s="51"/>
      <c r="FK445" s="51"/>
      <c r="FL445" s="51"/>
      <c r="FM445" s="51"/>
      <c r="FN445" s="51"/>
      <c r="FO445" s="51"/>
      <c r="FP445" s="51"/>
      <c r="FQ445" s="51"/>
      <c r="FR445" s="51"/>
      <c r="FS445" s="51"/>
      <c r="FT445" s="51"/>
      <c r="FU445" s="51"/>
      <c r="FV445" s="51"/>
      <c r="FW445" s="51"/>
      <c r="FX445" s="51"/>
      <c r="FY445" s="51"/>
      <c r="FZ445" s="51"/>
      <c r="GA445" s="51"/>
      <c r="GB445" s="51"/>
      <c r="GC445" s="51"/>
      <c r="GD445" s="51"/>
      <c r="GE445" s="51"/>
      <c r="GF445" s="51"/>
      <c r="GG445" s="51"/>
      <c r="GH445" s="51"/>
      <c r="GI445" s="51"/>
      <c r="GJ445" s="51"/>
      <c r="GK445" s="51"/>
      <c r="GL445" s="51"/>
      <c r="GM445" s="51"/>
      <c r="GN445" s="51"/>
      <c r="GO445" s="51"/>
      <c r="GP445" s="51"/>
      <c r="GQ445" s="51"/>
      <c r="GR445" s="51"/>
      <c r="GS445" s="51"/>
      <c r="GT445" s="51"/>
      <c r="GU445" s="51"/>
      <c r="GV445" s="51"/>
      <c r="GW445" s="51"/>
      <c r="GX445" s="51"/>
      <c r="GY445" s="51"/>
      <c r="GZ445" s="51"/>
      <c r="HA445" s="51"/>
      <c r="HB445" s="51"/>
      <c r="HC445" s="51"/>
      <c r="HD445" s="51"/>
      <c r="HE445" s="51"/>
      <c r="HF445" s="51"/>
      <c r="HG445" s="51"/>
      <c r="HH445" s="51"/>
      <c r="HI445" s="51"/>
      <c r="HJ445" s="51"/>
      <c r="HK445" s="51"/>
      <c r="HL445" s="51"/>
      <c r="HM445" s="51"/>
      <c r="HN445" s="51"/>
      <c r="HO445" s="51"/>
      <c r="HP445" s="51"/>
      <c r="HQ445" s="51"/>
      <c r="HR445" s="51"/>
      <c r="HS445" s="51"/>
      <c r="HT445" s="51"/>
      <c r="HU445" s="51"/>
      <c r="HV445" s="51"/>
      <c r="HW445" s="51"/>
      <c r="HX445" s="51"/>
      <c r="HY445" s="51"/>
      <c r="HZ445" s="51"/>
      <c r="IA445" s="51"/>
      <c r="IB445" s="51"/>
      <c r="IC445" s="51"/>
      <c r="ID445" s="51"/>
      <c r="IE445" s="51"/>
      <c r="IF445" s="51"/>
      <c r="IG445" s="51"/>
      <c r="IH445" s="51"/>
      <c r="II445" s="51"/>
      <c r="IJ445" s="51"/>
      <c r="IK445" s="51"/>
      <c r="IL445" s="51"/>
      <c r="IM445" s="51"/>
      <c r="IN445" s="51"/>
      <c r="IO445" s="51"/>
      <c r="IP445" s="51"/>
      <c r="IQ445" s="51"/>
      <c r="IR445" s="51"/>
      <c r="IS445" s="51"/>
      <c r="IT445" s="51"/>
      <c r="IU445" s="51"/>
      <c r="IV445" s="51"/>
    </row>
    <row r="446" hidden="1">
      <c r="B446" s="829" t="s">
        <v>16</v>
      </c>
      <c r="C446" s="823">
        <v>0</v>
      </c>
      <c r="D446" s="823">
        <v>0</v>
      </c>
      <c r="E446" s="823">
        <v>0</v>
      </c>
      <c r="F446" s="823">
        <v>0</v>
      </c>
      <c r="G446" s="823">
        <v>0</v>
      </c>
      <c r="H446" s="823">
        <v>0</v>
      </c>
      <c r="I446" s="823">
        <v>0</v>
      </c>
      <c r="J446" s="823">
        <v>0</v>
      </c>
      <c r="K446" s="823">
        <v>0</v>
      </c>
      <c r="L446" s="823">
        <v>0</v>
      </c>
      <c r="M446" s="823">
        <v>0</v>
      </c>
      <c r="N446" s="823">
        <v>0</v>
      </c>
      <c r="O446" s="823">
        <v>0</v>
      </c>
      <c r="P446" s="823">
        <v>0</v>
      </c>
      <c r="Q446" s="823">
        <v>0</v>
      </c>
      <c r="R446" s="823">
        <v>0</v>
      </c>
      <c r="S446" s="823">
        <v>0</v>
      </c>
      <c r="T446" s="823">
        <v>0</v>
      </c>
      <c r="U446" s="823">
        <v>0</v>
      </c>
      <c r="V446" s="823">
        <v>0</v>
      </c>
      <c r="W446" s="823">
        <v>0</v>
      </c>
      <c r="X446" s="823">
        <v>0</v>
      </c>
      <c r="Y446" s="823">
        <v>0</v>
      </c>
      <c r="Z446" s="823">
        <v>0</v>
      </c>
      <c r="AA446" s="823">
        <v>0</v>
      </c>
      <c r="AB446" s="823">
        <v>0</v>
      </c>
      <c r="AC446" s="825">
        <v>0</v>
      </c>
      <c r="AD446" s="825">
        <v>0</v>
      </c>
      <c r="AE446" s="825">
        <v>0</v>
      </c>
      <c r="AF446" s="825">
        <v>0</v>
      </c>
      <c r="AG446" s="825">
        <v>0</v>
      </c>
      <c r="AH446" s="825">
        <v>0</v>
      </c>
      <c r="AI446" s="825">
        <v>0</v>
      </c>
      <c r="AJ446" s="825">
        <v>0</v>
      </c>
      <c r="AK446" s="825">
        <v>0</v>
      </c>
      <c r="AL446" s="825">
        <v>0</v>
      </c>
      <c r="AM446" s="825">
        <v>0</v>
      </c>
      <c r="AN446" s="825">
        <v>0</v>
      </c>
      <c r="AO446" s="825">
        <v>0</v>
      </c>
      <c r="AP446" s="825">
        <v>0</v>
      </c>
      <c r="AQ446" s="51"/>
      <c r="AR446" s="51"/>
      <c r="AS446" s="51"/>
      <c r="AT446" s="51"/>
      <c r="AU446" s="51"/>
      <c r="AV446" s="51"/>
      <c r="AW446" s="51"/>
      <c r="AX446" s="51"/>
      <c r="AY446" s="51"/>
      <c r="AZ446" s="51"/>
      <c r="BA446" s="51"/>
      <c r="BB446" s="51"/>
      <c r="BC446" s="51"/>
      <c r="BD446" s="51"/>
      <c r="BE446" s="51"/>
      <c r="BF446" s="51"/>
      <c r="BG446" s="51"/>
      <c r="BH446" s="51"/>
      <c r="BI446" s="51"/>
      <c r="BJ446" s="51"/>
      <c r="BK446" s="51"/>
      <c r="BL446" s="51"/>
      <c r="BM446" s="51"/>
      <c r="BN446" s="51"/>
      <c r="BO446" s="51"/>
      <c r="BP446" s="51"/>
      <c r="BQ446" s="51"/>
      <c r="BR446" s="51"/>
      <c r="BS446" s="51"/>
      <c r="BT446" s="51"/>
      <c r="BU446" s="51"/>
      <c r="BV446" s="51"/>
      <c r="BW446" s="51"/>
      <c r="BX446" s="51"/>
      <c r="BY446" s="51"/>
      <c r="BZ446" s="51"/>
      <c r="CA446" s="51"/>
      <c r="CB446" s="51"/>
      <c r="CC446" s="51"/>
      <c r="CD446" s="51"/>
      <c r="CE446" s="51"/>
      <c r="CF446" s="51"/>
      <c r="CG446" s="51"/>
      <c r="CH446" s="51"/>
      <c r="CI446" s="51"/>
      <c r="CJ446" s="51"/>
      <c r="CK446" s="51"/>
      <c r="CL446" s="51"/>
      <c r="CM446" s="51"/>
      <c r="CN446" s="51"/>
      <c r="CO446" s="51"/>
      <c r="CP446" s="51"/>
      <c r="CQ446" s="51"/>
      <c r="CR446" s="51"/>
      <c r="CS446" s="51"/>
      <c r="CT446" s="51"/>
      <c r="CU446" s="51"/>
      <c r="CV446" s="51"/>
      <c r="CW446" s="51"/>
      <c r="CX446" s="51"/>
      <c r="CY446" s="51"/>
      <c r="CZ446" s="51"/>
      <c r="DA446" s="51"/>
      <c r="DB446" s="51"/>
      <c r="DC446" s="51"/>
      <c r="DD446" s="51"/>
      <c r="DE446" s="51"/>
      <c r="DF446" s="51"/>
      <c r="DG446" s="51"/>
      <c r="DH446" s="51"/>
      <c r="DI446" s="51"/>
      <c r="DJ446" s="51"/>
      <c r="DK446" s="51"/>
      <c r="DL446" s="51"/>
      <c r="DM446" s="51"/>
      <c r="DN446" s="51"/>
      <c r="DO446" s="51"/>
      <c r="DP446" s="51"/>
      <c r="DQ446" s="51"/>
      <c r="DR446" s="51"/>
      <c r="DS446" s="51"/>
      <c r="DT446" s="51"/>
      <c r="DU446" s="51"/>
      <c r="DV446" s="51"/>
      <c r="DW446" s="51"/>
      <c r="DX446" s="51"/>
      <c r="DY446" s="51"/>
      <c r="DZ446" s="51"/>
      <c r="EA446" s="51"/>
      <c r="EB446" s="51"/>
      <c r="EC446" s="51"/>
      <c r="ED446" s="51"/>
      <c r="EE446" s="51"/>
      <c r="EF446" s="51"/>
      <c r="EG446" s="51"/>
      <c r="EH446" s="51"/>
      <c r="EI446" s="51"/>
      <c r="EJ446" s="51"/>
      <c r="EK446" s="51"/>
      <c r="EL446" s="51"/>
      <c r="EM446" s="51"/>
      <c r="EN446" s="51"/>
      <c r="EO446" s="51"/>
      <c r="EP446" s="51"/>
      <c r="EQ446" s="51"/>
      <c r="ER446" s="51"/>
      <c r="ES446" s="51"/>
      <c r="ET446" s="51"/>
      <c r="EU446" s="51"/>
      <c r="EV446" s="51"/>
      <c r="EW446" s="51"/>
      <c r="EX446" s="51"/>
      <c r="EY446" s="51"/>
      <c r="EZ446" s="51"/>
      <c r="FA446" s="51"/>
      <c r="FB446" s="51"/>
      <c r="FC446" s="51"/>
      <c r="FD446" s="51"/>
      <c r="FE446" s="51"/>
      <c r="FF446" s="51"/>
      <c r="FG446" s="51"/>
      <c r="FH446" s="51"/>
      <c r="FI446" s="51"/>
      <c r="FJ446" s="51"/>
      <c r="FK446" s="51"/>
      <c r="FL446" s="51"/>
      <c r="FM446" s="51"/>
      <c r="FN446" s="51"/>
      <c r="FO446" s="51"/>
      <c r="FP446" s="51"/>
      <c r="FQ446" s="51"/>
      <c r="FR446" s="51"/>
      <c r="FS446" s="51"/>
      <c r="FT446" s="51"/>
      <c r="FU446" s="51"/>
      <c r="FV446" s="51"/>
      <c r="FW446" s="51"/>
      <c r="FX446" s="51"/>
      <c r="FY446" s="51"/>
      <c r="FZ446" s="51"/>
      <c r="GA446" s="51"/>
      <c r="GB446" s="51"/>
      <c r="GC446" s="51"/>
      <c r="GD446" s="51"/>
      <c r="GE446" s="51"/>
      <c r="GF446" s="51"/>
      <c r="GG446" s="51"/>
      <c r="GH446" s="51"/>
      <c r="GI446" s="51"/>
      <c r="GJ446" s="51"/>
      <c r="GK446" s="51"/>
      <c r="GL446" s="51"/>
      <c r="GM446" s="51"/>
      <c r="GN446" s="51"/>
      <c r="GO446" s="51"/>
      <c r="GP446" s="51"/>
      <c r="GQ446" s="51"/>
      <c r="GR446" s="51"/>
      <c r="GS446" s="51"/>
      <c r="GT446" s="51"/>
      <c r="GU446" s="51"/>
      <c r="GV446" s="51"/>
      <c r="GW446" s="51"/>
      <c r="GX446" s="51"/>
      <c r="GY446" s="51"/>
      <c r="GZ446" s="51"/>
      <c r="HA446" s="51"/>
      <c r="HB446" s="51"/>
      <c r="HC446" s="51"/>
      <c r="HD446" s="51"/>
      <c r="HE446" s="51"/>
      <c r="HF446" s="51"/>
      <c r="HG446" s="51"/>
      <c r="HH446" s="51"/>
      <c r="HI446" s="51"/>
      <c r="HJ446" s="51"/>
      <c r="HK446" s="51"/>
      <c r="HL446" s="51"/>
      <c r="HM446" s="51"/>
      <c r="HN446" s="51"/>
      <c r="HO446" s="51"/>
      <c r="HP446" s="51"/>
      <c r="HQ446" s="51"/>
      <c r="HR446" s="51"/>
      <c r="HS446" s="51"/>
      <c r="HT446" s="51"/>
      <c r="HU446" s="51"/>
      <c r="HV446" s="51"/>
      <c r="HW446" s="51"/>
      <c r="HX446" s="51"/>
      <c r="HY446" s="51"/>
      <c r="HZ446" s="51"/>
      <c r="IA446" s="51"/>
      <c r="IB446" s="51"/>
      <c r="IC446" s="51"/>
      <c r="ID446" s="51"/>
      <c r="IE446" s="51"/>
      <c r="IF446" s="51"/>
      <c r="IG446" s="51"/>
      <c r="IH446" s="51"/>
      <c r="II446" s="51"/>
      <c r="IJ446" s="51"/>
      <c r="IK446" s="51"/>
      <c r="IL446" s="51"/>
      <c r="IM446" s="51"/>
      <c r="IN446" s="51"/>
      <c r="IO446" s="51"/>
      <c r="IP446" s="51"/>
      <c r="IQ446" s="51"/>
      <c r="IR446" s="51"/>
      <c r="IS446" s="51"/>
      <c r="IT446" s="51"/>
      <c r="IU446" s="51"/>
      <c r="IV446" s="51"/>
    </row>
    <row r="447" hidden="1">
      <c r="B447" s="826" t="s">
        <v>17</v>
      </c>
      <c r="C447" s="827">
        <v>0</v>
      </c>
      <c r="D447" s="827">
        <v>0</v>
      </c>
      <c r="E447" s="827">
        <v>0</v>
      </c>
      <c r="F447" s="827">
        <v>0</v>
      </c>
      <c r="G447" s="827">
        <v>0</v>
      </c>
      <c r="H447" s="827">
        <v>0</v>
      </c>
      <c r="I447" s="827">
        <v>0</v>
      </c>
      <c r="J447" s="827">
        <v>0</v>
      </c>
      <c r="K447" s="827">
        <v>0</v>
      </c>
      <c r="L447" s="827">
        <v>0</v>
      </c>
      <c r="M447" s="827">
        <v>0</v>
      </c>
      <c r="N447" s="827">
        <v>0</v>
      </c>
      <c r="O447" s="827">
        <v>0</v>
      </c>
      <c r="P447" s="827">
        <v>0</v>
      </c>
      <c r="Q447" s="827">
        <v>0</v>
      </c>
      <c r="R447" s="827">
        <v>0</v>
      </c>
      <c r="S447" s="827">
        <v>1</v>
      </c>
      <c r="T447" s="827">
        <v>1</v>
      </c>
      <c r="U447" s="827">
        <v>1</v>
      </c>
      <c r="V447" s="827">
        <v>1</v>
      </c>
      <c r="W447" s="827">
        <v>1</v>
      </c>
      <c r="X447" s="827">
        <v>1</v>
      </c>
      <c r="Y447" s="827">
        <v>1</v>
      </c>
      <c r="Z447" s="827">
        <v>1</v>
      </c>
      <c r="AA447" s="827">
        <v>1</v>
      </c>
      <c r="AB447" s="827">
        <v>1</v>
      </c>
      <c r="AC447" s="828">
        <v>1</v>
      </c>
      <c r="AD447" s="828">
        <v>1</v>
      </c>
      <c r="AE447" s="828">
        <v>1</v>
      </c>
      <c r="AF447" s="828">
        <v>1</v>
      </c>
      <c r="AG447" s="828">
        <v>2</v>
      </c>
      <c r="AH447" s="828">
        <v>2</v>
      </c>
      <c r="AI447" s="828">
        <v>2</v>
      </c>
      <c r="AJ447" s="828">
        <v>2</v>
      </c>
      <c r="AK447" s="828">
        <v>1</v>
      </c>
      <c r="AL447" s="828">
        <v>1</v>
      </c>
      <c r="AM447" s="828">
        <v>1</v>
      </c>
      <c r="AN447" s="828">
        <v>1</v>
      </c>
      <c r="AO447" s="828">
        <v>1</v>
      </c>
      <c r="AP447" s="828">
        <v>1</v>
      </c>
      <c r="AQ447" s="51"/>
      <c r="AR447" s="51"/>
      <c r="AS447" s="51"/>
      <c r="AT447" s="51"/>
      <c r="AU447" s="51"/>
      <c r="AV447" s="51"/>
      <c r="AW447" s="51"/>
      <c r="AX447" s="51"/>
      <c r="AY447" s="51"/>
      <c r="AZ447" s="51"/>
      <c r="BA447" s="51"/>
      <c r="BB447" s="51"/>
      <c r="BC447" s="51"/>
      <c r="BD447" s="51"/>
      <c r="BE447" s="51"/>
      <c r="BF447" s="51"/>
      <c r="BG447" s="51"/>
      <c r="BH447" s="51"/>
      <c r="BI447" s="51"/>
      <c r="BJ447" s="51"/>
      <c r="BK447" s="51"/>
      <c r="BL447" s="51"/>
      <c r="BM447" s="51"/>
      <c r="BN447" s="51"/>
      <c r="BO447" s="51"/>
      <c r="BP447" s="51"/>
      <c r="BQ447" s="51"/>
      <c r="BR447" s="51"/>
      <c r="BS447" s="51"/>
      <c r="BT447" s="51"/>
      <c r="BU447" s="51"/>
      <c r="BV447" s="51"/>
      <c r="BW447" s="51"/>
      <c r="BX447" s="51"/>
      <c r="BY447" s="51"/>
      <c r="BZ447" s="51"/>
      <c r="CA447" s="51"/>
      <c r="CB447" s="51"/>
      <c r="CC447" s="51"/>
      <c r="CD447" s="51"/>
      <c r="CE447" s="51"/>
      <c r="CF447" s="51"/>
      <c r="CG447" s="51"/>
      <c r="CH447" s="51"/>
      <c r="CI447" s="51"/>
      <c r="CJ447" s="51"/>
      <c r="CK447" s="51"/>
      <c r="CL447" s="51"/>
      <c r="CM447" s="51"/>
      <c r="CN447" s="51"/>
      <c r="CO447" s="51"/>
      <c r="CP447" s="51"/>
      <c r="CQ447" s="51"/>
      <c r="CR447" s="51"/>
      <c r="CS447" s="51"/>
      <c r="CT447" s="51"/>
      <c r="CU447" s="51"/>
      <c r="CV447" s="51"/>
      <c r="CW447" s="51"/>
      <c r="CX447" s="51"/>
      <c r="CY447" s="51"/>
      <c r="CZ447" s="51"/>
      <c r="DA447" s="51"/>
      <c r="DB447" s="51"/>
      <c r="DC447" s="51"/>
      <c r="DD447" s="51"/>
      <c r="DE447" s="51"/>
      <c r="DF447" s="51"/>
      <c r="DG447" s="51"/>
      <c r="DH447" s="51"/>
      <c r="DI447" s="51"/>
      <c r="DJ447" s="51"/>
      <c r="DK447" s="51"/>
      <c r="DL447" s="51"/>
      <c r="DM447" s="51"/>
      <c r="DN447" s="51"/>
      <c r="DO447" s="51"/>
      <c r="DP447" s="51"/>
      <c r="DQ447" s="51"/>
      <c r="DR447" s="51"/>
      <c r="DS447" s="51"/>
      <c r="DT447" s="51"/>
      <c r="DU447" s="51"/>
      <c r="DV447" s="51"/>
      <c r="DW447" s="51"/>
      <c r="DX447" s="51"/>
      <c r="DY447" s="51"/>
      <c r="DZ447" s="51"/>
      <c r="EA447" s="51"/>
      <c r="EB447" s="51"/>
      <c r="EC447" s="51"/>
      <c r="ED447" s="51"/>
      <c r="EE447" s="51"/>
      <c r="EF447" s="51"/>
      <c r="EG447" s="51"/>
      <c r="EH447" s="51"/>
      <c r="EI447" s="51"/>
      <c r="EJ447" s="51"/>
      <c r="EK447" s="51"/>
      <c r="EL447" s="51"/>
      <c r="EM447" s="51"/>
      <c r="EN447" s="51"/>
      <c r="EO447" s="51"/>
      <c r="EP447" s="51"/>
      <c r="EQ447" s="51"/>
      <c r="ER447" s="51"/>
      <c r="ES447" s="51"/>
      <c r="ET447" s="51"/>
      <c r="EU447" s="51"/>
      <c r="EV447" s="51"/>
      <c r="EW447" s="51"/>
      <c r="EX447" s="51"/>
      <c r="EY447" s="51"/>
      <c r="EZ447" s="51"/>
      <c r="FA447" s="51"/>
      <c r="FB447" s="51"/>
      <c r="FC447" s="51"/>
      <c r="FD447" s="51"/>
      <c r="FE447" s="51"/>
      <c r="FF447" s="51"/>
      <c r="FG447" s="51"/>
      <c r="FH447" s="51"/>
      <c r="FI447" s="51"/>
      <c r="FJ447" s="51"/>
      <c r="FK447" s="51"/>
      <c r="FL447" s="51"/>
      <c r="FM447" s="51"/>
      <c r="FN447" s="51"/>
      <c r="FO447" s="51"/>
      <c r="FP447" s="51"/>
      <c r="FQ447" s="51"/>
      <c r="FR447" s="51"/>
      <c r="FS447" s="51"/>
      <c r="FT447" s="51"/>
      <c r="FU447" s="51"/>
      <c r="FV447" s="51"/>
      <c r="FW447" s="51"/>
      <c r="FX447" s="51"/>
      <c r="FY447" s="51"/>
      <c r="FZ447" s="51"/>
      <c r="GA447" s="51"/>
      <c r="GB447" s="51"/>
      <c r="GC447" s="51"/>
      <c r="GD447" s="51"/>
      <c r="GE447" s="51"/>
      <c r="GF447" s="51"/>
      <c r="GG447" s="51"/>
      <c r="GH447" s="51"/>
      <c r="GI447" s="51"/>
      <c r="GJ447" s="51"/>
      <c r="GK447" s="51"/>
      <c r="GL447" s="51"/>
      <c r="GM447" s="51"/>
      <c r="GN447" s="51"/>
      <c r="GO447" s="51"/>
      <c r="GP447" s="51"/>
      <c r="GQ447" s="51"/>
      <c r="GR447" s="51"/>
      <c r="GS447" s="51"/>
      <c r="GT447" s="51"/>
      <c r="GU447" s="51"/>
      <c r="GV447" s="51"/>
      <c r="GW447" s="51"/>
      <c r="GX447" s="51"/>
      <c r="GY447" s="51"/>
      <c r="GZ447" s="51"/>
      <c r="HA447" s="51"/>
      <c r="HB447" s="51"/>
      <c r="HC447" s="51"/>
      <c r="HD447" s="51"/>
      <c r="HE447" s="51"/>
      <c r="HF447" s="51"/>
      <c r="HG447" s="51"/>
      <c r="HH447" s="51"/>
      <c r="HI447" s="51"/>
      <c r="HJ447" s="51"/>
      <c r="HK447" s="51"/>
      <c r="HL447" s="51"/>
      <c r="HM447" s="51"/>
      <c r="HN447" s="51"/>
      <c r="HO447" s="51"/>
      <c r="HP447" s="51"/>
      <c r="HQ447" s="51"/>
      <c r="HR447" s="51"/>
      <c r="HS447" s="51"/>
      <c r="HT447" s="51"/>
      <c r="HU447" s="51"/>
      <c r="HV447" s="51"/>
      <c r="HW447" s="51"/>
      <c r="HX447" s="51"/>
      <c r="HY447" s="51"/>
      <c r="HZ447" s="51"/>
      <c r="IA447" s="51"/>
      <c r="IB447" s="51"/>
      <c r="IC447" s="51"/>
      <c r="ID447" s="51"/>
      <c r="IE447" s="51"/>
      <c r="IF447" s="51"/>
      <c r="IG447" s="51"/>
      <c r="IH447" s="51"/>
      <c r="II447" s="51"/>
      <c r="IJ447" s="51"/>
      <c r="IK447" s="51"/>
      <c r="IL447" s="51"/>
      <c r="IM447" s="51"/>
      <c r="IN447" s="51"/>
      <c r="IO447" s="51"/>
      <c r="IP447" s="51"/>
      <c r="IQ447" s="51"/>
      <c r="IR447" s="51"/>
      <c r="IS447" s="51"/>
      <c r="IT447" s="51"/>
      <c r="IU447" s="51"/>
      <c r="IV447" s="51"/>
    </row>
    <row r="448" hidden="1">
      <c r="B448" s="829" t="s">
        <v>18</v>
      </c>
      <c r="C448" s="823">
        <v>0</v>
      </c>
      <c r="D448" s="823">
        <v>0</v>
      </c>
      <c r="E448" s="823">
        <v>0</v>
      </c>
      <c r="F448" s="823">
        <v>0</v>
      </c>
      <c r="G448" s="823">
        <v>0</v>
      </c>
      <c r="H448" s="823">
        <v>0</v>
      </c>
      <c r="I448" s="823">
        <v>0</v>
      </c>
      <c r="J448" s="823">
        <v>0</v>
      </c>
      <c r="K448" s="823">
        <v>0</v>
      </c>
      <c r="L448" s="823">
        <v>0</v>
      </c>
      <c r="M448" s="823">
        <v>0</v>
      </c>
      <c r="N448" s="823">
        <v>0</v>
      </c>
      <c r="O448" s="823">
        <v>0</v>
      </c>
      <c r="P448" s="823">
        <v>0</v>
      </c>
      <c r="Q448" s="823">
        <v>0</v>
      </c>
      <c r="R448" s="823">
        <v>0</v>
      </c>
      <c r="S448" s="823">
        <v>0</v>
      </c>
      <c r="T448" s="823">
        <v>0</v>
      </c>
      <c r="U448" s="823">
        <v>0</v>
      </c>
      <c r="V448" s="823">
        <v>0</v>
      </c>
      <c r="W448" s="823">
        <v>0</v>
      </c>
      <c r="X448" s="823">
        <v>223</v>
      </c>
      <c r="Y448" s="823">
        <v>223</v>
      </c>
      <c r="Z448" s="823">
        <v>229</v>
      </c>
      <c r="AA448" s="823">
        <v>229</v>
      </c>
      <c r="AB448" s="823">
        <v>230</v>
      </c>
      <c r="AC448" s="825">
        <v>229</v>
      </c>
      <c r="AD448" s="825">
        <v>233</v>
      </c>
      <c r="AE448" s="825">
        <v>234</v>
      </c>
      <c r="AF448" s="825">
        <v>233</v>
      </c>
      <c r="AG448" s="825">
        <v>233</v>
      </c>
      <c r="AH448" s="825">
        <v>235</v>
      </c>
      <c r="AI448" s="825">
        <v>221</v>
      </c>
      <c r="AJ448" s="825">
        <v>224</v>
      </c>
      <c r="AK448" s="825">
        <v>228</v>
      </c>
      <c r="AL448" s="825">
        <v>229</v>
      </c>
      <c r="AM448" s="825">
        <v>219</v>
      </c>
      <c r="AN448" s="825">
        <v>216</v>
      </c>
      <c r="AO448" s="825">
        <v>203</v>
      </c>
      <c r="AP448" s="825">
        <v>204</v>
      </c>
      <c r="AQ448" s="51"/>
      <c r="AR448" s="51"/>
      <c r="AS448" s="51"/>
      <c r="AT448" s="51"/>
      <c r="AU448" s="51"/>
      <c r="AV448" s="51"/>
      <c r="AW448" s="51"/>
      <c r="AX448" s="51"/>
      <c r="AY448" s="51"/>
      <c r="AZ448" s="51"/>
      <c r="BA448" s="51"/>
      <c r="BB448" s="51"/>
      <c r="BC448" s="51"/>
      <c r="BD448" s="51"/>
      <c r="BE448" s="51"/>
      <c r="BF448" s="51"/>
      <c r="BG448" s="51"/>
      <c r="BH448" s="51"/>
      <c r="BI448" s="51"/>
      <c r="BJ448" s="51"/>
      <c r="BK448" s="51"/>
      <c r="BL448" s="51"/>
      <c r="BM448" s="51"/>
      <c r="BN448" s="51"/>
      <c r="BO448" s="51"/>
      <c r="BP448" s="51"/>
      <c r="BQ448" s="51"/>
      <c r="BR448" s="51"/>
      <c r="BS448" s="51"/>
      <c r="BT448" s="51"/>
      <c r="BU448" s="51"/>
      <c r="BV448" s="51"/>
      <c r="BW448" s="51"/>
      <c r="BX448" s="51"/>
      <c r="BY448" s="51"/>
      <c r="BZ448" s="51"/>
      <c r="CA448" s="51"/>
      <c r="CB448" s="51"/>
      <c r="CC448" s="51"/>
      <c r="CD448" s="51"/>
      <c r="CE448" s="51"/>
      <c r="CF448" s="51"/>
      <c r="CG448" s="51"/>
      <c r="CH448" s="51"/>
      <c r="CI448" s="51"/>
      <c r="CJ448" s="51"/>
      <c r="CK448" s="51"/>
      <c r="CL448" s="51"/>
      <c r="CM448" s="51"/>
      <c r="CN448" s="51"/>
      <c r="CO448" s="51"/>
      <c r="CP448" s="51"/>
      <c r="CQ448" s="51"/>
      <c r="CR448" s="51"/>
      <c r="CS448" s="51"/>
      <c r="CT448" s="51"/>
      <c r="CU448" s="51"/>
      <c r="CV448" s="51"/>
      <c r="CW448" s="51"/>
      <c r="CX448" s="51"/>
      <c r="CY448" s="51"/>
      <c r="CZ448" s="51"/>
      <c r="DA448" s="51"/>
      <c r="DB448" s="51"/>
      <c r="DC448" s="51"/>
      <c r="DD448" s="51"/>
      <c r="DE448" s="51"/>
      <c r="DF448" s="51"/>
      <c r="DG448" s="51"/>
      <c r="DH448" s="51"/>
      <c r="DI448" s="51"/>
      <c r="DJ448" s="51"/>
      <c r="DK448" s="51"/>
      <c r="DL448" s="51"/>
      <c r="DM448" s="51"/>
      <c r="DN448" s="51"/>
      <c r="DO448" s="51"/>
      <c r="DP448" s="51"/>
      <c r="DQ448" s="51"/>
      <c r="DR448" s="51"/>
      <c r="DS448" s="51"/>
      <c r="DT448" s="51"/>
      <c r="DU448" s="51"/>
      <c r="DV448" s="51"/>
      <c r="DW448" s="51"/>
      <c r="DX448" s="51"/>
      <c r="DY448" s="51"/>
      <c r="DZ448" s="51"/>
      <c r="EA448" s="51"/>
      <c r="EB448" s="51"/>
      <c r="EC448" s="51"/>
      <c r="ED448" s="51"/>
      <c r="EE448" s="51"/>
      <c r="EF448" s="51"/>
      <c r="EG448" s="51"/>
      <c r="EH448" s="51"/>
      <c r="EI448" s="51"/>
      <c r="EJ448" s="51"/>
      <c r="EK448" s="51"/>
      <c r="EL448" s="51"/>
      <c r="EM448" s="51"/>
      <c r="EN448" s="51"/>
      <c r="EO448" s="51"/>
      <c r="EP448" s="51"/>
      <c r="EQ448" s="51"/>
      <c r="ER448" s="51"/>
      <c r="ES448" s="51"/>
      <c r="ET448" s="51"/>
      <c r="EU448" s="51"/>
      <c r="EV448" s="51"/>
      <c r="EW448" s="51"/>
      <c r="EX448" s="51"/>
      <c r="EY448" s="51"/>
      <c r="EZ448" s="51"/>
      <c r="FA448" s="51"/>
      <c r="FB448" s="51"/>
      <c r="FC448" s="51"/>
      <c r="FD448" s="51"/>
      <c r="FE448" s="51"/>
      <c r="FF448" s="51"/>
      <c r="FG448" s="51"/>
      <c r="FH448" s="51"/>
      <c r="FI448" s="51"/>
      <c r="FJ448" s="51"/>
      <c r="FK448" s="51"/>
      <c r="FL448" s="51"/>
      <c r="FM448" s="51"/>
      <c r="FN448" s="51"/>
      <c r="FO448" s="51"/>
      <c r="FP448" s="51"/>
      <c r="FQ448" s="51"/>
      <c r="FR448" s="51"/>
      <c r="FS448" s="51"/>
      <c r="FT448" s="51"/>
      <c r="FU448" s="51"/>
      <c r="FV448" s="51"/>
      <c r="FW448" s="51"/>
      <c r="FX448" s="51"/>
      <c r="FY448" s="51"/>
      <c r="FZ448" s="51"/>
      <c r="GA448" s="51"/>
      <c r="GB448" s="51"/>
      <c r="GC448" s="51"/>
      <c r="GD448" s="51"/>
      <c r="GE448" s="51"/>
      <c r="GF448" s="51"/>
      <c r="GG448" s="51"/>
      <c r="GH448" s="51"/>
      <c r="GI448" s="51"/>
      <c r="GJ448" s="51"/>
      <c r="GK448" s="51"/>
      <c r="GL448" s="51"/>
      <c r="GM448" s="51"/>
      <c r="GN448" s="51"/>
      <c r="GO448" s="51"/>
      <c r="GP448" s="51"/>
      <c r="GQ448" s="51"/>
      <c r="GR448" s="51"/>
      <c r="GS448" s="51"/>
      <c r="GT448" s="51"/>
      <c r="GU448" s="51"/>
      <c r="GV448" s="51"/>
      <c r="GW448" s="51"/>
      <c r="GX448" s="51"/>
      <c r="GY448" s="51"/>
      <c r="GZ448" s="51"/>
      <c r="HA448" s="51"/>
      <c r="HB448" s="51"/>
      <c r="HC448" s="51"/>
      <c r="HD448" s="51"/>
      <c r="HE448" s="51"/>
      <c r="HF448" s="51"/>
      <c r="HG448" s="51"/>
      <c r="HH448" s="51"/>
      <c r="HI448" s="51"/>
      <c r="HJ448" s="51"/>
      <c r="HK448" s="51"/>
      <c r="HL448" s="51"/>
      <c r="HM448" s="51"/>
      <c r="HN448" s="51"/>
      <c r="HO448" s="51"/>
      <c r="HP448" s="51"/>
      <c r="HQ448" s="51"/>
      <c r="HR448" s="51"/>
      <c r="HS448" s="51"/>
      <c r="HT448" s="51"/>
      <c r="HU448" s="51"/>
      <c r="HV448" s="51"/>
      <c r="HW448" s="51"/>
      <c r="HX448" s="51"/>
      <c r="HY448" s="51"/>
      <c r="HZ448" s="51"/>
      <c r="IA448" s="51"/>
      <c r="IB448" s="51"/>
      <c r="IC448" s="51"/>
      <c r="ID448" s="51"/>
      <c r="IE448" s="51"/>
      <c r="IF448" s="51"/>
      <c r="IG448" s="51"/>
      <c r="IH448" s="51"/>
      <c r="II448" s="51"/>
      <c r="IJ448" s="51"/>
      <c r="IK448" s="51"/>
      <c r="IL448" s="51"/>
      <c r="IM448" s="51"/>
      <c r="IN448" s="51"/>
      <c r="IO448" s="51"/>
      <c r="IP448" s="51"/>
      <c r="IQ448" s="51"/>
      <c r="IR448" s="51"/>
      <c r="IS448" s="51"/>
      <c r="IT448" s="51"/>
      <c r="IU448" s="51"/>
      <c r="IV448" s="51"/>
    </row>
    <row r="449" hidden="1">
      <c r="B449" s="826" t="s">
        <v>19</v>
      </c>
      <c r="C449" s="827">
        <v>0</v>
      </c>
      <c r="D449" s="827">
        <v>0</v>
      </c>
      <c r="E449" s="827">
        <v>0</v>
      </c>
      <c r="F449" s="827">
        <v>0</v>
      </c>
      <c r="G449" s="827">
        <v>0</v>
      </c>
      <c r="H449" s="827">
        <v>0</v>
      </c>
      <c r="I449" s="827">
        <v>0</v>
      </c>
      <c r="J449" s="827">
        <v>0</v>
      </c>
      <c r="K449" s="827">
        <v>0</v>
      </c>
      <c r="L449" s="827">
        <v>0</v>
      </c>
      <c r="M449" s="827">
        <v>0</v>
      </c>
      <c r="N449" s="827">
        <v>0</v>
      </c>
      <c r="O449" s="827">
        <v>0</v>
      </c>
      <c r="P449" s="827">
        <v>0</v>
      </c>
      <c r="Q449" s="827">
        <v>0</v>
      </c>
      <c r="R449" s="827">
        <v>0</v>
      </c>
      <c r="S449" s="827">
        <v>0</v>
      </c>
      <c r="T449" s="827">
        <v>0</v>
      </c>
      <c r="U449" s="827">
        <v>0</v>
      </c>
      <c r="V449" s="827">
        <v>0</v>
      </c>
      <c r="W449" s="827">
        <v>0</v>
      </c>
      <c r="X449" s="827">
        <v>10</v>
      </c>
      <c r="Y449" s="827">
        <v>10</v>
      </c>
      <c r="Z449" s="827">
        <v>10</v>
      </c>
      <c r="AA449" s="827">
        <v>10</v>
      </c>
      <c r="AB449" s="827">
        <v>10</v>
      </c>
      <c r="AC449" s="828">
        <v>10</v>
      </c>
      <c r="AD449" s="828">
        <v>10</v>
      </c>
      <c r="AE449" s="828">
        <v>10</v>
      </c>
      <c r="AF449" s="828">
        <v>10</v>
      </c>
      <c r="AG449" s="828">
        <v>11</v>
      </c>
      <c r="AH449" s="828">
        <v>11</v>
      </c>
      <c r="AI449" s="828">
        <v>11</v>
      </c>
      <c r="AJ449" s="828">
        <v>11</v>
      </c>
      <c r="AK449" s="828">
        <v>11</v>
      </c>
      <c r="AL449" s="828">
        <v>11</v>
      </c>
      <c r="AM449" s="828">
        <v>11</v>
      </c>
      <c r="AN449" s="828">
        <v>9</v>
      </c>
      <c r="AO449" s="828">
        <v>9</v>
      </c>
      <c r="AP449" s="828">
        <v>9</v>
      </c>
      <c r="AQ449" s="51"/>
      <c r="AR449" s="51"/>
      <c r="AS449" s="51"/>
      <c r="AT449" s="51"/>
      <c r="AU449" s="51"/>
      <c r="AV449" s="51"/>
      <c r="AW449" s="51"/>
      <c r="AX449" s="51"/>
      <c r="AY449" s="51"/>
      <c r="AZ449" s="51"/>
      <c r="BA449" s="51"/>
      <c r="BB449" s="51"/>
      <c r="BC449" s="51"/>
      <c r="BD449" s="51"/>
      <c r="BE449" s="51"/>
      <c r="BF449" s="51"/>
      <c r="BG449" s="51"/>
      <c r="BH449" s="51"/>
      <c r="BI449" s="51"/>
      <c r="BJ449" s="51"/>
      <c r="BK449" s="51"/>
      <c r="BL449" s="51"/>
      <c r="BM449" s="51"/>
      <c r="BN449" s="51"/>
      <c r="BO449" s="51"/>
      <c r="BP449" s="51"/>
      <c r="BQ449" s="51"/>
      <c r="BR449" s="51"/>
      <c r="BS449" s="51"/>
      <c r="BT449" s="51"/>
      <c r="BU449" s="51"/>
      <c r="BV449" s="51"/>
      <c r="BW449" s="51"/>
      <c r="BX449" s="51"/>
      <c r="BY449" s="51"/>
      <c r="BZ449" s="51"/>
      <c r="CA449" s="51"/>
      <c r="CB449" s="51"/>
      <c r="CC449" s="51"/>
      <c r="CD449" s="51"/>
      <c r="CE449" s="51"/>
      <c r="CF449" s="51"/>
      <c r="CG449" s="51"/>
      <c r="CH449" s="51"/>
      <c r="CI449" s="51"/>
      <c r="CJ449" s="51"/>
      <c r="CK449" s="51"/>
      <c r="CL449" s="51"/>
      <c r="CM449" s="51"/>
      <c r="CN449" s="51"/>
      <c r="CO449" s="51"/>
      <c r="CP449" s="51"/>
      <c r="CQ449" s="51"/>
      <c r="CR449" s="51"/>
      <c r="CS449" s="51"/>
      <c r="CT449" s="51"/>
      <c r="CU449" s="51"/>
      <c r="CV449" s="51"/>
      <c r="CW449" s="51"/>
      <c r="CX449" s="51"/>
      <c r="CY449" s="51"/>
      <c r="CZ449" s="51"/>
      <c r="DA449" s="51"/>
      <c r="DB449" s="51"/>
      <c r="DC449" s="51"/>
      <c r="DD449" s="51"/>
      <c r="DE449" s="51"/>
      <c r="DF449" s="51"/>
      <c r="DG449" s="51"/>
      <c r="DH449" s="51"/>
      <c r="DI449" s="51"/>
      <c r="DJ449" s="51"/>
      <c r="DK449" s="51"/>
      <c r="DL449" s="51"/>
      <c r="DM449" s="51"/>
      <c r="DN449" s="51"/>
      <c r="DO449" s="51"/>
      <c r="DP449" s="51"/>
      <c r="DQ449" s="51"/>
      <c r="DR449" s="51"/>
      <c r="DS449" s="51"/>
      <c r="DT449" s="51"/>
      <c r="DU449" s="51"/>
      <c r="DV449" s="51"/>
      <c r="DW449" s="51"/>
      <c r="DX449" s="51"/>
      <c r="DY449" s="51"/>
      <c r="DZ449" s="51"/>
      <c r="EA449" s="51"/>
      <c r="EB449" s="51"/>
      <c r="EC449" s="51"/>
      <c r="ED449" s="51"/>
      <c r="EE449" s="51"/>
      <c r="EF449" s="51"/>
      <c r="EG449" s="51"/>
      <c r="EH449" s="51"/>
      <c r="EI449" s="51"/>
      <c r="EJ449" s="51"/>
      <c r="EK449" s="51"/>
      <c r="EL449" s="51"/>
      <c r="EM449" s="51"/>
      <c r="EN449" s="51"/>
      <c r="EO449" s="51"/>
      <c r="EP449" s="51"/>
      <c r="EQ449" s="51"/>
      <c r="ER449" s="51"/>
      <c r="ES449" s="51"/>
      <c r="ET449" s="51"/>
      <c r="EU449" s="51"/>
      <c r="EV449" s="51"/>
      <c r="EW449" s="51"/>
      <c r="EX449" s="51"/>
      <c r="EY449" s="51"/>
      <c r="EZ449" s="51"/>
      <c r="FA449" s="51"/>
      <c r="FB449" s="51"/>
      <c r="FC449" s="51"/>
      <c r="FD449" s="51"/>
      <c r="FE449" s="51"/>
      <c r="FF449" s="51"/>
      <c r="FG449" s="51"/>
      <c r="FH449" s="51"/>
      <c r="FI449" s="51"/>
      <c r="FJ449" s="51"/>
      <c r="FK449" s="51"/>
      <c r="FL449" s="51"/>
      <c r="FM449" s="51"/>
      <c r="FN449" s="51"/>
      <c r="FO449" s="51"/>
      <c r="FP449" s="51"/>
      <c r="FQ449" s="51"/>
      <c r="FR449" s="51"/>
      <c r="FS449" s="51"/>
      <c r="FT449" s="51"/>
      <c r="FU449" s="51"/>
      <c r="FV449" s="51"/>
      <c r="FW449" s="51"/>
      <c r="FX449" s="51"/>
      <c r="FY449" s="51"/>
      <c r="FZ449" s="51"/>
      <c r="GA449" s="51"/>
      <c r="GB449" s="51"/>
      <c r="GC449" s="51"/>
      <c r="GD449" s="51"/>
      <c r="GE449" s="51"/>
      <c r="GF449" s="51"/>
      <c r="GG449" s="51"/>
      <c r="GH449" s="51"/>
      <c r="GI449" s="51"/>
      <c r="GJ449" s="51"/>
      <c r="GK449" s="51"/>
      <c r="GL449" s="51"/>
      <c r="GM449" s="51"/>
      <c r="GN449" s="51"/>
      <c r="GO449" s="51"/>
      <c r="GP449" s="51"/>
      <c r="GQ449" s="51"/>
      <c r="GR449" s="51"/>
      <c r="GS449" s="51"/>
      <c r="GT449" s="51"/>
      <c r="GU449" s="51"/>
      <c r="GV449" s="51"/>
      <c r="GW449" s="51"/>
      <c r="GX449" s="51"/>
      <c r="GY449" s="51"/>
      <c r="GZ449" s="51"/>
      <c r="HA449" s="51"/>
      <c r="HB449" s="51"/>
      <c r="HC449" s="51"/>
      <c r="HD449" s="51"/>
      <c r="HE449" s="51"/>
      <c r="HF449" s="51"/>
      <c r="HG449" s="51"/>
      <c r="HH449" s="51"/>
      <c r="HI449" s="51"/>
      <c r="HJ449" s="51"/>
      <c r="HK449" s="51"/>
      <c r="HL449" s="51"/>
      <c r="HM449" s="51"/>
      <c r="HN449" s="51"/>
      <c r="HO449" s="51"/>
      <c r="HP449" s="51"/>
      <c r="HQ449" s="51"/>
      <c r="HR449" s="51"/>
      <c r="HS449" s="51"/>
      <c r="HT449" s="51"/>
      <c r="HU449" s="51"/>
      <c r="HV449" s="51"/>
      <c r="HW449" s="51"/>
      <c r="HX449" s="51"/>
      <c r="HY449" s="51"/>
      <c r="HZ449" s="51"/>
      <c r="IA449" s="51"/>
      <c r="IB449" s="51"/>
      <c r="IC449" s="51"/>
      <c r="ID449" s="51"/>
      <c r="IE449" s="51"/>
      <c r="IF449" s="51"/>
      <c r="IG449" s="51"/>
      <c r="IH449" s="51"/>
      <c r="II449" s="51"/>
      <c r="IJ449" s="51"/>
      <c r="IK449" s="51"/>
      <c r="IL449" s="51"/>
      <c r="IM449" s="51"/>
      <c r="IN449" s="51"/>
      <c r="IO449" s="51"/>
      <c r="IP449" s="51"/>
      <c r="IQ449" s="51"/>
      <c r="IR449" s="51"/>
      <c r="IS449" s="51"/>
      <c r="IT449" s="51"/>
      <c r="IU449" s="51"/>
      <c r="IV449" s="51"/>
    </row>
    <row r="450" hidden="1">
      <c r="B450" s="829" t="s">
        <v>20</v>
      </c>
      <c r="C450" s="823">
        <v>0</v>
      </c>
      <c r="D450" s="823">
        <v>0</v>
      </c>
      <c r="E450" s="823">
        <v>0</v>
      </c>
      <c r="F450" s="823">
        <v>0</v>
      </c>
      <c r="G450" s="823">
        <v>0</v>
      </c>
      <c r="H450" s="823">
        <v>0</v>
      </c>
      <c r="I450" s="823">
        <v>0</v>
      </c>
      <c r="J450" s="823">
        <v>0</v>
      </c>
      <c r="K450" s="823">
        <v>0</v>
      </c>
      <c r="L450" s="823">
        <v>0</v>
      </c>
      <c r="M450" s="823">
        <v>0</v>
      </c>
      <c r="N450" s="823">
        <v>0</v>
      </c>
      <c r="O450" s="823">
        <v>0</v>
      </c>
      <c r="P450" s="823">
        <v>0</v>
      </c>
      <c r="Q450" s="823">
        <v>0</v>
      </c>
      <c r="R450" s="823">
        <v>0</v>
      </c>
      <c r="S450" s="823">
        <v>0</v>
      </c>
      <c r="T450" s="823">
        <v>0</v>
      </c>
      <c r="U450" s="823">
        <v>0</v>
      </c>
      <c r="V450" s="823">
        <v>0</v>
      </c>
      <c r="W450" s="823">
        <v>0</v>
      </c>
      <c r="X450" s="823">
        <v>0</v>
      </c>
      <c r="Y450" s="823">
        <v>0</v>
      </c>
      <c r="Z450" s="823">
        <v>0</v>
      </c>
      <c r="AA450" s="823">
        <v>0</v>
      </c>
      <c r="AB450" s="823">
        <v>0</v>
      </c>
      <c r="AC450" s="825">
        <v>0</v>
      </c>
      <c r="AD450" s="825">
        <v>0</v>
      </c>
      <c r="AE450" s="825">
        <v>0</v>
      </c>
      <c r="AF450" s="825">
        <v>0</v>
      </c>
      <c r="AG450" s="825">
        <v>0</v>
      </c>
      <c r="AH450" s="825">
        <v>0</v>
      </c>
      <c r="AI450" s="825">
        <v>0</v>
      </c>
      <c r="AJ450" s="825">
        <v>0</v>
      </c>
      <c r="AK450" s="825">
        <v>0</v>
      </c>
      <c r="AL450" s="825">
        <v>0</v>
      </c>
      <c r="AM450" s="825">
        <v>0</v>
      </c>
      <c r="AN450" s="825">
        <v>0</v>
      </c>
      <c r="AO450" s="825">
        <v>0</v>
      </c>
      <c r="AP450" s="825">
        <v>0</v>
      </c>
      <c r="AQ450" s="51"/>
      <c r="AR450" s="51"/>
      <c r="AS450" s="51"/>
      <c r="AT450" s="51"/>
      <c r="AU450" s="51"/>
      <c r="AV450" s="51"/>
      <c r="AW450" s="51"/>
      <c r="AX450" s="51"/>
      <c r="AY450" s="51"/>
      <c r="AZ450" s="51"/>
      <c r="BA450" s="51"/>
      <c r="BB450" s="51"/>
      <c r="BC450" s="51"/>
      <c r="BD450" s="51"/>
      <c r="BE450" s="51"/>
      <c r="BF450" s="51"/>
      <c r="BG450" s="51"/>
      <c r="BH450" s="51"/>
      <c r="BI450" s="51"/>
      <c r="BJ450" s="51"/>
      <c r="BK450" s="51"/>
      <c r="BL450" s="51"/>
      <c r="BM450" s="51"/>
      <c r="BN450" s="51"/>
      <c r="BO450" s="51"/>
      <c r="BP450" s="51"/>
      <c r="BQ450" s="51"/>
      <c r="BR450" s="51"/>
      <c r="BS450" s="51"/>
      <c r="BT450" s="51"/>
      <c r="BU450" s="51"/>
      <c r="BV450" s="51"/>
      <c r="BW450" s="51"/>
      <c r="BX450" s="51"/>
      <c r="BY450" s="51"/>
      <c r="BZ450" s="51"/>
      <c r="CA450" s="51"/>
      <c r="CB450" s="51"/>
      <c r="CC450" s="51"/>
      <c r="CD450" s="51"/>
      <c r="CE450" s="51"/>
      <c r="CF450" s="51"/>
      <c r="CG450" s="51"/>
      <c r="CH450" s="51"/>
      <c r="CI450" s="51"/>
      <c r="CJ450" s="51"/>
      <c r="CK450" s="51"/>
      <c r="CL450" s="51"/>
      <c r="CM450" s="51"/>
      <c r="CN450" s="51"/>
      <c r="CO450" s="51"/>
      <c r="CP450" s="51"/>
      <c r="CQ450" s="51"/>
      <c r="CR450" s="51"/>
      <c r="CS450" s="51"/>
      <c r="CT450" s="51"/>
      <c r="CU450" s="51"/>
      <c r="CV450" s="51"/>
      <c r="CW450" s="51"/>
      <c r="CX450" s="51"/>
      <c r="CY450" s="51"/>
      <c r="CZ450" s="51"/>
      <c r="DA450" s="51"/>
      <c r="DB450" s="51"/>
      <c r="DC450" s="51"/>
      <c r="DD450" s="51"/>
      <c r="DE450" s="51"/>
      <c r="DF450" s="51"/>
      <c r="DG450" s="51"/>
      <c r="DH450" s="51"/>
      <c r="DI450" s="51"/>
      <c r="DJ450" s="51"/>
      <c r="DK450" s="51"/>
      <c r="DL450" s="51"/>
      <c r="DM450" s="51"/>
      <c r="DN450" s="51"/>
      <c r="DO450" s="51"/>
      <c r="DP450" s="51"/>
      <c r="DQ450" s="51"/>
      <c r="DR450" s="51"/>
      <c r="DS450" s="51"/>
      <c r="DT450" s="51"/>
      <c r="DU450" s="51"/>
      <c r="DV450" s="51"/>
      <c r="DW450" s="51"/>
      <c r="DX450" s="51"/>
      <c r="DY450" s="51"/>
      <c r="DZ450" s="51"/>
      <c r="EA450" s="51"/>
      <c r="EB450" s="51"/>
      <c r="EC450" s="51"/>
      <c r="ED450" s="51"/>
      <c r="EE450" s="51"/>
      <c r="EF450" s="51"/>
      <c r="EG450" s="51"/>
      <c r="EH450" s="51"/>
      <c r="EI450" s="51"/>
      <c r="EJ450" s="51"/>
      <c r="EK450" s="51"/>
      <c r="EL450" s="51"/>
      <c r="EM450" s="51"/>
      <c r="EN450" s="51"/>
      <c r="EO450" s="51"/>
      <c r="EP450" s="51"/>
      <c r="EQ450" s="51"/>
      <c r="ER450" s="51"/>
      <c r="ES450" s="51"/>
      <c r="ET450" s="51"/>
      <c r="EU450" s="51"/>
      <c r="EV450" s="51"/>
      <c r="EW450" s="51"/>
      <c r="EX450" s="51"/>
      <c r="EY450" s="51"/>
      <c r="EZ450" s="51"/>
      <c r="FA450" s="51"/>
      <c r="FB450" s="51"/>
      <c r="FC450" s="51"/>
      <c r="FD450" s="51"/>
      <c r="FE450" s="51"/>
      <c r="FF450" s="51"/>
      <c r="FG450" s="51"/>
      <c r="FH450" s="51"/>
      <c r="FI450" s="51"/>
      <c r="FJ450" s="51"/>
      <c r="FK450" s="51"/>
      <c r="FL450" s="51"/>
      <c r="FM450" s="51"/>
      <c r="FN450" s="51"/>
      <c r="FO450" s="51"/>
      <c r="FP450" s="51"/>
      <c r="FQ450" s="51"/>
      <c r="FR450" s="51"/>
      <c r="FS450" s="51"/>
      <c r="FT450" s="51"/>
      <c r="FU450" s="51"/>
      <c r="FV450" s="51"/>
      <c r="FW450" s="51"/>
      <c r="FX450" s="51"/>
      <c r="FY450" s="51"/>
      <c r="FZ450" s="51"/>
      <c r="GA450" s="51"/>
      <c r="GB450" s="51"/>
      <c r="GC450" s="51"/>
      <c r="GD450" s="51"/>
      <c r="GE450" s="51"/>
      <c r="GF450" s="51"/>
      <c r="GG450" s="51"/>
      <c r="GH450" s="51"/>
      <c r="GI450" s="51"/>
      <c r="GJ450" s="51"/>
      <c r="GK450" s="51"/>
      <c r="GL450" s="51"/>
      <c r="GM450" s="51"/>
      <c r="GN450" s="51"/>
      <c r="GO450" s="51"/>
      <c r="GP450" s="51"/>
      <c r="GQ450" s="51"/>
      <c r="GR450" s="51"/>
      <c r="GS450" s="51"/>
      <c r="GT450" s="51"/>
      <c r="GU450" s="51"/>
      <c r="GV450" s="51"/>
      <c r="GW450" s="51"/>
      <c r="GX450" s="51"/>
      <c r="GY450" s="51"/>
      <c r="GZ450" s="51"/>
      <c r="HA450" s="51"/>
      <c r="HB450" s="51"/>
      <c r="HC450" s="51"/>
      <c r="HD450" s="51"/>
      <c r="HE450" s="51"/>
      <c r="HF450" s="51"/>
      <c r="HG450" s="51"/>
      <c r="HH450" s="51"/>
      <c r="HI450" s="51"/>
      <c r="HJ450" s="51"/>
      <c r="HK450" s="51"/>
      <c r="HL450" s="51"/>
      <c r="HM450" s="51"/>
      <c r="HN450" s="51"/>
      <c r="HO450" s="51"/>
      <c r="HP450" s="51"/>
      <c r="HQ450" s="51"/>
      <c r="HR450" s="51"/>
      <c r="HS450" s="51"/>
      <c r="HT450" s="51"/>
      <c r="HU450" s="51"/>
      <c r="HV450" s="51"/>
      <c r="HW450" s="51"/>
      <c r="HX450" s="51"/>
      <c r="HY450" s="51"/>
      <c r="HZ450" s="51"/>
      <c r="IA450" s="51"/>
      <c r="IB450" s="51"/>
      <c r="IC450" s="51"/>
      <c r="ID450" s="51"/>
      <c r="IE450" s="51"/>
      <c r="IF450" s="51"/>
      <c r="IG450" s="51"/>
      <c r="IH450" s="51"/>
      <c r="II450" s="51"/>
      <c r="IJ450" s="51"/>
      <c r="IK450" s="51"/>
      <c r="IL450" s="51"/>
      <c r="IM450" s="51"/>
      <c r="IN450" s="51"/>
      <c r="IO450" s="51"/>
      <c r="IP450" s="51"/>
      <c r="IQ450" s="51"/>
      <c r="IR450" s="51"/>
      <c r="IS450" s="51"/>
      <c r="IT450" s="51"/>
      <c r="IU450" s="51"/>
      <c r="IV450" s="51"/>
    </row>
    <row r="451" hidden="1">
      <c r="B451" s="826" t="s">
        <v>21</v>
      </c>
      <c r="C451" s="827">
        <v>0</v>
      </c>
      <c r="D451" s="827">
        <v>0</v>
      </c>
      <c r="E451" s="827">
        <v>0</v>
      </c>
      <c r="F451" s="827">
        <v>0</v>
      </c>
      <c r="G451" s="827">
        <v>0</v>
      </c>
      <c r="H451" s="827">
        <v>0</v>
      </c>
      <c r="I451" s="827">
        <v>0</v>
      </c>
      <c r="J451" s="827">
        <v>0</v>
      </c>
      <c r="K451" s="827">
        <v>0</v>
      </c>
      <c r="L451" s="827">
        <v>0</v>
      </c>
      <c r="M451" s="827">
        <v>0</v>
      </c>
      <c r="N451" s="827">
        <v>0</v>
      </c>
      <c r="O451" s="827">
        <v>0</v>
      </c>
      <c r="P451" s="827">
        <v>0</v>
      </c>
      <c r="Q451" s="827">
        <v>0</v>
      </c>
      <c r="R451" s="827">
        <v>0</v>
      </c>
      <c r="S451" s="827">
        <v>0</v>
      </c>
      <c r="T451" s="827">
        <v>0</v>
      </c>
      <c r="U451" s="827">
        <v>0</v>
      </c>
      <c r="V451" s="827">
        <v>0</v>
      </c>
      <c r="W451" s="827">
        <v>0</v>
      </c>
      <c r="X451" s="827">
        <v>0</v>
      </c>
      <c r="Y451" s="827">
        <v>0</v>
      </c>
      <c r="Z451" s="827">
        <v>0</v>
      </c>
      <c r="AA451" s="827">
        <v>0</v>
      </c>
      <c r="AB451" s="827">
        <v>0</v>
      </c>
      <c r="AC451" s="828">
        <v>0</v>
      </c>
      <c r="AD451" s="828">
        <v>0</v>
      </c>
      <c r="AE451" s="828">
        <v>0</v>
      </c>
      <c r="AF451" s="828">
        <v>0</v>
      </c>
      <c r="AG451" s="828">
        <v>0</v>
      </c>
      <c r="AH451" s="828">
        <v>0</v>
      </c>
      <c r="AI451" s="828">
        <v>0</v>
      </c>
      <c r="AJ451" s="828">
        <v>0</v>
      </c>
      <c r="AK451" s="828">
        <v>0</v>
      </c>
      <c r="AL451" s="828">
        <v>0</v>
      </c>
      <c r="AM451" s="828">
        <v>0</v>
      </c>
      <c r="AN451" s="828">
        <v>0</v>
      </c>
      <c r="AO451" s="828">
        <v>0</v>
      </c>
      <c r="AP451" s="828">
        <v>0</v>
      </c>
      <c r="AQ451" s="51"/>
      <c r="AR451" s="51"/>
      <c r="AS451" s="51"/>
      <c r="AT451" s="51"/>
      <c r="AU451" s="51"/>
      <c r="AV451" s="51"/>
      <c r="AW451" s="51"/>
      <c r="AX451" s="51"/>
      <c r="AY451" s="51"/>
      <c r="AZ451" s="51"/>
      <c r="BA451" s="51"/>
      <c r="BB451" s="51"/>
      <c r="BC451" s="51"/>
      <c r="BD451" s="51"/>
      <c r="BE451" s="51"/>
      <c r="BF451" s="51"/>
      <c r="BG451" s="51"/>
      <c r="BH451" s="51"/>
      <c r="BI451" s="51"/>
      <c r="BJ451" s="51"/>
      <c r="BK451" s="51"/>
      <c r="BL451" s="51"/>
      <c r="BM451" s="51"/>
      <c r="BN451" s="51"/>
      <c r="BO451" s="51"/>
      <c r="BP451" s="51"/>
      <c r="BQ451" s="51"/>
      <c r="BR451" s="51"/>
      <c r="BS451" s="51"/>
      <c r="BT451" s="51"/>
      <c r="BU451" s="51"/>
      <c r="BV451" s="51"/>
      <c r="BW451" s="51"/>
      <c r="BX451" s="51"/>
      <c r="BY451" s="51"/>
      <c r="BZ451" s="51"/>
      <c r="CA451" s="51"/>
      <c r="CB451" s="51"/>
      <c r="CC451" s="51"/>
      <c r="CD451" s="51"/>
      <c r="CE451" s="51"/>
      <c r="CF451" s="51"/>
      <c r="CG451" s="51"/>
      <c r="CH451" s="51"/>
      <c r="CI451" s="51"/>
      <c r="CJ451" s="51"/>
      <c r="CK451" s="51"/>
      <c r="CL451" s="51"/>
      <c r="CM451" s="51"/>
      <c r="CN451" s="51"/>
      <c r="CO451" s="51"/>
      <c r="CP451" s="51"/>
      <c r="CQ451" s="51"/>
      <c r="CR451" s="51"/>
      <c r="CS451" s="51"/>
      <c r="CT451" s="51"/>
      <c r="CU451" s="51"/>
      <c r="CV451" s="51"/>
      <c r="CW451" s="51"/>
      <c r="CX451" s="51"/>
      <c r="CY451" s="51"/>
      <c r="CZ451" s="51"/>
      <c r="DA451" s="51"/>
      <c r="DB451" s="51"/>
      <c r="DC451" s="51"/>
      <c r="DD451" s="51"/>
      <c r="DE451" s="51"/>
      <c r="DF451" s="51"/>
      <c r="DG451" s="51"/>
      <c r="DH451" s="51"/>
      <c r="DI451" s="51"/>
      <c r="DJ451" s="51"/>
      <c r="DK451" s="51"/>
      <c r="DL451" s="51"/>
      <c r="DM451" s="51"/>
      <c r="DN451" s="51"/>
      <c r="DO451" s="51"/>
      <c r="DP451" s="51"/>
      <c r="DQ451" s="51"/>
      <c r="DR451" s="51"/>
      <c r="DS451" s="51"/>
      <c r="DT451" s="51"/>
      <c r="DU451" s="51"/>
      <c r="DV451" s="51"/>
      <c r="DW451" s="51"/>
      <c r="DX451" s="51"/>
      <c r="DY451" s="51"/>
      <c r="DZ451" s="51"/>
      <c r="EA451" s="51"/>
      <c r="EB451" s="51"/>
      <c r="EC451" s="51"/>
      <c r="ED451" s="51"/>
      <c r="EE451" s="51"/>
      <c r="EF451" s="51"/>
      <c r="EG451" s="51"/>
      <c r="EH451" s="51"/>
      <c r="EI451" s="51"/>
      <c r="EJ451" s="51"/>
      <c r="EK451" s="51"/>
      <c r="EL451" s="51"/>
      <c r="EM451" s="51"/>
      <c r="EN451" s="51"/>
      <c r="EO451" s="51"/>
      <c r="EP451" s="51"/>
      <c r="EQ451" s="51"/>
      <c r="ER451" s="51"/>
      <c r="ES451" s="51"/>
      <c r="ET451" s="51"/>
      <c r="EU451" s="51"/>
      <c r="EV451" s="51"/>
      <c r="EW451" s="51"/>
      <c r="EX451" s="51"/>
      <c r="EY451" s="51"/>
      <c r="EZ451" s="51"/>
      <c r="FA451" s="51"/>
      <c r="FB451" s="51"/>
      <c r="FC451" s="51"/>
      <c r="FD451" s="51"/>
      <c r="FE451" s="51"/>
      <c r="FF451" s="51"/>
      <c r="FG451" s="51"/>
      <c r="FH451" s="51"/>
      <c r="FI451" s="51"/>
      <c r="FJ451" s="51"/>
      <c r="FK451" s="51"/>
      <c r="FL451" s="51"/>
      <c r="FM451" s="51"/>
      <c r="FN451" s="51"/>
      <c r="FO451" s="51"/>
      <c r="FP451" s="51"/>
      <c r="FQ451" s="51"/>
      <c r="FR451" s="51"/>
      <c r="FS451" s="51"/>
      <c r="FT451" s="51"/>
      <c r="FU451" s="51"/>
      <c r="FV451" s="51"/>
      <c r="FW451" s="51"/>
      <c r="FX451" s="51"/>
      <c r="FY451" s="51"/>
      <c r="FZ451" s="51"/>
      <c r="GA451" s="51"/>
      <c r="GB451" s="51"/>
      <c r="GC451" s="51"/>
      <c r="GD451" s="51"/>
      <c r="GE451" s="51"/>
      <c r="GF451" s="51"/>
      <c r="GG451" s="51"/>
      <c r="GH451" s="51"/>
      <c r="GI451" s="51"/>
      <c r="GJ451" s="51"/>
      <c r="GK451" s="51"/>
      <c r="GL451" s="51"/>
      <c r="GM451" s="51"/>
      <c r="GN451" s="51"/>
      <c r="GO451" s="51"/>
      <c r="GP451" s="51"/>
      <c r="GQ451" s="51"/>
      <c r="GR451" s="51"/>
      <c r="GS451" s="51"/>
      <c r="GT451" s="51"/>
      <c r="GU451" s="51"/>
      <c r="GV451" s="51"/>
      <c r="GW451" s="51"/>
      <c r="GX451" s="51"/>
      <c r="GY451" s="51"/>
      <c r="GZ451" s="51"/>
      <c r="HA451" s="51"/>
      <c r="HB451" s="51"/>
      <c r="HC451" s="51"/>
      <c r="HD451" s="51"/>
      <c r="HE451" s="51"/>
      <c r="HF451" s="51"/>
      <c r="HG451" s="51"/>
      <c r="HH451" s="51"/>
      <c r="HI451" s="51"/>
      <c r="HJ451" s="51"/>
      <c r="HK451" s="51"/>
      <c r="HL451" s="51"/>
      <c r="HM451" s="51"/>
      <c r="HN451" s="51"/>
      <c r="HO451" s="51"/>
      <c r="HP451" s="51"/>
      <c r="HQ451" s="51"/>
      <c r="HR451" s="51"/>
      <c r="HS451" s="51"/>
      <c r="HT451" s="51"/>
      <c r="HU451" s="51"/>
      <c r="HV451" s="51"/>
      <c r="HW451" s="51"/>
      <c r="HX451" s="51"/>
      <c r="HY451" s="51"/>
      <c r="HZ451" s="51"/>
      <c r="IA451" s="51"/>
      <c r="IB451" s="51"/>
      <c r="IC451" s="51"/>
      <c r="ID451" s="51"/>
      <c r="IE451" s="51"/>
      <c r="IF451" s="51"/>
      <c r="IG451" s="51"/>
      <c r="IH451" s="51"/>
      <c r="II451" s="51"/>
      <c r="IJ451" s="51"/>
      <c r="IK451" s="51"/>
      <c r="IL451" s="51"/>
      <c r="IM451" s="51"/>
      <c r="IN451" s="51"/>
      <c r="IO451" s="51"/>
      <c r="IP451" s="51"/>
      <c r="IQ451" s="51"/>
      <c r="IR451" s="51"/>
      <c r="IS451" s="51"/>
      <c r="IT451" s="51"/>
      <c r="IU451" s="51"/>
      <c r="IV451" s="51"/>
    </row>
    <row r="452" hidden="1">
      <c r="B452" s="829" t="s">
        <v>22</v>
      </c>
      <c r="C452" s="823">
        <v>0</v>
      </c>
      <c r="D452" s="823">
        <v>0</v>
      </c>
      <c r="E452" s="823">
        <v>0</v>
      </c>
      <c r="F452" s="823">
        <v>0</v>
      </c>
      <c r="G452" s="823">
        <v>0</v>
      </c>
      <c r="H452" s="823">
        <v>0</v>
      </c>
      <c r="I452" s="823">
        <v>0</v>
      </c>
      <c r="J452" s="823">
        <v>0</v>
      </c>
      <c r="K452" s="823">
        <v>0</v>
      </c>
      <c r="L452" s="823">
        <v>0</v>
      </c>
      <c r="M452" s="823">
        <v>0</v>
      </c>
      <c r="N452" s="823">
        <v>0</v>
      </c>
      <c r="O452" s="823">
        <v>0</v>
      </c>
      <c r="P452" s="823">
        <v>5</v>
      </c>
      <c r="Q452" s="823">
        <v>5</v>
      </c>
      <c r="R452" s="823">
        <v>7</v>
      </c>
      <c r="S452" s="823">
        <v>8</v>
      </c>
      <c r="T452" s="823">
        <v>8</v>
      </c>
      <c r="U452" s="823">
        <v>10</v>
      </c>
      <c r="V452" s="823">
        <v>8</v>
      </c>
      <c r="W452" s="823">
        <v>8</v>
      </c>
      <c r="X452" s="823">
        <v>8</v>
      </c>
      <c r="Y452" s="823">
        <v>8</v>
      </c>
      <c r="Z452" s="823">
        <v>8</v>
      </c>
      <c r="AA452" s="823">
        <v>9</v>
      </c>
      <c r="AB452" s="823">
        <v>9</v>
      </c>
      <c r="AC452" s="825">
        <v>9</v>
      </c>
      <c r="AD452" s="825">
        <v>8</v>
      </c>
      <c r="AE452" s="825">
        <v>8</v>
      </c>
      <c r="AF452" s="825">
        <v>8</v>
      </c>
      <c r="AG452" s="825">
        <v>8</v>
      </c>
      <c r="AH452" s="825">
        <v>8</v>
      </c>
      <c r="AI452" s="825">
        <v>8</v>
      </c>
      <c r="AJ452" s="825">
        <v>8</v>
      </c>
      <c r="AK452" s="825">
        <v>8</v>
      </c>
      <c r="AL452" s="825">
        <v>9</v>
      </c>
      <c r="AM452" s="825">
        <v>9</v>
      </c>
      <c r="AN452" s="825">
        <v>9</v>
      </c>
      <c r="AO452" s="825">
        <v>10</v>
      </c>
      <c r="AP452" s="825">
        <v>10</v>
      </c>
      <c r="AQ452" s="51"/>
      <c r="AR452" s="51"/>
      <c r="AS452" s="51"/>
      <c r="AT452" s="51"/>
      <c r="AU452" s="51"/>
      <c r="AV452" s="51"/>
      <c r="AW452" s="51"/>
      <c r="AX452" s="51"/>
      <c r="AY452" s="51"/>
      <c r="AZ452" s="51"/>
      <c r="BA452" s="51"/>
      <c r="BB452" s="51"/>
      <c r="BC452" s="51"/>
      <c r="BD452" s="51"/>
      <c r="BE452" s="51"/>
      <c r="BF452" s="51"/>
      <c r="BG452" s="51"/>
      <c r="BH452" s="51"/>
      <c r="BI452" s="51"/>
      <c r="BJ452" s="51"/>
      <c r="BK452" s="51"/>
      <c r="BL452" s="51"/>
      <c r="BM452" s="51"/>
      <c r="BN452" s="51"/>
      <c r="BO452" s="51"/>
      <c r="BP452" s="51"/>
      <c r="BQ452" s="51"/>
      <c r="BR452" s="51"/>
      <c r="BS452" s="51"/>
      <c r="BT452" s="51"/>
      <c r="BU452" s="51"/>
      <c r="BV452" s="51"/>
      <c r="BW452" s="51"/>
      <c r="BX452" s="51"/>
      <c r="BY452" s="51"/>
      <c r="BZ452" s="51"/>
      <c r="CA452" s="51"/>
      <c r="CB452" s="51"/>
      <c r="CC452" s="51"/>
      <c r="CD452" s="51"/>
      <c r="CE452" s="51"/>
      <c r="CF452" s="51"/>
      <c r="CG452" s="51"/>
      <c r="CH452" s="51"/>
      <c r="CI452" s="51"/>
      <c r="CJ452" s="51"/>
      <c r="CK452" s="51"/>
      <c r="CL452" s="51"/>
      <c r="CM452" s="51"/>
      <c r="CN452" s="51"/>
      <c r="CO452" s="51"/>
      <c r="CP452" s="51"/>
      <c r="CQ452" s="51"/>
      <c r="CR452" s="51"/>
      <c r="CS452" s="51"/>
      <c r="CT452" s="51"/>
      <c r="CU452" s="51"/>
      <c r="CV452" s="51"/>
      <c r="CW452" s="51"/>
      <c r="CX452" s="51"/>
      <c r="CY452" s="51"/>
      <c r="CZ452" s="51"/>
      <c r="DA452" s="51"/>
      <c r="DB452" s="51"/>
      <c r="DC452" s="51"/>
      <c r="DD452" s="51"/>
      <c r="DE452" s="51"/>
      <c r="DF452" s="51"/>
      <c r="DG452" s="51"/>
      <c r="DH452" s="51"/>
      <c r="DI452" s="51"/>
      <c r="DJ452" s="51"/>
      <c r="DK452" s="51"/>
      <c r="DL452" s="51"/>
      <c r="DM452" s="51"/>
      <c r="DN452" s="51"/>
      <c r="DO452" s="51"/>
      <c r="DP452" s="51"/>
      <c r="DQ452" s="51"/>
      <c r="DR452" s="51"/>
      <c r="DS452" s="51"/>
      <c r="DT452" s="51"/>
      <c r="DU452" s="51"/>
      <c r="DV452" s="51"/>
      <c r="DW452" s="51"/>
      <c r="DX452" s="51"/>
      <c r="DY452" s="51"/>
      <c r="DZ452" s="51"/>
      <c r="EA452" s="51"/>
      <c r="EB452" s="51"/>
      <c r="EC452" s="51"/>
      <c r="ED452" s="51"/>
      <c r="EE452" s="51"/>
      <c r="EF452" s="51"/>
      <c r="EG452" s="51"/>
      <c r="EH452" s="51"/>
      <c r="EI452" s="51"/>
      <c r="EJ452" s="51"/>
      <c r="EK452" s="51"/>
      <c r="EL452" s="51"/>
      <c r="EM452" s="51"/>
      <c r="EN452" s="51"/>
      <c r="EO452" s="51"/>
      <c r="EP452" s="51"/>
      <c r="EQ452" s="51"/>
      <c r="ER452" s="51"/>
      <c r="ES452" s="51"/>
      <c r="ET452" s="51"/>
      <c r="EU452" s="51"/>
      <c r="EV452" s="51"/>
      <c r="EW452" s="51"/>
      <c r="EX452" s="51"/>
      <c r="EY452" s="51"/>
      <c r="EZ452" s="51"/>
      <c r="FA452" s="51"/>
      <c r="FB452" s="51"/>
      <c r="FC452" s="51"/>
      <c r="FD452" s="51"/>
      <c r="FE452" s="51"/>
      <c r="FF452" s="51"/>
      <c r="FG452" s="51"/>
      <c r="FH452" s="51"/>
      <c r="FI452" s="51"/>
      <c r="FJ452" s="51"/>
      <c r="FK452" s="51"/>
      <c r="FL452" s="51"/>
      <c r="FM452" s="51"/>
      <c r="FN452" s="51"/>
      <c r="FO452" s="51"/>
      <c r="FP452" s="51"/>
      <c r="FQ452" s="51"/>
      <c r="FR452" s="51"/>
      <c r="FS452" s="51"/>
      <c r="FT452" s="51"/>
      <c r="FU452" s="51"/>
      <c r="FV452" s="51"/>
      <c r="FW452" s="51"/>
      <c r="FX452" s="51"/>
      <c r="FY452" s="51"/>
      <c r="FZ452" s="51"/>
      <c r="GA452" s="51"/>
      <c r="GB452" s="51"/>
      <c r="GC452" s="51"/>
      <c r="GD452" s="51"/>
      <c r="GE452" s="51"/>
      <c r="GF452" s="51"/>
      <c r="GG452" s="51"/>
      <c r="GH452" s="51"/>
      <c r="GI452" s="51"/>
      <c r="GJ452" s="51"/>
      <c r="GK452" s="51"/>
      <c r="GL452" s="51"/>
      <c r="GM452" s="51"/>
      <c r="GN452" s="51"/>
      <c r="GO452" s="51"/>
      <c r="GP452" s="51"/>
      <c r="GQ452" s="51"/>
      <c r="GR452" s="51"/>
      <c r="GS452" s="51"/>
      <c r="GT452" s="51"/>
      <c r="GU452" s="51"/>
      <c r="GV452" s="51"/>
      <c r="GW452" s="51"/>
      <c r="GX452" s="51"/>
      <c r="GY452" s="51"/>
      <c r="GZ452" s="51"/>
      <c r="HA452" s="51"/>
      <c r="HB452" s="51"/>
      <c r="HC452" s="51"/>
      <c r="HD452" s="51"/>
      <c r="HE452" s="51"/>
      <c r="HF452" s="51"/>
      <c r="HG452" s="51"/>
      <c r="HH452" s="51"/>
      <c r="HI452" s="51"/>
      <c r="HJ452" s="51"/>
      <c r="HK452" s="51"/>
      <c r="HL452" s="51"/>
      <c r="HM452" s="51"/>
      <c r="HN452" s="51"/>
      <c r="HO452" s="51"/>
      <c r="HP452" s="51"/>
      <c r="HQ452" s="51"/>
      <c r="HR452" s="51"/>
      <c r="HS452" s="51"/>
      <c r="HT452" s="51"/>
      <c r="HU452" s="51"/>
      <c r="HV452" s="51"/>
      <c r="HW452" s="51"/>
      <c r="HX452" s="51"/>
      <c r="HY452" s="51"/>
      <c r="HZ452" s="51"/>
      <c r="IA452" s="51"/>
      <c r="IB452" s="51"/>
      <c r="IC452" s="51"/>
      <c r="ID452" s="51"/>
      <c r="IE452" s="51"/>
      <c r="IF452" s="51"/>
      <c r="IG452" s="51"/>
      <c r="IH452" s="51"/>
      <c r="II452" s="51"/>
      <c r="IJ452" s="51"/>
      <c r="IK452" s="51"/>
      <c r="IL452" s="51"/>
      <c r="IM452" s="51"/>
      <c r="IN452" s="51"/>
      <c r="IO452" s="51"/>
      <c r="IP452" s="51"/>
      <c r="IQ452" s="51"/>
      <c r="IR452" s="51"/>
      <c r="IS452" s="51"/>
      <c r="IT452" s="51"/>
      <c r="IU452" s="51"/>
      <c r="IV452" s="51"/>
    </row>
    <row r="453" hidden="1">
      <c r="B453" s="826" t="s">
        <v>23</v>
      </c>
      <c r="C453" s="827">
        <v>0</v>
      </c>
      <c r="D453" s="827">
        <v>0</v>
      </c>
      <c r="E453" s="827">
        <v>0</v>
      </c>
      <c r="F453" s="827">
        <v>0</v>
      </c>
      <c r="G453" s="827">
        <v>0</v>
      </c>
      <c r="H453" s="827">
        <v>0</v>
      </c>
      <c r="I453" s="827">
        <v>0</v>
      </c>
      <c r="J453" s="827">
        <v>0</v>
      </c>
      <c r="K453" s="827">
        <v>0</v>
      </c>
      <c r="L453" s="827">
        <v>0</v>
      </c>
      <c r="M453" s="827">
        <v>0</v>
      </c>
      <c r="N453" s="827">
        <v>0</v>
      </c>
      <c r="O453" s="827">
        <v>0</v>
      </c>
      <c r="P453" s="827">
        <v>0</v>
      </c>
      <c r="Q453" s="827">
        <v>0</v>
      </c>
      <c r="R453" s="827">
        <v>0</v>
      </c>
      <c r="S453" s="827">
        <v>0</v>
      </c>
      <c r="T453" s="827">
        <v>0</v>
      </c>
      <c r="U453" s="827">
        <v>0</v>
      </c>
      <c r="V453" s="827">
        <v>0</v>
      </c>
      <c r="W453" s="827">
        <v>0</v>
      </c>
      <c r="X453" s="827">
        <v>0</v>
      </c>
      <c r="Y453" s="827">
        <v>0</v>
      </c>
      <c r="Z453" s="827">
        <v>0</v>
      </c>
      <c r="AA453" s="827">
        <v>1</v>
      </c>
      <c r="AB453" s="827">
        <v>1</v>
      </c>
      <c r="AC453" s="828">
        <v>1</v>
      </c>
      <c r="AD453" s="828">
        <v>1</v>
      </c>
      <c r="AE453" s="828">
        <v>0</v>
      </c>
      <c r="AF453" s="828">
        <v>0</v>
      </c>
      <c r="AG453" s="828">
        <v>0</v>
      </c>
      <c r="AH453" s="828">
        <v>0</v>
      </c>
      <c r="AI453" s="828">
        <v>0</v>
      </c>
      <c r="AJ453" s="828">
        <v>0</v>
      </c>
      <c r="AK453" s="828">
        <v>0</v>
      </c>
      <c r="AL453" s="828">
        <v>0</v>
      </c>
      <c r="AM453" s="828">
        <v>0</v>
      </c>
      <c r="AN453" s="828">
        <v>0</v>
      </c>
      <c r="AO453" s="828">
        <v>0</v>
      </c>
      <c r="AP453" s="828">
        <v>0</v>
      </c>
      <c r="AQ453" s="51"/>
      <c r="AR453" s="51"/>
      <c r="AS453" s="51"/>
      <c r="AT453" s="51"/>
      <c r="AU453" s="51"/>
      <c r="AV453" s="51"/>
      <c r="AW453" s="51"/>
      <c r="AX453" s="51"/>
      <c r="AY453" s="51"/>
      <c r="AZ453" s="51"/>
      <c r="BA453" s="51"/>
      <c r="BB453" s="51"/>
      <c r="BC453" s="51"/>
      <c r="BD453" s="51"/>
      <c r="BE453" s="51"/>
      <c r="BF453" s="51"/>
      <c r="BG453" s="51"/>
      <c r="BH453" s="51"/>
      <c r="BI453" s="51"/>
      <c r="BJ453" s="51"/>
      <c r="BK453" s="51"/>
      <c r="BL453" s="51"/>
      <c r="BM453" s="51"/>
      <c r="BN453" s="51"/>
      <c r="BO453" s="51"/>
      <c r="BP453" s="51"/>
      <c r="BQ453" s="51"/>
      <c r="BR453" s="51"/>
      <c r="BS453" s="51"/>
      <c r="BT453" s="51"/>
      <c r="BU453" s="51"/>
      <c r="BV453" s="51"/>
      <c r="BW453" s="51"/>
      <c r="BX453" s="51"/>
      <c r="BY453" s="51"/>
      <c r="BZ453" s="51"/>
      <c r="CA453" s="51"/>
      <c r="CB453" s="51"/>
      <c r="CC453" s="51"/>
      <c r="CD453" s="51"/>
      <c r="CE453" s="51"/>
      <c r="CF453" s="51"/>
      <c r="CG453" s="51"/>
      <c r="CH453" s="51"/>
      <c r="CI453" s="51"/>
      <c r="CJ453" s="51"/>
      <c r="CK453" s="51"/>
      <c r="CL453" s="51"/>
      <c r="CM453" s="51"/>
      <c r="CN453" s="51"/>
      <c r="CO453" s="51"/>
      <c r="CP453" s="51"/>
      <c r="CQ453" s="51"/>
      <c r="CR453" s="51"/>
      <c r="CS453" s="51"/>
      <c r="CT453" s="51"/>
      <c r="CU453" s="51"/>
      <c r="CV453" s="51"/>
      <c r="CW453" s="51"/>
      <c r="CX453" s="51"/>
      <c r="CY453" s="51"/>
      <c r="CZ453" s="51"/>
      <c r="DA453" s="51"/>
      <c r="DB453" s="51"/>
      <c r="DC453" s="51"/>
      <c r="DD453" s="51"/>
      <c r="DE453" s="51"/>
      <c r="DF453" s="51"/>
      <c r="DG453" s="51"/>
      <c r="DH453" s="51"/>
      <c r="DI453" s="51"/>
      <c r="DJ453" s="51"/>
      <c r="DK453" s="51"/>
      <c r="DL453" s="51"/>
      <c r="DM453" s="51"/>
      <c r="DN453" s="51"/>
      <c r="DO453" s="51"/>
      <c r="DP453" s="51"/>
      <c r="DQ453" s="51"/>
      <c r="DR453" s="51"/>
      <c r="DS453" s="51"/>
      <c r="DT453" s="51"/>
      <c r="DU453" s="51"/>
      <c r="DV453" s="51"/>
      <c r="DW453" s="51"/>
      <c r="DX453" s="51"/>
      <c r="DY453" s="51"/>
      <c r="DZ453" s="51"/>
      <c r="EA453" s="51"/>
      <c r="EB453" s="51"/>
      <c r="EC453" s="51"/>
      <c r="ED453" s="51"/>
      <c r="EE453" s="51"/>
      <c r="EF453" s="51"/>
      <c r="EG453" s="51"/>
      <c r="EH453" s="51"/>
      <c r="EI453" s="51"/>
      <c r="EJ453" s="51"/>
      <c r="EK453" s="51"/>
      <c r="EL453" s="51"/>
      <c r="EM453" s="51"/>
      <c r="EN453" s="51"/>
      <c r="EO453" s="51"/>
      <c r="EP453" s="51"/>
      <c r="EQ453" s="51"/>
      <c r="ER453" s="51"/>
      <c r="ES453" s="51"/>
      <c r="ET453" s="51"/>
      <c r="EU453" s="51"/>
      <c r="EV453" s="51"/>
      <c r="EW453" s="51"/>
      <c r="EX453" s="51"/>
      <c r="EY453" s="51"/>
      <c r="EZ453" s="51"/>
      <c r="FA453" s="51"/>
      <c r="FB453" s="51"/>
      <c r="FC453" s="51"/>
      <c r="FD453" s="51"/>
      <c r="FE453" s="51"/>
      <c r="FF453" s="51"/>
      <c r="FG453" s="51"/>
      <c r="FH453" s="51"/>
      <c r="FI453" s="51"/>
      <c r="FJ453" s="51"/>
      <c r="FK453" s="51"/>
      <c r="FL453" s="51"/>
      <c r="FM453" s="51"/>
      <c r="FN453" s="51"/>
      <c r="FO453" s="51"/>
      <c r="FP453" s="51"/>
      <c r="FQ453" s="51"/>
      <c r="FR453" s="51"/>
      <c r="FS453" s="51"/>
      <c r="FT453" s="51"/>
      <c r="FU453" s="51"/>
      <c r="FV453" s="51"/>
      <c r="FW453" s="51"/>
      <c r="FX453" s="51"/>
      <c r="FY453" s="51"/>
      <c r="FZ453" s="51"/>
      <c r="GA453" s="51"/>
      <c r="GB453" s="51"/>
      <c r="GC453" s="51"/>
      <c r="GD453" s="51"/>
      <c r="GE453" s="51"/>
      <c r="GF453" s="51"/>
      <c r="GG453" s="51"/>
      <c r="GH453" s="51"/>
      <c r="GI453" s="51"/>
      <c r="GJ453" s="51"/>
      <c r="GK453" s="51"/>
      <c r="GL453" s="51"/>
      <c r="GM453" s="51"/>
      <c r="GN453" s="51"/>
      <c r="GO453" s="51"/>
      <c r="GP453" s="51"/>
      <c r="GQ453" s="51"/>
      <c r="GR453" s="51"/>
      <c r="GS453" s="51"/>
      <c r="GT453" s="51"/>
      <c r="GU453" s="51"/>
      <c r="GV453" s="51"/>
      <c r="GW453" s="51"/>
      <c r="GX453" s="51"/>
      <c r="GY453" s="51"/>
      <c r="GZ453" s="51"/>
      <c r="HA453" s="51"/>
      <c r="HB453" s="51"/>
      <c r="HC453" s="51"/>
      <c r="HD453" s="51"/>
      <c r="HE453" s="51"/>
      <c r="HF453" s="51"/>
      <c r="HG453" s="51"/>
      <c r="HH453" s="51"/>
      <c r="HI453" s="51"/>
      <c r="HJ453" s="51"/>
      <c r="HK453" s="51"/>
      <c r="HL453" s="51"/>
      <c r="HM453" s="51"/>
      <c r="HN453" s="51"/>
      <c r="HO453" s="51"/>
      <c r="HP453" s="51"/>
      <c r="HQ453" s="51"/>
      <c r="HR453" s="51"/>
      <c r="HS453" s="51"/>
      <c r="HT453" s="51"/>
      <c r="HU453" s="51"/>
      <c r="HV453" s="51"/>
      <c r="HW453" s="51"/>
      <c r="HX453" s="51"/>
      <c r="HY453" s="51"/>
      <c r="HZ453" s="51"/>
      <c r="IA453" s="51"/>
      <c r="IB453" s="51"/>
      <c r="IC453" s="51"/>
      <c r="ID453" s="51"/>
      <c r="IE453" s="51"/>
      <c r="IF453" s="51"/>
      <c r="IG453" s="51"/>
      <c r="IH453" s="51"/>
      <c r="II453" s="51"/>
      <c r="IJ453" s="51"/>
      <c r="IK453" s="51"/>
      <c r="IL453" s="51"/>
      <c r="IM453" s="51"/>
      <c r="IN453" s="51"/>
      <c r="IO453" s="51"/>
      <c r="IP453" s="51"/>
      <c r="IQ453" s="51"/>
      <c r="IR453" s="51"/>
      <c r="IS453" s="51"/>
      <c r="IT453" s="51"/>
      <c r="IU453" s="51"/>
      <c r="IV453" s="51"/>
    </row>
    <row r="454" hidden="1">
      <c r="B454" s="830" t="s">
        <v>24</v>
      </c>
      <c r="C454" s="823">
        <v>0</v>
      </c>
      <c r="D454" s="823">
        <v>0</v>
      </c>
      <c r="E454" s="823">
        <v>0</v>
      </c>
      <c r="F454" s="823">
        <v>0</v>
      </c>
      <c r="G454" s="823">
        <v>0</v>
      </c>
      <c r="H454" s="823">
        <v>0</v>
      </c>
      <c r="I454" s="823">
        <v>0</v>
      </c>
      <c r="J454" s="823">
        <v>0</v>
      </c>
      <c r="K454" s="823">
        <v>0</v>
      </c>
      <c r="L454" s="823">
        <v>0</v>
      </c>
      <c r="M454" s="823">
        <v>0</v>
      </c>
      <c r="N454" s="823">
        <v>0</v>
      </c>
      <c r="O454" s="823">
        <v>0</v>
      </c>
      <c r="P454" s="823">
        <v>0</v>
      </c>
      <c r="Q454" s="823">
        <v>0</v>
      </c>
      <c r="R454" s="823">
        <v>0</v>
      </c>
      <c r="S454" s="823">
        <v>0</v>
      </c>
      <c r="T454" s="823">
        <v>0</v>
      </c>
      <c r="U454" s="823">
        <v>0</v>
      </c>
      <c r="V454" s="823">
        <v>0</v>
      </c>
      <c r="W454" s="823">
        <v>0</v>
      </c>
      <c r="X454" s="823">
        <v>0</v>
      </c>
      <c r="Y454" s="823">
        <v>0</v>
      </c>
      <c r="Z454" s="823">
        <v>0</v>
      </c>
      <c r="AA454" s="823">
        <v>0</v>
      </c>
      <c r="AB454" s="823">
        <v>0</v>
      </c>
      <c r="AC454" s="825">
        <v>0</v>
      </c>
      <c r="AD454" s="825">
        <v>0</v>
      </c>
      <c r="AE454" s="825">
        <v>0</v>
      </c>
      <c r="AF454" s="825">
        <v>0</v>
      </c>
      <c r="AG454" s="825">
        <v>0</v>
      </c>
      <c r="AH454" s="825">
        <v>0</v>
      </c>
      <c r="AI454" s="825">
        <v>0</v>
      </c>
      <c r="AJ454" s="825">
        <v>0</v>
      </c>
      <c r="AK454" s="825">
        <v>0</v>
      </c>
      <c r="AL454" s="825">
        <v>0</v>
      </c>
      <c r="AM454" s="825">
        <v>0</v>
      </c>
      <c r="AN454" s="825">
        <v>0</v>
      </c>
      <c r="AO454" s="825">
        <v>0</v>
      </c>
      <c r="AP454" s="825">
        <v>0</v>
      </c>
      <c r="AQ454" s="51"/>
      <c r="AR454" s="51"/>
      <c r="AS454" s="51"/>
      <c r="AT454" s="51"/>
      <c r="AU454" s="51"/>
      <c r="AV454" s="51"/>
      <c r="AW454" s="51"/>
      <c r="AX454" s="51"/>
      <c r="AY454" s="51"/>
      <c r="AZ454" s="51"/>
      <c r="BA454" s="51"/>
      <c r="BB454" s="51"/>
      <c r="BC454" s="51"/>
      <c r="BD454" s="51"/>
      <c r="BE454" s="51"/>
      <c r="BF454" s="51"/>
      <c r="BG454" s="51"/>
      <c r="BH454" s="51"/>
      <c r="BI454" s="51"/>
      <c r="BJ454" s="51"/>
      <c r="BK454" s="51"/>
      <c r="BL454" s="51"/>
      <c r="BM454" s="51"/>
      <c r="BN454" s="51"/>
      <c r="BO454" s="51"/>
      <c r="BP454" s="51"/>
      <c r="BQ454" s="51"/>
      <c r="BR454" s="51"/>
      <c r="BS454" s="51"/>
      <c r="BT454" s="51"/>
      <c r="BU454" s="51"/>
      <c r="BV454" s="51"/>
      <c r="BW454" s="51"/>
      <c r="BX454" s="51"/>
      <c r="BY454" s="51"/>
      <c r="BZ454" s="51"/>
      <c r="CA454" s="51"/>
      <c r="CB454" s="51"/>
      <c r="CC454" s="51"/>
      <c r="CD454" s="51"/>
      <c r="CE454" s="51"/>
      <c r="CF454" s="51"/>
      <c r="CG454" s="51"/>
      <c r="CH454" s="51"/>
      <c r="CI454" s="51"/>
      <c r="CJ454" s="51"/>
      <c r="CK454" s="51"/>
      <c r="CL454" s="51"/>
      <c r="CM454" s="51"/>
      <c r="CN454" s="51"/>
      <c r="CO454" s="51"/>
      <c r="CP454" s="51"/>
      <c r="CQ454" s="51"/>
      <c r="CR454" s="51"/>
      <c r="CS454" s="51"/>
      <c r="CT454" s="51"/>
      <c r="CU454" s="51"/>
      <c r="CV454" s="51"/>
      <c r="CW454" s="51"/>
      <c r="CX454" s="51"/>
      <c r="CY454" s="51"/>
      <c r="CZ454" s="51"/>
      <c r="DA454" s="51"/>
      <c r="DB454" s="51"/>
      <c r="DC454" s="51"/>
      <c r="DD454" s="51"/>
      <c r="DE454" s="51"/>
      <c r="DF454" s="51"/>
      <c r="DG454" s="51"/>
      <c r="DH454" s="51"/>
      <c r="DI454" s="51"/>
      <c r="DJ454" s="51"/>
      <c r="DK454" s="51"/>
      <c r="DL454" s="51"/>
      <c r="DM454" s="51"/>
      <c r="DN454" s="51"/>
      <c r="DO454" s="51"/>
      <c r="DP454" s="51"/>
      <c r="DQ454" s="51"/>
      <c r="DR454" s="51"/>
      <c r="DS454" s="51"/>
      <c r="DT454" s="51"/>
      <c r="DU454" s="51"/>
      <c r="DV454" s="51"/>
      <c r="DW454" s="51"/>
      <c r="DX454" s="51"/>
      <c r="DY454" s="51"/>
      <c r="DZ454" s="51"/>
      <c r="EA454" s="51"/>
      <c r="EB454" s="51"/>
      <c r="EC454" s="51"/>
      <c r="ED454" s="51"/>
      <c r="EE454" s="51"/>
      <c r="EF454" s="51"/>
      <c r="EG454" s="51"/>
      <c r="EH454" s="51"/>
      <c r="EI454" s="51"/>
      <c r="EJ454" s="51"/>
      <c r="EK454" s="51"/>
      <c r="EL454" s="51"/>
      <c r="EM454" s="51"/>
      <c r="EN454" s="51"/>
      <c r="EO454" s="51"/>
      <c r="EP454" s="51"/>
      <c r="EQ454" s="51"/>
      <c r="ER454" s="51"/>
      <c r="ES454" s="51"/>
      <c r="ET454" s="51"/>
      <c r="EU454" s="51"/>
      <c r="EV454" s="51"/>
      <c r="EW454" s="51"/>
      <c r="EX454" s="51"/>
      <c r="EY454" s="51"/>
      <c r="EZ454" s="51"/>
      <c r="FA454" s="51"/>
      <c r="FB454" s="51"/>
      <c r="FC454" s="51"/>
      <c r="FD454" s="51"/>
      <c r="FE454" s="51"/>
      <c r="FF454" s="51"/>
      <c r="FG454" s="51"/>
      <c r="FH454" s="51"/>
      <c r="FI454" s="51"/>
      <c r="FJ454" s="51"/>
      <c r="FK454" s="51"/>
      <c r="FL454" s="51"/>
      <c r="FM454" s="51"/>
      <c r="FN454" s="51"/>
      <c r="FO454" s="51"/>
      <c r="FP454" s="51"/>
      <c r="FQ454" s="51"/>
      <c r="FR454" s="51"/>
      <c r="FS454" s="51"/>
      <c r="FT454" s="51"/>
      <c r="FU454" s="51"/>
      <c r="FV454" s="51"/>
      <c r="FW454" s="51"/>
      <c r="FX454" s="51"/>
      <c r="FY454" s="51"/>
      <c r="FZ454" s="51"/>
      <c r="GA454" s="51"/>
      <c r="GB454" s="51"/>
      <c r="GC454" s="51"/>
      <c r="GD454" s="51"/>
      <c r="GE454" s="51"/>
      <c r="GF454" s="51"/>
      <c r="GG454" s="51"/>
      <c r="GH454" s="51"/>
      <c r="GI454" s="51"/>
      <c r="GJ454" s="51"/>
      <c r="GK454" s="51"/>
      <c r="GL454" s="51"/>
      <c r="GM454" s="51"/>
      <c r="GN454" s="51"/>
      <c r="GO454" s="51"/>
      <c r="GP454" s="51"/>
      <c r="GQ454" s="51"/>
      <c r="GR454" s="51"/>
      <c r="GS454" s="51"/>
      <c r="GT454" s="51"/>
      <c r="GU454" s="51"/>
      <c r="GV454" s="51"/>
      <c r="GW454" s="51"/>
      <c r="GX454" s="51"/>
      <c r="GY454" s="51"/>
      <c r="GZ454" s="51"/>
      <c r="HA454" s="51"/>
      <c r="HB454" s="51"/>
      <c r="HC454" s="51"/>
      <c r="HD454" s="51"/>
      <c r="HE454" s="51"/>
      <c r="HF454" s="51"/>
      <c r="HG454" s="51"/>
      <c r="HH454" s="51"/>
      <c r="HI454" s="51"/>
      <c r="HJ454" s="51"/>
      <c r="HK454" s="51"/>
      <c r="HL454" s="51"/>
      <c r="HM454" s="51"/>
      <c r="HN454" s="51"/>
      <c r="HO454" s="51"/>
      <c r="HP454" s="51"/>
      <c r="HQ454" s="51"/>
      <c r="HR454" s="51"/>
      <c r="HS454" s="51"/>
      <c r="HT454" s="51"/>
      <c r="HU454" s="51"/>
      <c r="HV454" s="51"/>
      <c r="HW454" s="51"/>
      <c r="HX454" s="51"/>
      <c r="HY454" s="51"/>
      <c r="HZ454" s="51"/>
      <c r="IA454" s="51"/>
      <c r="IB454" s="51"/>
      <c r="IC454" s="51"/>
      <c r="ID454" s="51"/>
      <c r="IE454" s="51"/>
      <c r="IF454" s="51"/>
      <c r="IG454" s="51"/>
      <c r="IH454" s="51"/>
      <c r="II454" s="51"/>
      <c r="IJ454" s="51"/>
      <c r="IK454" s="51"/>
      <c r="IL454" s="51"/>
      <c r="IM454" s="51"/>
      <c r="IN454" s="51"/>
      <c r="IO454" s="51"/>
      <c r="IP454" s="51"/>
      <c r="IQ454" s="51"/>
      <c r="IR454" s="51"/>
      <c r="IS454" s="51"/>
      <c r="IT454" s="51"/>
      <c r="IU454" s="51"/>
      <c r="IV454" s="51"/>
    </row>
    <row r="455" hidden="1">
      <c r="B455" s="826" t="s">
        <v>25</v>
      </c>
      <c r="C455" s="827">
        <v>0</v>
      </c>
      <c r="D455" s="827">
        <v>0</v>
      </c>
      <c r="E455" s="827">
        <v>0</v>
      </c>
      <c r="F455" s="827">
        <v>0</v>
      </c>
      <c r="G455" s="827">
        <v>0</v>
      </c>
      <c r="H455" s="827">
        <v>0</v>
      </c>
      <c r="I455" s="827">
        <v>0</v>
      </c>
      <c r="J455" s="827">
        <v>0</v>
      </c>
      <c r="K455" s="827">
        <v>0</v>
      </c>
      <c r="L455" s="827">
        <v>0</v>
      </c>
      <c r="M455" s="827">
        <v>0</v>
      </c>
      <c r="N455" s="827">
        <v>0</v>
      </c>
      <c r="O455" s="827">
        <v>0</v>
      </c>
      <c r="P455" s="827">
        <v>0</v>
      </c>
      <c r="Q455" s="827">
        <v>0</v>
      </c>
      <c r="R455" s="827">
        <v>0</v>
      </c>
      <c r="S455" s="827">
        <v>0</v>
      </c>
      <c r="T455" s="827">
        <v>0</v>
      </c>
      <c r="U455" s="827">
        <v>0</v>
      </c>
      <c r="V455" s="827">
        <v>0</v>
      </c>
      <c r="W455" s="827">
        <v>0</v>
      </c>
      <c r="X455" s="827">
        <v>0</v>
      </c>
      <c r="Y455" s="827">
        <v>0</v>
      </c>
      <c r="Z455" s="827">
        <v>0</v>
      </c>
      <c r="AA455" s="827">
        <v>0</v>
      </c>
      <c r="AB455" s="827">
        <v>0</v>
      </c>
      <c r="AC455" s="828">
        <v>0</v>
      </c>
      <c r="AD455" s="828">
        <v>0</v>
      </c>
      <c r="AE455" s="828">
        <v>0</v>
      </c>
      <c r="AF455" s="828">
        <v>0</v>
      </c>
      <c r="AG455" s="828">
        <v>0</v>
      </c>
      <c r="AH455" s="828">
        <v>0</v>
      </c>
      <c r="AI455" s="828">
        <v>0</v>
      </c>
      <c r="AJ455" s="828">
        <v>0</v>
      </c>
      <c r="AK455" s="828">
        <v>0</v>
      </c>
      <c r="AL455" s="828">
        <v>0</v>
      </c>
      <c r="AM455" s="828">
        <v>0</v>
      </c>
      <c r="AN455" s="828">
        <v>0</v>
      </c>
      <c r="AO455" s="828">
        <v>0</v>
      </c>
      <c r="AP455" s="828">
        <v>0</v>
      </c>
      <c r="AQ455" s="51"/>
      <c r="AR455" s="51"/>
      <c r="AS455" s="51"/>
      <c r="AT455" s="51"/>
      <c r="AU455" s="51"/>
      <c r="AV455" s="51"/>
      <c r="AW455" s="51"/>
      <c r="AX455" s="51"/>
      <c r="AY455" s="51"/>
      <c r="AZ455" s="51"/>
      <c r="BA455" s="51"/>
      <c r="BB455" s="51"/>
      <c r="BC455" s="51"/>
      <c r="BD455" s="51"/>
      <c r="BE455" s="51"/>
      <c r="BF455" s="51"/>
      <c r="BG455" s="51"/>
      <c r="BH455" s="51"/>
      <c r="BI455" s="51"/>
      <c r="BJ455" s="51"/>
      <c r="BK455" s="51"/>
      <c r="BL455" s="51"/>
      <c r="BM455" s="51"/>
      <c r="BN455" s="51"/>
      <c r="BO455" s="51"/>
      <c r="BP455" s="51"/>
      <c r="BQ455" s="51"/>
      <c r="BR455" s="51"/>
      <c r="BS455" s="51"/>
      <c r="BT455" s="51"/>
      <c r="BU455" s="51"/>
      <c r="BV455" s="51"/>
      <c r="BW455" s="51"/>
      <c r="BX455" s="51"/>
      <c r="BY455" s="51"/>
      <c r="BZ455" s="51"/>
      <c r="CA455" s="51"/>
      <c r="CB455" s="51"/>
      <c r="CC455" s="51"/>
      <c r="CD455" s="51"/>
      <c r="CE455" s="51"/>
      <c r="CF455" s="51"/>
      <c r="CG455" s="51"/>
      <c r="CH455" s="51"/>
      <c r="CI455" s="51"/>
      <c r="CJ455" s="51"/>
      <c r="CK455" s="51"/>
      <c r="CL455" s="51"/>
      <c r="CM455" s="51"/>
      <c r="CN455" s="51"/>
      <c r="CO455" s="51"/>
      <c r="CP455" s="51"/>
      <c r="CQ455" s="51"/>
      <c r="CR455" s="51"/>
      <c r="CS455" s="51"/>
      <c r="CT455" s="51"/>
      <c r="CU455" s="51"/>
      <c r="CV455" s="51"/>
      <c r="CW455" s="51"/>
      <c r="CX455" s="51"/>
      <c r="CY455" s="51"/>
      <c r="CZ455" s="51"/>
      <c r="DA455" s="51"/>
      <c r="DB455" s="51"/>
      <c r="DC455" s="51"/>
      <c r="DD455" s="51"/>
      <c r="DE455" s="51"/>
      <c r="DF455" s="51"/>
      <c r="DG455" s="51"/>
      <c r="DH455" s="51"/>
      <c r="DI455" s="51"/>
      <c r="DJ455" s="51"/>
      <c r="DK455" s="51"/>
      <c r="DL455" s="51"/>
      <c r="DM455" s="51"/>
      <c r="DN455" s="51"/>
      <c r="DO455" s="51"/>
      <c r="DP455" s="51"/>
      <c r="DQ455" s="51"/>
      <c r="DR455" s="51"/>
      <c r="DS455" s="51"/>
      <c r="DT455" s="51"/>
      <c r="DU455" s="51"/>
      <c r="DV455" s="51"/>
      <c r="DW455" s="51"/>
      <c r="DX455" s="51"/>
      <c r="DY455" s="51"/>
      <c r="DZ455" s="51"/>
      <c r="EA455" s="51"/>
      <c r="EB455" s="51"/>
      <c r="EC455" s="51"/>
      <c r="ED455" s="51"/>
      <c r="EE455" s="51"/>
      <c r="EF455" s="51"/>
      <c r="EG455" s="51"/>
      <c r="EH455" s="51"/>
      <c r="EI455" s="51"/>
      <c r="EJ455" s="51"/>
      <c r="EK455" s="51"/>
      <c r="EL455" s="51"/>
      <c r="EM455" s="51"/>
      <c r="EN455" s="51"/>
      <c r="EO455" s="51"/>
      <c r="EP455" s="51"/>
      <c r="EQ455" s="51"/>
      <c r="ER455" s="51"/>
      <c r="ES455" s="51"/>
      <c r="ET455" s="51"/>
      <c r="EU455" s="51"/>
      <c r="EV455" s="51"/>
      <c r="EW455" s="51"/>
      <c r="EX455" s="51"/>
      <c r="EY455" s="51"/>
      <c r="EZ455" s="51"/>
      <c r="FA455" s="51"/>
      <c r="FB455" s="51"/>
      <c r="FC455" s="51"/>
      <c r="FD455" s="51"/>
      <c r="FE455" s="51"/>
      <c r="FF455" s="51"/>
      <c r="FG455" s="51"/>
      <c r="FH455" s="51"/>
      <c r="FI455" s="51"/>
      <c r="FJ455" s="51"/>
      <c r="FK455" s="51"/>
      <c r="FL455" s="51"/>
      <c r="FM455" s="51"/>
      <c r="FN455" s="51"/>
      <c r="FO455" s="51"/>
      <c r="FP455" s="51"/>
      <c r="FQ455" s="51"/>
      <c r="FR455" s="51"/>
      <c r="FS455" s="51"/>
      <c r="FT455" s="51"/>
      <c r="FU455" s="51"/>
      <c r="FV455" s="51"/>
      <c r="FW455" s="51"/>
      <c r="FX455" s="51"/>
      <c r="FY455" s="51"/>
      <c r="FZ455" s="51"/>
      <c r="GA455" s="51"/>
      <c r="GB455" s="51"/>
      <c r="GC455" s="51"/>
      <c r="GD455" s="51"/>
      <c r="GE455" s="51"/>
      <c r="GF455" s="51"/>
      <c r="GG455" s="51"/>
      <c r="GH455" s="51"/>
      <c r="GI455" s="51"/>
      <c r="GJ455" s="51"/>
      <c r="GK455" s="51"/>
      <c r="GL455" s="51"/>
      <c r="GM455" s="51"/>
      <c r="GN455" s="51"/>
      <c r="GO455" s="51"/>
      <c r="GP455" s="51"/>
      <c r="GQ455" s="51"/>
      <c r="GR455" s="51"/>
      <c r="GS455" s="51"/>
      <c r="GT455" s="51"/>
      <c r="GU455" s="51"/>
      <c r="GV455" s="51"/>
      <c r="GW455" s="51"/>
      <c r="GX455" s="51"/>
      <c r="GY455" s="51"/>
      <c r="GZ455" s="51"/>
      <c r="HA455" s="51"/>
      <c r="HB455" s="51"/>
      <c r="HC455" s="51"/>
      <c r="HD455" s="51"/>
      <c r="HE455" s="51"/>
      <c r="HF455" s="51"/>
      <c r="HG455" s="51"/>
      <c r="HH455" s="51"/>
      <c r="HI455" s="51"/>
      <c r="HJ455" s="51"/>
      <c r="HK455" s="51"/>
      <c r="HL455" s="51"/>
      <c r="HM455" s="51"/>
      <c r="HN455" s="51"/>
      <c r="HO455" s="51"/>
      <c r="HP455" s="51"/>
      <c r="HQ455" s="51"/>
      <c r="HR455" s="51"/>
      <c r="HS455" s="51"/>
      <c r="HT455" s="51"/>
      <c r="HU455" s="51"/>
      <c r="HV455" s="51"/>
      <c r="HW455" s="51"/>
      <c r="HX455" s="51"/>
      <c r="HY455" s="51"/>
      <c r="HZ455" s="51"/>
      <c r="IA455" s="51"/>
      <c r="IB455" s="51"/>
      <c r="IC455" s="51"/>
      <c r="ID455" s="51"/>
      <c r="IE455" s="51"/>
      <c r="IF455" s="51"/>
      <c r="IG455" s="51"/>
      <c r="IH455" s="51"/>
      <c r="II455" s="51"/>
      <c r="IJ455" s="51"/>
      <c r="IK455" s="51"/>
      <c r="IL455" s="51"/>
      <c r="IM455" s="51"/>
      <c r="IN455" s="51"/>
      <c r="IO455" s="51"/>
      <c r="IP455" s="51"/>
      <c r="IQ455" s="51"/>
      <c r="IR455" s="51"/>
      <c r="IS455" s="51"/>
      <c r="IT455" s="51"/>
      <c r="IU455" s="51"/>
      <c r="IV455" s="51"/>
    </row>
    <row r="456" hidden="1" ht="13.5">
      <c r="B456" s="831" t="s">
        <v>26</v>
      </c>
      <c r="C456" s="823">
        <v>0</v>
      </c>
      <c r="D456" s="823">
        <v>0</v>
      </c>
      <c r="E456" s="823">
        <v>0</v>
      </c>
      <c r="F456" s="823">
        <v>0</v>
      </c>
      <c r="G456" s="823">
        <v>0</v>
      </c>
      <c r="H456" s="823">
        <v>0</v>
      </c>
      <c r="I456" s="823">
        <v>0</v>
      </c>
      <c r="J456" s="823">
        <v>0</v>
      </c>
      <c r="K456" s="823">
        <v>0</v>
      </c>
      <c r="L456" s="823">
        <v>0</v>
      </c>
      <c r="M456" s="823">
        <v>0</v>
      </c>
      <c r="N456" s="823">
        <v>0</v>
      </c>
      <c r="O456" s="823">
        <v>0</v>
      </c>
      <c r="P456" s="823">
        <v>0</v>
      </c>
      <c r="Q456" s="823">
        <v>0</v>
      </c>
      <c r="R456" s="823">
        <v>0</v>
      </c>
      <c r="S456" s="823">
        <v>0</v>
      </c>
      <c r="T456" s="823">
        <v>0</v>
      </c>
      <c r="U456" s="823">
        <v>0</v>
      </c>
      <c r="V456" s="823">
        <v>0</v>
      </c>
      <c r="W456" s="823">
        <v>0</v>
      </c>
      <c r="X456" s="823">
        <v>0</v>
      </c>
      <c r="Y456" s="823">
        <v>0</v>
      </c>
      <c r="Z456" s="823">
        <v>0</v>
      </c>
      <c r="AA456" s="823">
        <v>0</v>
      </c>
      <c r="AB456" s="832">
        <v>0</v>
      </c>
      <c r="AC456" s="825">
        <v>0</v>
      </c>
      <c r="AD456" s="825">
        <v>0</v>
      </c>
      <c r="AE456" s="825">
        <v>0</v>
      </c>
      <c r="AF456" s="825">
        <v>0</v>
      </c>
      <c r="AG456" s="825">
        <v>0</v>
      </c>
      <c r="AH456" s="825">
        <v>0</v>
      </c>
      <c r="AI456" s="825">
        <v>0</v>
      </c>
      <c r="AJ456" s="825">
        <v>0</v>
      </c>
      <c r="AK456" s="825">
        <v>0</v>
      </c>
      <c r="AL456" s="825">
        <v>0</v>
      </c>
      <c r="AM456" s="825">
        <v>0</v>
      </c>
      <c r="AN456" s="825">
        <v>0</v>
      </c>
      <c r="AO456" s="825">
        <v>0</v>
      </c>
      <c r="AP456" s="825">
        <v>0</v>
      </c>
      <c r="AQ456" s="51"/>
      <c r="AR456" s="51"/>
      <c r="AS456" s="51"/>
      <c r="AT456" s="51"/>
      <c r="AU456" s="51"/>
      <c r="AV456" s="51"/>
      <c r="AW456" s="51"/>
      <c r="AX456" s="51"/>
      <c r="AY456" s="51"/>
      <c r="AZ456" s="51"/>
      <c r="BA456" s="51"/>
      <c r="BB456" s="51"/>
      <c r="BC456" s="51"/>
      <c r="BD456" s="51"/>
      <c r="BE456" s="51"/>
      <c r="BF456" s="51"/>
      <c r="BG456" s="51"/>
      <c r="BH456" s="51"/>
      <c r="BI456" s="51"/>
      <c r="BJ456" s="51"/>
      <c r="BK456" s="51"/>
      <c r="BL456" s="51"/>
      <c r="BM456" s="51"/>
      <c r="BN456" s="51"/>
      <c r="BO456" s="51"/>
      <c r="BP456" s="51"/>
      <c r="BQ456" s="51"/>
      <c r="BR456" s="51"/>
      <c r="BS456" s="51"/>
      <c r="BT456" s="51"/>
      <c r="BU456" s="51"/>
      <c r="BV456" s="51"/>
      <c r="BW456" s="51"/>
      <c r="BX456" s="51"/>
      <c r="BY456" s="51"/>
      <c r="BZ456" s="51"/>
      <c r="CA456" s="51"/>
      <c r="CB456" s="51"/>
      <c r="CC456" s="51"/>
      <c r="CD456" s="51"/>
      <c r="CE456" s="51"/>
      <c r="CF456" s="51"/>
      <c r="CG456" s="51"/>
      <c r="CH456" s="51"/>
      <c r="CI456" s="51"/>
      <c r="CJ456" s="51"/>
      <c r="CK456" s="51"/>
      <c r="CL456" s="51"/>
      <c r="CM456" s="51"/>
      <c r="CN456" s="51"/>
      <c r="CO456" s="51"/>
      <c r="CP456" s="51"/>
      <c r="CQ456" s="51"/>
      <c r="CR456" s="51"/>
      <c r="CS456" s="51"/>
      <c r="CT456" s="51"/>
      <c r="CU456" s="51"/>
      <c r="CV456" s="51"/>
      <c r="CW456" s="51"/>
      <c r="CX456" s="51"/>
      <c r="CY456" s="51"/>
      <c r="CZ456" s="51"/>
      <c r="DA456" s="51"/>
      <c r="DB456" s="51"/>
      <c r="DC456" s="51"/>
      <c r="DD456" s="51"/>
      <c r="DE456" s="51"/>
      <c r="DF456" s="51"/>
      <c r="DG456" s="51"/>
      <c r="DH456" s="51"/>
      <c r="DI456" s="51"/>
      <c r="DJ456" s="51"/>
      <c r="DK456" s="51"/>
      <c r="DL456" s="51"/>
      <c r="DM456" s="51"/>
      <c r="DN456" s="51"/>
      <c r="DO456" s="51"/>
      <c r="DP456" s="51"/>
      <c r="DQ456" s="51"/>
      <c r="DR456" s="51"/>
      <c r="DS456" s="51"/>
      <c r="DT456" s="51"/>
      <c r="DU456" s="51"/>
      <c r="DV456" s="51"/>
      <c r="DW456" s="51"/>
      <c r="DX456" s="51"/>
      <c r="DY456" s="51"/>
      <c r="DZ456" s="51"/>
      <c r="EA456" s="51"/>
      <c r="EB456" s="51"/>
      <c r="EC456" s="51"/>
      <c r="ED456" s="51"/>
      <c r="EE456" s="51"/>
      <c r="EF456" s="51"/>
      <c r="EG456" s="51"/>
      <c r="EH456" s="51"/>
      <c r="EI456" s="51"/>
      <c r="EJ456" s="51"/>
      <c r="EK456" s="51"/>
      <c r="EL456" s="51"/>
      <c r="EM456" s="51"/>
      <c r="EN456" s="51"/>
      <c r="EO456" s="51"/>
      <c r="EP456" s="51"/>
      <c r="EQ456" s="51"/>
      <c r="ER456" s="51"/>
      <c r="ES456" s="51"/>
      <c r="ET456" s="51"/>
      <c r="EU456" s="51"/>
      <c r="EV456" s="51"/>
      <c r="EW456" s="51"/>
      <c r="EX456" s="51"/>
      <c r="EY456" s="51"/>
      <c r="EZ456" s="51"/>
      <c r="FA456" s="51"/>
      <c r="FB456" s="51"/>
      <c r="FC456" s="51"/>
      <c r="FD456" s="51"/>
      <c r="FE456" s="51"/>
      <c r="FF456" s="51"/>
      <c r="FG456" s="51"/>
      <c r="FH456" s="51"/>
      <c r="FI456" s="51"/>
      <c r="FJ456" s="51"/>
      <c r="FK456" s="51"/>
      <c r="FL456" s="51"/>
      <c r="FM456" s="51"/>
      <c r="FN456" s="51"/>
      <c r="FO456" s="51"/>
      <c r="FP456" s="51"/>
      <c r="FQ456" s="51"/>
      <c r="FR456" s="51"/>
      <c r="FS456" s="51"/>
      <c r="FT456" s="51"/>
      <c r="FU456" s="51"/>
      <c r="FV456" s="51"/>
      <c r="FW456" s="51"/>
      <c r="FX456" s="51"/>
      <c r="FY456" s="51"/>
      <c r="FZ456" s="51"/>
      <c r="GA456" s="51"/>
      <c r="GB456" s="51"/>
      <c r="GC456" s="51"/>
      <c r="GD456" s="51"/>
      <c r="GE456" s="51"/>
      <c r="GF456" s="51"/>
      <c r="GG456" s="51"/>
      <c r="GH456" s="51"/>
      <c r="GI456" s="51"/>
      <c r="GJ456" s="51"/>
      <c r="GK456" s="51"/>
      <c r="GL456" s="51"/>
      <c r="GM456" s="51"/>
      <c r="GN456" s="51"/>
      <c r="GO456" s="51"/>
      <c r="GP456" s="51"/>
      <c r="GQ456" s="51"/>
      <c r="GR456" s="51"/>
      <c r="GS456" s="51"/>
      <c r="GT456" s="51"/>
      <c r="GU456" s="51"/>
      <c r="GV456" s="51"/>
      <c r="GW456" s="51"/>
      <c r="GX456" s="51"/>
      <c r="GY456" s="51"/>
      <c r="GZ456" s="51"/>
      <c r="HA456" s="51"/>
      <c r="HB456" s="51"/>
      <c r="HC456" s="51"/>
      <c r="HD456" s="51"/>
      <c r="HE456" s="51"/>
      <c r="HF456" s="51"/>
      <c r="HG456" s="51"/>
      <c r="HH456" s="51"/>
      <c r="HI456" s="51"/>
      <c r="HJ456" s="51"/>
      <c r="HK456" s="51"/>
      <c r="HL456" s="51"/>
      <c r="HM456" s="51"/>
      <c r="HN456" s="51"/>
      <c r="HO456" s="51"/>
      <c r="HP456" s="51"/>
      <c r="HQ456" s="51"/>
      <c r="HR456" s="51"/>
      <c r="HS456" s="51"/>
      <c r="HT456" s="51"/>
      <c r="HU456" s="51"/>
      <c r="HV456" s="51"/>
      <c r="HW456" s="51"/>
      <c r="HX456" s="51"/>
      <c r="HY456" s="51"/>
      <c r="HZ456" s="51"/>
      <c r="IA456" s="51"/>
      <c r="IB456" s="51"/>
      <c r="IC456" s="51"/>
      <c r="ID456" s="51"/>
      <c r="IE456" s="51"/>
      <c r="IF456" s="51"/>
      <c r="IG456" s="51"/>
      <c r="IH456" s="51"/>
      <c r="II456" s="51"/>
      <c r="IJ456" s="51"/>
      <c r="IK456" s="51"/>
      <c r="IL456" s="51"/>
      <c r="IM456" s="51"/>
      <c r="IN456" s="51"/>
      <c r="IO456" s="51"/>
      <c r="IP456" s="51"/>
      <c r="IQ456" s="51"/>
      <c r="IR456" s="51"/>
      <c r="IS456" s="51"/>
      <c r="IT456" s="51"/>
      <c r="IU456" s="51"/>
      <c r="IV456" s="51"/>
    </row>
    <row r="457" hidden="1" ht="13.5">
      <c r="B457" s="128" t="s">
        <v>7</v>
      </c>
      <c r="C457" s="129" t="str">
        <f>IF(SUM(C438:C456)&lt;&gt;0,SUM(C438:C456),"")</f>
      </c>
      <c r="D457" s="129" t="str">
        <f ref="D457:AA457" t="shared" si="55">IF(SUM(D438:D456)&lt;&gt;0,SUM(D438:D456),"")</f>
      </c>
      <c r="E457" s="129" t="str">
        <f t="shared" si="55"/>
      </c>
      <c r="F457" s="129" t="str">
        <f t="shared" si="55"/>
      </c>
      <c r="G457" s="129" t="str">
        <f t="shared" si="55"/>
      </c>
      <c r="H457" s="129" t="str">
        <f t="shared" si="55"/>
      </c>
      <c r="I457" s="129" t="str">
        <f t="shared" si="55"/>
      </c>
      <c r="J457" s="129" t="str">
        <f t="shared" si="55"/>
      </c>
      <c r="K457" s="129" t="str">
        <f t="shared" si="55"/>
      </c>
      <c r="L457" s="129" t="str">
        <f t="shared" si="55"/>
      </c>
      <c r="M457" s="129" t="str">
        <f t="shared" si="55"/>
      </c>
      <c r="N457" s="129" t="str">
        <f t="shared" si="55"/>
      </c>
      <c r="O457" s="129" t="str">
        <f t="shared" si="55"/>
      </c>
      <c r="P457" s="129" t="str">
        <f t="shared" si="55"/>
      </c>
      <c r="Q457" s="129" t="str">
        <f t="shared" si="55"/>
      </c>
      <c r="R457" s="129" t="str">
        <f t="shared" si="55"/>
      </c>
      <c r="S457" s="129" t="str">
        <f t="shared" si="55"/>
      </c>
      <c r="T457" s="129" t="str">
        <f t="shared" si="55"/>
      </c>
      <c r="U457" s="129" t="str">
        <f t="shared" si="55"/>
      </c>
      <c r="V457" s="129" t="str">
        <f t="shared" si="55"/>
      </c>
      <c r="W457" s="129" t="str">
        <f t="shared" si="55"/>
      </c>
      <c r="X457" s="129" t="str">
        <f t="shared" si="55"/>
      </c>
      <c r="Y457" s="129" t="str">
        <f t="shared" si="55"/>
      </c>
      <c r="Z457" s="129" t="str">
        <f t="shared" si="55"/>
      </c>
      <c r="AA457" s="129" t="str">
        <f t="shared" si="55"/>
      </c>
      <c r="AB457" s="130" t="str">
        <f>IF(SUM(AB438:AB456)&lt;&gt;0,SUM(AB438:AB456),"")</f>
      </c>
      <c r="AC457" s="91" t="str">
        <f ref="AC457:CN457" t="shared" si="56">IF(SUM(AC438:AC456)&lt;&gt;0,SUM(AC438:AC456),"")</f>
      </c>
      <c r="AD457" s="91" t="str">
        <f t="shared" si="56"/>
      </c>
      <c r="AE457" s="91" t="str">
        <f t="shared" si="56"/>
      </c>
      <c r="AF457" s="91" t="str">
        <f t="shared" si="56"/>
      </c>
      <c r="AG457" s="91" t="str">
        <f t="shared" si="56"/>
      </c>
      <c r="AH457" s="91" t="str">
        <f t="shared" si="56"/>
      </c>
      <c r="AI457" s="91" t="str">
        <f t="shared" si="56"/>
      </c>
      <c r="AJ457" s="91" t="str">
        <f t="shared" si="56"/>
      </c>
      <c r="AK457" s="91" t="str">
        <f t="shared" si="56"/>
      </c>
      <c r="AL457" s="91" t="str">
        <f t="shared" si="56"/>
      </c>
      <c r="AM457" s="91" t="str">
        <f t="shared" si="56"/>
      </c>
      <c r="AN457" s="91" t="str">
        <f t="shared" si="56"/>
      </c>
      <c r="AO457" s="91" t="str">
        <f t="shared" si="56"/>
      </c>
      <c r="AP457" s="91" t="str">
        <f t="shared" si="56"/>
      </c>
      <c r="AQ457" s="91" t="str">
        <f t="shared" si="56"/>
      </c>
      <c r="AR457" s="91" t="str">
        <f t="shared" si="56"/>
      </c>
      <c r="AS457" s="91" t="str">
        <f t="shared" si="56"/>
      </c>
      <c r="AT457" s="91" t="str">
        <f t="shared" si="56"/>
      </c>
      <c r="AU457" s="91" t="str">
        <f t="shared" si="56"/>
      </c>
      <c r="AV457" s="91" t="str">
        <f t="shared" si="56"/>
      </c>
      <c r="AW457" s="91" t="str">
        <f t="shared" si="56"/>
      </c>
      <c r="AX457" s="91" t="str">
        <f t="shared" si="56"/>
      </c>
      <c r="AY457" s="91" t="str">
        <f t="shared" si="56"/>
      </c>
      <c r="AZ457" s="91" t="str">
        <f t="shared" si="56"/>
      </c>
      <c r="BA457" s="91" t="str">
        <f t="shared" si="56"/>
      </c>
      <c r="BB457" s="91" t="str">
        <f t="shared" si="56"/>
      </c>
      <c r="BC457" s="91" t="str">
        <f t="shared" si="56"/>
      </c>
      <c r="BD457" s="91" t="str">
        <f t="shared" si="56"/>
      </c>
      <c r="BE457" s="91" t="str">
        <f t="shared" si="56"/>
      </c>
      <c r="BF457" s="91" t="str">
        <f t="shared" si="56"/>
      </c>
      <c r="BG457" s="91" t="str">
        <f t="shared" si="56"/>
      </c>
      <c r="BH457" s="91" t="str">
        <f t="shared" si="56"/>
      </c>
      <c r="BI457" s="91" t="str">
        <f t="shared" si="56"/>
      </c>
      <c r="BJ457" s="91" t="str">
        <f t="shared" si="56"/>
      </c>
      <c r="BK457" s="91" t="str">
        <f t="shared" si="56"/>
      </c>
      <c r="BL457" s="91" t="str">
        <f t="shared" si="56"/>
      </c>
      <c r="BM457" s="91" t="str">
        <f t="shared" si="56"/>
      </c>
      <c r="BN457" s="91" t="str">
        <f t="shared" si="56"/>
      </c>
      <c r="BO457" s="91" t="str">
        <f t="shared" si="56"/>
      </c>
      <c r="BP457" s="91" t="str">
        <f t="shared" si="56"/>
      </c>
      <c r="BQ457" s="91" t="str">
        <f t="shared" si="56"/>
      </c>
      <c r="BR457" s="91" t="str">
        <f t="shared" si="56"/>
      </c>
      <c r="BS457" s="91" t="str">
        <f t="shared" si="56"/>
      </c>
      <c r="BT457" s="91" t="str">
        <f t="shared" si="56"/>
      </c>
      <c r="BU457" s="91" t="str">
        <f t="shared" si="56"/>
      </c>
      <c r="BV457" s="91" t="str">
        <f t="shared" si="56"/>
      </c>
      <c r="BW457" s="91" t="str">
        <f t="shared" si="56"/>
      </c>
      <c r="BX457" s="91" t="str">
        <f t="shared" si="56"/>
      </c>
      <c r="BY457" s="91" t="str">
        <f t="shared" si="56"/>
      </c>
      <c r="BZ457" s="91" t="str">
        <f t="shared" si="56"/>
      </c>
      <c r="CA457" s="91" t="str">
        <f t="shared" si="56"/>
      </c>
      <c r="CB457" s="91" t="str">
        <f t="shared" si="56"/>
      </c>
      <c r="CC457" s="91" t="str">
        <f t="shared" si="56"/>
      </c>
      <c r="CD457" s="91" t="str">
        <f t="shared" si="56"/>
      </c>
      <c r="CE457" s="91" t="str">
        <f t="shared" si="56"/>
      </c>
      <c r="CF457" s="91" t="str">
        <f t="shared" si="56"/>
      </c>
      <c r="CG457" s="91" t="str">
        <f t="shared" si="56"/>
      </c>
      <c r="CH457" s="91" t="str">
        <f t="shared" si="56"/>
      </c>
      <c r="CI457" s="91" t="str">
        <f t="shared" si="56"/>
      </c>
      <c r="CJ457" s="91" t="str">
        <f t="shared" si="56"/>
      </c>
      <c r="CK457" s="91" t="str">
        <f t="shared" si="56"/>
      </c>
      <c r="CL457" s="91" t="str">
        <f t="shared" si="56"/>
      </c>
      <c r="CM457" s="91" t="str">
        <f t="shared" si="56"/>
      </c>
      <c r="CN457" s="91" t="str">
        <f t="shared" si="56"/>
      </c>
      <c r="CO457" s="91" t="str">
        <f ref="CO457:EZ457" t="shared" si="57">IF(SUM(CO438:CO456)&lt;&gt;0,SUM(CO438:CO456),"")</f>
      </c>
      <c r="CP457" s="91" t="str">
        <f t="shared" si="57"/>
      </c>
      <c r="CQ457" s="91" t="str">
        <f t="shared" si="57"/>
      </c>
      <c r="CR457" s="91" t="str">
        <f t="shared" si="57"/>
      </c>
      <c r="CS457" s="91" t="str">
        <f t="shared" si="57"/>
      </c>
      <c r="CT457" s="91" t="str">
        <f t="shared" si="57"/>
      </c>
      <c r="CU457" s="91" t="str">
        <f t="shared" si="57"/>
      </c>
      <c r="CV457" s="91" t="str">
        <f t="shared" si="57"/>
      </c>
      <c r="CW457" s="91" t="str">
        <f t="shared" si="57"/>
      </c>
      <c r="CX457" s="91" t="str">
        <f t="shared" si="57"/>
      </c>
      <c r="CY457" s="91" t="str">
        <f t="shared" si="57"/>
      </c>
      <c r="CZ457" s="91" t="str">
        <f t="shared" si="57"/>
      </c>
      <c r="DA457" s="91" t="str">
        <f t="shared" si="57"/>
      </c>
      <c r="DB457" s="91" t="str">
        <f t="shared" si="57"/>
      </c>
      <c r="DC457" s="91" t="str">
        <f t="shared" si="57"/>
      </c>
      <c r="DD457" s="91" t="str">
        <f t="shared" si="57"/>
      </c>
      <c r="DE457" s="91" t="str">
        <f t="shared" si="57"/>
      </c>
      <c r="DF457" s="91" t="str">
        <f t="shared" si="57"/>
      </c>
      <c r="DG457" s="91" t="str">
        <f t="shared" si="57"/>
      </c>
      <c r="DH457" s="91" t="str">
        <f t="shared" si="57"/>
      </c>
      <c r="DI457" s="91" t="str">
        <f t="shared" si="57"/>
      </c>
      <c r="DJ457" s="91" t="str">
        <f t="shared" si="57"/>
      </c>
      <c r="DK457" s="91" t="str">
        <f t="shared" si="57"/>
      </c>
      <c r="DL457" s="91" t="str">
        <f t="shared" si="57"/>
      </c>
      <c r="DM457" s="91" t="str">
        <f t="shared" si="57"/>
      </c>
      <c r="DN457" s="91" t="str">
        <f t="shared" si="57"/>
      </c>
      <c r="DO457" s="91" t="str">
        <f t="shared" si="57"/>
      </c>
      <c r="DP457" s="91" t="str">
        <f t="shared" si="57"/>
      </c>
      <c r="DQ457" s="91" t="str">
        <f t="shared" si="57"/>
      </c>
      <c r="DR457" s="91" t="str">
        <f t="shared" si="57"/>
      </c>
      <c r="DS457" s="91" t="str">
        <f t="shared" si="57"/>
      </c>
      <c r="DT457" s="91" t="str">
        <f t="shared" si="57"/>
      </c>
      <c r="DU457" s="91" t="str">
        <f t="shared" si="57"/>
      </c>
      <c r="DV457" s="91" t="str">
        <f t="shared" si="57"/>
      </c>
      <c r="DW457" s="91" t="str">
        <f t="shared" si="57"/>
      </c>
      <c r="DX457" s="91" t="str">
        <f t="shared" si="57"/>
      </c>
      <c r="DY457" s="91" t="str">
        <f t="shared" si="57"/>
      </c>
      <c r="DZ457" s="91" t="str">
        <f t="shared" si="57"/>
      </c>
      <c r="EA457" s="91" t="str">
        <f t="shared" si="57"/>
      </c>
      <c r="EB457" s="91" t="str">
        <f t="shared" si="57"/>
      </c>
      <c r="EC457" s="91" t="str">
        <f t="shared" si="57"/>
      </c>
      <c r="ED457" s="91" t="str">
        <f t="shared" si="57"/>
      </c>
      <c r="EE457" s="91" t="str">
        <f t="shared" si="57"/>
      </c>
      <c r="EF457" s="91" t="str">
        <f t="shared" si="57"/>
      </c>
      <c r="EG457" s="91" t="str">
        <f t="shared" si="57"/>
      </c>
      <c r="EH457" s="91" t="str">
        <f t="shared" si="57"/>
      </c>
      <c r="EI457" s="91" t="str">
        <f t="shared" si="57"/>
      </c>
      <c r="EJ457" s="91" t="str">
        <f t="shared" si="57"/>
      </c>
      <c r="EK457" s="91" t="str">
        <f t="shared" si="57"/>
      </c>
      <c r="EL457" s="91" t="str">
        <f t="shared" si="57"/>
      </c>
      <c r="EM457" s="91" t="str">
        <f t="shared" si="57"/>
      </c>
      <c r="EN457" s="91" t="str">
        <f t="shared" si="57"/>
      </c>
      <c r="EO457" s="91" t="str">
        <f t="shared" si="57"/>
      </c>
      <c r="EP457" s="91" t="str">
        <f t="shared" si="57"/>
      </c>
      <c r="EQ457" s="91" t="str">
        <f t="shared" si="57"/>
      </c>
      <c r="ER457" s="91" t="str">
        <f t="shared" si="57"/>
      </c>
      <c r="ES457" s="91" t="str">
        <f t="shared" si="57"/>
      </c>
      <c r="ET457" s="91" t="str">
        <f t="shared" si="57"/>
      </c>
      <c r="EU457" s="91" t="str">
        <f t="shared" si="57"/>
      </c>
      <c r="EV457" s="91" t="str">
        <f t="shared" si="57"/>
      </c>
      <c r="EW457" s="91" t="str">
        <f t="shared" si="57"/>
      </c>
      <c r="EX457" s="91" t="str">
        <f t="shared" si="57"/>
      </c>
      <c r="EY457" s="91" t="str">
        <f t="shared" si="57"/>
      </c>
      <c r="EZ457" s="91" t="str">
        <f t="shared" si="57"/>
      </c>
      <c r="FA457" s="91" t="str">
        <f ref="FA457:HL457" t="shared" si="58">IF(SUM(FA438:FA456)&lt;&gt;0,SUM(FA438:FA456),"")</f>
      </c>
      <c r="FB457" s="91" t="str">
        <f t="shared" si="58"/>
      </c>
      <c r="FC457" s="91" t="str">
        <f t="shared" si="58"/>
      </c>
      <c r="FD457" s="91" t="str">
        <f t="shared" si="58"/>
      </c>
      <c r="FE457" s="91" t="str">
        <f t="shared" si="58"/>
      </c>
      <c r="FF457" s="91" t="str">
        <f t="shared" si="58"/>
      </c>
      <c r="FG457" s="91" t="str">
        <f t="shared" si="58"/>
      </c>
      <c r="FH457" s="91" t="str">
        <f t="shared" si="58"/>
      </c>
      <c r="FI457" s="91" t="str">
        <f t="shared" si="58"/>
      </c>
      <c r="FJ457" s="91" t="str">
        <f t="shared" si="58"/>
      </c>
      <c r="FK457" s="91" t="str">
        <f t="shared" si="58"/>
      </c>
      <c r="FL457" s="91" t="str">
        <f t="shared" si="58"/>
      </c>
      <c r="FM457" s="91" t="str">
        <f t="shared" si="58"/>
      </c>
      <c r="FN457" s="91" t="str">
        <f t="shared" si="58"/>
      </c>
      <c r="FO457" s="91" t="str">
        <f t="shared" si="58"/>
      </c>
      <c r="FP457" s="91" t="str">
        <f t="shared" si="58"/>
      </c>
      <c r="FQ457" s="91" t="str">
        <f t="shared" si="58"/>
      </c>
      <c r="FR457" s="91" t="str">
        <f t="shared" si="58"/>
      </c>
      <c r="FS457" s="91" t="str">
        <f t="shared" si="58"/>
      </c>
      <c r="FT457" s="91" t="str">
        <f t="shared" si="58"/>
      </c>
      <c r="FU457" s="91" t="str">
        <f t="shared" si="58"/>
      </c>
      <c r="FV457" s="91" t="str">
        <f t="shared" si="58"/>
      </c>
      <c r="FW457" s="91" t="str">
        <f t="shared" si="58"/>
      </c>
      <c r="FX457" s="91" t="str">
        <f t="shared" si="58"/>
      </c>
      <c r="FY457" s="91" t="str">
        <f t="shared" si="58"/>
      </c>
      <c r="FZ457" s="91" t="str">
        <f t="shared" si="58"/>
      </c>
      <c r="GA457" s="91" t="str">
        <f t="shared" si="58"/>
      </c>
      <c r="GB457" s="91" t="str">
        <f t="shared" si="58"/>
      </c>
      <c r="GC457" s="91" t="str">
        <f t="shared" si="58"/>
      </c>
      <c r="GD457" s="91" t="str">
        <f t="shared" si="58"/>
      </c>
      <c r="GE457" s="91" t="str">
        <f t="shared" si="58"/>
      </c>
      <c r="GF457" s="91" t="str">
        <f t="shared" si="58"/>
      </c>
      <c r="GG457" s="91" t="str">
        <f t="shared" si="58"/>
      </c>
      <c r="GH457" s="91" t="str">
        <f t="shared" si="58"/>
      </c>
      <c r="GI457" s="91" t="str">
        <f t="shared" si="58"/>
      </c>
      <c r="GJ457" s="91" t="str">
        <f t="shared" si="58"/>
      </c>
      <c r="GK457" s="91" t="str">
        <f t="shared" si="58"/>
      </c>
      <c r="GL457" s="91" t="str">
        <f t="shared" si="58"/>
      </c>
      <c r="GM457" s="91" t="str">
        <f t="shared" si="58"/>
      </c>
      <c r="GN457" s="91" t="str">
        <f t="shared" si="58"/>
      </c>
      <c r="GO457" s="91" t="str">
        <f t="shared" si="58"/>
      </c>
      <c r="GP457" s="91" t="str">
        <f t="shared" si="58"/>
      </c>
      <c r="GQ457" s="91" t="str">
        <f t="shared" si="58"/>
      </c>
      <c r="GR457" s="91" t="str">
        <f t="shared" si="58"/>
      </c>
      <c r="GS457" s="91" t="str">
        <f t="shared" si="58"/>
      </c>
      <c r="GT457" s="91" t="str">
        <f t="shared" si="58"/>
      </c>
      <c r="GU457" s="91" t="str">
        <f t="shared" si="58"/>
      </c>
      <c r="GV457" s="91" t="str">
        <f t="shared" si="58"/>
      </c>
      <c r="GW457" s="91" t="str">
        <f t="shared" si="58"/>
      </c>
      <c r="GX457" s="91" t="str">
        <f t="shared" si="58"/>
      </c>
      <c r="GY457" s="91" t="str">
        <f t="shared" si="58"/>
      </c>
      <c r="GZ457" s="91" t="str">
        <f t="shared" si="58"/>
      </c>
      <c r="HA457" s="91" t="str">
        <f t="shared" si="58"/>
      </c>
      <c r="HB457" s="91" t="str">
        <f t="shared" si="58"/>
      </c>
      <c r="HC457" s="91" t="str">
        <f t="shared" si="58"/>
      </c>
      <c r="HD457" s="91" t="str">
        <f t="shared" si="58"/>
      </c>
      <c r="HE457" s="91" t="str">
        <f t="shared" si="58"/>
      </c>
      <c r="HF457" s="91" t="str">
        <f t="shared" si="58"/>
      </c>
      <c r="HG457" s="91" t="str">
        <f t="shared" si="58"/>
      </c>
      <c r="HH457" s="91" t="str">
        <f t="shared" si="58"/>
      </c>
      <c r="HI457" s="91" t="str">
        <f t="shared" si="58"/>
      </c>
      <c r="HJ457" s="91" t="str">
        <f t="shared" si="58"/>
      </c>
      <c r="HK457" s="91" t="str">
        <f t="shared" si="58"/>
      </c>
      <c r="HL457" s="91" t="str">
        <f t="shared" si="58"/>
      </c>
      <c r="HM457" s="91" t="str">
        <f ref="HM457:IV457" t="shared" si="59">IF(SUM(HM438:HM456)&lt;&gt;0,SUM(HM438:HM456),"")</f>
      </c>
      <c r="HN457" s="91" t="str">
        <f t="shared" si="59"/>
      </c>
      <c r="HO457" s="91" t="str">
        <f t="shared" si="59"/>
      </c>
      <c r="HP457" s="91" t="str">
        <f t="shared" si="59"/>
      </c>
      <c r="HQ457" s="91" t="str">
        <f t="shared" si="59"/>
      </c>
      <c r="HR457" s="91" t="str">
        <f t="shared" si="59"/>
      </c>
      <c r="HS457" s="91" t="str">
        <f t="shared" si="59"/>
      </c>
      <c r="HT457" s="91" t="str">
        <f t="shared" si="59"/>
      </c>
      <c r="HU457" s="91" t="str">
        <f t="shared" si="59"/>
      </c>
      <c r="HV457" s="91" t="str">
        <f t="shared" si="59"/>
      </c>
      <c r="HW457" s="91" t="str">
        <f t="shared" si="59"/>
      </c>
      <c r="HX457" s="91" t="str">
        <f t="shared" si="59"/>
      </c>
      <c r="HY457" s="91" t="str">
        <f t="shared" si="59"/>
      </c>
      <c r="HZ457" s="91" t="str">
        <f t="shared" si="59"/>
      </c>
      <c r="IA457" s="91" t="str">
        <f t="shared" si="59"/>
      </c>
      <c r="IB457" s="91" t="str">
        <f t="shared" si="59"/>
      </c>
      <c r="IC457" s="91" t="str">
        <f t="shared" si="59"/>
      </c>
      <c r="ID457" s="91" t="str">
        <f t="shared" si="59"/>
      </c>
      <c r="IE457" s="91" t="str">
        <f t="shared" si="59"/>
      </c>
      <c r="IF457" s="91" t="str">
        <f t="shared" si="59"/>
      </c>
      <c r="IG457" s="91" t="str">
        <f t="shared" si="59"/>
      </c>
      <c r="IH457" s="91" t="str">
        <f t="shared" si="59"/>
      </c>
      <c r="II457" s="91" t="str">
        <f t="shared" si="59"/>
      </c>
      <c r="IJ457" s="91" t="str">
        <f t="shared" si="59"/>
      </c>
      <c r="IK457" s="91" t="str">
        <f t="shared" si="59"/>
      </c>
      <c r="IL457" s="91" t="str">
        <f t="shared" si="59"/>
      </c>
      <c r="IM457" s="91" t="str">
        <f t="shared" si="59"/>
      </c>
      <c r="IN457" s="91" t="str">
        <f t="shared" si="59"/>
      </c>
      <c r="IO457" s="91" t="str">
        <f t="shared" si="59"/>
      </c>
      <c r="IP457" s="91" t="str">
        <f t="shared" si="59"/>
      </c>
      <c r="IQ457" s="91" t="str">
        <f t="shared" si="59"/>
      </c>
      <c r="IR457" s="91" t="str">
        <f t="shared" si="59"/>
      </c>
      <c r="IS457" s="91" t="str">
        <f t="shared" si="59"/>
      </c>
      <c r="IT457" s="91" t="str">
        <f t="shared" si="59"/>
      </c>
      <c r="IU457" s="91" t="str">
        <f t="shared" si="59"/>
      </c>
      <c r="IV457" s="91" t="str">
        <f t="shared" si="59"/>
      </c>
    </row>
    <row r="458" hidden="1"/>
    <row r="459" hidden="1" ht="13.5"/>
    <row r="460" hidden="1" ht="13.5" customHeight="1">
      <c r="C460" s="732" t="s">
        <v>423</v>
      </c>
      <c r="D460" s="733"/>
      <c r="E460" s="733"/>
      <c r="F460" s="733"/>
      <c r="G460" s="733"/>
      <c r="H460" s="733"/>
      <c r="I460" s="733"/>
      <c r="J460" s="733"/>
      <c r="K460" s="733"/>
      <c r="L460" s="733"/>
      <c r="M460" s="733"/>
      <c r="N460" s="733"/>
      <c r="O460" s="733"/>
      <c r="P460" s="733"/>
      <c r="Q460" s="733"/>
      <c r="R460" s="733"/>
      <c r="S460" s="733"/>
      <c r="T460" s="733"/>
      <c r="U460" s="733"/>
      <c r="V460" s="733"/>
      <c r="W460" s="733"/>
      <c r="X460" s="733"/>
      <c r="Y460" s="733"/>
      <c r="Z460" s="733"/>
      <c r="AA460" s="733"/>
      <c r="AB460" s="734"/>
    </row>
    <row r="461" hidden="1" ht="13.5">
      <c r="B461" s="51"/>
      <c r="C461" s="435" t="str">
        <f> IF(C481&lt;&gt;"",TEXT(AUX!G$1,"dd-MMM-aa"),"")</f>
      </c>
      <c r="D461" s="435" t="str">
        <f> IF(D481&lt;&gt;"",TEXT(AUX!H$1,"dd-MMM-aa"),"")</f>
      </c>
      <c r="E461" s="435" t="str">
        <f> IF(E481&lt;&gt;"",TEXT(AUX!I$1,"dd-MMM-aa"),"")</f>
      </c>
      <c r="F461" s="435" t="str">
        <f> IF(F481&lt;&gt;"",TEXT(AUX!J$1,"dd-MMM-aa"),"")</f>
      </c>
      <c r="G461" s="435" t="str">
        <f> IF(G481&lt;&gt;"",TEXT(AUX!K$1,"dd-MMM-aa"),"")</f>
      </c>
      <c r="H461" s="435" t="str">
        <f> IF(H481&lt;&gt;"",TEXT(AUX!L$1,"dd-MMM-aa"),"")</f>
      </c>
      <c r="I461" s="435" t="str">
        <f> IF(I481&lt;&gt;"",TEXT(AUX!M$1,"dd-MMM-aa"),"")</f>
      </c>
      <c r="J461" s="435" t="str">
        <f> IF(J481&lt;&gt;"",TEXT(AUX!N$1,"dd-MMM-aa"),"")</f>
      </c>
      <c r="K461" s="435" t="str">
        <f> IF(K481&lt;&gt;"",TEXT(AUX!O$1,"dd-MMM-aa"),"")</f>
      </c>
      <c r="L461" s="435" t="str">
        <f> IF(L481&lt;&gt;"",TEXT(AUX!P$1,"dd-MMM-aa"),"")</f>
      </c>
      <c r="M461" s="435" t="str">
        <f> IF(M481&lt;&gt;"",TEXT(AUX!Q$1,"dd-MMM-aa"),"")</f>
      </c>
      <c r="N461" s="435" t="str">
        <f> IF(N481&lt;&gt;"",TEXT(AUX!R$1,"dd-MMM-aa"),"")</f>
      </c>
      <c r="O461" s="435" t="str">
        <f> IF(O481&lt;&gt;"",TEXT(AUX!S$1,"dd-MMM-aa"),"")</f>
      </c>
      <c r="P461" s="435" t="str">
        <f> IF(P481&lt;&gt;"",TEXT(AUX!T$1,"dd-MMM-aa"),"")</f>
      </c>
      <c r="Q461" s="435" t="str">
        <f> IF(Q481&lt;&gt;"",TEXT(AUX!U$1,"dd-MMM-aa"),"")</f>
      </c>
      <c r="R461" s="435" t="str">
        <f> IF(R481&lt;&gt;"",TEXT(AUX!V$1,"dd-MMM-aa"),"")</f>
      </c>
      <c r="S461" s="435" t="str">
        <f> IF(S481&lt;&gt;"",TEXT(AUX!W$1,"dd-MMM-aa"),"")</f>
      </c>
      <c r="T461" s="435" t="str">
        <f> IF(T481&lt;&gt;"",TEXT(AUX!X$1,"dd-MMM-aa"),"")</f>
      </c>
      <c r="U461" s="435" t="str">
        <f> IF(U481&lt;&gt;"",TEXT(AUX!Y$1,"dd-MMM-aa"),"")</f>
      </c>
      <c r="V461" s="435" t="str">
        <f> IF(V481&lt;&gt;"",TEXT(AUX!Z$1,"dd-MMM-aa"),"")</f>
      </c>
      <c r="W461" s="435" t="str">
        <f> IF(W481&lt;&gt;"",TEXT(AUX!AA$1,"dd-MMM-aa"),"")</f>
      </c>
      <c r="X461" s="435" t="str">
        <f> IF(X481&lt;&gt;"",TEXT(AUX!AB$1,"dd-MMM-aa"),"")</f>
      </c>
      <c r="Y461" s="435" t="str">
        <f> IF(Y481&lt;&gt;"",TEXT(AUX!AC$1,"dd-MMM-aa"),"")</f>
      </c>
      <c r="Z461" s="435" t="str">
        <f> IF(Z481&lt;&gt;"",TEXT(AUX!AD$1,"dd-MMM-aa"),"")</f>
      </c>
      <c r="AA461" s="435" t="str">
        <f> IF(AA481&lt;&gt;"",TEXT(AUX!AE$1,"dd-MMM-aa"),"")</f>
      </c>
      <c r="AB461" s="497" t="str">
        <f> IF(AB481&lt;&gt;"",TEXT(AUX!AF$1,"dd-MMM-aa"),"")</f>
      </c>
      <c r="AC461" s="496" t="str">
        <f> IF(AC481&lt;&gt;"",TEXT(AUX!AG$1,"dd-MMM-aa"),"")</f>
      </c>
      <c r="AD461" s="496" t="str">
        <f> IF(AD481&lt;&gt;"",TEXT(AUX!AH$1,"dd-MMM-aa"),"")</f>
      </c>
      <c r="AE461" s="496" t="str">
        <f> IF(AE481&lt;&gt;"",TEXT(AUX!AI$1,"dd-MMM-aa"),"")</f>
      </c>
      <c r="AF461" s="496" t="str">
        <f> IF(AF481&lt;&gt;"",TEXT(AUX!AJ$1,"dd-MMM-aa"),"")</f>
      </c>
      <c r="AG461" s="496" t="str">
        <f> IF(AG481&lt;&gt;"",TEXT(AUX!AK$1,"dd-MMM-aa"),"")</f>
      </c>
      <c r="AH461" s="496" t="str">
        <f> IF(AH481&lt;&gt;"",TEXT(AUX!AL$1,"dd-MMM-aa"),"")</f>
      </c>
      <c r="AI461" s="496" t="str">
        <f> IF(AI481&lt;&gt;"",TEXT(AUX!AM$1,"dd-MMM-aa"),"")</f>
      </c>
      <c r="AJ461" s="496" t="str">
        <f> IF(AJ481&lt;&gt;"",TEXT(AUX!AN$1,"dd-MMM-aa"),"")</f>
      </c>
      <c r="AK461" s="496" t="str">
        <f> IF(AK481&lt;&gt;"",TEXT(AUX!AO$1,"dd-MMM-aa"),"")</f>
      </c>
      <c r="AL461" s="496" t="str">
        <f> IF(AL481&lt;&gt;"",TEXT(AUX!AP$1,"dd-MMM-aa"),"")</f>
      </c>
      <c r="AM461" s="496" t="str">
        <f> IF(AM481&lt;&gt;"",TEXT(AUX!AQ$1,"dd-MMM-aa"),"")</f>
      </c>
      <c r="AN461" s="496" t="str">
        <f> IF(AN481&lt;&gt;"",TEXT(AUX!AR$1,"dd-MMM-aa"),"")</f>
      </c>
      <c r="AO461" s="496" t="str">
        <f> IF(AO481&lt;&gt;"",TEXT(AUX!AS$1,"dd-MMM-aa"),"")</f>
      </c>
      <c r="AP461" s="496" t="str">
        <f> IF(AP481&lt;&gt;"",TEXT(AUX!AT$1,"dd-MMM-aa"),"")</f>
      </c>
      <c r="AQ461" s="496" t="str">
        <f> IF(AQ481&lt;&gt;"",TEXT(AUX!AU$1,"dd-MMM-aa"),"")</f>
      </c>
      <c r="AR461" s="496" t="str">
        <f> IF(AR481&lt;&gt;"",TEXT(AUX!AV$1,"dd-MMM-aa"),"")</f>
      </c>
      <c r="AS461" s="496" t="str">
        <f> IF(AS481&lt;&gt;"",TEXT(AUX!AW$1,"dd-MMM-aa"),"")</f>
      </c>
      <c r="AT461" s="496" t="str">
        <f> IF(AT481&lt;&gt;"",TEXT(AUX!AX$1,"dd-MMM-aa"),"")</f>
      </c>
      <c r="AU461" s="496" t="str">
        <f> IF(AU481&lt;&gt;"",TEXT(AUX!AY$1,"dd-MMM-aa"),"")</f>
      </c>
      <c r="AV461" s="496" t="str">
        <f> IF(AV481&lt;&gt;"",TEXT(AUX!AZ$1,"dd-MMM-aa"),"")</f>
      </c>
      <c r="AW461" s="496" t="str">
        <f> IF(AW481&lt;&gt;"",TEXT(AUX!BA$1,"dd-MMM-aa"),"")</f>
      </c>
      <c r="AX461" s="496" t="str">
        <f> IF(AX481&lt;&gt;"",TEXT(AUX!BB$1,"dd-MMM-aa"),"")</f>
      </c>
      <c r="AY461" s="496" t="str">
        <f> IF(AY481&lt;&gt;"",TEXT(AUX!BC$1,"dd-MMM-aa"),"")</f>
      </c>
      <c r="AZ461" s="496" t="str">
        <f> IF(AZ481&lt;&gt;"",TEXT(AUX!BD$1,"dd-MMM-aa"),"")</f>
      </c>
      <c r="BA461" s="496" t="str">
        <f> IF(BA481&lt;&gt;"",TEXT(AUX!BE$1,"dd-MMM-aa"),"")</f>
      </c>
      <c r="BB461" s="496" t="str">
        <f> IF(BB481&lt;&gt;"",TEXT(AUX!BF$1,"dd-MMM-aa"),"")</f>
      </c>
      <c r="BC461" s="496" t="str">
        <f> IF(BC481&lt;&gt;"",TEXT(AUX!BG$1,"dd-MMM-aa"),"")</f>
      </c>
      <c r="BD461" s="496" t="str">
        <f> IF(BD481&lt;&gt;"",TEXT(AUX!BH$1,"dd-MMM-aa"),"")</f>
      </c>
      <c r="BE461" s="496" t="str">
        <f> IF(BE481&lt;&gt;"",TEXT(AUX!BI$1,"dd-MMM-aa"),"")</f>
      </c>
      <c r="BF461" s="496" t="str">
        <f> IF(BF481&lt;&gt;"",TEXT(AUX!BJ$1,"dd-MMM-aa"),"")</f>
      </c>
      <c r="BG461" s="496" t="str">
        <f> IF(BG481&lt;&gt;"",TEXT(AUX!BK$1,"dd-MMM-aa"),"")</f>
      </c>
      <c r="BH461" s="496" t="str">
        <f> IF(BH481&lt;&gt;"",TEXT(AUX!BL$1,"dd-MMM-aa"),"")</f>
      </c>
      <c r="BI461" s="496" t="str">
        <f> IF(BI481&lt;&gt;"",TEXT(AUX!BM$1,"dd-MMM-aa"),"")</f>
      </c>
      <c r="BJ461" s="496" t="str">
        <f> IF(BJ481&lt;&gt;"",TEXT(AUX!BN$1,"dd-MMM-aa"),"")</f>
      </c>
      <c r="BK461" s="496" t="str">
        <f> IF(BK481&lt;&gt;"",TEXT(AUX!BO$1,"dd-MMM-aa"),"")</f>
      </c>
      <c r="BL461" s="496" t="str">
        <f> IF(BL481&lt;&gt;"",TEXT(AUX!BP$1,"dd-MMM-aa"),"")</f>
      </c>
      <c r="BM461" s="496" t="str">
        <f> IF(BM481&lt;&gt;"",TEXT(AUX!BQ$1,"dd-MMM-aa"),"")</f>
      </c>
      <c r="BN461" s="496" t="str">
        <f> IF(BN481&lt;&gt;"",TEXT(AUX!BR$1,"dd-MMM-aa"),"")</f>
      </c>
      <c r="BO461" s="496" t="str">
        <f> IF(BO481&lt;&gt;"",TEXT(AUX!BS$1,"dd-MMM-aa"),"")</f>
      </c>
      <c r="BP461" s="496" t="str">
        <f> IF(BP481&lt;&gt;"",TEXT(AUX!BT$1,"dd-MMM-aa"),"")</f>
      </c>
      <c r="BQ461" s="496" t="str">
        <f> IF(BQ481&lt;&gt;"",TEXT(AUX!BU$1,"dd-MMM-aa"),"")</f>
      </c>
      <c r="BR461" s="496" t="str">
        <f> IF(BR481&lt;&gt;"",TEXT(AUX!BV$1,"dd-MMM-aa"),"")</f>
      </c>
      <c r="BS461" s="496" t="str">
        <f> IF(BS481&lt;&gt;"",TEXT(AUX!BW$1,"dd-MMM-aa"),"")</f>
      </c>
      <c r="BT461" s="496" t="str">
        <f> IF(BT481&lt;&gt;"",TEXT(AUX!BX$1,"dd-MMM-aa"),"")</f>
      </c>
      <c r="BU461" s="496" t="str">
        <f> IF(BU481&lt;&gt;"",TEXT(AUX!BY$1,"dd-MMM-aa"),"")</f>
      </c>
      <c r="BV461" s="496" t="str">
        <f> IF(BV481&lt;&gt;"",TEXT(AUX!BZ$1,"dd-MMM-aa"),"")</f>
      </c>
      <c r="BW461" s="496" t="str">
        <f> IF(BW481&lt;&gt;"",TEXT(AUX!CA$1,"dd-MMM-aa"),"")</f>
      </c>
      <c r="BX461" s="496" t="str">
        <f> IF(BX481&lt;&gt;"",TEXT(AUX!CB$1,"dd-MMM-aa"),"")</f>
      </c>
      <c r="BY461" s="496" t="str">
        <f> IF(BY481&lt;&gt;"",TEXT(AUX!CC$1,"dd-MMM-aa"),"")</f>
      </c>
      <c r="BZ461" s="496" t="str">
        <f> IF(BZ481&lt;&gt;"",TEXT(AUX!CD$1,"dd-MMM-aa"),"")</f>
      </c>
      <c r="CA461" s="496" t="str">
        <f> IF(CA481&lt;&gt;"",TEXT(AUX!CE$1,"dd-MMM-aa"),"")</f>
      </c>
      <c r="CB461" s="496" t="str">
        <f> IF(CB481&lt;&gt;"",TEXT(AUX!CF$1,"dd-MMM-aa"),"")</f>
      </c>
      <c r="CC461" s="496" t="str">
        <f> IF(CC481&lt;&gt;"",TEXT(AUX!CG$1,"dd-MMM-aa"),"")</f>
      </c>
      <c r="CD461" s="496" t="str">
        <f> IF(CD481&lt;&gt;"",TEXT(AUX!CH$1,"dd-MMM-aa"),"")</f>
      </c>
      <c r="CE461" s="496" t="str">
        <f> IF(CE481&lt;&gt;"",TEXT(AUX!CI$1,"dd-MMM-aa"),"")</f>
      </c>
      <c r="CF461" s="496" t="str">
        <f> IF(CF481&lt;&gt;"",TEXT(AUX!CJ$1,"dd-MMM-aa"),"")</f>
      </c>
      <c r="CG461" s="496" t="str">
        <f> IF(CG481&lt;&gt;"",TEXT(AUX!CK$1,"dd-MMM-aa"),"")</f>
      </c>
      <c r="CH461" s="496" t="str">
        <f> IF(CH481&lt;&gt;"",TEXT(AUX!CL$1,"dd-MMM-aa"),"")</f>
      </c>
      <c r="CI461" s="496" t="str">
        <f> IF(CI481&lt;&gt;"",TEXT(AUX!CM$1,"dd-MMM-aa"),"")</f>
      </c>
      <c r="CJ461" s="496" t="str">
        <f> IF(CJ481&lt;&gt;"",TEXT(AUX!CN$1,"dd-MMM-aa"),"")</f>
      </c>
      <c r="CK461" s="496" t="str">
        <f> IF(CK481&lt;&gt;"",TEXT(AUX!CO$1,"dd-MMM-aa"),"")</f>
      </c>
      <c r="CL461" s="496" t="str">
        <f> IF(CL481&lt;&gt;"",TEXT(AUX!CP$1,"dd-MMM-aa"),"")</f>
      </c>
      <c r="CM461" s="496" t="str">
        <f> IF(CM481&lt;&gt;"",TEXT(AUX!CQ$1,"dd-MMM-aa"),"")</f>
      </c>
      <c r="CN461" s="496" t="str">
        <f> IF(CN481&lt;&gt;"",TEXT(AUX!CR$1,"dd-MMM-aa"),"")</f>
      </c>
      <c r="CO461" s="496" t="str">
        <f> IF(CO481&lt;&gt;"",TEXT(AUX!CS$1,"dd-MMM-aa"),"")</f>
      </c>
      <c r="CP461" s="496" t="str">
        <f> IF(CP481&lt;&gt;"",TEXT(AUX!CT$1,"dd-MMM-aa"),"")</f>
      </c>
      <c r="CQ461" s="496" t="str">
        <f> IF(CQ481&lt;&gt;"",TEXT(AUX!CU$1,"dd-MMM-aa"),"")</f>
      </c>
      <c r="CR461" s="496" t="str">
        <f> IF(CR481&lt;&gt;"",TEXT(AUX!CV$1,"dd-MMM-aa"),"")</f>
      </c>
      <c r="CS461" s="496" t="str">
        <f> IF(CS481&lt;&gt;"",TEXT(AUX!CW$1,"dd-MMM-aa"),"")</f>
      </c>
      <c r="CT461" s="496" t="str">
        <f> IF(CT481&lt;&gt;"",TEXT(AUX!CX$1,"dd-MMM-aa"),"")</f>
      </c>
      <c r="CU461" s="496" t="str">
        <f> IF(CU481&lt;&gt;"",TEXT(AUX!CY$1,"dd-MMM-aa"),"")</f>
      </c>
      <c r="CV461" s="496" t="str">
        <f> IF(CV481&lt;&gt;"",TEXT(AUX!CZ$1,"dd-MMM-aa"),"")</f>
      </c>
      <c r="CW461" s="496" t="str">
        <f> IF(CW481&lt;&gt;"",TEXT(AUX!DA$1,"dd-MMM-aa"),"")</f>
      </c>
      <c r="CX461" s="496" t="str">
        <f> IF(CX481&lt;&gt;"",TEXT(AUX!DB$1,"dd-MMM-aa"),"")</f>
      </c>
      <c r="CY461" s="496" t="str">
        <f> IF(CY481&lt;&gt;"",TEXT(AUX!DC$1,"dd-MMM-aa"),"")</f>
      </c>
      <c r="CZ461" s="496" t="str">
        <f> IF(CZ481&lt;&gt;"",TEXT(AUX!DD$1,"dd-MMM-aa"),"")</f>
      </c>
      <c r="DA461" s="496" t="str">
        <f> IF(DA481&lt;&gt;"",TEXT(AUX!DE$1,"dd-MMM-aa"),"")</f>
      </c>
      <c r="DB461" s="496" t="str">
        <f> IF(DB481&lt;&gt;"",TEXT(AUX!DF$1,"dd-MMM-aa"),"")</f>
      </c>
      <c r="DC461" s="496" t="str">
        <f> IF(DC481&lt;&gt;"",TEXT(AUX!DG$1,"dd-MMM-aa"),"")</f>
      </c>
      <c r="DD461" s="496" t="str">
        <f> IF(DD481&lt;&gt;"",TEXT(AUX!DH$1,"dd-MMM-aa"),"")</f>
      </c>
      <c r="DE461" s="496" t="str">
        <f> IF(DE481&lt;&gt;"",TEXT(AUX!DI$1,"dd-MMM-aa"),"")</f>
      </c>
      <c r="DF461" s="496" t="str">
        <f> IF(DF481&lt;&gt;"",TEXT(AUX!DJ$1,"dd-MMM-aa"),"")</f>
      </c>
      <c r="DG461" s="496" t="str">
        <f> IF(DG481&lt;&gt;"",TEXT(AUX!DK$1,"dd-MMM-aa"),"")</f>
      </c>
      <c r="DH461" s="496" t="str">
        <f> IF(DH481&lt;&gt;"",TEXT(AUX!DL$1,"dd-MMM-aa"),"")</f>
      </c>
      <c r="DI461" s="496" t="str">
        <f> IF(DI481&lt;&gt;"",TEXT(AUX!DM$1,"dd-MMM-aa"),"")</f>
      </c>
      <c r="DJ461" s="496" t="str">
        <f> IF(DJ481&lt;&gt;"",TEXT(AUX!DN$1,"dd-MMM-aa"),"")</f>
      </c>
      <c r="DK461" s="496" t="str">
        <f> IF(DK481&lt;&gt;"",TEXT(AUX!DO$1,"dd-MMM-aa"),"")</f>
      </c>
      <c r="DL461" s="496" t="str">
        <f> IF(DL481&lt;&gt;"",TEXT(AUX!DP$1,"dd-MMM-aa"),"")</f>
      </c>
      <c r="DM461" s="496" t="str">
        <f> IF(DM481&lt;&gt;"",TEXT(AUX!DQ$1,"dd-MMM-aa"),"")</f>
      </c>
      <c r="DN461" s="496" t="str">
        <f> IF(DN481&lt;&gt;"",TEXT(AUX!DR$1,"dd-MMM-aa"),"")</f>
      </c>
      <c r="DO461" s="496" t="str">
        <f> IF(DO481&lt;&gt;"",TEXT(AUX!DS$1,"dd-MMM-aa"),"")</f>
      </c>
      <c r="DP461" s="496" t="str">
        <f> IF(DP481&lt;&gt;"",TEXT(AUX!DT$1,"dd-MMM-aa"),"")</f>
      </c>
      <c r="DQ461" s="496" t="str">
        <f> IF(DQ481&lt;&gt;"",TEXT(AUX!DU$1,"dd-MMM-aa"),"")</f>
      </c>
      <c r="DR461" s="496" t="str">
        <f> IF(DR481&lt;&gt;"",TEXT(AUX!DV$1,"dd-MMM-aa"),"")</f>
      </c>
      <c r="DS461" s="496" t="str">
        <f> IF(DS481&lt;&gt;"",TEXT(AUX!DW$1,"dd-MMM-aa"),"")</f>
      </c>
      <c r="DT461" s="496" t="str">
        <f> IF(DT481&lt;&gt;"",TEXT(AUX!DX$1,"dd-MMM-aa"),"")</f>
      </c>
      <c r="DU461" s="496" t="str">
        <f> IF(DU481&lt;&gt;"",TEXT(AUX!DY$1,"dd-MMM-aa"),"")</f>
      </c>
      <c r="DV461" s="496" t="str">
        <f> IF(DV481&lt;&gt;"",TEXT(AUX!DZ$1,"dd-MMM-aa"),"")</f>
      </c>
      <c r="DW461" s="496" t="str">
        <f> IF(DW481&lt;&gt;"",TEXT(AUX!EA$1,"dd-MMM-aa"),"")</f>
      </c>
      <c r="DX461" s="496" t="str">
        <f> IF(DX481&lt;&gt;"",TEXT(AUX!EB$1,"dd-MMM-aa"),"")</f>
      </c>
      <c r="DY461" s="496" t="str">
        <f> IF(DY481&lt;&gt;"",TEXT(AUX!EC$1,"dd-MMM-aa"),"")</f>
      </c>
      <c r="DZ461" s="496" t="str">
        <f> IF(DZ481&lt;&gt;"",TEXT(AUX!ED$1,"dd-MMM-aa"),"")</f>
      </c>
      <c r="EA461" s="496" t="str">
        <f> IF(EA481&lt;&gt;"",TEXT(AUX!EE$1,"dd-MMM-aa"),"")</f>
      </c>
      <c r="EB461" s="496" t="str">
        <f> IF(EB481&lt;&gt;"",TEXT(AUX!EF$1,"dd-MMM-aa"),"")</f>
      </c>
      <c r="EC461" s="496" t="str">
        <f> IF(EC481&lt;&gt;"",TEXT(AUX!EG$1,"dd-MMM-aa"),"")</f>
      </c>
      <c r="ED461" s="496" t="str">
        <f> IF(ED481&lt;&gt;"",TEXT(AUX!EH$1,"dd-MMM-aa"),"")</f>
      </c>
      <c r="EE461" s="496" t="str">
        <f> IF(EE481&lt;&gt;"",TEXT(AUX!EI$1,"dd-MMM-aa"),"")</f>
      </c>
      <c r="EF461" s="496" t="str">
        <f> IF(EF481&lt;&gt;"",TEXT(AUX!EJ$1,"dd-MMM-aa"),"")</f>
      </c>
      <c r="EG461" s="496" t="str">
        <f> IF(EG481&lt;&gt;"",TEXT(AUX!EK$1,"dd-MMM-aa"),"")</f>
      </c>
      <c r="EH461" s="496" t="str">
        <f> IF(EH481&lt;&gt;"",TEXT(AUX!EL$1,"dd-MMM-aa"),"")</f>
      </c>
      <c r="EI461" s="496" t="str">
        <f> IF(EI481&lt;&gt;"",TEXT(AUX!EM$1,"dd-MMM-aa"),"")</f>
      </c>
      <c r="EJ461" s="496" t="str">
        <f> IF(EJ481&lt;&gt;"",TEXT(AUX!EN$1,"dd-MMM-aa"),"")</f>
      </c>
      <c r="EK461" s="496" t="str">
        <f> IF(EK481&lt;&gt;"",TEXT(AUX!EO$1,"dd-MMM-aa"),"")</f>
      </c>
      <c r="EL461" s="496" t="str">
        <f> IF(EL481&lt;&gt;"",TEXT(AUX!EP$1,"dd-MMM-aa"),"")</f>
      </c>
      <c r="EM461" s="496" t="str">
        <f> IF(EM481&lt;&gt;"",TEXT(AUX!EQ$1,"dd-MMM-aa"),"")</f>
      </c>
      <c r="EN461" s="496" t="str">
        <f> IF(EN481&lt;&gt;"",TEXT(AUX!ER$1,"dd-MMM-aa"),"")</f>
      </c>
      <c r="EO461" s="496" t="str">
        <f> IF(EO481&lt;&gt;"",TEXT(AUX!ES$1,"dd-MMM-aa"),"")</f>
      </c>
      <c r="EP461" s="496" t="str">
        <f> IF(EP481&lt;&gt;"",TEXT(AUX!ET$1,"dd-MMM-aa"),"")</f>
      </c>
      <c r="EQ461" s="496" t="str">
        <f> IF(EQ481&lt;&gt;"",TEXT(AUX!EU$1,"dd-MMM-aa"),"")</f>
      </c>
      <c r="ER461" s="496" t="str">
        <f> IF(ER481&lt;&gt;"",TEXT(AUX!EV$1,"dd-MMM-aa"),"")</f>
      </c>
      <c r="ES461" s="496" t="str">
        <f> IF(ES481&lt;&gt;"",TEXT(AUX!EW$1,"dd-MMM-aa"),"")</f>
      </c>
      <c r="ET461" s="496" t="str">
        <f> IF(ET481&lt;&gt;"",TEXT(AUX!EX$1,"dd-MMM-aa"),"")</f>
      </c>
      <c r="EU461" s="496" t="str">
        <f> IF(EU481&lt;&gt;"",TEXT(AUX!EY$1,"dd-MMM-aa"),"")</f>
      </c>
      <c r="EV461" s="496" t="str">
        <f> IF(EV481&lt;&gt;"",TEXT(AUX!EZ$1,"dd-MMM-aa"),"")</f>
      </c>
      <c r="EW461" s="496" t="str">
        <f> IF(EW481&lt;&gt;"",TEXT(AUX!FA$1,"dd-MMM-aa"),"")</f>
      </c>
      <c r="EX461" s="496" t="str">
        <f> IF(EX481&lt;&gt;"",TEXT(AUX!FB$1,"dd-MMM-aa"),"")</f>
      </c>
      <c r="EY461" s="496" t="str">
        <f> IF(EY481&lt;&gt;"",TEXT(AUX!FC$1,"dd-MMM-aa"),"")</f>
      </c>
      <c r="EZ461" s="496" t="str">
        <f> IF(EZ481&lt;&gt;"",TEXT(AUX!FD$1,"dd-MMM-aa"),"")</f>
      </c>
      <c r="FA461" s="496" t="str">
        <f> IF(FA481&lt;&gt;"",TEXT(AUX!FE$1,"dd-MMM-aa"),"")</f>
      </c>
      <c r="FB461" s="496" t="str">
        <f> IF(FB481&lt;&gt;"",TEXT(AUX!FF$1,"dd-MMM-aa"),"")</f>
      </c>
      <c r="FC461" s="496" t="str">
        <f> IF(FC481&lt;&gt;"",TEXT(AUX!FG$1,"dd-MMM-aa"),"")</f>
      </c>
      <c r="FD461" s="496" t="str">
        <f> IF(FD481&lt;&gt;"",TEXT(AUX!FH$1,"dd-MMM-aa"),"")</f>
      </c>
      <c r="FE461" s="496" t="str">
        <f> IF(FE481&lt;&gt;"",TEXT(AUX!FI$1,"dd-MMM-aa"),"")</f>
      </c>
      <c r="FF461" s="496" t="str">
        <f> IF(FF481&lt;&gt;"",TEXT(AUX!FJ$1,"dd-MMM-aa"),"")</f>
      </c>
      <c r="FG461" s="496" t="str">
        <f> IF(FG481&lt;&gt;"",TEXT(AUX!FK$1,"dd-MMM-aa"),"")</f>
      </c>
      <c r="FH461" s="496" t="str">
        <f> IF(FH481&lt;&gt;"",TEXT(AUX!FL$1,"dd-MMM-aa"),"")</f>
      </c>
      <c r="FI461" s="496" t="str">
        <f> IF(FI481&lt;&gt;"",TEXT(AUX!FM$1,"dd-MMM-aa"),"")</f>
      </c>
      <c r="FJ461" s="496" t="str">
        <f> IF(FJ481&lt;&gt;"",TEXT(AUX!FN$1,"dd-MMM-aa"),"")</f>
      </c>
      <c r="FK461" s="496" t="str">
        <f> IF(FK481&lt;&gt;"",TEXT(AUX!FO$1,"dd-MMM-aa"),"")</f>
      </c>
      <c r="FL461" s="496" t="str">
        <f> IF(FL481&lt;&gt;"",TEXT(AUX!FP$1,"dd-MMM-aa"),"")</f>
      </c>
      <c r="FM461" s="496" t="str">
        <f> IF(FM481&lt;&gt;"",TEXT(AUX!FQ$1,"dd-MMM-aa"),"")</f>
      </c>
      <c r="FN461" s="496" t="str">
        <f> IF(FN481&lt;&gt;"",TEXT(AUX!FR$1,"dd-MMM-aa"),"")</f>
      </c>
      <c r="FO461" s="496" t="str">
        <f> IF(FO481&lt;&gt;"",TEXT(AUX!FS$1,"dd-MMM-aa"),"")</f>
      </c>
      <c r="FP461" s="496" t="str">
        <f> IF(FP481&lt;&gt;"",TEXT(AUX!FT$1,"dd-MMM-aa"),"")</f>
      </c>
      <c r="FQ461" s="496" t="str">
        <f> IF(FQ481&lt;&gt;"",TEXT(AUX!FU$1,"dd-MMM-aa"),"")</f>
      </c>
      <c r="FR461" s="496" t="str">
        <f> IF(FR481&lt;&gt;"",TEXT(AUX!FV$1,"dd-MMM-aa"),"")</f>
      </c>
      <c r="FS461" s="496" t="str">
        <f> IF(FS481&lt;&gt;"",TEXT(AUX!FW$1,"dd-MMM-aa"),"")</f>
      </c>
      <c r="FT461" s="496" t="str">
        <f> IF(FT481&lt;&gt;"",TEXT(AUX!FX$1,"dd-MMM-aa"),"")</f>
      </c>
      <c r="FU461" s="496" t="str">
        <f> IF(FU481&lt;&gt;"",TEXT(AUX!FY$1,"dd-MMM-aa"),"")</f>
      </c>
      <c r="FV461" s="496" t="str">
        <f> IF(FV481&lt;&gt;"",TEXT(AUX!FZ$1,"dd-MMM-aa"),"")</f>
      </c>
      <c r="FW461" s="496" t="str">
        <f> IF(FW481&lt;&gt;"",TEXT(AUX!GA$1,"dd-MMM-aa"),"")</f>
      </c>
      <c r="FX461" s="496" t="str">
        <f> IF(FX481&lt;&gt;"",TEXT(AUX!GB$1,"dd-MMM-aa"),"")</f>
      </c>
      <c r="FY461" s="496" t="str">
        <f> IF(FY481&lt;&gt;"",TEXT(AUX!GC$1,"dd-MMM-aa"),"")</f>
      </c>
      <c r="FZ461" s="496" t="str">
        <f> IF(FZ481&lt;&gt;"",TEXT(AUX!GD$1,"dd-MMM-aa"),"")</f>
      </c>
      <c r="GA461" s="496" t="str">
        <f> IF(GA481&lt;&gt;"",TEXT(AUX!GE$1,"dd-MMM-aa"),"")</f>
      </c>
      <c r="GB461" s="496" t="str">
        <f> IF(GB481&lt;&gt;"",TEXT(AUX!GF$1,"dd-MMM-aa"),"")</f>
      </c>
      <c r="GC461" s="496" t="str">
        <f> IF(GC481&lt;&gt;"",TEXT(AUX!GG$1,"dd-MMM-aa"),"")</f>
      </c>
      <c r="GD461" s="496" t="str">
        <f> IF(GD481&lt;&gt;"",TEXT(AUX!GH$1,"dd-MMM-aa"),"")</f>
      </c>
      <c r="GE461" s="496" t="str">
        <f> IF(GE481&lt;&gt;"",TEXT(AUX!GI$1,"dd-MMM-aa"),"")</f>
      </c>
      <c r="GF461" s="496" t="str">
        <f> IF(GF481&lt;&gt;"",TEXT(AUX!GJ$1,"dd-MMM-aa"),"")</f>
      </c>
      <c r="GG461" s="496" t="str">
        <f> IF(GG481&lt;&gt;"",TEXT(AUX!GK$1,"dd-MMM-aa"),"")</f>
      </c>
      <c r="GH461" s="496" t="str">
        <f> IF(GH481&lt;&gt;"",TEXT(AUX!GL$1,"dd-MMM-aa"),"")</f>
      </c>
      <c r="GI461" s="496" t="str">
        <f> IF(GI481&lt;&gt;"",TEXT(AUX!GM$1,"dd-MMM-aa"),"")</f>
      </c>
      <c r="GJ461" s="496" t="str">
        <f> IF(GJ481&lt;&gt;"",TEXT(AUX!GN$1,"dd-MMM-aa"),"")</f>
      </c>
      <c r="GK461" s="496" t="str">
        <f> IF(GK481&lt;&gt;"",TEXT(AUX!GO$1,"dd-MMM-aa"),"")</f>
      </c>
      <c r="GL461" s="496" t="str">
        <f> IF(GL481&lt;&gt;"",TEXT(AUX!GP$1,"dd-MMM-aa"),"")</f>
      </c>
      <c r="GM461" s="496" t="str">
        <f> IF(GM481&lt;&gt;"",TEXT(AUX!GQ$1,"dd-MMM-aa"),"")</f>
      </c>
      <c r="GN461" s="496" t="str">
        <f> IF(GN481&lt;&gt;"",TEXT(AUX!GR$1,"dd-MMM-aa"),"")</f>
      </c>
      <c r="GO461" s="496" t="str">
        <f> IF(GO481&lt;&gt;"",TEXT(AUX!GS$1,"dd-MMM-aa"),"")</f>
      </c>
      <c r="GP461" s="496" t="str">
        <f> IF(GP481&lt;&gt;"",TEXT(AUX!GT$1,"dd-MMM-aa"),"")</f>
      </c>
      <c r="GQ461" s="496" t="str">
        <f> IF(GQ481&lt;&gt;"",TEXT(AUX!GU$1,"dd-MMM-aa"),"")</f>
      </c>
      <c r="GR461" s="496" t="str">
        <f> IF(GR481&lt;&gt;"",TEXT(AUX!GV$1,"dd-MMM-aa"),"")</f>
      </c>
      <c r="GS461" s="496" t="str">
        <f> IF(GS481&lt;&gt;"",TEXT(AUX!GW$1,"dd-MMM-aa"),"")</f>
      </c>
      <c r="GT461" s="496" t="str">
        <f> IF(GT481&lt;&gt;"",TEXT(AUX!GX$1,"dd-MMM-aa"),"")</f>
      </c>
      <c r="GU461" s="496" t="str">
        <f> IF(GU481&lt;&gt;"",TEXT(AUX!GY$1,"dd-MMM-aa"),"")</f>
      </c>
      <c r="GV461" s="496" t="str">
        <f> IF(GV481&lt;&gt;"",TEXT(AUX!GZ$1,"dd-MMM-aa"),"")</f>
      </c>
      <c r="GW461" s="496" t="str">
        <f> IF(GW481&lt;&gt;"",TEXT(AUX!HA$1,"dd-MMM-aa"),"")</f>
      </c>
      <c r="GX461" s="496" t="str">
        <f> IF(GX481&lt;&gt;"",TEXT(AUX!HB$1,"dd-MMM-aa"),"")</f>
      </c>
      <c r="GY461" s="496" t="str">
        <f> IF(GY481&lt;&gt;"",TEXT(AUX!HC$1,"dd-MMM-aa"),"")</f>
      </c>
      <c r="GZ461" s="496" t="str">
        <f> IF(GZ481&lt;&gt;"",TEXT(AUX!HD$1,"dd-MMM-aa"),"")</f>
      </c>
      <c r="HA461" s="496" t="str">
        <f> IF(HA481&lt;&gt;"",TEXT(AUX!HE$1,"dd-MMM-aa"),"")</f>
      </c>
      <c r="HB461" s="496" t="str">
        <f> IF(HB481&lt;&gt;"",TEXT(AUX!HF$1,"dd-MMM-aa"),"")</f>
      </c>
      <c r="HC461" s="496" t="str">
        <f> IF(HC481&lt;&gt;"",TEXT(AUX!HG$1,"dd-MMM-aa"),"")</f>
      </c>
      <c r="HD461" s="496" t="str">
        <f> IF(HD481&lt;&gt;"",TEXT(AUX!HH$1,"dd-MMM-aa"),"")</f>
      </c>
      <c r="HE461" s="496" t="str">
        <f> IF(HE481&lt;&gt;"",TEXT(AUX!HI$1,"dd-MMM-aa"),"")</f>
      </c>
      <c r="HF461" s="496" t="str">
        <f> IF(HF481&lt;&gt;"",TEXT(AUX!HJ$1,"dd-MMM-aa"),"")</f>
      </c>
      <c r="HG461" s="496" t="str">
        <f> IF(HG481&lt;&gt;"",TEXT(AUX!HK$1,"dd-MMM-aa"),"")</f>
      </c>
      <c r="HH461" s="496" t="str">
        <f> IF(HH481&lt;&gt;"",TEXT(AUX!HL$1,"dd-MMM-aa"),"")</f>
      </c>
      <c r="HI461" s="496" t="str">
        <f> IF(HI481&lt;&gt;"",TEXT(AUX!HM$1,"dd-MMM-aa"),"")</f>
      </c>
      <c r="HJ461" s="496" t="str">
        <f> IF(HJ481&lt;&gt;"",TEXT(AUX!HN$1,"dd-MMM-aa"),"")</f>
      </c>
      <c r="HK461" s="496" t="str">
        <f> IF(HK481&lt;&gt;"",TEXT(AUX!HO$1,"dd-MMM-aa"),"")</f>
      </c>
      <c r="HL461" s="496" t="str">
        <f> IF(HL481&lt;&gt;"",TEXT(AUX!HP$1,"dd-MMM-aa"),"")</f>
      </c>
      <c r="HM461" s="496" t="str">
        <f> IF(HM481&lt;&gt;"",TEXT(AUX!HQ$1,"dd-MMM-aa"),"")</f>
      </c>
      <c r="HN461" s="496" t="str">
        <f> IF(HN481&lt;&gt;"",TEXT(AUX!HR$1,"dd-MMM-aa"),"")</f>
      </c>
      <c r="HO461" s="496" t="str">
        <f> IF(HO481&lt;&gt;"",TEXT(AUX!HS$1,"dd-MMM-aa"),"")</f>
      </c>
      <c r="HP461" s="496" t="str">
        <f> IF(HP481&lt;&gt;"",TEXT(AUX!HT$1,"dd-MMM-aa"),"")</f>
      </c>
      <c r="HQ461" s="496" t="str">
        <f> IF(HQ481&lt;&gt;"",TEXT(AUX!HU$1,"dd-MMM-aa"),"")</f>
      </c>
      <c r="HR461" s="496" t="str">
        <f> IF(HR481&lt;&gt;"",TEXT(AUX!HV$1,"dd-MMM-aa"),"")</f>
      </c>
      <c r="HS461" s="496" t="str">
        <f> IF(HS481&lt;&gt;"",TEXT(AUX!HW$1,"dd-MMM-aa"),"")</f>
      </c>
      <c r="HT461" s="496" t="str">
        <f> IF(HT481&lt;&gt;"",TEXT(AUX!HX$1,"dd-MMM-aa"),"")</f>
      </c>
      <c r="HU461" s="496" t="str">
        <f> IF(HU481&lt;&gt;"",TEXT(AUX!HY$1,"dd-MMM-aa"),"")</f>
      </c>
      <c r="HV461" s="496" t="str">
        <f> IF(HV481&lt;&gt;"",TEXT(AUX!HZ$1,"dd-MMM-aa"),"")</f>
      </c>
      <c r="HW461" s="496" t="str">
        <f> IF(HW481&lt;&gt;"",TEXT(AUX!IA$1,"dd-MMM-aa"),"")</f>
      </c>
      <c r="HX461" s="496" t="str">
        <f> IF(HX481&lt;&gt;"",TEXT(AUX!IB$1,"dd-MMM-aa"),"")</f>
      </c>
      <c r="HY461" s="496" t="str">
        <f> IF(HY481&lt;&gt;"",TEXT(AUX!IC$1,"dd-MMM-aa"),"")</f>
      </c>
      <c r="HZ461" s="496" t="str">
        <f> IF(HZ481&lt;&gt;"",TEXT(AUX!ID$1,"dd-MMM-aa"),"")</f>
      </c>
      <c r="IA461" s="496" t="str">
        <f> IF(IA481&lt;&gt;"",TEXT(AUX!IE$1,"dd-MMM-aa"),"")</f>
      </c>
      <c r="IB461" s="496" t="str">
        <f> IF(IB481&lt;&gt;"",TEXT(AUX!IF$1,"dd-MMM-aa"),"")</f>
      </c>
      <c r="IC461" s="496" t="str">
        <f> IF(IC481&lt;&gt;"",TEXT(AUX!IG$1,"dd-MMM-aa"),"")</f>
      </c>
      <c r="ID461" s="496" t="str">
        <f> IF(ID481&lt;&gt;"",TEXT(AUX!IH$1,"dd-MMM-aa"),"")</f>
      </c>
      <c r="IE461" s="496" t="str">
        <f> IF(IE481&lt;&gt;"",TEXT(AUX!II$1,"dd-MMM-aa"),"")</f>
      </c>
      <c r="IF461" s="496" t="str">
        <f> IF(IF481&lt;&gt;"",TEXT(AUX!IJ$1,"dd-MMM-aa"),"")</f>
      </c>
      <c r="IG461" s="496" t="str">
        <f> IF(IG481&lt;&gt;"",TEXT(AUX!IK$1,"dd-MMM-aa"),"")</f>
      </c>
      <c r="IH461" s="496" t="str">
        <f> IF(IH481&lt;&gt;"",TEXT(AUX!IL$1,"dd-MMM-aa"),"")</f>
      </c>
      <c r="II461" s="496" t="str">
        <f> IF(II481&lt;&gt;"",TEXT(AUX!IM$1,"dd-MMM-aa"),"")</f>
      </c>
      <c r="IJ461" s="496" t="str">
        <f> IF(IJ481&lt;&gt;"",TEXT(AUX!IN$1,"dd-MMM-aa"),"")</f>
      </c>
      <c r="IK461" s="496" t="str">
        <f> IF(IK481&lt;&gt;"",TEXT(AUX!IO$1,"dd-MMM-aa"),"")</f>
      </c>
      <c r="IL461" s="496" t="str">
        <f> IF(IL481&lt;&gt;"",TEXT(AUX!IP$1,"dd-MMM-aa"),"")</f>
      </c>
      <c r="IM461" s="496" t="str">
        <f> IF(IM481&lt;&gt;"",TEXT(AUX!IQ$1,"dd-MMM-aa"),"")</f>
      </c>
      <c r="IN461" s="496" t="str">
        <f> IF(IN481&lt;&gt;"",TEXT(AUX!IR$1,"dd-MMM-aa"),"")</f>
      </c>
      <c r="IO461" s="496" t="str">
        <f> IF(IO481&lt;&gt;"",TEXT(AUX!IS$1,"dd-MMM-aa"),"")</f>
      </c>
      <c r="IP461" s="496" t="str">
        <f> IF(IP481&lt;&gt;"",TEXT(AUX!IT$1,"dd-MMM-aa"),"")</f>
      </c>
      <c r="IQ461" s="496" t="str">
        <f> IF(IQ481&lt;&gt;"",TEXT(AUX!IU$1,"dd-MMM-aa"),"")</f>
      </c>
      <c r="IR461" s="496" t="str">
        <f> IF(IR481&lt;&gt;"",TEXT(AUX!IV$1,"dd-MMM-aa"),"")</f>
      </c>
      <c r="IS461" s="496" t="str">
        <f> IF(IS481&lt;&gt;"",TEXT(AUX!#REF!,"dd-MMM-aa"),"")</f>
      </c>
      <c r="IT461" s="496" t="str">
        <f> IF(IT481&lt;&gt;"",TEXT(AUX!#REF!,"dd-MMM-aa"),"")</f>
      </c>
      <c r="IU461" s="496" t="str">
        <f> IF(IU481&lt;&gt;"",TEXT(AUX!#REF!,"dd-MMM-aa"),"")</f>
      </c>
      <c r="IV461" s="496" t="str">
        <f> IF(IV481&lt;&gt;"",TEXT(AUX!#REF!,"dd-MMM-aa"),"")</f>
      </c>
    </row>
    <row r="462" hidden="1">
      <c r="B462" s="822" t="s">
        <v>8</v>
      </c>
      <c r="C462" s="823">
        <v>0</v>
      </c>
      <c r="D462" s="823">
        <v>0</v>
      </c>
      <c r="E462" s="823">
        <v>0</v>
      </c>
      <c r="F462" s="823">
        <v>0</v>
      </c>
      <c r="G462" s="823">
        <v>0</v>
      </c>
      <c r="H462" s="823">
        <v>0</v>
      </c>
      <c r="I462" s="823">
        <v>0</v>
      </c>
      <c r="J462" s="823">
        <v>0</v>
      </c>
      <c r="K462" s="823">
        <v>0</v>
      </c>
      <c r="L462" s="823">
        <v>0</v>
      </c>
      <c r="M462" s="823">
        <v>0</v>
      </c>
      <c r="N462" s="823">
        <v>0</v>
      </c>
      <c r="O462" s="823">
        <v>0</v>
      </c>
      <c r="P462" s="823">
        <v>0</v>
      </c>
      <c r="Q462" s="823">
        <v>0</v>
      </c>
      <c r="R462" s="823">
        <v>19</v>
      </c>
      <c r="S462" s="823">
        <v>20</v>
      </c>
      <c r="T462" s="823">
        <v>21</v>
      </c>
      <c r="U462" s="823">
        <v>20</v>
      </c>
      <c r="V462" s="823">
        <v>20</v>
      </c>
      <c r="W462" s="823">
        <v>20</v>
      </c>
      <c r="X462" s="823">
        <v>20</v>
      </c>
      <c r="Y462" s="823">
        <v>20</v>
      </c>
      <c r="Z462" s="823">
        <v>19</v>
      </c>
      <c r="AA462" s="823">
        <v>16</v>
      </c>
      <c r="AB462" s="824">
        <v>16</v>
      </c>
      <c r="AC462" s="825">
        <v>16</v>
      </c>
      <c r="AD462" s="825">
        <v>16</v>
      </c>
      <c r="AE462" s="825">
        <v>16</v>
      </c>
      <c r="AF462" s="825">
        <v>16</v>
      </c>
      <c r="AG462" s="825">
        <v>16</v>
      </c>
      <c r="AH462" s="825">
        <v>16</v>
      </c>
      <c r="AI462" s="825">
        <v>16</v>
      </c>
      <c r="AJ462" s="825">
        <v>16</v>
      </c>
      <c r="AK462" s="825">
        <v>17</v>
      </c>
      <c r="AL462" s="825">
        <v>14</v>
      </c>
      <c r="AM462" s="825">
        <v>13</v>
      </c>
      <c r="AN462" s="825">
        <v>13</v>
      </c>
      <c r="AO462" s="825">
        <v>13</v>
      </c>
      <c r="AP462" s="825">
        <v>13</v>
      </c>
      <c r="AQ462" s="51"/>
      <c r="AR462" s="51"/>
      <c r="AS462" s="51"/>
      <c r="AT462" s="51"/>
      <c r="AU462" s="51"/>
      <c r="AV462" s="51"/>
      <c r="AW462" s="51"/>
      <c r="AX462" s="51"/>
      <c r="AY462" s="51"/>
      <c r="AZ462" s="51"/>
      <c r="BA462" s="51"/>
      <c r="BB462" s="51"/>
      <c r="BC462" s="51"/>
      <c r="BD462" s="51"/>
      <c r="BE462" s="51"/>
      <c r="BF462" s="51"/>
      <c r="BG462" s="51"/>
      <c r="BH462" s="51"/>
      <c r="BI462" s="51"/>
      <c r="BJ462" s="51"/>
      <c r="BK462" s="51"/>
      <c r="BL462" s="51"/>
      <c r="BM462" s="51"/>
      <c r="BN462" s="51"/>
      <c r="BO462" s="51"/>
      <c r="BP462" s="51"/>
      <c r="BQ462" s="51"/>
      <c r="BR462" s="51"/>
      <c r="BS462" s="51"/>
      <c r="BT462" s="51"/>
      <c r="BU462" s="51"/>
      <c r="BV462" s="51"/>
      <c r="BW462" s="51"/>
      <c r="BX462" s="51"/>
      <c r="BY462" s="51"/>
      <c r="BZ462" s="51"/>
      <c r="CA462" s="51"/>
      <c r="CB462" s="51"/>
      <c r="CC462" s="51"/>
      <c r="CD462" s="51"/>
      <c r="CE462" s="51"/>
      <c r="CF462" s="51"/>
      <c r="CG462" s="51"/>
      <c r="CH462" s="51"/>
      <c r="CI462" s="51"/>
      <c r="CJ462" s="51"/>
      <c r="CK462" s="51"/>
      <c r="CL462" s="51"/>
      <c r="CM462" s="51"/>
      <c r="CN462" s="51"/>
      <c r="CO462" s="51"/>
      <c r="CP462" s="51"/>
      <c r="CQ462" s="51"/>
      <c r="CR462" s="51"/>
      <c r="CS462" s="51"/>
      <c r="CT462" s="51"/>
      <c r="CU462" s="51"/>
      <c r="CV462" s="51"/>
      <c r="CW462" s="51"/>
      <c r="CX462" s="51"/>
      <c r="CY462" s="51"/>
      <c r="CZ462" s="51"/>
      <c r="DA462" s="51"/>
      <c r="DB462" s="51"/>
      <c r="DC462" s="51"/>
      <c r="DD462" s="51"/>
      <c r="DE462" s="51"/>
      <c r="DF462" s="51"/>
      <c r="DG462" s="51"/>
      <c r="DH462" s="51"/>
      <c r="DI462" s="51"/>
      <c r="DJ462" s="51"/>
      <c r="DK462" s="51"/>
      <c r="DL462" s="51"/>
      <c r="DM462" s="51"/>
      <c r="DN462" s="51"/>
      <c r="DO462" s="51"/>
      <c r="DP462" s="51"/>
      <c r="DQ462" s="51"/>
      <c r="DR462" s="51"/>
      <c r="DS462" s="51"/>
      <c r="DT462" s="51"/>
      <c r="DU462" s="51"/>
      <c r="DV462" s="51"/>
      <c r="DW462" s="51"/>
      <c r="DX462" s="51"/>
      <c r="DY462" s="51"/>
      <c r="DZ462" s="51"/>
      <c r="EA462" s="51"/>
      <c r="EB462" s="51"/>
      <c r="EC462" s="51"/>
      <c r="ED462" s="51"/>
      <c r="EE462" s="51"/>
      <c r="EF462" s="51"/>
      <c r="EG462" s="51"/>
      <c r="EH462" s="51"/>
      <c r="EI462" s="51"/>
      <c r="EJ462" s="51"/>
      <c r="EK462" s="51"/>
      <c r="EL462" s="51"/>
      <c r="EM462" s="51"/>
      <c r="EN462" s="51"/>
      <c r="EO462" s="51"/>
      <c r="EP462" s="51"/>
      <c r="EQ462" s="51"/>
      <c r="ER462" s="51"/>
      <c r="ES462" s="51"/>
      <c r="ET462" s="51"/>
      <c r="EU462" s="51"/>
      <c r="EV462" s="51"/>
      <c r="EW462" s="51"/>
      <c r="EX462" s="51"/>
      <c r="EY462" s="51"/>
      <c r="EZ462" s="51"/>
      <c r="FA462" s="51"/>
      <c r="FB462" s="51"/>
      <c r="FC462" s="51"/>
      <c r="FD462" s="51"/>
      <c r="FE462" s="51"/>
      <c r="FF462" s="51"/>
      <c r="FG462" s="51"/>
      <c r="FH462" s="51"/>
      <c r="FI462" s="51"/>
      <c r="FJ462" s="51"/>
      <c r="FK462" s="51"/>
      <c r="FL462" s="51"/>
      <c r="FM462" s="51"/>
      <c r="FN462" s="51"/>
      <c r="FO462" s="51"/>
      <c r="FP462" s="51"/>
      <c r="FQ462" s="51"/>
      <c r="FR462" s="51"/>
      <c r="FS462" s="51"/>
      <c r="FT462" s="51"/>
      <c r="FU462" s="51"/>
      <c r="FV462" s="51"/>
      <c r="FW462" s="51"/>
      <c r="FX462" s="51"/>
      <c r="FY462" s="51"/>
      <c r="FZ462" s="51"/>
      <c r="GA462" s="51"/>
      <c r="GB462" s="51"/>
      <c r="GC462" s="51"/>
      <c r="GD462" s="51"/>
      <c r="GE462" s="51"/>
      <c r="GF462" s="51"/>
      <c r="GG462" s="51"/>
      <c r="GH462" s="51"/>
      <c r="GI462" s="51"/>
      <c r="GJ462" s="51"/>
      <c r="GK462" s="51"/>
      <c r="GL462" s="51"/>
      <c r="GM462" s="51"/>
      <c r="GN462" s="51"/>
      <c r="GO462" s="51"/>
      <c r="GP462" s="51"/>
      <c r="GQ462" s="51"/>
      <c r="GR462" s="51"/>
      <c r="GS462" s="51"/>
      <c r="GT462" s="51"/>
      <c r="GU462" s="51"/>
      <c r="GV462" s="51"/>
      <c r="GW462" s="51"/>
      <c r="GX462" s="51"/>
      <c r="GY462" s="51"/>
      <c r="GZ462" s="51"/>
      <c r="HA462" s="51"/>
      <c r="HB462" s="51"/>
      <c r="HC462" s="51"/>
      <c r="HD462" s="51"/>
      <c r="HE462" s="51"/>
      <c r="HF462" s="51"/>
      <c r="HG462" s="51"/>
      <c r="HH462" s="51"/>
      <c r="HI462" s="51"/>
      <c r="HJ462" s="51"/>
      <c r="HK462" s="51"/>
      <c r="HL462" s="51"/>
      <c r="HM462" s="51"/>
      <c r="HN462" s="51"/>
      <c r="HO462" s="51"/>
      <c r="HP462" s="51"/>
      <c r="HQ462" s="51"/>
      <c r="HR462" s="51"/>
      <c r="HS462" s="51"/>
      <c r="HT462" s="51"/>
      <c r="HU462" s="51"/>
      <c r="HV462" s="51"/>
      <c r="HW462" s="51"/>
      <c r="HX462" s="51"/>
      <c r="HY462" s="51"/>
      <c r="HZ462" s="51"/>
      <c r="IA462" s="51"/>
      <c r="IB462" s="51"/>
      <c r="IC462" s="51"/>
      <c r="ID462" s="51"/>
      <c r="IE462" s="51"/>
      <c r="IF462" s="51"/>
      <c r="IG462" s="51"/>
      <c r="IH462" s="51"/>
      <c r="II462" s="51"/>
      <c r="IJ462" s="51"/>
      <c r="IK462" s="51"/>
      <c r="IL462" s="51"/>
      <c r="IM462" s="51"/>
      <c r="IN462" s="51"/>
      <c r="IO462" s="51"/>
      <c r="IP462" s="51"/>
      <c r="IQ462" s="51"/>
      <c r="IR462" s="51"/>
      <c r="IS462" s="51"/>
      <c r="IT462" s="51"/>
      <c r="IU462" s="51"/>
      <c r="IV462" s="51"/>
    </row>
    <row r="463" hidden="1">
      <c r="B463" s="826" t="s">
        <v>9</v>
      </c>
      <c r="C463" s="827">
        <v>0</v>
      </c>
      <c r="D463" s="827">
        <v>0</v>
      </c>
      <c r="E463" s="827">
        <v>0</v>
      </c>
      <c r="F463" s="827">
        <v>0</v>
      </c>
      <c r="G463" s="827">
        <v>0</v>
      </c>
      <c r="H463" s="827">
        <v>0</v>
      </c>
      <c r="I463" s="827">
        <v>0</v>
      </c>
      <c r="J463" s="827">
        <v>0</v>
      </c>
      <c r="K463" s="827">
        <v>0</v>
      </c>
      <c r="L463" s="827">
        <v>0</v>
      </c>
      <c r="M463" s="827">
        <v>0</v>
      </c>
      <c r="N463" s="827">
        <v>0</v>
      </c>
      <c r="O463" s="827">
        <v>0</v>
      </c>
      <c r="P463" s="827">
        <v>0</v>
      </c>
      <c r="Q463" s="827">
        <v>0</v>
      </c>
      <c r="R463" s="827">
        <v>0</v>
      </c>
      <c r="S463" s="827">
        <v>0</v>
      </c>
      <c r="T463" s="827">
        <v>0</v>
      </c>
      <c r="U463" s="827">
        <v>0</v>
      </c>
      <c r="V463" s="827">
        <v>0</v>
      </c>
      <c r="W463" s="827">
        <v>0</v>
      </c>
      <c r="X463" s="827">
        <v>0</v>
      </c>
      <c r="Y463" s="827">
        <v>0</v>
      </c>
      <c r="Z463" s="827">
        <v>0</v>
      </c>
      <c r="AA463" s="827">
        <v>0</v>
      </c>
      <c r="AB463" s="827">
        <v>0</v>
      </c>
      <c r="AC463" s="828">
        <v>0</v>
      </c>
      <c r="AD463" s="828">
        <v>0</v>
      </c>
      <c r="AE463" s="828">
        <v>0</v>
      </c>
      <c r="AF463" s="828">
        <v>0</v>
      </c>
      <c r="AG463" s="828">
        <v>0</v>
      </c>
      <c r="AH463" s="828">
        <v>0</v>
      </c>
      <c r="AI463" s="828">
        <v>0</v>
      </c>
      <c r="AJ463" s="828">
        <v>0</v>
      </c>
      <c r="AK463" s="828">
        <v>0</v>
      </c>
      <c r="AL463" s="828">
        <v>0</v>
      </c>
      <c r="AM463" s="828">
        <v>0</v>
      </c>
      <c r="AN463" s="828">
        <v>0</v>
      </c>
      <c r="AO463" s="828">
        <v>0</v>
      </c>
      <c r="AP463" s="828">
        <v>0</v>
      </c>
      <c r="AQ463" s="51"/>
      <c r="AR463" s="51"/>
      <c r="AS463" s="51"/>
      <c r="AT463" s="51"/>
      <c r="AU463" s="51"/>
      <c r="AV463" s="51"/>
      <c r="AW463" s="51"/>
      <c r="AX463" s="51"/>
      <c r="AY463" s="51"/>
      <c r="AZ463" s="51"/>
      <c r="BA463" s="51"/>
      <c r="BB463" s="51"/>
      <c r="BC463" s="51"/>
      <c r="BD463" s="51"/>
      <c r="BE463" s="51"/>
      <c r="BF463" s="51"/>
      <c r="BG463" s="51"/>
      <c r="BH463" s="51"/>
      <c r="BI463" s="51"/>
      <c r="BJ463" s="51"/>
      <c r="BK463" s="51"/>
      <c r="BL463" s="51"/>
      <c r="BM463" s="51"/>
      <c r="BN463" s="51"/>
      <c r="BO463" s="51"/>
      <c r="BP463" s="51"/>
      <c r="BQ463" s="51"/>
      <c r="BR463" s="51"/>
      <c r="BS463" s="51"/>
      <c r="BT463" s="51"/>
      <c r="BU463" s="51"/>
      <c r="BV463" s="51"/>
      <c r="BW463" s="51"/>
      <c r="BX463" s="51"/>
      <c r="BY463" s="51"/>
      <c r="BZ463" s="51"/>
      <c r="CA463" s="51"/>
      <c r="CB463" s="51"/>
      <c r="CC463" s="51"/>
      <c r="CD463" s="51"/>
      <c r="CE463" s="51"/>
      <c r="CF463" s="51"/>
      <c r="CG463" s="51"/>
      <c r="CH463" s="51"/>
      <c r="CI463" s="51"/>
      <c r="CJ463" s="51"/>
      <c r="CK463" s="51"/>
      <c r="CL463" s="51"/>
      <c r="CM463" s="51"/>
      <c r="CN463" s="51"/>
      <c r="CO463" s="51"/>
      <c r="CP463" s="51"/>
      <c r="CQ463" s="51"/>
      <c r="CR463" s="51"/>
      <c r="CS463" s="51"/>
      <c r="CT463" s="51"/>
      <c r="CU463" s="51"/>
      <c r="CV463" s="51"/>
      <c r="CW463" s="51"/>
      <c r="CX463" s="51"/>
      <c r="CY463" s="51"/>
      <c r="CZ463" s="51"/>
      <c r="DA463" s="51"/>
      <c r="DB463" s="51"/>
      <c r="DC463" s="51"/>
      <c r="DD463" s="51"/>
      <c r="DE463" s="51"/>
      <c r="DF463" s="51"/>
      <c r="DG463" s="51"/>
      <c r="DH463" s="51"/>
      <c r="DI463" s="51"/>
      <c r="DJ463" s="51"/>
      <c r="DK463" s="51"/>
      <c r="DL463" s="51"/>
      <c r="DM463" s="51"/>
      <c r="DN463" s="51"/>
      <c r="DO463" s="51"/>
      <c r="DP463" s="51"/>
      <c r="DQ463" s="51"/>
      <c r="DR463" s="51"/>
      <c r="DS463" s="51"/>
      <c r="DT463" s="51"/>
      <c r="DU463" s="51"/>
      <c r="DV463" s="51"/>
      <c r="DW463" s="51"/>
      <c r="DX463" s="51"/>
      <c r="DY463" s="51"/>
      <c r="DZ463" s="51"/>
      <c r="EA463" s="51"/>
      <c r="EB463" s="51"/>
      <c r="EC463" s="51"/>
      <c r="ED463" s="51"/>
      <c r="EE463" s="51"/>
      <c r="EF463" s="51"/>
      <c r="EG463" s="51"/>
      <c r="EH463" s="51"/>
      <c r="EI463" s="51"/>
      <c r="EJ463" s="51"/>
      <c r="EK463" s="51"/>
      <c r="EL463" s="51"/>
      <c r="EM463" s="51"/>
      <c r="EN463" s="51"/>
      <c r="EO463" s="51"/>
      <c r="EP463" s="51"/>
      <c r="EQ463" s="51"/>
      <c r="ER463" s="51"/>
      <c r="ES463" s="51"/>
      <c r="ET463" s="51"/>
      <c r="EU463" s="51"/>
      <c r="EV463" s="51"/>
      <c r="EW463" s="51"/>
      <c r="EX463" s="51"/>
      <c r="EY463" s="51"/>
      <c r="EZ463" s="51"/>
      <c r="FA463" s="51"/>
      <c r="FB463" s="51"/>
      <c r="FC463" s="51"/>
      <c r="FD463" s="51"/>
      <c r="FE463" s="51"/>
      <c r="FF463" s="51"/>
      <c r="FG463" s="51"/>
      <c r="FH463" s="51"/>
      <c r="FI463" s="51"/>
      <c r="FJ463" s="51"/>
      <c r="FK463" s="51"/>
      <c r="FL463" s="51"/>
      <c r="FM463" s="51"/>
      <c r="FN463" s="51"/>
      <c r="FO463" s="51"/>
      <c r="FP463" s="51"/>
      <c r="FQ463" s="51"/>
      <c r="FR463" s="51"/>
      <c r="FS463" s="51"/>
      <c r="FT463" s="51"/>
      <c r="FU463" s="51"/>
      <c r="FV463" s="51"/>
      <c r="FW463" s="51"/>
      <c r="FX463" s="51"/>
      <c r="FY463" s="51"/>
      <c r="FZ463" s="51"/>
      <c r="GA463" s="51"/>
      <c r="GB463" s="51"/>
      <c r="GC463" s="51"/>
      <c r="GD463" s="51"/>
      <c r="GE463" s="51"/>
      <c r="GF463" s="51"/>
      <c r="GG463" s="51"/>
      <c r="GH463" s="51"/>
      <c r="GI463" s="51"/>
      <c r="GJ463" s="51"/>
      <c r="GK463" s="51"/>
      <c r="GL463" s="51"/>
      <c r="GM463" s="51"/>
      <c r="GN463" s="51"/>
      <c r="GO463" s="51"/>
      <c r="GP463" s="51"/>
      <c r="GQ463" s="51"/>
      <c r="GR463" s="51"/>
      <c r="GS463" s="51"/>
      <c r="GT463" s="51"/>
      <c r="GU463" s="51"/>
      <c r="GV463" s="51"/>
      <c r="GW463" s="51"/>
      <c r="GX463" s="51"/>
      <c r="GY463" s="51"/>
      <c r="GZ463" s="51"/>
      <c r="HA463" s="51"/>
      <c r="HB463" s="51"/>
      <c r="HC463" s="51"/>
      <c r="HD463" s="51"/>
      <c r="HE463" s="51"/>
      <c r="HF463" s="51"/>
      <c r="HG463" s="51"/>
      <c r="HH463" s="51"/>
      <c r="HI463" s="51"/>
      <c r="HJ463" s="51"/>
      <c r="HK463" s="51"/>
      <c r="HL463" s="51"/>
      <c r="HM463" s="51"/>
      <c r="HN463" s="51"/>
      <c r="HO463" s="51"/>
      <c r="HP463" s="51"/>
      <c r="HQ463" s="51"/>
      <c r="HR463" s="51"/>
      <c r="HS463" s="51"/>
      <c r="HT463" s="51"/>
      <c r="HU463" s="51"/>
      <c r="HV463" s="51"/>
      <c r="HW463" s="51"/>
      <c r="HX463" s="51"/>
      <c r="HY463" s="51"/>
      <c r="HZ463" s="51"/>
      <c r="IA463" s="51"/>
      <c r="IB463" s="51"/>
      <c r="IC463" s="51"/>
      <c r="ID463" s="51"/>
      <c r="IE463" s="51"/>
      <c r="IF463" s="51"/>
      <c r="IG463" s="51"/>
      <c r="IH463" s="51"/>
      <c r="II463" s="51"/>
      <c r="IJ463" s="51"/>
      <c r="IK463" s="51"/>
      <c r="IL463" s="51"/>
      <c r="IM463" s="51"/>
      <c r="IN463" s="51"/>
      <c r="IO463" s="51"/>
      <c r="IP463" s="51"/>
      <c r="IQ463" s="51"/>
      <c r="IR463" s="51"/>
      <c r="IS463" s="51"/>
      <c r="IT463" s="51"/>
      <c r="IU463" s="51"/>
      <c r="IV463" s="51"/>
    </row>
    <row r="464" hidden="1">
      <c r="B464" s="829" t="s">
        <v>10</v>
      </c>
      <c r="C464" s="823">
        <v>0</v>
      </c>
      <c r="D464" s="823">
        <v>0</v>
      </c>
      <c r="E464" s="823">
        <v>0</v>
      </c>
      <c r="F464" s="823">
        <v>0</v>
      </c>
      <c r="G464" s="823">
        <v>0</v>
      </c>
      <c r="H464" s="823">
        <v>0</v>
      </c>
      <c r="I464" s="823">
        <v>0</v>
      </c>
      <c r="J464" s="823">
        <v>0</v>
      </c>
      <c r="K464" s="823">
        <v>0</v>
      </c>
      <c r="L464" s="823">
        <v>0</v>
      </c>
      <c r="M464" s="823">
        <v>0</v>
      </c>
      <c r="N464" s="823">
        <v>0</v>
      </c>
      <c r="O464" s="823">
        <v>0</v>
      </c>
      <c r="P464" s="823">
        <v>0</v>
      </c>
      <c r="Q464" s="823">
        <v>0</v>
      </c>
      <c r="R464" s="823">
        <v>0</v>
      </c>
      <c r="S464" s="823">
        <v>0</v>
      </c>
      <c r="T464" s="823">
        <v>0</v>
      </c>
      <c r="U464" s="823">
        <v>0</v>
      </c>
      <c r="V464" s="823">
        <v>0</v>
      </c>
      <c r="W464" s="823">
        <v>0</v>
      </c>
      <c r="X464" s="823">
        <v>0</v>
      </c>
      <c r="Y464" s="823">
        <v>0</v>
      </c>
      <c r="Z464" s="823">
        <v>0</v>
      </c>
      <c r="AA464" s="823">
        <v>0</v>
      </c>
      <c r="AB464" s="823">
        <v>0</v>
      </c>
      <c r="AC464" s="825">
        <v>0</v>
      </c>
      <c r="AD464" s="825">
        <v>0</v>
      </c>
      <c r="AE464" s="825">
        <v>0</v>
      </c>
      <c r="AF464" s="825">
        <v>0</v>
      </c>
      <c r="AG464" s="825">
        <v>0</v>
      </c>
      <c r="AH464" s="825">
        <v>0</v>
      </c>
      <c r="AI464" s="825">
        <v>0</v>
      </c>
      <c r="AJ464" s="825">
        <v>0</v>
      </c>
      <c r="AK464" s="825">
        <v>0</v>
      </c>
      <c r="AL464" s="825">
        <v>0</v>
      </c>
      <c r="AM464" s="825">
        <v>0</v>
      </c>
      <c r="AN464" s="825">
        <v>0</v>
      </c>
      <c r="AO464" s="825">
        <v>1</v>
      </c>
      <c r="AP464" s="825">
        <v>1</v>
      </c>
      <c r="AQ464" s="51"/>
      <c r="AR464" s="51"/>
      <c r="AS464" s="51"/>
      <c r="AT464" s="51"/>
      <c r="AU464" s="51"/>
      <c r="AV464" s="51"/>
      <c r="AW464" s="51"/>
      <c r="AX464" s="51"/>
      <c r="AY464" s="51"/>
      <c r="AZ464" s="51"/>
      <c r="BA464" s="51"/>
      <c r="BB464" s="51"/>
      <c r="BC464" s="51"/>
      <c r="BD464" s="51"/>
      <c r="BE464" s="51"/>
      <c r="BF464" s="51"/>
      <c r="BG464" s="51"/>
      <c r="BH464" s="51"/>
      <c r="BI464" s="51"/>
      <c r="BJ464" s="51"/>
      <c r="BK464" s="51"/>
      <c r="BL464" s="51"/>
      <c r="BM464" s="51"/>
      <c r="BN464" s="51"/>
      <c r="BO464" s="51"/>
      <c r="BP464" s="51"/>
      <c r="BQ464" s="51"/>
      <c r="BR464" s="51"/>
      <c r="BS464" s="51"/>
      <c r="BT464" s="51"/>
      <c r="BU464" s="51"/>
      <c r="BV464" s="51"/>
      <c r="BW464" s="51"/>
      <c r="BX464" s="51"/>
      <c r="BY464" s="51"/>
      <c r="BZ464" s="51"/>
      <c r="CA464" s="51"/>
      <c r="CB464" s="51"/>
      <c r="CC464" s="51"/>
      <c r="CD464" s="51"/>
      <c r="CE464" s="51"/>
      <c r="CF464" s="51"/>
      <c r="CG464" s="51"/>
      <c r="CH464" s="51"/>
      <c r="CI464" s="51"/>
      <c r="CJ464" s="51"/>
      <c r="CK464" s="51"/>
      <c r="CL464" s="51"/>
      <c r="CM464" s="51"/>
      <c r="CN464" s="51"/>
      <c r="CO464" s="51"/>
      <c r="CP464" s="51"/>
      <c r="CQ464" s="51"/>
      <c r="CR464" s="51"/>
      <c r="CS464" s="51"/>
      <c r="CT464" s="51"/>
      <c r="CU464" s="51"/>
      <c r="CV464" s="51"/>
      <c r="CW464" s="51"/>
      <c r="CX464" s="51"/>
      <c r="CY464" s="51"/>
      <c r="CZ464" s="51"/>
      <c r="DA464" s="51"/>
      <c r="DB464" s="51"/>
      <c r="DC464" s="51"/>
      <c r="DD464" s="51"/>
      <c r="DE464" s="51"/>
      <c r="DF464" s="51"/>
      <c r="DG464" s="51"/>
      <c r="DH464" s="51"/>
      <c r="DI464" s="51"/>
      <c r="DJ464" s="51"/>
      <c r="DK464" s="51"/>
      <c r="DL464" s="51"/>
      <c r="DM464" s="51"/>
      <c r="DN464" s="51"/>
      <c r="DO464" s="51"/>
      <c r="DP464" s="51"/>
      <c r="DQ464" s="51"/>
      <c r="DR464" s="51"/>
      <c r="DS464" s="51"/>
      <c r="DT464" s="51"/>
      <c r="DU464" s="51"/>
      <c r="DV464" s="51"/>
      <c r="DW464" s="51"/>
      <c r="DX464" s="51"/>
      <c r="DY464" s="51"/>
      <c r="DZ464" s="51"/>
      <c r="EA464" s="51"/>
      <c r="EB464" s="51"/>
      <c r="EC464" s="51"/>
      <c r="ED464" s="51"/>
      <c r="EE464" s="51"/>
      <c r="EF464" s="51"/>
      <c r="EG464" s="51"/>
      <c r="EH464" s="51"/>
      <c r="EI464" s="51"/>
      <c r="EJ464" s="51"/>
      <c r="EK464" s="51"/>
      <c r="EL464" s="51"/>
      <c r="EM464" s="51"/>
      <c r="EN464" s="51"/>
      <c r="EO464" s="51"/>
      <c r="EP464" s="51"/>
      <c r="EQ464" s="51"/>
      <c r="ER464" s="51"/>
      <c r="ES464" s="51"/>
      <c r="ET464" s="51"/>
      <c r="EU464" s="51"/>
      <c r="EV464" s="51"/>
      <c r="EW464" s="51"/>
      <c r="EX464" s="51"/>
      <c r="EY464" s="51"/>
      <c r="EZ464" s="51"/>
      <c r="FA464" s="51"/>
      <c r="FB464" s="51"/>
      <c r="FC464" s="51"/>
      <c r="FD464" s="51"/>
      <c r="FE464" s="51"/>
      <c r="FF464" s="51"/>
      <c r="FG464" s="51"/>
      <c r="FH464" s="51"/>
      <c r="FI464" s="51"/>
      <c r="FJ464" s="51"/>
      <c r="FK464" s="51"/>
      <c r="FL464" s="51"/>
      <c r="FM464" s="51"/>
      <c r="FN464" s="51"/>
      <c r="FO464" s="51"/>
      <c r="FP464" s="51"/>
      <c r="FQ464" s="51"/>
      <c r="FR464" s="51"/>
      <c r="FS464" s="51"/>
      <c r="FT464" s="51"/>
      <c r="FU464" s="51"/>
      <c r="FV464" s="51"/>
      <c r="FW464" s="51"/>
      <c r="FX464" s="51"/>
      <c r="FY464" s="51"/>
      <c r="FZ464" s="51"/>
      <c r="GA464" s="51"/>
      <c r="GB464" s="51"/>
      <c r="GC464" s="51"/>
      <c r="GD464" s="51"/>
      <c r="GE464" s="51"/>
      <c r="GF464" s="51"/>
      <c r="GG464" s="51"/>
      <c r="GH464" s="51"/>
      <c r="GI464" s="51"/>
      <c r="GJ464" s="51"/>
      <c r="GK464" s="51"/>
      <c r="GL464" s="51"/>
      <c r="GM464" s="51"/>
      <c r="GN464" s="51"/>
      <c r="GO464" s="51"/>
      <c r="GP464" s="51"/>
      <c r="GQ464" s="51"/>
      <c r="GR464" s="51"/>
      <c r="GS464" s="51"/>
      <c r="GT464" s="51"/>
      <c r="GU464" s="51"/>
      <c r="GV464" s="51"/>
      <c r="GW464" s="51"/>
      <c r="GX464" s="51"/>
      <c r="GY464" s="51"/>
      <c r="GZ464" s="51"/>
      <c r="HA464" s="51"/>
      <c r="HB464" s="51"/>
      <c r="HC464" s="51"/>
      <c r="HD464" s="51"/>
      <c r="HE464" s="51"/>
      <c r="HF464" s="51"/>
      <c r="HG464" s="51"/>
      <c r="HH464" s="51"/>
      <c r="HI464" s="51"/>
      <c r="HJ464" s="51"/>
      <c r="HK464" s="51"/>
      <c r="HL464" s="51"/>
      <c r="HM464" s="51"/>
      <c r="HN464" s="51"/>
      <c r="HO464" s="51"/>
      <c r="HP464" s="51"/>
      <c r="HQ464" s="51"/>
      <c r="HR464" s="51"/>
      <c r="HS464" s="51"/>
      <c r="HT464" s="51"/>
      <c r="HU464" s="51"/>
      <c r="HV464" s="51"/>
      <c r="HW464" s="51"/>
      <c r="HX464" s="51"/>
      <c r="HY464" s="51"/>
      <c r="HZ464" s="51"/>
      <c r="IA464" s="51"/>
      <c r="IB464" s="51"/>
      <c r="IC464" s="51"/>
      <c r="ID464" s="51"/>
      <c r="IE464" s="51"/>
      <c r="IF464" s="51"/>
      <c r="IG464" s="51"/>
      <c r="IH464" s="51"/>
      <c r="II464" s="51"/>
      <c r="IJ464" s="51"/>
      <c r="IK464" s="51"/>
      <c r="IL464" s="51"/>
      <c r="IM464" s="51"/>
      <c r="IN464" s="51"/>
      <c r="IO464" s="51"/>
      <c r="IP464" s="51"/>
      <c r="IQ464" s="51"/>
      <c r="IR464" s="51"/>
      <c r="IS464" s="51"/>
      <c r="IT464" s="51"/>
      <c r="IU464" s="51"/>
      <c r="IV464" s="51"/>
    </row>
    <row r="465" hidden="1">
      <c r="B465" s="826" t="s">
        <v>11</v>
      </c>
      <c r="C465" s="827">
        <v>0</v>
      </c>
      <c r="D465" s="827">
        <v>0</v>
      </c>
      <c r="E465" s="827">
        <v>0</v>
      </c>
      <c r="F465" s="827">
        <v>0</v>
      </c>
      <c r="G465" s="827">
        <v>0</v>
      </c>
      <c r="H465" s="827">
        <v>0</v>
      </c>
      <c r="I465" s="827">
        <v>0</v>
      </c>
      <c r="J465" s="827">
        <v>0</v>
      </c>
      <c r="K465" s="827">
        <v>0</v>
      </c>
      <c r="L465" s="827">
        <v>0</v>
      </c>
      <c r="M465" s="827">
        <v>0</v>
      </c>
      <c r="N465" s="827">
        <v>0</v>
      </c>
      <c r="O465" s="827">
        <v>0</v>
      </c>
      <c r="P465" s="827">
        <v>0</v>
      </c>
      <c r="Q465" s="827">
        <v>0</v>
      </c>
      <c r="R465" s="827">
        <v>0</v>
      </c>
      <c r="S465" s="827">
        <v>0</v>
      </c>
      <c r="T465" s="827">
        <v>0</v>
      </c>
      <c r="U465" s="827">
        <v>0</v>
      </c>
      <c r="V465" s="827">
        <v>0</v>
      </c>
      <c r="W465" s="827">
        <v>0</v>
      </c>
      <c r="X465" s="827">
        <v>0</v>
      </c>
      <c r="Y465" s="827">
        <v>0</v>
      </c>
      <c r="Z465" s="827">
        <v>0</v>
      </c>
      <c r="AA465" s="827">
        <v>0</v>
      </c>
      <c r="AB465" s="827">
        <v>0</v>
      </c>
      <c r="AC465" s="828">
        <v>1</v>
      </c>
      <c r="AD465" s="828">
        <v>1</v>
      </c>
      <c r="AE465" s="828">
        <v>2</v>
      </c>
      <c r="AF465" s="828">
        <v>4</v>
      </c>
      <c r="AG465" s="828">
        <v>3</v>
      </c>
      <c r="AH465" s="828">
        <v>3</v>
      </c>
      <c r="AI465" s="828">
        <v>3</v>
      </c>
      <c r="AJ465" s="828">
        <v>4</v>
      </c>
      <c r="AK465" s="828">
        <v>4</v>
      </c>
      <c r="AL465" s="828">
        <v>4</v>
      </c>
      <c r="AM465" s="828">
        <v>3</v>
      </c>
      <c r="AN465" s="828">
        <v>3</v>
      </c>
      <c r="AO465" s="828">
        <v>3</v>
      </c>
      <c r="AP465" s="828">
        <v>1</v>
      </c>
      <c r="AQ465" s="51"/>
      <c r="AR465" s="51"/>
      <c r="AS465" s="51"/>
      <c r="AT465" s="51"/>
      <c r="AU465" s="51"/>
      <c r="AV465" s="51"/>
      <c r="AW465" s="51"/>
      <c r="AX465" s="51"/>
      <c r="AY465" s="51"/>
      <c r="AZ465" s="51"/>
      <c r="BA465" s="51"/>
      <c r="BB465" s="51"/>
      <c r="BC465" s="51"/>
      <c r="BD465" s="51"/>
      <c r="BE465" s="51"/>
      <c r="BF465" s="51"/>
      <c r="BG465" s="51"/>
      <c r="BH465" s="51"/>
      <c r="BI465" s="51"/>
      <c r="BJ465" s="51"/>
      <c r="BK465" s="51"/>
      <c r="BL465" s="51"/>
      <c r="BM465" s="51"/>
      <c r="BN465" s="51"/>
      <c r="BO465" s="51"/>
      <c r="BP465" s="51"/>
      <c r="BQ465" s="51"/>
      <c r="BR465" s="51"/>
      <c r="BS465" s="51"/>
      <c r="BT465" s="51"/>
      <c r="BU465" s="51"/>
      <c r="BV465" s="51"/>
      <c r="BW465" s="51"/>
      <c r="BX465" s="51"/>
      <c r="BY465" s="51"/>
      <c r="BZ465" s="51"/>
      <c r="CA465" s="51"/>
      <c r="CB465" s="51"/>
      <c r="CC465" s="51"/>
      <c r="CD465" s="51"/>
      <c r="CE465" s="51"/>
      <c r="CF465" s="51"/>
      <c r="CG465" s="51"/>
      <c r="CH465" s="51"/>
      <c r="CI465" s="51"/>
      <c r="CJ465" s="51"/>
      <c r="CK465" s="51"/>
      <c r="CL465" s="51"/>
      <c r="CM465" s="51"/>
      <c r="CN465" s="51"/>
      <c r="CO465" s="51"/>
      <c r="CP465" s="51"/>
      <c r="CQ465" s="51"/>
      <c r="CR465" s="51"/>
      <c r="CS465" s="51"/>
      <c r="CT465" s="51"/>
      <c r="CU465" s="51"/>
      <c r="CV465" s="51"/>
      <c r="CW465" s="51"/>
      <c r="CX465" s="51"/>
      <c r="CY465" s="51"/>
      <c r="CZ465" s="51"/>
      <c r="DA465" s="51"/>
      <c r="DB465" s="51"/>
      <c r="DC465" s="51"/>
      <c r="DD465" s="51"/>
      <c r="DE465" s="51"/>
      <c r="DF465" s="51"/>
      <c r="DG465" s="51"/>
      <c r="DH465" s="51"/>
      <c r="DI465" s="51"/>
      <c r="DJ465" s="51"/>
      <c r="DK465" s="51"/>
      <c r="DL465" s="51"/>
      <c r="DM465" s="51"/>
      <c r="DN465" s="51"/>
      <c r="DO465" s="51"/>
      <c r="DP465" s="51"/>
      <c r="DQ465" s="51"/>
      <c r="DR465" s="51"/>
      <c r="DS465" s="51"/>
      <c r="DT465" s="51"/>
      <c r="DU465" s="51"/>
      <c r="DV465" s="51"/>
      <c r="DW465" s="51"/>
      <c r="DX465" s="51"/>
      <c r="DY465" s="51"/>
      <c r="DZ465" s="51"/>
      <c r="EA465" s="51"/>
      <c r="EB465" s="51"/>
      <c r="EC465" s="51"/>
      <c r="ED465" s="51"/>
      <c r="EE465" s="51"/>
      <c r="EF465" s="51"/>
      <c r="EG465" s="51"/>
      <c r="EH465" s="51"/>
      <c r="EI465" s="51"/>
      <c r="EJ465" s="51"/>
      <c r="EK465" s="51"/>
      <c r="EL465" s="51"/>
      <c r="EM465" s="51"/>
      <c r="EN465" s="51"/>
      <c r="EO465" s="51"/>
      <c r="EP465" s="51"/>
      <c r="EQ465" s="51"/>
      <c r="ER465" s="51"/>
      <c r="ES465" s="51"/>
      <c r="ET465" s="51"/>
      <c r="EU465" s="51"/>
      <c r="EV465" s="51"/>
      <c r="EW465" s="51"/>
      <c r="EX465" s="51"/>
      <c r="EY465" s="51"/>
      <c r="EZ465" s="51"/>
      <c r="FA465" s="51"/>
      <c r="FB465" s="51"/>
      <c r="FC465" s="51"/>
      <c r="FD465" s="51"/>
      <c r="FE465" s="51"/>
      <c r="FF465" s="51"/>
      <c r="FG465" s="51"/>
      <c r="FH465" s="51"/>
      <c r="FI465" s="51"/>
      <c r="FJ465" s="51"/>
      <c r="FK465" s="51"/>
      <c r="FL465" s="51"/>
      <c r="FM465" s="51"/>
      <c r="FN465" s="51"/>
      <c r="FO465" s="51"/>
      <c r="FP465" s="51"/>
      <c r="FQ465" s="51"/>
      <c r="FR465" s="51"/>
      <c r="FS465" s="51"/>
      <c r="FT465" s="51"/>
      <c r="FU465" s="51"/>
      <c r="FV465" s="51"/>
      <c r="FW465" s="51"/>
      <c r="FX465" s="51"/>
      <c r="FY465" s="51"/>
      <c r="FZ465" s="51"/>
      <c r="GA465" s="51"/>
      <c r="GB465" s="51"/>
      <c r="GC465" s="51"/>
      <c r="GD465" s="51"/>
      <c r="GE465" s="51"/>
      <c r="GF465" s="51"/>
      <c r="GG465" s="51"/>
      <c r="GH465" s="51"/>
      <c r="GI465" s="51"/>
      <c r="GJ465" s="51"/>
      <c r="GK465" s="51"/>
      <c r="GL465" s="51"/>
      <c r="GM465" s="51"/>
      <c r="GN465" s="51"/>
      <c r="GO465" s="51"/>
      <c r="GP465" s="51"/>
      <c r="GQ465" s="51"/>
      <c r="GR465" s="51"/>
      <c r="GS465" s="51"/>
      <c r="GT465" s="51"/>
      <c r="GU465" s="51"/>
      <c r="GV465" s="51"/>
      <c r="GW465" s="51"/>
      <c r="GX465" s="51"/>
      <c r="GY465" s="51"/>
      <c r="GZ465" s="51"/>
      <c r="HA465" s="51"/>
      <c r="HB465" s="51"/>
      <c r="HC465" s="51"/>
      <c r="HD465" s="51"/>
      <c r="HE465" s="51"/>
      <c r="HF465" s="51"/>
      <c r="HG465" s="51"/>
      <c r="HH465" s="51"/>
      <c r="HI465" s="51"/>
      <c r="HJ465" s="51"/>
      <c r="HK465" s="51"/>
      <c r="HL465" s="51"/>
      <c r="HM465" s="51"/>
      <c r="HN465" s="51"/>
      <c r="HO465" s="51"/>
      <c r="HP465" s="51"/>
      <c r="HQ465" s="51"/>
      <c r="HR465" s="51"/>
      <c r="HS465" s="51"/>
      <c r="HT465" s="51"/>
      <c r="HU465" s="51"/>
      <c r="HV465" s="51"/>
      <c r="HW465" s="51"/>
      <c r="HX465" s="51"/>
      <c r="HY465" s="51"/>
      <c r="HZ465" s="51"/>
      <c r="IA465" s="51"/>
      <c r="IB465" s="51"/>
      <c r="IC465" s="51"/>
      <c r="ID465" s="51"/>
      <c r="IE465" s="51"/>
      <c r="IF465" s="51"/>
      <c r="IG465" s="51"/>
      <c r="IH465" s="51"/>
      <c r="II465" s="51"/>
      <c r="IJ465" s="51"/>
      <c r="IK465" s="51"/>
      <c r="IL465" s="51"/>
      <c r="IM465" s="51"/>
      <c r="IN465" s="51"/>
      <c r="IO465" s="51"/>
      <c r="IP465" s="51"/>
      <c r="IQ465" s="51"/>
      <c r="IR465" s="51"/>
      <c r="IS465" s="51"/>
      <c r="IT465" s="51"/>
      <c r="IU465" s="51"/>
      <c r="IV465" s="51"/>
    </row>
    <row r="466" hidden="1">
      <c r="B466" s="829" t="s">
        <v>12</v>
      </c>
      <c r="C466" s="823">
        <v>0</v>
      </c>
      <c r="D466" s="823">
        <v>0</v>
      </c>
      <c r="E466" s="823">
        <v>0</v>
      </c>
      <c r="F466" s="823">
        <v>0</v>
      </c>
      <c r="G466" s="823">
        <v>0</v>
      </c>
      <c r="H466" s="823">
        <v>0</v>
      </c>
      <c r="I466" s="823">
        <v>0</v>
      </c>
      <c r="J466" s="823">
        <v>0</v>
      </c>
      <c r="K466" s="823">
        <v>0</v>
      </c>
      <c r="L466" s="823">
        <v>0</v>
      </c>
      <c r="M466" s="823">
        <v>0</v>
      </c>
      <c r="N466" s="823">
        <v>0</v>
      </c>
      <c r="O466" s="823">
        <v>0</v>
      </c>
      <c r="P466" s="823">
        <v>0</v>
      </c>
      <c r="Q466" s="823">
        <v>0</v>
      </c>
      <c r="R466" s="823">
        <v>0</v>
      </c>
      <c r="S466" s="823">
        <v>0</v>
      </c>
      <c r="T466" s="823">
        <v>0</v>
      </c>
      <c r="U466" s="823">
        <v>0</v>
      </c>
      <c r="V466" s="823">
        <v>0</v>
      </c>
      <c r="W466" s="823">
        <v>1</v>
      </c>
      <c r="X466" s="823">
        <v>1</v>
      </c>
      <c r="Y466" s="823">
        <v>1</v>
      </c>
      <c r="Z466" s="823">
        <v>1</v>
      </c>
      <c r="AA466" s="823">
        <v>1</v>
      </c>
      <c r="AB466" s="823">
        <v>2</v>
      </c>
      <c r="AC466" s="825">
        <v>3</v>
      </c>
      <c r="AD466" s="825">
        <v>3</v>
      </c>
      <c r="AE466" s="825">
        <v>3</v>
      </c>
      <c r="AF466" s="825">
        <v>3</v>
      </c>
      <c r="AG466" s="825">
        <v>2</v>
      </c>
      <c r="AH466" s="825">
        <v>2</v>
      </c>
      <c r="AI466" s="825">
        <v>2</v>
      </c>
      <c r="AJ466" s="825">
        <v>2</v>
      </c>
      <c r="AK466" s="825">
        <v>2</v>
      </c>
      <c r="AL466" s="825">
        <v>3</v>
      </c>
      <c r="AM466" s="825">
        <v>3</v>
      </c>
      <c r="AN466" s="825">
        <v>3</v>
      </c>
      <c r="AO466" s="825">
        <v>3</v>
      </c>
      <c r="AP466" s="825">
        <v>2</v>
      </c>
      <c r="AQ466" s="51"/>
      <c r="AR466" s="51"/>
      <c r="AS466" s="51"/>
      <c r="AT466" s="51"/>
      <c r="AU466" s="51"/>
      <c r="AV466" s="51"/>
      <c r="AW466" s="51"/>
      <c r="AX466" s="51"/>
      <c r="AY466" s="51"/>
      <c r="AZ466" s="51"/>
      <c r="BA466" s="51"/>
      <c r="BB466" s="51"/>
      <c r="BC466" s="51"/>
      <c r="BD466" s="51"/>
      <c r="BE466" s="51"/>
      <c r="BF466" s="51"/>
      <c r="BG466" s="51"/>
      <c r="BH466" s="51"/>
      <c r="BI466" s="51"/>
      <c r="BJ466" s="51"/>
      <c r="BK466" s="51"/>
      <c r="BL466" s="51"/>
      <c r="BM466" s="51"/>
      <c r="BN466" s="51"/>
      <c r="BO466" s="51"/>
      <c r="BP466" s="51"/>
      <c r="BQ466" s="51"/>
      <c r="BR466" s="51"/>
      <c r="BS466" s="51"/>
      <c r="BT466" s="51"/>
      <c r="BU466" s="51"/>
      <c r="BV466" s="51"/>
      <c r="BW466" s="51"/>
      <c r="BX466" s="51"/>
      <c r="BY466" s="51"/>
      <c r="BZ466" s="51"/>
      <c r="CA466" s="51"/>
      <c r="CB466" s="51"/>
      <c r="CC466" s="51"/>
      <c r="CD466" s="51"/>
      <c r="CE466" s="51"/>
      <c r="CF466" s="51"/>
      <c r="CG466" s="51"/>
      <c r="CH466" s="51"/>
      <c r="CI466" s="51"/>
      <c r="CJ466" s="51"/>
      <c r="CK466" s="51"/>
      <c r="CL466" s="51"/>
      <c r="CM466" s="51"/>
      <c r="CN466" s="51"/>
      <c r="CO466" s="51"/>
      <c r="CP466" s="51"/>
      <c r="CQ466" s="51"/>
      <c r="CR466" s="51"/>
      <c r="CS466" s="51"/>
      <c r="CT466" s="51"/>
      <c r="CU466" s="51"/>
      <c r="CV466" s="51"/>
      <c r="CW466" s="51"/>
      <c r="CX466" s="51"/>
      <c r="CY466" s="51"/>
      <c r="CZ466" s="51"/>
      <c r="DA466" s="51"/>
      <c r="DB466" s="51"/>
      <c r="DC466" s="51"/>
      <c r="DD466" s="51"/>
      <c r="DE466" s="51"/>
      <c r="DF466" s="51"/>
      <c r="DG466" s="51"/>
      <c r="DH466" s="51"/>
      <c r="DI466" s="51"/>
      <c r="DJ466" s="51"/>
      <c r="DK466" s="51"/>
      <c r="DL466" s="51"/>
      <c r="DM466" s="51"/>
      <c r="DN466" s="51"/>
      <c r="DO466" s="51"/>
      <c r="DP466" s="51"/>
      <c r="DQ466" s="51"/>
      <c r="DR466" s="51"/>
      <c r="DS466" s="51"/>
      <c r="DT466" s="51"/>
      <c r="DU466" s="51"/>
      <c r="DV466" s="51"/>
      <c r="DW466" s="51"/>
      <c r="DX466" s="51"/>
      <c r="DY466" s="51"/>
      <c r="DZ466" s="51"/>
      <c r="EA466" s="51"/>
      <c r="EB466" s="51"/>
      <c r="EC466" s="51"/>
      <c r="ED466" s="51"/>
      <c r="EE466" s="51"/>
      <c r="EF466" s="51"/>
      <c r="EG466" s="51"/>
      <c r="EH466" s="51"/>
      <c r="EI466" s="51"/>
      <c r="EJ466" s="51"/>
      <c r="EK466" s="51"/>
      <c r="EL466" s="51"/>
      <c r="EM466" s="51"/>
      <c r="EN466" s="51"/>
      <c r="EO466" s="51"/>
      <c r="EP466" s="51"/>
      <c r="EQ466" s="51"/>
      <c r="ER466" s="51"/>
      <c r="ES466" s="51"/>
      <c r="ET466" s="51"/>
      <c r="EU466" s="51"/>
      <c r="EV466" s="51"/>
      <c r="EW466" s="51"/>
      <c r="EX466" s="51"/>
      <c r="EY466" s="51"/>
      <c r="EZ466" s="51"/>
      <c r="FA466" s="51"/>
      <c r="FB466" s="51"/>
      <c r="FC466" s="51"/>
      <c r="FD466" s="51"/>
      <c r="FE466" s="51"/>
      <c r="FF466" s="51"/>
      <c r="FG466" s="51"/>
      <c r="FH466" s="51"/>
      <c r="FI466" s="51"/>
      <c r="FJ466" s="51"/>
      <c r="FK466" s="51"/>
      <c r="FL466" s="51"/>
      <c r="FM466" s="51"/>
      <c r="FN466" s="51"/>
      <c r="FO466" s="51"/>
      <c r="FP466" s="51"/>
      <c r="FQ466" s="51"/>
      <c r="FR466" s="51"/>
      <c r="FS466" s="51"/>
      <c r="FT466" s="51"/>
      <c r="FU466" s="51"/>
      <c r="FV466" s="51"/>
      <c r="FW466" s="51"/>
      <c r="FX466" s="51"/>
      <c r="FY466" s="51"/>
      <c r="FZ466" s="51"/>
      <c r="GA466" s="51"/>
      <c r="GB466" s="51"/>
      <c r="GC466" s="51"/>
      <c r="GD466" s="51"/>
      <c r="GE466" s="51"/>
      <c r="GF466" s="51"/>
      <c r="GG466" s="51"/>
      <c r="GH466" s="51"/>
      <c r="GI466" s="51"/>
      <c r="GJ466" s="51"/>
      <c r="GK466" s="51"/>
      <c r="GL466" s="51"/>
      <c r="GM466" s="51"/>
      <c r="GN466" s="51"/>
      <c r="GO466" s="51"/>
      <c r="GP466" s="51"/>
      <c r="GQ466" s="51"/>
      <c r="GR466" s="51"/>
      <c r="GS466" s="51"/>
      <c r="GT466" s="51"/>
      <c r="GU466" s="51"/>
      <c r="GV466" s="51"/>
      <c r="GW466" s="51"/>
      <c r="GX466" s="51"/>
      <c r="GY466" s="51"/>
      <c r="GZ466" s="51"/>
      <c r="HA466" s="51"/>
      <c r="HB466" s="51"/>
      <c r="HC466" s="51"/>
      <c r="HD466" s="51"/>
      <c r="HE466" s="51"/>
      <c r="HF466" s="51"/>
      <c r="HG466" s="51"/>
      <c r="HH466" s="51"/>
      <c r="HI466" s="51"/>
      <c r="HJ466" s="51"/>
      <c r="HK466" s="51"/>
      <c r="HL466" s="51"/>
      <c r="HM466" s="51"/>
      <c r="HN466" s="51"/>
      <c r="HO466" s="51"/>
      <c r="HP466" s="51"/>
      <c r="HQ466" s="51"/>
      <c r="HR466" s="51"/>
      <c r="HS466" s="51"/>
      <c r="HT466" s="51"/>
      <c r="HU466" s="51"/>
      <c r="HV466" s="51"/>
      <c r="HW466" s="51"/>
      <c r="HX466" s="51"/>
      <c r="HY466" s="51"/>
      <c r="HZ466" s="51"/>
      <c r="IA466" s="51"/>
      <c r="IB466" s="51"/>
      <c r="IC466" s="51"/>
      <c r="ID466" s="51"/>
      <c r="IE466" s="51"/>
      <c r="IF466" s="51"/>
      <c r="IG466" s="51"/>
      <c r="IH466" s="51"/>
      <c r="II466" s="51"/>
      <c r="IJ466" s="51"/>
      <c r="IK466" s="51"/>
      <c r="IL466" s="51"/>
      <c r="IM466" s="51"/>
      <c r="IN466" s="51"/>
      <c r="IO466" s="51"/>
      <c r="IP466" s="51"/>
      <c r="IQ466" s="51"/>
      <c r="IR466" s="51"/>
      <c r="IS466" s="51"/>
      <c r="IT466" s="51"/>
      <c r="IU466" s="51"/>
      <c r="IV466" s="51"/>
    </row>
    <row r="467" hidden="1">
      <c r="B467" s="826" t="s">
        <v>13</v>
      </c>
      <c r="C467" s="827">
        <v>0</v>
      </c>
      <c r="D467" s="827">
        <v>0</v>
      </c>
      <c r="E467" s="827">
        <v>0</v>
      </c>
      <c r="F467" s="827">
        <v>0</v>
      </c>
      <c r="G467" s="827">
        <v>0</v>
      </c>
      <c r="H467" s="827">
        <v>0</v>
      </c>
      <c r="I467" s="827">
        <v>0</v>
      </c>
      <c r="J467" s="827">
        <v>0</v>
      </c>
      <c r="K467" s="827">
        <v>0</v>
      </c>
      <c r="L467" s="827">
        <v>0</v>
      </c>
      <c r="M467" s="827">
        <v>0</v>
      </c>
      <c r="N467" s="827">
        <v>0</v>
      </c>
      <c r="O467" s="827">
        <v>0</v>
      </c>
      <c r="P467" s="827">
        <v>0</v>
      </c>
      <c r="Q467" s="827">
        <v>0</v>
      </c>
      <c r="R467" s="827">
        <v>0</v>
      </c>
      <c r="S467" s="827">
        <v>0</v>
      </c>
      <c r="T467" s="827">
        <v>0</v>
      </c>
      <c r="U467" s="827">
        <v>0</v>
      </c>
      <c r="V467" s="827">
        <v>0</v>
      </c>
      <c r="W467" s="827">
        <v>0</v>
      </c>
      <c r="X467" s="827">
        <v>0</v>
      </c>
      <c r="Y467" s="827">
        <v>0</v>
      </c>
      <c r="Z467" s="827">
        <v>0</v>
      </c>
      <c r="AA467" s="827">
        <v>0</v>
      </c>
      <c r="AB467" s="827">
        <v>0</v>
      </c>
      <c r="AC467" s="828">
        <v>0</v>
      </c>
      <c r="AD467" s="828">
        <v>0</v>
      </c>
      <c r="AE467" s="828">
        <v>0</v>
      </c>
      <c r="AF467" s="828">
        <v>0</v>
      </c>
      <c r="AG467" s="828">
        <v>0</v>
      </c>
      <c r="AH467" s="828">
        <v>0</v>
      </c>
      <c r="AI467" s="828">
        <v>0</v>
      </c>
      <c r="AJ467" s="828">
        <v>0</v>
      </c>
      <c r="AK467" s="828">
        <v>0</v>
      </c>
      <c r="AL467" s="828">
        <v>0</v>
      </c>
      <c r="AM467" s="828">
        <v>0</v>
      </c>
      <c r="AN467" s="828">
        <v>0</v>
      </c>
      <c r="AO467" s="828">
        <v>1</v>
      </c>
      <c r="AP467" s="828">
        <v>1</v>
      </c>
      <c r="AQ467" s="51"/>
      <c r="AR467" s="51"/>
      <c r="AS467" s="51"/>
      <c r="AT467" s="51"/>
      <c r="AU467" s="51"/>
      <c r="AV467" s="51"/>
      <c r="AW467" s="51"/>
      <c r="AX467" s="51"/>
      <c r="AY467" s="51"/>
      <c r="AZ467" s="51"/>
      <c r="BA467" s="51"/>
      <c r="BB467" s="51"/>
      <c r="BC467" s="51"/>
      <c r="BD467" s="51"/>
      <c r="BE467" s="51"/>
      <c r="BF467" s="51"/>
      <c r="BG467" s="51"/>
      <c r="BH467" s="51"/>
      <c r="BI467" s="51"/>
      <c r="BJ467" s="51"/>
      <c r="BK467" s="51"/>
      <c r="BL467" s="51"/>
      <c r="BM467" s="51"/>
      <c r="BN467" s="51"/>
      <c r="BO467" s="51"/>
      <c r="BP467" s="51"/>
      <c r="BQ467" s="51"/>
      <c r="BR467" s="51"/>
      <c r="BS467" s="51"/>
      <c r="BT467" s="51"/>
      <c r="BU467" s="51"/>
      <c r="BV467" s="51"/>
      <c r="BW467" s="51"/>
      <c r="BX467" s="51"/>
      <c r="BY467" s="51"/>
      <c r="BZ467" s="51"/>
      <c r="CA467" s="51"/>
      <c r="CB467" s="51"/>
      <c r="CC467" s="51"/>
      <c r="CD467" s="51"/>
      <c r="CE467" s="51"/>
      <c r="CF467" s="51"/>
      <c r="CG467" s="51"/>
      <c r="CH467" s="51"/>
      <c r="CI467" s="51"/>
      <c r="CJ467" s="51"/>
      <c r="CK467" s="51"/>
      <c r="CL467" s="51"/>
      <c r="CM467" s="51"/>
      <c r="CN467" s="51"/>
      <c r="CO467" s="51"/>
      <c r="CP467" s="51"/>
      <c r="CQ467" s="51"/>
      <c r="CR467" s="51"/>
      <c r="CS467" s="51"/>
      <c r="CT467" s="51"/>
      <c r="CU467" s="51"/>
      <c r="CV467" s="51"/>
      <c r="CW467" s="51"/>
      <c r="CX467" s="51"/>
      <c r="CY467" s="51"/>
      <c r="CZ467" s="51"/>
      <c r="DA467" s="51"/>
      <c r="DB467" s="51"/>
      <c r="DC467" s="51"/>
      <c r="DD467" s="51"/>
      <c r="DE467" s="51"/>
      <c r="DF467" s="51"/>
      <c r="DG467" s="51"/>
      <c r="DH467" s="51"/>
      <c r="DI467" s="51"/>
      <c r="DJ467" s="51"/>
      <c r="DK467" s="51"/>
      <c r="DL467" s="51"/>
      <c r="DM467" s="51"/>
      <c r="DN467" s="51"/>
      <c r="DO467" s="51"/>
      <c r="DP467" s="51"/>
      <c r="DQ467" s="51"/>
      <c r="DR467" s="51"/>
      <c r="DS467" s="51"/>
      <c r="DT467" s="51"/>
      <c r="DU467" s="51"/>
      <c r="DV467" s="51"/>
      <c r="DW467" s="51"/>
      <c r="DX467" s="51"/>
      <c r="DY467" s="51"/>
      <c r="DZ467" s="51"/>
      <c r="EA467" s="51"/>
      <c r="EB467" s="51"/>
      <c r="EC467" s="51"/>
      <c r="ED467" s="51"/>
      <c r="EE467" s="51"/>
      <c r="EF467" s="51"/>
      <c r="EG467" s="51"/>
      <c r="EH467" s="51"/>
      <c r="EI467" s="51"/>
      <c r="EJ467" s="51"/>
      <c r="EK467" s="51"/>
      <c r="EL467" s="51"/>
      <c r="EM467" s="51"/>
      <c r="EN467" s="51"/>
      <c r="EO467" s="51"/>
      <c r="EP467" s="51"/>
      <c r="EQ467" s="51"/>
      <c r="ER467" s="51"/>
      <c r="ES467" s="51"/>
      <c r="ET467" s="51"/>
      <c r="EU467" s="51"/>
      <c r="EV467" s="51"/>
      <c r="EW467" s="51"/>
      <c r="EX467" s="51"/>
      <c r="EY467" s="51"/>
      <c r="EZ467" s="51"/>
      <c r="FA467" s="51"/>
      <c r="FB467" s="51"/>
      <c r="FC467" s="51"/>
      <c r="FD467" s="51"/>
      <c r="FE467" s="51"/>
      <c r="FF467" s="51"/>
      <c r="FG467" s="51"/>
      <c r="FH467" s="51"/>
      <c r="FI467" s="51"/>
      <c r="FJ467" s="51"/>
      <c r="FK467" s="51"/>
      <c r="FL467" s="51"/>
      <c r="FM467" s="51"/>
      <c r="FN467" s="51"/>
      <c r="FO467" s="51"/>
      <c r="FP467" s="51"/>
      <c r="FQ467" s="51"/>
      <c r="FR467" s="51"/>
      <c r="FS467" s="51"/>
      <c r="FT467" s="51"/>
      <c r="FU467" s="51"/>
      <c r="FV467" s="51"/>
      <c r="FW467" s="51"/>
      <c r="FX467" s="51"/>
      <c r="FY467" s="51"/>
      <c r="FZ467" s="51"/>
      <c r="GA467" s="51"/>
      <c r="GB467" s="51"/>
      <c r="GC467" s="51"/>
      <c r="GD467" s="51"/>
      <c r="GE467" s="51"/>
      <c r="GF467" s="51"/>
      <c r="GG467" s="51"/>
      <c r="GH467" s="51"/>
      <c r="GI467" s="51"/>
      <c r="GJ467" s="51"/>
      <c r="GK467" s="51"/>
      <c r="GL467" s="51"/>
      <c r="GM467" s="51"/>
      <c r="GN467" s="51"/>
      <c r="GO467" s="51"/>
      <c r="GP467" s="51"/>
      <c r="GQ467" s="51"/>
      <c r="GR467" s="51"/>
      <c r="GS467" s="51"/>
      <c r="GT467" s="51"/>
      <c r="GU467" s="51"/>
      <c r="GV467" s="51"/>
      <c r="GW467" s="51"/>
      <c r="GX467" s="51"/>
      <c r="GY467" s="51"/>
      <c r="GZ467" s="51"/>
      <c r="HA467" s="51"/>
      <c r="HB467" s="51"/>
      <c r="HC467" s="51"/>
      <c r="HD467" s="51"/>
      <c r="HE467" s="51"/>
      <c r="HF467" s="51"/>
      <c r="HG467" s="51"/>
      <c r="HH467" s="51"/>
      <c r="HI467" s="51"/>
      <c r="HJ467" s="51"/>
      <c r="HK467" s="51"/>
      <c r="HL467" s="51"/>
      <c r="HM467" s="51"/>
      <c r="HN467" s="51"/>
      <c r="HO467" s="51"/>
      <c r="HP467" s="51"/>
      <c r="HQ467" s="51"/>
      <c r="HR467" s="51"/>
      <c r="HS467" s="51"/>
      <c r="HT467" s="51"/>
      <c r="HU467" s="51"/>
      <c r="HV467" s="51"/>
      <c r="HW467" s="51"/>
      <c r="HX467" s="51"/>
      <c r="HY467" s="51"/>
      <c r="HZ467" s="51"/>
      <c r="IA467" s="51"/>
      <c r="IB467" s="51"/>
      <c r="IC467" s="51"/>
      <c r="ID467" s="51"/>
      <c r="IE467" s="51"/>
      <c r="IF467" s="51"/>
      <c r="IG467" s="51"/>
      <c r="IH467" s="51"/>
      <c r="II467" s="51"/>
      <c r="IJ467" s="51"/>
      <c r="IK467" s="51"/>
      <c r="IL467" s="51"/>
      <c r="IM467" s="51"/>
      <c r="IN467" s="51"/>
      <c r="IO467" s="51"/>
      <c r="IP467" s="51"/>
      <c r="IQ467" s="51"/>
      <c r="IR467" s="51"/>
      <c r="IS467" s="51"/>
      <c r="IT467" s="51"/>
      <c r="IU467" s="51"/>
      <c r="IV467" s="51"/>
    </row>
    <row r="468" hidden="1">
      <c r="B468" s="829" t="s">
        <v>109</v>
      </c>
      <c r="C468" s="823">
        <v>0</v>
      </c>
      <c r="D468" s="823">
        <v>0</v>
      </c>
      <c r="E468" s="823">
        <v>0</v>
      </c>
      <c r="F468" s="823">
        <v>0</v>
      </c>
      <c r="G468" s="823">
        <v>0</v>
      </c>
      <c r="H468" s="823">
        <v>0</v>
      </c>
      <c r="I468" s="823">
        <v>0</v>
      </c>
      <c r="J468" s="823">
        <v>0</v>
      </c>
      <c r="K468" s="823">
        <v>0</v>
      </c>
      <c r="L468" s="823">
        <v>0</v>
      </c>
      <c r="M468" s="823">
        <v>0</v>
      </c>
      <c r="N468" s="823">
        <v>0</v>
      </c>
      <c r="O468" s="823">
        <v>0</v>
      </c>
      <c r="P468" s="823">
        <v>0</v>
      </c>
      <c r="Q468" s="823">
        <v>0</v>
      </c>
      <c r="R468" s="823">
        <v>0</v>
      </c>
      <c r="S468" s="823">
        <v>0</v>
      </c>
      <c r="T468" s="823">
        <v>0</v>
      </c>
      <c r="U468" s="823">
        <v>0</v>
      </c>
      <c r="V468" s="823">
        <v>0</v>
      </c>
      <c r="W468" s="823">
        <v>0</v>
      </c>
      <c r="X468" s="823">
        <v>0</v>
      </c>
      <c r="Y468" s="823">
        <v>0</v>
      </c>
      <c r="Z468" s="823">
        <v>0</v>
      </c>
      <c r="AA468" s="823">
        <v>0</v>
      </c>
      <c r="AB468" s="823">
        <v>0</v>
      </c>
      <c r="AC468" s="825">
        <v>0</v>
      </c>
      <c r="AD468" s="825">
        <v>0</v>
      </c>
      <c r="AE468" s="825">
        <v>0</v>
      </c>
      <c r="AF468" s="825">
        <v>0</v>
      </c>
      <c r="AG468" s="825">
        <v>0</v>
      </c>
      <c r="AH468" s="825">
        <v>0</v>
      </c>
      <c r="AI468" s="825">
        <v>0</v>
      </c>
      <c r="AJ468" s="825">
        <v>0</v>
      </c>
      <c r="AK468" s="825">
        <v>0</v>
      </c>
      <c r="AL468" s="825">
        <v>0</v>
      </c>
      <c r="AM468" s="825">
        <v>0</v>
      </c>
      <c r="AN468" s="825">
        <v>0</v>
      </c>
      <c r="AO468" s="825">
        <v>0</v>
      </c>
      <c r="AP468" s="825">
        <v>0</v>
      </c>
      <c r="AQ468" s="51"/>
      <c r="AR468" s="51"/>
      <c r="AS468" s="51"/>
      <c r="AT468" s="51"/>
      <c r="AU468" s="51"/>
      <c r="AV468" s="51"/>
      <c r="AW468" s="51"/>
      <c r="AX468" s="51"/>
      <c r="AY468" s="51"/>
      <c r="AZ468" s="51"/>
      <c r="BA468" s="51"/>
      <c r="BB468" s="51"/>
      <c r="BC468" s="51"/>
      <c r="BD468" s="51"/>
      <c r="BE468" s="51"/>
      <c r="BF468" s="51"/>
      <c r="BG468" s="51"/>
      <c r="BH468" s="51"/>
      <c r="BI468" s="51"/>
      <c r="BJ468" s="51"/>
      <c r="BK468" s="51"/>
      <c r="BL468" s="51"/>
      <c r="BM468" s="51"/>
      <c r="BN468" s="51"/>
      <c r="BO468" s="51"/>
      <c r="BP468" s="51"/>
      <c r="BQ468" s="51"/>
      <c r="BR468" s="51"/>
      <c r="BS468" s="51"/>
      <c r="BT468" s="51"/>
      <c r="BU468" s="51"/>
      <c r="BV468" s="51"/>
      <c r="BW468" s="51"/>
      <c r="BX468" s="51"/>
      <c r="BY468" s="51"/>
      <c r="BZ468" s="51"/>
      <c r="CA468" s="51"/>
      <c r="CB468" s="51"/>
      <c r="CC468" s="51"/>
      <c r="CD468" s="51"/>
      <c r="CE468" s="51"/>
      <c r="CF468" s="51"/>
      <c r="CG468" s="51"/>
      <c r="CH468" s="51"/>
      <c r="CI468" s="51"/>
      <c r="CJ468" s="51"/>
      <c r="CK468" s="51"/>
      <c r="CL468" s="51"/>
      <c r="CM468" s="51"/>
      <c r="CN468" s="51"/>
      <c r="CO468" s="51"/>
      <c r="CP468" s="51"/>
      <c r="CQ468" s="51"/>
      <c r="CR468" s="51"/>
      <c r="CS468" s="51"/>
      <c r="CT468" s="51"/>
      <c r="CU468" s="51"/>
      <c r="CV468" s="51"/>
      <c r="CW468" s="51"/>
      <c r="CX468" s="51"/>
      <c r="CY468" s="51"/>
      <c r="CZ468" s="51"/>
      <c r="DA468" s="51"/>
      <c r="DB468" s="51"/>
      <c r="DC468" s="51"/>
      <c r="DD468" s="51"/>
      <c r="DE468" s="51"/>
      <c r="DF468" s="51"/>
      <c r="DG468" s="51"/>
      <c r="DH468" s="51"/>
      <c r="DI468" s="51"/>
      <c r="DJ468" s="51"/>
      <c r="DK468" s="51"/>
      <c r="DL468" s="51"/>
      <c r="DM468" s="51"/>
      <c r="DN468" s="51"/>
      <c r="DO468" s="51"/>
      <c r="DP468" s="51"/>
      <c r="DQ468" s="51"/>
      <c r="DR468" s="51"/>
      <c r="DS468" s="51"/>
      <c r="DT468" s="51"/>
      <c r="DU468" s="51"/>
      <c r="DV468" s="51"/>
      <c r="DW468" s="51"/>
      <c r="DX468" s="51"/>
      <c r="DY468" s="51"/>
      <c r="DZ468" s="51"/>
      <c r="EA468" s="51"/>
      <c r="EB468" s="51"/>
      <c r="EC468" s="51"/>
      <c r="ED468" s="51"/>
      <c r="EE468" s="51"/>
      <c r="EF468" s="51"/>
      <c r="EG468" s="51"/>
      <c r="EH468" s="51"/>
      <c r="EI468" s="51"/>
      <c r="EJ468" s="51"/>
      <c r="EK468" s="51"/>
      <c r="EL468" s="51"/>
      <c r="EM468" s="51"/>
      <c r="EN468" s="51"/>
      <c r="EO468" s="51"/>
      <c r="EP468" s="51"/>
      <c r="EQ468" s="51"/>
      <c r="ER468" s="51"/>
      <c r="ES468" s="51"/>
      <c r="ET468" s="51"/>
      <c r="EU468" s="51"/>
      <c r="EV468" s="51"/>
      <c r="EW468" s="51"/>
      <c r="EX468" s="51"/>
      <c r="EY468" s="51"/>
      <c r="EZ468" s="51"/>
      <c r="FA468" s="51"/>
      <c r="FB468" s="51"/>
      <c r="FC468" s="51"/>
      <c r="FD468" s="51"/>
      <c r="FE468" s="51"/>
      <c r="FF468" s="51"/>
      <c r="FG468" s="51"/>
      <c r="FH468" s="51"/>
      <c r="FI468" s="51"/>
      <c r="FJ468" s="51"/>
      <c r="FK468" s="51"/>
      <c r="FL468" s="51"/>
      <c r="FM468" s="51"/>
      <c r="FN468" s="51"/>
      <c r="FO468" s="51"/>
      <c r="FP468" s="51"/>
      <c r="FQ468" s="51"/>
      <c r="FR468" s="51"/>
      <c r="FS468" s="51"/>
      <c r="FT468" s="51"/>
      <c r="FU468" s="51"/>
      <c r="FV468" s="51"/>
      <c r="FW468" s="51"/>
      <c r="FX468" s="51"/>
      <c r="FY468" s="51"/>
      <c r="FZ468" s="51"/>
      <c r="GA468" s="51"/>
      <c r="GB468" s="51"/>
      <c r="GC468" s="51"/>
      <c r="GD468" s="51"/>
      <c r="GE468" s="51"/>
      <c r="GF468" s="51"/>
      <c r="GG468" s="51"/>
      <c r="GH468" s="51"/>
      <c r="GI468" s="51"/>
      <c r="GJ468" s="51"/>
      <c r="GK468" s="51"/>
      <c r="GL468" s="51"/>
      <c r="GM468" s="51"/>
      <c r="GN468" s="51"/>
      <c r="GO468" s="51"/>
      <c r="GP468" s="51"/>
      <c r="GQ468" s="51"/>
      <c r="GR468" s="51"/>
      <c r="GS468" s="51"/>
      <c r="GT468" s="51"/>
      <c r="GU468" s="51"/>
      <c r="GV468" s="51"/>
      <c r="GW468" s="51"/>
      <c r="GX468" s="51"/>
      <c r="GY468" s="51"/>
      <c r="GZ468" s="51"/>
      <c r="HA468" s="51"/>
      <c r="HB468" s="51"/>
      <c r="HC468" s="51"/>
      <c r="HD468" s="51"/>
      <c r="HE468" s="51"/>
      <c r="HF468" s="51"/>
      <c r="HG468" s="51"/>
      <c r="HH468" s="51"/>
      <c r="HI468" s="51"/>
      <c r="HJ468" s="51"/>
      <c r="HK468" s="51"/>
      <c r="HL468" s="51"/>
      <c r="HM468" s="51"/>
      <c r="HN468" s="51"/>
      <c r="HO468" s="51"/>
      <c r="HP468" s="51"/>
      <c r="HQ468" s="51"/>
      <c r="HR468" s="51"/>
      <c r="HS468" s="51"/>
      <c r="HT468" s="51"/>
      <c r="HU468" s="51"/>
      <c r="HV468" s="51"/>
      <c r="HW468" s="51"/>
      <c r="HX468" s="51"/>
      <c r="HY468" s="51"/>
      <c r="HZ468" s="51"/>
      <c r="IA468" s="51"/>
      <c r="IB468" s="51"/>
      <c r="IC468" s="51"/>
      <c r="ID468" s="51"/>
      <c r="IE468" s="51"/>
      <c r="IF468" s="51"/>
      <c r="IG468" s="51"/>
      <c r="IH468" s="51"/>
      <c r="II468" s="51"/>
      <c r="IJ468" s="51"/>
      <c r="IK468" s="51"/>
      <c r="IL468" s="51"/>
      <c r="IM468" s="51"/>
      <c r="IN468" s="51"/>
      <c r="IO468" s="51"/>
      <c r="IP468" s="51"/>
      <c r="IQ468" s="51"/>
      <c r="IR468" s="51"/>
      <c r="IS468" s="51"/>
      <c r="IT468" s="51"/>
      <c r="IU468" s="51"/>
      <c r="IV468" s="51"/>
    </row>
    <row r="469" hidden="1">
      <c r="B469" s="826" t="s">
        <v>110</v>
      </c>
      <c r="C469" s="827">
        <v>0</v>
      </c>
      <c r="D469" s="827">
        <v>0</v>
      </c>
      <c r="E469" s="827">
        <v>0</v>
      </c>
      <c r="F469" s="827">
        <v>0</v>
      </c>
      <c r="G469" s="827">
        <v>0</v>
      </c>
      <c r="H469" s="827">
        <v>0</v>
      </c>
      <c r="I469" s="827">
        <v>0</v>
      </c>
      <c r="J469" s="827">
        <v>0</v>
      </c>
      <c r="K469" s="827">
        <v>0</v>
      </c>
      <c r="L469" s="827">
        <v>0</v>
      </c>
      <c r="M469" s="827">
        <v>0</v>
      </c>
      <c r="N469" s="827">
        <v>0</v>
      </c>
      <c r="O469" s="827">
        <v>0</v>
      </c>
      <c r="P469" s="827">
        <v>0</v>
      </c>
      <c r="Q469" s="827">
        <v>0</v>
      </c>
      <c r="R469" s="827">
        <v>0</v>
      </c>
      <c r="S469" s="827">
        <v>0</v>
      </c>
      <c r="T469" s="827">
        <v>0</v>
      </c>
      <c r="U469" s="827">
        <v>0</v>
      </c>
      <c r="V469" s="827">
        <v>0</v>
      </c>
      <c r="W469" s="827">
        <v>0</v>
      </c>
      <c r="X469" s="827">
        <v>0</v>
      </c>
      <c r="Y469" s="827">
        <v>0</v>
      </c>
      <c r="Z469" s="827">
        <v>0</v>
      </c>
      <c r="AA469" s="827">
        <v>0</v>
      </c>
      <c r="AB469" s="827">
        <v>0</v>
      </c>
      <c r="AC469" s="828">
        <v>0</v>
      </c>
      <c r="AD469" s="828">
        <v>0</v>
      </c>
      <c r="AE469" s="828">
        <v>0</v>
      </c>
      <c r="AF469" s="828">
        <v>0</v>
      </c>
      <c r="AG469" s="828">
        <v>0</v>
      </c>
      <c r="AH469" s="828">
        <v>0</v>
      </c>
      <c r="AI469" s="828">
        <v>0</v>
      </c>
      <c r="AJ469" s="828">
        <v>0</v>
      </c>
      <c r="AK469" s="828">
        <v>0</v>
      </c>
      <c r="AL469" s="828">
        <v>0</v>
      </c>
      <c r="AM469" s="828">
        <v>0</v>
      </c>
      <c r="AN469" s="828">
        <v>0</v>
      </c>
      <c r="AO469" s="828">
        <v>0</v>
      </c>
      <c r="AP469" s="828">
        <v>0</v>
      </c>
      <c r="AQ469" s="51"/>
      <c r="AR469" s="51"/>
      <c r="AS469" s="51"/>
      <c r="AT469" s="51"/>
      <c r="AU469" s="51"/>
      <c r="AV469" s="51"/>
      <c r="AW469" s="51"/>
      <c r="AX469" s="51"/>
      <c r="AY469" s="51"/>
      <c r="AZ469" s="51"/>
      <c r="BA469" s="51"/>
      <c r="BB469" s="51"/>
      <c r="BC469" s="51"/>
      <c r="BD469" s="51"/>
      <c r="BE469" s="51"/>
      <c r="BF469" s="51"/>
      <c r="BG469" s="51"/>
      <c r="BH469" s="51"/>
      <c r="BI469" s="51"/>
      <c r="BJ469" s="51"/>
      <c r="BK469" s="51"/>
      <c r="BL469" s="51"/>
      <c r="BM469" s="51"/>
      <c r="BN469" s="51"/>
      <c r="BO469" s="51"/>
      <c r="BP469" s="51"/>
      <c r="BQ469" s="51"/>
      <c r="BR469" s="51"/>
      <c r="BS469" s="51"/>
      <c r="BT469" s="51"/>
      <c r="BU469" s="51"/>
      <c r="BV469" s="51"/>
      <c r="BW469" s="51"/>
      <c r="BX469" s="51"/>
      <c r="BY469" s="51"/>
      <c r="BZ469" s="51"/>
      <c r="CA469" s="51"/>
      <c r="CB469" s="51"/>
      <c r="CC469" s="51"/>
      <c r="CD469" s="51"/>
      <c r="CE469" s="51"/>
      <c r="CF469" s="51"/>
      <c r="CG469" s="51"/>
      <c r="CH469" s="51"/>
      <c r="CI469" s="51"/>
      <c r="CJ469" s="51"/>
      <c r="CK469" s="51"/>
      <c r="CL469" s="51"/>
      <c r="CM469" s="51"/>
      <c r="CN469" s="51"/>
      <c r="CO469" s="51"/>
      <c r="CP469" s="51"/>
      <c r="CQ469" s="51"/>
      <c r="CR469" s="51"/>
      <c r="CS469" s="51"/>
      <c r="CT469" s="51"/>
      <c r="CU469" s="51"/>
      <c r="CV469" s="51"/>
      <c r="CW469" s="51"/>
      <c r="CX469" s="51"/>
      <c r="CY469" s="51"/>
      <c r="CZ469" s="51"/>
      <c r="DA469" s="51"/>
      <c r="DB469" s="51"/>
      <c r="DC469" s="51"/>
      <c r="DD469" s="51"/>
      <c r="DE469" s="51"/>
      <c r="DF469" s="51"/>
      <c r="DG469" s="51"/>
      <c r="DH469" s="51"/>
      <c r="DI469" s="51"/>
      <c r="DJ469" s="51"/>
      <c r="DK469" s="51"/>
      <c r="DL469" s="51"/>
      <c r="DM469" s="51"/>
      <c r="DN469" s="51"/>
      <c r="DO469" s="51"/>
      <c r="DP469" s="51"/>
      <c r="DQ469" s="51"/>
      <c r="DR469" s="51"/>
      <c r="DS469" s="51"/>
      <c r="DT469" s="51"/>
      <c r="DU469" s="51"/>
      <c r="DV469" s="51"/>
      <c r="DW469" s="51"/>
      <c r="DX469" s="51"/>
      <c r="DY469" s="51"/>
      <c r="DZ469" s="51"/>
      <c r="EA469" s="51"/>
      <c r="EB469" s="51"/>
      <c r="EC469" s="51"/>
      <c r="ED469" s="51"/>
      <c r="EE469" s="51"/>
      <c r="EF469" s="51"/>
      <c r="EG469" s="51"/>
      <c r="EH469" s="51"/>
      <c r="EI469" s="51"/>
      <c r="EJ469" s="51"/>
      <c r="EK469" s="51"/>
      <c r="EL469" s="51"/>
      <c r="EM469" s="51"/>
      <c r="EN469" s="51"/>
      <c r="EO469" s="51"/>
      <c r="EP469" s="51"/>
      <c r="EQ469" s="51"/>
      <c r="ER469" s="51"/>
      <c r="ES469" s="51"/>
      <c r="ET469" s="51"/>
      <c r="EU469" s="51"/>
      <c r="EV469" s="51"/>
      <c r="EW469" s="51"/>
      <c r="EX469" s="51"/>
      <c r="EY469" s="51"/>
      <c r="EZ469" s="51"/>
      <c r="FA469" s="51"/>
      <c r="FB469" s="51"/>
      <c r="FC469" s="51"/>
      <c r="FD469" s="51"/>
      <c r="FE469" s="51"/>
      <c r="FF469" s="51"/>
      <c r="FG469" s="51"/>
      <c r="FH469" s="51"/>
      <c r="FI469" s="51"/>
      <c r="FJ469" s="51"/>
      <c r="FK469" s="51"/>
      <c r="FL469" s="51"/>
      <c r="FM469" s="51"/>
      <c r="FN469" s="51"/>
      <c r="FO469" s="51"/>
      <c r="FP469" s="51"/>
      <c r="FQ469" s="51"/>
      <c r="FR469" s="51"/>
      <c r="FS469" s="51"/>
      <c r="FT469" s="51"/>
      <c r="FU469" s="51"/>
      <c r="FV469" s="51"/>
      <c r="FW469" s="51"/>
      <c r="FX469" s="51"/>
      <c r="FY469" s="51"/>
      <c r="FZ469" s="51"/>
      <c r="GA469" s="51"/>
      <c r="GB469" s="51"/>
      <c r="GC469" s="51"/>
      <c r="GD469" s="51"/>
      <c r="GE469" s="51"/>
      <c r="GF469" s="51"/>
      <c r="GG469" s="51"/>
      <c r="GH469" s="51"/>
      <c r="GI469" s="51"/>
      <c r="GJ469" s="51"/>
      <c r="GK469" s="51"/>
      <c r="GL469" s="51"/>
      <c r="GM469" s="51"/>
      <c r="GN469" s="51"/>
      <c r="GO469" s="51"/>
      <c r="GP469" s="51"/>
      <c r="GQ469" s="51"/>
      <c r="GR469" s="51"/>
      <c r="GS469" s="51"/>
      <c r="GT469" s="51"/>
      <c r="GU469" s="51"/>
      <c r="GV469" s="51"/>
      <c r="GW469" s="51"/>
      <c r="GX469" s="51"/>
      <c r="GY469" s="51"/>
      <c r="GZ469" s="51"/>
      <c r="HA469" s="51"/>
      <c r="HB469" s="51"/>
      <c r="HC469" s="51"/>
      <c r="HD469" s="51"/>
      <c r="HE469" s="51"/>
      <c r="HF469" s="51"/>
      <c r="HG469" s="51"/>
      <c r="HH469" s="51"/>
      <c r="HI469" s="51"/>
      <c r="HJ469" s="51"/>
      <c r="HK469" s="51"/>
      <c r="HL469" s="51"/>
      <c r="HM469" s="51"/>
      <c r="HN469" s="51"/>
      <c r="HO469" s="51"/>
      <c r="HP469" s="51"/>
      <c r="HQ469" s="51"/>
      <c r="HR469" s="51"/>
      <c r="HS469" s="51"/>
      <c r="HT469" s="51"/>
      <c r="HU469" s="51"/>
      <c r="HV469" s="51"/>
      <c r="HW469" s="51"/>
      <c r="HX469" s="51"/>
      <c r="HY469" s="51"/>
      <c r="HZ469" s="51"/>
      <c r="IA469" s="51"/>
      <c r="IB469" s="51"/>
      <c r="IC469" s="51"/>
      <c r="ID469" s="51"/>
      <c r="IE469" s="51"/>
      <c r="IF469" s="51"/>
      <c r="IG469" s="51"/>
      <c r="IH469" s="51"/>
      <c r="II469" s="51"/>
      <c r="IJ469" s="51"/>
      <c r="IK469" s="51"/>
      <c r="IL469" s="51"/>
      <c r="IM469" s="51"/>
      <c r="IN469" s="51"/>
      <c r="IO469" s="51"/>
      <c r="IP469" s="51"/>
      <c r="IQ469" s="51"/>
      <c r="IR469" s="51"/>
      <c r="IS469" s="51"/>
      <c r="IT469" s="51"/>
      <c r="IU469" s="51"/>
      <c r="IV469" s="51"/>
    </row>
    <row r="470" hidden="1">
      <c r="B470" s="829" t="s">
        <v>16</v>
      </c>
      <c r="C470" s="823">
        <v>0</v>
      </c>
      <c r="D470" s="823">
        <v>0</v>
      </c>
      <c r="E470" s="823">
        <v>0</v>
      </c>
      <c r="F470" s="823">
        <v>0</v>
      </c>
      <c r="G470" s="823">
        <v>0</v>
      </c>
      <c r="H470" s="823">
        <v>0</v>
      </c>
      <c r="I470" s="823">
        <v>0</v>
      </c>
      <c r="J470" s="823">
        <v>0</v>
      </c>
      <c r="K470" s="823">
        <v>0</v>
      </c>
      <c r="L470" s="823">
        <v>0</v>
      </c>
      <c r="M470" s="823">
        <v>0</v>
      </c>
      <c r="N470" s="823">
        <v>0</v>
      </c>
      <c r="O470" s="823">
        <v>0</v>
      </c>
      <c r="P470" s="823">
        <v>0</v>
      </c>
      <c r="Q470" s="823">
        <v>0</v>
      </c>
      <c r="R470" s="823">
        <v>0</v>
      </c>
      <c r="S470" s="823">
        <v>0</v>
      </c>
      <c r="T470" s="823">
        <v>0</v>
      </c>
      <c r="U470" s="823">
        <v>0</v>
      </c>
      <c r="V470" s="823">
        <v>0</v>
      </c>
      <c r="W470" s="823">
        <v>0</v>
      </c>
      <c r="X470" s="823">
        <v>0</v>
      </c>
      <c r="Y470" s="823">
        <v>0</v>
      </c>
      <c r="Z470" s="823">
        <v>0</v>
      </c>
      <c r="AA470" s="823">
        <v>0</v>
      </c>
      <c r="AB470" s="823">
        <v>0</v>
      </c>
      <c r="AC470" s="825">
        <v>0</v>
      </c>
      <c r="AD470" s="825">
        <v>0</v>
      </c>
      <c r="AE470" s="825">
        <v>0</v>
      </c>
      <c r="AF470" s="825">
        <v>0</v>
      </c>
      <c r="AG470" s="825">
        <v>0</v>
      </c>
      <c r="AH470" s="825">
        <v>0</v>
      </c>
      <c r="AI470" s="825">
        <v>0</v>
      </c>
      <c r="AJ470" s="825">
        <v>0</v>
      </c>
      <c r="AK470" s="825">
        <v>0</v>
      </c>
      <c r="AL470" s="825">
        <v>0</v>
      </c>
      <c r="AM470" s="825">
        <v>0</v>
      </c>
      <c r="AN470" s="825">
        <v>0</v>
      </c>
      <c r="AO470" s="825">
        <v>0</v>
      </c>
      <c r="AP470" s="825">
        <v>0</v>
      </c>
      <c r="AQ470" s="51"/>
      <c r="AR470" s="51"/>
      <c r="AS470" s="51"/>
      <c r="AT470" s="51"/>
      <c r="AU470" s="51"/>
      <c r="AV470" s="51"/>
      <c r="AW470" s="51"/>
      <c r="AX470" s="51"/>
      <c r="AY470" s="51"/>
      <c r="AZ470" s="51"/>
      <c r="BA470" s="51"/>
      <c r="BB470" s="51"/>
      <c r="BC470" s="51"/>
      <c r="BD470" s="51"/>
      <c r="BE470" s="51"/>
      <c r="BF470" s="51"/>
      <c r="BG470" s="51"/>
      <c r="BH470" s="51"/>
      <c r="BI470" s="51"/>
      <c r="BJ470" s="51"/>
      <c r="BK470" s="51"/>
      <c r="BL470" s="51"/>
      <c r="BM470" s="51"/>
      <c r="BN470" s="51"/>
      <c r="BO470" s="51"/>
      <c r="BP470" s="51"/>
      <c r="BQ470" s="51"/>
      <c r="BR470" s="51"/>
      <c r="BS470" s="51"/>
      <c r="BT470" s="51"/>
      <c r="BU470" s="51"/>
      <c r="BV470" s="51"/>
      <c r="BW470" s="51"/>
      <c r="BX470" s="51"/>
      <c r="BY470" s="51"/>
      <c r="BZ470" s="51"/>
      <c r="CA470" s="51"/>
      <c r="CB470" s="51"/>
      <c r="CC470" s="51"/>
      <c r="CD470" s="51"/>
      <c r="CE470" s="51"/>
      <c r="CF470" s="51"/>
      <c r="CG470" s="51"/>
      <c r="CH470" s="51"/>
      <c r="CI470" s="51"/>
      <c r="CJ470" s="51"/>
      <c r="CK470" s="51"/>
      <c r="CL470" s="51"/>
      <c r="CM470" s="51"/>
      <c r="CN470" s="51"/>
      <c r="CO470" s="51"/>
      <c r="CP470" s="51"/>
      <c r="CQ470" s="51"/>
      <c r="CR470" s="51"/>
      <c r="CS470" s="51"/>
      <c r="CT470" s="51"/>
      <c r="CU470" s="51"/>
      <c r="CV470" s="51"/>
      <c r="CW470" s="51"/>
      <c r="CX470" s="51"/>
      <c r="CY470" s="51"/>
      <c r="CZ470" s="51"/>
      <c r="DA470" s="51"/>
      <c r="DB470" s="51"/>
      <c r="DC470" s="51"/>
      <c r="DD470" s="51"/>
      <c r="DE470" s="51"/>
      <c r="DF470" s="51"/>
      <c r="DG470" s="51"/>
      <c r="DH470" s="51"/>
      <c r="DI470" s="51"/>
      <c r="DJ470" s="51"/>
      <c r="DK470" s="51"/>
      <c r="DL470" s="51"/>
      <c r="DM470" s="51"/>
      <c r="DN470" s="51"/>
      <c r="DO470" s="51"/>
      <c r="DP470" s="51"/>
      <c r="DQ470" s="51"/>
      <c r="DR470" s="51"/>
      <c r="DS470" s="51"/>
      <c r="DT470" s="51"/>
      <c r="DU470" s="51"/>
      <c r="DV470" s="51"/>
      <c r="DW470" s="51"/>
      <c r="DX470" s="51"/>
      <c r="DY470" s="51"/>
      <c r="DZ470" s="51"/>
      <c r="EA470" s="51"/>
      <c r="EB470" s="51"/>
      <c r="EC470" s="51"/>
      <c r="ED470" s="51"/>
      <c r="EE470" s="51"/>
      <c r="EF470" s="51"/>
      <c r="EG470" s="51"/>
      <c r="EH470" s="51"/>
      <c r="EI470" s="51"/>
      <c r="EJ470" s="51"/>
      <c r="EK470" s="51"/>
      <c r="EL470" s="51"/>
      <c r="EM470" s="51"/>
      <c r="EN470" s="51"/>
      <c r="EO470" s="51"/>
      <c r="EP470" s="51"/>
      <c r="EQ470" s="51"/>
      <c r="ER470" s="51"/>
      <c r="ES470" s="51"/>
      <c r="ET470" s="51"/>
      <c r="EU470" s="51"/>
      <c r="EV470" s="51"/>
      <c r="EW470" s="51"/>
      <c r="EX470" s="51"/>
      <c r="EY470" s="51"/>
      <c r="EZ470" s="51"/>
      <c r="FA470" s="51"/>
      <c r="FB470" s="51"/>
      <c r="FC470" s="51"/>
      <c r="FD470" s="51"/>
      <c r="FE470" s="51"/>
      <c r="FF470" s="51"/>
      <c r="FG470" s="51"/>
      <c r="FH470" s="51"/>
      <c r="FI470" s="51"/>
      <c r="FJ470" s="51"/>
      <c r="FK470" s="51"/>
      <c r="FL470" s="51"/>
      <c r="FM470" s="51"/>
      <c r="FN470" s="51"/>
      <c r="FO470" s="51"/>
      <c r="FP470" s="51"/>
      <c r="FQ470" s="51"/>
      <c r="FR470" s="51"/>
      <c r="FS470" s="51"/>
      <c r="FT470" s="51"/>
      <c r="FU470" s="51"/>
      <c r="FV470" s="51"/>
      <c r="FW470" s="51"/>
      <c r="FX470" s="51"/>
      <c r="FY470" s="51"/>
      <c r="FZ470" s="51"/>
      <c r="GA470" s="51"/>
      <c r="GB470" s="51"/>
      <c r="GC470" s="51"/>
      <c r="GD470" s="51"/>
      <c r="GE470" s="51"/>
      <c r="GF470" s="51"/>
      <c r="GG470" s="51"/>
      <c r="GH470" s="51"/>
      <c r="GI470" s="51"/>
      <c r="GJ470" s="51"/>
      <c r="GK470" s="51"/>
      <c r="GL470" s="51"/>
      <c r="GM470" s="51"/>
      <c r="GN470" s="51"/>
      <c r="GO470" s="51"/>
      <c r="GP470" s="51"/>
      <c r="GQ470" s="51"/>
      <c r="GR470" s="51"/>
      <c r="GS470" s="51"/>
      <c r="GT470" s="51"/>
      <c r="GU470" s="51"/>
      <c r="GV470" s="51"/>
      <c r="GW470" s="51"/>
      <c r="GX470" s="51"/>
      <c r="GY470" s="51"/>
      <c r="GZ470" s="51"/>
      <c r="HA470" s="51"/>
      <c r="HB470" s="51"/>
      <c r="HC470" s="51"/>
      <c r="HD470" s="51"/>
      <c r="HE470" s="51"/>
      <c r="HF470" s="51"/>
      <c r="HG470" s="51"/>
      <c r="HH470" s="51"/>
      <c r="HI470" s="51"/>
      <c r="HJ470" s="51"/>
      <c r="HK470" s="51"/>
      <c r="HL470" s="51"/>
      <c r="HM470" s="51"/>
      <c r="HN470" s="51"/>
      <c r="HO470" s="51"/>
      <c r="HP470" s="51"/>
      <c r="HQ470" s="51"/>
      <c r="HR470" s="51"/>
      <c r="HS470" s="51"/>
      <c r="HT470" s="51"/>
      <c r="HU470" s="51"/>
      <c r="HV470" s="51"/>
      <c r="HW470" s="51"/>
      <c r="HX470" s="51"/>
      <c r="HY470" s="51"/>
      <c r="HZ470" s="51"/>
      <c r="IA470" s="51"/>
      <c r="IB470" s="51"/>
      <c r="IC470" s="51"/>
      <c r="ID470" s="51"/>
      <c r="IE470" s="51"/>
      <c r="IF470" s="51"/>
      <c r="IG470" s="51"/>
      <c r="IH470" s="51"/>
      <c r="II470" s="51"/>
      <c r="IJ470" s="51"/>
      <c r="IK470" s="51"/>
      <c r="IL470" s="51"/>
      <c r="IM470" s="51"/>
      <c r="IN470" s="51"/>
      <c r="IO470" s="51"/>
      <c r="IP470" s="51"/>
      <c r="IQ470" s="51"/>
      <c r="IR470" s="51"/>
      <c r="IS470" s="51"/>
      <c r="IT470" s="51"/>
      <c r="IU470" s="51"/>
      <c r="IV470" s="51"/>
    </row>
    <row r="471" hidden="1">
      <c r="B471" s="826" t="s">
        <v>17</v>
      </c>
      <c r="C471" s="827">
        <v>0</v>
      </c>
      <c r="D471" s="827">
        <v>0</v>
      </c>
      <c r="E471" s="827">
        <v>0</v>
      </c>
      <c r="F471" s="827">
        <v>0</v>
      </c>
      <c r="G471" s="827">
        <v>0</v>
      </c>
      <c r="H471" s="827">
        <v>0</v>
      </c>
      <c r="I471" s="827">
        <v>0</v>
      </c>
      <c r="J471" s="827">
        <v>0</v>
      </c>
      <c r="K471" s="827">
        <v>0</v>
      </c>
      <c r="L471" s="827">
        <v>0</v>
      </c>
      <c r="M471" s="827">
        <v>0</v>
      </c>
      <c r="N471" s="827">
        <v>0</v>
      </c>
      <c r="O471" s="827">
        <v>0</v>
      </c>
      <c r="P471" s="827">
        <v>0</v>
      </c>
      <c r="Q471" s="827">
        <v>0</v>
      </c>
      <c r="R471" s="827">
        <v>0</v>
      </c>
      <c r="S471" s="827">
        <v>0</v>
      </c>
      <c r="T471" s="827">
        <v>0</v>
      </c>
      <c r="U471" s="827">
        <v>0</v>
      </c>
      <c r="V471" s="827">
        <v>0</v>
      </c>
      <c r="W471" s="827">
        <v>0</v>
      </c>
      <c r="X471" s="827">
        <v>0</v>
      </c>
      <c r="Y471" s="827">
        <v>0</v>
      </c>
      <c r="Z471" s="827">
        <v>0</v>
      </c>
      <c r="AA471" s="827">
        <v>0</v>
      </c>
      <c r="AB471" s="827">
        <v>0</v>
      </c>
      <c r="AC471" s="828">
        <v>0</v>
      </c>
      <c r="AD471" s="828">
        <v>0</v>
      </c>
      <c r="AE471" s="828">
        <v>0</v>
      </c>
      <c r="AF471" s="828">
        <v>2</v>
      </c>
      <c r="AG471" s="828">
        <v>2</v>
      </c>
      <c r="AH471" s="828">
        <v>2</v>
      </c>
      <c r="AI471" s="828">
        <v>2</v>
      </c>
      <c r="AJ471" s="828">
        <v>1</v>
      </c>
      <c r="AK471" s="828">
        <v>1</v>
      </c>
      <c r="AL471" s="828">
        <v>1</v>
      </c>
      <c r="AM471" s="828">
        <v>1</v>
      </c>
      <c r="AN471" s="828">
        <v>1</v>
      </c>
      <c r="AO471" s="828">
        <v>1</v>
      </c>
      <c r="AP471" s="828">
        <v>1</v>
      </c>
      <c r="AQ471" s="51"/>
      <c r="AR471" s="51"/>
      <c r="AS471" s="51"/>
      <c r="AT471" s="51"/>
      <c r="AU471" s="51"/>
      <c r="AV471" s="51"/>
      <c r="AW471" s="51"/>
      <c r="AX471" s="51"/>
      <c r="AY471" s="51"/>
      <c r="AZ471" s="51"/>
      <c r="BA471" s="51"/>
      <c r="BB471" s="51"/>
      <c r="BC471" s="51"/>
      <c r="BD471" s="51"/>
      <c r="BE471" s="51"/>
      <c r="BF471" s="51"/>
      <c r="BG471" s="51"/>
      <c r="BH471" s="51"/>
      <c r="BI471" s="51"/>
      <c r="BJ471" s="51"/>
      <c r="BK471" s="51"/>
      <c r="BL471" s="51"/>
      <c r="BM471" s="51"/>
      <c r="BN471" s="51"/>
      <c r="BO471" s="51"/>
      <c r="BP471" s="51"/>
      <c r="BQ471" s="51"/>
      <c r="BR471" s="51"/>
      <c r="BS471" s="51"/>
      <c r="BT471" s="51"/>
      <c r="BU471" s="51"/>
      <c r="BV471" s="51"/>
      <c r="BW471" s="51"/>
      <c r="BX471" s="51"/>
      <c r="BY471" s="51"/>
      <c r="BZ471" s="51"/>
      <c r="CA471" s="51"/>
      <c r="CB471" s="51"/>
      <c r="CC471" s="51"/>
      <c r="CD471" s="51"/>
      <c r="CE471" s="51"/>
      <c r="CF471" s="51"/>
      <c r="CG471" s="51"/>
      <c r="CH471" s="51"/>
      <c r="CI471" s="51"/>
      <c r="CJ471" s="51"/>
      <c r="CK471" s="51"/>
      <c r="CL471" s="51"/>
      <c r="CM471" s="51"/>
      <c r="CN471" s="51"/>
      <c r="CO471" s="51"/>
      <c r="CP471" s="51"/>
      <c r="CQ471" s="51"/>
      <c r="CR471" s="51"/>
      <c r="CS471" s="51"/>
      <c r="CT471" s="51"/>
      <c r="CU471" s="51"/>
      <c r="CV471" s="51"/>
      <c r="CW471" s="51"/>
      <c r="CX471" s="51"/>
      <c r="CY471" s="51"/>
      <c r="CZ471" s="51"/>
      <c r="DA471" s="51"/>
      <c r="DB471" s="51"/>
      <c r="DC471" s="51"/>
      <c r="DD471" s="51"/>
      <c r="DE471" s="51"/>
      <c r="DF471" s="51"/>
      <c r="DG471" s="51"/>
      <c r="DH471" s="51"/>
      <c r="DI471" s="51"/>
      <c r="DJ471" s="51"/>
      <c r="DK471" s="51"/>
      <c r="DL471" s="51"/>
      <c r="DM471" s="51"/>
      <c r="DN471" s="51"/>
      <c r="DO471" s="51"/>
      <c r="DP471" s="51"/>
      <c r="DQ471" s="51"/>
      <c r="DR471" s="51"/>
      <c r="DS471" s="51"/>
      <c r="DT471" s="51"/>
      <c r="DU471" s="51"/>
      <c r="DV471" s="51"/>
      <c r="DW471" s="51"/>
      <c r="DX471" s="51"/>
      <c r="DY471" s="51"/>
      <c r="DZ471" s="51"/>
      <c r="EA471" s="51"/>
      <c r="EB471" s="51"/>
      <c r="EC471" s="51"/>
      <c r="ED471" s="51"/>
      <c r="EE471" s="51"/>
      <c r="EF471" s="51"/>
      <c r="EG471" s="51"/>
      <c r="EH471" s="51"/>
      <c r="EI471" s="51"/>
      <c r="EJ471" s="51"/>
      <c r="EK471" s="51"/>
      <c r="EL471" s="51"/>
      <c r="EM471" s="51"/>
      <c r="EN471" s="51"/>
      <c r="EO471" s="51"/>
      <c r="EP471" s="51"/>
      <c r="EQ471" s="51"/>
      <c r="ER471" s="51"/>
      <c r="ES471" s="51"/>
      <c r="ET471" s="51"/>
      <c r="EU471" s="51"/>
      <c r="EV471" s="51"/>
      <c r="EW471" s="51"/>
      <c r="EX471" s="51"/>
      <c r="EY471" s="51"/>
      <c r="EZ471" s="51"/>
      <c r="FA471" s="51"/>
      <c r="FB471" s="51"/>
      <c r="FC471" s="51"/>
      <c r="FD471" s="51"/>
      <c r="FE471" s="51"/>
      <c r="FF471" s="51"/>
      <c r="FG471" s="51"/>
      <c r="FH471" s="51"/>
      <c r="FI471" s="51"/>
      <c r="FJ471" s="51"/>
      <c r="FK471" s="51"/>
      <c r="FL471" s="51"/>
      <c r="FM471" s="51"/>
      <c r="FN471" s="51"/>
      <c r="FO471" s="51"/>
      <c r="FP471" s="51"/>
      <c r="FQ471" s="51"/>
      <c r="FR471" s="51"/>
      <c r="FS471" s="51"/>
      <c r="FT471" s="51"/>
      <c r="FU471" s="51"/>
      <c r="FV471" s="51"/>
      <c r="FW471" s="51"/>
      <c r="FX471" s="51"/>
      <c r="FY471" s="51"/>
      <c r="FZ471" s="51"/>
      <c r="GA471" s="51"/>
      <c r="GB471" s="51"/>
      <c r="GC471" s="51"/>
      <c r="GD471" s="51"/>
      <c r="GE471" s="51"/>
      <c r="GF471" s="51"/>
      <c r="GG471" s="51"/>
      <c r="GH471" s="51"/>
      <c r="GI471" s="51"/>
      <c r="GJ471" s="51"/>
      <c r="GK471" s="51"/>
      <c r="GL471" s="51"/>
      <c r="GM471" s="51"/>
      <c r="GN471" s="51"/>
      <c r="GO471" s="51"/>
      <c r="GP471" s="51"/>
      <c r="GQ471" s="51"/>
      <c r="GR471" s="51"/>
      <c r="GS471" s="51"/>
      <c r="GT471" s="51"/>
      <c r="GU471" s="51"/>
      <c r="GV471" s="51"/>
      <c r="GW471" s="51"/>
      <c r="GX471" s="51"/>
      <c r="GY471" s="51"/>
      <c r="GZ471" s="51"/>
      <c r="HA471" s="51"/>
      <c r="HB471" s="51"/>
      <c r="HC471" s="51"/>
      <c r="HD471" s="51"/>
      <c r="HE471" s="51"/>
      <c r="HF471" s="51"/>
      <c r="HG471" s="51"/>
      <c r="HH471" s="51"/>
      <c r="HI471" s="51"/>
      <c r="HJ471" s="51"/>
      <c r="HK471" s="51"/>
      <c r="HL471" s="51"/>
      <c r="HM471" s="51"/>
      <c r="HN471" s="51"/>
      <c r="HO471" s="51"/>
      <c r="HP471" s="51"/>
      <c r="HQ471" s="51"/>
      <c r="HR471" s="51"/>
      <c r="HS471" s="51"/>
      <c r="HT471" s="51"/>
      <c r="HU471" s="51"/>
      <c r="HV471" s="51"/>
      <c r="HW471" s="51"/>
      <c r="HX471" s="51"/>
      <c r="HY471" s="51"/>
      <c r="HZ471" s="51"/>
      <c r="IA471" s="51"/>
      <c r="IB471" s="51"/>
      <c r="IC471" s="51"/>
      <c r="ID471" s="51"/>
      <c r="IE471" s="51"/>
      <c r="IF471" s="51"/>
      <c r="IG471" s="51"/>
      <c r="IH471" s="51"/>
      <c r="II471" s="51"/>
      <c r="IJ471" s="51"/>
      <c r="IK471" s="51"/>
      <c r="IL471" s="51"/>
      <c r="IM471" s="51"/>
      <c r="IN471" s="51"/>
      <c r="IO471" s="51"/>
      <c r="IP471" s="51"/>
      <c r="IQ471" s="51"/>
      <c r="IR471" s="51"/>
      <c r="IS471" s="51"/>
      <c r="IT471" s="51"/>
      <c r="IU471" s="51"/>
      <c r="IV471" s="51"/>
    </row>
    <row r="472" hidden="1">
      <c r="B472" s="829" t="s">
        <v>18</v>
      </c>
      <c r="C472" s="823">
        <v>0</v>
      </c>
      <c r="D472" s="823">
        <v>0</v>
      </c>
      <c r="E472" s="823">
        <v>0</v>
      </c>
      <c r="F472" s="823">
        <v>0</v>
      </c>
      <c r="G472" s="823">
        <v>0</v>
      </c>
      <c r="H472" s="823">
        <v>0</v>
      </c>
      <c r="I472" s="823">
        <v>0</v>
      </c>
      <c r="J472" s="823">
        <v>0</v>
      </c>
      <c r="K472" s="823">
        <v>0</v>
      </c>
      <c r="L472" s="823">
        <v>0</v>
      </c>
      <c r="M472" s="823">
        <v>0</v>
      </c>
      <c r="N472" s="823">
        <v>0</v>
      </c>
      <c r="O472" s="823">
        <v>0</v>
      </c>
      <c r="P472" s="823">
        <v>0</v>
      </c>
      <c r="Q472" s="823">
        <v>0</v>
      </c>
      <c r="R472" s="823">
        <v>0</v>
      </c>
      <c r="S472" s="823">
        <v>0</v>
      </c>
      <c r="T472" s="823">
        <v>0</v>
      </c>
      <c r="U472" s="823">
        <v>0</v>
      </c>
      <c r="V472" s="823">
        <v>0</v>
      </c>
      <c r="W472" s="823">
        <v>0</v>
      </c>
      <c r="X472" s="823">
        <v>0</v>
      </c>
      <c r="Y472" s="823">
        <v>0</v>
      </c>
      <c r="Z472" s="823">
        <v>0</v>
      </c>
      <c r="AA472" s="823">
        <v>0</v>
      </c>
      <c r="AB472" s="823">
        <v>0</v>
      </c>
      <c r="AC472" s="825">
        <v>0</v>
      </c>
      <c r="AD472" s="825">
        <v>0</v>
      </c>
      <c r="AE472" s="825">
        <v>0</v>
      </c>
      <c r="AF472" s="825">
        <v>0</v>
      </c>
      <c r="AG472" s="825">
        <v>0</v>
      </c>
      <c r="AH472" s="825">
        <v>0</v>
      </c>
      <c r="AI472" s="825">
        <v>0</v>
      </c>
      <c r="AJ472" s="825">
        <v>0</v>
      </c>
      <c r="AK472" s="825">
        <v>0</v>
      </c>
      <c r="AL472" s="825">
        <v>0</v>
      </c>
      <c r="AM472" s="825">
        <v>0</v>
      </c>
      <c r="AN472" s="825">
        <v>0</v>
      </c>
      <c r="AO472" s="825">
        <v>0</v>
      </c>
      <c r="AP472" s="825">
        <v>0</v>
      </c>
      <c r="AQ472" s="51"/>
      <c r="AR472" s="51"/>
      <c r="AS472" s="51"/>
      <c r="AT472" s="51"/>
      <c r="AU472" s="51"/>
      <c r="AV472" s="51"/>
      <c r="AW472" s="51"/>
      <c r="AX472" s="51"/>
      <c r="AY472" s="51"/>
      <c r="AZ472" s="51"/>
      <c r="BA472" s="51"/>
      <c r="BB472" s="51"/>
      <c r="BC472" s="51"/>
      <c r="BD472" s="51"/>
      <c r="BE472" s="51"/>
      <c r="BF472" s="51"/>
      <c r="BG472" s="51"/>
      <c r="BH472" s="51"/>
      <c r="BI472" s="51"/>
      <c r="BJ472" s="51"/>
      <c r="BK472" s="51"/>
      <c r="BL472" s="51"/>
      <c r="BM472" s="51"/>
      <c r="BN472" s="51"/>
      <c r="BO472" s="51"/>
      <c r="BP472" s="51"/>
      <c r="BQ472" s="51"/>
      <c r="BR472" s="51"/>
      <c r="BS472" s="51"/>
      <c r="BT472" s="51"/>
      <c r="BU472" s="51"/>
      <c r="BV472" s="51"/>
      <c r="BW472" s="51"/>
      <c r="BX472" s="51"/>
      <c r="BY472" s="51"/>
      <c r="BZ472" s="51"/>
      <c r="CA472" s="51"/>
      <c r="CB472" s="51"/>
      <c r="CC472" s="51"/>
      <c r="CD472" s="51"/>
      <c r="CE472" s="51"/>
      <c r="CF472" s="51"/>
      <c r="CG472" s="51"/>
      <c r="CH472" s="51"/>
      <c r="CI472" s="51"/>
      <c r="CJ472" s="51"/>
      <c r="CK472" s="51"/>
      <c r="CL472" s="51"/>
      <c r="CM472" s="51"/>
      <c r="CN472" s="51"/>
      <c r="CO472" s="51"/>
      <c r="CP472" s="51"/>
      <c r="CQ472" s="51"/>
      <c r="CR472" s="51"/>
      <c r="CS472" s="51"/>
      <c r="CT472" s="51"/>
      <c r="CU472" s="51"/>
      <c r="CV472" s="51"/>
      <c r="CW472" s="51"/>
      <c r="CX472" s="51"/>
      <c r="CY472" s="51"/>
      <c r="CZ472" s="51"/>
      <c r="DA472" s="51"/>
      <c r="DB472" s="51"/>
      <c r="DC472" s="51"/>
      <c r="DD472" s="51"/>
      <c r="DE472" s="51"/>
      <c r="DF472" s="51"/>
      <c r="DG472" s="51"/>
      <c r="DH472" s="51"/>
      <c r="DI472" s="51"/>
      <c r="DJ472" s="51"/>
      <c r="DK472" s="51"/>
      <c r="DL472" s="51"/>
      <c r="DM472" s="51"/>
      <c r="DN472" s="51"/>
      <c r="DO472" s="51"/>
      <c r="DP472" s="51"/>
      <c r="DQ472" s="51"/>
      <c r="DR472" s="51"/>
      <c r="DS472" s="51"/>
      <c r="DT472" s="51"/>
      <c r="DU472" s="51"/>
      <c r="DV472" s="51"/>
      <c r="DW472" s="51"/>
      <c r="DX472" s="51"/>
      <c r="DY472" s="51"/>
      <c r="DZ472" s="51"/>
      <c r="EA472" s="51"/>
      <c r="EB472" s="51"/>
      <c r="EC472" s="51"/>
      <c r="ED472" s="51"/>
      <c r="EE472" s="51"/>
      <c r="EF472" s="51"/>
      <c r="EG472" s="51"/>
      <c r="EH472" s="51"/>
      <c r="EI472" s="51"/>
      <c r="EJ472" s="51"/>
      <c r="EK472" s="51"/>
      <c r="EL472" s="51"/>
      <c r="EM472" s="51"/>
      <c r="EN472" s="51"/>
      <c r="EO472" s="51"/>
      <c r="EP472" s="51"/>
      <c r="EQ472" s="51"/>
      <c r="ER472" s="51"/>
      <c r="ES472" s="51"/>
      <c r="ET472" s="51"/>
      <c r="EU472" s="51"/>
      <c r="EV472" s="51"/>
      <c r="EW472" s="51"/>
      <c r="EX472" s="51"/>
      <c r="EY472" s="51"/>
      <c r="EZ472" s="51"/>
      <c r="FA472" s="51"/>
      <c r="FB472" s="51"/>
      <c r="FC472" s="51"/>
      <c r="FD472" s="51"/>
      <c r="FE472" s="51"/>
      <c r="FF472" s="51"/>
      <c r="FG472" s="51"/>
      <c r="FH472" s="51"/>
      <c r="FI472" s="51"/>
      <c r="FJ472" s="51"/>
      <c r="FK472" s="51"/>
      <c r="FL472" s="51"/>
      <c r="FM472" s="51"/>
      <c r="FN472" s="51"/>
      <c r="FO472" s="51"/>
      <c r="FP472" s="51"/>
      <c r="FQ472" s="51"/>
      <c r="FR472" s="51"/>
      <c r="FS472" s="51"/>
      <c r="FT472" s="51"/>
      <c r="FU472" s="51"/>
      <c r="FV472" s="51"/>
      <c r="FW472" s="51"/>
      <c r="FX472" s="51"/>
      <c r="FY472" s="51"/>
      <c r="FZ472" s="51"/>
      <c r="GA472" s="51"/>
      <c r="GB472" s="51"/>
      <c r="GC472" s="51"/>
      <c r="GD472" s="51"/>
      <c r="GE472" s="51"/>
      <c r="GF472" s="51"/>
      <c r="GG472" s="51"/>
      <c r="GH472" s="51"/>
      <c r="GI472" s="51"/>
      <c r="GJ472" s="51"/>
      <c r="GK472" s="51"/>
      <c r="GL472" s="51"/>
      <c r="GM472" s="51"/>
      <c r="GN472" s="51"/>
      <c r="GO472" s="51"/>
      <c r="GP472" s="51"/>
      <c r="GQ472" s="51"/>
      <c r="GR472" s="51"/>
      <c r="GS472" s="51"/>
      <c r="GT472" s="51"/>
      <c r="GU472" s="51"/>
      <c r="GV472" s="51"/>
      <c r="GW472" s="51"/>
      <c r="GX472" s="51"/>
      <c r="GY472" s="51"/>
      <c r="GZ472" s="51"/>
      <c r="HA472" s="51"/>
      <c r="HB472" s="51"/>
      <c r="HC472" s="51"/>
      <c r="HD472" s="51"/>
      <c r="HE472" s="51"/>
      <c r="HF472" s="51"/>
      <c r="HG472" s="51"/>
      <c r="HH472" s="51"/>
      <c r="HI472" s="51"/>
      <c r="HJ472" s="51"/>
      <c r="HK472" s="51"/>
      <c r="HL472" s="51"/>
      <c r="HM472" s="51"/>
      <c r="HN472" s="51"/>
      <c r="HO472" s="51"/>
      <c r="HP472" s="51"/>
      <c r="HQ472" s="51"/>
      <c r="HR472" s="51"/>
      <c r="HS472" s="51"/>
      <c r="HT472" s="51"/>
      <c r="HU472" s="51"/>
      <c r="HV472" s="51"/>
      <c r="HW472" s="51"/>
      <c r="HX472" s="51"/>
      <c r="HY472" s="51"/>
      <c r="HZ472" s="51"/>
      <c r="IA472" s="51"/>
      <c r="IB472" s="51"/>
      <c r="IC472" s="51"/>
      <c r="ID472" s="51"/>
      <c r="IE472" s="51"/>
      <c r="IF472" s="51"/>
      <c r="IG472" s="51"/>
      <c r="IH472" s="51"/>
      <c r="II472" s="51"/>
      <c r="IJ472" s="51"/>
      <c r="IK472" s="51"/>
      <c r="IL472" s="51"/>
      <c r="IM472" s="51"/>
      <c r="IN472" s="51"/>
      <c r="IO472" s="51"/>
      <c r="IP472" s="51"/>
      <c r="IQ472" s="51"/>
      <c r="IR472" s="51"/>
      <c r="IS472" s="51"/>
      <c r="IT472" s="51"/>
      <c r="IU472" s="51"/>
      <c r="IV472" s="51"/>
    </row>
    <row r="473" hidden="1">
      <c r="B473" s="826" t="s">
        <v>19</v>
      </c>
      <c r="C473" s="827">
        <v>0</v>
      </c>
      <c r="D473" s="827">
        <v>0</v>
      </c>
      <c r="E473" s="827">
        <v>0</v>
      </c>
      <c r="F473" s="827">
        <v>0</v>
      </c>
      <c r="G473" s="827">
        <v>0</v>
      </c>
      <c r="H473" s="827">
        <v>0</v>
      </c>
      <c r="I473" s="827">
        <v>0</v>
      </c>
      <c r="J473" s="827">
        <v>0</v>
      </c>
      <c r="K473" s="827">
        <v>0</v>
      </c>
      <c r="L473" s="827">
        <v>0</v>
      </c>
      <c r="M473" s="827">
        <v>0</v>
      </c>
      <c r="N473" s="827">
        <v>0</v>
      </c>
      <c r="O473" s="827">
        <v>0</v>
      </c>
      <c r="P473" s="827">
        <v>0</v>
      </c>
      <c r="Q473" s="827">
        <v>0</v>
      </c>
      <c r="R473" s="827">
        <v>0</v>
      </c>
      <c r="S473" s="827">
        <v>0</v>
      </c>
      <c r="T473" s="827">
        <v>0</v>
      </c>
      <c r="U473" s="827">
        <v>0</v>
      </c>
      <c r="V473" s="827">
        <v>0</v>
      </c>
      <c r="W473" s="827">
        <v>0</v>
      </c>
      <c r="X473" s="827">
        <v>0</v>
      </c>
      <c r="Y473" s="827">
        <v>0</v>
      </c>
      <c r="Z473" s="827">
        <v>0</v>
      </c>
      <c r="AA473" s="827">
        <v>0</v>
      </c>
      <c r="AB473" s="827">
        <v>0</v>
      </c>
      <c r="AC473" s="828">
        <v>0</v>
      </c>
      <c r="AD473" s="828">
        <v>0</v>
      </c>
      <c r="AE473" s="828">
        <v>0</v>
      </c>
      <c r="AF473" s="828">
        <v>0</v>
      </c>
      <c r="AG473" s="828">
        <v>0</v>
      </c>
      <c r="AH473" s="828">
        <v>0</v>
      </c>
      <c r="AI473" s="828">
        <v>0</v>
      </c>
      <c r="AJ473" s="828">
        <v>0</v>
      </c>
      <c r="AK473" s="828">
        <v>0</v>
      </c>
      <c r="AL473" s="828">
        <v>0</v>
      </c>
      <c r="AM473" s="828">
        <v>0</v>
      </c>
      <c r="AN473" s="828">
        <v>0</v>
      </c>
      <c r="AO473" s="828">
        <v>0</v>
      </c>
      <c r="AP473" s="828">
        <v>0</v>
      </c>
      <c r="AQ473" s="51"/>
      <c r="AR473" s="51"/>
      <c r="AS473" s="51"/>
      <c r="AT473" s="51"/>
      <c r="AU473" s="51"/>
      <c r="AV473" s="51"/>
      <c r="AW473" s="51"/>
      <c r="AX473" s="51"/>
      <c r="AY473" s="51"/>
      <c r="AZ473" s="51"/>
      <c r="BA473" s="51"/>
      <c r="BB473" s="51"/>
      <c r="BC473" s="51"/>
      <c r="BD473" s="51"/>
      <c r="BE473" s="51"/>
      <c r="BF473" s="51"/>
      <c r="BG473" s="51"/>
      <c r="BH473" s="51"/>
      <c r="BI473" s="51"/>
      <c r="BJ473" s="51"/>
      <c r="BK473" s="51"/>
      <c r="BL473" s="51"/>
      <c r="BM473" s="51"/>
      <c r="BN473" s="51"/>
      <c r="BO473" s="51"/>
      <c r="BP473" s="51"/>
      <c r="BQ473" s="51"/>
      <c r="BR473" s="51"/>
      <c r="BS473" s="51"/>
      <c r="BT473" s="51"/>
      <c r="BU473" s="51"/>
      <c r="BV473" s="51"/>
      <c r="BW473" s="51"/>
      <c r="BX473" s="51"/>
      <c r="BY473" s="51"/>
      <c r="BZ473" s="51"/>
      <c r="CA473" s="51"/>
      <c r="CB473" s="51"/>
      <c r="CC473" s="51"/>
      <c r="CD473" s="51"/>
      <c r="CE473" s="51"/>
      <c r="CF473" s="51"/>
      <c r="CG473" s="51"/>
      <c r="CH473" s="51"/>
      <c r="CI473" s="51"/>
      <c r="CJ473" s="51"/>
      <c r="CK473" s="51"/>
      <c r="CL473" s="51"/>
      <c r="CM473" s="51"/>
      <c r="CN473" s="51"/>
      <c r="CO473" s="51"/>
      <c r="CP473" s="51"/>
      <c r="CQ473" s="51"/>
      <c r="CR473" s="51"/>
      <c r="CS473" s="51"/>
      <c r="CT473" s="51"/>
      <c r="CU473" s="51"/>
      <c r="CV473" s="51"/>
      <c r="CW473" s="51"/>
      <c r="CX473" s="51"/>
      <c r="CY473" s="51"/>
      <c r="CZ473" s="51"/>
      <c r="DA473" s="51"/>
      <c r="DB473" s="51"/>
      <c r="DC473" s="51"/>
      <c r="DD473" s="51"/>
      <c r="DE473" s="51"/>
      <c r="DF473" s="51"/>
      <c r="DG473" s="51"/>
      <c r="DH473" s="51"/>
      <c r="DI473" s="51"/>
      <c r="DJ473" s="51"/>
      <c r="DK473" s="51"/>
      <c r="DL473" s="51"/>
      <c r="DM473" s="51"/>
      <c r="DN473" s="51"/>
      <c r="DO473" s="51"/>
      <c r="DP473" s="51"/>
      <c r="DQ473" s="51"/>
      <c r="DR473" s="51"/>
      <c r="DS473" s="51"/>
      <c r="DT473" s="51"/>
      <c r="DU473" s="51"/>
      <c r="DV473" s="51"/>
      <c r="DW473" s="51"/>
      <c r="DX473" s="51"/>
      <c r="DY473" s="51"/>
      <c r="DZ473" s="51"/>
      <c r="EA473" s="51"/>
      <c r="EB473" s="51"/>
      <c r="EC473" s="51"/>
      <c r="ED473" s="51"/>
      <c r="EE473" s="51"/>
      <c r="EF473" s="51"/>
      <c r="EG473" s="51"/>
      <c r="EH473" s="51"/>
      <c r="EI473" s="51"/>
      <c r="EJ473" s="51"/>
      <c r="EK473" s="51"/>
      <c r="EL473" s="51"/>
      <c r="EM473" s="51"/>
      <c r="EN473" s="51"/>
      <c r="EO473" s="51"/>
      <c r="EP473" s="51"/>
      <c r="EQ473" s="51"/>
      <c r="ER473" s="51"/>
      <c r="ES473" s="51"/>
      <c r="ET473" s="51"/>
      <c r="EU473" s="51"/>
      <c r="EV473" s="51"/>
      <c r="EW473" s="51"/>
      <c r="EX473" s="51"/>
      <c r="EY473" s="51"/>
      <c r="EZ473" s="51"/>
      <c r="FA473" s="51"/>
      <c r="FB473" s="51"/>
      <c r="FC473" s="51"/>
      <c r="FD473" s="51"/>
      <c r="FE473" s="51"/>
      <c r="FF473" s="51"/>
      <c r="FG473" s="51"/>
      <c r="FH473" s="51"/>
      <c r="FI473" s="51"/>
      <c r="FJ473" s="51"/>
      <c r="FK473" s="51"/>
      <c r="FL473" s="51"/>
      <c r="FM473" s="51"/>
      <c r="FN473" s="51"/>
      <c r="FO473" s="51"/>
      <c r="FP473" s="51"/>
      <c r="FQ473" s="51"/>
      <c r="FR473" s="51"/>
      <c r="FS473" s="51"/>
      <c r="FT473" s="51"/>
      <c r="FU473" s="51"/>
      <c r="FV473" s="51"/>
      <c r="FW473" s="51"/>
      <c r="FX473" s="51"/>
      <c r="FY473" s="51"/>
      <c r="FZ473" s="51"/>
      <c r="GA473" s="51"/>
      <c r="GB473" s="51"/>
      <c r="GC473" s="51"/>
      <c r="GD473" s="51"/>
      <c r="GE473" s="51"/>
      <c r="GF473" s="51"/>
      <c r="GG473" s="51"/>
      <c r="GH473" s="51"/>
      <c r="GI473" s="51"/>
      <c r="GJ473" s="51"/>
      <c r="GK473" s="51"/>
      <c r="GL473" s="51"/>
      <c r="GM473" s="51"/>
      <c r="GN473" s="51"/>
      <c r="GO473" s="51"/>
      <c r="GP473" s="51"/>
      <c r="GQ473" s="51"/>
      <c r="GR473" s="51"/>
      <c r="GS473" s="51"/>
      <c r="GT473" s="51"/>
      <c r="GU473" s="51"/>
      <c r="GV473" s="51"/>
      <c r="GW473" s="51"/>
      <c r="GX473" s="51"/>
      <c r="GY473" s="51"/>
      <c r="GZ473" s="51"/>
      <c r="HA473" s="51"/>
      <c r="HB473" s="51"/>
      <c r="HC473" s="51"/>
      <c r="HD473" s="51"/>
      <c r="HE473" s="51"/>
      <c r="HF473" s="51"/>
      <c r="HG473" s="51"/>
      <c r="HH473" s="51"/>
      <c r="HI473" s="51"/>
      <c r="HJ473" s="51"/>
      <c r="HK473" s="51"/>
      <c r="HL473" s="51"/>
      <c r="HM473" s="51"/>
      <c r="HN473" s="51"/>
      <c r="HO473" s="51"/>
      <c r="HP473" s="51"/>
      <c r="HQ473" s="51"/>
      <c r="HR473" s="51"/>
      <c r="HS473" s="51"/>
      <c r="HT473" s="51"/>
      <c r="HU473" s="51"/>
      <c r="HV473" s="51"/>
      <c r="HW473" s="51"/>
      <c r="HX473" s="51"/>
      <c r="HY473" s="51"/>
      <c r="HZ473" s="51"/>
      <c r="IA473" s="51"/>
      <c r="IB473" s="51"/>
      <c r="IC473" s="51"/>
      <c r="ID473" s="51"/>
      <c r="IE473" s="51"/>
      <c r="IF473" s="51"/>
      <c r="IG473" s="51"/>
      <c r="IH473" s="51"/>
      <c r="II473" s="51"/>
      <c r="IJ473" s="51"/>
      <c r="IK473" s="51"/>
      <c r="IL473" s="51"/>
      <c r="IM473" s="51"/>
      <c r="IN473" s="51"/>
      <c r="IO473" s="51"/>
      <c r="IP473" s="51"/>
      <c r="IQ473" s="51"/>
      <c r="IR473" s="51"/>
      <c r="IS473" s="51"/>
      <c r="IT473" s="51"/>
      <c r="IU473" s="51"/>
      <c r="IV473" s="51"/>
    </row>
    <row r="474" hidden="1">
      <c r="B474" s="829" t="s">
        <v>20</v>
      </c>
      <c r="C474" s="823">
        <v>0</v>
      </c>
      <c r="D474" s="823">
        <v>0</v>
      </c>
      <c r="E474" s="823">
        <v>0</v>
      </c>
      <c r="F474" s="823">
        <v>0</v>
      </c>
      <c r="G474" s="823">
        <v>0</v>
      </c>
      <c r="H474" s="823">
        <v>0</v>
      </c>
      <c r="I474" s="823">
        <v>0</v>
      </c>
      <c r="J474" s="823">
        <v>0</v>
      </c>
      <c r="K474" s="823">
        <v>0</v>
      </c>
      <c r="L474" s="823">
        <v>0</v>
      </c>
      <c r="M474" s="823">
        <v>0</v>
      </c>
      <c r="N474" s="823">
        <v>0</v>
      </c>
      <c r="O474" s="823">
        <v>0</v>
      </c>
      <c r="P474" s="823">
        <v>0</v>
      </c>
      <c r="Q474" s="823">
        <v>0</v>
      </c>
      <c r="R474" s="823">
        <v>0</v>
      </c>
      <c r="S474" s="823">
        <v>0</v>
      </c>
      <c r="T474" s="823">
        <v>0</v>
      </c>
      <c r="U474" s="823">
        <v>0</v>
      </c>
      <c r="V474" s="823">
        <v>0</v>
      </c>
      <c r="W474" s="823">
        <v>0</v>
      </c>
      <c r="X474" s="823">
        <v>0</v>
      </c>
      <c r="Y474" s="823">
        <v>0</v>
      </c>
      <c r="Z474" s="823">
        <v>0</v>
      </c>
      <c r="AA474" s="823">
        <v>0</v>
      </c>
      <c r="AB474" s="823">
        <v>0</v>
      </c>
      <c r="AC474" s="825">
        <v>0</v>
      </c>
      <c r="AD474" s="825">
        <v>0</v>
      </c>
      <c r="AE474" s="825">
        <v>0</v>
      </c>
      <c r="AF474" s="825">
        <v>0</v>
      </c>
      <c r="AG474" s="825">
        <v>0</v>
      </c>
      <c r="AH474" s="825">
        <v>0</v>
      </c>
      <c r="AI474" s="825">
        <v>0</v>
      </c>
      <c r="AJ474" s="825">
        <v>0</v>
      </c>
      <c r="AK474" s="825">
        <v>0</v>
      </c>
      <c r="AL474" s="825">
        <v>0</v>
      </c>
      <c r="AM474" s="825">
        <v>0</v>
      </c>
      <c r="AN474" s="825">
        <v>0</v>
      </c>
      <c r="AO474" s="825">
        <v>0</v>
      </c>
      <c r="AP474" s="825">
        <v>0</v>
      </c>
      <c r="AQ474" s="51"/>
      <c r="AR474" s="51"/>
      <c r="AS474" s="51"/>
      <c r="AT474" s="51"/>
      <c r="AU474" s="51"/>
      <c r="AV474" s="51"/>
      <c r="AW474" s="51"/>
      <c r="AX474" s="51"/>
      <c r="AY474" s="51"/>
      <c r="AZ474" s="51"/>
      <c r="BA474" s="51"/>
      <c r="BB474" s="51"/>
      <c r="BC474" s="51"/>
      <c r="BD474" s="51"/>
      <c r="BE474" s="51"/>
      <c r="BF474" s="51"/>
      <c r="BG474" s="51"/>
      <c r="BH474" s="51"/>
      <c r="BI474" s="51"/>
      <c r="BJ474" s="51"/>
      <c r="BK474" s="51"/>
      <c r="BL474" s="51"/>
      <c r="BM474" s="51"/>
      <c r="BN474" s="51"/>
      <c r="BO474" s="51"/>
      <c r="BP474" s="51"/>
      <c r="BQ474" s="51"/>
      <c r="BR474" s="51"/>
      <c r="BS474" s="51"/>
      <c r="BT474" s="51"/>
      <c r="BU474" s="51"/>
      <c r="BV474" s="51"/>
      <c r="BW474" s="51"/>
      <c r="BX474" s="51"/>
      <c r="BY474" s="51"/>
      <c r="BZ474" s="51"/>
      <c r="CA474" s="51"/>
      <c r="CB474" s="51"/>
      <c r="CC474" s="51"/>
      <c r="CD474" s="51"/>
      <c r="CE474" s="51"/>
      <c r="CF474" s="51"/>
      <c r="CG474" s="51"/>
      <c r="CH474" s="51"/>
      <c r="CI474" s="51"/>
      <c r="CJ474" s="51"/>
      <c r="CK474" s="51"/>
      <c r="CL474" s="51"/>
      <c r="CM474" s="51"/>
      <c r="CN474" s="51"/>
      <c r="CO474" s="51"/>
      <c r="CP474" s="51"/>
      <c r="CQ474" s="51"/>
      <c r="CR474" s="51"/>
      <c r="CS474" s="51"/>
      <c r="CT474" s="51"/>
      <c r="CU474" s="51"/>
      <c r="CV474" s="51"/>
      <c r="CW474" s="51"/>
      <c r="CX474" s="51"/>
      <c r="CY474" s="51"/>
      <c r="CZ474" s="51"/>
      <c r="DA474" s="51"/>
      <c r="DB474" s="51"/>
      <c r="DC474" s="51"/>
      <c r="DD474" s="51"/>
      <c r="DE474" s="51"/>
      <c r="DF474" s="51"/>
      <c r="DG474" s="51"/>
      <c r="DH474" s="51"/>
      <c r="DI474" s="51"/>
      <c r="DJ474" s="51"/>
      <c r="DK474" s="51"/>
      <c r="DL474" s="51"/>
      <c r="DM474" s="51"/>
      <c r="DN474" s="51"/>
      <c r="DO474" s="51"/>
      <c r="DP474" s="51"/>
      <c r="DQ474" s="51"/>
      <c r="DR474" s="51"/>
      <c r="DS474" s="51"/>
      <c r="DT474" s="51"/>
      <c r="DU474" s="51"/>
      <c r="DV474" s="51"/>
      <c r="DW474" s="51"/>
      <c r="DX474" s="51"/>
      <c r="DY474" s="51"/>
      <c r="DZ474" s="51"/>
      <c r="EA474" s="51"/>
      <c r="EB474" s="51"/>
      <c r="EC474" s="51"/>
      <c r="ED474" s="51"/>
      <c r="EE474" s="51"/>
      <c r="EF474" s="51"/>
      <c r="EG474" s="51"/>
      <c r="EH474" s="51"/>
      <c r="EI474" s="51"/>
      <c r="EJ474" s="51"/>
      <c r="EK474" s="51"/>
      <c r="EL474" s="51"/>
      <c r="EM474" s="51"/>
      <c r="EN474" s="51"/>
      <c r="EO474" s="51"/>
      <c r="EP474" s="51"/>
      <c r="EQ474" s="51"/>
      <c r="ER474" s="51"/>
      <c r="ES474" s="51"/>
      <c r="ET474" s="51"/>
      <c r="EU474" s="51"/>
      <c r="EV474" s="51"/>
      <c r="EW474" s="51"/>
      <c r="EX474" s="51"/>
      <c r="EY474" s="51"/>
      <c r="EZ474" s="51"/>
      <c r="FA474" s="51"/>
      <c r="FB474" s="51"/>
      <c r="FC474" s="51"/>
      <c r="FD474" s="51"/>
      <c r="FE474" s="51"/>
      <c r="FF474" s="51"/>
      <c r="FG474" s="51"/>
      <c r="FH474" s="51"/>
      <c r="FI474" s="51"/>
      <c r="FJ474" s="51"/>
      <c r="FK474" s="51"/>
      <c r="FL474" s="51"/>
      <c r="FM474" s="51"/>
      <c r="FN474" s="51"/>
      <c r="FO474" s="51"/>
      <c r="FP474" s="51"/>
      <c r="FQ474" s="51"/>
      <c r="FR474" s="51"/>
      <c r="FS474" s="51"/>
      <c r="FT474" s="51"/>
      <c r="FU474" s="51"/>
      <c r="FV474" s="51"/>
      <c r="FW474" s="51"/>
      <c r="FX474" s="51"/>
      <c r="FY474" s="51"/>
      <c r="FZ474" s="51"/>
      <c r="GA474" s="51"/>
      <c r="GB474" s="51"/>
      <c r="GC474" s="51"/>
      <c r="GD474" s="51"/>
      <c r="GE474" s="51"/>
      <c r="GF474" s="51"/>
      <c r="GG474" s="51"/>
      <c r="GH474" s="51"/>
      <c r="GI474" s="51"/>
      <c r="GJ474" s="51"/>
      <c r="GK474" s="51"/>
      <c r="GL474" s="51"/>
      <c r="GM474" s="51"/>
      <c r="GN474" s="51"/>
      <c r="GO474" s="51"/>
      <c r="GP474" s="51"/>
      <c r="GQ474" s="51"/>
      <c r="GR474" s="51"/>
      <c r="GS474" s="51"/>
      <c r="GT474" s="51"/>
      <c r="GU474" s="51"/>
      <c r="GV474" s="51"/>
      <c r="GW474" s="51"/>
      <c r="GX474" s="51"/>
      <c r="GY474" s="51"/>
      <c r="GZ474" s="51"/>
      <c r="HA474" s="51"/>
      <c r="HB474" s="51"/>
      <c r="HC474" s="51"/>
      <c r="HD474" s="51"/>
      <c r="HE474" s="51"/>
      <c r="HF474" s="51"/>
      <c r="HG474" s="51"/>
      <c r="HH474" s="51"/>
      <c r="HI474" s="51"/>
      <c r="HJ474" s="51"/>
      <c r="HK474" s="51"/>
      <c r="HL474" s="51"/>
      <c r="HM474" s="51"/>
      <c r="HN474" s="51"/>
      <c r="HO474" s="51"/>
      <c r="HP474" s="51"/>
      <c r="HQ474" s="51"/>
      <c r="HR474" s="51"/>
      <c r="HS474" s="51"/>
      <c r="HT474" s="51"/>
      <c r="HU474" s="51"/>
      <c r="HV474" s="51"/>
      <c r="HW474" s="51"/>
      <c r="HX474" s="51"/>
      <c r="HY474" s="51"/>
      <c r="HZ474" s="51"/>
      <c r="IA474" s="51"/>
      <c r="IB474" s="51"/>
      <c r="IC474" s="51"/>
      <c r="ID474" s="51"/>
      <c r="IE474" s="51"/>
      <c r="IF474" s="51"/>
      <c r="IG474" s="51"/>
      <c r="IH474" s="51"/>
      <c r="II474" s="51"/>
      <c r="IJ474" s="51"/>
      <c r="IK474" s="51"/>
      <c r="IL474" s="51"/>
      <c r="IM474" s="51"/>
      <c r="IN474" s="51"/>
      <c r="IO474" s="51"/>
      <c r="IP474" s="51"/>
      <c r="IQ474" s="51"/>
      <c r="IR474" s="51"/>
      <c r="IS474" s="51"/>
      <c r="IT474" s="51"/>
      <c r="IU474" s="51"/>
      <c r="IV474" s="51"/>
    </row>
    <row r="475" hidden="1">
      <c r="B475" s="826" t="s">
        <v>21</v>
      </c>
      <c r="C475" s="827">
        <v>0</v>
      </c>
      <c r="D475" s="827">
        <v>0</v>
      </c>
      <c r="E475" s="827">
        <v>0</v>
      </c>
      <c r="F475" s="827">
        <v>0</v>
      </c>
      <c r="G475" s="827">
        <v>0</v>
      </c>
      <c r="H475" s="827">
        <v>0</v>
      </c>
      <c r="I475" s="827">
        <v>0</v>
      </c>
      <c r="J475" s="827">
        <v>0</v>
      </c>
      <c r="K475" s="827">
        <v>0</v>
      </c>
      <c r="L475" s="827">
        <v>0</v>
      </c>
      <c r="M475" s="827">
        <v>0</v>
      </c>
      <c r="N475" s="827">
        <v>0</v>
      </c>
      <c r="O475" s="827">
        <v>0</v>
      </c>
      <c r="P475" s="827">
        <v>0</v>
      </c>
      <c r="Q475" s="827">
        <v>0</v>
      </c>
      <c r="R475" s="827">
        <v>0</v>
      </c>
      <c r="S475" s="827">
        <v>0</v>
      </c>
      <c r="T475" s="827">
        <v>0</v>
      </c>
      <c r="U475" s="827">
        <v>0</v>
      </c>
      <c r="V475" s="827">
        <v>0</v>
      </c>
      <c r="W475" s="827">
        <v>0</v>
      </c>
      <c r="X475" s="827">
        <v>0</v>
      </c>
      <c r="Y475" s="827">
        <v>0</v>
      </c>
      <c r="Z475" s="827">
        <v>0</v>
      </c>
      <c r="AA475" s="827">
        <v>0</v>
      </c>
      <c r="AB475" s="827">
        <v>0</v>
      </c>
      <c r="AC475" s="828">
        <v>0</v>
      </c>
      <c r="AD475" s="828">
        <v>0</v>
      </c>
      <c r="AE475" s="828">
        <v>0</v>
      </c>
      <c r="AF475" s="828">
        <v>0</v>
      </c>
      <c r="AG475" s="828">
        <v>0</v>
      </c>
      <c r="AH475" s="828">
        <v>0</v>
      </c>
      <c r="AI475" s="828">
        <v>0</v>
      </c>
      <c r="AJ475" s="828">
        <v>0</v>
      </c>
      <c r="AK475" s="828">
        <v>0</v>
      </c>
      <c r="AL475" s="828">
        <v>0</v>
      </c>
      <c r="AM475" s="828">
        <v>0</v>
      </c>
      <c r="AN475" s="828">
        <v>0</v>
      </c>
      <c r="AO475" s="828">
        <v>0</v>
      </c>
      <c r="AP475" s="828">
        <v>0</v>
      </c>
      <c r="AQ475" s="51"/>
      <c r="AR475" s="51"/>
      <c r="AS475" s="51"/>
      <c r="AT475" s="51"/>
      <c r="AU475" s="51"/>
      <c r="AV475" s="51"/>
      <c r="AW475" s="51"/>
      <c r="AX475" s="51"/>
      <c r="AY475" s="51"/>
      <c r="AZ475" s="51"/>
      <c r="BA475" s="51"/>
      <c r="BB475" s="51"/>
      <c r="BC475" s="51"/>
      <c r="BD475" s="51"/>
      <c r="BE475" s="51"/>
      <c r="BF475" s="51"/>
      <c r="BG475" s="51"/>
      <c r="BH475" s="51"/>
      <c r="BI475" s="51"/>
      <c r="BJ475" s="51"/>
      <c r="BK475" s="51"/>
      <c r="BL475" s="51"/>
      <c r="BM475" s="51"/>
      <c r="BN475" s="51"/>
      <c r="BO475" s="51"/>
      <c r="BP475" s="51"/>
      <c r="BQ475" s="51"/>
      <c r="BR475" s="51"/>
      <c r="BS475" s="51"/>
      <c r="BT475" s="51"/>
      <c r="BU475" s="51"/>
      <c r="BV475" s="51"/>
      <c r="BW475" s="51"/>
      <c r="BX475" s="51"/>
      <c r="BY475" s="51"/>
      <c r="BZ475" s="51"/>
      <c r="CA475" s="51"/>
      <c r="CB475" s="51"/>
      <c r="CC475" s="51"/>
      <c r="CD475" s="51"/>
      <c r="CE475" s="51"/>
      <c r="CF475" s="51"/>
      <c r="CG475" s="51"/>
      <c r="CH475" s="51"/>
      <c r="CI475" s="51"/>
      <c r="CJ475" s="51"/>
      <c r="CK475" s="51"/>
      <c r="CL475" s="51"/>
      <c r="CM475" s="51"/>
      <c r="CN475" s="51"/>
      <c r="CO475" s="51"/>
      <c r="CP475" s="51"/>
      <c r="CQ475" s="51"/>
      <c r="CR475" s="51"/>
      <c r="CS475" s="51"/>
      <c r="CT475" s="51"/>
      <c r="CU475" s="51"/>
      <c r="CV475" s="51"/>
      <c r="CW475" s="51"/>
      <c r="CX475" s="51"/>
      <c r="CY475" s="51"/>
      <c r="CZ475" s="51"/>
      <c r="DA475" s="51"/>
      <c r="DB475" s="51"/>
      <c r="DC475" s="51"/>
      <c r="DD475" s="51"/>
      <c r="DE475" s="51"/>
      <c r="DF475" s="51"/>
      <c r="DG475" s="51"/>
      <c r="DH475" s="51"/>
      <c r="DI475" s="51"/>
      <c r="DJ475" s="51"/>
      <c r="DK475" s="51"/>
      <c r="DL475" s="51"/>
      <c r="DM475" s="51"/>
      <c r="DN475" s="51"/>
      <c r="DO475" s="51"/>
      <c r="DP475" s="51"/>
      <c r="DQ475" s="51"/>
      <c r="DR475" s="51"/>
      <c r="DS475" s="51"/>
      <c r="DT475" s="51"/>
      <c r="DU475" s="51"/>
      <c r="DV475" s="51"/>
      <c r="DW475" s="51"/>
      <c r="DX475" s="51"/>
      <c r="DY475" s="51"/>
      <c r="DZ475" s="51"/>
      <c r="EA475" s="51"/>
      <c r="EB475" s="51"/>
      <c r="EC475" s="51"/>
      <c r="ED475" s="51"/>
      <c r="EE475" s="51"/>
      <c r="EF475" s="51"/>
      <c r="EG475" s="51"/>
      <c r="EH475" s="51"/>
      <c r="EI475" s="51"/>
      <c r="EJ475" s="51"/>
      <c r="EK475" s="51"/>
      <c r="EL475" s="51"/>
      <c r="EM475" s="51"/>
      <c r="EN475" s="51"/>
      <c r="EO475" s="51"/>
      <c r="EP475" s="51"/>
      <c r="EQ475" s="51"/>
      <c r="ER475" s="51"/>
      <c r="ES475" s="51"/>
      <c r="ET475" s="51"/>
      <c r="EU475" s="51"/>
      <c r="EV475" s="51"/>
      <c r="EW475" s="51"/>
      <c r="EX475" s="51"/>
      <c r="EY475" s="51"/>
      <c r="EZ475" s="51"/>
      <c r="FA475" s="51"/>
      <c r="FB475" s="51"/>
      <c r="FC475" s="51"/>
      <c r="FD475" s="51"/>
      <c r="FE475" s="51"/>
      <c r="FF475" s="51"/>
      <c r="FG475" s="51"/>
      <c r="FH475" s="51"/>
      <c r="FI475" s="51"/>
      <c r="FJ475" s="51"/>
      <c r="FK475" s="51"/>
      <c r="FL475" s="51"/>
      <c r="FM475" s="51"/>
      <c r="FN475" s="51"/>
      <c r="FO475" s="51"/>
      <c r="FP475" s="51"/>
      <c r="FQ475" s="51"/>
      <c r="FR475" s="51"/>
      <c r="FS475" s="51"/>
      <c r="FT475" s="51"/>
      <c r="FU475" s="51"/>
      <c r="FV475" s="51"/>
      <c r="FW475" s="51"/>
      <c r="FX475" s="51"/>
      <c r="FY475" s="51"/>
      <c r="FZ475" s="51"/>
      <c r="GA475" s="51"/>
      <c r="GB475" s="51"/>
      <c r="GC475" s="51"/>
      <c r="GD475" s="51"/>
      <c r="GE475" s="51"/>
      <c r="GF475" s="51"/>
      <c r="GG475" s="51"/>
      <c r="GH475" s="51"/>
      <c r="GI475" s="51"/>
      <c r="GJ475" s="51"/>
      <c r="GK475" s="51"/>
      <c r="GL475" s="51"/>
      <c r="GM475" s="51"/>
      <c r="GN475" s="51"/>
      <c r="GO475" s="51"/>
      <c r="GP475" s="51"/>
      <c r="GQ475" s="51"/>
      <c r="GR475" s="51"/>
      <c r="GS475" s="51"/>
      <c r="GT475" s="51"/>
      <c r="GU475" s="51"/>
      <c r="GV475" s="51"/>
      <c r="GW475" s="51"/>
      <c r="GX475" s="51"/>
      <c r="GY475" s="51"/>
      <c r="GZ475" s="51"/>
      <c r="HA475" s="51"/>
      <c r="HB475" s="51"/>
      <c r="HC475" s="51"/>
      <c r="HD475" s="51"/>
      <c r="HE475" s="51"/>
      <c r="HF475" s="51"/>
      <c r="HG475" s="51"/>
      <c r="HH475" s="51"/>
      <c r="HI475" s="51"/>
      <c r="HJ475" s="51"/>
      <c r="HK475" s="51"/>
      <c r="HL475" s="51"/>
      <c r="HM475" s="51"/>
      <c r="HN475" s="51"/>
      <c r="HO475" s="51"/>
      <c r="HP475" s="51"/>
      <c r="HQ475" s="51"/>
      <c r="HR475" s="51"/>
      <c r="HS475" s="51"/>
      <c r="HT475" s="51"/>
      <c r="HU475" s="51"/>
      <c r="HV475" s="51"/>
      <c r="HW475" s="51"/>
      <c r="HX475" s="51"/>
      <c r="HY475" s="51"/>
      <c r="HZ475" s="51"/>
      <c r="IA475" s="51"/>
      <c r="IB475" s="51"/>
      <c r="IC475" s="51"/>
      <c r="ID475" s="51"/>
      <c r="IE475" s="51"/>
      <c r="IF475" s="51"/>
      <c r="IG475" s="51"/>
      <c r="IH475" s="51"/>
      <c r="II475" s="51"/>
      <c r="IJ475" s="51"/>
      <c r="IK475" s="51"/>
      <c r="IL475" s="51"/>
      <c r="IM475" s="51"/>
      <c r="IN475" s="51"/>
      <c r="IO475" s="51"/>
      <c r="IP475" s="51"/>
      <c r="IQ475" s="51"/>
      <c r="IR475" s="51"/>
      <c r="IS475" s="51"/>
      <c r="IT475" s="51"/>
      <c r="IU475" s="51"/>
      <c r="IV475" s="51"/>
    </row>
    <row r="476" hidden="1">
      <c r="B476" s="829" t="s">
        <v>22</v>
      </c>
      <c r="C476" s="823">
        <v>0</v>
      </c>
      <c r="D476" s="823">
        <v>0</v>
      </c>
      <c r="E476" s="823">
        <v>0</v>
      </c>
      <c r="F476" s="823">
        <v>0</v>
      </c>
      <c r="G476" s="823">
        <v>0</v>
      </c>
      <c r="H476" s="823">
        <v>0</v>
      </c>
      <c r="I476" s="823">
        <v>0</v>
      </c>
      <c r="J476" s="823">
        <v>0</v>
      </c>
      <c r="K476" s="823">
        <v>0</v>
      </c>
      <c r="L476" s="823">
        <v>0</v>
      </c>
      <c r="M476" s="823">
        <v>0</v>
      </c>
      <c r="N476" s="823">
        <v>0</v>
      </c>
      <c r="O476" s="823">
        <v>0</v>
      </c>
      <c r="P476" s="823">
        <v>0</v>
      </c>
      <c r="Q476" s="823">
        <v>0</v>
      </c>
      <c r="R476" s="823">
        <v>0</v>
      </c>
      <c r="S476" s="823">
        <v>0</v>
      </c>
      <c r="T476" s="823">
        <v>0</v>
      </c>
      <c r="U476" s="823">
        <v>1</v>
      </c>
      <c r="V476" s="823">
        <v>1</v>
      </c>
      <c r="W476" s="823">
        <v>1</v>
      </c>
      <c r="X476" s="823">
        <v>1</v>
      </c>
      <c r="Y476" s="823">
        <v>1</v>
      </c>
      <c r="Z476" s="823">
        <v>1</v>
      </c>
      <c r="AA476" s="823">
        <v>1</v>
      </c>
      <c r="AB476" s="823">
        <v>1</v>
      </c>
      <c r="AC476" s="825">
        <v>1</v>
      </c>
      <c r="AD476" s="825">
        <v>1</v>
      </c>
      <c r="AE476" s="825">
        <v>1</v>
      </c>
      <c r="AF476" s="825">
        <v>1</v>
      </c>
      <c r="AG476" s="825">
        <v>1</v>
      </c>
      <c r="AH476" s="825">
        <v>1</v>
      </c>
      <c r="AI476" s="825">
        <v>1</v>
      </c>
      <c r="AJ476" s="825">
        <v>1</v>
      </c>
      <c r="AK476" s="825">
        <v>1</v>
      </c>
      <c r="AL476" s="825">
        <v>1</v>
      </c>
      <c r="AM476" s="825">
        <v>1</v>
      </c>
      <c r="AN476" s="825">
        <v>1</v>
      </c>
      <c r="AO476" s="825">
        <v>1</v>
      </c>
      <c r="AP476" s="825">
        <v>1</v>
      </c>
      <c r="AQ476" s="51"/>
      <c r="AR476" s="51"/>
      <c r="AS476" s="51"/>
      <c r="AT476" s="51"/>
      <c r="AU476" s="51"/>
      <c r="AV476" s="51"/>
      <c r="AW476" s="51"/>
      <c r="AX476" s="51"/>
      <c r="AY476" s="51"/>
      <c r="AZ476" s="51"/>
      <c r="BA476" s="51"/>
      <c r="BB476" s="51"/>
      <c r="BC476" s="51"/>
      <c r="BD476" s="51"/>
      <c r="BE476" s="51"/>
      <c r="BF476" s="51"/>
      <c r="BG476" s="51"/>
      <c r="BH476" s="51"/>
      <c r="BI476" s="51"/>
      <c r="BJ476" s="51"/>
      <c r="BK476" s="51"/>
      <c r="BL476" s="51"/>
      <c r="BM476" s="51"/>
      <c r="BN476" s="51"/>
      <c r="BO476" s="51"/>
      <c r="BP476" s="51"/>
      <c r="BQ476" s="51"/>
      <c r="BR476" s="51"/>
      <c r="BS476" s="51"/>
      <c r="BT476" s="51"/>
      <c r="BU476" s="51"/>
      <c r="BV476" s="51"/>
      <c r="BW476" s="51"/>
      <c r="BX476" s="51"/>
      <c r="BY476" s="51"/>
      <c r="BZ476" s="51"/>
      <c r="CA476" s="51"/>
      <c r="CB476" s="51"/>
      <c r="CC476" s="51"/>
      <c r="CD476" s="51"/>
      <c r="CE476" s="51"/>
      <c r="CF476" s="51"/>
      <c r="CG476" s="51"/>
      <c r="CH476" s="51"/>
      <c r="CI476" s="51"/>
      <c r="CJ476" s="51"/>
      <c r="CK476" s="51"/>
      <c r="CL476" s="51"/>
      <c r="CM476" s="51"/>
      <c r="CN476" s="51"/>
      <c r="CO476" s="51"/>
      <c r="CP476" s="51"/>
      <c r="CQ476" s="51"/>
      <c r="CR476" s="51"/>
      <c r="CS476" s="51"/>
      <c r="CT476" s="51"/>
      <c r="CU476" s="51"/>
      <c r="CV476" s="51"/>
      <c r="CW476" s="51"/>
      <c r="CX476" s="51"/>
      <c r="CY476" s="51"/>
      <c r="CZ476" s="51"/>
      <c r="DA476" s="51"/>
      <c r="DB476" s="51"/>
      <c r="DC476" s="51"/>
      <c r="DD476" s="51"/>
      <c r="DE476" s="51"/>
      <c r="DF476" s="51"/>
      <c r="DG476" s="51"/>
      <c r="DH476" s="51"/>
      <c r="DI476" s="51"/>
      <c r="DJ476" s="51"/>
      <c r="DK476" s="51"/>
      <c r="DL476" s="51"/>
      <c r="DM476" s="51"/>
      <c r="DN476" s="51"/>
      <c r="DO476" s="51"/>
      <c r="DP476" s="51"/>
      <c r="DQ476" s="51"/>
      <c r="DR476" s="51"/>
      <c r="DS476" s="51"/>
      <c r="DT476" s="51"/>
      <c r="DU476" s="51"/>
      <c r="DV476" s="51"/>
      <c r="DW476" s="51"/>
      <c r="DX476" s="51"/>
      <c r="DY476" s="51"/>
      <c r="DZ476" s="51"/>
      <c r="EA476" s="51"/>
      <c r="EB476" s="51"/>
      <c r="EC476" s="51"/>
      <c r="ED476" s="51"/>
      <c r="EE476" s="51"/>
      <c r="EF476" s="51"/>
      <c r="EG476" s="51"/>
      <c r="EH476" s="51"/>
      <c r="EI476" s="51"/>
      <c r="EJ476" s="51"/>
      <c r="EK476" s="51"/>
      <c r="EL476" s="51"/>
      <c r="EM476" s="51"/>
      <c r="EN476" s="51"/>
      <c r="EO476" s="51"/>
      <c r="EP476" s="51"/>
      <c r="EQ476" s="51"/>
      <c r="ER476" s="51"/>
      <c r="ES476" s="51"/>
      <c r="ET476" s="51"/>
      <c r="EU476" s="51"/>
      <c r="EV476" s="51"/>
      <c r="EW476" s="51"/>
      <c r="EX476" s="51"/>
      <c r="EY476" s="51"/>
      <c r="EZ476" s="51"/>
      <c r="FA476" s="51"/>
      <c r="FB476" s="51"/>
      <c r="FC476" s="51"/>
      <c r="FD476" s="51"/>
      <c r="FE476" s="51"/>
      <c r="FF476" s="51"/>
      <c r="FG476" s="51"/>
      <c r="FH476" s="51"/>
      <c r="FI476" s="51"/>
      <c r="FJ476" s="51"/>
      <c r="FK476" s="51"/>
      <c r="FL476" s="51"/>
      <c r="FM476" s="51"/>
      <c r="FN476" s="51"/>
      <c r="FO476" s="51"/>
      <c r="FP476" s="51"/>
      <c r="FQ476" s="51"/>
      <c r="FR476" s="51"/>
      <c r="FS476" s="51"/>
      <c r="FT476" s="51"/>
      <c r="FU476" s="51"/>
      <c r="FV476" s="51"/>
      <c r="FW476" s="51"/>
      <c r="FX476" s="51"/>
      <c r="FY476" s="51"/>
      <c r="FZ476" s="51"/>
      <c r="GA476" s="51"/>
      <c r="GB476" s="51"/>
      <c r="GC476" s="51"/>
      <c r="GD476" s="51"/>
      <c r="GE476" s="51"/>
      <c r="GF476" s="51"/>
      <c r="GG476" s="51"/>
      <c r="GH476" s="51"/>
      <c r="GI476" s="51"/>
      <c r="GJ476" s="51"/>
      <c r="GK476" s="51"/>
      <c r="GL476" s="51"/>
      <c r="GM476" s="51"/>
      <c r="GN476" s="51"/>
      <c r="GO476" s="51"/>
      <c r="GP476" s="51"/>
      <c r="GQ476" s="51"/>
      <c r="GR476" s="51"/>
      <c r="GS476" s="51"/>
      <c r="GT476" s="51"/>
      <c r="GU476" s="51"/>
      <c r="GV476" s="51"/>
      <c r="GW476" s="51"/>
      <c r="GX476" s="51"/>
      <c r="GY476" s="51"/>
      <c r="GZ476" s="51"/>
      <c r="HA476" s="51"/>
      <c r="HB476" s="51"/>
      <c r="HC476" s="51"/>
      <c r="HD476" s="51"/>
      <c r="HE476" s="51"/>
      <c r="HF476" s="51"/>
      <c r="HG476" s="51"/>
      <c r="HH476" s="51"/>
      <c r="HI476" s="51"/>
      <c r="HJ476" s="51"/>
      <c r="HK476" s="51"/>
      <c r="HL476" s="51"/>
      <c r="HM476" s="51"/>
      <c r="HN476" s="51"/>
      <c r="HO476" s="51"/>
      <c r="HP476" s="51"/>
      <c r="HQ476" s="51"/>
      <c r="HR476" s="51"/>
      <c r="HS476" s="51"/>
      <c r="HT476" s="51"/>
      <c r="HU476" s="51"/>
      <c r="HV476" s="51"/>
      <c r="HW476" s="51"/>
      <c r="HX476" s="51"/>
      <c r="HY476" s="51"/>
      <c r="HZ476" s="51"/>
      <c r="IA476" s="51"/>
      <c r="IB476" s="51"/>
      <c r="IC476" s="51"/>
      <c r="ID476" s="51"/>
      <c r="IE476" s="51"/>
      <c r="IF476" s="51"/>
      <c r="IG476" s="51"/>
      <c r="IH476" s="51"/>
      <c r="II476" s="51"/>
      <c r="IJ476" s="51"/>
      <c r="IK476" s="51"/>
      <c r="IL476" s="51"/>
      <c r="IM476" s="51"/>
      <c r="IN476" s="51"/>
      <c r="IO476" s="51"/>
      <c r="IP476" s="51"/>
      <c r="IQ476" s="51"/>
      <c r="IR476" s="51"/>
      <c r="IS476" s="51"/>
      <c r="IT476" s="51"/>
      <c r="IU476" s="51"/>
      <c r="IV476" s="51"/>
    </row>
    <row r="477" hidden="1">
      <c r="B477" s="826" t="s">
        <v>23</v>
      </c>
      <c r="C477" s="827">
        <v>0</v>
      </c>
      <c r="D477" s="827">
        <v>0</v>
      </c>
      <c r="E477" s="827">
        <v>0</v>
      </c>
      <c r="F477" s="827">
        <v>0</v>
      </c>
      <c r="G477" s="827">
        <v>0</v>
      </c>
      <c r="H477" s="827">
        <v>0</v>
      </c>
      <c r="I477" s="827">
        <v>0</v>
      </c>
      <c r="J477" s="827">
        <v>0</v>
      </c>
      <c r="K477" s="827">
        <v>0</v>
      </c>
      <c r="L477" s="827">
        <v>0</v>
      </c>
      <c r="M477" s="827">
        <v>0</v>
      </c>
      <c r="N477" s="827">
        <v>0</v>
      </c>
      <c r="O477" s="827">
        <v>0</v>
      </c>
      <c r="P477" s="827">
        <v>0</v>
      </c>
      <c r="Q477" s="827">
        <v>0</v>
      </c>
      <c r="R477" s="827">
        <v>0</v>
      </c>
      <c r="S477" s="827">
        <v>0</v>
      </c>
      <c r="T477" s="827">
        <v>0</v>
      </c>
      <c r="U477" s="827">
        <v>0</v>
      </c>
      <c r="V477" s="827">
        <v>0</v>
      </c>
      <c r="W477" s="827">
        <v>0</v>
      </c>
      <c r="X477" s="827">
        <v>0</v>
      </c>
      <c r="Y477" s="827">
        <v>0</v>
      </c>
      <c r="Z477" s="827">
        <v>0</v>
      </c>
      <c r="AA477" s="827">
        <v>0</v>
      </c>
      <c r="AB477" s="827">
        <v>0</v>
      </c>
      <c r="AC477" s="828">
        <v>0</v>
      </c>
      <c r="AD477" s="828">
        <v>0</v>
      </c>
      <c r="AE477" s="828">
        <v>0</v>
      </c>
      <c r="AF477" s="828">
        <v>0</v>
      </c>
      <c r="AG477" s="828">
        <v>0</v>
      </c>
      <c r="AH477" s="828">
        <v>0</v>
      </c>
      <c r="AI477" s="828">
        <v>0</v>
      </c>
      <c r="AJ477" s="828">
        <v>0</v>
      </c>
      <c r="AK477" s="828">
        <v>0</v>
      </c>
      <c r="AL477" s="828">
        <v>0</v>
      </c>
      <c r="AM477" s="828">
        <v>0</v>
      </c>
      <c r="AN477" s="828">
        <v>0</v>
      </c>
      <c r="AO477" s="828">
        <v>0</v>
      </c>
      <c r="AP477" s="828">
        <v>0</v>
      </c>
      <c r="AQ477" s="51"/>
      <c r="AR477" s="51"/>
      <c r="AS477" s="51"/>
      <c r="AT477" s="51"/>
      <c r="AU477" s="51"/>
      <c r="AV477" s="51"/>
      <c r="AW477" s="51"/>
      <c r="AX477" s="51"/>
      <c r="AY477" s="51"/>
      <c r="AZ477" s="51"/>
      <c r="BA477" s="51"/>
      <c r="BB477" s="51"/>
      <c r="BC477" s="51"/>
      <c r="BD477" s="51"/>
      <c r="BE477" s="51"/>
      <c r="BF477" s="51"/>
      <c r="BG477" s="51"/>
      <c r="BH477" s="51"/>
      <c r="BI477" s="51"/>
      <c r="BJ477" s="51"/>
      <c r="BK477" s="51"/>
      <c r="BL477" s="51"/>
      <c r="BM477" s="51"/>
      <c r="BN477" s="51"/>
      <c r="BO477" s="51"/>
      <c r="BP477" s="51"/>
      <c r="BQ477" s="51"/>
      <c r="BR477" s="51"/>
      <c r="BS477" s="51"/>
      <c r="BT477" s="51"/>
      <c r="BU477" s="51"/>
      <c r="BV477" s="51"/>
      <c r="BW477" s="51"/>
      <c r="BX477" s="51"/>
      <c r="BY477" s="51"/>
      <c r="BZ477" s="51"/>
      <c r="CA477" s="51"/>
      <c r="CB477" s="51"/>
      <c r="CC477" s="51"/>
      <c r="CD477" s="51"/>
      <c r="CE477" s="51"/>
      <c r="CF477" s="51"/>
      <c r="CG477" s="51"/>
      <c r="CH477" s="51"/>
      <c r="CI477" s="51"/>
      <c r="CJ477" s="51"/>
      <c r="CK477" s="51"/>
      <c r="CL477" s="51"/>
      <c r="CM477" s="51"/>
      <c r="CN477" s="51"/>
      <c r="CO477" s="51"/>
      <c r="CP477" s="51"/>
      <c r="CQ477" s="51"/>
      <c r="CR477" s="51"/>
      <c r="CS477" s="51"/>
      <c r="CT477" s="51"/>
      <c r="CU477" s="51"/>
      <c r="CV477" s="51"/>
      <c r="CW477" s="51"/>
      <c r="CX477" s="51"/>
      <c r="CY477" s="51"/>
      <c r="CZ477" s="51"/>
      <c r="DA477" s="51"/>
      <c r="DB477" s="51"/>
      <c r="DC477" s="51"/>
      <c r="DD477" s="51"/>
      <c r="DE477" s="51"/>
      <c r="DF477" s="51"/>
      <c r="DG477" s="51"/>
      <c r="DH477" s="51"/>
      <c r="DI477" s="51"/>
      <c r="DJ477" s="51"/>
      <c r="DK477" s="51"/>
      <c r="DL477" s="51"/>
      <c r="DM477" s="51"/>
      <c r="DN477" s="51"/>
      <c r="DO477" s="51"/>
      <c r="DP477" s="51"/>
      <c r="DQ477" s="51"/>
      <c r="DR477" s="51"/>
      <c r="DS477" s="51"/>
      <c r="DT477" s="51"/>
      <c r="DU477" s="51"/>
      <c r="DV477" s="51"/>
      <c r="DW477" s="51"/>
      <c r="DX477" s="51"/>
      <c r="DY477" s="51"/>
      <c r="DZ477" s="51"/>
      <c r="EA477" s="51"/>
      <c r="EB477" s="51"/>
      <c r="EC477" s="51"/>
      <c r="ED477" s="51"/>
      <c r="EE477" s="51"/>
      <c r="EF477" s="51"/>
      <c r="EG477" s="51"/>
      <c r="EH477" s="51"/>
      <c r="EI477" s="51"/>
      <c r="EJ477" s="51"/>
      <c r="EK477" s="51"/>
      <c r="EL477" s="51"/>
      <c r="EM477" s="51"/>
      <c r="EN477" s="51"/>
      <c r="EO477" s="51"/>
      <c r="EP477" s="51"/>
      <c r="EQ477" s="51"/>
      <c r="ER477" s="51"/>
      <c r="ES477" s="51"/>
      <c r="ET477" s="51"/>
      <c r="EU477" s="51"/>
      <c r="EV477" s="51"/>
      <c r="EW477" s="51"/>
      <c r="EX477" s="51"/>
      <c r="EY477" s="51"/>
      <c r="EZ477" s="51"/>
      <c r="FA477" s="51"/>
      <c r="FB477" s="51"/>
      <c r="FC477" s="51"/>
      <c r="FD477" s="51"/>
      <c r="FE477" s="51"/>
      <c r="FF477" s="51"/>
      <c r="FG477" s="51"/>
      <c r="FH477" s="51"/>
      <c r="FI477" s="51"/>
      <c r="FJ477" s="51"/>
      <c r="FK477" s="51"/>
      <c r="FL477" s="51"/>
      <c r="FM477" s="51"/>
      <c r="FN477" s="51"/>
      <c r="FO477" s="51"/>
      <c r="FP477" s="51"/>
      <c r="FQ477" s="51"/>
      <c r="FR477" s="51"/>
      <c r="FS477" s="51"/>
      <c r="FT477" s="51"/>
      <c r="FU477" s="51"/>
      <c r="FV477" s="51"/>
      <c r="FW477" s="51"/>
      <c r="FX477" s="51"/>
      <c r="FY477" s="51"/>
      <c r="FZ477" s="51"/>
      <c r="GA477" s="51"/>
      <c r="GB477" s="51"/>
      <c r="GC477" s="51"/>
      <c r="GD477" s="51"/>
      <c r="GE477" s="51"/>
      <c r="GF477" s="51"/>
      <c r="GG477" s="51"/>
      <c r="GH477" s="51"/>
      <c r="GI477" s="51"/>
      <c r="GJ477" s="51"/>
      <c r="GK477" s="51"/>
      <c r="GL477" s="51"/>
      <c r="GM477" s="51"/>
      <c r="GN477" s="51"/>
      <c r="GO477" s="51"/>
      <c r="GP477" s="51"/>
      <c r="GQ477" s="51"/>
      <c r="GR477" s="51"/>
      <c r="GS477" s="51"/>
      <c r="GT477" s="51"/>
      <c r="GU477" s="51"/>
      <c r="GV477" s="51"/>
      <c r="GW477" s="51"/>
      <c r="GX477" s="51"/>
      <c r="GY477" s="51"/>
      <c r="GZ477" s="51"/>
      <c r="HA477" s="51"/>
      <c r="HB477" s="51"/>
      <c r="HC477" s="51"/>
      <c r="HD477" s="51"/>
      <c r="HE477" s="51"/>
      <c r="HF477" s="51"/>
      <c r="HG477" s="51"/>
      <c r="HH477" s="51"/>
      <c r="HI477" s="51"/>
      <c r="HJ477" s="51"/>
      <c r="HK477" s="51"/>
      <c r="HL477" s="51"/>
      <c r="HM477" s="51"/>
      <c r="HN477" s="51"/>
      <c r="HO477" s="51"/>
      <c r="HP477" s="51"/>
      <c r="HQ477" s="51"/>
      <c r="HR477" s="51"/>
      <c r="HS477" s="51"/>
      <c r="HT477" s="51"/>
      <c r="HU477" s="51"/>
      <c r="HV477" s="51"/>
      <c r="HW477" s="51"/>
      <c r="HX477" s="51"/>
      <c r="HY477" s="51"/>
      <c r="HZ477" s="51"/>
      <c r="IA477" s="51"/>
      <c r="IB477" s="51"/>
      <c r="IC477" s="51"/>
      <c r="ID477" s="51"/>
      <c r="IE477" s="51"/>
      <c r="IF477" s="51"/>
      <c r="IG477" s="51"/>
      <c r="IH477" s="51"/>
      <c r="II477" s="51"/>
      <c r="IJ477" s="51"/>
      <c r="IK477" s="51"/>
      <c r="IL477" s="51"/>
      <c r="IM477" s="51"/>
      <c r="IN477" s="51"/>
      <c r="IO477" s="51"/>
      <c r="IP477" s="51"/>
      <c r="IQ477" s="51"/>
      <c r="IR477" s="51"/>
      <c r="IS477" s="51"/>
      <c r="IT477" s="51"/>
      <c r="IU477" s="51"/>
      <c r="IV477" s="51"/>
    </row>
    <row r="478" hidden="1">
      <c r="B478" s="830" t="s">
        <v>24</v>
      </c>
      <c r="C478" s="823">
        <v>0</v>
      </c>
      <c r="D478" s="823">
        <v>0</v>
      </c>
      <c r="E478" s="823">
        <v>0</v>
      </c>
      <c r="F478" s="823">
        <v>0</v>
      </c>
      <c r="G478" s="823">
        <v>0</v>
      </c>
      <c r="H478" s="823">
        <v>0</v>
      </c>
      <c r="I478" s="823">
        <v>0</v>
      </c>
      <c r="J478" s="823">
        <v>0</v>
      </c>
      <c r="K478" s="823">
        <v>0</v>
      </c>
      <c r="L478" s="823">
        <v>0</v>
      </c>
      <c r="M478" s="823">
        <v>0</v>
      </c>
      <c r="N478" s="823">
        <v>0</v>
      </c>
      <c r="O478" s="823">
        <v>0</v>
      </c>
      <c r="P478" s="823">
        <v>0</v>
      </c>
      <c r="Q478" s="823">
        <v>0</v>
      </c>
      <c r="R478" s="823">
        <v>0</v>
      </c>
      <c r="S478" s="823">
        <v>0</v>
      </c>
      <c r="T478" s="823">
        <v>0</v>
      </c>
      <c r="U478" s="823">
        <v>0</v>
      </c>
      <c r="V478" s="823">
        <v>0</v>
      </c>
      <c r="W478" s="823">
        <v>0</v>
      </c>
      <c r="X478" s="823">
        <v>0</v>
      </c>
      <c r="Y478" s="823">
        <v>0</v>
      </c>
      <c r="Z478" s="823">
        <v>0</v>
      </c>
      <c r="AA478" s="823">
        <v>0</v>
      </c>
      <c r="AB478" s="823">
        <v>0</v>
      </c>
      <c r="AC478" s="825">
        <v>0</v>
      </c>
      <c r="AD478" s="825">
        <v>0</v>
      </c>
      <c r="AE478" s="825">
        <v>0</v>
      </c>
      <c r="AF478" s="825">
        <v>0</v>
      </c>
      <c r="AG478" s="825">
        <v>0</v>
      </c>
      <c r="AH478" s="825">
        <v>0</v>
      </c>
      <c r="AI478" s="825">
        <v>0</v>
      </c>
      <c r="AJ478" s="825">
        <v>0</v>
      </c>
      <c r="AK478" s="825">
        <v>0</v>
      </c>
      <c r="AL478" s="825">
        <v>0</v>
      </c>
      <c r="AM478" s="825">
        <v>0</v>
      </c>
      <c r="AN478" s="825">
        <v>0</v>
      </c>
      <c r="AO478" s="825">
        <v>0</v>
      </c>
      <c r="AP478" s="825">
        <v>0</v>
      </c>
      <c r="AQ478" s="51"/>
      <c r="AR478" s="51"/>
      <c r="AS478" s="51"/>
      <c r="AT478" s="51"/>
      <c r="AU478" s="51"/>
      <c r="AV478" s="51"/>
      <c r="AW478" s="51"/>
      <c r="AX478" s="51"/>
      <c r="AY478" s="51"/>
      <c r="AZ478" s="51"/>
      <c r="BA478" s="51"/>
      <c r="BB478" s="51"/>
      <c r="BC478" s="51"/>
      <c r="BD478" s="51"/>
      <c r="BE478" s="51"/>
      <c r="BF478" s="51"/>
      <c r="BG478" s="51"/>
      <c r="BH478" s="51"/>
      <c r="BI478" s="51"/>
      <c r="BJ478" s="51"/>
      <c r="BK478" s="51"/>
      <c r="BL478" s="51"/>
      <c r="BM478" s="51"/>
      <c r="BN478" s="51"/>
      <c r="BO478" s="51"/>
      <c r="BP478" s="51"/>
      <c r="BQ478" s="51"/>
      <c r="BR478" s="51"/>
      <c r="BS478" s="51"/>
      <c r="BT478" s="51"/>
      <c r="BU478" s="51"/>
      <c r="BV478" s="51"/>
      <c r="BW478" s="51"/>
      <c r="BX478" s="51"/>
      <c r="BY478" s="51"/>
      <c r="BZ478" s="51"/>
      <c r="CA478" s="51"/>
      <c r="CB478" s="51"/>
      <c r="CC478" s="51"/>
      <c r="CD478" s="51"/>
      <c r="CE478" s="51"/>
      <c r="CF478" s="51"/>
      <c r="CG478" s="51"/>
      <c r="CH478" s="51"/>
      <c r="CI478" s="51"/>
      <c r="CJ478" s="51"/>
      <c r="CK478" s="51"/>
      <c r="CL478" s="51"/>
      <c r="CM478" s="51"/>
      <c r="CN478" s="51"/>
      <c r="CO478" s="51"/>
      <c r="CP478" s="51"/>
      <c r="CQ478" s="51"/>
      <c r="CR478" s="51"/>
      <c r="CS478" s="51"/>
      <c r="CT478" s="51"/>
      <c r="CU478" s="51"/>
      <c r="CV478" s="51"/>
      <c r="CW478" s="51"/>
      <c r="CX478" s="51"/>
      <c r="CY478" s="51"/>
      <c r="CZ478" s="51"/>
      <c r="DA478" s="51"/>
      <c r="DB478" s="51"/>
      <c r="DC478" s="51"/>
      <c r="DD478" s="51"/>
      <c r="DE478" s="51"/>
      <c r="DF478" s="51"/>
      <c r="DG478" s="51"/>
      <c r="DH478" s="51"/>
      <c r="DI478" s="51"/>
      <c r="DJ478" s="51"/>
      <c r="DK478" s="51"/>
      <c r="DL478" s="51"/>
      <c r="DM478" s="51"/>
      <c r="DN478" s="51"/>
      <c r="DO478" s="51"/>
      <c r="DP478" s="51"/>
      <c r="DQ478" s="51"/>
      <c r="DR478" s="51"/>
      <c r="DS478" s="51"/>
      <c r="DT478" s="51"/>
      <c r="DU478" s="51"/>
      <c r="DV478" s="51"/>
      <c r="DW478" s="51"/>
      <c r="DX478" s="51"/>
      <c r="DY478" s="51"/>
      <c r="DZ478" s="51"/>
      <c r="EA478" s="51"/>
      <c r="EB478" s="51"/>
      <c r="EC478" s="51"/>
      <c r="ED478" s="51"/>
      <c r="EE478" s="51"/>
      <c r="EF478" s="51"/>
      <c r="EG478" s="51"/>
      <c r="EH478" s="51"/>
      <c r="EI478" s="51"/>
      <c r="EJ478" s="51"/>
      <c r="EK478" s="51"/>
      <c r="EL478" s="51"/>
      <c r="EM478" s="51"/>
      <c r="EN478" s="51"/>
      <c r="EO478" s="51"/>
      <c r="EP478" s="51"/>
      <c r="EQ478" s="51"/>
      <c r="ER478" s="51"/>
      <c r="ES478" s="51"/>
      <c r="ET478" s="51"/>
      <c r="EU478" s="51"/>
      <c r="EV478" s="51"/>
      <c r="EW478" s="51"/>
      <c r="EX478" s="51"/>
      <c r="EY478" s="51"/>
      <c r="EZ478" s="51"/>
      <c r="FA478" s="51"/>
      <c r="FB478" s="51"/>
      <c r="FC478" s="51"/>
      <c r="FD478" s="51"/>
      <c r="FE478" s="51"/>
      <c r="FF478" s="51"/>
      <c r="FG478" s="51"/>
      <c r="FH478" s="51"/>
      <c r="FI478" s="51"/>
      <c r="FJ478" s="51"/>
      <c r="FK478" s="51"/>
      <c r="FL478" s="51"/>
      <c r="FM478" s="51"/>
      <c r="FN478" s="51"/>
      <c r="FO478" s="51"/>
      <c r="FP478" s="51"/>
      <c r="FQ478" s="51"/>
      <c r="FR478" s="51"/>
      <c r="FS478" s="51"/>
      <c r="FT478" s="51"/>
      <c r="FU478" s="51"/>
      <c r="FV478" s="51"/>
      <c r="FW478" s="51"/>
      <c r="FX478" s="51"/>
      <c r="FY478" s="51"/>
      <c r="FZ478" s="51"/>
      <c r="GA478" s="51"/>
      <c r="GB478" s="51"/>
      <c r="GC478" s="51"/>
      <c r="GD478" s="51"/>
      <c r="GE478" s="51"/>
      <c r="GF478" s="51"/>
      <c r="GG478" s="51"/>
      <c r="GH478" s="51"/>
      <c r="GI478" s="51"/>
      <c r="GJ478" s="51"/>
      <c r="GK478" s="51"/>
      <c r="GL478" s="51"/>
      <c r="GM478" s="51"/>
      <c r="GN478" s="51"/>
      <c r="GO478" s="51"/>
      <c r="GP478" s="51"/>
      <c r="GQ478" s="51"/>
      <c r="GR478" s="51"/>
      <c r="GS478" s="51"/>
      <c r="GT478" s="51"/>
      <c r="GU478" s="51"/>
      <c r="GV478" s="51"/>
      <c r="GW478" s="51"/>
      <c r="GX478" s="51"/>
      <c r="GY478" s="51"/>
      <c r="GZ478" s="51"/>
      <c r="HA478" s="51"/>
      <c r="HB478" s="51"/>
      <c r="HC478" s="51"/>
      <c r="HD478" s="51"/>
      <c r="HE478" s="51"/>
      <c r="HF478" s="51"/>
      <c r="HG478" s="51"/>
      <c r="HH478" s="51"/>
      <c r="HI478" s="51"/>
      <c r="HJ478" s="51"/>
      <c r="HK478" s="51"/>
      <c r="HL478" s="51"/>
      <c r="HM478" s="51"/>
      <c r="HN478" s="51"/>
      <c r="HO478" s="51"/>
      <c r="HP478" s="51"/>
      <c r="HQ478" s="51"/>
      <c r="HR478" s="51"/>
      <c r="HS478" s="51"/>
      <c r="HT478" s="51"/>
      <c r="HU478" s="51"/>
      <c r="HV478" s="51"/>
      <c r="HW478" s="51"/>
      <c r="HX478" s="51"/>
      <c r="HY478" s="51"/>
      <c r="HZ478" s="51"/>
      <c r="IA478" s="51"/>
      <c r="IB478" s="51"/>
      <c r="IC478" s="51"/>
      <c r="ID478" s="51"/>
      <c r="IE478" s="51"/>
      <c r="IF478" s="51"/>
      <c r="IG478" s="51"/>
      <c r="IH478" s="51"/>
      <c r="II478" s="51"/>
      <c r="IJ478" s="51"/>
      <c r="IK478" s="51"/>
      <c r="IL478" s="51"/>
      <c r="IM478" s="51"/>
      <c r="IN478" s="51"/>
      <c r="IO478" s="51"/>
      <c r="IP478" s="51"/>
      <c r="IQ478" s="51"/>
      <c r="IR478" s="51"/>
      <c r="IS478" s="51"/>
      <c r="IT478" s="51"/>
      <c r="IU478" s="51"/>
      <c r="IV478" s="51"/>
    </row>
    <row r="479" hidden="1">
      <c r="B479" s="826" t="s">
        <v>25</v>
      </c>
      <c r="C479" s="827">
        <v>0</v>
      </c>
      <c r="D479" s="827">
        <v>0</v>
      </c>
      <c r="E479" s="827">
        <v>0</v>
      </c>
      <c r="F479" s="827">
        <v>0</v>
      </c>
      <c r="G479" s="827">
        <v>0</v>
      </c>
      <c r="H479" s="827">
        <v>0</v>
      </c>
      <c r="I479" s="827">
        <v>0</v>
      </c>
      <c r="J479" s="827">
        <v>0</v>
      </c>
      <c r="K479" s="827">
        <v>0</v>
      </c>
      <c r="L479" s="827">
        <v>0</v>
      </c>
      <c r="M479" s="827">
        <v>0</v>
      </c>
      <c r="N479" s="827">
        <v>0</v>
      </c>
      <c r="O479" s="827">
        <v>0</v>
      </c>
      <c r="P479" s="827">
        <v>0</v>
      </c>
      <c r="Q479" s="827">
        <v>0</v>
      </c>
      <c r="R479" s="827">
        <v>0</v>
      </c>
      <c r="S479" s="827">
        <v>0</v>
      </c>
      <c r="T479" s="827">
        <v>0</v>
      </c>
      <c r="U479" s="827">
        <v>0</v>
      </c>
      <c r="V479" s="827">
        <v>0</v>
      </c>
      <c r="W479" s="827">
        <v>0</v>
      </c>
      <c r="X479" s="827">
        <v>0</v>
      </c>
      <c r="Y479" s="827">
        <v>0</v>
      </c>
      <c r="Z479" s="827">
        <v>0</v>
      </c>
      <c r="AA479" s="827">
        <v>0</v>
      </c>
      <c r="AB479" s="827">
        <v>0</v>
      </c>
      <c r="AC479" s="828">
        <v>0</v>
      </c>
      <c r="AD479" s="828">
        <v>0</v>
      </c>
      <c r="AE479" s="828">
        <v>0</v>
      </c>
      <c r="AF479" s="828">
        <v>0</v>
      </c>
      <c r="AG479" s="828">
        <v>0</v>
      </c>
      <c r="AH479" s="828">
        <v>0</v>
      </c>
      <c r="AI479" s="828">
        <v>0</v>
      </c>
      <c r="AJ479" s="828">
        <v>0</v>
      </c>
      <c r="AK479" s="828">
        <v>0</v>
      </c>
      <c r="AL479" s="828">
        <v>0</v>
      </c>
      <c r="AM479" s="828">
        <v>0</v>
      </c>
      <c r="AN479" s="828">
        <v>0</v>
      </c>
      <c r="AO479" s="828">
        <v>0</v>
      </c>
      <c r="AP479" s="828">
        <v>0</v>
      </c>
      <c r="AQ479" s="51"/>
      <c r="AR479" s="51"/>
      <c r="AS479" s="51"/>
      <c r="AT479" s="51"/>
      <c r="AU479" s="51"/>
      <c r="AV479" s="51"/>
      <c r="AW479" s="51"/>
      <c r="AX479" s="51"/>
      <c r="AY479" s="51"/>
      <c r="AZ479" s="51"/>
      <c r="BA479" s="51"/>
      <c r="BB479" s="51"/>
      <c r="BC479" s="51"/>
      <c r="BD479" s="51"/>
      <c r="BE479" s="51"/>
      <c r="BF479" s="51"/>
      <c r="BG479" s="51"/>
      <c r="BH479" s="51"/>
      <c r="BI479" s="51"/>
      <c r="BJ479" s="51"/>
      <c r="BK479" s="51"/>
      <c r="BL479" s="51"/>
      <c r="BM479" s="51"/>
      <c r="BN479" s="51"/>
      <c r="BO479" s="51"/>
      <c r="BP479" s="51"/>
      <c r="BQ479" s="51"/>
      <c r="BR479" s="51"/>
      <c r="BS479" s="51"/>
      <c r="BT479" s="51"/>
      <c r="BU479" s="51"/>
      <c r="BV479" s="51"/>
      <c r="BW479" s="51"/>
      <c r="BX479" s="51"/>
      <c r="BY479" s="51"/>
      <c r="BZ479" s="51"/>
      <c r="CA479" s="51"/>
      <c r="CB479" s="51"/>
      <c r="CC479" s="51"/>
      <c r="CD479" s="51"/>
      <c r="CE479" s="51"/>
      <c r="CF479" s="51"/>
      <c r="CG479" s="51"/>
      <c r="CH479" s="51"/>
      <c r="CI479" s="51"/>
      <c r="CJ479" s="51"/>
      <c r="CK479" s="51"/>
      <c r="CL479" s="51"/>
      <c r="CM479" s="51"/>
      <c r="CN479" s="51"/>
      <c r="CO479" s="51"/>
      <c r="CP479" s="51"/>
      <c r="CQ479" s="51"/>
      <c r="CR479" s="51"/>
      <c r="CS479" s="51"/>
      <c r="CT479" s="51"/>
      <c r="CU479" s="51"/>
      <c r="CV479" s="51"/>
      <c r="CW479" s="51"/>
      <c r="CX479" s="51"/>
      <c r="CY479" s="51"/>
      <c r="CZ479" s="51"/>
      <c r="DA479" s="51"/>
      <c r="DB479" s="51"/>
      <c r="DC479" s="51"/>
      <c r="DD479" s="51"/>
      <c r="DE479" s="51"/>
      <c r="DF479" s="51"/>
      <c r="DG479" s="51"/>
      <c r="DH479" s="51"/>
      <c r="DI479" s="51"/>
      <c r="DJ479" s="51"/>
      <c r="DK479" s="51"/>
      <c r="DL479" s="51"/>
      <c r="DM479" s="51"/>
      <c r="DN479" s="51"/>
      <c r="DO479" s="51"/>
      <c r="DP479" s="51"/>
      <c r="DQ479" s="51"/>
      <c r="DR479" s="51"/>
      <c r="DS479" s="51"/>
      <c r="DT479" s="51"/>
      <c r="DU479" s="51"/>
      <c r="DV479" s="51"/>
      <c r="DW479" s="51"/>
      <c r="DX479" s="51"/>
      <c r="DY479" s="51"/>
      <c r="DZ479" s="51"/>
      <c r="EA479" s="51"/>
      <c r="EB479" s="51"/>
      <c r="EC479" s="51"/>
      <c r="ED479" s="51"/>
      <c r="EE479" s="51"/>
      <c r="EF479" s="51"/>
      <c r="EG479" s="51"/>
      <c r="EH479" s="51"/>
      <c r="EI479" s="51"/>
      <c r="EJ479" s="51"/>
      <c r="EK479" s="51"/>
      <c r="EL479" s="51"/>
      <c r="EM479" s="51"/>
      <c r="EN479" s="51"/>
      <c r="EO479" s="51"/>
      <c r="EP479" s="51"/>
      <c r="EQ479" s="51"/>
      <c r="ER479" s="51"/>
      <c r="ES479" s="51"/>
      <c r="ET479" s="51"/>
      <c r="EU479" s="51"/>
      <c r="EV479" s="51"/>
      <c r="EW479" s="51"/>
      <c r="EX479" s="51"/>
      <c r="EY479" s="51"/>
      <c r="EZ479" s="51"/>
      <c r="FA479" s="51"/>
      <c r="FB479" s="51"/>
      <c r="FC479" s="51"/>
      <c r="FD479" s="51"/>
      <c r="FE479" s="51"/>
      <c r="FF479" s="51"/>
      <c r="FG479" s="51"/>
      <c r="FH479" s="51"/>
      <c r="FI479" s="51"/>
      <c r="FJ479" s="51"/>
      <c r="FK479" s="51"/>
      <c r="FL479" s="51"/>
      <c r="FM479" s="51"/>
      <c r="FN479" s="51"/>
      <c r="FO479" s="51"/>
      <c r="FP479" s="51"/>
      <c r="FQ479" s="51"/>
      <c r="FR479" s="51"/>
      <c r="FS479" s="51"/>
      <c r="FT479" s="51"/>
      <c r="FU479" s="51"/>
      <c r="FV479" s="51"/>
      <c r="FW479" s="51"/>
      <c r="FX479" s="51"/>
      <c r="FY479" s="51"/>
      <c r="FZ479" s="51"/>
      <c r="GA479" s="51"/>
      <c r="GB479" s="51"/>
      <c r="GC479" s="51"/>
      <c r="GD479" s="51"/>
      <c r="GE479" s="51"/>
      <c r="GF479" s="51"/>
      <c r="GG479" s="51"/>
      <c r="GH479" s="51"/>
      <c r="GI479" s="51"/>
      <c r="GJ479" s="51"/>
      <c r="GK479" s="51"/>
      <c r="GL479" s="51"/>
      <c r="GM479" s="51"/>
      <c r="GN479" s="51"/>
      <c r="GO479" s="51"/>
      <c r="GP479" s="51"/>
      <c r="GQ479" s="51"/>
      <c r="GR479" s="51"/>
      <c r="GS479" s="51"/>
      <c r="GT479" s="51"/>
      <c r="GU479" s="51"/>
      <c r="GV479" s="51"/>
      <c r="GW479" s="51"/>
      <c r="GX479" s="51"/>
      <c r="GY479" s="51"/>
      <c r="GZ479" s="51"/>
      <c r="HA479" s="51"/>
      <c r="HB479" s="51"/>
      <c r="HC479" s="51"/>
      <c r="HD479" s="51"/>
      <c r="HE479" s="51"/>
      <c r="HF479" s="51"/>
      <c r="HG479" s="51"/>
      <c r="HH479" s="51"/>
      <c r="HI479" s="51"/>
      <c r="HJ479" s="51"/>
      <c r="HK479" s="51"/>
      <c r="HL479" s="51"/>
      <c r="HM479" s="51"/>
      <c r="HN479" s="51"/>
      <c r="HO479" s="51"/>
      <c r="HP479" s="51"/>
      <c r="HQ479" s="51"/>
      <c r="HR479" s="51"/>
      <c r="HS479" s="51"/>
      <c r="HT479" s="51"/>
      <c r="HU479" s="51"/>
      <c r="HV479" s="51"/>
      <c r="HW479" s="51"/>
      <c r="HX479" s="51"/>
      <c r="HY479" s="51"/>
      <c r="HZ479" s="51"/>
      <c r="IA479" s="51"/>
      <c r="IB479" s="51"/>
      <c r="IC479" s="51"/>
      <c r="ID479" s="51"/>
      <c r="IE479" s="51"/>
      <c r="IF479" s="51"/>
      <c r="IG479" s="51"/>
      <c r="IH479" s="51"/>
      <c r="II479" s="51"/>
      <c r="IJ479" s="51"/>
      <c r="IK479" s="51"/>
      <c r="IL479" s="51"/>
      <c r="IM479" s="51"/>
      <c r="IN479" s="51"/>
      <c r="IO479" s="51"/>
      <c r="IP479" s="51"/>
      <c r="IQ479" s="51"/>
      <c r="IR479" s="51"/>
      <c r="IS479" s="51"/>
      <c r="IT479" s="51"/>
      <c r="IU479" s="51"/>
      <c r="IV479" s="51"/>
    </row>
    <row r="480" hidden="1" ht="13.5">
      <c r="B480" s="831" t="s">
        <v>26</v>
      </c>
      <c r="C480" s="823">
        <v>0</v>
      </c>
      <c r="D480" s="823">
        <v>0</v>
      </c>
      <c r="E480" s="823">
        <v>0</v>
      </c>
      <c r="F480" s="823">
        <v>0</v>
      </c>
      <c r="G480" s="823">
        <v>0</v>
      </c>
      <c r="H480" s="823">
        <v>0</v>
      </c>
      <c r="I480" s="823">
        <v>0</v>
      </c>
      <c r="J480" s="823">
        <v>0</v>
      </c>
      <c r="K480" s="823">
        <v>0</v>
      </c>
      <c r="L480" s="823">
        <v>0</v>
      </c>
      <c r="M480" s="823">
        <v>0</v>
      </c>
      <c r="N480" s="823">
        <v>0</v>
      </c>
      <c r="O480" s="823">
        <v>0</v>
      </c>
      <c r="P480" s="823">
        <v>0</v>
      </c>
      <c r="Q480" s="823">
        <v>0</v>
      </c>
      <c r="R480" s="823">
        <v>0</v>
      </c>
      <c r="S480" s="823">
        <v>0</v>
      </c>
      <c r="T480" s="823">
        <v>0</v>
      </c>
      <c r="U480" s="823">
        <v>0</v>
      </c>
      <c r="V480" s="823">
        <v>0</v>
      </c>
      <c r="W480" s="823">
        <v>0</v>
      </c>
      <c r="X480" s="823">
        <v>0</v>
      </c>
      <c r="Y480" s="823">
        <v>0</v>
      </c>
      <c r="Z480" s="823">
        <v>0</v>
      </c>
      <c r="AA480" s="823">
        <v>0</v>
      </c>
      <c r="AB480" s="832">
        <v>0</v>
      </c>
      <c r="AC480" s="825">
        <v>0</v>
      </c>
      <c r="AD480" s="825">
        <v>0</v>
      </c>
      <c r="AE480" s="825">
        <v>0</v>
      </c>
      <c r="AF480" s="825">
        <v>0</v>
      </c>
      <c r="AG480" s="825">
        <v>0</v>
      </c>
      <c r="AH480" s="825">
        <v>0</v>
      </c>
      <c r="AI480" s="825">
        <v>0</v>
      </c>
      <c r="AJ480" s="825">
        <v>0</v>
      </c>
      <c r="AK480" s="825">
        <v>0</v>
      </c>
      <c r="AL480" s="825">
        <v>0</v>
      </c>
      <c r="AM480" s="825">
        <v>0</v>
      </c>
      <c r="AN480" s="825">
        <v>0</v>
      </c>
      <c r="AO480" s="825">
        <v>0</v>
      </c>
      <c r="AP480" s="825">
        <v>0</v>
      </c>
      <c r="AQ480" s="51"/>
      <c r="AR480" s="51"/>
      <c r="AS480" s="51"/>
      <c r="AT480" s="51"/>
      <c r="AU480" s="51"/>
      <c r="AV480" s="51"/>
      <c r="AW480" s="51"/>
      <c r="AX480" s="51"/>
      <c r="AY480" s="51"/>
      <c r="AZ480" s="51"/>
      <c r="BA480" s="51"/>
      <c r="BB480" s="51"/>
      <c r="BC480" s="51"/>
      <c r="BD480" s="51"/>
      <c r="BE480" s="51"/>
      <c r="BF480" s="51"/>
      <c r="BG480" s="51"/>
      <c r="BH480" s="51"/>
      <c r="BI480" s="51"/>
      <c r="BJ480" s="51"/>
      <c r="BK480" s="51"/>
      <c r="BL480" s="51"/>
      <c r="BM480" s="51"/>
      <c r="BN480" s="51"/>
      <c r="BO480" s="51"/>
      <c r="BP480" s="51"/>
      <c r="BQ480" s="51"/>
      <c r="BR480" s="51"/>
      <c r="BS480" s="51"/>
      <c r="BT480" s="51"/>
      <c r="BU480" s="51"/>
      <c r="BV480" s="51"/>
      <c r="BW480" s="51"/>
      <c r="BX480" s="51"/>
      <c r="BY480" s="51"/>
      <c r="BZ480" s="51"/>
      <c r="CA480" s="51"/>
      <c r="CB480" s="51"/>
      <c r="CC480" s="51"/>
      <c r="CD480" s="51"/>
      <c r="CE480" s="51"/>
      <c r="CF480" s="51"/>
      <c r="CG480" s="51"/>
      <c r="CH480" s="51"/>
      <c r="CI480" s="51"/>
      <c r="CJ480" s="51"/>
      <c r="CK480" s="51"/>
      <c r="CL480" s="51"/>
      <c r="CM480" s="51"/>
      <c r="CN480" s="51"/>
      <c r="CO480" s="51"/>
      <c r="CP480" s="51"/>
      <c r="CQ480" s="51"/>
      <c r="CR480" s="51"/>
      <c r="CS480" s="51"/>
      <c r="CT480" s="51"/>
      <c r="CU480" s="51"/>
      <c r="CV480" s="51"/>
      <c r="CW480" s="51"/>
      <c r="CX480" s="51"/>
      <c r="CY480" s="51"/>
      <c r="CZ480" s="51"/>
      <c r="DA480" s="51"/>
      <c r="DB480" s="51"/>
      <c r="DC480" s="51"/>
      <c r="DD480" s="51"/>
      <c r="DE480" s="51"/>
      <c r="DF480" s="51"/>
      <c r="DG480" s="51"/>
      <c r="DH480" s="51"/>
      <c r="DI480" s="51"/>
      <c r="DJ480" s="51"/>
      <c r="DK480" s="51"/>
      <c r="DL480" s="51"/>
      <c r="DM480" s="51"/>
      <c r="DN480" s="51"/>
      <c r="DO480" s="51"/>
      <c r="DP480" s="51"/>
      <c r="DQ480" s="51"/>
      <c r="DR480" s="51"/>
      <c r="DS480" s="51"/>
      <c r="DT480" s="51"/>
      <c r="DU480" s="51"/>
      <c r="DV480" s="51"/>
      <c r="DW480" s="51"/>
      <c r="DX480" s="51"/>
      <c r="DY480" s="51"/>
      <c r="DZ480" s="51"/>
      <c r="EA480" s="51"/>
      <c r="EB480" s="51"/>
      <c r="EC480" s="51"/>
      <c r="ED480" s="51"/>
      <c r="EE480" s="51"/>
      <c r="EF480" s="51"/>
      <c r="EG480" s="51"/>
      <c r="EH480" s="51"/>
      <c r="EI480" s="51"/>
      <c r="EJ480" s="51"/>
      <c r="EK480" s="51"/>
      <c r="EL480" s="51"/>
      <c r="EM480" s="51"/>
      <c r="EN480" s="51"/>
      <c r="EO480" s="51"/>
      <c r="EP480" s="51"/>
      <c r="EQ480" s="51"/>
      <c r="ER480" s="51"/>
      <c r="ES480" s="51"/>
      <c r="ET480" s="51"/>
      <c r="EU480" s="51"/>
      <c r="EV480" s="51"/>
      <c r="EW480" s="51"/>
      <c r="EX480" s="51"/>
      <c r="EY480" s="51"/>
      <c r="EZ480" s="51"/>
      <c r="FA480" s="51"/>
      <c r="FB480" s="51"/>
      <c r="FC480" s="51"/>
      <c r="FD480" s="51"/>
      <c r="FE480" s="51"/>
      <c r="FF480" s="51"/>
      <c r="FG480" s="51"/>
      <c r="FH480" s="51"/>
      <c r="FI480" s="51"/>
      <c r="FJ480" s="51"/>
      <c r="FK480" s="51"/>
      <c r="FL480" s="51"/>
      <c r="FM480" s="51"/>
      <c r="FN480" s="51"/>
      <c r="FO480" s="51"/>
      <c r="FP480" s="51"/>
      <c r="FQ480" s="51"/>
      <c r="FR480" s="51"/>
      <c r="FS480" s="51"/>
      <c r="FT480" s="51"/>
      <c r="FU480" s="51"/>
      <c r="FV480" s="51"/>
      <c r="FW480" s="51"/>
      <c r="FX480" s="51"/>
      <c r="FY480" s="51"/>
      <c r="FZ480" s="51"/>
      <c r="GA480" s="51"/>
      <c r="GB480" s="51"/>
      <c r="GC480" s="51"/>
      <c r="GD480" s="51"/>
      <c r="GE480" s="51"/>
      <c r="GF480" s="51"/>
      <c r="GG480" s="51"/>
      <c r="GH480" s="51"/>
      <c r="GI480" s="51"/>
      <c r="GJ480" s="51"/>
      <c r="GK480" s="51"/>
      <c r="GL480" s="51"/>
      <c r="GM480" s="51"/>
      <c r="GN480" s="51"/>
      <c r="GO480" s="51"/>
      <c r="GP480" s="51"/>
      <c r="GQ480" s="51"/>
      <c r="GR480" s="51"/>
      <c r="GS480" s="51"/>
      <c r="GT480" s="51"/>
      <c r="GU480" s="51"/>
      <c r="GV480" s="51"/>
      <c r="GW480" s="51"/>
      <c r="GX480" s="51"/>
      <c r="GY480" s="51"/>
      <c r="GZ480" s="51"/>
      <c r="HA480" s="51"/>
      <c r="HB480" s="51"/>
      <c r="HC480" s="51"/>
      <c r="HD480" s="51"/>
      <c r="HE480" s="51"/>
      <c r="HF480" s="51"/>
      <c r="HG480" s="51"/>
      <c r="HH480" s="51"/>
      <c r="HI480" s="51"/>
      <c r="HJ480" s="51"/>
      <c r="HK480" s="51"/>
      <c r="HL480" s="51"/>
      <c r="HM480" s="51"/>
      <c r="HN480" s="51"/>
      <c r="HO480" s="51"/>
      <c r="HP480" s="51"/>
      <c r="HQ480" s="51"/>
      <c r="HR480" s="51"/>
      <c r="HS480" s="51"/>
      <c r="HT480" s="51"/>
      <c r="HU480" s="51"/>
      <c r="HV480" s="51"/>
      <c r="HW480" s="51"/>
      <c r="HX480" s="51"/>
      <c r="HY480" s="51"/>
      <c r="HZ480" s="51"/>
      <c r="IA480" s="51"/>
      <c r="IB480" s="51"/>
      <c r="IC480" s="51"/>
      <c r="ID480" s="51"/>
      <c r="IE480" s="51"/>
      <c r="IF480" s="51"/>
      <c r="IG480" s="51"/>
      <c r="IH480" s="51"/>
      <c r="II480" s="51"/>
      <c r="IJ480" s="51"/>
      <c r="IK480" s="51"/>
      <c r="IL480" s="51"/>
      <c r="IM480" s="51"/>
      <c r="IN480" s="51"/>
      <c r="IO480" s="51"/>
      <c r="IP480" s="51"/>
      <c r="IQ480" s="51"/>
      <c r="IR480" s="51"/>
      <c r="IS480" s="51"/>
      <c r="IT480" s="51"/>
      <c r="IU480" s="51"/>
      <c r="IV480" s="51"/>
    </row>
    <row r="481" hidden="1" ht="13.5">
      <c r="B481" s="128" t="s">
        <v>7</v>
      </c>
      <c r="C481" s="129" t="str">
        <f>IF(SUM(C462:C480)&lt;&gt;0,SUM(C462:C480),"")</f>
      </c>
      <c r="D481" s="129" t="str">
        <f ref="D481:AA481" t="shared" si="60">IF(SUM(D462:D480)&lt;&gt;0,SUM(D462:D480),"")</f>
      </c>
      <c r="E481" s="129" t="str">
        <f t="shared" si="60"/>
      </c>
      <c r="F481" s="129" t="str">
        <f t="shared" si="60"/>
      </c>
      <c r="G481" s="129" t="str">
        <f t="shared" si="60"/>
      </c>
      <c r="H481" s="129" t="str">
        <f t="shared" si="60"/>
      </c>
      <c r="I481" s="129" t="str">
        <f t="shared" si="60"/>
      </c>
      <c r="J481" s="129" t="str">
        <f t="shared" si="60"/>
      </c>
      <c r="K481" s="129" t="str">
        <f t="shared" si="60"/>
      </c>
      <c r="L481" s="129" t="str">
        <f t="shared" si="60"/>
      </c>
      <c r="M481" s="129" t="str">
        <f t="shared" si="60"/>
      </c>
      <c r="N481" s="129" t="str">
        <f t="shared" si="60"/>
      </c>
      <c r="O481" s="129" t="str">
        <f t="shared" si="60"/>
      </c>
      <c r="P481" s="129" t="str">
        <f t="shared" si="60"/>
      </c>
      <c r="Q481" s="129" t="str">
        <f t="shared" si="60"/>
      </c>
      <c r="R481" s="129" t="str">
        <f t="shared" si="60"/>
      </c>
      <c r="S481" s="129" t="str">
        <f t="shared" si="60"/>
      </c>
      <c r="T481" s="129" t="str">
        <f t="shared" si="60"/>
      </c>
      <c r="U481" s="129" t="str">
        <f t="shared" si="60"/>
      </c>
      <c r="V481" s="129" t="str">
        <f t="shared" si="60"/>
      </c>
      <c r="W481" s="129" t="str">
        <f t="shared" si="60"/>
      </c>
      <c r="X481" s="129" t="str">
        <f t="shared" si="60"/>
      </c>
      <c r="Y481" s="129" t="str">
        <f t="shared" si="60"/>
      </c>
      <c r="Z481" s="129" t="str">
        <f t="shared" si="60"/>
      </c>
      <c r="AA481" s="129" t="str">
        <f t="shared" si="60"/>
      </c>
      <c r="AB481" s="130" t="str">
        <f>IF(SUM(AB462:AB480)&lt;&gt;0,SUM(AB462:AB480),"")</f>
      </c>
      <c r="AC481" s="91" t="str">
        <f ref="AC481:CN481" t="shared" si="61">IF(SUM(AC462:AC480)&lt;&gt;0,SUM(AC462:AC480),"")</f>
      </c>
      <c r="AD481" s="91" t="str">
        <f t="shared" si="61"/>
      </c>
      <c r="AE481" s="91" t="str">
        <f t="shared" si="61"/>
      </c>
      <c r="AF481" s="91" t="str">
        <f t="shared" si="61"/>
      </c>
      <c r="AG481" s="91" t="str">
        <f t="shared" si="61"/>
      </c>
      <c r="AH481" s="91" t="str">
        <f t="shared" si="61"/>
      </c>
      <c r="AI481" s="91" t="str">
        <f t="shared" si="61"/>
      </c>
      <c r="AJ481" s="91" t="str">
        <f t="shared" si="61"/>
      </c>
      <c r="AK481" s="91" t="str">
        <f t="shared" si="61"/>
      </c>
      <c r="AL481" s="91" t="str">
        <f t="shared" si="61"/>
      </c>
      <c r="AM481" s="91" t="str">
        <f t="shared" si="61"/>
      </c>
      <c r="AN481" s="91" t="str">
        <f t="shared" si="61"/>
      </c>
      <c r="AO481" s="91" t="str">
        <f t="shared" si="61"/>
      </c>
      <c r="AP481" s="91" t="str">
        <f t="shared" si="61"/>
      </c>
      <c r="AQ481" s="91" t="str">
        <f t="shared" si="61"/>
      </c>
      <c r="AR481" s="91" t="str">
        <f t="shared" si="61"/>
      </c>
      <c r="AS481" s="91" t="str">
        <f t="shared" si="61"/>
      </c>
      <c r="AT481" s="91" t="str">
        <f t="shared" si="61"/>
      </c>
      <c r="AU481" s="91" t="str">
        <f t="shared" si="61"/>
      </c>
      <c r="AV481" s="91" t="str">
        <f t="shared" si="61"/>
      </c>
      <c r="AW481" s="91" t="str">
        <f t="shared" si="61"/>
      </c>
      <c r="AX481" s="91" t="str">
        <f t="shared" si="61"/>
      </c>
      <c r="AY481" s="91" t="str">
        <f t="shared" si="61"/>
      </c>
      <c r="AZ481" s="91" t="str">
        <f t="shared" si="61"/>
      </c>
      <c r="BA481" s="91" t="str">
        <f t="shared" si="61"/>
      </c>
      <c r="BB481" s="91" t="str">
        <f t="shared" si="61"/>
      </c>
      <c r="BC481" s="91" t="str">
        <f t="shared" si="61"/>
      </c>
      <c r="BD481" s="91" t="str">
        <f t="shared" si="61"/>
      </c>
      <c r="BE481" s="91" t="str">
        <f t="shared" si="61"/>
      </c>
      <c r="BF481" s="91" t="str">
        <f t="shared" si="61"/>
      </c>
      <c r="BG481" s="91" t="str">
        <f t="shared" si="61"/>
      </c>
      <c r="BH481" s="91" t="str">
        <f t="shared" si="61"/>
      </c>
      <c r="BI481" s="91" t="str">
        <f t="shared" si="61"/>
      </c>
      <c r="BJ481" s="91" t="str">
        <f t="shared" si="61"/>
      </c>
      <c r="BK481" s="91" t="str">
        <f t="shared" si="61"/>
      </c>
      <c r="BL481" s="91" t="str">
        <f t="shared" si="61"/>
      </c>
      <c r="BM481" s="91" t="str">
        <f t="shared" si="61"/>
      </c>
      <c r="BN481" s="91" t="str">
        <f t="shared" si="61"/>
      </c>
      <c r="BO481" s="91" t="str">
        <f t="shared" si="61"/>
      </c>
      <c r="BP481" s="91" t="str">
        <f t="shared" si="61"/>
      </c>
      <c r="BQ481" s="91" t="str">
        <f t="shared" si="61"/>
      </c>
      <c r="BR481" s="91" t="str">
        <f t="shared" si="61"/>
      </c>
      <c r="BS481" s="91" t="str">
        <f t="shared" si="61"/>
      </c>
      <c r="BT481" s="91" t="str">
        <f t="shared" si="61"/>
      </c>
      <c r="BU481" s="91" t="str">
        <f t="shared" si="61"/>
      </c>
      <c r="BV481" s="91" t="str">
        <f t="shared" si="61"/>
      </c>
      <c r="BW481" s="91" t="str">
        <f t="shared" si="61"/>
      </c>
      <c r="BX481" s="91" t="str">
        <f t="shared" si="61"/>
      </c>
      <c r="BY481" s="91" t="str">
        <f t="shared" si="61"/>
      </c>
      <c r="BZ481" s="91" t="str">
        <f t="shared" si="61"/>
      </c>
      <c r="CA481" s="91" t="str">
        <f t="shared" si="61"/>
      </c>
      <c r="CB481" s="91" t="str">
        <f t="shared" si="61"/>
      </c>
      <c r="CC481" s="91" t="str">
        <f t="shared" si="61"/>
      </c>
      <c r="CD481" s="91" t="str">
        <f t="shared" si="61"/>
      </c>
      <c r="CE481" s="91" t="str">
        <f t="shared" si="61"/>
      </c>
      <c r="CF481" s="91" t="str">
        <f t="shared" si="61"/>
      </c>
      <c r="CG481" s="91" t="str">
        <f t="shared" si="61"/>
      </c>
      <c r="CH481" s="91" t="str">
        <f t="shared" si="61"/>
      </c>
      <c r="CI481" s="91" t="str">
        <f t="shared" si="61"/>
      </c>
      <c r="CJ481" s="91" t="str">
        <f t="shared" si="61"/>
      </c>
      <c r="CK481" s="91" t="str">
        <f t="shared" si="61"/>
      </c>
      <c r="CL481" s="91" t="str">
        <f t="shared" si="61"/>
      </c>
      <c r="CM481" s="91" t="str">
        <f t="shared" si="61"/>
      </c>
      <c r="CN481" s="91" t="str">
        <f t="shared" si="61"/>
      </c>
      <c r="CO481" s="91" t="str">
        <f ref="CO481:EZ481" t="shared" si="62">IF(SUM(CO462:CO480)&lt;&gt;0,SUM(CO462:CO480),"")</f>
      </c>
      <c r="CP481" s="91" t="str">
        <f t="shared" si="62"/>
      </c>
      <c r="CQ481" s="91" t="str">
        <f t="shared" si="62"/>
      </c>
      <c r="CR481" s="91" t="str">
        <f t="shared" si="62"/>
      </c>
      <c r="CS481" s="91" t="str">
        <f t="shared" si="62"/>
      </c>
      <c r="CT481" s="91" t="str">
        <f t="shared" si="62"/>
      </c>
      <c r="CU481" s="91" t="str">
        <f t="shared" si="62"/>
      </c>
      <c r="CV481" s="91" t="str">
        <f t="shared" si="62"/>
      </c>
      <c r="CW481" s="91" t="str">
        <f t="shared" si="62"/>
      </c>
      <c r="CX481" s="91" t="str">
        <f t="shared" si="62"/>
      </c>
      <c r="CY481" s="91" t="str">
        <f t="shared" si="62"/>
      </c>
      <c r="CZ481" s="91" t="str">
        <f t="shared" si="62"/>
      </c>
      <c r="DA481" s="91" t="str">
        <f t="shared" si="62"/>
      </c>
      <c r="DB481" s="91" t="str">
        <f t="shared" si="62"/>
      </c>
      <c r="DC481" s="91" t="str">
        <f t="shared" si="62"/>
      </c>
      <c r="DD481" s="91" t="str">
        <f t="shared" si="62"/>
      </c>
      <c r="DE481" s="91" t="str">
        <f t="shared" si="62"/>
      </c>
      <c r="DF481" s="91" t="str">
        <f t="shared" si="62"/>
      </c>
      <c r="DG481" s="91" t="str">
        <f t="shared" si="62"/>
      </c>
      <c r="DH481" s="91" t="str">
        <f t="shared" si="62"/>
      </c>
      <c r="DI481" s="91" t="str">
        <f t="shared" si="62"/>
      </c>
      <c r="DJ481" s="91" t="str">
        <f t="shared" si="62"/>
      </c>
      <c r="DK481" s="91" t="str">
        <f t="shared" si="62"/>
      </c>
      <c r="DL481" s="91" t="str">
        <f t="shared" si="62"/>
      </c>
      <c r="DM481" s="91" t="str">
        <f t="shared" si="62"/>
      </c>
      <c r="DN481" s="91" t="str">
        <f t="shared" si="62"/>
      </c>
      <c r="DO481" s="91" t="str">
        <f t="shared" si="62"/>
      </c>
      <c r="DP481" s="91" t="str">
        <f t="shared" si="62"/>
      </c>
      <c r="DQ481" s="91" t="str">
        <f t="shared" si="62"/>
      </c>
      <c r="DR481" s="91" t="str">
        <f t="shared" si="62"/>
      </c>
      <c r="DS481" s="91" t="str">
        <f t="shared" si="62"/>
      </c>
      <c r="DT481" s="91" t="str">
        <f t="shared" si="62"/>
      </c>
      <c r="DU481" s="91" t="str">
        <f t="shared" si="62"/>
      </c>
      <c r="DV481" s="91" t="str">
        <f t="shared" si="62"/>
      </c>
      <c r="DW481" s="91" t="str">
        <f t="shared" si="62"/>
      </c>
      <c r="DX481" s="91" t="str">
        <f t="shared" si="62"/>
      </c>
      <c r="DY481" s="91" t="str">
        <f t="shared" si="62"/>
      </c>
      <c r="DZ481" s="91" t="str">
        <f t="shared" si="62"/>
      </c>
      <c r="EA481" s="91" t="str">
        <f t="shared" si="62"/>
      </c>
      <c r="EB481" s="91" t="str">
        <f t="shared" si="62"/>
      </c>
      <c r="EC481" s="91" t="str">
        <f t="shared" si="62"/>
      </c>
      <c r="ED481" s="91" t="str">
        <f t="shared" si="62"/>
      </c>
      <c r="EE481" s="91" t="str">
        <f t="shared" si="62"/>
      </c>
      <c r="EF481" s="91" t="str">
        <f t="shared" si="62"/>
      </c>
      <c r="EG481" s="91" t="str">
        <f t="shared" si="62"/>
      </c>
      <c r="EH481" s="91" t="str">
        <f t="shared" si="62"/>
      </c>
      <c r="EI481" s="91" t="str">
        <f t="shared" si="62"/>
      </c>
      <c r="EJ481" s="91" t="str">
        <f t="shared" si="62"/>
      </c>
      <c r="EK481" s="91" t="str">
        <f t="shared" si="62"/>
      </c>
      <c r="EL481" s="91" t="str">
        <f t="shared" si="62"/>
      </c>
      <c r="EM481" s="91" t="str">
        <f t="shared" si="62"/>
      </c>
      <c r="EN481" s="91" t="str">
        <f t="shared" si="62"/>
      </c>
      <c r="EO481" s="91" t="str">
        <f t="shared" si="62"/>
      </c>
      <c r="EP481" s="91" t="str">
        <f t="shared" si="62"/>
      </c>
      <c r="EQ481" s="91" t="str">
        <f t="shared" si="62"/>
      </c>
      <c r="ER481" s="91" t="str">
        <f t="shared" si="62"/>
      </c>
      <c r="ES481" s="91" t="str">
        <f t="shared" si="62"/>
      </c>
      <c r="ET481" s="91" t="str">
        <f t="shared" si="62"/>
      </c>
      <c r="EU481" s="91" t="str">
        <f t="shared" si="62"/>
      </c>
      <c r="EV481" s="91" t="str">
        <f t="shared" si="62"/>
      </c>
      <c r="EW481" s="91" t="str">
        <f t="shared" si="62"/>
      </c>
      <c r="EX481" s="91" t="str">
        <f t="shared" si="62"/>
      </c>
      <c r="EY481" s="91" t="str">
        <f t="shared" si="62"/>
      </c>
      <c r="EZ481" s="91" t="str">
        <f t="shared" si="62"/>
      </c>
      <c r="FA481" s="91" t="str">
        <f ref="FA481:HL481" t="shared" si="63">IF(SUM(FA462:FA480)&lt;&gt;0,SUM(FA462:FA480),"")</f>
      </c>
      <c r="FB481" s="91" t="str">
        <f t="shared" si="63"/>
      </c>
      <c r="FC481" s="91" t="str">
        <f t="shared" si="63"/>
      </c>
      <c r="FD481" s="91" t="str">
        <f t="shared" si="63"/>
      </c>
      <c r="FE481" s="91" t="str">
        <f t="shared" si="63"/>
      </c>
      <c r="FF481" s="91" t="str">
        <f t="shared" si="63"/>
      </c>
      <c r="FG481" s="91" t="str">
        <f t="shared" si="63"/>
      </c>
      <c r="FH481" s="91" t="str">
        <f t="shared" si="63"/>
      </c>
      <c r="FI481" s="91" t="str">
        <f t="shared" si="63"/>
      </c>
      <c r="FJ481" s="91" t="str">
        <f t="shared" si="63"/>
      </c>
      <c r="FK481" s="91" t="str">
        <f t="shared" si="63"/>
      </c>
      <c r="FL481" s="91" t="str">
        <f t="shared" si="63"/>
      </c>
      <c r="FM481" s="91" t="str">
        <f t="shared" si="63"/>
      </c>
      <c r="FN481" s="91" t="str">
        <f t="shared" si="63"/>
      </c>
      <c r="FO481" s="91" t="str">
        <f t="shared" si="63"/>
      </c>
      <c r="FP481" s="91" t="str">
        <f t="shared" si="63"/>
      </c>
      <c r="FQ481" s="91" t="str">
        <f t="shared" si="63"/>
      </c>
      <c r="FR481" s="91" t="str">
        <f t="shared" si="63"/>
      </c>
      <c r="FS481" s="91" t="str">
        <f t="shared" si="63"/>
      </c>
      <c r="FT481" s="91" t="str">
        <f t="shared" si="63"/>
      </c>
      <c r="FU481" s="91" t="str">
        <f t="shared" si="63"/>
      </c>
      <c r="FV481" s="91" t="str">
        <f t="shared" si="63"/>
      </c>
      <c r="FW481" s="91" t="str">
        <f t="shared" si="63"/>
      </c>
      <c r="FX481" s="91" t="str">
        <f t="shared" si="63"/>
      </c>
      <c r="FY481" s="91" t="str">
        <f t="shared" si="63"/>
      </c>
      <c r="FZ481" s="91" t="str">
        <f t="shared" si="63"/>
      </c>
      <c r="GA481" s="91" t="str">
        <f t="shared" si="63"/>
      </c>
      <c r="GB481" s="91" t="str">
        <f t="shared" si="63"/>
      </c>
      <c r="GC481" s="91" t="str">
        <f t="shared" si="63"/>
      </c>
      <c r="GD481" s="91" t="str">
        <f t="shared" si="63"/>
      </c>
      <c r="GE481" s="91" t="str">
        <f t="shared" si="63"/>
      </c>
      <c r="GF481" s="91" t="str">
        <f t="shared" si="63"/>
      </c>
      <c r="GG481" s="91" t="str">
        <f t="shared" si="63"/>
      </c>
      <c r="GH481" s="91" t="str">
        <f t="shared" si="63"/>
      </c>
      <c r="GI481" s="91" t="str">
        <f t="shared" si="63"/>
      </c>
      <c r="GJ481" s="91" t="str">
        <f t="shared" si="63"/>
      </c>
      <c r="GK481" s="91" t="str">
        <f t="shared" si="63"/>
      </c>
      <c r="GL481" s="91" t="str">
        <f t="shared" si="63"/>
      </c>
      <c r="GM481" s="91" t="str">
        <f t="shared" si="63"/>
      </c>
      <c r="GN481" s="91" t="str">
        <f t="shared" si="63"/>
      </c>
      <c r="GO481" s="91" t="str">
        <f t="shared" si="63"/>
      </c>
      <c r="GP481" s="91" t="str">
        <f t="shared" si="63"/>
      </c>
      <c r="GQ481" s="91" t="str">
        <f t="shared" si="63"/>
      </c>
      <c r="GR481" s="91" t="str">
        <f t="shared" si="63"/>
      </c>
      <c r="GS481" s="91" t="str">
        <f t="shared" si="63"/>
      </c>
      <c r="GT481" s="91" t="str">
        <f t="shared" si="63"/>
      </c>
      <c r="GU481" s="91" t="str">
        <f t="shared" si="63"/>
      </c>
      <c r="GV481" s="91" t="str">
        <f t="shared" si="63"/>
      </c>
      <c r="GW481" s="91" t="str">
        <f t="shared" si="63"/>
      </c>
      <c r="GX481" s="91" t="str">
        <f t="shared" si="63"/>
      </c>
      <c r="GY481" s="91" t="str">
        <f t="shared" si="63"/>
      </c>
      <c r="GZ481" s="91" t="str">
        <f t="shared" si="63"/>
      </c>
      <c r="HA481" s="91" t="str">
        <f t="shared" si="63"/>
      </c>
      <c r="HB481" s="91" t="str">
        <f t="shared" si="63"/>
      </c>
      <c r="HC481" s="91" t="str">
        <f t="shared" si="63"/>
      </c>
      <c r="HD481" s="91" t="str">
        <f t="shared" si="63"/>
      </c>
      <c r="HE481" s="91" t="str">
        <f t="shared" si="63"/>
      </c>
      <c r="HF481" s="91" t="str">
        <f t="shared" si="63"/>
      </c>
      <c r="HG481" s="91" t="str">
        <f t="shared" si="63"/>
      </c>
      <c r="HH481" s="91" t="str">
        <f t="shared" si="63"/>
      </c>
      <c r="HI481" s="91" t="str">
        <f t="shared" si="63"/>
      </c>
      <c r="HJ481" s="91" t="str">
        <f t="shared" si="63"/>
      </c>
      <c r="HK481" s="91" t="str">
        <f t="shared" si="63"/>
      </c>
      <c r="HL481" s="91" t="str">
        <f t="shared" si="63"/>
      </c>
      <c r="HM481" s="91" t="str">
        <f ref="HM481:IV481" t="shared" si="64">IF(SUM(HM462:HM480)&lt;&gt;0,SUM(HM462:HM480),"")</f>
      </c>
      <c r="HN481" s="91" t="str">
        <f t="shared" si="64"/>
      </c>
      <c r="HO481" s="91" t="str">
        <f t="shared" si="64"/>
      </c>
      <c r="HP481" s="91" t="str">
        <f t="shared" si="64"/>
      </c>
      <c r="HQ481" s="91" t="str">
        <f t="shared" si="64"/>
      </c>
      <c r="HR481" s="91" t="str">
        <f t="shared" si="64"/>
      </c>
      <c r="HS481" s="91" t="str">
        <f t="shared" si="64"/>
      </c>
      <c r="HT481" s="91" t="str">
        <f t="shared" si="64"/>
      </c>
      <c r="HU481" s="91" t="str">
        <f t="shared" si="64"/>
      </c>
      <c r="HV481" s="91" t="str">
        <f t="shared" si="64"/>
      </c>
      <c r="HW481" s="91" t="str">
        <f t="shared" si="64"/>
      </c>
      <c r="HX481" s="91" t="str">
        <f t="shared" si="64"/>
      </c>
      <c r="HY481" s="91" t="str">
        <f t="shared" si="64"/>
      </c>
      <c r="HZ481" s="91" t="str">
        <f t="shared" si="64"/>
      </c>
      <c r="IA481" s="91" t="str">
        <f t="shared" si="64"/>
      </c>
      <c r="IB481" s="91" t="str">
        <f t="shared" si="64"/>
      </c>
      <c r="IC481" s="91" t="str">
        <f t="shared" si="64"/>
      </c>
      <c r="ID481" s="91" t="str">
        <f t="shared" si="64"/>
      </c>
      <c r="IE481" s="91" t="str">
        <f t="shared" si="64"/>
      </c>
      <c r="IF481" s="91" t="str">
        <f t="shared" si="64"/>
      </c>
      <c r="IG481" s="91" t="str">
        <f t="shared" si="64"/>
      </c>
      <c r="IH481" s="91" t="str">
        <f t="shared" si="64"/>
      </c>
      <c r="II481" s="91" t="str">
        <f t="shared" si="64"/>
      </c>
      <c r="IJ481" s="91" t="str">
        <f t="shared" si="64"/>
      </c>
      <c r="IK481" s="91" t="str">
        <f t="shared" si="64"/>
      </c>
      <c r="IL481" s="91" t="str">
        <f t="shared" si="64"/>
      </c>
      <c r="IM481" s="91" t="str">
        <f t="shared" si="64"/>
      </c>
      <c r="IN481" s="91" t="str">
        <f t="shared" si="64"/>
      </c>
      <c r="IO481" s="91" t="str">
        <f t="shared" si="64"/>
      </c>
      <c r="IP481" s="91" t="str">
        <f t="shared" si="64"/>
      </c>
      <c r="IQ481" s="91" t="str">
        <f t="shared" si="64"/>
      </c>
      <c r="IR481" s="91" t="str">
        <f t="shared" si="64"/>
      </c>
      <c r="IS481" s="91" t="str">
        <f t="shared" si="64"/>
      </c>
      <c r="IT481" s="91" t="str">
        <f t="shared" si="64"/>
      </c>
      <c r="IU481" s="91" t="str">
        <f t="shared" si="64"/>
      </c>
      <c r="IV481" s="91" t="str">
        <f t="shared" si="64"/>
      </c>
    </row>
    <row r="482" hidden="1"/>
    <row r="483" hidden="1" ht="13.5"/>
    <row r="484" hidden="1" ht="13.5" customHeight="1">
      <c r="C484" s="732" t="s">
        <v>425</v>
      </c>
      <c r="D484" s="733"/>
      <c r="E484" s="733"/>
      <c r="F484" s="733"/>
      <c r="G484" s="733"/>
      <c r="H484" s="733"/>
      <c r="I484" s="733"/>
      <c r="J484" s="733"/>
      <c r="K484" s="733"/>
      <c r="L484" s="733"/>
      <c r="M484" s="733"/>
      <c r="N484" s="733"/>
      <c r="O484" s="733"/>
      <c r="P484" s="733"/>
      <c r="Q484" s="733"/>
      <c r="R484" s="733"/>
      <c r="S484" s="733"/>
      <c r="T484" s="733"/>
      <c r="U484" s="733"/>
      <c r="V484" s="733"/>
      <c r="W484" s="733"/>
      <c r="X484" s="733"/>
      <c r="Y484" s="733"/>
      <c r="Z484" s="733"/>
      <c r="AA484" s="733"/>
      <c r="AB484" s="734"/>
    </row>
    <row r="485" hidden="1" ht="13.5">
      <c r="B485" s="51"/>
      <c r="C485" s="435" t="str">
        <f> IF(C505&lt;&gt;"",TEXT(AUX!G$1,"dd-MMM-aa"),"")</f>
      </c>
      <c r="D485" s="435" t="str">
        <f> IF(D505&lt;&gt;"",TEXT(AUX!H$1,"dd-MMM-aa"),"")</f>
      </c>
      <c r="E485" s="435" t="str">
        <f> IF(E505&lt;&gt;"",TEXT(AUX!I$1,"dd-MMM-aa"),"")</f>
      </c>
      <c r="F485" s="435" t="str">
        <f> IF(F505&lt;&gt;"",TEXT(AUX!J$1,"dd-MMM-aa"),"")</f>
      </c>
      <c r="G485" s="435" t="str">
        <f> IF(G505&lt;&gt;"",TEXT(AUX!K$1,"dd-MMM-aa"),"")</f>
      </c>
      <c r="H485" s="435" t="str">
        <f> IF(H505&lt;&gt;"",TEXT(AUX!L$1,"dd-MMM-aa"),"")</f>
      </c>
      <c r="I485" s="435" t="str">
        <f> IF(I505&lt;&gt;"",TEXT(AUX!M$1,"dd-MMM-aa"),"")</f>
      </c>
      <c r="J485" s="435" t="str">
        <f> IF(J505&lt;&gt;"",TEXT(AUX!N$1,"dd-MMM-aa"),"")</f>
      </c>
      <c r="K485" s="435" t="str">
        <f> IF(K505&lt;&gt;"",TEXT(AUX!O$1,"dd-MMM-aa"),"")</f>
      </c>
      <c r="L485" s="435" t="str">
        <f> IF(L505&lt;&gt;"",TEXT(AUX!P$1,"dd-MMM-aa"),"")</f>
      </c>
      <c r="M485" s="435" t="str">
        <f> IF(M505&lt;&gt;"",TEXT(AUX!Q$1,"dd-MMM-aa"),"")</f>
      </c>
      <c r="N485" s="435" t="str">
        <f> IF(N505&lt;&gt;"",TEXT(AUX!R$1,"dd-MMM-aa"),"")</f>
      </c>
      <c r="O485" s="435" t="str">
        <f> IF(O505&lt;&gt;"",TEXT(AUX!S$1,"dd-MMM-aa"),"")</f>
      </c>
      <c r="P485" s="435" t="str">
        <f> IF(P505&lt;&gt;"",TEXT(AUX!T$1,"dd-MMM-aa"),"")</f>
      </c>
      <c r="Q485" s="435" t="str">
        <f> IF(Q505&lt;&gt;"",TEXT(AUX!U$1,"dd-MMM-aa"),"")</f>
      </c>
      <c r="R485" s="435" t="str">
        <f> IF(R505&lt;&gt;"",TEXT(AUX!V$1,"dd-MMM-aa"),"")</f>
      </c>
      <c r="S485" s="435" t="str">
        <f> IF(S505&lt;&gt;"",TEXT(AUX!W$1,"dd-MMM-aa"),"")</f>
      </c>
      <c r="T485" s="435" t="str">
        <f> IF(T505&lt;&gt;"",TEXT(AUX!X$1,"dd-MMM-aa"),"")</f>
      </c>
      <c r="U485" s="435" t="str">
        <f> IF(U505&lt;&gt;"",TEXT(AUX!Y$1,"dd-MMM-aa"),"")</f>
      </c>
      <c r="V485" s="435" t="str">
        <f> IF(V505&lt;&gt;"",TEXT(AUX!Z$1,"dd-MMM-aa"),"")</f>
      </c>
      <c r="W485" s="435" t="str">
        <f> IF(W505&lt;&gt;"",TEXT(AUX!AA$1,"dd-MMM-aa"),"")</f>
      </c>
      <c r="X485" s="435" t="str">
        <f> IF(X505&lt;&gt;"",TEXT(AUX!AB$1,"dd-MMM-aa"),"")</f>
      </c>
      <c r="Y485" s="435" t="str">
        <f> IF(Y505&lt;&gt;"",TEXT(AUX!AC$1,"dd-MMM-aa"),"")</f>
      </c>
      <c r="Z485" s="435" t="str">
        <f> IF(Z505&lt;&gt;"",TEXT(AUX!AD$1,"dd-MMM-aa"),"")</f>
      </c>
      <c r="AA485" s="435" t="str">
        <f> IF(AA505&lt;&gt;"",TEXT(AUX!AE$1,"dd-MMM-aa"),"")</f>
      </c>
      <c r="AB485" s="497" t="str">
        <f> IF(AB505&lt;&gt;"",TEXT(AUX!AF$1,"dd-MMM-aa"),"")</f>
      </c>
      <c r="AC485" s="496" t="str">
        <f> IF(AC505&lt;&gt;"",TEXT(AUX!AG$1,"dd-MMM-aa"),"")</f>
      </c>
      <c r="AD485" s="496" t="str">
        <f> IF(AD505&lt;&gt;"",TEXT(AUX!AH$1,"dd-MMM-aa"),"")</f>
      </c>
      <c r="AE485" s="496" t="str">
        <f> IF(AE505&lt;&gt;"",TEXT(AUX!AI$1,"dd-MMM-aa"),"")</f>
      </c>
      <c r="AF485" s="496" t="str">
        <f> IF(AF505&lt;&gt;"",TEXT(AUX!AJ$1,"dd-MMM-aa"),"")</f>
      </c>
      <c r="AG485" s="496" t="str">
        <f> IF(AG505&lt;&gt;"",TEXT(AUX!AK$1,"dd-MMM-aa"),"")</f>
      </c>
      <c r="AH485" s="496" t="str">
        <f> IF(AH505&lt;&gt;"",TEXT(AUX!AL$1,"dd-MMM-aa"),"")</f>
      </c>
      <c r="AI485" s="496" t="str">
        <f> IF(AI505&lt;&gt;"",TEXT(AUX!AM$1,"dd-MMM-aa"),"")</f>
      </c>
      <c r="AJ485" s="496" t="str">
        <f> IF(AJ505&lt;&gt;"",TEXT(AUX!AN$1,"dd-MMM-aa"),"")</f>
      </c>
      <c r="AK485" s="496" t="str">
        <f> IF(AK505&lt;&gt;"",TEXT(AUX!AO$1,"dd-MMM-aa"),"")</f>
      </c>
      <c r="AL485" s="496" t="str">
        <f> IF(AL505&lt;&gt;"",TEXT(AUX!AP$1,"dd-MMM-aa"),"")</f>
      </c>
      <c r="AM485" s="496" t="str">
        <f> IF(AM505&lt;&gt;"",TEXT(AUX!AQ$1,"dd-MMM-aa"),"")</f>
      </c>
      <c r="AN485" s="496" t="str">
        <f> IF(AN505&lt;&gt;"",TEXT(AUX!AR$1,"dd-MMM-aa"),"")</f>
      </c>
      <c r="AO485" s="496" t="str">
        <f> IF(AO505&lt;&gt;"",TEXT(AUX!AS$1,"dd-MMM-aa"),"")</f>
      </c>
      <c r="AP485" s="496" t="str">
        <f> IF(AP505&lt;&gt;"",TEXT(AUX!AT$1,"dd-MMM-aa"),"")</f>
      </c>
      <c r="AQ485" s="496" t="str">
        <f> IF(AQ505&lt;&gt;"",TEXT(AUX!AU$1,"dd-MMM-aa"),"")</f>
      </c>
      <c r="AR485" s="496" t="str">
        <f> IF(AR505&lt;&gt;"",TEXT(AUX!AV$1,"dd-MMM-aa"),"")</f>
      </c>
      <c r="AS485" s="496" t="str">
        <f> IF(AS505&lt;&gt;"",TEXT(AUX!AW$1,"dd-MMM-aa"),"")</f>
      </c>
      <c r="AT485" s="496" t="str">
        <f> IF(AT505&lt;&gt;"",TEXT(AUX!AX$1,"dd-MMM-aa"),"")</f>
      </c>
      <c r="AU485" s="496" t="str">
        <f> IF(AU505&lt;&gt;"",TEXT(AUX!AY$1,"dd-MMM-aa"),"")</f>
      </c>
      <c r="AV485" s="496" t="str">
        <f> IF(AV505&lt;&gt;"",TEXT(AUX!AZ$1,"dd-MMM-aa"),"")</f>
      </c>
      <c r="AW485" s="496" t="str">
        <f> IF(AW505&lt;&gt;"",TEXT(AUX!BA$1,"dd-MMM-aa"),"")</f>
      </c>
      <c r="AX485" s="496" t="str">
        <f> IF(AX505&lt;&gt;"",TEXT(AUX!BB$1,"dd-MMM-aa"),"")</f>
      </c>
      <c r="AY485" s="496" t="str">
        <f> IF(AY505&lt;&gt;"",TEXT(AUX!BC$1,"dd-MMM-aa"),"")</f>
      </c>
      <c r="AZ485" s="496" t="str">
        <f> IF(AZ505&lt;&gt;"",TEXT(AUX!BD$1,"dd-MMM-aa"),"")</f>
      </c>
      <c r="BA485" s="496" t="str">
        <f> IF(BA505&lt;&gt;"",TEXT(AUX!BE$1,"dd-MMM-aa"),"")</f>
      </c>
      <c r="BB485" s="496" t="str">
        <f> IF(BB505&lt;&gt;"",TEXT(AUX!BF$1,"dd-MMM-aa"),"")</f>
      </c>
      <c r="BC485" s="496" t="str">
        <f> IF(BC505&lt;&gt;"",TEXT(AUX!BG$1,"dd-MMM-aa"),"")</f>
      </c>
      <c r="BD485" s="496" t="str">
        <f> IF(BD505&lt;&gt;"",TEXT(AUX!BH$1,"dd-MMM-aa"),"")</f>
      </c>
      <c r="BE485" s="496" t="str">
        <f> IF(BE505&lt;&gt;"",TEXT(AUX!BI$1,"dd-MMM-aa"),"")</f>
      </c>
      <c r="BF485" s="496" t="str">
        <f> IF(BF505&lt;&gt;"",TEXT(AUX!BJ$1,"dd-MMM-aa"),"")</f>
      </c>
      <c r="BG485" s="496" t="str">
        <f> IF(BG505&lt;&gt;"",TEXT(AUX!BK$1,"dd-MMM-aa"),"")</f>
      </c>
      <c r="BH485" s="496" t="str">
        <f> IF(BH505&lt;&gt;"",TEXT(AUX!BL$1,"dd-MMM-aa"),"")</f>
      </c>
      <c r="BI485" s="496" t="str">
        <f> IF(BI505&lt;&gt;"",TEXT(AUX!BM$1,"dd-MMM-aa"),"")</f>
      </c>
      <c r="BJ485" s="496" t="str">
        <f> IF(BJ505&lt;&gt;"",TEXT(AUX!BN$1,"dd-MMM-aa"),"")</f>
      </c>
      <c r="BK485" s="496" t="str">
        <f> IF(BK505&lt;&gt;"",TEXT(AUX!BO$1,"dd-MMM-aa"),"")</f>
      </c>
      <c r="BL485" s="496" t="str">
        <f> IF(BL505&lt;&gt;"",TEXT(AUX!BP$1,"dd-MMM-aa"),"")</f>
      </c>
      <c r="BM485" s="496" t="str">
        <f> IF(BM505&lt;&gt;"",TEXT(AUX!BQ$1,"dd-MMM-aa"),"")</f>
      </c>
      <c r="BN485" s="496" t="str">
        <f> IF(BN505&lt;&gt;"",TEXT(AUX!BR$1,"dd-MMM-aa"),"")</f>
      </c>
      <c r="BO485" s="496" t="str">
        <f> IF(BO505&lt;&gt;"",TEXT(AUX!BS$1,"dd-MMM-aa"),"")</f>
      </c>
      <c r="BP485" s="496" t="str">
        <f> IF(BP505&lt;&gt;"",TEXT(AUX!BT$1,"dd-MMM-aa"),"")</f>
      </c>
      <c r="BQ485" s="496" t="str">
        <f> IF(BQ505&lt;&gt;"",TEXT(AUX!BU$1,"dd-MMM-aa"),"")</f>
      </c>
      <c r="BR485" s="496" t="str">
        <f> IF(BR505&lt;&gt;"",TEXT(AUX!BV$1,"dd-MMM-aa"),"")</f>
      </c>
      <c r="BS485" s="496" t="str">
        <f> IF(BS505&lt;&gt;"",TEXT(AUX!BW$1,"dd-MMM-aa"),"")</f>
      </c>
      <c r="BT485" s="496" t="str">
        <f> IF(BT505&lt;&gt;"",TEXT(AUX!BX$1,"dd-MMM-aa"),"")</f>
      </c>
      <c r="BU485" s="496" t="str">
        <f> IF(BU505&lt;&gt;"",TEXT(AUX!BY$1,"dd-MMM-aa"),"")</f>
      </c>
      <c r="BV485" s="496" t="str">
        <f> IF(BV505&lt;&gt;"",TEXT(AUX!BZ$1,"dd-MMM-aa"),"")</f>
      </c>
      <c r="BW485" s="496" t="str">
        <f> IF(BW505&lt;&gt;"",TEXT(AUX!CA$1,"dd-MMM-aa"),"")</f>
      </c>
      <c r="BX485" s="496" t="str">
        <f> IF(BX505&lt;&gt;"",TEXT(AUX!CB$1,"dd-MMM-aa"),"")</f>
      </c>
      <c r="BY485" s="496" t="str">
        <f> IF(BY505&lt;&gt;"",TEXT(AUX!CC$1,"dd-MMM-aa"),"")</f>
      </c>
      <c r="BZ485" s="496" t="str">
        <f> IF(BZ505&lt;&gt;"",TEXT(AUX!CD$1,"dd-MMM-aa"),"")</f>
      </c>
      <c r="CA485" s="496" t="str">
        <f> IF(CA505&lt;&gt;"",TEXT(AUX!CE$1,"dd-MMM-aa"),"")</f>
      </c>
      <c r="CB485" s="496" t="str">
        <f> IF(CB505&lt;&gt;"",TEXT(AUX!CF$1,"dd-MMM-aa"),"")</f>
      </c>
      <c r="CC485" s="496" t="str">
        <f> IF(CC505&lt;&gt;"",TEXT(AUX!CG$1,"dd-MMM-aa"),"")</f>
      </c>
      <c r="CD485" s="496" t="str">
        <f> IF(CD505&lt;&gt;"",TEXT(AUX!CH$1,"dd-MMM-aa"),"")</f>
      </c>
      <c r="CE485" s="496" t="str">
        <f> IF(CE505&lt;&gt;"",TEXT(AUX!CI$1,"dd-MMM-aa"),"")</f>
      </c>
      <c r="CF485" s="496" t="str">
        <f> IF(CF505&lt;&gt;"",TEXT(AUX!CJ$1,"dd-MMM-aa"),"")</f>
      </c>
      <c r="CG485" s="496" t="str">
        <f> IF(CG505&lt;&gt;"",TEXT(AUX!CK$1,"dd-MMM-aa"),"")</f>
      </c>
      <c r="CH485" s="496" t="str">
        <f> IF(CH505&lt;&gt;"",TEXT(AUX!CL$1,"dd-MMM-aa"),"")</f>
      </c>
      <c r="CI485" s="496" t="str">
        <f> IF(CI505&lt;&gt;"",TEXT(AUX!CM$1,"dd-MMM-aa"),"")</f>
      </c>
      <c r="CJ485" s="496" t="str">
        <f> IF(CJ505&lt;&gt;"",TEXT(AUX!CN$1,"dd-MMM-aa"),"")</f>
      </c>
      <c r="CK485" s="496" t="str">
        <f> IF(CK505&lt;&gt;"",TEXT(AUX!CO$1,"dd-MMM-aa"),"")</f>
      </c>
      <c r="CL485" s="496" t="str">
        <f> IF(CL505&lt;&gt;"",TEXT(AUX!CP$1,"dd-MMM-aa"),"")</f>
      </c>
      <c r="CM485" s="496" t="str">
        <f> IF(CM505&lt;&gt;"",TEXT(AUX!CQ$1,"dd-MMM-aa"),"")</f>
      </c>
      <c r="CN485" s="496" t="str">
        <f> IF(CN505&lt;&gt;"",TEXT(AUX!CR$1,"dd-MMM-aa"),"")</f>
      </c>
      <c r="CO485" s="496" t="str">
        <f> IF(CO505&lt;&gt;"",TEXT(AUX!CS$1,"dd-MMM-aa"),"")</f>
      </c>
      <c r="CP485" s="496" t="str">
        <f> IF(CP505&lt;&gt;"",TEXT(AUX!CT$1,"dd-MMM-aa"),"")</f>
      </c>
      <c r="CQ485" s="496" t="str">
        <f> IF(CQ505&lt;&gt;"",TEXT(AUX!CU$1,"dd-MMM-aa"),"")</f>
      </c>
      <c r="CR485" s="496" t="str">
        <f> IF(CR505&lt;&gt;"",TEXT(AUX!CV$1,"dd-MMM-aa"),"")</f>
      </c>
      <c r="CS485" s="496" t="str">
        <f> IF(CS505&lt;&gt;"",TEXT(AUX!CW$1,"dd-MMM-aa"),"")</f>
      </c>
      <c r="CT485" s="496" t="str">
        <f> IF(CT505&lt;&gt;"",TEXT(AUX!CX$1,"dd-MMM-aa"),"")</f>
      </c>
      <c r="CU485" s="496" t="str">
        <f> IF(CU505&lt;&gt;"",TEXT(AUX!CY$1,"dd-MMM-aa"),"")</f>
      </c>
      <c r="CV485" s="496" t="str">
        <f> IF(CV505&lt;&gt;"",TEXT(AUX!CZ$1,"dd-MMM-aa"),"")</f>
      </c>
      <c r="CW485" s="496" t="str">
        <f> IF(CW505&lt;&gt;"",TEXT(AUX!DA$1,"dd-MMM-aa"),"")</f>
      </c>
      <c r="CX485" s="496" t="str">
        <f> IF(CX505&lt;&gt;"",TEXT(AUX!DB$1,"dd-MMM-aa"),"")</f>
      </c>
      <c r="CY485" s="496" t="str">
        <f> IF(CY505&lt;&gt;"",TEXT(AUX!DC$1,"dd-MMM-aa"),"")</f>
      </c>
      <c r="CZ485" s="496" t="str">
        <f> IF(CZ505&lt;&gt;"",TEXT(AUX!DD$1,"dd-MMM-aa"),"")</f>
      </c>
      <c r="DA485" s="496" t="str">
        <f> IF(DA505&lt;&gt;"",TEXT(AUX!DE$1,"dd-MMM-aa"),"")</f>
      </c>
      <c r="DB485" s="496" t="str">
        <f> IF(DB505&lt;&gt;"",TEXT(AUX!DF$1,"dd-MMM-aa"),"")</f>
      </c>
      <c r="DC485" s="496" t="str">
        <f> IF(DC505&lt;&gt;"",TEXT(AUX!DG$1,"dd-MMM-aa"),"")</f>
      </c>
      <c r="DD485" s="496" t="str">
        <f> IF(DD505&lt;&gt;"",TEXT(AUX!DH$1,"dd-MMM-aa"),"")</f>
      </c>
      <c r="DE485" s="496" t="str">
        <f> IF(DE505&lt;&gt;"",TEXT(AUX!DI$1,"dd-MMM-aa"),"")</f>
      </c>
      <c r="DF485" s="496" t="str">
        <f> IF(DF505&lt;&gt;"",TEXT(AUX!DJ$1,"dd-MMM-aa"),"")</f>
      </c>
      <c r="DG485" s="496" t="str">
        <f> IF(DG505&lt;&gt;"",TEXT(AUX!DK$1,"dd-MMM-aa"),"")</f>
      </c>
      <c r="DH485" s="496" t="str">
        <f> IF(DH505&lt;&gt;"",TEXT(AUX!DL$1,"dd-MMM-aa"),"")</f>
      </c>
      <c r="DI485" s="496" t="str">
        <f> IF(DI505&lt;&gt;"",TEXT(AUX!DM$1,"dd-MMM-aa"),"")</f>
      </c>
      <c r="DJ485" s="496" t="str">
        <f> IF(DJ505&lt;&gt;"",TEXT(AUX!DN$1,"dd-MMM-aa"),"")</f>
      </c>
      <c r="DK485" s="496" t="str">
        <f> IF(DK505&lt;&gt;"",TEXT(AUX!DO$1,"dd-MMM-aa"),"")</f>
      </c>
      <c r="DL485" s="496" t="str">
        <f> IF(DL505&lt;&gt;"",TEXT(AUX!DP$1,"dd-MMM-aa"),"")</f>
      </c>
      <c r="DM485" s="496" t="str">
        <f> IF(DM505&lt;&gt;"",TEXT(AUX!DQ$1,"dd-MMM-aa"),"")</f>
      </c>
      <c r="DN485" s="496" t="str">
        <f> IF(DN505&lt;&gt;"",TEXT(AUX!DR$1,"dd-MMM-aa"),"")</f>
      </c>
      <c r="DO485" s="496" t="str">
        <f> IF(DO505&lt;&gt;"",TEXT(AUX!DS$1,"dd-MMM-aa"),"")</f>
      </c>
      <c r="DP485" s="496" t="str">
        <f> IF(DP505&lt;&gt;"",TEXT(AUX!DT$1,"dd-MMM-aa"),"")</f>
      </c>
      <c r="DQ485" s="496" t="str">
        <f> IF(DQ505&lt;&gt;"",TEXT(AUX!DU$1,"dd-MMM-aa"),"")</f>
      </c>
      <c r="DR485" s="496" t="str">
        <f> IF(DR505&lt;&gt;"",TEXT(AUX!DV$1,"dd-MMM-aa"),"")</f>
      </c>
      <c r="DS485" s="496" t="str">
        <f> IF(DS505&lt;&gt;"",TEXT(AUX!DW$1,"dd-MMM-aa"),"")</f>
      </c>
      <c r="DT485" s="496" t="str">
        <f> IF(DT505&lt;&gt;"",TEXT(AUX!DX$1,"dd-MMM-aa"),"")</f>
      </c>
      <c r="DU485" s="496" t="str">
        <f> IF(DU505&lt;&gt;"",TEXT(AUX!DY$1,"dd-MMM-aa"),"")</f>
      </c>
      <c r="DV485" s="496" t="str">
        <f> IF(DV505&lt;&gt;"",TEXT(AUX!DZ$1,"dd-MMM-aa"),"")</f>
      </c>
      <c r="DW485" s="496" t="str">
        <f> IF(DW505&lt;&gt;"",TEXT(AUX!EA$1,"dd-MMM-aa"),"")</f>
      </c>
      <c r="DX485" s="496" t="str">
        <f> IF(DX505&lt;&gt;"",TEXT(AUX!EB$1,"dd-MMM-aa"),"")</f>
      </c>
      <c r="DY485" s="496" t="str">
        <f> IF(DY505&lt;&gt;"",TEXT(AUX!EC$1,"dd-MMM-aa"),"")</f>
      </c>
      <c r="DZ485" s="496" t="str">
        <f> IF(DZ505&lt;&gt;"",TEXT(AUX!ED$1,"dd-MMM-aa"),"")</f>
      </c>
      <c r="EA485" s="496" t="str">
        <f> IF(EA505&lt;&gt;"",TEXT(AUX!EE$1,"dd-MMM-aa"),"")</f>
      </c>
      <c r="EB485" s="496" t="str">
        <f> IF(EB505&lt;&gt;"",TEXT(AUX!EF$1,"dd-MMM-aa"),"")</f>
      </c>
      <c r="EC485" s="496" t="str">
        <f> IF(EC505&lt;&gt;"",TEXT(AUX!EG$1,"dd-MMM-aa"),"")</f>
      </c>
      <c r="ED485" s="496" t="str">
        <f> IF(ED505&lt;&gt;"",TEXT(AUX!EH$1,"dd-MMM-aa"),"")</f>
      </c>
      <c r="EE485" s="496" t="str">
        <f> IF(EE505&lt;&gt;"",TEXT(AUX!EI$1,"dd-MMM-aa"),"")</f>
      </c>
      <c r="EF485" s="496" t="str">
        <f> IF(EF505&lt;&gt;"",TEXT(AUX!EJ$1,"dd-MMM-aa"),"")</f>
      </c>
      <c r="EG485" s="496" t="str">
        <f> IF(EG505&lt;&gt;"",TEXT(AUX!EK$1,"dd-MMM-aa"),"")</f>
      </c>
      <c r="EH485" s="496" t="str">
        <f> IF(EH505&lt;&gt;"",TEXT(AUX!EL$1,"dd-MMM-aa"),"")</f>
      </c>
      <c r="EI485" s="496" t="str">
        <f> IF(EI505&lt;&gt;"",TEXT(AUX!EM$1,"dd-MMM-aa"),"")</f>
      </c>
      <c r="EJ485" s="496" t="str">
        <f> IF(EJ505&lt;&gt;"",TEXT(AUX!EN$1,"dd-MMM-aa"),"")</f>
      </c>
      <c r="EK485" s="496" t="str">
        <f> IF(EK505&lt;&gt;"",TEXT(AUX!EO$1,"dd-MMM-aa"),"")</f>
      </c>
      <c r="EL485" s="496" t="str">
        <f> IF(EL505&lt;&gt;"",TEXT(AUX!EP$1,"dd-MMM-aa"),"")</f>
      </c>
      <c r="EM485" s="496" t="str">
        <f> IF(EM505&lt;&gt;"",TEXT(AUX!EQ$1,"dd-MMM-aa"),"")</f>
      </c>
      <c r="EN485" s="496" t="str">
        <f> IF(EN505&lt;&gt;"",TEXT(AUX!ER$1,"dd-MMM-aa"),"")</f>
      </c>
      <c r="EO485" s="496" t="str">
        <f> IF(EO505&lt;&gt;"",TEXT(AUX!ES$1,"dd-MMM-aa"),"")</f>
      </c>
      <c r="EP485" s="496" t="str">
        <f> IF(EP505&lt;&gt;"",TEXT(AUX!ET$1,"dd-MMM-aa"),"")</f>
      </c>
      <c r="EQ485" s="496" t="str">
        <f> IF(EQ505&lt;&gt;"",TEXT(AUX!EU$1,"dd-MMM-aa"),"")</f>
      </c>
      <c r="ER485" s="496" t="str">
        <f> IF(ER505&lt;&gt;"",TEXT(AUX!EV$1,"dd-MMM-aa"),"")</f>
      </c>
      <c r="ES485" s="496" t="str">
        <f> IF(ES505&lt;&gt;"",TEXT(AUX!EW$1,"dd-MMM-aa"),"")</f>
      </c>
      <c r="ET485" s="496" t="str">
        <f> IF(ET505&lt;&gt;"",TEXT(AUX!EX$1,"dd-MMM-aa"),"")</f>
      </c>
      <c r="EU485" s="496" t="str">
        <f> IF(EU505&lt;&gt;"",TEXT(AUX!EY$1,"dd-MMM-aa"),"")</f>
      </c>
      <c r="EV485" s="496" t="str">
        <f> IF(EV505&lt;&gt;"",TEXT(AUX!EZ$1,"dd-MMM-aa"),"")</f>
      </c>
      <c r="EW485" s="496" t="str">
        <f> IF(EW505&lt;&gt;"",TEXT(AUX!FA$1,"dd-MMM-aa"),"")</f>
      </c>
      <c r="EX485" s="496" t="str">
        <f> IF(EX505&lt;&gt;"",TEXT(AUX!FB$1,"dd-MMM-aa"),"")</f>
      </c>
      <c r="EY485" s="496" t="str">
        <f> IF(EY505&lt;&gt;"",TEXT(AUX!FC$1,"dd-MMM-aa"),"")</f>
      </c>
      <c r="EZ485" s="496" t="str">
        <f> IF(EZ505&lt;&gt;"",TEXT(AUX!FD$1,"dd-MMM-aa"),"")</f>
      </c>
      <c r="FA485" s="496" t="str">
        <f> IF(FA505&lt;&gt;"",TEXT(AUX!FE$1,"dd-MMM-aa"),"")</f>
      </c>
      <c r="FB485" s="496" t="str">
        <f> IF(FB505&lt;&gt;"",TEXT(AUX!FF$1,"dd-MMM-aa"),"")</f>
      </c>
      <c r="FC485" s="496" t="str">
        <f> IF(FC505&lt;&gt;"",TEXT(AUX!FG$1,"dd-MMM-aa"),"")</f>
      </c>
      <c r="FD485" s="496" t="str">
        <f> IF(FD505&lt;&gt;"",TEXT(AUX!FH$1,"dd-MMM-aa"),"")</f>
      </c>
      <c r="FE485" s="496" t="str">
        <f> IF(FE505&lt;&gt;"",TEXT(AUX!FI$1,"dd-MMM-aa"),"")</f>
      </c>
      <c r="FF485" s="496" t="str">
        <f> IF(FF505&lt;&gt;"",TEXT(AUX!FJ$1,"dd-MMM-aa"),"")</f>
      </c>
      <c r="FG485" s="496" t="str">
        <f> IF(FG505&lt;&gt;"",TEXT(AUX!FK$1,"dd-MMM-aa"),"")</f>
      </c>
      <c r="FH485" s="496" t="str">
        <f> IF(FH505&lt;&gt;"",TEXT(AUX!FL$1,"dd-MMM-aa"),"")</f>
      </c>
      <c r="FI485" s="496" t="str">
        <f> IF(FI505&lt;&gt;"",TEXT(AUX!FM$1,"dd-MMM-aa"),"")</f>
      </c>
      <c r="FJ485" s="496" t="str">
        <f> IF(FJ505&lt;&gt;"",TEXT(AUX!FN$1,"dd-MMM-aa"),"")</f>
      </c>
      <c r="FK485" s="496" t="str">
        <f> IF(FK505&lt;&gt;"",TEXT(AUX!FO$1,"dd-MMM-aa"),"")</f>
      </c>
      <c r="FL485" s="496" t="str">
        <f> IF(FL505&lt;&gt;"",TEXT(AUX!FP$1,"dd-MMM-aa"),"")</f>
      </c>
      <c r="FM485" s="496" t="str">
        <f> IF(FM505&lt;&gt;"",TEXT(AUX!FQ$1,"dd-MMM-aa"),"")</f>
      </c>
      <c r="FN485" s="496" t="str">
        <f> IF(FN505&lt;&gt;"",TEXT(AUX!FR$1,"dd-MMM-aa"),"")</f>
      </c>
      <c r="FO485" s="496" t="str">
        <f> IF(FO505&lt;&gt;"",TEXT(AUX!FS$1,"dd-MMM-aa"),"")</f>
      </c>
      <c r="FP485" s="496" t="str">
        <f> IF(FP505&lt;&gt;"",TEXT(AUX!FT$1,"dd-MMM-aa"),"")</f>
      </c>
      <c r="FQ485" s="496" t="str">
        <f> IF(FQ505&lt;&gt;"",TEXT(AUX!FU$1,"dd-MMM-aa"),"")</f>
      </c>
      <c r="FR485" s="496" t="str">
        <f> IF(FR505&lt;&gt;"",TEXT(AUX!FV$1,"dd-MMM-aa"),"")</f>
      </c>
      <c r="FS485" s="496" t="str">
        <f> IF(FS505&lt;&gt;"",TEXT(AUX!FW$1,"dd-MMM-aa"),"")</f>
      </c>
      <c r="FT485" s="496" t="str">
        <f> IF(FT505&lt;&gt;"",TEXT(AUX!FX$1,"dd-MMM-aa"),"")</f>
      </c>
      <c r="FU485" s="496" t="str">
        <f> IF(FU505&lt;&gt;"",TEXT(AUX!FY$1,"dd-MMM-aa"),"")</f>
      </c>
      <c r="FV485" s="496" t="str">
        <f> IF(FV505&lt;&gt;"",TEXT(AUX!FZ$1,"dd-MMM-aa"),"")</f>
      </c>
      <c r="FW485" s="496" t="str">
        <f> IF(FW505&lt;&gt;"",TEXT(AUX!GA$1,"dd-MMM-aa"),"")</f>
      </c>
      <c r="FX485" s="496" t="str">
        <f> IF(FX505&lt;&gt;"",TEXT(AUX!GB$1,"dd-MMM-aa"),"")</f>
      </c>
      <c r="FY485" s="496" t="str">
        <f> IF(FY505&lt;&gt;"",TEXT(AUX!GC$1,"dd-MMM-aa"),"")</f>
      </c>
      <c r="FZ485" s="496" t="str">
        <f> IF(FZ505&lt;&gt;"",TEXT(AUX!GD$1,"dd-MMM-aa"),"")</f>
      </c>
      <c r="GA485" s="496" t="str">
        <f> IF(GA505&lt;&gt;"",TEXT(AUX!GE$1,"dd-MMM-aa"),"")</f>
      </c>
      <c r="GB485" s="496" t="str">
        <f> IF(GB505&lt;&gt;"",TEXT(AUX!GF$1,"dd-MMM-aa"),"")</f>
      </c>
      <c r="GC485" s="496" t="str">
        <f> IF(GC505&lt;&gt;"",TEXT(AUX!GG$1,"dd-MMM-aa"),"")</f>
      </c>
      <c r="GD485" s="496" t="str">
        <f> IF(GD505&lt;&gt;"",TEXT(AUX!GH$1,"dd-MMM-aa"),"")</f>
      </c>
      <c r="GE485" s="496" t="str">
        <f> IF(GE505&lt;&gt;"",TEXT(AUX!GI$1,"dd-MMM-aa"),"")</f>
      </c>
      <c r="GF485" s="496" t="str">
        <f> IF(GF505&lt;&gt;"",TEXT(AUX!GJ$1,"dd-MMM-aa"),"")</f>
      </c>
      <c r="GG485" s="496" t="str">
        <f> IF(GG505&lt;&gt;"",TEXT(AUX!GK$1,"dd-MMM-aa"),"")</f>
      </c>
      <c r="GH485" s="496" t="str">
        <f> IF(GH505&lt;&gt;"",TEXT(AUX!GL$1,"dd-MMM-aa"),"")</f>
      </c>
      <c r="GI485" s="496" t="str">
        <f> IF(GI505&lt;&gt;"",TEXT(AUX!GM$1,"dd-MMM-aa"),"")</f>
      </c>
      <c r="GJ485" s="496" t="str">
        <f> IF(GJ505&lt;&gt;"",TEXT(AUX!GN$1,"dd-MMM-aa"),"")</f>
      </c>
      <c r="GK485" s="496" t="str">
        <f> IF(GK505&lt;&gt;"",TEXT(AUX!GO$1,"dd-MMM-aa"),"")</f>
      </c>
      <c r="GL485" s="496" t="str">
        <f> IF(GL505&lt;&gt;"",TEXT(AUX!GP$1,"dd-MMM-aa"),"")</f>
      </c>
      <c r="GM485" s="496" t="str">
        <f> IF(GM505&lt;&gt;"",TEXT(AUX!GQ$1,"dd-MMM-aa"),"")</f>
      </c>
      <c r="GN485" s="496" t="str">
        <f> IF(GN505&lt;&gt;"",TEXT(AUX!GR$1,"dd-MMM-aa"),"")</f>
      </c>
      <c r="GO485" s="496" t="str">
        <f> IF(GO505&lt;&gt;"",TEXT(AUX!GS$1,"dd-MMM-aa"),"")</f>
      </c>
      <c r="GP485" s="496" t="str">
        <f> IF(GP505&lt;&gt;"",TEXT(AUX!GT$1,"dd-MMM-aa"),"")</f>
      </c>
      <c r="GQ485" s="496" t="str">
        <f> IF(GQ505&lt;&gt;"",TEXT(AUX!GU$1,"dd-MMM-aa"),"")</f>
      </c>
      <c r="GR485" s="496" t="str">
        <f> IF(GR505&lt;&gt;"",TEXT(AUX!GV$1,"dd-MMM-aa"),"")</f>
      </c>
      <c r="GS485" s="496" t="str">
        <f> IF(GS505&lt;&gt;"",TEXT(AUX!GW$1,"dd-MMM-aa"),"")</f>
      </c>
      <c r="GT485" s="496" t="str">
        <f> IF(GT505&lt;&gt;"",TEXT(AUX!GX$1,"dd-MMM-aa"),"")</f>
      </c>
      <c r="GU485" s="496" t="str">
        <f> IF(GU505&lt;&gt;"",TEXT(AUX!GY$1,"dd-MMM-aa"),"")</f>
      </c>
      <c r="GV485" s="496" t="str">
        <f> IF(GV505&lt;&gt;"",TEXT(AUX!GZ$1,"dd-MMM-aa"),"")</f>
      </c>
      <c r="GW485" s="496" t="str">
        <f> IF(GW505&lt;&gt;"",TEXT(AUX!HA$1,"dd-MMM-aa"),"")</f>
      </c>
      <c r="GX485" s="496" t="str">
        <f> IF(GX505&lt;&gt;"",TEXT(AUX!HB$1,"dd-MMM-aa"),"")</f>
      </c>
      <c r="GY485" s="496" t="str">
        <f> IF(GY505&lt;&gt;"",TEXT(AUX!HC$1,"dd-MMM-aa"),"")</f>
      </c>
      <c r="GZ485" s="496" t="str">
        <f> IF(GZ505&lt;&gt;"",TEXT(AUX!HD$1,"dd-MMM-aa"),"")</f>
      </c>
      <c r="HA485" s="496" t="str">
        <f> IF(HA505&lt;&gt;"",TEXT(AUX!HE$1,"dd-MMM-aa"),"")</f>
      </c>
      <c r="HB485" s="496" t="str">
        <f> IF(HB505&lt;&gt;"",TEXT(AUX!HF$1,"dd-MMM-aa"),"")</f>
      </c>
      <c r="HC485" s="496" t="str">
        <f> IF(HC505&lt;&gt;"",TEXT(AUX!HG$1,"dd-MMM-aa"),"")</f>
      </c>
      <c r="HD485" s="496" t="str">
        <f> IF(HD505&lt;&gt;"",TEXT(AUX!HH$1,"dd-MMM-aa"),"")</f>
      </c>
      <c r="HE485" s="496" t="str">
        <f> IF(HE505&lt;&gt;"",TEXT(AUX!HI$1,"dd-MMM-aa"),"")</f>
      </c>
      <c r="HF485" s="496" t="str">
        <f> IF(HF505&lt;&gt;"",TEXT(AUX!HJ$1,"dd-MMM-aa"),"")</f>
      </c>
      <c r="HG485" s="496" t="str">
        <f> IF(HG505&lt;&gt;"",TEXT(AUX!HK$1,"dd-MMM-aa"),"")</f>
      </c>
      <c r="HH485" s="496" t="str">
        <f> IF(HH505&lt;&gt;"",TEXT(AUX!HL$1,"dd-MMM-aa"),"")</f>
      </c>
      <c r="HI485" s="496" t="str">
        <f> IF(HI505&lt;&gt;"",TEXT(AUX!HM$1,"dd-MMM-aa"),"")</f>
      </c>
      <c r="HJ485" s="496" t="str">
        <f> IF(HJ505&lt;&gt;"",TEXT(AUX!HN$1,"dd-MMM-aa"),"")</f>
      </c>
      <c r="HK485" s="496" t="str">
        <f> IF(HK505&lt;&gt;"",TEXT(AUX!HO$1,"dd-MMM-aa"),"")</f>
      </c>
      <c r="HL485" s="496" t="str">
        <f> IF(HL505&lt;&gt;"",TEXT(AUX!HP$1,"dd-MMM-aa"),"")</f>
      </c>
      <c r="HM485" s="496" t="str">
        <f> IF(HM505&lt;&gt;"",TEXT(AUX!HQ$1,"dd-MMM-aa"),"")</f>
      </c>
      <c r="HN485" s="496" t="str">
        <f> IF(HN505&lt;&gt;"",TEXT(AUX!HR$1,"dd-MMM-aa"),"")</f>
      </c>
      <c r="HO485" s="496" t="str">
        <f> IF(HO505&lt;&gt;"",TEXT(AUX!HS$1,"dd-MMM-aa"),"")</f>
      </c>
      <c r="HP485" s="496" t="str">
        <f> IF(HP505&lt;&gt;"",TEXT(AUX!HT$1,"dd-MMM-aa"),"")</f>
      </c>
      <c r="HQ485" s="496" t="str">
        <f> IF(HQ505&lt;&gt;"",TEXT(AUX!HU$1,"dd-MMM-aa"),"")</f>
      </c>
      <c r="HR485" s="496" t="str">
        <f> IF(HR505&lt;&gt;"",TEXT(AUX!HV$1,"dd-MMM-aa"),"")</f>
      </c>
      <c r="HS485" s="496" t="str">
        <f> IF(HS505&lt;&gt;"",TEXT(AUX!HW$1,"dd-MMM-aa"),"")</f>
      </c>
      <c r="HT485" s="496" t="str">
        <f> IF(HT505&lt;&gt;"",TEXT(AUX!HX$1,"dd-MMM-aa"),"")</f>
      </c>
      <c r="HU485" s="496" t="str">
        <f> IF(HU505&lt;&gt;"",TEXT(AUX!HY$1,"dd-MMM-aa"),"")</f>
      </c>
      <c r="HV485" s="496" t="str">
        <f> IF(HV505&lt;&gt;"",TEXT(AUX!HZ$1,"dd-MMM-aa"),"")</f>
      </c>
      <c r="HW485" s="496" t="str">
        <f> IF(HW505&lt;&gt;"",TEXT(AUX!IA$1,"dd-MMM-aa"),"")</f>
      </c>
      <c r="HX485" s="496" t="str">
        <f> IF(HX505&lt;&gt;"",TEXT(AUX!IB$1,"dd-MMM-aa"),"")</f>
      </c>
      <c r="HY485" s="496" t="str">
        <f> IF(HY505&lt;&gt;"",TEXT(AUX!IC$1,"dd-MMM-aa"),"")</f>
      </c>
      <c r="HZ485" s="496" t="str">
        <f> IF(HZ505&lt;&gt;"",TEXT(AUX!ID$1,"dd-MMM-aa"),"")</f>
      </c>
      <c r="IA485" s="496" t="str">
        <f> IF(IA505&lt;&gt;"",TEXT(AUX!IE$1,"dd-MMM-aa"),"")</f>
      </c>
      <c r="IB485" s="496" t="str">
        <f> IF(IB505&lt;&gt;"",TEXT(AUX!IF$1,"dd-MMM-aa"),"")</f>
      </c>
      <c r="IC485" s="496" t="str">
        <f> IF(IC505&lt;&gt;"",TEXT(AUX!IG$1,"dd-MMM-aa"),"")</f>
      </c>
      <c r="ID485" s="496" t="str">
        <f> IF(ID505&lt;&gt;"",TEXT(AUX!IH$1,"dd-MMM-aa"),"")</f>
      </c>
      <c r="IE485" s="496" t="str">
        <f> IF(IE505&lt;&gt;"",TEXT(AUX!II$1,"dd-MMM-aa"),"")</f>
      </c>
      <c r="IF485" s="496" t="str">
        <f> IF(IF505&lt;&gt;"",TEXT(AUX!IJ$1,"dd-MMM-aa"),"")</f>
      </c>
      <c r="IG485" s="496" t="str">
        <f> IF(IG505&lt;&gt;"",TEXT(AUX!IK$1,"dd-MMM-aa"),"")</f>
      </c>
      <c r="IH485" s="496" t="str">
        <f> IF(IH505&lt;&gt;"",TEXT(AUX!IL$1,"dd-MMM-aa"),"")</f>
      </c>
      <c r="II485" s="496" t="str">
        <f> IF(II505&lt;&gt;"",TEXT(AUX!IM$1,"dd-MMM-aa"),"")</f>
      </c>
      <c r="IJ485" s="496" t="str">
        <f> IF(IJ505&lt;&gt;"",TEXT(AUX!IN$1,"dd-MMM-aa"),"")</f>
      </c>
      <c r="IK485" s="496" t="str">
        <f> IF(IK505&lt;&gt;"",TEXT(AUX!IO$1,"dd-MMM-aa"),"")</f>
      </c>
      <c r="IL485" s="496" t="str">
        <f> IF(IL505&lt;&gt;"",TEXT(AUX!IP$1,"dd-MMM-aa"),"")</f>
      </c>
      <c r="IM485" s="496" t="str">
        <f> IF(IM505&lt;&gt;"",TEXT(AUX!IQ$1,"dd-MMM-aa"),"")</f>
      </c>
      <c r="IN485" s="496" t="str">
        <f> IF(IN505&lt;&gt;"",TEXT(AUX!IR$1,"dd-MMM-aa"),"")</f>
      </c>
      <c r="IO485" s="496" t="str">
        <f> IF(IO505&lt;&gt;"",TEXT(AUX!IS$1,"dd-MMM-aa"),"")</f>
      </c>
      <c r="IP485" s="496" t="str">
        <f> IF(IP505&lt;&gt;"",TEXT(AUX!IT$1,"dd-MMM-aa"),"")</f>
      </c>
      <c r="IQ485" s="496" t="str">
        <f> IF(IQ505&lt;&gt;"",TEXT(AUX!IU$1,"dd-MMM-aa"),"")</f>
      </c>
      <c r="IR485" s="496" t="str">
        <f> IF(IR505&lt;&gt;"",TEXT(AUX!IV$1,"dd-MMM-aa"),"")</f>
      </c>
      <c r="IS485" s="496" t="str">
        <f> IF(IS505&lt;&gt;"",TEXT(AUX!#REF!,"dd-MMM-aa"),"")</f>
      </c>
      <c r="IT485" s="496" t="str">
        <f> IF(IT505&lt;&gt;"",TEXT(AUX!#REF!,"dd-MMM-aa"),"")</f>
      </c>
      <c r="IU485" s="496" t="str">
        <f> IF(IU505&lt;&gt;"",TEXT(AUX!#REF!,"dd-MMM-aa"),"")</f>
      </c>
      <c r="IV485" s="496" t="str">
        <f> IF(IV505&lt;&gt;"",TEXT(AUX!#REF!,"dd-MMM-aa"),"")</f>
      </c>
    </row>
    <row r="486" hidden="1">
      <c r="B486" s="822" t="s">
        <v>8</v>
      </c>
      <c r="C486" s="823">
        <v>0</v>
      </c>
      <c r="D486" s="823">
        <v>0</v>
      </c>
      <c r="E486" s="823">
        <v>0</v>
      </c>
      <c r="F486" s="823">
        <v>0</v>
      </c>
      <c r="G486" s="823">
        <v>0</v>
      </c>
      <c r="H486" s="823">
        <v>0</v>
      </c>
      <c r="I486" s="823">
        <v>0</v>
      </c>
      <c r="J486" s="823">
        <v>0</v>
      </c>
      <c r="K486" s="823">
        <v>0</v>
      </c>
      <c r="L486" s="823">
        <v>0</v>
      </c>
      <c r="M486" s="823">
        <v>0</v>
      </c>
      <c r="N486" s="823">
        <v>0</v>
      </c>
      <c r="O486" s="823">
        <v>0</v>
      </c>
      <c r="P486" s="823">
        <v>0</v>
      </c>
      <c r="Q486" s="823">
        <v>0</v>
      </c>
      <c r="R486" s="823">
        <v>0</v>
      </c>
      <c r="S486" s="823">
        <v>0</v>
      </c>
      <c r="T486" s="823">
        <v>0</v>
      </c>
      <c r="U486" s="823">
        <v>6</v>
      </c>
      <c r="V486" s="823">
        <v>23</v>
      </c>
      <c r="W486" s="823">
        <v>52</v>
      </c>
      <c r="X486" s="823">
        <v>65</v>
      </c>
      <c r="Y486" s="823">
        <v>80</v>
      </c>
      <c r="Z486" s="823">
        <v>89</v>
      </c>
      <c r="AA486" s="823">
        <v>97</v>
      </c>
      <c r="AB486" s="824">
        <v>107</v>
      </c>
      <c r="AC486" s="825">
        <v>112</v>
      </c>
      <c r="AD486" s="825">
        <v>117</v>
      </c>
      <c r="AE486" s="825">
        <v>126</v>
      </c>
      <c r="AF486" s="825">
        <v>130</v>
      </c>
      <c r="AG486" s="825">
        <v>146</v>
      </c>
      <c r="AH486" s="825">
        <v>149</v>
      </c>
      <c r="AI486" s="825">
        <v>157</v>
      </c>
      <c r="AJ486" s="825">
        <v>162</v>
      </c>
      <c r="AK486" s="825">
        <v>182</v>
      </c>
      <c r="AL486" s="825">
        <v>192</v>
      </c>
      <c r="AM486" s="825">
        <v>243</v>
      </c>
      <c r="AN486" s="825">
        <v>271</v>
      </c>
      <c r="AO486" s="825">
        <v>305</v>
      </c>
      <c r="AP486" s="825">
        <v>326</v>
      </c>
      <c r="AQ486" s="51"/>
      <c r="AR486" s="51"/>
      <c r="AS486" s="51"/>
      <c r="AT486" s="51"/>
      <c r="AU486" s="51"/>
      <c r="AV486" s="51"/>
      <c r="AW486" s="51"/>
      <c r="AX486" s="51"/>
      <c r="AY486" s="51"/>
      <c r="AZ486" s="51"/>
      <c r="BA486" s="51"/>
      <c r="BB486" s="51"/>
      <c r="BC486" s="51"/>
      <c r="BD486" s="51"/>
      <c r="BE486" s="51"/>
      <c r="BF486" s="51"/>
      <c r="BG486" s="51"/>
      <c r="BH486" s="51"/>
      <c r="BI486" s="51"/>
      <c r="BJ486" s="51"/>
      <c r="BK486" s="51"/>
      <c r="BL486" s="51"/>
      <c r="BM486" s="51"/>
      <c r="BN486" s="51"/>
      <c r="BO486" s="51"/>
      <c r="BP486" s="51"/>
      <c r="BQ486" s="51"/>
      <c r="BR486" s="51"/>
      <c r="BS486" s="51"/>
      <c r="BT486" s="51"/>
      <c r="BU486" s="51"/>
      <c r="BV486" s="51"/>
      <c r="BW486" s="51"/>
      <c r="BX486" s="51"/>
      <c r="BY486" s="51"/>
      <c r="BZ486" s="51"/>
      <c r="CA486" s="51"/>
      <c r="CB486" s="51"/>
      <c r="CC486" s="51"/>
      <c r="CD486" s="51"/>
      <c r="CE486" s="51"/>
      <c r="CF486" s="51"/>
      <c r="CG486" s="51"/>
      <c r="CH486" s="51"/>
      <c r="CI486" s="51"/>
      <c r="CJ486" s="51"/>
      <c r="CK486" s="51"/>
      <c r="CL486" s="51"/>
      <c r="CM486" s="51"/>
      <c r="CN486" s="51"/>
      <c r="CO486" s="51"/>
      <c r="CP486" s="51"/>
      <c r="CQ486" s="51"/>
      <c r="CR486" s="51"/>
      <c r="CS486" s="51"/>
      <c r="CT486" s="51"/>
      <c r="CU486" s="51"/>
      <c r="CV486" s="51"/>
      <c r="CW486" s="51"/>
      <c r="CX486" s="51"/>
      <c r="CY486" s="51"/>
      <c r="CZ486" s="51"/>
      <c r="DA486" s="51"/>
      <c r="DB486" s="51"/>
      <c r="DC486" s="51"/>
      <c r="DD486" s="51"/>
      <c r="DE486" s="51"/>
      <c r="DF486" s="51"/>
      <c r="DG486" s="51"/>
      <c r="DH486" s="51"/>
      <c r="DI486" s="51"/>
      <c r="DJ486" s="51"/>
      <c r="DK486" s="51"/>
      <c r="DL486" s="51"/>
      <c r="DM486" s="51"/>
      <c r="DN486" s="51"/>
      <c r="DO486" s="51"/>
      <c r="DP486" s="51"/>
      <c r="DQ486" s="51"/>
      <c r="DR486" s="51"/>
      <c r="DS486" s="51"/>
      <c r="DT486" s="51"/>
      <c r="DU486" s="51"/>
      <c r="DV486" s="51"/>
      <c r="DW486" s="51"/>
      <c r="DX486" s="51"/>
      <c r="DY486" s="51"/>
      <c r="DZ486" s="51"/>
      <c r="EA486" s="51"/>
      <c r="EB486" s="51"/>
      <c r="EC486" s="51"/>
      <c r="ED486" s="51"/>
      <c r="EE486" s="51"/>
      <c r="EF486" s="51"/>
      <c r="EG486" s="51"/>
      <c r="EH486" s="51"/>
      <c r="EI486" s="51"/>
      <c r="EJ486" s="51"/>
      <c r="EK486" s="51"/>
      <c r="EL486" s="51"/>
      <c r="EM486" s="51"/>
      <c r="EN486" s="51"/>
      <c r="EO486" s="51"/>
      <c r="EP486" s="51"/>
      <c r="EQ486" s="51"/>
      <c r="ER486" s="51"/>
      <c r="ES486" s="51"/>
      <c r="ET486" s="51"/>
      <c r="EU486" s="51"/>
      <c r="EV486" s="51"/>
      <c r="EW486" s="51"/>
      <c r="EX486" s="51"/>
      <c r="EY486" s="51"/>
      <c r="EZ486" s="51"/>
      <c r="FA486" s="51"/>
      <c r="FB486" s="51"/>
      <c r="FC486" s="51"/>
      <c r="FD486" s="51"/>
      <c r="FE486" s="51"/>
      <c r="FF486" s="51"/>
      <c r="FG486" s="51"/>
      <c r="FH486" s="51"/>
      <c r="FI486" s="51"/>
      <c r="FJ486" s="51"/>
      <c r="FK486" s="51"/>
      <c r="FL486" s="51"/>
      <c r="FM486" s="51"/>
      <c r="FN486" s="51"/>
      <c r="FO486" s="51"/>
      <c r="FP486" s="51"/>
      <c r="FQ486" s="51"/>
      <c r="FR486" s="51"/>
      <c r="FS486" s="51"/>
      <c r="FT486" s="51"/>
      <c r="FU486" s="51"/>
      <c r="FV486" s="51"/>
      <c r="FW486" s="51"/>
      <c r="FX486" s="51"/>
      <c r="FY486" s="51"/>
      <c r="FZ486" s="51"/>
      <c r="GA486" s="51"/>
      <c r="GB486" s="51"/>
      <c r="GC486" s="51"/>
      <c r="GD486" s="51"/>
      <c r="GE486" s="51"/>
      <c r="GF486" s="51"/>
      <c r="GG486" s="51"/>
      <c r="GH486" s="51"/>
      <c r="GI486" s="51"/>
      <c r="GJ486" s="51"/>
      <c r="GK486" s="51"/>
      <c r="GL486" s="51"/>
      <c r="GM486" s="51"/>
      <c r="GN486" s="51"/>
      <c r="GO486" s="51"/>
      <c r="GP486" s="51"/>
      <c r="GQ486" s="51"/>
      <c r="GR486" s="51"/>
      <c r="GS486" s="51"/>
      <c r="GT486" s="51"/>
      <c r="GU486" s="51"/>
      <c r="GV486" s="51"/>
      <c r="GW486" s="51"/>
      <c r="GX486" s="51"/>
      <c r="GY486" s="51"/>
      <c r="GZ486" s="51"/>
      <c r="HA486" s="51"/>
      <c r="HB486" s="51"/>
      <c r="HC486" s="51"/>
      <c r="HD486" s="51"/>
      <c r="HE486" s="51"/>
      <c r="HF486" s="51"/>
      <c r="HG486" s="51"/>
      <c r="HH486" s="51"/>
      <c r="HI486" s="51"/>
      <c r="HJ486" s="51"/>
      <c r="HK486" s="51"/>
      <c r="HL486" s="51"/>
      <c r="HM486" s="51"/>
      <c r="HN486" s="51"/>
      <c r="HO486" s="51"/>
      <c r="HP486" s="51"/>
      <c r="HQ486" s="51"/>
      <c r="HR486" s="51"/>
      <c r="HS486" s="51"/>
      <c r="HT486" s="51"/>
      <c r="HU486" s="51"/>
      <c r="HV486" s="51"/>
      <c r="HW486" s="51"/>
      <c r="HX486" s="51"/>
      <c r="HY486" s="51"/>
      <c r="HZ486" s="51"/>
      <c r="IA486" s="51"/>
      <c r="IB486" s="51"/>
      <c r="IC486" s="51"/>
      <c r="ID486" s="51"/>
      <c r="IE486" s="51"/>
      <c r="IF486" s="51"/>
      <c r="IG486" s="51"/>
      <c r="IH486" s="51"/>
      <c r="II486" s="51"/>
      <c r="IJ486" s="51"/>
      <c r="IK486" s="51"/>
      <c r="IL486" s="51"/>
      <c r="IM486" s="51"/>
      <c r="IN486" s="51"/>
      <c r="IO486" s="51"/>
      <c r="IP486" s="51"/>
      <c r="IQ486" s="51"/>
      <c r="IR486" s="51"/>
      <c r="IS486" s="51"/>
      <c r="IT486" s="51"/>
      <c r="IU486" s="51"/>
      <c r="IV486" s="51"/>
    </row>
    <row r="487" hidden="1">
      <c r="B487" s="826" t="s">
        <v>9</v>
      </c>
      <c r="C487" s="827">
        <v>0</v>
      </c>
      <c r="D487" s="827">
        <v>0</v>
      </c>
      <c r="E487" s="827">
        <v>0</v>
      </c>
      <c r="F487" s="827">
        <v>0</v>
      </c>
      <c r="G487" s="827">
        <v>0</v>
      </c>
      <c r="H487" s="827">
        <v>0</v>
      </c>
      <c r="I487" s="827">
        <v>0</v>
      </c>
      <c r="J487" s="827">
        <v>0</v>
      </c>
      <c r="K487" s="827">
        <v>0</v>
      </c>
      <c r="L487" s="827">
        <v>0</v>
      </c>
      <c r="M487" s="827">
        <v>0</v>
      </c>
      <c r="N487" s="827">
        <v>0</v>
      </c>
      <c r="O487" s="827">
        <v>0</v>
      </c>
      <c r="P487" s="827">
        <v>2</v>
      </c>
      <c r="Q487" s="827">
        <v>2</v>
      </c>
      <c r="R487" s="827">
        <v>3</v>
      </c>
      <c r="S487" s="827">
        <v>3</v>
      </c>
      <c r="T487" s="827">
        <v>3</v>
      </c>
      <c r="U487" s="827">
        <v>2</v>
      </c>
      <c r="V487" s="827">
        <v>2</v>
      </c>
      <c r="W487" s="827">
        <v>2</v>
      </c>
      <c r="X487" s="827">
        <v>3</v>
      </c>
      <c r="Y487" s="827">
        <v>3</v>
      </c>
      <c r="Z487" s="827">
        <v>3</v>
      </c>
      <c r="AA487" s="827">
        <v>2</v>
      </c>
      <c r="AB487" s="827">
        <v>2</v>
      </c>
      <c r="AC487" s="828">
        <v>2</v>
      </c>
      <c r="AD487" s="828">
        <v>2</v>
      </c>
      <c r="AE487" s="828">
        <v>1</v>
      </c>
      <c r="AF487" s="828">
        <v>1</v>
      </c>
      <c r="AG487" s="828">
        <v>3</v>
      </c>
      <c r="AH487" s="828">
        <v>4</v>
      </c>
      <c r="AI487" s="828">
        <v>4</v>
      </c>
      <c r="AJ487" s="828">
        <v>4</v>
      </c>
      <c r="AK487" s="828">
        <v>8</v>
      </c>
      <c r="AL487" s="828">
        <v>9</v>
      </c>
      <c r="AM487" s="828">
        <v>9</v>
      </c>
      <c r="AN487" s="828">
        <v>10</v>
      </c>
      <c r="AO487" s="828">
        <v>10</v>
      </c>
      <c r="AP487" s="828">
        <v>10</v>
      </c>
      <c r="AQ487" s="51"/>
      <c r="AR487" s="51"/>
      <c r="AS487" s="51"/>
      <c r="AT487" s="51"/>
      <c r="AU487" s="51"/>
      <c r="AV487" s="51"/>
      <c r="AW487" s="51"/>
      <c r="AX487" s="51"/>
      <c r="AY487" s="51"/>
      <c r="AZ487" s="51"/>
      <c r="BA487" s="51"/>
      <c r="BB487" s="51"/>
      <c r="BC487" s="51"/>
      <c r="BD487" s="51"/>
      <c r="BE487" s="51"/>
      <c r="BF487" s="51"/>
      <c r="BG487" s="51"/>
      <c r="BH487" s="51"/>
      <c r="BI487" s="51"/>
      <c r="BJ487" s="51"/>
      <c r="BK487" s="51"/>
      <c r="BL487" s="51"/>
      <c r="BM487" s="51"/>
      <c r="BN487" s="51"/>
      <c r="BO487" s="51"/>
      <c r="BP487" s="51"/>
      <c r="BQ487" s="51"/>
      <c r="BR487" s="51"/>
      <c r="BS487" s="51"/>
      <c r="BT487" s="51"/>
      <c r="BU487" s="51"/>
      <c r="BV487" s="51"/>
      <c r="BW487" s="51"/>
      <c r="BX487" s="51"/>
      <c r="BY487" s="51"/>
      <c r="BZ487" s="51"/>
      <c r="CA487" s="51"/>
      <c r="CB487" s="51"/>
      <c r="CC487" s="51"/>
      <c r="CD487" s="51"/>
      <c r="CE487" s="51"/>
      <c r="CF487" s="51"/>
      <c r="CG487" s="51"/>
      <c r="CH487" s="51"/>
      <c r="CI487" s="51"/>
      <c r="CJ487" s="51"/>
      <c r="CK487" s="51"/>
      <c r="CL487" s="51"/>
      <c r="CM487" s="51"/>
      <c r="CN487" s="51"/>
      <c r="CO487" s="51"/>
      <c r="CP487" s="51"/>
      <c r="CQ487" s="51"/>
      <c r="CR487" s="51"/>
      <c r="CS487" s="51"/>
      <c r="CT487" s="51"/>
      <c r="CU487" s="51"/>
      <c r="CV487" s="51"/>
      <c r="CW487" s="51"/>
      <c r="CX487" s="51"/>
      <c r="CY487" s="51"/>
      <c r="CZ487" s="51"/>
      <c r="DA487" s="51"/>
      <c r="DB487" s="51"/>
      <c r="DC487" s="51"/>
      <c r="DD487" s="51"/>
      <c r="DE487" s="51"/>
      <c r="DF487" s="51"/>
      <c r="DG487" s="51"/>
      <c r="DH487" s="51"/>
      <c r="DI487" s="51"/>
      <c r="DJ487" s="51"/>
      <c r="DK487" s="51"/>
      <c r="DL487" s="51"/>
      <c r="DM487" s="51"/>
      <c r="DN487" s="51"/>
      <c r="DO487" s="51"/>
      <c r="DP487" s="51"/>
      <c r="DQ487" s="51"/>
      <c r="DR487" s="51"/>
      <c r="DS487" s="51"/>
      <c r="DT487" s="51"/>
      <c r="DU487" s="51"/>
      <c r="DV487" s="51"/>
      <c r="DW487" s="51"/>
      <c r="DX487" s="51"/>
      <c r="DY487" s="51"/>
      <c r="DZ487" s="51"/>
      <c r="EA487" s="51"/>
      <c r="EB487" s="51"/>
      <c r="EC487" s="51"/>
      <c r="ED487" s="51"/>
      <c r="EE487" s="51"/>
      <c r="EF487" s="51"/>
      <c r="EG487" s="51"/>
      <c r="EH487" s="51"/>
      <c r="EI487" s="51"/>
      <c r="EJ487" s="51"/>
      <c r="EK487" s="51"/>
      <c r="EL487" s="51"/>
      <c r="EM487" s="51"/>
      <c r="EN487" s="51"/>
      <c r="EO487" s="51"/>
      <c r="EP487" s="51"/>
      <c r="EQ487" s="51"/>
      <c r="ER487" s="51"/>
      <c r="ES487" s="51"/>
      <c r="ET487" s="51"/>
      <c r="EU487" s="51"/>
      <c r="EV487" s="51"/>
      <c r="EW487" s="51"/>
      <c r="EX487" s="51"/>
      <c r="EY487" s="51"/>
      <c r="EZ487" s="51"/>
      <c r="FA487" s="51"/>
      <c r="FB487" s="51"/>
      <c r="FC487" s="51"/>
      <c r="FD487" s="51"/>
      <c r="FE487" s="51"/>
      <c r="FF487" s="51"/>
      <c r="FG487" s="51"/>
      <c r="FH487" s="51"/>
      <c r="FI487" s="51"/>
      <c r="FJ487" s="51"/>
      <c r="FK487" s="51"/>
      <c r="FL487" s="51"/>
      <c r="FM487" s="51"/>
      <c r="FN487" s="51"/>
      <c r="FO487" s="51"/>
      <c r="FP487" s="51"/>
      <c r="FQ487" s="51"/>
      <c r="FR487" s="51"/>
      <c r="FS487" s="51"/>
      <c r="FT487" s="51"/>
      <c r="FU487" s="51"/>
      <c r="FV487" s="51"/>
      <c r="FW487" s="51"/>
      <c r="FX487" s="51"/>
      <c r="FY487" s="51"/>
      <c r="FZ487" s="51"/>
      <c r="GA487" s="51"/>
      <c r="GB487" s="51"/>
      <c r="GC487" s="51"/>
      <c r="GD487" s="51"/>
      <c r="GE487" s="51"/>
      <c r="GF487" s="51"/>
      <c r="GG487" s="51"/>
      <c r="GH487" s="51"/>
      <c r="GI487" s="51"/>
      <c r="GJ487" s="51"/>
      <c r="GK487" s="51"/>
      <c r="GL487" s="51"/>
      <c r="GM487" s="51"/>
      <c r="GN487" s="51"/>
      <c r="GO487" s="51"/>
      <c r="GP487" s="51"/>
      <c r="GQ487" s="51"/>
      <c r="GR487" s="51"/>
      <c r="GS487" s="51"/>
      <c r="GT487" s="51"/>
      <c r="GU487" s="51"/>
      <c r="GV487" s="51"/>
      <c r="GW487" s="51"/>
      <c r="GX487" s="51"/>
      <c r="GY487" s="51"/>
      <c r="GZ487" s="51"/>
      <c r="HA487" s="51"/>
      <c r="HB487" s="51"/>
      <c r="HC487" s="51"/>
      <c r="HD487" s="51"/>
      <c r="HE487" s="51"/>
      <c r="HF487" s="51"/>
      <c r="HG487" s="51"/>
      <c r="HH487" s="51"/>
      <c r="HI487" s="51"/>
      <c r="HJ487" s="51"/>
      <c r="HK487" s="51"/>
      <c r="HL487" s="51"/>
      <c r="HM487" s="51"/>
      <c r="HN487" s="51"/>
      <c r="HO487" s="51"/>
      <c r="HP487" s="51"/>
      <c r="HQ487" s="51"/>
      <c r="HR487" s="51"/>
      <c r="HS487" s="51"/>
      <c r="HT487" s="51"/>
      <c r="HU487" s="51"/>
      <c r="HV487" s="51"/>
      <c r="HW487" s="51"/>
      <c r="HX487" s="51"/>
      <c r="HY487" s="51"/>
      <c r="HZ487" s="51"/>
      <c r="IA487" s="51"/>
      <c r="IB487" s="51"/>
      <c r="IC487" s="51"/>
      <c r="ID487" s="51"/>
      <c r="IE487" s="51"/>
      <c r="IF487" s="51"/>
      <c r="IG487" s="51"/>
      <c r="IH487" s="51"/>
      <c r="II487" s="51"/>
      <c r="IJ487" s="51"/>
      <c r="IK487" s="51"/>
      <c r="IL487" s="51"/>
      <c r="IM487" s="51"/>
      <c r="IN487" s="51"/>
      <c r="IO487" s="51"/>
      <c r="IP487" s="51"/>
      <c r="IQ487" s="51"/>
      <c r="IR487" s="51"/>
      <c r="IS487" s="51"/>
      <c r="IT487" s="51"/>
      <c r="IU487" s="51"/>
      <c r="IV487" s="51"/>
    </row>
    <row r="488" hidden="1">
      <c r="B488" s="829" t="s">
        <v>10</v>
      </c>
      <c r="C488" s="823">
        <v>0</v>
      </c>
      <c r="D488" s="823">
        <v>0</v>
      </c>
      <c r="E488" s="823">
        <v>0</v>
      </c>
      <c r="F488" s="823">
        <v>0</v>
      </c>
      <c r="G488" s="823">
        <v>0</v>
      </c>
      <c r="H488" s="823">
        <v>0</v>
      </c>
      <c r="I488" s="823">
        <v>0</v>
      </c>
      <c r="J488" s="823">
        <v>0</v>
      </c>
      <c r="K488" s="823">
        <v>0</v>
      </c>
      <c r="L488" s="823">
        <v>0</v>
      </c>
      <c r="M488" s="823">
        <v>0</v>
      </c>
      <c r="N488" s="823">
        <v>0</v>
      </c>
      <c r="O488" s="823">
        <v>0</v>
      </c>
      <c r="P488" s="823">
        <v>1084</v>
      </c>
      <c r="Q488" s="823">
        <v>1103</v>
      </c>
      <c r="R488" s="823">
        <v>1155</v>
      </c>
      <c r="S488" s="823">
        <v>1214</v>
      </c>
      <c r="T488" s="823">
        <v>1118</v>
      </c>
      <c r="U488" s="823">
        <v>1169</v>
      </c>
      <c r="V488" s="823">
        <v>1086</v>
      </c>
      <c r="W488" s="823">
        <v>1158</v>
      </c>
      <c r="X488" s="823">
        <v>1145</v>
      </c>
      <c r="Y488" s="823">
        <v>1217</v>
      </c>
      <c r="Z488" s="823">
        <v>1198</v>
      </c>
      <c r="AA488" s="823">
        <v>1265</v>
      </c>
      <c r="AB488" s="823">
        <v>1238</v>
      </c>
      <c r="AC488" s="825">
        <v>1299</v>
      </c>
      <c r="AD488" s="825">
        <v>1274</v>
      </c>
      <c r="AE488" s="825">
        <v>1373</v>
      </c>
      <c r="AF488" s="825">
        <v>1389</v>
      </c>
      <c r="AG488" s="825">
        <v>1518</v>
      </c>
      <c r="AH488" s="825">
        <v>1532</v>
      </c>
      <c r="AI488" s="825">
        <v>1620</v>
      </c>
      <c r="AJ488" s="825">
        <v>1608</v>
      </c>
      <c r="AK488" s="825">
        <v>1692</v>
      </c>
      <c r="AL488" s="825">
        <v>1691</v>
      </c>
      <c r="AM488" s="825">
        <v>1776</v>
      </c>
      <c r="AN488" s="825">
        <v>1789</v>
      </c>
      <c r="AO488" s="825">
        <v>1875</v>
      </c>
      <c r="AP488" s="825">
        <v>1876</v>
      </c>
      <c r="AQ488" s="51"/>
      <c r="AR488" s="51"/>
      <c r="AS488" s="51"/>
      <c r="AT488" s="51"/>
      <c r="AU488" s="51"/>
      <c r="AV488" s="51"/>
      <c r="AW488" s="51"/>
      <c r="AX488" s="51"/>
      <c r="AY488" s="51"/>
      <c r="AZ488" s="51"/>
      <c r="BA488" s="51"/>
      <c r="BB488" s="51"/>
      <c r="BC488" s="51"/>
      <c r="BD488" s="51"/>
      <c r="BE488" s="51"/>
      <c r="BF488" s="51"/>
      <c r="BG488" s="51"/>
      <c r="BH488" s="51"/>
      <c r="BI488" s="51"/>
      <c r="BJ488" s="51"/>
      <c r="BK488" s="51"/>
      <c r="BL488" s="51"/>
      <c r="BM488" s="51"/>
      <c r="BN488" s="51"/>
      <c r="BO488" s="51"/>
      <c r="BP488" s="51"/>
      <c r="BQ488" s="51"/>
      <c r="BR488" s="51"/>
      <c r="BS488" s="51"/>
      <c r="BT488" s="51"/>
      <c r="BU488" s="51"/>
      <c r="BV488" s="51"/>
      <c r="BW488" s="51"/>
      <c r="BX488" s="51"/>
      <c r="BY488" s="51"/>
      <c r="BZ488" s="51"/>
      <c r="CA488" s="51"/>
      <c r="CB488" s="51"/>
      <c r="CC488" s="51"/>
      <c r="CD488" s="51"/>
      <c r="CE488" s="51"/>
      <c r="CF488" s="51"/>
      <c r="CG488" s="51"/>
      <c r="CH488" s="51"/>
      <c r="CI488" s="51"/>
      <c r="CJ488" s="51"/>
      <c r="CK488" s="51"/>
      <c r="CL488" s="51"/>
      <c r="CM488" s="51"/>
      <c r="CN488" s="51"/>
      <c r="CO488" s="51"/>
      <c r="CP488" s="51"/>
      <c r="CQ488" s="51"/>
      <c r="CR488" s="51"/>
      <c r="CS488" s="51"/>
      <c r="CT488" s="51"/>
      <c r="CU488" s="51"/>
      <c r="CV488" s="51"/>
      <c r="CW488" s="51"/>
      <c r="CX488" s="51"/>
      <c r="CY488" s="51"/>
      <c r="CZ488" s="51"/>
      <c r="DA488" s="51"/>
      <c r="DB488" s="51"/>
      <c r="DC488" s="51"/>
      <c r="DD488" s="51"/>
      <c r="DE488" s="51"/>
      <c r="DF488" s="51"/>
      <c r="DG488" s="51"/>
      <c r="DH488" s="51"/>
      <c r="DI488" s="51"/>
      <c r="DJ488" s="51"/>
      <c r="DK488" s="51"/>
      <c r="DL488" s="51"/>
      <c r="DM488" s="51"/>
      <c r="DN488" s="51"/>
      <c r="DO488" s="51"/>
      <c r="DP488" s="51"/>
      <c r="DQ488" s="51"/>
      <c r="DR488" s="51"/>
      <c r="DS488" s="51"/>
      <c r="DT488" s="51"/>
      <c r="DU488" s="51"/>
      <c r="DV488" s="51"/>
      <c r="DW488" s="51"/>
      <c r="DX488" s="51"/>
      <c r="DY488" s="51"/>
      <c r="DZ488" s="51"/>
      <c r="EA488" s="51"/>
      <c r="EB488" s="51"/>
      <c r="EC488" s="51"/>
      <c r="ED488" s="51"/>
      <c r="EE488" s="51"/>
      <c r="EF488" s="51"/>
      <c r="EG488" s="51"/>
      <c r="EH488" s="51"/>
      <c r="EI488" s="51"/>
      <c r="EJ488" s="51"/>
      <c r="EK488" s="51"/>
      <c r="EL488" s="51"/>
      <c r="EM488" s="51"/>
      <c r="EN488" s="51"/>
      <c r="EO488" s="51"/>
      <c r="EP488" s="51"/>
      <c r="EQ488" s="51"/>
      <c r="ER488" s="51"/>
      <c r="ES488" s="51"/>
      <c r="ET488" s="51"/>
      <c r="EU488" s="51"/>
      <c r="EV488" s="51"/>
      <c r="EW488" s="51"/>
      <c r="EX488" s="51"/>
      <c r="EY488" s="51"/>
      <c r="EZ488" s="51"/>
      <c r="FA488" s="51"/>
      <c r="FB488" s="51"/>
      <c r="FC488" s="51"/>
      <c r="FD488" s="51"/>
      <c r="FE488" s="51"/>
      <c r="FF488" s="51"/>
      <c r="FG488" s="51"/>
      <c r="FH488" s="51"/>
      <c r="FI488" s="51"/>
      <c r="FJ488" s="51"/>
      <c r="FK488" s="51"/>
      <c r="FL488" s="51"/>
      <c r="FM488" s="51"/>
      <c r="FN488" s="51"/>
      <c r="FO488" s="51"/>
      <c r="FP488" s="51"/>
      <c r="FQ488" s="51"/>
      <c r="FR488" s="51"/>
      <c r="FS488" s="51"/>
      <c r="FT488" s="51"/>
      <c r="FU488" s="51"/>
      <c r="FV488" s="51"/>
      <c r="FW488" s="51"/>
      <c r="FX488" s="51"/>
      <c r="FY488" s="51"/>
      <c r="FZ488" s="51"/>
      <c r="GA488" s="51"/>
      <c r="GB488" s="51"/>
      <c r="GC488" s="51"/>
      <c r="GD488" s="51"/>
      <c r="GE488" s="51"/>
      <c r="GF488" s="51"/>
      <c r="GG488" s="51"/>
      <c r="GH488" s="51"/>
      <c r="GI488" s="51"/>
      <c r="GJ488" s="51"/>
      <c r="GK488" s="51"/>
      <c r="GL488" s="51"/>
      <c r="GM488" s="51"/>
      <c r="GN488" s="51"/>
      <c r="GO488" s="51"/>
      <c r="GP488" s="51"/>
      <c r="GQ488" s="51"/>
      <c r="GR488" s="51"/>
      <c r="GS488" s="51"/>
      <c r="GT488" s="51"/>
      <c r="GU488" s="51"/>
      <c r="GV488" s="51"/>
      <c r="GW488" s="51"/>
      <c r="GX488" s="51"/>
      <c r="GY488" s="51"/>
      <c r="GZ488" s="51"/>
      <c r="HA488" s="51"/>
      <c r="HB488" s="51"/>
      <c r="HC488" s="51"/>
      <c r="HD488" s="51"/>
      <c r="HE488" s="51"/>
      <c r="HF488" s="51"/>
      <c r="HG488" s="51"/>
      <c r="HH488" s="51"/>
      <c r="HI488" s="51"/>
      <c r="HJ488" s="51"/>
      <c r="HK488" s="51"/>
      <c r="HL488" s="51"/>
      <c r="HM488" s="51"/>
      <c r="HN488" s="51"/>
      <c r="HO488" s="51"/>
      <c r="HP488" s="51"/>
      <c r="HQ488" s="51"/>
      <c r="HR488" s="51"/>
      <c r="HS488" s="51"/>
      <c r="HT488" s="51"/>
      <c r="HU488" s="51"/>
      <c r="HV488" s="51"/>
      <c r="HW488" s="51"/>
      <c r="HX488" s="51"/>
      <c r="HY488" s="51"/>
      <c r="HZ488" s="51"/>
      <c r="IA488" s="51"/>
      <c r="IB488" s="51"/>
      <c r="IC488" s="51"/>
      <c r="ID488" s="51"/>
      <c r="IE488" s="51"/>
      <c r="IF488" s="51"/>
      <c r="IG488" s="51"/>
      <c r="IH488" s="51"/>
      <c r="II488" s="51"/>
      <c r="IJ488" s="51"/>
      <c r="IK488" s="51"/>
      <c r="IL488" s="51"/>
      <c r="IM488" s="51"/>
      <c r="IN488" s="51"/>
      <c r="IO488" s="51"/>
      <c r="IP488" s="51"/>
      <c r="IQ488" s="51"/>
      <c r="IR488" s="51"/>
      <c r="IS488" s="51"/>
      <c r="IT488" s="51"/>
      <c r="IU488" s="51"/>
      <c r="IV488" s="51"/>
    </row>
    <row r="489" hidden="1">
      <c r="B489" s="826" t="s">
        <v>11</v>
      </c>
      <c r="C489" s="827">
        <v>0</v>
      </c>
      <c r="D489" s="827">
        <v>0</v>
      </c>
      <c r="E489" s="827">
        <v>0</v>
      </c>
      <c r="F489" s="827">
        <v>0</v>
      </c>
      <c r="G489" s="827">
        <v>0</v>
      </c>
      <c r="H489" s="827">
        <v>0</v>
      </c>
      <c r="I489" s="827">
        <v>0</v>
      </c>
      <c r="J489" s="827">
        <v>0</v>
      </c>
      <c r="K489" s="827">
        <v>0</v>
      </c>
      <c r="L489" s="827">
        <v>0</v>
      </c>
      <c r="M489" s="827">
        <v>0</v>
      </c>
      <c r="N489" s="827">
        <v>0</v>
      </c>
      <c r="O489" s="827">
        <v>0</v>
      </c>
      <c r="P489" s="827">
        <v>2</v>
      </c>
      <c r="Q489" s="827">
        <v>5</v>
      </c>
      <c r="R489" s="827">
        <v>5</v>
      </c>
      <c r="S489" s="827">
        <v>1</v>
      </c>
      <c r="T489" s="827">
        <v>2</v>
      </c>
      <c r="U489" s="827">
        <v>2</v>
      </c>
      <c r="V489" s="827">
        <v>2</v>
      </c>
      <c r="W489" s="827">
        <v>2</v>
      </c>
      <c r="X489" s="827">
        <v>2</v>
      </c>
      <c r="Y489" s="827">
        <v>2</v>
      </c>
      <c r="Z489" s="827">
        <v>4</v>
      </c>
      <c r="AA489" s="827">
        <v>0</v>
      </c>
      <c r="AB489" s="827">
        <v>6</v>
      </c>
      <c r="AC489" s="828">
        <v>4</v>
      </c>
      <c r="AD489" s="828">
        <v>4</v>
      </c>
      <c r="AE489" s="828">
        <v>4</v>
      </c>
      <c r="AF489" s="828">
        <v>4</v>
      </c>
      <c r="AG489" s="828">
        <v>4</v>
      </c>
      <c r="AH489" s="828">
        <v>4</v>
      </c>
      <c r="AI489" s="828">
        <v>5</v>
      </c>
      <c r="AJ489" s="828">
        <v>5</v>
      </c>
      <c r="AK489" s="828">
        <v>5</v>
      </c>
      <c r="AL489" s="828">
        <v>5</v>
      </c>
      <c r="AM489" s="828">
        <v>5</v>
      </c>
      <c r="AN489" s="828">
        <v>5</v>
      </c>
      <c r="AO489" s="828">
        <v>5</v>
      </c>
      <c r="AP489" s="828">
        <v>4</v>
      </c>
      <c r="AQ489" s="51"/>
      <c r="AR489" s="51"/>
      <c r="AS489" s="51"/>
      <c r="AT489" s="51"/>
      <c r="AU489" s="51"/>
      <c r="AV489" s="51"/>
      <c r="AW489" s="51"/>
      <c r="AX489" s="51"/>
      <c r="AY489" s="51"/>
      <c r="AZ489" s="51"/>
      <c r="BA489" s="51"/>
      <c r="BB489" s="51"/>
      <c r="BC489" s="51"/>
      <c r="BD489" s="51"/>
      <c r="BE489" s="51"/>
      <c r="BF489" s="51"/>
      <c r="BG489" s="51"/>
      <c r="BH489" s="51"/>
      <c r="BI489" s="51"/>
      <c r="BJ489" s="51"/>
      <c r="BK489" s="51"/>
      <c r="BL489" s="51"/>
      <c r="BM489" s="51"/>
      <c r="BN489" s="51"/>
      <c r="BO489" s="51"/>
      <c r="BP489" s="51"/>
      <c r="BQ489" s="51"/>
      <c r="BR489" s="51"/>
      <c r="BS489" s="51"/>
      <c r="BT489" s="51"/>
      <c r="BU489" s="51"/>
      <c r="BV489" s="51"/>
      <c r="BW489" s="51"/>
      <c r="BX489" s="51"/>
      <c r="BY489" s="51"/>
      <c r="BZ489" s="51"/>
      <c r="CA489" s="51"/>
      <c r="CB489" s="51"/>
      <c r="CC489" s="51"/>
      <c r="CD489" s="51"/>
      <c r="CE489" s="51"/>
      <c r="CF489" s="51"/>
      <c r="CG489" s="51"/>
      <c r="CH489" s="51"/>
      <c r="CI489" s="51"/>
      <c r="CJ489" s="51"/>
      <c r="CK489" s="51"/>
      <c r="CL489" s="51"/>
      <c r="CM489" s="51"/>
      <c r="CN489" s="51"/>
      <c r="CO489" s="51"/>
      <c r="CP489" s="51"/>
      <c r="CQ489" s="51"/>
      <c r="CR489" s="51"/>
      <c r="CS489" s="51"/>
      <c r="CT489" s="51"/>
      <c r="CU489" s="51"/>
      <c r="CV489" s="51"/>
      <c r="CW489" s="51"/>
      <c r="CX489" s="51"/>
      <c r="CY489" s="51"/>
      <c r="CZ489" s="51"/>
      <c r="DA489" s="51"/>
      <c r="DB489" s="51"/>
      <c r="DC489" s="51"/>
      <c r="DD489" s="51"/>
      <c r="DE489" s="51"/>
      <c r="DF489" s="51"/>
      <c r="DG489" s="51"/>
      <c r="DH489" s="51"/>
      <c r="DI489" s="51"/>
      <c r="DJ489" s="51"/>
      <c r="DK489" s="51"/>
      <c r="DL489" s="51"/>
      <c r="DM489" s="51"/>
      <c r="DN489" s="51"/>
      <c r="DO489" s="51"/>
      <c r="DP489" s="51"/>
      <c r="DQ489" s="51"/>
      <c r="DR489" s="51"/>
      <c r="DS489" s="51"/>
      <c r="DT489" s="51"/>
      <c r="DU489" s="51"/>
      <c r="DV489" s="51"/>
      <c r="DW489" s="51"/>
      <c r="DX489" s="51"/>
      <c r="DY489" s="51"/>
      <c r="DZ489" s="51"/>
      <c r="EA489" s="51"/>
      <c r="EB489" s="51"/>
      <c r="EC489" s="51"/>
      <c r="ED489" s="51"/>
      <c r="EE489" s="51"/>
      <c r="EF489" s="51"/>
      <c r="EG489" s="51"/>
      <c r="EH489" s="51"/>
      <c r="EI489" s="51"/>
      <c r="EJ489" s="51"/>
      <c r="EK489" s="51"/>
      <c r="EL489" s="51"/>
      <c r="EM489" s="51"/>
      <c r="EN489" s="51"/>
      <c r="EO489" s="51"/>
      <c r="EP489" s="51"/>
      <c r="EQ489" s="51"/>
      <c r="ER489" s="51"/>
      <c r="ES489" s="51"/>
      <c r="ET489" s="51"/>
      <c r="EU489" s="51"/>
      <c r="EV489" s="51"/>
      <c r="EW489" s="51"/>
      <c r="EX489" s="51"/>
      <c r="EY489" s="51"/>
      <c r="EZ489" s="51"/>
      <c r="FA489" s="51"/>
      <c r="FB489" s="51"/>
      <c r="FC489" s="51"/>
      <c r="FD489" s="51"/>
      <c r="FE489" s="51"/>
      <c r="FF489" s="51"/>
      <c r="FG489" s="51"/>
      <c r="FH489" s="51"/>
      <c r="FI489" s="51"/>
      <c r="FJ489" s="51"/>
      <c r="FK489" s="51"/>
      <c r="FL489" s="51"/>
      <c r="FM489" s="51"/>
      <c r="FN489" s="51"/>
      <c r="FO489" s="51"/>
      <c r="FP489" s="51"/>
      <c r="FQ489" s="51"/>
      <c r="FR489" s="51"/>
      <c r="FS489" s="51"/>
      <c r="FT489" s="51"/>
      <c r="FU489" s="51"/>
      <c r="FV489" s="51"/>
      <c r="FW489" s="51"/>
      <c r="FX489" s="51"/>
      <c r="FY489" s="51"/>
      <c r="FZ489" s="51"/>
      <c r="GA489" s="51"/>
      <c r="GB489" s="51"/>
      <c r="GC489" s="51"/>
      <c r="GD489" s="51"/>
      <c r="GE489" s="51"/>
      <c r="GF489" s="51"/>
      <c r="GG489" s="51"/>
      <c r="GH489" s="51"/>
      <c r="GI489" s="51"/>
      <c r="GJ489" s="51"/>
      <c r="GK489" s="51"/>
      <c r="GL489" s="51"/>
      <c r="GM489" s="51"/>
      <c r="GN489" s="51"/>
      <c r="GO489" s="51"/>
      <c r="GP489" s="51"/>
      <c r="GQ489" s="51"/>
      <c r="GR489" s="51"/>
      <c r="GS489" s="51"/>
      <c r="GT489" s="51"/>
      <c r="GU489" s="51"/>
      <c r="GV489" s="51"/>
      <c r="GW489" s="51"/>
      <c r="GX489" s="51"/>
      <c r="GY489" s="51"/>
      <c r="GZ489" s="51"/>
      <c r="HA489" s="51"/>
      <c r="HB489" s="51"/>
      <c r="HC489" s="51"/>
      <c r="HD489" s="51"/>
      <c r="HE489" s="51"/>
      <c r="HF489" s="51"/>
      <c r="HG489" s="51"/>
      <c r="HH489" s="51"/>
      <c r="HI489" s="51"/>
      <c r="HJ489" s="51"/>
      <c r="HK489" s="51"/>
      <c r="HL489" s="51"/>
      <c r="HM489" s="51"/>
      <c r="HN489" s="51"/>
      <c r="HO489" s="51"/>
      <c r="HP489" s="51"/>
      <c r="HQ489" s="51"/>
      <c r="HR489" s="51"/>
      <c r="HS489" s="51"/>
      <c r="HT489" s="51"/>
      <c r="HU489" s="51"/>
      <c r="HV489" s="51"/>
      <c r="HW489" s="51"/>
      <c r="HX489" s="51"/>
      <c r="HY489" s="51"/>
      <c r="HZ489" s="51"/>
      <c r="IA489" s="51"/>
      <c r="IB489" s="51"/>
      <c r="IC489" s="51"/>
      <c r="ID489" s="51"/>
      <c r="IE489" s="51"/>
      <c r="IF489" s="51"/>
      <c r="IG489" s="51"/>
      <c r="IH489" s="51"/>
      <c r="II489" s="51"/>
      <c r="IJ489" s="51"/>
      <c r="IK489" s="51"/>
      <c r="IL489" s="51"/>
      <c r="IM489" s="51"/>
      <c r="IN489" s="51"/>
      <c r="IO489" s="51"/>
      <c r="IP489" s="51"/>
      <c r="IQ489" s="51"/>
      <c r="IR489" s="51"/>
      <c r="IS489" s="51"/>
      <c r="IT489" s="51"/>
      <c r="IU489" s="51"/>
      <c r="IV489" s="51"/>
    </row>
    <row r="490" hidden="1">
      <c r="B490" s="829" t="s">
        <v>12</v>
      </c>
      <c r="C490" s="823">
        <v>0</v>
      </c>
      <c r="D490" s="823">
        <v>0</v>
      </c>
      <c r="E490" s="823">
        <v>0</v>
      </c>
      <c r="F490" s="823">
        <v>0</v>
      </c>
      <c r="G490" s="823">
        <v>0</v>
      </c>
      <c r="H490" s="823">
        <v>0</v>
      </c>
      <c r="I490" s="823">
        <v>0</v>
      </c>
      <c r="J490" s="823">
        <v>0</v>
      </c>
      <c r="K490" s="823">
        <v>0</v>
      </c>
      <c r="L490" s="823">
        <v>0</v>
      </c>
      <c r="M490" s="823">
        <v>0</v>
      </c>
      <c r="N490" s="823">
        <v>0</v>
      </c>
      <c r="O490" s="823">
        <v>0</v>
      </c>
      <c r="P490" s="823">
        <v>0</v>
      </c>
      <c r="Q490" s="823">
        <v>0</v>
      </c>
      <c r="R490" s="823">
        <v>0</v>
      </c>
      <c r="S490" s="823">
        <v>0</v>
      </c>
      <c r="T490" s="823">
        <v>0</v>
      </c>
      <c r="U490" s="823">
        <v>1</v>
      </c>
      <c r="V490" s="823">
        <v>1</v>
      </c>
      <c r="W490" s="823">
        <v>3</v>
      </c>
      <c r="X490" s="823">
        <v>3</v>
      </c>
      <c r="Y490" s="823">
        <v>6</v>
      </c>
      <c r="Z490" s="823">
        <v>7</v>
      </c>
      <c r="AA490" s="823">
        <v>8</v>
      </c>
      <c r="AB490" s="823">
        <v>10</v>
      </c>
      <c r="AC490" s="825">
        <v>13</v>
      </c>
      <c r="AD490" s="825">
        <v>15</v>
      </c>
      <c r="AE490" s="825">
        <v>19</v>
      </c>
      <c r="AF490" s="825">
        <v>19</v>
      </c>
      <c r="AG490" s="825">
        <v>22</v>
      </c>
      <c r="AH490" s="825">
        <v>22</v>
      </c>
      <c r="AI490" s="825">
        <v>24</v>
      </c>
      <c r="AJ490" s="825">
        <v>24</v>
      </c>
      <c r="AK490" s="825">
        <v>22</v>
      </c>
      <c r="AL490" s="825">
        <v>24</v>
      </c>
      <c r="AM490" s="825">
        <v>26</v>
      </c>
      <c r="AN490" s="825">
        <v>29</v>
      </c>
      <c r="AO490" s="825">
        <v>30</v>
      </c>
      <c r="AP490" s="825">
        <v>30</v>
      </c>
      <c r="AQ490" s="51"/>
      <c r="AR490" s="51"/>
      <c r="AS490" s="51"/>
      <c r="AT490" s="51"/>
      <c r="AU490" s="51"/>
      <c r="AV490" s="51"/>
      <c r="AW490" s="51"/>
      <c r="AX490" s="51"/>
      <c r="AY490" s="51"/>
      <c r="AZ490" s="51"/>
      <c r="BA490" s="51"/>
      <c r="BB490" s="51"/>
      <c r="BC490" s="51"/>
      <c r="BD490" s="51"/>
      <c r="BE490" s="51"/>
      <c r="BF490" s="51"/>
      <c r="BG490" s="51"/>
      <c r="BH490" s="51"/>
      <c r="BI490" s="51"/>
      <c r="BJ490" s="51"/>
      <c r="BK490" s="51"/>
      <c r="BL490" s="51"/>
      <c r="BM490" s="51"/>
      <c r="BN490" s="51"/>
      <c r="BO490" s="51"/>
      <c r="BP490" s="51"/>
      <c r="BQ490" s="51"/>
      <c r="BR490" s="51"/>
      <c r="BS490" s="51"/>
      <c r="BT490" s="51"/>
      <c r="BU490" s="51"/>
      <c r="BV490" s="51"/>
      <c r="BW490" s="51"/>
      <c r="BX490" s="51"/>
      <c r="BY490" s="51"/>
      <c r="BZ490" s="51"/>
      <c r="CA490" s="51"/>
      <c r="CB490" s="51"/>
      <c r="CC490" s="51"/>
      <c r="CD490" s="51"/>
      <c r="CE490" s="51"/>
      <c r="CF490" s="51"/>
      <c r="CG490" s="51"/>
      <c r="CH490" s="51"/>
      <c r="CI490" s="51"/>
      <c r="CJ490" s="51"/>
      <c r="CK490" s="51"/>
      <c r="CL490" s="51"/>
      <c r="CM490" s="51"/>
      <c r="CN490" s="51"/>
      <c r="CO490" s="51"/>
      <c r="CP490" s="51"/>
      <c r="CQ490" s="51"/>
      <c r="CR490" s="51"/>
      <c r="CS490" s="51"/>
      <c r="CT490" s="51"/>
      <c r="CU490" s="51"/>
      <c r="CV490" s="51"/>
      <c r="CW490" s="51"/>
      <c r="CX490" s="51"/>
      <c r="CY490" s="51"/>
      <c r="CZ490" s="51"/>
      <c r="DA490" s="51"/>
      <c r="DB490" s="51"/>
      <c r="DC490" s="51"/>
      <c r="DD490" s="51"/>
      <c r="DE490" s="51"/>
      <c r="DF490" s="51"/>
      <c r="DG490" s="51"/>
      <c r="DH490" s="51"/>
      <c r="DI490" s="51"/>
      <c r="DJ490" s="51"/>
      <c r="DK490" s="51"/>
      <c r="DL490" s="51"/>
      <c r="DM490" s="51"/>
      <c r="DN490" s="51"/>
      <c r="DO490" s="51"/>
      <c r="DP490" s="51"/>
      <c r="DQ490" s="51"/>
      <c r="DR490" s="51"/>
      <c r="DS490" s="51"/>
      <c r="DT490" s="51"/>
      <c r="DU490" s="51"/>
      <c r="DV490" s="51"/>
      <c r="DW490" s="51"/>
      <c r="DX490" s="51"/>
      <c r="DY490" s="51"/>
      <c r="DZ490" s="51"/>
      <c r="EA490" s="51"/>
      <c r="EB490" s="51"/>
      <c r="EC490" s="51"/>
      <c r="ED490" s="51"/>
      <c r="EE490" s="51"/>
      <c r="EF490" s="51"/>
      <c r="EG490" s="51"/>
      <c r="EH490" s="51"/>
      <c r="EI490" s="51"/>
      <c r="EJ490" s="51"/>
      <c r="EK490" s="51"/>
      <c r="EL490" s="51"/>
      <c r="EM490" s="51"/>
      <c r="EN490" s="51"/>
      <c r="EO490" s="51"/>
      <c r="EP490" s="51"/>
      <c r="EQ490" s="51"/>
      <c r="ER490" s="51"/>
      <c r="ES490" s="51"/>
      <c r="ET490" s="51"/>
      <c r="EU490" s="51"/>
      <c r="EV490" s="51"/>
      <c r="EW490" s="51"/>
      <c r="EX490" s="51"/>
      <c r="EY490" s="51"/>
      <c r="EZ490" s="51"/>
      <c r="FA490" s="51"/>
      <c r="FB490" s="51"/>
      <c r="FC490" s="51"/>
      <c r="FD490" s="51"/>
      <c r="FE490" s="51"/>
      <c r="FF490" s="51"/>
      <c r="FG490" s="51"/>
      <c r="FH490" s="51"/>
      <c r="FI490" s="51"/>
      <c r="FJ490" s="51"/>
      <c r="FK490" s="51"/>
      <c r="FL490" s="51"/>
      <c r="FM490" s="51"/>
      <c r="FN490" s="51"/>
      <c r="FO490" s="51"/>
      <c r="FP490" s="51"/>
      <c r="FQ490" s="51"/>
      <c r="FR490" s="51"/>
      <c r="FS490" s="51"/>
      <c r="FT490" s="51"/>
      <c r="FU490" s="51"/>
      <c r="FV490" s="51"/>
      <c r="FW490" s="51"/>
      <c r="FX490" s="51"/>
      <c r="FY490" s="51"/>
      <c r="FZ490" s="51"/>
      <c r="GA490" s="51"/>
      <c r="GB490" s="51"/>
      <c r="GC490" s="51"/>
      <c r="GD490" s="51"/>
      <c r="GE490" s="51"/>
      <c r="GF490" s="51"/>
      <c r="GG490" s="51"/>
      <c r="GH490" s="51"/>
      <c r="GI490" s="51"/>
      <c r="GJ490" s="51"/>
      <c r="GK490" s="51"/>
      <c r="GL490" s="51"/>
      <c r="GM490" s="51"/>
      <c r="GN490" s="51"/>
      <c r="GO490" s="51"/>
      <c r="GP490" s="51"/>
      <c r="GQ490" s="51"/>
      <c r="GR490" s="51"/>
      <c r="GS490" s="51"/>
      <c r="GT490" s="51"/>
      <c r="GU490" s="51"/>
      <c r="GV490" s="51"/>
      <c r="GW490" s="51"/>
      <c r="GX490" s="51"/>
      <c r="GY490" s="51"/>
      <c r="GZ490" s="51"/>
      <c r="HA490" s="51"/>
      <c r="HB490" s="51"/>
      <c r="HC490" s="51"/>
      <c r="HD490" s="51"/>
      <c r="HE490" s="51"/>
      <c r="HF490" s="51"/>
      <c r="HG490" s="51"/>
      <c r="HH490" s="51"/>
      <c r="HI490" s="51"/>
      <c r="HJ490" s="51"/>
      <c r="HK490" s="51"/>
      <c r="HL490" s="51"/>
      <c r="HM490" s="51"/>
      <c r="HN490" s="51"/>
      <c r="HO490" s="51"/>
      <c r="HP490" s="51"/>
      <c r="HQ490" s="51"/>
      <c r="HR490" s="51"/>
      <c r="HS490" s="51"/>
      <c r="HT490" s="51"/>
      <c r="HU490" s="51"/>
      <c r="HV490" s="51"/>
      <c r="HW490" s="51"/>
      <c r="HX490" s="51"/>
      <c r="HY490" s="51"/>
      <c r="HZ490" s="51"/>
      <c r="IA490" s="51"/>
      <c r="IB490" s="51"/>
      <c r="IC490" s="51"/>
      <c r="ID490" s="51"/>
      <c r="IE490" s="51"/>
      <c r="IF490" s="51"/>
      <c r="IG490" s="51"/>
      <c r="IH490" s="51"/>
      <c r="II490" s="51"/>
      <c r="IJ490" s="51"/>
      <c r="IK490" s="51"/>
      <c r="IL490" s="51"/>
      <c r="IM490" s="51"/>
      <c r="IN490" s="51"/>
      <c r="IO490" s="51"/>
      <c r="IP490" s="51"/>
      <c r="IQ490" s="51"/>
      <c r="IR490" s="51"/>
      <c r="IS490" s="51"/>
      <c r="IT490" s="51"/>
      <c r="IU490" s="51"/>
      <c r="IV490" s="51"/>
    </row>
    <row r="491" hidden="1">
      <c r="B491" s="826" t="s">
        <v>13</v>
      </c>
      <c r="C491" s="827">
        <v>0</v>
      </c>
      <c r="D491" s="827">
        <v>0</v>
      </c>
      <c r="E491" s="827">
        <v>0</v>
      </c>
      <c r="F491" s="827">
        <v>0</v>
      </c>
      <c r="G491" s="827">
        <v>0</v>
      </c>
      <c r="H491" s="827">
        <v>0</v>
      </c>
      <c r="I491" s="827">
        <v>0</v>
      </c>
      <c r="J491" s="827">
        <v>0</v>
      </c>
      <c r="K491" s="827">
        <v>0</v>
      </c>
      <c r="L491" s="827">
        <v>0</v>
      </c>
      <c r="M491" s="827">
        <v>0</v>
      </c>
      <c r="N491" s="827">
        <v>0</v>
      </c>
      <c r="O491" s="827">
        <v>0</v>
      </c>
      <c r="P491" s="827">
        <v>819</v>
      </c>
      <c r="Q491" s="827">
        <v>928</v>
      </c>
      <c r="R491" s="827">
        <v>894</v>
      </c>
      <c r="S491" s="827">
        <v>899</v>
      </c>
      <c r="T491" s="827">
        <v>908</v>
      </c>
      <c r="U491" s="827">
        <v>865</v>
      </c>
      <c r="V491" s="827">
        <v>844</v>
      </c>
      <c r="W491" s="827">
        <v>840</v>
      </c>
      <c r="X491" s="827">
        <v>868</v>
      </c>
      <c r="Y491" s="827">
        <v>716</v>
      </c>
      <c r="Z491" s="827">
        <v>673</v>
      </c>
      <c r="AA491" s="827">
        <v>607</v>
      </c>
      <c r="AB491" s="827">
        <v>639</v>
      </c>
      <c r="AC491" s="828">
        <v>615</v>
      </c>
      <c r="AD491" s="828">
        <v>621</v>
      </c>
      <c r="AE491" s="828">
        <v>586</v>
      </c>
      <c r="AF491" s="828">
        <v>617</v>
      </c>
      <c r="AG491" s="828">
        <v>610</v>
      </c>
      <c r="AH491" s="828">
        <v>650</v>
      </c>
      <c r="AI491" s="828">
        <v>648</v>
      </c>
      <c r="AJ491" s="828">
        <v>669</v>
      </c>
      <c r="AK491" s="828">
        <v>653</v>
      </c>
      <c r="AL491" s="828">
        <v>665</v>
      </c>
      <c r="AM491" s="828">
        <v>634</v>
      </c>
      <c r="AN491" s="828">
        <v>670</v>
      </c>
      <c r="AO491" s="828">
        <v>674</v>
      </c>
      <c r="AP491" s="828">
        <v>749</v>
      </c>
      <c r="AQ491" s="51"/>
      <c r="AR491" s="51"/>
      <c r="AS491" s="51"/>
      <c r="AT491" s="51"/>
      <c r="AU491" s="51"/>
      <c r="AV491" s="51"/>
      <c r="AW491" s="51"/>
      <c r="AX491" s="51"/>
      <c r="AY491" s="51"/>
      <c r="AZ491" s="51"/>
      <c r="BA491" s="51"/>
      <c r="BB491" s="51"/>
      <c r="BC491" s="51"/>
      <c r="BD491" s="51"/>
      <c r="BE491" s="51"/>
      <c r="BF491" s="51"/>
      <c r="BG491" s="51"/>
      <c r="BH491" s="51"/>
      <c r="BI491" s="51"/>
      <c r="BJ491" s="51"/>
      <c r="BK491" s="51"/>
      <c r="BL491" s="51"/>
      <c r="BM491" s="51"/>
      <c r="BN491" s="51"/>
      <c r="BO491" s="51"/>
      <c r="BP491" s="51"/>
      <c r="BQ491" s="51"/>
      <c r="BR491" s="51"/>
      <c r="BS491" s="51"/>
      <c r="BT491" s="51"/>
      <c r="BU491" s="51"/>
      <c r="BV491" s="51"/>
      <c r="BW491" s="51"/>
      <c r="BX491" s="51"/>
      <c r="BY491" s="51"/>
      <c r="BZ491" s="51"/>
      <c r="CA491" s="51"/>
      <c r="CB491" s="51"/>
      <c r="CC491" s="51"/>
      <c r="CD491" s="51"/>
      <c r="CE491" s="51"/>
      <c r="CF491" s="51"/>
      <c r="CG491" s="51"/>
      <c r="CH491" s="51"/>
      <c r="CI491" s="51"/>
      <c r="CJ491" s="51"/>
      <c r="CK491" s="51"/>
      <c r="CL491" s="51"/>
      <c r="CM491" s="51"/>
      <c r="CN491" s="51"/>
      <c r="CO491" s="51"/>
      <c r="CP491" s="51"/>
      <c r="CQ491" s="51"/>
      <c r="CR491" s="51"/>
      <c r="CS491" s="51"/>
      <c r="CT491" s="51"/>
      <c r="CU491" s="51"/>
      <c r="CV491" s="51"/>
      <c r="CW491" s="51"/>
      <c r="CX491" s="51"/>
      <c r="CY491" s="51"/>
      <c r="CZ491" s="51"/>
      <c r="DA491" s="51"/>
      <c r="DB491" s="51"/>
      <c r="DC491" s="51"/>
      <c r="DD491" s="51"/>
      <c r="DE491" s="51"/>
      <c r="DF491" s="51"/>
      <c r="DG491" s="51"/>
      <c r="DH491" s="51"/>
      <c r="DI491" s="51"/>
      <c r="DJ491" s="51"/>
      <c r="DK491" s="51"/>
      <c r="DL491" s="51"/>
      <c r="DM491" s="51"/>
      <c r="DN491" s="51"/>
      <c r="DO491" s="51"/>
      <c r="DP491" s="51"/>
      <c r="DQ491" s="51"/>
      <c r="DR491" s="51"/>
      <c r="DS491" s="51"/>
      <c r="DT491" s="51"/>
      <c r="DU491" s="51"/>
      <c r="DV491" s="51"/>
      <c r="DW491" s="51"/>
      <c r="DX491" s="51"/>
      <c r="DY491" s="51"/>
      <c r="DZ491" s="51"/>
      <c r="EA491" s="51"/>
      <c r="EB491" s="51"/>
      <c r="EC491" s="51"/>
      <c r="ED491" s="51"/>
      <c r="EE491" s="51"/>
      <c r="EF491" s="51"/>
      <c r="EG491" s="51"/>
      <c r="EH491" s="51"/>
      <c r="EI491" s="51"/>
      <c r="EJ491" s="51"/>
      <c r="EK491" s="51"/>
      <c r="EL491" s="51"/>
      <c r="EM491" s="51"/>
      <c r="EN491" s="51"/>
      <c r="EO491" s="51"/>
      <c r="EP491" s="51"/>
      <c r="EQ491" s="51"/>
      <c r="ER491" s="51"/>
      <c r="ES491" s="51"/>
      <c r="ET491" s="51"/>
      <c r="EU491" s="51"/>
      <c r="EV491" s="51"/>
      <c r="EW491" s="51"/>
      <c r="EX491" s="51"/>
      <c r="EY491" s="51"/>
      <c r="EZ491" s="51"/>
      <c r="FA491" s="51"/>
      <c r="FB491" s="51"/>
      <c r="FC491" s="51"/>
      <c r="FD491" s="51"/>
      <c r="FE491" s="51"/>
      <c r="FF491" s="51"/>
      <c r="FG491" s="51"/>
      <c r="FH491" s="51"/>
      <c r="FI491" s="51"/>
      <c r="FJ491" s="51"/>
      <c r="FK491" s="51"/>
      <c r="FL491" s="51"/>
      <c r="FM491" s="51"/>
      <c r="FN491" s="51"/>
      <c r="FO491" s="51"/>
      <c r="FP491" s="51"/>
      <c r="FQ491" s="51"/>
      <c r="FR491" s="51"/>
      <c r="FS491" s="51"/>
      <c r="FT491" s="51"/>
      <c r="FU491" s="51"/>
      <c r="FV491" s="51"/>
      <c r="FW491" s="51"/>
      <c r="FX491" s="51"/>
      <c r="FY491" s="51"/>
      <c r="FZ491" s="51"/>
      <c r="GA491" s="51"/>
      <c r="GB491" s="51"/>
      <c r="GC491" s="51"/>
      <c r="GD491" s="51"/>
      <c r="GE491" s="51"/>
      <c r="GF491" s="51"/>
      <c r="GG491" s="51"/>
      <c r="GH491" s="51"/>
      <c r="GI491" s="51"/>
      <c r="GJ491" s="51"/>
      <c r="GK491" s="51"/>
      <c r="GL491" s="51"/>
      <c r="GM491" s="51"/>
      <c r="GN491" s="51"/>
      <c r="GO491" s="51"/>
      <c r="GP491" s="51"/>
      <c r="GQ491" s="51"/>
      <c r="GR491" s="51"/>
      <c r="GS491" s="51"/>
      <c r="GT491" s="51"/>
      <c r="GU491" s="51"/>
      <c r="GV491" s="51"/>
      <c r="GW491" s="51"/>
      <c r="GX491" s="51"/>
      <c r="GY491" s="51"/>
      <c r="GZ491" s="51"/>
      <c r="HA491" s="51"/>
      <c r="HB491" s="51"/>
      <c r="HC491" s="51"/>
      <c r="HD491" s="51"/>
      <c r="HE491" s="51"/>
      <c r="HF491" s="51"/>
      <c r="HG491" s="51"/>
      <c r="HH491" s="51"/>
      <c r="HI491" s="51"/>
      <c r="HJ491" s="51"/>
      <c r="HK491" s="51"/>
      <c r="HL491" s="51"/>
      <c r="HM491" s="51"/>
      <c r="HN491" s="51"/>
      <c r="HO491" s="51"/>
      <c r="HP491" s="51"/>
      <c r="HQ491" s="51"/>
      <c r="HR491" s="51"/>
      <c r="HS491" s="51"/>
      <c r="HT491" s="51"/>
      <c r="HU491" s="51"/>
      <c r="HV491" s="51"/>
      <c r="HW491" s="51"/>
      <c r="HX491" s="51"/>
      <c r="HY491" s="51"/>
      <c r="HZ491" s="51"/>
      <c r="IA491" s="51"/>
      <c r="IB491" s="51"/>
      <c r="IC491" s="51"/>
      <c r="ID491" s="51"/>
      <c r="IE491" s="51"/>
      <c r="IF491" s="51"/>
      <c r="IG491" s="51"/>
      <c r="IH491" s="51"/>
      <c r="II491" s="51"/>
      <c r="IJ491" s="51"/>
      <c r="IK491" s="51"/>
      <c r="IL491" s="51"/>
      <c r="IM491" s="51"/>
      <c r="IN491" s="51"/>
      <c r="IO491" s="51"/>
      <c r="IP491" s="51"/>
      <c r="IQ491" s="51"/>
      <c r="IR491" s="51"/>
      <c r="IS491" s="51"/>
      <c r="IT491" s="51"/>
      <c r="IU491" s="51"/>
      <c r="IV491" s="51"/>
    </row>
    <row r="492" hidden="1">
      <c r="B492" s="829" t="s">
        <v>109</v>
      </c>
      <c r="C492" s="823">
        <v>0</v>
      </c>
      <c r="D492" s="823">
        <v>0</v>
      </c>
      <c r="E492" s="823">
        <v>0</v>
      </c>
      <c r="F492" s="823">
        <v>0</v>
      </c>
      <c r="G492" s="823">
        <v>0</v>
      </c>
      <c r="H492" s="823">
        <v>0</v>
      </c>
      <c r="I492" s="823">
        <v>0</v>
      </c>
      <c r="J492" s="823">
        <v>0</v>
      </c>
      <c r="K492" s="823">
        <v>0</v>
      </c>
      <c r="L492" s="823">
        <v>0</v>
      </c>
      <c r="M492" s="823">
        <v>0</v>
      </c>
      <c r="N492" s="823">
        <v>0</v>
      </c>
      <c r="O492" s="823">
        <v>0</v>
      </c>
      <c r="P492" s="823">
        <v>910</v>
      </c>
      <c r="Q492" s="823">
        <v>893</v>
      </c>
      <c r="R492" s="823">
        <v>807</v>
      </c>
      <c r="S492" s="823">
        <v>13</v>
      </c>
      <c r="T492" s="823">
        <v>14</v>
      </c>
      <c r="U492" s="823">
        <v>16</v>
      </c>
      <c r="V492" s="823">
        <v>16</v>
      </c>
      <c r="W492" s="823">
        <v>18</v>
      </c>
      <c r="X492" s="823">
        <v>19</v>
      </c>
      <c r="Y492" s="823">
        <v>20</v>
      </c>
      <c r="Z492" s="823">
        <v>22</v>
      </c>
      <c r="AA492" s="823">
        <v>23</v>
      </c>
      <c r="AB492" s="823">
        <v>24</v>
      </c>
      <c r="AC492" s="825">
        <v>27</v>
      </c>
      <c r="AD492" s="825">
        <v>28</v>
      </c>
      <c r="AE492" s="825">
        <v>31</v>
      </c>
      <c r="AF492" s="825">
        <v>32</v>
      </c>
      <c r="AG492" s="825">
        <v>33</v>
      </c>
      <c r="AH492" s="825">
        <v>33</v>
      </c>
      <c r="AI492" s="825">
        <v>33</v>
      </c>
      <c r="AJ492" s="825">
        <v>35</v>
      </c>
      <c r="AK492" s="825">
        <v>41</v>
      </c>
      <c r="AL492" s="825">
        <v>43</v>
      </c>
      <c r="AM492" s="825">
        <v>45</v>
      </c>
      <c r="AN492" s="825">
        <v>46</v>
      </c>
      <c r="AO492" s="825">
        <v>54</v>
      </c>
      <c r="AP492" s="825">
        <v>56</v>
      </c>
      <c r="AQ492" s="51"/>
      <c r="AR492" s="51"/>
      <c r="AS492" s="51"/>
      <c r="AT492" s="51"/>
      <c r="AU492" s="51"/>
      <c r="AV492" s="51"/>
      <c r="AW492" s="51"/>
      <c r="AX492" s="51"/>
      <c r="AY492" s="51"/>
      <c r="AZ492" s="51"/>
      <c r="BA492" s="51"/>
      <c r="BB492" s="51"/>
      <c r="BC492" s="51"/>
      <c r="BD492" s="51"/>
      <c r="BE492" s="51"/>
      <c r="BF492" s="51"/>
      <c r="BG492" s="51"/>
      <c r="BH492" s="51"/>
      <c r="BI492" s="51"/>
      <c r="BJ492" s="51"/>
      <c r="BK492" s="51"/>
      <c r="BL492" s="51"/>
      <c r="BM492" s="51"/>
      <c r="BN492" s="51"/>
      <c r="BO492" s="51"/>
      <c r="BP492" s="51"/>
      <c r="BQ492" s="51"/>
      <c r="BR492" s="51"/>
      <c r="BS492" s="51"/>
      <c r="BT492" s="51"/>
      <c r="BU492" s="51"/>
      <c r="BV492" s="51"/>
      <c r="BW492" s="51"/>
      <c r="BX492" s="51"/>
      <c r="BY492" s="51"/>
      <c r="BZ492" s="51"/>
      <c r="CA492" s="51"/>
      <c r="CB492" s="51"/>
      <c r="CC492" s="51"/>
      <c r="CD492" s="51"/>
      <c r="CE492" s="51"/>
      <c r="CF492" s="51"/>
      <c r="CG492" s="51"/>
      <c r="CH492" s="51"/>
      <c r="CI492" s="51"/>
      <c r="CJ492" s="51"/>
      <c r="CK492" s="51"/>
      <c r="CL492" s="51"/>
      <c r="CM492" s="51"/>
      <c r="CN492" s="51"/>
      <c r="CO492" s="51"/>
      <c r="CP492" s="51"/>
      <c r="CQ492" s="51"/>
      <c r="CR492" s="51"/>
      <c r="CS492" s="51"/>
      <c r="CT492" s="51"/>
      <c r="CU492" s="51"/>
      <c r="CV492" s="51"/>
      <c r="CW492" s="51"/>
      <c r="CX492" s="51"/>
      <c r="CY492" s="51"/>
      <c r="CZ492" s="51"/>
      <c r="DA492" s="51"/>
      <c r="DB492" s="51"/>
      <c r="DC492" s="51"/>
      <c r="DD492" s="51"/>
      <c r="DE492" s="51"/>
      <c r="DF492" s="51"/>
      <c r="DG492" s="51"/>
      <c r="DH492" s="51"/>
      <c r="DI492" s="51"/>
      <c r="DJ492" s="51"/>
      <c r="DK492" s="51"/>
      <c r="DL492" s="51"/>
      <c r="DM492" s="51"/>
      <c r="DN492" s="51"/>
      <c r="DO492" s="51"/>
      <c r="DP492" s="51"/>
      <c r="DQ492" s="51"/>
      <c r="DR492" s="51"/>
      <c r="DS492" s="51"/>
      <c r="DT492" s="51"/>
      <c r="DU492" s="51"/>
      <c r="DV492" s="51"/>
      <c r="DW492" s="51"/>
      <c r="DX492" s="51"/>
      <c r="DY492" s="51"/>
      <c r="DZ492" s="51"/>
      <c r="EA492" s="51"/>
      <c r="EB492" s="51"/>
      <c r="EC492" s="51"/>
      <c r="ED492" s="51"/>
      <c r="EE492" s="51"/>
      <c r="EF492" s="51"/>
      <c r="EG492" s="51"/>
      <c r="EH492" s="51"/>
      <c r="EI492" s="51"/>
      <c r="EJ492" s="51"/>
      <c r="EK492" s="51"/>
      <c r="EL492" s="51"/>
      <c r="EM492" s="51"/>
      <c r="EN492" s="51"/>
      <c r="EO492" s="51"/>
      <c r="EP492" s="51"/>
      <c r="EQ492" s="51"/>
      <c r="ER492" s="51"/>
      <c r="ES492" s="51"/>
      <c r="ET492" s="51"/>
      <c r="EU492" s="51"/>
      <c r="EV492" s="51"/>
      <c r="EW492" s="51"/>
      <c r="EX492" s="51"/>
      <c r="EY492" s="51"/>
      <c r="EZ492" s="51"/>
      <c r="FA492" s="51"/>
      <c r="FB492" s="51"/>
      <c r="FC492" s="51"/>
      <c r="FD492" s="51"/>
      <c r="FE492" s="51"/>
      <c r="FF492" s="51"/>
      <c r="FG492" s="51"/>
      <c r="FH492" s="51"/>
      <c r="FI492" s="51"/>
      <c r="FJ492" s="51"/>
      <c r="FK492" s="51"/>
      <c r="FL492" s="51"/>
      <c r="FM492" s="51"/>
      <c r="FN492" s="51"/>
      <c r="FO492" s="51"/>
      <c r="FP492" s="51"/>
      <c r="FQ492" s="51"/>
      <c r="FR492" s="51"/>
      <c r="FS492" s="51"/>
      <c r="FT492" s="51"/>
      <c r="FU492" s="51"/>
      <c r="FV492" s="51"/>
      <c r="FW492" s="51"/>
      <c r="FX492" s="51"/>
      <c r="FY492" s="51"/>
      <c r="FZ492" s="51"/>
      <c r="GA492" s="51"/>
      <c r="GB492" s="51"/>
      <c r="GC492" s="51"/>
      <c r="GD492" s="51"/>
      <c r="GE492" s="51"/>
      <c r="GF492" s="51"/>
      <c r="GG492" s="51"/>
      <c r="GH492" s="51"/>
      <c r="GI492" s="51"/>
      <c r="GJ492" s="51"/>
      <c r="GK492" s="51"/>
      <c r="GL492" s="51"/>
      <c r="GM492" s="51"/>
      <c r="GN492" s="51"/>
      <c r="GO492" s="51"/>
      <c r="GP492" s="51"/>
      <c r="GQ492" s="51"/>
      <c r="GR492" s="51"/>
      <c r="GS492" s="51"/>
      <c r="GT492" s="51"/>
      <c r="GU492" s="51"/>
      <c r="GV492" s="51"/>
      <c r="GW492" s="51"/>
      <c r="GX492" s="51"/>
      <c r="GY492" s="51"/>
      <c r="GZ492" s="51"/>
      <c r="HA492" s="51"/>
      <c r="HB492" s="51"/>
      <c r="HC492" s="51"/>
      <c r="HD492" s="51"/>
      <c r="HE492" s="51"/>
      <c r="HF492" s="51"/>
      <c r="HG492" s="51"/>
      <c r="HH492" s="51"/>
      <c r="HI492" s="51"/>
      <c r="HJ492" s="51"/>
      <c r="HK492" s="51"/>
      <c r="HL492" s="51"/>
      <c r="HM492" s="51"/>
      <c r="HN492" s="51"/>
      <c r="HO492" s="51"/>
      <c r="HP492" s="51"/>
      <c r="HQ492" s="51"/>
      <c r="HR492" s="51"/>
      <c r="HS492" s="51"/>
      <c r="HT492" s="51"/>
      <c r="HU492" s="51"/>
      <c r="HV492" s="51"/>
      <c r="HW492" s="51"/>
      <c r="HX492" s="51"/>
      <c r="HY492" s="51"/>
      <c r="HZ492" s="51"/>
      <c r="IA492" s="51"/>
      <c r="IB492" s="51"/>
      <c r="IC492" s="51"/>
      <c r="ID492" s="51"/>
      <c r="IE492" s="51"/>
      <c r="IF492" s="51"/>
      <c r="IG492" s="51"/>
      <c r="IH492" s="51"/>
      <c r="II492" s="51"/>
      <c r="IJ492" s="51"/>
      <c r="IK492" s="51"/>
      <c r="IL492" s="51"/>
      <c r="IM492" s="51"/>
      <c r="IN492" s="51"/>
      <c r="IO492" s="51"/>
      <c r="IP492" s="51"/>
      <c r="IQ492" s="51"/>
      <c r="IR492" s="51"/>
      <c r="IS492" s="51"/>
      <c r="IT492" s="51"/>
      <c r="IU492" s="51"/>
      <c r="IV492" s="51"/>
    </row>
    <row r="493" hidden="1">
      <c r="B493" s="826" t="s">
        <v>110</v>
      </c>
      <c r="C493" s="827">
        <v>0</v>
      </c>
      <c r="D493" s="827">
        <v>0</v>
      </c>
      <c r="E493" s="827">
        <v>0</v>
      </c>
      <c r="F493" s="827">
        <v>0</v>
      </c>
      <c r="G493" s="827">
        <v>0</v>
      </c>
      <c r="H493" s="827">
        <v>0</v>
      </c>
      <c r="I493" s="827">
        <v>0</v>
      </c>
      <c r="J493" s="827">
        <v>0</v>
      </c>
      <c r="K493" s="827">
        <v>0</v>
      </c>
      <c r="L493" s="827">
        <v>0</v>
      </c>
      <c r="M493" s="827">
        <v>0</v>
      </c>
      <c r="N493" s="827">
        <v>0</v>
      </c>
      <c r="O493" s="827">
        <v>0</v>
      </c>
      <c r="P493" s="827">
        <v>7149</v>
      </c>
      <c r="Q493" s="827">
        <v>7175</v>
      </c>
      <c r="R493" s="827">
        <v>7267</v>
      </c>
      <c r="S493" s="827">
        <v>7313</v>
      </c>
      <c r="T493" s="827">
        <v>7160</v>
      </c>
      <c r="U493" s="827">
        <v>6994</v>
      </c>
      <c r="V493" s="827">
        <v>7010</v>
      </c>
      <c r="W493" s="827">
        <v>6991</v>
      </c>
      <c r="X493" s="827">
        <v>6522</v>
      </c>
      <c r="Y493" s="827">
        <v>6446</v>
      </c>
      <c r="Z493" s="827">
        <v>6402</v>
      </c>
      <c r="AA493" s="827">
        <v>6304</v>
      </c>
      <c r="AB493" s="827">
        <v>6186</v>
      </c>
      <c r="AC493" s="828">
        <v>6124</v>
      </c>
      <c r="AD493" s="828">
        <v>6105</v>
      </c>
      <c r="AE493" s="828">
        <v>5985</v>
      </c>
      <c r="AF493" s="828">
        <v>5960</v>
      </c>
      <c r="AG493" s="828">
        <v>5921</v>
      </c>
      <c r="AH493" s="828">
        <v>5887</v>
      </c>
      <c r="AI493" s="828">
        <v>5792</v>
      </c>
      <c r="AJ493" s="828">
        <v>5757</v>
      </c>
      <c r="AK493" s="828">
        <v>6019</v>
      </c>
      <c r="AL493" s="828">
        <v>5997</v>
      </c>
      <c r="AM493" s="828">
        <v>5976</v>
      </c>
      <c r="AN493" s="828">
        <v>5872</v>
      </c>
      <c r="AO493" s="828">
        <v>5785</v>
      </c>
      <c r="AP493" s="828">
        <v>5759</v>
      </c>
      <c r="AQ493" s="51"/>
      <c r="AR493" s="51"/>
      <c r="AS493" s="51"/>
      <c r="AT493" s="51"/>
      <c r="AU493" s="51"/>
      <c r="AV493" s="51"/>
      <c r="AW493" s="51"/>
      <c r="AX493" s="51"/>
      <c r="AY493" s="51"/>
      <c r="AZ493" s="51"/>
      <c r="BA493" s="51"/>
      <c r="BB493" s="51"/>
      <c r="BC493" s="51"/>
      <c r="BD493" s="51"/>
      <c r="BE493" s="51"/>
      <c r="BF493" s="51"/>
      <c r="BG493" s="51"/>
      <c r="BH493" s="51"/>
      <c r="BI493" s="51"/>
      <c r="BJ493" s="51"/>
      <c r="BK493" s="51"/>
      <c r="BL493" s="51"/>
      <c r="BM493" s="51"/>
      <c r="BN493" s="51"/>
      <c r="BO493" s="51"/>
      <c r="BP493" s="51"/>
      <c r="BQ493" s="51"/>
      <c r="BR493" s="51"/>
      <c r="BS493" s="51"/>
      <c r="BT493" s="51"/>
      <c r="BU493" s="51"/>
      <c r="BV493" s="51"/>
      <c r="BW493" s="51"/>
      <c r="BX493" s="51"/>
      <c r="BY493" s="51"/>
      <c r="BZ493" s="51"/>
      <c r="CA493" s="51"/>
      <c r="CB493" s="51"/>
      <c r="CC493" s="51"/>
      <c r="CD493" s="51"/>
      <c r="CE493" s="51"/>
      <c r="CF493" s="51"/>
      <c r="CG493" s="51"/>
      <c r="CH493" s="51"/>
      <c r="CI493" s="51"/>
      <c r="CJ493" s="51"/>
      <c r="CK493" s="51"/>
      <c r="CL493" s="51"/>
      <c r="CM493" s="51"/>
      <c r="CN493" s="51"/>
      <c r="CO493" s="51"/>
      <c r="CP493" s="51"/>
      <c r="CQ493" s="51"/>
      <c r="CR493" s="51"/>
      <c r="CS493" s="51"/>
      <c r="CT493" s="51"/>
      <c r="CU493" s="51"/>
      <c r="CV493" s="51"/>
      <c r="CW493" s="51"/>
      <c r="CX493" s="51"/>
      <c r="CY493" s="51"/>
      <c r="CZ493" s="51"/>
      <c r="DA493" s="51"/>
      <c r="DB493" s="51"/>
      <c r="DC493" s="51"/>
      <c r="DD493" s="51"/>
      <c r="DE493" s="51"/>
      <c r="DF493" s="51"/>
      <c r="DG493" s="51"/>
      <c r="DH493" s="51"/>
      <c r="DI493" s="51"/>
      <c r="DJ493" s="51"/>
      <c r="DK493" s="51"/>
      <c r="DL493" s="51"/>
      <c r="DM493" s="51"/>
      <c r="DN493" s="51"/>
      <c r="DO493" s="51"/>
      <c r="DP493" s="51"/>
      <c r="DQ493" s="51"/>
      <c r="DR493" s="51"/>
      <c r="DS493" s="51"/>
      <c r="DT493" s="51"/>
      <c r="DU493" s="51"/>
      <c r="DV493" s="51"/>
      <c r="DW493" s="51"/>
      <c r="DX493" s="51"/>
      <c r="DY493" s="51"/>
      <c r="DZ493" s="51"/>
      <c r="EA493" s="51"/>
      <c r="EB493" s="51"/>
      <c r="EC493" s="51"/>
      <c r="ED493" s="51"/>
      <c r="EE493" s="51"/>
      <c r="EF493" s="51"/>
      <c r="EG493" s="51"/>
      <c r="EH493" s="51"/>
      <c r="EI493" s="51"/>
      <c r="EJ493" s="51"/>
      <c r="EK493" s="51"/>
      <c r="EL493" s="51"/>
      <c r="EM493" s="51"/>
      <c r="EN493" s="51"/>
      <c r="EO493" s="51"/>
      <c r="EP493" s="51"/>
      <c r="EQ493" s="51"/>
      <c r="ER493" s="51"/>
      <c r="ES493" s="51"/>
      <c r="ET493" s="51"/>
      <c r="EU493" s="51"/>
      <c r="EV493" s="51"/>
      <c r="EW493" s="51"/>
      <c r="EX493" s="51"/>
      <c r="EY493" s="51"/>
      <c r="EZ493" s="51"/>
      <c r="FA493" s="51"/>
      <c r="FB493" s="51"/>
      <c r="FC493" s="51"/>
      <c r="FD493" s="51"/>
      <c r="FE493" s="51"/>
      <c r="FF493" s="51"/>
      <c r="FG493" s="51"/>
      <c r="FH493" s="51"/>
      <c r="FI493" s="51"/>
      <c r="FJ493" s="51"/>
      <c r="FK493" s="51"/>
      <c r="FL493" s="51"/>
      <c r="FM493" s="51"/>
      <c r="FN493" s="51"/>
      <c r="FO493" s="51"/>
      <c r="FP493" s="51"/>
      <c r="FQ493" s="51"/>
      <c r="FR493" s="51"/>
      <c r="FS493" s="51"/>
      <c r="FT493" s="51"/>
      <c r="FU493" s="51"/>
      <c r="FV493" s="51"/>
      <c r="FW493" s="51"/>
      <c r="FX493" s="51"/>
      <c r="FY493" s="51"/>
      <c r="FZ493" s="51"/>
      <c r="GA493" s="51"/>
      <c r="GB493" s="51"/>
      <c r="GC493" s="51"/>
      <c r="GD493" s="51"/>
      <c r="GE493" s="51"/>
      <c r="GF493" s="51"/>
      <c r="GG493" s="51"/>
      <c r="GH493" s="51"/>
      <c r="GI493" s="51"/>
      <c r="GJ493" s="51"/>
      <c r="GK493" s="51"/>
      <c r="GL493" s="51"/>
      <c r="GM493" s="51"/>
      <c r="GN493" s="51"/>
      <c r="GO493" s="51"/>
      <c r="GP493" s="51"/>
      <c r="GQ493" s="51"/>
      <c r="GR493" s="51"/>
      <c r="GS493" s="51"/>
      <c r="GT493" s="51"/>
      <c r="GU493" s="51"/>
      <c r="GV493" s="51"/>
      <c r="GW493" s="51"/>
      <c r="GX493" s="51"/>
      <c r="GY493" s="51"/>
      <c r="GZ493" s="51"/>
      <c r="HA493" s="51"/>
      <c r="HB493" s="51"/>
      <c r="HC493" s="51"/>
      <c r="HD493" s="51"/>
      <c r="HE493" s="51"/>
      <c r="HF493" s="51"/>
      <c r="HG493" s="51"/>
      <c r="HH493" s="51"/>
      <c r="HI493" s="51"/>
      <c r="HJ493" s="51"/>
      <c r="HK493" s="51"/>
      <c r="HL493" s="51"/>
      <c r="HM493" s="51"/>
      <c r="HN493" s="51"/>
      <c r="HO493" s="51"/>
      <c r="HP493" s="51"/>
      <c r="HQ493" s="51"/>
      <c r="HR493" s="51"/>
      <c r="HS493" s="51"/>
      <c r="HT493" s="51"/>
      <c r="HU493" s="51"/>
      <c r="HV493" s="51"/>
      <c r="HW493" s="51"/>
      <c r="HX493" s="51"/>
      <c r="HY493" s="51"/>
      <c r="HZ493" s="51"/>
      <c r="IA493" s="51"/>
      <c r="IB493" s="51"/>
      <c r="IC493" s="51"/>
      <c r="ID493" s="51"/>
      <c r="IE493" s="51"/>
      <c r="IF493" s="51"/>
      <c r="IG493" s="51"/>
      <c r="IH493" s="51"/>
      <c r="II493" s="51"/>
      <c r="IJ493" s="51"/>
      <c r="IK493" s="51"/>
      <c r="IL493" s="51"/>
      <c r="IM493" s="51"/>
      <c r="IN493" s="51"/>
      <c r="IO493" s="51"/>
      <c r="IP493" s="51"/>
      <c r="IQ493" s="51"/>
      <c r="IR493" s="51"/>
      <c r="IS493" s="51"/>
      <c r="IT493" s="51"/>
      <c r="IU493" s="51"/>
      <c r="IV493" s="51"/>
    </row>
    <row r="494" hidden="1">
      <c r="B494" s="829" t="s">
        <v>16</v>
      </c>
      <c r="C494" s="823">
        <v>0</v>
      </c>
      <c r="D494" s="823">
        <v>0</v>
      </c>
      <c r="E494" s="823">
        <v>0</v>
      </c>
      <c r="F494" s="823">
        <v>0</v>
      </c>
      <c r="G494" s="823">
        <v>0</v>
      </c>
      <c r="H494" s="823">
        <v>0</v>
      </c>
      <c r="I494" s="823">
        <v>0</v>
      </c>
      <c r="J494" s="823">
        <v>0</v>
      </c>
      <c r="K494" s="823">
        <v>0</v>
      </c>
      <c r="L494" s="823">
        <v>0</v>
      </c>
      <c r="M494" s="823">
        <v>0</v>
      </c>
      <c r="N494" s="823">
        <v>0</v>
      </c>
      <c r="O494" s="823">
        <v>0</v>
      </c>
      <c r="P494" s="823">
        <v>0</v>
      </c>
      <c r="Q494" s="823">
        <v>28</v>
      </c>
      <c r="R494" s="823">
        <v>19</v>
      </c>
      <c r="S494" s="823">
        <v>19</v>
      </c>
      <c r="T494" s="823">
        <v>20</v>
      </c>
      <c r="U494" s="823">
        <v>23</v>
      </c>
      <c r="V494" s="823">
        <v>25</v>
      </c>
      <c r="W494" s="823">
        <v>28</v>
      </c>
      <c r="X494" s="823">
        <v>35</v>
      </c>
      <c r="Y494" s="823">
        <v>14</v>
      </c>
      <c r="Z494" s="823">
        <v>16</v>
      </c>
      <c r="AA494" s="823">
        <v>13</v>
      </c>
      <c r="AB494" s="823">
        <v>13</v>
      </c>
      <c r="AC494" s="825">
        <v>15</v>
      </c>
      <c r="AD494" s="825">
        <v>15</v>
      </c>
      <c r="AE494" s="825">
        <v>16</v>
      </c>
      <c r="AF494" s="825">
        <v>16</v>
      </c>
      <c r="AG494" s="825">
        <v>16</v>
      </c>
      <c r="AH494" s="825">
        <v>16</v>
      </c>
      <c r="AI494" s="825">
        <v>14</v>
      </c>
      <c r="AJ494" s="825">
        <v>14</v>
      </c>
      <c r="AK494" s="825">
        <v>14</v>
      </c>
      <c r="AL494" s="825">
        <v>13</v>
      </c>
      <c r="AM494" s="825">
        <v>13</v>
      </c>
      <c r="AN494" s="825">
        <v>13</v>
      </c>
      <c r="AO494" s="825">
        <v>13</v>
      </c>
      <c r="AP494" s="825">
        <v>13</v>
      </c>
      <c r="AQ494" s="51"/>
      <c r="AR494" s="51"/>
      <c r="AS494" s="51"/>
      <c r="AT494" s="51"/>
      <c r="AU494" s="51"/>
      <c r="AV494" s="51"/>
      <c r="AW494" s="51"/>
      <c r="AX494" s="51"/>
      <c r="AY494" s="51"/>
      <c r="AZ494" s="51"/>
      <c r="BA494" s="51"/>
      <c r="BB494" s="51"/>
      <c r="BC494" s="51"/>
      <c r="BD494" s="51"/>
      <c r="BE494" s="51"/>
      <c r="BF494" s="51"/>
      <c r="BG494" s="51"/>
      <c r="BH494" s="51"/>
      <c r="BI494" s="51"/>
      <c r="BJ494" s="51"/>
      <c r="BK494" s="51"/>
      <c r="BL494" s="51"/>
      <c r="BM494" s="51"/>
      <c r="BN494" s="51"/>
      <c r="BO494" s="51"/>
      <c r="BP494" s="51"/>
      <c r="BQ494" s="51"/>
      <c r="BR494" s="51"/>
      <c r="BS494" s="51"/>
      <c r="BT494" s="51"/>
      <c r="BU494" s="51"/>
      <c r="BV494" s="51"/>
      <c r="BW494" s="51"/>
      <c r="BX494" s="51"/>
      <c r="BY494" s="51"/>
      <c r="BZ494" s="51"/>
      <c r="CA494" s="51"/>
      <c r="CB494" s="51"/>
      <c r="CC494" s="51"/>
      <c r="CD494" s="51"/>
      <c r="CE494" s="51"/>
      <c r="CF494" s="51"/>
      <c r="CG494" s="51"/>
      <c r="CH494" s="51"/>
      <c r="CI494" s="51"/>
      <c r="CJ494" s="51"/>
      <c r="CK494" s="51"/>
      <c r="CL494" s="51"/>
      <c r="CM494" s="51"/>
      <c r="CN494" s="51"/>
      <c r="CO494" s="51"/>
      <c r="CP494" s="51"/>
      <c r="CQ494" s="51"/>
      <c r="CR494" s="51"/>
      <c r="CS494" s="51"/>
      <c r="CT494" s="51"/>
      <c r="CU494" s="51"/>
      <c r="CV494" s="51"/>
      <c r="CW494" s="51"/>
      <c r="CX494" s="51"/>
      <c r="CY494" s="51"/>
      <c r="CZ494" s="51"/>
      <c r="DA494" s="51"/>
      <c r="DB494" s="51"/>
      <c r="DC494" s="51"/>
      <c r="DD494" s="51"/>
      <c r="DE494" s="51"/>
      <c r="DF494" s="51"/>
      <c r="DG494" s="51"/>
      <c r="DH494" s="51"/>
      <c r="DI494" s="51"/>
      <c r="DJ494" s="51"/>
      <c r="DK494" s="51"/>
      <c r="DL494" s="51"/>
      <c r="DM494" s="51"/>
      <c r="DN494" s="51"/>
      <c r="DO494" s="51"/>
      <c r="DP494" s="51"/>
      <c r="DQ494" s="51"/>
      <c r="DR494" s="51"/>
      <c r="DS494" s="51"/>
      <c r="DT494" s="51"/>
      <c r="DU494" s="51"/>
      <c r="DV494" s="51"/>
      <c r="DW494" s="51"/>
      <c r="DX494" s="51"/>
      <c r="DY494" s="51"/>
      <c r="DZ494" s="51"/>
      <c r="EA494" s="51"/>
      <c r="EB494" s="51"/>
      <c r="EC494" s="51"/>
      <c r="ED494" s="51"/>
      <c r="EE494" s="51"/>
      <c r="EF494" s="51"/>
      <c r="EG494" s="51"/>
      <c r="EH494" s="51"/>
      <c r="EI494" s="51"/>
      <c r="EJ494" s="51"/>
      <c r="EK494" s="51"/>
      <c r="EL494" s="51"/>
      <c r="EM494" s="51"/>
      <c r="EN494" s="51"/>
      <c r="EO494" s="51"/>
      <c r="EP494" s="51"/>
      <c r="EQ494" s="51"/>
      <c r="ER494" s="51"/>
      <c r="ES494" s="51"/>
      <c r="ET494" s="51"/>
      <c r="EU494" s="51"/>
      <c r="EV494" s="51"/>
      <c r="EW494" s="51"/>
      <c r="EX494" s="51"/>
      <c r="EY494" s="51"/>
      <c r="EZ494" s="51"/>
      <c r="FA494" s="51"/>
      <c r="FB494" s="51"/>
      <c r="FC494" s="51"/>
      <c r="FD494" s="51"/>
      <c r="FE494" s="51"/>
      <c r="FF494" s="51"/>
      <c r="FG494" s="51"/>
      <c r="FH494" s="51"/>
      <c r="FI494" s="51"/>
      <c r="FJ494" s="51"/>
      <c r="FK494" s="51"/>
      <c r="FL494" s="51"/>
      <c r="FM494" s="51"/>
      <c r="FN494" s="51"/>
      <c r="FO494" s="51"/>
      <c r="FP494" s="51"/>
      <c r="FQ494" s="51"/>
      <c r="FR494" s="51"/>
      <c r="FS494" s="51"/>
      <c r="FT494" s="51"/>
      <c r="FU494" s="51"/>
      <c r="FV494" s="51"/>
      <c r="FW494" s="51"/>
      <c r="FX494" s="51"/>
      <c r="FY494" s="51"/>
      <c r="FZ494" s="51"/>
      <c r="GA494" s="51"/>
      <c r="GB494" s="51"/>
      <c r="GC494" s="51"/>
      <c r="GD494" s="51"/>
      <c r="GE494" s="51"/>
      <c r="GF494" s="51"/>
      <c r="GG494" s="51"/>
      <c r="GH494" s="51"/>
      <c r="GI494" s="51"/>
      <c r="GJ494" s="51"/>
      <c r="GK494" s="51"/>
      <c r="GL494" s="51"/>
      <c r="GM494" s="51"/>
      <c r="GN494" s="51"/>
      <c r="GO494" s="51"/>
      <c r="GP494" s="51"/>
      <c r="GQ494" s="51"/>
      <c r="GR494" s="51"/>
      <c r="GS494" s="51"/>
      <c r="GT494" s="51"/>
      <c r="GU494" s="51"/>
      <c r="GV494" s="51"/>
      <c r="GW494" s="51"/>
      <c r="GX494" s="51"/>
      <c r="GY494" s="51"/>
      <c r="GZ494" s="51"/>
      <c r="HA494" s="51"/>
      <c r="HB494" s="51"/>
      <c r="HC494" s="51"/>
      <c r="HD494" s="51"/>
      <c r="HE494" s="51"/>
      <c r="HF494" s="51"/>
      <c r="HG494" s="51"/>
      <c r="HH494" s="51"/>
      <c r="HI494" s="51"/>
      <c r="HJ494" s="51"/>
      <c r="HK494" s="51"/>
      <c r="HL494" s="51"/>
      <c r="HM494" s="51"/>
      <c r="HN494" s="51"/>
      <c r="HO494" s="51"/>
      <c r="HP494" s="51"/>
      <c r="HQ494" s="51"/>
      <c r="HR494" s="51"/>
      <c r="HS494" s="51"/>
      <c r="HT494" s="51"/>
      <c r="HU494" s="51"/>
      <c r="HV494" s="51"/>
      <c r="HW494" s="51"/>
      <c r="HX494" s="51"/>
      <c r="HY494" s="51"/>
      <c r="HZ494" s="51"/>
      <c r="IA494" s="51"/>
      <c r="IB494" s="51"/>
      <c r="IC494" s="51"/>
      <c r="ID494" s="51"/>
      <c r="IE494" s="51"/>
      <c r="IF494" s="51"/>
      <c r="IG494" s="51"/>
      <c r="IH494" s="51"/>
      <c r="II494" s="51"/>
      <c r="IJ494" s="51"/>
      <c r="IK494" s="51"/>
      <c r="IL494" s="51"/>
      <c r="IM494" s="51"/>
      <c r="IN494" s="51"/>
      <c r="IO494" s="51"/>
      <c r="IP494" s="51"/>
      <c r="IQ494" s="51"/>
      <c r="IR494" s="51"/>
      <c r="IS494" s="51"/>
      <c r="IT494" s="51"/>
      <c r="IU494" s="51"/>
      <c r="IV494" s="51"/>
    </row>
    <row r="495" hidden="1">
      <c r="B495" s="826" t="s">
        <v>17</v>
      </c>
      <c r="C495" s="827">
        <v>0</v>
      </c>
      <c r="D495" s="827">
        <v>0</v>
      </c>
      <c r="E495" s="827">
        <v>0</v>
      </c>
      <c r="F495" s="827">
        <v>0</v>
      </c>
      <c r="G495" s="827">
        <v>0</v>
      </c>
      <c r="H495" s="827">
        <v>0</v>
      </c>
      <c r="I495" s="827">
        <v>0</v>
      </c>
      <c r="J495" s="827">
        <v>0</v>
      </c>
      <c r="K495" s="827">
        <v>0</v>
      </c>
      <c r="L495" s="827">
        <v>0</v>
      </c>
      <c r="M495" s="827">
        <v>0</v>
      </c>
      <c r="N495" s="827">
        <v>0</v>
      </c>
      <c r="O495" s="827">
        <v>0</v>
      </c>
      <c r="P495" s="827">
        <v>9</v>
      </c>
      <c r="Q495" s="827">
        <v>27</v>
      </c>
      <c r="R495" s="827">
        <v>32</v>
      </c>
      <c r="S495" s="827">
        <v>36</v>
      </c>
      <c r="T495" s="827">
        <v>37</v>
      </c>
      <c r="U495" s="827">
        <v>55</v>
      </c>
      <c r="V495" s="827">
        <v>87</v>
      </c>
      <c r="W495" s="827">
        <v>570</v>
      </c>
      <c r="X495" s="827">
        <v>567</v>
      </c>
      <c r="Y495" s="827">
        <v>570</v>
      </c>
      <c r="Z495" s="827">
        <v>572</v>
      </c>
      <c r="AA495" s="827">
        <v>569</v>
      </c>
      <c r="AB495" s="827">
        <v>575</v>
      </c>
      <c r="AC495" s="828">
        <v>581</v>
      </c>
      <c r="AD495" s="828">
        <v>583</v>
      </c>
      <c r="AE495" s="828">
        <v>598</v>
      </c>
      <c r="AF495" s="828">
        <v>620</v>
      </c>
      <c r="AG495" s="828">
        <v>639</v>
      </c>
      <c r="AH495" s="828">
        <v>648</v>
      </c>
      <c r="AI495" s="828">
        <v>664</v>
      </c>
      <c r="AJ495" s="828">
        <v>681</v>
      </c>
      <c r="AK495" s="828">
        <v>692</v>
      </c>
      <c r="AL495" s="828">
        <v>709</v>
      </c>
      <c r="AM495" s="828">
        <v>718</v>
      </c>
      <c r="AN495" s="828">
        <v>724</v>
      </c>
      <c r="AO495" s="828">
        <v>734</v>
      </c>
      <c r="AP495" s="828">
        <v>749</v>
      </c>
      <c r="AQ495" s="51"/>
      <c r="AR495" s="51"/>
      <c r="AS495" s="51"/>
      <c r="AT495" s="51"/>
      <c r="AU495" s="51"/>
      <c r="AV495" s="51"/>
      <c r="AW495" s="51"/>
      <c r="AX495" s="51"/>
      <c r="AY495" s="51"/>
      <c r="AZ495" s="51"/>
      <c r="BA495" s="51"/>
      <c r="BB495" s="51"/>
      <c r="BC495" s="51"/>
      <c r="BD495" s="51"/>
      <c r="BE495" s="51"/>
      <c r="BF495" s="51"/>
      <c r="BG495" s="51"/>
      <c r="BH495" s="51"/>
      <c r="BI495" s="51"/>
      <c r="BJ495" s="51"/>
      <c r="BK495" s="51"/>
      <c r="BL495" s="51"/>
      <c r="BM495" s="51"/>
      <c r="BN495" s="51"/>
      <c r="BO495" s="51"/>
      <c r="BP495" s="51"/>
      <c r="BQ495" s="51"/>
      <c r="BR495" s="51"/>
      <c r="BS495" s="51"/>
      <c r="BT495" s="51"/>
      <c r="BU495" s="51"/>
      <c r="BV495" s="51"/>
      <c r="BW495" s="51"/>
      <c r="BX495" s="51"/>
      <c r="BY495" s="51"/>
      <c r="BZ495" s="51"/>
      <c r="CA495" s="51"/>
      <c r="CB495" s="51"/>
      <c r="CC495" s="51"/>
      <c r="CD495" s="51"/>
      <c r="CE495" s="51"/>
      <c r="CF495" s="51"/>
      <c r="CG495" s="51"/>
      <c r="CH495" s="51"/>
      <c r="CI495" s="51"/>
      <c r="CJ495" s="51"/>
      <c r="CK495" s="51"/>
      <c r="CL495" s="51"/>
      <c r="CM495" s="51"/>
      <c r="CN495" s="51"/>
      <c r="CO495" s="51"/>
      <c r="CP495" s="51"/>
      <c r="CQ495" s="51"/>
      <c r="CR495" s="51"/>
      <c r="CS495" s="51"/>
      <c r="CT495" s="51"/>
      <c r="CU495" s="51"/>
      <c r="CV495" s="51"/>
      <c r="CW495" s="51"/>
      <c r="CX495" s="51"/>
      <c r="CY495" s="51"/>
      <c r="CZ495" s="51"/>
      <c r="DA495" s="51"/>
      <c r="DB495" s="51"/>
      <c r="DC495" s="51"/>
      <c r="DD495" s="51"/>
      <c r="DE495" s="51"/>
      <c r="DF495" s="51"/>
      <c r="DG495" s="51"/>
      <c r="DH495" s="51"/>
      <c r="DI495" s="51"/>
      <c r="DJ495" s="51"/>
      <c r="DK495" s="51"/>
      <c r="DL495" s="51"/>
      <c r="DM495" s="51"/>
      <c r="DN495" s="51"/>
      <c r="DO495" s="51"/>
      <c r="DP495" s="51"/>
      <c r="DQ495" s="51"/>
      <c r="DR495" s="51"/>
      <c r="DS495" s="51"/>
      <c r="DT495" s="51"/>
      <c r="DU495" s="51"/>
      <c r="DV495" s="51"/>
      <c r="DW495" s="51"/>
      <c r="DX495" s="51"/>
      <c r="DY495" s="51"/>
      <c r="DZ495" s="51"/>
      <c r="EA495" s="51"/>
      <c r="EB495" s="51"/>
      <c r="EC495" s="51"/>
      <c r="ED495" s="51"/>
      <c r="EE495" s="51"/>
      <c r="EF495" s="51"/>
      <c r="EG495" s="51"/>
      <c r="EH495" s="51"/>
      <c r="EI495" s="51"/>
      <c r="EJ495" s="51"/>
      <c r="EK495" s="51"/>
      <c r="EL495" s="51"/>
      <c r="EM495" s="51"/>
      <c r="EN495" s="51"/>
      <c r="EO495" s="51"/>
      <c r="EP495" s="51"/>
      <c r="EQ495" s="51"/>
      <c r="ER495" s="51"/>
      <c r="ES495" s="51"/>
      <c r="ET495" s="51"/>
      <c r="EU495" s="51"/>
      <c r="EV495" s="51"/>
      <c r="EW495" s="51"/>
      <c r="EX495" s="51"/>
      <c r="EY495" s="51"/>
      <c r="EZ495" s="51"/>
      <c r="FA495" s="51"/>
      <c r="FB495" s="51"/>
      <c r="FC495" s="51"/>
      <c r="FD495" s="51"/>
      <c r="FE495" s="51"/>
      <c r="FF495" s="51"/>
      <c r="FG495" s="51"/>
      <c r="FH495" s="51"/>
      <c r="FI495" s="51"/>
      <c r="FJ495" s="51"/>
      <c r="FK495" s="51"/>
      <c r="FL495" s="51"/>
      <c r="FM495" s="51"/>
      <c r="FN495" s="51"/>
      <c r="FO495" s="51"/>
      <c r="FP495" s="51"/>
      <c r="FQ495" s="51"/>
      <c r="FR495" s="51"/>
      <c r="FS495" s="51"/>
      <c r="FT495" s="51"/>
      <c r="FU495" s="51"/>
      <c r="FV495" s="51"/>
      <c r="FW495" s="51"/>
      <c r="FX495" s="51"/>
      <c r="FY495" s="51"/>
      <c r="FZ495" s="51"/>
      <c r="GA495" s="51"/>
      <c r="GB495" s="51"/>
      <c r="GC495" s="51"/>
      <c r="GD495" s="51"/>
      <c r="GE495" s="51"/>
      <c r="GF495" s="51"/>
      <c r="GG495" s="51"/>
      <c r="GH495" s="51"/>
      <c r="GI495" s="51"/>
      <c r="GJ495" s="51"/>
      <c r="GK495" s="51"/>
      <c r="GL495" s="51"/>
      <c r="GM495" s="51"/>
      <c r="GN495" s="51"/>
      <c r="GO495" s="51"/>
      <c r="GP495" s="51"/>
      <c r="GQ495" s="51"/>
      <c r="GR495" s="51"/>
      <c r="GS495" s="51"/>
      <c r="GT495" s="51"/>
      <c r="GU495" s="51"/>
      <c r="GV495" s="51"/>
      <c r="GW495" s="51"/>
      <c r="GX495" s="51"/>
      <c r="GY495" s="51"/>
      <c r="GZ495" s="51"/>
      <c r="HA495" s="51"/>
      <c r="HB495" s="51"/>
      <c r="HC495" s="51"/>
      <c r="HD495" s="51"/>
      <c r="HE495" s="51"/>
      <c r="HF495" s="51"/>
      <c r="HG495" s="51"/>
      <c r="HH495" s="51"/>
      <c r="HI495" s="51"/>
      <c r="HJ495" s="51"/>
      <c r="HK495" s="51"/>
      <c r="HL495" s="51"/>
      <c r="HM495" s="51"/>
      <c r="HN495" s="51"/>
      <c r="HO495" s="51"/>
      <c r="HP495" s="51"/>
      <c r="HQ495" s="51"/>
      <c r="HR495" s="51"/>
      <c r="HS495" s="51"/>
      <c r="HT495" s="51"/>
      <c r="HU495" s="51"/>
      <c r="HV495" s="51"/>
      <c r="HW495" s="51"/>
      <c r="HX495" s="51"/>
      <c r="HY495" s="51"/>
      <c r="HZ495" s="51"/>
      <c r="IA495" s="51"/>
      <c r="IB495" s="51"/>
      <c r="IC495" s="51"/>
      <c r="ID495" s="51"/>
      <c r="IE495" s="51"/>
      <c r="IF495" s="51"/>
      <c r="IG495" s="51"/>
      <c r="IH495" s="51"/>
      <c r="II495" s="51"/>
      <c r="IJ495" s="51"/>
      <c r="IK495" s="51"/>
      <c r="IL495" s="51"/>
      <c r="IM495" s="51"/>
      <c r="IN495" s="51"/>
      <c r="IO495" s="51"/>
      <c r="IP495" s="51"/>
      <c r="IQ495" s="51"/>
      <c r="IR495" s="51"/>
      <c r="IS495" s="51"/>
      <c r="IT495" s="51"/>
      <c r="IU495" s="51"/>
      <c r="IV495" s="51"/>
    </row>
    <row r="496" hidden="1">
      <c r="B496" s="829" t="s">
        <v>18</v>
      </c>
      <c r="C496" s="823">
        <v>0</v>
      </c>
      <c r="D496" s="823">
        <v>0</v>
      </c>
      <c r="E496" s="823">
        <v>0</v>
      </c>
      <c r="F496" s="823">
        <v>0</v>
      </c>
      <c r="G496" s="823">
        <v>0</v>
      </c>
      <c r="H496" s="823">
        <v>0</v>
      </c>
      <c r="I496" s="823">
        <v>0</v>
      </c>
      <c r="J496" s="823">
        <v>0</v>
      </c>
      <c r="K496" s="823">
        <v>0</v>
      </c>
      <c r="L496" s="823">
        <v>0</v>
      </c>
      <c r="M496" s="823">
        <v>0</v>
      </c>
      <c r="N496" s="823">
        <v>0</v>
      </c>
      <c r="O496" s="823">
        <v>0</v>
      </c>
      <c r="P496" s="823">
        <v>3294</v>
      </c>
      <c r="Q496" s="823">
        <v>3428</v>
      </c>
      <c r="R496" s="823">
        <v>3468</v>
      </c>
      <c r="S496" s="823">
        <v>3523</v>
      </c>
      <c r="T496" s="823">
        <v>3615</v>
      </c>
      <c r="U496" s="823">
        <v>3696</v>
      </c>
      <c r="V496" s="823">
        <v>3827</v>
      </c>
      <c r="W496" s="823">
        <v>3792</v>
      </c>
      <c r="X496" s="823">
        <v>3578</v>
      </c>
      <c r="Y496" s="823">
        <v>3543</v>
      </c>
      <c r="Z496" s="823">
        <v>3501</v>
      </c>
      <c r="AA496" s="823">
        <v>3538</v>
      </c>
      <c r="AB496" s="823">
        <v>3555</v>
      </c>
      <c r="AC496" s="825">
        <v>3591</v>
      </c>
      <c r="AD496" s="825">
        <v>3687</v>
      </c>
      <c r="AE496" s="825">
        <v>3761</v>
      </c>
      <c r="AF496" s="825">
        <v>3879</v>
      </c>
      <c r="AG496" s="825">
        <v>3985</v>
      </c>
      <c r="AH496" s="825">
        <v>4073</v>
      </c>
      <c r="AI496" s="825">
        <v>3443</v>
      </c>
      <c r="AJ496" s="825">
        <v>3508</v>
      </c>
      <c r="AK496" s="825">
        <v>3558</v>
      </c>
      <c r="AL496" s="825">
        <v>3637</v>
      </c>
      <c r="AM496" s="825">
        <v>3669</v>
      </c>
      <c r="AN496" s="825">
        <v>3722</v>
      </c>
      <c r="AO496" s="825">
        <v>3705</v>
      </c>
      <c r="AP496" s="825">
        <v>3765</v>
      </c>
      <c r="AQ496" s="51"/>
      <c r="AR496" s="51"/>
      <c r="AS496" s="51"/>
      <c r="AT496" s="51"/>
      <c r="AU496" s="51"/>
      <c r="AV496" s="51"/>
      <c r="AW496" s="51"/>
      <c r="AX496" s="51"/>
      <c r="AY496" s="51"/>
      <c r="AZ496" s="51"/>
      <c r="BA496" s="51"/>
      <c r="BB496" s="51"/>
      <c r="BC496" s="51"/>
      <c r="BD496" s="51"/>
      <c r="BE496" s="51"/>
      <c r="BF496" s="51"/>
      <c r="BG496" s="51"/>
      <c r="BH496" s="51"/>
      <c r="BI496" s="51"/>
      <c r="BJ496" s="51"/>
      <c r="BK496" s="51"/>
      <c r="BL496" s="51"/>
      <c r="BM496" s="51"/>
      <c r="BN496" s="51"/>
      <c r="BO496" s="51"/>
      <c r="BP496" s="51"/>
      <c r="BQ496" s="51"/>
      <c r="BR496" s="51"/>
      <c r="BS496" s="51"/>
      <c r="BT496" s="51"/>
      <c r="BU496" s="51"/>
      <c r="BV496" s="51"/>
      <c r="BW496" s="51"/>
      <c r="BX496" s="51"/>
      <c r="BY496" s="51"/>
      <c r="BZ496" s="51"/>
      <c r="CA496" s="51"/>
      <c r="CB496" s="51"/>
      <c r="CC496" s="51"/>
      <c r="CD496" s="51"/>
      <c r="CE496" s="51"/>
      <c r="CF496" s="51"/>
      <c r="CG496" s="51"/>
      <c r="CH496" s="51"/>
      <c r="CI496" s="51"/>
      <c r="CJ496" s="51"/>
      <c r="CK496" s="51"/>
      <c r="CL496" s="51"/>
      <c r="CM496" s="51"/>
      <c r="CN496" s="51"/>
      <c r="CO496" s="51"/>
      <c r="CP496" s="51"/>
      <c r="CQ496" s="51"/>
      <c r="CR496" s="51"/>
      <c r="CS496" s="51"/>
      <c r="CT496" s="51"/>
      <c r="CU496" s="51"/>
      <c r="CV496" s="51"/>
      <c r="CW496" s="51"/>
      <c r="CX496" s="51"/>
      <c r="CY496" s="51"/>
      <c r="CZ496" s="51"/>
      <c r="DA496" s="51"/>
      <c r="DB496" s="51"/>
      <c r="DC496" s="51"/>
      <c r="DD496" s="51"/>
      <c r="DE496" s="51"/>
      <c r="DF496" s="51"/>
      <c r="DG496" s="51"/>
      <c r="DH496" s="51"/>
      <c r="DI496" s="51"/>
      <c r="DJ496" s="51"/>
      <c r="DK496" s="51"/>
      <c r="DL496" s="51"/>
      <c r="DM496" s="51"/>
      <c r="DN496" s="51"/>
      <c r="DO496" s="51"/>
      <c r="DP496" s="51"/>
      <c r="DQ496" s="51"/>
      <c r="DR496" s="51"/>
      <c r="DS496" s="51"/>
      <c r="DT496" s="51"/>
      <c r="DU496" s="51"/>
      <c r="DV496" s="51"/>
      <c r="DW496" s="51"/>
      <c r="DX496" s="51"/>
      <c r="DY496" s="51"/>
      <c r="DZ496" s="51"/>
      <c r="EA496" s="51"/>
      <c r="EB496" s="51"/>
      <c r="EC496" s="51"/>
      <c r="ED496" s="51"/>
      <c r="EE496" s="51"/>
      <c r="EF496" s="51"/>
      <c r="EG496" s="51"/>
      <c r="EH496" s="51"/>
      <c r="EI496" s="51"/>
      <c r="EJ496" s="51"/>
      <c r="EK496" s="51"/>
      <c r="EL496" s="51"/>
      <c r="EM496" s="51"/>
      <c r="EN496" s="51"/>
      <c r="EO496" s="51"/>
      <c r="EP496" s="51"/>
      <c r="EQ496" s="51"/>
      <c r="ER496" s="51"/>
      <c r="ES496" s="51"/>
      <c r="ET496" s="51"/>
      <c r="EU496" s="51"/>
      <c r="EV496" s="51"/>
      <c r="EW496" s="51"/>
      <c r="EX496" s="51"/>
      <c r="EY496" s="51"/>
      <c r="EZ496" s="51"/>
      <c r="FA496" s="51"/>
      <c r="FB496" s="51"/>
      <c r="FC496" s="51"/>
      <c r="FD496" s="51"/>
      <c r="FE496" s="51"/>
      <c r="FF496" s="51"/>
      <c r="FG496" s="51"/>
      <c r="FH496" s="51"/>
      <c r="FI496" s="51"/>
      <c r="FJ496" s="51"/>
      <c r="FK496" s="51"/>
      <c r="FL496" s="51"/>
      <c r="FM496" s="51"/>
      <c r="FN496" s="51"/>
      <c r="FO496" s="51"/>
      <c r="FP496" s="51"/>
      <c r="FQ496" s="51"/>
      <c r="FR496" s="51"/>
      <c r="FS496" s="51"/>
      <c r="FT496" s="51"/>
      <c r="FU496" s="51"/>
      <c r="FV496" s="51"/>
      <c r="FW496" s="51"/>
      <c r="FX496" s="51"/>
      <c r="FY496" s="51"/>
      <c r="FZ496" s="51"/>
      <c r="GA496" s="51"/>
      <c r="GB496" s="51"/>
      <c r="GC496" s="51"/>
      <c r="GD496" s="51"/>
      <c r="GE496" s="51"/>
      <c r="GF496" s="51"/>
      <c r="GG496" s="51"/>
      <c r="GH496" s="51"/>
      <c r="GI496" s="51"/>
      <c r="GJ496" s="51"/>
      <c r="GK496" s="51"/>
      <c r="GL496" s="51"/>
      <c r="GM496" s="51"/>
      <c r="GN496" s="51"/>
      <c r="GO496" s="51"/>
      <c r="GP496" s="51"/>
      <c r="GQ496" s="51"/>
      <c r="GR496" s="51"/>
      <c r="GS496" s="51"/>
      <c r="GT496" s="51"/>
      <c r="GU496" s="51"/>
      <c r="GV496" s="51"/>
      <c r="GW496" s="51"/>
      <c r="GX496" s="51"/>
      <c r="GY496" s="51"/>
      <c r="GZ496" s="51"/>
      <c r="HA496" s="51"/>
      <c r="HB496" s="51"/>
      <c r="HC496" s="51"/>
      <c r="HD496" s="51"/>
      <c r="HE496" s="51"/>
      <c r="HF496" s="51"/>
      <c r="HG496" s="51"/>
      <c r="HH496" s="51"/>
      <c r="HI496" s="51"/>
      <c r="HJ496" s="51"/>
      <c r="HK496" s="51"/>
      <c r="HL496" s="51"/>
      <c r="HM496" s="51"/>
      <c r="HN496" s="51"/>
      <c r="HO496" s="51"/>
      <c r="HP496" s="51"/>
      <c r="HQ496" s="51"/>
      <c r="HR496" s="51"/>
      <c r="HS496" s="51"/>
      <c r="HT496" s="51"/>
      <c r="HU496" s="51"/>
      <c r="HV496" s="51"/>
      <c r="HW496" s="51"/>
      <c r="HX496" s="51"/>
      <c r="HY496" s="51"/>
      <c r="HZ496" s="51"/>
      <c r="IA496" s="51"/>
      <c r="IB496" s="51"/>
      <c r="IC496" s="51"/>
      <c r="ID496" s="51"/>
      <c r="IE496" s="51"/>
      <c r="IF496" s="51"/>
      <c r="IG496" s="51"/>
      <c r="IH496" s="51"/>
      <c r="II496" s="51"/>
      <c r="IJ496" s="51"/>
      <c r="IK496" s="51"/>
      <c r="IL496" s="51"/>
      <c r="IM496" s="51"/>
      <c r="IN496" s="51"/>
      <c r="IO496" s="51"/>
      <c r="IP496" s="51"/>
      <c r="IQ496" s="51"/>
      <c r="IR496" s="51"/>
      <c r="IS496" s="51"/>
      <c r="IT496" s="51"/>
      <c r="IU496" s="51"/>
      <c r="IV496" s="51"/>
    </row>
    <row r="497" hidden="1">
      <c r="B497" s="826" t="s">
        <v>19</v>
      </c>
      <c r="C497" s="827">
        <v>0</v>
      </c>
      <c r="D497" s="827">
        <v>0</v>
      </c>
      <c r="E497" s="827">
        <v>0</v>
      </c>
      <c r="F497" s="827">
        <v>0</v>
      </c>
      <c r="G497" s="827">
        <v>0</v>
      </c>
      <c r="H497" s="827">
        <v>0</v>
      </c>
      <c r="I497" s="827">
        <v>0</v>
      </c>
      <c r="J497" s="827">
        <v>0</v>
      </c>
      <c r="K497" s="827">
        <v>0</v>
      </c>
      <c r="L497" s="827">
        <v>0</v>
      </c>
      <c r="M497" s="827">
        <v>0</v>
      </c>
      <c r="N497" s="827">
        <v>0</v>
      </c>
      <c r="O497" s="827">
        <v>0</v>
      </c>
      <c r="P497" s="827">
        <v>4</v>
      </c>
      <c r="Q497" s="827">
        <v>7</v>
      </c>
      <c r="R497" s="827">
        <v>9</v>
      </c>
      <c r="S497" s="827">
        <v>12</v>
      </c>
      <c r="T497" s="827">
        <v>13</v>
      </c>
      <c r="U497" s="827">
        <v>15</v>
      </c>
      <c r="V497" s="827">
        <v>16</v>
      </c>
      <c r="W497" s="827">
        <v>16</v>
      </c>
      <c r="X497" s="827">
        <v>15</v>
      </c>
      <c r="Y497" s="827">
        <v>15</v>
      </c>
      <c r="Z497" s="827">
        <v>16</v>
      </c>
      <c r="AA497" s="827">
        <v>16</v>
      </c>
      <c r="AB497" s="827">
        <v>15</v>
      </c>
      <c r="AC497" s="828">
        <v>16</v>
      </c>
      <c r="AD497" s="828">
        <v>17</v>
      </c>
      <c r="AE497" s="828">
        <v>17</v>
      </c>
      <c r="AF497" s="828">
        <v>17</v>
      </c>
      <c r="AG497" s="828">
        <v>17</v>
      </c>
      <c r="AH497" s="828">
        <v>17</v>
      </c>
      <c r="AI497" s="828">
        <v>19</v>
      </c>
      <c r="AJ497" s="828">
        <v>12</v>
      </c>
      <c r="AK497" s="828">
        <v>17</v>
      </c>
      <c r="AL497" s="828">
        <v>18</v>
      </c>
      <c r="AM497" s="828">
        <v>20</v>
      </c>
      <c r="AN497" s="828">
        <v>20</v>
      </c>
      <c r="AO497" s="828">
        <v>22</v>
      </c>
      <c r="AP497" s="828">
        <v>26</v>
      </c>
      <c r="AQ497" s="51"/>
      <c r="AR497" s="51"/>
      <c r="AS497" s="51"/>
      <c r="AT497" s="51"/>
      <c r="AU497" s="51"/>
      <c r="AV497" s="51"/>
      <c r="AW497" s="51"/>
      <c r="AX497" s="51"/>
      <c r="AY497" s="51"/>
      <c r="AZ497" s="51"/>
      <c r="BA497" s="51"/>
      <c r="BB497" s="51"/>
      <c r="BC497" s="51"/>
      <c r="BD497" s="51"/>
      <c r="BE497" s="51"/>
      <c r="BF497" s="51"/>
      <c r="BG497" s="51"/>
      <c r="BH497" s="51"/>
      <c r="BI497" s="51"/>
      <c r="BJ497" s="51"/>
      <c r="BK497" s="51"/>
      <c r="BL497" s="51"/>
      <c r="BM497" s="51"/>
      <c r="BN497" s="51"/>
      <c r="BO497" s="51"/>
      <c r="BP497" s="51"/>
      <c r="BQ497" s="51"/>
      <c r="BR497" s="51"/>
      <c r="BS497" s="51"/>
      <c r="BT497" s="51"/>
      <c r="BU497" s="51"/>
      <c r="BV497" s="51"/>
      <c r="BW497" s="51"/>
      <c r="BX497" s="51"/>
      <c r="BY497" s="51"/>
      <c r="BZ497" s="51"/>
      <c r="CA497" s="51"/>
      <c r="CB497" s="51"/>
      <c r="CC497" s="51"/>
      <c r="CD497" s="51"/>
      <c r="CE497" s="51"/>
      <c r="CF497" s="51"/>
      <c r="CG497" s="51"/>
      <c r="CH497" s="51"/>
      <c r="CI497" s="51"/>
      <c r="CJ497" s="51"/>
      <c r="CK497" s="51"/>
      <c r="CL497" s="51"/>
      <c r="CM497" s="51"/>
      <c r="CN497" s="51"/>
      <c r="CO497" s="51"/>
      <c r="CP497" s="51"/>
      <c r="CQ497" s="51"/>
      <c r="CR497" s="51"/>
      <c r="CS497" s="51"/>
      <c r="CT497" s="51"/>
      <c r="CU497" s="51"/>
      <c r="CV497" s="51"/>
      <c r="CW497" s="51"/>
      <c r="CX497" s="51"/>
      <c r="CY497" s="51"/>
      <c r="CZ497" s="51"/>
      <c r="DA497" s="51"/>
      <c r="DB497" s="51"/>
      <c r="DC497" s="51"/>
      <c r="DD497" s="51"/>
      <c r="DE497" s="51"/>
      <c r="DF497" s="51"/>
      <c r="DG497" s="51"/>
      <c r="DH497" s="51"/>
      <c r="DI497" s="51"/>
      <c r="DJ497" s="51"/>
      <c r="DK497" s="51"/>
      <c r="DL497" s="51"/>
      <c r="DM497" s="51"/>
      <c r="DN497" s="51"/>
      <c r="DO497" s="51"/>
      <c r="DP497" s="51"/>
      <c r="DQ497" s="51"/>
      <c r="DR497" s="51"/>
      <c r="DS497" s="51"/>
      <c r="DT497" s="51"/>
      <c r="DU497" s="51"/>
      <c r="DV497" s="51"/>
      <c r="DW497" s="51"/>
      <c r="DX497" s="51"/>
      <c r="DY497" s="51"/>
      <c r="DZ497" s="51"/>
      <c r="EA497" s="51"/>
      <c r="EB497" s="51"/>
      <c r="EC497" s="51"/>
      <c r="ED497" s="51"/>
      <c r="EE497" s="51"/>
      <c r="EF497" s="51"/>
      <c r="EG497" s="51"/>
      <c r="EH497" s="51"/>
      <c r="EI497" s="51"/>
      <c r="EJ497" s="51"/>
      <c r="EK497" s="51"/>
      <c r="EL497" s="51"/>
      <c r="EM497" s="51"/>
      <c r="EN497" s="51"/>
      <c r="EO497" s="51"/>
      <c r="EP497" s="51"/>
      <c r="EQ497" s="51"/>
      <c r="ER497" s="51"/>
      <c r="ES497" s="51"/>
      <c r="ET497" s="51"/>
      <c r="EU497" s="51"/>
      <c r="EV497" s="51"/>
      <c r="EW497" s="51"/>
      <c r="EX497" s="51"/>
      <c r="EY497" s="51"/>
      <c r="EZ497" s="51"/>
      <c r="FA497" s="51"/>
      <c r="FB497" s="51"/>
      <c r="FC497" s="51"/>
      <c r="FD497" s="51"/>
      <c r="FE497" s="51"/>
      <c r="FF497" s="51"/>
      <c r="FG497" s="51"/>
      <c r="FH497" s="51"/>
      <c r="FI497" s="51"/>
      <c r="FJ497" s="51"/>
      <c r="FK497" s="51"/>
      <c r="FL497" s="51"/>
      <c r="FM497" s="51"/>
      <c r="FN497" s="51"/>
      <c r="FO497" s="51"/>
      <c r="FP497" s="51"/>
      <c r="FQ497" s="51"/>
      <c r="FR497" s="51"/>
      <c r="FS497" s="51"/>
      <c r="FT497" s="51"/>
      <c r="FU497" s="51"/>
      <c r="FV497" s="51"/>
      <c r="FW497" s="51"/>
      <c r="FX497" s="51"/>
      <c r="FY497" s="51"/>
      <c r="FZ497" s="51"/>
      <c r="GA497" s="51"/>
      <c r="GB497" s="51"/>
      <c r="GC497" s="51"/>
      <c r="GD497" s="51"/>
      <c r="GE497" s="51"/>
      <c r="GF497" s="51"/>
      <c r="GG497" s="51"/>
      <c r="GH497" s="51"/>
      <c r="GI497" s="51"/>
      <c r="GJ497" s="51"/>
      <c r="GK497" s="51"/>
      <c r="GL497" s="51"/>
      <c r="GM497" s="51"/>
      <c r="GN497" s="51"/>
      <c r="GO497" s="51"/>
      <c r="GP497" s="51"/>
      <c r="GQ497" s="51"/>
      <c r="GR497" s="51"/>
      <c r="GS497" s="51"/>
      <c r="GT497" s="51"/>
      <c r="GU497" s="51"/>
      <c r="GV497" s="51"/>
      <c r="GW497" s="51"/>
      <c r="GX497" s="51"/>
      <c r="GY497" s="51"/>
      <c r="GZ497" s="51"/>
      <c r="HA497" s="51"/>
      <c r="HB497" s="51"/>
      <c r="HC497" s="51"/>
      <c r="HD497" s="51"/>
      <c r="HE497" s="51"/>
      <c r="HF497" s="51"/>
      <c r="HG497" s="51"/>
      <c r="HH497" s="51"/>
      <c r="HI497" s="51"/>
      <c r="HJ497" s="51"/>
      <c r="HK497" s="51"/>
      <c r="HL497" s="51"/>
      <c r="HM497" s="51"/>
      <c r="HN497" s="51"/>
      <c r="HO497" s="51"/>
      <c r="HP497" s="51"/>
      <c r="HQ497" s="51"/>
      <c r="HR497" s="51"/>
      <c r="HS497" s="51"/>
      <c r="HT497" s="51"/>
      <c r="HU497" s="51"/>
      <c r="HV497" s="51"/>
      <c r="HW497" s="51"/>
      <c r="HX497" s="51"/>
      <c r="HY497" s="51"/>
      <c r="HZ497" s="51"/>
      <c r="IA497" s="51"/>
      <c r="IB497" s="51"/>
      <c r="IC497" s="51"/>
      <c r="ID497" s="51"/>
      <c r="IE497" s="51"/>
      <c r="IF497" s="51"/>
      <c r="IG497" s="51"/>
      <c r="IH497" s="51"/>
      <c r="II497" s="51"/>
      <c r="IJ497" s="51"/>
      <c r="IK497" s="51"/>
      <c r="IL497" s="51"/>
      <c r="IM497" s="51"/>
      <c r="IN497" s="51"/>
      <c r="IO497" s="51"/>
      <c r="IP497" s="51"/>
      <c r="IQ497" s="51"/>
      <c r="IR497" s="51"/>
      <c r="IS497" s="51"/>
      <c r="IT497" s="51"/>
      <c r="IU497" s="51"/>
      <c r="IV497" s="51"/>
    </row>
    <row r="498" hidden="1">
      <c r="B498" s="829" t="s">
        <v>20</v>
      </c>
      <c r="C498" s="823">
        <v>0</v>
      </c>
      <c r="D498" s="823">
        <v>0</v>
      </c>
      <c r="E498" s="823">
        <v>0</v>
      </c>
      <c r="F498" s="823">
        <v>0</v>
      </c>
      <c r="G498" s="823">
        <v>0</v>
      </c>
      <c r="H498" s="823">
        <v>0</v>
      </c>
      <c r="I498" s="823">
        <v>0</v>
      </c>
      <c r="J498" s="823">
        <v>0</v>
      </c>
      <c r="K498" s="823">
        <v>0</v>
      </c>
      <c r="L498" s="823">
        <v>0</v>
      </c>
      <c r="M498" s="823">
        <v>0</v>
      </c>
      <c r="N498" s="823">
        <v>0</v>
      </c>
      <c r="O498" s="823">
        <v>0</v>
      </c>
      <c r="P498" s="823">
        <v>0</v>
      </c>
      <c r="Q498" s="823">
        <v>0</v>
      </c>
      <c r="R498" s="823">
        <v>0</v>
      </c>
      <c r="S498" s="823">
        <v>1</v>
      </c>
      <c r="T498" s="823">
        <v>1</v>
      </c>
      <c r="U498" s="823">
        <v>1</v>
      </c>
      <c r="V498" s="823">
        <v>1</v>
      </c>
      <c r="W498" s="823">
        <v>1</v>
      </c>
      <c r="X498" s="823">
        <v>1</v>
      </c>
      <c r="Y498" s="823">
        <v>1</v>
      </c>
      <c r="Z498" s="823">
        <v>1</v>
      </c>
      <c r="AA498" s="823">
        <v>1</v>
      </c>
      <c r="AB498" s="823">
        <v>1</v>
      </c>
      <c r="AC498" s="825">
        <v>1</v>
      </c>
      <c r="AD498" s="825">
        <v>1</v>
      </c>
      <c r="AE498" s="825">
        <v>1</v>
      </c>
      <c r="AF498" s="825">
        <v>1</v>
      </c>
      <c r="AG498" s="825">
        <v>1</v>
      </c>
      <c r="AH498" s="825">
        <v>1</v>
      </c>
      <c r="AI498" s="825">
        <v>1</v>
      </c>
      <c r="AJ498" s="825">
        <v>1</v>
      </c>
      <c r="AK498" s="825">
        <v>1</v>
      </c>
      <c r="AL498" s="825">
        <v>1</v>
      </c>
      <c r="AM498" s="825">
        <v>1</v>
      </c>
      <c r="AN498" s="825">
        <v>1</v>
      </c>
      <c r="AO498" s="825">
        <v>1</v>
      </c>
      <c r="AP498" s="825">
        <v>1</v>
      </c>
      <c r="AQ498" s="51"/>
      <c r="AR498" s="51"/>
      <c r="AS498" s="51"/>
      <c r="AT498" s="51"/>
      <c r="AU498" s="51"/>
      <c r="AV498" s="51"/>
      <c r="AW498" s="51"/>
      <c r="AX498" s="51"/>
      <c r="AY498" s="51"/>
      <c r="AZ498" s="51"/>
      <c r="BA498" s="51"/>
      <c r="BB498" s="51"/>
      <c r="BC498" s="51"/>
      <c r="BD498" s="51"/>
      <c r="BE498" s="51"/>
      <c r="BF498" s="51"/>
      <c r="BG498" s="51"/>
      <c r="BH498" s="51"/>
      <c r="BI498" s="51"/>
      <c r="BJ498" s="51"/>
      <c r="BK498" s="51"/>
      <c r="BL498" s="51"/>
      <c r="BM498" s="51"/>
      <c r="BN498" s="51"/>
      <c r="BO498" s="51"/>
      <c r="BP498" s="51"/>
      <c r="BQ498" s="51"/>
      <c r="BR498" s="51"/>
      <c r="BS498" s="51"/>
      <c r="BT498" s="51"/>
      <c r="BU498" s="51"/>
      <c r="BV498" s="51"/>
      <c r="BW498" s="51"/>
      <c r="BX498" s="51"/>
      <c r="BY498" s="51"/>
      <c r="BZ498" s="51"/>
      <c r="CA498" s="51"/>
      <c r="CB498" s="51"/>
      <c r="CC498" s="51"/>
      <c r="CD498" s="51"/>
      <c r="CE498" s="51"/>
      <c r="CF498" s="51"/>
      <c r="CG498" s="51"/>
      <c r="CH498" s="51"/>
      <c r="CI498" s="51"/>
      <c r="CJ498" s="51"/>
      <c r="CK498" s="51"/>
      <c r="CL498" s="51"/>
      <c r="CM498" s="51"/>
      <c r="CN498" s="51"/>
      <c r="CO498" s="51"/>
      <c r="CP498" s="51"/>
      <c r="CQ498" s="51"/>
      <c r="CR498" s="51"/>
      <c r="CS498" s="51"/>
      <c r="CT498" s="51"/>
      <c r="CU498" s="51"/>
      <c r="CV498" s="51"/>
      <c r="CW498" s="51"/>
      <c r="CX498" s="51"/>
      <c r="CY498" s="51"/>
      <c r="CZ498" s="51"/>
      <c r="DA498" s="51"/>
      <c r="DB498" s="51"/>
      <c r="DC498" s="51"/>
      <c r="DD498" s="51"/>
      <c r="DE498" s="51"/>
      <c r="DF498" s="51"/>
      <c r="DG498" s="51"/>
      <c r="DH498" s="51"/>
      <c r="DI498" s="51"/>
      <c r="DJ498" s="51"/>
      <c r="DK498" s="51"/>
      <c r="DL498" s="51"/>
      <c r="DM498" s="51"/>
      <c r="DN498" s="51"/>
      <c r="DO498" s="51"/>
      <c r="DP498" s="51"/>
      <c r="DQ498" s="51"/>
      <c r="DR498" s="51"/>
      <c r="DS498" s="51"/>
      <c r="DT498" s="51"/>
      <c r="DU498" s="51"/>
      <c r="DV498" s="51"/>
      <c r="DW498" s="51"/>
      <c r="DX498" s="51"/>
      <c r="DY498" s="51"/>
      <c r="DZ498" s="51"/>
      <c r="EA498" s="51"/>
      <c r="EB498" s="51"/>
      <c r="EC498" s="51"/>
      <c r="ED498" s="51"/>
      <c r="EE498" s="51"/>
      <c r="EF498" s="51"/>
      <c r="EG498" s="51"/>
      <c r="EH498" s="51"/>
      <c r="EI498" s="51"/>
      <c r="EJ498" s="51"/>
      <c r="EK498" s="51"/>
      <c r="EL498" s="51"/>
      <c r="EM498" s="51"/>
      <c r="EN498" s="51"/>
      <c r="EO498" s="51"/>
      <c r="EP498" s="51"/>
      <c r="EQ498" s="51"/>
      <c r="ER498" s="51"/>
      <c r="ES498" s="51"/>
      <c r="ET498" s="51"/>
      <c r="EU498" s="51"/>
      <c r="EV498" s="51"/>
      <c r="EW498" s="51"/>
      <c r="EX498" s="51"/>
      <c r="EY498" s="51"/>
      <c r="EZ498" s="51"/>
      <c r="FA498" s="51"/>
      <c r="FB498" s="51"/>
      <c r="FC498" s="51"/>
      <c r="FD498" s="51"/>
      <c r="FE498" s="51"/>
      <c r="FF498" s="51"/>
      <c r="FG498" s="51"/>
      <c r="FH498" s="51"/>
      <c r="FI498" s="51"/>
      <c r="FJ498" s="51"/>
      <c r="FK498" s="51"/>
      <c r="FL498" s="51"/>
      <c r="FM498" s="51"/>
      <c r="FN498" s="51"/>
      <c r="FO498" s="51"/>
      <c r="FP498" s="51"/>
      <c r="FQ498" s="51"/>
      <c r="FR498" s="51"/>
      <c r="FS498" s="51"/>
      <c r="FT498" s="51"/>
      <c r="FU498" s="51"/>
      <c r="FV498" s="51"/>
      <c r="FW498" s="51"/>
      <c r="FX498" s="51"/>
      <c r="FY498" s="51"/>
      <c r="FZ498" s="51"/>
      <c r="GA498" s="51"/>
      <c r="GB498" s="51"/>
      <c r="GC498" s="51"/>
      <c r="GD498" s="51"/>
      <c r="GE498" s="51"/>
      <c r="GF498" s="51"/>
      <c r="GG498" s="51"/>
      <c r="GH498" s="51"/>
      <c r="GI498" s="51"/>
      <c r="GJ498" s="51"/>
      <c r="GK498" s="51"/>
      <c r="GL498" s="51"/>
      <c r="GM498" s="51"/>
      <c r="GN498" s="51"/>
      <c r="GO498" s="51"/>
      <c r="GP498" s="51"/>
      <c r="GQ498" s="51"/>
      <c r="GR498" s="51"/>
      <c r="GS498" s="51"/>
      <c r="GT498" s="51"/>
      <c r="GU498" s="51"/>
      <c r="GV498" s="51"/>
      <c r="GW498" s="51"/>
      <c r="GX498" s="51"/>
      <c r="GY498" s="51"/>
      <c r="GZ498" s="51"/>
      <c r="HA498" s="51"/>
      <c r="HB498" s="51"/>
      <c r="HC498" s="51"/>
      <c r="HD498" s="51"/>
      <c r="HE498" s="51"/>
      <c r="HF498" s="51"/>
      <c r="HG498" s="51"/>
      <c r="HH498" s="51"/>
      <c r="HI498" s="51"/>
      <c r="HJ498" s="51"/>
      <c r="HK498" s="51"/>
      <c r="HL498" s="51"/>
      <c r="HM498" s="51"/>
      <c r="HN498" s="51"/>
      <c r="HO498" s="51"/>
      <c r="HP498" s="51"/>
      <c r="HQ498" s="51"/>
      <c r="HR498" s="51"/>
      <c r="HS498" s="51"/>
      <c r="HT498" s="51"/>
      <c r="HU498" s="51"/>
      <c r="HV498" s="51"/>
      <c r="HW498" s="51"/>
      <c r="HX498" s="51"/>
      <c r="HY498" s="51"/>
      <c r="HZ498" s="51"/>
      <c r="IA498" s="51"/>
      <c r="IB498" s="51"/>
      <c r="IC498" s="51"/>
      <c r="ID498" s="51"/>
      <c r="IE498" s="51"/>
      <c r="IF498" s="51"/>
      <c r="IG498" s="51"/>
      <c r="IH498" s="51"/>
      <c r="II498" s="51"/>
      <c r="IJ498" s="51"/>
      <c r="IK498" s="51"/>
      <c r="IL498" s="51"/>
      <c r="IM498" s="51"/>
      <c r="IN498" s="51"/>
      <c r="IO498" s="51"/>
      <c r="IP498" s="51"/>
      <c r="IQ498" s="51"/>
      <c r="IR498" s="51"/>
      <c r="IS498" s="51"/>
      <c r="IT498" s="51"/>
      <c r="IU498" s="51"/>
      <c r="IV498" s="51"/>
    </row>
    <row r="499" hidden="1">
      <c r="B499" s="826" t="s">
        <v>21</v>
      </c>
      <c r="C499" s="827">
        <v>0</v>
      </c>
      <c r="D499" s="827">
        <v>0</v>
      </c>
      <c r="E499" s="827">
        <v>0</v>
      </c>
      <c r="F499" s="827">
        <v>0</v>
      </c>
      <c r="G499" s="827">
        <v>0</v>
      </c>
      <c r="H499" s="827">
        <v>0</v>
      </c>
      <c r="I499" s="827">
        <v>0</v>
      </c>
      <c r="J499" s="827">
        <v>0</v>
      </c>
      <c r="K499" s="827">
        <v>0</v>
      </c>
      <c r="L499" s="827">
        <v>0</v>
      </c>
      <c r="M499" s="827">
        <v>0</v>
      </c>
      <c r="N499" s="827">
        <v>0</v>
      </c>
      <c r="O499" s="827">
        <v>0</v>
      </c>
      <c r="P499" s="827">
        <v>1</v>
      </c>
      <c r="Q499" s="827">
        <v>1</v>
      </c>
      <c r="R499" s="827">
        <v>0</v>
      </c>
      <c r="S499" s="827">
        <v>1</v>
      </c>
      <c r="T499" s="827">
        <v>0</v>
      </c>
      <c r="U499" s="827">
        <v>0</v>
      </c>
      <c r="V499" s="827">
        <v>0</v>
      </c>
      <c r="W499" s="827">
        <v>0</v>
      </c>
      <c r="X499" s="827">
        <v>0</v>
      </c>
      <c r="Y499" s="827">
        <v>0</v>
      </c>
      <c r="Z499" s="827">
        <v>0</v>
      </c>
      <c r="AA499" s="827">
        <v>0</v>
      </c>
      <c r="AB499" s="827">
        <v>0</v>
      </c>
      <c r="AC499" s="828">
        <v>0</v>
      </c>
      <c r="AD499" s="828">
        <v>0</v>
      </c>
      <c r="AE499" s="828">
        <v>0</v>
      </c>
      <c r="AF499" s="828">
        <v>0</v>
      </c>
      <c r="AG499" s="828">
        <v>0</v>
      </c>
      <c r="AH499" s="828">
        <v>0</v>
      </c>
      <c r="AI499" s="828">
        <v>0</v>
      </c>
      <c r="AJ499" s="828">
        <v>0</v>
      </c>
      <c r="AK499" s="828">
        <v>1</v>
      </c>
      <c r="AL499" s="828">
        <v>1</v>
      </c>
      <c r="AM499" s="828">
        <v>1</v>
      </c>
      <c r="AN499" s="828">
        <v>3</v>
      </c>
      <c r="AO499" s="828">
        <v>3</v>
      </c>
      <c r="AP499" s="828">
        <v>6</v>
      </c>
      <c r="AQ499" s="51"/>
      <c r="AR499" s="51"/>
      <c r="AS499" s="51"/>
      <c r="AT499" s="51"/>
      <c r="AU499" s="51"/>
      <c r="AV499" s="51"/>
      <c r="AW499" s="51"/>
      <c r="AX499" s="51"/>
      <c r="AY499" s="51"/>
      <c r="AZ499" s="51"/>
      <c r="BA499" s="51"/>
      <c r="BB499" s="51"/>
      <c r="BC499" s="51"/>
      <c r="BD499" s="51"/>
      <c r="BE499" s="51"/>
      <c r="BF499" s="51"/>
      <c r="BG499" s="51"/>
      <c r="BH499" s="51"/>
      <c r="BI499" s="51"/>
      <c r="BJ499" s="51"/>
      <c r="BK499" s="51"/>
      <c r="BL499" s="51"/>
      <c r="BM499" s="51"/>
      <c r="BN499" s="51"/>
      <c r="BO499" s="51"/>
      <c r="BP499" s="51"/>
      <c r="BQ499" s="51"/>
      <c r="BR499" s="51"/>
      <c r="BS499" s="51"/>
      <c r="BT499" s="51"/>
      <c r="BU499" s="51"/>
      <c r="BV499" s="51"/>
      <c r="BW499" s="51"/>
      <c r="BX499" s="51"/>
      <c r="BY499" s="51"/>
      <c r="BZ499" s="51"/>
      <c r="CA499" s="51"/>
      <c r="CB499" s="51"/>
      <c r="CC499" s="51"/>
      <c r="CD499" s="51"/>
      <c r="CE499" s="51"/>
      <c r="CF499" s="51"/>
      <c r="CG499" s="51"/>
      <c r="CH499" s="51"/>
      <c r="CI499" s="51"/>
      <c r="CJ499" s="51"/>
      <c r="CK499" s="51"/>
      <c r="CL499" s="51"/>
      <c r="CM499" s="51"/>
      <c r="CN499" s="51"/>
      <c r="CO499" s="51"/>
      <c r="CP499" s="51"/>
      <c r="CQ499" s="51"/>
      <c r="CR499" s="51"/>
      <c r="CS499" s="51"/>
      <c r="CT499" s="51"/>
      <c r="CU499" s="51"/>
      <c r="CV499" s="51"/>
      <c r="CW499" s="51"/>
      <c r="CX499" s="51"/>
      <c r="CY499" s="51"/>
      <c r="CZ499" s="51"/>
      <c r="DA499" s="51"/>
      <c r="DB499" s="51"/>
      <c r="DC499" s="51"/>
      <c r="DD499" s="51"/>
      <c r="DE499" s="51"/>
      <c r="DF499" s="51"/>
      <c r="DG499" s="51"/>
      <c r="DH499" s="51"/>
      <c r="DI499" s="51"/>
      <c r="DJ499" s="51"/>
      <c r="DK499" s="51"/>
      <c r="DL499" s="51"/>
      <c r="DM499" s="51"/>
      <c r="DN499" s="51"/>
      <c r="DO499" s="51"/>
      <c r="DP499" s="51"/>
      <c r="DQ499" s="51"/>
      <c r="DR499" s="51"/>
      <c r="DS499" s="51"/>
      <c r="DT499" s="51"/>
      <c r="DU499" s="51"/>
      <c r="DV499" s="51"/>
      <c r="DW499" s="51"/>
      <c r="DX499" s="51"/>
      <c r="DY499" s="51"/>
      <c r="DZ499" s="51"/>
      <c r="EA499" s="51"/>
      <c r="EB499" s="51"/>
      <c r="EC499" s="51"/>
      <c r="ED499" s="51"/>
      <c r="EE499" s="51"/>
      <c r="EF499" s="51"/>
      <c r="EG499" s="51"/>
      <c r="EH499" s="51"/>
      <c r="EI499" s="51"/>
      <c r="EJ499" s="51"/>
      <c r="EK499" s="51"/>
      <c r="EL499" s="51"/>
      <c r="EM499" s="51"/>
      <c r="EN499" s="51"/>
      <c r="EO499" s="51"/>
      <c r="EP499" s="51"/>
      <c r="EQ499" s="51"/>
      <c r="ER499" s="51"/>
      <c r="ES499" s="51"/>
      <c r="ET499" s="51"/>
      <c r="EU499" s="51"/>
      <c r="EV499" s="51"/>
      <c r="EW499" s="51"/>
      <c r="EX499" s="51"/>
      <c r="EY499" s="51"/>
      <c r="EZ499" s="51"/>
      <c r="FA499" s="51"/>
      <c r="FB499" s="51"/>
      <c r="FC499" s="51"/>
      <c r="FD499" s="51"/>
      <c r="FE499" s="51"/>
      <c r="FF499" s="51"/>
      <c r="FG499" s="51"/>
      <c r="FH499" s="51"/>
      <c r="FI499" s="51"/>
      <c r="FJ499" s="51"/>
      <c r="FK499" s="51"/>
      <c r="FL499" s="51"/>
      <c r="FM499" s="51"/>
      <c r="FN499" s="51"/>
      <c r="FO499" s="51"/>
      <c r="FP499" s="51"/>
      <c r="FQ499" s="51"/>
      <c r="FR499" s="51"/>
      <c r="FS499" s="51"/>
      <c r="FT499" s="51"/>
      <c r="FU499" s="51"/>
      <c r="FV499" s="51"/>
      <c r="FW499" s="51"/>
      <c r="FX499" s="51"/>
      <c r="FY499" s="51"/>
      <c r="FZ499" s="51"/>
      <c r="GA499" s="51"/>
      <c r="GB499" s="51"/>
      <c r="GC499" s="51"/>
      <c r="GD499" s="51"/>
      <c r="GE499" s="51"/>
      <c r="GF499" s="51"/>
      <c r="GG499" s="51"/>
      <c r="GH499" s="51"/>
      <c r="GI499" s="51"/>
      <c r="GJ499" s="51"/>
      <c r="GK499" s="51"/>
      <c r="GL499" s="51"/>
      <c r="GM499" s="51"/>
      <c r="GN499" s="51"/>
      <c r="GO499" s="51"/>
      <c r="GP499" s="51"/>
      <c r="GQ499" s="51"/>
      <c r="GR499" s="51"/>
      <c r="GS499" s="51"/>
      <c r="GT499" s="51"/>
      <c r="GU499" s="51"/>
      <c r="GV499" s="51"/>
      <c r="GW499" s="51"/>
      <c r="GX499" s="51"/>
      <c r="GY499" s="51"/>
      <c r="GZ499" s="51"/>
      <c r="HA499" s="51"/>
      <c r="HB499" s="51"/>
      <c r="HC499" s="51"/>
      <c r="HD499" s="51"/>
      <c r="HE499" s="51"/>
      <c r="HF499" s="51"/>
      <c r="HG499" s="51"/>
      <c r="HH499" s="51"/>
      <c r="HI499" s="51"/>
      <c r="HJ499" s="51"/>
      <c r="HK499" s="51"/>
      <c r="HL499" s="51"/>
      <c r="HM499" s="51"/>
      <c r="HN499" s="51"/>
      <c r="HO499" s="51"/>
      <c r="HP499" s="51"/>
      <c r="HQ499" s="51"/>
      <c r="HR499" s="51"/>
      <c r="HS499" s="51"/>
      <c r="HT499" s="51"/>
      <c r="HU499" s="51"/>
      <c r="HV499" s="51"/>
      <c r="HW499" s="51"/>
      <c r="HX499" s="51"/>
      <c r="HY499" s="51"/>
      <c r="HZ499" s="51"/>
      <c r="IA499" s="51"/>
      <c r="IB499" s="51"/>
      <c r="IC499" s="51"/>
      <c r="ID499" s="51"/>
      <c r="IE499" s="51"/>
      <c r="IF499" s="51"/>
      <c r="IG499" s="51"/>
      <c r="IH499" s="51"/>
      <c r="II499" s="51"/>
      <c r="IJ499" s="51"/>
      <c r="IK499" s="51"/>
      <c r="IL499" s="51"/>
      <c r="IM499" s="51"/>
      <c r="IN499" s="51"/>
      <c r="IO499" s="51"/>
      <c r="IP499" s="51"/>
      <c r="IQ499" s="51"/>
      <c r="IR499" s="51"/>
      <c r="IS499" s="51"/>
      <c r="IT499" s="51"/>
      <c r="IU499" s="51"/>
      <c r="IV499" s="51"/>
    </row>
    <row r="500" hidden="1">
      <c r="B500" s="829" t="s">
        <v>22</v>
      </c>
      <c r="C500" s="823">
        <v>0</v>
      </c>
      <c r="D500" s="823">
        <v>0</v>
      </c>
      <c r="E500" s="823">
        <v>0</v>
      </c>
      <c r="F500" s="823">
        <v>0</v>
      </c>
      <c r="G500" s="823">
        <v>0</v>
      </c>
      <c r="H500" s="823">
        <v>0</v>
      </c>
      <c r="I500" s="823">
        <v>0</v>
      </c>
      <c r="J500" s="823">
        <v>0</v>
      </c>
      <c r="K500" s="823">
        <v>0</v>
      </c>
      <c r="L500" s="823">
        <v>0</v>
      </c>
      <c r="M500" s="823">
        <v>0</v>
      </c>
      <c r="N500" s="823">
        <v>0</v>
      </c>
      <c r="O500" s="823">
        <v>0</v>
      </c>
      <c r="P500" s="823">
        <v>27</v>
      </c>
      <c r="Q500" s="823">
        <v>34</v>
      </c>
      <c r="R500" s="823">
        <v>37</v>
      </c>
      <c r="S500" s="823">
        <v>73</v>
      </c>
      <c r="T500" s="823">
        <v>85</v>
      </c>
      <c r="U500" s="823">
        <v>85</v>
      </c>
      <c r="V500" s="823">
        <v>452</v>
      </c>
      <c r="W500" s="823">
        <v>469</v>
      </c>
      <c r="X500" s="823">
        <v>480</v>
      </c>
      <c r="Y500" s="823">
        <v>491</v>
      </c>
      <c r="Z500" s="823">
        <v>503</v>
      </c>
      <c r="AA500" s="823">
        <v>512</v>
      </c>
      <c r="AB500" s="823">
        <v>546</v>
      </c>
      <c r="AC500" s="825">
        <v>541</v>
      </c>
      <c r="AD500" s="825">
        <v>539</v>
      </c>
      <c r="AE500" s="825">
        <v>503</v>
      </c>
      <c r="AF500" s="825">
        <v>515</v>
      </c>
      <c r="AG500" s="825">
        <v>518</v>
      </c>
      <c r="AH500" s="825">
        <v>517</v>
      </c>
      <c r="AI500" s="825">
        <v>364</v>
      </c>
      <c r="AJ500" s="825">
        <v>372</v>
      </c>
      <c r="AK500" s="825">
        <v>369</v>
      </c>
      <c r="AL500" s="825">
        <v>374</v>
      </c>
      <c r="AM500" s="825">
        <v>376</v>
      </c>
      <c r="AN500" s="825">
        <v>382</v>
      </c>
      <c r="AO500" s="825">
        <v>404</v>
      </c>
      <c r="AP500" s="825">
        <v>416</v>
      </c>
      <c r="AQ500" s="51"/>
      <c r="AR500" s="51"/>
      <c r="AS500" s="51"/>
      <c r="AT500" s="51"/>
      <c r="AU500" s="51"/>
      <c r="AV500" s="51"/>
      <c r="AW500" s="51"/>
      <c r="AX500" s="51"/>
      <c r="AY500" s="51"/>
      <c r="AZ500" s="51"/>
      <c r="BA500" s="51"/>
      <c r="BB500" s="51"/>
      <c r="BC500" s="51"/>
      <c r="BD500" s="51"/>
      <c r="BE500" s="51"/>
      <c r="BF500" s="51"/>
      <c r="BG500" s="51"/>
      <c r="BH500" s="51"/>
      <c r="BI500" s="51"/>
      <c r="BJ500" s="51"/>
      <c r="BK500" s="51"/>
      <c r="BL500" s="51"/>
      <c r="BM500" s="51"/>
      <c r="BN500" s="51"/>
      <c r="BO500" s="51"/>
      <c r="BP500" s="51"/>
      <c r="BQ500" s="51"/>
      <c r="BR500" s="51"/>
      <c r="BS500" s="51"/>
      <c r="BT500" s="51"/>
      <c r="BU500" s="51"/>
      <c r="BV500" s="51"/>
      <c r="BW500" s="51"/>
      <c r="BX500" s="51"/>
      <c r="BY500" s="51"/>
      <c r="BZ500" s="51"/>
      <c r="CA500" s="51"/>
      <c r="CB500" s="51"/>
      <c r="CC500" s="51"/>
      <c r="CD500" s="51"/>
      <c r="CE500" s="51"/>
      <c r="CF500" s="51"/>
      <c r="CG500" s="51"/>
      <c r="CH500" s="51"/>
      <c r="CI500" s="51"/>
      <c r="CJ500" s="51"/>
      <c r="CK500" s="51"/>
      <c r="CL500" s="51"/>
      <c r="CM500" s="51"/>
      <c r="CN500" s="51"/>
      <c r="CO500" s="51"/>
      <c r="CP500" s="51"/>
      <c r="CQ500" s="51"/>
      <c r="CR500" s="51"/>
      <c r="CS500" s="51"/>
      <c r="CT500" s="51"/>
      <c r="CU500" s="51"/>
      <c r="CV500" s="51"/>
      <c r="CW500" s="51"/>
      <c r="CX500" s="51"/>
      <c r="CY500" s="51"/>
      <c r="CZ500" s="51"/>
      <c r="DA500" s="51"/>
      <c r="DB500" s="51"/>
      <c r="DC500" s="51"/>
      <c r="DD500" s="51"/>
      <c r="DE500" s="51"/>
      <c r="DF500" s="51"/>
      <c r="DG500" s="51"/>
      <c r="DH500" s="51"/>
      <c r="DI500" s="51"/>
      <c r="DJ500" s="51"/>
      <c r="DK500" s="51"/>
      <c r="DL500" s="51"/>
      <c r="DM500" s="51"/>
      <c r="DN500" s="51"/>
      <c r="DO500" s="51"/>
      <c r="DP500" s="51"/>
      <c r="DQ500" s="51"/>
      <c r="DR500" s="51"/>
      <c r="DS500" s="51"/>
      <c r="DT500" s="51"/>
      <c r="DU500" s="51"/>
      <c r="DV500" s="51"/>
      <c r="DW500" s="51"/>
      <c r="DX500" s="51"/>
      <c r="DY500" s="51"/>
      <c r="DZ500" s="51"/>
      <c r="EA500" s="51"/>
      <c r="EB500" s="51"/>
      <c r="EC500" s="51"/>
      <c r="ED500" s="51"/>
      <c r="EE500" s="51"/>
      <c r="EF500" s="51"/>
      <c r="EG500" s="51"/>
      <c r="EH500" s="51"/>
      <c r="EI500" s="51"/>
      <c r="EJ500" s="51"/>
      <c r="EK500" s="51"/>
      <c r="EL500" s="51"/>
      <c r="EM500" s="51"/>
      <c r="EN500" s="51"/>
      <c r="EO500" s="51"/>
      <c r="EP500" s="51"/>
      <c r="EQ500" s="51"/>
      <c r="ER500" s="51"/>
      <c r="ES500" s="51"/>
      <c r="ET500" s="51"/>
      <c r="EU500" s="51"/>
      <c r="EV500" s="51"/>
      <c r="EW500" s="51"/>
      <c r="EX500" s="51"/>
      <c r="EY500" s="51"/>
      <c r="EZ500" s="51"/>
      <c r="FA500" s="51"/>
      <c r="FB500" s="51"/>
      <c r="FC500" s="51"/>
      <c r="FD500" s="51"/>
      <c r="FE500" s="51"/>
      <c r="FF500" s="51"/>
      <c r="FG500" s="51"/>
      <c r="FH500" s="51"/>
      <c r="FI500" s="51"/>
      <c r="FJ500" s="51"/>
      <c r="FK500" s="51"/>
      <c r="FL500" s="51"/>
      <c r="FM500" s="51"/>
      <c r="FN500" s="51"/>
      <c r="FO500" s="51"/>
      <c r="FP500" s="51"/>
      <c r="FQ500" s="51"/>
      <c r="FR500" s="51"/>
      <c r="FS500" s="51"/>
      <c r="FT500" s="51"/>
      <c r="FU500" s="51"/>
      <c r="FV500" s="51"/>
      <c r="FW500" s="51"/>
      <c r="FX500" s="51"/>
      <c r="FY500" s="51"/>
      <c r="FZ500" s="51"/>
      <c r="GA500" s="51"/>
      <c r="GB500" s="51"/>
      <c r="GC500" s="51"/>
      <c r="GD500" s="51"/>
      <c r="GE500" s="51"/>
      <c r="GF500" s="51"/>
      <c r="GG500" s="51"/>
      <c r="GH500" s="51"/>
      <c r="GI500" s="51"/>
      <c r="GJ500" s="51"/>
      <c r="GK500" s="51"/>
      <c r="GL500" s="51"/>
      <c r="GM500" s="51"/>
      <c r="GN500" s="51"/>
      <c r="GO500" s="51"/>
      <c r="GP500" s="51"/>
      <c r="GQ500" s="51"/>
      <c r="GR500" s="51"/>
      <c r="GS500" s="51"/>
      <c r="GT500" s="51"/>
      <c r="GU500" s="51"/>
      <c r="GV500" s="51"/>
      <c r="GW500" s="51"/>
      <c r="GX500" s="51"/>
      <c r="GY500" s="51"/>
      <c r="GZ500" s="51"/>
      <c r="HA500" s="51"/>
      <c r="HB500" s="51"/>
      <c r="HC500" s="51"/>
      <c r="HD500" s="51"/>
      <c r="HE500" s="51"/>
      <c r="HF500" s="51"/>
      <c r="HG500" s="51"/>
      <c r="HH500" s="51"/>
      <c r="HI500" s="51"/>
      <c r="HJ500" s="51"/>
      <c r="HK500" s="51"/>
      <c r="HL500" s="51"/>
      <c r="HM500" s="51"/>
      <c r="HN500" s="51"/>
      <c r="HO500" s="51"/>
      <c r="HP500" s="51"/>
      <c r="HQ500" s="51"/>
      <c r="HR500" s="51"/>
      <c r="HS500" s="51"/>
      <c r="HT500" s="51"/>
      <c r="HU500" s="51"/>
      <c r="HV500" s="51"/>
      <c r="HW500" s="51"/>
      <c r="HX500" s="51"/>
      <c r="HY500" s="51"/>
      <c r="HZ500" s="51"/>
      <c r="IA500" s="51"/>
      <c r="IB500" s="51"/>
      <c r="IC500" s="51"/>
      <c r="ID500" s="51"/>
      <c r="IE500" s="51"/>
      <c r="IF500" s="51"/>
      <c r="IG500" s="51"/>
      <c r="IH500" s="51"/>
      <c r="II500" s="51"/>
      <c r="IJ500" s="51"/>
      <c r="IK500" s="51"/>
      <c r="IL500" s="51"/>
      <c r="IM500" s="51"/>
      <c r="IN500" s="51"/>
      <c r="IO500" s="51"/>
      <c r="IP500" s="51"/>
      <c r="IQ500" s="51"/>
      <c r="IR500" s="51"/>
      <c r="IS500" s="51"/>
      <c r="IT500" s="51"/>
      <c r="IU500" s="51"/>
      <c r="IV500" s="51"/>
    </row>
    <row r="501" hidden="1">
      <c r="B501" s="826" t="s">
        <v>23</v>
      </c>
      <c r="C501" s="827">
        <v>0</v>
      </c>
      <c r="D501" s="827">
        <v>0</v>
      </c>
      <c r="E501" s="827">
        <v>0</v>
      </c>
      <c r="F501" s="827">
        <v>0</v>
      </c>
      <c r="G501" s="827">
        <v>0</v>
      </c>
      <c r="H501" s="827">
        <v>0</v>
      </c>
      <c r="I501" s="827">
        <v>0</v>
      </c>
      <c r="J501" s="827">
        <v>0</v>
      </c>
      <c r="K501" s="827">
        <v>0</v>
      </c>
      <c r="L501" s="827">
        <v>0</v>
      </c>
      <c r="M501" s="827">
        <v>0</v>
      </c>
      <c r="N501" s="827">
        <v>0</v>
      </c>
      <c r="O501" s="827">
        <v>0</v>
      </c>
      <c r="P501" s="827">
        <v>1</v>
      </c>
      <c r="Q501" s="827">
        <v>3</v>
      </c>
      <c r="R501" s="827">
        <v>4</v>
      </c>
      <c r="S501" s="827">
        <v>7</v>
      </c>
      <c r="T501" s="827">
        <v>6</v>
      </c>
      <c r="U501" s="827">
        <v>6</v>
      </c>
      <c r="V501" s="827">
        <v>5</v>
      </c>
      <c r="W501" s="827">
        <v>6</v>
      </c>
      <c r="X501" s="827">
        <v>6</v>
      </c>
      <c r="Y501" s="827">
        <v>6</v>
      </c>
      <c r="Z501" s="827">
        <v>6</v>
      </c>
      <c r="AA501" s="827">
        <v>7</v>
      </c>
      <c r="AB501" s="827">
        <v>5</v>
      </c>
      <c r="AC501" s="828">
        <v>5</v>
      </c>
      <c r="AD501" s="828">
        <v>5</v>
      </c>
      <c r="AE501" s="828">
        <v>4</v>
      </c>
      <c r="AF501" s="828">
        <v>4</v>
      </c>
      <c r="AG501" s="828">
        <v>5</v>
      </c>
      <c r="AH501" s="828">
        <v>5</v>
      </c>
      <c r="AI501" s="828">
        <v>5</v>
      </c>
      <c r="AJ501" s="828">
        <v>5</v>
      </c>
      <c r="AK501" s="828">
        <v>5</v>
      </c>
      <c r="AL501" s="828">
        <v>5</v>
      </c>
      <c r="AM501" s="828">
        <v>6</v>
      </c>
      <c r="AN501" s="828">
        <v>6</v>
      </c>
      <c r="AO501" s="828">
        <v>6</v>
      </c>
      <c r="AP501" s="828">
        <v>5</v>
      </c>
      <c r="AQ501" s="51"/>
      <c r="AR501" s="51"/>
      <c r="AS501" s="51"/>
      <c r="AT501" s="51"/>
      <c r="AU501" s="51"/>
      <c r="AV501" s="51"/>
      <c r="AW501" s="51"/>
      <c r="AX501" s="51"/>
      <c r="AY501" s="51"/>
      <c r="AZ501" s="51"/>
      <c r="BA501" s="51"/>
      <c r="BB501" s="51"/>
      <c r="BC501" s="51"/>
      <c r="BD501" s="51"/>
      <c r="BE501" s="51"/>
      <c r="BF501" s="51"/>
      <c r="BG501" s="51"/>
      <c r="BH501" s="51"/>
      <c r="BI501" s="51"/>
      <c r="BJ501" s="51"/>
      <c r="BK501" s="51"/>
      <c r="BL501" s="51"/>
      <c r="BM501" s="51"/>
      <c r="BN501" s="51"/>
      <c r="BO501" s="51"/>
      <c r="BP501" s="51"/>
      <c r="BQ501" s="51"/>
      <c r="BR501" s="51"/>
      <c r="BS501" s="51"/>
      <c r="BT501" s="51"/>
      <c r="BU501" s="51"/>
      <c r="BV501" s="51"/>
      <c r="BW501" s="51"/>
      <c r="BX501" s="51"/>
      <c r="BY501" s="51"/>
      <c r="BZ501" s="51"/>
      <c r="CA501" s="51"/>
      <c r="CB501" s="51"/>
      <c r="CC501" s="51"/>
      <c r="CD501" s="51"/>
      <c r="CE501" s="51"/>
      <c r="CF501" s="51"/>
      <c r="CG501" s="51"/>
      <c r="CH501" s="51"/>
      <c r="CI501" s="51"/>
      <c r="CJ501" s="51"/>
      <c r="CK501" s="51"/>
      <c r="CL501" s="51"/>
      <c r="CM501" s="51"/>
      <c r="CN501" s="51"/>
      <c r="CO501" s="51"/>
      <c r="CP501" s="51"/>
      <c r="CQ501" s="51"/>
      <c r="CR501" s="51"/>
      <c r="CS501" s="51"/>
      <c r="CT501" s="51"/>
      <c r="CU501" s="51"/>
      <c r="CV501" s="51"/>
      <c r="CW501" s="51"/>
      <c r="CX501" s="51"/>
      <c r="CY501" s="51"/>
      <c r="CZ501" s="51"/>
      <c r="DA501" s="51"/>
      <c r="DB501" s="51"/>
      <c r="DC501" s="51"/>
      <c r="DD501" s="51"/>
      <c r="DE501" s="51"/>
      <c r="DF501" s="51"/>
      <c r="DG501" s="51"/>
      <c r="DH501" s="51"/>
      <c r="DI501" s="51"/>
      <c r="DJ501" s="51"/>
      <c r="DK501" s="51"/>
      <c r="DL501" s="51"/>
      <c r="DM501" s="51"/>
      <c r="DN501" s="51"/>
      <c r="DO501" s="51"/>
      <c r="DP501" s="51"/>
      <c r="DQ501" s="51"/>
      <c r="DR501" s="51"/>
      <c r="DS501" s="51"/>
      <c r="DT501" s="51"/>
      <c r="DU501" s="51"/>
      <c r="DV501" s="51"/>
      <c r="DW501" s="51"/>
      <c r="DX501" s="51"/>
      <c r="DY501" s="51"/>
      <c r="DZ501" s="51"/>
      <c r="EA501" s="51"/>
      <c r="EB501" s="51"/>
      <c r="EC501" s="51"/>
      <c r="ED501" s="51"/>
      <c r="EE501" s="51"/>
      <c r="EF501" s="51"/>
      <c r="EG501" s="51"/>
      <c r="EH501" s="51"/>
      <c r="EI501" s="51"/>
      <c r="EJ501" s="51"/>
      <c r="EK501" s="51"/>
      <c r="EL501" s="51"/>
      <c r="EM501" s="51"/>
      <c r="EN501" s="51"/>
      <c r="EO501" s="51"/>
      <c r="EP501" s="51"/>
      <c r="EQ501" s="51"/>
      <c r="ER501" s="51"/>
      <c r="ES501" s="51"/>
      <c r="ET501" s="51"/>
      <c r="EU501" s="51"/>
      <c r="EV501" s="51"/>
      <c r="EW501" s="51"/>
      <c r="EX501" s="51"/>
      <c r="EY501" s="51"/>
      <c r="EZ501" s="51"/>
      <c r="FA501" s="51"/>
      <c r="FB501" s="51"/>
      <c r="FC501" s="51"/>
      <c r="FD501" s="51"/>
      <c r="FE501" s="51"/>
      <c r="FF501" s="51"/>
      <c r="FG501" s="51"/>
      <c r="FH501" s="51"/>
      <c r="FI501" s="51"/>
      <c r="FJ501" s="51"/>
      <c r="FK501" s="51"/>
      <c r="FL501" s="51"/>
      <c r="FM501" s="51"/>
      <c r="FN501" s="51"/>
      <c r="FO501" s="51"/>
      <c r="FP501" s="51"/>
      <c r="FQ501" s="51"/>
      <c r="FR501" s="51"/>
      <c r="FS501" s="51"/>
      <c r="FT501" s="51"/>
      <c r="FU501" s="51"/>
      <c r="FV501" s="51"/>
      <c r="FW501" s="51"/>
      <c r="FX501" s="51"/>
      <c r="FY501" s="51"/>
      <c r="FZ501" s="51"/>
      <c r="GA501" s="51"/>
      <c r="GB501" s="51"/>
      <c r="GC501" s="51"/>
      <c r="GD501" s="51"/>
      <c r="GE501" s="51"/>
      <c r="GF501" s="51"/>
      <c r="GG501" s="51"/>
      <c r="GH501" s="51"/>
      <c r="GI501" s="51"/>
      <c r="GJ501" s="51"/>
      <c r="GK501" s="51"/>
      <c r="GL501" s="51"/>
      <c r="GM501" s="51"/>
      <c r="GN501" s="51"/>
      <c r="GO501" s="51"/>
      <c r="GP501" s="51"/>
      <c r="GQ501" s="51"/>
      <c r="GR501" s="51"/>
      <c r="GS501" s="51"/>
      <c r="GT501" s="51"/>
      <c r="GU501" s="51"/>
      <c r="GV501" s="51"/>
      <c r="GW501" s="51"/>
      <c r="GX501" s="51"/>
      <c r="GY501" s="51"/>
      <c r="GZ501" s="51"/>
      <c r="HA501" s="51"/>
      <c r="HB501" s="51"/>
      <c r="HC501" s="51"/>
      <c r="HD501" s="51"/>
      <c r="HE501" s="51"/>
      <c r="HF501" s="51"/>
      <c r="HG501" s="51"/>
      <c r="HH501" s="51"/>
      <c r="HI501" s="51"/>
      <c r="HJ501" s="51"/>
      <c r="HK501" s="51"/>
      <c r="HL501" s="51"/>
      <c r="HM501" s="51"/>
      <c r="HN501" s="51"/>
      <c r="HO501" s="51"/>
      <c r="HP501" s="51"/>
      <c r="HQ501" s="51"/>
      <c r="HR501" s="51"/>
      <c r="HS501" s="51"/>
      <c r="HT501" s="51"/>
      <c r="HU501" s="51"/>
      <c r="HV501" s="51"/>
      <c r="HW501" s="51"/>
      <c r="HX501" s="51"/>
      <c r="HY501" s="51"/>
      <c r="HZ501" s="51"/>
      <c r="IA501" s="51"/>
      <c r="IB501" s="51"/>
      <c r="IC501" s="51"/>
      <c r="ID501" s="51"/>
      <c r="IE501" s="51"/>
      <c r="IF501" s="51"/>
      <c r="IG501" s="51"/>
      <c r="IH501" s="51"/>
      <c r="II501" s="51"/>
      <c r="IJ501" s="51"/>
      <c r="IK501" s="51"/>
      <c r="IL501" s="51"/>
      <c r="IM501" s="51"/>
      <c r="IN501" s="51"/>
      <c r="IO501" s="51"/>
      <c r="IP501" s="51"/>
      <c r="IQ501" s="51"/>
      <c r="IR501" s="51"/>
      <c r="IS501" s="51"/>
      <c r="IT501" s="51"/>
      <c r="IU501" s="51"/>
      <c r="IV501" s="51"/>
    </row>
    <row r="502" hidden="1">
      <c r="B502" s="830" t="s">
        <v>24</v>
      </c>
      <c r="C502" s="823">
        <v>0</v>
      </c>
      <c r="D502" s="823">
        <v>0</v>
      </c>
      <c r="E502" s="823">
        <v>0</v>
      </c>
      <c r="F502" s="823">
        <v>0</v>
      </c>
      <c r="G502" s="823">
        <v>0</v>
      </c>
      <c r="H502" s="823">
        <v>0</v>
      </c>
      <c r="I502" s="823">
        <v>0</v>
      </c>
      <c r="J502" s="823">
        <v>0</v>
      </c>
      <c r="K502" s="823">
        <v>0</v>
      </c>
      <c r="L502" s="823">
        <v>0</v>
      </c>
      <c r="M502" s="823">
        <v>0</v>
      </c>
      <c r="N502" s="823">
        <v>0</v>
      </c>
      <c r="O502" s="823">
        <v>0</v>
      </c>
      <c r="P502" s="823">
        <v>63</v>
      </c>
      <c r="Q502" s="823">
        <v>60</v>
      </c>
      <c r="R502" s="823">
        <v>61</v>
      </c>
      <c r="S502" s="823">
        <v>62</v>
      </c>
      <c r="T502" s="823">
        <v>62</v>
      </c>
      <c r="U502" s="823">
        <v>71</v>
      </c>
      <c r="V502" s="823">
        <v>75</v>
      </c>
      <c r="W502" s="823">
        <v>80</v>
      </c>
      <c r="X502" s="823">
        <v>77</v>
      </c>
      <c r="Y502" s="823">
        <v>76</v>
      </c>
      <c r="Z502" s="823">
        <v>70</v>
      </c>
      <c r="AA502" s="823">
        <v>69</v>
      </c>
      <c r="AB502" s="823">
        <v>67</v>
      </c>
      <c r="AC502" s="825">
        <v>68</v>
      </c>
      <c r="AD502" s="825">
        <v>66</v>
      </c>
      <c r="AE502" s="825">
        <v>64</v>
      </c>
      <c r="AF502" s="825">
        <v>63</v>
      </c>
      <c r="AG502" s="825">
        <v>64</v>
      </c>
      <c r="AH502" s="825">
        <v>65</v>
      </c>
      <c r="AI502" s="825">
        <v>66</v>
      </c>
      <c r="AJ502" s="825">
        <v>65</v>
      </c>
      <c r="AK502" s="825">
        <v>65</v>
      </c>
      <c r="AL502" s="825">
        <v>66</v>
      </c>
      <c r="AM502" s="825">
        <v>63</v>
      </c>
      <c r="AN502" s="825">
        <v>60</v>
      </c>
      <c r="AO502" s="825">
        <v>61</v>
      </c>
      <c r="AP502" s="825">
        <v>62</v>
      </c>
      <c r="AQ502" s="51"/>
      <c r="AR502" s="51"/>
      <c r="AS502" s="51"/>
      <c r="AT502" s="51"/>
      <c r="AU502" s="51"/>
      <c r="AV502" s="51"/>
      <c r="AW502" s="51"/>
      <c r="AX502" s="51"/>
      <c r="AY502" s="51"/>
      <c r="AZ502" s="51"/>
      <c r="BA502" s="51"/>
      <c r="BB502" s="51"/>
      <c r="BC502" s="51"/>
      <c r="BD502" s="51"/>
      <c r="BE502" s="51"/>
      <c r="BF502" s="51"/>
      <c r="BG502" s="51"/>
      <c r="BH502" s="51"/>
      <c r="BI502" s="51"/>
      <c r="BJ502" s="51"/>
      <c r="BK502" s="51"/>
      <c r="BL502" s="51"/>
      <c r="BM502" s="51"/>
      <c r="BN502" s="51"/>
      <c r="BO502" s="51"/>
      <c r="BP502" s="51"/>
      <c r="BQ502" s="51"/>
      <c r="BR502" s="51"/>
      <c r="BS502" s="51"/>
      <c r="BT502" s="51"/>
      <c r="BU502" s="51"/>
      <c r="BV502" s="51"/>
      <c r="BW502" s="51"/>
      <c r="BX502" s="51"/>
      <c r="BY502" s="51"/>
      <c r="BZ502" s="51"/>
      <c r="CA502" s="51"/>
      <c r="CB502" s="51"/>
      <c r="CC502" s="51"/>
      <c r="CD502" s="51"/>
      <c r="CE502" s="51"/>
      <c r="CF502" s="51"/>
      <c r="CG502" s="51"/>
      <c r="CH502" s="51"/>
      <c r="CI502" s="51"/>
      <c r="CJ502" s="51"/>
      <c r="CK502" s="51"/>
      <c r="CL502" s="51"/>
      <c r="CM502" s="51"/>
      <c r="CN502" s="51"/>
      <c r="CO502" s="51"/>
      <c r="CP502" s="51"/>
      <c r="CQ502" s="51"/>
      <c r="CR502" s="51"/>
      <c r="CS502" s="51"/>
      <c r="CT502" s="51"/>
      <c r="CU502" s="51"/>
      <c r="CV502" s="51"/>
      <c r="CW502" s="51"/>
      <c r="CX502" s="51"/>
      <c r="CY502" s="51"/>
      <c r="CZ502" s="51"/>
      <c r="DA502" s="51"/>
      <c r="DB502" s="51"/>
      <c r="DC502" s="51"/>
      <c r="DD502" s="51"/>
      <c r="DE502" s="51"/>
      <c r="DF502" s="51"/>
      <c r="DG502" s="51"/>
      <c r="DH502" s="51"/>
      <c r="DI502" s="51"/>
      <c r="DJ502" s="51"/>
      <c r="DK502" s="51"/>
      <c r="DL502" s="51"/>
      <c r="DM502" s="51"/>
      <c r="DN502" s="51"/>
      <c r="DO502" s="51"/>
      <c r="DP502" s="51"/>
      <c r="DQ502" s="51"/>
      <c r="DR502" s="51"/>
      <c r="DS502" s="51"/>
      <c r="DT502" s="51"/>
      <c r="DU502" s="51"/>
      <c r="DV502" s="51"/>
      <c r="DW502" s="51"/>
      <c r="DX502" s="51"/>
      <c r="DY502" s="51"/>
      <c r="DZ502" s="51"/>
      <c r="EA502" s="51"/>
      <c r="EB502" s="51"/>
      <c r="EC502" s="51"/>
      <c r="ED502" s="51"/>
      <c r="EE502" s="51"/>
      <c r="EF502" s="51"/>
      <c r="EG502" s="51"/>
      <c r="EH502" s="51"/>
      <c r="EI502" s="51"/>
      <c r="EJ502" s="51"/>
      <c r="EK502" s="51"/>
      <c r="EL502" s="51"/>
      <c r="EM502" s="51"/>
      <c r="EN502" s="51"/>
      <c r="EO502" s="51"/>
      <c r="EP502" s="51"/>
      <c r="EQ502" s="51"/>
      <c r="ER502" s="51"/>
      <c r="ES502" s="51"/>
      <c r="ET502" s="51"/>
      <c r="EU502" s="51"/>
      <c r="EV502" s="51"/>
      <c r="EW502" s="51"/>
      <c r="EX502" s="51"/>
      <c r="EY502" s="51"/>
      <c r="EZ502" s="51"/>
      <c r="FA502" s="51"/>
      <c r="FB502" s="51"/>
      <c r="FC502" s="51"/>
      <c r="FD502" s="51"/>
      <c r="FE502" s="51"/>
      <c r="FF502" s="51"/>
      <c r="FG502" s="51"/>
      <c r="FH502" s="51"/>
      <c r="FI502" s="51"/>
      <c r="FJ502" s="51"/>
      <c r="FK502" s="51"/>
      <c r="FL502" s="51"/>
      <c r="FM502" s="51"/>
      <c r="FN502" s="51"/>
      <c r="FO502" s="51"/>
      <c r="FP502" s="51"/>
      <c r="FQ502" s="51"/>
      <c r="FR502" s="51"/>
      <c r="FS502" s="51"/>
      <c r="FT502" s="51"/>
      <c r="FU502" s="51"/>
      <c r="FV502" s="51"/>
      <c r="FW502" s="51"/>
      <c r="FX502" s="51"/>
      <c r="FY502" s="51"/>
      <c r="FZ502" s="51"/>
      <c r="GA502" s="51"/>
      <c r="GB502" s="51"/>
      <c r="GC502" s="51"/>
      <c r="GD502" s="51"/>
      <c r="GE502" s="51"/>
      <c r="GF502" s="51"/>
      <c r="GG502" s="51"/>
      <c r="GH502" s="51"/>
      <c r="GI502" s="51"/>
      <c r="GJ502" s="51"/>
      <c r="GK502" s="51"/>
      <c r="GL502" s="51"/>
      <c r="GM502" s="51"/>
      <c r="GN502" s="51"/>
      <c r="GO502" s="51"/>
      <c r="GP502" s="51"/>
      <c r="GQ502" s="51"/>
      <c r="GR502" s="51"/>
      <c r="GS502" s="51"/>
      <c r="GT502" s="51"/>
      <c r="GU502" s="51"/>
      <c r="GV502" s="51"/>
      <c r="GW502" s="51"/>
      <c r="GX502" s="51"/>
      <c r="GY502" s="51"/>
      <c r="GZ502" s="51"/>
      <c r="HA502" s="51"/>
      <c r="HB502" s="51"/>
      <c r="HC502" s="51"/>
      <c r="HD502" s="51"/>
      <c r="HE502" s="51"/>
      <c r="HF502" s="51"/>
      <c r="HG502" s="51"/>
      <c r="HH502" s="51"/>
      <c r="HI502" s="51"/>
      <c r="HJ502" s="51"/>
      <c r="HK502" s="51"/>
      <c r="HL502" s="51"/>
      <c r="HM502" s="51"/>
      <c r="HN502" s="51"/>
      <c r="HO502" s="51"/>
      <c r="HP502" s="51"/>
      <c r="HQ502" s="51"/>
      <c r="HR502" s="51"/>
      <c r="HS502" s="51"/>
      <c r="HT502" s="51"/>
      <c r="HU502" s="51"/>
      <c r="HV502" s="51"/>
      <c r="HW502" s="51"/>
      <c r="HX502" s="51"/>
      <c r="HY502" s="51"/>
      <c r="HZ502" s="51"/>
      <c r="IA502" s="51"/>
      <c r="IB502" s="51"/>
      <c r="IC502" s="51"/>
      <c r="ID502" s="51"/>
      <c r="IE502" s="51"/>
      <c r="IF502" s="51"/>
      <c r="IG502" s="51"/>
      <c r="IH502" s="51"/>
      <c r="II502" s="51"/>
      <c r="IJ502" s="51"/>
      <c r="IK502" s="51"/>
      <c r="IL502" s="51"/>
      <c r="IM502" s="51"/>
      <c r="IN502" s="51"/>
      <c r="IO502" s="51"/>
      <c r="IP502" s="51"/>
      <c r="IQ502" s="51"/>
      <c r="IR502" s="51"/>
      <c r="IS502" s="51"/>
      <c r="IT502" s="51"/>
      <c r="IU502" s="51"/>
      <c r="IV502" s="51"/>
    </row>
    <row r="503" hidden="1">
      <c r="B503" s="826" t="s">
        <v>25</v>
      </c>
      <c r="C503" s="827">
        <v>0</v>
      </c>
      <c r="D503" s="827">
        <v>0</v>
      </c>
      <c r="E503" s="827">
        <v>0</v>
      </c>
      <c r="F503" s="827">
        <v>0</v>
      </c>
      <c r="G503" s="827">
        <v>0</v>
      </c>
      <c r="H503" s="827">
        <v>0</v>
      </c>
      <c r="I503" s="827">
        <v>0</v>
      </c>
      <c r="J503" s="827">
        <v>0</v>
      </c>
      <c r="K503" s="827">
        <v>0</v>
      </c>
      <c r="L503" s="827">
        <v>0</v>
      </c>
      <c r="M503" s="827">
        <v>0</v>
      </c>
      <c r="N503" s="827">
        <v>0</v>
      </c>
      <c r="O503" s="827">
        <v>0</v>
      </c>
      <c r="P503" s="827">
        <v>0</v>
      </c>
      <c r="Q503" s="827">
        <v>0</v>
      </c>
      <c r="R503" s="827">
        <v>0</v>
      </c>
      <c r="S503" s="827">
        <v>0</v>
      </c>
      <c r="T503" s="827">
        <v>0</v>
      </c>
      <c r="U503" s="827">
        <v>0</v>
      </c>
      <c r="V503" s="827">
        <v>0</v>
      </c>
      <c r="W503" s="827">
        <v>0</v>
      </c>
      <c r="X503" s="827">
        <v>0</v>
      </c>
      <c r="Y503" s="827">
        <v>0</v>
      </c>
      <c r="Z503" s="827">
        <v>0</v>
      </c>
      <c r="AA503" s="827">
        <v>0</v>
      </c>
      <c r="AB503" s="827">
        <v>0</v>
      </c>
      <c r="AC503" s="828">
        <v>0</v>
      </c>
      <c r="AD503" s="828">
        <v>0</v>
      </c>
      <c r="AE503" s="828">
        <v>0</v>
      </c>
      <c r="AF503" s="828">
        <v>0</v>
      </c>
      <c r="AG503" s="828">
        <v>0</v>
      </c>
      <c r="AH503" s="828">
        <v>0</v>
      </c>
      <c r="AI503" s="828">
        <v>0</v>
      </c>
      <c r="AJ503" s="828">
        <v>0</v>
      </c>
      <c r="AK503" s="828">
        <v>0</v>
      </c>
      <c r="AL503" s="828">
        <v>0</v>
      </c>
      <c r="AM503" s="828">
        <v>0</v>
      </c>
      <c r="AN503" s="828">
        <v>0</v>
      </c>
      <c r="AO503" s="828">
        <v>0</v>
      </c>
      <c r="AP503" s="828">
        <v>0</v>
      </c>
      <c r="AQ503" s="51"/>
      <c r="AR503" s="51"/>
      <c r="AS503" s="51"/>
      <c r="AT503" s="51"/>
      <c r="AU503" s="51"/>
      <c r="AV503" s="51"/>
      <c r="AW503" s="51"/>
      <c r="AX503" s="51"/>
      <c r="AY503" s="51"/>
      <c r="AZ503" s="51"/>
      <c r="BA503" s="51"/>
      <c r="BB503" s="51"/>
      <c r="BC503" s="51"/>
      <c r="BD503" s="51"/>
      <c r="BE503" s="51"/>
      <c r="BF503" s="51"/>
      <c r="BG503" s="51"/>
      <c r="BH503" s="51"/>
      <c r="BI503" s="51"/>
      <c r="BJ503" s="51"/>
      <c r="BK503" s="51"/>
      <c r="BL503" s="51"/>
      <c r="BM503" s="51"/>
      <c r="BN503" s="51"/>
      <c r="BO503" s="51"/>
      <c r="BP503" s="51"/>
      <c r="BQ503" s="51"/>
      <c r="BR503" s="51"/>
      <c r="BS503" s="51"/>
      <c r="BT503" s="51"/>
      <c r="BU503" s="51"/>
      <c r="BV503" s="51"/>
      <c r="BW503" s="51"/>
      <c r="BX503" s="51"/>
      <c r="BY503" s="51"/>
      <c r="BZ503" s="51"/>
      <c r="CA503" s="51"/>
      <c r="CB503" s="51"/>
      <c r="CC503" s="51"/>
      <c r="CD503" s="51"/>
      <c r="CE503" s="51"/>
      <c r="CF503" s="51"/>
      <c r="CG503" s="51"/>
      <c r="CH503" s="51"/>
      <c r="CI503" s="51"/>
      <c r="CJ503" s="51"/>
      <c r="CK503" s="51"/>
      <c r="CL503" s="51"/>
      <c r="CM503" s="51"/>
      <c r="CN503" s="51"/>
      <c r="CO503" s="51"/>
      <c r="CP503" s="51"/>
      <c r="CQ503" s="51"/>
      <c r="CR503" s="51"/>
      <c r="CS503" s="51"/>
      <c r="CT503" s="51"/>
      <c r="CU503" s="51"/>
      <c r="CV503" s="51"/>
      <c r="CW503" s="51"/>
      <c r="CX503" s="51"/>
      <c r="CY503" s="51"/>
      <c r="CZ503" s="51"/>
      <c r="DA503" s="51"/>
      <c r="DB503" s="51"/>
      <c r="DC503" s="51"/>
      <c r="DD503" s="51"/>
      <c r="DE503" s="51"/>
      <c r="DF503" s="51"/>
      <c r="DG503" s="51"/>
      <c r="DH503" s="51"/>
      <c r="DI503" s="51"/>
      <c r="DJ503" s="51"/>
      <c r="DK503" s="51"/>
      <c r="DL503" s="51"/>
      <c r="DM503" s="51"/>
      <c r="DN503" s="51"/>
      <c r="DO503" s="51"/>
      <c r="DP503" s="51"/>
      <c r="DQ503" s="51"/>
      <c r="DR503" s="51"/>
      <c r="DS503" s="51"/>
      <c r="DT503" s="51"/>
      <c r="DU503" s="51"/>
      <c r="DV503" s="51"/>
      <c r="DW503" s="51"/>
      <c r="DX503" s="51"/>
      <c r="DY503" s="51"/>
      <c r="DZ503" s="51"/>
      <c r="EA503" s="51"/>
      <c r="EB503" s="51"/>
      <c r="EC503" s="51"/>
      <c r="ED503" s="51"/>
      <c r="EE503" s="51"/>
      <c r="EF503" s="51"/>
      <c r="EG503" s="51"/>
      <c r="EH503" s="51"/>
      <c r="EI503" s="51"/>
      <c r="EJ503" s="51"/>
      <c r="EK503" s="51"/>
      <c r="EL503" s="51"/>
      <c r="EM503" s="51"/>
      <c r="EN503" s="51"/>
      <c r="EO503" s="51"/>
      <c r="EP503" s="51"/>
      <c r="EQ503" s="51"/>
      <c r="ER503" s="51"/>
      <c r="ES503" s="51"/>
      <c r="ET503" s="51"/>
      <c r="EU503" s="51"/>
      <c r="EV503" s="51"/>
      <c r="EW503" s="51"/>
      <c r="EX503" s="51"/>
      <c r="EY503" s="51"/>
      <c r="EZ503" s="51"/>
      <c r="FA503" s="51"/>
      <c r="FB503" s="51"/>
      <c r="FC503" s="51"/>
      <c r="FD503" s="51"/>
      <c r="FE503" s="51"/>
      <c r="FF503" s="51"/>
      <c r="FG503" s="51"/>
      <c r="FH503" s="51"/>
      <c r="FI503" s="51"/>
      <c r="FJ503" s="51"/>
      <c r="FK503" s="51"/>
      <c r="FL503" s="51"/>
      <c r="FM503" s="51"/>
      <c r="FN503" s="51"/>
      <c r="FO503" s="51"/>
      <c r="FP503" s="51"/>
      <c r="FQ503" s="51"/>
      <c r="FR503" s="51"/>
      <c r="FS503" s="51"/>
      <c r="FT503" s="51"/>
      <c r="FU503" s="51"/>
      <c r="FV503" s="51"/>
      <c r="FW503" s="51"/>
      <c r="FX503" s="51"/>
      <c r="FY503" s="51"/>
      <c r="FZ503" s="51"/>
      <c r="GA503" s="51"/>
      <c r="GB503" s="51"/>
      <c r="GC503" s="51"/>
      <c r="GD503" s="51"/>
      <c r="GE503" s="51"/>
      <c r="GF503" s="51"/>
      <c r="GG503" s="51"/>
      <c r="GH503" s="51"/>
      <c r="GI503" s="51"/>
      <c r="GJ503" s="51"/>
      <c r="GK503" s="51"/>
      <c r="GL503" s="51"/>
      <c r="GM503" s="51"/>
      <c r="GN503" s="51"/>
      <c r="GO503" s="51"/>
      <c r="GP503" s="51"/>
      <c r="GQ503" s="51"/>
      <c r="GR503" s="51"/>
      <c r="GS503" s="51"/>
      <c r="GT503" s="51"/>
      <c r="GU503" s="51"/>
      <c r="GV503" s="51"/>
      <c r="GW503" s="51"/>
      <c r="GX503" s="51"/>
      <c r="GY503" s="51"/>
      <c r="GZ503" s="51"/>
      <c r="HA503" s="51"/>
      <c r="HB503" s="51"/>
      <c r="HC503" s="51"/>
      <c r="HD503" s="51"/>
      <c r="HE503" s="51"/>
      <c r="HF503" s="51"/>
      <c r="HG503" s="51"/>
      <c r="HH503" s="51"/>
      <c r="HI503" s="51"/>
      <c r="HJ503" s="51"/>
      <c r="HK503" s="51"/>
      <c r="HL503" s="51"/>
      <c r="HM503" s="51"/>
      <c r="HN503" s="51"/>
      <c r="HO503" s="51"/>
      <c r="HP503" s="51"/>
      <c r="HQ503" s="51"/>
      <c r="HR503" s="51"/>
      <c r="HS503" s="51"/>
      <c r="HT503" s="51"/>
      <c r="HU503" s="51"/>
      <c r="HV503" s="51"/>
      <c r="HW503" s="51"/>
      <c r="HX503" s="51"/>
      <c r="HY503" s="51"/>
      <c r="HZ503" s="51"/>
      <c r="IA503" s="51"/>
      <c r="IB503" s="51"/>
      <c r="IC503" s="51"/>
      <c r="ID503" s="51"/>
      <c r="IE503" s="51"/>
      <c r="IF503" s="51"/>
      <c r="IG503" s="51"/>
      <c r="IH503" s="51"/>
      <c r="II503" s="51"/>
      <c r="IJ503" s="51"/>
      <c r="IK503" s="51"/>
      <c r="IL503" s="51"/>
      <c r="IM503" s="51"/>
      <c r="IN503" s="51"/>
      <c r="IO503" s="51"/>
      <c r="IP503" s="51"/>
      <c r="IQ503" s="51"/>
      <c r="IR503" s="51"/>
      <c r="IS503" s="51"/>
      <c r="IT503" s="51"/>
      <c r="IU503" s="51"/>
      <c r="IV503" s="51"/>
    </row>
    <row r="504" hidden="1" ht="13.5">
      <c r="B504" s="831" t="s">
        <v>26</v>
      </c>
      <c r="C504" s="823">
        <v>0</v>
      </c>
      <c r="D504" s="823">
        <v>0</v>
      </c>
      <c r="E504" s="823">
        <v>0</v>
      </c>
      <c r="F504" s="823">
        <v>0</v>
      </c>
      <c r="G504" s="823">
        <v>0</v>
      </c>
      <c r="H504" s="823">
        <v>0</v>
      </c>
      <c r="I504" s="823">
        <v>0</v>
      </c>
      <c r="J504" s="823">
        <v>0</v>
      </c>
      <c r="K504" s="823">
        <v>0</v>
      </c>
      <c r="L504" s="823">
        <v>0</v>
      </c>
      <c r="M504" s="823">
        <v>0</v>
      </c>
      <c r="N504" s="823">
        <v>0</v>
      </c>
      <c r="O504" s="823">
        <v>0</v>
      </c>
      <c r="P504" s="823">
        <v>0</v>
      </c>
      <c r="Q504" s="823">
        <v>0</v>
      </c>
      <c r="R504" s="823">
        <v>0</v>
      </c>
      <c r="S504" s="823">
        <v>0</v>
      </c>
      <c r="T504" s="823">
        <v>0</v>
      </c>
      <c r="U504" s="823">
        <v>0</v>
      </c>
      <c r="V504" s="823">
        <v>0</v>
      </c>
      <c r="W504" s="823">
        <v>0</v>
      </c>
      <c r="X504" s="823">
        <v>0</v>
      </c>
      <c r="Y504" s="823">
        <v>0</v>
      </c>
      <c r="Z504" s="823">
        <v>0</v>
      </c>
      <c r="AA504" s="823">
        <v>0</v>
      </c>
      <c r="AB504" s="832">
        <v>0</v>
      </c>
      <c r="AC504" s="825">
        <v>0</v>
      </c>
      <c r="AD504" s="825">
        <v>0</v>
      </c>
      <c r="AE504" s="825">
        <v>0</v>
      </c>
      <c r="AF504" s="825">
        <v>0</v>
      </c>
      <c r="AG504" s="825">
        <v>0</v>
      </c>
      <c r="AH504" s="825">
        <v>0</v>
      </c>
      <c r="AI504" s="825">
        <v>0</v>
      </c>
      <c r="AJ504" s="825">
        <v>0</v>
      </c>
      <c r="AK504" s="825">
        <v>0</v>
      </c>
      <c r="AL504" s="825">
        <v>0</v>
      </c>
      <c r="AM504" s="825">
        <v>0</v>
      </c>
      <c r="AN504" s="825">
        <v>0</v>
      </c>
      <c r="AO504" s="825">
        <v>0</v>
      </c>
      <c r="AP504" s="825">
        <v>0</v>
      </c>
      <c r="AQ504" s="51"/>
      <c r="AR504" s="51"/>
      <c r="AS504" s="51"/>
      <c r="AT504" s="51"/>
      <c r="AU504" s="51"/>
      <c r="AV504" s="51"/>
      <c r="AW504" s="51"/>
      <c r="AX504" s="51"/>
      <c r="AY504" s="51"/>
      <c r="AZ504" s="51"/>
      <c r="BA504" s="51"/>
      <c r="BB504" s="51"/>
      <c r="BC504" s="51"/>
      <c r="BD504" s="51"/>
      <c r="BE504" s="51"/>
      <c r="BF504" s="51"/>
      <c r="BG504" s="51"/>
      <c r="BH504" s="51"/>
      <c r="BI504" s="51"/>
      <c r="BJ504" s="51"/>
      <c r="BK504" s="51"/>
      <c r="BL504" s="51"/>
      <c r="BM504" s="51"/>
      <c r="BN504" s="51"/>
      <c r="BO504" s="51"/>
      <c r="BP504" s="51"/>
      <c r="BQ504" s="51"/>
      <c r="BR504" s="51"/>
      <c r="BS504" s="51"/>
      <c r="BT504" s="51"/>
      <c r="BU504" s="51"/>
      <c r="BV504" s="51"/>
      <c r="BW504" s="51"/>
      <c r="BX504" s="51"/>
      <c r="BY504" s="51"/>
      <c r="BZ504" s="51"/>
      <c r="CA504" s="51"/>
      <c r="CB504" s="51"/>
      <c r="CC504" s="51"/>
      <c r="CD504" s="51"/>
      <c r="CE504" s="51"/>
      <c r="CF504" s="51"/>
      <c r="CG504" s="51"/>
      <c r="CH504" s="51"/>
      <c r="CI504" s="51"/>
      <c r="CJ504" s="51"/>
      <c r="CK504" s="51"/>
      <c r="CL504" s="51"/>
      <c r="CM504" s="51"/>
      <c r="CN504" s="51"/>
      <c r="CO504" s="51"/>
      <c r="CP504" s="51"/>
      <c r="CQ504" s="51"/>
      <c r="CR504" s="51"/>
      <c r="CS504" s="51"/>
      <c r="CT504" s="51"/>
      <c r="CU504" s="51"/>
      <c r="CV504" s="51"/>
      <c r="CW504" s="51"/>
      <c r="CX504" s="51"/>
      <c r="CY504" s="51"/>
      <c r="CZ504" s="51"/>
      <c r="DA504" s="51"/>
      <c r="DB504" s="51"/>
      <c r="DC504" s="51"/>
      <c r="DD504" s="51"/>
      <c r="DE504" s="51"/>
      <c r="DF504" s="51"/>
      <c r="DG504" s="51"/>
      <c r="DH504" s="51"/>
      <c r="DI504" s="51"/>
      <c r="DJ504" s="51"/>
      <c r="DK504" s="51"/>
      <c r="DL504" s="51"/>
      <c r="DM504" s="51"/>
      <c r="DN504" s="51"/>
      <c r="DO504" s="51"/>
      <c r="DP504" s="51"/>
      <c r="DQ504" s="51"/>
      <c r="DR504" s="51"/>
      <c r="DS504" s="51"/>
      <c r="DT504" s="51"/>
      <c r="DU504" s="51"/>
      <c r="DV504" s="51"/>
      <c r="DW504" s="51"/>
      <c r="DX504" s="51"/>
      <c r="DY504" s="51"/>
      <c r="DZ504" s="51"/>
      <c r="EA504" s="51"/>
      <c r="EB504" s="51"/>
      <c r="EC504" s="51"/>
      <c r="ED504" s="51"/>
      <c r="EE504" s="51"/>
      <c r="EF504" s="51"/>
      <c r="EG504" s="51"/>
      <c r="EH504" s="51"/>
      <c r="EI504" s="51"/>
      <c r="EJ504" s="51"/>
      <c r="EK504" s="51"/>
      <c r="EL504" s="51"/>
      <c r="EM504" s="51"/>
      <c r="EN504" s="51"/>
      <c r="EO504" s="51"/>
      <c r="EP504" s="51"/>
      <c r="EQ504" s="51"/>
      <c r="ER504" s="51"/>
      <c r="ES504" s="51"/>
      <c r="ET504" s="51"/>
      <c r="EU504" s="51"/>
      <c r="EV504" s="51"/>
      <c r="EW504" s="51"/>
      <c r="EX504" s="51"/>
      <c r="EY504" s="51"/>
      <c r="EZ504" s="51"/>
      <c r="FA504" s="51"/>
      <c r="FB504" s="51"/>
      <c r="FC504" s="51"/>
      <c r="FD504" s="51"/>
      <c r="FE504" s="51"/>
      <c r="FF504" s="51"/>
      <c r="FG504" s="51"/>
      <c r="FH504" s="51"/>
      <c r="FI504" s="51"/>
      <c r="FJ504" s="51"/>
      <c r="FK504" s="51"/>
      <c r="FL504" s="51"/>
      <c r="FM504" s="51"/>
      <c r="FN504" s="51"/>
      <c r="FO504" s="51"/>
      <c r="FP504" s="51"/>
      <c r="FQ504" s="51"/>
      <c r="FR504" s="51"/>
      <c r="FS504" s="51"/>
      <c r="FT504" s="51"/>
      <c r="FU504" s="51"/>
      <c r="FV504" s="51"/>
      <c r="FW504" s="51"/>
      <c r="FX504" s="51"/>
      <c r="FY504" s="51"/>
      <c r="FZ504" s="51"/>
      <c r="GA504" s="51"/>
      <c r="GB504" s="51"/>
      <c r="GC504" s="51"/>
      <c r="GD504" s="51"/>
      <c r="GE504" s="51"/>
      <c r="GF504" s="51"/>
      <c r="GG504" s="51"/>
      <c r="GH504" s="51"/>
      <c r="GI504" s="51"/>
      <c r="GJ504" s="51"/>
      <c r="GK504" s="51"/>
      <c r="GL504" s="51"/>
      <c r="GM504" s="51"/>
      <c r="GN504" s="51"/>
      <c r="GO504" s="51"/>
      <c r="GP504" s="51"/>
      <c r="GQ504" s="51"/>
      <c r="GR504" s="51"/>
      <c r="GS504" s="51"/>
      <c r="GT504" s="51"/>
      <c r="GU504" s="51"/>
      <c r="GV504" s="51"/>
      <c r="GW504" s="51"/>
      <c r="GX504" s="51"/>
      <c r="GY504" s="51"/>
      <c r="GZ504" s="51"/>
      <c r="HA504" s="51"/>
      <c r="HB504" s="51"/>
      <c r="HC504" s="51"/>
      <c r="HD504" s="51"/>
      <c r="HE504" s="51"/>
      <c r="HF504" s="51"/>
      <c r="HG504" s="51"/>
      <c r="HH504" s="51"/>
      <c r="HI504" s="51"/>
      <c r="HJ504" s="51"/>
      <c r="HK504" s="51"/>
      <c r="HL504" s="51"/>
      <c r="HM504" s="51"/>
      <c r="HN504" s="51"/>
      <c r="HO504" s="51"/>
      <c r="HP504" s="51"/>
      <c r="HQ504" s="51"/>
      <c r="HR504" s="51"/>
      <c r="HS504" s="51"/>
      <c r="HT504" s="51"/>
      <c r="HU504" s="51"/>
      <c r="HV504" s="51"/>
      <c r="HW504" s="51"/>
      <c r="HX504" s="51"/>
      <c r="HY504" s="51"/>
      <c r="HZ504" s="51"/>
      <c r="IA504" s="51"/>
      <c r="IB504" s="51"/>
      <c r="IC504" s="51"/>
      <c r="ID504" s="51"/>
      <c r="IE504" s="51"/>
      <c r="IF504" s="51"/>
      <c r="IG504" s="51"/>
      <c r="IH504" s="51"/>
      <c r="II504" s="51"/>
      <c r="IJ504" s="51"/>
      <c r="IK504" s="51"/>
      <c r="IL504" s="51"/>
      <c r="IM504" s="51"/>
      <c r="IN504" s="51"/>
      <c r="IO504" s="51"/>
      <c r="IP504" s="51"/>
      <c r="IQ504" s="51"/>
      <c r="IR504" s="51"/>
      <c r="IS504" s="51"/>
      <c r="IT504" s="51"/>
      <c r="IU504" s="51"/>
      <c r="IV504" s="51"/>
    </row>
    <row r="505" hidden="1" ht="13.5">
      <c r="B505" s="128" t="s">
        <v>7</v>
      </c>
      <c r="C505" s="129" t="str">
        <f>IF(SUM(C486:C504)&lt;&gt;0,SUM(C486:C504),"")</f>
      </c>
      <c r="D505" s="129" t="str">
        <f ref="D505:AA505" t="shared" si="65">IF(SUM(D486:D504)&lt;&gt;0,SUM(D486:D504),"")</f>
      </c>
      <c r="E505" s="129" t="str">
        <f t="shared" si="65"/>
      </c>
      <c r="F505" s="129" t="str">
        <f t="shared" si="65"/>
      </c>
      <c r="G505" s="129" t="str">
        <f t="shared" si="65"/>
      </c>
      <c r="H505" s="129" t="str">
        <f t="shared" si="65"/>
      </c>
      <c r="I505" s="129" t="str">
        <f t="shared" si="65"/>
      </c>
      <c r="J505" s="129" t="str">
        <f t="shared" si="65"/>
      </c>
      <c r="K505" s="129" t="str">
        <f t="shared" si="65"/>
      </c>
      <c r="L505" s="129" t="str">
        <f t="shared" si="65"/>
      </c>
      <c r="M505" s="129" t="str">
        <f t="shared" si="65"/>
      </c>
      <c r="N505" s="129" t="str">
        <f t="shared" si="65"/>
      </c>
      <c r="O505" s="129" t="str">
        <f t="shared" si="65"/>
      </c>
      <c r="P505" s="129" t="str">
        <f t="shared" si="65"/>
      </c>
      <c r="Q505" s="129" t="str">
        <f t="shared" si="65"/>
      </c>
      <c r="R505" s="129" t="str">
        <f t="shared" si="65"/>
      </c>
      <c r="S505" s="129" t="str">
        <f t="shared" si="65"/>
      </c>
      <c r="T505" s="129" t="str">
        <f t="shared" si="65"/>
      </c>
      <c r="U505" s="129" t="str">
        <f t="shared" si="65"/>
      </c>
      <c r="V505" s="129" t="str">
        <f t="shared" si="65"/>
      </c>
      <c r="W505" s="129" t="str">
        <f t="shared" si="65"/>
      </c>
      <c r="X505" s="129" t="str">
        <f t="shared" si="65"/>
      </c>
      <c r="Y505" s="129" t="str">
        <f t="shared" si="65"/>
      </c>
      <c r="Z505" s="129" t="str">
        <f t="shared" si="65"/>
      </c>
      <c r="AA505" s="129" t="str">
        <f t="shared" si="65"/>
      </c>
      <c r="AB505" s="130" t="str">
        <f>IF(SUM(AB486:AB504)&lt;&gt;0,SUM(AB486:AB504),"")</f>
      </c>
      <c r="AC505" s="91" t="str">
        <f ref="AC505:CN505" t="shared" si="66">IF(SUM(AC486:AC504)&lt;&gt;0,SUM(AC486:AC504),"")</f>
      </c>
      <c r="AD505" s="91" t="str">
        <f t="shared" si="66"/>
      </c>
      <c r="AE505" s="91" t="str">
        <f t="shared" si="66"/>
      </c>
      <c r="AF505" s="91" t="str">
        <f t="shared" si="66"/>
      </c>
      <c r="AG505" s="91" t="str">
        <f t="shared" si="66"/>
      </c>
      <c r="AH505" s="91" t="str">
        <f t="shared" si="66"/>
      </c>
      <c r="AI505" s="91" t="str">
        <f t="shared" si="66"/>
      </c>
      <c r="AJ505" s="91" t="str">
        <f t="shared" si="66"/>
      </c>
      <c r="AK505" s="91" t="str">
        <f t="shared" si="66"/>
      </c>
      <c r="AL505" s="91" t="str">
        <f t="shared" si="66"/>
      </c>
      <c r="AM505" s="91" t="str">
        <f t="shared" si="66"/>
      </c>
      <c r="AN505" s="91" t="str">
        <f t="shared" si="66"/>
      </c>
      <c r="AO505" s="91" t="str">
        <f t="shared" si="66"/>
      </c>
      <c r="AP505" s="91" t="str">
        <f t="shared" si="66"/>
      </c>
      <c r="AQ505" s="91" t="str">
        <f t="shared" si="66"/>
      </c>
      <c r="AR505" s="91" t="str">
        <f t="shared" si="66"/>
      </c>
      <c r="AS505" s="91" t="str">
        <f t="shared" si="66"/>
      </c>
      <c r="AT505" s="91" t="str">
        <f t="shared" si="66"/>
      </c>
      <c r="AU505" s="91" t="str">
        <f t="shared" si="66"/>
      </c>
      <c r="AV505" s="91" t="str">
        <f t="shared" si="66"/>
      </c>
      <c r="AW505" s="91" t="str">
        <f t="shared" si="66"/>
      </c>
      <c r="AX505" s="91" t="str">
        <f t="shared" si="66"/>
      </c>
      <c r="AY505" s="91" t="str">
        <f t="shared" si="66"/>
      </c>
      <c r="AZ505" s="91" t="str">
        <f t="shared" si="66"/>
      </c>
      <c r="BA505" s="91" t="str">
        <f t="shared" si="66"/>
      </c>
      <c r="BB505" s="91" t="str">
        <f t="shared" si="66"/>
      </c>
      <c r="BC505" s="91" t="str">
        <f t="shared" si="66"/>
      </c>
      <c r="BD505" s="91" t="str">
        <f t="shared" si="66"/>
      </c>
      <c r="BE505" s="91" t="str">
        <f t="shared" si="66"/>
      </c>
      <c r="BF505" s="91" t="str">
        <f t="shared" si="66"/>
      </c>
      <c r="BG505" s="91" t="str">
        <f t="shared" si="66"/>
      </c>
      <c r="BH505" s="91" t="str">
        <f t="shared" si="66"/>
      </c>
      <c r="BI505" s="91" t="str">
        <f t="shared" si="66"/>
      </c>
      <c r="BJ505" s="91" t="str">
        <f t="shared" si="66"/>
      </c>
      <c r="BK505" s="91" t="str">
        <f t="shared" si="66"/>
      </c>
      <c r="BL505" s="91" t="str">
        <f t="shared" si="66"/>
      </c>
      <c r="BM505" s="91" t="str">
        <f t="shared" si="66"/>
      </c>
      <c r="BN505" s="91" t="str">
        <f t="shared" si="66"/>
      </c>
      <c r="BO505" s="91" t="str">
        <f t="shared" si="66"/>
      </c>
      <c r="BP505" s="91" t="str">
        <f t="shared" si="66"/>
      </c>
      <c r="BQ505" s="91" t="str">
        <f t="shared" si="66"/>
      </c>
      <c r="BR505" s="91" t="str">
        <f t="shared" si="66"/>
      </c>
      <c r="BS505" s="91" t="str">
        <f t="shared" si="66"/>
      </c>
      <c r="BT505" s="91" t="str">
        <f t="shared" si="66"/>
      </c>
      <c r="BU505" s="91" t="str">
        <f t="shared" si="66"/>
      </c>
      <c r="BV505" s="91" t="str">
        <f t="shared" si="66"/>
      </c>
      <c r="BW505" s="91" t="str">
        <f t="shared" si="66"/>
      </c>
      <c r="BX505" s="91" t="str">
        <f t="shared" si="66"/>
      </c>
      <c r="BY505" s="91" t="str">
        <f t="shared" si="66"/>
      </c>
      <c r="BZ505" s="91" t="str">
        <f t="shared" si="66"/>
      </c>
      <c r="CA505" s="91" t="str">
        <f t="shared" si="66"/>
      </c>
      <c r="CB505" s="91" t="str">
        <f t="shared" si="66"/>
      </c>
      <c r="CC505" s="91" t="str">
        <f t="shared" si="66"/>
      </c>
      <c r="CD505" s="91" t="str">
        <f t="shared" si="66"/>
      </c>
      <c r="CE505" s="91" t="str">
        <f t="shared" si="66"/>
      </c>
      <c r="CF505" s="91" t="str">
        <f t="shared" si="66"/>
      </c>
      <c r="CG505" s="91" t="str">
        <f t="shared" si="66"/>
      </c>
      <c r="CH505" s="91" t="str">
        <f t="shared" si="66"/>
      </c>
      <c r="CI505" s="91" t="str">
        <f t="shared" si="66"/>
      </c>
      <c r="CJ505" s="91" t="str">
        <f t="shared" si="66"/>
      </c>
      <c r="CK505" s="91" t="str">
        <f t="shared" si="66"/>
      </c>
      <c r="CL505" s="91" t="str">
        <f t="shared" si="66"/>
      </c>
      <c r="CM505" s="91" t="str">
        <f t="shared" si="66"/>
      </c>
      <c r="CN505" s="91" t="str">
        <f t="shared" si="66"/>
      </c>
      <c r="CO505" s="91" t="str">
        <f ref="CO505:EZ505" t="shared" si="67">IF(SUM(CO486:CO504)&lt;&gt;0,SUM(CO486:CO504),"")</f>
      </c>
      <c r="CP505" s="91" t="str">
        <f t="shared" si="67"/>
      </c>
      <c r="CQ505" s="91" t="str">
        <f t="shared" si="67"/>
      </c>
      <c r="CR505" s="91" t="str">
        <f t="shared" si="67"/>
      </c>
      <c r="CS505" s="91" t="str">
        <f t="shared" si="67"/>
      </c>
      <c r="CT505" s="91" t="str">
        <f t="shared" si="67"/>
      </c>
      <c r="CU505" s="91" t="str">
        <f t="shared" si="67"/>
      </c>
      <c r="CV505" s="91" t="str">
        <f t="shared" si="67"/>
      </c>
      <c r="CW505" s="91" t="str">
        <f t="shared" si="67"/>
      </c>
      <c r="CX505" s="91" t="str">
        <f t="shared" si="67"/>
      </c>
      <c r="CY505" s="91" t="str">
        <f t="shared" si="67"/>
      </c>
      <c r="CZ505" s="91" t="str">
        <f t="shared" si="67"/>
      </c>
      <c r="DA505" s="91" t="str">
        <f t="shared" si="67"/>
      </c>
      <c r="DB505" s="91" t="str">
        <f t="shared" si="67"/>
      </c>
      <c r="DC505" s="91" t="str">
        <f t="shared" si="67"/>
      </c>
      <c r="DD505" s="91" t="str">
        <f t="shared" si="67"/>
      </c>
      <c r="DE505" s="91" t="str">
        <f t="shared" si="67"/>
      </c>
      <c r="DF505" s="91" t="str">
        <f t="shared" si="67"/>
      </c>
      <c r="DG505" s="91" t="str">
        <f t="shared" si="67"/>
      </c>
      <c r="DH505" s="91" t="str">
        <f t="shared" si="67"/>
      </c>
      <c r="DI505" s="91" t="str">
        <f t="shared" si="67"/>
      </c>
      <c r="DJ505" s="91" t="str">
        <f t="shared" si="67"/>
      </c>
      <c r="DK505" s="91" t="str">
        <f t="shared" si="67"/>
      </c>
      <c r="DL505" s="91" t="str">
        <f t="shared" si="67"/>
      </c>
      <c r="DM505" s="91" t="str">
        <f t="shared" si="67"/>
      </c>
      <c r="DN505" s="91" t="str">
        <f t="shared" si="67"/>
      </c>
      <c r="DO505" s="91" t="str">
        <f t="shared" si="67"/>
      </c>
      <c r="DP505" s="91" t="str">
        <f t="shared" si="67"/>
      </c>
      <c r="DQ505" s="91" t="str">
        <f t="shared" si="67"/>
      </c>
      <c r="DR505" s="91" t="str">
        <f t="shared" si="67"/>
      </c>
      <c r="DS505" s="91" t="str">
        <f t="shared" si="67"/>
      </c>
      <c r="DT505" s="91" t="str">
        <f t="shared" si="67"/>
      </c>
      <c r="DU505" s="91" t="str">
        <f t="shared" si="67"/>
      </c>
      <c r="DV505" s="91" t="str">
        <f t="shared" si="67"/>
      </c>
      <c r="DW505" s="91" t="str">
        <f t="shared" si="67"/>
      </c>
      <c r="DX505" s="91" t="str">
        <f t="shared" si="67"/>
      </c>
      <c r="DY505" s="91" t="str">
        <f t="shared" si="67"/>
      </c>
      <c r="DZ505" s="91" t="str">
        <f t="shared" si="67"/>
      </c>
      <c r="EA505" s="91" t="str">
        <f t="shared" si="67"/>
      </c>
      <c r="EB505" s="91" t="str">
        <f t="shared" si="67"/>
      </c>
      <c r="EC505" s="91" t="str">
        <f t="shared" si="67"/>
      </c>
      <c r="ED505" s="91" t="str">
        <f t="shared" si="67"/>
      </c>
      <c r="EE505" s="91" t="str">
        <f t="shared" si="67"/>
      </c>
      <c r="EF505" s="91" t="str">
        <f t="shared" si="67"/>
      </c>
      <c r="EG505" s="91" t="str">
        <f t="shared" si="67"/>
      </c>
      <c r="EH505" s="91" t="str">
        <f t="shared" si="67"/>
      </c>
      <c r="EI505" s="91" t="str">
        <f t="shared" si="67"/>
      </c>
      <c r="EJ505" s="91" t="str">
        <f t="shared" si="67"/>
      </c>
      <c r="EK505" s="91" t="str">
        <f t="shared" si="67"/>
      </c>
      <c r="EL505" s="91" t="str">
        <f t="shared" si="67"/>
      </c>
      <c r="EM505" s="91" t="str">
        <f t="shared" si="67"/>
      </c>
      <c r="EN505" s="91" t="str">
        <f t="shared" si="67"/>
      </c>
      <c r="EO505" s="91" t="str">
        <f t="shared" si="67"/>
      </c>
      <c r="EP505" s="91" t="str">
        <f t="shared" si="67"/>
      </c>
      <c r="EQ505" s="91" t="str">
        <f t="shared" si="67"/>
      </c>
      <c r="ER505" s="91" t="str">
        <f t="shared" si="67"/>
      </c>
      <c r="ES505" s="91" t="str">
        <f t="shared" si="67"/>
      </c>
      <c r="ET505" s="91" t="str">
        <f t="shared" si="67"/>
      </c>
      <c r="EU505" s="91" t="str">
        <f t="shared" si="67"/>
      </c>
      <c r="EV505" s="91" t="str">
        <f t="shared" si="67"/>
      </c>
      <c r="EW505" s="91" t="str">
        <f t="shared" si="67"/>
      </c>
      <c r="EX505" s="91" t="str">
        <f t="shared" si="67"/>
      </c>
      <c r="EY505" s="91" t="str">
        <f t="shared" si="67"/>
      </c>
      <c r="EZ505" s="91" t="str">
        <f t="shared" si="67"/>
      </c>
      <c r="FA505" s="91" t="str">
        <f ref="FA505:HL505" t="shared" si="68">IF(SUM(FA486:FA504)&lt;&gt;0,SUM(FA486:FA504),"")</f>
      </c>
      <c r="FB505" s="91" t="str">
        <f t="shared" si="68"/>
      </c>
      <c r="FC505" s="91" t="str">
        <f t="shared" si="68"/>
      </c>
      <c r="FD505" s="91" t="str">
        <f t="shared" si="68"/>
      </c>
      <c r="FE505" s="91" t="str">
        <f t="shared" si="68"/>
      </c>
      <c r="FF505" s="91" t="str">
        <f t="shared" si="68"/>
      </c>
      <c r="FG505" s="91" t="str">
        <f t="shared" si="68"/>
      </c>
      <c r="FH505" s="91" t="str">
        <f t="shared" si="68"/>
      </c>
      <c r="FI505" s="91" t="str">
        <f t="shared" si="68"/>
      </c>
      <c r="FJ505" s="91" t="str">
        <f t="shared" si="68"/>
      </c>
      <c r="FK505" s="91" t="str">
        <f t="shared" si="68"/>
      </c>
      <c r="FL505" s="91" t="str">
        <f t="shared" si="68"/>
      </c>
      <c r="FM505" s="91" t="str">
        <f t="shared" si="68"/>
      </c>
      <c r="FN505" s="91" t="str">
        <f t="shared" si="68"/>
      </c>
      <c r="FO505" s="91" t="str">
        <f t="shared" si="68"/>
      </c>
      <c r="FP505" s="91" t="str">
        <f t="shared" si="68"/>
      </c>
      <c r="FQ505" s="91" t="str">
        <f t="shared" si="68"/>
      </c>
      <c r="FR505" s="91" t="str">
        <f t="shared" si="68"/>
      </c>
      <c r="FS505" s="91" t="str">
        <f t="shared" si="68"/>
      </c>
      <c r="FT505" s="91" t="str">
        <f t="shared" si="68"/>
      </c>
      <c r="FU505" s="91" t="str">
        <f t="shared" si="68"/>
      </c>
      <c r="FV505" s="91" t="str">
        <f t="shared" si="68"/>
      </c>
      <c r="FW505" s="91" t="str">
        <f t="shared" si="68"/>
      </c>
      <c r="FX505" s="91" t="str">
        <f t="shared" si="68"/>
      </c>
      <c r="FY505" s="91" t="str">
        <f t="shared" si="68"/>
      </c>
      <c r="FZ505" s="91" t="str">
        <f t="shared" si="68"/>
      </c>
      <c r="GA505" s="91" t="str">
        <f t="shared" si="68"/>
      </c>
      <c r="GB505" s="91" t="str">
        <f t="shared" si="68"/>
      </c>
      <c r="GC505" s="91" t="str">
        <f t="shared" si="68"/>
      </c>
      <c r="GD505" s="91" t="str">
        <f t="shared" si="68"/>
      </c>
      <c r="GE505" s="91" t="str">
        <f t="shared" si="68"/>
      </c>
      <c r="GF505" s="91" t="str">
        <f t="shared" si="68"/>
      </c>
      <c r="GG505" s="91" t="str">
        <f t="shared" si="68"/>
      </c>
      <c r="GH505" s="91" t="str">
        <f t="shared" si="68"/>
      </c>
      <c r="GI505" s="91" t="str">
        <f t="shared" si="68"/>
      </c>
      <c r="GJ505" s="91" t="str">
        <f t="shared" si="68"/>
      </c>
      <c r="GK505" s="91" t="str">
        <f t="shared" si="68"/>
      </c>
      <c r="GL505" s="91" t="str">
        <f t="shared" si="68"/>
      </c>
      <c r="GM505" s="91" t="str">
        <f t="shared" si="68"/>
      </c>
      <c r="GN505" s="91" t="str">
        <f t="shared" si="68"/>
      </c>
      <c r="GO505" s="91" t="str">
        <f t="shared" si="68"/>
      </c>
      <c r="GP505" s="91" t="str">
        <f t="shared" si="68"/>
      </c>
      <c r="GQ505" s="91" t="str">
        <f t="shared" si="68"/>
      </c>
      <c r="GR505" s="91" t="str">
        <f t="shared" si="68"/>
      </c>
      <c r="GS505" s="91" t="str">
        <f t="shared" si="68"/>
      </c>
      <c r="GT505" s="91" t="str">
        <f t="shared" si="68"/>
      </c>
      <c r="GU505" s="91" t="str">
        <f t="shared" si="68"/>
      </c>
      <c r="GV505" s="91" t="str">
        <f t="shared" si="68"/>
      </c>
      <c r="GW505" s="91" t="str">
        <f t="shared" si="68"/>
      </c>
      <c r="GX505" s="91" t="str">
        <f t="shared" si="68"/>
      </c>
      <c r="GY505" s="91" t="str">
        <f t="shared" si="68"/>
      </c>
      <c r="GZ505" s="91" t="str">
        <f t="shared" si="68"/>
      </c>
      <c r="HA505" s="91" t="str">
        <f t="shared" si="68"/>
      </c>
      <c r="HB505" s="91" t="str">
        <f t="shared" si="68"/>
      </c>
      <c r="HC505" s="91" t="str">
        <f t="shared" si="68"/>
      </c>
      <c r="HD505" s="91" t="str">
        <f t="shared" si="68"/>
      </c>
      <c r="HE505" s="91" t="str">
        <f t="shared" si="68"/>
      </c>
      <c r="HF505" s="91" t="str">
        <f t="shared" si="68"/>
      </c>
      <c r="HG505" s="91" t="str">
        <f t="shared" si="68"/>
      </c>
      <c r="HH505" s="91" t="str">
        <f t="shared" si="68"/>
      </c>
      <c r="HI505" s="91" t="str">
        <f t="shared" si="68"/>
      </c>
      <c r="HJ505" s="91" t="str">
        <f t="shared" si="68"/>
      </c>
      <c r="HK505" s="91" t="str">
        <f t="shared" si="68"/>
      </c>
      <c r="HL505" s="91" t="str">
        <f t="shared" si="68"/>
      </c>
      <c r="HM505" s="91" t="str">
        <f ref="HM505:IV505" t="shared" si="69">IF(SUM(HM486:HM504)&lt;&gt;0,SUM(HM486:HM504),"")</f>
      </c>
      <c r="HN505" s="91" t="str">
        <f t="shared" si="69"/>
      </c>
      <c r="HO505" s="91" t="str">
        <f t="shared" si="69"/>
      </c>
      <c r="HP505" s="91" t="str">
        <f t="shared" si="69"/>
      </c>
      <c r="HQ505" s="91" t="str">
        <f t="shared" si="69"/>
      </c>
      <c r="HR505" s="91" t="str">
        <f t="shared" si="69"/>
      </c>
      <c r="HS505" s="91" t="str">
        <f t="shared" si="69"/>
      </c>
      <c r="HT505" s="91" t="str">
        <f t="shared" si="69"/>
      </c>
      <c r="HU505" s="91" t="str">
        <f t="shared" si="69"/>
      </c>
      <c r="HV505" s="91" t="str">
        <f t="shared" si="69"/>
      </c>
      <c r="HW505" s="91" t="str">
        <f t="shared" si="69"/>
      </c>
      <c r="HX505" s="91" t="str">
        <f t="shared" si="69"/>
      </c>
      <c r="HY505" s="91" t="str">
        <f t="shared" si="69"/>
      </c>
      <c r="HZ505" s="91" t="str">
        <f t="shared" si="69"/>
      </c>
      <c r="IA505" s="91" t="str">
        <f t="shared" si="69"/>
      </c>
      <c r="IB505" s="91" t="str">
        <f t="shared" si="69"/>
      </c>
      <c r="IC505" s="91" t="str">
        <f t="shared" si="69"/>
      </c>
      <c r="ID505" s="91" t="str">
        <f t="shared" si="69"/>
      </c>
      <c r="IE505" s="91" t="str">
        <f t="shared" si="69"/>
      </c>
      <c r="IF505" s="91" t="str">
        <f t="shared" si="69"/>
      </c>
      <c r="IG505" s="91" t="str">
        <f t="shared" si="69"/>
      </c>
      <c r="IH505" s="91" t="str">
        <f t="shared" si="69"/>
      </c>
      <c r="II505" s="91" t="str">
        <f t="shared" si="69"/>
      </c>
      <c r="IJ505" s="91" t="str">
        <f t="shared" si="69"/>
      </c>
      <c r="IK505" s="91" t="str">
        <f t="shared" si="69"/>
      </c>
      <c r="IL505" s="91" t="str">
        <f t="shared" si="69"/>
      </c>
      <c r="IM505" s="91" t="str">
        <f t="shared" si="69"/>
      </c>
      <c r="IN505" s="91" t="str">
        <f t="shared" si="69"/>
      </c>
      <c r="IO505" s="91" t="str">
        <f t="shared" si="69"/>
      </c>
      <c r="IP505" s="91" t="str">
        <f t="shared" si="69"/>
      </c>
      <c r="IQ505" s="91" t="str">
        <f t="shared" si="69"/>
      </c>
      <c r="IR505" s="91" t="str">
        <f t="shared" si="69"/>
      </c>
      <c r="IS505" s="91" t="str">
        <f t="shared" si="69"/>
      </c>
      <c r="IT505" s="91" t="str">
        <f t="shared" si="69"/>
      </c>
      <c r="IU505" s="91" t="str">
        <f t="shared" si="69"/>
      </c>
      <c r="IV505" s="91" t="str">
        <f t="shared" si="69"/>
      </c>
    </row>
    <row r="506" hidden="1"/>
  </sheetData>
  <sheetProtection sheet="1" autoFilter="0" objects="1" scenarios="1" sort="0" password="ed66"/>
  <mergeCells>
    <mergeCell ref="B9:E9"/>
    <mergeCell ref="C36:M36"/>
    <mergeCell ref="C32:M32"/>
    <mergeCell ref="C34:M34"/>
    <mergeCell ref="C14:M14"/>
    <mergeCell ref="C15:M15"/>
    <mergeCell ref="C18:M18"/>
    <mergeCell ref="C20:M20"/>
    <mergeCell ref="C24:M24"/>
    <mergeCell ref="C28:M28"/>
    <mergeCell ref="C44:M44"/>
    <mergeCell ref="C22:M22"/>
    <mergeCell ref="C40:M40"/>
    <mergeCell ref="C26:M26"/>
    <mergeCell ref="C30:M30"/>
    <mergeCell ref="C38:M38"/>
    <mergeCell ref="C42:M42"/>
    <mergeCell ref="C166:AB166"/>
    <mergeCell ref="C189:AB189"/>
    <mergeCell ref="C212:AB212"/>
    <mergeCell ref="C484:AB484"/>
    <mergeCell ref="C235:AB235"/>
    <mergeCell ref="C258:AB258"/>
    <mergeCell ref="C327:AB327"/>
    <mergeCell ref="C388:AB388"/>
    <mergeCell ref="C281:AB281"/>
    <mergeCell ref="C412:AB412"/>
    <mergeCell ref="C436:AB436"/>
    <mergeCell ref="C460:AB460"/>
    <mergeCell ref="C350:AB350"/>
    <mergeCell ref="C304:AB304"/>
  </mergeCells>
  <phoneticPr fontId="3" type="noConversion"/>
  <printOptions horizontalCentered="1"/>
  <pageMargins left="0.78740157480314965" right="0.78740157480314965" top="0.98425196850393704" bottom="0.98425196850393704" header="0" footer="0"/>
  <pageSetup paperSize="9" scale="50" orientation="portrait"/>
  <headerFooter alignWithMargins="0"/>
  <rowBreaks count="1" manualBreakCount="1">
    <brk id="99" max="1048575" man="1"/>
  </rowBreaks>
  <drawing r:id="rId2"/>
  <legacyDrawing r:id="rId3"/>
  <mc:AlternateContent xmlns:mc="http://schemas.openxmlformats.org/markup-compatibility/2006">
    <mc:Choice Requires="x14">
      <controls>
        <mc:AlternateContent xmlns:mc="http://schemas.openxmlformats.org/markup-compatibility/2006">
          <mc:Choice Requires="x14">
            <control shapeId="118785" r:id="rId4" name="Drop Down 1">
              <controlPr defaultSize="0" autoLine="0" autoPict="0">
                <anchor moveWithCells="1">
                  <from>
                    <xdr:col>5</xdr:col>
                    <xdr:colOff>9525</xdr:colOff>
                    <xdr:row>7</xdr:row>
                    <xdr:rowOff>9525</xdr:rowOff>
                  </from>
                  <to>
                    <xdr:col>7</xdr:col>
                    <xdr:colOff>200025</xdr:colOff>
                    <xdr:row>12</xdr:row>
                    <xdr:rowOff>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ontainsText" priority="56" operator="containsText" id="{268F193A-1B7C-4473-9C86-32C8EA37D878}">
            <xm:f>NOT(ISERROR(SEARCH("",AC505)))</xm:f>
            <xm:f>""</xm:f>
            <x14:dxf>
              <numFmt numFmtId="3" formatCode="#,##0"/>
              <border>
                <left style="thin">
                  <color auto="1"/>
                </left>
                <right style="thin">
                  <color auto="1"/>
                </right>
                <top style="thin">
                  <color auto="1"/>
                </top>
                <bottom style="thin">
                  <color auto="1"/>
                </bottom>
                <vertical/>
                <horizontal/>
              </border>
            </x14:dxf>
          </x14:cfRule>
          <xm:sqref>AC505:IV505</xm:sqref>
        </x14:conditionalFormatting>
        <x14:conditionalFormatting xmlns:xm="http://schemas.microsoft.com/office/excel/2006/main">
          <x14:cfRule type="containsText" priority="55" operator="containsText" id="{A84D3DD6-E4EE-4F5D-960C-173A0B24F607}">
            <xm:f>NOT(ISERROR(SEARCH("",C486)))</xm:f>
            <xm:f>""</xm:f>
            <x14:dxf>
              <numFmt numFmtId="3" formatCode="#,##0"/>
              <border>
                <right style="thin">
                  <color auto="1"/>
                </right>
                <top style="thin">
                  <color auto="1"/>
                </top>
                <bottom style="thin">
                  <color auto="1"/>
                </bottom>
                <vertical/>
                <horizontal/>
              </border>
            </x14:dxf>
          </x14:cfRule>
          <xm:sqref>C486:IV504</xm:sqref>
        </x14:conditionalFormatting>
        <x14:conditionalFormatting xmlns:xm="http://schemas.microsoft.com/office/excel/2006/main">
          <x14:cfRule type="containsText" priority="50" operator="containsText" id="{9096A33C-6898-4244-AA18-1AD4E9073398}">
            <xm:f>NOT(ISERROR(SEARCH("",AD461)))</xm:f>
            <xm:f>""</xm:f>
            <x14:dxf>
              <numFmt numFmtId="3" formatCode="#,##0"/>
              <border>
                <left style="thin">
                  <color auto="1"/>
                </left>
                <right style="thin">
                  <color auto="1"/>
                </right>
                <top style="thin">
                  <color auto="1"/>
                </top>
                <bottom style="thin">
                  <color auto="1"/>
                </bottom>
                <vertical/>
                <horizontal/>
              </border>
            </x14:dxf>
          </x14:cfRule>
          <xm:sqref>AD461:AG461 AI461:AL461 AN461:AQ461 AS461:AV461 AX461:BA461 BC461:BF461 BH461:BK461 BM461:BP461 BR461:BU461 BW461:BZ461 CB461:CE461 CG461:CJ461 CL461:CO461 CQ461:CT461 CV461:CY461 DA461:DD461 DF461:DI461 DK461:DN461 DP461:DS461 DU461:DX461 DZ461:EC461 EE461:EH461 EJ461:EM461 EO461:ER461 ET461:EW461 EY461:FB461 FD461:FG461 FI461:FL461 FN461:FQ461 FS461:FV461 FX461:GA461 GC461:GF461 GH461:GK461 GM461:GP461 GR461:GU461 GW461:GZ461 HB461:HE461 HG461:HJ461 HL461:HO461 HQ461:HT461 HV461:HY461 IA461:ID461 IF461:II461 IK461:IN461 IP461:IS461 IU461:IV461</xm:sqref>
        </x14:conditionalFormatting>
        <x14:conditionalFormatting xmlns:xm="http://schemas.microsoft.com/office/excel/2006/main">
          <x14:cfRule type="containsText" priority="44" operator="containsText" id="{33DCABD0-CFE8-412D-9843-7549973A6908}">
            <xm:f>NOT(ISERROR(SEARCH("",AC433)))</xm:f>
            <xm:f>""</xm:f>
            <x14:dxf>
              <numFmt numFmtId="3" formatCode="#,##0"/>
              <border>
                <left style="thin">
                  <color auto="1"/>
                </left>
                <right style="thin">
                  <color auto="1"/>
                </right>
                <top style="thin">
                  <color auto="1"/>
                </top>
                <bottom style="thin">
                  <color auto="1"/>
                </bottom>
                <vertical/>
                <horizontal/>
              </border>
            </x14:dxf>
          </x14:cfRule>
          <xm:sqref>AC433:IV433</xm:sqref>
        </x14:conditionalFormatting>
        <x14:conditionalFormatting xmlns:xm="http://schemas.microsoft.com/office/excel/2006/main">
          <x14:cfRule type="containsText" priority="43" operator="containsText" id="{FDA5C650-FD03-440A-8681-0427EC80E502}">
            <xm:f>NOT(ISERROR(SEARCH("",C414)))</xm:f>
            <xm:f>""</xm:f>
            <x14:dxf>
              <numFmt numFmtId="3" formatCode="#,##0"/>
              <border>
                <right style="thin">
                  <color auto="1"/>
                </right>
                <top style="thin">
                  <color auto="1"/>
                </top>
                <bottom style="thin">
                  <color auto="1"/>
                </bottom>
                <vertical/>
                <horizontal/>
              </border>
            </x14:dxf>
          </x14:cfRule>
          <xm:sqref>C414:IV432</xm:sqref>
        </x14:conditionalFormatting>
        <x14:conditionalFormatting xmlns:xm="http://schemas.microsoft.com/office/excel/2006/main">
          <x14:cfRule type="containsText" priority="38" operator="containsText" id="{5A6EBE68-F917-40FA-86DD-28EEA0BE548B}">
            <xm:f>NOT(ISERROR(SEARCH("",AD389)))</xm:f>
            <xm:f>""</xm:f>
            <x14:dxf>
              <numFmt numFmtId="3" formatCode="#,##0"/>
              <border>
                <left style="thin">
                  <color auto="1"/>
                </left>
                <right style="thin">
                  <color auto="1"/>
                </right>
                <top style="thin">
                  <color auto="1"/>
                </top>
                <bottom style="thin">
                  <color auto="1"/>
                </bottom>
                <vertical/>
                <horizontal/>
              </border>
            </x14:dxf>
          </x14:cfRule>
          <xm:sqref>AD389:AG389 AI389:AL389 AN389:AQ389 AS389:AV389 AX389:BA389 BC389:BF389 BH389:BK389 BM389:BP389 BR389:BU389 BW389:BZ389 CB389:CE389 CG389:CJ389 CL389:CO389 CQ389:CT389 CV389:CY389 DA389:DD389 DF389:DI389 DK389:DN389 DP389:DS389 DU389:DX389 DZ389:EC389 EE389:EH389 EJ389:EM389 EO389:ER389 ET389:EW389 EY389:FB389 FD389:FG389 FI389:FL389 FN389:FQ389 FS389:FV389 FX389:GA389 GC389:GF389 GH389:GK389 GM389:GP389 GR389:GU389 GW389:GZ389 HB389:HE389 HG389:HJ389 HL389:HO389 HQ389:HT389 HV389:HY389 IA389:ID389 IF389:II389 IK389:IN389 IP389:IS389 IU389:IV389</xm:sqref>
        </x14:conditionalFormatting>
        <x14:conditionalFormatting xmlns:xm="http://schemas.microsoft.com/office/excel/2006/main">
          <x14:cfRule type="containsText" priority="32" operator="containsText" id="{49F5EFE7-C177-4422-81BF-0385E9E05A42}">
            <xm:f>NOT(ISERROR(SEARCH("",AC348)))</xm:f>
            <xm:f>""</xm:f>
            <x14:dxf>
              <numFmt numFmtId="3" formatCode="#,##0"/>
              <border>
                <left style="thin">
                  <color auto="1"/>
                </left>
                <right style="thin">
                  <color auto="1"/>
                </right>
                <top style="thin">
                  <color auto="1"/>
                </top>
                <bottom style="thin">
                  <color auto="1"/>
                </bottom>
                <vertical/>
                <horizontal/>
              </border>
            </x14:dxf>
          </x14:cfRule>
          <xm:sqref>AC348:IV348</xm:sqref>
        </x14:conditionalFormatting>
        <x14:conditionalFormatting xmlns:xm="http://schemas.microsoft.com/office/excel/2006/main">
          <x14:cfRule type="containsText" priority="31" operator="containsText" id="{E28D2891-6FF2-4538-B872-9F70405A7AC5}">
            <xm:f>NOT(ISERROR(SEARCH("",C329)))</xm:f>
            <xm:f>""</xm:f>
            <x14:dxf>
              <numFmt numFmtId="3" formatCode="#,##0"/>
              <border>
                <right style="thin">
                  <color auto="1"/>
                </right>
                <top style="thin">
                  <color auto="1"/>
                </top>
                <bottom style="thin">
                  <color auto="1"/>
                </bottom>
                <vertical/>
                <horizontal/>
              </border>
            </x14:dxf>
          </x14:cfRule>
          <xm:sqref>C329:IV347</xm:sqref>
        </x14:conditionalFormatting>
        <x14:conditionalFormatting xmlns:xm="http://schemas.microsoft.com/office/excel/2006/main">
          <x14:cfRule type="containsText" priority="26" operator="containsText" id="{8FAF8CE2-986F-4C6C-BA8B-2F6EC58C6E28}">
            <xm:f>NOT(ISERROR(SEARCH("",AD305)))</xm:f>
            <xm:f>""</xm:f>
            <x14:dxf>
              <numFmt numFmtId="3" formatCode="#,##0"/>
              <border>
                <left style="thin">
                  <color auto="1"/>
                </left>
                <right style="thin">
                  <color auto="1"/>
                </right>
                <top style="thin">
                  <color auto="1"/>
                </top>
                <bottom style="thin">
                  <color auto="1"/>
                </bottom>
                <vertical/>
                <horizontal/>
              </border>
            </x14:dxf>
          </x14:cfRule>
          <xm:sqref>AD305:AG305 AI305:AL305 AN305:AQ305 AS305:AV305 AX305:BA305 BC305:BF305 BH305:BK305 BM305:BP305 BR305:BU305 BW305:BZ305 CB305:CE305 CG305:CJ305 CL305:CO305 CQ305:CT305 CV305:CY305 DA305:DD305 DF305:DI305 DK305:DN305 DP305:DS305 DU305:DX305 DZ305:EC305 EE305:EH305 EJ305:EM305 EO305:ER305 ET305:EW305 EY305:FB305 FD305:FG305 FI305:FL305 FN305:FQ305 FS305:FV305 FX305:GA305 GC305:GF305 GH305:GK305 GM305:GP305 GR305:GU305 GW305:GZ305 HB305:HE305 HG305:HJ305 HL305:HO305 HQ305:HT305 HV305:HY305 IA305:ID305 IF305:II305 IK305:IN305 IP305:IS305 IU305:IV305</xm:sqref>
        </x14:conditionalFormatting>
        <x14:conditionalFormatting xmlns:xm="http://schemas.microsoft.com/office/excel/2006/main">
          <x14:cfRule type="containsText" priority="20" operator="containsText" id="{92DE9F15-D74E-46EC-BCB4-15DEF0570D8E}">
            <xm:f>NOT(ISERROR(SEARCH("",AC279)))</xm:f>
            <xm:f>""</xm:f>
            <x14:dxf>
              <numFmt numFmtId="3" formatCode="#,##0"/>
              <border>
                <left style="thin">
                  <color auto="1"/>
                </left>
                <right style="thin">
                  <color auto="1"/>
                </right>
                <top style="thin">
                  <color auto="1"/>
                </top>
                <bottom style="thin">
                  <color auto="1"/>
                </bottom>
                <vertical/>
                <horizontal/>
              </border>
            </x14:dxf>
          </x14:cfRule>
          <xm:sqref>AC279:IV279</xm:sqref>
        </x14:conditionalFormatting>
        <x14:conditionalFormatting xmlns:xm="http://schemas.microsoft.com/office/excel/2006/main">
          <x14:cfRule type="containsText" priority="19" operator="containsText" id="{06403822-7E69-400C-AF24-A57E45EE126E}">
            <xm:f>NOT(ISERROR(SEARCH("",C260)))</xm:f>
            <xm:f>""</xm:f>
            <x14:dxf>
              <numFmt numFmtId="3" formatCode="#,##0"/>
              <border>
                <right style="thin">
                  <color auto="1"/>
                </right>
                <top style="thin">
                  <color auto="1"/>
                </top>
                <bottom style="thin">
                  <color auto="1"/>
                </bottom>
                <vertical/>
                <horizontal/>
              </border>
            </x14:dxf>
          </x14:cfRule>
          <xm:sqref>C260:IV278</xm:sqref>
        </x14:conditionalFormatting>
        <x14:conditionalFormatting xmlns:xm="http://schemas.microsoft.com/office/excel/2006/main">
          <x14:cfRule type="containsText" priority="14" operator="containsText" id="{5E279C18-990F-430B-B828-C99A3DE81BD8}">
            <xm:f>NOT(ISERROR(SEARCH("",AD236)))</xm:f>
            <xm:f>""</xm:f>
            <x14:dxf>
              <numFmt numFmtId="3" formatCode="#,##0"/>
              <border>
                <left style="thin">
                  <color auto="1"/>
                </left>
                <right style="thin">
                  <color auto="1"/>
                </right>
                <top style="thin">
                  <color auto="1"/>
                </top>
                <bottom style="thin">
                  <color auto="1"/>
                </bottom>
                <vertical/>
                <horizontal/>
              </border>
            </x14:dxf>
          </x14:cfRule>
          <xm:sqref>AD236:AG236 AI236:AL236 AN236:AQ236 AS236:AV236 AX236:BA236 BC236:BF236 BH236:BK236 BM236:BP236 BR236:BU236 BW236:BZ236 CB236:CE236 CG236:CJ236 CL236:CO236 CQ236:CT236 CV236:CY236 DA236:DD236 DF236:DI236 DK236:DN236 DP236:DS236 DU236:DX236 DZ236:EC236 EE236:EH236 EJ236:EM236 EO236:ER236 ET236:EW236 EY236:FB236 FD236:FG236 FI236:FL236 FN236:FQ236 FS236:FV236 FX236:GA236 GC236:GF236 GH236:GK236 GM236:GP236 GR236:GU236 GW236:GZ236 HB236:HE236 HG236:HJ236 HL236:HO236 HQ236:HT236 HV236:HY236 IA236:ID236 IF236:II236 IK236:IN236 IP236:IS236 IU236:IV236</xm:sqref>
        </x14:conditionalFormatting>
        <x14:conditionalFormatting xmlns:xm="http://schemas.microsoft.com/office/excel/2006/main">
          <x14:cfRule type="containsText" priority="8" operator="containsText" id="{20D7AA90-7ED7-4059-B4DD-DD9DE0617242}">
            <xm:f>NOT(ISERROR(SEARCH("",AC210)))</xm:f>
            <xm:f>""</xm:f>
            <x14:dxf>
              <numFmt numFmtId="3" formatCode="#,##0"/>
              <border>
                <left style="thin">
                  <color auto="1"/>
                </left>
                <right style="thin">
                  <color auto="1"/>
                </right>
                <top style="thin">
                  <color auto="1"/>
                </top>
                <bottom style="thin">
                  <color auto="1"/>
                </bottom>
                <vertical/>
                <horizontal/>
              </border>
            </x14:dxf>
          </x14:cfRule>
          <xm:sqref>AC210:IV210</xm:sqref>
        </x14:conditionalFormatting>
        <x14:conditionalFormatting xmlns:xm="http://schemas.microsoft.com/office/excel/2006/main">
          <x14:cfRule type="containsText" priority="7" operator="containsText" id="{884FF9A3-8776-4447-9714-58BE46BEAD8A}">
            <xm:f>NOT(ISERROR(SEARCH("",C191)))</xm:f>
            <xm:f>""</xm:f>
            <x14:dxf>
              <numFmt numFmtId="3" formatCode="#,##0"/>
              <border>
                <right style="thin">
                  <color auto="1"/>
                </right>
                <top style="thin">
                  <color auto="1"/>
                </top>
                <bottom style="thin">
                  <color auto="1"/>
                </bottom>
                <vertical/>
                <horizontal/>
              </border>
            </x14:dxf>
          </x14:cfRule>
          <xm:sqref>C191:IV209</xm:sqref>
        </x14:conditionalFormatting>
        <x14:conditionalFormatting xmlns:xm="http://schemas.microsoft.com/office/excel/2006/main">
          <x14:cfRule type="containsText" priority="2" operator="containsText" id="{96FFFADF-51EC-45E3-9055-14BF191D8658}">
            <xm:f>NOT(ISERROR(SEARCH("",AD167)))</xm:f>
            <xm:f>""</xm:f>
            <x14:dxf>
              <numFmt numFmtId="3" formatCode="#,##0"/>
              <border>
                <left style="thin">
                  <color auto="1"/>
                </left>
                <right style="thin">
                  <color auto="1"/>
                </right>
                <top style="thin">
                  <color auto="1"/>
                </top>
                <bottom style="thin">
                  <color auto="1"/>
                </bottom>
                <vertical/>
                <horizontal/>
              </border>
            </x14:dxf>
          </x14:cfRule>
          <xm:sqref>AD167:AG167 AI167:AL167 AN167:AQ167 AS167:AV167 AX167:BA167 BC167:BF167 BH167:BK167 BM167:BP167 BR167:BU167 BW167:BZ167 CB167:CE167 CG167:CJ167 CL167:CO167 CQ167:CT167 CV167:CY167 DA167:DD167 DF167:DI167 DK167:DN167 DP167:DS167 DU167:DX167 DZ167:EC167 EE167:EH167 EJ167:EM167 EO167:ER167 ET167:EW167 EY167:FB167 FD167:FG167 FI167:FL167 FN167:FQ167 FS167:FV167 FX167:GA167 GC167:GF167 GH167:GK167 GM167:GP167 GR167:GU167 GW167:GZ167 HB167:HE167 HG167:HJ167 HL167:HO167 HQ167:HT167 HV167:HY167 IA167:ID167 IF167:II167 IK167:IN167 IP167:IS167 IU167:IV167</xm:sqref>
        </x14:conditionalFormatting>
        <x14:conditionalFormatting xmlns:xm="http://schemas.microsoft.com/office/excel/2006/main">
          <x14:cfRule type="containsText" priority="54" operator="containsText" id="{89CFE132-3CD1-4000-9ED6-2CA886182035}">
            <xm:f>NOT(ISERROR(SEARCH("",AD485)))</xm:f>
            <xm:f>""</xm:f>
            <x14:dxf>
              <numFmt numFmtId="3" formatCode="#,##0"/>
              <border>
                <left style="thin">
                  <color auto="1"/>
                </left>
                <right style="thin">
                  <color auto="1"/>
                </right>
                <top style="thin">
                  <color auto="1"/>
                </top>
                <bottom style="thin">
                  <color auto="1"/>
                </bottom>
                <vertical/>
                <horizontal/>
              </border>
            </x14:dxf>
          </x14:cfRule>
          <xm:sqref>AD485:AG485 AI485:AL485 AN485:AQ485 AS485:AV485 AX485:BA485 BC485:BF485 BH485:BK485 BM485:BP485 BR485:BU485 BW485:BZ485 CB485:CE485 CG485:CJ485 CL485:CO485 CQ485:CT485 CV485:CY485 DA485:DD485 DF485:DI485 DK485:DN485 DP485:DS485 DU485:DX485 DZ485:EC485 EE485:EH485 EJ485:EM485 EO485:ER485 ET485:EW485 EY485:FB485 FD485:FG485 FI485:FL485 FN485:FQ485 FS485:FV485 FX485:GA485 GC485:GF485 GH485:GK485 GM485:GP485 GR485:GU485 GW485:GZ485 HB485:HE485 HG485:HJ485 HL485:HO485 HQ485:HT485 HV485:HY485 IA485:ID485 IF485:II485 IK485:IN485 IP485:IS485 IU485:IV485</xm:sqref>
        </x14:conditionalFormatting>
        <x14:conditionalFormatting xmlns:xm="http://schemas.microsoft.com/office/excel/2006/main">
          <x14:cfRule type="containsText" priority="53" operator="containsText" id="{8B305139-32F7-443E-A271-9511939629EF}">
            <xm:f>NOT(ISERROR(SEARCH("",AC485)))</xm:f>
            <xm:f>""</xm:f>
            <x14:dxf>
              <numFmt numFmtId="3" formatCode="#,##0"/>
              <border>
                <left style="thin">
                  <color auto="1"/>
                </left>
                <right style="thin">
                  <color auto="1"/>
                </right>
                <top style="thin">
                  <color auto="1"/>
                </top>
                <bottom style="thin">
                  <color auto="1"/>
                </bottom>
                <vertical/>
                <horizontal/>
              </border>
            </x14:dxf>
          </x14:cfRule>
          <xm:sqref>AC485 AH485 AM485 AR485 AW485 BB485 BG485 BL485 BQ485 BV485 CA485 CF485 CK485 CP485 CU485 CZ485 DE485 DJ485 DO485 DT485 DY485 ED485 EI485 EN485 ES485 EX485 FC485 FH485 FM485 FR485 FW485 GB485 GG485 GL485 GQ485 GV485 HA485 HF485 HK485 HP485 HU485 HZ485 IE485 IJ485 IO485 IT485</xm:sqref>
        </x14:conditionalFormatting>
        <x14:conditionalFormatting xmlns:xm="http://schemas.microsoft.com/office/excel/2006/main">
          <x14:cfRule type="containsText" priority="52" operator="containsText" id="{A882EF58-2796-4558-A094-A0302444C715}">
            <xm:f>NOT(ISERROR(SEARCH("",AC481)))</xm:f>
            <xm:f>""</xm:f>
            <x14:dxf>
              <numFmt numFmtId="3" formatCode="#,##0"/>
              <border>
                <left style="thin">
                  <color auto="1"/>
                </left>
                <right style="thin">
                  <color auto="1"/>
                </right>
                <top style="thin">
                  <color auto="1"/>
                </top>
                <bottom style="thin">
                  <color auto="1"/>
                </bottom>
                <vertical/>
                <horizontal/>
              </border>
            </x14:dxf>
          </x14:cfRule>
          <xm:sqref>AC481:IV481</xm:sqref>
        </x14:conditionalFormatting>
        <x14:conditionalFormatting xmlns:xm="http://schemas.microsoft.com/office/excel/2006/main">
          <x14:cfRule type="containsText" priority="51" operator="containsText" id="{4B03AF6C-D01D-4114-8FC5-B48C31D823CC}">
            <xm:f>NOT(ISERROR(SEARCH("",C462)))</xm:f>
            <xm:f>""</xm:f>
            <x14:dxf>
              <numFmt numFmtId="3" formatCode="#,##0"/>
              <border>
                <right style="thin">
                  <color auto="1"/>
                </right>
                <top style="thin">
                  <color auto="1"/>
                </top>
                <bottom style="thin">
                  <color auto="1"/>
                </bottom>
                <vertical/>
                <horizontal/>
              </border>
            </x14:dxf>
          </x14:cfRule>
          <xm:sqref>C462:IV480</xm:sqref>
        </x14:conditionalFormatting>
        <x14:conditionalFormatting xmlns:xm="http://schemas.microsoft.com/office/excel/2006/main">
          <x14:cfRule type="containsText" priority="49" operator="containsText" id="{1C19DA27-E5E8-4060-8886-59BFE554FFD0}">
            <xm:f>NOT(ISERROR(SEARCH("",AC461)))</xm:f>
            <xm:f>""</xm:f>
            <x14:dxf>
              <numFmt numFmtId="3" formatCode="#,##0"/>
              <border>
                <left style="thin">
                  <color auto="1"/>
                </left>
                <right style="thin">
                  <color auto="1"/>
                </right>
                <top style="thin">
                  <color auto="1"/>
                </top>
                <bottom style="thin">
                  <color auto="1"/>
                </bottom>
                <vertical/>
                <horizontal/>
              </border>
            </x14:dxf>
          </x14:cfRule>
          <xm:sqref>AC461 AH461 AM461 AR461 AW461 BB461 BG461 BL461 BQ461 BV461 CA461 CF461 CK461 CP461 CU461 CZ461 DE461 DJ461 DO461 DT461 DY461 ED461 EI461 EN461 ES461 EX461 FC461 FH461 FM461 FR461 FW461 GB461 GG461 GL461 GQ461 GV461 HA461 HF461 HK461 HP461 HU461 HZ461 IE461 IJ461 IO461 IT461</xm:sqref>
        </x14:conditionalFormatting>
        <x14:conditionalFormatting xmlns:xm="http://schemas.microsoft.com/office/excel/2006/main">
          <x14:cfRule type="containsText" priority="48" operator="containsText" id="{2C6FBA83-043C-49B9-8597-078C45F89472}">
            <xm:f>NOT(ISERROR(SEARCH("",AC457)))</xm:f>
            <xm:f>""</xm:f>
            <x14:dxf>
              <numFmt numFmtId="3" formatCode="#,##0"/>
              <border>
                <left style="thin">
                  <color auto="1"/>
                </left>
                <right style="thin">
                  <color auto="1"/>
                </right>
                <top style="thin">
                  <color auto="1"/>
                </top>
                <bottom style="thin">
                  <color auto="1"/>
                </bottom>
                <vertical/>
                <horizontal/>
              </border>
            </x14:dxf>
          </x14:cfRule>
          <xm:sqref>AC457:IV457</xm:sqref>
        </x14:conditionalFormatting>
        <x14:conditionalFormatting xmlns:xm="http://schemas.microsoft.com/office/excel/2006/main">
          <x14:cfRule type="containsText" priority="47" operator="containsText" id="{BBD25393-4887-4188-89CA-71B299CF40EA}">
            <xm:f>NOT(ISERROR(SEARCH("",C438)))</xm:f>
            <xm:f>""</xm:f>
            <x14:dxf>
              <numFmt numFmtId="3" formatCode="#,##0"/>
              <border>
                <right style="thin">
                  <color auto="1"/>
                </right>
                <top style="thin">
                  <color auto="1"/>
                </top>
                <bottom style="thin">
                  <color auto="1"/>
                </bottom>
                <vertical/>
                <horizontal/>
              </border>
            </x14:dxf>
          </x14:cfRule>
          <xm:sqref>C438:IV456</xm:sqref>
        </x14:conditionalFormatting>
        <x14:conditionalFormatting xmlns:xm="http://schemas.microsoft.com/office/excel/2006/main">
          <x14:cfRule type="containsText" priority="46" operator="containsText" id="{95DC8FE5-FA42-42C5-B88E-F6A7619D42E6}">
            <xm:f>NOT(ISERROR(SEARCH("",AD437)))</xm:f>
            <xm:f>""</xm:f>
            <x14:dxf>
              <numFmt numFmtId="3" formatCode="#,##0"/>
              <border>
                <left style="thin">
                  <color auto="1"/>
                </left>
                <right style="thin">
                  <color auto="1"/>
                </right>
                <top style="thin">
                  <color auto="1"/>
                </top>
                <bottom style="thin">
                  <color auto="1"/>
                </bottom>
                <vertical/>
                <horizontal/>
              </border>
            </x14:dxf>
          </x14:cfRule>
          <xm:sqref>AD437:AG437 AI437:AL437 AN437:AQ437 AS437:AV437 AX437:BA437 BC437:BF437 BH437:BK437 BM437:BP437 BR437:BU437 BW437:BZ437 CB437:CE437 CG437:CJ437 CL437:CO437 CQ437:CT437 CV437:CY437 DA437:DD437 DF437:DI437 DK437:DN437 DP437:DS437 DU437:DX437 DZ437:EC437 EE437:EH437 EJ437:EM437 EO437:ER437 ET437:EW437 EY437:FB437 FD437:FG437 FI437:FL437 FN437:FQ437 FS437:FV437 FX437:GA437 GC437:GF437 GH437:GK437 GM437:GP437 GR437:GU437 GW437:GZ437 HB437:HE437 HG437:HJ437 HL437:HO437 HQ437:HT437 HV437:HY437 IA437:ID437 IF437:II437 IK437:IN437 IP437:IS437 IU437:IV437</xm:sqref>
        </x14:conditionalFormatting>
        <x14:conditionalFormatting xmlns:xm="http://schemas.microsoft.com/office/excel/2006/main">
          <x14:cfRule type="containsText" priority="45" operator="containsText" id="{465C91DB-EFE6-43A1-9BCF-2C2B57D45C66}">
            <xm:f>NOT(ISERROR(SEARCH("",AC437)))</xm:f>
            <xm:f>""</xm:f>
            <x14:dxf>
              <numFmt numFmtId="3" formatCode="#,##0"/>
              <border>
                <left style="thin">
                  <color auto="1"/>
                </left>
                <right style="thin">
                  <color auto="1"/>
                </right>
                <top style="thin">
                  <color auto="1"/>
                </top>
                <bottom style="thin">
                  <color auto="1"/>
                </bottom>
                <vertical/>
                <horizontal/>
              </border>
            </x14:dxf>
          </x14:cfRule>
          <xm:sqref>AC437 AH437 AM437 AR437 AW437 BB437 BG437 BL437 BQ437 BV437 CA437 CF437 CK437 CP437 CU437 CZ437 DE437 DJ437 DO437 DT437 DY437 ED437 EI437 EN437 ES437 EX437 FC437 FH437 FM437 FR437 FW437 GB437 GG437 GL437 GQ437 GV437 HA437 HF437 HK437 HP437 HU437 HZ437 IE437 IJ437 IO437 IT437</xm:sqref>
        </x14:conditionalFormatting>
        <x14:conditionalFormatting xmlns:xm="http://schemas.microsoft.com/office/excel/2006/main">
          <x14:cfRule type="containsText" priority="42" operator="containsText" id="{55195FDC-3B67-407F-A9D0-29BA5C2D7544}">
            <xm:f>NOT(ISERROR(SEARCH("",AD413)))</xm:f>
            <xm:f>""</xm:f>
            <x14:dxf>
              <numFmt numFmtId="3" formatCode="#,##0"/>
              <border>
                <left style="thin">
                  <color auto="1"/>
                </left>
                <right style="thin">
                  <color auto="1"/>
                </right>
                <top style="thin">
                  <color auto="1"/>
                </top>
                <bottom style="thin">
                  <color auto="1"/>
                </bottom>
                <vertical/>
                <horizontal/>
              </border>
            </x14:dxf>
          </x14:cfRule>
          <xm:sqref>AD413:AG413 AI413:AL413 AN413:AQ413 AS413:AV413 AX413:BA413 BC413:BF413 BH413:BK413 BM413:BP413 BR413:BU413 BW413:BZ413 CB413:CE413 CG413:CJ413 CL413:CO413 CQ413:CT413 CV413:CY413 DA413:DD413 DF413:DI413 DK413:DN413 DP413:DS413 DU413:DX413 DZ413:EC413 EE413:EH413 EJ413:EM413 EO413:ER413 ET413:EW413 EY413:FB413 FD413:FG413 FI413:FL413 FN413:FQ413 FS413:FV413 FX413:GA413 GC413:GF413 GH413:GK413 GM413:GP413 GR413:GU413 GW413:GZ413 HB413:HE413 HG413:HJ413 HL413:HO413 HQ413:HT413 HV413:HY413 IA413:ID413 IF413:II413 IK413:IN413 IP413:IS413 IU413:IV413</xm:sqref>
        </x14:conditionalFormatting>
        <x14:conditionalFormatting xmlns:xm="http://schemas.microsoft.com/office/excel/2006/main">
          <x14:cfRule type="containsText" priority="41" operator="containsText" id="{485C2AAB-C81F-45F9-8C94-CED5110F8C7C}">
            <xm:f>NOT(ISERROR(SEARCH("",AC413)))</xm:f>
            <xm:f>""</xm:f>
            <x14:dxf>
              <numFmt numFmtId="3" formatCode="#,##0"/>
              <border>
                <left style="thin">
                  <color auto="1"/>
                </left>
                <right style="thin">
                  <color auto="1"/>
                </right>
                <top style="thin">
                  <color auto="1"/>
                </top>
                <bottom style="thin">
                  <color auto="1"/>
                </bottom>
                <vertical/>
                <horizontal/>
              </border>
            </x14:dxf>
          </x14:cfRule>
          <xm:sqref>AC413 AH413 AM413 AR413 AW413 BB413 BG413 BL413 BQ413 BV413 CA413 CF413 CK413 CP413 CU413 CZ413 DE413 DJ413 DO413 DT413 DY413 ED413 EI413 EN413 ES413 EX413 FC413 FH413 FM413 FR413 FW413 GB413 GG413 GL413 GQ413 GV413 HA413 HF413 HK413 HP413 HU413 HZ413 IE413 IJ413 IO413 IT413</xm:sqref>
        </x14:conditionalFormatting>
        <x14:conditionalFormatting xmlns:xm="http://schemas.microsoft.com/office/excel/2006/main">
          <x14:cfRule type="containsText" priority="40" operator="containsText" id="{2DD1A487-D9C0-4FEE-BD27-91CC27175FF2}">
            <xm:f>NOT(ISERROR(SEARCH("",AC409)))</xm:f>
            <xm:f>""</xm:f>
            <x14:dxf>
              <numFmt numFmtId="3" formatCode="#,##0"/>
              <border>
                <left style="thin">
                  <color auto="1"/>
                </left>
                <right style="thin">
                  <color auto="1"/>
                </right>
                <top style="thin">
                  <color auto="1"/>
                </top>
                <bottom style="thin">
                  <color auto="1"/>
                </bottom>
                <vertical/>
                <horizontal/>
              </border>
            </x14:dxf>
          </x14:cfRule>
          <xm:sqref>AC409:IV409</xm:sqref>
        </x14:conditionalFormatting>
        <x14:conditionalFormatting xmlns:xm="http://schemas.microsoft.com/office/excel/2006/main">
          <x14:cfRule type="containsText" priority="39" operator="containsText" id="{15AB4F16-3369-4F3A-B1C3-FFDA87B552E2}">
            <xm:f>NOT(ISERROR(SEARCH("",C390)))</xm:f>
            <xm:f>""</xm:f>
            <x14:dxf>
              <numFmt numFmtId="3" formatCode="#,##0"/>
              <border>
                <right style="thin">
                  <color auto="1"/>
                </right>
                <top style="thin">
                  <color auto="1"/>
                </top>
                <bottom style="thin">
                  <color auto="1"/>
                </bottom>
                <vertical/>
                <horizontal/>
              </border>
            </x14:dxf>
          </x14:cfRule>
          <xm:sqref>C390:IV408</xm:sqref>
        </x14:conditionalFormatting>
        <x14:conditionalFormatting xmlns:xm="http://schemas.microsoft.com/office/excel/2006/main">
          <x14:cfRule type="containsText" priority="37" operator="containsText" id="{EF6605D7-B597-4922-9F91-5953635E3ED6}">
            <xm:f>NOT(ISERROR(SEARCH("",AC389)))</xm:f>
            <xm:f>""</xm:f>
            <x14:dxf>
              <numFmt numFmtId="3" formatCode="#,##0"/>
              <border>
                <left style="thin">
                  <color auto="1"/>
                </left>
                <right style="thin">
                  <color auto="1"/>
                </right>
                <top style="thin">
                  <color auto="1"/>
                </top>
                <bottom style="thin">
                  <color auto="1"/>
                </bottom>
                <vertical/>
                <horizontal/>
              </border>
            </x14:dxf>
          </x14:cfRule>
          <xm:sqref>AC389 AH389 AM389 AR389 AW389 BB389 BG389 BL389 BQ389 BV389 CA389 CF389 CK389 CP389 CU389 CZ389 DE389 DJ389 DO389 DT389 DY389 ED389 EI389 EN389 ES389 EX389 FC389 FH389 FM389 FR389 FW389 GB389 GG389 GL389 GQ389 GV389 HA389 HF389 HK389 HP389 HU389 HZ389 IE389 IJ389 IO389 IT389</xm:sqref>
        </x14:conditionalFormatting>
        <x14:conditionalFormatting xmlns:xm="http://schemas.microsoft.com/office/excel/2006/main">
          <x14:cfRule type="containsText" priority="36" operator="containsText" id="{6D9798E3-3643-4E81-B627-4DB835938060}">
            <xm:f>NOT(ISERROR(SEARCH("",AC371)))</xm:f>
            <xm:f>""</xm:f>
            <x14:dxf>
              <numFmt numFmtId="3" formatCode="#,##0"/>
              <border>
                <left style="thin">
                  <color auto="1"/>
                </left>
                <right style="thin">
                  <color auto="1"/>
                </right>
                <top style="thin">
                  <color auto="1"/>
                </top>
                <bottom style="thin">
                  <color auto="1"/>
                </bottom>
                <vertical/>
                <horizontal/>
              </border>
            </x14:dxf>
          </x14:cfRule>
          <xm:sqref>AC371:IV371</xm:sqref>
        </x14:conditionalFormatting>
        <x14:conditionalFormatting xmlns:xm="http://schemas.microsoft.com/office/excel/2006/main">
          <x14:cfRule type="containsText" priority="35" operator="containsText" id="{E55FFD51-6276-4EFF-B422-879C1B1CE8B0}">
            <xm:f>NOT(ISERROR(SEARCH("",C352)))</xm:f>
            <xm:f>""</xm:f>
            <x14:dxf>
              <numFmt numFmtId="3" formatCode="#,##0"/>
              <border>
                <right style="thin">
                  <color auto="1"/>
                </right>
                <top style="thin">
                  <color auto="1"/>
                </top>
                <bottom style="thin">
                  <color auto="1"/>
                </bottom>
                <vertical/>
                <horizontal/>
              </border>
            </x14:dxf>
          </x14:cfRule>
          <xm:sqref>C352:IV370</xm:sqref>
        </x14:conditionalFormatting>
        <x14:conditionalFormatting xmlns:xm="http://schemas.microsoft.com/office/excel/2006/main">
          <x14:cfRule type="containsText" priority="34" operator="containsText" id="{BF10FE39-1B7B-4D49-A899-7190B106CF03}">
            <xm:f>NOT(ISERROR(SEARCH("",AD351)))</xm:f>
            <xm:f>""</xm:f>
            <x14:dxf>
              <numFmt numFmtId="3" formatCode="#,##0"/>
              <border>
                <left style="thin">
                  <color auto="1"/>
                </left>
                <right style="thin">
                  <color auto="1"/>
                </right>
                <top style="thin">
                  <color auto="1"/>
                </top>
                <bottom style="thin">
                  <color auto="1"/>
                </bottom>
                <vertical/>
                <horizontal/>
              </border>
            </x14:dxf>
          </x14:cfRule>
          <xm:sqref>AD351:AG351 AI351:AL351 AN351:AQ351 AS351:AV351 AX351:BA351 BC351:BF351 BH351:BK351 BM351:BP351 BR351:BU351 BW351:BZ351 CB351:CE351 CG351:CJ351 CL351:CO351 CQ351:CT351 CV351:CY351 DA351:DD351 DF351:DI351 DK351:DN351 DP351:DS351 DU351:DX351 DZ351:EC351 EE351:EH351 EJ351:EM351 EO351:ER351 ET351:EW351 EY351:FB351 FD351:FG351 FI351:FL351 FN351:FQ351 FS351:FV351 FX351:GA351 GC351:GF351 GH351:GK351 GM351:GP351 GR351:GU351 GW351:GZ351 HB351:HE351 HG351:HJ351 HL351:HO351 HQ351:HT351 HV351:HY351 IA351:ID351 IF351:II351 IK351:IN351 IP351:IS351 IU351:IV351</xm:sqref>
        </x14:conditionalFormatting>
        <x14:conditionalFormatting xmlns:xm="http://schemas.microsoft.com/office/excel/2006/main">
          <x14:cfRule type="containsText" priority="33" operator="containsText" id="{2C733151-904E-411A-9BAD-B2B2967DF49F}">
            <xm:f>NOT(ISERROR(SEARCH("",AC351)))</xm:f>
            <xm:f>""</xm:f>
            <x14:dxf>
              <numFmt numFmtId="3" formatCode="#,##0"/>
              <border>
                <left style="thin">
                  <color auto="1"/>
                </left>
                <right style="thin">
                  <color auto="1"/>
                </right>
                <top style="thin">
                  <color auto="1"/>
                </top>
                <bottom style="thin">
                  <color auto="1"/>
                </bottom>
                <vertical/>
                <horizontal/>
              </border>
            </x14:dxf>
          </x14:cfRule>
          <xm:sqref>AC351 AH351 AM351 AR351 AW351 BB351 BG351 BL351 BQ351 BV351 CA351 CF351 CK351 CP351 CU351 CZ351 DE351 DJ351 DO351 DT351 DY351 ED351 EI351 EN351 ES351 EX351 FC351 FH351 FM351 FR351 FW351 GB351 GG351 GL351 GQ351 GV351 HA351 HF351 HK351 HP351 HU351 HZ351 IE351 IJ351 IO351 IT351</xm:sqref>
        </x14:conditionalFormatting>
        <x14:conditionalFormatting xmlns:xm="http://schemas.microsoft.com/office/excel/2006/main">
          <x14:cfRule type="containsText" priority="30" operator="containsText" id="{BC48A5AD-0F36-4780-8E77-E0E7CF2E28B9}">
            <xm:f>NOT(ISERROR(SEARCH("",AD328)))</xm:f>
            <xm:f>""</xm:f>
            <x14:dxf>
              <numFmt numFmtId="3" formatCode="#,##0"/>
              <border>
                <left style="thin">
                  <color auto="1"/>
                </left>
                <right style="thin">
                  <color auto="1"/>
                </right>
                <top style="thin">
                  <color auto="1"/>
                </top>
                <bottom style="thin">
                  <color auto="1"/>
                </bottom>
                <vertical/>
                <horizontal/>
              </border>
            </x14:dxf>
          </x14:cfRule>
          <xm:sqref>AD328:AG328 AI328:AL328 AN328:AQ328 AS328:AV328 AX328:BA328 BC328:BF328 BH328:BK328 BM328:BP328 BR328:BU328 BW328:BZ328 CB328:CE328 CG328:CJ328 CL328:CO328 CQ328:CT328 CV328:CY328 DA328:DD328 DF328:DI328 DK328:DN328 DP328:DS328 DU328:DX328 DZ328:EC328 EE328:EH328 EJ328:EM328 EO328:ER328 ET328:EW328 EY328:FB328 FD328:FG328 FI328:FL328 FN328:FQ328 FS328:FV328 FX328:GA328 GC328:GF328 GH328:GK328 GM328:GP328 GR328:GU328 GW328:GZ328 HB328:HE328 HG328:HJ328 HL328:HO328 HQ328:HT328 HV328:HY328 IA328:ID328 IF328:II328 IK328:IN328 IP328:IS328 IU328:IV328</xm:sqref>
        </x14:conditionalFormatting>
        <x14:conditionalFormatting xmlns:xm="http://schemas.microsoft.com/office/excel/2006/main">
          <x14:cfRule type="containsText" priority="29" operator="containsText" id="{22E3AEF1-5F4F-4C9C-9490-9554E7BE4AD4}">
            <xm:f>NOT(ISERROR(SEARCH("",AC328)))</xm:f>
            <xm:f>""</xm:f>
            <x14:dxf>
              <numFmt numFmtId="3" formatCode="#,##0"/>
              <border>
                <left style="thin">
                  <color auto="1"/>
                </left>
                <right style="thin">
                  <color auto="1"/>
                </right>
                <top style="thin">
                  <color auto="1"/>
                </top>
                <bottom style="thin">
                  <color auto="1"/>
                </bottom>
                <vertical/>
                <horizontal/>
              </border>
            </x14:dxf>
          </x14:cfRule>
          <xm:sqref>AC328 AH328 AM328 AR328 AW328 BB328 BG328 BL328 BQ328 BV328 CA328 CF328 CK328 CP328 CU328 CZ328 DE328 DJ328 DO328 DT328 DY328 ED328 EI328 EN328 ES328 EX328 FC328 FH328 FM328 FR328 FW328 GB328 GG328 GL328 GQ328 GV328 HA328 HF328 HK328 HP328 HU328 HZ328 IE328 IJ328 IO328 IT328</xm:sqref>
        </x14:conditionalFormatting>
        <x14:conditionalFormatting xmlns:xm="http://schemas.microsoft.com/office/excel/2006/main">
          <x14:cfRule type="containsText" priority="28" operator="containsText" id="{9491F1B3-6D8C-4E5C-A380-23435A6CBA12}">
            <xm:f>NOT(ISERROR(SEARCH("",AC325)))</xm:f>
            <xm:f>""</xm:f>
            <x14:dxf>
              <numFmt numFmtId="3" formatCode="#,##0"/>
              <border>
                <left style="thin">
                  <color auto="1"/>
                </left>
                <right style="thin">
                  <color auto="1"/>
                </right>
                <top style="thin">
                  <color auto="1"/>
                </top>
                <bottom style="thin">
                  <color auto="1"/>
                </bottom>
                <vertical/>
                <horizontal/>
              </border>
            </x14:dxf>
          </x14:cfRule>
          <xm:sqref>AC325:IV325</xm:sqref>
        </x14:conditionalFormatting>
        <x14:conditionalFormatting xmlns:xm="http://schemas.microsoft.com/office/excel/2006/main">
          <x14:cfRule type="containsText" priority="27" operator="containsText" id="{DF990BCA-CD74-44A3-82B8-40B2B4C2644E}">
            <xm:f>NOT(ISERROR(SEARCH("",C306)))</xm:f>
            <xm:f>""</xm:f>
            <x14:dxf>
              <numFmt numFmtId="3" formatCode="#,##0"/>
              <border>
                <right style="thin">
                  <color auto="1"/>
                </right>
                <top style="thin">
                  <color auto="1"/>
                </top>
                <bottom style="thin">
                  <color auto="1"/>
                </bottom>
                <vertical/>
                <horizontal/>
              </border>
            </x14:dxf>
          </x14:cfRule>
          <xm:sqref>C306:IV324</xm:sqref>
        </x14:conditionalFormatting>
        <x14:conditionalFormatting xmlns:xm="http://schemas.microsoft.com/office/excel/2006/main">
          <x14:cfRule type="containsText" priority="25" operator="containsText" id="{1AEB1EC3-01D8-4D5C-93D5-34CAB248A3C5}">
            <xm:f>NOT(ISERROR(SEARCH("",AC305)))</xm:f>
            <xm:f>""</xm:f>
            <x14:dxf>
              <numFmt numFmtId="3" formatCode="#,##0"/>
              <border>
                <left style="thin">
                  <color auto="1"/>
                </left>
                <right style="thin">
                  <color auto="1"/>
                </right>
                <top style="thin">
                  <color auto="1"/>
                </top>
                <bottom style="thin">
                  <color auto="1"/>
                </bottom>
                <vertical/>
                <horizontal/>
              </border>
            </x14:dxf>
          </x14:cfRule>
          <xm:sqref>AC305 AH305 AM305 AR305 AW305 BB305 BG305 BL305 BQ305 BV305 CA305 CF305 CK305 CP305 CU305 CZ305 DE305 DJ305 DO305 DT305 DY305 ED305 EI305 EN305 ES305 EX305 FC305 FH305 FM305 FR305 FW305 GB305 GG305 GL305 GQ305 GV305 HA305 HF305 HK305 HP305 HU305 HZ305 IE305 IJ305 IO305 IT305</xm:sqref>
        </x14:conditionalFormatting>
        <x14:conditionalFormatting xmlns:xm="http://schemas.microsoft.com/office/excel/2006/main">
          <x14:cfRule type="containsText" priority="24" operator="containsText" id="{6B0C6D28-C1FE-4686-8E3F-44726C72BC04}">
            <xm:f>NOT(ISERROR(SEARCH("",AC302)))</xm:f>
            <xm:f>""</xm:f>
            <x14:dxf>
              <numFmt numFmtId="3" formatCode="#,##0"/>
              <border>
                <left style="thin">
                  <color auto="1"/>
                </left>
                <right style="thin">
                  <color auto="1"/>
                </right>
                <top style="thin">
                  <color auto="1"/>
                </top>
                <bottom style="thin">
                  <color auto="1"/>
                </bottom>
                <vertical/>
                <horizontal/>
              </border>
            </x14:dxf>
          </x14:cfRule>
          <xm:sqref>AC302:IV302</xm:sqref>
        </x14:conditionalFormatting>
        <x14:conditionalFormatting xmlns:xm="http://schemas.microsoft.com/office/excel/2006/main">
          <x14:cfRule type="containsText" priority="23" operator="containsText" id="{8157D7A7-3318-480B-80D3-184B43DB0CE6}">
            <xm:f>NOT(ISERROR(SEARCH("",C283)))</xm:f>
            <xm:f>""</xm:f>
            <x14:dxf>
              <numFmt numFmtId="3" formatCode="#,##0"/>
              <border>
                <right style="thin">
                  <color auto="1"/>
                </right>
                <top style="thin">
                  <color auto="1"/>
                </top>
                <bottom style="thin">
                  <color auto="1"/>
                </bottom>
                <vertical/>
                <horizontal/>
              </border>
            </x14:dxf>
          </x14:cfRule>
          <xm:sqref>C283:IV301</xm:sqref>
        </x14:conditionalFormatting>
        <x14:conditionalFormatting xmlns:xm="http://schemas.microsoft.com/office/excel/2006/main">
          <x14:cfRule type="containsText" priority="22" operator="containsText" id="{01FBEE2F-33DF-4803-8FC6-6506CC9C2CB7}">
            <xm:f>NOT(ISERROR(SEARCH("",AD282)))</xm:f>
            <xm:f>""</xm:f>
            <x14:dxf>
              <numFmt numFmtId="3" formatCode="#,##0"/>
              <border>
                <left style="thin">
                  <color auto="1"/>
                </left>
                <right style="thin">
                  <color auto="1"/>
                </right>
                <top style="thin">
                  <color auto="1"/>
                </top>
                <bottom style="thin">
                  <color auto="1"/>
                </bottom>
                <vertical/>
                <horizontal/>
              </border>
            </x14:dxf>
          </x14:cfRule>
          <xm:sqref>AD282:AG282 AI282:AL282 AN282:AQ282 AS282:AV282 AX282:BA282 BC282:BF282 BH282:BK282 BM282:BP282 BR282:BU282 BW282:BZ282 CB282:CE282 CG282:CJ282 CL282:CO282 CQ282:CT282 CV282:CY282 DA282:DD282 DF282:DI282 DK282:DN282 DP282:DS282 DU282:DX282 DZ282:EC282 EE282:EH282 EJ282:EM282 EO282:ER282 ET282:EW282 EY282:FB282 FD282:FG282 FI282:FL282 FN282:FQ282 FS282:FV282 FX282:GA282 GC282:GF282 GH282:GK282 GM282:GP282 GR282:GU282 GW282:GZ282 HB282:HE282 HG282:HJ282 HL282:HO282 HQ282:HT282 HV282:HY282 IA282:ID282 IF282:II282 IK282:IN282 IP282:IS282 IU282:IV282</xm:sqref>
        </x14:conditionalFormatting>
        <x14:conditionalFormatting xmlns:xm="http://schemas.microsoft.com/office/excel/2006/main">
          <x14:cfRule type="containsText" priority="21" operator="containsText" id="{2CD33A70-A22C-4F99-A991-31855F261E8F}">
            <xm:f>NOT(ISERROR(SEARCH("",AC282)))</xm:f>
            <xm:f>""</xm:f>
            <x14:dxf>
              <numFmt numFmtId="3" formatCode="#,##0"/>
              <border>
                <left style="thin">
                  <color auto="1"/>
                </left>
                <right style="thin">
                  <color auto="1"/>
                </right>
                <top style="thin">
                  <color auto="1"/>
                </top>
                <bottom style="thin">
                  <color auto="1"/>
                </bottom>
                <vertical/>
                <horizontal/>
              </border>
            </x14:dxf>
          </x14:cfRule>
          <xm:sqref>AC282 AH282 AM282 AR282 AW282 BB282 BG282 BL282 BQ282 BV282 CA282 CF282 CK282 CP282 CU282 CZ282 DE282 DJ282 DO282 DT282 DY282 ED282 EI282 EN282 ES282 EX282 FC282 FH282 FM282 FR282 FW282 GB282 GG282 GL282 GQ282 GV282 HA282 HF282 HK282 HP282 HU282 HZ282 IE282 IJ282 IO282 IT282</xm:sqref>
        </x14:conditionalFormatting>
        <x14:conditionalFormatting xmlns:xm="http://schemas.microsoft.com/office/excel/2006/main">
          <x14:cfRule type="containsText" priority="18" operator="containsText" id="{F28A9DEF-F614-4309-9896-31A556582ADE}">
            <xm:f>NOT(ISERROR(SEARCH("",AD259)))</xm:f>
            <xm:f>""</xm:f>
            <x14:dxf>
              <numFmt numFmtId="3" formatCode="#,##0"/>
              <border>
                <left style="thin">
                  <color auto="1"/>
                </left>
                <right style="thin">
                  <color auto="1"/>
                </right>
                <top style="thin">
                  <color auto="1"/>
                </top>
                <bottom style="thin">
                  <color auto="1"/>
                </bottom>
                <vertical/>
                <horizontal/>
              </border>
            </x14:dxf>
          </x14:cfRule>
          <xm:sqref>AD259:AG259 AI259:AL259 AN259:AQ259 AS259:AV259 AX259:BA259 BC259:BF259 BH259:BK259 BM259:BP259 BR259:BU259 BW259:BZ259 CB259:CE259 CG259:CJ259 CL259:CO259 CQ259:CT259 CV259:CY259 DA259:DD259 DF259:DI259 DK259:DN259 DP259:DS259 DU259:DX259 DZ259:EC259 EE259:EH259 EJ259:EM259 EO259:ER259 ET259:EW259 EY259:FB259 FD259:FG259 FI259:FL259 FN259:FQ259 FS259:FV259 FX259:GA259 GC259:GF259 GH259:GK259 GM259:GP259 GR259:GU259 GW259:GZ259 HB259:HE259 HG259:HJ259 HL259:HO259 HQ259:HT259 HV259:HY259 IA259:ID259 IF259:II259 IK259:IN259 IP259:IS259 IU259:IV259</xm:sqref>
        </x14:conditionalFormatting>
        <x14:conditionalFormatting xmlns:xm="http://schemas.microsoft.com/office/excel/2006/main">
          <x14:cfRule type="containsText" priority="17" operator="containsText" id="{A0A0C97F-A256-436E-B92F-29D07F5E2A8E}">
            <xm:f>NOT(ISERROR(SEARCH("",AC259)))</xm:f>
            <xm:f>""</xm:f>
            <x14:dxf>
              <numFmt numFmtId="3" formatCode="#,##0"/>
              <border>
                <left style="thin">
                  <color auto="1"/>
                </left>
                <right style="thin">
                  <color auto="1"/>
                </right>
                <top style="thin">
                  <color auto="1"/>
                </top>
                <bottom style="thin">
                  <color auto="1"/>
                </bottom>
                <vertical/>
                <horizontal/>
              </border>
            </x14:dxf>
          </x14:cfRule>
          <xm:sqref>AC259 AH259 AM259 AR259 AW259 BB259 BG259 BL259 BQ259 BV259 CA259 CF259 CK259 CP259 CU259 CZ259 DE259 DJ259 DO259 DT259 DY259 ED259 EI259 EN259 ES259 EX259 FC259 FH259 FM259 FR259 FW259 GB259 GG259 GL259 GQ259 GV259 HA259 HF259 HK259 HP259 HU259 HZ259 IE259 IJ259 IO259 IT259</xm:sqref>
        </x14:conditionalFormatting>
        <x14:conditionalFormatting xmlns:xm="http://schemas.microsoft.com/office/excel/2006/main">
          <x14:cfRule type="containsText" priority="16" operator="containsText" id="{6F6ADA0A-A44C-423E-ACDD-EC9AA91DC714}">
            <xm:f>NOT(ISERROR(SEARCH("",AC256)))</xm:f>
            <xm:f>""</xm:f>
            <x14:dxf>
              <numFmt numFmtId="3" formatCode="#,##0"/>
              <border>
                <left style="thin">
                  <color auto="1"/>
                </left>
                <right style="thin">
                  <color auto="1"/>
                </right>
                <top style="thin">
                  <color auto="1"/>
                </top>
                <bottom style="thin">
                  <color auto="1"/>
                </bottom>
                <vertical/>
                <horizontal/>
              </border>
            </x14:dxf>
          </x14:cfRule>
          <xm:sqref>AC256:IV256</xm:sqref>
        </x14:conditionalFormatting>
        <x14:conditionalFormatting xmlns:xm="http://schemas.microsoft.com/office/excel/2006/main">
          <x14:cfRule type="containsText" priority="15" operator="containsText" id="{D5A6E3C8-0007-4D1A-BBF8-26A68E8FD229}">
            <xm:f>NOT(ISERROR(SEARCH("",C237)))</xm:f>
            <xm:f>""</xm:f>
            <x14:dxf>
              <numFmt numFmtId="3" formatCode="#,##0"/>
              <border>
                <right style="thin">
                  <color auto="1"/>
                </right>
                <top style="thin">
                  <color auto="1"/>
                </top>
                <bottom style="thin">
                  <color auto="1"/>
                </bottom>
                <vertical/>
                <horizontal/>
              </border>
            </x14:dxf>
          </x14:cfRule>
          <xm:sqref>C237:IV255</xm:sqref>
        </x14:conditionalFormatting>
        <x14:conditionalFormatting xmlns:xm="http://schemas.microsoft.com/office/excel/2006/main">
          <x14:cfRule type="containsText" priority="13" operator="containsText" id="{925530FD-FF7D-4508-BA9E-FA470F883EB7}">
            <xm:f>NOT(ISERROR(SEARCH("",AC236)))</xm:f>
            <xm:f>""</xm:f>
            <x14:dxf>
              <numFmt numFmtId="3" formatCode="#,##0"/>
              <border>
                <left style="thin">
                  <color auto="1"/>
                </left>
                <right style="thin">
                  <color auto="1"/>
                </right>
                <top style="thin">
                  <color auto="1"/>
                </top>
                <bottom style="thin">
                  <color auto="1"/>
                </bottom>
                <vertical/>
                <horizontal/>
              </border>
            </x14:dxf>
          </x14:cfRule>
          <xm:sqref>AC236 AH236 AM236 AR236 AW236 BB236 BG236 BL236 BQ236 BV236 CA236 CF236 CK236 CP236 CU236 CZ236 DE236 DJ236 DO236 DT236 DY236 ED236 EI236 EN236 ES236 EX236 FC236 FH236 FM236 FR236 FW236 GB236 GG236 GL236 GQ236 GV236 HA236 HF236 HK236 HP236 HU236 HZ236 IE236 IJ236 IO236 IT236</xm:sqref>
        </x14:conditionalFormatting>
        <x14:conditionalFormatting xmlns:xm="http://schemas.microsoft.com/office/excel/2006/main">
          <x14:cfRule type="containsText" priority="12" operator="containsText" id="{88E53DCC-581F-49F7-B493-42BD4B51D181}">
            <xm:f>NOT(ISERROR(SEARCH("",AC233)))</xm:f>
            <xm:f>""</xm:f>
            <x14:dxf>
              <numFmt numFmtId="3" formatCode="#,##0"/>
              <border>
                <left style="thin">
                  <color auto="1"/>
                </left>
                <right style="thin">
                  <color auto="1"/>
                </right>
                <top style="thin">
                  <color auto="1"/>
                </top>
                <bottom style="thin">
                  <color auto="1"/>
                </bottom>
                <vertical/>
                <horizontal/>
              </border>
            </x14:dxf>
          </x14:cfRule>
          <xm:sqref>AC233:IV233</xm:sqref>
        </x14:conditionalFormatting>
        <x14:conditionalFormatting xmlns:xm="http://schemas.microsoft.com/office/excel/2006/main">
          <x14:cfRule type="containsText" priority="11" operator="containsText" id="{14F561C8-C3B8-4676-9D8B-3958F5B444BB}">
            <xm:f>NOT(ISERROR(SEARCH("",C214)))</xm:f>
            <xm:f>""</xm:f>
            <x14:dxf>
              <numFmt numFmtId="3" formatCode="#,##0"/>
              <border>
                <right style="thin">
                  <color auto="1"/>
                </right>
                <top style="thin">
                  <color auto="1"/>
                </top>
                <bottom style="thin">
                  <color auto="1"/>
                </bottom>
                <vertical/>
                <horizontal/>
              </border>
            </x14:dxf>
          </x14:cfRule>
          <xm:sqref>C214:IV232</xm:sqref>
        </x14:conditionalFormatting>
        <x14:conditionalFormatting xmlns:xm="http://schemas.microsoft.com/office/excel/2006/main">
          <x14:cfRule type="containsText" priority="10" operator="containsText" id="{EBDD7B5F-9DAA-4776-9E63-D99D509D036D}">
            <xm:f>NOT(ISERROR(SEARCH("",AD213)))</xm:f>
            <xm:f>""</xm:f>
            <x14:dxf>
              <numFmt numFmtId="3" formatCode="#,##0"/>
              <border>
                <left style="thin">
                  <color auto="1"/>
                </left>
                <right style="thin">
                  <color auto="1"/>
                </right>
                <top style="thin">
                  <color auto="1"/>
                </top>
                <bottom style="thin">
                  <color auto="1"/>
                </bottom>
                <vertical/>
                <horizontal/>
              </border>
            </x14:dxf>
          </x14:cfRule>
          <xm:sqref>AD213:AG213 AI213:AL213 AN213:AQ213 AS213:AV213 AX213:BA213 BC213:BF213 BH213:BK213 BM213:BP213 BR213:BU213 BW213:BZ213 CB213:CE213 CG213:CJ213 CL213:CO213 CQ213:CT213 CV213:CY213 DA213:DD213 DF213:DI213 DK213:DN213 DP213:DS213 DU213:DX213 DZ213:EC213 EE213:EH213 EJ213:EM213 EO213:ER213 ET213:EW213 EY213:FB213 FD213:FG213 FI213:FL213 FN213:FQ213 FS213:FV213 FX213:GA213 GC213:GF213 GH213:GK213 GM213:GP213 GR213:GU213 GW213:GZ213 HB213:HE213 HG213:HJ213 HL213:HO213 HQ213:HT213 HV213:HY213 IA213:ID213 IF213:II213 IK213:IN213 IP213:IS213 IU213:IV213</xm:sqref>
        </x14:conditionalFormatting>
        <x14:conditionalFormatting xmlns:xm="http://schemas.microsoft.com/office/excel/2006/main">
          <x14:cfRule type="containsText" priority="9" operator="containsText" id="{5BCC27DD-CA0A-49BE-9A49-6CADCC53359D}">
            <xm:f>NOT(ISERROR(SEARCH("",AC213)))</xm:f>
            <xm:f>""</xm:f>
            <x14:dxf>
              <numFmt numFmtId="3" formatCode="#,##0"/>
              <border>
                <left style="thin">
                  <color auto="1"/>
                </left>
                <right style="thin">
                  <color auto="1"/>
                </right>
                <top style="thin">
                  <color auto="1"/>
                </top>
                <bottom style="thin">
                  <color auto="1"/>
                </bottom>
                <vertical/>
                <horizontal/>
              </border>
            </x14:dxf>
          </x14:cfRule>
          <xm:sqref>AC213 AH213 AM213 AR213 AW213 BB213 BG213 BL213 BQ213 BV213 CA213 CF213 CK213 CP213 CU213 CZ213 DE213 DJ213 DO213 DT213 DY213 ED213 EI213 EN213 ES213 EX213 FC213 FH213 FM213 FR213 FW213 GB213 GG213 GL213 GQ213 GV213 HA213 HF213 HK213 HP213 HU213 HZ213 IE213 IJ213 IO213 IT213</xm:sqref>
        </x14:conditionalFormatting>
        <x14:conditionalFormatting xmlns:xm="http://schemas.microsoft.com/office/excel/2006/main">
          <x14:cfRule type="containsText" priority="6" operator="containsText" id="{A5D990BB-6022-43F0-A5C5-F01ABB1E99C9}">
            <xm:f>NOT(ISERROR(SEARCH("",AD190)))</xm:f>
            <xm:f>""</xm:f>
            <x14:dxf>
              <numFmt numFmtId="3" formatCode="#,##0"/>
              <border>
                <left style="thin">
                  <color auto="1"/>
                </left>
                <right style="thin">
                  <color auto="1"/>
                </right>
                <top style="thin">
                  <color auto="1"/>
                </top>
                <bottom style="thin">
                  <color auto="1"/>
                </bottom>
                <vertical/>
                <horizontal/>
              </border>
            </x14:dxf>
          </x14:cfRule>
          <xm:sqref>AD190:AG190 AI190:AL190 AN190:AQ190 AS190:AV190 AX190:BA190 BC190:BF190 BH190:BK190 BM190:BP190 BR190:BU190 BW190:BZ190 CB190:CE190 CG190:CJ190 CL190:CO190 CQ190:CT190 CV190:CY190 DA190:DD190 DF190:DI190 DK190:DN190 DP190:DS190 DU190:DX190 DZ190:EC190 EE190:EH190 EJ190:EM190 EO190:ER190 ET190:EW190 EY190:FB190 FD190:FG190 FI190:FL190 FN190:FQ190 FS190:FV190 FX190:GA190 GC190:GF190 GH190:GK190 GM190:GP190 GR190:GU190 GW190:GZ190 HB190:HE190 HG190:HJ190 HL190:HO190 HQ190:HT190 HV190:HY190 IA190:ID190 IF190:II190 IK190:IN190 IP190:IS190 IU190:IV190</xm:sqref>
        </x14:conditionalFormatting>
        <x14:conditionalFormatting xmlns:xm="http://schemas.microsoft.com/office/excel/2006/main">
          <x14:cfRule type="containsText" priority="5" operator="containsText" id="{3CF6D2E8-600D-4554-B10D-C66C2CF10E50}">
            <xm:f>NOT(ISERROR(SEARCH("",AC190)))</xm:f>
            <xm:f>""</xm:f>
            <x14:dxf>
              <numFmt numFmtId="3" formatCode="#,##0"/>
              <border>
                <left style="thin">
                  <color auto="1"/>
                </left>
                <right style="thin">
                  <color auto="1"/>
                </right>
                <top style="thin">
                  <color auto="1"/>
                </top>
                <bottom style="thin">
                  <color auto="1"/>
                </bottom>
                <vertical/>
                <horizontal/>
              </border>
            </x14:dxf>
          </x14:cfRule>
          <xm:sqref>AC190 AH190 AM190 AR190 AW190 BB190 BG190 BL190 BQ190 BV190 CA190 CF190 CK190 CP190 CU190 CZ190 DE190 DJ190 DO190 DT190 DY190 ED190 EI190 EN190 ES190 EX190 FC190 FH190 FM190 FR190 FW190 GB190 GG190 GL190 GQ190 GV190 HA190 HF190 HK190 HP190 HU190 HZ190 IE190 IJ190 IO190 IT190</xm:sqref>
        </x14:conditionalFormatting>
        <x14:conditionalFormatting xmlns:xm="http://schemas.microsoft.com/office/excel/2006/main">
          <x14:cfRule type="containsText" priority="4" operator="containsText" id="{089DEAC2-1181-4300-8F49-6BC349F575E4}">
            <xm:f>NOT(ISERROR(SEARCH("",AC187)))</xm:f>
            <xm:f>""</xm:f>
            <x14:dxf>
              <numFmt numFmtId="3" formatCode="#,##0"/>
              <border>
                <left style="thin">
                  <color auto="1"/>
                </left>
                <right style="thin">
                  <color auto="1"/>
                </right>
                <top style="thin">
                  <color auto="1"/>
                </top>
                <bottom style="thin">
                  <color auto="1"/>
                </bottom>
                <vertical/>
                <horizontal/>
              </border>
            </x14:dxf>
          </x14:cfRule>
          <xm:sqref>AC187:IV187</xm:sqref>
        </x14:conditionalFormatting>
        <x14:conditionalFormatting xmlns:xm="http://schemas.microsoft.com/office/excel/2006/main">
          <x14:cfRule type="containsText" priority="3" operator="containsText" id="{EF4532BE-CAAE-4C61-8F38-53D34E85B851}">
            <xm:f>NOT(ISERROR(SEARCH("",C168)))</xm:f>
            <xm:f>""</xm:f>
            <x14:dxf>
              <numFmt numFmtId="3" formatCode="#,##0"/>
              <border>
                <right style="thin">
                  <color auto="1"/>
                </right>
                <top style="thin">
                  <color auto="1"/>
                </top>
                <bottom style="thin">
                  <color auto="1"/>
                </bottom>
                <vertical/>
                <horizontal/>
              </border>
            </x14:dxf>
          </x14:cfRule>
          <xm:sqref>C168:IV186</xm:sqref>
        </x14:conditionalFormatting>
        <x14:conditionalFormatting xmlns:xm="http://schemas.microsoft.com/office/excel/2006/main">
          <x14:cfRule type="containsText" priority="1" operator="containsText" id="{480FCA72-AAF6-49DE-8161-C543F94A14FE}">
            <xm:f>NOT(ISERROR(SEARCH("",AC167)))</xm:f>
            <xm:f>""</xm:f>
            <x14:dxf>
              <numFmt numFmtId="3" formatCode="#,##0"/>
              <border>
                <left style="thin">
                  <color auto="1"/>
                </left>
                <right style="thin">
                  <color auto="1"/>
                </right>
                <top style="thin">
                  <color auto="1"/>
                </top>
                <bottom style="thin">
                  <color auto="1"/>
                </bottom>
                <vertical/>
                <horizontal/>
              </border>
            </x14:dxf>
          </x14:cfRule>
          <xm:sqref>AC167 AH167 AM167 AR167 AW167 BB167 BG167 BL167 BQ167 BV167 CA167 CF167 CK167 CP167 CU167 CZ167 DE167 DJ167 DO167 DT167 DY167 ED167 EI167 EN167 ES167 EX167 FC167 FH167 FM167 FR167 FW167 GB167 GG167 GL167 GQ167 GV167 HA167 HF167 HK167 HP167 HU167 HZ167 IE167 IJ167 IO167 IT167</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mc:Ignorable="x14ac xr">
  <sheetPr codeName="Hoja3">
    <tabColor indexed="32"/>
  </sheetPr>
  <dimension ref="A1:Y50"/>
  <sheetViews>
    <sheetView showGridLines="0" view="pageBreakPreview" zoomScaleNormal="100" workbookViewId="0">
      <selection activeCell="A5" sqref="A5"/>
    </sheetView>
  </sheetViews>
  <sheetFormatPr baseColWidth="10" defaultRowHeight="12.75"/>
  <cols>
    <col min="1" max="1" width="11.42578125" customWidth="1" style="51"/>
    <col min="2" max="2" width="1.140625" customWidth="1" style="51"/>
    <col min="3" max="3" width="9.85546875" customWidth="1" style="377"/>
    <col min="4" max="4" width="0.85546875" customWidth="1" style="377"/>
    <col min="5" max="5" width="5.28515625" customWidth="1" style="412"/>
    <col min="6" max="6" width="9.7109375" customWidth="1" style="377"/>
    <col min="7" max="7" width="9.140625" customWidth="1" style="377"/>
    <col min="8" max="8" width="1.140625" customWidth="1" style="377"/>
    <col min="9" max="9" width="6.140625" customWidth="1" style="412"/>
    <col min="10" max="10" bestFit="1" width="7.85546875" customWidth="1" style="377"/>
    <col min="11" max="11" width="7.7109375" customWidth="1" style="377"/>
    <col min="12" max="12" width="0.5703125" customWidth="1" style="377"/>
    <col min="13" max="13" width="6.28515625" customWidth="1" style="377"/>
    <col min="14" max="14" width="1" customWidth="1" style="377"/>
    <col min="15" max="15" width="13.42578125" customWidth="1" style="377"/>
    <col min="16" max="16" width="1" customWidth="1" style="377"/>
    <col min="17" max="17" width="5.140625" customWidth="1" style="412"/>
    <col min="18" max="18" bestFit="1" width="9.5703125" customWidth="1" style="377"/>
    <col min="19" max="19" width="8.42578125" customWidth="1" style="377"/>
    <col min="20" max="20" width="0.85546875" customWidth="1" style="377"/>
    <col min="21" max="21" width="5" customWidth="1" style="412"/>
    <col min="22" max="22" bestFit="1" width="6.5703125" customWidth="1" style="377"/>
    <col min="23" max="23" width="8.28515625" customWidth="1" style="377"/>
    <col min="24" max="24" width="1" customWidth="1" style="51"/>
    <col min="25" max="25" width="11.42578125" customWidth="1" style="51"/>
    <col min="26" max="26" bestFit="1" width="18.42578125" customWidth="1" style="51"/>
    <col min="27" max="16384" width="11.42578125" customWidth="1" style="51"/>
  </cols>
  <sheetData>
    <row r="1" ht="14.25" customHeight="1">
      <c r="E1" s="540" t="str">
        <f>CONCATENATE("INFORME SITRAN: EVOLUCIÓN DE LOS DATOS REGISTRADOS EN EL SISTEMA - ",UPPER(TEXT(AUX!E14," MMMM  AAAA"))," - EN EXPLOTACIONES DE ALTA")</f>
        <v>INFORME SITRAN: EVOLUCIÓN DE LOS DATOS REGISTRADOS EN EL SISTEMA -  DICIEMBRE  1904 - EN EXPLOTACIONES DE ALTA</v>
      </c>
      <c r="F1" s="540"/>
      <c r="G1" s="540"/>
      <c r="H1" s="540"/>
      <c r="I1" s="540"/>
      <c r="J1" s="540"/>
      <c r="K1" s="540"/>
      <c r="L1" s="540"/>
      <c r="M1" s="540"/>
      <c r="N1" s="540"/>
      <c r="O1" s="540"/>
      <c r="P1" s="540"/>
      <c r="Q1" s="540"/>
      <c r="R1" s="540"/>
      <c r="S1" s="540"/>
      <c r="T1" s="540"/>
      <c r="U1" s="540"/>
      <c r="V1" s="540"/>
      <c r="W1" s="540"/>
      <c r="X1" s="540"/>
      <c r="Y1" s="540"/>
    </row>
    <row r="2" ht="14.25" customHeight="1">
      <c r="E2" s="540"/>
      <c r="F2" s="540"/>
      <c r="G2" s="540"/>
      <c r="H2" s="540"/>
      <c r="I2" s="540"/>
      <c r="J2" s="540"/>
      <c r="K2" s="540"/>
      <c r="L2" s="540"/>
      <c r="M2" s="540"/>
      <c r="N2" s="540"/>
      <c r="O2" s="540"/>
      <c r="P2" s="540"/>
      <c r="Q2" s="540"/>
      <c r="R2" s="540"/>
      <c r="S2" s="540"/>
      <c r="T2" s="540"/>
      <c r="U2" s="540"/>
      <c r="V2" s="540"/>
      <c r="W2" s="540"/>
      <c r="X2" s="540"/>
      <c r="Y2" s="540"/>
    </row>
    <row r="3" ht="14.25" customHeight="1">
      <c r="E3" s="540"/>
      <c r="F3" s="540"/>
      <c r="G3" s="540"/>
      <c r="H3" s="540"/>
      <c r="I3" s="540"/>
      <c r="J3" s="540"/>
      <c r="K3" s="540"/>
      <c r="L3" s="540"/>
      <c r="M3" s="540"/>
      <c r="N3" s="540"/>
      <c r="O3" s="540"/>
      <c r="P3" s="540"/>
      <c r="Q3" s="540"/>
      <c r="R3" s="540"/>
      <c r="S3" s="540"/>
      <c r="T3" s="540"/>
      <c r="U3" s="540"/>
      <c r="V3" s="540"/>
      <c r="W3" s="540"/>
      <c r="X3" s="540"/>
      <c r="Y3" s="540"/>
    </row>
    <row r="4" ht="14.25" customHeight="1">
      <c r="E4" s="541"/>
      <c r="F4" s="541"/>
      <c r="G4" s="541"/>
      <c r="H4" s="541"/>
      <c r="I4" s="541"/>
      <c r="J4" s="541"/>
      <c r="K4" s="541"/>
      <c r="L4" s="541"/>
      <c r="M4" s="541"/>
      <c r="N4" s="541"/>
      <c r="O4" s="541"/>
      <c r="P4" s="541"/>
      <c r="Q4" s="541"/>
      <c r="R4" s="541"/>
      <c r="S4" s="541"/>
      <c r="T4" s="541"/>
      <c r="U4" s="541"/>
      <c r="V4" s="541"/>
      <c r="W4" s="541"/>
      <c r="X4" s="541"/>
      <c r="Y4" s="541"/>
    </row>
    <row r="5" ht="14.25">
      <c r="A5" s="378"/>
      <c r="B5" s="379"/>
      <c r="C5" s="380"/>
      <c r="D5" s="380"/>
      <c r="E5" s="381"/>
      <c r="F5" s="380"/>
      <c r="G5" s="380"/>
      <c r="H5" s="380"/>
      <c r="I5" s="381"/>
      <c r="J5" s="380"/>
      <c r="K5" s="380"/>
      <c r="L5" s="380"/>
      <c r="M5" s="380"/>
      <c r="N5" s="380"/>
      <c r="O5" s="380"/>
      <c r="P5" s="380"/>
      <c r="Q5" s="381"/>
      <c r="R5" s="380"/>
      <c r="S5" s="380"/>
      <c r="T5" s="380"/>
      <c r="U5" s="381"/>
      <c r="V5" s="380"/>
      <c r="W5" s="380"/>
      <c r="X5" s="379"/>
      <c r="Y5" s="382"/>
    </row>
    <row r="6" ht="13.5">
      <c r="A6" s="383"/>
      <c r="B6" s="46"/>
      <c r="C6" s="384"/>
      <c r="D6" s="384"/>
      <c r="E6" s="385"/>
      <c r="F6" s="384"/>
      <c r="G6" s="384"/>
      <c r="H6" s="384"/>
      <c r="I6" s="385"/>
      <c r="J6" s="384"/>
      <c r="K6" s="384"/>
      <c r="L6" s="386"/>
      <c r="M6" s="387"/>
      <c r="N6" s="388"/>
      <c r="O6" s="384"/>
      <c r="P6" s="384"/>
      <c r="Q6" s="385"/>
      <c r="R6" s="384"/>
      <c r="S6" s="384"/>
      <c r="T6" s="384"/>
      <c r="U6" s="385"/>
      <c r="V6" s="384"/>
      <c r="W6" s="384"/>
      <c r="X6" s="48"/>
      <c r="Y6" s="389"/>
    </row>
    <row r="7" ht="16.5" customHeight="1">
      <c r="A7" s="383"/>
      <c r="B7" s="52"/>
      <c r="C7" s="390" t="s">
        <v>88</v>
      </c>
      <c r="D7" s="391"/>
      <c r="E7" s="543" t="s">
        <v>89</v>
      </c>
      <c r="F7" s="544"/>
      <c r="G7" s="545"/>
      <c r="H7" s="391"/>
      <c r="I7" s="543" t="s">
        <v>90</v>
      </c>
      <c r="J7" s="544"/>
      <c r="K7" s="545"/>
      <c r="L7" s="392"/>
      <c r="M7" s="387"/>
      <c r="N7" s="393"/>
      <c r="O7" s="390" t="s">
        <v>91</v>
      </c>
      <c r="P7" s="391"/>
      <c r="Q7" s="543" t="s">
        <v>89</v>
      </c>
      <c r="R7" s="544"/>
      <c r="S7" s="545"/>
      <c r="T7" s="391"/>
      <c r="U7" s="543" t="s">
        <v>90</v>
      </c>
      <c r="V7" s="544"/>
      <c r="W7" s="545"/>
      <c r="X7" s="53"/>
      <c r="Y7" s="389"/>
    </row>
    <row r="8" ht="16.5" customHeight="1">
      <c r="A8" s="383"/>
      <c r="B8" s="52"/>
      <c r="C8" s="391"/>
      <c r="D8" s="391"/>
      <c r="E8" s="394"/>
      <c r="F8" s="395" t="e">
        <f>INDIRECT(ADDRESS(199,MATCH(9000000000+307,'5.1- BOVINO (CENSO)'!199:199,1)-8,1,,"5.1- BOVINO (CENSO)"))</f>
        <v>#N/A</v>
      </c>
      <c r="G8" s="396"/>
      <c r="H8" s="391"/>
      <c r="I8" s="394"/>
      <c r="J8" s="395" t="e">
        <f>INDIRECT(ADDRESS(345,MATCH(9000000000+307,'5.2- BOVINO (SUBEXPLOT)'!345:345,1)-8,1,,"5.2- BOVINO (SUBEXPLOT)"))</f>
        <v>#N/A</v>
      </c>
      <c r="K8" s="396"/>
      <c r="L8" s="392"/>
      <c r="M8" s="387"/>
      <c r="N8" s="393"/>
      <c r="O8" s="391"/>
      <c r="P8" s="391"/>
      <c r="Q8" s="394"/>
      <c r="R8" s="395" t="e">
        <f>INDIRECT(ADDRESS(108,MATCH(9000000000+307,'10.1- EQUINO (CENSO)'!108:108,1)-8,1,,"10.1- EQUINO (CENSO)"))</f>
        <v>#N/A</v>
      </c>
      <c r="S8" s="396"/>
      <c r="T8" s="391"/>
      <c r="U8" s="394"/>
      <c r="V8" s="395" t="e">
        <f>INDIRECT(ADDRESS(371,MATCH(9000000000+307,'10.2- EQUINO (SUBEXPLOT)'!371:371,1)-8,1,,"10.2- EQUINO (SUBEXPLOT)"))</f>
        <v>#N/A</v>
      </c>
      <c r="W8" s="396"/>
      <c r="X8" s="53"/>
      <c r="Y8" s="389"/>
    </row>
    <row r="9">
      <c r="A9" s="383"/>
      <c r="B9" s="52"/>
      <c r="C9" s="391"/>
      <c r="D9" s="391"/>
      <c r="E9" s="487">
        <f>YEAR(TODAY())-3</f>
        <v>2022</v>
      </c>
      <c r="F9" s="397" t="e">
        <f>INDIRECT(ADDRESS(199,MATCH(9000000000+307,'5.1- BOVINO (CENSO)'!199:199,1)-6,1,,"5.1- BOVINO (CENSO)"))</f>
        <v>#N/A</v>
      </c>
      <c r="G9" s="398" t="e">
        <f>CONCATENATE("(",ROUND((F9-F8)*100/F8,2),"%)")</f>
        <v>#N/A</v>
      </c>
      <c r="H9" s="391"/>
      <c r="I9" s="487">
        <f>YEAR(TODAY())-3</f>
        <v>2022</v>
      </c>
      <c r="J9" s="397" t="e">
        <f>INDIRECT(ADDRESS(345,MATCH(9000000000+307,'5.2- BOVINO (SUBEXPLOT)'!345:345,1)-6,1,,"5.2- BOVINO (SUBEXPLOT)"))</f>
        <v>#N/A</v>
      </c>
      <c r="K9" s="398" t="e">
        <f>CONCATENATE("(",ROUND((J9-J8)*100/J8,2),"%)")</f>
        <v>#N/A</v>
      </c>
      <c r="L9" s="392"/>
      <c r="M9" s="387"/>
      <c r="N9" s="393"/>
      <c r="O9" s="391"/>
      <c r="P9" s="391"/>
      <c r="Q9" s="487">
        <f>YEAR(TODAY())-3</f>
        <v>2022</v>
      </c>
      <c r="R9" s="397" t="e">
        <f>INDIRECT(ADDRESS(108,MATCH(9000000000+307,'10.1- EQUINO (CENSO)'!108:108,1)-6,1,,"10.1- EQUINO (CENSO)"))</f>
        <v>#N/A</v>
      </c>
      <c r="S9" s="398" t="e">
        <f>CONCATENATE("(",ROUND((R9-R8)*100/R8,2),"%)")</f>
        <v>#N/A</v>
      </c>
      <c r="T9" s="391"/>
      <c r="U9" s="487">
        <f>YEAR(TODAY())-3</f>
        <v>2022</v>
      </c>
      <c r="V9" s="397" t="e">
        <f>INDIRECT(ADDRESS(371,MATCH(9000000000+307,'10.2- EQUINO (SUBEXPLOT)'!371:371,1)-6,1,,"10.2- EQUINO (SUBEXPLOT)"))</f>
        <v>#N/A</v>
      </c>
      <c r="W9" s="398" t="e">
        <f>CONCATENATE("(",ROUND((V9-V8)*100/V8,2),"%)")</f>
        <v>#N/A</v>
      </c>
      <c r="X9" s="53"/>
      <c r="Y9" s="389"/>
    </row>
    <row r="10">
      <c r="A10" s="383"/>
      <c r="B10" s="52"/>
      <c r="C10" s="391"/>
      <c r="D10" s="391"/>
      <c r="E10" s="487">
        <f>YEAR(TODAY())-2</f>
        <v>2023</v>
      </c>
      <c r="F10" s="397" t="e">
        <f>INDIRECT(ADDRESS(199,MATCH(9000000000+307,'5.1- BOVINO (CENSO)'!199:199,1)-4,1,,"5.1- BOVINO (CENSO)"))</f>
        <v>#N/A</v>
      </c>
      <c r="G10" s="398" t="e">
        <f>CONCATENATE("(",ROUND((F10-F9)*100/F9,2),"%)")</f>
        <v>#N/A</v>
      </c>
      <c r="H10" s="391"/>
      <c r="I10" s="487">
        <f>YEAR(TODAY())-2</f>
        <v>2023</v>
      </c>
      <c r="J10" s="397" t="e">
        <f>INDIRECT(ADDRESS(345,MATCH(9000000000+307,'5.2- BOVINO (SUBEXPLOT)'!345:345,1)-4,1,,"5.2- BOVINO (SUBEXPLOT)"))</f>
        <v>#N/A</v>
      </c>
      <c r="K10" s="398" t="e">
        <f>CONCATENATE("(",ROUND((J10-J9)*100/J9,2),"%)")</f>
        <v>#N/A</v>
      </c>
      <c r="L10" s="392"/>
      <c r="M10" s="387"/>
      <c r="N10" s="393"/>
      <c r="O10" s="391"/>
      <c r="P10" s="391"/>
      <c r="Q10" s="487">
        <f>YEAR(TODAY())-2</f>
        <v>2023</v>
      </c>
      <c r="R10" s="397" t="e">
        <f>INDIRECT(ADDRESS(108,MATCH(9000000000+307,'10.1- EQUINO (CENSO)'!108:108,1)-4,1,,"10.1- EQUINO (CENSO)"))</f>
        <v>#N/A</v>
      </c>
      <c r="S10" s="398" t="e">
        <f>CONCATENATE("(",ROUND((R10-R9)*100/R9,2),"%)")</f>
        <v>#N/A</v>
      </c>
      <c r="T10" s="391"/>
      <c r="U10" s="487">
        <f>YEAR(TODAY())-2</f>
        <v>2023</v>
      </c>
      <c r="V10" s="397" t="e">
        <f>INDIRECT(ADDRESS(371,MATCH(9000000000+307,'10.2- EQUINO (SUBEXPLOT)'!371:371,1)-4,1,,"10.2- EQUINO (SUBEXPLOT)"))</f>
        <v>#N/A</v>
      </c>
      <c r="W10" s="398" t="e">
        <f>CONCATENATE("(",ROUND((V10-V9)*100/V9,2),"%)")</f>
        <v>#N/A</v>
      </c>
      <c r="X10" s="53"/>
      <c r="Y10" s="389"/>
    </row>
    <row r="11">
      <c r="A11" s="383"/>
      <c r="B11" s="52"/>
      <c r="C11" s="391"/>
      <c r="D11" s="391"/>
      <c r="E11" s="487">
        <f>YEAR(TODAY())-1</f>
        <v>2024</v>
      </c>
      <c r="F11" s="485" t="e">
        <f>INDIRECT(ADDRESS(199,MATCH(9000000000+307,'5.1- BOVINO (CENSO)'!199:199,1)-2,1,,"5.1- BOVINO (CENSO)"))</f>
        <v>#N/A</v>
      </c>
      <c r="G11" s="398" t="e">
        <f>CONCATENATE("(",ROUND((F11-F10)*100/F10,2),"%)")</f>
        <v>#N/A</v>
      </c>
      <c r="H11" s="391"/>
      <c r="I11" s="487">
        <f>YEAR(TODAY())-1</f>
        <v>2024</v>
      </c>
      <c r="J11" s="397" t="e">
        <f>INDIRECT(ADDRESS(345,MATCH(9000000000+307,'5.2- BOVINO (SUBEXPLOT)'!345:345,1)-2,1,,"5.2- BOVINO (SUBEXPLOT)"))</f>
        <v>#N/A</v>
      </c>
      <c r="K11" s="398" t="e">
        <f>CONCATENATE("(",ROUND((J11-J10)*100/J10,2),"%)")</f>
        <v>#N/A</v>
      </c>
      <c r="L11" s="392"/>
      <c r="M11" s="387"/>
      <c r="N11" s="393"/>
      <c r="O11" s="391"/>
      <c r="P11" s="391"/>
      <c r="Q11" s="487">
        <f>YEAR(TODAY())-1</f>
        <v>2024</v>
      </c>
      <c r="R11" s="397" t="e">
        <f>INDIRECT(ADDRESS(108,MATCH(9000000000+307,'10.1- EQUINO (CENSO)'!108:108,1)-2,1,,"10.1- EQUINO (CENSO)"))</f>
        <v>#N/A</v>
      </c>
      <c r="S11" s="398" t="e">
        <f>CONCATENATE("(",ROUND((R11-R10)*100/R10,2),"%)")</f>
        <v>#N/A</v>
      </c>
      <c r="T11" s="391"/>
      <c r="U11" s="487">
        <f>YEAR(TODAY())-1</f>
        <v>2024</v>
      </c>
      <c r="V11" s="397" t="e">
        <f>INDIRECT(ADDRESS(371,MATCH(9000000000+307,'10.2- EQUINO (SUBEXPLOT)'!371:371,1)-2,1,,"10.2- EQUINO (SUBEXPLOT)"))</f>
        <v>#N/A</v>
      </c>
      <c r="W11" s="398" t="e">
        <f>CONCATENATE("(",ROUND((V11-V10)*100/V10,2),"%)")</f>
        <v>#N/A</v>
      </c>
      <c r="X11" s="53"/>
      <c r="Y11" s="389"/>
    </row>
    <row r="12" ht="13.5">
      <c r="A12" s="383"/>
      <c r="B12" s="52"/>
      <c r="C12" s="391"/>
      <c r="D12" s="391"/>
      <c r="E12" s="486">
        <f>YEAR(TODAY())</f>
        <v>2025</v>
      </c>
      <c r="F12" s="399" t="e">
        <f>INDIRECT(ADDRESS(199,MATCH(9000000000+307,'5.1- BOVINO (CENSO)'!199:199,1),1,,"5.1- BOVINO (CENSO)"))</f>
        <v>#N/A</v>
      </c>
      <c r="G12" s="400" t="e">
        <f>CONCATENATE("(",ROUND((F12-F11)*100/F11,2),"%)")</f>
        <v>#N/A</v>
      </c>
      <c r="H12" s="391"/>
      <c r="I12" s="486">
        <f>YEAR(TODAY())</f>
        <v>2025</v>
      </c>
      <c r="J12" s="399" t="e">
        <f>INDIRECT(ADDRESS(345,MATCH(9000000000+307,'5.2- BOVINO (SUBEXPLOT)'!345:345,1),1,,"5.2- BOVINO (SUBEXPLOT)"))</f>
        <v>#N/A</v>
      </c>
      <c r="K12" s="400" t="e">
        <f>CONCATENATE("(",ROUND((J12-J11)*100/J11,2),"%)")</f>
        <v>#N/A</v>
      </c>
      <c r="L12" s="392"/>
      <c r="M12" s="387"/>
      <c r="N12" s="393"/>
      <c r="O12" s="391"/>
      <c r="P12" s="391"/>
      <c r="Q12" s="486">
        <f>YEAR(TODAY())</f>
        <v>2025</v>
      </c>
      <c r="R12" s="399" t="e">
        <f>INDIRECT(ADDRESS(108,MATCH(9000000000+307,'10.1- EQUINO (CENSO)'!108:108,1),1,,"10.1- EQUINO (CENSO)"))</f>
        <v>#N/A</v>
      </c>
      <c r="S12" s="400" t="e">
        <f>CONCATENATE("(",ROUND((R12-R11)*100/R11,2),"%)")</f>
        <v>#N/A</v>
      </c>
      <c r="T12" s="391"/>
      <c r="U12" s="486">
        <f>YEAR(TODAY())</f>
        <v>2025</v>
      </c>
      <c r="V12" s="399" t="e">
        <f>INDIRECT(ADDRESS(371,MATCH(9000000000+307,'10.2- EQUINO (SUBEXPLOT)'!371:371,1),1,,"10.2- EQUINO (SUBEXPLOT)"))</f>
        <v>#N/A</v>
      </c>
      <c r="W12" s="400" t="e">
        <f>CONCATENATE("(",ROUND((V12-V11)*100/V11,2),"%)")</f>
        <v>#N/A</v>
      </c>
      <c r="X12" s="53"/>
      <c r="Y12" s="389"/>
    </row>
    <row r="13" ht="13.5">
      <c r="A13" s="383"/>
      <c r="B13" s="54"/>
      <c r="C13" s="401"/>
      <c r="D13" s="401"/>
      <c r="E13" s="402"/>
      <c r="F13" s="401"/>
      <c r="G13" s="401"/>
      <c r="H13" s="401"/>
      <c r="I13" s="402"/>
      <c r="J13" s="401"/>
      <c r="K13" s="401"/>
      <c r="L13" s="403"/>
      <c r="M13" s="387"/>
      <c r="N13" s="404"/>
      <c r="O13" s="401"/>
      <c r="P13" s="401"/>
      <c r="Q13" s="402"/>
      <c r="R13" s="401"/>
      <c r="S13" s="401"/>
      <c r="T13" s="401"/>
      <c r="U13" s="402"/>
      <c r="V13" s="401"/>
      <c r="W13" s="401"/>
      <c r="X13" s="56"/>
      <c r="Y13" s="389"/>
    </row>
    <row r="14" ht="13.5">
      <c r="A14" s="383"/>
      <c r="B14" s="50"/>
      <c r="C14" s="387"/>
      <c r="D14" s="387"/>
      <c r="E14" s="405"/>
      <c r="F14" s="387"/>
      <c r="G14" s="387"/>
      <c r="H14" s="387"/>
      <c r="I14" s="405"/>
      <c r="J14" s="387"/>
      <c r="K14" s="387"/>
      <c r="L14" s="387"/>
      <c r="M14" s="387"/>
      <c r="N14" s="387"/>
      <c r="O14" s="387"/>
      <c r="P14" s="387"/>
      <c r="Q14" s="405"/>
      <c r="R14" s="387"/>
      <c r="S14" s="387"/>
      <c r="T14" s="387"/>
      <c r="U14" s="405"/>
      <c r="V14" s="387"/>
      <c r="W14" s="387"/>
      <c r="X14" s="50"/>
      <c r="Y14" s="389"/>
    </row>
    <row r="15" ht="13.5">
      <c r="A15" s="383"/>
      <c r="B15" s="46"/>
      <c r="C15" s="384"/>
      <c r="D15" s="384"/>
      <c r="E15" s="385"/>
      <c r="F15" s="384"/>
      <c r="G15" s="384"/>
      <c r="H15" s="384"/>
      <c r="I15" s="385"/>
      <c r="J15" s="384"/>
      <c r="K15" s="384"/>
      <c r="L15" s="386"/>
      <c r="M15" s="387"/>
      <c r="N15" s="388"/>
      <c r="O15" s="384"/>
      <c r="P15" s="384"/>
      <c r="Q15" s="385"/>
      <c r="R15" s="384"/>
      <c r="S15" s="384"/>
      <c r="T15" s="384"/>
      <c r="U15" s="385"/>
      <c r="V15" s="384"/>
      <c r="W15" s="384"/>
      <c r="X15" s="48"/>
      <c r="Y15" s="389"/>
    </row>
    <row r="16" ht="16.5" customHeight="1">
      <c r="A16" s="383"/>
      <c r="B16" s="52"/>
      <c r="C16" s="390" t="s">
        <v>92</v>
      </c>
      <c r="D16" s="391"/>
      <c r="E16" s="543" t="s">
        <v>89</v>
      </c>
      <c r="F16" s="544"/>
      <c r="G16" s="545"/>
      <c r="H16" s="391"/>
      <c r="I16" s="543" t="s">
        <v>90</v>
      </c>
      <c r="J16" s="544"/>
      <c r="K16" s="545"/>
      <c r="L16" s="392"/>
      <c r="M16" s="387"/>
      <c r="N16" s="393"/>
      <c r="O16" s="542" t="s">
        <v>93</v>
      </c>
      <c r="P16" s="391"/>
      <c r="Q16" s="543" t="s">
        <v>89</v>
      </c>
      <c r="R16" s="544"/>
      <c r="S16" s="545"/>
      <c r="T16" s="391"/>
      <c r="U16" s="543" t="s">
        <v>90</v>
      </c>
      <c r="V16" s="544"/>
      <c r="W16" s="545"/>
      <c r="X16" s="53"/>
      <c r="Y16" s="389"/>
    </row>
    <row r="17" ht="16.5" customHeight="1">
      <c r="A17" s="383"/>
      <c r="B17" s="52"/>
      <c r="C17" s="391"/>
      <c r="D17" s="391"/>
      <c r="E17" s="394"/>
      <c r="F17" s="395" t="e">
        <f>INDIRECT(ADDRESS(335,MATCH(9000000000+307,'6.1- PORCINO (CENSO)'!335:335,1)-8,1,,"6.1- PORCINO (CENSO)"))</f>
        <v>#N/A</v>
      </c>
      <c r="G17" s="396"/>
      <c r="H17" s="391"/>
      <c r="I17" s="394"/>
      <c r="J17" s="395" t="e">
        <f>INDIRECT(ADDRESS(436,MATCH(9000000000+307,'6.2- PORCINO (SUBEXPLOT)'!436:436,1)-8,1,,"6.2- PORCINO (SUBEXPLOT)"))</f>
        <v>#N/A</v>
      </c>
      <c r="K17" s="396"/>
      <c r="L17" s="392"/>
      <c r="M17" s="387"/>
      <c r="N17" s="393"/>
      <c r="O17" s="542"/>
      <c r="P17" s="391"/>
      <c r="Q17" s="394"/>
      <c r="R17" s="395" t="e">
        <f>INDIRECT(ADDRESS(397,MATCH(9000000000+307,'11.1- GALLINAS (CENSO)'!397:397,1)-8,1,,"11.1- GALLINAS (CENSO)"))</f>
        <v>#N/A</v>
      </c>
      <c r="S17" s="396"/>
      <c r="T17" s="391"/>
      <c r="U17" s="394"/>
      <c r="V17" s="395" t="e">
        <f>INDIRECT(ADDRESS(412,MATCH(9000000000+307,'11.2- GALLINAS (SUBEXPLOT)'!412:412,1)-8,1,,"11.2- GALLINAS (SUBEXPLOT)"))</f>
        <v>#N/A</v>
      </c>
      <c r="W17" s="396"/>
      <c r="X17" s="53"/>
      <c r="Y17" s="389"/>
    </row>
    <row r="18">
      <c r="A18" s="383"/>
      <c r="B18" s="52"/>
      <c r="C18" s="391"/>
      <c r="D18" s="391"/>
      <c r="E18" s="487">
        <f>YEAR(TODAY())-3</f>
        <v>2022</v>
      </c>
      <c r="F18" s="397" t="e">
        <f>INDIRECT(ADDRESS(335,MATCH(9000000000+307,'6.1- PORCINO (CENSO)'!335:335,1)-6,1,,"6.1- PORCINO (CENSO)"))</f>
        <v>#N/A</v>
      </c>
      <c r="G18" s="398" t="e">
        <f>CONCATENATE("(",ROUND((F18-F17)*100/F17,2),"%)")</f>
        <v>#N/A</v>
      </c>
      <c r="H18" s="391"/>
      <c r="I18" s="487">
        <f>YEAR(TODAY())-3</f>
        <v>2022</v>
      </c>
      <c r="J18" s="397" t="e">
        <f>INDIRECT(ADDRESS(436,MATCH(9000000000+307,'6.2- PORCINO (SUBEXPLOT)'!436:436,1)-6,1,,"6.2- PORCINO (SUBEXPLOT)"))</f>
        <v>#N/A</v>
      </c>
      <c r="K18" s="398" t="e">
        <f>CONCATENATE("(",ROUND((J18-J17)*100/J17,2),"%)")</f>
        <v>#N/A</v>
      </c>
      <c r="L18" s="392"/>
      <c r="M18" s="387"/>
      <c r="N18" s="393"/>
      <c r="O18" s="391"/>
      <c r="P18" s="391"/>
      <c r="Q18" s="487">
        <f>YEAR(TODAY())-3</f>
        <v>2022</v>
      </c>
      <c r="R18" s="397" t="e">
        <f>INDIRECT(ADDRESS(397,MATCH(9000000000+307,'11.1- GALLINAS (CENSO)'!397:397,1)-6,1,,"11.1- GALLINAS (CENSO)"))</f>
        <v>#N/A</v>
      </c>
      <c r="S18" s="398" t="e">
        <f>CONCATENATE("(",ROUND((R18-R17)*100/R17,2),"%)")</f>
        <v>#N/A</v>
      </c>
      <c r="T18" s="391"/>
      <c r="U18" s="487">
        <f>YEAR(TODAY())-3</f>
        <v>2022</v>
      </c>
      <c r="V18" s="397" t="e">
        <f>INDIRECT(ADDRESS(412,MATCH(9000000000+307,'11.2- GALLINAS (SUBEXPLOT)'!412:412,1)-6,1,,"11.2- GALLINAS (SUBEXPLOT)"))</f>
        <v>#N/A</v>
      </c>
      <c r="W18" s="398" t="e">
        <f>CONCATENATE("(",ROUND((V18-V17)*100/V17,2),"%)")</f>
        <v>#N/A</v>
      </c>
      <c r="X18" s="53"/>
      <c r="Y18" s="389"/>
    </row>
    <row r="19">
      <c r="A19" s="383"/>
      <c r="B19" s="52"/>
      <c r="C19" s="391"/>
      <c r="D19" s="391"/>
      <c r="E19" s="487">
        <f>YEAR(TODAY())-2</f>
        <v>2023</v>
      </c>
      <c r="F19" s="397" t="e">
        <f>INDIRECT(ADDRESS(335,MATCH(9000000000+307,'6.1- PORCINO (CENSO)'!335:335,1)-4,1,,"6.1- PORCINO (CENSO)"))</f>
        <v>#N/A</v>
      </c>
      <c r="G19" s="398" t="e">
        <f>CONCATENATE("(",ROUND((F19-F18)*100/F18,2),"%)")</f>
        <v>#N/A</v>
      </c>
      <c r="H19" s="391"/>
      <c r="I19" s="487">
        <f>YEAR(TODAY())-2</f>
        <v>2023</v>
      </c>
      <c r="J19" s="397" t="e">
        <f>INDIRECT(ADDRESS(436,MATCH(9000000000+307,'6.2- PORCINO (SUBEXPLOT)'!436:436,1)-4,1,,"6.2- PORCINO (SUBEXPLOT)"))</f>
        <v>#N/A</v>
      </c>
      <c r="K19" s="398" t="e">
        <f>CONCATENATE("(",ROUND((J19-J18)*100/J18,2),"%)")</f>
        <v>#N/A</v>
      </c>
      <c r="L19" s="392"/>
      <c r="M19" s="387"/>
      <c r="N19" s="393"/>
      <c r="O19" s="391"/>
      <c r="P19" s="391"/>
      <c r="Q19" s="487">
        <f>YEAR(TODAY())-2</f>
        <v>2023</v>
      </c>
      <c r="R19" s="397" t="e">
        <f>INDIRECT(ADDRESS(397,MATCH(9000000000+307,'11.1- GALLINAS (CENSO)'!397:397,1)-4,1,,"11.1- GALLINAS (CENSO)"))</f>
        <v>#N/A</v>
      </c>
      <c r="S19" s="398" t="e">
        <f>CONCATENATE("(",ROUND((R19-R18)*100/R18,2),"%)")</f>
        <v>#N/A</v>
      </c>
      <c r="T19" s="391"/>
      <c r="U19" s="487">
        <f>YEAR(TODAY())-2</f>
        <v>2023</v>
      </c>
      <c r="V19" s="397" t="e">
        <f>INDIRECT(ADDRESS(412,MATCH(9000000000+307,'11.2- GALLINAS (SUBEXPLOT)'!412:412,1)-4,1,,"11.2- GALLINAS (SUBEXPLOT)"))</f>
        <v>#N/A</v>
      </c>
      <c r="W19" s="398" t="e">
        <f>CONCATENATE("(",ROUND((V19-V18)*100/V18,2),"%)")</f>
        <v>#N/A</v>
      </c>
      <c r="X19" s="53"/>
      <c r="Y19" s="389"/>
    </row>
    <row r="20">
      <c r="A20" s="383"/>
      <c r="B20" s="52"/>
      <c r="C20" s="391"/>
      <c r="D20" s="391"/>
      <c r="E20" s="487">
        <f>YEAR(TODAY())-1</f>
        <v>2024</v>
      </c>
      <c r="F20" s="397" t="e">
        <f>INDIRECT(ADDRESS(335,MATCH(9000000000+307,'6.1- PORCINO (CENSO)'!335:335,1)-2,1,,"6.1- PORCINO (CENSO)"))</f>
        <v>#N/A</v>
      </c>
      <c r="G20" s="398" t="e">
        <f>CONCATENATE("(",ROUND((F20-F19)*100/F19,2),"%)")</f>
        <v>#N/A</v>
      </c>
      <c r="H20" s="391"/>
      <c r="I20" s="487">
        <f>YEAR(TODAY())-1</f>
        <v>2024</v>
      </c>
      <c r="J20" s="397" t="e">
        <f>INDIRECT(ADDRESS(436,MATCH(9000000000+307,'6.2- PORCINO (SUBEXPLOT)'!436:436,1)-2,1,,"6.2- PORCINO (SUBEXPLOT)"))</f>
        <v>#N/A</v>
      </c>
      <c r="K20" s="398" t="e">
        <f>CONCATENATE("(",ROUND((J20-J19)*100/J19,2),"%)")</f>
        <v>#N/A</v>
      </c>
      <c r="L20" s="392"/>
      <c r="M20" s="387"/>
      <c r="N20" s="393"/>
      <c r="O20" s="391"/>
      <c r="P20" s="391"/>
      <c r="Q20" s="487">
        <f>YEAR(TODAY())-1</f>
        <v>2024</v>
      </c>
      <c r="R20" s="397" t="e">
        <f>INDIRECT(ADDRESS(397,MATCH(9000000000+307,'11.1- GALLINAS (CENSO)'!397:397,1)-2,1,,"11.1- GALLINAS (CENSO)"))</f>
        <v>#N/A</v>
      </c>
      <c r="S20" s="398" t="e">
        <f>CONCATENATE("(",ROUND((R20-R19)*100/R19,2),"%)")</f>
        <v>#N/A</v>
      </c>
      <c r="T20" s="391"/>
      <c r="U20" s="487">
        <f>YEAR(TODAY())-1</f>
        <v>2024</v>
      </c>
      <c r="V20" s="397" t="e">
        <f>INDIRECT(ADDRESS(412,MATCH(9000000000+307,'11.2- GALLINAS (SUBEXPLOT)'!412:412,1)-2,1,,"11.2- GALLINAS (SUBEXPLOT)"))</f>
        <v>#N/A</v>
      </c>
      <c r="W20" s="398" t="e">
        <f>CONCATENATE("(",ROUND((V20-V19)*100/V19,2),"%)")</f>
        <v>#N/A</v>
      </c>
      <c r="X20" s="53"/>
      <c r="Y20" s="389"/>
    </row>
    <row r="21" ht="13.5">
      <c r="A21" s="383"/>
      <c r="B21" s="52"/>
      <c r="C21" s="391"/>
      <c r="D21" s="391"/>
      <c r="E21" s="486">
        <f>YEAR(TODAY())</f>
        <v>2025</v>
      </c>
      <c r="F21" s="399" t="e">
        <f>INDIRECT(ADDRESS(335,MATCH(9000000000+307,'6.1- PORCINO (CENSO)'!335:335,1),1,,"6.1- PORCINO (CENSO)"))</f>
        <v>#N/A</v>
      </c>
      <c r="G21" s="400" t="e">
        <f>CONCATENATE("(",ROUND((F21-F20)*100/F20,2),"%)")</f>
        <v>#N/A</v>
      </c>
      <c r="H21" s="391"/>
      <c r="I21" s="486">
        <f>YEAR(TODAY())</f>
        <v>2025</v>
      </c>
      <c r="J21" s="399" t="e">
        <f>INDIRECT(ADDRESS(436,MATCH(9000000000+307,'6.2- PORCINO (SUBEXPLOT)'!436:436,1),1,,"6.2- PORCINO (SUBEXPLOT)"))</f>
        <v>#N/A</v>
      </c>
      <c r="K21" s="400" t="e">
        <f>CONCATENATE("(",ROUND((J21-J20)*100/J20,2),"%)")</f>
        <v>#N/A</v>
      </c>
      <c r="L21" s="392"/>
      <c r="M21" s="387"/>
      <c r="N21" s="393"/>
      <c r="O21" s="391"/>
      <c r="P21" s="391"/>
      <c r="Q21" s="486">
        <f>YEAR(TODAY())</f>
        <v>2025</v>
      </c>
      <c r="R21" s="399" t="e">
        <f>INDIRECT(ADDRESS(397,MATCH(9000000000+307,'11.1- GALLINAS (CENSO)'!397:397,1),1,,"11.1- GALLINAS (CENSO)"))</f>
        <v>#N/A</v>
      </c>
      <c r="S21" s="400" t="e">
        <f>CONCATENATE("(",ROUND((R21-R20)*100/R20,2),"%)")</f>
        <v>#N/A</v>
      </c>
      <c r="T21" s="391"/>
      <c r="U21" s="486">
        <f>YEAR(TODAY())</f>
        <v>2025</v>
      </c>
      <c r="V21" s="399" t="e">
        <f>INDIRECT(ADDRESS(412,MATCH(9000000000+307,'11.2- GALLINAS (SUBEXPLOT)'!412:412,1),1,,"11.2- GALLINAS (SUBEXPLOT)"))</f>
        <v>#N/A</v>
      </c>
      <c r="W21" s="400" t="e">
        <f>CONCATENATE("(",ROUND((V21-V20)*100/V20,2),"%)")</f>
        <v>#N/A</v>
      </c>
      <c r="X21" s="53"/>
      <c r="Y21" s="389"/>
    </row>
    <row r="22" ht="13.5">
      <c r="A22" s="383"/>
      <c r="B22" s="54"/>
      <c r="C22" s="401"/>
      <c r="D22" s="401"/>
      <c r="E22" s="402"/>
      <c r="F22" s="401"/>
      <c r="G22" s="401"/>
      <c r="H22" s="401"/>
      <c r="I22" s="402"/>
      <c r="J22" s="401"/>
      <c r="K22" s="401"/>
      <c r="L22" s="403"/>
      <c r="M22" s="387"/>
      <c r="N22" s="404"/>
      <c r="O22" s="401"/>
      <c r="P22" s="401"/>
      <c r="Q22" s="402"/>
      <c r="R22" s="401"/>
      <c r="S22" s="401"/>
      <c r="T22" s="401"/>
      <c r="U22" s="402"/>
      <c r="V22" s="401"/>
      <c r="W22" s="401"/>
      <c r="X22" s="56"/>
      <c r="Y22" s="389"/>
    </row>
    <row r="23" ht="13.5">
      <c r="A23" s="383"/>
      <c r="B23" s="50"/>
      <c r="C23" s="387"/>
      <c r="D23" s="387"/>
      <c r="E23" s="405"/>
      <c r="F23" s="387"/>
      <c r="G23" s="387"/>
      <c r="H23" s="387"/>
      <c r="I23" s="405"/>
      <c r="J23" s="387"/>
      <c r="K23" s="387"/>
      <c r="L23" s="387"/>
      <c r="M23" s="387"/>
      <c r="N23" s="387"/>
      <c r="O23" s="387"/>
      <c r="P23" s="387"/>
      <c r="Q23" s="405"/>
      <c r="R23" s="387"/>
      <c r="S23" s="387"/>
      <c r="T23" s="387"/>
      <c r="U23" s="405"/>
      <c r="V23" s="387"/>
      <c r="W23" s="387"/>
      <c r="X23" s="50"/>
      <c r="Y23" s="389"/>
    </row>
    <row r="24" ht="13.5">
      <c r="A24" s="383"/>
      <c r="B24" s="46"/>
      <c r="C24" s="384"/>
      <c r="D24" s="384"/>
      <c r="E24" s="385"/>
      <c r="F24" s="384"/>
      <c r="G24" s="384"/>
      <c r="H24" s="384"/>
      <c r="I24" s="385"/>
      <c r="J24" s="384"/>
      <c r="K24" s="384"/>
      <c r="L24" s="386"/>
      <c r="M24" s="387"/>
      <c r="N24" s="388"/>
      <c r="O24" s="384"/>
      <c r="P24" s="384"/>
      <c r="Q24" s="385"/>
      <c r="R24" s="384"/>
      <c r="S24" s="384"/>
      <c r="T24" s="384"/>
      <c r="U24" s="385"/>
      <c r="V24" s="384"/>
      <c r="W24" s="384"/>
      <c r="X24" s="48"/>
      <c r="Y24" s="389"/>
    </row>
    <row r="25" ht="16.5" customHeight="1">
      <c r="A25" s="383"/>
      <c r="B25" s="52"/>
      <c r="C25" s="390" t="s">
        <v>94</v>
      </c>
      <c r="D25" s="391"/>
      <c r="E25" s="543" t="s">
        <v>89</v>
      </c>
      <c r="F25" s="544"/>
      <c r="G25" s="545"/>
      <c r="H25" s="391"/>
      <c r="I25" s="543" t="s">
        <v>90</v>
      </c>
      <c r="J25" s="544"/>
      <c r="K25" s="545"/>
      <c r="L25" s="392"/>
      <c r="M25" s="387"/>
      <c r="N25" s="393"/>
      <c r="O25" s="542" t="s">
        <v>95</v>
      </c>
      <c r="P25" s="391"/>
      <c r="Q25" s="543" t="s">
        <v>89</v>
      </c>
      <c r="R25" s="544"/>
      <c r="S25" s="545"/>
      <c r="T25" s="391"/>
      <c r="U25" s="543" t="s">
        <v>90</v>
      </c>
      <c r="V25" s="544"/>
      <c r="W25" s="545"/>
      <c r="X25" s="53"/>
      <c r="Y25" s="389"/>
    </row>
    <row r="26" ht="16.5" customHeight="1">
      <c r="A26" s="383"/>
      <c r="B26" s="52"/>
      <c r="C26" s="391"/>
      <c r="D26" s="391"/>
      <c r="E26" s="394"/>
      <c r="F26" s="395" t="e">
        <f>INDIRECT(ADDRESS(245,MATCH(9000000000+307,'7.1- CAPRINO (CENSO)'!245:245,1)-8,1,,"7.1- CAPRINO (CENSO)"))</f>
        <v>#N/A</v>
      </c>
      <c r="G26" s="396"/>
      <c r="H26" s="391"/>
      <c r="I26" s="394"/>
      <c r="J26" s="395" t="e">
        <f>INDIRECT(ADDRESS(286,MATCH(9000000000+307,'7.2- CAPRINO (SUBEXPLOT)'!286:286,1)-8,1,,"7.2- CAPRINO (SUBEXPLOT)"))</f>
        <v>#N/A</v>
      </c>
      <c r="K26" s="396"/>
      <c r="L26" s="392"/>
      <c r="M26" s="387"/>
      <c r="N26" s="393"/>
      <c r="O26" s="542"/>
      <c r="P26" s="391"/>
      <c r="Q26" s="394"/>
      <c r="R26" s="395" t="e">
        <f>INDIRECT(ADDRESS(235,MATCH(9000000000+307,'11.1- GALLINAS (CENSO)'!235:235,1)-8,1,,"11.1- GALLINAS (CENSO)"))</f>
        <v>#N/A</v>
      </c>
      <c r="S26" s="396"/>
      <c r="T26" s="391"/>
      <c r="U26" s="394"/>
      <c r="V26" s="395" t="e">
        <f>INDIRECT(ADDRESS(250,MATCH(9000000000+307,'11.2- GALLINAS (SUBEXPLOT)'!250:250,1)-8,1,,"11.2- GALLINAS (SUBEXPLOT)"))</f>
        <v>#N/A</v>
      </c>
      <c r="W26" s="396"/>
      <c r="X26" s="53"/>
      <c r="Y26" s="389"/>
    </row>
    <row r="27">
      <c r="A27" s="383"/>
      <c r="B27" s="52"/>
      <c r="C27" s="391"/>
      <c r="D27" s="391"/>
      <c r="E27" s="487">
        <f>YEAR(TODAY())-3</f>
        <v>2022</v>
      </c>
      <c r="F27" s="397" t="e">
        <f>INDIRECT(ADDRESS(245,MATCH(9000000000+307,'7.1- CAPRINO (CENSO)'!245:245,1)-6,1,,"7.1- CAPRINO (CENSO)"))</f>
        <v>#N/A</v>
      </c>
      <c r="G27" s="398" t="e">
        <f>CONCATENATE("(",ROUND((F27-F26)*100/F26,2),"%)")</f>
        <v>#N/A</v>
      </c>
      <c r="H27" s="391"/>
      <c r="I27" s="487">
        <f>YEAR(TODAY())-3</f>
        <v>2022</v>
      </c>
      <c r="J27" s="397" t="e">
        <f>INDIRECT(ADDRESS(286,MATCH(9000000000+307,'7.2- CAPRINO (SUBEXPLOT)'!286:286,1)-6,1,,"7.2- CAPRINO (SUBEXPLOT)"))</f>
        <v>#N/A</v>
      </c>
      <c r="K27" s="398" t="e">
        <f>CONCATENATE("(",ROUND((J27-J26)*100/J26,2),"%)")</f>
        <v>#N/A</v>
      </c>
      <c r="L27" s="392"/>
      <c r="M27" s="387"/>
      <c r="N27" s="393"/>
      <c r="O27" s="391"/>
      <c r="P27" s="391"/>
      <c r="Q27" s="487">
        <f>YEAR(TODAY())-3</f>
        <v>2022</v>
      </c>
      <c r="R27" s="397" t="e">
        <f>INDIRECT(ADDRESS(235,MATCH(9000000000+307,'11.1- GALLINAS (CENSO)'!235:235,1)-6,1,,"11.1- GALLINAS (CENSO)"))</f>
        <v>#N/A</v>
      </c>
      <c r="S27" s="398" t="e">
        <f>CONCATENATE("(",ROUND((R27-R26)*100/R26,2),"%)")</f>
        <v>#N/A</v>
      </c>
      <c r="T27" s="391"/>
      <c r="U27" s="487">
        <f>YEAR(TODAY())-3</f>
        <v>2022</v>
      </c>
      <c r="V27" s="397" t="e">
        <f>INDIRECT(ADDRESS(250,MATCH(9000000000+307,'11.2- GALLINAS (SUBEXPLOT)'!250:250,1)-6,1,,"11.2- GALLINAS (SUBEXPLOT)"))</f>
        <v>#N/A</v>
      </c>
      <c r="W27" s="398" t="e">
        <f>CONCATENATE("(",ROUND((V27-V26)*100/V26,2),"%)")</f>
        <v>#N/A</v>
      </c>
      <c r="X27" s="53"/>
      <c r="Y27" s="389"/>
    </row>
    <row r="28">
      <c r="A28" s="383"/>
      <c r="B28" s="52"/>
      <c r="C28" s="391"/>
      <c r="D28" s="391"/>
      <c r="E28" s="487">
        <f>YEAR(TODAY())-2</f>
        <v>2023</v>
      </c>
      <c r="F28" s="397" t="e">
        <f>INDIRECT(ADDRESS(245,MATCH(9000000000+307,'7.1- CAPRINO (CENSO)'!245:245,1)-4,1,,"7.1- CAPRINO (CENSO)"))</f>
        <v>#N/A</v>
      </c>
      <c r="G28" s="398" t="e">
        <f>CONCATENATE("(",ROUND((F28-F27)*100/F27,2),"%)")</f>
        <v>#N/A</v>
      </c>
      <c r="H28" s="391"/>
      <c r="I28" s="487">
        <f>YEAR(TODAY())-2</f>
        <v>2023</v>
      </c>
      <c r="J28" s="397" t="e">
        <f>INDIRECT(ADDRESS(286,MATCH(9000000000+307,'7.2- CAPRINO (SUBEXPLOT)'!286:286,1)-4,1,,"7.2- CAPRINO (SUBEXPLOT)"))</f>
        <v>#N/A</v>
      </c>
      <c r="K28" s="398" t="e">
        <f>CONCATENATE("(",ROUND((J28-J27)*100/J27,2),"%)")</f>
        <v>#N/A</v>
      </c>
      <c r="L28" s="392"/>
      <c r="M28" s="387"/>
      <c r="N28" s="393"/>
      <c r="O28" s="391"/>
      <c r="P28" s="391"/>
      <c r="Q28" s="487">
        <f>YEAR(TODAY())-2</f>
        <v>2023</v>
      </c>
      <c r="R28" s="397" t="e">
        <f>INDIRECT(ADDRESS(235,MATCH(9000000000+307,'11.1- GALLINAS (CENSO)'!235:235,1)-4,1,,"11.1- GALLINAS (CENSO)"))</f>
        <v>#N/A</v>
      </c>
      <c r="S28" s="398" t="e">
        <f>CONCATENATE("(",ROUND((R28-R27)*100/R27,2),"%)")</f>
        <v>#N/A</v>
      </c>
      <c r="T28" s="391"/>
      <c r="U28" s="487">
        <f>YEAR(TODAY())-2</f>
        <v>2023</v>
      </c>
      <c r="V28" s="397" t="e">
        <f>INDIRECT(ADDRESS(250,MATCH(9000000000+307,'11.2- GALLINAS (SUBEXPLOT)'!250:250,1)-4,1,,"11.2- GALLINAS (SUBEXPLOT)"))</f>
        <v>#N/A</v>
      </c>
      <c r="W28" s="398" t="e">
        <f>CONCATENATE("(",ROUND((V28-V27)*100/V27,2),"%)")</f>
        <v>#N/A</v>
      </c>
      <c r="X28" s="53"/>
      <c r="Y28" s="389"/>
    </row>
    <row r="29">
      <c r="A29" s="383"/>
      <c r="B29" s="52"/>
      <c r="C29" s="391"/>
      <c r="D29" s="391"/>
      <c r="E29" s="487">
        <f>YEAR(TODAY())-1</f>
        <v>2024</v>
      </c>
      <c r="F29" s="397" t="e">
        <f>INDIRECT(ADDRESS(245,MATCH(9000000000+307,'7.1- CAPRINO (CENSO)'!245:245,1)-2,1,,"7.1- CAPRINO (CENSO)"))</f>
        <v>#N/A</v>
      </c>
      <c r="G29" s="398" t="e">
        <f>CONCATENATE("(",ROUND((F29-F28)*100/F28,2),"%)")</f>
        <v>#N/A</v>
      </c>
      <c r="H29" s="391"/>
      <c r="I29" s="487">
        <f>YEAR(TODAY())-1</f>
        <v>2024</v>
      </c>
      <c r="J29" s="397" t="e">
        <f>INDIRECT(ADDRESS(286,MATCH(9000000000+307,'7.2- CAPRINO (SUBEXPLOT)'!286:286,1)-2,1,,"7.2- CAPRINO (SUBEXPLOT)"))</f>
        <v>#N/A</v>
      </c>
      <c r="K29" s="398" t="e">
        <f>CONCATENATE("(",ROUND((J29-J28)*100/J28,2),"%)")</f>
        <v>#N/A</v>
      </c>
      <c r="L29" s="392"/>
      <c r="M29" s="387"/>
      <c r="N29" s="393"/>
      <c r="O29" s="391"/>
      <c r="P29" s="391"/>
      <c r="Q29" s="487">
        <f>YEAR(TODAY())-1</f>
        <v>2024</v>
      </c>
      <c r="R29" s="397" t="e">
        <f>INDIRECT(ADDRESS(235,MATCH(9000000000+307,'11.1- GALLINAS (CENSO)'!235:235,1)-2,1,,"11.1- GALLINAS (CENSO)"))</f>
        <v>#N/A</v>
      </c>
      <c r="S29" s="398" t="e">
        <f>CONCATENATE("(",ROUND((R29-R28)*100/R28,2),"%)")</f>
        <v>#N/A</v>
      </c>
      <c r="T29" s="391"/>
      <c r="U29" s="487">
        <f>YEAR(TODAY())-1</f>
        <v>2024</v>
      </c>
      <c r="V29" s="397" t="e">
        <f>INDIRECT(ADDRESS(250,MATCH(9000000000+307,'11.2- GALLINAS (SUBEXPLOT)'!250:250,1)-2,1,,"11.2- GALLINAS (SUBEXPLOT)"))</f>
        <v>#N/A</v>
      </c>
      <c r="W29" s="398" t="e">
        <f>CONCATENATE("(",ROUND((V29-V28)*100/V28,2),"%)")</f>
        <v>#N/A</v>
      </c>
      <c r="X29" s="53"/>
      <c r="Y29" s="389"/>
    </row>
    <row r="30" ht="13.5">
      <c r="A30" s="383"/>
      <c r="B30" s="52"/>
      <c r="C30" s="391"/>
      <c r="D30" s="391"/>
      <c r="E30" s="486">
        <f>YEAR(TODAY())</f>
        <v>2025</v>
      </c>
      <c r="F30" s="399" t="e">
        <f>INDIRECT(ADDRESS(245,MATCH(9000000000+307,'7.1- CAPRINO (CENSO)'!245:245,1),1,,"7.1- CAPRINO (CENSO)"))</f>
        <v>#N/A</v>
      </c>
      <c r="G30" s="400" t="e">
        <f>CONCATENATE("(",ROUND((F30-F29)*100/F29,2),"%)")</f>
        <v>#N/A</v>
      </c>
      <c r="H30" s="391"/>
      <c r="I30" s="486">
        <f>YEAR(TODAY())</f>
        <v>2025</v>
      </c>
      <c r="J30" s="399" t="e">
        <f>INDIRECT(ADDRESS(286,MATCH(9000000000+307,'7.2- CAPRINO (SUBEXPLOT)'!286:286,1),1,,"7.2- CAPRINO (SUBEXPLOT)"))</f>
        <v>#N/A</v>
      </c>
      <c r="K30" s="400" t="e">
        <f>CONCATENATE("(",ROUND((J30-J29)*100/J29,2),"%)")</f>
        <v>#N/A</v>
      </c>
      <c r="L30" s="392"/>
      <c r="M30" s="387"/>
      <c r="N30" s="393"/>
      <c r="O30" s="391"/>
      <c r="P30" s="391"/>
      <c r="Q30" s="486">
        <f>YEAR(TODAY())</f>
        <v>2025</v>
      </c>
      <c r="R30" s="399" t="e">
        <f>INDIRECT(ADDRESS(235,MATCH(9000000000+307,'11.1- GALLINAS (CENSO)'!235:235,1),1,,"11.1- GALLINAS (CENSO)"))</f>
        <v>#N/A</v>
      </c>
      <c r="S30" s="406" t="e">
        <f>CONCATENATE("(",ROUND((R30-R29)*100/R29,2),"%)")</f>
        <v>#N/A</v>
      </c>
      <c r="T30" s="391"/>
      <c r="U30" s="486">
        <f>YEAR(TODAY())</f>
        <v>2025</v>
      </c>
      <c r="V30" s="399" t="e">
        <f>INDIRECT(ADDRESS(250,MATCH(9000000000+307,'11.2- GALLINAS (SUBEXPLOT)'!250:250,1),1,,"11.2- GALLINAS (SUBEXPLOT)"))</f>
        <v>#N/A</v>
      </c>
      <c r="W30" s="400" t="e">
        <f>CONCATENATE("(",ROUND((V30-V29)*100/V29,2),"%)")</f>
        <v>#N/A</v>
      </c>
      <c r="X30" s="53"/>
      <c r="Y30" s="389"/>
    </row>
    <row r="31" ht="13.5">
      <c r="A31" s="383"/>
      <c r="B31" s="54"/>
      <c r="C31" s="401"/>
      <c r="D31" s="401"/>
      <c r="E31" s="402"/>
      <c r="F31" s="401"/>
      <c r="G31" s="401"/>
      <c r="H31" s="401"/>
      <c r="I31" s="402"/>
      <c r="J31" s="401"/>
      <c r="K31" s="401"/>
      <c r="L31" s="403"/>
      <c r="M31" s="387"/>
      <c r="N31" s="404"/>
      <c r="O31" s="401"/>
      <c r="P31" s="401"/>
      <c r="Q31" s="402"/>
      <c r="R31" s="401"/>
      <c r="S31" s="401"/>
      <c r="T31" s="401"/>
      <c r="U31" s="402"/>
      <c r="V31" s="401"/>
      <c r="W31" s="401"/>
      <c r="X31" s="56"/>
      <c r="Y31" s="389"/>
    </row>
    <row r="32" ht="13.5">
      <c r="A32" s="383"/>
      <c r="B32" s="50"/>
      <c r="C32" s="387"/>
      <c r="D32" s="387"/>
      <c r="E32" s="405"/>
      <c r="F32" s="387"/>
      <c r="G32" s="387"/>
      <c r="H32" s="387"/>
      <c r="I32" s="405"/>
      <c r="J32" s="387"/>
      <c r="K32" s="387"/>
      <c r="L32" s="387"/>
      <c r="M32" s="387"/>
      <c r="N32" s="387"/>
      <c r="O32" s="387"/>
      <c r="P32" s="387"/>
      <c r="Q32" s="405"/>
      <c r="R32" s="387"/>
      <c r="S32" s="387"/>
      <c r="T32" s="387"/>
      <c r="U32" s="405"/>
      <c r="V32" s="387"/>
      <c r="W32" s="387"/>
      <c r="X32" s="50"/>
      <c r="Y32" s="389"/>
    </row>
    <row r="33" ht="13.5">
      <c r="A33" s="383"/>
      <c r="B33" s="46"/>
      <c r="C33" s="384"/>
      <c r="D33" s="384"/>
      <c r="E33" s="385"/>
      <c r="F33" s="384"/>
      <c r="G33" s="384"/>
      <c r="H33" s="384"/>
      <c r="I33" s="385"/>
      <c r="J33" s="384"/>
      <c r="K33" s="384"/>
      <c r="L33" s="386"/>
      <c r="M33" s="387"/>
      <c r="N33" s="388"/>
      <c r="O33" s="384"/>
      <c r="P33" s="384"/>
      <c r="Q33" s="385"/>
      <c r="R33" s="384"/>
      <c r="S33" s="384"/>
      <c r="T33" s="384"/>
      <c r="U33" s="385"/>
      <c r="V33" s="384"/>
      <c r="W33" s="384"/>
      <c r="X33" s="48"/>
      <c r="Y33" s="389"/>
    </row>
    <row r="34" ht="16.5" customHeight="1">
      <c r="A34" s="383"/>
      <c r="B34" s="52"/>
      <c r="C34" s="390" t="s">
        <v>96</v>
      </c>
      <c r="D34" s="391"/>
      <c r="E34" s="543" t="s">
        <v>89</v>
      </c>
      <c r="F34" s="544"/>
      <c r="G34" s="545"/>
      <c r="H34" s="391"/>
      <c r="I34" s="543" t="s">
        <v>90</v>
      </c>
      <c r="J34" s="544"/>
      <c r="K34" s="545"/>
      <c r="L34" s="392"/>
      <c r="M34" s="387"/>
      <c r="N34" s="393"/>
      <c r="O34" s="390" t="s">
        <v>97</v>
      </c>
      <c r="P34" s="391"/>
      <c r="Q34" s="543" t="s">
        <v>89</v>
      </c>
      <c r="R34" s="544"/>
      <c r="S34" s="545"/>
      <c r="T34" s="391"/>
      <c r="U34" s="543" t="s">
        <v>90</v>
      </c>
      <c r="V34" s="544"/>
      <c r="W34" s="545"/>
      <c r="X34" s="53"/>
      <c r="Y34" s="389"/>
    </row>
    <row r="35" ht="16.5" customHeight="1">
      <c r="A35" s="383"/>
      <c r="B35" s="52"/>
      <c r="C35" s="391"/>
      <c r="D35" s="391"/>
      <c r="E35" s="394"/>
      <c r="F35" s="395" t="e">
        <f>INDIRECT(ADDRESS(251,MATCH(9000000000+307,'8.1- OVINO (CENSO)'!251:251,1)-8,1,,"8.1- OVINO (CENSO)"))</f>
        <v>#N/A</v>
      </c>
      <c r="G35" s="396"/>
      <c r="H35" s="391"/>
      <c r="I35" s="394"/>
      <c r="J35" s="395" t="e">
        <f>INDIRECT(ADDRESS(259,MATCH(9000000000+307,'8.2- OVINO (SUBEXPLOT)'!259:259,1)-8,1,,"8.2- OVINO (SUBEXPLOT)"))</f>
        <v>#N/A</v>
      </c>
      <c r="K35" s="396"/>
      <c r="L35" s="392"/>
      <c r="M35" s="387"/>
      <c r="N35" s="393"/>
      <c r="O35" s="391"/>
      <c r="P35" s="391"/>
      <c r="Q35" s="394"/>
      <c r="R35" s="395" t="e">
        <f>INDIRECT(ADDRESS(151,MATCH(9000000000+307,'12.1- PAVOS (CENSO)'!151:151,1)-8,1,,"12.1- PAVOS (CENSO)"))</f>
        <v>#N/A</v>
      </c>
      <c r="S35" s="396"/>
      <c r="T35" s="391"/>
      <c r="U35" s="394"/>
      <c r="V35" s="395" t="e">
        <f>INDIRECT(ADDRESS(150,MATCH(9000000000+307,'12.2- PAVOS (SUBEXPLOT)'!150:150,1)-8,1,,"12.2- PAVOS (SUBEXPLOT)"))</f>
        <v>#N/A</v>
      </c>
      <c r="W35" s="396"/>
      <c r="X35" s="53"/>
      <c r="Y35" s="389"/>
    </row>
    <row r="36">
      <c r="A36" s="383"/>
      <c r="B36" s="52"/>
      <c r="C36" s="391"/>
      <c r="D36" s="391"/>
      <c r="E36" s="487">
        <f>YEAR(TODAY())-3</f>
        <v>2022</v>
      </c>
      <c r="F36" s="397" t="e">
        <f>INDIRECT(ADDRESS(251,MATCH(9000000000+307,'8.1- OVINO (CENSO)'!251:251,1)-6,1,,"8.1- OVINO (CENSO)"))</f>
        <v>#N/A</v>
      </c>
      <c r="G36" s="398" t="e">
        <f>CONCATENATE("(",ROUND((F36-F35)*100/F35,2),"%)")</f>
        <v>#N/A</v>
      </c>
      <c r="H36" s="391"/>
      <c r="I36" s="487">
        <f>YEAR(TODAY())-3</f>
        <v>2022</v>
      </c>
      <c r="J36" s="397" t="e">
        <f>INDIRECT(ADDRESS(259,MATCH(9000000000+307,'8.2- OVINO (SUBEXPLOT)'!259:259,1)-6,1,,"8.2- OVINO (SUBEXPLOT)"))</f>
        <v>#N/A</v>
      </c>
      <c r="K36" s="398" t="e">
        <f>CONCATENATE("(",ROUND((J36-J35)*100/J35,2),"%)")</f>
        <v>#N/A</v>
      </c>
      <c r="L36" s="392"/>
      <c r="M36" s="387"/>
      <c r="N36" s="393"/>
      <c r="O36" s="391"/>
      <c r="P36" s="391"/>
      <c r="Q36" s="487">
        <f>YEAR(TODAY())-3</f>
        <v>2022</v>
      </c>
      <c r="R36" s="397" t="e">
        <f>INDIRECT(ADDRESS(151,MATCH(9000000000+307,'12.1- PAVOS (CENSO)'!151:151,1)-6,1,,"12.1- PAVOS (CENSO)"))</f>
        <v>#N/A</v>
      </c>
      <c r="S36" s="398" t="e">
        <f>CONCATENATE("(",ROUND((R36-R35)*100/R35,2),"%)")</f>
        <v>#N/A</v>
      </c>
      <c r="T36" s="391"/>
      <c r="U36" s="487">
        <f>YEAR(TODAY())-3</f>
        <v>2022</v>
      </c>
      <c r="V36" s="397" t="e">
        <f>INDIRECT(ADDRESS(150,MATCH(9000000000+307,'12.2- PAVOS (SUBEXPLOT)'!150:150,1)-6,1,,"12.2- PAVOS (SUBEXPLOT)"))</f>
        <v>#N/A</v>
      </c>
      <c r="W36" s="398" t="e">
        <f>CONCATENATE("(",ROUND((V36-V35)*100/V35,2),"%)")</f>
        <v>#N/A</v>
      </c>
      <c r="X36" s="53"/>
      <c r="Y36" s="389"/>
    </row>
    <row r="37">
      <c r="A37" s="383"/>
      <c r="B37" s="52"/>
      <c r="C37" s="391"/>
      <c r="D37" s="391"/>
      <c r="E37" s="487">
        <f>YEAR(TODAY())-2</f>
        <v>2023</v>
      </c>
      <c r="F37" s="397" t="e">
        <f>INDIRECT(ADDRESS(251,MATCH(9000000000+307,'8.1- OVINO (CENSO)'!251:251,1)-4,1,,"8.1- OVINO (CENSO)"))</f>
        <v>#N/A</v>
      </c>
      <c r="G37" s="398" t="e">
        <f>CONCATENATE("(",ROUND((F37-F36)*100/F36,2),"%)")</f>
        <v>#N/A</v>
      </c>
      <c r="H37" s="391"/>
      <c r="I37" s="487">
        <f>YEAR(TODAY())-2</f>
        <v>2023</v>
      </c>
      <c r="J37" s="397" t="e">
        <f>INDIRECT(ADDRESS(259,MATCH(9000000000+307,'8.2- OVINO (SUBEXPLOT)'!259:259,1)-4,1,,"8.2- OVINO (SUBEXPLOT)"))</f>
        <v>#N/A</v>
      </c>
      <c r="K37" s="398" t="e">
        <f>CONCATENATE("(",ROUND((J37-J36)*100/J36,2),"%)")</f>
        <v>#N/A</v>
      </c>
      <c r="L37" s="392"/>
      <c r="M37" s="387"/>
      <c r="N37" s="393"/>
      <c r="O37" s="391"/>
      <c r="P37" s="391"/>
      <c r="Q37" s="487">
        <f>YEAR(TODAY())-2</f>
        <v>2023</v>
      </c>
      <c r="R37" s="397" t="e">
        <f>INDIRECT(ADDRESS(151,MATCH(9000000000+307,'12.1- PAVOS (CENSO)'!151:151,1)-4,1,,"12.1- PAVOS (CENSO)"))</f>
        <v>#N/A</v>
      </c>
      <c r="S37" s="398" t="e">
        <f>CONCATENATE("(",ROUND((R37-R36)*100/R36,2),"%)")</f>
        <v>#N/A</v>
      </c>
      <c r="T37" s="391"/>
      <c r="U37" s="487">
        <f>YEAR(TODAY())-2</f>
        <v>2023</v>
      </c>
      <c r="V37" s="397" t="e">
        <f>INDIRECT(ADDRESS(150,MATCH(9000000000+307,'12.2- PAVOS (SUBEXPLOT)'!150:150,1)-4,1,,"12.2- PAVOS (SUBEXPLOT)"))</f>
        <v>#N/A</v>
      </c>
      <c r="W37" s="398" t="e">
        <f>CONCATENATE("(",ROUND((V37-V36)*100/V36,2),"%)")</f>
        <v>#N/A</v>
      </c>
      <c r="X37" s="53"/>
      <c r="Y37" s="389"/>
    </row>
    <row r="38">
      <c r="A38" s="383"/>
      <c r="B38" s="52"/>
      <c r="C38" s="391"/>
      <c r="D38" s="391"/>
      <c r="E38" s="487">
        <f>YEAR(TODAY())-1</f>
        <v>2024</v>
      </c>
      <c r="F38" s="397" t="e">
        <f>INDIRECT(ADDRESS(251,MATCH(9000000000+307,'8.1- OVINO (CENSO)'!251:251,1)-2,1,,"8.1- OVINO (CENSO)"))</f>
        <v>#N/A</v>
      </c>
      <c r="G38" s="398" t="e">
        <f>CONCATENATE("(",ROUND((F38-F37)*100/F37,2),"%)")</f>
        <v>#N/A</v>
      </c>
      <c r="H38" s="391"/>
      <c r="I38" s="487">
        <f>YEAR(TODAY())-1</f>
        <v>2024</v>
      </c>
      <c r="J38" s="397" t="e">
        <f>INDIRECT(ADDRESS(259,MATCH(9000000000+307,'8.2- OVINO (SUBEXPLOT)'!259:259,1)-2,1,,"8.2- OVINO (SUBEXPLOT)"))</f>
        <v>#N/A</v>
      </c>
      <c r="K38" s="398" t="e">
        <f>CONCATENATE("(",ROUND((J38-J37)*100/J37,2),"%)")</f>
        <v>#N/A</v>
      </c>
      <c r="L38" s="392"/>
      <c r="M38" s="387"/>
      <c r="N38" s="393"/>
      <c r="O38" s="391"/>
      <c r="P38" s="391"/>
      <c r="Q38" s="487">
        <f>YEAR(TODAY())-1</f>
        <v>2024</v>
      </c>
      <c r="R38" s="397" t="e">
        <f>INDIRECT(ADDRESS(151,MATCH(9000000000+307,'12.1- PAVOS (CENSO)'!151:151,1)-2,1,,"12.1- PAVOS (CENSO)"))</f>
        <v>#N/A</v>
      </c>
      <c r="S38" s="398" t="e">
        <f>CONCATENATE("(",ROUND((R38-R37)*100/R37,2),"%)")</f>
        <v>#N/A</v>
      </c>
      <c r="T38" s="391"/>
      <c r="U38" s="487">
        <f>YEAR(TODAY())-1</f>
        <v>2024</v>
      </c>
      <c r="V38" s="397" t="e">
        <f>INDIRECT(ADDRESS(150,MATCH(9000000000+307,'12.2- PAVOS (SUBEXPLOT)'!150:150,1)-2,1,,"12.2- PAVOS (SUBEXPLOT)"))</f>
        <v>#N/A</v>
      </c>
      <c r="W38" s="398" t="e">
        <f>CONCATENATE("(",ROUND((V38-V37)*100/V37,2),"%)")</f>
        <v>#N/A</v>
      </c>
      <c r="X38" s="53"/>
      <c r="Y38" s="389"/>
    </row>
    <row r="39" ht="13.5">
      <c r="A39" s="383"/>
      <c r="B39" s="52"/>
      <c r="C39" s="391"/>
      <c r="D39" s="391"/>
      <c r="E39" s="486">
        <f>YEAR(TODAY())</f>
        <v>2025</v>
      </c>
      <c r="F39" s="399" t="e">
        <f>INDIRECT(ADDRESS(251,MATCH(9000000000+307,'8.1- OVINO (CENSO)'!251:251,1),1,,"8.1- OVINO (CENSO)"))</f>
        <v>#N/A</v>
      </c>
      <c r="G39" s="400" t="e">
        <f>CONCATENATE("(",ROUND((F39-F38)*100/F38,2),"%)")</f>
        <v>#N/A</v>
      </c>
      <c r="H39" s="391"/>
      <c r="I39" s="486">
        <f>YEAR(TODAY())</f>
        <v>2025</v>
      </c>
      <c r="J39" s="399" t="e">
        <f>INDIRECT(ADDRESS(259,MATCH(9000000000+307,'8.2- OVINO (SUBEXPLOT)'!259:259,1),1,,"8.2- OVINO (SUBEXPLOT)"))</f>
        <v>#N/A</v>
      </c>
      <c r="K39" s="400" t="e">
        <f>CONCATENATE("(",ROUND((J39-J38)*100/J38,2),"%)")</f>
        <v>#N/A</v>
      </c>
      <c r="L39" s="392"/>
      <c r="M39" s="387"/>
      <c r="N39" s="393"/>
      <c r="O39" s="391"/>
      <c r="P39" s="391"/>
      <c r="Q39" s="486">
        <f>YEAR(TODAY())</f>
        <v>2025</v>
      </c>
      <c r="R39" s="399" t="e">
        <f>INDIRECT(ADDRESS(151,MATCH(9000000000+307,'12.1- PAVOS (CENSO)'!151:151,1),1,,"12.1- PAVOS (CENSO)"))</f>
        <v>#N/A</v>
      </c>
      <c r="S39" s="400" t="e">
        <f>CONCATENATE("(",ROUND((R39-R38)*100/R38,2),"%)")</f>
        <v>#N/A</v>
      </c>
      <c r="T39" s="391"/>
      <c r="U39" s="486">
        <f>YEAR(TODAY())</f>
        <v>2025</v>
      </c>
      <c r="V39" s="399" t="e">
        <f>INDIRECT(ADDRESS(150,MATCH(9000000000+307,'12.2- PAVOS (SUBEXPLOT)'!150:150,1),1,,"12.2- PAVOS (SUBEXPLOT)"))</f>
        <v>#N/A</v>
      </c>
      <c r="W39" s="400" t="e">
        <f>CONCATENATE("(",ROUND((V39-V38)*100/V38,2),"%)")</f>
        <v>#N/A</v>
      </c>
      <c r="X39" s="53"/>
      <c r="Y39" s="389"/>
    </row>
    <row r="40" ht="13.5">
      <c r="A40" s="383"/>
      <c r="B40" s="54"/>
      <c r="C40" s="401"/>
      <c r="D40" s="401"/>
      <c r="E40" s="402"/>
      <c r="F40" s="401"/>
      <c r="G40" s="401"/>
      <c r="H40" s="401"/>
      <c r="I40" s="402"/>
      <c r="J40" s="401"/>
      <c r="K40" s="401"/>
      <c r="L40" s="403"/>
      <c r="M40" s="387"/>
      <c r="N40" s="404"/>
      <c r="O40" s="401"/>
      <c r="P40" s="401"/>
      <c r="Q40" s="402"/>
      <c r="R40" s="401"/>
      <c r="S40" s="401"/>
      <c r="T40" s="401"/>
      <c r="U40" s="402"/>
      <c r="V40" s="401"/>
      <c r="W40" s="401"/>
      <c r="X40" s="56"/>
      <c r="Y40" s="389"/>
    </row>
    <row r="41" ht="13.5">
      <c r="A41" s="383"/>
      <c r="B41" s="50"/>
      <c r="C41" s="387"/>
      <c r="D41" s="387"/>
      <c r="E41" s="405"/>
      <c r="F41" s="387"/>
      <c r="G41" s="387"/>
      <c r="H41" s="387"/>
      <c r="I41" s="405"/>
      <c r="J41" s="387"/>
      <c r="K41" s="387"/>
      <c r="L41" s="387"/>
      <c r="M41" s="387"/>
      <c r="N41" s="387"/>
      <c r="O41" s="387"/>
      <c r="P41" s="387"/>
      <c r="Q41" s="405"/>
      <c r="R41" s="387"/>
      <c r="S41" s="387"/>
      <c r="T41" s="387"/>
      <c r="U41" s="405"/>
      <c r="V41" s="387"/>
      <c r="W41" s="387"/>
      <c r="X41" s="50"/>
      <c r="Y41" s="389"/>
    </row>
    <row r="42" ht="13.5">
      <c r="A42" s="383"/>
      <c r="B42" s="46"/>
      <c r="C42" s="384"/>
      <c r="D42" s="384"/>
      <c r="E42" s="385"/>
      <c r="F42" s="384"/>
      <c r="G42" s="384"/>
      <c r="H42" s="384"/>
      <c r="I42" s="385"/>
      <c r="J42" s="384"/>
      <c r="K42" s="384"/>
      <c r="L42" s="386"/>
      <c r="M42" s="387"/>
      <c r="N42" s="388"/>
      <c r="O42" s="384"/>
      <c r="P42" s="384"/>
      <c r="Q42" s="385"/>
      <c r="R42" s="384"/>
      <c r="S42" s="384"/>
      <c r="T42" s="384"/>
      <c r="U42" s="385"/>
      <c r="V42" s="384"/>
      <c r="W42" s="384"/>
      <c r="X42" s="48"/>
      <c r="Y42" s="389"/>
    </row>
    <row r="43" ht="17.25" customHeight="1">
      <c r="A43" s="383"/>
      <c r="B43" s="52"/>
      <c r="C43" s="390" t="s">
        <v>98</v>
      </c>
      <c r="D43" s="391"/>
      <c r="E43" s="543" t="s">
        <v>89</v>
      </c>
      <c r="F43" s="544"/>
      <c r="G43" s="545"/>
      <c r="H43" s="391"/>
      <c r="I43" s="543" t="s">
        <v>90</v>
      </c>
      <c r="J43" s="544"/>
      <c r="K43" s="545"/>
      <c r="L43" s="392"/>
      <c r="M43" s="387"/>
      <c r="N43" s="393"/>
      <c r="O43" s="390" t="s">
        <v>99</v>
      </c>
      <c r="P43" s="391"/>
      <c r="Q43" s="543" t="s">
        <v>89</v>
      </c>
      <c r="R43" s="544"/>
      <c r="S43" s="545"/>
      <c r="T43" s="391"/>
      <c r="U43" s="543" t="s">
        <v>90</v>
      </c>
      <c r="V43" s="544"/>
      <c r="W43" s="545"/>
      <c r="X43" s="53"/>
      <c r="Y43" s="389"/>
    </row>
    <row r="44" ht="17.25" customHeight="1">
      <c r="A44" s="383"/>
      <c r="B44" s="52"/>
      <c r="C44" s="391"/>
      <c r="D44" s="391"/>
      <c r="E44" s="394"/>
      <c r="F44" s="395" t="e">
        <f>INDIRECT(ADDRESS(136,MATCH(9000000000+307,'9.1- APICULTURA (CENSO)'!136:136,1)-8,1,,"9.1- APICULTURA (CENSO)"))</f>
        <v>#N/A</v>
      </c>
      <c r="G44" s="396"/>
      <c r="H44" s="391"/>
      <c r="I44" s="394"/>
      <c r="J44" s="395" t="e">
        <f>INDIRECT(ADDRESS(311,MATCH(9000000000+307,'9.2- APICULTURA (SUBEXPLOT)'!311:311,1)-8,1,,"9.2- APICULTURA (SUBEXPLOT)"))</f>
        <v>#N/A</v>
      </c>
      <c r="K44" s="396"/>
      <c r="L44" s="392"/>
      <c r="M44" s="387"/>
      <c r="N44" s="393"/>
      <c r="O44" s="391"/>
      <c r="P44" s="391"/>
      <c r="Q44" s="394"/>
      <c r="R44" s="395" t="e">
        <f>INDIRECT(ADDRESS(217,MATCH(9000000000+307,'14.1- CONEJOS (CENSO)'!217:217,1)-8,1,,"14.1- CONEJOS (CENSO)"))</f>
        <v>#N/A</v>
      </c>
      <c r="S44" s="396"/>
      <c r="T44" s="391"/>
      <c r="U44" s="394"/>
      <c r="V44" s="395" t="e">
        <f>INDIRECT(ADDRESS(123,MATCH(9000000000+307,'14.2- CONEJOS (SUBEXPLOT)'!123:123,1)-8,1,,"14.2- CONEJOS (SUBEXPLOT)"))</f>
        <v>#N/A</v>
      </c>
      <c r="W44" s="396"/>
      <c r="X44" s="53"/>
      <c r="Y44" s="389"/>
    </row>
    <row r="45">
      <c r="A45" s="383"/>
      <c r="B45" s="52"/>
      <c r="C45" s="391"/>
      <c r="D45" s="391"/>
      <c r="E45" s="487">
        <f>YEAR(TODAY())-3</f>
        <v>2022</v>
      </c>
      <c r="F45" s="397" t="e">
        <f>INDIRECT(ADDRESS(136,MATCH(9000000000+307,'9.1- APICULTURA (CENSO)'!136:136,1)-6,1,,"9.1- APICULTURA (CENSO)"))</f>
        <v>#N/A</v>
      </c>
      <c r="G45" s="398" t="e">
        <f>CONCATENATE("(",ROUND((F45-F44)*100/F44,2),"%)")</f>
        <v>#N/A</v>
      </c>
      <c r="H45" s="391"/>
      <c r="I45" s="487">
        <f>YEAR(TODAY())-3</f>
        <v>2022</v>
      </c>
      <c r="J45" s="397" t="e">
        <f>INDIRECT(ADDRESS(311,MATCH(9000000000+307,'9.2- APICULTURA (SUBEXPLOT)'!311:311,1)-6,1,,"9.2- APICULTURA (SUBEXPLOT)"))</f>
        <v>#N/A</v>
      </c>
      <c r="K45" s="398" t="e">
        <f>CONCATENATE("(",ROUND((J45-J44)*100/J44,2),"%)")</f>
        <v>#N/A</v>
      </c>
      <c r="L45" s="392"/>
      <c r="M45" s="387"/>
      <c r="N45" s="393"/>
      <c r="O45" s="391"/>
      <c r="P45" s="391"/>
      <c r="Q45" s="487">
        <f>YEAR(TODAY())-3</f>
        <v>2022</v>
      </c>
      <c r="R45" s="397" t="e">
        <f>INDIRECT(ADDRESS(217,MATCH(9000000000+307,'14.1- CONEJOS (CENSO)'!217:217,1)-6,1,,"14.1- CONEJOS (CENSO)"))</f>
        <v>#N/A</v>
      </c>
      <c r="S45" s="398" t="e">
        <f>CONCATENATE("(",ROUND((R45-R44)*100/R44,2),"%)")</f>
        <v>#N/A</v>
      </c>
      <c r="T45" s="391"/>
      <c r="U45" s="487">
        <f>YEAR(TODAY())-3</f>
        <v>2022</v>
      </c>
      <c r="V45" s="397" t="e">
        <f>INDIRECT(ADDRESS(123,MATCH(9000000000+307,'14.2- CONEJOS (SUBEXPLOT)'!123:123,1)-6,1,,"14.2- CONEJOS (SUBEXPLOT)"))</f>
        <v>#N/A</v>
      </c>
      <c r="W45" s="398" t="e">
        <f>CONCATENATE("(",ROUND((V45-V44)*100/V44,2),"%)")</f>
        <v>#N/A</v>
      </c>
      <c r="X45" s="53"/>
      <c r="Y45" s="389"/>
    </row>
    <row r="46" ht="13.5">
      <c r="A46" s="383"/>
      <c r="B46" s="52"/>
      <c r="C46" s="391"/>
      <c r="D46" s="391"/>
      <c r="E46" s="487">
        <f>YEAR(TODAY())-2</f>
        <v>2023</v>
      </c>
      <c r="F46" s="397" t="e">
        <f>INDIRECT(ADDRESS(136,MATCH(9000000000+307,'9.1- APICULTURA (CENSO)'!136:136,1)-4,1,,"9.1- APICULTURA (CENSO)"))</f>
        <v>#N/A</v>
      </c>
      <c r="G46" s="398" t="e">
        <f>CONCATENATE("(",ROUND((F46-F45)*100/F45,2),"%)")</f>
        <v>#N/A</v>
      </c>
      <c r="H46" s="391"/>
      <c r="I46" s="487">
        <f>YEAR(TODAY())-2</f>
        <v>2023</v>
      </c>
      <c r="J46" s="397" t="e">
        <f>INDIRECT(ADDRESS(311,MATCH(9000000000+307,'9.2- APICULTURA (SUBEXPLOT)'!311:311,1)-4,1,,"9.2- APICULTURA (SUBEXPLOT)"))</f>
        <v>#N/A</v>
      </c>
      <c r="K46" s="398" t="e">
        <f>CONCATENATE("(",ROUND((J46-J45)*100/J45,2),"%)")</f>
        <v>#N/A</v>
      </c>
      <c r="L46" s="392"/>
      <c r="M46" s="387"/>
      <c r="N46" s="393"/>
      <c r="O46" s="391"/>
      <c r="P46" s="391"/>
      <c r="Q46" s="487">
        <f>YEAR(TODAY())-2</f>
        <v>2023</v>
      </c>
      <c r="R46" s="397" t="e">
        <f>INDIRECT(ADDRESS(217,MATCH(9000000000+307,'14.1- CONEJOS (CENSO)'!217:217,1)-4,1,,"14.1- CONEJOS (CENSO)"))</f>
        <v>#N/A</v>
      </c>
      <c r="S46" s="398" t="e">
        <f>CONCATENATE("(",ROUND((R46-R45)*100/R45,2),"%)")</f>
        <v>#N/A</v>
      </c>
      <c r="T46" s="391"/>
      <c r="U46" s="487">
        <f>YEAR(TODAY())-2</f>
        <v>2023</v>
      </c>
      <c r="V46" s="397" t="e">
        <f>INDIRECT(ADDRESS(123,MATCH(9000000000+307,'14.2- CONEJOS (SUBEXPLOT)'!123:123,1)-4,1,,"14.2- CONEJOS (SUBEXPLOT)"))</f>
        <v>#N/A</v>
      </c>
      <c r="W46" s="398" t="e">
        <f>CONCATENATE("(",ROUND((V46-V45)*100/V45,2),"%)")</f>
        <v>#N/A</v>
      </c>
      <c r="X46" s="53"/>
      <c r="Y46" s="411"/>
    </row>
    <row r="47" ht="13.5">
      <c r="A47" s="383"/>
      <c r="B47" s="52"/>
      <c r="C47" s="391"/>
      <c r="D47" s="391"/>
      <c r="E47" s="487">
        <f>YEAR(TODAY())-1</f>
        <v>2024</v>
      </c>
      <c r="F47" s="397" t="e">
        <f>INDIRECT(ADDRESS(136,MATCH(9000000000+307,'9.1- APICULTURA (CENSO)'!136:136,1)-2,1,,"9.1- APICULTURA (CENSO)"))</f>
        <v>#N/A</v>
      </c>
      <c r="G47" s="398" t="e">
        <f>CONCATENATE("(",ROUND((F47-F46)*100/F46,2),"%)")</f>
        <v>#N/A</v>
      </c>
      <c r="H47" s="391"/>
      <c r="I47" s="487">
        <f>YEAR(TODAY())-1</f>
        <v>2024</v>
      </c>
      <c r="J47" s="397" t="e">
        <f>INDIRECT(ADDRESS(311,MATCH(9000000000+307,'9.2- APICULTURA (SUBEXPLOT)'!311:311,1)-2,1,,"9.2- APICULTURA (SUBEXPLOT)"))</f>
        <v>#N/A</v>
      </c>
      <c r="K47" s="398" t="e">
        <f>CONCATENATE("(",ROUND((J47-J46)*100/J46,2),"%)")</f>
        <v>#N/A</v>
      </c>
      <c r="L47" s="392"/>
      <c r="M47" s="387"/>
      <c r="N47" s="393"/>
      <c r="O47" s="391"/>
      <c r="P47" s="391"/>
      <c r="Q47" s="487">
        <f>YEAR(TODAY())-1</f>
        <v>2024</v>
      </c>
      <c r="R47" s="397" t="e">
        <f>INDIRECT(ADDRESS(217,MATCH(9000000000+307,'14.1- CONEJOS (CENSO)'!217:217,1)-2,1,,"14.1- CONEJOS (CENSO)"))</f>
        <v>#N/A</v>
      </c>
      <c r="S47" s="398" t="e">
        <f>CONCATENATE("(",ROUND((R47-R46)*100/R46,2),"%)")</f>
        <v>#N/A</v>
      </c>
      <c r="T47" s="391"/>
      <c r="U47" s="487">
        <f>YEAR(TODAY())-1</f>
        <v>2024</v>
      </c>
      <c r="V47" s="397" t="e">
        <f>INDIRECT(ADDRESS(123,MATCH(9000000000+307,'14.2- CONEJOS (SUBEXPLOT)'!123:123,1)-2,1,,"14.2- CONEJOS (SUBEXPLOT)"))</f>
        <v>#N/A</v>
      </c>
      <c r="W47" s="398" t="e">
        <f>CONCATENATE("(",ROUND((V47-V46)*100/V46,2),"%)")</f>
        <v>#N/A</v>
      </c>
      <c r="X47" s="53"/>
    </row>
    <row r="48" ht="13.5">
      <c r="A48" s="383"/>
      <c r="B48" s="52"/>
      <c r="C48" s="391"/>
      <c r="D48" s="391"/>
      <c r="E48" s="486">
        <f>YEAR(TODAY())</f>
        <v>2025</v>
      </c>
      <c r="F48" s="399" t="e">
        <f>INDIRECT(ADDRESS(136,MATCH(9000000000+307,'9.1- APICULTURA (CENSO)'!136:136,1),1,,"9.1- APICULTURA (CENSO)"))</f>
        <v>#N/A</v>
      </c>
      <c r="G48" s="400" t="e">
        <f>CONCATENATE("(",ROUND((F48-F47)*100/F47,2),"%)")</f>
        <v>#N/A</v>
      </c>
      <c r="H48" s="391"/>
      <c r="I48" s="486">
        <f>YEAR(TODAY())</f>
        <v>2025</v>
      </c>
      <c r="J48" s="399" t="e">
        <f>INDIRECT(ADDRESS(311,MATCH(9000000000+307,'9.2- APICULTURA (SUBEXPLOT)'!311:311,1),1,,"9.2- APICULTURA (SUBEXPLOT)"))</f>
        <v>#N/A</v>
      </c>
      <c r="K48" s="400" t="e">
        <f>CONCATENATE("(",ROUND((J48-J47)*100/J47,2),"%)")</f>
        <v>#N/A</v>
      </c>
      <c r="L48" s="392"/>
      <c r="M48" s="387"/>
      <c r="N48" s="393"/>
      <c r="O48" s="391"/>
      <c r="P48" s="391"/>
      <c r="Q48" s="486">
        <f>YEAR(TODAY())</f>
        <v>2025</v>
      </c>
      <c r="R48" s="399" t="e">
        <f>INDIRECT(ADDRESS(217,MATCH(9000000000+307,'14.1- CONEJOS (CENSO)'!217:217,1),1,,"14.1- CONEJOS (CENSO)"))</f>
        <v>#N/A</v>
      </c>
      <c r="S48" s="400" t="e">
        <f>CONCATENATE("(",ROUND((R48-R47)*100/R47,2),"%)")</f>
        <v>#N/A</v>
      </c>
      <c r="T48" s="391"/>
      <c r="U48" s="486">
        <f>YEAR(TODAY())</f>
        <v>2025</v>
      </c>
      <c r="V48" s="399" t="e">
        <f>INDIRECT(ADDRESS(123,MATCH(9000000000+307,'14.2- CONEJOS (SUBEXPLOT)'!123:123,1),1,,"14.2- CONEJOS (SUBEXPLOT)"))</f>
        <v>#N/A</v>
      </c>
      <c r="W48" s="400" t="e">
        <f>CONCATENATE("(",ROUND((V48-V47)*100/V47,2),"%)")</f>
        <v>#N/A</v>
      </c>
      <c r="X48" s="53"/>
    </row>
    <row r="49" ht="13.5">
      <c r="A49" s="383"/>
      <c r="B49" s="54"/>
      <c r="C49" s="401"/>
      <c r="D49" s="401"/>
      <c r="E49" s="402"/>
      <c r="F49" s="401"/>
      <c r="G49" s="401"/>
      <c r="H49" s="401"/>
      <c r="I49" s="402"/>
      <c r="J49" s="401"/>
      <c r="K49" s="401"/>
      <c r="L49" s="403"/>
      <c r="M49" s="387"/>
      <c r="N49" s="404"/>
      <c r="O49" s="401"/>
      <c r="P49" s="401"/>
      <c r="Q49" s="402"/>
      <c r="R49" s="401"/>
      <c r="S49" s="401"/>
      <c r="T49" s="401"/>
      <c r="U49" s="402"/>
      <c r="V49" s="401"/>
      <c r="W49" s="401"/>
      <c r="X49" s="56"/>
    </row>
    <row r="50" ht="13.5">
      <c r="A50" s="407"/>
      <c r="B50" s="408"/>
      <c r="C50" s="409"/>
      <c r="D50" s="409"/>
      <c r="E50" s="410"/>
      <c r="F50" s="409"/>
      <c r="G50" s="409"/>
      <c r="H50" s="409"/>
      <c r="I50" s="410"/>
      <c r="J50" s="409"/>
      <c r="K50" s="409"/>
      <c r="L50" s="409"/>
      <c r="M50" s="409"/>
      <c r="N50" s="409"/>
      <c r="O50" s="409"/>
      <c r="P50" s="409"/>
      <c r="Q50" s="410"/>
      <c r="R50" s="409"/>
      <c r="S50" s="409"/>
      <c r="T50" s="409"/>
      <c r="U50" s="410"/>
      <c r="V50" s="409"/>
      <c r="W50" s="409"/>
      <c r="X50" s="408"/>
    </row>
    <row r="51" ht="13.5"/>
  </sheetData>
  <sheetProtection algorithmName="SHA-512" hashValue="owpmE4LeLQulrHC98gzOdNAkWirrhdSJ0QcO7cQi0BHkJKVW5TI6xONCqWP3PQtlx9WRJmoI4tIlnDqhdvhlPA==" saltValue="fB8hv8Y//yD+kjSShEa2QQ==" spinCount="100000" sheet="1" objects="1" scenarios="1"/>
  <mergeCells>
    <mergeCell ref="Q34:S34"/>
    <mergeCell ref="Q43:S43"/>
    <mergeCell ref="U16:W16"/>
    <mergeCell ref="U25:W25"/>
    <mergeCell ref="U34:W34"/>
    <mergeCell ref="U43:W43"/>
    <mergeCell ref="E34:G34"/>
    <mergeCell ref="E43:G43"/>
    <mergeCell ref="I16:K16"/>
    <mergeCell ref="I25:K25"/>
    <mergeCell ref="I34:K34"/>
    <mergeCell ref="I43:K43"/>
    <mergeCell ref="E1:Y4"/>
    <mergeCell ref="O16:O17"/>
    <mergeCell ref="O25:O26"/>
    <mergeCell ref="E7:G7"/>
    <mergeCell ref="I7:K7"/>
    <mergeCell ref="E16:G16"/>
    <mergeCell ref="E25:G25"/>
    <mergeCell ref="Q7:S7"/>
    <mergeCell ref="U7:W7"/>
    <mergeCell ref="Q16:S16"/>
    <mergeCell ref="Q25:S25"/>
  </mergeCells>
  <phoneticPr fontId="3" type="noConversion"/>
  <printOptions horizontalCentered="1" verticalCentered="1"/>
  <pageMargins left="0.56999999999999995" right="0.44" top="0.17" bottom="0.3" header="0.46" footer="0"/>
  <pageSetup paperSize="8" scale="82" orientation="landscape"/>
  <headerFooter alignWithMargins="0"/>
  <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mc:Ignorable="x14ac xr">
  <sheetPr codeName="Hoja20">
    <tabColor indexed="49"/>
  </sheetPr>
  <dimension ref="A1:IV443"/>
  <sheetViews>
    <sheetView showGridLines="0" view="pageBreakPreview" zoomScale="85" zoomScaleNormal="100" zoomScaleSheetLayoutView="85" workbookViewId="0">
      <pane ySplit="9" topLeftCell="A10" activePane="bottomLeft" state="frozen"/>
      <selection pane="bottomLeft" activeCell="A10" sqref="A10"/>
    </sheetView>
  </sheetViews>
  <sheetFormatPr baseColWidth="10" defaultRowHeight="12.75"/>
  <cols>
    <col min="1" max="1" width="11.42578125" customWidth="1" style="51"/>
    <col min="2" max="2" bestFit="1" width="19.5703125" customWidth="1" style="51"/>
    <col min="3" max="3" bestFit="1" width="12.7109375" customWidth="1" style="51"/>
    <col min="4" max="4" width="13.7109375" customWidth="1" style="51"/>
    <col min="5" max="5" width="13" customWidth="1" style="51"/>
    <col min="6" max="6" width="13.140625" customWidth="1" style="51"/>
    <col min="7" max="7" width="13" customWidth="1" style="51"/>
    <col min="8" max="8" width="12.5703125" customWidth="1" style="51"/>
    <col min="9" max="11" width="13" customWidth="1" style="51"/>
    <col min="12" max="12" width="12.5703125" customWidth="1" style="51"/>
    <col min="13" max="13" bestFit="1" width="12.42578125" customWidth="1" style="51"/>
    <col min="14" max="16384" width="11.42578125" customWidth="1" style="51"/>
  </cols>
  <sheetData>
    <row r="1">
      <c r="A1" s="46"/>
      <c r="B1" s="47"/>
      <c r="C1" s="47"/>
      <c r="D1" s="47"/>
      <c r="E1" s="47"/>
      <c r="F1" s="47"/>
      <c r="G1" s="47"/>
      <c r="H1" s="47"/>
      <c r="I1" s="47"/>
      <c r="J1" s="47"/>
      <c r="K1" s="47"/>
      <c r="L1" s="47"/>
      <c r="M1" s="47"/>
      <c r="N1" s="47"/>
      <c r="O1" s="48"/>
      <c r="P1" s="49"/>
      <c r="Q1" s="50"/>
    </row>
    <row r="2">
      <c r="A2" s="52"/>
      <c r="B2" s="49"/>
      <c r="C2" s="49"/>
      <c r="D2" s="49"/>
      <c r="E2" s="49"/>
      <c r="F2" s="49"/>
      <c r="G2" s="49"/>
      <c r="H2" s="49"/>
      <c r="I2" s="49"/>
      <c r="J2" s="49"/>
      <c r="K2" s="49"/>
      <c r="L2" s="49"/>
      <c r="M2" s="49"/>
      <c r="N2" s="49"/>
      <c r="O2" s="53"/>
      <c r="P2" s="49"/>
      <c r="Q2" s="50"/>
    </row>
    <row r="3">
      <c r="A3" s="52"/>
      <c r="B3" s="49"/>
      <c r="C3" s="49"/>
      <c r="D3" s="49"/>
      <c r="E3" s="49"/>
      <c r="F3" s="49"/>
      <c r="G3" s="49"/>
      <c r="H3" s="49"/>
      <c r="I3" s="49"/>
      <c r="J3" s="49"/>
      <c r="K3" s="49"/>
      <c r="L3" s="49"/>
      <c r="M3" s="49"/>
      <c r="N3" s="49"/>
      <c r="O3" s="53"/>
      <c r="P3" s="49"/>
      <c r="Q3" s="50"/>
    </row>
    <row r="4">
      <c r="A4" s="52"/>
      <c r="B4" s="49"/>
      <c r="C4" s="49"/>
      <c r="D4" s="49"/>
      <c r="E4" s="49"/>
      <c r="F4" s="49"/>
      <c r="G4" s="49"/>
      <c r="H4" s="49"/>
      <c r="I4" s="49"/>
      <c r="J4" s="49"/>
      <c r="K4" s="49"/>
      <c r="L4" s="49"/>
      <c r="M4" s="49"/>
      <c r="N4" s="49"/>
      <c r="O4" s="53"/>
      <c r="P4" s="49"/>
      <c r="Q4" s="50"/>
    </row>
    <row r="5">
      <c r="A5" s="52"/>
      <c r="B5" s="49"/>
      <c r="C5" s="49"/>
      <c r="D5" s="49"/>
      <c r="E5" s="49"/>
      <c r="F5" s="49"/>
      <c r="G5" s="49"/>
      <c r="H5" s="49"/>
      <c r="I5" s="49"/>
      <c r="J5" s="49"/>
      <c r="K5" s="49"/>
      <c r="L5" s="49"/>
      <c r="M5" s="49"/>
      <c r="N5" s="49"/>
      <c r="O5" s="53"/>
      <c r="P5" s="49"/>
      <c r="Q5" s="50"/>
    </row>
    <row r="6" ht="13.5">
      <c r="A6" s="54"/>
      <c r="B6" s="55"/>
      <c r="C6" s="55"/>
      <c r="D6" s="55"/>
      <c r="E6" s="55"/>
      <c r="F6" s="55"/>
      <c r="G6" s="55"/>
      <c r="H6" s="55"/>
      <c r="I6" s="55"/>
      <c r="J6" s="55"/>
      <c r="K6" s="55"/>
      <c r="L6" s="55"/>
      <c r="M6" s="55"/>
      <c r="N6" s="55"/>
      <c r="O6" s="56"/>
      <c r="P6" s="49"/>
      <c r="Q6" s="50"/>
    </row>
    <row r="7" s="57" customFormat="1">
      <c r="P7" s="58"/>
      <c r="Q7" s="58"/>
    </row>
    <row r="8">
      <c r="F8" s="131">
        <v>20</v>
      </c>
      <c r="I8" s="51" t="s">
        <v>100</v>
      </c>
      <c r="J8" s="51" t="e">
        <f>LOOKUP(AUX!$E$10,AUX!$B:$B,AUX!$A:$A)</f>
        <v>#N/A</v>
      </c>
      <c r="P8" s="50"/>
      <c r="Q8" s="50"/>
    </row>
    <row r="9">
      <c r="B9" s="597" t="s">
        <v>101</v>
      </c>
      <c r="C9" s="597"/>
      <c r="D9" s="597"/>
      <c r="E9" s="597"/>
      <c r="I9" s="51" t="s">
        <v>1</v>
      </c>
      <c r="J9" s="51" t="str">
        <f>LOOKUP(AUX!$E$11,AUX!$E1:$E5,AUX!$D1:$D5)</f>
        <v>6 meses</v>
      </c>
    </row>
    <row r="12" ht="13.5"/>
    <row r="13" ht="16.5" customHeight="1">
      <c r="B13" s="329"/>
      <c r="C13" s="755" t="s">
        <v>374</v>
      </c>
      <c r="D13" s="756"/>
      <c r="E13" s="756"/>
      <c r="F13" s="756"/>
      <c r="G13" s="756"/>
      <c r="H13" s="756"/>
      <c r="I13" s="756"/>
      <c r="J13" s="756"/>
      <c r="K13" s="756"/>
      <c r="L13" s="756"/>
      <c r="M13" s="757"/>
    </row>
    <row r="14" ht="15.75">
      <c r="B14" s="330"/>
      <c r="C14" s="758" t="s">
        <v>375</v>
      </c>
      <c r="D14" s="759"/>
      <c r="E14" s="759"/>
      <c r="F14" s="759"/>
      <c r="G14" s="759"/>
      <c r="H14" s="759"/>
      <c r="I14" s="759"/>
      <c r="J14" s="759"/>
      <c r="K14" s="759"/>
      <c r="L14" s="759"/>
      <c r="M14" s="760"/>
      <c r="N14" s="164"/>
      <c r="O14" s="164"/>
      <c r="P14" s="285"/>
    </row>
    <row r="15">
      <c r="C15" s="141"/>
      <c r="D15" s="142"/>
      <c r="E15" s="142"/>
      <c r="F15" s="142"/>
      <c r="G15" s="142"/>
      <c r="H15" s="142"/>
      <c r="I15" s="142"/>
      <c r="J15" s="142"/>
      <c r="K15" s="142"/>
      <c r="L15" s="142"/>
      <c r="M15" s="143"/>
    </row>
    <row r="16">
      <c r="C16" s="331" t="e">
        <f>INDEX(AUX!$G$1:$IV$1,1,AUX!$E$10+(AUX!$E$11*AUX!G$2))</f>
        <v>#VALUE!</v>
      </c>
      <c r="D16" s="332">
        <f>INDEX(AUX!$G$1:$IV$1,1,AUX!$E$10+(AUX!$E$11*AUX!H$2))</f>
        <v>38899</v>
      </c>
      <c r="E16" s="332">
        <f>INDEX(AUX!$G$1:$IV$1,1,AUX!$E$10+(AUX!$E$11*AUX!I$2))</f>
        <v>39083</v>
      </c>
      <c r="F16" s="332">
        <f>INDEX(AUX!$G$1:$IV$1,1,AUX!$E$10+(AUX!$E$11*AUX!J$2))</f>
        <v>39264</v>
      </c>
      <c r="G16" s="332">
        <f>INDEX(AUX!$G$1:$IV$1,1,AUX!$E$10+(AUX!$E$11*AUX!K$2))</f>
        <v>39448</v>
      </c>
      <c r="H16" s="332">
        <f>INDEX(AUX!$G$1:$IV$1,1,AUX!$E$10+(AUX!$E$11*AUX!L$2))</f>
        <v>39630</v>
      </c>
      <c r="I16" s="332">
        <f>INDEX(AUX!$G$1:$IV$1,1,AUX!$E$10+(AUX!$E$11*AUX!M$2))</f>
        <v>39814</v>
      </c>
      <c r="J16" s="332">
        <f>INDEX(AUX!$G$1:$IV$1,1,AUX!$E$10+(AUX!$E$11*AUX!N$2))</f>
        <v>39995</v>
      </c>
      <c r="K16" s="332">
        <f>INDEX(AUX!$G$1:$IV$1,1,AUX!$E$10+(AUX!$E$11*AUX!O$2))</f>
        <v>40179</v>
      </c>
      <c r="L16" s="332">
        <f>INDEX(AUX!$G$1:$IV$1,1,AUX!$E$10+(AUX!$E$11*AUX!P$2))</f>
        <v>40360</v>
      </c>
      <c r="M16" s="333">
        <f>INDEX(AUX!$G$1:$IV$1,1,AUX!$E$10+(AUX!$E$11*AUX!Q$2))</f>
        <v>40544</v>
      </c>
      <c r="N16" s="201"/>
    </row>
    <row r="17" ht="15.75" customHeight="1">
      <c r="B17" s="288"/>
      <c r="C17" s="745" t="s">
        <v>376</v>
      </c>
      <c r="D17" s="746"/>
      <c r="E17" s="746"/>
      <c r="F17" s="746"/>
      <c r="G17" s="746"/>
      <c r="H17" s="746"/>
      <c r="I17" s="746"/>
      <c r="J17" s="746"/>
      <c r="K17" s="746"/>
      <c r="L17" s="746"/>
      <c r="M17" s="747"/>
      <c r="N17" s="201"/>
      <c r="O17" s="201"/>
    </row>
    <row r="18" ht="15" customHeight="1">
      <c r="B18" s="334" t="str">
        <f>INDEX($B$170:$H$189,$F$8,1)</f>
        <v>Total</v>
      </c>
      <c r="C18" s="289" t="str">
        <f>IF(INDEX($C$378:$II$397,$F$8,AUX!$E$10+(AUX!$E$11*AUX!G$2))="","--",IF(INDEX($C$378:$II$397,$F$8,AUX!$E$10+(AUX!$E$11*AUX!G$2))=0,"-",INDEX($C$378:$II$397,$F$8,AUX!$E$10+(AUX!$E$11*AUX!G$2))))</f>
        <v>--</v>
      </c>
      <c r="D18" s="290" t="str">
        <f>IF(INDEX($C$378:$II$397,$F$8,AUX!$E$10+(AUX!$E$11*AUX!H$2))="","--",IF(INDEX($C$378:$II$397,$F$8,AUX!$E$10+(AUX!$E$11*AUX!H$2))=0,"-",INDEX($C$378:$II$397,$F$8,AUX!$E$10+(AUX!$E$11*AUX!H$2))))</f>
        <v>--</v>
      </c>
      <c r="E18" s="290" t="str">
        <f>IF(INDEX($C$378:$II$397,$F$8,AUX!$E$10+(AUX!$E$11*AUX!I$2))="","--",IF(INDEX($C$378:$II$397,$F$8,AUX!$E$10+(AUX!$E$11*AUX!I$2))=0,"-",INDEX($C$378:$II$397,$F$8,AUX!$E$10+(AUX!$E$11*AUX!I$2))))</f>
        <v>--</v>
      </c>
      <c r="F18" s="290" t="str">
        <f>IF(INDEX($C$378:$II$397,$F$8,AUX!$E$10+(AUX!$E$11*AUX!J$2))="","--",IF(INDEX($C$378:$II$397,$F$8,AUX!$E$10+(AUX!$E$11*AUX!J$2))=0,"-",INDEX($C$378:$II$397,$F$8,AUX!$E$10+(AUX!$E$11*AUX!J$2))))</f>
        <v>--</v>
      </c>
      <c r="G18" s="290" t="str">
        <f>IF(INDEX($C$378:$II$397,$F$8,AUX!$E$10+(AUX!$E$11*AUX!K$2))="","--",IF(INDEX($C$378:$II$397,$F$8,AUX!$E$10+(AUX!$E$11*AUX!K$2))=0,"-",INDEX($C$378:$II$397,$F$8,AUX!$E$10+(AUX!$E$11*AUX!K$2))))</f>
        <v>--</v>
      </c>
      <c r="H18" s="290" t="str">
        <f>IF(INDEX($C$378:$II$397,$F$8,AUX!$E$10+(AUX!$E$11*AUX!L$2))="","--",IF(INDEX($C$378:$II$397,$F$8,AUX!$E$10+(AUX!$E$11*AUX!L$2))=0,"-",INDEX($C$378:$II$397,$F$8,AUX!$E$10+(AUX!$E$11*AUX!L$2))))</f>
        <v>--</v>
      </c>
      <c r="I18" s="290" t="str">
        <f>IF(INDEX($C$378:$II$397,$F$8,AUX!$E$10+(AUX!$E$11*AUX!M$2))="","--",IF(INDEX($C$378:$II$397,$F$8,AUX!$E$10+(AUX!$E$11*AUX!M$2))=0,"-",INDEX($C$378:$II$397,$F$8,AUX!$E$10+(AUX!$E$11*AUX!M$2))))</f>
        <v>--</v>
      </c>
      <c r="J18" s="290" t="str">
        <f>IF(INDEX($C$378:$II$397,$F$8,AUX!$E$10+(AUX!$E$11*AUX!N$2))="","--",IF(INDEX($C$378:$II$397,$F$8,AUX!$E$10+(AUX!$E$11*AUX!N$2))=0,"-",INDEX($C$378:$II$397,$F$8,AUX!$E$10+(AUX!$E$11*AUX!N$2))))</f>
        <v>--</v>
      </c>
      <c r="K18" s="290" t="str">
        <f>IF(INDEX($C$378:$II$397,$F$8,AUX!$E$10+(AUX!$E$11*AUX!O$2))="","--",IF(INDEX($C$378:$II$397,$F$8,AUX!$E$10+(AUX!$E$11*AUX!O$2))=0,"-",INDEX($C$378:$II$397,$F$8,AUX!$E$10+(AUX!$E$11*AUX!O$2))))</f>
        <v>--</v>
      </c>
      <c r="L18" s="290" t="str">
        <f>IF(INDEX($C$378:$II$397,$F$8,AUX!$E$10+(AUX!$E$11*AUX!P$2))="","--",IF(INDEX($C$378:$II$397,$F$8,AUX!$E$10+(AUX!$E$11*AUX!P$2))=0,"-",INDEX($C$378:$II$397,$F$8,AUX!$E$10+(AUX!$E$11*AUX!P$2))))</f>
        <v>--</v>
      </c>
      <c r="M18" s="291" t="str">
        <f>IF(INDEX($C$378:$II$397,$F$8,AUX!$E$10+(AUX!$E$11*AUX!Q$2))="","--",IF(INDEX($C$378:$II$397,$F$8,AUX!$E$10+(AUX!$E$11*AUX!Q$2))=0,"-",INDEX($C$378:$II$397,$F$8,AUX!$E$10+(AUX!$E$11*AUX!Q$2))))</f>
        <v>--</v>
      </c>
      <c r="N18" s="201"/>
    </row>
    <row r="19" ht="14.25" customHeight="1">
      <c r="B19" s="209"/>
      <c r="C19" s="745" t="s">
        <v>377</v>
      </c>
      <c r="D19" s="746"/>
      <c r="E19" s="746"/>
      <c r="F19" s="746"/>
      <c r="G19" s="746"/>
      <c r="H19" s="746"/>
      <c r="I19" s="746"/>
      <c r="J19" s="746"/>
      <c r="K19" s="746"/>
      <c r="L19" s="746"/>
      <c r="M19" s="747"/>
      <c r="N19" s="201"/>
      <c r="O19" s="201"/>
    </row>
    <row r="20" ht="14.25">
      <c r="B20" s="209"/>
      <c r="C20" s="289" t="str">
        <f>IF(INDEX($C$216:$II$235,$F$8,AUX!$E$10+(AUX!$E$11*AUX!G$2))="","--",IF(INDEX($C$216:$II$235,$F$8,AUX!$E$10+(AUX!$E$11*AUX!G$2))=0,"-",INDEX($C$216:$II$235,$F$8,AUX!$E$10+(AUX!$E$11*AUX!G$2))))</f>
        <v>--</v>
      </c>
      <c r="D20" s="290" t="str">
        <f>IF(INDEX($C$216:$II$235,$F$8,AUX!$E$10+(AUX!$E$11*AUX!H$2))="","--",IF(INDEX($C$216:$II$235,$F$8,AUX!$E$10+(AUX!$E$11*AUX!H$2))=0,"-",INDEX($C$216:$II$235,$F$8,AUX!$E$10+(AUX!$E$11*AUX!H$2))))</f>
        <v>--</v>
      </c>
      <c r="E20" s="290" t="str">
        <f>IF(INDEX($C$216:$II$235,$F$8,AUX!$E$10+(AUX!$E$11*AUX!I$2))="","--",IF(INDEX($C$216:$II$235,$F$8,AUX!$E$10+(AUX!$E$11*AUX!I$2))=0,"-",INDEX($C$216:$II$235,$F$8,AUX!$E$10+(AUX!$E$11*AUX!I$2))))</f>
        <v>--</v>
      </c>
      <c r="F20" s="290" t="str">
        <f>IF(INDEX($C$216:$II$235,$F$8,AUX!$E$10+(AUX!$E$11*AUX!J$2))="","--",IF(INDEX($C$216:$II$235,$F$8,AUX!$E$10+(AUX!$E$11*AUX!J$2))=0,"-",INDEX($C$216:$II$235,$F$8,AUX!$E$10+(AUX!$E$11*AUX!J$2))))</f>
        <v>--</v>
      </c>
      <c r="G20" s="290" t="str">
        <f>IF(INDEX($C$216:$II$235,$F$8,AUX!$E$10+(AUX!$E$11*AUX!K$2))="","--",IF(INDEX($C$216:$II$235,$F$8,AUX!$E$10+(AUX!$E$11*AUX!K$2))=0,"-",INDEX($C$216:$II$235,$F$8,AUX!$E$10+(AUX!$E$11*AUX!K$2))))</f>
        <v>--</v>
      </c>
      <c r="H20" s="290" t="str">
        <f>IF(INDEX($C$216:$II$235,$F$8,AUX!$E$10+(AUX!$E$11*AUX!L$2))="","--",IF(INDEX($C$216:$II$235,$F$8,AUX!$E$10+(AUX!$E$11*AUX!L$2))=0,"-",INDEX($C$216:$II$235,$F$8,AUX!$E$10+(AUX!$E$11*AUX!L$2))))</f>
        <v>--</v>
      </c>
      <c r="I20" s="290" t="str">
        <f>IF(INDEX($C$216:$II$235,$F$8,AUX!$E$10+(AUX!$E$11*AUX!M$2))="","--",IF(INDEX($C$216:$II$235,$F$8,AUX!$E$10+(AUX!$E$11*AUX!M$2))=0,"-",INDEX($C$216:$II$235,$F$8,AUX!$E$10+(AUX!$E$11*AUX!M$2))))</f>
        <v>--</v>
      </c>
      <c r="J20" s="290" t="str">
        <f>IF(INDEX($C$216:$II$235,$F$8,AUX!$E$10+(AUX!$E$11*AUX!N$2))="","--",IF(INDEX($C$216:$II$235,$F$8,AUX!$E$10+(AUX!$E$11*AUX!N$2))=0,"-",INDEX($C$216:$II$235,$F$8,AUX!$E$10+(AUX!$E$11*AUX!N$2))))</f>
        <v>--</v>
      </c>
      <c r="K20" s="290" t="str">
        <f>IF(INDEX($C$216:$II$235,$F$8,AUX!$E$10+(AUX!$E$11*AUX!O$2))="","--",IF(INDEX($C$216:$II$235,$F$8,AUX!$E$10+(AUX!$E$11*AUX!O$2))=0,"-",INDEX($C$216:$II$235,$F$8,AUX!$E$10+(AUX!$E$11*AUX!O$2))))</f>
        <v>--</v>
      </c>
      <c r="L20" s="290" t="str">
        <f>IF(INDEX($C$216:$II$235,$F$8,AUX!$E$10+(AUX!$E$11*AUX!P$2))="","--",IF(INDEX($C$216:$II$235,$F$8,AUX!$E$10+(AUX!$E$11*AUX!P$2))=0,"-",INDEX($C$216:$II$235,$F$8,AUX!$E$10+(AUX!$E$11*AUX!P$2))))</f>
        <v>--</v>
      </c>
      <c r="M20" s="291" t="str">
        <f>IF(INDEX($C$216:$II$235,$F$8,AUX!$E$10+(AUX!$E$11*AUX!Q$2))="","--",IF(INDEX($C$216:$II$235,$F$8,AUX!$E$10+(AUX!$E$11*AUX!Q$2))=0,"-",INDEX($C$216:$II$235,$F$8,AUX!$E$10+(AUX!$E$11*AUX!Q$2))))</f>
        <v>--</v>
      </c>
      <c r="N20" s="201"/>
    </row>
    <row r="21" ht="15" customHeight="1">
      <c r="B21" s="209"/>
      <c r="C21" s="745" t="s">
        <v>378</v>
      </c>
      <c r="D21" s="746"/>
      <c r="E21" s="746"/>
      <c r="F21" s="746"/>
      <c r="G21" s="746"/>
      <c r="H21" s="746"/>
      <c r="I21" s="746"/>
      <c r="J21" s="746"/>
      <c r="K21" s="746"/>
      <c r="L21" s="746"/>
      <c r="M21" s="747"/>
      <c r="N21" s="201"/>
      <c r="O21" s="201"/>
    </row>
    <row r="22" ht="14.25">
      <c r="B22" s="209"/>
      <c r="C22" s="289" t="str">
        <f>IF(INDEX($C$424:$II$443,$F$8,AUX!$E$10+(AUX!$E$11*AUX!G$2))="","--",IF(INDEX($C$424:$II$443,$F$8,AUX!$E$10+(AUX!$E$11*AUX!G$2))=0,"-",INDEX($C$424:$II$443,$F$8,AUX!$E$10+(AUX!$E$11*AUX!G$2))))</f>
        <v>--</v>
      </c>
      <c r="D22" s="290" t="str">
        <f>IF(INDEX($C$424:$II$443,$F$8,AUX!$E$10+(AUX!$E$11*AUX!H$2))="","--",IF(INDEX($C$424:$II$443,$F$8,AUX!$E$10+(AUX!$E$11*AUX!H$2))=0,"-",INDEX($C$424:$II$443,$F$8,AUX!$E$10+(AUX!$E$11*AUX!H$2))))</f>
        <v>--</v>
      </c>
      <c r="E22" s="290" t="str">
        <f>IF(INDEX($C$424:$II$443,$F$8,AUX!$E$10+(AUX!$E$11*AUX!I$2))="","--",IF(INDEX($C$424:$II$443,$F$8,AUX!$E$10+(AUX!$E$11*AUX!I$2))=0,"-",INDEX($C$424:$II$443,$F$8,AUX!$E$10+(AUX!$E$11*AUX!I$2))))</f>
        <v>--</v>
      </c>
      <c r="F22" s="290" t="str">
        <f>IF(INDEX($C$424:$II$443,$F$8,AUX!$E$10+(AUX!$E$11*AUX!J$2))="","--",IF(INDEX($C$424:$II$443,$F$8,AUX!$E$10+(AUX!$E$11*AUX!J$2))=0,"-",INDEX($C$424:$II$443,$F$8,AUX!$E$10+(AUX!$E$11*AUX!J$2))))</f>
        <v>--</v>
      </c>
      <c r="G22" s="290" t="str">
        <f>IF(INDEX($C$424:$II$443,$F$8,AUX!$E$10+(AUX!$E$11*AUX!K$2))="","--",IF(INDEX($C$424:$II$443,$F$8,AUX!$E$10+(AUX!$E$11*AUX!K$2))=0,"-",INDEX($C$424:$II$443,$F$8,AUX!$E$10+(AUX!$E$11*AUX!K$2))))</f>
        <v>--</v>
      </c>
      <c r="H22" s="290" t="str">
        <f>IF(INDEX($C$424:$II$443,$F$8,AUX!$E$10+(AUX!$E$11*AUX!L$2))="","--",IF(INDEX($C$424:$II$443,$F$8,AUX!$E$10+(AUX!$E$11*AUX!L$2))=0,"-",INDEX($C$424:$II$443,$F$8,AUX!$E$10+(AUX!$E$11*AUX!L$2))))</f>
        <v>--</v>
      </c>
      <c r="I22" s="290" t="str">
        <f>IF(INDEX($C$424:$II$443,$F$8,AUX!$E$10+(AUX!$E$11*AUX!M$2))="","--",IF(INDEX($C$424:$II$443,$F$8,AUX!$E$10+(AUX!$E$11*AUX!M$2))=0,"-",INDEX($C$424:$II$443,$F$8,AUX!$E$10+(AUX!$E$11*AUX!M$2))))</f>
        <v>--</v>
      </c>
      <c r="J22" s="290" t="str">
        <f>IF(INDEX($C$424:$II$443,$F$8,AUX!$E$10+(AUX!$E$11*AUX!N$2))="","--",IF(INDEX($C$424:$II$443,$F$8,AUX!$E$10+(AUX!$E$11*AUX!N$2))=0,"-",INDEX($C$424:$II$443,$F$8,AUX!$E$10+(AUX!$E$11*AUX!N$2))))</f>
        <v>--</v>
      </c>
      <c r="K22" s="290" t="str">
        <f>IF(INDEX($C$424:$II$443,$F$8,AUX!$E$10+(AUX!$E$11*AUX!O$2))="","--",IF(INDEX($C$424:$II$443,$F$8,AUX!$E$10+(AUX!$E$11*AUX!O$2))=0,"-",INDEX($C$424:$II$443,$F$8,AUX!$E$10+(AUX!$E$11*AUX!O$2))))</f>
        <v>--</v>
      </c>
      <c r="L22" s="290" t="str">
        <f>IF(INDEX($C$424:$II$443,$F$8,AUX!$E$10+(AUX!$E$11*AUX!P$2))="","--",IF(INDEX($C$424:$II$443,$F$8,AUX!$E$10+(AUX!$E$11*AUX!P$2))=0,"-",INDEX($C$424:$II$443,$F$8,AUX!$E$10+(AUX!$E$11*AUX!P$2))))</f>
        <v>--</v>
      </c>
      <c r="M22" s="291" t="str">
        <f>IF(INDEX($C$424:$II$443,$F$8,AUX!$E$10+(AUX!$E$11*AUX!Q$2))="","--",IF(INDEX($C$424:$II$443,$F$8,AUX!$E$10+(AUX!$E$11*AUX!Q$2))=0,"-",INDEX($C$424:$II$443,$F$8,AUX!$E$10+(AUX!$E$11*AUX!Q$2))))</f>
        <v>--</v>
      </c>
      <c r="N22" s="335"/>
    </row>
    <row r="23" ht="15" customHeight="1">
      <c r="B23" s="209"/>
      <c r="C23" s="745" t="s">
        <v>379</v>
      </c>
      <c r="D23" s="746"/>
      <c r="E23" s="746"/>
      <c r="F23" s="746"/>
      <c r="G23" s="746"/>
      <c r="H23" s="746"/>
      <c r="I23" s="746"/>
      <c r="J23" s="746"/>
      <c r="K23" s="746"/>
      <c r="L23" s="746"/>
      <c r="M23" s="747"/>
      <c r="N23" s="202"/>
      <c r="O23" s="202"/>
    </row>
    <row r="24" ht="14.25">
      <c r="B24" s="209"/>
      <c r="C24" s="289" t="str">
        <f>IF(INDEX($C$262:$II$281,$F$8,AUX!$E$10+(AUX!$E$11*AUX!G$2))="","--",IF(INDEX($C$262:$II$281,$F$8,AUX!$E$10+(AUX!$E$11*AUX!G$2))=0,"-",INDEX($C$262:$II$281,$F$8,AUX!$E$10+(AUX!$E$11*AUX!G$2))))</f>
        <v>--</v>
      </c>
      <c r="D24" s="290" t="str">
        <f>IF(INDEX($C$262:$II$281,$F$8,AUX!$E$10+(AUX!$E$11*AUX!H$2))="","--",IF(INDEX($C$262:$II$281,$F$8,AUX!$E$10+(AUX!$E$11*AUX!H$2))=0,"-",INDEX($C$262:$II$281,$F$8,AUX!$E$10+(AUX!$E$11*AUX!H$2))))</f>
        <v>--</v>
      </c>
      <c r="E24" s="290" t="str">
        <f>IF(INDEX($C$262:$II$281,$F$8,AUX!$E$10+(AUX!$E$11*AUX!I$2))="","--",IF(INDEX($C$262:$II$281,$F$8,AUX!$E$10+(AUX!$E$11*AUX!I$2))=0,"-",INDEX($C$262:$II$281,$F$8,AUX!$E$10+(AUX!$E$11*AUX!I$2))))</f>
        <v>--</v>
      </c>
      <c r="F24" s="290" t="str">
        <f>IF(INDEX($C$262:$II$281,$F$8,AUX!$E$10+(AUX!$E$11*AUX!J$2))="","--",IF(INDEX($C$262:$II$281,$F$8,AUX!$E$10+(AUX!$E$11*AUX!J$2))=0,"-",INDEX($C$262:$II$281,$F$8,AUX!$E$10+(AUX!$E$11*AUX!J$2))))</f>
        <v>--</v>
      </c>
      <c r="G24" s="290" t="str">
        <f>IF(INDEX($C$262:$II$281,$F$8,AUX!$E$10+(AUX!$E$11*AUX!K$2))="","--",IF(INDEX($C$262:$II$281,$F$8,AUX!$E$10+(AUX!$E$11*AUX!K$2))=0,"-",INDEX($C$262:$II$281,$F$8,AUX!$E$10+(AUX!$E$11*AUX!K$2))))</f>
        <v>--</v>
      </c>
      <c r="H24" s="290" t="str">
        <f>IF(INDEX($C$262:$II$281,$F$8,AUX!$E$10+(AUX!$E$11*AUX!L$2))="","--",IF(INDEX($C$262:$II$281,$F$8,AUX!$E$10+(AUX!$E$11*AUX!L$2))=0,"-",INDEX($C$262:$II$281,$F$8,AUX!$E$10+(AUX!$E$11*AUX!L$2))))</f>
        <v>--</v>
      </c>
      <c r="I24" s="290" t="str">
        <f>IF(INDEX($C$262:$II$281,$F$8,AUX!$E$10+(AUX!$E$11*AUX!M$2))="","--",IF(INDEX($C$262:$II$281,$F$8,AUX!$E$10+(AUX!$E$11*AUX!M$2))=0,"-",INDEX($C$262:$II$281,$F$8,AUX!$E$10+(AUX!$E$11*AUX!M$2))))</f>
        <v>--</v>
      </c>
      <c r="J24" s="290" t="str">
        <f>IF(INDEX($C$262:$II$281,$F$8,AUX!$E$10+(AUX!$E$11*AUX!N$2))="","--",IF(INDEX($C$262:$II$281,$F$8,AUX!$E$10+(AUX!$E$11*AUX!N$2))=0,"-",INDEX($C$262:$II$281,$F$8,AUX!$E$10+(AUX!$E$11*AUX!N$2))))</f>
        <v>--</v>
      </c>
      <c r="K24" s="290" t="str">
        <f>IF(INDEX($C$262:$II$281,$F$8,AUX!$E$10+(AUX!$E$11*AUX!O$2))="","--",IF(INDEX($C$262:$II$281,$F$8,AUX!$E$10+(AUX!$E$11*AUX!O$2))=0,"-",INDEX($C$262:$II$281,$F$8,AUX!$E$10+(AUX!$E$11*AUX!O$2))))</f>
        <v>--</v>
      </c>
      <c r="L24" s="290" t="str">
        <f>IF(INDEX($C$262:$II$281,$F$8,AUX!$E$10+(AUX!$E$11*AUX!P$2))="","--",IF(INDEX($C$262:$II$281,$F$8,AUX!$E$10+(AUX!$E$11*AUX!P$2))=0,"-",INDEX($C$262:$II$281,$F$8,AUX!$E$10+(AUX!$E$11*AUX!P$2))))</f>
        <v>--</v>
      </c>
      <c r="M24" s="291" t="str">
        <f>IF(INDEX($C$262:$II$281,$F$8,AUX!$E$10+(AUX!$E$11*AUX!Q$2))="","--",IF(INDEX($C$262:$II$281,$F$8,AUX!$E$10+(AUX!$E$11*AUX!Q$2))=0,"-",INDEX($C$262:$II$281,$F$8,AUX!$E$10+(AUX!$E$11*AUX!Q$2))))</f>
        <v>--</v>
      </c>
      <c r="N24" s="50"/>
    </row>
    <row r="25" ht="15">
      <c r="B25" s="209"/>
      <c r="C25" s="745" t="s">
        <v>106</v>
      </c>
      <c r="D25" s="746"/>
      <c r="E25" s="746"/>
      <c r="F25" s="746"/>
      <c r="G25" s="746"/>
      <c r="H25" s="746"/>
      <c r="I25" s="746"/>
      <c r="J25" s="746"/>
      <c r="K25" s="746"/>
      <c r="L25" s="746"/>
      <c r="M25" s="747"/>
      <c r="N25" s="50"/>
      <c r="O25" s="50"/>
    </row>
    <row r="26" ht="15">
      <c r="B26" s="209"/>
      <c r="C26" s="292" t="str">
        <f>IF(INDEX($C$285:$II$304,$F$8,AUX!$E$10+(AUX!$E$11*AUX!G$2))="","--",IF(INDEX($C$285:$II$304,$F$8,AUX!$E$10+(AUX!$E$11*AUX!G$2))=0,"-",INDEX($C$285:$II$304,$F$8,AUX!$E$10+(AUX!$E$11*AUX!G$2))))</f>
        <v>--</v>
      </c>
      <c r="D26" s="293" t="str">
        <f>IF(INDEX($C$285:$II$304,$F$8,AUX!$E$10+(AUX!$E$11*AUX!H$2))="","--",IF(INDEX($C$285:$II$304,$F$8,AUX!$E$10+(AUX!$E$11*AUX!H$2))=0,"-",INDEX($C$285:$II$304,$F$8,AUX!$E$10+(AUX!$E$11*AUX!H$2))))</f>
        <v>--</v>
      </c>
      <c r="E26" s="293" t="str">
        <f>IF(INDEX($C$285:$II$304,$F$8,AUX!$E$10+(AUX!$E$11*AUX!I$2))="","--",IF(INDEX($C$285:$II$304,$F$8,AUX!$E$10+(AUX!$E$11*AUX!I$2))=0,"-",INDEX($C$285:$II$304,$F$8,AUX!$E$10+(AUX!$E$11*AUX!I$2))))</f>
        <v>--</v>
      </c>
      <c r="F26" s="293" t="str">
        <f>IF(INDEX($C$285:$II$304,$F$8,AUX!$E$10+(AUX!$E$11*AUX!J$2))="","--",IF(INDEX($C$285:$II$304,$F$8,AUX!$E$10+(AUX!$E$11*AUX!J$2))=0,"-",INDEX($C$285:$II$304,$F$8,AUX!$E$10+(AUX!$E$11*AUX!J$2))))</f>
        <v>--</v>
      </c>
      <c r="G26" s="293" t="str">
        <f>IF(INDEX($C$285:$II$304,$F$8,AUX!$E$10+(AUX!$E$11*AUX!K$2))="","--",IF(INDEX($C$285:$II$304,$F$8,AUX!$E$10+(AUX!$E$11*AUX!K$2))=0,"-",INDEX($C$285:$II$304,$F$8,AUX!$E$10+(AUX!$E$11*AUX!K$2))))</f>
        <v>--</v>
      </c>
      <c r="H26" s="293" t="str">
        <f>IF(INDEX($C$285:$II$304,$F$8,AUX!$E$10+(AUX!$E$11*AUX!L$2))="","--",IF(INDEX($C$285:$II$304,$F$8,AUX!$E$10+(AUX!$E$11*AUX!L$2))=0,"-",INDEX($C$285:$II$304,$F$8,AUX!$E$10+(AUX!$E$11*AUX!L$2))))</f>
        <v>--</v>
      </c>
      <c r="I26" s="293" t="str">
        <f>IF(INDEX($C$285:$II$304,$F$8,AUX!$E$10+(AUX!$E$11*AUX!M$2))="","--",IF(INDEX($C$285:$II$304,$F$8,AUX!$E$10+(AUX!$E$11*AUX!M$2))=0,"-",INDEX($C$285:$II$304,$F$8,AUX!$E$10+(AUX!$E$11*AUX!M$2))))</f>
        <v>--</v>
      </c>
      <c r="J26" s="293" t="str">
        <f>IF(INDEX($C$285:$II$304,$F$8,AUX!$E$10+(AUX!$E$11*AUX!N$2))="","--",IF(INDEX($C$285:$II$304,$F$8,AUX!$E$10+(AUX!$E$11*AUX!N$2))=0,"-",INDEX($C$285:$II$304,$F$8,AUX!$E$10+(AUX!$E$11*AUX!N$2))))</f>
        <v>--</v>
      </c>
      <c r="K26" s="293" t="str">
        <f>IF(INDEX($C$285:$II$304,$F$8,AUX!$E$10+(AUX!$E$11*AUX!O$2))="","--",IF(INDEX($C$285:$II$304,$F$8,AUX!$E$10+(AUX!$E$11*AUX!O$2))=0,"-",INDEX($C$285:$II$304,$F$8,AUX!$E$10+(AUX!$E$11*AUX!O$2))))</f>
        <v>--</v>
      </c>
      <c r="L26" s="293" t="str">
        <f>IF(INDEX($C$285:$II$304,$F$8,AUX!$E$10+(AUX!$E$11*AUX!P$2))="","--",IF(INDEX($C$285:$II$304,$F$8,AUX!$E$10+(AUX!$E$11*AUX!P$2))=0,"-",INDEX($C$285:$II$304,$F$8,AUX!$E$10+(AUX!$E$11*AUX!P$2))))</f>
        <v>--</v>
      </c>
      <c r="M26" s="294" t="str">
        <f>IF(INDEX($C$285:$II$304,$F$8,AUX!$E$10+(AUX!$E$11*AUX!Q$2))="","--",IF(INDEX($C$285:$II$304,$F$8,AUX!$E$10+(AUX!$E$11*AUX!Q$2))=0,"-",INDEX($C$285:$II$304,$F$8,AUX!$E$10+(AUX!$E$11*AUX!Q$2))))</f>
        <v>--</v>
      </c>
    </row>
    <row r="27" ht="12.75" customHeight="1">
      <c r="C27" s="754" t="s">
        <v>380</v>
      </c>
      <c r="D27" s="754"/>
      <c r="E27" s="754"/>
      <c r="F27" s="754"/>
      <c r="G27" s="754"/>
      <c r="H27" s="754"/>
      <c r="I27" s="754"/>
      <c r="J27" s="754"/>
      <c r="K27" s="754"/>
      <c r="L27" s="754"/>
      <c r="M27" s="754"/>
    </row>
    <row r="28">
      <c r="C28" s="754"/>
      <c r="D28" s="754"/>
      <c r="E28" s="754"/>
      <c r="F28" s="754"/>
      <c r="G28" s="754"/>
      <c r="H28" s="754"/>
      <c r="I28" s="754"/>
      <c r="J28" s="754"/>
      <c r="K28" s="754"/>
      <c r="L28" s="754"/>
      <c r="M28" s="754"/>
    </row>
    <row r="29" ht="13.5">
      <c r="K29" s="336"/>
      <c r="L29" s="336"/>
    </row>
    <row r="30" ht="12.75" customHeight="1">
      <c r="C30" s="748" t="s">
        <v>381</v>
      </c>
      <c r="D30" s="749"/>
      <c r="E30" s="749"/>
      <c r="F30" s="749"/>
      <c r="G30" s="749"/>
      <c r="H30" s="749"/>
      <c r="I30" s="749"/>
      <c r="J30" s="749"/>
      <c r="K30" s="749"/>
      <c r="L30" s="749"/>
      <c r="M30" s="750"/>
    </row>
    <row r="31" ht="13.5">
      <c r="C31" s="751"/>
      <c r="D31" s="752"/>
      <c r="E31" s="752"/>
      <c r="F31" s="752"/>
      <c r="G31" s="752"/>
      <c r="H31" s="752"/>
      <c r="I31" s="752"/>
      <c r="J31" s="752"/>
      <c r="K31" s="752"/>
      <c r="L31" s="752"/>
      <c r="M31" s="753"/>
    </row>
    <row r="32">
      <c r="C32" s="336"/>
      <c r="D32" s="336"/>
      <c r="E32" s="336"/>
      <c r="F32" s="336"/>
      <c r="G32" s="336"/>
      <c r="H32" s="336"/>
      <c r="I32" s="336"/>
      <c r="J32" s="336"/>
    </row>
    <row r="95"/>
    <row r="98">
      <c r="D98" s="133" t="s">
        <v>224</v>
      </c>
      <c r="E98" s="131">
        <v>5</v>
      </c>
    </row>
    <row r="111">
      <c r="D111" s="51" t="s">
        <v>376</v>
      </c>
    </row>
    <row r="112">
      <c r="D112" s="51" t="s">
        <v>377</v>
      </c>
    </row>
    <row r="113">
      <c r="D113" s="51" t="s">
        <v>378</v>
      </c>
    </row>
    <row r="114">
      <c r="D114" s="51" t="s">
        <v>379</v>
      </c>
    </row>
    <row r="115">
      <c r="D115" s="51" t="s">
        <v>108</v>
      </c>
    </row>
    <row r="168" hidden="1" ht="15.75" customHeight="1">
      <c r="C168" s="686" t="s">
        <v>382</v>
      </c>
      <c r="D168" s="687"/>
      <c r="E168" s="687"/>
      <c r="F168" s="687"/>
      <c r="G168" s="687"/>
      <c r="H168" s="687"/>
      <c r="I168" s="687"/>
      <c r="J168" s="687"/>
      <c r="K168" s="687"/>
      <c r="L168" s="687"/>
      <c r="M168" s="687"/>
      <c r="N168" s="687"/>
      <c r="O168" s="687"/>
      <c r="P168" s="687"/>
      <c r="Q168" s="687"/>
      <c r="R168" s="687"/>
      <c r="S168" s="687"/>
      <c r="T168" s="687"/>
      <c r="U168" s="687"/>
      <c r="V168" s="687"/>
      <c r="W168" s="687"/>
      <c r="X168" s="687"/>
      <c r="Y168" s="687"/>
      <c r="Z168" s="687"/>
      <c r="AA168" s="687"/>
      <c r="AB168" s="688"/>
    </row>
    <row r="169" hidden="1" ht="15" customHeight="1">
      <c r="C169" s="435" t="str">
        <f> IF(C189&lt;&gt;"",TEXT(AUX!G$1,"dd-MMM-aa"),"")</f>
      </c>
      <c r="D169" s="435" t="str">
        <f> IF(D189&lt;&gt;"",TEXT(AUX!H$1,"dd-MMM-aa"),"")</f>
      </c>
      <c r="E169" s="435" t="str">
        <f> IF(E189&lt;&gt;"",TEXT(AUX!I$1,"dd-MMM-aa"),"")</f>
      </c>
      <c r="F169" s="435" t="str">
        <f> IF(F189&lt;&gt;"",TEXT(AUX!J$1,"dd-MMM-aa"),"")</f>
      </c>
      <c r="G169" s="435" t="str">
        <f> IF(G189&lt;&gt;"",TEXT(AUX!K$1,"dd-MMM-aa"),"")</f>
      </c>
      <c r="H169" s="435" t="str">
        <f> IF(H189&lt;&gt;"",TEXT(AUX!L$1,"dd-MMM-aa"),"")</f>
      </c>
      <c r="I169" s="435" t="str">
        <f> IF(I189&lt;&gt;"",TEXT(AUX!M$1,"dd-MMM-aa"),"")</f>
      </c>
      <c r="J169" s="435" t="str">
        <f> IF(J189&lt;&gt;"",TEXT(AUX!N$1,"dd-MMM-aa"),"")</f>
      </c>
      <c r="K169" s="435" t="str">
        <f> IF(K189&lt;&gt;"",TEXT(AUX!O$1,"dd-MMM-aa"),"")</f>
      </c>
      <c r="L169" s="435" t="str">
        <f> IF(L189&lt;&gt;"",TEXT(AUX!P$1,"dd-MMM-aa"),"")</f>
      </c>
      <c r="M169" s="435" t="str">
        <f> IF(M189&lt;&gt;"",TEXT(AUX!Q$1,"dd-MMM-aa"),"")</f>
      </c>
      <c r="N169" s="435" t="str">
        <f> IF(N189&lt;&gt;"",TEXT(AUX!R$1,"dd-MMM-aa"),"")</f>
      </c>
      <c r="O169" s="435" t="str">
        <f> IF(O189&lt;&gt;"",TEXT(AUX!S$1,"dd-MMM-aa"),"")</f>
      </c>
      <c r="P169" s="435" t="str">
        <f> IF(P189&lt;&gt;"",TEXT(AUX!T$1,"dd-MMM-aa"),"")</f>
      </c>
      <c r="Q169" s="435" t="str">
        <f> IF(Q189&lt;&gt;"",TEXT(AUX!U$1,"dd-MMM-aa"),"")</f>
      </c>
      <c r="R169" s="435" t="str">
        <f> IF(R189&lt;&gt;"",TEXT(AUX!V$1,"dd-MMM-aa"),"")</f>
      </c>
      <c r="S169" s="435" t="str">
        <f> IF(S189&lt;&gt;"",TEXT(AUX!W$1,"dd-MMM-aa"),"")</f>
      </c>
      <c r="T169" s="435" t="str">
        <f> IF(T189&lt;&gt;"",TEXT(AUX!X$1,"dd-MMM-aa"),"")</f>
      </c>
      <c r="U169" s="435" t="str">
        <f> IF(U189&lt;&gt;"",TEXT(AUX!Y$1,"dd-MMM-aa"),"")</f>
      </c>
      <c r="V169" s="435" t="str">
        <f> IF(V189&lt;&gt;"",TEXT(AUX!Z$1,"dd-MMM-aa"),"")</f>
      </c>
      <c r="W169" s="435" t="str">
        <f> IF(W189&lt;&gt;"",TEXT(AUX!AA$1,"dd-MMM-aa"),"")</f>
      </c>
      <c r="X169" s="435" t="str">
        <f> IF(X189&lt;&gt;"",TEXT(AUX!AB$1,"dd-MMM-aa"),"")</f>
      </c>
      <c r="Y169" s="435" t="str">
        <f> IF(Y189&lt;&gt;"",TEXT(AUX!AC$1,"dd-MMM-aa"),"")</f>
      </c>
      <c r="Z169" s="435" t="str">
        <f> IF(Z189&lt;&gt;"",TEXT(AUX!AD$1,"dd-MMM-aa"),"")</f>
      </c>
      <c r="AA169" s="435" t="str">
        <f> IF(AA189&lt;&gt;"",TEXT(AUX!AE$1,"dd-MMM-aa"),"")</f>
      </c>
      <c r="AB169" s="497" t="str">
        <f> IF(AB189&lt;&gt;"",TEXT(AUX!AF$1,"dd-MMM-aa"),"")</f>
      </c>
      <c r="AC169" s="496" t="str">
        <f> IF(AC189&lt;&gt;"",TEXT(AUX!AG$1,"dd-MMM-aa"),"")</f>
      </c>
      <c r="AD169" s="496" t="str">
        <f> IF(AD189&lt;&gt;"",TEXT(AUX!AH$1,"dd-MMM-aa"),"")</f>
      </c>
      <c r="AE169" s="496" t="str">
        <f> IF(AE189&lt;&gt;"",TEXT(AUX!AI$1,"dd-MMM-aa"),"")</f>
      </c>
      <c r="AF169" s="496" t="str">
        <f> IF(AF189&lt;&gt;"",TEXT(AUX!AJ$1,"dd-MMM-aa"),"")</f>
      </c>
      <c r="AG169" s="496" t="str">
        <f> IF(AG189&lt;&gt;"",TEXT(AUX!AK$1,"dd-MMM-aa"),"")</f>
      </c>
      <c r="AH169" s="496" t="str">
        <f> IF(AH189&lt;&gt;"",TEXT(AUX!AL$1,"dd-MMM-aa"),"")</f>
      </c>
      <c r="AI169" s="496" t="str">
        <f> IF(AI189&lt;&gt;"",TEXT(AUX!AM$1,"dd-MMM-aa"),"")</f>
      </c>
      <c r="AJ169" s="496" t="str">
        <f> IF(AJ189&lt;&gt;"",TEXT(AUX!AN$1,"dd-MMM-aa"),"")</f>
      </c>
      <c r="AK169" s="496" t="str">
        <f> IF(AK189&lt;&gt;"",TEXT(AUX!AO$1,"dd-MMM-aa"),"")</f>
      </c>
      <c r="AL169" s="496" t="str">
        <f> IF(AL189&lt;&gt;"",TEXT(AUX!AP$1,"dd-MMM-aa"),"")</f>
      </c>
      <c r="AM169" s="496" t="str">
        <f> IF(AM189&lt;&gt;"",TEXT(AUX!AQ$1,"dd-MMM-aa"),"")</f>
      </c>
      <c r="AN169" s="496" t="str">
        <f> IF(AN189&lt;&gt;"",TEXT(AUX!AR$1,"dd-MMM-aa"),"")</f>
      </c>
      <c r="AO169" s="496" t="str">
        <f> IF(AO189&lt;&gt;"",TEXT(AUX!AS$1,"dd-MMM-aa"),"")</f>
      </c>
      <c r="AP169" s="496" t="str">
        <f> IF(AP189&lt;&gt;"",TEXT(AUX!AT$1,"dd-MMM-aa"),"")</f>
      </c>
      <c r="AQ169" s="496" t="str">
        <f> IF(AQ189&lt;&gt;"",TEXT(AUX!AU$1,"dd-MMM-aa"),"")</f>
      </c>
      <c r="AR169" s="496" t="str">
        <f> IF(AR189&lt;&gt;"",TEXT(AUX!AV$1,"dd-MMM-aa"),"")</f>
      </c>
      <c r="AS169" s="496" t="str">
        <f> IF(AS189&lt;&gt;"",TEXT(AUX!AW$1,"dd-MMM-aa"),"")</f>
      </c>
      <c r="AT169" s="496" t="str">
        <f> IF(AT189&lt;&gt;"",TEXT(AUX!AX$1,"dd-MMM-aa"),"")</f>
      </c>
      <c r="AU169" s="496" t="str">
        <f> IF(AU189&lt;&gt;"",TEXT(AUX!AY$1,"dd-MMM-aa"),"")</f>
      </c>
      <c r="AV169" s="496" t="str">
        <f> IF(AV189&lt;&gt;"",TEXT(AUX!AZ$1,"dd-MMM-aa"),"")</f>
      </c>
      <c r="AW169" s="496" t="str">
        <f> IF(AW189&lt;&gt;"",TEXT(AUX!BA$1,"dd-MMM-aa"),"")</f>
      </c>
      <c r="AX169" s="496" t="str">
        <f> IF(AX189&lt;&gt;"",TEXT(AUX!BB$1,"dd-MMM-aa"),"")</f>
      </c>
      <c r="AY169" s="496" t="str">
        <f> IF(AY189&lt;&gt;"",TEXT(AUX!BC$1,"dd-MMM-aa"),"")</f>
      </c>
      <c r="AZ169" s="496" t="str">
        <f> IF(AZ189&lt;&gt;"",TEXT(AUX!BD$1,"dd-MMM-aa"),"")</f>
      </c>
      <c r="BA169" s="496" t="str">
        <f> IF(BA189&lt;&gt;"",TEXT(AUX!BE$1,"dd-MMM-aa"),"")</f>
      </c>
      <c r="BB169" s="496" t="str">
        <f> IF(BB189&lt;&gt;"",TEXT(AUX!BF$1,"dd-MMM-aa"),"")</f>
      </c>
      <c r="BC169" s="496" t="str">
        <f> IF(BC189&lt;&gt;"",TEXT(AUX!BG$1,"dd-MMM-aa"),"")</f>
      </c>
      <c r="BD169" s="496" t="str">
        <f> IF(BD189&lt;&gt;"",TEXT(AUX!BH$1,"dd-MMM-aa"),"")</f>
      </c>
      <c r="BE169" s="496" t="str">
        <f> IF(BE189&lt;&gt;"",TEXT(AUX!BI$1,"dd-MMM-aa"),"")</f>
      </c>
      <c r="BF169" s="496" t="str">
        <f> IF(BF189&lt;&gt;"",TEXT(AUX!BJ$1,"dd-MMM-aa"),"")</f>
      </c>
      <c r="BG169" s="496" t="str">
        <f> IF(BG189&lt;&gt;"",TEXT(AUX!BK$1,"dd-MMM-aa"),"")</f>
      </c>
      <c r="BH169" s="496" t="str">
        <f> IF(BH189&lt;&gt;"",TEXT(AUX!BL$1,"dd-MMM-aa"),"")</f>
      </c>
      <c r="BI169" s="496" t="str">
        <f> IF(BI189&lt;&gt;"",TEXT(AUX!BM$1,"dd-MMM-aa"),"")</f>
      </c>
      <c r="BJ169" s="496" t="str">
        <f> IF(BJ189&lt;&gt;"",TEXT(AUX!BN$1,"dd-MMM-aa"),"")</f>
      </c>
      <c r="BK169" s="496" t="str">
        <f> IF(BK189&lt;&gt;"",TEXT(AUX!BO$1,"dd-MMM-aa"),"")</f>
      </c>
      <c r="BL169" s="496" t="str">
        <f> IF(BL189&lt;&gt;"",TEXT(AUX!BP$1,"dd-MMM-aa"),"")</f>
      </c>
      <c r="BM169" s="496" t="str">
        <f> IF(BM189&lt;&gt;"",TEXT(AUX!BQ$1,"dd-MMM-aa"),"")</f>
      </c>
      <c r="BN169" s="496" t="str">
        <f> IF(BN189&lt;&gt;"",TEXT(AUX!BR$1,"dd-MMM-aa"),"")</f>
      </c>
      <c r="BO169" s="496" t="str">
        <f> IF(BO189&lt;&gt;"",TEXT(AUX!BS$1,"dd-MMM-aa"),"")</f>
      </c>
      <c r="BP169" s="496" t="str">
        <f> IF(BP189&lt;&gt;"",TEXT(AUX!BT$1,"dd-MMM-aa"),"")</f>
      </c>
      <c r="BQ169" s="496" t="str">
        <f> IF(BQ189&lt;&gt;"",TEXT(AUX!BU$1,"dd-MMM-aa"),"")</f>
      </c>
      <c r="BR169" s="496" t="str">
        <f> IF(BR189&lt;&gt;"",TEXT(AUX!BV$1,"dd-MMM-aa"),"")</f>
      </c>
      <c r="BS169" s="496" t="str">
        <f> IF(BS189&lt;&gt;"",TEXT(AUX!BW$1,"dd-MMM-aa"),"")</f>
      </c>
      <c r="BT169" s="496" t="str">
        <f> IF(BT189&lt;&gt;"",TEXT(AUX!BX$1,"dd-MMM-aa"),"")</f>
      </c>
      <c r="BU169" s="496" t="str">
        <f> IF(BU189&lt;&gt;"",TEXT(AUX!BY$1,"dd-MMM-aa"),"")</f>
      </c>
      <c r="BV169" s="496" t="str">
        <f> IF(BV189&lt;&gt;"",TEXT(AUX!BZ$1,"dd-MMM-aa"),"")</f>
      </c>
      <c r="BW169" s="496" t="str">
        <f> IF(BW189&lt;&gt;"",TEXT(AUX!CA$1,"dd-MMM-aa"),"")</f>
      </c>
      <c r="BX169" s="496" t="str">
        <f> IF(BX189&lt;&gt;"",TEXT(AUX!CB$1,"dd-MMM-aa"),"")</f>
      </c>
      <c r="BY169" s="496" t="str">
        <f> IF(BY189&lt;&gt;"",TEXT(AUX!CC$1,"dd-MMM-aa"),"")</f>
      </c>
      <c r="BZ169" s="496" t="str">
        <f> IF(BZ189&lt;&gt;"",TEXT(AUX!CD$1,"dd-MMM-aa"),"")</f>
      </c>
      <c r="CA169" s="496" t="str">
        <f> IF(CA189&lt;&gt;"",TEXT(AUX!CE$1,"dd-MMM-aa"),"")</f>
      </c>
      <c r="CB169" s="496" t="str">
        <f> IF(CB189&lt;&gt;"",TEXT(AUX!CF$1,"dd-MMM-aa"),"")</f>
      </c>
      <c r="CC169" s="496" t="str">
        <f> IF(CC189&lt;&gt;"",TEXT(AUX!CG$1,"dd-MMM-aa"),"")</f>
      </c>
      <c r="CD169" s="496" t="str">
        <f> IF(CD189&lt;&gt;"",TEXT(AUX!CH$1,"dd-MMM-aa"),"")</f>
      </c>
      <c r="CE169" s="496" t="str">
        <f> IF(CE189&lt;&gt;"",TEXT(AUX!CI$1,"dd-MMM-aa"),"")</f>
      </c>
      <c r="CF169" s="496" t="str">
        <f> IF(CF189&lt;&gt;"",TEXT(AUX!CJ$1,"dd-MMM-aa"),"")</f>
      </c>
      <c r="CG169" s="496" t="str">
        <f> IF(CG189&lt;&gt;"",TEXT(AUX!CK$1,"dd-MMM-aa"),"")</f>
      </c>
      <c r="CH169" s="496" t="str">
        <f> IF(CH189&lt;&gt;"",TEXT(AUX!CL$1,"dd-MMM-aa"),"")</f>
      </c>
      <c r="CI169" s="496" t="str">
        <f> IF(CI189&lt;&gt;"",TEXT(AUX!CM$1,"dd-MMM-aa"),"")</f>
      </c>
      <c r="CJ169" s="496" t="str">
        <f> IF(CJ189&lt;&gt;"",TEXT(AUX!CN$1,"dd-MMM-aa"),"")</f>
      </c>
      <c r="CK169" s="496" t="str">
        <f> IF(CK189&lt;&gt;"",TEXT(AUX!CO$1,"dd-MMM-aa"),"")</f>
      </c>
      <c r="CL169" s="496" t="str">
        <f> IF(CL189&lt;&gt;"",TEXT(AUX!CP$1,"dd-MMM-aa"),"")</f>
      </c>
      <c r="CM169" s="496" t="str">
        <f> IF(CM189&lt;&gt;"",TEXT(AUX!CQ$1,"dd-MMM-aa"),"")</f>
      </c>
      <c r="CN169" s="496" t="str">
        <f> IF(CN189&lt;&gt;"",TEXT(AUX!CR$1,"dd-MMM-aa"),"")</f>
      </c>
      <c r="CO169" s="496" t="str">
        <f> IF(CO189&lt;&gt;"",TEXT(AUX!CS$1,"dd-MMM-aa"),"")</f>
      </c>
      <c r="CP169" s="496" t="str">
        <f> IF(CP189&lt;&gt;"",TEXT(AUX!CT$1,"dd-MMM-aa"),"")</f>
      </c>
      <c r="CQ169" s="496" t="str">
        <f> IF(CQ189&lt;&gt;"",TEXT(AUX!CU$1,"dd-MMM-aa"),"")</f>
      </c>
      <c r="CR169" s="496" t="str">
        <f> IF(CR189&lt;&gt;"",TEXT(AUX!CV$1,"dd-MMM-aa"),"")</f>
      </c>
      <c r="CS169" s="496" t="str">
        <f> IF(CS189&lt;&gt;"",TEXT(AUX!CW$1,"dd-MMM-aa"),"")</f>
      </c>
      <c r="CT169" s="496" t="str">
        <f> IF(CT189&lt;&gt;"",TEXT(AUX!CX$1,"dd-MMM-aa"),"")</f>
      </c>
      <c r="CU169" s="496" t="str">
        <f> IF(CU189&lt;&gt;"",TEXT(AUX!CY$1,"dd-MMM-aa"),"")</f>
      </c>
      <c r="CV169" s="496" t="str">
        <f> IF(CV189&lt;&gt;"",TEXT(AUX!CZ$1,"dd-MMM-aa"),"")</f>
      </c>
      <c r="CW169" s="496" t="str">
        <f> IF(CW189&lt;&gt;"",TEXT(AUX!DA$1,"dd-MMM-aa"),"")</f>
      </c>
      <c r="CX169" s="496" t="str">
        <f> IF(CX189&lt;&gt;"",TEXT(AUX!DB$1,"dd-MMM-aa"),"")</f>
      </c>
      <c r="CY169" s="496" t="str">
        <f> IF(CY189&lt;&gt;"",TEXT(AUX!DC$1,"dd-MMM-aa"),"")</f>
      </c>
      <c r="CZ169" s="496" t="str">
        <f> IF(CZ189&lt;&gt;"",TEXT(AUX!DD$1,"dd-MMM-aa"),"")</f>
      </c>
      <c r="DA169" s="496" t="str">
        <f> IF(DA189&lt;&gt;"",TEXT(AUX!DE$1,"dd-MMM-aa"),"")</f>
      </c>
      <c r="DB169" s="496" t="str">
        <f> IF(DB189&lt;&gt;"",TEXT(AUX!DF$1,"dd-MMM-aa"),"")</f>
      </c>
      <c r="DC169" s="496" t="str">
        <f> IF(DC189&lt;&gt;"",TEXT(AUX!DG$1,"dd-MMM-aa"),"")</f>
      </c>
      <c r="DD169" s="496" t="str">
        <f> IF(DD189&lt;&gt;"",TEXT(AUX!DH$1,"dd-MMM-aa"),"")</f>
      </c>
      <c r="DE169" s="496" t="str">
        <f> IF(DE189&lt;&gt;"",TEXT(AUX!DI$1,"dd-MMM-aa"),"")</f>
      </c>
      <c r="DF169" s="496" t="str">
        <f> IF(DF189&lt;&gt;"",TEXT(AUX!DJ$1,"dd-MMM-aa"),"")</f>
      </c>
      <c r="DG169" s="496" t="str">
        <f> IF(DG189&lt;&gt;"",TEXT(AUX!DK$1,"dd-MMM-aa"),"")</f>
      </c>
      <c r="DH169" s="496" t="str">
        <f> IF(DH189&lt;&gt;"",TEXT(AUX!DL$1,"dd-MMM-aa"),"")</f>
      </c>
      <c r="DI169" s="496" t="str">
        <f> IF(DI189&lt;&gt;"",TEXT(AUX!DM$1,"dd-MMM-aa"),"")</f>
      </c>
      <c r="DJ169" s="496" t="str">
        <f> IF(DJ189&lt;&gt;"",TEXT(AUX!DN$1,"dd-MMM-aa"),"")</f>
      </c>
      <c r="DK169" s="496" t="str">
        <f> IF(DK189&lt;&gt;"",TEXT(AUX!DO$1,"dd-MMM-aa"),"")</f>
      </c>
      <c r="DL169" s="496" t="str">
        <f> IF(DL189&lt;&gt;"",TEXT(AUX!DP$1,"dd-MMM-aa"),"")</f>
      </c>
      <c r="DM169" s="496" t="str">
        <f> IF(DM189&lt;&gt;"",TEXT(AUX!DQ$1,"dd-MMM-aa"),"")</f>
      </c>
      <c r="DN169" s="496" t="str">
        <f> IF(DN189&lt;&gt;"",TEXT(AUX!DR$1,"dd-MMM-aa"),"")</f>
      </c>
      <c r="DO169" s="496" t="str">
        <f> IF(DO189&lt;&gt;"",TEXT(AUX!DS$1,"dd-MMM-aa"),"")</f>
      </c>
      <c r="DP169" s="496" t="str">
        <f> IF(DP189&lt;&gt;"",TEXT(AUX!DT$1,"dd-MMM-aa"),"")</f>
      </c>
      <c r="DQ169" s="496" t="str">
        <f> IF(DQ189&lt;&gt;"",TEXT(AUX!DU$1,"dd-MMM-aa"),"")</f>
      </c>
      <c r="DR169" s="496" t="str">
        <f> IF(DR189&lt;&gt;"",TEXT(AUX!DV$1,"dd-MMM-aa"),"")</f>
      </c>
      <c r="DS169" s="496" t="str">
        <f> IF(DS189&lt;&gt;"",TEXT(AUX!DW$1,"dd-MMM-aa"),"")</f>
      </c>
      <c r="DT169" s="496" t="str">
        <f> IF(DT189&lt;&gt;"",TEXT(AUX!DX$1,"dd-MMM-aa"),"")</f>
      </c>
      <c r="DU169" s="496" t="str">
        <f> IF(DU189&lt;&gt;"",TEXT(AUX!DY$1,"dd-MMM-aa"),"")</f>
      </c>
      <c r="DV169" s="496" t="str">
        <f> IF(DV189&lt;&gt;"",TEXT(AUX!DZ$1,"dd-MMM-aa"),"")</f>
      </c>
      <c r="DW169" s="496" t="str">
        <f> IF(DW189&lt;&gt;"",TEXT(AUX!EA$1,"dd-MMM-aa"),"")</f>
      </c>
      <c r="DX169" s="496" t="str">
        <f> IF(DX189&lt;&gt;"",TEXT(AUX!EB$1,"dd-MMM-aa"),"")</f>
      </c>
      <c r="DY169" s="496" t="str">
        <f> IF(DY189&lt;&gt;"",TEXT(AUX!EC$1,"dd-MMM-aa"),"")</f>
      </c>
      <c r="DZ169" s="496" t="str">
        <f> IF(DZ189&lt;&gt;"",TEXT(AUX!ED$1,"dd-MMM-aa"),"")</f>
      </c>
      <c r="EA169" s="496" t="str">
        <f> IF(EA189&lt;&gt;"",TEXT(AUX!EE$1,"dd-MMM-aa"),"")</f>
      </c>
      <c r="EB169" s="496" t="str">
        <f> IF(EB189&lt;&gt;"",TEXT(AUX!EF$1,"dd-MMM-aa"),"")</f>
      </c>
      <c r="EC169" s="496" t="str">
        <f> IF(EC189&lt;&gt;"",TEXT(AUX!EG$1,"dd-MMM-aa"),"")</f>
      </c>
      <c r="ED169" s="496" t="str">
        <f> IF(ED189&lt;&gt;"",TEXT(AUX!EH$1,"dd-MMM-aa"),"")</f>
      </c>
      <c r="EE169" s="496" t="str">
        <f> IF(EE189&lt;&gt;"",TEXT(AUX!EI$1,"dd-MMM-aa"),"")</f>
      </c>
      <c r="EF169" s="496" t="str">
        <f> IF(EF189&lt;&gt;"",TEXT(AUX!EJ$1,"dd-MMM-aa"),"")</f>
      </c>
      <c r="EG169" s="496" t="str">
        <f> IF(EG189&lt;&gt;"",TEXT(AUX!EK$1,"dd-MMM-aa"),"")</f>
      </c>
      <c r="EH169" s="496" t="str">
        <f> IF(EH189&lt;&gt;"",TEXT(AUX!EL$1,"dd-MMM-aa"),"")</f>
      </c>
      <c r="EI169" s="496" t="str">
        <f> IF(EI189&lt;&gt;"",TEXT(AUX!EM$1,"dd-MMM-aa"),"")</f>
      </c>
      <c r="EJ169" s="496" t="str">
        <f> IF(EJ189&lt;&gt;"",TEXT(AUX!EN$1,"dd-MMM-aa"),"")</f>
      </c>
      <c r="EK169" s="496" t="str">
        <f> IF(EK189&lt;&gt;"",TEXT(AUX!EO$1,"dd-MMM-aa"),"")</f>
      </c>
      <c r="EL169" s="496" t="str">
        <f> IF(EL189&lt;&gt;"",TEXT(AUX!EP$1,"dd-MMM-aa"),"")</f>
      </c>
      <c r="EM169" s="496" t="str">
        <f> IF(EM189&lt;&gt;"",TEXT(AUX!EQ$1,"dd-MMM-aa"),"")</f>
      </c>
      <c r="EN169" s="496" t="str">
        <f> IF(EN189&lt;&gt;"",TEXT(AUX!ER$1,"dd-MMM-aa"),"")</f>
      </c>
      <c r="EO169" s="496" t="str">
        <f> IF(EO189&lt;&gt;"",TEXT(AUX!ES$1,"dd-MMM-aa"),"")</f>
      </c>
      <c r="EP169" s="496" t="str">
        <f> IF(EP189&lt;&gt;"",TEXT(AUX!ET$1,"dd-MMM-aa"),"")</f>
      </c>
      <c r="EQ169" s="496" t="str">
        <f> IF(EQ189&lt;&gt;"",TEXT(AUX!EU$1,"dd-MMM-aa"),"")</f>
      </c>
      <c r="ER169" s="496" t="str">
        <f> IF(ER189&lt;&gt;"",TEXT(AUX!EV$1,"dd-MMM-aa"),"")</f>
      </c>
      <c r="ES169" s="496" t="str">
        <f> IF(ES189&lt;&gt;"",TEXT(AUX!EW$1,"dd-MMM-aa"),"")</f>
      </c>
      <c r="ET169" s="496" t="str">
        <f> IF(ET189&lt;&gt;"",TEXT(AUX!EX$1,"dd-MMM-aa"),"")</f>
      </c>
      <c r="EU169" s="496" t="str">
        <f> IF(EU189&lt;&gt;"",TEXT(AUX!EY$1,"dd-MMM-aa"),"")</f>
      </c>
      <c r="EV169" s="496" t="str">
        <f> IF(EV189&lt;&gt;"",TEXT(AUX!EZ$1,"dd-MMM-aa"),"")</f>
      </c>
      <c r="EW169" s="496" t="str">
        <f> IF(EW189&lt;&gt;"",TEXT(AUX!FA$1,"dd-MMM-aa"),"")</f>
      </c>
      <c r="EX169" s="496" t="str">
        <f> IF(EX189&lt;&gt;"",TEXT(AUX!FB$1,"dd-MMM-aa"),"")</f>
      </c>
      <c r="EY169" s="496" t="str">
        <f> IF(EY189&lt;&gt;"",TEXT(AUX!FC$1,"dd-MMM-aa"),"")</f>
      </c>
      <c r="EZ169" s="496" t="str">
        <f> IF(EZ189&lt;&gt;"",TEXT(AUX!FD$1,"dd-MMM-aa"),"")</f>
      </c>
      <c r="FA169" s="496" t="str">
        <f> IF(FA189&lt;&gt;"",TEXT(AUX!FE$1,"dd-MMM-aa"),"")</f>
      </c>
      <c r="FB169" s="496" t="str">
        <f> IF(FB189&lt;&gt;"",TEXT(AUX!FF$1,"dd-MMM-aa"),"")</f>
      </c>
      <c r="FC169" s="496" t="str">
        <f> IF(FC189&lt;&gt;"",TEXT(AUX!FG$1,"dd-MMM-aa"),"")</f>
      </c>
      <c r="FD169" s="496" t="str">
        <f> IF(FD189&lt;&gt;"",TEXT(AUX!FH$1,"dd-MMM-aa"),"")</f>
      </c>
      <c r="FE169" s="496" t="str">
        <f> IF(FE189&lt;&gt;"",TEXT(AUX!FI$1,"dd-MMM-aa"),"")</f>
      </c>
      <c r="FF169" s="496" t="str">
        <f> IF(FF189&lt;&gt;"",TEXT(AUX!FJ$1,"dd-MMM-aa"),"")</f>
      </c>
      <c r="FG169" s="496" t="str">
        <f> IF(FG189&lt;&gt;"",TEXT(AUX!FK$1,"dd-MMM-aa"),"")</f>
      </c>
      <c r="FH169" s="496" t="str">
        <f> IF(FH189&lt;&gt;"",TEXT(AUX!FL$1,"dd-MMM-aa"),"")</f>
      </c>
      <c r="FI169" s="496" t="str">
        <f> IF(FI189&lt;&gt;"",TEXT(AUX!FM$1,"dd-MMM-aa"),"")</f>
      </c>
      <c r="FJ169" s="496" t="str">
        <f> IF(FJ189&lt;&gt;"",TEXT(AUX!FN$1,"dd-MMM-aa"),"")</f>
      </c>
      <c r="FK169" s="496" t="str">
        <f> IF(FK189&lt;&gt;"",TEXT(AUX!FO$1,"dd-MMM-aa"),"")</f>
      </c>
      <c r="FL169" s="496" t="str">
        <f> IF(FL189&lt;&gt;"",TEXT(AUX!FP$1,"dd-MMM-aa"),"")</f>
      </c>
      <c r="FM169" s="496" t="str">
        <f> IF(FM189&lt;&gt;"",TEXT(AUX!FQ$1,"dd-MMM-aa"),"")</f>
      </c>
      <c r="FN169" s="496" t="str">
        <f> IF(FN189&lt;&gt;"",TEXT(AUX!FR$1,"dd-MMM-aa"),"")</f>
      </c>
      <c r="FO169" s="496" t="str">
        <f> IF(FO189&lt;&gt;"",TEXT(AUX!FS$1,"dd-MMM-aa"),"")</f>
      </c>
      <c r="FP169" s="496" t="str">
        <f> IF(FP189&lt;&gt;"",TEXT(AUX!FT$1,"dd-MMM-aa"),"")</f>
      </c>
      <c r="FQ169" s="496" t="str">
        <f> IF(FQ189&lt;&gt;"",TEXT(AUX!FU$1,"dd-MMM-aa"),"")</f>
      </c>
      <c r="FR169" s="496" t="str">
        <f> IF(FR189&lt;&gt;"",TEXT(AUX!FV$1,"dd-MMM-aa"),"")</f>
      </c>
      <c r="FS169" s="496" t="str">
        <f> IF(FS189&lt;&gt;"",TEXT(AUX!FW$1,"dd-MMM-aa"),"")</f>
      </c>
      <c r="FT169" s="496" t="str">
        <f> IF(FT189&lt;&gt;"",TEXT(AUX!FX$1,"dd-MMM-aa"),"")</f>
      </c>
      <c r="FU169" s="496" t="str">
        <f> IF(FU189&lt;&gt;"",TEXT(AUX!FY$1,"dd-MMM-aa"),"")</f>
      </c>
      <c r="FV169" s="496" t="str">
        <f> IF(FV189&lt;&gt;"",TEXT(AUX!FZ$1,"dd-MMM-aa"),"")</f>
      </c>
      <c r="FW169" s="496" t="str">
        <f> IF(FW189&lt;&gt;"",TEXT(AUX!GA$1,"dd-MMM-aa"),"")</f>
      </c>
      <c r="FX169" s="496" t="str">
        <f> IF(FX189&lt;&gt;"",TEXT(AUX!GB$1,"dd-MMM-aa"),"")</f>
      </c>
      <c r="FY169" s="496" t="str">
        <f> IF(FY189&lt;&gt;"",TEXT(AUX!GC$1,"dd-MMM-aa"),"")</f>
      </c>
      <c r="FZ169" s="496" t="str">
        <f> IF(FZ189&lt;&gt;"",TEXT(AUX!GD$1,"dd-MMM-aa"),"")</f>
      </c>
      <c r="GA169" s="496" t="str">
        <f> IF(GA189&lt;&gt;"",TEXT(AUX!GE$1,"dd-MMM-aa"),"")</f>
      </c>
      <c r="GB169" s="496" t="str">
        <f> IF(GB189&lt;&gt;"",TEXT(AUX!GF$1,"dd-MMM-aa"),"")</f>
      </c>
      <c r="GC169" s="496" t="str">
        <f> IF(GC189&lt;&gt;"",TEXT(AUX!GG$1,"dd-MMM-aa"),"")</f>
      </c>
      <c r="GD169" s="496" t="str">
        <f> IF(GD189&lt;&gt;"",TEXT(AUX!GH$1,"dd-MMM-aa"),"")</f>
      </c>
      <c r="GE169" s="496" t="str">
        <f> IF(GE189&lt;&gt;"",TEXT(AUX!GI$1,"dd-MMM-aa"),"")</f>
      </c>
      <c r="GF169" s="496" t="str">
        <f> IF(GF189&lt;&gt;"",TEXT(AUX!GJ$1,"dd-MMM-aa"),"")</f>
      </c>
      <c r="GG169" s="496" t="str">
        <f> IF(GG189&lt;&gt;"",TEXT(AUX!GK$1,"dd-MMM-aa"),"")</f>
      </c>
      <c r="GH169" s="496" t="str">
        <f> IF(GH189&lt;&gt;"",TEXT(AUX!GL$1,"dd-MMM-aa"),"")</f>
      </c>
      <c r="GI169" s="496" t="str">
        <f> IF(GI189&lt;&gt;"",TEXT(AUX!GM$1,"dd-MMM-aa"),"")</f>
      </c>
      <c r="GJ169" s="496" t="str">
        <f> IF(GJ189&lt;&gt;"",TEXT(AUX!GN$1,"dd-MMM-aa"),"")</f>
      </c>
      <c r="GK169" s="496" t="str">
        <f> IF(GK189&lt;&gt;"",TEXT(AUX!GO$1,"dd-MMM-aa"),"")</f>
      </c>
      <c r="GL169" s="496" t="str">
        <f> IF(GL189&lt;&gt;"",TEXT(AUX!GP$1,"dd-MMM-aa"),"")</f>
      </c>
      <c r="GM169" s="496" t="str">
        <f> IF(GM189&lt;&gt;"",TEXT(AUX!GQ$1,"dd-MMM-aa"),"")</f>
      </c>
      <c r="GN169" s="496" t="str">
        <f> IF(GN189&lt;&gt;"",TEXT(AUX!GR$1,"dd-MMM-aa"),"")</f>
      </c>
      <c r="GO169" s="496" t="str">
        <f> IF(GO189&lt;&gt;"",TEXT(AUX!GS$1,"dd-MMM-aa"),"")</f>
      </c>
      <c r="GP169" s="496" t="str">
        <f> IF(GP189&lt;&gt;"",TEXT(AUX!GT$1,"dd-MMM-aa"),"")</f>
      </c>
      <c r="GQ169" s="496" t="str">
        <f> IF(GQ189&lt;&gt;"",TEXT(AUX!GU$1,"dd-MMM-aa"),"")</f>
      </c>
      <c r="GR169" s="496" t="str">
        <f> IF(GR189&lt;&gt;"",TEXT(AUX!GV$1,"dd-MMM-aa"),"")</f>
      </c>
      <c r="GS169" s="496" t="str">
        <f> IF(GS189&lt;&gt;"",TEXT(AUX!GW$1,"dd-MMM-aa"),"")</f>
      </c>
      <c r="GT169" s="496" t="str">
        <f> IF(GT189&lt;&gt;"",TEXT(AUX!GX$1,"dd-MMM-aa"),"")</f>
      </c>
      <c r="GU169" s="496" t="str">
        <f> IF(GU189&lt;&gt;"",TEXT(AUX!GY$1,"dd-MMM-aa"),"")</f>
      </c>
      <c r="GV169" s="496" t="str">
        <f> IF(GV189&lt;&gt;"",TEXT(AUX!GZ$1,"dd-MMM-aa"),"")</f>
      </c>
      <c r="GW169" s="496" t="str">
        <f> IF(GW189&lt;&gt;"",TEXT(AUX!HA$1,"dd-MMM-aa"),"")</f>
      </c>
      <c r="GX169" s="496" t="str">
        <f> IF(GX189&lt;&gt;"",TEXT(AUX!HB$1,"dd-MMM-aa"),"")</f>
      </c>
      <c r="GY169" s="496" t="str">
        <f> IF(GY189&lt;&gt;"",TEXT(AUX!HC$1,"dd-MMM-aa"),"")</f>
      </c>
      <c r="GZ169" s="496" t="str">
        <f> IF(GZ189&lt;&gt;"",TEXT(AUX!HD$1,"dd-MMM-aa"),"")</f>
      </c>
      <c r="HA169" s="496" t="str">
        <f> IF(HA189&lt;&gt;"",TEXT(AUX!HE$1,"dd-MMM-aa"),"")</f>
      </c>
      <c r="HB169" s="496" t="str">
        <f> IF(HB189&lt;&gt;"",TEXT(AUX!HF$1,"dd-MMM-aa"),"")</f>
      </c>
      <c r="HC169" s="496" t="str">
        <f> IF(HC189&lt;&gt;"",TEXT(AUX!HG$1,"dd-MMM-aa"),"")</f>
      </c>
      <c r="HD169" s="496" t="str">
        <f> IF(HD189&lt;&gt;"",TEXT(AUX!HH$1,"dd-MMM-aa"),"")</f>
      </c>
      <c r="HE169" s="496" t="str">
        <f> IF(HE189&lt;&gt;"",TEXT(AUX!HI$1,"dd-MMM-aa"),"")</f>
      </c>
      <c r="HF169" s="496" t="str">
        <f> IF(HF189&lt;&gt;"",TEXT(AUX!HJ$1,"dd-MMM-aa"),"")</f>
      </c>
      <c r="HG169" s="496" t="str">
        <f> IF(HG189&lt;&gt;"",TEXT(AUX!HK$1,"dd-MMM-aa"),"")</f>
      </c>
      <c r="HH169" s="496" t="str">
        <f> IF(HH189&lt;&gt;"",TEXT(AUX!HL$1,"dd-MMM-aa"),"")</f>
      </c>
      <c r="HI169" s="496" t="str">
        <f> IF(HI189&lt;&gt;"",TEXT(AUX!HM$1,"dd-MMM-aa"),"")</f>
      </c>
      <c r="HJ169" s="496" t="str">
        <f> IF(HJ189&lt;&gt;"",TEXT(AUX!HN$1,"dd-MMM-aa"),"")</f>
      </c>
      <c r="HK169" s="496" t="str">
        <f> IF(HK189&lt;&gt;"",TEXT(AUX!HO$1,"dd-MMM-aa"),"")</f>
      </c>
      <c r="HL169" s="496" t="str">
        <f> IF(HL189&lt;&gt;"",TEXT(AUX!HP$1,"dd-MMM-aa"),"")</f>
      </c>
      <c r="HM169" s="496" t="str">
        <f> IF(HM189&lt;&gt;"",TEXT(AUX!HQ$1,"dd-MMM-aa"),"")</f>
      </c>
      <c r="HN169" s="496" t="str">
        <f> IF(HN189&lt;&gt;"",TEXT(AUX!HR$1,"dd-MMM-aa"),"")</f>
      </c>
      <c r="HO169" s="496" t="str">
        <f> IF(HO189&lt;&gt;"",TEXT(AUX!HS$1,"dd-MMM-aa"),"")</f>
      </c>
      <c r="HP169" s="496" t="str">
        <f> IF(HP189&lt;&gt;"",TEXT(AUX!HT$1,"dd-MMM-aa"),"")</f>
      </c>
      <c r="HQ169" s="496" t="str">
        <f> IF(HQ189&lt;&gt;"",TEXT(AUX!HU$1,"dd-MMM-aa"),"")</f>
      </c>
      <c r="HR169" s="496" t="str">
        <f> IF(HR189&lt;&gt;"",TEXT(AUX!HV$1,"dd-MMM-aa"),"")</f>
      </c>
      <c r="HS169" s="496" t="str">
        <f> IF(HS189&lt;&gt;"",TEXT(AUX!HW$1,"dd-MMM-aa"),"")</f>
      </c>
      <c r="HT169" s="496" t="str">
        <f> IF(HT189&lt;&gt;"",TEXT(AUX!HX$1,"dd-MMM-aa"),"")</f>
      </c>
      <c r="HU169" s="496" t="str">
        <f> IF(HU189&lt;&gt;"",TEXT(AUX!HY$1,"dd-MMM-aa"),"")</f>
      </c>
      <c r="HV169" s="496" t="str">
        <f> IF(HV189&lt;&gt;"",TEXT(AUX!HZ$1,"dd-MMM-aa"),"")</f>
      </c>
      <c r="HW169" s="496" t="str">
        <f> IF(HW189&lt;&gt;"",TEXT(AUX!IA$1,"dd-MMM-aa"),"")</f>
      </c>
      <c r="HX169" s="496" t="str">
        <f> IF(HX189&lt;&gt;"",TEXT(AUX!IB$1,"dd-MMM-aa"),"")</f>
      </c>
      <c r="HY169" s="496" t="str">
        <f> IF(HY189&lt;&gt;"",TEXT(AUX!IC$1,"dd-MMM-aa"),"")</f>
      </c>
      <c r="HZ169" s="496" t="str">
        <f> IF(HZ189&lt;&gt;"",TEXT(AUX!ID$1,"dd-MMM-aa"),"")</f>
      </c>
      <c r="IA169" s="496" t="str">
        <f> IF(IA189&lt;&gt;"",TEXT(AUX!IE$1,"dd-MMM-aa"),"")</f>
      </c>
      <c r="IB169" s="496" t="str">
        <f> IF(IB189&lt;&gt;"",TEXT(AUX!IF$1,"dd-MMM-aa"),"")</f>
      </c>
      <c r="IC169" s="496" t="str">
        <f> IF(IC189&lt;&gt;"",TEXT(AUX!IG$1,"dd-MMM-aa"),"")</f>
      </c>
      <c r="ID169" s="496" t="str">
        <f> IF(ID189&lt;&gt;"",TEXT(AUX!IH$1,"dd-MMM-aa"),"")</f>
      </c>
      <c r="IE169" s="496" t="str">
        <f> IF(IE189&lt;&gt;"",TEXT(AUX!II$1,"dd-MMM-aa"),"")</f>
      </c>
      <c r="IF169" s="496" t="str">
        <f> IF(IF189&lt;&gt;"",TEXT(AUX!IJ$1,"dd-MMM-aa"),"")</f>
      </c>
      <c r="IG169" s="496" t="str">
        <f> IF(IG189&lt;&gt;"",TEXT(AUX!IK$1,"dd-MMM-aa"),"")</f>
      </c>
      <c r="IH169" s="496" t="str">
        <f> IF(IH189&lt;&gt;"",TEXT(AUX!IL$1,"dd-MMM-aa"),"")</f>
      </c>
      <c r="II169" s="496" t="str">
        <f> IF(II189&lt;&gt;"",TEXT(AUX!IM$1,"dd-MMM-aa"),"")</f>
      </c>
      <c r="IJ169" s="496" t="str">
        <f> IF(IJ189&lt;&gt;"",TEXT(AUX!IN$1,"dd-MMM-aa"),"")</f>
      </c>
      <c r="IK169" s="496" t="str">
        <f> IF(IK189&lt;&gt;"",TEXT(AUX!IO$1,"dd-MMM-aa"),"")</f>
      </c>
      <c r="IL169" s="496" t="str">
        <f> IF(IL189&lt;&gt;"",TEXT(AUX!IP$1,"dd-MMM-aa"),"")</f>
      </c>
      <c r="IM169" s="496" t="str">
        <f> IF(IM189&lt;&gt;"",TEXT(AUX!IQ$1,"dd-MMM-aa"),"")</f>
      </c>
      <c r="IN169" s="496" t="str">
        <f> IF(IN189&lt;&gt;"",TEXT(AUX!IR$1,"dd-MMM-aa"),"")</f>
      </c>
      <c r="IO169" s="496" t="str">
        <f> IF(IO189&lt;&gt;"",TEXT(AUX!IS$1,"dd-MMM-aa"),"")</f>
      </c>
      <c r="IP169" s="496" t="str">
        <f> IF(IP189&lt;&gt;"",TEXT(AUX!IT$1,"dd-MMM-aa"),"")</f>
      </c>
      <c r="IQ169" s="496" t="str">
        <f> IF(IQ189&lt;&gt;"",TEXT(AUX!IU$1,"dd-MMM-aa"),"")</f>
      </c>
      <c r="IR169" s="496" t="str">
        <f> IF(IR189&lt;&gt;"",TEXT(AUX!IV$1,"dd-MMM-aa"),"")</f>
      </c>
      <c r="IS169" s="496" t="str">
        <f> IF(IS189&lt;&gt;"",TEXT(AUX!#REF!,"dd-MMM-aa"),"")</f>
      </c>
      <c r="IT169" s="496" t="str">
        <f> IF(IT189&lt;&gt;"",TEXT(AUX!#REF!,"dd-MMM-aa"),"")</f>
      </c>
      <c r="IU169" s="496" t="str">
        <f> IF(IU189&lt;&gt;"",TEXT(AUX!#REF!,"dd-MMM-aa"),"")</f>
      </c>
      <c r="IV169" s="496" t="str">
        <f> IF(IV189&lt;&gt;"",TEXT(AUX!#REF!,"dd-MMM-aa"),"")</f>
      </c>
    </row>
    <row r="170" hidden="1">
      <c r="B170" s="822" t="s">
        <v>8</v>
      </c>
      <c r="C170" s="823">
        <v>706</v>
      </c>
      <c r="D170" s="823">
        <v>2876</v>
      </c>
      <c r="E170" s="823">
        <v>0</v>
      </c>
      <c r="F170" s="823">
        <v>0</v>
      </c>
      <c r="G170" s="823">
        <v>0</v>
      </c>
      <c r="H170" s="823">
        <v>0</v>
      </c>
      <c r="I170" s="823">
        <v>0</v>
      </c>
      <c r="J170" s="823">
        <v>0</v>
      </c>
      <c r="K170" s="823">
        <v>0</v>
      </c>
      <c r="L170" s="823">
        <v>0</v>
      </c>
      <c r="M170" s="823">
        <v>0</v>
      </c>
      <c r="N170" s="823">
        <v>0</v>
      </c>
      <c r="O170" s="823">
        <v>0</v>
      </c>
      <c r="P170" s="823">
        <v>0</v>
      </c>
      <c r="Q170" s="823">
        <v>27157</v>
      </c>
      <c r="R170" s="823">
        <v>37740</v>
      </c>
      <c r="S170" s="823">
        <v>0</v>
      </c>
      <c r="T170" s="823">
        <v>0</v>
      </c>
      <c r="U170" s="823">
        <v>0</v>
      </c>
      <c r="V170" s="823">
        <v>0</v>
      </c>
      <c r="W170" s="823">
        <v>0</v>
      </c>
      <c r="X170" s="823">
        <v>0</v>
      </c>
      <c r="Y170" s="823">
        <v>0</v>
      </c>
      <c r="Z170" s="823">
        <v>0</v>
      </c>
      <c r="AA170" s="823">
        <v>0</v>
      </c>
      <c r="AB170" s="824">
        <v>0</v>
      </c>
      <c r="AC170" s="825">
        <v>0</v>
      </c>
      <c r="AD170" s="825">
        <v>0</v>
      </c>
      <c r="AE170" s="825">
        <v>0</v>
      </c>
      <c r="AF170" s="825">
        <v>0</v>
      </c>
      <c r="AG170" s="825">
        <v>0</v>
      </c>
      <c r="AH170" s="825">
        <v>0</v>
      </c>
      <c r="AI170" s="825">
        <v>0</v>
      </c>
      <c r="AJ170" s="825">
        <v>0</v>
      </c>
      <c r="AK170" s="825">
        <v>0</v>
      </c>
      <c r="AL170" s="825">
        <v>0</v>
      </c>
      <c r="AM170" s="825">
        <v>0</v>
      </c>
      <c r="AN170" s="825">
        <v>0</v>
      </c>
      <c r="AO170" s="825">
        <v>0</v>
      </c>
      <c r="AP170" s="825">
        <v>0</v>
      </c>
    </row>
    <row r="171" hidden="1">
      <c r="B171" s="826" t="s">
        <v>9</v>
      </c>
      <c r="C171" s="827">
        <v>0</v>
      </c>
      <c r="D171" s="827">
        <v>0</v>
      </c>
      <c r="E171" s="827">
        <v>0</v>
      </c>
      <c r="F171" s="827">
        <v>0</v>
      </c>
      <c r="G171" s="827">
        <v>0</v>
      </c>
      <c r="H171" s="827">
        <v>0</v>
      </c>
      <c r="I171" s="827">
        <v>0</v>
      </c>
      <c r="J171" s="827">
        <v>0</v>
      </c>
      <c r="K171" s="827">
        <v>0</v>
      </c>
      <c r="L171" s="827">
        <v>0</v>
      </c>
      <c r="M171" s="827">
        <v>0</v>
      </c>
      <c r="N171" s="827">
        <v>0</v>
      </c>
      <c r="O171" s="827">
        <v>0</v>
      </c>
      <c r="P171" s="827">
        <v>0</v>
      </c>
      <c r="Q171" s="827">
        <v>0</v>
      </c>
      <c r="R171" s="827">
        <v>0</v>
      </c>
      <c r="S171" s="827">
        <v>0</v>
      </c>
      <c r="T171" s="827">
        <v>0</v>
      </c>
      <c r="U171" s="827">
        <v>0</v>
      </c>
      <c r="V171" s="827">
        <v>0</v>
      </c>
      <c r="W171" s="827">
        <v>0</v>
      </c>
      <c r="X171" s="827">
        <v>0</v>
      </c>
      <c r="Y171" s="827">
        <v>0</v>
      </c>
      <c r="Z171" s="827">
        <v>80</v>
      </c>
      <c r="AA171" s="827">
        <v>4562</v>
      </c>
      <c r="AB171" s="827">
        <v>4562</v>
      </c>
      <c r="AC171" s="828">
        <v>58558</v>
      </c>
      <c r="AD171" s="828">
        <v>58558</v>
      </c>
      <c r="AE171" s="828">
        <v>67629</v>
      </c>
      <c r="AF171" s="828">
        <v>67629</v>
      </c>
      <c r="AG171" s="828">
        <v>68234</v>
      </c>
      <c r="AH171" s="828">
        <v>68176</v>
      </c>
      <c r="AI171" s="828">
        <v>66341</v>
      </c>
      <c r="AJ171" s="828">
        <v>66341</v>
      </c>
      <c r="AK171" s="828">
        <v>65265</v>
      </c>
      <c r="AL171" s="828">
        <v>65265</v>
      </c>
      <c r="AM171" s="828">
        <v>66003</v>
      </c>
      <c r="AN171" s="828">
        <v>66003</v>
      </c>
      <c r="AO171" s="828">
        <v>69699</v>
      </c>
      <c r="AP171" s="828">
        <v>69699</v>
      </c>
    </row>
    <row r="172" hidden="1">
      <c r="B172" s="829" t="s">
        <v>10</v>
      </c>
      <c r="C172" s="823">
        <v>0</v>
      </c>
      <c r="D172" s="823">
        <v>0</v>
      </c>
      <c r="E172" s="823">
        <v>0</v>
      </c>
      <c r="F172" s="823">
        <v>0</v>
      </c>
      <c r="G172" s="823">
        <v>0</v>
      </c>
      <c r="H172" s="823">
        <v>0</v>
      </c>
      <c r="I172" s="823">
        <v>0</v>
      </c>
      <c r="J172" s="823">
        <v>0</v>
      </c>
      <c r="K172" s="823">
        <v>0</v>
      </c>
      <c r="L172" s="823">
        <v>0</v>
      </c>
      <c r="M172" s="823">
        <v>0</v>
      </c>
      <c r="N172" s="823">
        <v>0</v>
      </c>
      <c r="O172" s="823">
        <v>0</v>
      </c>
      <c r="P172" s="823">
        <v>0</v>
      </c>
      <c r="Q172" s="823">
        <v>0</v>
      </c>
      <c r="R172" s="823">
        <v>0</v>
      </c>
      <c r="S172" s="823">
        <v>0</v>
      </c>
      <c r="T172" s="823">
        <v>0</v>
      </c>
      <c r="U172" s="823">
        <v>0</v>
      </c>
      <c r="V172" s="823">
        <v>0</v>
      </c>
      <c r="W172" s="823">
        <v>0</v>
      </c>
      <c r="X172" s="823">
        <v>0</v>
      </c>
      <c r="Y172" s="823">
        <v>0</v>
      </c>
      <c r="Z172" s="823">
        <v>0</v>
      </c>
      <c r="AA172" s="823">
        <v>0</v>
      </c>
      <c r="AB172" s="823">
        <v>0</v>
      </c>
      <c r="AC172" s="825">
        <v>0</v>
      </c>
      <c r="AD172" s="825">
        <v>0</v>
      </c>
      <c r="AE172" s="825">
        <v>0</v>
      </c>
      <c r="AF172" s="825">
        <v>0</v>
      </c>
      <c r="AG172" s="825">
        <v>0</v>
      </c>
      <c r="AH172" s="825">
        <v>0</v>
      </c>
      <c r="AI172" s="825">
        <v>0</v>
      </c>
      <c r="AJ172" s="825">
        <v>0</v>
      </c>
      <c r="AK172" s="825">
        <v>0</v>
      </c>
      <c r="AL172" s="825">
        <v>0</v>
      </c>
      <c r="AM172" s="825">
        <v>0</v>
      </c>
      <c r="AN172" s="825">
        <v>0</v>
      </c>
      <c r="AO172" s="825">
        <v>0</v>
      </c>
      <c r="AP172" s="825">
        <v>0</v>
      </c>
    </row>
    <row r="173" hidden="1">
      <c r="B173" s="826" t="s">
        <v>11</v>
      </c>
      <c r="C173" s="827">
        <v>10</v>
      </c>
      <c r="D173" s="827">
        <v>10</v>
      </c>
      <c r="E173" s="827">
        <v>10</v>
      </c>
      <c r="F173" s="827">
        <v>10</v>
      </c>
      <c r="G173" s="827">
        <v>49</v>
      </c>
      <c r="H173" s="827">
        <v>79</v>
      </c>
      <c r="I173" s="827">
        <v>79</v>
      </c>
      <c r="J173" s="827">
        <v>72</v>
      </c>
      <c r="K173" s="827">
        <v>0</v>
      </c>
      <c r="L173" s="827">
        <v>0</v>
      </c>
      <c r="M173" s="827">
        <v>0</v>
      </c>
      <c r="N173" s="827">
        <v>0</v>
      </c>
      <c r="O173" s="827">
        <v>0</v>
      </c>
      <c r="P173" s="827">
        <v>0</v>
      </c>
      <c r="Q173" s="827">
        <v>0</v>
      </c>
      <c r="R173" s="827">
        <v>0</v>
      </c>
      <c r="S173" s="827">
        <v>0</v>
      </c>
      <c r="T173" s="827">
        <v>0</v>
      </c>
      <c r="U173" s="827">
        <v>0</v>
      </c>
      <c r="V173" s="827">
        <v>0</v>
      </c>
      <c r="W173" s="827">
        <v>0</v>
      </c>
      <c r="X173" s="827">
        <v>0</v>
      </c>
      <c r="Y173" s="827">
        <v>0</v>
      </c>
      <c r="Z173" s="827">
        <v>0</v>
      </c>
      <c r="AA173" s="827">
        <v>0</v>
      </c>
      <c r="AB173" s="827">
        <v>0</v>
      </c>
      <c r="AC173" s="828">
        <v>0</v>
      </c>
      <c r="AD173" s="828">
        <v>0</v>
      </c>
      <c r="AE173" s="828">
        <v>0</v>
      </c>
      <c r="AF173" s="828">
        <v>0</v>
      </c>
      <c r="AG173" s="828">
        <v>0</v>
      </c>
      <c r="AH173" s="828">
        <v>0</v>
      </c>
      <c r="AI173" s="828">
        <v>0</v>
      </c>
      <c r="AJ173" s="828">
        <v>0</v>
      </c>
      <c r="AK173" s="828">
        <v>0</v>
      </c>
      <c r="AL173" s="828">
        <v>0</v>
      </c>
      <c r="AM173" s="828">
        <v>0</v>
      </c>
      <c r="AN173" s="828">
        <v>0</v>
      </c>
      <c r="AO173" s="828">
        <v>0</v>
      </c>
      <c r="AP173" s="828">
        <v>0</v>
      </c>
    </row>
    <row r="174" hidden="1">
      <c r="B174" s="829" t="s">
        <v>12</v>
      </c>
      <c r="C174" s="823">
        <v>0</v>
      </c>
      <c r="D174" s="823">
        <v>0</v>
      </c>
      <c r="E174" s="823">
        <v>0</v>
      </c>
      <c r="F174" s="823">
        <v>0</v>
      </c>
      <c r="G174" s="823">
        <v>0</v>
      </c>
      <c r="H174" s="823">
        <v>0</v>
      </c>
      <c r="I174" s="823">
        <v>230</v>
      </c>
      <c r="J174" s="823">
        <v>230</v>
      </c>
      <c r="K174" s="823">
        <v>220</v>
      </c>
      <c r="L174" s="823">
        <v>315</v>
      </c>
      <c r="M174" s="823">
        <v>315</v>
      </c>
      <c r="N174" s="823">
        <v>324</v>
      </c>
      <c r="O174" s="823">
        <v>334</v>
      </c>
      <c r="P174" s="823">
        <v>334</v>
      </c>
      <c r="Q174" s="823">
        <v>400</v>
      </c>
      <c r="R174" s="823">
        <v>400</v>
      </c>
      <c r="S174" s="823">
        <v>310</v>
      </c>
      <c r="T174" s="823">
        <v>310</v>
      </c>
      <c r="U174" s="823">
        <v>310</v>
      </c>
      <c r="V174" s="823">
        <v>310</v>
      </c>
      <c r="W174" s="823">
        <v>280</v>
      </c>
      <c r="X174" s="823">
        <v>280</v>
      </c>
      <c r="Y174" s="823">
        <v>370</v>
      </c>
      <c r="Z174" s="823">
        <v>570</v>
      </c>
      <c r="AA174" s="823">
        <v>680</v>
      </c>
      <c r="AB174" s="823">
        <v>680</v>
      </c>
      <c r="AC174" s="825">
        <v>479</v>
      </c>
      <c r="AD174" s="825">
        <v>479</v>
      </c>
      <c r="AE174" s="825">
        <v>475</v>
      </c>
      <c r="AF174" s="825">
        <v>475</v>
      </c>
      <c r="AG174" s="825">
        <v>475</v>
      </c>
      <c r="AH174" s="825">
        <v>475</v>
      </c>
      <c r="AI174" s="825">
        <v>475</v>
      </c>
      <c r="AJ174" s="825">
        <v>475</v>
      </c>
      <c r="AK174" s="825">
        <v>475</v>
      </c>
      <c r="AL174" s="825">
        <v>479</v>
      </c>
      <c r="AM174" s="825">
        <v>481</v>
      </c>
      <c r="AN174" s="825">
        <v>481</v>
      </c>
      <c r="AO174" s="825">
        <v>356</v>
      </c>
      <c r="AP174" s="825">
        <v>456</v>
      </c>
    </row>
    <row r="175" hidden="1">
      <c r="B175" s="826" t="s">
        <v>13</v>
      </c>
      <c r="C175" s="827">
        <v>0</v>
      </c>
      <c r="D175" s="827">
        <v>0</v>
      </c>
      <c r="E175" s="827">
        <v>0</v>
      </c>
      <c r="F175" s="827">
        <v>0</v>
      </c>
      <c r="G175" s="827">
        <v>0</v>
      </c>
      <c r="H175" s="827">
        <v>0</v>
      </c>
      <c r="I175" s="827">
        <v>0</v>
      </c>
      <c r="J175" s="827">
        <v>0</v>
      </c>
      <c r="K175" s="827">
        <v>58</v>
      </c>
      <c r="L175" s="827">
        <v>58</v>
      </c>
      <c r="M175" s="827">
        <v>0</v>
      </c>
      <c r="N175" s="827">
        <v>0</v>
      </c>
      <c r="O175" s="827">
        <v>0</v>
      </c>
      <c r="P175" s="827">
        <v>0</v>
      </c>
      <c r="Q175" s="827">
        <v>0</v>
      </c>
      <c r="R175" s="827">
        <v>0</v>
      </c>
      <c r="S175" s="827">
        <v>0</v>
      </c>
      <c r="T175" s="827">
        <v>0</v>
      </c>
      <c r="U175" s="827">
        <v>0</v>
      </c>
      <c r="V175" s="827">
        <v>0</v>
      </c>
      <c r="W175" s="827">
        <v>0</v>
      </c>
      <c r="X175" s="827">
        <v>0</v>
      </c>
      <c r="Y175" s="827">
        <v>0</v>
      </c>
      <c r="Z175" s="827">
        <v>0</v>
      </c>
      <c r="AA175" s="827">
        <v>0</v>
      </c>
      <c r="AB175" s="827">
        <v>0</v>
      </c>
      <c r="AC175" s="828">
        <v>0</v>
      </c>
      <c r="AD175" s="828">
        <v>0</v>
      </c>
      <c r="AE175" s="828">
        <v>0</v>
      </c>
      <c r="AF175" s="828">
        <v>0</v>
      </c>
      <c r="AG175" s="828">
        <v>0</v>
      </c>
      <c r="AH175" s="828">
        <v>0</v>
      </c>
      <c r="AI175" s="828">
        <v>0</v>
      </c>
      <c r="AJ175" s="828">
        <v>0</v>
      </c>
      <c r="AK175" s="828">
        <v>0</v>
      </c>
      <c r="AL175" s="828">
        <v>0</v>
      </c>
      <c r="AM175" s="828">
        <v>0</v>
      </c>
      <c r="AN175" s="828">
        <v>0</v>
      </c>
      <c r="AO175" s="828">
        <v>0</v>
      </c>
      <c r="AP175" s="828">
        <v>0</v>
      </c>
    </row>
    <row r="176" hidden="1">
      <c r="B176" s="829" t="s">
        <v>109</v>
      </c>
      <c r="C176" s="823">
        <v>0</v>
      </c>
      <c r="D176" s="823">
        <v>0</v>
      </c>
      <c r="E176" s="823">
        <v>158643</v>
      </c>
      <c r="F176" s="823">
        <v>158643</v>
      </c>
      <c r="G176" s="823">
        <v>184684</v>
      </c>
      <c r="H176" s="823">
        <v>184684</v>
      </c>
      <c r="I176" s="823">
        <v>158765</v>
      </c>
      <c r="J176" s="823">
        <v>158765</v>
      </c>
      <c r="K176" s="823">
        <v>40143</v>
      </c>
      <c r="L176" s="823">
        <v>40143</v>
      </c>
      <c r="M176" s="823">
        <v>58720</v>
      </c>
      <c r="N176" s="823">
        <v>58720</v>
      </c>
      <c r="O176" s="823">
        <v>63477</v>
      </c>
      <c r="P176" s="823">
        <v>63477</v>
      </c>
      <c r="Q176" s="823">
        <v>70290</v>
      </c>
      <c r="R176" s="823">
        <v>70290</v>
      </c>
      <c r="S176" s="823">
        <v>74402</v>
      </c>
      <c r="T176" s="823">
        <v>74402</v>
      </c>
      <c r="U176" s="823">
        <v>45661</v>
      </c>
      <c r="V176" s="823">
        <v>45661</v>
      </c>
      <c r="W176" s="823">
        <v>89363</v>
      </c>
      <c r="X176" s="823">
        <v>89363</v>
      </c>
      <c r="Y176" s="823">
        <v>93286</v>
      </c>
      <c r="Z176" s="823">
        <v>93286</v>
      </c>
      <c r="AA176" s="823">
        <v>89675</v>
      </c>
      <c r="AB176" s="823">
        <v>89675</v>
      </c>
      <c r="AC176" s="825">
        <v>80507</v>
      </c>
      <c r="AD176" s="825">
        <v>80507</v>
      </c>
      <c r="AE176" s="825">
        <v>64994</v>
      </c>
      <c r="AF176" s="825">
        <v>64994</v>
      </c>
      <c r="AG176" s="825">
        <v>77727</v>
      </c>
      <c r="AH176" s="825">
        <v>77727</v>
      </c>
      <c r="AI176" s="825">
        <v>73241</v>
      </c>
      <c r="AJ176" s="825">
        <v>73241</v>
      </c>
      <c r="AK176" s="825">
        <v>65100</v>
      </c>
      <c r="AL176" s="825">
        <v>65100</v>
      </c>
      <c r="AM176" s="825">
        <v>79328</v>
      </c>
      <c r="AN176" s="825">
        <v>79328</v>
      </c>
      <c r="AO176" s="825">
        <v>85132</v>
      </c>
      <c r="AP176" s="825">
        <v>85132</v>
      </c>
    </row>
    <row r="177" hidden="1">
      <c r="B177" s="826" t="s">
        <v>110</v>
      </c>
      <c r="C177" s="827">
        <v>14620</v>
      </c>
      <c r="D177" s="827">
        <v>14620</v>
      </c>
      <c r="E177" s="827">
        <v>24275</v>
      </c>
      <c r="F177" s="827">
        <v>24275</v>
      </c>
      <c r="G177" s="827">
        <v>46268</v>
      </c>
      <c r="H177" s="827">
        <v>46268</v>
      </c>
      <c r="I177" s="827">
        <v>40760</v>
      </c>
      <c r="J177" s="827">
        <v>40760</v>
      </c>
      <c r="K177" s="827">
        <v>40025</v>
      </c>
      <c r="L177" s="827">
        <v>40025</v>
      </c>
      <c r="M177" s="827">
        <v>47514</v>
      </c>
      <c r="N177" s="827">
        <v>47514</v>
      </c>
      <c r="O177" s="827">
        <v>55140</v>
      </c>
      <c r="P177" s="827">
        <v>55140</v>
      </c>
      <c r="Q177" s="827">
        <v>75012</v>
      </c>
      <c r="R177" s="827">
        <v>75012</v>
      </c>
      <c r="S177" s="827">
        <v>86082</v>
      </c>
      <c r="T177" s="827">
        <v>109662</v>
      </c>
      <c r="U177" s="827">
        <v>78229</v>
      </c>
      <c r="V177" s="827">
        <v>78229</v>
      </c>
      <c r="W177" s="827">
        <v>97392</v>
      </c>
      <c r="X177" s="827">
        <v>97392</v>
      </c>
      <c r="Y177" s="827">
        <v>95420</v>
      </c>
      <c r="Z177" s="827">
        <v>80495</v>
      </c>
      <c r="AA177" s="827">
        <v>80495</v>
      </c>
      <c r="AB177" s="827">
        <v>80495</v>
      </c>
      <c r="AC177" s="828">
        <v>114255</v>
      </c>
      <c r="AD177" s="828">
        <v>114255</v>
      </c>
      <c r="AE177" s="828">
        <v>142619</v>
      </c>
      <c r="AF177" s="828">
        <v>142619</v>
      </c>
      <c r="AG177" s="828">
        <v>153619</v>
      </c>
      <c r="AH177" s="828">
        <v>153619</v>
      </c>
      <c r="AI177" s="828">
        <v>143750</v>
      </c>
      <c r="AJ177" s="828">
        <v>143750</v>
      </c>
      <c r="AK177" s="828">
        <v>155736</v>
      </c>
      <c r="AL177" s="828">
        <v>153619</v>
      </c>
      <c r="AM177" s="828">
        <v>194173</v>
      </c>
      <c r="AN177" s="828">
        <v>187448</v>
      </c>
      <c r="AO177" s="828">
        <v>151910</v>
      </c>
      <c r="AP177" s="828">
        <v>97309</v>
      </c>
    </row>
    <row r="178" hidden="1">
      <c r="B178" s="829" t="s">
        <v>16</v>
      </c>
      <c r="C178" s="823">
        <v>0</v>
      </c>
      <c r="D178" s="823">
        <v>2339858</v>
      </c>
      <c r="E178" s="823">
        <v>12869678</v>
      </c>
      <c r="F178" s="823">
        <v>14185794</v>
      </c>
      <c r="G178" s="823">
        <v>14597955</v>
      </c>
      <c r="H178" s="823">
        <v>14696379</v>
      </c>
      <c r="I178" s="823">
        <v>14123318</v>
      </c>
      <c r="J178" s="823">
        <v>14754918</v>
      </c>
      <c r="K178" s="823">
        <v>67962</v>
      </c>
      <c r="L178" s="823">
        <v>73858</v>
      </c>
      <c r="M178" s="823">
        <v>62511</v>
      </c>
      <c r="N178" s="823">
        <v>75711</v>
      </c>
      <c r="O178" s="823">
        <v>71312</v>
      </c>
      <c r="P178" s="823">
        <v>71312</v>
      </c>
      <c r="Q178" s="823">
        <v>87666</v>
      </c>
      <c r="R178" s="823">
        <v>87666</v>
      </c>
      <c r="S178" s="823">
        <v>90203</v>
      </c>
      <c r="T178" s="823">
        <v>90203</v>
      </c>
      <c r="U178" s="823">
        <v>96895</v>
      </c>
      <c r="V178" s="823">
        <v>96895</v>
      </c>
      <c r="W178" s="823">
        <v>81750</v>
      </c>
      <c r="X178" s="823">
        <v>81884</v>
      </c>
      <c r="Y178" s="823">
        <v>91524</v>
      </c>
      <c r="Z178" s="823">
        <v>91524</v>
      </c>
      <c r="AA178" s="823">
        <v>91362</v>
      </c>
      <c r="AB178" s="823">
        <v>91362</v>
      </c>
      <c r="AC178" s="825">
        <v>88677</v>
      </c>
      <c r="AD178" s="825">
        <v>88677</v>
      </c>
      <c r="AE178" s="825">
        <v>91550</v>
      </c>
      <c r="AF178" s="825">
        <v>91550</v>
      </c>
      <c r="AG178" s="825">
        <v>89442</v>
      </c>
      <c r="AH178" s="825">
        <v>82183</v>
      </c>
      <c r="AI178" s="825">
        <v>83267</v>
      </c>
      <c r="AJ178" s="825">
        <v>83267</v>
      </c>
      <c r="AK178" s="825">
        <v>95701</v>
      </c>
      <c r="AL178" s="825">
        <v>95701</v>
      </c>
      <c r="AM178" s="825">
        <v>81327</v>
      </c>
      <c r="AN178" s="825">
        <v>81327</v>
      </c>
      <c r="AO178" s="825">
        <v>82955</v>
      </c>
      <c r="AP178" s="825">
        <v>78200</v>
      </c>
    </row>
    <row r="179" hidden="1">
      <c r="B179" s="826" t="s">
        <v>17</v>
      </c>
      <c r="C179" s="827">
        <v>213210</v>
      </c>
      <c r="D179" s="827">
        <v>180493</v>
      </c>
      <c r="E179" s="827">
        <v>525785</v>
      </c>
      <c r="F179" s="827">
        <v>111252</v>
      </c>
      <c r="G179" s="827">
        <v>1155834</v>
      </c>
      <c r="H179" s="827">
        <v>1492711</v>
      </c>
      <c r="I179" s="827">
        <v>142329</v>
      </c>
      <c r="J179" s="827">
        <v>97106</v>
      </c>
      <c r="K179" s="827">
        <v>0</v>
      </c>
      <c r="L179" s="827">
        <v>0</v>
      </c>
      <c r="M179" s="827">
        <v>0</v>
      </c>
      <c r="N179" s="827">
        <v>0</v>
      </c>
      <c r="O179" s="827">
        <v>0</v>
      </c>
      <c r="P179" s="827">
        <v>0</v>
      </c>
      <c r="Q179" s="827">
        <v>35</v>
      </c>
      <c r="R179" s="827">
        <v>35</v>
      </c>
      <c r="S179" s="827">
        <v>35</v>
      </c>
      <c r="T179" s="827">
        <v>100</v>
      </c>
      <c r="U179" s="827">
        <v>100</v>
      </c>
      <c r="V179" s="827">
        <v>100</v>
      </c>
      <c r="W179" s="827">
        <v>250</v>
      </c>
      <c r="X179" s="827">
        <v>200</v>
      </c>
      <c r="Y179" s="827">
        <v>200</v>
      </c>
      <c r="Z179" s="827">
        <v>200</v>
      </c>
      <c r="AA179" s="827">
        <v>200</v>
      </c>
      <c r="AB179" s="827">
        <v>200</v>
      </c>
      <c r="AC179" s="828">
        <v>200</v>
      </c>
      <c r="AD179" s="828">
        <v>200</v>
      </c>
      <c r="AE179" s="828">
        <v>200</v>
      </c>
      <c r="AF179" s="828">
        <v>200</v>
      </c>
      <c r="AG179" s="828">
        <v>150</v>
      </c>
      <c r="AH179" s="828">
        <v>150</v>
      </c>
      <c r="AI179" s="828">
        <v>200</v>
      </c>
      <c r="AJ179" s="828">
        <v>250</v>
      </c>
      <c r="AK179" s="828">
        <v>250</v>
      </c>
      <c r="AL179" s="828">
        <v>150</v>
      </c>
      <c r="AM179" s="828">
        <v>150</v>
      </c>
      <c r="AN179" s="828">
        <v>185</v>
      </c>
      <c r="AO179" s="828">
        <v>150</v>
      </c>
      <c r="AP179" s="828">
        <v>150</v>
      </c>
    </row>
    <row r="180" hidden="1">
      <c r="B180" s="829" t="s">
        <v>18</v>
      </c>
      <c r="C180" s="823">
        <v>0</v>
      </c>
      <c r="D180" s="823">
        <v>0</v>
      </c>
      <c r="E180" s="823">
        <v>0</v>
      </c>
      <c r="F180" s="823">
        <v>0</v>
      </c>
      <c r="G180" s="823">
        <v>142878</v>
      </c>
      <c r="H180" s="823">
        <v>142878</v>
      </c>
      <c r="I180" s="823">
        <v>120946</v>
      </c>
      <c r="J180" s="823">
        <v>120946</v>
      </c>
      <c r="K180" s="823">
        <v>0</v>
      </c>
      <c r="L180" s="823">
        <v>0</v>
      </c>
      <c r="M180" s="823">
        <v>0</v>
      </c>
      <c r="N180" s="823">
        <v>0</v>
      </c>
      <c r="O180" s="823">
        <v>0</v>
      </c>
      <c r="P180" s="823">
        <v>0</v>
      </c>
      <c r="Q180" s="823">
        <v>0</v>
      </c>
      <c r="R180" s="823">
        <v>0</v>
      </c>
      <c r="S180" s="823">
        <v>0</v>
      </c>
      <c r="T180" s="823">
        <v>0</v>
      </c>
      <c r="U180" s="823">
        <v>0</v>
      </c>
      <c r="V180" s="823">
        <v>0</v>
      </c>
      <c r="W180" s="823">
        <v>0</v>
      </c>
      <c r="X180" s="823">
        <v>0</v>
      </c>
      <c r="Y180" s="823">
        <v>0</v>
      </c>
      <c r="Z180" s="823">
        <v>0</v>
      </c>
      <c r="AA180" s="823">
        <v>0</v>
      </c>
      <c r="AB180" s="823">
        <v>0</v>
      </c>
      <c r="AC180" s="825">
        <v>0</v>
      </c>
      <c r="AD180" s="825">
        <v>0</v>
      </c>
      <c r="AE180" s="825">
        <v>0</v>
      </c>
      <c r="AF180" s="825">
        <v>0</v>
      </c>
      <c r="AG180" s="825">
        <v>0</v>
      </c>
      <c r="AH180" s="825">
        <v>0</v>
      </c>
      <c r="AI180" s="825">
        <v>51899</v>
      </c>
      <c r="AJ180" s="825">
        <v>51899</v>
      </c>
      <c r="AK180" s="825">
        <v>0</v>
      </c>
      <c r="AL180" s="825">
        <v>52920</v>
      </c>
      <c r="AM180" s="825">
        <v>52920</v>
      </c>
      <c r="AN180" s="825">
        <v>52920</v>
      </c>
      <c r="AO180" s="825">
        <v>54797</v>
      </c>
      <c r="AP180" s="825">
        <v>54797</v>
      </c>
    </row>
    <row r="181" hidden="1">
      <c r="B181" s="826" t="s">
        <v>19</v>
      </c>
      <c r="C181" s="827">
        <v>0</v>
      </c>
      <c r="D181" s="827">
        <v>0</v>
      </c>
      <c r="E181" s="827">
        <v>0</v>
      </c>
      <c r="F181" s="827">
        <v>0</v>
      </c>
      <c r="G181" s="827">
        <v>0</v>
      </c>
      <c r="H181" s="827">
        <v>0</v>
      </c>
      <c r="I181" s="827">
        <v>0</v>
      </c>
      <c r="J181" s="827">
        <v>0</v>
      </c>
      <c r="K181" s="827">
        <v>0</v>
      </c>
      <c r="L181" s="827">
        <v>0</v>
      </c>
      <c r="M181" s="827">
        <v>0</v>
      </c>
      <c r="N181" s="827">
        <v>0</v>
      </c>
      <c r="O181" s="827">
        <v>0</v>
      </c>
      <c r="P181" s="827">
        <v>0</v>
      </c>
      <c r="Q181" s="827">
        <v>0</v>
      </c>
      <c r="R181" s="827">
        <v>0</v>
      </c>
      <c r="S181" s="827">
        <v>0</v>
      </c>
      <c r="T181" s="827">
        <v>0</v>
      </c>
      <c r="U181" s="827">
        <v>0</v>
      </c>
      <c r="V181" s="827">
        <v>0</v>
      </c>
      <c r="W181" s="827">
        <v>0</v>
      </c>
      <c r="X181" s="827">
        <v>0</v>
      </c>
      <c r="Y181" s="827">
        <v>0</v>
      </c>
      <c r="Z181" s="827">
        <v>0</v>
      </c>
      <c r="AA181" s="827">
        <v>0</v>
      </c>
      <c r="AB181" s="827">
        <v>0</v>
      </c>
      <c r="AC181" s="828">
        <v>0</v>
      </c>
      <c r="AD181" s="828">
        <v>0</v>
      </c>
      <c r="AE181" s="828">
        <v>0</v>
      </c>
      <c r="AF181" s="828">
        <v>0</v>
      </c>
      <c r="AG181" s="828">
        <v>0</v>
      </c>
      <c r="AH181" s="828">
        <v>0</v>
      </c>
      <c r="AI181" s="828">
        <v>0</v>
      </c>
      <c r="AJ181" s="828">
        <v>0</v>
      </c>
      <c r="AK181" s="828">
        <v>0</v>
      </c>
      <c r="AL181" s="828">
        <v>0</v>
      </c>
      <c r="AM181" s="828">
        <v>0</v>
      </c>
      <c r="AN181" s="828">
        <v>0</v>
      </c>
      <c r="AO181" s="828">
        <v>0</v>
      </c>
      <c r="AP181" s="828">
        <v>0</v>
      </c>
    </row>
    <row r="182" hidden="1">
      <c r="B182" s="829" t="s">
        <v>20</v>
      </c>
      <c r="C182" s="823">
        <v>0</v>
      </c>
      <c r="D182" s="823">
        <v>0</v>
      </c>
      <c r="E182" s="823">
        <v>0</v>
      </c>
      <c r="F182" s="823">
        <v>0</v>
      </c>
      <c r="G182" s="823">
        <v>0</v>
      </c>
      <c r="H182" s="823">
        <v>0</v>
      </c>
      <c r="I182" s="823">
        <v>0</v>
      </c>
      <c r="J182" s="823">
        <v>0</v>
      </c>
      <c r="K182" s="823">
        <v>0</v>
      </c>
      <c r="L182" s="823">
        <v>0</v>
      </c>
      <c r="M182" s="823">
        <v>0</v>
      </c>
      <c r="N182" s="823">
        <v>0</v>
      </c>
      <c r="O182" s="823">
        <v>0</v>
      </c>
      <c r="P182" s="823">
        <v>0</v>
      </c>
      <c r="Q182" s="823">
        <v>0</v>
      </c>
      <c r="R182" s="823">
        <v>0</v>
      </c>
      <c r="S182" s="823">
        <v>0</v>
      </c>
      <c r="T182" s="823">
        <v>0</v>
      </c>
      <c r="U182" s="823">
        <v>0</v>
      </c>
      <c r="V182" s="823">
        <v>0</v>
      </c>
      <c r="W182" s="823">
        <v>0</v>
      </c>
      <c r="X182" s="823">
        <v>0</v>
      </c>
      <c r="Y182" s="823">
        <v>0</v>
      </c>
      <c r="Z182" s="823">
        <v>0</v>
      </c>
      <c r="AA182" s="823">
        <v>0</v>
      </c>
      <c r="AB182" s="823">
        <v>0</v>
      </c>
      <c r="AC182" s="825">
        <v>0</v>
      </c>
      <c r="AD182" s="825">
        <v>0</v>
      </c>
      <c r="AE182" s="825">
        <v>0</v>
      </c>
      <c r="AF182" s="825">
        <v>0</v>
      </c>
      <c r="AG182" s="825">
        <v>0</v>
      </c>
      <c r="AH182" s="825">
        <v>0</v>
      </c>
      <c r="AI182" s="825">
        <v>0</v>
      </c>
      <c r="AJ182" s="825">
        <v>0</v>
      </c>
      <c r="AK182" s="825">
        <v>0</v>
      </c>
      <c r="AL182" s="825">
        <v>0</v>
      </c>
      <c r="AM182" s="825">
        <v>0</v>
      </c>
      <c r="AN182" s="825">
        <v>0</v>
      </c>
      <c r="AO182" s="825">
        <v>0</v>
      </c>
      <c r="AP182" s="825">
        <v>0</v>
      </c>
    </row>
    <row r="183" hidden="1">
      <c r="B183" s="826" t="s">
        <v>21</v>
      </c>
      <c r="C183" s="827">
        <v>0</v>
      </c>
      <c r="D183" s="827">
        <v>0</v>
      </c>
      <c r="E183" s="827">
        <v>0</v>
      </c>
      <c r="F183" s="827">
        <v>0</v>
      </c>
      <c r="G183" s="827">
        <v>0</v>
      </c>
      <c r="H183" s="827">
        <v>0</v>
      </c>
      <c r="I183" s="827">
        <v>0</v>
      </c>
      <c r="J183" s="827">
        <v>0</v>
      </c>
      <c r="K183" s="827">
        <v>0</v>
      </c>
      <c r="L183" s="827">
        <v>0</v>
      </c>
      <c r="M183" s="827">
        <v>0</v>
      </c>
      <c r="N183" s="827">
        <v>0</v>
      </c>
      <c r="O183" s="827">
        <v>0</v>
      </c>
      <c r="P183" s="827">
        <v>0</v>
      </c>
      <c r="Q183" s="827">
        <v>0</v>
      </c>
      <c r="R183" s="827">
        <v>0</v>
      </c>
      <c r="S183" s="827">
        <v>0</v>
      </c>
      <c r="T183" s="827">
        <v>0</v>
      </c>
      <c r="U183" s="827">
        <v>0</v>
      </c>
      <c r="V183" s="827">
        <v>0</v>
      </c>
      <c r="W183" s="827">
        <v>0</v>
      </c>
      <c r="X183" s="827">
        <v>0</v>
      </c>
      <c r="Y183" s="827">
        <v>0</v>
      </c>
      <c r="Z183" s="827">
        <v>0</v>
      </c>
      <c r="AA183" s="827">
        <v>0</v>
      </c>
      <c r="AB183" s="827">
        <v>0</v>
      </c>
      <c r="AC183" s="828">
        <v>0</v>
      </c>
      <c r="AD183" s="828">
        <v>0</v>
      </c>
      <c r="AE183" s="828">
        <v>0</v>
      </c>
      <c r="AF183" s="828">
        <v>0</v>
      </c>
      <c r="AG183" s="828">
        <v>0</v>
      </c>
      <c r="AH183" s="828">
        <v>0</v>
      </c>
      <c r="AI183" s="828">
        <v>0</v>
      </c>
      <c r="AJ183" s="828">
        <v>0</v>
      </c>
      <c r="AK183" s="828">
        <v>0</v>
      </c>
      <c r="AL183" s="828">
        <v>0</v>
      </c>
      <c r="AM183" s="828">
        <v>0</v>
      </c>
      <c r="AN183" s="828">
        <v>0</v>
      </c>
      <c r="AO183" s="828">
        <v>0</v>
      </c>
      <c r="AP183" s="828">
        <v>0</v>
      </c>
    </row>
    <row r="184" hidden="1">
      <c r="B184" s="829" t="s">
        <v>22</v>
      </c>
      <c r="C184" s="823">
        <v>0</v>
      </c>
      <c r="D184" s="823">
        <v>0</v>
      </c>
      <c r="E184" s="823">
        <v>0</v>
      </c>
      <c r="F184" s="823">
        <v>0</v>
      </c>
      <c r="G184" s="823">
        <v>0</v>
      </c>
      <c r="H184" s="823">
        <v>0</v>
      </c>
      <c r="I184" s="823">
        <v>0</v>
      </c>
      <c r="J184" s="823">
        <v>0</v>
      </c>
      <c r="K184" s="823">
        <v>0</v>
      </c>
      <c r="L184" s="823">
        <v>0</v>
      </c>
      <c r="M184" s="823">
        <v>0</v>
      </c>
      <c r="N184" s="823">
        <v>0</v>
      </c>
      <c r="O184" s="823">
        <v>100</v>
      </c>
      <c r="P184" s="823">
        <v>100</v>
      </c>
      <c r="Q184" s="823">
        <v>100</v>
      </c>
      <c r="R184" s="823">
        <v>100</v>
      </c>
      <c r="S184" s="823">
        <v>0</v>
      </c>
      <c r="T184" s="823">
        <v>0</v>
      </c>
      <c r="U184" s="823">
        <v>0</v>
      </c>
      <c r="V184" s="823">
        <v>0</v>
      </c>
      <c r="W184" s="823">
        <v>0</v>
      </c>
      <c r="X184" s="823">
        <v>0</v>
      </c>
      <c r="Y184" s="823">
        <v>278</v>
      </c>
      <c r="Z184" s="823">
        <v>278</v>
      </c>
      <c r="AA184" s="823">
        <v>278</v>
      </c>
      <c r="AB184" s="823">
        <v>278</v>
      </c>
      <c r="AC184" s="825">
        <v>278</v>
      </c>
      <c r="AD184" s="825">
        <v>278</v>
      </c>
      <c r="AE184" s="825">
        <v>285</v>
      </c>
      <c r="AF184" s="825">
        <v>285</v>
      </c>
      <c r="AG184" s="825">
        <v>260</v>
      </c>
      <c r="AH184" s="825">
        <v>260</v>
      </c>
      <c r="AI184" s="825">
        <v>118</v>
      </c>
      <c r="AJ184" s="825">
        <v>118</v>
      </c>
      <c r="AK184" s="825">
        <v>170</v>
      </c>
      <c r="AL184" s="825">
        <v>215</v>
      </c>
      <c r="AM184" s="825">
        <v>188</v>
      </c>
      <c r="AN184" s="825">
        <v>188</v>
      </c>
      <c r="AO184" s="825">
        <v>192</v>
      </c>
      <c r="AP184" s="825">
        <v>192</v>
      </c>
    </row>
    <row r="185" hidden="1">
      <c r="B185" s="826" t="s">
        <v>23</v>
      </c>
      <c r="C185" s="827">
        <v>0</v>
      </c>
      <c r="D185" s="827">
        <v>0</v>
      </c>
      <c r="E185" s="827">
        <v>0</v>
      </c>
      <c r="F185" s="827">
        <v>0</v>
      </c>
      <c r="G185" s="827">
        <v>0</v>
      </c>
      <c r="H185" s="827">
        <v>0</v>
      </c>
      <c r="I185" s="827">
        <v>0</v>
      </c>
      <c r="J185" s="827">
        <v>0</v>
      </c>
      <c r="K185" s="827">
        <v>0</v>
      </c>
      <c r="L185" s="827">
        <v>0</v>
      </c>
      <c r="M185" s="827">
        <v>0</v>
      </c>
      <c r="N185" s="827">
        <v>0</v>
      </c>
      <c r="O185" s="827">
        <v>0</v>
      </c>
      <c r="P185" s="827">
        <v>0</v>
      </c>
      <c r="Q185" s="827">
        <v>0</v>
      </c>
      <c r="R185" s="827">
        <v>0</v>
      </c>
      <c r="S185" s="827">
        <v>0</v>
      </c>
      <c r="T185" s="827">
        <v>0</v>
      </c>
      <c r="U185" s="827">
        <v>0</v>
      </c>
      <c r="V185" s="827">
        <v>0</v>
      </c>
      <c r="W185" s="827">
        <v>0</v>
      </c>
      <c r="X185" s="827">
        <v>0</v>
      </c>
      <c r="Y185" s="827">
        <v>0</v>
      </c>
      <c r="Z185" s="827">
        <v>0</v>
      </c>
      <c r="AA185" s="827">
        <v>0</v>
      </c>
      <c r="AB185" s="827">
        <v>0</v>
      </c>
      <c r="AC185" s="828">
        <v>0</v>
      </c>
      <c r="AD185" s="828">
        <v>0</v>
      </c>
      <c r="AE185" s="828">
        <v>0</v>
      </c>
      <c r="AF185" s="828">
        <v>0</v>
      </c>
      <c r="AG185" s="828">
        <v>0</v>
      </c>
      <c r="AH185" s="828">
        <v>0</v>
      </c>
      <c r="AI185" s="828">
        <v>0</v>
      </c>
      <c r="AJ185" s="828">
        <v>0</v>
      </c>
      <c r="AK185" s="828">
        <v>0</v>
      </c>
      <c r="AL185" s="828">
        <v>0</v>
      </c>
      <c r="AM185" s="828">
        <v>0</v>
      </c>
      <c r="AN185" s="828">
        <v>0</v>
      </c>
      <c r="AO185" s="828">
        <v>0</v>
      </c>
      <c r="AP185" s="828">
        <v>0</v>
      </c>
    </row>
    <row r="186" hidden="1">
      <c r="B186" s="830" t="s">
        <v>24</v>
      </c>
      <c r="C186" s="823">
        <v>0</v>
      </c>
      <c r="D186" s="823">
        <v>0</v>
      </c>
      <c r="E186" s="823">
        <v>0</v>
      </c>
      <c r="F186" s="823">
        <v>0</v>
      </c>
      <c r="G186" s="823">
        <v>0</v>
      </c>
      <c r="H186" s="823">
        <v>0</v>
      </c>
      <c r="I186" s="823">
        <v>0</v>
      </c>
      <c r="J186" s="823">
        <v>0</v>
      </c>
      <c r="K186" s="823">
        <v>0</v>
      </c>
      <c r="L186" s="823">
        <v>0</v>
      </c>
      <c r="M186" s="823">
        <v>0</v>
      </c>
      <c r="N186" s="823">
        <v>23000</v>
      </c>
      <c r="O186" s="823">
        <v>23000</v>
      </c>
      <c r="P186" s="823">
        <v>23000</v>
      </c>
      <c r="Q186" s="823">
        <v>23000</v>
      </c>
      <c r="R186" s="823">
        <v>0</v>
      </c>
      <c r="S186" s="823">
        <v>0</v>
      </c>
      <c r="T186" s="823">
        <v>0</v>
      </c>
      <c r="U186" s="823">
        <v>0</v>
      </c>
      <c r="V186" s="823">
        <v>0</v>
      </c>
      <c r="W186" s="823">
        <v>0</v>
      </c>
      <c r="X186" s="823">
        <v>0</v>
      </c>
      <c r="Y186" s="823">
        <v>0</v>
      </c>
      <c r="Z186" s="823">
        <v>0</v>
      </c>
      <c r="AA186" s="823">
        <v>0</v>
      </c>
      <c r="AB186" s="823">
        <v>0</v>
      </c>
      <c r="AC186" s="825">
        <v>0</v>
      </c>
      <c r="AD186" s="825">
        <v>0</v>
      </c>
      <c r="AE186" s="825">
        <v>43</v>
      </c>
      <c r="AF186" s="825">
        <v>43</v>
      </c>
      <c r="AG186" s="825">
        <v>31094</v>
      </c>
      <c r="AH186" s="825">
        <v>56989</v>
      </c>
      <c r="AI186" s="825">
        <v>43801</v>
      </c>
      <c r="AJ186" s="825">
        <v>43801</v>
      </c>
      <c r="AK186" s="825">
        <v>28876</v>
      </c>
      <c r="AL186" s="825">
        <v>28800</v>
      </c>
      <c r="AM186" s="825">
        <v>60427</v>
      </c>
      <c r="AN186" s="825">
        <v>60427</v>
      </c>
      <c r="AO186" s="825">
        <v>58522</v>
      </c>
      <c r="AP186" s="825">
        <v>58522</v>
      </c>
    </row>
    <row r="187" hidden="1">
      <c r="B187" s="826" t="s">
        <v>25</v>
      </c>
      <c r="C187" s="827">
        <v>0</v>
      </c>
      <c r="D187" s="827">
        <v>0</v>
      </c>
      <c r="E187" s="827">
        <v>0</v>
      </c>
      <c r="F187" s="827">
        <v>0</v>
      </c>
      <c r="G187" s="827">
        <v>0</v>
      </c>
      <c r="H187" s="827">
        <v>0</v>
      </c>
      <c r="I187" s="827">
        <v>0</v>
      </c>
      <c r="J187" s="827">
        <v>0</v>
      </c>
      <c r="K187" s="827">
        <v>0</v>
      </c>
      <c r="L187" s="827">
        <v>0</v>
      </c>
      <c r="M187" s="827">
        <v>0</v>
      </c>
      <c r="N187" s="827">
        <v>0</v>
      </c>
      <c r="O187" s="827">
        <v>0</v>
      </c>
      <c r="P187" s="827">
        <v>0</v>
      </c>
      <c r="Q187" s="827">
        <v>0</v>
      </c>
      <c r="R187" s="827">
        <v>0</v>
      </c>
      <c r="S187" s="827">
        <v>0</v>
      </c>
      <c r="T187" s="827">
        <v>0</v>
      </c>
      <c r="U187" s="827">
        <v>0</v>
      </c>
      <c r="V187" s="827">
        <v>0</v>
      </c>
      <c r="W187" s="827">
        <v>0</v>
      </c>
      <c r="X187" s="827">
        <v>0</v>
      </c>
      <c r="Y187" s="827">
        <v>0</v>
      </c>
      <c r="Z187" s="827">
        <v>0</v>
      </c>
      <c r="AA187" s="827">
        <v>0</v>
      </c>
      <c r="AB187" s="827">
        <v>0</v>
      </c>
      <c r="AC187" s="828">
        <v>0</v>
      </c>
      <c r="AD187" s="828">
        <v>0</v>
      </c>
      <c r="AE187" s="828">
        <v>0</v>
      </c>
      <c r="AF187" s="828">
        <v>0</v>
      </c>
      <c r="AG187" s="828">
        <v>0</v>
      </c>
      <c r="AH187" s="828">
        <v>0</v>
      </c>
      <c r="AI187" s="828">
        <v>0</v>
      </c>
      <c r="AJ187" s="828">
        <v>0</v>
      </c>
      <c r="AK187" s="828">
        <v>0</v>
      </c>
      <c r="AL187" s="828">
        <v>0</v>
      </c>
      <c r="AM187" s="828">
        <v>0</v>
      </c>
      <c r="AN187" s="828">
        <v>0</v>
      </c>
      <c r="AO187" s="828">
        <v>0</v>
      </c>
      <c r="AP187" s="828">
        <v>0</v>
      </c>
    </row>
    <row r="188" hidden="1" ht="13.5">
      <c r="B188" s="831" t="s">
        <v>26</v>
      </c>
      <c r="C188" s="823">
        <v>0</v>
      </c>
      <c r="D188" s="823">
        <v>0</v>
      </c>
      <c r="E188" s="823">
        <v>0</v>
      </c>
      <c r="F188" s="823">
        <v>0</v>
      </c>
      <c r="G188" s="823">
        <v>0</v>
      </c>
      <c r="H188" s="823">
        <v>0</v>
      </c>
      <c r="I188" s="823">
        <v>0</v>
      </c>
      <c r="J188" s="823">
        <v>0</v>
      </c>
      <c r="K188" s="823">
        <v>0</v>
      </c>
      <c r="L188" s="823">
        <v>0</v>
      </c>
      <c r="M188" s="823">
        <v>0</v>
      </c>
      <c r="N188" s="823">
        <v>0</v>
      </c>
      <c r="O188" s="823">
        <v>0</v>
      </c>
      <c r="P188" s="823">
        <v>0</v>
      </c>
      <c r="Q188" s="823">
        <v>0</v>
      </c>
      <c r="R188" s="823">
        <v>0</v>
      </c>
      <c r="S188" s="823">
        <v>0</v>
      </c>
      <c r="T188" s="823">
        <v>0</v>
      </c>
      <c r="U188" s="823">
        <v>0</v>
      </c>
      <c r="V188" s="823">
        <v>0</v>
      </c>
      <c r="W188" s="823">
        <v>0</v>
      </c>
      <c r="X188" s="823">
        <v>0</v>
      </c>
      <c r="Y188" s="823">
        <v>0</v>
      </c>
      <c r="Z188" s="823">
        <v>0</v>
      </c>
      <c r="AA188" s="823">
        <v>0</v>
      </c>
      <c r="AB188" s="832">
        <v>0</v>
      </c>
      <c r="AC188" s="825">
        <v>0</v>
      </c>
      <c r="AD188" s="825">
        <v>0</v>
      </c>
      <c r="AE188" s="825">
        <v>0</v>
      </c>
      <c r="AF188" s="825">
        <v>0</v>
      </c>
      <c r="AG188" s="825">
        <v>0</v>
      </c>
      <c r="AH188" s="825">
        <v>0</v>
      </c>
      <c r="AI188" s="825">
        <v>0</v>
      </c>
      <c r="AJ188" s="825">
        <v>0</v>
      </c>
      <c r="AK188" s="825">
        <v>0</v>
      </c>
      <c r="AL188" s="825">
        <v>0</v>
      </c>
      <c r="AM188" s="825">
        <v>0</v>
      </c>
      <c r="AN188" s="825">
        <v>0</v>
      </c>
      <c r="AO188" s="825">
        <v>0</v>
      </c>
      <c r="AP188" s="825">
        <v>0</v>
      </c>
    </row>
    <row r="189" hidden="1" ht="13.5">
      <c r="B189" s="128" t="s">
        <v>7</v>
      </c>
      <c r="C189" s="129" t="str">
        <f>IF(SUM(C170:C188)&lt;&gt;0,SUM(C170:C188),"")</f>
      </c>
      <c r="D189" s="129" t="str">
        <f ref="D189:AA189" t="shared" si="0">IF(SUM(D170:D188)&lt;&gt;0,SUM(D170:D188),"")</f>
      </c>
      <c r="E189" s="129" t="str">
        <f t="shared" si="0"/>
      </c>
      <c r="F189" s="129" t="str">
        <f t="shared" si="0"/>
      </c>
      <c r="G189" s="129" t="str">
        <f t="shared" si="0"/>
      </c>
      <c r="H189" s="129" t="str">
        <f t="shared" si="0"/>
      </c>
      <c r="I189" s="129" t="str">
        <f t="shared" si="0"/>
      </c>
      <c r="J189" s="129" t="str">
        <f t="shared" si="0"/>
      </c>
      <c r="K189" s="129" t="str">
        <f t="shared" si="0"/>
      </c>
      <c r="L189" s="129" t="str">
        <f t="shared" si="0"/>
      </c>
      <c r="M189" s="129" t="str">
        <f t="shared" si="0"/>
      </c>
      <c r="N189" s="129" t="str">
        <f t="shared" si="0"/>
      </c>
      <c r="O189" s="129" t="str">
        <f t="shared" si="0"/>
      </c>
      <c r="P189" s="129" t="str">
        <f t="shared" si="0"/>
      </c>
      <c r="Q189" s="129" t="str">
        <f t="shared" si="0"/>
      </c>
      <c r="R189" s="129" t="str">
        <f t="shared" si="0"/>
      </c>
      <c r="S189" s="129" t="str">
        <f t="shared" si="0"/>
      </c>
      <c r="T189" s="129" t="str">
        <f t="shared" si="0"/>
      </c>
      <c r="U189" s="129" t="str">
        <f t="shared" si="0"/>
      </c>
      <c r="V189" s="129" t="str">
        <f t="shared" si="0"/>
      </c>
      <c r="W189" s="129" t="str">
        <f t="shared" si="0"/>
      </c>
      <c r="X189" s="129" t="str">
        <f t="shared" si="0"/>
      </c>
      <c r="Y189" s="129" t="str">
        <f t="shared" si="0"/>
      </c>
      <c r="Z189" s="129" t="str">
        <f t="shared" si="0"/>
      </c>
      <c r="AA189" s="129" t="str">
        <f t="shared" si="0"/>
      </c>
      <c r="AB189" s="130" t="str">
        <f>IF(SUM(AB170:AB188)&lt;&gt;0,SUM(AB170:AB188),"")</f>
      </c>
      <c r="AC189" s="91" t="str">
        <f ref="AC189:CN189" t="shared" si="1">IF(SUM(AC170:AC188)&lt;&gt;0,SUM(AC170:AC188),"")</f>
      </c>
      <c r="AD189" s="91" t="str">
        <f t="shared" si="1"/>
      </c>
      <c r="AE189" s="91" t="str">
        <f t="shared" si="1"/>
      </c>
      <c r="AF189" s="91" t="str">
        <f t="shared" si="1"/>
      </c>
      <c r="AG189" s="91" t="str">
        <f t="shared" si="1"/>
      </c>
      <c r="AH189" s="91" t="str">
        <f t="shared" si="1"/>
      </c>
      <c r="AI189" s="91" t="str">
        <f t="shared" si="1"/>
      </c>
      <c r="AJ189" s="91" t="str">
        <f t="shared" si="1"/>
      </c>
      <c r="AK189" s="91" t="str">
        <f t="shared" si="1"/>
      </c>
      <c r="AL189" s="91" t="str">
        <f t="shared" si="1"/>
      </c>
      <c r="AM189" s="91" t="str">
        <f t="shared" si="1"/>
      </c>
      <c r="AN189" s="91" t="str">
        <f t="shared" si="1"/>
      </c>
      <c r="AO189" s="91" t="str">
        <f t="shared" si="1"/>
      </c>
      <c r="AP189" s="91" t="str">
        <f t="shared" si="1"/>
      </c>
      <c r="AQ189" s="91" t="str">
        <f t="shared" si="1"/>
      </c>
      <c r="AR189" s="91" t="str">
        <f t="shared" si="1"/>
      </c>
      <c r="AS189" s="91" t="str">
        <f t="shared" si="1"/>
      </c>
      <c r="AT189" s="91" t="str">
        <f t="shared" si="1"/>
      </c>
      <c r="AU189" s="91" t="str">
        <f t="shared" si="1"/>
      </c>
      <c r="AV189" s="91" t="str">
        <f t="shared" si="1"/>
      </c>
      <c r="AW189" s="91" t="str">
        <f t="shared" si="1"/>
      </c>
      <c r="AX189" s="91" t="str">
        <f t="shared" si="1"/>
      </c>
      <c r="AY189" s="91" t="str">
        <f t="shared" si="1"/>
      </c>
      <c r="AZ189" s="91" t="str">
        <f t="shared" si="1"/>
      </c>
      <c r="BA189" s="91" t="str">
        <f t="shared" si="1"/>
      </c>
      <c r="BB189" s="91" t="str">
        <f t="shared" si="1"/>
      </c>
      <c r="BC189" s="91" t="str">
        <f t="shared" si="1"/>
      </c>
      <c r="BD189" s="91" t="str">
        <f t="shared" si="1"/>
      </c>
      <c r="BE189" s="91" t="str">
        <f t="shared" si="1"/>
      </c>
      <c r="BF189" s="91" t="str">
        <f t="shared" si="1"/>
      </c>
      <c r="BG189" s="91" t="str">
        <f t="shared" si="1"/>
      </c>
      <c r="BH189" s="91" t="str">
        <f t="shared" si="1"/>
      </c>
      <c r="BI189" s="91" t="str">
        <f t="shared" si="1"/>
      </c>
      <c r="BJ189" s="91" t="str">
        <f t="shared" si="1"/>
      </c>
      <c r="BK189" s="91" t="str">
        <f t="shared" si="1"/>
      </c>
      <c r="BL189" s="91" t="str">
        <f t="shared" si="1"/>
      </c>
      <c r="BM189" s="91" t="str">
        <f t="shared" si="1"/>
      </c>
      <c r="BN189" s="91" t="str">
        <f t="shared" si="1"/>
      </c>
      <c r="BO189" s="91" t="str">
        <f t="shared" si="1"/>
      </c>
      <c r="BP189" s="91" t="str">
        <f t="shared" si="1"/>
      </c>
      <c r="BQ189" s="91" t="str">
        <f t="shared" si="1"/>
      </c>
      <c r="BR189" s="91" t="str">
        <f t="shared" si="1"/>
      </c>
      <c r="BS189" s="91" t="str">
        <f t="shared" si="1"/>
      </c>
      <c r="BT189" s="91" t="str">
        <f t="shared" si="1"/>
      </c>
      <c r="BU189" s="91" t="str">
        <f t="shared" si="1"/>
      </c>
      <c r="BV189" s="91" t="str">
        <f t="shared" si="1"/>
      </c>
      <c r="BW189" s="91" t="str">
        <f t="shared" si="1"/>
      </c>
      <c r="BX189" s="91" t="str">
        <f t="shared" si="1"/>
      </c>
      <c r="BY189" s="91" t="str">
        <f t="shared" si="1"/>
      </c>
      <c r="BZ189" s="91" t="str">
        <f t="shared" si="1"/>
      </c>
      <c r="CA189" s="91" t="str">
        <f t="shared" si="1"/>
      </c>
      <c r="CB189" s="91" t="str">
        <f t="shared" si="1"/>
      </c>
      <c r="CC189" s="91" t="str">
        <f t="shared" si="1"/>
      </c>
      <c r="CD189" s="91" t="str">
        <f t="shared" si="1"/>
      </c>
      <c r="CE189" s="91" t="str">
        <f t="shared" si="1"/>
      </c>
      <c r="CF189" s="91" t="str">
        <f t="shared" si="1"/>
      </c>
      <c r="CG189" s="91" t="str">
        <f t="shared" si="1"/>
      </c>
      <c r="CH189" s="91" t="str">
        <f t="shared" si="1"/>
      </c>
      <c r="CI189" s="91" t="str">
        <f t="shared" si="1"/>
      </c>
      <c r="CJ189" s="91" t="str">
        <f t="shared" si="1"/>
      </c>
      <c r="CK189" s="91" t="str">
        <f t="shared" si="1"/>
      </c>
      <c r="CL189" s="91" t="str">
        <f t="shared" si="1"/>
      </c>
      <c r="CM189" s="91" t="str">
        <f t="shared" si="1"/>
      </c>
      <c r="CN189" s="91" t="str">
        <f t="shared" si="1"/>
      </c>
      <c r="CO189" s="91" t="str">
        <f ref="CO189:EZ189" t="shared" si="2">IF(SUM(CO170:CO188)&lt;&gt;0,SUM(CO170:CO188),"")</f>
      </c>
      <c r="CP189" s="91" t="str">
        <f t="shared" si="2"/>
      </c>
      <c r="CQ189" s="91" t="str">
        <f t="shared" si="2"/>
      </c>
      <c r="CR189" s="91" t="str">
        <f t="shared" si="2"/>
      </c>
      <c r="CS189" s="91" t="str">
        <f t="shared" si="2"/>
      </c>
      <c r="CT189" s="91" t="str">
        <f t="shared" si="2"/>
      </c>
      <c r="CU189" s="91" t="str">
        <f t="shared" si="2"/>
      </c>
      <c r="CV189" s="91" t="str">
        <f t="shared" si="2"/>
      </c>
      <c r="CW189" s="91" t="str">
        <f t="shared" si="2"/>
      </c>
      <c r="CX189" s="91" t="str">
        <f t="shared" si="2"/>
      </c>
      <c r="CY189" s="91" t="str">
        <f t="shared" si="2"/>
      </c>
      <c r="CZ189" s="91" t="str">
        <f t="shared" si="2"/>
      </c>
      <c r="DA189" s="91" t="str">
        <f t="shared" si="2"/>
      </c>
      <c r="DB189" s="91" t="str">
        <f t="shared" si="2"/>
      </c>
      <c r="DC189" s="91" t="str">
        <f t="shared" si="2"/>
      </c>
      <c r="DD189" s="91" t="str">
        <f t="shared" si="2"/>
      </c>
      <c r="DE189" s="91" t="str">
        <f t="shared" si="2"/>
      </c>
      <c r="DF189" s="91" t="str">
        <f t="shared" si="2"/>
      </c>
      <c r="DG189" s="91" t="str">
        <f t="shared" si="2"/>
      </c>
      <c r="DH189" s="91" t="str">
        <f t="shared" si="2"/>
      </c>
      <c r="DI189" s="91" t="str">
        <f t="shared" si="2"/>
      </c>
      <c r="DJ189" s="91" t="str">
        <f t="shared" si="2"/>
      </c>
      <c r="DK189" s="91" t="str">
        <f t="shared" si="2"/>
      </c>
      <c r="DL189" s="91" t="str">
        <f t="shared" si="2"/>
      </c>
      <c r="DM189" s="91" t="str">
        <f t="shared" si="2"/>
      </c>
      <c r="DN189" s="91" t="str">
        <f t="shared" si="2"/>
      </c>
      <c r="DO189" s="91" t="str">
        <f t="shared" si="2"/>
      </c>
      <c r="DP189" s="91" t="str">
        <f t="shared" si="2"/>
      </c>
      <c r="DQ189" s="91" t="str">
        <f t="shared" si="2"/>
      </c>
      <c r="DR189" s="91" t="str">
        <f t="shared" si="2"/>
      </c>
      <c r="DS189" s="91" t="str">
        <f t="shared" si="2"/>
      </c>
      <c r="DT189" s="91" t="str">
        <f t="shared" si="2"/>
      </c>
      <c r="DU189" s="91" t="str">
        <f t="shared" si="2"/>
      </c>
      <c r="DV189" s="91" t="str">
        <f t="shared" si="2"/>
      </c>
      <c r="DW189" s="91" t="str">
        <f t="shared" si="2"/>
      </c>
      <c r="DX189" s="91" t="str">
        <f t="shared" si="2"/>
      </c>
      <c r="DY189" s="91" t="str">
        <f t="shared" si="2"/>
      </c>
      <c r="DZ189" s="91" t="str">
        <f t="shared" si="2"/>
      </c>
      <c r="EA189" s="91" t="str">
        <f t="shared" si="2"/>
      </c>
      <c r="EB189" s="91" t="str">
        <f t="shared" si="2"/>
      </c>
      <c r="EC189" s="91" t="str">
        <f t="shared" si="2"/>
      </c>
      <c r="ED189" s="91" t="str">
        <f t="shared" si="2"/>
      </c>
      <c r="EE189" s="91" t="str">
        <f t="shared" si="2"/>
      </c>
      <c r="EF189" s="91" t="str">
        <f t="shared" si="2"/>
      </c>
      <c r="EG189" s="91" t="str">
        <f t="shared" si="2"/>
      </c>
      <c r="EH189" s="91" t="str">
        <f t="shared" si="2"/>
      </c>
      <c r="EI189" s="91" t="str">
        <f t="shared" si="2"/>
      </c>
      <c r="EJ189" s="91" t="str">
        <f t="shared" si="2"/>
      </c>
      <c r="EK189" s="91" t="str">
        <f t="shared" si="2"/>
      </c>
      <c r="EL189" s="91" t="str">
        <f t="shared" si="2"/>
      </c>
      <c r="EM189" s="91" t="str">
        <f t="shared" si="2"/>
      </c>
      <c r="EN189" s="91" t="str">
        <f t="shared" si="2"/>
      </c>
      <c r="EO189" s="91" t="str">
        <f t="shared" si="2"/>
      </c>
      <c r="EP189" s="91" t="str">
        <f t="shared" si="2"/>
      </c>
      <c r="EQ189" s="91" t="str">
        <f t="shared" si="2"/>
      </c>
      <c r="ER189" s="91" t="str">
        <f t="shared" si="2"/>
      </c>
      <c r="ES189" s="91" t="str">
        <f t="shared" si="2"/>
      </c>
      <c r="ET189" s="91" t="str">
        <f t="shared" si="2"/>
      </c>
      <c r="EU189" s="91" t="str">
        <f t="shared" si="2"/>
      </c>
      <c r="EV189" s="91" t="str">
        <f t="shared" si="2"/>
      </c>
      <c r="EW189" s="91" t="str">
        <f t="shared" si="2"/>
      </c>
      <c r="EX189" s="91" t="str">
        <f t="shared" si="2"/>
      </c>
      <c r="EY189" s="91" t="str">
        <f t="shared" si="2"/>
      </c>
      <c r="EZ189" s="91" t="str">
        <f t="shared" si="2"/>
      </c>
      <c r="FA189" s="91" t="str">
        <f ref="FA189:HL189" t="shared" si="3">IF(SUM(FA170:FA188)&lt;&gt;0,SUM(FA170:FA188),"")</f>
      </c>
      <c r="FB189" s="91" t="str">
        <f t="shared" si="3"/>
      </c>
      <c r="FC189" s="91" t="str">
        <f t="shared" si="3"/>
      </c>
      <c r="FD189" s="91" t="str">
        <f t="shared" si="3"/>
      </c>
      <c r="FE189" s="91" t="str">
        <f t="shared" si="3"/>
      </c>
      <c r="FF189" s="91" t="str">
        <f t="shared" si="3"/>
      </c>
      <c r="FG189" s="91" t="str">
        <f t="shared" si="3"/>
      </c>
      <c r="FH189" s="91" t="str">
        <f t="shared" si="3"/>
      </c>
      <c r="FI189" s="91" t="str">
        <f t="shared" si="3"/>
      </c>
      <c r="FJ189" s="91" t="str">
        <f t="shared" si="3"/>
      </c>
      <c r="FK189" s="91" t="str">
        <f t="shared" si="3"/>
      </c>
      <c r="FL189" s="91" t="str">
        <f t="shared" si="3"/>
      </c>
      <c r="FM189" s="91" t="str">
        <f t="shared" si="3"/>
      </c>
      <c r="FN189" s="91" t="str">
        <f t="shared" si="3"/>
      </c>
      <c r="FO189" s="91" t="str">
        <f t="shared" si="3"/>
      </c>
      <c r="FP189" s="91" t="str">
        <f t="shared" si="3"/>
      </c>
      <c r="FQ189" s="91" t="str">
        <f t="shared" si="3"/>
      </c>
      <c r="FR189" s="91" t="str">
        <f t="shared" si="3"/>
      </c>
      <c r="FS189" s="91" t="str">
        <f t="shared" si="3"/>
      </c>
      <c r="FT189" s="91" t="str">
        <f t="shared" si="3"/>
      </c>
      <c r="FU189" s="91" t="str">
        <f t="shared" si="3"/>
      </c>
      <c r="FV189" s="91" t="str">
        <f t="shared" si="3"/>
      </c>
      <c r="FW189" s="91" t="str">
        <f t="shared" si="3"/>
      </c>
      <c r="FX189" s="91" t="str">
        <f t="shared" si="3"/>
      </c>
      <c r="FY189" s="91" t="str">
        <f t="shared" si="3"/>
      </c>
      <c r="FZ189" s="91" t="str">
        <f t="shared" si="3"/>
      </c>
      <c r="GA189" s="91" t="str">
        <f t="shared" si="3"/>
      </c>
      <c r="GB189" s="91" t="str">
        <f t="shared" si="3"/>
      </c>
      <c r="GC189" s="91" t="str">
        <f t="shared" si="3"/>
      </c>
      <c r="GD189" s="91" t="str">
        <f t="shared" si="3"/>
      </c>
      <c r="GE189" s="91" t="str">
        <f t="shared" si="3"/>
      </c>
      <c r="GF189" s="91" t="str">
        <f t="shared" si="3"/>
      </c>
      <c r="GG189" s="91" t="str">
        <f t="shared" si="3"/>
      </c>
      <c r="GH189" s="91" t="str">
        <f t="shared" si="3"/>
      </c>
      <c r="GI189" s="91" t="str">
        <f t="shared" si="3"/>
      </c>
      <c r="GJ189" s="91" t="str">
        <f t="shared" si="3"/>
      </c>
      <c r="GK189" s="91" t="str">
        <f t="shared" si="3"/>
      </c>
      <c r="GL189" s="91" t="str">
        <f t="shared" si="3"/>
      </c>
      <c r="GM189" s="91" t="str">
        <f t="shared" si="3"/>
      </c>
      <c r="GN189" s="91" t="str">
        <f t="shared" si="3"/>
      </c>
      <c r="GO189" s="91" t="str">
        <f t="shared" si="3"/>
      </c>
      <c r="GP189" s="91" t="str">
        <f t="shared" si="3"/>
      </c>
      <c r="GQ189" s="91" t="str">
        <f t="shared" si="3"/>
      </c>
      <c r="GR189" s="91" t="str">
        <f t="shared" si="3"/>
      </c>
      <c r="GS189" s="91" t="str">
        <f t="shared" si="3"/>
      </c>
      <c r="GT189" s="91" t="str">
        <f t="shared" si="3"/>
      </c>
      <c r="GU189" s="91" t="str">
        <f t="shared" si="3"/>
      </c>
      <c r="GV189" s="91" t="str">
        <f t="shared" si="3"/>
      </c>
      <c r="GW189" s="91" t="str">
        <f t="shared" si="3"/>
      </c>
      <c r="GX189" s="91" t="str">
        <f t="shared" si="3"/>
      </c>
      <c r="GY189" s="91" t="str">
        <f t="shared" si="3"/>
      </c>
      <c r="GZ189" s="91" t="str">
        <f t="shared" si="3"/>
      </c>
      <c r="HA189" s="91" t="str">
        <f t="shared" si="3"/>
      </c>
      <c r="HB189" s="91" t="str">
        <f t="shared" si="3"/>
      </c>
      <c r="HC189" s="91" t="str">
        <f t="shared" si="3"/>
      </c>
      <c r="HD189" s="91" t="str">
        <f t="shared" si="3"/>
      </c>
      <c r="HE189" s="91" t="str">
        <f t="shared" si="3"/>
      </c>
      <c r="HF189" s="91" t="str">
        <f t="shared" si="3"/>
      </c>
      <c r="HG189" s="91" t="str">
        <f t="shared" si="3"/>
      </c>
      <c r="HH189" s="91" t="str">
        <f t="shared" si="3"/>
      </c>
      <c r="HI189" s="91" t="str">
        <f t="shared" si="3"/>
      </c>
      <c r="HJ189" s="91" t="str">
        <f t="shared" si="3"/>
      </c>
      <c r="HK189" s="91" t="str">
        <f t="shared" si="3"/>
      </c>
      <c r="HL189" s="91" t="str">
        <f t="shared" si="3"/>
      </c>
      <c r="HM189" s="91" t="str">
        <f ref="HM189:IV189" t="shared" si="4">IF(SUM(HM170:HM188)&lt;&gt;0,SUM(HM170:HM188),"")</f>
      </c>
      <c r="HN189" s="91" t="str">
        <f t="shared" si="4"/>
      </c>
      <c r="HO189" s="91" t="str">
        <f t="shared" si="4"/>
      </c>
      <c r="HP189" s="91" t="str">
        <f t="shared" si="4"/>
      </c>
      <c r="HQ189" s="91" t="str">
        <f t="shared" si="4"/>
      </c>
      <c r="HR189" s="91" t="str">
        <f t="shared" si="4"/>
      </c>
      <c r="HS189" s="91" t="str">
        <f t="shared" si="4"/>
      </c>
      <c r="HT189" s="91" t="str">
        <f t="shared" si="4"/>
      </c>
      <c r="HU189" s="91" t="str">
        <f t="shared" si="4"/>
      </c>
      <c r="HV189" s="91" t="str">
        <f t="shared" si="4"/>
      </c>
      <c r="HW189" s="91" t="str">
        <f t="shared" si="4"/>
      </c>
      <c r="HX189" s="91" t="str">
        <f t="shared" si="4"/>
      </c>
      <c r="HY189" s="91" t="str">
        <f t="shared" si="4"/>
      </c>
      <c r="HZ189" s="91" t="str">
        <f t="shared" si="4"/>
      </c>
      <c r="IA189" s="91" t="str">
        <f t="shared" si="4"/>
      </c>
      <c r="IB189" s="91" t="str">
        <f t="shared" si="4"/>
      </c>
      <c r="IC189" s="91" t="str">
        <f t="shared" si="4"/>
      </c>
      <c r="ID189" s="91" t="str">
        <f t="shared" si="4"/>
      </c>
      <c r="IE189" s="91" t="str">
        <f t="shared" si="4"/>
      </c>
      <c r="IF189" s="91" t="str">
        <f t="shared" si="4"/>
      </c>
      <c r="IG189" s="91" t="str">
        <f t="shared" si="4"/>
      </c>
      <c r="IH189" s="91" t="str">
        <f t="shared" si="4"/>
      </c>
      <c r="II189" s="91" t="str">
        <f t="shared" si="4"/>
      </c>
      <c r="IJ189" s="91" t="str">
        <f t="shared" si="4"/>
      </c>
      <c r="IK189" s="91" t="str">
        <f t="shared" si="4"/>
      </c>
      <c r="IL189" s="91" t="str">
        <f t="shared" si="4"/>
      </c>
      <c r="IM189" s="91" t="str">
        <f t="shared" si="4"/>
      </c>
      <c r="IN189" s="91" t="str">
        <f t="shared" si="4"/>
      </c>
      <c r="IO189" s="91" t="str">
        <f t="shared" si="4"/>
      </c>
      <c r="IP189" s="91" t="str">
        <f t="shared" si="4"/>
      </c>
      <c r="IQ189" s="91" t="str">
        <f t="shared" si="4"/>
      </c>
      <c r="IR189" s="91" t="str">
        <f t="shared" si="4"/>
      </c>
      <c r="IS189" s="91" t="str">
        <f t="shared" si="4"/>
      </c>
      <c r="IT189" s="91" t="str">
        <f t="shared" si="4"/>
      </c>
      <c r="IU189" s="91" t="str">
        <f t="shared" si="4"/>
      </c>
      <c r="IV189" s="91" t="str">
        <f t="shared" si="4"/>
      </c>
    </row>
    <row r="190" hidden="1" ht="13.5"/>
    <row r="191" hidden="1" ht="15.75" customHeight="1">
      <c r="C191" s="686" t="s">
        <v>383</v>
      </c>
      <c r="D191" s="687"/>
      <c r="E191" s="687"/>
      <c r="F191" s="687"/>
      <c r="G191" s="687"/>
      <c r="H191" s="687"/>
      <c r="I191" s="687"/>
      <c r="J191" s="687"/>
      <c r="K191" s="687"/>
      <c r="L191" s="687"/>
      <c r="M191" s="687"/>
      <c r="N191" s="687"/>
      <c r="O191" s="687"/>
      <c r="P191" s="687"/>
      <c r="Q191" s="687"/>
      <c r="R191" s="687"/>
      <c r="S191" s="687"/>
      <c r="T191" s="687"/>
      <c r="U191" s="687"/>
      <c r="V191" s="687"/>
      <c r="W191" s="687"/>
      <c r="X191" s="687"/>
      <c r="Y191" s="687"/>
      <c r="Z191" s="687"/>
      <c r="AA191" s="687"/>
      <c r="AB191" s="688"/>
    </row>
    <row r="192" hidden="1" ht="15" customHeight="1">
      <c r="C192" s="435" t="str">
        <f> IF(C212&lt;&gt;"",TEXT(AUX!G$1,"dd-MMM-aa"),"")</f>
      </c>
      <c r="D192" s="435" t="str">
        <f> IF(D212&lt;&gt;"",TEXT(AUX!H$1,"dd-MMM-aa"),"")</f>
      </c>
      <c r="E192" s="435" t="str">
        <f> IF(E212&lt;&gt;"",TEXT(AUX!I$1,"dd-MMM-aa"),"")</f>
      </c>
      <c r="F192" s="435" t="str">
        <f> IF(F212&lt;&gt;"",TEXT(AUX!J$1,"dd-MMM-aa"),"")</f>
      </c>
      <c r="G192" s="435" t="str">
        <f> IF(G212&lt;&gt;"",TEXT(AUX!K$1,"dd-MMM-aa"),"")</f>
      </c>
      <c r="H192" s="435" t="str">
        <f> IF(H212&lt;&gt;"",TEXT(AUX!L$1,"dd-MMM-aa"),"")</f>
      </c>
      <c r="I192" s="435" t="str">
        <f> IF(I212&lt;&gt;"",TEXT(AUX!M$1,"dd-MMM-aa"),"")</f>
      </c>
      <c r="J192" s="435" t="str">
        <f> IF(J212&lt;&gt;"",TEXT(AUX!N$1,"dd-MMM-aa"),"")</f>
      </c>
      <c r="K192" s="435" t="str">
        <f> IF(K212&lt;&gt;"",TEXT(AUX!O$1,"dd-MMM-aa"),"")</f>
      </c>
      <c r="L192" s="435" t="str">
        <f> IF(L212&lt;&gt;"",TEXT(AUX!P$1,"dd-MMM-aa"),"")</f>
      </c>
      <c r="M192" s="435" t="str">
        <f> IF(M212&lt;&gt;"",TEXT(AUX!Q$1,"dd-MMM-aa"),"")</f>
      </c>
      <c r="N192" s="435" t="str">
        <f> IF(N212&lt;&gt;"",TEXT(AUX!R$1,"dd-MMM-aa"),"")</f>
      </c>
      <c r="O192" s="435" t="str">
        <f> IF(O212&lt;&gt;"",TEXT(AUX!S$1,"dd-MMM-aa"),"")</f>
      </c>
      <c r="P192" s="435" t="str">
        <f> IF(P212&lt;&gt;"",TEXT(AUX!T$1,"dd-MMM-aa"),"")</f>
      </c>
      <c r="Q192" s="435" t="str">
        <f> IF(Q212&lt;&gt;"",TEXT(AUX!U$1,"dd-MMM-aa"),"")</f>
      </c>
      <c r="R192" s="435" t="str">
        <f> IF(R212&lt;&gt;"",TEXT(AUX!V$1,"dd-MMM-aa"),"")</f>
      </c>
      <c r="S192" s="435" t="str">
        <f> IF(S212&lt;&gt;"",TEXT(AUX!W$1,"dd-MMM-aa"),"")</f>
      </c>
      <c r="T192" s="435" t="str">
        <f> IF(T212&lt;&gt;"",TEXT(AUX!X$1,"dd-MMM-aa"),"")</f>
      </c>
      <c r="U192" s="435" t="str">
        <f> IF(U212&lt;&gt;"",TEXT(AUX!Y$1,"dd-MMM-aa"),"")</f>
      </c>
      <c r="V192" s="435" t="str">
        <f> IF(V212&lt;&gt;"",TEXT(AUX!Z$1,"dd-MMM-aa"),"")</f>
      </c>
      <c r="W192" s="435" t="str">
        <f> IF(W212&lt;&gt;"",TEXT(AUX!AA$1,"dd-MMM-aa"),"")</f>
      </c>
      <c r="X192" s="435" t="str">
        <f> IF(X212&lt;&gt;"",TEXT(AUX!AB$1,"dd-MMM-aa"),"")</f>
      </c>
      <c r="Y192" s="435" t="str">
        <f> IF(Y212&lt;&gt;"",TEXT(AUX!AC$1,"dd-MMM-aa"),"")</f>
      </c>
      <c r="Z192" s="435" t="str">
        <f> IF(Z212&lt;&gt;"",TEXT(AUX!AD$1,"dd-MMM-aa"),"")</f>
      </c>
      <c r="AA192" s="435" t="str">
        <f> IF(AA212&lt;&gt;"",TEXT(AUX!AE$1,"dd-MMM-aa"),"")</f>
      </c>
      <c r="AB192" s="497" t="str">
        <f> IF(AB212&lt;&gt;"",TEXT(AUX!AF$1,"dd-MMM-aa"),"")</f>
      </c>
      <c r="AC192" s="496" t="str">
        <f> IF(AC212&lt;&gt;"",TEXT(AUX!AG$1,"dd-MMM-aa"),"")</f>
      </c>
      <c r="AD192" s="496" t="str">
        <f> IF(AD212&lt;&gt;"",TEXT(AUX!AH$1,"dd-MMM-aa"),"")</f>
      </c>
      <c r="AE192" s="496" t="str">
        <f> IF(AE212&lt;&gt;"",TEXT(AUX!AI$1,"dd-MMM-aa"),"")</f>
      </c>
      <c r="AF192" s="496" t="str">
        <f> IF(AF212&lt;&gt;"",TEXT(AUX!AJ$1,"dd-MMM-aa"),"")</f>
      </c>
      <c r="AG192" s="496" t="str">
        <f> IF(AG212&lt;&gt;"",TEXT(AUX!AK$1,"dd-MMM-aa"),"")</f>
      </c>
      <c r="AH192" s="496" t="str">
        <f> IF(AH212&lt;&gt;"",TEXT(AUX!AL$1,"dd-MMM-aa"),"")</f>
      </c>
      <c r="AI192" s="496" t="str">
        <f> IF(AI212&lt;&gt;"",TEXT(AUX!AM$1,"dd-MMM-aa"),"")</f>
      </c>
      <c r="AJ192" s="496" t="str">
        <f> IF(AJ212&lt;&gt;"",TEXT(AUX!AN$1,"dd-MMM-aa"),"")</f>
      </c>
      <c r="AK192" s="496" t="str">
        <f> IF(AK212&lt;&gt;"",TEXT(AUX!AO$1,"dd-MMM-aa"),"")</f>
      </c>
      <c r="AL192" s="496" t="str">
        <f> IF(AL212&lt;&gt;"",TEXT(AUX!AP$1,"dd-MMM-aa"),"")</f>
      </c>
      <c r="AM192" s="496" t="str">
        <f> IF(AM212&lt;&gt;"",TEXT(AUX!AQ$1,"dd-MMM-aa"),"")</f>
      </c>
      <c r="AN192" s="496" t="str">
        <f> IF(AN212&lt;&gt;"",TEXT(AUX!AR$1,"dd-MMM-aa"),"")</f>
      </c>
      <c r="AO192" s="496" t="str">
        <f> IF(AO212&lt;&gt;"",TEXT(AUX!AS$1,"dd-MMM-aa"),"")</f>
      </c>
      <c r="AP192" s="496" t="str">
        <f> IF(AP212&lt;&gt;"",TEXT(AUX!AT$1,"dd-MMM-aa"),"")</f>
      </c>
      <c r="AQ192" s="496" t="str">
        <f> IF(AQ212&lt;&gt;"",TEXT(AUX!AU$1,"dd-MMM-aa"),"")</f>
      </c>
      <c r="AR192" s="496" t="str">
        <f> IF(AR212&lt;&gt;"",TEXT(AUX!AV$1,"dd-MMM-aa"),"")</f>
      </c>
      <c r="AS192" s="496" t="str">
        <f> IF(AS212&lt;&gt;"",TEXT(AUX!AW$1,"dd-MMM-aa"),"")</f>
      </c>
      <c r="AT192" s="496" t="str">
        <f> IF(AT212&lt;&gt;"",TEXT(AUX!AX$1,"dd-MMM-aa"),"")</f>
      </c>
      <c r="AU192" s="496" t="str">
        <f> IF(AU212&lt;&gt;"",TEXT(AUX!AY$1,"dd-MMM-aa"),"")</f>
      </c>
      <c r="AV192" s="496" t="str">
        <f> IF(AV212&lt;&gt;"",TEXT(AUX!AZ$1,"dd-MMM-aa"),"")</f>
      </c>
      <c r="AW192" s="496" t="str">
        <f> IF(AW212&lt;&gt;"",TEXT(AUX!BA$1,"dd-MMM-aa"),"")</f>
      </c>
      <c r="AX192" s="496" t="str">
        <f> IF(AX212&lt;&gt;"",TEXT(AUX!BB$1,"dd-MMM-aa"),"")</f>
      </c>
      <c r="AY192" s="496" t="str">
        <f> IF(AY212&lt;&gt;"",TEXT(AUX!BC$1,"dd-MMM-aa"),"")</f>
      </c>
      <c r="AZ192" s="496" t="str">
        <f> IF(AZ212&lt;&gt;"",TEXT(AUX!BD$1,"dd-MMM-aa"),"")</f>
      </c>
      <c r="BA192" s="496" t="str">
        <f> IF(BA212&lt;&gt;"",TEXT(AUX!BE$1,"dd-MMM-aa"),"")</f>
      </c>
      <c r="BB192" s="496" t="str">
        <f> IF(BB212&lt;&gt;"",TEXT(AUX!BF$1,"dd-MMM-aa"),"")</f>
      </c>
      <c r="BC192" s="496" t="str">
        <f> IF(BC212&lt;&gt;"",TEXT(AUX!BG$1,"dd-MMM-aa"),"")</f>
      </c>
      <c r="BD192" s="496" t="str">
        <f> IF(BD212&lt;&gt;"",TEXT(AUX!BH$1,"dd-MMM-aa"),"")</f>
      </c>
      <c r="BE192" s="496" t="str">
        <f> IF(BE212&lt;&gt;"",TEXT(AUX!BI$1,"dd-MMM-aa"),"")</f>
      </c>
      <c r="BF192" s="496" t="str">
        <f> IF(BF212&lt;&gt;"",TEXT(AUX!BJ$1,"dd-MMM-aa"),"")</f>
      </c>
      <c r="BG192" s="496" t="str">
        <f> IF(BG212&lt;&gt;"",TEXT(AUX!BK$1,"dd-MMM-aa"),"")</f>
      </c>
      <c r="BH192" s="496" t="str">
        <f> IF(BH212&lt;&gt;"",TEXT(AUX!BL$1,"dd-MMM-aa"),"")</f>
      </c>
      <c r="BI192" s="496" t="str">
        <f> IF(BI212&lt;&gt;"",TEXT(AUX!BM$1,"dd-MMM-aa"),"")</f>
      </c>
      <c r="BJ192" s="496" t="str">
        <f> IF(BJ212&lt;&gt;"",TEXT(AUX!BN$1,"dd-MMM-aa"),"")</f>
      </c>
      <c r="BK192" s="496" t="str">
        <f> IF(BK212&lt;&gt;"",TEXT(AUX!BO$1,"dd-MMM-aa"),"")</f>
      </c>
      <c r="BL192" s="496" t="str">
        <f> IF(BL212&lt;&gt;"",TEXT(AUX!BP$1,"dd-MMM-aa"),"")</f>
      </c>
      <c r="BM192" s="496" t="str">
        <f> IF(BM212&lt;&gt;"",TEXT(AUX!BQ$1,"dd-MMM-aa"),"")</f>
      </c>
      <c r="BN192" s="496" t="str">
        <f> IF(BN212&lt;&gt;"",TEXT(AUX!BR$1,"dd-MMM-aa"),"")</f>
      </c>
      <c r="BO192" s="496" t="str">
        <f> IF(BO212&lt;&gt;"",TEXT(AUX!BS$1,"dd-MMM-aa"),"")</f>
      </c>
      <c r="BP192" s="496" t="str">
        <f> IF(BP212&lt;&gt;"",TEXT(AUX!BT$1,"dd-MMM-aa"),"")</f>
      </c>
      <c r="BQ192" s="496" t="str">
        <f> IF(BQ212&lt;&gt;"",TEXT(AUX!BU$1,"dd-MMM-aa"),"")</f>
      </c>
      <c r="BR192" s="496" t="str">
        <f> IF(BR212&lt;&gt;"",TEXT(AUX!BV$1,"dd-MMM-aa"),"")</f>
      </c>
      <c r="BS192" s="496" t="str">
        <f> IF(BS212&lt;&gt;"",TEXT(AUX!BW$1,"dd-MMM-aa"),"")</f>
      </c>
      <c r="BT192" s="496" t="str">
        <f> IF(BT212&lt;&gt;"",TEXT(AUX!BX$1,"dd-MMM-aa"),"")</f>
      </c>
      <c r="BU192" s="496" t="str">
        <f> IF(BU212&lt;&gt;"",TEXT(AUX!BY$1,"dd-MMM-aa"),"")</f>
      </c>
      <c r="BV192" s="496" t="str">
        <f> IF(BV212&lt;&gt;"",TEXT(AUX!BZ$1,"dd-MMM-aa"),"")</f>
      </c>
      <c r="BW192" s="496" t="str">
        <f> IF(BW212&lt;&gt;"",TEXT(AUX!CA$1,"dd-MMM-aa"),"")</f>
      </c>
      <c r="BX192" s="496" t="str">
        <f> IF(BX212&lt;&gt;"",TEXT(AUX!CB$1,"dd-MMM-aa"),"")</f>
      </c>
      <c r="BY192" s="496" t="str">
        <f> IF(BY212&lt;&gt;"",TEXT(AUX!CC$1,"dd-MMM-aa"),"")</f>
      </c>
      <c r="BZ192" s="496" t="str">
        <f> IF(BZ212&lt;&gt;"",TEXT(AUX!CD$1,"dd-MMM-aa"),"")</f>
      </c>
      <c r="CA192" s="496" t="str">
        <f> IF(CA212&lt;&gt;"",TEXT(AUX!CE$1,"dd-MMM-aa"),"")</f>
      </c>
      <c r="CB192" s="496" t="str">
        <f> IF(CB212&lt;&gt;"",TEXT(AUX!CF$1,"dd-MMM-aa"),"")</f>
      </c>
      <c r="CC192" s="496" t="str">
        <f> IF(CC212&lt;&gt;"",TEXT(AUX!CG$1,"dd-MMM-aa"),"")</f>
      </c>
      <c r="CD192" s="496" t="str">
        <f> IF(CD212&lt;&gt;"",TEXT(AUX!CH$1,"dd-MMM-aa"),"")</f>
      </c>
      <c r="CE192" s="496" t="str">
        <f> IF(CE212&lt;&gt;"",TEXT(AUX!CI$1,"dd-MMM-aa"),"")</f>
      </c>
      <c r="CF192" s="496" t="str">
        <f> IF(CF212&lt;&gt;"",TEXT(AUX!CJ$1,"dd-MMM-aa"),"")</f>
      </c>
      <c r="CG192" s="496" t="str">
        <f> IF(CG212&lt;&gt;"",TEXT(AUX!CK$1,"dd-MMM-aa"),"")</f>
      </c>
      <c r="CH192" s="496" t="str">
        <f> IF(CH212&lt;&gt;"",TEXT(AUX!CL$1,"dd-MMM-aa"),"")</f>
      </c>
      <c r="CI192" s="496" t="str">
        <f> IF(CI212&lt;&gt;"",TEXT(AUX!CM$1,"dd-MMM-aa"),"")</f>
      </c>
      <c r="CJ192" s="496" t="str">
        <f> IF(CJ212&lt;&gt;"",TEXT(AUX!CN$1,"dd-MMM-aa"),"")</f>
      </c>
      <c r="CK192" s="496" t="str">
        <f> IF(CK212&lt;&gt;"",TEXT(AUX!CO$1,"dd-MMM-aa"),"")</f>
      </c>
      <c r="CL192" s="496" t="str">
        <f> IF(CL212&lt;&gt;"",TEXT(AUX!CP$1,"dd-MMM-aa"),"")</f>
      </c>
      <c r="CM192" s="496" t="str">
        <f> IF(CM212&lt;&gt;"",TEXT(AUX!CQ$1,"dd-MMM-aa"),"")</f>
      </c>
      <c r="CN192" s="496" t="str">
        <f> IF(CN212&lt;&gt;"",TEXT(AUX!CR$1,"dd-MMM-aa"),"")</f>
      </c>
      <c r="CO192" s="496" t="str">
        <f> IF(CO212&lt;&gt;"",TEXT(AUX!CS$1,"dd-MMM-aa"),"")</f>
      </c>
      <c r="CP192" s="496" t="str">
        <f> IF(CP212&lt;&gt;"",TEXT(AUX!CT$1,"dd-MMM-aa"),"")</f>
      </c>
      <c r="CQ192" s="496" t="str">
        <f> IF(CQ212&lt;&gt;"",TEXT(AUX!CU$1,"dd-MMM-aa"),"")</f>
      </c>
      <c r="CR192" s="496" t="str">
        <f> IF(CR212&lt;&gt;"",TEXT(AUX!CV$1,"dd-MMM-aa"),"")</f>
      </c>
      <c r="CS192" s="496" t="str">
        <f> IF(CS212&lt;&gt;"",TEXT(AUX!CW$1,"dd-MMM-aa"),"")</f>
      </c>
      <c r="CT192" s="496" t="str">
        <f> IF(CT212&lt;&gt;"",TEXT(AUX!CX$1,"dd-MMM-aa"),"")</f>
      </c>
      <c r="CU192" s="496" t="str">
        <f> IF(CU212&lt;&gt;"",TEXT(AUX!CY$1,"dd-MMM-aa"),"")</f>
      </c>
      <c r="CV192" s="496" t="str">
        <f> IF(CV212&lt;&gt;"",TEXT(AUX!CZ$1,"dd-MMM-aa"),"")</f>
      </c>
      <c r="CW192" s="496" t="str">
        <f> IF(CW212&lt;&gt;"",TEXT(AUX!DA$1,"dd-MMM-aa"),"")</f>
      </c>
      <c r="CX192" s="496" t="str">
        <f> IF(CX212&lt;&gt;"",TEXT(AUX!DB$1,"dd-MMM-aa"),"")</f>
      </c>
      <c r="CY192" s="496" t="str">
        <f> IF(CY212&lt;&gt;"",TEXT(AUX!DC$1,"dd-MMM-aa"),"")</f>
      </c>
      <c r="CZ192" s="496" t="str">
        <f> IF(CZ212&lt;&gt;"",TEXT(AUX!DD$1,"dd-MMM-aa"),"")</f>
      </c>
      <c r="DA192" s="496" t="str">
        <f> IF(DA212&lt;&gt;"",TEXT(AUX!DE$1,"dd-MMM-aa"),"")</f>
      </c>
      <c r="DB192" s="496" t="str">
        <f> IF(DB212&lt;&gt;"",TEXT(AUX!DF$1,"dd-MMM-aa"),"")</f>
      </c>
      <c r="DC192" s="496" t="str">
        <f> IF(DC212&lt;&gt;"",TEXT(AUX!DG$1,"dd-MMM-aa"),"")</f>
      </c>
      <c r="DD192" s="496" t="str">
        <f> IF(DD212&lt;&gt;"",TEXT(AUX!DH$1,"dd-MMM-aa"),"")</f>
      </c>
      <c r="DE192" s="496" t="str">
        <f> IF(DE212&lt;&gt;"",TEXT(AUX!DI$1,"dd-MMM-aa"),"")</f>
      </c>
      <c r="DF192" s="496" t="str">
        <f> IF(DF212&lt;&gt;"",TEXT(AUX!DJ$1,"dd-MMM-aa"),"")</f>
      </c>
      <c r="DG192" s="496" t="str">
        <f> IF(DG212&lt;&gt;"",TEXT(AUX!DK$1,"dd-MMM-aa"),"")</f>
      </c>
      <c r="DH192" s="496" t="str">
        <f> IF(DH212&lt;&gt;"",TEXT(AUX!DL$1,"dd-MMM-aa"),"")</f>
      </c>
      <c r="DI192" s="496" t="str">
        <f> IF(DI212&lt;&gt;"",TEXT(AUX!DM$1,"dd-MMM-aa"),"")</f>
      </c>
      <c r="DJ192" s="496" t="str">
        <f> IF(DJ212&lt;&gt;"",TEXT(AUX!DN$1,"dd-MMM-aa"),"")</f>
      </c>
      <c r="DK192" s="496" t="str">
        <f> IF(DK212&lt;&gt;"",TEXT(AUX!DO$1,"dd-MMM-aa"),"")</f>
      </c>
      <c r="DL192" s="496" t="str">
        <f> IF(DL212&lt;&gt;"",TEXT(AUX!DP$1,"dd-MMM-aa"),"")</f>
      </c>
      <c r="DM192" s="496" t="str">
        <f> IF(DM212&lt;&gt;"",TEXT(AUX!DQ$1,"dd-MMM-aa"),"")</f>
      </c>
      <c r="DN192" s="496" t="str">
        <f> IF(DN212&lt;&gt;"",TEXT(AUX!DR$1,"dd-MMM-aa"),"")</f>
      </c>
      <c r="DO192" s="496" t="str">
        <f> IF(DO212&lt;&gt;"",TEXT(AUX!DS$1,"dd-MMM-aa"),"")</f>
      </c>
      <c r="DP192" s="496" t="str">
        <f> IF(DP212&lt;&gt;"",TEXT(AUX!DT$1,"dd-MMM-aa"),"")</f>
      </c>
      <c r="DQ192" s="496" t="str">
        <f> IF(DQ212&lt;&gt;"",TEXT(AUX!DU$1,"dd-MMM-aa"),"")</f>
      </c>
      <c r="DR192" s="496" t="str">
        <f> IF(DR212&lt;&gt;"",TEXT(AUX!DV$1,"dd-MMM-aa"),"")</f>
      </c>
      <c r="DS192" s="496" t="str">
        <f> IF(DS212&lt;&gt;"",TEXT(AUX!DW$1,"dd-MMM-aa"),"")</f>
      </c>
      <c r="DT192" s="496" t="str">
        <f> IF(DT212&lt;&gt;"",TEXT(AUX!DX$1,"dd-MMM-aa"),"")</f>
      </c>
      <c r="DU192" s="496" t="str">
        <f> IF(DU212&lt;&gt;"",TEXT(AUX!DY$1,"dd-MMM-aa"),"")</f>
      </c>
      <c r="DV192" s="496" t="str">
        <f> IF(DV212&lt;&gt;"",TEXT(AUX!DZ$1,"dd-MMM-aa"),"")</f>
      </c>
      <c r="DW192" s="496" t="str">
        <f> IF(DW212&lt;&gt;"",TEXT(AUX!EA$1,"dd-MMM-aa"),"")</f>
      </c>
      <c r="DX192" s="496" t="str">
        <f> IF(DX212&lt;&gt;"",TEXT(AUX!EB$1,"dd-MMM-aa"),"")</f>
      </c>
      <c r="DY192" s="496" t="str">
        <f> IF(DY212&lt;&gt;"",TEXT(AUX!EC$1,"dd-MMM-aa"),"")</f>
      </c>
      <c r="DZ192" s="496" t="str">
        <f> IF(DZ212&lt;&gt;"",TEXT(AUX!ED$1,"dd-MMM-aa"),"")</f>
      </c>
      <c r="EA192" s="496" t="str">
        <f> IF(EA212&lt;&gt;"",TEXT(AUX!EE$1,"dd-MMM-aa"),"")</f>
      </c>
      <c r="EB192" s="496" t="str">
        <f> IF(EB212&lt;&gt;"",TEXT(AUX!EF$1,"dd-MMM-aa"),"")</f>
      </c>
      <c r="EC192" s="496" t="str">
        <f> IF(EC212&lt;&gt;"",TEXT(AUX!EG$1,"dd-MMM-aa"),"")</f>
      </c>
      <c r="ED192" s="496" t="str">
        <f> IF(ED212&lt;&gt;"",TEXT(AUX!EH$1,"dd-MMM-aa"),"")</f>
      </c>
      <c r="EE192" s="496" t="str">
        <f> IF(EE212&lt;&gt;"",TEXT(AUX!EI$1,"dd-MMM-aa"),"")</f>
      </c>
      <c r="EF192" s="496" t="str">
        <f> IF(EF212&lt;&gt;"",TEXT(AUX!EJ$1,"dd-MMM-aa"),"")</f>
      </c>
      <c r="EG192" s="496" t="str">
        <f> IF(EG212&lt;&gt;"",TEXT(AUX!EK$1,"dd-MMM-aa"),"")</f>
      </c>
      <c r="EH192" s="496" t="str">
        <f> IF(EH212&lt;&gt;"",TEXT(AUX!EL$1,"dd-MMM-aa"),"")</f>
      </c>
      <c r="EI192" s="496" t="str">
        <f> IF(EI212&lt;&gt;"",TEXT(AUX!EM$1,"dd-MMM-aa"),"")</f>
      </c>
      <c r="EJ192" s="496" t="str">
        <f> IF(EJ212&lt;&gt;"",TEXT(AUX!EN$1,"dd-MMM-aa"),"")</f>
      </c>
      <c r="EK192" s="496" t="str">
        <f> IF(EK212&lt;&gt;"",TEXT(AUX!EO$1,"dd-MMM-aa"),"")</f>
      </c>
      <c r="EL192" s="496" t="str">
        <f> IF(EL212&lt;&gt;"",TEXT(AUX!EP$1,"dd-MMM-aa"),"")</f>
      </c>
      <c r="EM192" s="496" t="str">
        <f> IF(EM212&lt;&gt;"",TEXT(AUX!EQ$1,"dd-MMM-aa"),"")</f>
      </c>
      <c r="EN192" s="496" t="str">
        <f> IF(EN212&lt;&gt;"",TEXT(AUX!ER$1,"dd-MMM-aa"),"")</f>
      </c>
      <c r="EO192" s="496" t="str">
        <f> IF(EO212&lt;&gt;"",TEXT(AUX!ES$1,"dd-MMM-aa"),"")</f>
      </c>
      <c r="EP192" s="496" t="str">
        <f> IF(EP212&lt;&gt;"",TEXT(AUX!ET$1,"dd-MMM-aa"),"")</f>
      </c>
      <c r="EQ192" s="496" t="str">
        <f> IF(EQ212&lt;&gt;"",TEXT(AUX!EU$1,"dd-MMM-aa"),"")</f>
      </c>
      <c r="ER192" s="496" t="str">
        <f> IF(ER212&lt;&gt;"",TEXT(AUX!EV$1,"dd-MMM-aa"),"")</f>
      </c>
      <c r="ES192" s="496" t="str">
        <f> IF(ES212&lt;&gt;"",TEXT(AUX!EW$1,"dd-MMM-aa"),"")</f>
      </c>
      <c r="ET192" s="496" t="str">
        <f> IF(ET212&lt;&gt;"",TEXT(AUX!EX$1,"dd-MMM-aa"),"")</f>
      </c>
      <c r="EU192" s="496" t="str">
        <f> IF(EU212&lt;&gt;"",TEXT(AUX!EY$1,"dd-MMM-aa"),"")</f>
      </c>
      <c r="EV192" s="496" t="str">
        <f> IF(EV212&lt;&gt;"",TEXT(AUX!EZ$1,"dd-MMM-aa"),"")</f>
      </c>
      <c r="EW192" s="496" t="str">
        <f> IF(EW212&lt;&gt;"",TEXT(AUX!FA$1,"dd-MMM-aa"),"")</f>
      </c>
      <c r="EX192" s="496" t="str">
        <f> IF(EX212&lt;&gt;"",TEXT(AUX!FB$1,"dd-MMM-aa"),"")</f>
      </c>
      <c r="EY192" s="496" t="str">
        <f> IF(EY212&lt;&gt;"",TEXT(AUX!FC$1,"dd-MMM-aa"),"")</f>
      </c>
      <c r="EZ192" s="496" t="str">
        <f> IF(EZ212&lt;&gt;"",TEXT(AUX!FD$1,"dd-MMM-aa"),"")</f>
      </c>
      <c r="FA192" s="496" t="str">
        <f> IF(FA212&lt;&gt;"",TEXT(AUX!FE$1,"dd-MMM-aa"),"")</f>
      </c>
      <c r="FB192" s="496" t="str">
        <f> IF(FB212&lt;&gt;"",TEXT(AUX!FF$1,"dd-MMM-aa"),"")</f>
      </c>
      <c r="FC192" s="496" t="str">
        <f> IF(FC212&lt;&gt;"",TEXT(AUX!FG$1,"dd-MMM-aa"),"")</f>
      </c>
      <c r="FD192" s="496" t="str">
        <f> IF(FD212&lt;&gt;"",TEXT(AUX!FH$1,"dd-MMM-aa"),"")</f>
      </c>
      <c r="FE192" s="496" t="str">
        <f> IF(FE212&lt;&gt;"",TEXT(AUX!FI$1,"dd-MMM-aa"),"")</f>
      </c>
      <c r="FF192" s="496" t="str">
        <f> IF(FF212&lt;&gt;"",TEXT(AUX!FJ$1,"dd-MMM-aa"),"")</f>
      </c>
      <c r="FG192" s="496" t="str">
        <f> IF(FG212&lt;&gt;"",TEXT(AUX!FK$1,"dd-MMM-aa"),"")</f>
      </c>
      <c r="FH192" s="496" t="str">
        <f> IF(FH212&lt;&gt;"",TEXT(AUX!FL$1,"dd-MMM-aa"),"")</f>
      </c>
      <c r="FI192" s="496" t="str">
        <f> IF(FI212&lt;&gt;"",TEXT(AUX!FM$1,"dd-MMM-aa"),"")</f>
      </c>
      <c r="FJ192" s="496" t="str">
        <f> IF(FJ212&lt;&gt;"",TEXT(AUX!FN$1,"dd-MMM-aa"),"")</f>
      </c>
      <c r="FK192" s="496" t="str">
        <f> IF(FK212&lt;&gt;"",TEXT(AUX!FO$1,"dd-MMM-aa"),"")</f>
      </c>
      <c r="FL192" s="496" t="str">
        <f> IF(FL212&lt;&gt;"",TEXT(AUX!FP$1,"dd-MMM-aa"),"")</f>
      </c>
      <c r="FM192" s="496" t="str">
        <f> IF(FM212&lt;&gt;"",TEXT(AUX!FQ$1,"dd-MMM-aa"),"")</f>
      </c>
      <c r="FN192" s="496" t="str">
        <f> IF(FN212&lt;&gt;"",TEXT(AUX!FR$1,"dd-MMM-aa"),"")</f>
      </c>
      <c r="FO192" s="496" t="str">
        <f> IF(FO212&lt;&gt;"",TEXT(AUX!FS$1,"dd-MMM-aa"),"")</f>
      </c>
      <c r="FP192" s="496" t="str">
        <f> IF(FP212&lt;&gt;"",TEXT(AUX!FT$1,"dd-MMM-aa"),"")</f>
      </c>
      <c r="FQ192" s="496" t="str">
        <f> IF(FQ212&lt;&gt;"",TEXT(AUX!FU$1,"dd-MMM-aa"),"")</f>
      </c>
      <c r="FR192" s="496" t="str">
        <f> IF(FR212&lt;&gt;"",TEXT(AUX!FV$1,"dd-MMM-aa"),"")</f>
      </c>
      <c r="FS192" s="496" t="str">
        <f> IF(FS212&lt;&gt;"",TEXT(AUX!FW$1,"dd-MMM-aa"),"")</f>
      </c>
      <c r="FT192" s="496" t="str">
        <f> IF(FT212&lt;&gt;"",TEXT(AUX!FX$1,"dd-MMM-aa"),"")</f>
      </c>
      <c r="FU192" s="496" t="str">
        <f> IF(FU212&lt;&gt;"",TEXT(AUX!FY$1,"dd-MMM-aa"),"")</f>
      </c>
      <c r="FV192" s="496" t="str">
        <f> IF(FV212&lt;&gt;"",TEXT(AUX!FZ$1,"dd-MMM-aa"),"")</f>
      </c>
      <c r="FW192" s="496" t="str">
        <f> IF(FW212&lt;&gt;"",TEXT(AUX!GA$1,"dd-MMM-aa"),"")</f>
      </c>
      <c r="FX192" s="496" t="str">
        <f> IF(FX212&lt;&gt;"",TEXT(AUX!GB$1,"dd-MMM-aa"),"")</f>
      </c>
      <c r="FY192" s="496" t="str">
        <f> IF(FY212&lt;&gt;"",TEXT(AUX!GC$1,"dd-MMM-aa"),"")</f>
      </c>
      <c r="FZ192" s="496" t="str">
        <f> IF(FZ212&lt;&gt;"",TEXT(AUX!GD$1,"dd-MMM-aa"),"")</f>
      </c>
      <c r="GA192" s="496" t="str">
        <f> IF(GA212&lt;&gt;"",TEXT(AUX!GE$1,"dd-MMM-aa"),"")</f>
      </c>
      <c r="GB192" s="496" t="str">
        <f> IF(GB212&lt;&gt;"",TEXT(AUX!GF$1,"dd-MMM-aa"),"")</f>
      </c>
      <c r="GC192" s="496" t="str">
        <f> IF(GC212&lt;&gt;"",TEXT(AUX!GG$1,"dd-MMM-aa"),"")</f>
      </c>
      <c r="GD192" s="496" t="str">
        <f> IF(GD212&lt;&gt;"",TEXT(AUX!GH$1,"dd-MMM-aa"),"")</f>
      </c>
      <c r="GE192" s="496" t="str">
        <f> IF(GE212&lt;&gt;"",TEXT(AUX!GI$1,"dd-MMM-aa"),"")</f>
      </c>
      <c r="GF192" s="496" t="str">
        <f> IF(GF212&lt;&gt;"",TEXT(AUX!GJ$1,"dd-MMM-aa"),"")</f>
      </c>
      <c r="GG192" s="496" t="str">
        <f> IF(GG212&lt;&gt;"",TEXT(AUX!GK$1,"dd-MMM-aa"),"")</f>
      </c>
      <c r="GH192" s="496" t="str">
        <f> IF(GH212&lt;&gt;"",TEXT(AUX!GL$1,"dd-MMM-aa"),"")</f>
      </c>
      <c r="GI192" s="496" t="str">
        <f> IF(GI212&lt;&gt;"",TEXT(AUX!GM$1,"dd-MMM-aa"),"")</f>
      </c>
      <c r="GJ192" s="496" t="str">
        <f> IF(GJ212&lt;&gt;"",TEXT(AUX!GN$1,"dd-MMM-aa"),"")</f>
      </c>
      <c r="GK192" s="496" t="str">
        <f> IF(GK212&lt;&gt;"",TEXT(AUX!GO$1,"dd-MMM-aa"),"")</f>
      </c>
      <c r="GL192" s="496" t="str">
        <f> IF(GL212&lt;&gt;"",TEXT(AUX!GP$1,"dd-MMM-aa"),"")</f>
      </c>
      <c r="GM192" s="496" t="str">
        <f> IF(GM212&lt;&gt;"",TEXT(AUX!GQ$1,"dd-MMM-aa"),"")</f>
      </c>
      <c r="GN192" s="496" t="str">
        <f> IF(GN212&lt;&gt;"",TEXT(AUX!GR$1,"dd-MMM-aa"),"")</f>
      </c>
      <c r="GO192" s="496" t="str">
        <f> IF(GO212&lt;&gt;"",TEXT(AUX!GS$1,"dd-MMM-aa"),"")</f>
      </c>
      <c r="GP192" s="496" t="str">
        <f> IF(GP212&lt;&gt;"",TEXT(AUX!GT$1,"dd-MMM-aa"),"")</f>
      </c>
      <c r="GQ192" s="496" t="str">
        <f> IF(GQ212&lt;&gt;"",TEXT(AUX!GU$1,"dd-MMM-aa"),"")</f>
      </c>
      <c r="GR192" s="496" t="str">
        <f> IF(GR212&lt;&gt;"",TEXT(AUX!GV$1,"dd-MMM-aa"),"")</f>
      </c>
      <c r="GS192" s="496" t="str">
        <f> IF(GS212&lt;&gt;"",TEXT(AUX!GW$1,"dd-MMM-aa"),"")</f>
      </c>
      <c r="GT192" s="496" t="str">
        <f> IF(GT212&lt;&gt;"",TEXT(AUX!GX$1,"dd-MMM-aa"),"")</f>
      </c>
      <c r="GU192" s="496" t="str">
        <f> IF(GU212&lt;&gt;"",TEXT(AUX!GY$1,"dd-MMM-aa"),"")</f>
      </c>
      <c r="GV192" s="496" t="str">
        <f> IF(GV212&lt;&gt;"",TEXT(AUX!GZ$1,"dd-MMM-aa"),"")</f>
      </c>
      <c r="GW192" s="496" t="str">
        <f> IF(GW212&lt;&gt;"",TEXT(AUX!HA$1,"dd-MMM-aa"),"")</f>
      </c>
      <c r="GX192" s="496" t="str">
        <f> IF(GX212&lt;&gt;"",TEXT(AUX!HB$1,"dd-MMM-aa"),"")</f>
      </c>
      <c r="GY192" s="496" t="str">
        <f> IF(GY212&lt;&gt;"",TEXT(AUX!HC$1,"dd-MMM-aa"),"")</f>
      </c>
      <c r="GZ192" s="496" t="str">
        <f> IF(GZ212&lt;&gt;"",TEXT(AUX!HD$1,"dd-MMM-aa"),"")</f>
      </c>
      <c r="HA192" s="496" t="str">
        <f> IF(HA212&lt;&gt;"",TEXT(AUX!HE$1,"dd-MMM-aa"),"")</f>
      </c>
      <c r="HB192" s="496" t="str">
        <f> IF(HB212&lt;&gt;"",TEXT(AUX!HF$1,"dd-MMM-aa"),"")</f>
      </c>
      <c r="HC192" s="496" t="str">
        <f> IF(HC212&lt;&gt;"",TEXT(AUX!HG$1,"dd-MMM-aa"),"")</f>
      </c>
      <c r="HD192" s="496" t="str">
        <f> IF(HD212&lt;&gt;"",TEXT(AUX!HH$1,"dd-MMM-aa"),"")</f>
      </c>
      <c r="HE192" s="496" t="str">
        <f> IF(HE212&lt;&gt;"",TEXT(AUX!HI$1,"dd-MMM-aa"),"")</f>
      </c>
      <c r="HF192" s="496" t="str">
        <f> IF(HF212&lt;&gt;"",TEXT(AUX!HJ$1,"dd-MMM-aa"),"")</f>
      </c>
      <c r="HG192" s="496" t="str">
        <f> IF(HG212&lt;&gt;"",TEXT(AUX!HK$1,"dd-MMM-aa"),"")</f>
      </c>
      <c r="HH192" s="496" t="str">
        <f> IF(HH212&lt;&gt;"",TEXT(AUX!HL$1,"dd-MMM-aa"),"")</f>
      </c>
      <c r="HI192" s="496" t="str">
        <f> IF(HI212&lt;&gt;"",TEXT(AUX!HM$1,"dd-MMM-aa"),"")</f>
      </c>
      <c r="HJ192" s="496" t="str">
        <f> IF(HJ212&lt;&gt;"",TEXT(AUX!HN$1,"dd-MMM-aa"),"")</f>
      </c>
      <c r="HK192" s="496" t="str">
        <f> IF(HK212&lt;&gt;"",TEXT(AUX!HO$1,"dd-MMM-aa"),"")</f>
      </c>
      <c r="HL192" s="496" t="str">
        <f> IF(HL212&lt;&gt;"",TEXT(AUX!HP$1,"dd-MMM-aa"),"")</f>
      </c>
      <c r="HM192" s="496" t="str">
        <f> IF(HM212&lt;&gt;"",TEXT(AUX!HQ$1,"dd-MMM-aa"),"")</f>
      </c>
      <c r="HN192" s="496" t="str">
        <f> IF(HN212&lt;&gt;"",TEXT(AUX!HR$1,"dd-MMM-aa"),"")</f>
      </c>
      <c r="HO192" s="496" t="str">
        <f> IF(HO212&lt;&gt;"",TEXT(AUX!HS$1,"dd-MMM-aa"),"")</f>
      </c>
      <c r="HP192" s="496" t="str">
        <f> IF(HP212&lt;&gt;"",TEXT(AUX!HT$1,"dd-MMM-aa"),"")</f>
      </c>
      <c r="HQ192" s="496" t="str">
        <f> IF(HQ212&lt;&gt;"",TEXT(AUX!HU$1,"dd-MMM-aa"),"")</f>
      </c>
      <c r="HR192" s="496" t="str">
        <f> IF(HR212&lt;&gt;"",TEXT(AUX!HV$1,"dd-MMM-aa"),"")</f>
      </c>
      <c r="HS192" s="496" t="str">
        <f> IF(HS212&lt;&gt;"",TEXT(AUX!HW$1,"dd-MMM-aa"),"")</f>
      </c>
      <c r="HT192" s="496" t="str">
        <f> IF(HT212&lt;&gt;"",TEXT(AUX!HX$1,"dd-MMM-aa"),"")</f>
      </c>
      <c r="HU192" s="496" t="str">
        <f> IF(HU212&lt;&gt;"",TEXT(AUX!HY$1,"dd-MMM-aa"),"")</f>
      </c>
      <c r="HV192" s="496" t="str">
        <f> IF(HV212&lt;&gt;"",TEXT(AUX!HZ$1,"dd-MMM-aa"),"")</f>
      </c>
      <c r="HW192" s="496" t="str">
        <f> IF(HW212&lt;&gt;"",TEXT(AUX!IA$1,"dd-MMM-aa"),"")</f>
      </c>
      <c r="HX192" s="496" t="str">
        <f> IF(HX212&lt;&gt;"",TEXT(AUX!IB$1,"dd-MMM-aa"),"")</f>
      </c>
      <c r="HY192" s="496" t="str">
        <f> IF(HY212&lt;&gt;"",TEXT(AUX!IC$1,"dd-MMM-aa"),"")</f>
      </c>
      <c r="HZ192" s="496" t="str">
        <f> IF(HZ212&lt;&gt;"",TEXT(AUX!ID$1,"dd-MMM-aa"),"")</f>
      </c>
      <c r="IA192" s="496" t="str">
        <f> IF(IA212&lt;&gt;"",TEXT(AUX!IE$1,"dd-MMM-aa"),"")</f>
      </c>
      <c r="IB192" s="496" t="str">
        <f> IF(IB212&lt;&gt;"",TEXT(AUX!IF$1,"dd-MMM-aa"),"")</f>
      </c>
      <c r="IC192" s="496" t="str">
        <f> IF(IC212&lt;&gt;"",TEXT(AUX!IG$1,"dd-MMM-aa"),"")</f>
      </c>
      <c r="ID192" s="496" t="str">
        <f> IF(ID212&lt;&gt;"",TEXT(AUX!IH$1,"dd-MMM-aa"),"")</f>
      </c>
      <c r="IE192" s="496" t="str">
        <f> IF(IE212&lt;&gt;"",TEXT(AUX!II$1,"dd-MMM-aa"),"")</f>
      </c>
      <c r="IF192" s="496" t="str">
        <f> IF(IF212&lt;&gt;"",TEXT(AUX!IJ$1,"dd-MMM-aa"),"")</f>
      </c>
      <c r="IG192" s="496" t="str">
        <f> IF(IG212&lt;&gt;"",TEXT(AUX!IK$1,"dd-MMM-aa"),"")</f>
      </c>
      <c r="IH192" s="496" t="str">
        <f> IF(IH212&lt;&gt;"",TEXT(AUX!IL$1,"dd-MMM-aa"),"")</f>
      </c>
      <c r="II192" s="496" t="str">
        <f> IF(II212&lt;&gt;"",TEXT(AUX!IM$1,"dd-MMM-aa"),"")</f>
      </c>
      <c r="IJ192" s="496" t="str">
        <f> IF(IJ212&lt;&gt;"",TEXT(AUX!IN$1,"dd-MMM-aa"),"")</f>
      </c>
      <c r="IK192" s="496" t="str">
        <f> IF(IK212&lt;&gt;"",TEXT(AUX!IO$1,"dd-MMM-aa"),"")</f>
      </c>
      <c r="IL192" s="496" t="str">
        <f> IF(IL212&lt;&gt;"",TEXT(AUX!IP$1,"dd-MMM-aa"),"")</f>
      </c>
      <c r="IM192" s="496" t="str">
        <f> IF(IM212&lt;&gt;"",TEXT(AUX!IQ$1,"dd-MMM-aa"),"")</f>
      </c>
      <c r="IN192" s="496" t="str">
        <f> IF(IN212&lt;&gt;"",TEXT(AUX!IR$1,"dd-MMM-aa"),"")</f>
      </c>
      <c r="IO192" s="496" t="str">
        <f> IF(IO212&lt;&gt;"",TEXT(AUX!IS$1,"dd-MMM-aa"),"")</f>
      </c>
      <c r="IP192" s="496" t="str">
        <f> IF(IP212&lt;&gt;"",TEXT(AUX!IT$1,"dd-MMM-aa"),"")</f>
      </c>
      <c r="IQ192" s="496" t="str">
        <f> IF(IQ212&lt;&gt;"",TEXT(AUX!IU$1,"dd-MMM-aa"),"")</f>
      </c>
      <c r="IR192" s="496" t="str">
        <f> IF(IR212&lt;&gt;"",TEXT(AUX!IV$1,"dd-MMM-aa"),"")</f>
      </c>
      <c r="IS192" s="496" t="str">
        <f> IF(IS212&lt;&gt;"",TEXT(AUX!#REF!,"dd-MMM-aa"),"")</f>
      </c>
      <c r="IT192" s="496" t="str">
        <f> IF(IT212&lt;&gt;"",TEXT(AUX!#REF!,"dd-MMM-aa"),"")</f>
      </c>
      <c r="IU192" s="496" t="str">
        <f> IF(IU212&lt;&gt;"",TEXT(AUX!#REF!,"dd-MMM-aa"),"")</f>
      </c>
      <c r="IV192" s="496" t="str">
        <f> IF(IV212&lt;&gt;"",TEXT(AUX!#REF!,"dd-MMM-aa"),"")</f>
      </c>
    </row>
    <row r="193" hidden="1">
      <c r="B193" s="833" t="s">
        <v>8</v>
      </c>
      <c r="C193" s="827">
        <v>1748278</v>
      </c>
      <c r="D193" s="827">
        <v>1308450</v>
      </c>
      <c r="E193" s="827">
        <v>643267</v>
      </c>
      <c r="F193" s="827">
        <v>658062</v>
      </c>
      <c r="G193" s="827">
        <v>609407</v>
      </c>
      <c r="H193" s="827">
        <v>652404</v>
      </c>
      <c r="I193" s="827">
        <v>661206</v>
      </c>
      <c r="J193" s="827">
        <v>782373</v>
      </c>
      <c r="K193" s="827">
        <v>663393</v>
      </c>
      <c r="L193" s="827">
        <v>722342</v>
      </c>
      <c r="M193" s="827">
        <v>469343</v>
      </c>
      <c r="N193" s="827">
        <v>591871</v>
      </c>
      <c r="O193" s="827">
        <v>588843</v>
      </c>
      <c r="P193" s="827">
        <v>569440</v>
      </c>
      <c r="Q193" s="827">
        <v>546242</v>
      </c>
      <c r="R193" s="827">
        <v>543274</v>
      </c>
      <c r="S193" s="827">
        <v>628915</v>
      </c>
      <c r="T193" s="827">
        <v>719526</v>
      </c>
      <c r="U193" s="827">
        <v>559489</v>
      </c>
      <c r="V193" s="827">
        <v>607491</v>
      </c>
      <c r="W193" s="827">
        <v>680926</v>
      </c>
      <c r="X193" s="827">
        <v>753325</v>
      </c>
      <c r="Y193" s="827">
        <v>717883</v>
      </c>
      <c r="Z193" s="827">
        <v>677823</v>
      </c>
      <c r="AA193" s="827">
        <v>662788</v>
      </c>
      <c r="AB193" s="834">
        <v>677308</v>
      </c>
      <c r="AC193" s="828">
        <v>646702</v>
      </c>
      <c r="AD193" s="828">
        <v>676060</v>
      </c>
      <c r="AE193" s="828">
        <v>685318</v>
      </c>
      <c r="AF193" s="828">
        <v>724879</v>
      </c>
      <c r="AG193" s="828">
        <v>538370</v>
      </c>
      <c r="AH193" s="828">
        <v>522479</v>
      </c>
      <c r="AI193" s="828">
        <v>453891</v>
      </c>
      <c r="AJ193" s="828">
        <v>477136</v>
      </c>
      <c r="AK193" s="828">
        <v>429701</v>
      </c>
      <c r="AL193" s="828">
        <v>456938</v>
      </c>
      <c r="AM193" s="828">
        <v>518978</v>
      </c>
      <c r="AN193" s="828">
        <v>477500</v>
      </c>
      <c r="AO193" s="828">
        <v>468738</v>
      </c>
      <c r="AP193" s="828">
        <v>432265</v>
      </c>
    </row>
    <row r="194" hidden="1">
      <c r="B194" s="829" t="s">
        <v>9</v>
      </c>
      <c r="C194" s="823">
        <v>464200</v>
      </c>
      <c r="D194" s="823">
        <v>529043</v>
      </c>
      <c r="E194" s="823">
        <v>529043</v>
      </c>
      <c r="F194" s="823">
        <v>508043</v>
      </c>
      <c r="G194" s="823">
        <v>508043</v>
      </c>
      <c r="H194" s="823">
        <v>508043</v>
      </c>
      <c r="I194" s="823">
        <v>508043</v>
      </c>
      <c r="J194" s="823">
        <v>508058</v>
      </c>
      <c r="K194" s="823">
        <v>13000</v>
      </c>
      <c r="L194" s="823">
        <v>13706</v>
      </c>
      <c r="M194" s="823">
        <v>13706</v>
      </c>
      <c r="N194" s="823">
        <v>181084</v>
      </c>
      <c r="O194" s="823">
        <v>421425</v>
      </c>
      <c r="P194" s="823">
        <v>421425</v>
      </c>
      <c r="Q194" s="823">
        <v>444533</v>
      </c>
      <c r="R194" s="823">
        <v>436233</v>
      </c>
      <c r="S194" s="823">
        <v>396317</v>
      </c>
      <c r="T194" s="823">
        <v>416573</v>
      </c>
      <c r="U194" s="823">
        <v>418081</v>
      </c>
      <c r="V194" s="823">
        <v>441055</v>
      </c>
      <c r="W194" s="823">
        <v>387250</v>
      </c>
      <c r="X194" s="823">
        <v>407867</v>
      </c>
      <c r="Y194" s="823">
        <v>362061</v>
      </c>
      <c r="Z194" s="823">
        <v>362061</v>
      </c>
      <c r="AA194" s="823">
        <v>504012</v>
      </c>
      <c r="AB194" s="823">
        <v>492438</v>
      </c>
      <c r="AC194" s="825">
        <v>528909</v>
      </c>
      <c r="AD194" s="825">
        <v>528490</v>
      </c>
      <c r="AE194" s="825">
        <v>473532</v>
      </c>
      <c r="AF194" s="825">
        <v>473532</v>
      </c>
      <c r="AG194" s="825">
        <v>401305</v>
      </c>
      <c r="AH194" s="825">
        <v>401305</v>
      </c>
      <c r="AI194" s="825">
        <v>437430</v>
      </c>
      <c r="AJ194" s="825">
        <v>437430</v>
      </c>
      <c r="AK194" s="825">
        <v>396088</v>
      </c>
      <c r="AL194" s="825">
        <v>419777</v>
      </c>
      <c r="AM194" s="825">
        <v>415569</v>
      </c>
      <c r="AN194" s="825">
        <v>415569</v>
      </c>
      <c r="AO194" s="825">
        <v>342417</v>
      </c>
      <c r="AP194" s="825">
        <v>341775</v>
      </c>
    </row>
    <row r="195" hidden="1">
      <c r="B195" s="826" t="s">
        <v>10</v>
      </c>
      <c r="C195" s="827">
        <v>0</v>
      </c>
      <c r="D195" s="827">
        <v>0</v>
      </c>
      <c r="E195" s="827">
        <v>0</v>
      </c>
      <c r="F195" s="827">
        <v>0</v>
      </c>
      <c r="G195" s="827">
        <v>20</v>
      </c>
      <c r="H195" s="827">
        <v>20</v>
      </c>
      <c r="I195" s="827">
        <v>0</v>
      </c>
      <c r="J195" s="827">
        <v>0</v>
      </c>
      <c r="K195" s="827">
        <v>24</v>
      </c>
      <c r="L195" s="827">
        <v>0</v>
      </c>
      <c r="M195" s="827">
        <v>0</v>
      </c>
      <c r="N195" s="827">
        <v>0</v>
      </c>
      <c r="O195" s="827">
        <v>0</v>
      </c>
      <c r="P195" s="827">
        <v>0</v>
      </c>
      <c r="Q195" s="827">
        <v>0</v>
      </c>
      <c r="R195" s="827">
        <v>0</v>
      </c>
      <c r="S195" s="827">
        <v>0</v>
      </c>
      <c r="T195" s="827">
        <v>0</v>
      </c>
      <c r="U195" s="827">
        <v>0</v>
      </c>
      <c r="V195" s="827">
        <v>0</v>
      </c>
      <c r="W195" s="827">
        <v>0</v>
      </c>
      <c r="X195" s="827">
        <v>0</v>
      </c>
      <c r="Y195" s="827">
        <v>0</v>
      </c>
      <c r="Z195" s="827">
        <v>0</v>
      </c>
      <c r="AA195" s="827">
        <v>0</v>
      </c>
      <c r="AB195" s="827">
        <v>0</v>
      </c>
      <c r="AC195" s="828">
        <v>0</v>
      </c>
      <c r="AD195" s="828">
        <v>0</v>
      </c>
      <c r="AE195" s="828">
        <v>0</v>
      </c>
      <c r="AF195" s="828">
        <v>0</v>
      </c>
      <c r="AG195" s="828">
        <v>0</v>
      </c>
      <c r="AH195" s="828">
        <v>0</v>
      </c>
      <c r="AI195" s="828">
        <v>0</v>
      </c>
      <c r="AJ195" s="828">
        <v>0</v>
      </c>
      <c r="AK195" s="828">
        <v>0</v>
      </c>
      <c r="AL195" s="828">
        <v>0</v>
      </c>
      <c r="AM195" s="828">
        <v>0</v>
      </c>
      <c r="AN195" s="828">
        <v>0</v>
      </c>
      <c r="AO195" s="828">
        <v>0</v>
      </c>
      <c r="AP195" s="828">
        <v>0</v>
      </c>
    </row>
    <row r="196" hidden="1">
      <c r="B196" s="829" t="s">
        <v>11</v>
      </c>
      <c r="C196" s="823">
        <v>24145</v>
      </c>
      <c r="D196" s="823">
        <v>24169</v>
      </c>
      <c r="E196" s="823">
        <v>24146</v>
      </c>
      <c r="F196" s="823">
        <v>24122</v>
      </c>
      <c r="G196" s="823">
        <v>24188</v>
      </c>
      <c r="H196" s="823">
        <v>24188</v>
      </c>
      <c r="I196" s="823">
        <v>24202</v>
      </c>
      <c r="J196" s="823">
        <v>24202</v>
      </c>
      <c r="K196" s="823">
        <v>64000</v>
      </c>
      <c r="L196" s="823">
        <v>64000</v>
      </c>
      <c r="M196" s="823">
        <v>64000</v>
      </c>
      <c r="N196" s="823">
        <v>64000</v>
      </c>
      <c r="O196" s="823">
        <v>56000</v>
      </c>
      <c r="P196" s="823">
        <v>56000</v>
      </c>
      <c r="Q196" s="823">
        <v>20000</v>
      </c>
      <c r="R196" s="823">
        <v>20000</v>
      </c>
      <c r="S196" s="823">
        <v>20000</v>
      </c>
      <c r="T196" s="823">
        <v>20000</v>
      </c>
      <c r="U196" s="823">
        <v>7000</v>
      </c>
      <c r="V196" s="823">
        <v>7000</v>
      </c>
      <c r="W196" s="823">
        <v>0</v>
      </c>
      <c r="X196" s="823">
        <v>0</v>
      </c>
      <c r="Y196" s="823">
        <v>0</v>
      </c>
      <c r="Z196" s="823">
        <v>0</v>
      </c>
      <c r="AA196" s="823">
        <v>0</v>
      </c>
      <c r="AB196" s="823">
        <v>0</v>
      </c>
      <c r="AC196" s="825">
        <v>0</v>
      </c>
      <c r="AD196" s="825">
        <v>0</v>
      </c>
      <c r="AE196" s="825">
        <v>0</v>
      </c>
      <c r="AF196" s="825">
        <v>0</v>
      </c>
      <c r="AG196" s="825">
        <v>0</v>
      </c>
      <c r="AH196" s="825">
        <v>0</v>
      </c>
      <c r="AI196" s="825">
        <v>0</v>
      </c>
      <c r="AJ196" s="825">
        <v>0</v>
      </c>
      <c r="AK196" s="825">
        <v>0</v>
      </c>
      <c r="AL196" s="825">
        <v>39</v>
      </c>
      <c r="AM196" s="825">
        <v>21</v>
      </c>
      <c r="AN196" s="825">
        <v>21</v>
      </c>
      <c r="AO196" s="825">
        <v>0</v>
      </c>
      <c r="AP196" s="825">
        <v>0</v>
      </c>
    </row>
    <row r="197" hidden="1">
      <c r="B197" s="826" t="s">
        <v>12</v>
      </c>
      <c r="C197" s="827">
        <v>24100</v>
      </c>
      <c r="D197" s="827">
        <v>24100</v>
      </c>
      <c r="E197" s="827">
        <v>24100</v>
      </c>
      <c r="F197" s="827">
        <v>24100</v>
      </c>
      <c r="G197" s="827">
        <v>81100</v>
      </c>
      <c r="H197" s="827">
        <v>81000</v>
      </c>
      <c r="I197" s="827">
        <v>1000</v>
      </c>
      <c r="J197" s="827">
        <v>1000</v>
      </c>
      <c r="K197" s="827">
        <v>1000</v>
      </c>
      <c r="L197" s="827">
        <v>1000</v>
      </c>
      <c r="M197" s="827">
        <v>1000</v>
      </c>
      <c r="N197" s="827">
        <v>1000</v>
      </c>
      <c r="O197" s="827">
        <v>1000</v>
      </c>
      <c r="P197" s="827">
        <v>1000</v>
      </c>
      <c r="Q197" s="827">
        <v>1000</v>
      </c>
      <c r="R197" s="827">
        <v>1000</v>
      </c>
      <c r="S197" s="827">
        <v>1000</v>
      </c>
      <c r="T197" s="827">
        <v>1000</v>
      </c>
      <c r="U197" s="827">
        <v>1000</v>
      </c>
      <c r="V197" s="827">
        <v>0</v>
      </c>
      <c r="W197" s="827">
        <v>0</v>
      </c>
      <c r="X197" s="827">
        <v>0</v>
      </c>
      <c r="Y197" s="827">
        <v>0</v>
      </c>
      <c r="Z197" s="827">
        <v>0</v>
      </c>
      <c r="AA197" s="827">
        <v>0</v>
      </c>
      <c r="AB197" s="827">
        <v>0</v>
      </c>
      <c r="AC197" s="828">
        <v>28</v>
      </c>
      <c r="AD197" s="828">
        <v>28</v>
      </c>
      <c r="AE197" s="828">
        <v>148</v>
      </c>
      <c r="AF197" s="828">
        <v>148</v>
      </c>
      <c r="AG197" s="828">
        <v>322</v>
      </c>
      <c r="AH197" s="828">
        <v>322</v>
      </c>
      <c r="AI197" s="828">
        <v>322</v>
      </c>
      <c r="AJ197" s="828">
        <v>120</v>
      </c>
      <c r="AK197" s="828">
        <v>120</v>
      </c>
      <c r="AL197" s="828">
        <v>120</v>
      </c>
      <c r="AM197" s="828">
        <v>120</v>
      </c>
      <c r="AN197" s="828">
        <v>120</v>
      </c>
      <c r="AO197" s="828">
        <v>120</v>
      </c>
      <c r="AP197" s="828">
        <v>120</v>
      </c>
    </row>
    <row r="198" hidden="1">
      <c r="B198" s="829" t="s">
        <v>13</v>
      </c>
      <c r="C198" s="823">
        <v>0</v>
      </c>
      <c r="D198" s="823">
        <v>0</v>
      </c>
      <c r="E198" s="823">
        <v>12</v>
      </c>
      <c r="F198" s="823">
        <v>12</v>
      </c>
      <c r="G198" s="823">
        <v>0</v>
      </c>
      <c r="H198" s="823">
        <v>0</v>
      </c>
      <c r="I198" s="823">
        <v>0</v>
      </c>
      <c r="J198" s="823">
        <v>0</v>
      </c>
      <c r="K198" s="823">
        <v>0</v>
      </c>
      <c r="L198" s="823">
        <v>0</v>
      </c>
      <c r="M198" s="823">
        <v>0</v>
      </c>
      <c r="N198" s="823">
        <v>0</v>
      </c>
      <c r="O198" s="823">
        <v>0</v>
      </c>
      <c r="P198" s="823">
        <v>0</v>
      </c>
      <c r="Q198" s="823">
        <v>0</v>
      </c>
      <c r="R198" s="823">
        <v>0</v>
      </c>
      <c r="S198" s="823">
        <v>0</v>
      </c>
      <c r="T198" s="823">
        <v>0</v>
      </c>
      <c r="U198" s="823">
        <v>0</v>
      </c>
      <c r="V198" s="823">
        <v>0</v>
      </c>
      <c r="W198" s="823">
        <v>0</v>
      </c>
      <c r="X198" s="823">
        <v>0</v>
      </c>
      <c r="Y198" s="823">
        <v>0</v>
      </c>
      <c r="Z198" s="823">
        <v>0</v>
      </c>
      <c r="AA198" s="823">
        <v>0</v>
      </c>
      <c r="AB198" s="823">
        <v>0</v>
      </c>
      <c r="AC198" s="825">
        <v>0</v>
      </c>
      <c r="AD198" s="825">
        <v>0</v>
      </c>
      <c r="AE198" s="825">
        <v>0</v>
      </c>
      <c r="AF198" s="825">
        <v>0</v>
      </c>
      <c r="AG198" s="825">
        <v>0</v>
      </c>
      <c r="AH198" s="825">
        <v>0</v>
      </c>
      <c r="AI198" s="825">
        <v>0</v>
      </c>
      <c r="AJ198" s="825">
        <v>0</v>
      </c>
      <c r="AK198" s="825">
        <v>0</v>
      </c>
      <c r="AL198" s="825">
        <v>0</v>
      </c>
      <c r="AM198" s="825">
        <v>0</v>
      </c>
      <c r="AN198" s="825">
        <v>0</v>
      </c>
      <c r="AO198" s="825">
        <v>0</v>
      </c>
      <c r="AP198" s="825">
        <v>0</v>
      </c>
    </row>
    <row r="199" hidden="1">
      <c r="B199" s="826" t="s">
        <v>109</v>
      </c>
      <c r="C199" s="827">
        <v>202373</v>
      </c>
      <c r="D199" s="827">
        <v>241373</v>
      </c>
      <c r="E199" s="827">
        <v>232561</v>
      </c>
      <c r="F199" s="827">
        <v>232561</v>
      </c>
      <c r="G199" s="827">
        <v>233187</v>
      </c>
      <c r="H199" s="827">
        <v>233187</v>
      </c>
      <c r="I199" s="827">
        <v>216140</v>
      </c>
      <c r="J199" s="827">
        <v>216140</v>
      </c>
      <c r="K199" s="827">
        <v>199928</v>
      </c>
      <c r="L199" s="827">
        <v>201257</v>
      </c>
      <c r="M199" s="827">
        <v>225190</v>
      </c>
      <c r="N199" s="827">
        <v>225190</v>
      </c>
      <c r="O199" s="827">
        <v>268627</v>
      </c>
      <c r="P199" s="827">
        <v>268627</v>
      </c>
      <c r="Q199" s="827">
        <v>243207</v>
      </c>
      <c r="R199" s="827">
        <v>217081</v>
      </c>
      <c r="S199" s="827">
        <v>266974</v>
      </c>
      <c r="T199" s="827">
        <v>269074</v>
      </c>
      <c r="U199" s="827">
        <v>254352</v>
      </c>
      <c r="V199" s="827">
        <v>255948</v>
      </c>
      <c r="W199" s="827">
        <v>263485</v>
      </c>
      <c r="X199" s="827">
        <v>254221</v>
      </c>
      <c r="Y199" s="827">
        <v>255555</v>
      </c>
      <c r="Z199" s="827">
        <v>255555</v>
      </c>
      <c r="AA199" s="827">
        <v>212418</v>
      </c>
      <c r="AB199" s="827">
        <v>256478</v>
      </c>
      <c r="AC199" s="828">
        <v>228991</v>
      </c>
      <c r="AD199" s="828">
        <v>228991</v>
      </c>
      <c r="AE199" s="828">
        <v>359665</v>
      </c>
      <c r="AF199" s="828">
        <v>359665</v>
      </c>
      <c r="AG199" s="828">
        <v>466344</v>
      </c>
      <c r="AH199" s="828">
        <v>506176</v>
      </c>
      <c r="AI199" s="828">
        <v>448693</v>
      </c>
      <c r="AJ199" s="828">
        <v>448693</v>
      </c>
      <c r="AK199" s="828">
        <v>484269</v>
      </c>
      <c r="AL199" s="828">
        <v>442011</v>
      </c>
      <c r="AM199" s="828">
        <v>425349</v>
      </c>
      <c r="AN199" s="828">
        <v>425349</v>
      </c>
      <c r="AO199" s="828">
        <v>483577</v>
      </c>
      <c r="AP199" s="828">
        <v>483577</v>
      </c>
    </row>
    <row r="200" hidden="1">
      <c r="B200" s="829" t="s">
        <v>110</v>
      </c>
      <c r="C200" s="823">
        <v>157016</v>
      </c>
      <c r="D200" s="823">
        <v>157016</v>
      </c>
      <c r="E200" s="823">
        <v>189816</v>
      </c>
      <c r="F200" s="823">
        <v>199616</v>
      </c>
      <c r="G200" s="823">
        <v>221309</v>
      </c>
      <c r="H200" s="823">
        <v>221309</v>
      </c>
      <c r="I200" s="823">
        <v>215862</v>
      </c>
      <c r="J200" s="823">
        <v>189662</v>
      </c>
      <c r="K200" s="823">
        <v>127368</v>
      </c>
      <c r="L200" s="823">
        <v>142331</v>
      </c>
      <c r="M200" s="823">
        <v>142666</v>
      </c>
      <c r="N200" s="823">
        <v>164467</v>
      </c>
      <c r="O200" s="823">
        <v>171482</v>
      </c>
      <c r="P200" s="823">
        <v>207237</v>
      </c>
      <c r="Q200" s="823">
        <v>182804</v>
      </c>
      <c r="R200" s="823">
        <v>215304</v>
      </c>
      <c r="S200" s="823">
        <v>211807</v>
      </c>
      <c r="T200" s="823">
        <v>179857</v>
      </c>
      <c r="U200" s="823">
        <v>360224</v>
      </c>
      <c r="V200" s="823">
        <v>350672</v>
      </c>
      <c r="W200" s="823">
        <v>208214</v>
      </c>
      <c r="X200" s="823">
        <v>181997</v>
      </c>
      <c r="Y200" s="823">
        <v>194522</v>
      </c>
      <c r="Z200" s="823">
        <v>194242</v>
      </c>
      <c r="AA200" s="823">
        <v>424790</v>
      </c>
      <c r="AB200" s="823">
        <v>439990</v>
      </c>
      <c r="AC200" s="825">
        <v>246598</v>
      </c>
      <c r="AD200" s="825">
        <v>235558</v>
      </c>
      <c r="AE200" s="825">
        <v>227204</v>
      </c>
      <c r="AF200" s="825">
        <v>235796</v>
      </c>
      <c r="AG200" s="825">
        <v>158745</v>
      </c>
      <c r="AH200" s="825">
        <v>184375</v>
      </c>
      <c r="AI200" s="825">
        <v>201148</v>
      </c>
      <c r="AJ200" s="825">
        <v>227116</v>
      </c>
      <c r="AK200" s="825">
        <v>220812</v>
      </c>
      <c r="AL200" s="825">
        <v>223705</v>
      </c>
      <c r="AM200" s="825">
        <v>183475</v>
      </c>
      <c r="AN200" s="825">
        <v>186410</v>
      </c>
      <c r="AO200" s="825">
        <v>223510</v>
      </c>
      <c r="AP200" s="825">
        <v>265002</v>
      </c>
    </row>
    <row r="201" hidden="1">
      <c r="B201" s="826" t="s">
        <v>16</v>
      </c>
      <c r="C201" s="827">
        <v>0</v>
      </c>
      <c r="D201" s="827">
        <v>424576</v>
      </c>
      <c r="E201" s="827">
        <v>1572496</v>
      </c>
      <c r="F201" s="827">
        <v>1626251</v>
      </c>
      <c r="G201" s="827">
        <v>1907216</v>
      </c>
      <c r="H201" s="827">
        <v>1964364</v>
      </c>
      <c r="I201" s="827">
        <v>1965975</v>
      </c>
      <c r="J201" s="827">
        <v>1975622</v>
      </c>
      <c r="K201" s="827">
        <v>1910754</v>
      </c>
      <c r="L201" s="827">
        <v>1964837</v>
      </c>
      <c r="M201" s="827">
        <v>2281883</v>
      </c>
      <c r="N201" s="827">
        <v>2387635</v>
      </c>
      <c r="O201" s="827">
        <v>2634215</v>
      </c>
      <c r="P201" s="827">
        <v>2628424</v>
      </c>
      <c r="Q201" s="827">
        <v>2856412</v>
      </c>
      <c r="R201" s="827">
        <v>2685727</v>
      </c>
      <c r="S201" s="827">
        <v>3153222</v>
      </c>
      <c r="T201" s="827">
        <v>3189806</v>
      </c>
      <c r="U201" s="827">
        <v>3552603</v>
      </c>
      <c r="V201" s="827">
        <v>3570281</v>
      </c>
      <c r="W201" s="827">
        <v>3468596</v>
      </c>
      <c r="X201" s="827">
        <v>5843334</v>
      </c>
      <c r="Y201" s="827">
        <v>3951705</v>
      </c>
      <c r="Z201" s="827">
        <v>3994030</v>
      </c>
      <c r="AA201" s="827">
        <v>3583078</v>
      </c>
      <c r="AB201" s="827">
        <v>3619778</v>
      </c>
      <c r="AC201" s="828">
        <v>3688571</v>
      </c>
      <c r="AD201" s="828">
        <v>3693983</v>
      </c>
      <c r="AE201" s="828">
        <v>3692696</v>
      </c>
      <c r="AF201" s="828">
        <v>3020934</v>
      </c>
      <c r="AG201" s="828">
        <v>3181254</v>
      </c>
      <c r="AH201" s="828">
        <v>3151735</v>
      </c>
      <c r="AI201" s="828">
        <v>3163315</v>
      </c>
      <c r="AJ201" s="828">
        <v>3078324</v>
      </c>
      <c r="AK201" s="828">
        <v>2928785</v>
      </c>
      <c r="AL201" s="828">
        <v>2988786</v>
      </c>
      <c r="AM201" s="828">
        <v>2934992</v>
      </c>
      <c r="AN201" s="828">
        <v>2484041</v>
      </c>
      <c r="AO201" s="828">
        <v>2545112</v>
      </c>
      <c r="AP201" s="828">
        <v>2564241</v>
      </c>
    </row>
    <row r="202" hidden="1">
      <c r="B202" s="829" t="s">
        <v>17</v>
      </c>
      <c r="C202" s="823">
        <v>315000</v>
      </c>
      <c r="D202" s="823">
        <v>196900</v>
      </c>
      <c r="E202" s="823">
        <v>99100</v>
      </c>
      <c r="F202" s="823">
        <v>321464</v>
      </c>
      <c r="G202" s="823">
        <v>436903</v>
      </c>
      <c r="H202" s="823">
        <v>460045</v>
      </c>
      <c r="I202" s="823">
        <v>318302</v>
      </c>
      <c r="J202" s="823">
        <v>339624</v>
      </c>
      <c r="K202" s="823">
        <v>0</v>
      </c>
      <c r="L202" s="823">
        <v>0</v>
      </c>
      <c r="M202" s="823">
        <v>0</v>
      </c>
      <c r="N202" s="823">
        <v>0</v>
      </c>
      <c r="O202" s="823">
        <v>0</v>
      </c>
      <c r="P202" s="823">
        <v>0</v>
      </c>
      <c r="Q202" s="823">
        <v>0</v>
      </c>
      <c r="R202" s="823">
        <v>0</v>
      </c>
      <c r="S202" s="823">
        <v>50</v>
      </c>
      <c r="T202" s="823">
        <v>50</v>
      </c>
      <c r="U202" s="823">
        <v>50</v>
      </c>
      <c r="V202" s="823">
        <v>50</v>
      </c>
      <c r="W202" s="823">
        <v>50</v>
      </c>
      <c r="X202" s="823">
        <v>50</v>
      </c>
      <c r="Y202" s="823">
        <v>50</v>
      </c>
      <c r="Z202" s="823">
        <v>50</v>
      </c>
      <c r="AA202" s="823">
        <v>50</v>
      </c>
      <c r="AB202" s="823">
        <v>50</v>
      </c>
      <c r="AC202" s="825">
        <v>0</v>
      </c>
      <c r="AD202" s="825">
        <v>0</v>
      </c>
      <c r="AE202" s="825">
        <v>0</v>
      </c>
      <c r="AF202" s="825">
        <v>85</v>
      </c>
      <c r="AG202" s="825">
        <v>172</v>
      </c>
      <c r="AH202" s="825">
        <v>172</v>
      </c>
      <c r="AI202" s="825">
        <v>367</v>
      </c>
      <c r="AJ202" s="825">
        <v>367</v>
      </c>
      <c r="AK202" s="825">
        <v>367</v>
      </c>
      <c r="AL202" s="825">
        <v>367</v>
      </c>
      <c r="AM202" s="825">
        <v>367</v>
      </c>
      <c r="AN202" s="825">
        <v>212</v>
      </c>
      <c r="AO202" s="825">
        <v>212</v>
      </c>
      <c r="AP202" s="825">
        <v>212</v>
      </c>
    </row>
    <row r="203" hidden="1">
      <c r="B203" s="826" t="s">
        <v>18</v>
      </c>
      <c r="C203" s="827">
        <v>0</v>
      </c>
      <c r="D203" s="827">
        <v>0</v>
      </c>
      <c r="E203" s="827">
        <v>26</v>
      </c>
      <c r="F203" s="827">
        <v>26</v>
      </c>
      <c r="G203" s="827">
        <v>43353</v>
      </c>
      <c r="H203" s="827">
        <v>138941</v>
      </c>
      <c r="I203" s="827">
        <v>568443</v>
      </c>
      <c r="J203" s="827">
        <v>568443</v>
      </c>
      <c r="K203" s="827">
        <v>576859</v>
      </c>
      <c r="L203" s="827">
        <v>637583</v>
      </c>
      <c r="M203" s="827">
        <v>646466</v>
      </c>
      <c r="N203" s="827">
        <v>678131</v>
      </c>
      <c r="O203" s="827">
        <v>650289</v>
      </c>
      <c r="P203" s="827">
        <v>584993</v>
      </c>
      <c r="Q203" s="827">
        <v>547763</v>
      </c>
      <c r="R203" s="827">
        <v>619784</v>
      </c>
      <c r="S203" s="827">
        <v>617529</v>
      </c>
      <c r="T203" s="827">
        <v>594838</v>
      </c>
      <c r="U203" s="827">
        <v>642839</v>
      </c>
      <c r="V203" s="827">
        <v>659512</v>
      </c>
      <c r="W203" s="827">
        <v>681946</v>
      </c>
      <c r="X203" s="827">
        <v>666865</v>
      </c>
      <c r="Y203" s="827">
        <v>666095</v>
      </c>
      <c r="Z203" s="827">
        <v>646505</v>
      </c>
      <c r="AA203" s="827">
        <v>698371</v>
      </c>
      <c r="AB203" s="827">
        <v>697903</v>
      </c>
      <c r="AC203" s="828">
        <v>716845</v>
      </c>
      <c r="AD203" s="828">
        <v>856958</v>
      </c>
      <c r="AE203" s="828">
        <v>878049</v>
      </c>
      <c r="AF203" s="828">
        <v>842853</v>
      </c>
      <c r="AG203" s="828">
        <v>861448</v>
      </c>
      <c r="AH203" s="828">
        <v>861448</v>
      </c>
      <c r="AI203" s="828">
        <v>849022</v>
      </c>
      <c r="AJ203" s="828">
        <v>848247</v>
      </c>
      <c r="AK203" s="828">
        <v>734517</v>
      </c>
      <c r="AL203" s="828">
        <v>751962</v>
      </c>
      <c r="AM203" s="828">
        <v>751213</v>
      </c>
      <c r="AN203" s="828">
        <v>752783</v>
      </c>
      <c r="AO203" s="828">
        <v>816930</v>
      </c>
      <c r="AP203" s="828">
        <v>803114</v>
      </c>
    </row>
    <row r="204" hidden="1">
      <c r="B204" s="829" t="s">
        <v>19</v>
      </c>
      <c r="C204" s="823">
        <v>0</v>
      </c>
      <c r="D204" s="823">
        <v>0</v>
      </c>
      <c r="E204" s="823">
        <v>0</v>
      </c>
      <c r="F204" s="823">
        <v>0</v>
      </c>
      <c r="G204" s="823">
        <v>0</v>
      </c>
      <c r="H204" s="823">
        <v>0</v>
      </c>
      <c r="I204" s="823">
        <v>0</v>
      </c>
      <c r="J204" s="823">
        <v>0</v>
      </c>
      <c r="K204" s="823">
        <v>0</v>
      </c>
      <c r="L204" s="823">
        <v>99392</v>
      </c>
      <c r="M204" s="823">
        <v>0</v>
      </c>
      <c r="N204" s="823">
        <v>0</v>
      </c>
      <c r="O204" s="823">
        <v>0</v>
      </c>
      <c r="P204" s="823">
        <v>0</v>
      </c>
      <c r="Q204" s="823">
        <v>0</v>
      </c>
      <c r="R204" s="823">
        <v>0</v>
      </c>
      <c r="S204" s="823">
        <v>0</v>
      </c>
      <c r="T204" s="823">
        <v>0</v>
      </c>
      <c r="U204" s="823">
        <v>0</v>
      </c>
      <c r="V204" s="823">
        <v>0</v>
      </c>
      <c r="W204" s="823">
        <v>0</v>
      </c>
      <c r="X204" s="823">
        <v>0</v>
      </c>
      <c r="Y204" s="823">
        <v>0</v>
      </c>
      <c r="Z204" s="823">
        <v>0</v>
      </c>
      <c r="AA204" s="823">
        <v>0</v>
      </c>
      <c r="AB204" s="823">
        <v>0</v>
      </c>
      <c r="AC204" s="825">
        <v>0</v>
      </c>
      <c r="AD204" s="825">
        <v>0</v>
      </c>
      <c r="AE204" s="825">
        <v>0</v>
      </c>
      <c r="AF204" s="825">
        <v>0</v>
      </c>
      <c r="AG204" s="825">
        <v>0</v>
      </c>
      <c r="AH204" s="825">
        <v>0</v>
      </c>
      <c r="AI204" s="825">
        <v>0</v>
      </c>
      <c r="AJ204" s="825">
        <v>0</v>
      </c>
      <c r="AK204" s="825">
        <v>0</v>
      </c>
      <c r="AL204" s="825">
        <v>0</v>
      </c>
      <c r="AM204" s="825">
        <v>0</v>
      </c>
      <c r="AN204" s="825">
        <v>0</v>
      </c>
      <c r="AO204" s="825">
        <v>0</v>
      </c>
      <c r="AP204" s="825">
        <v>0</v>
      </c>
    </row>
    <row r="205" hidden="1">
      <c r="B205" s="826" t="s">
        <v>20</v>
      </c>
      <c r="C205" s="827">
        <v>30000</v>
      </c>
      <c r="D205" s="827">
        <v>30000</v>
      </c>
      <c r="E205" s="827">
        <v>30000</v>
      </c>
      <c r="F205" s="827">
        <v>30000</v>
      </c>
      <c r="G205" s="827">
        <v>52000</v>
      </c>
      <c r="H205" s="827">
        <v>52000</v>
      </c>
      <c r="I205" s="827">
        <v>52000</v>
      </c>
      <c r="J205" s="827">
        <v>52000</v>
      </c>
      <c r="K205" s="827">
        <v>119892</v>
      </c>
      <c r="L205" s="827">
        <v>200068</v>
      </c>
      <c r="M205" s="827">
        <v>54600</v>
      </c>
      <c r="N205" s="827">
        <v>54600</v>
      </c>
      <c r="O205" s="827">
        <v>50600</v>
      </c>
      <c r="P205" s="827">
        <v>68280</v>
      </c>
      <c r="Q205" s="827">
        <v>60640</v>
      </c>
      <c r="R205" s="827">
        <v>60640</v>
      </c>
      <c r="S205" s="827">
        <v>45500</v>
      </c>
      <c r="T205" s="827">
        <v>45500</v>
      </c>
      <c r="U205" s="827">
        <v>52600</v>
      </c>
      <c r="V205" s="827">
        <v>52600</v>
      </c>
      <c r="W205" s="827">
        <v>62200</v>
      </c>
      <c r="X205" s="827">
        <v>62200</v>
      </c>
      <c r="Y205" s="827">
        <v>58200</v>
      </c>
      <c r="Z205" s="827">
        <v>58200</v>
      </c>
      <c r="AA205" s="827">
        <v>60260</v>
      </c>
      <c r="AB205" s="827">
        <v>61600</v>
      </c>
      <c r="AC205" s="828">
        <v>59418</v>
      </c>
      <c r="AD205" s="828">
        <v>59418</v>
      </c>
      <c r="AE205" s="828">
        <v>90740</v>
      </c>
      <c r="AF205" s="828">
        <v>90740</v>
      </c>
      <c r="AG205" s="828">
        <v>62800</v>
      </c>
      <c r="AH205" s="828">
        <v>62800</v>
      </c>
      <c r="AI205" s="828">
        <v>59900</v>
      </c>
      <c r="AJ205" s="828">
        <v>59900</v>
      </c>
      <c r="AK205" s="828">
        <v>59700</v>
      </c>
      <c r="AL205" s="828">
        <v>98600</v>
      </c>
      <c r="AM205" s="828">
        <v>99950</v>
      </c>
      <c r="AN205" s="828">
        <v>99950</v>
      </c>
      <c r="AO205" s="828">
        <v>116230</v>
      </c>
      <c r="AP205" s="828">
        <v>116230</v>
      </c>
    </row>
    <row r="206" hidden="1">
      <c r="B206" s="829" t="s">
        <v>21</v>
      </c>
      <c r="C206" s="823">
        <v>135300</v>
      </c>
      <c r="D206" s="823">
        <v>135300</v>
      </c>
      <c r="E206" s="823">
        <v>138400</v>
      </c>
      <c r="F206" s="823">
        <v>138400</v>
      </c>
      <c r="G206" s="823">
        <v>140360</v>
      </c>
      <c r="H206" s="823">
        <v>154598</v>
      </c>
      <c r="I206" s="823">
        <v>154118</v>
      </c>
      <c r="J206" s="823">
        <v>190038</v>
      </c>
      <c r="K206" s="823">
        <v>179668</v>
      </c>
      <c r="L206" s="823">
        <v>3900</v>
      </c>
      <c r="M206" s="823">
        <v>206768</v>
      </c>
      <c r="N206" s="823">
        <v>206768</v>
      </c>
      <c r="O206" s="823">
        <v>200790</v>
      </c>
      <c r="P206" s="823">
        <v>200790</v>
      </c>
      <c r="Q206" s="823">
        <v>202003</v>
      </c>
      <c r="R206" s="823">
        <v>202003</v>
      </c>
      <c r="S206" s="823">
        <v>205342</v>
      </c>
      <c r="T206" s="823">
        <v>207742</v>
      </c>
      <c r="U206" s="823">
        <v>215350</v>
      </c>
      <c r="V206" s="823">
        <v>215850</v>
      </c>
      <c r="W206" s="823">
        <v>251507</v>
      </c>
      <c r="X206" s="823">
        <v>250674</v>
      </c>
      <c r="Y206" s="823">
        <v>250379</v>
      </c>
      <c r="Z206" s="823">
        <v>250379</v>
      </c>
      <c r="AA206" s="823">
        <v>237016</v>
      </c>
      <c r="AB206" s="823">
        <v>230416</v>
      </c>
      <c r="AC206" s="825">
        <v>246146</v>
      </c>
      <c r="AD206" s="825">
        <v>246346</v>
      </c>
      <c r="AE206" s="825">
        <v>248744</v>
      </c>
      <c r="AF206" s="825">
        <v>255644</v>
      </c>
      <c r="AG206" s="825">
        <v>288031</v>
      </c>
      <c r="AH206" s="825">
        <v>288031</v>
      </c>
      <c r="AI206" s="825">
        <v>285700</v>
      </c>
      <c r="AJ206" s="825">
        <v>296842</v>
      </c>
      <c r="AK206" s="825">
        <v>260220</v>
      </c>
      <c r="AL206" s="825">
        <v>260406</v>
      </c>
      <c r="AM206" s="825">
        <v>260356</v>
      </c>
      <c r="AN206" s="825">
        <v>268375</v>
      </c>
      <c r="AO206" s="825">
        <v>307279</v>
      </c>
      <c r="AP206" s="825">
        <v>309890</v>
      </c>
    </row>
    <row r="207" hidden="1">
      <c r="B207" s="826" t="s">
        <v>22</v>
      </c>
      <c r="C207" s="827">
        <v>0</v>
      </c>
      <c r="D207" s="827">
        <v>0</v>
      </c>
      <c r="E207" s="827">
        <v>0</v>
      </c>
      <c r="F207" s="827">
        <v>0</v>
      </c>
      <c r="G207" s="827">
        <v>0</v>
      </c>
      <c r="H207" s="827">
        <v>0</v>
      </c>
      <c r="I207" s="827">
        <v>0</v>
      </c>
      <c r="J207" s="827">
        <v>0</v>
      </c>
      <c r="K207" s="827">
        <v>41900</v>
      </c>
      <c r="L207" s="827">
        <v>252915</v>
      </c>
      <c r="M207" s="827">
        <v>41900</v>
      </c>
      <c r="N207" s="827">
        <v>41900</v>
      </c>
      <c r="O207" s="827">
        <v>24800</v>
      </c>
      <c r="P207" s="827">
        <v>56300</v>
      </c>
      <c r="Q207" s="827">
        <v>44700</v>
      </c>
      <c r="R207" s="827">
        <v>44700</v>
      </c>
      <c r="S207" s="827">
        <v>41500</v>
      </c>
      <c r="T207" s="827">
        <v>40000</v>
      </c>
      <c r="U207" s="827">
        <v>59798</v>
      </c>
      <c r="V207" s="827">
        <v>60298</v>
      </c>
      <c r="W207" s="827">
        <v>58500</v>
      </c>
      <c r="X207" s="827">
        <v>58201</v>
      </c>
      <c r="Y207" s="827">
        <v>61493</v>
      </c>
      <c r="Z207" s="827">
        <v>61493</v>
      </c>
      <c r="AA207" s="827">
        <v>58608</v>
      </c>
      <c r="AB207" s="827">
        <v>52620</v>
      </c>
      <c r="AC207" s="828">
        <v>57082</v>
      </c>
      <c r="AD207" s="828">
        <v>57090</v>
      </c>
      <c r="AE207" s="828">
        <v>40462</v>
      </c>
      <c r="AF207" s="828">
        <v>40450</v>
      </c>
      <c r="AG207" s="828">
        <v>37595</v>
      </c>
      <c r="AH207" s="828">
        <v>37595</v>
      </c>
      <c r="AI207" s="828">
        <v>30010</v>
      </c>
      <c r="AJ207" s="828">
        <v>30010</v>
      </c>
      <c r="AK207" s="828">
        <v>31820</v>
      </c>
      <c r="AL207" s="828">
        <v>33620</v>
      </c>
      <c r="AM207" s="828">
        <v>34100</v>
      </c>
      <c r="AN207" s="828">
        <v>34300</v>
      </c>
      <c r="AO207" s="828">
        <v>43193</v>
      </c>
      <c r="AP207" s="828">
        <v>43193</v>
      </c>
    </row>
    <row r="208" hidden="1">
      <c r="B208" s="829" t="s">
        <v>23</v>
      </c>
      <c r="C208" s="823">
        <v>72365</v>
      </c>
      <c r="D208" s="823">
        <v>81828</v>
      </c>
      <c r="E208" s="823">
        <v>88447</v>
      </c>
      <c r="F208" s="823">
        <v>88447</v>
      </c>
      <c r="G208" s="823">
        <v>109954</v>
      </c>
      <c r="H208" s="823">
        <v>109954</v>
      </c>
      <c r="I208" s="823">
        <v>98345</v>
      </c>
      <c r="J208" s="823">
        <v>98345</v>
      </c>
      <c r="K208" s="823">
        <v>249233</v>
      </c>
      <c r="L208" s="823">
        <v>0</v>
      </c>
      <c r="M208" s="823">
        <v>252645</v>
      </c>
      <c r="N208" s="823">
        <v>252645</v>
      </c>
      <c r="O208" s="823">
        <v>273112</v>
      </c>
      <c r="P208" s="823">
        <v>273112</v>
      </c>
      <c r="Q208" s="823">
        <v>263508</v>
      </c>
      <c r="R208" s="823">
        <v>263508</v>
      </c>
      <c r="S208" s="823">
        <v>284166</v>
      </c>
      <c r="T208" s="823">
        <v>284166</v>
      </c>
      <c r="U208" s="823">
        <v>42807</v>
      </c>
      <c r="V208" s="823">
        <v>160900</v>
      </c>
      <c r="W208" s="823">
        <v>165486</v>
      </c>
      <c r="X208" s="823">
        <v>125825</v>
      </c>
      <c r="Y208" s="823">
        <v>121176</v>
      </c>
      <c r="Z208" s="823">
        <v>134565</v>
      </c>
      <c r="AA208" s="823">
        <v>33246</v>
      </c>
      <c r="AB208" s="823">
        <v>32980</v>
      </c>
      <c r="AC208" s="825">
        <v>23769</v>
      </c>
      <c r="AD208" s="825">
        <v>23769</v>
      </c>
      <c r="AE208" s="825">
        <v>16256</v>
      </c>
      <c r="AF208" s="825">
        <v>16256</v>
      </c>
      <c r="AG208" s="825">
        <v>22769</v>
      </c>
      <c r="AH208" s="825">
        <v>0</v>
      </c>
      <c r="AI208" s="825">
        <v>0</v>
      </c>
      <c r="AJ208" s="825">
        <v>0</v>
      </c>
      <c r="AK208" s="825">
        <v>0</v>
      </c>
      <c r="AL208" s="825">
        <v>0</v>
      </c>
      <c r="AM208" s="825">
        <v>38129</v>
      </c>
      <c r="AN208" s="825">
        <v>38129</v>
      </c>
      <c r="AO208" s="825">
        <v>20553</v>
      </c>
      <c r="AP208" s="825">
        <v>74228</v>
      </c>
    </row>
    <row r="209" hidden="1">
      <c r="B209" s="835" t="s">
        <v>24</v>
      </c>
      <c r="C209" s="827">
        <v>388315</v>
      </c>
      <c r="D209" s="827">
        <v>332280</v>
      </c>
      <c r="E209" s="827">
        <v>374991</v>
      </c>
      <c r="F209" s="827">
        <v>374991</v>
      </c>
      <c r="G209" s="827">
        <v>360435</v>
      </c>
      <c r="H209" s="827">
        <v>365563</v>
      </c>
      <c r="I209" s="827">
        <v>389140</v>
      </c>
      <c r="J209" s="827">
        <v>377980</v>
      </c>
      <c r="K209" s="827">
        <v>420984</v>
      </c>
      <c r="L209" s="827">
        <v>357496</v>
      </c>
      <c r="M209" s="827">
        <v>425551</v>
      </c>
      <c r="N209" s="827">
        <v>418658</v>
      </c>
      <c r="O209" s="827">
        <v>390401</v>
      </c>
      <c r="P209" s="827">
        <v>370401</v>
      </c>
      <c r="Q209" s="827">
        <v>380805</v>
      </c>
      <c r="R209" s="827">
        <v>379454</v>
      </c>
      <c r="S209" s="827">
        <v>379506</v>
      </c>
      <c r="T209" s="827">
        <v>409683</v>
      </c>
      <c r="U209" s="827">
        <v>392016</v>
      </c>
      <c r="V209" s="827">
        <v>390541</v>
      </c>
      <c r="W209" s="827">
        <v>381048</v>
      </c>
      <c r="X209" s="827">
        <v>380919</v>
      </c>
      <c r="Y209" s="827">
        <v>406947</v>
      </c>
      <c r="Z209" s="827">
        <v>397992</v>
      </c>
      <c r="AA209" s="827">
        <v>381952</v>
      </c>
      <c r="AB209" s="827">
        <v>356553</v>
      </c>
      <c r="AC209" s="828">
        <v>378107</v>
      </c>
      <c r="AD209" s="828">
        <v>378107</v>
      </c>
      <c r="AE209" s="828">
        <v>361052</v>
      </c>
      <c r="AF209" s="828">
        <v>361052</v>
      </c>
      <c r="AG209" s="828">
        <v>380499</v>
      </c>
      <c r="AH209" s="828">
        <v>312559</v>
      </c>
      <c r="AI209" s="828">
        <v>306029</v>
      </c>
      <c r="AJ209" s="828">
        <v>306029</v>
      </c>
      <c r="AK209" s="828">
        <v>348100</v>
      </c>
      <c r="AL209" s="828">
        <v>349886</v>
      </c>
      <c r="AM209" s="828">
        <v>379723</v>
      </c>
      <c r="AN209" s="828">
        <v>379723</v>
      </c>
      <c r="AO209" s="828">
        <v>311845</v>
      </c>
      <c r="AP209" s="828">
        <v>296583</v>
      </c>
    </row>
    <row r="210" hidden="1">
      <c r="B210" s="829" t="s">
        <v>25</v>
      </c>
      <c r="C210" s="823">
        <v>0</v>
      </c>
      <c r="D210" s="823">
        <v>0</v>
      </c>
      <c r="E210" s="823">
        <v>0</v>
      </c>
      <c r="F210" s="823">
        <v>0</v>
      </c>
      <c r="G210" s="823">
        <v>0</v>
      </c>
      <c r="H210" s="823">
        <v>0</v>
      </c>
      <c r="I210" s="823">
        <v>0</v>
      </c>
      <c r="J210" s="823">
        <v>0</v>
      </c>
      <c r="K210" s="823">
        <v>0</v>
      </c>
      <c r="L210" s="823">
        <v>0</v>
      </c>
      <c r="M210" s="823">
        <v>0</v>
      </c>
      <c r="N210" s="823">
        <v>0</v>
      </c>
      <c r="O210" s="823">
        <v>0</v>
      </c>
      <c r="P210" s="823">
        <v>0</v>
      </c>
      <c r="Q210" s="823">
        <v>0</v>
      </c>
      <c r="R210" s="823">
        <v>0</v>
      </c>
      <c r="S210" s="823">
        <v>0</v>
      </c>
      <c r="T210" s="823">
        <v>0</v>
      </c>
      <c r="U210" s="823">
        <v>0</v>
      </c>
      <c r="V210" s="823">
        <v>0</v>
      </c>
      <c r="W210" s="823">
        <v>0</v>
      </c>
      <c r="X210" s="823">
        <v>0</v>
      </c>
      <c r="Y210" s="823">
        <v>0</v>
      </c>
      <c r="Z210" s="823">
        <v>0</v>
      </c>
      <c r="AA210" s="823">
        <v>0</v>
      </c>
      <c r="AB210" s="823">
        <v>0</v>
      </c>
      <c r="AC210" s="825">
        <v>0</v>
      </c>
      <c r="AD210" s="825">
        <v>0</v>
      </c>
      <c r="AE210" s="825">
        <v>0</v>
      </c>
      <c r="AF210" s="825">
        <v>0</v>
      </c>
      <c r="AG210" s="825">
        <v>0</v>
      </c>
      <c r="AH210" s="825">
        <v>0</v>
      </c>
      <c r="AI210" s="825">
        <v>0</v>
      </c>
      <c r="AJ210" s="825">
        <v>0</v>
      </c>
      <c r="AK210" s="825">
        <v>0</v>
      </c>
      <c r="AL210" s="825">
        <v>0</v>
      </c>
      <c r="AM210" s="825">
        <v>0</v>
      </c>
      <c r="AN210" s="825">
        <v>0</v>
      </c>
      <c r="AO210" s="825">
        <v>0</v>
      </c>
      <c r="AP210" s="825">
        <v>0</v>
      </c>
    </row>
    <row r="211" hidden="1" ht="13.5">
      <c r="B211" s="836" t="s">
        <v>26</v>
      </c>
      <c r="C211" s="827">
        <v>0</v>
      </c>
      <c r="D211" s="827">
        <v>0</v>
      </c>
      <c r="E211" s="827">
        <v>0</v>
      </c>
      <c r="F211" s="827">
        <v>0</v>
      </c>
      <c r="G211" s="827">
        <v>0</v>
      </c>
      <c r="H211" s="827">
        <v>0</v>
      </c>
      <c r="I211" s="827">
        <v>0</v>
      </c>
      <c r="J211" s="827">
        <v>0</v>
      </c>
      <c r="K211" s="827">
        <v>0</v>
      </c>
      <c r="L211" s="827">
        <v>0</v>
      </c>
      <c r="M211" s="827">
        <v>0</v>
      </c>
      <c r="N211" s="827">
        <v>0</v>
      </c>
      <c r="O211" s="827">
        <v>0</v>
      </c>
      <c r="P211" s="827">
        <v>0</v>
      </c>
      <c r="Q211" s="827">
        <v>0</v>
      </c>
      <c r="R211" s="827">
        <v>0</v>
      </c>
      <c r="S211" s="827">
        <v>0</v>
      </c>
      <c r="T211" s="827">
        <v>0</v>
      </c>
      <c r="U211" s="827">
        <v>0</v>
      </c>
      <c r="V211" s="827">
        <v>0</v>
      </c>
      <c r="W211" s="827">
        <v>0</v>
      </c>
      <c r="X211" s="827">
        <v>0</v>
      </c>
      <c r="Y211" s="827">
        <v>0</v>
      </c>
      <c r="Z211" s="827">
        <v>0</v>
      </c>
      <c r="AA211" s="827">
        <v>0</v>
      </c>
      <c r="AB211" s="837">
        <v>0</v>
      </c>
      <c r="AC211" s="828">
        <v>0</v>
      </c>
      <c r="AD211" s="828">
        <v>0</v>
      </c>
      <c r="AE211" s="828">
        <v>0</v>
      </c>
      <c r="AF211" s="828">
        <v>0</v>
      </c>
      <c r="AG211" s="828">
        <v>0</v>
      </c>
      <c r="AH211" s="828">
        <v>0</v>
      </c>
      <c r="AI211" s="828">
        <v>0</v>
      </c>
      <c r="AJ211" s="828">
        <v>0</v>
      </c>
      <c r="AK211" s="828">
        <v>0</v>
      </c>
      <c r="AL211" s="828">
        <v>0</v>
      </c>
      <c r="AM211" s="828">
        <v>0</v>
      </c>
      <c r="AN211" s="828">
        <v>0</v>
      </c>
      <c r="AO211" s="828">
        <v>0</v>
      </c>
      <c r="AP211" s="828">
        <v>0</v>
      </c>
    </row>
    <row r="212" hidden="1" ht="13.5">
      <c r="B212" s="128" t="s">
        <v>7</v>
      </c>
      <c r="C212" s="129" t="str">
        <f>IF(SUM(C193:C211)&lt;&gt;0,SUM(C193:C211),"")</f>
      </c>
      <c r="D212" s="129" t="str">
        <f ref="D212:AA212" t="shared" si="5">IF(SUM(D193:D211)&lt;&gt;0,SUM(D193:D211),"")</f>
      </c>
      <c r="E212" s="129" t="str">
        <f t="shared" si="5"/>
      </c>
      <c r="F212" s="129" t="str">
        <f t="shared" si="5"/>
      </c>
      <c r="G212" s="129" t="str">
        <f t="shared" si="5"/>
      </c>
      <c r="H212" s="129" t="str">
        <f t="shared" si="5"/>
      </c>
      <c r="I212" s="129" t="str">
        <f t="shared" si="5"/>
      </c>
      <c r="J212" s="129" t="str">
        <f t="shared" si="5"/>
      </c>
      <c r="K212" s="129" t="str">
        <f t="shared" si="5"/>
      </c>
      <c r="L212" s="129" t="str">
        <f t="shared" si="5"/>
      </c>
      <c r="M212" s="129" t="str">
        <f t="shared" si="5"/>
      </c>
      <c r="N212" s="129" t="str">
        <f t="shared" si="5"/>
      </c>
      <c r="O212" s="129" t="str">
        <f t="shared" si="5"/>
      </c>
      <c r="P212" s="129" t="str">
        <f t="shared" si="5"/>
      </c>
      <c r="Q212" s="129" t="str">
        <f t="shared" si="5"/>
      </c>
      <c r="R212" s="129" t="str">
        <f t="shared" si="5"/>
      </c>
      <c r="S212" s="129" t="str">
        <f t="shared" si="5"/>
      </c>
      <c r="T212" s="129" t="str">
        <f t="shared" si="5"/>
      </c>
      <c r="U212" s="129" t="str">
        <f t="shared" si="5"/>
      </c>
      <c r="V212" s="129" t="str">
        <f t="shared" si="5"/>
      </c>
      <c r="W212" s="129" t="str">
        <f t="shared" si="5"/>
      </c>
      <c r="X212" s="129" t="str">
        <f t="shared" si="5"/>
      </c>
      <c r="Y212" s="129" t="str">
        <f t="shared" si="5"/>
      </c>
      <c r="Z212" s="129" t="str">
        <f t="shared" si="5"/>
      </c>
      <c r="AA212" s="129" t="str">
        <f t="shared" si="5"/>
      </c>
      <c r="AB212" s="130" t="str">
        <f>IF(SUM(AB193:AB211)&lt;&gt;0,SUM(AB193:AB211),"")</f>
      </c>
      <c r="AC212" s="91" t="str">
        <f ref="AC212:CN212" t="shared" si="6">IF(SUM(AC193:AC211)&lt;&gt;0,SUM(AC193:AC211),"")</f>
      </c>
      <c r="AD212" s="91" t="str">
        <f t="shared" si="6"/>
      </c>
      <c r="AE212" s="91" t="str">
        <f t="shared" si="6"/>
      </c>
      <c r="AF212" s="91" t="str">
        <f t="shared" si="6"/>
      </c>
      <c r="AG212" s="91" t="str">
        <f t="shared" si="6"/>
      </c>
      <c r="AH212" s="91" t="str">
        <f t="shared" si="6"/>
      </c>
      <c r="AI212" s="91" t="str">
        <f t="shared" si="6"/>
      </c>
      <c r="AJ212" s="91" t="str">
        <f t="shared" si="6"/>
      </c>
      <c r="AK212" s="91" t="str">
        <f t="shared" si="6"/>
      </c>
      <c r="AL212" s="91" t="str">
        <f t="shared" si="6"/>
      </c>
      <c r="AM212" s="91" t="str">
        <f t="shared" si="6"/>
      </c>
      <c r="AN212" s="91" t="str">
        <f t="shared" si="6"/>
      </c>
      <c r="AO212" s="91" t="str">
        <f t="shared" si="6"/>
      </c>
      <c r="AP212" s="91" t="str">
        <f t="shared" si="6"/>
      </c>
      <c r="AQ212" s="91" t="str">
        <f t="shared" si="6"/>
      </c>
      <c r="AR212" s="91" t="str">
        <f t="shared" si="6"/>
      </c>
      <c r="AS212" s="91" t="str">
        <f t="shared" si="6"/>
      </c>
      <c r="AT212" s="91" t="str">
        <f t="shared" si="6"/>
      </c>
      <c r="AU212" s="91" t="str">
        <f t="shared" si="6"/>
      </c>
      <c r="AV212" s="91" t="str">
        <f t="shared" si="6"/>
      </c>
      <c r="AW212" s="91" t="str">
        <f t="shared" si="6"/>
      </c>
      <c r="AX212" s="91" t="str">
        <f t="shared" si="6"/>
      </c>
      <c r="AY212" s="91" t="str">
        <f t="shared" si="6"/>
      </c>
      <c r="AZ212" s="91" t="str">
        <f t="shared" si="6"/>
      </c>
      <c r="BA212" s="91" t="str">
        <f t="shared" si="6"/>
      </c>
      <c r="BB212" s="91" t="str">
        <f t="shared" si="6"/>
      </c>
      <c r="BC212" s="91" t="str">
        <f t="shared" si="6"/>
      </c>
      <c r="BD212" s="91" t="str">
        <f t="shared" si="6"/>
      </c>
      <c r="BE212" s="91" t="str">
        <f t="shared" si="6"/>
      </c>
      <c r="BF212" s="91" t="str">
        <f t="shared" si="6"/>
      </c>
      <c r="BG212" s="91" t="str">
        <f t="shared" si="6"/>
      </c>
      <c r="BH212" s="91" t="str">
        <f t="shared" si="6"/>
      </c>
      <c r="BI212" s="91" t="str">
        <f t="shared" si="6"/>
      </c>
      <c r="BJ212" s="91" t="str">
        <f t="shared" si="6"/>
      </c>
      <c r="BK212" s="91" t="str">
        <f t="shared" si="6"/>
      </c>
      <c r="BL212" s="91" t="str">
        <f t="shared" si="6"/>
      </c>
      <c r="BM212" s="91" t="str">
        <f t="shared" si="6"/>
      </c>
      <c r="BN212" s="91" t="str">
        <f t="shared" si="6"/>
      </c>
      <c r="BO212" s="91" t="str">
        <f t="shared" si="6"/>
      </c>
      <c r="BP212" s="91" t="str">
        <f t="shared" si="6"/>
      </c>
      <c r="BQ212" s="91" t="str">
        <f t="shared" si="6"/>
      </c>
      <c r="BR212" s="91" t="str">
        <f t="shared" si="6"/>
      </c>
      <c r="BS212" s="91" t="str">
        <f t="shared" si="6"/>
      </c>
      <c r="BT212" s="91" t="str">
        <f t="shared" si="6"/>
      </c>
      <c r="BU212" s="91" t="str">
        <f t="shared" si="6"/>
      </c>
      <c r="BV212" s="91" t="str">
        <f t="shared" si="6"/>
      </c>
      <c r="BW212" s="91" t="str">
        <f t="shared" si="6"/>
      </c>
      <c r="BX212" s="91" t="str">
        <f t="shared" si="6"/>
      </c>
      <c r="BY212" s="91" t="str">
        <f t="shared" si="6"/>
      </c>
      <c r="BZ212" s="91" t="str">
        <f t="shared" si="6"/>
      </c>
      <c r="CA212" s="91" t="str">
        <f t="shared" si="6"/>
      </c>
      <c r="CB212" s="91" t="str">
        <f t="shared" si="6"/>
      </c>
      <c r="CC212" s="91" t="str">
        <f t="shared" si="6"/>
      </c>
      <c r="CD212" s="91" t="str">
        <f t="shared" si="6"/>
      </c>
      <c r="CE212" s="91" t="str">
        <f t="shared" si="6"/>
      </c>
      <c r="CF212" s="91" t="str">
        <f t="shared" si="6"/>
      </c>
      <c r="CG212" s="91" t="str">
        <f t="shared" si="6"/>
      </c>
      <c r="CH212" s="91" t="str">
        <f t="shared" si="6"/>
      </c>
      <c r="CI212" s="91" t="str">
        <f t="shared" si="6"/>
      </c>
      <c r="CJ212" s="91" t="str">
        <f t="shared" si="6"/>
      </c>
      <c r="CK212" s="91" t="str">
        <f t="shared" si="6"/>
      </c>
      <c r="CL212" s="91" t="str">
        <f t="shared" si="6"/>
      </c>
      <c r="CM212" s="91" t="str">
        <f t="shared" si="6"/>
      </c>
      <c r="CN212" s="91" t="str">
        <f t="shared" si="6"/>
      </c>
      <c r="CO212" s="91" t="str">
        <f ref="CO212:EZ212" t="shared" si="7">IF(SUM(CO193:CO211)&lt;&gt;0,SUM(CO193:CO211),"")</f>
      </c>
      <c r="CP212" s="91" t="str">
        <f t="shared" si="7"/>
      </c>
      <c r="CQ212" s="91" t="str">
        <f t="shared" si="7"/>
      </c>
      <c r="CR212" s="91" t="str">
        <f t="shared" si="7"/>
      </c>
      <c r="CS212" s="91" t="str">
        <f t="shared" si="7"/>
      </c>
      <c r="CT212" s="91" t="str">
        <f t="shared" si="7"/>
      </c>
      <c r="CU212" s="91" t="str">
        <f t="shared" si="7"/>
      </c>
      <c r="CV212" s="91" t="str">
        <f t="shared" si="7"/>
      </c>
      <c r="CW212" s="91" t="str">
        <f t="shared" si="7"/>
      </c>
      <c r="CX212" s="91" t="str">
        <f t="shared" si="7"/>
      </c>
      <c r="CY212" s="91" t="str">
        <f t="shared" si="7"/>
      </c>
      <c r="CZ212" s="91" t="str">
        <f t="shared" si="7"/>
      </c>
      <c r="DA212" s="91" t="str">
        <f t="shared" si="7"/>
      </c>
      <c r="DB212" s="91" t="str">
        <f t="shared" si="7"/>
      </c>
      <c r="DC212" s="91" t="str">
        <f t="shared" si="7"/>
      </c>
      <c r="DD212" s="91" t="str">
        <f t="shared" si="7"/>
      </c>
      <c r="DE212" s="91" t="str">
        <f t="shared" si="7"/>
      </c>
      <c r="DF212" s="91" t="str">
        <f t="shared" si="7"/>
      </c>
      <c r="DG212" s="91" t="str">
        <f t="shared" si="7"/>
      </c>
      <c r="DH212" s="91" t="str">
        <f t="shared" si="7"/>
      </c>
      <c r="DI212" s="91" t="str">
        <f t="shared" si="7"/>
      </c>
      <c r="DJ212" s="91" t="str">
        <f t="shared" si="7"/>
      </c>
      <c r="DK212" s="91" t="str">
        <f t="shared" si="7"/>
      </c>
      <c r="DL212" s="91" t="str">
        <f t="shared" si="7"/>
      </c>
      <c r="DM212" s="91" t="str">
        <f t="shared" si="7"/>
      </c>
      <c r="DN212" s="91" t="str">
        <f t="shared" si="7"/>
      </c>
      <c r="DO212" s="91" t="str">
        <f t="shared" si="7"/>
      </c>
      <c r="DP212" s="91" t="str">
        <f t="shared" si="7"/>
      </c>
      <c r="DQ212" s="91" t="str">
        <f t="shared" si="7"/>
      </c>
      <c r="DR212" s="91" t="str">
        <f t="shared" si="7"/>
      </c>
      <c r="DS212" s="91" t="str">
        <f t="shared" si="7"/>
      </c>
      <c r="DT212" s="91" t="str">
        <f t="shared" si="7"/>
      </c>
      <c r="DU212" s="91" t="str">
        <f t="shared" si="7"/>
      </c>
      <c r="DV212" s="91" t="str">
        <f t="shared" si="7"/>
      </c>
      <c r="DW212" s="91" t="str">
        <f t="shared" si="7"/>
      </c>
      <c r="DX212" s="91" t="str">
        <f t="shared" si="7"/>
      </c>
      <c r="DY212" s="91" t="str">
        <f t="shared" si="7"/>
      </c>
      <c r="DZ212" s="91" t="str">
        <f t="shared" si="7"/>
      </c>
      <c r="EA212" s="91" t="str">
        <f t="shared" si="7"/>
      </c>
      <c r="EB212" s="91" t="str">
        <f t="shared" si="7"/>
      </c>
      <c r="EC212" s="91" t="str">
        <f t="shared" si="7"/>
      </c>
      <c r="ED212" s="91" t="str">
        <f t="shared" si="7"/>
      </c>
      <c r="EE212" s="91" t="str">
        <f t="shared" si="7"/>
      </c>
      <c r="EF212" s="91" t="str">
        <f t="shared" si="7"/>
      </c>
      <c r="EG212" s="91" t="str">
        <f t="shared" si="7"/>
      </c>
      <c r="EH212" s="91" t="str">
        <f t="shared" si="7"/>
      </c>
      <c r="EI212" s="91" t="str">
        <f t="shared" si="7"/>
      </c>
      <c r="EJ212" s="91" t="str">
        <f t="shared" si="7"/>
      </c>
      <c r="EK212" s="91" t="str">
        <f t="shared" si="7"/>
      </c>
      <c r="EL212" s="91" t="str">
        <f t="shared" si="7"/>
      </c>
      <c r="EM212" s="91" t="str">
        <f t="shared" si="7"/>
      </c>
      <c r="EN212" s="91" t="str">
        <f t="shared" si="7"/>
      </c>
      <c r="EO212" s="91" t="str">
        <f t="shared" si="7"/>
      </c>
      <c r="EP212" s="91" t="str">
        <f t="shared" si="7"/>
      </c>
      <c r="EQ212" s="91" t="str">
        <f t="shared" si="7"/>
      </c>
      <c r="ER212" s="91" t="str">
        <f t="shared" si="7"/>
      </c>
      <c r="ES212" s="91" t="str">
        <f t="shared" si="7"/>
      </c>
      <c r="ET212" s="91" t="str">
        <f t="shared" si="7"/>
      </c>
      <c r="EU212" s="91" t="str">
        <f t="shared" si="7"/>
      </c>
      <c r="EV212" s="91" t="str">
        <f t="shared" si="7"/>
      </c>
      <c r="EW212" s="91" t="str">
        <f t="shared" si="7"/>
      </c>
      <c r="EX212" s="91" t="str">
        <f t="shared" si="7"/>
      </c>
      <c r="EY212" s="91" t="str">
        <f t="shared" si="7"/>
      </c>
      <c r="EZ212" s="91" t="str">
        <f t="shared" si="7"/>
      </c>
      <c r="FA212" s="91" t="str">
        <f ref="FA212:HL212" t="shared" si="8">IF(SUM(FA193:FA211)&lt;&gt;0,SUM(FA193:FA211),"")</f>
      </c>
      <c r="FB212" s="91" t="str">
        <f t="shared" si="8"/>
      </c>
      <c r="FC212" s="91" t="str">
        <f t="shared" si="8"/>
      </c>
      <c r="FD212" s="91" t="str">
        <f t="shared" si="8"/>
      </c>
      <c r="FE212" s="91" t="str">
        <f t="shared" si="8"/>
      </c>
      <c r="FF212" s="91" t="str">
        <f t="shared" si="8"/>
      </c>
      <c r="FG212" s="91" t="str">
        <f t="shared" si="8"/>
      </c>
      <c r="FH212" s="91" t="str">
        <f t="shared" si="8"/>
      </c>
      <c r="FI212" s="91" t="str">
        <f t="shared" si="8"/>
      </c>
      <c r="FJ212" s="91" t="str">
        <f t="shared" si="8"/>
      </c>
      <c r="FK212" s="91" t="str">
        <f t="shared" si="8"/>
      </c>
      <c r="FL212" s="91" t="str">
        <f t="shared" si="8"/>
      </c>
      <c r="FM212" s="91" t="str">
        <f t="shared" si="8"/>
      </c>
      <c r="FN212" s="91" t="str">
        <f t="shared" si="8"/>
      </c>
      <c r="FO212" s="91" t="str">
        <f t="shared" si="8"/>
      </c>
      <c r="FP212" s="91" t="str">
        <f t="shared" si="8"/>
      </c>
      <c r="FQ212" s="91" t="str">
        <f t="shared" si="8"/>
      </c>
      <c r="FR212" s="91" t="str">
        <f t="shared" si="8"/>
      </c>
      <c r="FS212" s="91" t="str">
        <f t="shared" si="8"/>
      </c>
      <c r="FT212" s="91" t="str">
        <f t="shared" si="8"/>
      </c>
      <c r="FU212" s="91" t="str">
        <f t="shared" si="8"/>
      </c>
      <c r="FV212" s="91" t="str">
        <f t="shared" si="8"/>
      </c>
      <c r="FW212" s="91" t="str">
        <f t="shared" si="8"/>
      </c>
      <c r="FX212" s="91" t="str">
        <f t="shared" si="8"/>
      </c>
      <c r="FY212" s="91" t="str">
        <f t="shared" si="8"/>
      </c>
      <c r="FZ212" s="91" t="str">
        <f t="shared" si="8"/>
      </c>
      <c r="GA212" s="91" t="str">
        <f t="shared" si="8"/>
      </c>
      <c r="GB212" s="91" t="str">
        <f t="shared" si="8"/>
      </c>
      <c r="GC212" s="91" t="str">
        <f t="shared" si="8"/>
      </c>
      <c r="GD212" s="91" t="str">
        <f t="shared" si="8"/>
      </c>
      <c r="GE212" s="91" t="str">
        <f t="shared" si="8"/>
      </c>
      <c r="GF212" s="91" t="str">
        <f t="shared" si="8"/>
      </c>
      <c r="GG212" s="91" t="str">
        <f t="shared" si="8"/>
      </c>
      <c r="GH212" s="91" t="str">
        <f t="shared" si="8"/>
      </c>
      <c r="GI212" s="91" t="str">
        <f t="shared" si="8"/>
      </c>
      <c r="GJ212" s="91" t="str">
        <f t="shared" si="8"/>
      </c>
      <c r="GK212" s="91" t="str">
        <f t="shared" si="8"/>
      </c>
      <c r="GL212" s="91" t="str">
        <f t="shared" si="8"/>
      </c>
      <c r="GM212" s="91" t="str">
        <f t="shared" si="8"/>
      </c>
      <c r="GN212" s="91" t="str">
        <f t="shared" si="8"/>
      </c>
      <c r="GO212" s="91" t="str">
        <f t="shared" si="8"/>
      </c>
      <c r="GP212" s="91" t="str">
        <f t="shared" si="8"/>
      </c>
      <c r="GQ212" s="91" t="str">
        <f t="shared" si="8"/>
      </c>
      <c r="GR212" s="91" t="str">
        <f t="shared" si="8"/>
      </c>
      <c r="GS212" s="91" t="str">
        <f t="shared" si="8"/>
      </c>
      <c r="GT212" s="91" t="str">
        <f t="shared" si="8"/>
      </c>
      <c r="GU212" s="91" t="str">
        <f t="shared" si="8"/>
      </c>
      <c r="GV212" s="91" t="str">
        <f t="shared" si="8"/>
      </c>
      <c r="GW212" s="91" t="str">
        <f t="shared" si="8"/>
      </c>
      <c r="GX212" s="91" t="str">
        <f t="shared" si="8"/>
      </c>
      <c r="GY212" s="91" t="str">
        <f t="shared" si="8"/>
      </c>
      <c r="GZ212" s="91" t="str">
        <f t="shared" si="8"/>
      </c>
      <c r="HA212" s="91" t="str">
        <f t="shared" si="8"/>
      </c>
      <c r="HB212" s="91" t="str">
        <f t="shared" si="8"/>
      </c>
      <c r="HC212" s="91" t="str">
        <f t="shared" si="8"/>
      </c>
      <c r="HD212" s="91" t="str">
        <f t="shared" si="8"/>
      </c>
      <c r="HE212" s="91" t="str">
        <f t="shared" si="8"/>
      </c>
      <c r="HF212" s="91" t="str">
        <f t="shared" si="8"/>
      </c>
      <c r="HG212" s="91" t="str">
        <f t="shared" si="8"/>
      </c>
      <c r="HH212" s="91" t="str">
        <f t="shared" si="8"/>
      </c>
      <c r="HI212" s="91" t="str">
        <f t="shared" si="8"/>
      </c>
      <c r="HJ212" s="91" t="str">
        <f t="shared" si="8"/>
      </c>
      <c r="HK212" s="91" t="str">
        <f t="shared" si="8"/>
      </c>
      <c r="HL212" s="91" t="str">
        <f t="shared" si="8"/>
      </c>
      <c r="HM212" s="91" t="str">
        <f ref="HM212:IV212" t="shared" si="9">IF(SUM(HM193:HM211)&lt;&gt;0,SUM(HM193:HM211),"")</f>
      </c>
      <c r="HN212" s="91" t="str">
        <f t="shared" si="9"/>
      </c>
      <c r="HO212" s="91" t="str">
        <f t="shared" si="9"/>
      </c>
      <c r="HP212" s="91" t="str">
        <f t="shared" si="9"/>
      </c>
      <c r="HQ212" s="91" t="str">
        <f t="shared" si="9"/>
      </c>
      <c r="HR212" s="91" t="str">
        <f t="shared" si="9"/>
      </c>
      <c r="HS212" s="91" t="str">
        <f t="shared" si="9"/>
      </c>
      <c r="HT212" s="91" t="str">
        <f t="shared" si="9"/>
      </c>
      <c r="HU212" s="91" t="str">
        <f t="shared" si="9"/>
      </c>
      <c r="HV212" s="91" t="str">
        <f t="shared" si="9"/>
      </c>
      <c r="HW212" s="91" t="str">
        <f t="shared" si="9"/>
      </c>
      <c r="HX212" s="91" t="str">
        <f t="shared" si="9"/>
      </c>
      <c r="HY212" s="91" t="str">
        <f t="shared" si="9"/>
      </c>
      <c r="HZ212" s="91" t="str">
        <f t="shared" si="9"/>
      </c>
      <c r="IA212" s="91" t="str">
        <f t="shared" si="9"/>
      </c>
      <c r="IB212" s="91" t="str">
        <f t="shared" si="9"/>
      </c>
      <c r="IC212" s="91" t="str">
        <f t="shared" si="9"/>
      </c>
      <c r="ID212" s="91" t="str">
        <f t="shared" si="9"/>
      </c>
      <c r="IE212" s="91" t="str">
        <f t="shared" si="9"/>
      </c>
      <c r="IF212" s="91" t="str">
        <f t="shared" si="9"/>
      </c>
      <c r="IG212" s="91" t="str">
        <f t="shared" si="9"/>
      </c>
      <c r="IH212" s="91" t="str">
        <f t="shared" si="9"/>
      </c>
      <c r="II212" s="91" t="str">
        <f t="shared" si="9"/>
      </c>
      <c r="IJ212" s="91" t="str">
        <f t="shared" si="9"/>
      </c>
      <c r="IK212" s="91" t="str">
        <f t="shared" si="9"/>
      </c>
      <c r="IL212" s="91" t="str">
        <f t="shared" si="9"/>
      </c>
      <c r="IM212" s="91" t="str">
        <f t="shared" si="9"/>
      </c>
      <c r="IN212" s="91" t="str">
        <f t="shared" si="9"/>
      </c>
      <c r="IO212" s="91" t="str">
        <f t="shared" si="9"/>
      </c>
      <c r="IP212" s="91" t="str">
        <f t="shared" si="9"/>
      </c>
      <c r="IQ212" s="91" t="str">
        <f t="shared" si="9"/>
      </c>
      <c r="IR212" s="91" t="str">
        <f t="shared" si="9"/>
      </c>
      <c r="IS212" s="91" t="str">
        <f t="shared" si="9"/>
      </c>
      <c r="IT212" s="91" t="str">
        <f t="shared" si="9"/>
      </c>
      <c r="IU212" s="91" t="str">
        <f t="shared" si="9"/>
      </c>
      <c r="IV212" s="91" t="str">
        <f t="shared" si="9"/>
      </c>
    </row>
    <row r="213" hidden="1" ht="13.5"/>
    <row r="214" hidden="1" ht="15.75" customHeight="1">
      <c r="C214" s="686" t="s">
        <v>183</v>
      </c>
      <c r="D214" s="687"/>
      <c r="E214" s="687"/>
      <c r="F214" s="687"/>
      <c r="G214" s="687"/>
      <c r="H214" s="687"/>
      <c r="I214" s="687"/>
      <c r="J214" s="687"/>
      <c r="K214" s="687"/>
      <c r="L214" s="687"/>
      <c r="M214" s="687"/>
      <c r="N214" s="687"/>
      <c r="O214" s="687"/>
      <c r="P214" s="687"/>
      <c r="Q214" s="687"/>
      <c r="R214" s="687"/>
      <c r="S214" s="687"/>
      <c r="T214" s="687"/>
      <c r="U214" s="687"/>
      <c r="V214" s="687"/>
      <c r="W214" s="687"/>
      <c r="X214" s="687"/>
      <c r="Y214" s="687"/>
      <c r="Z214" s="687"/>
      <c r="AA214" s="687"/>
      <c r="AB214" s="688"/>
    </row>
    <row r="215" hidden="1" ht="15" customHeight="1">
      <c r="C215" s="435" t="str">
        <f> IF(C235&lt;&gt;"",TEXT(AUX!G$1,"dd-MMM-aa"),"")</f>
      </c>
      <c r="D215" s="435" t="str">
        <f> IF(D235&lt;&gt;"",TEXT(AUX!H$1,"dd-MMM-aa"),"")</f>
      </c>
      <c r="E215" s="435" t="str">
        <f> IF(E235&lt;&gt;"",TEXT(AUX!I$1,"dd-MMM-aa"),"")</f>
      </c>
      <c r="F215" s="435" t="str">
        <f> IF(F235&lt;&gt;"",TEXT(AUX!J$1,"dd-MMM-aa"),"")</f>
      </c>
      <c r="G215" s="435" t="str">
        <f> IF(G235&lt;&gt;"",TEXT(AUX!K$1,"dd-MMM-aa"),"")</f>
      </c>
      <c r="H215" s="435" t="str">
        <f> IF(H235&lt;&gt;"",TEXT(AUX!L$1,"dd-MMM-aa"),"")</f>
      </c>
      <c r="I215" s="435" t="str">
        <f> IF(I235&lt;&gt;"",TEXT(AUX!M$1,"dd-MMM-aa"),"")</f>
      </c>
      <c r="J215" s="435" t="str">
        <f> IF(J235&lt;&gt;"",TEXT(AUX!N$1,"dd-MMM-aa"),"")</f>
      </c>
      <c r="K215" s="435" t="str">
        <f> IF(K235&lt;&gt;"",TEXT(AUX!O$1,"dd-MMM-aa"),"")</f>
      </c>
      <c r="L215" s="435" t="str">
        <f> IF(L235&lt;&gt;"",TEXT(AUX!P$1,"dd-MMM-aa"),"")</f>
      </c>
      <c r="M215" s="435" t="str">
        <f> IF(M235&lt;&gt;"",TEXT(AUX!Q$1,"dd-MMM-aa"),"")</f>
      </c>
      <c r="N215" s="435" t="str">
        <f> IF(N235&lt;&gt;"",TEXT(AUX!R$1,"dd-MMM-aa"),"")</f>
      </c>
      <c r="O215" s="435" t="str">
        <f> IF(O235&lt;&gt;"",TEXT(AUX!S$1,"dd-MMM-aa"),"")</f>
      </c>
      <c r="P215" s="435" t="str">
        <f> IF(P235&lt;&gt;"",TEXT(AUX!T$1,"dd-MMM-aa"),"")</f>
      </c>
      <c r="Q215" s="435" t="str">
        <f> IF(Q235&lt;&gt;"",TEXT(AUX!U$1,"dd-MMM-aa"),"")</f>
      </c>
      <c r="R215" s="435" t="str">
        <f> IF(R235&lt;&gt;"",TEXT(AUX!V$1,"dd-MMM-aa"),"")</f>
      </c>
      <c r="S215" s="435" t="str">
        <f> IF(S235&lt;&gt;"",TEXT(AUX!W$1,"dd-MMM-aa"),"")</f>
      </c>
      <c r="T215" s="435" t="str">
        <f> IF(T235&lt;&gt;"",TEXT(AUX!X$1,"dd-MMM-aa"),"")</f>
      </c>
      <c r="U215" s="435" t="str">
        <f> IF(U235&lt;&gt;"",TEXT(AUX!Y$1,"dd-MMM-aa"),"")</f>
      </c>
      <c r="V215" s="435" t="str">
        <f> IF(V235&lt;&gt;"",TEXT(AUX!Z$1,"dd-MMM-aa"),"")</f>
      </c>
      <c r="W215" s="435" t="str">
        <f> IF(W235&lt;&gt;"",TEXT(AUX!AA$1,"dd-MMM-aa"),"")</f>
      </c>
      <c r="X215" s="435" t="str">
        <f> IF(X235&lt;&gt;"",TEXT(AUX!AB$1,"dd-MMM-aa"),"")</f>
      </c>
      <c r="Y215" s="435" t="str">
        <f> IF(Y235&lt;&gt;"",TEXT(AUX!AC$1,"dd-MMM-aa"),"")</f>
      </c>
      <c r="Z215" s="435" t="str">
        <f> IF(Z235&lt;&gt;"",TEXT(AUX!AD$1,"dd-MMM-aa"),"")</f>
      </c>
      <c r="AA215" s="435" t="str">
        <f> IF(AA235&lt;&gt;"",TEXT(AUX!AE$1,"dd-MMM-aa"),"")</f>
      </c>
      <c r="AB215" s="497" t="str">
        <f> IF(AB235&lt;&gt;"",TEXT(AUX!AF$1,"dd-MMM-aa"),"")</f>
      </c>
      <c r="AC215" s="496" t="str">
        <f> IF(AC235&lt;&gt;"",TEXT(AUX!AG$1,"dd-MMM-aa"),"")</f>
      </c>
      <c r="AD215" s="496" t="str">
        <f> IF(AD235&lt;&gt;"",TEXT(AUX!AH$1,"dd-MMM-aa"),"")</f>
      </c>
      <c r="AE215" s="496" t="str">
        <f> IF(AE235&lt;&gt;"",TEXT(AUX!AI$1,"dd-MMM-aa"),"")</f>
      </c>
      <c r="AF215" s="496" t="str">
        <f> IF(AF235&lt;&gt;"",TEXT(AUX!AJ$1,"dd-MMM-aa"),"")</f>
      </c>
      <c r="AG215" s="496" t="str">
        <f> IF(AG235&lt;&gt;"",TEXT(AUX!AK$1,"dd-MMM-aa"),"")</f>
      </c>
      <c r="AH215" s="496" t="str">
        <f> IF(AH235&lt;&gt;"",TEXT(AUX!AL$1,"dd-MMM-aa"),"")</f>
      </c>
      <c r="AI215" s="496" t="str">
        <f> IF(AI235&lt;&gt;"",TEXT(AUX!AM$1,"dd-MMM-aa"),"")</f>
      </c>
      <c r="AJ215" s="496" t="str">
        <f> IF(AJ235&lt;&gt;"",TEXT(AUX!AN$1,"dd-MMM-aa"),"")</f>
      </c>
      <c r="AK215" s="496" t="str">
        <f> IF(AK235&lt;&gt;"",TEXT(AUX!AO$1,"dd-MMM-aa"),"")</f>
      </c>
      <c r="AL215" s="496" t="str">
        <f> IF(AL235&lt;&gt;"",TEXT(AUX!AP$1,"dd-MMM-aa"),"")</f>
      </c>
      <c r="AM215" s="496" t="str">
        <f> IF(AM235&lt;&gt;"",TEXT(AUX!AQ$1,"dd-MMM-aa"),"")</f>
      </c>
      <c r="AN215" s="496" t="str">
        <f> IF(AN235&lt;&gt;"",TEXT(AUX!AR$1,"dd-MMM-aa"),"")</f>
      </c>
      <c r="AO215" s="496" t="str">
        <f> IF(AO235&lt;&gt;"",TEXT(AUX!AS$1,"dd-MMM-aa"),"")</f>
      </c>
      <c r="AP215" s="496" t="str">
        <f> IF(AP235&lt;&gt;"",TEXT(AUX!AT$1,"dd-MMM-aa"),"")</f>
      </c>
      <c r="AQ215" s="496" t="str">
        <f> IF(AQ235&lt;&gt;"",TEXT(AUX!AU$1,"dd-MMM-aa"),"")</f>
      </c>
      <c r="AR215" s="496" t="str">
        <f> IF(AR235&lt;&gt;"",TEXT(AUX!AV$1,"dd-MMM-aa"),"")</f>
      </c>
      <c r="AS215" s="496" t="str">
        <f> IF(AS235&lt;&gt;"",TEXT(AUX!AW$1,"dd-MMM-aa"),"")</f>
      </c>
      <c r="AT215" s="496" t="str">
        <f> IF(AT235&lt;&gt;"",TEXT(AUX!AX$1,"dd-MMM-aa"),"")</f>
      </c>
      <c r="AU215" s="496" t="str">
        <f> IF(AU235&lt;&gt;"",TEXT(AUX!AY$1,"dd-MMM-aa"),"")</f>
      </c>
      <c r="AV215" s="496" t="str">
        <f> IF(AV235&lt;&gt;"",TEXT(AUX!AZ$1,"dd-MMM-aa"),"")</f>
      </c>
      <c r="AW215" s="496" t="str">
        <f> IF(AW235&lt;&gt;"",TEXT(AUX!BA$1,"dd-MMM-aa"),"")</f>
      </c>
      <c r="AX215" s="496" t="str">
        <f> IF(AX235&lt;&gt;"",TEXT(AUX!BB$1,"dd-MMM-aa"),"")</f>
      </c>
      <c r="AY215" s="496" t="str">
        <f> IF(AY235&lt;&gt;"",TEXT(AUX!BC$1,"dd-MMM-aa"),"")</f>
      </c>
      <c r="AZ215" s="496" t="str">
        <f> IF(AZ235&lt;&gt;"",TEXT(AUX!BD$1,"dd-MMM-aa"),"")</f>
      </c>
      <c r="BA215" s="496" t="str">
        <f> IF(BA235&lt;&gt;"",TEXT(AUX!BE$1,"dd-MMM-aa"),"")</f>
      </c>
      <c r="BB215" s="496" t="str">
        <f> IF(BB235&lt;&gt;"",TEXT(AUX!BF$1,"dd-MMM-aa"),"")</f>
      </c>
      <c r="BC215" s="496" t="str">
        <f> IF(BC235&lt;&gt;"",TEXT(AUX!BG$1,"dd-MMM-aa"),"")</f>
      </c>
      <c r="BD215" s="496" t="str">
        <f> IF(BD235&lt;&gt;"",TEXT(AUX!BH$1,"dd-MMM-aa"),"")</f>
      </c>
      <c r="BE215" s="496" t="str">
        <f> IF(BE235&lt;&gt;"",TEXT(AUX!BI$1,"dd-MMM-aa"),"")</f>
      </c>
      <c r="BF215" s="496" t="str">
        <f> IF(BF235&lt;&gt;"",TEXT(AUX!BJ$1,"dd-MMM-aa"),"")</f>
      </c>
      <c r="BG215" s="496" t="str">
        <f> IF(BG235&lt;&gt;"",TEXT(AUX!BK$1,"dd-MMM-aa"),"")</f>
      </c>
      <c r="BH215" s="496" t="str">
        <f> IF(BH235&lt;&gt;"",TEXT(AUX!BL$1,"dd-MMM-aa"),"")</f>
      </c>
      <c r="BI215" s="496" t="str">
        <f> IF(BI235&lt;&gt;"",TEXT(AUX!BM$1,"dd-MMM-aa"),"")</f>
      </c>
      <c r="BJ215" s="496" t="str">
        <f> IF(BJ235&lt;&gt;"",TEXT(AUX!BN$1,"dd-MMM-aa"),"")</f>
      </c>
      <c r="BK215" s="496" t="str">
        <f> IF(BK235&lt;&gt;"",TEXT(AUX!BO$1,"dd-MMM-aa"),"")</f>
      </c>
      <c r="BL215" s="496" t="str">
        <f> IF(BL235&lt;&gt;"",TEXT(AUX!BP$1,"dd-MMM-aa"),"")</f>
      </c>
      <c r="BM215" s="496" t="str">
        <f> IF(BM235&lt;&gt;"",TEXT(AUX!BQ$1,"dd-MMM-aa"),"")</f>
      </c>
      <c r="BN215" s="496" t="str">
        <f> IF(BN235&lt;&gt;"",TEXT(AUX!BR$1,"dd-MMM-aa"),"")</f>
      </c>
      <c r="BO215" s="496" t="str">
        <f> IF(BO235&lt;&gt;"",TEXT(AUX!BS$1,"dd-MMM-aa"),"")</f>
      </c>
      <c r="BP215" s="496" t="str">
        <f> IF(BP235&lt;&gt;"",TEXT(AUX!BT$1,"dd-MMM-aa"),"")</f>
      </c>
      <c r="BQ215" s="496" t="str">
        <f> IF(BQ235&lt;&gt;"",TEXT(AUX!BU$1,"dd-MMM-aa"),"")</f>
      </c>
      <c r="BR215" s="496" t="str">
        <f> IF(BR235&lt;&gt;"",TEXT(AUX!BV$1,"dd-MMM-aa"),"")</f>
      </c>
      <c r="BS215" s="496" t="str">
        <f> IF(BS235&lt;&gt;"",TEXT(AUX!BW$1,"dd-MMM-aa"),"")</f>
      </c>
      <c r="BT215" s="496" t="str">
        <f> IF(BT235&lt;&gt;"",TEXT(AUX!BX$1,"dd-MMM-aa"),"")</f>
      </c>
      <c r="BU215" s="496" t="str">
        <f> IF(BU235&lt;&gt;"",TEXT(AUX!BY$1,"dd-MMM-aa"),"")</f>
      </c>
      <c r="BV215" s="496" t="str">
        <f> IF(BV235&lt;&gt;"",TEXT(AUX!BZ$1,"dd-MMM-aa"),"")</f>
      </c>
      <c r="BW215" s="496" t="str">
        <f> IF(BW235&lt;&gt;"",TEXT(AUX!CA$1,"dd-MMM-aa"),"")</f>
      </c>
      <c r="BX215" s="496" t="str">
        <f> IF(BX235&lt;&gt;"",TEXT(AUX!CB$1,"dd-MMM-aa"),"")</f>
      </c>
      <c r="BY215" s="496" t="str">
        <f> IF(BY235&lt;&gt;"",TEXT(AUX!CC$1,"dd-MMM-aa"),"")</f>
      </c>
      <c r="BZ215" s="496" t="str">
        <f> IF(BZ235&lt;&gt;"",TEXT(AUX!CD$1,"dd-MMM-aa"),"")</f>
      </c>
      <c r="CA215" s="496" t="str">
        <f> IF(CA235&lt;&gt;"",TEXT(AUX!CE$1,"dd-MMM-aa"),"")</f>
      </c>
      <c r="CB215" s="496" t="str">
        <f> IF(CB235&lt;&gt;"",TEXT(AUX!CF$1,"dd-MMM-aa"),"")</f>
      </c>
      <c r="CC215" s="496" t="str">
        <f> IF(CC235&lt;&gt;"",TEXT(AUX!CG$1,"dd-MMM-aa"),"")</f>
      </c>
      <c r="CD215" s="496" t="str">
        <f> IF(CD235&lt;&gt;"",TEXT(AUX!CH$1,"dd-MMM-aa"),"")</f>
      </c>
      <c r="CE215" s="496" t="str">
        <f> IF(CE235&lt;&gt;"",TEXT(AUX!CI$1,"dd-MMM-aa"),"")</f>
      </c>
      <c r="CF215" s="496" t="str">
        <f> IF(CF235&lt;&gt;"",TEXT(AUX!CJ$1,"dd-MMM-aa"),"")</f>
      </c>
      <c r="CG215" s="496" t="str">
        <f> IF(CG235&lt;&gt;"",TEXT(AUX!CK$1,"dd-MMM-aa"),"")</f>
      </c>
      <c r="CH215" s="496" t="str">
        <f> IF(CH235&lt;&gt;"",TEXT(AUX!CL$1,"dd-MMM-aa"),"")</f>
      </c>
      <c r="CI215" s="496" t="str">
        <f> IF(CI235&lt;&gt;"",TEXT(AUX!CM$1,"dd-MMM-aa"),"")</f>
      </c>
      <c r="CJ215" s="496" t="str">
        <f> IF(CJ235&lt;&gt;"",TEXT(AUX!CN$1,"dd-MMM-aa"),"")</f>
      </c>
      <c r="CK215" s="496" t="str">
        <f> IF(CK235&lt;&gt;"",TEXT(AUX!CO$1,"dd-MMM-aa"),"")</f>
      </c>
      <c r="CL215" s="496" t="str">
        <f> IF(CL235&lt;&gt;"",TEXT(AUX!CP$1,"dd-MMM-aa"),"")</f>
      </c>
      <c r="CM215" s="496" t="str">
        <f> IF(CM235&lt;&gt;"",TEXT(AUX!CQ$1,"dd-MMM-aa"),"")</f>
      </c>
      <c r="CN215" s="496" t="str">
        <f> IF(CN235&lt;&gt;"",TEXT(AUX!CR$1,"dd-MMM-aa"),"")</f>
      </c>
      <c r="CO215" s="496" t="str">
        <f> IF(CO235&lt;&gt;"",TEXT(AUX!CS$1,"dd-MMM-aa"),"")</f>
      </c>
      <c r="CP215" s="496" t="str">
        <f> IF(CP235&lt;&gt;"",TEXT(AUX!CT$1,"dd-MMM-aa"),"")</f>
      </c>
      <c r="CQ215" s="496" t="str">
        <f> IF(CQ235&lt;&gt;"",TEXT(AUX!CU$1,"dd-MMM-aa"),"")</f>
      </c>
      <c r="CR215" s="496" t="str">
        <f> IF(CR235&lt;&gt;"",TEXT(AUX!CV$1,"dd-MMM-aa"),"")</f>
      </c>
      <c r="CS215" s="496" t="str">
        <f> IF(CS235&lt;&gt;"",TEXT(AUX!CW$1,"dd-MMM-aa"),"")</f>
      </c>
      <c r="CT215" s="496" t="str">
        <f> IF(CT235&lt;&gt;"",TEXT(AUX!CX$1,"dd-MMM-aa"),"")</f>
      </c>
      <c r="CU215" s="496" t="str">
        <f> IF(CU235&lt;&gt;"",TEXT(AUX!CY$1,"dd-MMM-aa"),"")</f>
      </c>
      <c r="CV215" s="496" t="str">
        <f> IF(CV235&lt;&gt;"",TEXT(AUX!CZ$1,"dd-MMM-aa"),"")</f>
      </c>
      <c r="CW215" s="496" t="str">
        <f> IF(CW235&lt;&gt;"",TEXT(AUX!DA$1,"dd-MMM-aa"),"")</f>
      </c>
      <c r="CX215" s="496" t="str">
        <f> IF(CX235&lt;&gt;"",TEXT(AUX!DB$1,"dd-MMM-aa"),"")</f>
      </c>
      <c r="CY215" s="496" t="str">
        <f> IF(CY235&lt;&gt;"",TEXT(AUX!DC$1,"dd-MMM-aa"),"")</f>
      </c>
      <c r="CZ215" s="496" t="str">
        <f> IF(CZ235&lt;&gt;"",TEXT(AUX!DD$1,"dd-MMM-aa"),"")</f>
      </c>
      <c r="DA215" s="496" t="str">
        <f> IF(DA235&lt;&gt;"",TEXT(AUX!DE$1,"dd-MMM-aa"),"")</f>
      </c>
      <c r="DB215" s="496" t="str">
        <f> IF(DB235&lt;&gt;"",TEXT(AUX!DF$1,"dd-MMM-aa"),"")</f>
      </c>
      <c r="DC215" s="496" t="str">
        <f> IF(DC235&lt;&gt;"",TEXT(AUX!DG$1,"dd-MMM-aa"),"")</f>
      </c>
      <c r="DD215" s="496" t="str">
        <f> IF(DD235&lt;&gt;"",TEXT(AUX!DH$1,"dd-MMM-aa"),"")</f>
      </c>
      <c r="DE215" s="496" t="str">
        <f> IF(DE235&lt;&gt;"",TEXT(AUX!DI$1,"dd-MMM-aa"),"")</f>
      </c>
      <c r="DF215" s="496" t="str">
        <f> IF(DF235&lt;&gt;"",TEXT(AUX!DJ$1,"dd-MMM-aa"),"")</f>
      </c>
      <c r="DG215" s="496" t="str">
        <f> IF(DG235&lt;&gt;"",TEXT(AUX!DK$1,"dd-MMM-aa"),"")</f>
      </c>
      <c r="DH215" s="496" t="str">
        <f> IF(DH235&lt;&gt;"",TEXT(AUX!DL$1,"dd-MMM-aa"),"")</f>
      </c>
      <c r="DI215" s="496" t="str">
        <f> IF(DI235&lt;&gt;"",TEXT(AUX!DM$1,"dd-MMM-aa"),"")</f>
      </c>
      <c r="DJ215" s="496" t="str">
        <f> IF(DJ235&lt;&gt;"",TEXT(AUX!DN$1,"dd-MMM-aa"),"")</f>
      </c>
      <c r="DK215" s="496" t="str">
        <f> IF(DK235&lt;&gt;"",TEXT(AUX!DO$1,"dd-MMM-aa"),"")</f>
      </c>
      <c r="DL215" s="496" t="str">
        <f> IF(DL235&lt;&gt;"",TEXT(AUX!DP$1,"dd-MMM-aa"),"")</f>
      </c>
      <c r="DM215" s="496" t="str">
        <f> IF(DM235&lt;&gt;"",TEXT(AUX!DQ$1,"dd-MMM-aa"),"")</f>
      </c>
      <c r="DN215" s="496" t="str">
        <f> IF(DN235&lt;&gt;"",TEXT(AUX!DR$1,"dd-MMM-aa"),"")</f>
      </c>
      <c r="DO215" s="496" t="str">
        <f> IF(DO235&lt;&gt;"",TEXT(AUX!DS$1,"dd-MMM-aa"),"")</f>
      </c>
      <c r="DP215" s="496" t="str">
        <f> IF(DP235&lt;&gt;"",TEXT(AUX!DT$1,"dd-MMM-aa"),"")</f>
      </c>
      <c r="DQ215" s="496" t="str">
        <f> IF(DQ235&lt;&gt;"",TEXT(AUX!DU$1,"dd-MMM-aa"),"")</f>
      </c>
      <c r="DR215" s="496" t="str">
        <f> IF(DR235&lt;&gt;"",TEXT(AUX!DV$1,"dd-MMM-aa"),"")</f>
      </c>
      <c r="DS215" s="496" t="str">
        <f> IF(DS235&lt;&gt;"",TEXT(AUX!DW$1,"dd-MMM-aa"),"")</f>
      </c>
      <c r="DT215" s="496" t="str">
        <f> IF(DT235&lt;&gt;"",TEXT(AUX!DX$1,"dd-MMM-aa"),"")</f>
      </c>
      <c r="DU215" s="496" t="str">
        <f> IF(DU235&lt;&gt;"",TEXT(AUX!DY$1,"dd-MMM-aa"),"")</f>
      </c>
      <c r="DV215" s="496" t="str">
        <f> IF(DV235&lt;&gt;"",TEXT(AUX!DZ$1,"dd-MMM-aa"),"")</f>
      </c>
      <c r="DW215" s="496" t="str">
        <f> IF(DW235&lt;&gt;"",TEXT(AUX!EA$1,"dd-MMM-aa"),"")</f>
      </c>
      <c r="DX215" s="496" t="str">
        <f> IF(DX235&lt;&gt;"",TEXT(AUX!EB$1,"dd-MMM-aa"),"")</f>
      </c>
      <c r="DY215" s="496" t="str">
        <f> IF(DY235&lt;&gt;"",TEXT(AUX!EC$1,"dd-MMM-aa"),"")</f>
      </c>
      <c r="DZ215" s="496" t="str">
        <f> IF(DZ235&lt;&gt;"",TEXT(AUX!ED$1,"dd-MMM-aa"),"")</f>
      </c>
      <c r="EA215" s="496" t="str">
        <f> IF(EA235&lt;&gt;"",TEXT(AUX!EE$1,"dd-MMM-aa"),"")</f>
      </c>
      <c r="EB215" s="496" t="str">
        <f> IF(EB235&lt;&gt;"",TEXT(AUX!EF$1,"dd-MMM-aa"),"")</f>
      </c>
      <c r="EC215" s="496" t="str">
        <f> IF(EC235&lt;&gt;"",TEXT(AUX!EG$1,"dd-MMM-aa"),"")</f>
      </c>
      <c r="ED215" s="496" t="str">
        <f> IF(ED235&lt;&gt;"",TEXT(AUX!EH$1,"dd-MMM-aa"),"")</f>
      </c>
      <c r="EE215" s="496" t="str">
        <f> IF(EE235&lt;&gt;"",TEXT(AUX!EI$1,"dd-MMM-aa"),"")</f>
      </c>
      <c r="EF215" s="496" t="str">
        <f> IF(EF235&lt;&gt;"",TEXT(AUX!EJ$1,"dd-MMM-aa"),"")</f>
      </c>
      <c r="EG215" s="496" t="str">
        <f> IF(EG235&lt;&gt;"",TEXT(AUX!EK$1,"dd-MMM-aa"),"")</f>
      </c>
      <c r="EH215" s="496" t="str">
        <f> IF(EH235&lt;&gt;"",TEXT(AUX!EL$1,"dd-MMM-aa"),"")</f>
      </c>
      <c r="EI215" s="496" t="str">
        <f> IF(EI235&lt;&gt;"",TEXT(AUX!EM$1,"dd-MMM-aa"),"")</f>
      </c>
      <c r="EJ215" s="496" t="str">
        <f> IF(EJ235&lt;&gt;"",TEXT(AUX!EN$1,"dd-MMM-aa"),"")</f>
      </c>
      <c r="EK215" s="496" t="str">
        <f> IF(EK235&lt;&gt;"",TEXT(AUX!EO$1,"dd-MMM-aa"),"")</f>
      </c>
      <c r="EL215" s="496" t="str">
        <f> IF(EL235&lt;&gt;"",TEXT(AUX!EP$1,"dd-MMM-aa"),"")</f>
      </c>
      <c r="EM215" s="496" t="str">
        <f> IF(EM235&lt;&gt;"",TEXT(AUX!EQ$1,"dd-MMM-aa"),"")</f>
      </c>
      <c r="EN215" s="496" t="str">
        <f> IF(EN235&lt;&gt;"",TEXT(AUX!ER$1,"dd-MMM-aa"),"")</f>
      </c>
      <c r="EO215" s="496" t="str">
        <f> IF(EO235&lt;&gt;"",TEXT(AUX!ES$1,"dd-MMM-aa"),"")</f>
      </c>
      <c r="EP215" s="496" t="str">
        <f> IF(EP235&lt;&gt;"",TEXT(AUX!ET$1,"dd-MMM-aa"),"")</f>
      </c>
      <c r="EQ215" s="496" t="str">
        <f> IF(EQ235&lt;&gt;"",TEXT(AUX!EU$1,"dd-MMM-aa"),"")</f>
      </c>
      <c r="ER215" s="496" t="str">
        <f> IF(ER235&lt;&gt;"",TEXT(AUX!EV$1,"dd-MMM-aa"),"")</f>
      </c>
      <c r="ES215" s="496" t="str">
        <f> IF(ES235&lt;&gt;"",TEXT(AUX!EW$1,"dd-MMM-aa"),"")</f>
      </c>
      <c r="ET215" s="496" t="str">
        <f> IF(ET235&lt;&gt;"",TEXT(AUX!EX$1,"dd-MMM-aa"),"")</f>
      </c>
      <c r="EU215" s="496" t="str">
        <f> IF(EU235&lt;&gt;"",TEXT(AUX!EY$1,"dd-MMM-aa"),"")</f>
      </c>
      <c r="EV215" s="496" t="str">
        <f> IF(EV235&lt;&gt;"",TEXT(AUX!EZ$1,"dd-MMM-aa"),"")</f>
      </c>
      <c r="EW215" s="496" t="str">
        <f> IF(EW235&lt;&gt;"",TEXT(AUX!FA$1,"dd-MMM-aa"),"")</f>
      </c>
      <c r="EX215" s="496" t="str">
        <f> IF(EX235&lt;&gt;"",TEXT(AUX!FB$1,"dd-MMM-aa"),"")</f>
      </c>
      <c r="EY215" s="496" t="str">
        <f> IF(EY235&lt;&gt;"",TEXT(AUX!FC$1,"dd-MMM-aa"),"")</f>
      </c>
      <c r="EZ215" s="496" t="str">
        <f> IF(EZ235&lt;&gt;"",TEXT(AUX!FD$1,"dd-MMM-aa"),"")</f>
      </c>
      <c r="FA215" s="496" t="str">
        <f> IF(FA235&lt;&gt;"",TEXT(AUX!FE$1,"dd-MMM-aa"),"")</f>
      </c>
      <c r="FB215" s="496" t="str">
        <f> IF(FB235&lt;&gt;"",TEXT(AUX!FF$1,"dd-MMM-aa"),"")</f>
      </c>
      <c r="FC215" s="496" t="str">
        <f> IF(FC235&lt;&gt;"",TEXT(AUX!FG$1,"dd-MMM-aa"),"")</f>
      </c>
      <c r="FD215" s="496" t="str">
        <f> IF(FD235&lt;&gt;"",TEXT(AUX!FH$1,"dd-MMM-aa"),"")</f>
      </c>
      <c r="FE215" s="496" t="str">
        <f> IF(FE235&lt;&gt;"",TEXT(AUX!FI$1,"dd-MMM-aa"),"")</f>
      </c>
      <c r="FF215" s="496" t="str">
        <f> IF(FF235&lt;&gt;"",TEXT(AUX!FJ$1,"dd-MMM-aa"),"")</f>
      </c>
      <c r="FG215" s="496" t="str">
        <f> IF(FG235&lt;&gt;"",TEXT(AUX!FK$1,"dd-MMM-aa"),"")</f>
      </c>
      <c r="FH215" s="496" t="str">
        <f> IF(FH235&lt;&gt;"",TEXT(AUX!FL$1,"dd-MMM-aa"),"")</f>
      </c>
      <c r="FI215" s="496" t="str">
        <f> IF(FI235&lt;&gt;"",TEXT(AUX!FM$1,"dd-MMM-aa"),"")</f>
      </c>
      <c r="FJ215" s="496" t="str">
        <f> IF(FJ235&lt;&gt;"",TEXT(AUX!FN$1,"dd-MMM-aa"),"")</f>
      </c>
      <c r="FK215" s="496" t="str">
        <f> IF(FK235&lt;&gt;"",TEXT(AUX!FO$1,"dd-MMM-aa"),"")</f>
      </c>
      <c r="FL215" s="496" t="str">
        <f> IF(FL235&lt;&gt;"",TEXT(AUX!FP$1,"dd-MMM-aa"),"")</f>
      </c>
      <c r="FM215" s="496" t="str">
        <f> IF(FM235&lt;&gt;"",TEXT(AUX!FQ$1,"dd-MMM-aa"),"")</f>
      </c>
      <c r="FN215" s="496" t="str">
        <f> IF(FN235&lt;&gt;"",TEXT(AUX!FR$1,"dd-MMM-aa"),"")</f>
      </c>
      <c r="FO215" s="496" t="str">
        <f> IF(FO235&lt;&gt;"",TEXT(AUX!FS$1,"dd-MMM-aa"),"")</f>
      </c>
      <c r="FP215" s="496" t="str">
        <f> IF(FP235&lt;&gt;"",TEXT(AUX!FT$1,"dd-MMM-aa"),"")</f>
      </c>
      <c r="FQ215" s="496" t="str">
        <f> IF(FQ235&lt;&gt;"",TEXT(AUX!FU$1,"dd-MMM-aa"),"")</f>
      </c>
      <c r="FR215" s="496" t="str">
        <f> IF(FR235&lt;&gt;"",TEXT(AUX!FV$1,"dd-MMM-aa"),"")</f>
      </c>
      <c r="FS215" s="496" t="str">
        <f> IF(FS235&lt;&gt;"",TEXT(AUX!FW$1,"dd-MMM-aa"),"")</f>
      </c>
      <c r="FT215" s="496" t="str">
        <f> IF(FT235&lt;&gt;"",TEXT(AUX!FX$1,"dd-MMM-aa"),"")</f>
      </c>
      <c r="FU215" s="496" t="str">
        <f> IF(FU235&lt;&gt;"",TEXT(AUX!FY$1,"dd-MMM-aa"),"")</f>
      </c>
      <c r="FV215" s="496" t="str">
        <f> IF(FV235&lt;&gt;"",TEXT(AUX!FZ$1,"dd-MMM-aa"),"")</f>
      </c>
      <c r="FW215" s="496" t="str">
        <f> IF(FW235&lt;&gt;"",TEXT(AUX!GA$1,"dd-MMM-aa"),"")</f>
      </c>
      <c r="FX215" s="496" t="str">
        <f> IF(FX235&lt;&gt;"",TEXT(AUX!GB$1,"dd-MMM-aa"),"")</f>
      </c>
      <c r="FY215" s="496" t="str">
        <f> IF(FY235&lt;&gt;"",TEXT(AUX!GC$1,"dd-MMM-aa"),"")</f>
      </c>
      <c r="FZ215" s="496" t="str">
        <f> IF(FZ235&lt;&gt;"",TEXT(AUX!GD$1,"dd-MMM-aa"),"")</f>
      </c>
      <c r="GA215" s="496" t="str">
        <f> IF(GA235&lt;&gt;"",TEXT(AUX!GE$1,"dd-MMM-aa"),"")</f>
      </c>
      <c r="GB215" s="496" t="str">
        <f> IF(GB235&lt;&gt;"",TEXT(AUX!GF$1,"dd-MMM-aa"),"")</f>
      </c>
      <c r="GC215" s="496" t="str">
        <f> IF(GC235&lt;&gt;"",TEXT(AUX!GG$1,"dd-MMM-aa"),"")</f>
      </c>
      <c r="GD215" s="496" t="str">
        <f> IF(GD235&lt;&gt;"",TEXT(AUX!GH$1,"dd-MMM-aa"),"")</f>
      </c>
      <c r="GE215" s="496" t="str">
        <f> IF(GE235&lt;&gt;"",TEXT(AUX!GI$1,"dd-MMM-aa"),"")</f>
      </c>
      <c r="GF215" s="496" t="str">
        <f> IF(GF235&lt;&gt;"",TEXT(AUX!GJ$1,"dd-MMM-aa"),"")</f>
      </c>
      <c r="GG215" s="496" t="str">
        <f> IF(GG235&lt;&gt;"",TEXT(AUX!GK$1,"dd-MMM-aa"),"")</f>
      </c>
      <c r="GH215" s="496" t="str">
        <f> IF(GH235&lt;&gt;"",TEXT(AUX!GL$1,"dd-MMM-aa"),"")</f>
      </c>
      <c r="GI215" s="496" t="str">
        <f> IF(GI235&lt;&gt;"",TEXT(AUX!GM$1,"dd-MMM-aa"),"")</f>
      </c>
      <c r="GJ215" s="496" t="str">
        <f> IF(GJ235&lt;&gt;"",TEXT(AUX!GN$1,"dd-MMM-aa"),"")</f>
      </c>
      <c r="GK215" s="496" t="str">
        <f> IF(GK235&lt;&gt;"",TEXT(AUX!GO$1,"dd-MMM-aa"),"")</f>
      </c>
      <c r="GL215" s="496" t="str">
        <f> IF(GL235&lt;&gt;"",TEXT(AUX!GP$1,"dd-MMM-aa"),"")</f>
      </c>
      <c r="GM215" s="496" t="str">
        <f> IF(GM235&lt;&gt;"",TEXT(AUX!GQ$1,"dd-MMM-aa"),"")</f>
      </c>
      <c r="GN215" s="496" t="str">
        <f> IF(GN235&lt;&gt;"",TEXT(AUX!GR$1,"dd-MMM-aa"),"")</f>
      </c>
      <c r="GO215" s="496" t="str">
        <f> IF(GO235&lt;&gt;"",TEXT(AUX!GS$1,"dd-MMM-aa"),"")</f>
      </c>
      <c r="GP215" s="496" t="str">
        <f> IF(GP235&lt;&gt;"",TEXT(AUX!GT$1,"dd-MMM-aa"),"")</f>
      </c>
      <c r="GQ215" s="496" t="str">
        <f> IF(GQ235&lt;&gt;"",TEXT(AUX!GU$1,"dd-MMM-aa"),"")</f>
      </c>
      <c r="GR215" s="496" t="str">
        <f> IF(GR235&lt;&gt;"",TEXT(AUX!GV$1,"dd-MMM-aa"),"")</f>
      </c>
      <c r="GS215" s="496" t="str">
        <f> IF(GS235&lt;&gt;"",TEXT(AUX!GW$1,"dd-MMM-aa"),"")</f>
      </c>
      <c r="GT215" s="496" t="str">
        <f> IF(GT235&lt;&gt;"",TEXT(AUX!GX$1,"dd-MMM-aa"),"")</f>
      </c>
      <c r="GU215" s="496" t="str">
        <f> IF(GU235&lt;&gt;"",TEXT(AUX!GY$1,"dd-MMM-aa"),"")</f>
      </c>
      <c r="GV215" s="496" t="str">
        <f> IF(GV235&lt;&gt;"",TEXT(AUX!GZ$1,"dd-MMM-aa"),"")</f>
      </c>
      <c r="GW215" s="496" t="str">
        <f> IF(GW235&lt;&gt;"",TEXT(AUX!HA$1,"dd-MMM-aa"),"")</f>
      </c>
      <c r="GX215" s="496" t="str">
        <f> IF(GX235&lt;&gt;"",TEXT(AUX!HB$1,"dd-MMM-aa"),"")</f>
      </c>
      <c r="GY215" s="496" t="str">
        <f> IF(GY235&lt;&gt;"",TEXT(AUX!HC$1,"dd-MMM-aa"),"")</f>
      </c>
      <c r="GZ215" s="496" t="str">
        <f> IF(GZ235&lt;&gt;"",TEXT(AUX!HD$1,"dd-MMM-aa"),"")</f>
      </c>
      <c r="HA215" s="496" t="str">
        <f> IF(HA235&lt;&gt;"",TEXT(AUX!HE$1,"dd-MMM-aa"),"")</f>
      </c>
      <c r="HB215" s="496" t="str">
        <f> IF(HB235&lt;&gt;"",TEXT(AUX!HF$1,"dd-MMM-aa"),"")</f>
      </c>
      <c r="HC215" s="496" t="str">
        <f> IF(HC235&lt;&gt;"",TEXT(AUX!HG$1,"dd-MMM-aa"),"")</f>
      </c>
      <c r="HD215" s="496" t="str">
        <f> IF(HD235&lt;&gt;"",TEXT(AUX!HH$1,"dd-MMM-aa"),"")</f>
      </c>
      <c r="HE215" s="496" t="str">
        <f> IF(HE235&lt;&gt;"",TEXT(AUX!HI$1,"dd-MMM-aa"),"")</f>
      </c>
      <c r="HF215" s="496" t="str">
        <f> IF(HF235&lt;&gt;"",TEXT(AUX!HJ$1,"dd-MMM-aa"),"")</f>
      </c>
      <c r="HG215" s="496" t="str">
        <f> IF(HG235&lt;&gt;"",TEXT(AUX!HK$1,"dd-MMM-aa"),"")</f>
      </c>
      <c r="HH215" s="496" t="str">
        <f> IF(HH235&lt;&gt;"",TEXT(AUX!HL$1,"dd-MMM-aa"),"")</f>
      </c>
      <c r="HI215" s="496" t="str">
        <f> IF(HI235&lt;&gt;"",TEXT(AUX!HM$1,"dd-MMM-aa"),"")</f>
      </c>
      <c r="HJ215" s="496" t="str">
        <f> IF(HJ235&lt;&gt;"",TEXT(AUX!HN$1,"dd-MMM-aa"),"")</f>
      </c>
      <c r="HK215" s="496" t="str">
        <f> IF(HK235&lt;&gt;"",TEXT(AUX!HO$1,"dd-MMM-aa"),"")</f>
      </c>
      <c r="HL215" s="496" t="str">
        <f> IF(HL235&lt;&gt;"",TEXT(AUX!HP$1,"dd-MMM-aa"),"")</f>
      </c>
      <c r="HM215" s="496" t="str">
        <f> IF(HM235&lt;&gt;"",TEXT(AUX!HQ$1,"dd-MMM-aa"),"")</f>
      </c>
      <c r="HN215" s="496" t="str">
        <f> IF(HN235&lt;&gt;"",TEXT(AUX!HR$1,"dd-MMM-aa"),"")</f>
      </c>
      <c r="HO215" s="496" t="str">
        <f> IF(HO235&lt;&gt;"",TEXT(AUX!HS$1,"dd-MMM-aa"),"")</f>
      </c>
      <c r="HP215" s="496" t="str">
        <f> IF(HP235&lt;&gt;"",TEXT(AUX!HT$1,"dd-MMM-aa"),"")</f>
      </c>
      <c r="HQ215" s="496" t="str">
        <f> IF(HQ235&lt;&gt;"",TEXT(AUX!HU$1,"dd-MMM-aa"),"")</f>
      </c>
      <c r="HR215" s="496" t="str">
        <f> IF(HR235&lt;&gt;"",TEXT(AUX!HV$1,"dd-MMM-aa"),"")</f>
      </c>
      <c r="HS215" s="496" t="str">
        <f> IF(HS235&lt;&gt;"",TEXT(AUX!HW$1,"dd-MMM-aa"),"")</f>
      </c>
      <c r="HT215" s="496" t="str">
        <f> IF(HT235&lt;&gt;"",TEXT(AUX!HX$1,"dd-MMM-aa"),"")</f>
      </c>
      <c r="HU215" s="496" t="str">
        <f> IF(HU235&lt;&gt;"",TEXT(AUX!HY$1,"dd-MMM-aa"),"")</f>
      </c>
      <c r="HV215" s="496" t="str">
        <f> IF(HV235&lt;&gt;"",TEXT(AUX!HZ$1,"dd-MMM-aa"),"")</f>
      </c>
      <c r="HW215" s="496" t="str">
        <f> IF(HW235&lt;&gt;"",TEXT(AUX!IA$1,"dd-MMM-aa"),"")</f>
      </c>
      <c r="HX215" s="496" t="str">
        <f> IF(HX235&lt;&gt;"",TEXT(AUX!IB$1,"dd-MMM-aa"),"")</f>
      </c>
      <c r="HY215" s="496" t="str">
        <f> IF(HY235&lt;&gt;"",TEXT(AUX!IC$1,"dd-MMM-aa"),"")</f>
      </c>
      <c r="HZ215" s="496" t="str">
        <f> IF(HZ235&lt;&gt;"",TEXT(AUX!ID$1,"dd-MMM-aa"),"")</f>
      </c>
      <c r="IA215" s="496" t="str">
        <f> IF(IA235&lt;&gt;"",TEXT(AUX!IE$1,"dd-MMM-aa"),"")</f>
      </c>
      <c r="IB215" s="496" t="str">
        <f> IF(IB235&lt;&gt;"",TEXT(AUX!IF$1,"dd-MMM-aa"),"")</f>
      </c>
      <c r="IC215" s="496" t="str">
        <f> IF(IC235&lt;&gt;"",TEXT(AUX!IG$1,"dd-MMM-aa"),"")</f>
      </c>
      <c r="ID215" s="496" t="str">
        <f> IF(ID235&lt;&gt;"",TEXT(AUX!IH$1,"dd-MMM-aa"),"")</f>
      </c>
      <c r="IE215" s="496" t="str">
        <f> IF(IE235&lt;&gt;"",TEXT(AUX!II$1,"dd-MMM-aa"),"")</f>
      </c>
      <c r="IF215" s="496" t="str">
        <f> IF(IF235&lt;&gt;"",TEXT(AUX!IJ$1,"dd-MMM-aa"),"")</f>
      </c>
      <c r="IG215" s="496" t="str">
        <f> IF(IG235&lt;&gt;"",TEXT(AUX!IK$1,"dd-MMM-aa"),"")</f>
      </c>
      <c r="IH215" s="496" t="str">
        <f> IF(IH235&lt;&gt;"",TEXT(AUX!IL$1,"dd-MMM-aa"),"")</f>
      </c>
      <c r="II215" s="496" t="str">
        <f> IF(II235&lt;&gt;"",TEXT(AUX!IM$1,"dd-MMM-aa"),"")</f>
      </c>
      <c r="IJ215" s="496" t="str">
        <f> IF(IJ235&lt;&gt;"",TEXT(AUX!IN$1,"dd-MMM-aa"),"")</f>
      </c>
      <c r="IK215" s="496" t="str">
        <f> IF(IK235&lt;&gt;"",TEXT(AUX!IO$1,"dd-MMM-aa"),"")</f>
      </c>
      <c r="IL215" s="496" t="str">
        <f> IF(IL235&lt;&gt;"",TEXT(AUX!IP$1,"dd-MMM-aa"),"")</f>
      </c>
      <c r="IM215" s="496" t="str">
        <f> IF(IM235&lt;&gt;"",TEXT(AUX!IQ$1,"dd-MMM-aa"),"")</f>
      </c>
      <c r="IN215" s="496" t="str">
        <f> IF(IN235&lt;&gt;"",TEXT(AUX!IR$1,"dd-MMM-aa"),"")</f>
      </c>
      <c r="IO215" s="496" t="str">
        <f> IF(IO235&lt;&gt;"",TEXT(AUX!IS$1,"dd-MMM-aa"),"")</f>
      </c>
      <c r="IP215" s="496" t="str">
        <f> IF(IP235&lt;&gt;"",TEXT(AUX!IT$1,"dd-MMM-aa"),"")</f>
      </c>
      <c r="IQ215" s="496" t="str">
        <f> IF(IQ235&lt;&gt;"",TEXT(AUX!IU$1,"dd-MMM-aa"),"")</f>
      </c>
      <c r="IR215" s="496" t="str">
        <f> IF(IR235&lt;&gt;"",TEXT(AUX!IV$1,"dd-MMM-aa"),"")</f>
      </c>
      <c r="IS215" s="496" t="str">
        <f> IF(IS235&lt;&gt;"",TEXT(AUX!#REF!,"dd-MMM-aa"),"")</f>
      </c>
      <c r="IT215" s="496" t="str">
        <f> IF(IT235&lt;&gt;"",TEXT(AUX!#REF!,"dd-MMM-aa"),"")</f>
      </c>
      <c r="IU215" s="496" t="str">
        <f> IF(IU235&lt;&gt;"",TEXT(AUX!#REF!,"dd-MMM-aa"),"")</f>
      </c>
      <c r="IV215" s="496" t="str">
        <f> IF(IV235&lt;&gt;"",TEXT(AUX!#REF!,"dd-MMM-aa"),"")</f>
      </c>
    </row>
    <row r="216" hidden="1">
      <c r="B216" s="822" t="s">
        <v>8</v>
      </c>
      <c r="C216" s="823">
        <v>18339055</v>
      </c>
      <c r="D216" s="823">
        <v>19163640</v>
      </c>
      <c r="E216" s="823">
        <v>17915230</v>
      </c>
      <c r="F216" s="823">
        <v>14673182</v>
      </c>
      <c r="G216" s="823">
        <v>13750933</v>
      </c>
      <c r="H216" s="823">
        <v>11009236</v>
      </c>
      <c r="I216" s="823">
        <v>11660377</v>
      </c>
      <c r="J216" s="823">
        <v>12061605</v>
      </c>
      <c r="K216" s="823">
        <v>11935487</v>
      </c>
      <c r="L216" s="823">
        <v>11238535</v>
      </c>
      <c r="M216" s="823">
        <v>8744500</v>
      </c>
      <c r="N216" s="823">
        <v>10309094</v>
      </c>
      <c r="O216" s="823">
        <v>11328097</v>
      </c>
      <c r="P216" s="823">
        <v>10489583</v>
      </c>
      <c r="Q216" s="823">
        <v>11914959</v>
      </c>
      <c r="R216" s="823">
        <v>11495445</v>
      </c>
      <c r="S216" s="823">
        <v>10824294</v>
      </c>
      <c r="T216" s="823">
        <v>10301621</v>
      </c>
      <c r="U216" s="823">
        <v>11198766</v>
      </c>
      <c r="V216" s="823">
        <v>10769306</v>
      </c>
      <c r="W216" s="823">
        <v>11516759</v>
      </c>
      <c r="X216" s="823">
        <v>11157840</v>
      </c>
      <c r="Y216" s="823">
        <v>11567889</v>
      </c>
      <c r="Z216" s="823">
        <v>11816328</v>
      </c>
      <c r="AA216" s="823">
        <v>12595236</v>
      </c>
      <c r="AB216" s="824">
        <v>12837044</v>
      </c>
      <c r="AC216" s="825">
        <v>13589917</v>
      </c>
      <c r="AD216" s="825">
        <v>14188629</v>
      </c>
      <c r="AE216" s="825">
        <v>14427699</v>
      </c>
      <c r="AF216" s="825">
        <v>14506767</v>
      </c>
      <c r="AG216" s="825">
        <v>14444238</v>
      </c>
      <c r="AH216" s="825">
        <v>12406576</v>
      </c>
      <c r="AI216" s="825">
        <v>13813093</v>
      </c>
      <c r="AJ216" s="825">
        <v>13028730</v>
      </c>
      <c r="AK216" s="825">
        <v>14404532</v>
      </c>
      <c r="AL216" s="825">
        <v>13514780</v>
      </c>
      <c r="AM216" s="825">
        <v>13272050</v>
      </c>
      <c r="AN216" s="825">
        <v>14179295</v>
      </c>
      <c r="AO216" s="825">
        <v>14904079</v>
      </c>
      <c r="AP216" s="825">
        <v>15861535</v>
      </c>
    </row>
    <row r="217" hidden="1">
      <c r="B217" s="826" t="s">
        <v>9</v>
      </c>
      <c r="C217" s="827">
        <v>10975463</v>
      </c>
      <c r="D217" s="827">
        <v>11523917</v>
      </c>
      <c r="E217" s="827">
        <v>11622117</v>
      </c>
      <c r="F217" s="827">
        <v>11367178</v>
      </c>
      <c r="G217" s="827">
        <v>11607678</v>
      </c>
      <c r="H217" s="827">
        <v>11607678</v>
      </c>
      <c r="I217" s="827">
        <v>11641580</v>
      </c>
      <c r="J217" s="827">
        <v>11566465</v>
      </c>
      <c r="K217" s="827">
        <v>428025</v>
      </c>
      <c r="L217" s="827">
        <v>514075</v>
      </c>
      <c r="M217" s="827">
        <v>948825</v>
      </c>
      <c r="N217" s="827">
        <v>9338639</v>
      </c>
      <c r="O217" s="827">
        <v>12950449</v>
      </c>
      <c r="P217" s="827">
        <v>12791839</v>
      </c>
      <c r="Q217" s="827">
        <v>14805849</v>
      </c>
      <c r="R217" s="827">
        <v>13987121</v>
      </c>
      <c r="S217" s="827">
        <v>14528524</v>
      </c>
      <c r="T217" s="827">
        <v>14348913</v>
      </c>
      <c r="U217" s="827">
        <v>14423742</v>
      </c>
      <c r="V217" s="827">
        <v>14195025</v>
      </c>
      <c r="W217" s="827">
        <v>13921636</v>
      </c>
      <c r="X217" s="827">
        <v>14274215</v>
      </c>
      <c r="Y217" s="827">
        <v>13846127</v>
      </c>
      <c r="Z217" s="827">
        <v>14119367</v>
      </c>
      <c r="AA217" s="827">
        <v>45129914</v>
      </c>
      <c r="AB217" s="827">
        <v>45187690</v>
      </c>
      <c r="AC217" s="828">
        <v>61193967</v>
      </c>
      <c r="AD217" s="828">
        <v>59846528</v>
      </c>
      <c r="AE217" s="828">
        <v>59631380</v>
      </c>
      <c r="AF217" s="828">
        <v>59124667</v>
      </c>
      <c r="AG217" s="828">
        <v>58404681</v>
      </c>
      <c r="AH217" s="828">
        <v>57554245</v>
      </c>
      <c r="AI217" s="828">
        <v>31698921</v>
      </c>
      <c r="AJ217" s="828">
        <v>31532101</v>
      </c>
      <c r="AK217" s="828">
        <v>28161994</v>
      </c>
      <c r="AL217" s="828">
        <v>27546636</v>
      </c>
      <c r="AM217" s="828">
        <v>27456475</v>
      </c>
      <c r="AN217" s="828">
        <v>27607815</v>
      </c>
      <c r="AO217" s="828">
        <v>26628572</v>
      </c>
      <c r="AP217" s="828">
        <v>26981834</v>
      </c>
    </row>
    <row r="218" hidden="1">
      <c r="B218" s="829" t="s">
        <v>10</v>
      </c>
      <c r="C218" s="823">
        <v>71440</v>
      </c>
      <c r="D218" s="823">
        <v>71440</v>
      </c>
      <c r="E218" s="823">
        <v>72850</v>
      </c>
      <c r="F218" s="823">
        <v>72850</v>
      </c>
      <c r="G218" s="823">
        <v>43700</v>
      </c>
      <c r="H218" s="823">
        <v>43700</v>
      </c>
      <c r="I218" s="823">
        <v>27984</v>
      </c>
      <c r="J218" s="823">
        <v>27984</v>
      </c>
      <c r="K218" s="823">
        <v>38930</v>
      </c>
      <c r="L218" s="823">
        <v>38950</v>
      </c>
      <c r="M218" s="823">
        <v>44750</v>
      </c>
      <c r="N218" s="823">
        <v>44750</v>
      </c>
      <c r="O218" s="823">
        <v>47550</v>
      </c>
      <c r="P218" s="823">
        <v>47200</v>
      </c>
      <c r="Q218" s="823">
        <v>39886</v>
      </c>
      <c r="R218" s="823">
        <v>39886</v>
      </c>
      <c r="S218" s="823">
        <v>40239</v>
      </c>
      <c r="T218" s="823">
        <v>41069</v>
      </c>
      <c r="U218" s="823">
        <v>36586</v>
      </c>
      <c r="V218" s="823">
        <v>36586</v>
      </c>
      <c r="W218" s="823">
        <v>44756</v>
      </c>
      <c r="X218" s="823">
        <v>44756</v>
      </c>
      <c r="Y218" s="823">
        <v>44534</v>
      </c>
      <c r="Z218" s="823">
        <v>47254</v>
      </c>
      <c r="AA218" s="823">
        <v>48104</v>
      </c>
      <c r="AB218" s="823">
        <v>48124</v>
      </c>
      <c r="AC218" s="825">
        <v>51347</v>
      </c>
      <c r="AD218" s="825">
        <v>51347</v>
      </c>
      <c r="AE218" s="825">
        <v>44127</v>
      </c>
      <c r="AF218" s="825">
        <v>43743</v>
      </c>
      <c r="AG218" s="825">
        <v>40130</v>
      </c>
      <c r="AH218" s="825">
        <v>38630</v>
      </c>
      <c r="AI218" s="825">
        <v>32213</v>
      </c>
      <c r="AJ218" s="825">
        <v>32213</v>
      </c>
      <c r="AK218" s="825">
        <v>31244</v>
      </c>
      <c r="AL218" s="825">
        <v>31244</v>
      </c>
      <c r="AM218" s="825">
        <v>16148</v>
      </c>
      <c r="AN218" s="825">
        <v>16148</v>
      </c>
      <c r="AO218" s="825">
        <v>12250</v>
      </c>
      <c r="AP218" s="825">
        <v>8686</v>
      </c>
    </row>
    <row r="219" hidden="1">
      <c r="B219" s="826" t="s">
        <v>11</v>
      </c>
      <c r="C219" s="827">
        <v>697689</v>
      </c>
      <c r="D219" s="827">
        <v>713397</v>
      </c>
      <c r="E219" s="827">
        <v>756688</v>
      </c>
      <c r="F219" s="827">
        <v>776084</v>
      </c>
      <c r="G219" s="827">
        <v>666896</v>
      </c>
      <c r="H219" s="827">
        <v>666390</v>
      </c>
      <c r="I219" s="827">
        <v>641788</v>
      </c>
      <c r="J219" s="827">
        <v>643166</v>
      </c>
      <c r="K219" s="827">
        <v>568620</v>
      </c>
      <c r="L219" s="827">
        <v>567920</v>
      </c>
      <c r="M219" s="827">
        <v>575805</v>
      </c>
      <c r="N219" s="827">
        <v>575805</v>
      </c>
      <c r="O219" s="827">
        <v>649700</v>
      </c>
      <c r="P219" s="827">
        <v>649700</v>
      </c>
      <c r="Q219" s="827">
        <v>603150</v>
      </c>
      <c r="R219" s="827">
        <v>603150</v>
      </c>
      <c r="S219" s="827">
        <v>440220</v>
      </c>
      <c r="T219" s="827">
        <v>435470</v>
      </c>
      <c r="U219" s="827">
        <v>448740</v>
      </c>
      <c r="V219" s="827">
        <v>430740</v>
      </c>
      <c r="W219" s="827">
        <v>278270</v>
      </c>
      <c r="X219" s="827">
        <v>107950</v>
      </c>
      <c r="Y219" s="827">
        <v>204271</v>
      </c>
      <c r="Z219" s="827">
        <v>40191</v>
      </c>
      <c r="AA219" s="827">
        <v>40191</v>
      </c>
      <c r="AB219" s="827">
        <v>38144</v>
      </c>
      <c r="AC219" s="828">
        <v>40189</v>
      </c>
      <c r="AD219" s="828">
        <v>35989</v>
      </c>
      <c r="AE219" s="828">
        <v>32367</v>
      </c>
      <c r="AF219" s="828">
        <v>36752</v>
      </c>
      <c r="AG219" s="828">
        <v>36665</v>
      </c>
      <c r="AH219" s="828">
        <v>37925</v>
      </c>
      <c r="AI219" s="828">
        <v>31101</v>
      </c>
      <c r="AJ219" s="828">
        <v>32211</v>
      </c>
      <c r="AK219" s="828">
        <v>22416</v>
      </c>
      <c r="AL219" s="828">
        <v>19246</v>
      </c>
      <c r="AM219" s="828">
        <v>18429</v>
      </c>
      <c r="AN219" s="828">
        <v>18429</v>
      </c>
      <c r="AO219" s="828">
        <v>12184</v>
      </c>
      <c r="AP219" s="828">
        <v>18754</v>
      </c>
    </row>
    <row r="220" hidden="1">
      <c r="B220" s="829" t="s">
        <v>12</v>
      </c>
      <c r="C220" s="823">
        <v>1488651</v>
      </c>
      <c r="D220" s="823">
        <v>1487889</v>
      </c>
      <c r="E220" s="823">
        <v>2037614</v>
      </c>
      <c r="F220" s="823">
        <v>2044614</v>
      </c>
      <c r="G220" s="823">
        <v>2041279</v>
      </c>
      <c r="H220" s="823">
        <v>2043791</v>
      </c>
      <c r="I220" s="823">
        <v>3879009</v>
      </c>
      <c r="J220" s="823">
        <v>3668056</v>
      </c>
      <c r="K220" s="823">
        <v>1448411</v>
      </c>
      <c r="L220" s="823">
        <v>1448531</v>
      </c>
      <c r="M220" s="823">
        <v>1389151</v>
      </c>
      <c r="N220" s="823">
        <v>1270501</v>
      </c>
      <c r="O220" s="823">
        <v>1255064</v>
      </c>
      <c r="P220" s="823">
        <v>1241584</v>
      </c>
      <c r="Q220" s="823">
        <v>2773342</v>
      </c>
      <c r="R220" s="823">
        <v>2647253</v>
      </c>
      <c r="S220" s="823">
        <v>1086496</v>
      </c>
      <c r="T220" s="823">
        <v>1080546</v>
      </c>
      <c r="U220" s="823">
        <v>1114309</v>
      </c>
      <c r="V220" s="823">
        <v>1252668</v>
      </c>
      <c r="W220" s="823">
        <v>1352608</v>
      </c>
      <c r="X220" s="823">
        <v>1359568</v>
      </c>
      <c r="Y220" s="823">
        <v>1241828</v>
      </c>
      <c r="Z220" s="823">
        <v>1051170</v>
      </c>
      <c r="AA220" s="823">
        <v>1451690</v>
      </c>
      <c r="AB220" s="823">
        <v>1451435</v>
      </c>
      <c r="AC220" s="825">
        <v>1345193</v>
      </c>
      <c r="AD220" s="825">
        <v>1343116</v>
      </c>
      <c r="AE220" s="825">
        <v>1372851</v>
      </c>
      <c r="AF220" s="825">
        <v>1262936</v>
      </c>
      <c r="AG220" s="825">
        <v>1271874</v>
      </c>
      <c r="AH220" s="825">
        <v>1272064</v>
      </c>
      <c r="AI220" s="825">
        <v>1328769</v>
      </c>
      <c r="AJ220" s="825">
        <v>1300507</v>
      </c>
      <c r="AK220" s="825">
        <v>1266532</v>
      </c>
      <c r="AL220" s="825">
        <v>1266812</v>
      </c>
      <c r="AM220" s="825">
        <v>1117238</v>
      </c>
      <c r="AN220" s="825">
        <v>1118137</v>
      </c>
      <c r="AO220" s="825">
        <v>1060663</v>
      </c>
      <c r="AP220" s="825">
        <v>1079400</v>
      </c>
    </row>
    <row r="221" hidden="1">
      <c r="B221" s="826" t="s">
        <v>13</v>
      </c>
      <c r="C221" s="827">
        <v>0</v>
      </c>
      <c r="D221" s="827">
        <v>1304</v>
      </c>
      <c r="E221" s="827">
        <v>1189</v>
      </c>
      <c r="F221" s="827">
        <v>1189</v>
      </c>
      <c r="G221" s="827">
        <v>1078</v>
      </c>
      <c r="H221" s="827">
        <v>1078</v>
      </c>
      <c r="I221" s="827">
        <v>1643</v>
      </c>
      <c r="J221" s="827">
        <v>1643</v>
      </c>
      <c r="K221" s="827">
        <v>200</v>
      </c>
      <c r="L221" s="827">
        <v>0</v>
      </c>
      <c r="M221" s="827">
        <v>2217</v>
      </c>
      <c r="N221" s="827">
        <v>2230</v>
      </c>
      <c r="O221" s="827">
        <v>183</v>
      </c>
      <c r="P221" s="827">
        <v>183</v>
      </c>
      <c r="Q221" s="827">
        <v>216</v>
      </c>
      <c r="R221" s="827">
        <v>560</v>
      </c>
      <c r="S221" s="827">
        <v>3959</v>
      </c>
      <c r="T221" s="827">
        <v>3959</v>
      </c>
      <c r="U221" s="827">
        <v>4072</v>
      </c>
      <c r="V221" s="827">
        <v>752</v>
      </c>
      <c r="W221" s="827">
        <v>722</v>
      </c>
      <c r="X221" s="827">
        <v>1054</v>
      </c>
      <c r="Y221" s="827">
        <v>1061</v>
      </c>
      <c r="Z221" s="827">
        <v>1311</v>
      </c>
      <c r="AA221" s="827">
        <v>790</v>
      </c>
      <c r="AB221" s="827">
        <v>849</v>
      </c>
      <c r="AC221" s="828">
        <v>2555</v>
      </c>
      <c r="AD221" s="828">
        <v>2555</v>
      </c>
      <c r="AE221" s="828">
        <v>2543</v>
      </c>
      <c r="AF221" s="828">
        <v>701</v>
      </c>
      <c r="AG221" s="828">
        <v>718</v>
      </c>
      <c r="AH221" s="828">
        <v>426</v>
      </c>
      <c r="AI221" s="828">
        <v>363</v>
      </c>
      <c r="AJ221" s="828">
        <v>436</v>
      </c>
      <c r="AK221" s="828">
        <v>409</v>
      </c>
      <c r="AL221" s="828">
        <v>401</v>
      </c>
      <c r="AM221" s="828">
        <v>132</v>
      </c>
      <c r="AN221" s="828">
        <v>132</v>
      </c>
      <c r="AO221" s="828">
        <v>170</v>
      </c>
      <c r="AP221" s="828">
        <v>160</v>
      </c>
    </row>
    <row r="222" hidden="1">
      <c r="B222" s="829" t="s">
        <v>109</v>
      </c>
      <c r="C222" s="823">
        <v>21367395</v>
      </c>
      <c r="D222" s="823">
        <v>19382595</v>
      </c>
      <c r="E222" s="823">
        <v>30429001</v>
      </c>
      <c r="F222" s="823">
        <v>29561156</v>
      </c>
      <c r="G222" s="823">
        <v>40221941</v>
      </c>
      <c r="H222" s="823">
        <v>41808442</v>
      </c>
      <c r="I222" s="823">
        <v>47812423</v>
      </c>
      <c r="J222" s="823">
        <v>48649314</v>
      </c>
      <c r="K222" s="823">
        <v>44613139</v>
      </c>
      <c r="L222" s="823">
        <v>46101856</v>
      </c>
      <c r="M222" s="823">
        <v>51079245</v>
      </c>
      <c r="N222" s="823">
        <v>51296490</v>
      </c>
      <c r="O222" s="823">
        <v>52021017</v>
      </c>
      <c r="P222" s="823">
        <v>51846854</v>
      </c>
      <c r="Q222" s="823">
        <v>51871856</v>
      </c>
      <c r="R222" s="823">
        <v>48692342</v>
      </c>
      <c r="S222" s="823">
        <v>49688387</v>
      </c>
      <c r="T222" s="823">
        <v>49996575</v>
      </c>
      <c r="U222" s="823">
        <v>52113487</v>
      </c>
      <c r="V222" s="823">
        <v>52431076</v>
      </c>
      <c r="W222" s="823">
        <v>55568283</v>
      </c>
      <c r="X222" s="823">
        <v>56735522</v>
      </c>
      <c r="Y222" s="823">
        <v>61401158</v>
      </c>
      <c r="Z222" s="823">
        <v>61897673</v>
      </c>
      <c r="AA222" s="823">
        <v>67161790</v>
      </c>
      <c r="AB222" s="823">
        <v>67699001</v>
      </c>
      <c r="AC222" s="825">
        <v>65513254</v>
      </c>
      <c r="AD222" s="825">
        <v>66122036</v>
      </c>
      <c r="AE222" s="825">
        <v>68094766</v>
      </c>
      <c r="AF222" s="825">
        <v>67699426</v>
      </c>
      <c r="AG222" s="825">
        <v>68260855</v>
      </c>
      <c r="AH222" s="825">
        <v>67525324</v>
      </c>
      <c r="AI222" s="825">
        <v>55246549</v>
      </c>
      <c r="AJ222" s="825">
        <v>54284403</v>
      </c>
      <c r="AK222" s="825">
        <v>33909234</v>
      </c>
      <c r="AL222" s="825">
        <v>33258588</v>
      </c>
      <c r="AM222" s="825">
        <v>24106924</v>
      </c>
      <c r="AN222" s="825">
        <v>24914482</v>
      </c>
      <c r="AO222" s="825">
        <v>22339447</v>
      </c>
      <c r="AP222" s="825">
        <v>22727610</v>
      </c>
    </row>
    <row r="223" hidden="1">
      <c r="B223" s="826" t="s">
        <v>110</v>
      </c>
      <c r="C223" s="827">
        <v>15265946</v>
      </c>
      <c r="D223" s="827">
        <v>15280997</v>
      </c>
      <c r="E223" s="827">
        <v>15370338</v>
      </c>
      <c r="F223" s="827">
        <v>15249445</v>
      </c>
      <c r="G223" s="827">
        <v>15895548</v>
      </c>
      <c r="H223" s="827">
        <v>15397947</v>
      </c>
      <c r="I223" s="827">
        <v>19932573</v>
      </c>
      <c r="J223" s="827">
        <v>19391430</v>
      </c>
      <c r="K223" s="827">
        <v>11145300</v>
      </c>
      <c r="L223" s="827">
        <v>11148228</v>
      </c>
      <c r="M223" s="827">
        <v>11660226</v>
      </c>
      <c r="N223" s="827">
        <v>11978431</v>
      </c>
      <c r="O223" s="827">
        <v>16139163</v>
      </c>
      <c r="P223" s="827">
        <v>16238549</v>
      </c>
      <c r="Q223" s="827">
        <v>24682120</v>
      </c>
      <c r="R223" s="827">
        <v>24622027</v>
      </c>
      <c r="S223" s="827">
        <v>29118327</v>
      </c>
      <c r="T223" s="827">
        <v>32043099</v>
      </c>
      <c r="U223" s="827">
        <v>35283729</v>
      </c>
      <c r="V223" s="827">
        <v>36504805</v>
      </c>
      <c r="W223" s="827">
        <v>39840077</v>
      </c>
      <c r="X223" s="827">
        <v>40764482</v>
      </c>
      <c r="Y223" s="827">
        <v>40792984</v>
      </c>
      <c r="Z223" s="827">
        <v>39886867</v>
      </c>
      <c r="AA223" s="827">
        <v>41766970</v>
      </c>
      <c r="AB223" s="827">
        <v>40996358</v>
      </c>
      <c r="AC223" s="828">
        <v>41141618</v>
      </c>
      <c r="AD223" s="828">
        <v>43006471</v>
      </c>
      <c r="AE223" s="828">
        <v>46545507</v>
      </c>
      <c r="AF223" s="828">
        <v>45621346</v>
      </c>
      <c r="AG223" s="828">
        <v>45197068</v>
      </c>
      <c r="AH223" s="828">
        <v>44479003</v>
      </c>
      <c r="AI223" s="828">
        <v>27232407</v>
      </c>
      <c r="AJ223" s="828">
        <v>27013383</v>
      </c>
      <c r="AK223" s="828">
        <v>20467935</v>
      </c>
      <c r="AL223" s="828">
        <v>30872723</v>
      </c>
      <c r="AM223" s="828">
        <v>19601744</v>
      </c>
      <c r="AN223" s="828">
        <v>19859518</v>
      </c>
      <c r="AO223" s="828">
        <v>18681449</v>
      </c>
      <c r="AP223" s="828">
        <v>19008750</v>
      </c>
    </row>
    <row r="224" hidden="1">
      <c r="B224" s="829" t="s">
        <v>16</v>
      </c>
      <c r="C224" s="823">
        <v>19329817</v>
      </c>
      <c r="D224" s="823">
        <v>4553617</v>
      </c>
      <c r="E224" s="823">
        <v>18952844</v>
      </c>
      <c r="F224" s="823">
        <v>18848539</v>
      </c>
      <c r="G224" s="823">
        <v>19670272</v>
      </c>
      <c r="H224" s="823">
        <v>20468508</v>
      </c>
      <c r="I224" s="823">
        <v>20083933</v>
      </c>
      <c r="J224" s="823">
        <v>19933981</v>
      </c>
      <c r="K224" s="823">
        <v>12602755</v>
      </c>
      <c r="L224" s="823">
        <v>13866883</v>
      </c>
      <c r="M224" s="823">
        <v>17949397</v>
      </c>
      <c r="N224" s="823">
        <v>18350122</v>
      </c>
      <c r="O224" s="823">
        <v>19424497</v>
      </c>
      <c r="P224" s="823">
        <v>17710281</v>
      </c>
      <c r="Q224" s="823">
        <v>19761410</v>
      </c>
      <c r="R224" s="823">
        <v>18745491</v>
      </c>
      <c r="S224" s="823">
        <v>18973088</v>
      </c>
      <c r="T224" s="823">
        <v>19125319</v>
      </c>
      <c r="U224" s="823">
        <v>21123171</v>
      </c>
      <c r="V224" s="823">
        <v>21238768</v>
      </c>
      <c r="W224" s="823">
        <v>21990951</v>
      </c>
      <c r="X224" s="823">
        <v>22960515</v>
      </c>
      <c r="Y224" s="823">
        <v>23763259</v>
      </c>
      <c r="Z224" s="823">
        <v>23874608</v>
      </c>
      <c r="AA224" s="823">
        <v>23961941</v>
      </c>
      <c r="AB224" s="823">
        <v>24000170</v>
      </c>
      <c r="AC224" s="825">
        <v>24457357</v>
      </c>
      <c r="AD224" s="825">
        <v>24757391</v>
      </c>
      <c r="AE224" s="825">
        <v>25174357</v>
      </c>
      <c r="AF224" s="825">
        <v>24885682</v>
      </c>
      <c r="AG224" s="825">
        <v>25762077</v>
      </c>
      <c r="AH224" s="825">
        <v>25320634</v>
      </c>
      <c r="AI224" s="825">
        <v>23996674</v>
      </c>
      <c r="AJ224" s="825">
        <v>23222555</v>
      </c>
      <c r="AK224" s="825">
        <v>22688238</v>
      </c>
      <c r="AL224" s="825">
        <v>22092233</v>
      </c>
      <c r="AM224" s="825">
        <v>31771475</v>
      </c>
      <c r="AN224" s="825">
        <v>31534531</v>
      </c>
      <c r="AO224" s="825">
        <v>24933975</v>
      </c>
      <c r="AP224" s="825">
        <v>24605669</v>
      </c>
    </row>
    <row r="225" hidden="1">
      <c r="B225" s="826" t="s">
        <v>17</v>
      </c>
      <c r="C225" s="827">
        <v>2063204</v>
      </c>
      <c r="D225" s="827">
        <v>2212136</v>
      </c>
      <c r="E225" s="827">
        <v>1908510</v>
      </c>
      <c r="F225" s="827">
        <v>2263091</v>
      </c>
      <c r="G225" s="827">
        <v>2222997</v>
      </c>
      <c r="H225" s="827">
        <v>2553809</v>
      </c>
      <c r="I225" s="827">
        <v>2509259</v>
      </c>
      <c r="J225" s="827">
        <v>2483550</v>
      </c>
      <c r="K225" s="827">
        <v>10538841</v>
      </c>
      <c r="L225" s="827">
        <v>14308491</v>
      </c>
      <c r="M225" s="827">
        <v>22159854</v>
      </c>
      <c r="N225" s="827">
        <v>20385746</v>
      </c>
      <c r="O225" s="827">
        <v>23271429</v>
      </c>
      <c r="P225" s="827">
        <v>22838571</v>
      </c>
      <c r="Q225" s="827">
        <v>25111538</v>
      </c>
      <c r="R225" s="827">
        <v>24145204</v>
      </c>
      <c r="S225" s="827">
        <v>25550677</v>
      </c>
      <c r="T225" s="827">
        <v>25328311</v>
      </c>
      <c r="U225" s="827">
        <v>26295926</v>
      </c>
      <c r="V225" s="827">
        <v>25646409</v>
      </c>
      <c r="W225" s="827">
        <v>28415166</v>
      </c>
      <c r="X225" s="827">
        <v>28316324</v>
      </c>
      <c r="Y225" s="827">
        <v>29310206</v>
      </c>
      <c r="Z225" s="827">
        <v>31160000</v>
      </c>
      <c r="AA225" s="827">
        <v>31885615</v>
      </c>
      <c r="AB225" s="827">
        <v>32152286</v>
      </c>
      <c r="AC225" s="828">
        <v>31063476</v>
      </c>
      <c r="AD225" s="828">
        <v>31300328</v>
      </c>
      <c r="AE225" s="828">
        <v>35166706</v>
      </c>
      <c r="AF225" s="828">
        <v>34949191</v>
      </c>
      <c r="AG225" s="828">
        <v>31833974</v>
      </c>
      <c r="AH225" s="828">
        <v>30760494</v>
      </c>
      <c r="AI225" s="828">
        <v>23060058</v>
      </c>
      <c r="AJ225" s="828">
        <v>23148534</v>
      </c>
      <c r="AK225" s="828">
        <v>19705115</v>
      </c>
      <c r="AL225" s="828">
        <v>18525529</v>
      </c>
      <c r="AM225" s="828">
        <v>17155410</v>
      </c>
      <c r="AN225" s="828">
        <v>16924984</v>
      </c>
      <c r="AO225" s="828">
        <v>16614786</v>
      </c>
      <c r="AP225" s="828">
        <v>16011321</v>
      </c>
    </row>
    <row r="226" hidden="1">
      <c r="B226" s="829" t="s">
        <v>18</v>
      </c>
      <c r="C226" s="823">
        <v>0</v>
      </c>
      <c r="D226" s="823">
        <v>471662</v>
      </c>
      <c r="E226" s="823">
        <v>771238</v>
      </c>
      <c r="F226" s="823">
        <v>3240615</v>
      </c>
      <c r="G226" s="823">
        <v>15592968</v>
      </c>
      <c r="H226" s="823">
        <v>18609518</v>
      </c>
      <c r="I226" s="823">
        <v>61092406</v>
      </c>
      <c r="J226" s="823">
        <v>60972048</v>
      </c>
      <c r="K226" s="823">
        <v>57689172</v>
      </c>
      <c r="L226" s="823">
        <v>56982244</v>
      </c>
      <c r="M226" s="823">
        <v>66300388</v>
      </c>
      <c r="N226" s="823">
        <v>61458092</v>
      </c>
      <c r="O226" s="823">
        <v>60593184</v>
      </c>
      <c r="P226" s="823">
        <v>58726848</v>
      </c>
      <c r="Q226" s="823">
        <v>63480819</v>
      </c>
      <c r="R226" s="823">
        <v>61455168</v>
      </c>
      <c r="S226" s="823">
        <v>64168391</v>
      </c>
      <c r="T226" s="823">
        <v>62686615</v>
      </c>
      <c r="U226" s="823">
        <v>70910646</v>
      </c>
      <c r="V226" s="823">
        <v>68275134</v>
      </c>
      <c r="W226" s="823">
        <v>77110202</v>
      </c>
      <c r="X226" s="823">
        <v>74367311</v>
      </c>
      <c r="Y226" s="823">
        <v>79913608</v>
      </c>
      <c r="Z226" s="823">
        <v>76198277</v>
      </c>
      <c r="AA226" s="823">
        <v>82565083</v>
      </c>
      <c r="AB226" s="823">
        <v>80018762</v>
      </c>
      <c r="AC226" s="825">
        <v>85331267</v>
      </c>
      <c r="AD226" s="825">
        <v>83617104</v>
      </c>
      <c r="AE226" s="825">
        <v>98639092</v>
      </c>
      <c r="AF226" s="825">
        <v>97103858</v>
      </c>
      <c r="AG226" s="825">
        <v>94858517</v>
      </c>
      <c r="AH226" s="825">
        <v>93068327</v>
      </c>
      <c r="AI226" s="825">
        <v>27781935</v>
      </c>
      <c r="AJ226" s="825">
        <v>25680593</v>
      </c>
      <c r="AK226" s="825">
        <v>22132430</v>
      </c>
      <c r="AL226" s="825">
        <v>21302010</v>
      </c>
      <c r="AM226" s="825">
        <v>19989563</v>
      </c>
      <c r="AN226" s="825">
        <v>20453690</v>
      </c>
      <c r="AO226" s="825">
        <v>20278621</v>
      </c>
      <c r="AP226" s="825">
        <v>19727343</v>
      </c>
    </row>
    <row r="227" hidden="1">
      <c r="B227" s="826" t="s">
        <v>19</v>
      </c>
      <c r="C227" s="827">
        <v>427699</v>
      </c>
      <c r="D227" s="827">
        <v>427299</v>
      </c>
      <c r="E227" s="827">
        <v>399299</v>
      </c>
      <c r="F227" s="827">
        <v>399299</v>
      </c>
      <c r="G227" s="827">
        <v>380095</v>
      </c>
      <c r="H227" s="827">
        <v>370095</v>
      </c>
      <c r="I227" s="827">
        <v>313709</v>
      </c>
      <c r="J227" s="827">
        <v>369709</v>
      </c>
      <c r="K227" s="827">
        <v>361677</v>
      </c>
      <c r="L227" s="827">
        <v>5348752</v>
      </c>
      <c r="M227" s="827">
        <v>66091</v>
      </c>
      <c r="N227" s="827">
        <v>113091</v>
      </c>
      <c r="O227" s="827">
        <v>206486</v>
      </c>
      <c r="P227" s="827">
        <v>161486</v>
      </c>
      <c r="Q227" s="827">
        <v>1031040</v>
      </c>
      <c r="R227" s="827">
        <v>1031040</v>
      </c>
      <c r="S227" s="827">
        <v>856191</v>
      </c>
      <c r="T227" s="827">
        <v>856191</v>
      </c>
      <c r="U227" s="827">
        <v>731520</v>
      </c>
      <c r="V227" s="827">
        <v>731520</v>
      </c>
      <c r="W227" s="827">
        <v>790680</v>
      </c>
      <c r="X227" s="827">
        <v>765922</v>
      </c>
      <c r="Y227" s="827">
        <v>813908</v>
      </c>
      <c r="Z227" s="827">
        <v>813908</v>
      </c>
      <c r="AA227" s="827">
        <v>847793</v>
      </c>
      <c r="AB227" s="827">
        <v>847801</v>
      </c>
      <c r="AC227" s="828">
        <v>803480</v>
      </c>
      <c r="AD227" s="828">
        <v>803480</v>
      </c>
      <c r="AE227" s="828">
        <v>807548</v>
      </c>
      <c r="AF227" s="828">
        <v>807546</v>
      </c>
      <c r="AG227" s="828">
        <v>635071</v>
      </c>
      <c r="AH227" s="828">
        <v>635071</v>
      </c>
      <c r="AI227" s="828">
        <v>469181</v>
      </c>
      <c r="AJ227" s="828">
        <v>469181</v>
      </c>
      <c r="AK227" s="828">
        <v>610966</v>
      </c>
      <c r="AL227" s="828">
        <v>469181</v>
      </c>
      <c r="AM227" s="828">
        <v>70800</v>
      </c>
      <c r="AN227" s="828">
        <v>70800</v>
      </c>
      <c r="AO227" s="828">
        <v>66000</v>
      </c>
      <c r="AP227" s="828">
        <v>65940</v>
      </c>
    </row>
    <row r="228" hidden="1">
      <c r="B228" s="829" t="s">
        <v>20</v>
      </c>
      <c r="C228" s="823">
        <v>107100</v>
      </c>
      <c r="D228" s="823">
        <v>4351728</v>
      </c>
      <c r="E228" s="823">
        <v>4359728</v>
      </c>
      <c r="F228" s="823">
        <v>5601819</v>
      </c>
      <c r="G228" s="823">
        <v>3380893</v>
      </c>
      <c r="H228" s="823">
        <v>3248893</v>
      </c>
      <c r="I228" s="823">
        <v>2482850</v>
      </c>
      <c r="J228" s="823">
        <v>2394131</v>
      </c>
      <c r="K228" s="823">
        <v>5091429</v>
      </c>
      <c r="L228" s="823">
        <v>3409224</v>
      </c>
      <c r="M228" s="823">
        <v>7101510</v>
      </c>
      <c r="N228" s="823">
        <v>6779510</v>
      </c>
      <c r="O228" s="823">
        <v>5077679</v>
      </c>
      <c r="P228" s="823">
        <v>5094179</v>
      </c>
      <c r="Q228" s="823">
        <v>6127053</v>
      </c>
      <c r="R228" s="823">
        <v>6132553</v>
      </c>
      <c r="S228" s="823">
        <v>5483138</v>
      </c>
      <c r="T228" s="823">
        <v>5317447</v>
      </c>
      <c r="U228" s="823">
        <v>6051031</v>
      </c>
      <c r="V228" s="823">
        <v>6083690</v>
      </c>
      <c r="W228" s="823">
        <v>6159711</v>
      </c>
      <c r="X228" s="823">
        <v>6142505</v>
      </c>
      <c r="Y228" s="823">
        <v>6586466</v>
      </c>
      <c r="Z228" s="823">
        <v>6556744</v>
      </c>
      <c r="AA228" s="823">
        <v>6429804</v>
      </c>
      <c r="AB228" s="823">
        <v>6458084</v>
      </c>
      <c r="AC228" s="825">
        <v>8086020</v>
      </c>
      <c r="AD228" s="825">
        <v>8102370</v>
      </c>
      <c r="AE228" s="825">
        <v>6160421</v>
      </c>
      <c r="AF228" s="825">
        <v>6196821</v>
      </c>
      <c r="AG228" s="825">
        <v>5870505</v>
      </c>
      <c r="AH228" s="825">
        <v>5861231</v>
      </c>
      <c r="AI228" s="825">
        <v>6097054</v>
      </c>
      <c r="AJ228" s="825">
        <v>6058954</v>
      </c>
      <c r="AK228" s="825">
        <v>8231441</v>
      </c>
      <c r="AL228" s="825">
        <v>6830509</v>
      </c>
      <c r="AM228" s="825">
        <v>6113245</v>
      </c>
      <c r="AN228" s="825">
        <v>6139589</v>
      </c>
      <c r="AO228" s="825">
        <v>6343401</v>
      </c>
      <c r="AP228" s="825">
        <v>6374656</v>
      </c>
    </row>
    <row r="229" hidden="1">
      <c r="B229" s="826" t="s">
        <v>21</v>
      </c>
      <c r="C229" s="827">
        <v>2976613</v>
      </c>
      <c r="D229" s="827">
        <v>2973653</v>
      </c>
      <c r="E229" s="827">
        <v>3114168</v>
      </c>
      <c r="F229" s="827">
        <v>3096198</v>
      </c>
      <c r="G229" s="827">
        <v>3243487</v>
      </c>
      <c r="H229" s="827">
        <v>3176913</v>
      </c>
      <c r="I229" s="827">
        <v>3200660</v>
      </c>
      <c r="J229" s="827">
        <v>3247210</v>
      </c>
      <c r="K229" s="827">
        <v>3326012</v>
      </c>
      <c r="L229" s="827">
        <v>7350</v>
      </c>
      <c r="M229" s="827">
        <v>3441513</v>
      </c>
      <c r="N229" s="827">
        <v>3515513</v>
      </c>
      <c r="O229" s="827">
        <v>3552513</v>
      </c>
      <c r="P229" s="827">
        <v>3534513</v>
      </c>
      <c r="Q229" s="827">
        <v>3498148</v>
      </c>
      <c r="R229" s="827">
        <v>3508049</v>
      </c>
      <c r="S229" s="827">
        <v>3852603</v>
      </c>
      <c r="T229" s="827">
        <v>3751580</v>
      </c>
      <c r="U229" s="827">
        <v>3784370</v>
      </c>
      <c r="V229" s="827">
        <v>4014655</v>
      </c>
      <c r="W229" s="827">
        <v>4055330</v>
      </c>
      <c r="X229" s="827">
        <v>4068625</v>
      </c>
      <c r="Y229" s="827">
        <v>4239784</v>
      </c>
      <c r="Z229" s="827">
        <v>4429334</v>
      </c>
      <c r="AA229" s="827">
        <v>4500448</v>
      </c>
      <c r="AB229" s="827">
        <v>4477998</v>
      </c>
      <c r="AC229" s="828">
        <v>4754637</v>
      </c>
      <c r="AD229" s="828">
        <v>4938120</v>
      </c>
      <c r="AE229" s="828">
        <v>5313170</v>
      </c>
      <c r="AF229" s="828">
        <v>5679406</v>
      </c>
      <c r="AG229" s="828">
        <v>5681231</v>
      </c>
      <c r="AH229" s="828">
        <v>5734179</v>
      </c>
      <c r="AI229" s="828">
        <v>5777428</v>
      </c>
      <c r="AJ229" s="828">
        <v>5608163</v>
      </c>
      <c r="AK229" s="828">
        <v>5776981</v>
      </c>
      <c r="AL229" s="828">
        <v>5916369</v>
      </c>
      <c r="AM229" s="828">
        <v>5961747</v>
      </c>
      <c r="AN229" s="828">
        <v>5963225</v>
      </c>
      <c r="AO229" s="828">
        <v>5991026</v>
      </c>
      <c r="AP229" s="828">
        <v>5924354</v>
      </c>
    </row>
    <row r="230" hidden="1">
      <c r="B230" s="829" t="s">
        <v>22</v>
      </c>
      <c r="C230" s="823">
        <v>0</v>
      </c>
      <c r="D230" s="823">
        <v>0</v>
      </c>
      <c r="E230" s="823">
        <v>0</v>
      </c>
      <c r="F230" s="823">
        <v>3900</v>
      </c>
      <c r="G230" s="823">
        <v>90</v>
      </c>
      <c r="H230" s="823">
        <v>90</v>
      </c>
      <c r="I230" s="823">
        <v>90</v>
      </c>
      <c r="J230" s="823">
        <v>90</v>
      </c>
      <c r="K230" s="823">
        <v>111149</v>
      </c>
      <c r="L230" s="823">
        <v>8696096</v>
      </c>
      <c r="M230" s="823">
        <v>13650</v>
      </c>
      <c r="N230" s="823">
        <v>9900</v>
      </c>
      <c r="O230" s="823">
        <v>35106</v>
      </c>
      <c r="P230" s="823">
        <v>103980</v>
      </c>
      <c r="Q230" s="823">
        <v>123144</v>
      </c>
      <c r="R230" s="823">
        <v>112444</v>
      </c>
      <c r="S230" s="823">
        <v>144457</v>
      </c>
      <c r="T230" s="823">
        <v>134307</v>
      </c>
      <c r="U230" s="823">
        <v>420748</v>
      </c>
      <c r="V230" s="823">
        <v>419501</v>
      </c>
      <c r="W230" s="823">
        <v>494648</v>
      </c>
      <c r="X230" s="823">
        <v>494141</v>
      </c>
      <c r="Y230" s="823">
        <v>2098696</v>
      </c>
      <c r="Z230" s="823">
        <v>507160</v>
      </c>
      <c r="AA230" s="823">
        <v>521000</v>
      </c>
      <c r="AB230" s="823">
        <v>520735</v>
      </c>
      <c r="AC230" s="825">
        <v>505615</v>
      </c>
      <c r="AD230" s="825">
        <v>497645</v>
      </c>
      <c r="AE230" s="825">
        <v>543598</v>
      </c>
      <c r="AF230" s="825">
        <v>541288</v>
      </c>
      <c r="AG230" s="825">
        <v>323441</v>
      </c>
      <c r="AH230" s="825">
        <v>352952</v>
      </c>
      <c r="AI230" s="825">
        <v>270288</v>
      </c>
      <c r="AJ230" s="825">
        <v>232588</v>
      </c>
      <c r="AK230" s="825">
        <v>214878</v>
      </c>
      <c r="AL230" s="825">
        <v>148559</v>
      </c>
      <c r="AM230" s="825">
        <v>169443</v>
      </c>
      <c r="AN230" s="825">
        <v>166843</v>
      </c>
      <c r="AO230" s="825">
        <v>166094</v>
      </c>
      <c r="AP230" s="825">
        <v>218555</v>
      </c>
    </row>
    <row r="231" hidden="1">
      <c r="B231" s="826" t="s">
        <v>23</v>
      </c>
      <c r="C231" s="827">
        <v>1928070</v>
      </c>
      <c r="D231" s="827">
        <v>1918626</v>
      </c>
      <c r="E231" s="827">
        <v>8102233</v>
      </c>
      <c r="F231" s="827">
        <v>8089433</v>
      </c>
      <c r="G231" s="827">
        <v>7483773</v>
      </c>
      <c r="H231" s="827">
        <v>7483773</v>
      </c>
      <c r="I231" s="827">
        <v>8215285</v>
      </c>
      <c r="J231" s="827">
        <v>8214975</v>
      </c>
      <c r="K231" s="827">
        <v>8837659</v>
      </c>
      <c r="L231" s="827">
        <v>361677</v>
      </c>
      <c r="M231" s="827">
        <v>9141410</v>
      </c>
      <c r="N231" s="827">
        <v>9248610</v>
      </c>
      <c r="O231" s="827">
        <v>10345613</v>
      </c>
      <c r="P231" s="827">
        <v>10345613</v>
      </c>
      <c r="Q231" s="827">
        <v>10938530</v>
      </c>
      <c r="R231" s="827">
        <v>10547070</v>
      </c>
      <c r="S231" s="827">
        <v>11163953</v>
      </c>
      <c r="T231" s="827">
        <v>11186895</v>
      </c>
      <c r="U231" s="827">
        <v>10740051</v>
      </c>
      <c r="V231" s="827">
        <v>2117257</v>
      </c>
      <c r="W231" s="827">
        <v>2127241</v>
      </c>
      <c r="X231" s="827">
        <v>2054798</v>
      </c>
      <c r="Y231" s="827">
        <v>1985616</v>
      </c>
      <c r="Z231" s="827">
        <v>2103624</v>
      </c>
      <c r="AA231" s="827">
        <v>2158875</v>
      </c>
      <c r="AB231" s="827">
        <v>2130078</v>
      </c>
      <c r="AC231" s="828">
        <v>2179437</v>
      </c>
      <c r="AD231" s="828">
        <v>2084007</v>
      </c>
      <c r="AE231" s="828">
        <v>2091117</v>
      </c>
      <c r="AF231" s="828">
        <v>2097326</v>
      </c>
      <c r="AG231" s="828">
        <v>2115729</v>
      </c>
      <c r="AH231" s="828">
        <v>2119976</v>
      </c>
      <c r="AI231" s="828">
        <v>1901855</v>
      </c>
      <c r="AJ231" s="828">
        <v>1831091</v>
      </c>
      <c r="AK231" s="828">
        <v>2163793</v>
      </c>
      <c r="AL231" s="828">
        <v>2191609</v>
      </c>
      <c r="AM231" s="828">
        <v>2393345</v>
      </c>
      <c r="AN231" s="828">
        <v>2250861</v>
      </c>
      <c r="AO231" s="828">
        <v>1995516</v>
      </c>
      <c r="AP231" s="828">
        <v>1942515</v>
      </c>
    </row>
    <row r="232" hidden="1">
      <c r="B232" s="830" t="s">
        <v>24</v>
      </c>
      <c r="C232" s="823">
        <v>11678864</v>
      </c>
      <c r="D232" s="823">
        <v>11522014</v>
      </c>
      <c r="E232" s="823">
        <v>12516785</v>
      </c>
      <c r="F232" s="823">
        <v>12427702</v>
      </c>
      <c r="G232" s="823">
        <v>12905489</v>
      </c>
      <c r="H232" s="823">
        <v>12716004</v>
      </c>
      <c r="I232" s="823">
        <v>12608719</v>
      </c>
      <c r="J232" s="823">
        <v>12387879</v>
      </c>
      <c r="K232" s="823">
        <v>11986394</v>
      </c>
      <c r="L232" s="823">
        <v>11751626</v>
      </c>
      <c r="M232" s="823">
        <v>11743713</v>
      </c>
      <c r="N232" s="823">
        <v>12689798</v>
      </c>
      <c r="O232" s="823">
        <v>12437820</v>
      </c>
      <c r="P232" s="823">
        <v>12174085</v>
      </c>
      <c r="Q232" s="823">
        <v>13652391</v>
      </c>
      <c r="R232" s="823">
        <v>13713958</v>
      </c>
      <c r="S232" s="823">
        <v>13044138</v>
      </c>
      <c r="T232" s="823">
        <v>12864023</v>
      </c>
      <c r="U232" s="823">
        <v>12698918</v>
      </c>
      <c r="V232" s="823">
        <v>12417914</v>
      </c>
      <c r="W232" s="823">
        <v>12870153</v>
      </c>
      <c r="X232" s="823">
        <v>12879093</v>
      </c>
      <c r="Y232" s="823">
        <v>12436887</v>
      </c>
      <c r="Z232" s="823">
        <v>12698239</v>
      </c>
      <c r="AA232" s="823">
        <v>12990578</v>
      </c>
      <c r="AB232" s="823">
        <v>12804012</v>
      </c>
      <c r="AC232" s="825">
        <v>12754983</v>
      </c>
      <c r="AD232" s="825">
        <v>12684891</v>
      </c>
      <c r="AE232" s="825">
        <v>12978158</v>
      </c>
      <c r="AF232" s="825">
        <v>12762061</v>
      </c>
      <c r="AG232" s="825">
        <v>12500424</v>
      </c>
      <c r="AH232" s="825">
        <v>12113164</v>
      </c>
      <c r="AI232" s="825">
        <v>12084998</v>
      </c>
      <c r="AJ232" s="825">
        <v>11865932</v>
      </c>
      <c r="AK232" s="825">
        <v>12122394</v>
      </c>
      <c r="AL232" s="825">
        <v>11770297</v>
      </c>
      <c r="AM232" s="825">
        <v>12340347</v>
      </c>
      <c r="AN232" s="825">
        <v>12050909</v>
      </c>
      <c r="AO232" s="825">
        <v>11867976</v>
      </c>
      <c r="AP232" s="825">
        <v>11814765</v>
      </c>
    </row>
    <row r="233" hidden="1">
      <c r="B233" s="826" t="s">
        <v>25</v>
      </c>
      <c r="C233" s="827">
        <v>0</v>
      </c>
      <c r="D233" s="827">
        <v>0</v>
      </c>
      <c r="E233" s="827">
        <v>0</v>
      </c>
      <c r="F233" s="827">
        <v>0</v>
      </c>
      <c r="G233" s="827">
        <v>0</v>
      </c>
      <c r="H233" s="827">
        <v>0</v>
      </c>
      <c r="I233" s="827">
        <v>0</v>
      </c>
      <c r="J233" s="827">
        <v>0</v>
      </c>
      <c r="K233" s="827">
        <v>0</v>
      </c>
      <c r="L233" s="827">
        <v>0</v>
      </c>
      <c r="M233" s="827">
        <v>0</v>
      </c>
      <c r="N233" s="827">
        <v>0</v>
      </c>
      <c r="O233" s="827">
        <v>0</v>
      </c>
      <c r="P233" s="827">
        <v>0</v>
      </c>
      <c r="Q233" s="827">
        <v>0</v>
      </c>
      <c r="R233" s="827">
        <v>0</v>
      </c>
      <c r="S233" s="827">
        <v>0</v>
      </c>
      <c r="T233" s="827">
        <v>0</v>
      </c>
      <c r="U233" s="827">
        <v>0</v>
      </c>
      <c r="V233" s="827">
        <v>0</v>
      </c>
      <c r="W233" s="827">
        <v>0</v>
      </c>
      <c r="X233" s="827">
        <v>0</v>
      </c>
      <c r="Y233" s="827">
        <v>0</v>
      </c>
      <c r="Z233" s="827">
        <v>0</v>
      </c>
      <c r="AA233" s="827">
        <v>0</v>
      </c>
      <c r="AB233" s="827">
        <v>0</v>
      </c>
      <c r="AC233" s="828">
        <v>0</v>
      </c>
      <c r="AD233" s="828">
        <v>0</v>
      </c>
      <c r="AE233" s="828">
        <v>0</v>
      </c>
      <c r="AF233" s="828">
        <v>0</v>
      </c>
      <c r="AG233" s="828">
        <v>0</v>
      </c>
      <c r="AH233" s="828">
        <v>0</v>
      </c>
      <c r="AI233" s="828">
        <v>0</v>
      </c>
      <c r="AJ233" s="828">
        <v>0</v>
      </c>
      <c r="AK233" s="828">
        <v>0</v>
      </c>
      <c r="AL233" s="828">
        <v>0</v>
      </c>
      <c r="AM233" s="828">
        <v>0</v>
      </c>
      <c r="AN233" s="828">
        <v>0</v>
      </c>
      <c r="AO233" s="828">
        <v>0</v>
      </c>
      <c r="AP233" s="828">
        <v>0</v>
      </c>
    </row>
    <row r="234" hidden="1" ht="13.5">
      <c r="B234" s="831" t="s">
        <v>26</v>
      </c>
      <c r="C234" s="823">
        <v>0</v>
      </c>
      <c r="D234" s="823">
        <v>0</v>
      </c>
      <c r="E234" s="823">
        <v>0</v>
      </c>
      <c r="F234" s="823">
        <v>0</v>
      </c>
      <c r="G234" s="823">
        <v>0</v>
      </c>
      <c r="H234" s="823">
        <v>0</v>
      </c>
      <c r="I234" s="823">
        <v>0</v>
      </c>
      <c r="J234" s="823">
        <v>0</v>
      </c>
      <c r="K234" s="823">
        <v>0</v>
      </c>
      <c r="L234" s="823">
        <v>0</v>
      </c>
      <c r="M234" s="823">
        <v>0</v>
      </c>
      <c r="N234" s="823">
        <v>0</v>
      </c>
      <c r="O234" s="823">
        <v>0</v>
      </c>
      <c r="P234" s="823">
        <v>0</v>
      </c>
      <c r="Q234" s="823">
        <v>0</v>
      </c>
      <c r="R234" s="823">
        <v>0</v>
      </c>
      <c r="S234" s="823">
        <v>0</v>
      </c>
      <c r="T234" s="823">
        <v>0</v>
      </c>
      <c r="U234" s="823">
        <v>0</v>
      </c>
      <c r="V234" s="823">
        <v>0</v>
      </c>
      <c r="W234" s="823">
        <v>0</v>
      </c>
      <c r="X234" s="823">
        <v>0</v>
      </c>
      <c r="Y234" s="823">
        <v>0</v>
      </c>
      <c r="Z234" s="823">
        <v>0</v>
      </c>
      <c r="AA234" s="823">
        <v>0</v>
      </c>
      <c r="AB234" s="832">
        <v>0</v>
      </c>
      <c r="AC234" s="825">
        <v>0</v>
      </c>
      <c r="AD234" s="825">
        <v>0</v>
      </c>
      <c r="AE234" s="825">
        <v>0</v>
      </c>
      <c r="AF234" s="825">
        <v>0</v>
      </c>
      <c r="AG234" s="825">
        <v>0</v>
      </c>
      <c r="AH234" s="825">
        <v>0</v>
      </c>
      <c r="AI234" s="825">
        <v>0</v>
      </c>
      <c r="AJ234" s="825">
        <v>0</v>
      </c>
      <c r="AK234" s="825">
        <v>0</v>
      </c>
      <c r="AL234" s="825">
        <v>0</v>
      </c>
      <c r="AM234" s="825">
        <v>0</v>
      </c>
      <c r="AN234" s="825">
        <v>0</v>
      </c>
      <c r="AO234" s="825">
        <v>0</v>
      </c>
      <c r="AP234" s="825">
        <v>0</v>
      </c>
    </row>
    <row r="235" hidden="1" ht="13.5">
      <c r="B235" s="128" t="s">
        <v>7</v>
      </c>
      <c r="C235" s="129" t="str">
        <f>IF(SUM(C216:C234)&lt;&gt;0,SUM(C216:C234),"")</f>
      </c>
      <c r="D235" s="129" t="str">
        <f ref="D235:AA235" t="shared" si="10">IF(SUM(D216:D234)&lt;&gt;0,SUM(D216:D234),"")</f>
      </c>
      <c r="E235" s="129" t="str">
        <f t="shared" si="10"/>
      </c>
      <c r="F235" s="129" t="str">
        <f t="shared" si="10"/>
      </c>
      <c r="G235" s="129" t="str">
        <f t="shared" si="10"/>
      </c>
      <c r="H235" s="129" t="str">
        <f t="shared" si="10"/>
      </c>
      <c r="I235" s="129" t="str">
        <f t="shared" si="10"/>
      </c>
      <c r="J235" s="129" t="str">
        <f t="shared" si="10"/>
      </c>
      <c r="K235" s="129" t="str">
        <f t="shared" si="10"/>
      </c>
      <c r="L235" s="129" t="str">
        <f t="shared" si="10"/>
      </c>
      <c r="M235" s="129" t="str">
        <f t="shared" si="10"/>
      </c>
      <c r="N235" s="129" t="str">
        <f t="shared" si="10"/>
      </c>
      <c r="O235" s="129" t="str">
        <f t="shared" si="10"/>
      </c>
      <c r="P235" s="129" t="str">
        <f t="shared" si="10"/>
      </c>
      <c r="Q235" s="129" t="str">
        <f t="shared" si="10"/>
      </c>
      <c r="R235" s="129" t="str">
        <f t="shared" si="10"/>
      </c>
      <c r="S235" s="129" t="str">
        <f t="shared" si="10"/>
      </c>
      <c r="T235" s="129" t="str">
        <f t="shared" si="10"/>
      </c>
      <c r="U235" s="129" t="str">
        <f t="shared" si="10"/>
      </c>
      <c r="V235" s="129" t="str">
        <f t="shared" si="10"/>
      </c>
      <c r="W235" s="129" t="str">
        <f t="shared" si="10"/>
      </c>
      <c r="X235" s="129" t="str">
        <f t="shared" si="10"/>
      </c>
      <c r="Y235" s="129" t="str">
        <f t="shared" si="10"/>
      </c>
      <c r="Z235" s="129" t="str">
        <f t="shared" si="10"/>
      </c>
      <c r="AA235" s="129" t="str">
        <f t="shared" si="10"/>
      </c>
      <c r="AB235" s="130" t="str">
        <f>IF(SUM(AB216:AB234)&lt;&gt;0,SUM(AB216:AB234),"")</f>
      </c>
      <c r="AC235" s="91" t="str">
        <f ref="AC235:CN235" t="shared" si="11">IF(SUM(AC216:AC234)&lt;&gt;0,SUM(AC216:AC234),"")</f>
      </c>
      <c r="AD235" s="91" t="str">
        <f t="shared" si="11"/>
      </c>
      <c r="AE235" s="91" t="str">
        <f t="shared" si="11"/>
      </c>
      <c r="AF235" s="91" t="str">
        <f t="shared" si="11"/>
      </c>
      <c r="AG235" s="91" t="str">
        <f t="shared" si="11"/>
      </c>
      <c r="AH235" s="91" t="str">
        <f t="shared" si="11"/>
      </c>
      <c r="AI235" s="91" t="str">
        <f t="shared" si="11"/>
      </c>
      <c r="AJ235" s="91" t="str">
        <f t="shared" si="11"/>
      </c>
      <c r="AK235" s="91" t="str">
        <f t="shared" si="11"/>
      </c>
      <c r="AL235" s="91" t="str">
        <f t="shared" si="11"/>
      </c>
      <c r="AM235" s="91" t="str">
        <f t="shared" si="11"/>
      </c>
      <c r="AN235" s="91" t="str">
        <f t="shared" si="11"/>
      </c>
      <c r="AO235" s="91" t="str">
        <f t="shared" si="11"/>
      </c>
      <c r="AP235" s="91" t="str">
        <f t="shared" si="11"/>
      </c>
      <c r="AQ235" s="91" t="str">
        <f t="shared" si="11"/>
      </c>
      <c r="AR235" s="91" t="str">
        <f t="shared" si="11"/>
      </c>
      <c r="AS235" s="91" t="str">
        <f t="shared" si="11"/>
      </c>
      <c r="AT235" s="91" t="str">
        <f t="shared" si="11"/>
      </c>
      <c r="AU235" s="91" t="str">
        <f t="shared" si="11"/>
      </c>
      <c r="AV235" s="91" t="str">
        <f t="shared" si="11"/>
      </c>
      <c r="AW235" s="91" t="str">
        <f t="shared" si="11"/>
      </c>
      <c r="AX235" s="91" t="str">
        <f t="shared" si="11"/>
      </c>
      <c r="AY235" s="91" t="str">
        <f t="shared" si="11"/>
      </c>
      <c r="AZ235" s="91" t="str">
        <f t="shared" si="11"/>
      </c>
      <c r="BA235" s="91" t="str">
        <f t="shared" si="11"/>
      </c>
      <c r="BB235" s="91" t="str">
        <f t="shared" si="11"/>
      </c>
      <c r="BC235" s="91" t="str">
        <f t="shared" si="11"/>
      </c>
      <c r="BD235" s="91" t="str">
        <f t="shared" si="11"/>
      </c>
      <c r="BE235" s="91" t="str">
        <f t="shared" si="11"/>
      </c>
      <c r="BF235" s="91" t="str">
        <f t="shared" si="11"/>
      </c>
      <c r="BG235" s="91" t="str">
        <f t="shared" si="11"/>
      </c>
      <c r="BH235" s="91" t="str">
        <f t="shared" si="11"/>
      </c>
      <c r="BI235" s="91" t="str">
        <f t="shared" si="11"/>
      </c>
      <c r="BJ235" s="91" t="str">
        <f t="shared" si="11"/>
      </c>
      <c r="BK235" s="91" t="str">
        <f t="shared" si="11"/>
      </c>
      <c r="BL235" s="91" t="str">
        <f t="shared" si="11"/>
      </c>
      <c r="BM235" s="91" t="str">
        <f t="shared" si="11"/>
      </c>
      <c r="BN235" s="91" t="str">
        <f t="shared" si="11"/>
      </c>
      <c r="BO235" s="91" t="str">
        <f t="shared" si="11"/>
      </c>
      <c r="BP235" s="91" t="str">
        <f t="shared" si="11"/>
      </c>
      <c r="BQ235" s="91" t="str">
        <f t="shared" si="11"/>
      </c>
      <c r="BR235" s="91" t="str">
        <f t="shared" si="11"/>
      </c>
      <c r="BS235" s="91" t="str">
        <f t="shared" si="11"/>
      </c>
      <c r="BT235" s="91" t="str">
        <f t="shared" si="11"/>
      </c>
      <c r="BU235" s="91" t="str">
        <f t="shared" si="11"/>
      </c>
      <c r="BV235" s="91" t="str">
        <f t="shared" si="11"/>
      </c>
      <c r="BW235" s="91" t="str">
        <f t="shared" si="11"/>
      </c>
      <c r="BX235" s="91" t="str">
        <f t="shared" si="11"/>
      </c>
      <c r="BY235" s="91" t="str">
        <f t="shared" si="11"/>
      </c>
      <c r="BZ235" s="91" t="str">
        <f t="shared" si="11"/>
      </c>
      <c r="CA235" s="91" t="str">
        <f t="shared" si="11"/>
      </c>
      <c r="CB235" s="91" t="str">
        <f t="shared" si="11"/>
      </c>
      <c r="CC235" s="91" t="str">
        <f t="shared" si="11"/>
      </c>
      <c r="CD235" s="91" t="str">
        <f t="shared" si="11"/>
      </c>
      <c r="CE235" s="91" t="str">
        <f t="shared" si="11"/>
      </c>
      <c r="CF235" s="91" t="str">
        <f t="shared" si="11"/>
      </c>
      <c r="CG235" s="91" t="str">
        <f t="shared" si="11"/>
      </c>
      <c r="CH235" s="91" t="str">
        <f t="shared" si="11"/>
      </c>
      <c r="CI235" s="91" t="str">
        <f t="shared" si="11"/>
      </c>
      <c r="CJ235" s="91" t="str">
        <f t="shared" si="11"/>
      </c>
      <c r="CK235" s="91" t="str">
        <f t="shared" si="11"/>
      </c>
      <c r="CL235" s="91" t="str">
        <f t="shared" si="11"/>
      </c>
      <c r="CM235" s="91" t="str">
        <f t="shared" si="11"/>
      </c>
      <c r="CN235" s="91" t="str">
        <f t="shared" si="11"/>
      </c>
      <c r="CO235" s="91" t="str">
        <f ref="CO235:EZ235" t="shared" si="12">IF(SUM(CO216:CO234)&lt;&gt;0,SUM(CO216:CO234),"")</f>
      </c>
      <c r="CP235" s="91" t="str">
        <f t="shared" si="12"/>
      </c>
      <c r="CQ235" s="91" t="str">
        <f t="shared" si="12"/>
      </c>
      <c r="CR235" s="91" t="str">
        <f t="shared" si="12"/>
      </c>
      <c r="CS235" s="91" t="str">
        <f t="shared" si="12"/>
      </c>
      <c r="CT235" s="91" t="str">
        <f t="shared" si="12"/>
      </c>
      <c r="CU235" s="91" t="str">
        <f t="shared" si="12"/>
      </c>
      <c r="CV235" s="91" t="str">
        <f t="shared" si="12"/>
      </c>
      <c r="CW235" s="91" t="str">
        <f t="shared" si="12"/>
      </c>
      <c r="CX235" s="91" t="str">
        <f t="shared" si="12"/>
      </c>
      <c r="CY235" s="91" t="str">
        <f t="shared" si="12"/>
      </c>
      <c r="CZ235" s="91" t="str">
        <f t="shared" si="12"/>
      </c>
      <c r="DA235" s="91" t="str">
        <f t="shared" si="12"/>
      </c>
      <c r="DB235" s="91" t="str">
        <f t="shared" si="12"/>
      </c>
      <c r="DC235" s="91" t="str">
        <f t="shared" si="12"/>
      </c>
      <c r="DD235" s="91" t="str">
        <f t="shared" si="12"/>
      </c>
      <c r="DE235" s="91" t="str">
        <f t="shared" si="12"/>
      </c>
      <c r="DF235" s="91" t="str">
        <f t="shared" si="12"/>
      </c>
      <c r="DG235" s="91" t="str">
        <f t="shared" si="12"/>
      </c>
      <c r="DH235" s="91" t="str">
        <f t="shared" si="12"/>
      </c>
      <c r="DI235" s="91" t="str">
        <f t="shared" si="12"/>
      </c>
      <c r="DJ235" s="91" t="str">
        <f t="shared" si="12"/>
      </c>
      <c r="DK235" s="91" t="str">
        <f t="shared" si="12"/>
      </c>
      <c r="DL235" s="91" t="str">
        <f t="shared" si="12"/>
      </c>
      <c r="DM235" s="91" t="str">
        <f t="shared" si="12"/>
      </c>
      <c r="DN235" s="91" t="str">
        <f t="shared" si="12"/>
      </c>
      <c r="DO235" s="91" t="str">
        <f t="shared" si="12"/>
      </c>
      <c r="DP235" s="91" t="str">
        <f t="shared" si="12"/>
      </c>
      <c r="DQ235" s="91" t="str">
        <f t="shared" si="12"/>
      </c>
      <c r="DR235" s="91" t="str">
        <f t="shared" si="12"/>
      </c>
      <c r="DS235" s="91" t="str">
        <f t="shared" si="12"/>
      </c>
      <c r="DT235" s="91" t="str">
        <f t="shared" si="12"/>
      </c>
      <c r="DU235" s="91" t="str">
        <f t="shared" si="12"/>
      </c>
      <c r="DV235" s="91" t="str">
        <f t="shared" si="12"/>
      </c>
      <c r="DW235" s="91" t="str">
        <f t="shared" si="12"/>
      </c>
      <c r="DX235" s="91" t="str">
        <f t="shared" si="12"/>
      </c>
      <c r="DY235" s="91" t="str">
        <f t="shared" si="12"/>
      </c>
      <c r="DZ235" s="91" t="str">
        <f t="shared" si="12"/>
      </c>
      <c r="EA235" s="91" t="str">
        <f t="shared" si="12"/>
      </c>
      <c r="EB235" s="91" t="str">
        <f t="shared" si="12"/>
      </c>
      <c r="EC235" s="91" t="str">
        <f t="shared" si="12"/>
      </c>
      <c r="ED235" s="91" t="str">
        <f t="shared" si="12"/>
      </c>
      <c r="EE235" s="91" t="str">
        <f t="shared" si="12"/>
      </c>
      <c r="EF235" s="91" t="str">
        <f t="shared" si="12"/>
      </c>
      <c r="EG235" s="91" t="str">
        <f t="shared" si="12"/>
      </c>
      <c r="EH235" s="91" t="str">
        <f t="shared" si="12"/>
      </c>
      <c r="EI235" s="91" t="str">
        <f t="shared" si="12"/>
      </c>
      <c r="EJ235" s="91" t="str">
        <f t="shared" si="12"/>
      </c>
      <c r="EK235" s="91" t="str">
        <f t="shared" si="12"/>
      </c>
      <c r="EL235" s="91" t="str">
        <f t="shared" si="12"/>
      </c>
      <c r="EM235" s="91" t="str">
        <f t="shared" si="12"/>
      </c>
      <c r="EN235" s="91" t="str">
        <f t="shared" si="12"/>
      </c>
      <c r="EO235" s="91" t="str">
        <f t="shared" si="12"/>
      </c>
      <c r="EP235" s="91" t="str">
        <f t="shared" si="12"/>
      </c>
      <c r="EQ235" s="91" t="str">
        <f t="shared" si="12"/>
      </c>
      <c r="ER235" s="91" t="str">
        <f t="shared" si="12"/>
      </c>
      <c r="ES235" s="91" t="str">
        <f t="shared" si="12"/>
      </c>
      <c r="ET235" s="91" t="str">
        <f t="shared" si="12"/>
      </c>
      <c r="EU235" s="91" t="str">
        <f t="shared" si="12"/>
      </c>
      <c r="EV235" s="91" t="str">
        <f t="shared" si="12"/>
      </c>
      <c r="EW235" s="91" t="str">
        <f t="shared" si="12"/>
      </c>
      <c r="EX235" s="91" t="str">
        <f t="shared" si="12"/>
      </c>
      <c r="EY235" s="91" t="str">
        <f t="shared" si="12"/>
      </c>
      <c r="EZ235" s="91" t="str">
        <f t="shared" si="12"/>
      </c>
      <c r="FA235" s="91" t="str">
        <f ref="FA235:HL235" t="shared" si="13">IF(SUM(FA216:FA234)&lt;&gt;0,SUM(FA216:FA234),"")</f>
      </c>
      <c r="FB235" s="91" t="str">
        <f t="shared" si="13"/>
      </c>
      <c r="FC235" s="91" t="str">
        <f t="shared" si="13"/>
      </c>
      <c r="FD235" s="91" t="str">
        <f t="shared" si="13"/>
      </c>
      <c r="FE235" s="91" t="str">
        <f t="shared" si="13"/>
      </c>
      <c r="FF235" s="91" t="str">
        <f t="shared" si="13"/>
      </c>
      <c r="FG235" s="91" t="str">
        <f t="shared" si="13"/>
      </c>
      <c r="FH235" s="91" t="str">
        <f t="shared" si="13"/>
      </c>
      <c r="FI235" s="91" t="str">
        <f t="shared" si="13"/>
      </c>
      <c r="FJ235" s="91" t="str">
        <f t="shared" si="13"/>
      </c>
      <c r="FK235" s="91" t="str">
        <f t="shared" si="13"/>
      </c>
      <c r="FL235" s="91" t="str">
        <f t="shared" si="13"/>
      </c>
      <c r="FM235" s="91" t="str">
        <f t="shared" si="13"/>
      </c>
      <c r="FN235" s="91" t="str">
        <f t="shared" si="13"/>
      </c>
      <c r="FO235" s="91" t="str">
        <f t="shared" si="13"/>
      </c>
      <c r="FP235" s="91" t="str">
        <f t="shared" si="13"/>
      </c>
      <c r="FQ235" s="91" t="str">
        <f t="shared" si="13"/>
      </c>
      <c r="FR235" s="91" t="str">
        <f t="shared" si="13"/>
      </c>
      <c r="FS235" s="91" t="str">
        <f t="shared" si="13"/>
      </c>
      <c r="FT235" s="91" t="str">
        <f t="shared" si="13"/>
      </c>
      <c r="FU235" s="91" t="str">
        <f t="shared" si="13"/>
      </c>
      <c r="FV235" s="91" t="str">
        <f t="shared" si="13"/>
      </c>
      <c r="FW235" s="91" t="str">
        <f t="shared" si="13"/>
      </c>
      <c r="FX235" s="91" t="str">
        <f t="shared" si="13"/>
      </c>
      <c r="FY235" s="91" t="str">
        <f t="shared" si="13"/>
      </c>
      <c r="FZ235" s="91" t="str">
        <f t="shared" si="13"/>
      </c>
      <c r="GA235" s="91" t="str">
        <f t="shared" si="13"/>
      </c>
      <c r="GB235" s="91" t="str">
        <f t="shared" si="13"/>
      </c>
      <c r="GC235" s="91" t="str">
        <f t="shared" si="13"/>
      </c>
      <c r="GD235" s="91" t="str">
        <f t="shared" si="13"/>
      </c>
      <c r="GE235" s="91" t="str">
        <f t="shared" si="13"/>
      </c>
      <c r="GF235" s="91" t="str">
        <f t="shared" si="13"/>
      </c>
      <c r="GG235" s="91" t="str">
        <f t="shared" si="13"/>
      </c>
      <c r="GH235" s="91" t="str">
        <f t="shared" si="13"/>
      </c>
      <c r="GI235" s="91" t="str">
        <f t="shared" si="13"/>
      </c>
      <c r="GJ235" s="91" t="str">
        <f t="shared" si="13"/>
      </c>
      <c r="GK235" s="91" t="str">
        <f t="shared" si="13"/>
      </c>
      <c r="GL235" s="91" t="str">
        <f t="shared" si="13"/>
      </c>
      <c r="GM235" s="91" t="str">
        <f t="shared" si="13"/>
      </c>
      <c r="GN235" s="91" t="str">
        <f t="shared" si="13"/>
      </c>
      <c r="GO235" s="91" t="str">
        <f t="shared" si="13"/>
      </c>
      <c r="GP235" s="91" t="str">
        <f t="shared" si="13"/>
      </c>
      <c r="GQ235" s="91" t="str">
        <f t="shared" si="13"/>
      </c>
      <c r="GR235" s="91" t="str">
        <f t="shared" si="13"/>
      </c>
      <c r="GS235" s="91" t="str">
        <f t="shared" si="13"/>
      </c>
      <c r="GT235" s="91" t="str">
        <f t="shared" si="13"/>
      </c>
      <c r="GU235" s="91" t="str">
        <f t="shared" si="13"/>
      </c>
      <c r="GV235" s="91" t="str">
        <f t="shared" si="13"/>
      </c>
      <c r="GW235" s="91" t="str">
        <f t="shared" si="13"/>
      </c>
      <c r="GX235" s="91" t="str">
        <f t="shared" si="13"/>
      </c>
      <c r="GY235" s="91" t="str">
        <f t="shared" si="13"/>
      </c>
      <c r="GZ235" s="91" t="str">
        <f t="shared" si="13"/>
      </c>
      <c r="HA235" s="91" t="str">
        <f t="shared" si="13"/>
      </c>
      <c r="HB235" s="91" t="str">
        <f t="shared" si="13"/>
      </c>
      <c r="HC235" s="91" t="str">
        <f t="shared" si="13"/>
      </c>
      <c r="HD235" s="91" t="str">
        <f t="shared" si="13"/>
      </c>
      <c r="HE235" s="91" t="str">
        <f t="shared" si="13"/>
      </c>
      <c r="HF235" s="91" t="str">
        <f t="shared" si="13"/>
      </c>
      <c r="HG235" s="91" t="str">
        <f t="shared" si="13"/>
      </c>
      <c r="HH235" s="91" t="str">
        <f t="shared" si="13"/>
      </c>
      <c r="HI235" s="91" t="str">
        <f t="shared" si="13"/>
      </c>
      <c r="HJ235" s="91" t="str">
        <f t="shared" si="13"/>
      </c>
      <c r="HK235" s="91" t="str">
        <f t="shared" si="13"/>
      </c>
      <c r="HL235" s="91" t="str">
        <f t="shared" si="13"/>
      </c>
      <c r="HM235" s="91" t="str">
        <f ref="HM235:IV235" t="shared" si="14">IF(SUM(HM216:HM234)&lt;&gt;0,SUM(HM216:HM234),"")</f>
      </c>
      <c r="HN235" s="91" t="str">
        <f t="shared" si="14"/>
      </c>
      <c r="HO235" s="91" t="str">
        <f t="shared" si="14"/>
      </c>
      <c r="HP235" s="91" t="str">
        <f t="shared" si="14"/>
      </c>
      <c r="HQ235" s="91" t="str">
        <f t="shared" si="14"/>
      </c>
      <c r="HR235" s="91" t="str">
        <f t="shared" si="14"/>
      </c>
      <c r="HS235" s="91" t="str">
        <f t="shared" si="14"/>
      </c>
      <c r="HT235" s="91" t="str">
        <f t="shared" si="14"/>
      </c>
      <c r="HU235" s="91" t="str">
        <f t="shared" si="14"/>
      </c>
      <c r="HV235" s="91" t="str">
        <f t="shared" si="14"/>
      </c>
      <c r="HW235" s="91" t="str">
        <f t="shared" si="14"/>
      </c>
      <c r="HX235" s="91" t="str">
        <f t="shared" si="14"/>
      </c>
      <c r="HY235" s="91" t="str">
        <f t="shared" si="14"/>
      </c>
      <c r="HZ235" s="91" t="str">
        <f t="shared" si="14"/>
      </c>
      <c r="IA235" s="91" t="str">
        <f t="shared" si="14"/>
      </c>
      <c r="IB235" s="91" t="str">
        <f t="shared" si="14"/>
      </c>
      <c r="IC235" s="91" t="str">
        <f t="shared" si="14"/>
      </c>
      <c r="ID235" s="91" t="str">
        <f t="shared" si="14"/>
      </c>
      <c r="IE235" s="91" t="str">
        <f t="shared" si="14"/>
      </c>
      <c r="IF235" s="91" t="str">
        <f t="shared" si="14"/>
      </c>
      <c r="IG235" s="91" t="str">
        <f t="shared" si="14"/>
      </c>
      <c r="IH235" s="91" t="str">
        <f t="shared" si="14"/>
      </c>
      <c r="II235" s="91" t="str">
        <f t="shared" si="14"/>
      </c>
      <c r="IJ235" s="91" t="str">
        <f t="shared" si="14"/>
      </c>
      <c r="IK235" s="91" t="str">
        <f t="shared" si="14"/>
      </c>
      <c r="IL235" s="91" t="str">
        <f t="shared" si="14"/>
      </c>
      <c r="IM235" s="91" t="str">
        <f t="shared" si="14"/>
      </c>
      <c r="IN235" s="91" t="str">
        <f t="shared" si="14"/>
      </c>
      <c r="IO235" s="91" t="str">
        <f t="shared" si="14"/>
      </c>
      <c r="IP235" s="91" t="str">
        <f t="shared" si="14"/>
      </c>
      <c r="IQ235" s="91" t="str">
        <f t="shared" si="14"/>
      </c>
      <c r="IR235" s="91" t="str">
        <f t="shared" si="14"/>
      </c>
      <c r="IS235" s="91" t="str">
        <f t="shared" si="14"/>
      </c>
      <c r="IT235" s="91" t="str">
        <f t="shared" si="14"/>
      </c>
      <c r="IU235" s="91" t="str">
        <f t="shared" si="14"/>
      </c>
      <c r="IV235" s="91" t="str">
        <f t="shared" si="14"/>
      </c>
    </row>
    <row r="236" hidden="1" ht="15.75">
      <c r="B236" s="337"/>
    </row>
    <row r="237" hidden="1" ht="15.75" customHeight="1">
      <c r="C237" s="686" t="s">
        <v>384</v>
      </c>
      <c r="D237" s="687"/>
      <c r="E237" s="687"/>
      <c r="F237" s="687"/>
      <c r="G237" s="687"/>
      <c r="H237" s="687"/>
      <c r="I237" s="687"/>
      <c r="J237" s="687"/>
      <c r="K237" s="687"/>
      <c r="L237" s="687"/>
      <c r="M237" s="687"/>
      <c r="N237" s="687"/>
      <c r="O237" s="687"/>
      <c r="P237" s="687"/>
      <c r="Q237" s="687"/>
      <c r="R237" s="687"/>
      <c r="S237" s="687"/>
      <c r="T237" s="687"/>
      <c r="U237" s="687"/>
      <c r="V237" s="687"/>
      <c r="W237" s="687"/>
      <c r="X237" s="687"/>
      <c r="Y237" s="687"/>
      <c r="Z237" s="687"/>
      <c r="AA237" s="687"/>
      <c r="AB237" s="688"/>
    </row>
    <row r="238" hidden="1" ht="15" customHeight="1">
      <c r="C238" s="435" t="str">
        <f> IF(C258&lt;&gt;"",TEXT(AUX!G$1,"dd-MMM-aa"),"")</f>
      </c>
      <c r="D238" s="435" t="str">
        <f> IF(D258&lt;&gt;"",TEXT(AUX!H$1,"dd-MMM-aa"),"")</f>
      </c>
      <c r="E238" s="435" t="str">
        <f> IF(E258&lt;&gt;"",TEXT(AUX!I$1,"dd-MMM-aa"),"")</f>
      </c>
      <c r="F238" s="435" t="str">
        <f> IF(F258&lt;&gt;"",TEXT(AUX!J$1,"dd-MMM-aa"),"")</f>
      </c>
      <c r="G238" s="435" t="str">
        <f> IF(G258&lt;&gt;"",TEXT(AUX!K$1,"dd-MMM-aa"),"")</f>
      </c>
      <c r="H238" s="435" t="str">
        <f> IF(H258&lt;&gt;"",TEXT(AUX!L$1,"dd-MMM-aa"),"")</f>
      </c>
      <c r="I238" s="435" t="str">
        <f> IF(I258&lt;&gt;"",TEXT(AUX!M$1,"dd-MMM-aa"),"")</f>
      </c>
      <c r="J238" s="435" t="str">
        <f> IF(J258&lt;&gt;"",TEXT(AUX!N$1,"dd-MMM-aa"),"")</f>
      </c>
      <c r="K238" s="435" t="str">
        <f> IF(K258&lt;&gt;"",TEXT(AUX!O$1,"dd-MMM-aa"),"")</f>
      </c>
      <c r="L238" s="435" t="str">
        <f> IF(L258&lt;&gt;"",TEXT(AUX!P$1,"dd-MMM-aa"),"")</f>
      </c>
      <c r="M238" s="435" t="str">
        <f> IF(M258&lt;&gt;"",TEXT(AUX!Q$1,"dd-MMM-aa"),"")</f>
      </c>
      <c r="N238" s="435" t="str">
        <f> IF(N258&lt;&gt;"",TEXT(AUX!R$1,"dd-MMM-aa"),"")</f>
      </c>
      <c r="O238" s="435" t="str">
        <f> IF(O258&lt;&gt;"",TEXT(AUX!S$1,"dd-MMM-aa"),"")</f>
      </c>
      <c r="P238" s="435" t="str">
        <f> IF(P258&lt;&gt;"",TEXT(AUX!T$1,"dd-MMM-aa"),"")</f>
      </c>
      <c r="Q238" s="435" t="str">
        <f> IF(Q258&lt;&gt;"",TEXT(AUX!U$1,"dd-MMM-aa"),"")</f>
      </c>
      <c r="R238" s="435" t="str">
        <f> IF(R258&lt;&gt;"",TEXT(AUX!V$1,"dd-MMM-aa"),"")</f>
      </c>
      <c r="S238" s="435" t="str">
        <f> IF(S258&lt;&gt;"",TEXT(AUX!W$1,"dd-MMM-aa"),"")</f>
      </c>
      <c r="T238" s="435" t="str">
        <f> IF(T258&lt;&gt;"",TEXT(AUX!X$1,"dd-MMM-aa"),"")</f>
      </c>
      <c r="U238" s="435" t="str">
        <f> IF(U258&lt;&gt;"",TEXT(AUX!Y$1,"dd-MMM-aa"),"")</f>
      </c>
      <c r="V238" s="435" t="str">
        <f> IF(V258&lt;&gt;"",TEXT(AUX!Z$1,"dd-MMM-aa"),"")</f>
      </c>
      <c r="W238" s="435" t="str">
        <f> IF(W258&lt;&gt;"",TEXT(AUX!AA$1,"dd-MMM-aa"),"")</f>
      </c>
      <c r="X238" s="435" t="str">
        <f> IF(X258&lt;&gt;"",TEXT(AUX!AB$1,"dd-MMM-aa"),"")</f>
      </c>
      <c r="Y238" s="435" t="str">
        <f> IF(Y258&lt;&gt;"",TEXT(AUX!AC$1,"dd-MMM-aa"),"")</f>
      </c>
      <c r="Z238" s="435" t="str">
        <f> IF(Z258&lt;&gt;"",TEXT(AUX!AD$1,"dd-MMM-aa"),"")</f>
      </c>
      <c r="AA238" s="435" t="str">
        <f> IF(AA258&lt;&gt;"",TEXT(AUX!AE$1,"dd-MMM-aa"),"")</f>
      </c>
      <c r="AB238" s="497" t="str">
        <f> IF(AB258&lt;&gt;"",TEXT(AUX!AF$1,"dd-MMM-aa"),"")</f>
      </c>
      <c r="AC238" s="496" t="str">
        <f> IF(AC258&lt;&gt;"",TEXT(AUX!AG$1,"dd-MMM-aa"),"")</f>
      </c>
      <c r="AD238" s="496" t="str">
        <f> IF(AD258&lt;&gt;"",TEXT(AUX!AH$1,"dd-MMM-aa"),"")</f>
      </c>
      <c r="AE238" s="496" t="str">
        <f> IF(AE258&lt;&gt;"",TEXT(AUX!AI$1,"dd-MMM-aa"),"")</f>
      </c>
      <c r="AF238" s="496" t="str">
        <f> IF(AF258&lt;&gt;"",TEXT(AUX!AJ$1,"dd-MMM-aa"),"")</f>
      </c>
      <c r="AG238" s="496" t="str">
        <f> IF(AG258&lt;&gt;"",TEXT(AUX!AK$1,"dd-MMM-aa"),"")</f>
      </c>
      <c r="AH238" s="496" t="str">
        <f> IF(AH258&lt;&gt;"",TEXT(AUX!AL$1,"dd-MMM-aa"),"")</f>
      </c>
      <c r="AI238" s="496" t="str">
        <f> IF(AI258&lt;&gt;"",TEXT(AUX!AM$1,"dd-MMM-aa"),"")</f>
      </c>
      <c r="AJ238" s="496" t="str">
        <f> IF(AJ258&lt;&gt;"",TEXT(AUX!AN$1,"dd-MMM-aa"),"")</f>
      </c>
      <c r="AK238" s="496" t="str">
        <f> IF(AK258&lt;&gt;"",TEXT(AUX!AO$1,"dd-MMM-aa"),"")</f>
      </c>
      <c r="AL238" s="496" t="str">
        <f> IF(AL258&lt;&gt;"",TEXT(AUX!AP$1,"dd-MMM-aa"),"")</f>
      </c>
      <c r="AM238" s="496" t="str">
        <f> IF(AM258&lt;&gt;"",TEXT(AUX!AQ$1,"dd-MMM-aa"),"")</f>
      </c>
      <c r="AN238" s="496" t="str">
        <f> IF(AN258&lt;&gt;"",TEXT(AUX!AR$1,"dd-MMM-aa"),"")</f>
      </c>
      <c r="AO238" s="496" t="str">
        <f> IF(AO258&lt;&gt;"",TEXT(AUX!AS$1,"dd-MMM-aa"),"")</f>
      </c>
      <c r="AP238" s="496" t="str">
        <f> IF(AP258&lt;&gt;"",TEXT(AUX!AT$1,"dd-MMM-aa"),"")</f>
      </c>
      <c r="AQ238" s="496" t="str">
        <f> IF(AQ258&lt;&gt;"",TEXT(AUX!AU$1,"dd-MMM-aa"),"")</f>
      </c>
      <c r="AR238" s="496" t="str">
        <f> IF(AR258&lt;&gt;"",TEXT(AUX!AV$1,"dd-MMM-aa"),"")</f>
      </c>
      <c r="AS238" s="496" t="str">
        <f> IF(AS258&lt;&gt;"",TEXT(AUX!AW$1,"dd-MMM-aa"),"")</f>
      </c>
      <c r="AT238" s="496" t="str">
        <f> IF(AT258&lt;&gt;"",TEXT(AUX!AX$1,"dd-MMM-aa"),"")</f>
      </c>
      <c r="AU238" s="496" t="str">
        <f> IF(AU258&lt;&gt;"",TEXT(AUX!AY$1,"dd-MMM-aa"),"")</f>
      </c>
      <c r="AV238" s="496" t="str">
        <f> IF(AV258&lt;&gt;"",TEXT(AUX!AZ$1,"dd-MMM-aa"),"")</f>
      </c>
      <c r="AW238" s="496" t="str">
        <f> IF(AW258&lt;&gt;"",TEXT(AUX!BA$1,"dd-MMM-aa"),"")</f>
      </c>
      <c r="AX238" s="496" t="str">
        <f> IF(AX258&lt;&gt;"",TEXT(AUX!BB$1,"dd-MMM-aa"),"")</f>
      </c>
      <c r="AY238" s="496" t="str">
        <f> IF(AY258&lt;&gt;"",TEXT(AUX!BC$1,"dd-MMM-aa"),"")</f>
      </c>
      <c r="AZ238" s="496" t="str">
        <f> IF(AZ258&lt;&gt;"",TEXT(AUX!BD$1,"dd-MMM-aa"),"")</f>
      </c>
      <c r="BA238" s="496" t="str">
        <f> IF(BA258&lt;&gt;"",TEXT(AUX!BE$1,"dd-MMM-aa"),"")</f>
      </c>
      <c r="BB238" s="496" t="str">
        <f> IF(BB258&lt;&gt;"",TEXT(AUX!BF$1,"dd-MMM-aa"),"")</f>
      </c>
      <c r="BC238" s="496" t="str">
        <f> IF(BC258&lt;&gt;"",TEXT(AUX!BG$1,"dd-MMM-aa"),"")</f>
      </c>
      <c r="BD238" s="496" t="str">
        <f> IF(BD258&lt;&gt;"",TEXT(AUX!BH$1,"dd-MMM-aa"),"")</f>
      </c>
      <c r="BE238" s="496" t="str">
        <f> IF(BE258&lt;&gt;"",TEXT(AUX!BI$1,"dd-MMM-aa"),"")</f>
      </c>
      <c r="BF238" s="496" t="str">
        <f> IF(BF258&lt;&gt;"",TEXT(AUX!BJ$1,"dd-MMM-aa"),"")</f>
      </c>
      <c r="BG238" s="496" t="str">
        <f> IF(BG258&lt;&gt;"",TEXT(AUX!BK$1,"dd-MMM-aa"),"")</f>
      </c>
      <c r="BH238" s="496" t="str">
        <f> IF(BH258&lt;&gt;"",TEXT(AUX!BL$1,"dd-MMM-aa"),"")</f>
      </c>
      <c r="BI238" s="496" t="str">
        <f> IF(BI258&lt;&gt;"",TEXT(AUX!BM$1,"dd-MMM-aa"),"")</f>
      </c>
      <c r="BJ238" s="496" t="str">
        <f> IF(BJ258&lt;&gt;"",TEXT(AUX!BN$1,"dd-MMM-aa"),"")</f>
      </c>
      <c r="BK238" s="496" t="str">
        <f> IF(BK258&lt;&gt;"",TEXT(AUX!BO$1,"dd-MMM-aa"),"")</f>
      </c>
      <c r="BL238" s="496" t="str">
        <f> IF(BL258&lt;&gt;"",TEXT(AUX!BP$1,"dd-MMM-aa"),"")</f>
      </c>
      <c r="BM238" s="496" t="str">
        <f> IF(BM258&lt;&gt;"",TEXT(AUX!BQ$1,"dd-MMM-aa"),"")</f>
      </c>
      <c r="BN238" s="496" t="str">
        <f> IF(BN258&lt;&gt;"",TEXT(AUX!BR$1,"dd-MMM-aa"),"")</f>
      </c>
      <c r="BO238" s="496" t="str">
        <f> IF(BO258&lt;&gt;"",TEXT(AUX!BS$1,"dd-MMM-aa"),"")</f>
      </c>
      <c r="BP238" s="496" t="str">
        <f> IF(BP258&lt;&gt;"",TEXT(AUX!BT$1,"dd-MMM-aa"),"")</f>
      </c>
      <c r="BQ238" s="496" t="str">
        <f> IF(BQ258&lt;&gt;"",TEXT(AUX!BU$1,"dd-MMM-aa"),"")</f>
      </c>
      <c r="BR238" s="496" t="str">
        <f> IF(BR258&lt;&gt;"",TEXT(AUX!BV$1,"dd-MMM-aa"),"")</f>
      </c>
      <c r="BS238" s="496" t="str">
        <f> IF(BS258&lt;&gt;"",TEXT(AUX!BW$1,"dd-MMM-aa"),"")</f>
      </c>
      <c r="BT238" s="496" t="str">
        <f> IF(BT258&lt;&gt;"",TEXT(AUX!BX$1,"dd-MMM-aa"),"")</f>
      </c>
      <c r="BU238" s="496" t="str">
        <f> IF(BU258&lt;&gt;"",TEXT(AUX!BY$1,"dd-MMM-aa"),"")</f>
      </c>
      <c r="BV238" s="496" t="str">
        <f> IF(BV258&lt;&gt;"",TEXT(AUX!BZ$1,"dd-MMM-aa"),"")</f>
      </c>
      <c r="BW238" s="496" t="str">
        <f> IF(BW258&lt;&gt;"",TEXT(AUX!CA$1,"dd-MMM-aa"),"")</f>
      </c>
      <c r="BX238" s="496" t="str">
        <f> IF(BX258&lt;&gt;"",TEXT(AUX!CB$1,"dd-MMM-aa"),"")</f>
      </c>
      <c r="BY238" s="496" t="str">
        <f> IF(BY258&lt;&gt;"",TEXT(AUX!CC$1,"dd-MMM-aa"),"")</f>
      </c>
      <c r="BZ238" s="496" t="str">
        <f> IF(BZ258&lt;&gt;"",TEXT(AUX!CD$1,"dd-MMM-aa"),"")</f>
      </c>
      <c r="CA238" s="496" t="str">
        <f> IF(CA258&lt;&gt;"",TEXT(AUX!CE$1,"dd-MMM-aa"),"")</f>
      </c>
      <c r="CB238" s="496" t="str">
        <f> IF(CB258&lt;&gt;"",TEXT(AUX!CF$1,"dd-MMM-aa"),"")</f>
      </c>
      <c r="CC238" s="496" t="str">
        <f> IF(CC258&lt;&gt;"",TEXT(AUX!CG$1,"dd-MMM-aa"),"")</f>
      </c>
      <c r="CD238" s="496" t="str">
        <f> IF(CD258&lt;&gt;"",TEXT(AUX!CH$1,"dd-MMM-aa"),"")</f>
      </c>
      <c r="CE238" s="496" t="str">
        <f> IF(CE258&lt;&gt;"",TEXT(AUX!CI$1,"dd-MMM-aa"),"")</f>
      </c>
      <c r="CF238" s="496" t="str">
        <f> IF(CF258&lt;&gt;"",TEXT(AUX!CJ$1,"dd-MMM-aa"),"")</f>
      </c>
      <c r="CG238" s="496" t="str">
        <f> IF(CG258&lt;&gt;"",TEXT(AUX!CK$1,"dd-MMM-aa"),"")</f>
      </c>
      <c r="CH238" s="496" t="str">
        <f> IF(CH258&lt;&gt;"",TEXT(AUX!CL$1,"dd-MMM-aa"),"")</f>
      </c>
      <c r="CI238" s="496" t="str">
        <f> IF(CI258&lt;&gt;"",TEXT(AUX!CM$1,"dd-MMM-aa"),"")</f>
      </c>
      <c r="CJ238" s="496" t="str">
        <f> IF(CJ258&lt;&gt;"",TEXT(AUX!CN$1,"dd-MMM-aa"),"")</f>
      </c>
      <c r="CK238" s="496" t="str">
        <f> IF(CK258&lt;&gt;"",TEXT(AUX!CO$1,"dd-MMM-aa"),"")</f>
      </c>
      <c r="CL238" s="496" t="str">
        <f> IF(CL258&lt;&gt;"",TEXT(AUX!CP$1,"dd-MMM-aa"),"")</f>
      </c>
      <c r="CM238" s="496" t="str">
        <f> IF(CM258&lt;&gt;"",TEXT(AUX!CQ$1,"dd-MMM-aa"),"")</f>
      </c>
      <c r="CN238" s="496" t="str">
        <f> IF(CN258&lt;&gt;"",TEXT(AUX!CR$1,"dd-MMM-aa"),"")</f>
      </c>
      <c r="CO238" s="496" t="str">
        <f> IF(CO258&lt;&gt;"",TEXT(AUX!CS$1,"dd-MMM-aa"),"")</f>
      </c>
      <c r="CP238" s="496" t="str">
        <f> IF(CP258&lt;&gt;"",TEXT(AUX!CT$1,"dd-MMM-aa"),"")</f>
      </c>
      <c r="CQ238" s="496" t="str">
        <f> IF(CQ258&lt;&gt;"",TEXT(AUX!CU$1,"dd-MMM-aa"),"")</f>
      </c>
      <c r="CR238" s="496" t="str">
        <f> IF(CR258&lt;&gt;"",TEXT(AUX!CV$1,"dd-MMM-aa"),"")</f>
      </c>
      <c r="CS238" s="496" t="str">
        <f> IF(CS258&lt;&gt;"",TEXT(AUX!CW$1,"dd-MMM-aa"),"")</f>
      </c>
      <c r="CT238" s="496" t="str">
        <f> IF(CT258&lt;&gt;"",TEXT(AUX!CX$1,"dd-MMM-aa"),"")</f>
      </c>
      <c r="CU238" s="496" t="str">
        <f> IF(CU258&lt;&gt;"",TEXT(AUX!CY$1,"dd-MMM-aa"),"")</f>
      </c>
      <c r="CV238" s="496" t="str">
        <f> IF(CV258&lt;&gt;"",TEXT(AUX!CZ$1,"dd-MMM-aa"),"")</f>
      </c>
      <c r="CW238" s="496" t="str">
        <f> IF(CW258&lt;&gt;"",TEXT(AUX!DA$1,"dd-MMM-aa"),"")</f>
      </c>
      <c r="CX238" s="496" t="str">
        <f> IF(CX258&lt;&gt;"",TEXT(AUX!DB$1,"dd-MMM-aa"),"")</f>
      </c>
      <c r="CY238" s="496" t="str">
        <f> IF(CY258&lt;&gt;"",TEXT(AUX!DC$1,"dd-MMM-aa"),"")</f>
      </c>
      <c r="CZ238" s="496" t="str">
        <f> IF(CZ258&lt;&gt;"",TEXT(AUX!DD$1,"dd-MMM-aa"),"")</f>
      </c>
      <c r="DA238" s="496" t="str">
        <f> IF(DA258&lt;&gt;"",TEXT(AUX!DE$1,"dd-MMM-aa"),"")</f>
      </c>
      <c r="DB238" s="496" t="str">
        <f> IF(DB258&lt;&gt;"",TEXT(AUX!DF$1,"dd-MMM-aa"),"")</f>
      </c>
      <c r="DC238" s="496" t="str">
        <f> IF(DC258&lt;&gt;"",TEXT(AUX!DG$1,"dd-MMM-aa"),"")</f>
      </c>
      <c r="DD238" s="496" t="str">
        <f> IF(DD258&lt;&gt;"",TEXT(AUX!DH$1,"dd-MMM-aa"),"")</f>
      </c>
      <c r="DE238" s="496" t="str">
        <f> IF(DE258&lt;&gt;"",TEXT(AUX!DI$1,"dd-MMM-aa"),"")</f>
      </c>
      <c r="DF238" s="496" t="str">
        <f> IF(DF258&lt;&gt;"",TEXT(AUX!DJ$1,"dd-MMM-aa"),"")</f>
      </c>
      <c r="DG238" s="496" t="str">
        <f> IF(DG258&lt;&gt;"",TEXT(AUX!DK$1,"dd-MMM-aa"),"")</f>
      </c>
      <c r="DH238" s="496" t="str">
        <f> IF(DH258&lt;&gt;"",TEXT(AUX!DL$1,"dd-MMM-aa"),"")</f>
      </c>
      <c r="DI238" s="496" t="str">
        <f> IF(DI258&lt;&gt;"",TEXT(AUX!DM$1,"dd-MMM-aa"),"")</f>
      </c>
      <c r="DJ238" s="496" t="str">
        <f> IF(DJ258&lt;&gt;"",TEXT(AUX!DN$1,"dd-MMM-aa"),"")</f>
      </c>
      <c r="DK238" s="496" t="str">
        <f> IF(DK258&lt;&gt;"",TEXT(AUX!DO$1,"dd-MMM-aa"),"")</f>
      </c>
      <c r="DL238" s="496" t="str">
        <f> IF(DL258&lt;&gt;"",TEXT(AUX!DP$1,"dd-MMM-aa"),"")</f>
      </c>
      <c r="DM238" s="496" t="str">
        <f> IF(DM258&lt;&gt;"",TEXT(AUX!DQ$1,"dd-MMM-aa"),"")</f>
      </c>
      <c r="DN238" s="496" t="str">
        <f> IF(DN258&lt;&gt;"",TEXT(AUX!DR$1,"dd-MMM-aa"),"")</f>
      </c>
      <c r="DO238" s="496" t="str">
        <f> IF(DO258&lt;&gt;"",TEXT(AUX!DS$1,"dd-MMM-aa"),"")</f>
      </c>
      <c r="DP238" s="496" t="str">
        <f> IF(DP258&lt;&gt;"",TEXT(AUX!DT$1,"dd-MMM-aa"),"")</f>
      </c>
      <c r="DQ238" s="496" t="str">
        <f> IF(DQ258&lt;&gt;"",TEXT(AUX!DU$1,"dd-MMM-aa"),"")</f>
      </c>
      <c r="DR238" s="496" t="str">
        <f> IF(DR258&lt;&gt;"",TEXT(AUX!DV$1,"dd-MMM-aa"),"")</f>
      </c>
      <c r="DS238" s="496" t="str">
        <f> IF(DS258&lt;&gt;"",TEXT(AUX!DW$1,"dd-MMM-aa"),"")</f>
      </c>
      <c r="DT238" s="496" t="str">
        <f> IF(DT258&lt;&gt;"",TEXT(AUX!DX$1,"dd-MMM-aa"),"")</f>
      </c>
      <c r="DU238" s="496" t="str">
        <f> IF(DU258&lt;&gt;"",TEXT(AUX!DY$1,"dd-MMM-aa"),"")</f>
      </c>
      <c r="DV238" s="496" t="str">
        <f> IF(DV258&lt;&gt;"",TEXT(AUX!DZ$1,"dd-MMM-aa"),"")</f>
      </c>
      <c r="DW238" s="496" t="str">
        <f> IF(DW258&lt;&gt;"",TEXT(AUX!EA$1,"dd-MMM-aa"),"")</f>
      </c>
      <c r="DX238" s="496" t="str">
        <f> IF(DX258&lt;&gt;"",TEXT(AUX!EB$1,"dd-MMM-aa"),"")</f>
      </c>
      <c r="DY238" s="496" t="str">
        <f> IF(DY258&lt;&gt;"",TEXT(AUX!EC$1,"dd-MMM-aa"),"")</f>
      </c>
      <c r="DZ238" s="496" t="str">
        <f> IF(DZ258&lt;&gt;"",TEXT(AUX!ED$1,"dd-MMM-aa"),"")</f>
      </c>
      <c r="EA238" s="496" t="str">
        <f> IF(EA258&lt;&gt;"",TEXT(AUX!EE$1,"dd-MMM-aa"),"")</f>
      </c>
      <c r="EB238" s="496" t="str">
        <f> IF(EB258&lt;&gt;"",TEXT(AUX!EF$1,"dd-MMM-aa"),"")</f>
      </c>
      <c r="EC238" s="496" t="str">
        <f> IF(EC258&lt;&gt;"",TEXT(AUX!EG$1,"dd-MMM-aa"),"")</f>
      </c>
      <c r="ED238" s="496" t="str">
        <f> IF(ED258&lt;&gt;"",TEXT(AUX!EH$1,"dd-MMM-aa"),"")</f>
      </c>
      <c r="EE238" s="496" t="str">
        <f> IF(EE258&lt;&gt;"",TEXT(AUX!EI$1,"dd-MMM-aa"),"")</f>
      </c>
      <c r="EF238" s="496" t="str">
        <f> IF(EF258&lt;&gt;"",TEXT(AUX!EJ$1,"dd-MMM-aa"),"")</f>
      </c>
      <c r="EG238" s="496" t="str">
        <f> IF(EG258&lt;&gt;"",TEXT(AUX!EK$1,"dd-MMM-aa"),"")</f>
      </c>
      <c r="EH238" s="496" t="str">
        <f> IF(EH258&lt;&gt;"",TEXT(AUX!EL$1,"dd-MMM-aa"),"")</f>
      </c>
      <c r="EI238" s="496" t="str">
        <f> IF(EI258&lt;&gt;"",TEXT(AUX!EM$1,"dd-MMM-aa"),"")</f>
      </c>
      <c r="EJ238" s="496" t="str">
        <f> IF(EJ258&lt;&gt;"",TEXT(AUX!EN$1,"dd-MMM-aa"),"")</f>
      </c>
      <c r="EK238" s="496" t="str">
        <f> IF(EK258&lt;&gt;"",TEXT(AUX!EO$1,"dd-MMM-aa"),"")</f>
      </c>
      <c r="EL238" s="496" t="str">
        <f> IF(EL258&lt;&gt;"",TEXT(AUX!EP$1,"dd-MMM-aa"),"")</f>
      </c>
      <c r="EM238" s="496" t="str">
        <f> IF(EM258&lt;&gt;"",TEXT(AUX!EQ$1,"dd-MMM-aa"),"")</f>
      </c>
      <c r="EN238" s="496" t="str">
        <f> IF(EN258&lt;&gt;"",TEXT(AUX!ER$1,"dd-MMM-aa"),"")</f>
      </c>
      <c r="EO238" s="496" t="str">
        <f> IF(EO258&lt;&gt;"",TEXT(AUX!ES$1,"dd-MMM-aa"),"")</f>
      </c>
      <c r="EP238" s="496" t="str">
        <f> IF(EP258&lt;&gt;"",TEXT(AUX!ET$1,"dd-MMM-aa"),"")</f>
      </c>
      <c r="EQ238" s="496" t="str">
        <f> IF(EQ258&lt;&gt;"",TEXT(AUX!EU$1,"dd-MMM-aa"),"")</f>
      </c>
      <c r="ER238" s="496" t="str">
        <f> IF(ER258&lt;&gt;"",TEXT(AUX!EV$1,"dd-MMM-aa"),"")</f>
      </c>
      <c r="ES238" s="496" t="str">
        <f> IF(ES258&lt;&gt;"",TEXT(AUX!EW$1,"dd-MMM-aa"),"")</f>
      </c>
      <c r="ET238" s="496" t="str">
        <f> IF(ET258&lt;&gt;"",TEXT(AUX!EX$1,"dd-MMM-aa"),"")</f>
      </c>
      <c r="EU238" s="496" t="str">
        <f> IF(EU258&lt;&gt;"",TEXT(AUX!EY$1,"dd-MMM-aa"),"")</f>
      </c>
      <c r="EV238" s="496" t="str">
        <f> IF(EV258&lt;&gt;"",TEXT(AUX!EZ$1,"dd-MMM-aa"),"")</f>
      </c>
      <c r="EW238" s="496" t="str">
        <f> IF(EW258&lt;&gt;"",TEXT(AUX!FA$1,"dd-MMM-aa"),"")</f>
      </c>
      <c r="EX238" s="496" t="str">
        <f> IF(EX258&lt;&gt;"",TEXT(AUX!FB$1,"dd-MMM-aa"),"")</f>
      </c>
      <c r="EY238" s="496" t="str">
        <f> IF(EY258&lt;&gt;"",TEXT(AUX!FC$1,"dd-MMM-aa"),"")</f>
      </c>
      <c r="EZ238" s="496" t="str">
        <f> IF(EZ258&lt;&gt;"",TEXT(AUX!FD$1,"dd-MMM-aa"),"")</f>
      </c>
      <c r="FA238" s="496" t="str">
        <f> IF(FA258&lt;&gt;"",TEXT(AUX!FE$1,"dd-MMM-aa"),"")</f>
      </c>
      <c r="FB238" s="496" t="str">
        <f> IF(FB258&lt;&gt;"",TEXT(AUX!FF$1,"dd-MMM-aa"),"")</f>
      </c>
      <c r="FC238" s="496" t="str">
        <f> IF(FC258&lt;&gt;"",TEXT(AUX!FG$1,"dd-MMM-aa"),"")</f>
      </c>
      <c r="FD238" s="496" t="str">
        <f> IF(FD258&lt;&gt;"",TEXT(AUX!FH$1,"dd-MMM-aa"),"")</f>
      </c>
      <c r="FE238" s="496" t="str">
        <f> IF(FE258&lt;&gt;"",TEXT(AUX!FI$1,"dd-MMM-aa"),"")</f>
      </c>
      <c r="FF238" s="496" t="str">
        <f> IF(FF258&lt;&gt;"",TEXT(AUX!FJ$1,"dd-MMM-aa"),"")</f>
      </c>
      <c r="FG238" s="496" t="str">
        <f> IF(FG258&lt;&gt;"",TEXT(AUX!FK$1,"dd-MMM-aa"),"")</f>
      </c>
      <c r="FH238" s="496" t="str">
        <f> IF(FH258&lt;&gt;"",TEXT(AUX!FL$1,"dd-MMM-aa"),"")</f>
      </c>
      <c r="FI238" s="496" t="str">
        <f> IF(FI258&lt;&gt;"",TEXT(AUX!FM$1,"dd-MMM-aa"),"")</f>
      </c>
      <c r="FJ238" s="496" t="str">
        <f> IF(FJ258&lt;&gt;"",TEXT(AUX!FN$1,"dd-MMM-aa"),"")</f>
      </c>
      <c r="FK238" s="496" t="str">
        <f> IF(FK258&lt;&gt;"",TEXT(AUX!FO$1,"dd-MMM-aa"),"")</f>
      </c>
      <c r="FL238" s="496" t="str">
        <f> IF(FL258&lt;&gt;"",TEXT(AUX!FP$1,"dd-MMM-aa"),"")</f>
      </c>
      <c r="FM238" s="496" t="str">
        <f> IF(FM258&lt;&gt;"",TEXT(AUX!FQ$1,"dd-MMM-aa"),"")</f>
      </c>
      <c r="FN238" s="496" t="str">
        <f> IF(FN258&lt;&gt;"",TEXT(AUX!FR$1,"dd-MMM-aa"),"")</f>
      </c>
      <c r="FO238" s="496" t="str">
        <f> IF(FO258&lt;&gt;"",TEXT(AUX!FS$1,"dd-MMM-aa"),"")</f>
      </c>
      <c r="FP238" s="496" t="str">
        <f> IF(FP258&lt;&gt;"",TEXT(AUX!FT$1,"dd-MMM-aa"),"")</f>
      </c>
      <c r="FQ238" s="496" t="str">
        <f> IF(FQ258&lt;&gt;"",TEXT(AUX!FU$1,"dd-MMM-aa"),"")</f>
      </c>
      <c r="FR238" s="496" t="str">
        <f> IF(FR258&lt;&gt;"",TEXT(AUX!FV$1,"dd-MMM-aa"),"")</f>
      </c>
      <c r="FS238" s="496" t="str">
        <f> IF(FS258&lt;&gt;"",TEXT(AUX!FW$1,"dd-MMM-aa"),"")</f>
      </c>
      <c r="FT238" s="496" t="str">
        <f> IF(FT258&lt;&gt;"",TEXT(AUX!FX$1,"dd-MMM-aa"),"")</f>
      </c>
      <c r="FU238" s="496" t="str">
        <f> IF(FU258&lt;&gt;"",TEXT(AUX!FY$1,"dd-MMM-aa"),"")</f>
      </c>
      <c r="FV238" s="496" t="str">
        <f> IF(FV258&lt;&gt;"",TEXT(AUX!FZ$1,"dd-MMM-aa"),"")</f>
      </c>
      <c r="FW238" s="496" t="str">
        <f> IF(FW258&lt;&gt;"",TEXT(AUX!GA$1,"dd-MMM-aa"),"")</f>
      </c>
      <c r="FX238" s="496" t="str">
        <f> IF(FX258&lt;&gt;"",TEXT(AUX!GB$1,"dd-MMM-aa"),"")</f>
      </c>
      <c r="FY238" s="496" t="str">
        <f> IF(FY258&lt;&gt;"",TEXT(AUX!GC$1,"dd-MMM-aa"),"")</f>
      </c>
      <c r="FZ238" s="496" t="str">
        <f> IF(FZ258&lt;&gt;"",TEXT(AUX!GD$1,"dd-MMM-aa"),"")</f>
      </c>
      <c r="GA238" s="496" t="str">
        <f> IF(GA258&lt;&gt;"",TEXT(AUX!GE$1,"dd-MMM-aa"),"")</f>
      </c>
      <c r="GB238" s="496" t="str">
        <f> IF(GB258&lt;&gt;"",TEXT(AUX!GF$1,"dd-MMM-aa"),"")</f>
      </c>
      <c r="GC238" s="496" t="str">
        <f> IF(GC258&lt;&gt;"",TEXT(AUX!GG$1,"dd-MMM-aa"),"")</f>
      </c>
      <c r="GD238" s="496" t="str">
        <f> IF(GD258&lt;&gt;"",TEXT(AUX!GH$1,"dd-MMM-aa"),"")</f>
      </c>
      <c r="GE238" s="496" t="str">
        <f> IF(GE258&lt;&gt;"",TEXT(AUX!GI$1,"dd-MMM-aa"),"")</f>
      </c>
      <c r="GF238" s="496" t="str">
        <f> IF(GF258&lt;&gt;"",TEXT(AUX!GJ$1,"dd-MMM-aa"),"")</f>
      </c>
      <c r="GG238" s="496" t="str">
        <f> IF(GG258&lt;&gt;"",TEXT(AUX!GK$1,"dd-MMM-aa"),"")</f>
      </c>
      <c r="GH238" s="496" t="str">
        <f> IF(GH258&lt;&gt;"",TEXT(AUX!GL$1,"dd-MMM-aa"),"")</f>
      </c>
      <c r="GI238" s="496" t="str">
        <f> IF(GI258&lt;&gt;"",TEXT(AUX!GM$1,"dd-MMM-aa"),"")</f>
      </c>
      <c r="GJ238" s="496" t="str">
        <f> IF(GJ258&lt;&gt;"",TEXT(AUX!GN$1,"dd-MMM-aa"),"")</f>
      </c>
      <c r="GK238" s="496" t="str">
        <f> IF(GK258&lt;&gt;"",TEXT(AUX!GO$1,"dd-MMM-aa"),"")</f>
      </c>
      <c r="GL238" s="496" t="str">
        <f> IF(GL258&lt;&gt;"",TEXT(AUX!GP$1,"dd-MMM-aa"),"")</f>
      </c>
      <c r="GM238" s="496" t="str">
        <f> IF(GM258&lt;&gt;"",TEXT(AUX!GQ$1,"dd-MMM-aa"),"")</f>
      </c>
      <c r="GN238" s="496" t="str">
        <f> IF(GN258&lt;&gt;"",TEXT(AUX!GR$1,"dd-MMM-aa"),"")</f>
      </c>
      <c r="GO238" s="496" t="str">
        <f> IF(GO258&lt;&gt;"",TEXT(AUX!GS$1,"dd-MMM-aa"),"")</f>
      </c>
      <c r="GP238" s="496" t="str">
        <f> IF(GP258&lt;&gt;"",TEXT(AUX!GT$1,"dd-MMM-aa"),"")</f>
      </c>
      <c r="GQ238" s="496" t="str">
        <f> IF(GQ258&lt;&gt;"",TEXT(AUX!GU$1,"dd-MMM-aa"),"")</f>
      </c>
      <c r="GR238" s="496" t="str">
        <f> IF(GR258&lt;&gt;"",TEXT(AUX!GV$1,"dd-MMM-aa"),"")</f>
      </c>
      <c r="GS238" s="496" t="str">
        <f> IF(GS258&lt;&gt;"",TEXT(AUX!GW$1,"dd-MMM-aa"),"")</f>
      </c>
      <c r="GT238" s="496" t="str">
        <f> IF(GT258&lt;&gt;"",TEXT(AUX!GX$1,"dd-MMM-aa"),"")</f>
      </c>
      <c r="GU238" s="496" t="str">
        <f> IF(GU258&lt;&gt;"",TEXT(AUX!GY$1,"dd-MMM-aa"),"")</f>
      </c>
      <c r="GV238" s="496" t="str">
        <f> IF(GV258&lt;&gt;"",TEXT(AUX!GZ$1,"dd-MMM-aa"),"")</f>
      </c>
      <c r="GW238" s="496" t="str">
        <f> IF(GW258&lt;&gt;"",TEXT(AUX!HA$1,"dd-MMM-aa"),"")</f>
      </c>
      <c r="GX238" s="496" t="str">
        <f> IF(GX258&lt;&gt;"",TEXT(AUX!HB$1,"dd-MMM-aa"),"")</f>
      </c>
      <c r="GY238" s="496" t="str">
        <f> IF(GY258&lt;&gt;"",TEXT(AUX!HC$1,"dd-MMM-aa"),"")</f>
      </c>
      <c r="GZ238" s="496" t="str">
        <f> IF(GZ258&lt;&gt;"",TEXT(AUX!HD$1,"dd-MMM-aa"),"")</f>
      </c>
      <c r="HA238" s="496" t="str">
        <f> IF(HA258&lt;&gt;"",TEXT(AUX!HE$1,"dd-MMM-aa"),"")</f>
      </c>
      <c r="HB238" s="496" t="str">
        <f> IF(HB258&lt;&gt;"",TEXT(AUX!HF$1,"dd-MMM-aa"),"")</f>
      </c>
      <c r="HC238" s="496" t="str">
        <f> IF(HC258&lt;&gt;"",TEXT(AUX!HG$1,"dd-MMM-aa"),"")</f>
      </c>
      <c r="HD238" s="496" t="str">
        <f> IF(HD258&lt;&gt;"",TEXT(AUX!HH$1,"dd-MMM-aa"),"")</f>
      </c>
      <c r="HE238" s="496" t="str">
        <f> IF(HE258&lt;&gt;"",TEXT(AUX!HI$1,"dd-MMM-aa"),"")</f>
      </c>
      <c r="HF238" s="496" t="str">
        <f> IF(HF258&lt;&gt;"",TEXT(AUX!HJ$1,"dd-MMM-aa"),"")</f>
      </c>
      <c r="HG238" s="496" t="str">
        <f> IF(HG258&lt;&gt;"",TEXT(AUX!HK$1,"dd-MMM-aa"),"")</f>
      </c>
      <c r="HH238" s="496" t="str">
        <f> IF(HH258&lt;&gt;"",TEXT(AUX!HL$1,"dd-MMM-aa"),"")</f>
      </c>
      <c r="HI238" s="496" t="str">
        <f> IF(HI258&lt;&gt;"",TEXT(AUX!HM$1,"dd-MMM-aa"),"")</f>
      </c>
      <c r="HJ238" s="496" t="str">
        <f> IF(HJ258&lt;&gt;"",TEXT(AUX!HN$1,"dd-MMM-aa"),"")</f>
      </c>
      <c r="HK238" s="496" t="str">
        <f> IF(HK258&lt;&gt;"",TEXT(AUX!HO$1,"dd-MMM-aa"),"")</f>
      </c>
      <c r="HL238" s="496" t="str">
        <f> IF(HL258&lt;&gt;"",TEXT(AUX!HP$1,"dd-MMM-aa"),"")</f>
      </c>
      <c r="HM238" s="496" t="str">
        <f> IF(HM258&lt;&gt;"",TEXT(AUX!HQ$1,"dd-MMM-aa"),"")</f>
      </c>
      <c r="HN238" s="496" t="str">
        <f> IF(HN258&lt;&gt;"",TEXT(AUX!HR$1,"dd-MMM-aa"),"")</f>
      </c>
      <c r="HO238" s="496" t="str">
        <f> IF(HO258&lt;&gt;"",TEXT(AUX!HS$1,"dd-MMM-aa"),"")</f>
      </c>
      <c r="HP238" s="496" t="str">
        <f> IF(HP258&lt;&gt;"",TEXT(AUX!HT$1,"dd-MMM-aa"),"")</f>
      </c>
      <c r="HQ238" s="496" t="str">
        <f> IF(HQ258&lt;&gt;"",TEXT(AUX!HU$1,"dd-MMM-aa"),"")</f>
      </c>
      <c r="HR238" s="496" t="str">
        <f> IF(HR258&lt;&gt;"",TEXT(AUX!HV$1,"dd-MMM-aa"),"")</f>
      </c>
      <c r="HS238" s="496" t="str">
        <f> IF(HS258&lt;&gt;"",TEXT(AUX!HW$1,"dd-MMM-aa"),"")</f>
      </c>
      <c r="HT238" s="496" t="str">
        <f> IF(HT258&lt;&gt;"",TEXT(AUX!HX$1,"dd-MMM-aa"),"")</f>
      </c>
      <c r="HU238" s="496" t="str">
        <f> IF(HU258&lt;&gt;"",TEXT(AUX!HY$1,"dd-MMM-aa"),"")</f>
      </c>
      <c r="HV238" s="496" t="str">
        <f> IF(HV258&lt;&gt;"",TEXT(AUX!HZ$1,"dd-MMM-aa"),"")</f>
      </c>
      <c r="HW238" s="496" t="str">
        <f> IF(HW258&lt;&gt;"",TEXT(AUX!IA$1,"dd-MMM-aa"),"")</f>
      </c>
      <c r="HX238" s="496" t="str">
        <f> IF(HX258&lt;&gt;"",TEXT(AUX!IB$1,"dd-MMM-aa"),"")</f>
      </c>
      <c r="HY238" s="496" t="str">
        <f> IF(HY258&lt;&gt;"",TEXT(AUX!IC$1,"dd-MMM-aa"),"")</f>
      </c>
      <c r="HZ238" s="496" t="str">
        <f> IF(HZ258&lt;&gt;"",TEXT(AUX!ID$1,"dd-MMM-aa"),"")</f>
      </c>
      <c r="IA238" s="496" t="str">
        <f> IF(IA258&lt;&gt;"",TEXT(AUX!IE$1,"dd-MMM-aa"),"")</f>
      </c>
      <c r="IB238" s="496" t="str">
        <f> IF(IB258&lt;&gt;"",TEXT(AUX!IF$1,"dd-MMM-aa"),"")</f>
      </c>
      <c r="IC238" s="496" t="str">
        <f> IF(IC258&lt;&gt;"",TEXT(AUX!IG$1,"dd-MMM-aa"),"")</f>
      </c>
      <c r="ID238" s="496" t="str">
        <f> IF(ID258&lt;&gt;"",TEXT(AUX!IH$1,"dd-MMM-aa"),"")</f>
      </c>
      <c r="IE238" s="496" t="str">
        <f> IF(IE258&lt;&gt;"",TEXT(AUX!II$1,"dd-MMM-aa"),"")</f>
      </c>
      <c r="IF238" s="496" t="str">
        <f> IF(IF258&lt;&gt;"",TEXT(AUX!IJ$1,"dd-MMM-aa"),"")</f>
      </c>
      <c r="IG238" s="496" t="str">
        <f> IF(IG258&lt;&gt;"",TEXT(AUX!IK$1,"dd-MMM-aa"),"")</f>
      </c>
      <c r="IH238" s="496" t="str">
        <f> IF(IH258&lt;&gt;"",TEXT(AUX!IL$1,"dd-MMM-aa"),"")</f>
      </c>
      <c r="II238" s="496" t="str">
        <f> IF(II258&lt;&gt;"",TEXT(AUX!IM$1,"dd-MMM-aa"),"")</f>
      </c>
      <c r="IJ238" s="496" t="str">
        <f> IF(IJ258&lt;&gt;"",TEXT(AUX!IN$1,"dd-MMM-aa"),"")</f>
      </c>
      <c r="IK238" s="496" t="str">
        <f> IF(IK258&lt;&gt;"",TEXT(AUX!IO$1,"dd-MMM-aa"),"")</f>
      </c>
      <c r="IL238" s="496" t="str">
        <f> IF(IL258&lt;&gt;"",TEXT(AUX!IP$1,"dd-MMM-aa"),"")</f>
      </c>
      <c r="IM238" s="496" t="str">
        <f> IF(IM258&lt;&gt;"",TEXT(AUX!IQ$1,"dd-MMM-aa"),"")</f>
      </c>
      <c r="IN238" s="496" t="str">
        <f> IF(IN258&lt;&gt;"",TEXT(AUX!IR$1,"dd-MMM-aa"),"")</f>
      </c>
      <c r="IO238" s="496" t="str">
        <f> IF(IO258&lt;&gt;"",TEXT(AUX!IS$1,"dd-MMM-aa"),"")</f>
      </c>
      <c r="IP238" s="496" t="str">
        <f> IF(IP258&lt;&gt;"",TEXT(AUX!IT$1,"dd-MMM-aa"),"")</f>
      </c>
      <c r="IQ238" s="496" t="str">
        <f> IF(IQ258&lt;&gt;"",TEXT(AUX!IU$1,"dd-MMM-aa"),"")</f>
      </c>
      <c r="IR238" s="496" t="str">
        <f> IF(IR258&lt;&gt;"",TEXT(AUX!IV$1,"dd-MMM-aa"),"")</f>
      </c>
      <c r="IS238" s="496" t="str">
        <f> IF(IS258&lt;&gt;"",TEXT(AUX!#REF!,"dd-MMM-aa"),"")</f>
      </c>
      <c r="IT238" s="496" t="str">
        <f> IF(IT258&lt;&gt;"",TEXT(AUX!#REF!,"dd-MMM-aa"),"")</f>
      </c>
      <c r="IU238" s="496" t="str">
        <f> IF(IU258&lt;&gt;"",TEXT(AUX!#REF!,"dd-MMM-aa"),"")</f>
      </c>
      <c r="IV238" s="496" t="str">
        <f> IF(IV258&lt;&gt;"",TEXT(AUX!#REF!,"dd-MMM-aa"),"")</f>
      </c>
    </row>
    <row r="239" hidden="1">
      <c r="B239" s="833" t="s">
        <v>8</v>
      </c>
      <c r="C239" s="827">
        <v>425586</v>
      </c>
      <c r="D239" s="827">
        <v>458786</v>
      </c>
      <c r="E239" s="827">
        <v>451510</v>
      </c>
      <c r="F239" s="827">
        <v>318144</v>
      </c>
      <c r="G239" s="827">
        <v>374148</v>
      </c>
      <c r="H239" s="827">
        <v>418341</v>
      </c>
      <c r="I239" s="827">
        <v>417531</v>
      </c>
      <c r="J239" s="827">
        <v>564079</v>
      </c>
      <c r="K239" s="827">
        <v>275374</v>
      </c>
      <c r="L239" s="827">
        <v>442278</v>
      </c>
      <c r="M239" s="827">
        <v>631881</v>
      </c>
      <c r="N239" s="827">
        <v>572909</v>
      </c>
      <c r="O239" s="827">
        <v>810119</v>
      </c>
      <c r="P239" s="827">
        <v>904290</v>
      </c>
      <c r="Q239" s="827">
        <v>1008465</v>
      </c>
      <c r="R239" s="827">
        <v>850958</v>
      </c>
      <c r="S239" s="827">
        <v>671282</v>
      </c>
      <c r="T239" s="827">
        <v>603632</v>
      </c>
      <c r="U239" s="827">
        <v>611323</v>
      </c>
      <c r="V239" s="827">
        <v>812194</v>
      </c>
      <c r="W239" s="827">
        <v>793063</v>
      </c>
      <c r="X239" s="827">
        <v>790152</v>
      </c>
      <c r="Y239" s="827">
        <v>828100</v>
      </c>
      <c r="Z239" s="827">
        <v>888603</v>
      </c>
      <c r="AA239" s="827">
        <v>863312</v>
      </c>
      <c r="AB239" s="834">
        <v>763621</v>
      </c>
      <c r="AC239" s="828">
        <v>836315</v>
      </c>
      <c r="AD239" s="828">
        <v>806148</v>
      </c>
      <c r="AE239" s="828">
        <v>834959</v>
      </c>
      <c r="AF239" s="828">
        <v>788273</v>
      </c>
      <c r="AG239" s="828">
        <v>843241</v>
      </c>
      <c r="AH239" s="828">
        <v>688563</v>
      </c>
      <c r="AI239" s="828">
        <v>669319</v>
      </c>
      <c r="AJ239" s="828">
        <v>566923</v>
      </c>
      <c r="AK239" s="828">
        <v>296954</v>
      </c>
      <c r="AL239" s="828">
        <v>260177</v>
      </c>
      <c r="AM239" s="828">
        <v>311291</v>
      </c>
      <c r="AN239" s="828">
        <v>260038</v>
      </c>
      <c r="AO239" s="828">
        <v>309894</v>
      </c>
      <c r="AP239" s="828">
        <v>316394</v>
      </c>
    </row>
    <row r="240" hidden="1">
      <c r="B240" s="829" t="s">
        <v>9</v>
      </c>
      <c r="C240" s="823">
        <v>962270</v>
      </c>
      <c r="D240" s="823">
        <v>704870</v>
      </c>
      <c r="E240" s="823">
        <v>734870</v>
      </c>
      <c r="F240" s="823">
        <v>676870</v>
      </c>
      <c r="G240" s="823">
        <v>710160</v>
      </c>
      <c r="H240" s="823">
        <v>710160</v>
      </c>
      <c r="I240" s="823">
        <v>696190</v>
      </c>
      <c r="J240" s="823">
        <v>696190</v>
      </c>
      <c r="K240" s="823">
        <v>0</v>
      </c>
      <c r="L240" s="823">
        <v>73528</v>
      </c>
      <c r="M240" s="823">
        <v>80080</v>
      </c>
      <c r="N240" s="823">
        <v>140036</v>
      </c>
      <c r="O240" s="823">
        <v>333276</v>
      </c>
      <c r="P240" s="823">
        <v>343976</v>
      </c>
      <c r="Q240" s="823">
        <v>340041</v>
      </c>
      <c r="R240" s="823">
        <v>340155</v>
      </c>
      <c r="S240" s="823">
        <v>431798</v>
      </c>
      <c r="T240" s="823">
        <v>463001</v>
      </c>
      <c r="U240" s="823">
        <v>421983</v>
      </c>
      <c r="V240" s="823">
        <v>441175</v>
      </c>
      <c r="W240" s="823">
        <v>458747</v>
      </c>
      <c r="X240" s="823">
        <v>446416</v>
      </c>
      <c r="Y240" s="823">
        <v>375929</v>
      </c>
      <c r="Z240" s="823">
        <v>386649</v>
      </c>
      <c r="AA240" s="823">
        <v>501243</v>
      </c>
      <c r="AB240" s="823">
        <v>493143</v>
      </c>
      <c r="AC240" s="825">
        <v>1048884</v>
      </c>
      <c r="AD240" s="825">
        <v>1051849</v>
      </c>
      <c r="AE240" s="825">
        <v>1625428</v>
      </c>
      <c r="AF240" s="825">
        <v>1625428</v>
      </c>
      <c r="AG240" s="825">
        <v>1298818</v>
      </c>
      <c r="AH240" s="825">
        <v>1365606</v>
      </c>
      <c r="AI240" s="825">
        <v>580595</v>
      </c>
      <c r="AJ240" s="825">
        <v>541023</v>
      </c>
      <c r="AK240" s="825">
        <v>484771</v>
      </c>
      <c r="AL240" s="825">
        <v>491943</v>
      </c>
      <c r="AM240" s="825">
        <v>584095</v>
      </c>
      <c r="AN240" s="825">
        <v>584095</v>
      </c>
      <c r="AO240" s="825">
        <v>697955</v>
      </c>
      <c r="AP240" s="825">
        <v>705833</v>
      </c>
    </row>
    <row r="241" hidden="1">
      <c r="B241" s="826" t="s">
        <v>10</v>
      </c>
      <c r="C241" s="827">
        <v>5000</v>
      </c>
      <c r="D241" s="827">
        <v>5000</v>
      </c>
      <c r="E241" s="827">
        <v>5000</v>
      </c>
      <c r="F241" s="827">
        <v>5000</v>
      </c>
      <c r="G241" s="827">
        <v>0</v>
      </c>
      <c r="H241" s="827">
        <v>0</v>
      </c>
      <c r="I241" s="827">
        <v>202</v>
      </c>
      <c r="J241" s="827">
        <v>200</v>
      </c>
      <c r="K241" s="827">
        <v>0</v>
      </c>
      <c r="L241" s="827">
        <v>0</v>
      </c>
      <c r="M241" s="827">
        <v>0</v>
      </c>
      <c r="N241" s="827">
        <v>0</v>
      </c>
      <c r="O241" s="827">
        <v>0</v>
      </c>
      <c r="P241" s="827">
        <v>0</v>
      </c>
      <c r="Q241" s="827">
        <v>0</v>
      </c>
      <c r="R241" s="827">
        <v>0</v>
      </c>
      <c r="S241" s="827">
        <v>0</v>
      </c>
      <c r="T241" s="827">
        <v>0</v>
      </c>
      <c r="U241" s="827">
        <v>0</v>
      </c>
      <c r="V241" s="827">
        <v>0</v>
      </c>
      <c r="W241" s="827">
        <v>0</v>
      </c>
      <c r="X241" s="827">
        <v>0</v>
      </c>
      <c r="Y241" s="827">
        <v>0</v>
      </c>
      <c r="Z241" s="827">
        <v>0</v>
      </c>
      <c r="AA241" s="827">
        <v>0</v>
      </c>
      <c r="AB241" s="827">
        <v>0</v>
      </c>
      <c r="AC241" s="828">
        <v>0</v>
      </c>
      <c r="AD241" s="828">
        <v>0</v>
      </c>
      <c r="AE241" s="828">
        <v>0</v>
      </c>
      <c r="AF241" s="828">
        <v>0</v>
      </c>
      <c r="AG241" s="828">
        <v>0</v>
      </c>
      <c r="AH241" s="828">
        <v>0</v>
      </c>
      <c r="AI241" s="828">
        <v>0</v>
      </c>
      <c r="AJ241" s="828">
        <v>0</v>
      </c>
      <c r="AK241" s="828">
        <v>0</v>
      </c>
      <c r="AL241" s="828">
        <v>0</v>
      </c>
      <c r="AM241" s="828">
        <v>0</v>
      </c>
      <c r="AN241" s="828">
        <v>0</v>
      </c>
      <c r="AO241" s="828">
        <v>0</v>
      </c>
      <c r="AP241" s="828">
        <v>0</v>
      </c>
    </row>
    <row r="242" hidden="1">
      <c r="B242" s="829" t="s">
        <v>11</v>
      </c>
      <c r="C242" s="823">
        <v>2298</v>
      </c>
      <c r="D242" s="823">
        <v>2575</v>
      </c>
      <c r="E242" s="823">
        <v>2839</v>
      </c>
      <c r="F242" s="823">
        <v>2908</v>
      </c>
      <c r="G242" s="823">
        <v>6620</v>
      </c>
      <c r="H242" s="823">
        <v>8122</v>
      </c>
      <c r="I242" s="823">
        <v>9481</v>
      </c>
      <c r="J242" s="823">
        <v>9043</v>
      </c>
      <c r="K242" s="823">
        <v>0</v>
      </c>
      <c r="L242" s="823">
        <v>55</v>
      </c>
      <c r="M242" s="823">
        <v>0</v>
      </c>
      <c r="N242" s="823">
        <v>0</v>
      </c>
      <c r="O242" s="823">
        <v>400</v>
      </c>
      <c r="P242" s="823">
        <v>400</v>
      </c>
      <c r="Q242" s="823">
        <v>400</v>
      </c>
      <c r="R242" s="823">
        <v>650</v>
      </c>
      <c r="S242" s="823">
        <v>500</v>
      </c>
      <c r="T242" s="823">
        <v>500</v>
      </c>
      <c r="U242" s="823">
        <v>4420</v>
      </c>
      <c r="V242" s="823">
        <v>4170</v>
      </c>
      <c r="W242" s="823">
        <v>5370</v>
      </c>
      <c r="X242" s="823">
        <v>5050</v>
      </c>
      <c r="Y242" s="823">
        <v>5030</v>
      </c>
      <c r="Z242" s="823">
        <v>5030</v>
      </c>
      <c r="AA242" s="823">
        <v>5030</v>
      </c>
      <c r="AB242" s="823">
        <v>5030</v>
      </c>
      <c r="AC242" s="825">
        <v>4030</v>
      </c>
      <c r="AD242" s="825">
        <v>4030</v>
      </c>
      <c r="AE242" s="825">
        <v>4050</v>
      </c>
      <c r="AF242" s="825">
        <v>4050</v>
      </c>
      <c r="AG242" s="825">
        <v>4050</v>
      </c>
      <c r="AH242" s="825">
        <v>4050</v>
      </c>
      <c r="AI242" s="825">
        <v>1130</v>
      </c>
      <c r="AJ242" s="825">
        <v>0</v>
      </c>
      <c r="AK242" s="825">
        <v>0</v>
      </c>
      <c r="AL242" s="825">
        <v>0</v>
      </c>
      <c r="AM242" s="825">
        <v>0</v>
      </c>
      <c r="AN242" s="825">
        <v>0</v>
      </c>
      <c r="AO242" s="825">
        <v>0</v>
      </c>
      <c r="AP242" s="825">
        <v>0</v>
      </c>
    </row>
    <row r="243" hidden="1">
      <c r="B243" s="826" t="s">
        <v>12</v>
      </c>
      <c r="C243" s="827">
        <v>16070</v>
      </c>
      <c r="D243" s="827">
        <v>16070</v>
      </c>
      <c r="E243" s="827">
        <v>111</v>
      </c>
      <c r="F243" s="827">
        <v>111</v>
      </c>
      <c r="G243" s="827">
        <v>111</v>
      </c>
      <c r="H243" s="827">
        <v>148</v>
      </c>
      <c r="I243" s="827">
        <v>1783</v>
      </c>
      <c r="J243" s="827">
        <v>1703</v>
      </c>
      <c r="K243" s="827">
        <v>799</v>
      </c>
      <c r="L243" s="827">
        <v>799</v>
      </c>
      <c r="M243" s="827">
        <v>804</v>
      </c>
      <c r="N243" s="827">
        <v>734</v>
      </c>
      <c r="O243" s="827">
        <v>510</v>
      </c>
      <c r="P243" s="827">
        <v>710</v>
      </c>
      <c r="Q243" s="827">
        <v>563</v>
      </c>
      <c r="R243" s="827">
        <v>2563</v>
      </c>
      <c r="S243" s="827">
        <v>655</v>
      </c>
      <c r="T243" s="827">
        <v>835</v>
      </c>
      <c r="U243" s="827">
        <v>780</v>
      </c>
      <c r="V243" s="827">
        <v>787</v>
      </c>
      <c r="W243" s="827">
        <v>859</v>
      </c>
      <c r="X243" s="827">
        <v>832</v>
      </c>
      <c r="Y243" s="827">
        <v>883</v>
      </c>
      <c r="Z243" s="827">
        <v>473</v>
      </c>
      <c r="AA243" s="827">
        <v>388</v>
      </c>
      <c r="AB243" s="827">
        <v>268</v>
      </c>
      <c r="AC243" s="828">
        <v>418</v>
      </c>
      <c r="AD243" s="828">
        <v>797</v>
      </c>
      <c r="AE243" s="828">
        <v>752</v>
      </c>
      <c r="AF243" s="828">
        <v>643</v>
      </c>
      <c r="AG243" s="828">
        <v>653</v>
      </c>
      <c r="AH243" s="828">
        <v>653</v>
      </c>
      <c r="AI243" s="828">
        <v>704</v>
      </c>
      <c r="AJ243" s="828">
        <v>704</v>
      </c>
      <c r="AK243" s="828">
        <v>682</v>
      </c>
      <c r="AL243" s="828">
        <v>682</v>
      </c>
      <c r="AM243" s="828">
        <v>673</v>
      </c>
      <c r="AN243" s="828">
        <v>672</v>
      </c>
      <c r="AO243" s="828">
        <v>690</v>
      </c>
      <c r="AP243" s="828">
        <v>691</v>
      </c>
    </row>
    <row r="244" hidden="1">
      <c r="B244" s="829" t="s">
        <v>13</v>
      </c>
      <c r="C244" s="823">
        <v>131</v>
      </c>
      <c r="D244" s="823">
        <v>171</v>
      </c>
      <c r="E244" s="823">
        <v>101</v>
      </c>
      <c r="F244" s="823">
        <v>366</v>
      </c>
      <c r="G244" s="823">
        <v>476</v>
      </c>
      <c r="H244" s="823">
        <v>431</v>
      </c>
      <c r="I244" s="823">
        <v>490</v>
      </c>
      <c r="J244" s="823">
        <v>487</v>
      </c>
      <c r="K244" s="823">
        <v>140</v>
      </c>
      <c r="L244" s="823">
        <v>2140</v>
      </c>
      <c r="M244" s="823">
        <v>0</v>
      </c>
      <c r="N244" s="823">
        <v>0</v>
      </c>
      <c r="O244" s="823">
        <v>0</v>
      </c>
      <c r="P244" s="823">
        <v>0</v>
      </c>
      <c r="Q244" s="823">
        <v>0</v>
      </c>
      <c r="R244" s="823">
        <v>0</v>
      </c>
      <c r="S244" s="823">
        <v>0</v>
      </c>
      <c r="T244" s="823">
        <v>0</v>
      </c>
      <c r="U244" s="823">
        <v>0</v>
      </c>
      <c r="V244" s="823">
        <v>0</v>
      </c>
      <c r="W244" s="823">
        <v>0</v>
      </c>
      <c r="X244" s="823">
        <v>0</v>
      </c>
      <c r="Y244" s="823">
        <v>40</v>
      </c>
      <c r="Z244" s="823">
        <v>40</v>
      </c>
      <c r="AA244" s="823">
        <v>30</v>
      </c>
      <c r="AB244" s="823">
        <v>30</v>
      </c>
      <c r="AC244" s="825">
        <v>30</v>
      </c>
      <c r="AD244" s="825">
        <v>30</v>
      </c>
      <c r="AE244" s="825">
        <v>35</v>
      </c>
      <c r="AF244" s="825">
        <v>35</v>
      </c>
      <c r="AG244" s="825">
        <v>17</v>
      </c>
      <c r="AH244" s="825">
        <v>17</v>
      </c>
      <c r="AI244" s="825">
        <v>0</v>
      </c>
      <c r="AJ244" s="825">
        <v>23</v>
      </c>
      <c r="AK244" s="825">
        <v>23</v>
      </c>
      <c r="AL244" s="825">
        <v>23</v>
      </c>
      <c r="AM244" s="825">
        <v>40</v>
      </c>
      <c r="AN244" s="825">
        <v>90</v>
      </c>
      <c r="AO244" s="825">
        <v>180</v>
      </c>
      <c r="AP244" s="825">
        <v>30</v>
      </c>
    </row>
    <row r="245" hidden="1">
      <c r="B245" s="826" t="s">
        <v>109</v>
      </c>
      <c r="C245" s="827">
        <v>67067</v>
      </c>
      <c r="D245" s="827">
        <v>64067</v>
      </c>
      <c r="E245" s="827">
        <v>129200</v>
      </c>
      <c r="F245" s="827">
        <v>129200</v>
      </c>
      <c r="G245" s="827">
        <v>270613</v>
      </c>
      <c r="H245" s="827">
        <v>270613</v>
      </c>
      <c r="I245" s="827">
        <v>267348</v>
      </c>
      <c r="J245" s="827">
        <v>267348</v>
      </c>
      <c r="K245" s="827">
        <v>335133</v>
      </c>
      <c r="L245" s="827">
        <v>333951</v>
      </c>
      <c r="M245" s="827">
        <v>377180</v>
      </c>
      <c r="N245" s="827">
        <v>377180</v>
      </c>
      <c r="O245" s="827">
        <v>302908</v>
      </c>
      <c r="P245" s="827">
        <v>302908</v>
      </c>
      <c r="Q245" s="827">
        <v>752009</v>
      </c>
      <c r="R245" s="827">
        <v>703661</v>
      </c>
      <c r="S245" s="827">
        <v>274455</v>
      </c>
      <c r="T245" s="827">
        <v>266014</v>
      </c>
      <c r="U245" s="827">
        <v>253584</v>
      </c>
      <c r="V245" s="827">
        <v>253584</v>
      </c>
      <c r="W245" s="827">
        <v>274156</v>
      </c>
      <c r="X245" s="827">
        <v>281256</v>
      </c>
      <c r="Y245" s="827">
        <v>303599</v>
      </c>
      <c r="Z245" s="827">
        <v>292049</v>
      </c>
      <c r="AA245" s="827">
        <v>276460</v>
      </c>
      <c r="AB245" s="827">
        <v>271520</v>
      </c>
      <c r="AC245" s="828">
        <v>285645</v>
      </c>
      <c r="AD245" s="828">
        <v>358568</v>
      </c>
      <c r="AE245" s="828">
        <v>403417</v>
      </c>
      <c r="AF245" s="828">
        <v>412917</v>
      </c>
      <c r="AG245" s="828">
        <v>359489</v>
      </c>
      <c r="AH245" s="828">
        <v>359489</v>
      </c>
      <c r="AI245" s="828">
        <v>416659</v>
      </c>
      <c r="AJ245" s="828">
        <v>416659</v>
      </c>
      <c r="AK245" s="828">
        <v>328509</v>
      </c>
      <c r="AL245" s="828">
        <v>279375</v>
      </c>
      <c r="AM245" s="828">
        <v>306689</v>
      </c>
      <c r="AN245" s="828">
        <v>306689</v>
      </c>
      <c r="AO245" s="828">
        <v>312956</v>
      </c>
      <c r="AP245" s="828">
        <v>310456</v>
      </c>
    </row>
    <row r="246" hidden="1">
      <c r="B246" s="829" t="s">
        <v>110</v>
      </c>
      <c r="C246" s="823">
        <v>54100</v>
      </c>
      <c r="D246" s="823">
        <v>54100</v>
      </c>
      <c r="E246" s="823">
        <v>51206</v>
      </c>
      <c r="F246" s="823">
        <v>92706</v>
      </c>
      <c r="G246" s="823">
        <v>60420</v>
      </c>
      <c r="H246" s="823">
        <v>60420</v>
      </c>
      <c r="I246" s="823">
        <v>60450</v>
      </c>
      <c r="J246" s="823">
        <v>60450</v>
      </c>
      <c r="K246" s="823">
        <v>26940</v>
      </c>
      <c r="L246" s="823">
        <v>26940</v>
      </c>
      <c r="M246" s="823">
        <v>28530</v>
      </c>
      <c r="N246" s="823">
        <v>41849</v>
      </c>
      <c r="O246" s="823">
        <v>75650</v>
      </c>
      <c r="P246" s="823">
        <v>75650</v>
      </c>
      <c r="Q246" s="823">
        <v>92727</v>
      </c>
      <c r="R246" s="823">
        <v>92727</v>
      </c>
      <c r="S246" s="823">
        <v>28470</v>
      </c>
      <c r="T246" s="823">
        <v>44470</v>
      </c>
      <c r="U246" s="823">
        <v>83070</v>
      </c>
      <c r="V246" s="823">
        <v>66070</v>
      </c>
      <c r="W246" s="823">
        <v>105242</v>
      </c>
      <c r="X246" s="823">
        <v>105242</v>
      </c>
      <c r="Y246" s="823">
        <v>150656</v>
      </c>
      <c r="Z246" s="823">
        <v>150854</v>
      </c>
      <c r="AA246" s="823">
        <v>206470</v>
      </c>
      <c r="AB246" s="823">
        <v>206470</v>
      </c>
      <c r="AC246" s="825">
        <v>174762</v>
      </c>
      <c r="AD246" s="825">
        <v>174762</v>
      </c>
      <c r="AE246" s="825">
        <v>163490</v>
      </c>
      <c r="AF246" s="825">
        <v>144240</v>
      </c>
      <c r="AG246" s="825">
        <v>139370</v>
      </c>
      <c r="AH246" s="825">
        <v>110870</v>
      </c>
      <c r="AI246" s="825">
        <v>95484</v>
      </c>
      <c r="AJ246" s="825">
        <v>95484</v>
      </c>
      <c r="AK246" s="825">
        <v>100074</v>
      </c>
      <c r="AL246" s="825">
        <v>98523</v>
      </c>
      <c r="AM246" s="825">
        <v>131050</v>
      </c>
      <c r="AN246" s="825">
        <v>131035</v>
      </c>
      <c r="AO246" s="825">
        <v>126998</v>
      </c>
      <c r="AP246" s="825">
        <v>140277</v>
      </c>
    </row>
    <row r="247" hidden="1">
      <c r="B247" s="826" t="s">
        <v>16</v>
      </c>
      <c r="C247" s="827">
        <v>0</v>
      </c>
      <c r="D247" s="827">
        <v>126085</v>
      </c>
      <c r="E247" s="827">
        <v>543587</v>
      </c>
      <c r="F247" s="827">
        <v>745787</v>
      </c>
      <c r="G247" s="827">
        <v>742387</v>
      </c>
      <c r="H247" s="827">
        <v>743348</v>
      </c>
      <c r="I247" s="827">
        <v>752448</v>
      </c>
      <c r="J247" s="827">
        <v>714060</v>
      </c>
      <c r="K247" s="827">
        <v>877987</v>
      </c>
      <c r="L247" s="827">
        <v>937252</v>
      </c>
      <c r="M247" s="827">
        <v>1011792</v>
      </c>
      <c r="N247" s="827">
        <v>1031211</v>
      </c>
      <c r="O247" s="827">
        <v>1064881</v>
      </c>
      <c r="P247" s="827">
        <v>872661</v>
      </c>
      <c r="Q247" s="827">
        <v>1166210</v>
      </c>
      <c r="R247" s="827">
        <v>1187133</v>
      </c>
      <c r="S247" s="827">
        <v>955457</v>
      </c>
      <c r="T247" s="827">
        <v>959507</v>
      </c>
      <c r="U247" s="827">
        <v>1172237</v>
      </c>
      <c r="V247" s="827">
        <v>1256861</v>
      </c>
      <c r="W247" s="827">
        <v>1206076</v>
      </c>
      <c r="X247" s="827">
        <v>1236810</v>
      </c>
      <c r="Y247" s="827">
        <v>1412606</v>
      </c>
      <c r="Z247" s="827">
        <v>1434006</v>
      </c>
      <c r="AA247" s="827">
        <v>1419282</v>
      </c>
      <c r="AB247" s="827">
        <v>1445392</v>
      </c>
      <c r="AC247" s="828">
        <v>1435969</v>
      </c>
      <c r="AD247" s="828">
        <v>1473649</v>
      </c>
      <c r="AE247" s="828">
        <v>1415074</v>
      </c>
      <c r="AF247" s="828">
        <v>1696301</v>
      </c>
      <c r="AG247" s="828">
        <v>1613510</v>
      </c>
      <c r="AH247" s="828">
        <v>1598188</v>
      </c>
      <c r="AI247" s="828">
        <v>1651212</v>
      </c>
      <c r="AJ247" s="828">
        <v>1650714</v>
      </c>
      <c r="AK247" s="828">
        <v>1540659</v>
      </c>
      <c r="AL247" s="828">
        <v>1527525</v>
      </c>
      <c r="AM247" s="828">
        <v>1450206</v>
      </c>
      <c r="AN247" s="828">
        <v>1449820</v>
      </c>
      <c r="AO247" s="828">
        <v>1470508</v>
      </c>
      <c r="AP247" s="828">
        <v>1454191</v>
      </c>
    </row>
    <row r="248" hidden="1">
      <c r="B248" s="829" t="s">
        <v>17</v>
      </c>
      <c r="C248" s="823">
        <v>57244</v>
      </c>
      <c r="D248" s="823">
        <v>72484</v>
      </c>
      <c r="E248" s="823">
        <v>91000</v>
      </c>
      <c r="F248" s="823">
        <v>132130</v>
      </c>
      <c r="G248" s="823">
        <v>81900</v>
      </c>
      <c r="H248" s="823">
        <v>88364</v>
      </c>
      <c r="I248" s="823">
        <v>368</v>
      </c>
      <c r="J248" s="823">
        <v>12325</v>
      </c>
      <c r="K248" s="823">
        <v>0</v>
      </c>
      <c r="L248" s="823">
        <v>0</v>
      </c>
      <c r="M248" s="823">
        <v>0</v>
      </c>
      <c r="N248" s="823">
        <v>0</v>
      </c>
      <c r="O248" s="823">
        <v>10000</v>
      </c>
      <c r="P248" s="823">
        <v>0</v>
      </c>
      <c r="Q248" s="823">
        <v>0</v>
      </c>
      <c r="R248" s="823">
        <v>0</v>
      </c>
      <c r="S248" s="823">
        <v>0</v>
      </c>
      <c r="T248" s="823">
        <v>0</v>
      </c>
      <c r="U248" s="823">
        <v>0</v>
      </c>
      <c r="V248" s="823">
        <v>15</v>
      </c>
      <c r="W248" s="823">
        <v>35</v>
      </c>
      <c r="X248" s="823">
        <v>26</v>
      </c>
      <c r="Y248" s="823">
        <v>26</v>
      </c>
      <c r="Z248" s="823">
        <v>25</v>
      </c>
      <c r="AA248" s="823">
        <v>59</v>
      </c>
      <c r="AB248" s="823">
        <v>59</v>
      </c>
      <c r="AC248" s="825">
        <v>534</v>
      </c>
      <c r="AD248" s="825">
        <v>524</v>
      </c>
      <c r="AE248" s="825">
        <v>149</v>
      </c>
      <c r="AF248" s="825">
        <v>149</v>
      </c>
      <c r="AG248" s="825">
        <v>780</v>
      </c>
      <c r="AH248" s="825">
        <v>780</v>
      </c>
      <c r="AI248" s="825">
        <v>780</v>
      </c>
      <c r="AJ248" s="825">
        <v>43552</v>
      </c>
      <c r="AK248" s="825">
        <v>46555</v>
      </c>
      <c r="AL248" s="825">
        <v>46038</v>
      </c>
      <c r="AM248" s="825">
        <v>46038</v>
      </c>
      <c r="AN248" s="825">
        <v>46038</v>
      </c>
      <c r="AO248" s="825">
        <v>46818</v>
      </c>
      <c r="AP248" s="825">
        <v>46818</v>
      </c>
    </row>
    <row r="249" hidden="1">
      <c r="B249" s="826" t="s">
        <v>18</v>
      </c>
      <c r="C249" s="827">
        <v>0</v>
      </c>
      <c r="D249" s="827">
        <v>36500</v>
      </c>
      <c r="E249" s="827">
        <v>49513</v>
      </c>
      <c r="F249" s="827">
        <v>145213</v>
      </c>
      <c r="G249" s="827">
        <v>1816368</v>
      </c>
      <c r="H249" s="827">
        <v>1808057</v>
      </c>
      <c r="I249" s="827">
        <v>2742351</v>
      </c>
      <c r="J249" s="827">
        <v>2879214</v>
      </c>
      <c r="K249" s="827">
        <v>2111479</v>
      </c>
      <c r="L249" s="827">
        <v>1966953</v>
      </c>
      <c r="M249" s="827">
        <v>4313056</v>
      </c>
      <c r="N249" s="827">
        <v>4292377</v>
      </c>
      <c r="O249" s="827">
        <v>4681179</v>
      </c>
      <c r="P249" s="827">
        <v>4340394</v>
      </c>
      <c r="Q249" s="827">
        <v>4708389</v>
      </c>
      <c r="R249" s="827">
        <v>4558698</v>
      </c>
      <c r="S249" s="827">
        <v>4955952</v>
      </c>
      <c r="T249" s="827">
        <v>4957494</v>
      </c>
      <c r="U249" s="827">
        <v>5096494</v>
      </c>
      <c r="V249" s="827">
        <v>5523832</v>
      </c>
      <c r="W249" s="827">
        <v>4465761</v>
      </c>
      <c r="X249" s="827">
        <v>4785366</v>
      </c>
      <c r="Y249" s="827">
        <v>5113421</v>
      </c>
      <c r="Z249" s="827">
        <v>5274961</v>
      </c>
      <c r="AA249" s="827">
        <v>5366073</v>
      </c>
      <c r="AB249" s="827">
        <v>5992344</v>
      </c>
      <c r="AC249" s="828">
        <v>4246785</v>
      </c>
      <c r="AD249" s="828">
        <v>4282999</v>
      </c>
      <c r="AE249" s="828">
        <v>4658467</v>
      </c>
      <c r="AF249" s="828">
        <v>4558908</v>
      </c>
      <c r="AG249" s="828">
        <v>4676634</v>
      </c>
      <c r="AH249" s="828">
        <v>4640302</v>
      </c>
      <c r="AI249" s="828">
        <v>1729632</v>
      </c>
      <c r="AJ249" s="828">
        <v>598246</v>
      </c>
      <c r="AK249" s="828">
        <v>613297</v>
      </c>
      <c r="AL249" s="828">
        <v>685609</v>
      </c>
      <c r="AM249" s="828">
        <v>685814</v>
      </c>
      <c r="AN249" s="828">
        <v>673552</v>
      </c>
      <c r="AO249" s="828">
        <v>644349</v>
      </c>
      <c r="AP249" s="828">
        <v>632104</v>
      </c>
    </row>
    <row r="250" hidden="1">
      <c r="B250" s="829" t="s">
        <v>19</v>
      </c>
      <c r="C250" s="823">
        <v>24</v>
      </c>
      <c r="D250" s="823">
        <v>13</v>
      </c>
      <c r="E250" s="823">
        <v>0</v>
      </c>
      <c r="F250" s="823">
        <v>0</v>
      </c>
      <c r="G250" s="823">
        <v>0</v>
      </c>
      <c r="H250" s="823">
        <v>0</v>
      </c>
      <c r="I250" s="823">
        <v>0</v>
      </c>
      <c r="J250" s="823">
        <v>0</v>
      </c>
      <c r="K250" s="823">
        <v>30</v>
      </c>
      <c r="L250" s="823">
        <v>84100</v>
      </c>
      <c r="M250" s="823">
        <v>30</v>
      </c>
      <c r="N250" s="823">
        <v>30</v>
      </c>
      <c r="O250" s="823">
        <v>30</v>
      </c>
      <c r="P250" s="823">
        <v>30</v>
      </c>
      <c r="Q250" s="823">
        <v>35</v>
      </c>
      <c r="R250" s="823">
        <v>35</v>
      </c>
      <c r="S250" s="823">
        <v>35</v>
      </c>
      <c r="T250" s="823">
        <v>35</v>
      </c>
      <c r="U250" s="823">
        <v>35</v>
      </c>
      <c r="V250" s="823">
        <v>35</v>
      </c>
      <c r="W250" s="823">
        <v>35</v>
      </c>
      <c r="X250" s="823">
        <v>35</v>
      </c>
      <c r="Y250" s="823">
        <v>35</v>
      </c>
      <c r="Z250" s="823">
        <v>67</v>
      </c>
      <c r="AA250" s="823">
        <v>67</v>
      </c>
      <c r="AB250" s="823">
        <v>67</v>
      </c>
      <c r="AC250" s="825">
        <v>67</v>
      </c>
      <c r="AD250" s="825">
        <v>32</v>
      </c>
      <c r="AE250" s="825">
        <v>32</v>
      </c>
      <c r="AF250" s="825">
        <v>0</v>
      </c>
      <c r="AG250" s="825">
        <v>93</v>
      </c>
      <c r="AH250" s="825">
        <v>93</v>
      </c>
      <c r="AI250" s="825">
        <v>93</v>
      </c>
      <c r="AJ250" s="825">
        <v>93</v>
      </c>
      <c r="AK250" s="825">
        <v>93</v>
      </c>
      <c r="AL250" s="825">
        <v>93</v>
      </c>
      <c r="AM250" s="825">
        <v>93</v>
      </c>
      <c r="AN250" s="825">
        <v>93</v>
      </c>
      <c r="AO250" s="825">
        <v>93</v>
      </c>
      <c r="AP250" s="825">
        <v>93</v>
      </c>
    </row>
    <row r="251" hidden="1">
      <c r="B251" s="826" t="s">
        <v>20</v>
      </c>
      <c r="C251" s="827">
        <v>60000</v>
      </c>
      <c r="D251" s="827">
        <v>60000</v>
      </c>
      <c r="E251" s="827">
        <v>60000</v>
      </c>
      <c r="F251" s="827">
        <v>60000</v>
      </c>
      <c r="G251" s="827">
        <v>60000</v>
      </c>
      <c r="H251" s="827">
        <v>57600</v>
      </c>
      <c r="I251" s="827">
        <v>57600</v>
      </c>
      <c r="J251" s="827">
        <v>57600</v>
      </c>
      <c r="K251" s="827">
        <v>109100</v>
      </c>
      <c r="L251" s="827">
        <v>92200</v>
      </c>
      <c r="M251" s="827">
        <v>63500</v>
      </c>
      <c r="N251" s="827">
        <v>76500</v>
      </c>
      <c r="O251" s="827">
        <v>77000</v>
      </c>
      <c r="P251" s="827">
        <v>77000</v>
      </c>
      <c r="Q251" s="827">
        <v>86000</v>
      </c>
      <c r="R251" s="827">
        <v>86000</v>
      </c>
      <c r="S251" s="827">
        <v>75240</v>
      </c>
      <c r="T251" s="827">
        <v>77240</v>
      </c>
      <c r="U251" s="827">
        <v>75240</v>
      </c>
      <c r="V251" s="827">
        <v>75240</v>
      </c>
      <c r="W251" s="827">
        <v>79200</v>
      </c>
      <c r="X251" s="827">
        <v>79200</v>
      </c>
      <c r="Y251" s="827">
        <v>66462</v>
      </c>
      <c r="Z251" s="827">
        <v>66462</v>
      </c>
      <c r="AA251" s="827">
        <v>113564</v>
      </c>
      <c r="AB251" s="827">
        <v>113564</v>
      </c>
      <c r="AC251" s="828">
        <v>131600</v>
      </c>
      <c r="AD251" s="828">
        <v>63200</v>
      </c>
      <c r="AE251" s="828">
        <v>63400</v>
      </c>
      <c r="AF251" s="828">
        <v>63400</v>
      </c>
      <c r="AG251" s="828">
        <v>65600</v>
      </c>
      <c r="AH251" s="828">
        <v>105600</v>
      </c>
      <c r="AI251" s="828">
        <v>106100</v>
      </c>
      <c r="AJ251" s="828">
        <v>65900</v>
      </c>
      <c r="AK251" s="828">
        <v>78000</v>
      </c>
      <c r="AL251" s="828">
        <v>78000</v>
      </c>
      <c r="AM251" s="828">
        <v>72668</v>
      </c>
      <c r="AN251" s="828">
        <v>72668</v>
      </c>
      <c r="AO251" s="828">
        <v>81890</v>
      </c>
      <c r="AP251" s="828">
        <v>81890</v>
      </c>
    </row>
    <row r="252" hidden="1">
      <c r="B252" s="829" t="s">
        <v>21</v>
      </c>
      <c r="C252" s="823">
        <v>51000</v>
      </c>
      <c r="D252" s="823">
        <v>51000</v>
      </c>
      <c r="E252" s="823">
        <v>70500</v>
      </c>
      <c r="F252" s="823">
        <v>70500</v>
      </c>
      <c r="G252" s="823">
        <v>106500</v>
      </c>
      <c r="H252" s="823">
        <v>97500</v>
      </c>
      <c r="I252" s="823">
        <v>92500</v>
      </c>
      <c r="J252" s="823">
        <v>92500</v>
      </c>
      <c r="K252" s="823">
        <v>94000</v>
      </c>
      <c r="L252" s="823">
        <v>53000</v>
      </c>
      <c r="M252" s="823">
        <v>92700</v>
      </c>
      <c r="N252" s="823">
        <v>92700</v>
      </c>
      <c r="O252" s="823">
        <v>77720</v>
      </c>
      <c r="P252" s="823">
        <v>77720</v>
      </c>
      <c r="Q252" s="823">
        <v>79520</v>
      </c>
      <c r="R252" s="823">
        <v>91534</v>
      </c>
      <c r="S252" s="823">
        <v>106750</v>
      </c>
      <c r="T252" s="823">
        <v>106750</v>
      </c>
      <c r="U252" s="823">
        <v>117050</v>
      </c>
      <c r="V252" s="823">
        <v>117050</v>
      </c>
      <c r="W252" s="823">
        <v>129550</v>
      </c>
      <c r="X252" s="823">
        <v>117550</v>
      </c>
      <c r="Y252" s="823">
        <v>119995</v>
      </c>
      <c r="Z252" s="823">
        <v>119400</v>
      </c>
      <c r="AA252" s="823">
        <v>118900</v>
      </c>
      <c r="AB252" s="823">
        <v>118900</v>
      </c>
      <c r="AC252" s="825">
        <v>120500</v>
      </c>
      <c r="AD252" s="825">
        <v>120500</v>
      </c>
      <c r="AE252" s="825">
        <v>115500</v>
      </c>
      <c r="AF252" s="825">
        <v>133962</v>
      </c>
      <c r="AG252" s="825">
        <v>245246</v>
      </c>
      <c r="AH252" s="825">
        <v>250120</v>
      </c>
      <c r="AI252" s="825">
        <v>243144</v>
      </c>
      <c r="AJ252" s="825">
        <v>139500</v>
      </c>
      <c r="AK252" s="825">
        <v>137390</v>
      </c>
      <c r="AL252" s="825">
        <v>103000</v>
      </c>
      <c r="AM252" s="825">
        <v>103000</v>
      </c>
      <c r="AN252" s="825">
        <v>108301</v>
      </c>
      <c r="AO252" s="825">
        <v>108300</v>
      </c>
      <c r="AP252" s="825">
        <v>166407</v>
      </c>
    </row>
    <row r="253" hidden="1">
      <c r="B253" s="826" t="s">
        <v>22</v>
      </c>
      <c r="C253" s="827">
        <v>0</v>
      </c>
      <c r="D253" s="827">
        <v>0</v>
      </c>
      <c r="E253" s="827">
        <v>3800</v>
      </c>
      <c r="F253" s="827">
        <v>3800</v>
      </c>
      <c r="G253" s="827">
        <v>3800</v>
      </c>
      <c r="H253" s="827">
        <v>3800</v>
      </c>
      <c r="I253" s="827">
        <v>3800</v>
      </c>
      <c r="J253" s="827">
        <v>3800</v>
      </c>
      <c r="K253" s="827">
        <v>0</v>
      </c>
      <c r="L253" s="827">
        <v>219295</v>
      </c>
      <c r="M253" s="827">
        <v>53000</v>
      </c>
      <c r="N253" s="827">
        <v>0</v>
      </c>
      <c r="O253" s="827">
        <v>38000</v>
      </c>
      <c r="P253" s="827">
        <v>91000</v>
      </c>
      <c r="Q253" s="827">
        <v>43905</v>
      </c>
      <c r="R253" s="827">
        <v>43905</v>
      </c>
      <c r="S253" s="827">
        <v>65130</v>
      </c>
      <c r="T253" s="827">
        <v>65130</v>
      </c>
      <c r="U253" s="827">
        <v>170740</v>
      </c>
      <c r="V253" s="827">
        <v>170735</v>
      </c>
      <c r="W253" s="827">
        <v>59089</v>
      </c>
      <c r="X253" s="827">
        <v>59089</v>
      </c>
      <c r="Y253" s="827">
        <v>59170</v>
      </c>
      <c r="Z253" s="827">
        <v>79170</v>
      </c>
      <c r="AA253" s="827">
        <v>97935</v>
      </c>
      <c r="AB253" s="827">
        <v>82935</v>
      </c>
      <c r="AC253" s="828">
        <v>83066</v>
      </c>
      <c r="AD253" s="828">
        <v>81846</v>
      </c>
      <c r="AE253" s="828">
        <v>75039</v>
      </c>
      <c r="AF253" s="828">
        <v>75039</v>
      </c>
      <c r="AG253" s="828">
        <v>82356</v>
      </c>
      <c r="AH253" s="828">
        <v>82356</v>
      </c>
      <c r="AI253" s="828">
        <v>217005</v>
      </c>
      <c r="AJ253" s="828">
        <v>214605</v>
      </c>
      <c r="AK253" s="828">
        <v>140794</v>
      </c>
      <c r="AL253" s="828">
        <v>140794</v>
      </c>
      <c r="AM253" s="828">
        <v>113880</v>
      </c>
      <c r="AN253" s="828">
        <v>113880</v>
      </c>
      <c r="AO253" s="828">
        <v>141477</v>
      </c>
      <c r="AP253" s="828">
        <v>141477</v>
      </c>
    </row>
    <row r="254" hidden="1">
      <c r="B254" s="829" t="s">
        <v>23</v>
      </c>
      <c r="C254" s="823">
        <v>150102</v>
      </c>
      <c r="D254" s="823">
        <v>150102</v>
      </c>
      <c r="E254" s="823">
        <v>141930</v>
      </c>
      <c r="F254" s="823">
        <v>141930</v>
      </c>
      <c r="G254" s="823">
        <v>154597</v>
      </c>
      <c r="H254" s="823">
        <v>154597</v>
      </c>
      <c r="I254" s="823">
        <v>166885</v>
      </c>
      <c r="J254" s="823">
        <v>166885</v>
      </c>
      <c r="K254" s="823">
        <v>216104</v>
      </c>
      <c r="L254" s="823">
        <v>30</v>
      </c>
      <c r="M254" s="823">
        <v>219295</v>
      </c>
      <c r="N254" s="823">
        <v>219295</v>
      </c>
      <c r="O254" s="823">
        <v>229751</v>
      </c>
      <c r="P254" s="823">
        <v>229751</v>
      </c>
      <c r="Q254" s="823">
        <v>226994</v>
      </c>
      <c r="R254" s="823">
        <v>226994</v>
      </c>
      <c r="S254" s="823">
        <v>230000</v>
      </c>
      <c r="T254" s="823">
        <v>230000</v>
      </c>
      <c r="U254" s="823">
        <v>0</v>
      </c>
      <c r="V254" s="823">
        <v>118093</v>
      </c>
      <c r="W254" s="823">
        <v>118093</v>
      </c>
      <c r="X254" s="823">
        <v>81991</v>
      </c>
      <c r="Y254" s="823">
        <v>81991</v>
      </c>
      <c r="Z254" s="823">
        <v>107024</v>
      </c>
      <c r="AA254" s="823">
        <v>0</v>
      </c>
      <c r="AB254" s="823">
        <v>0</v>
      </c>
      <c r="AC254" s="825">
        <v>0</v>
      </c>
      <c r="AD254" s="825">
        <v>0</v>
      </c>
      <c r="AE254" s="825">
        <v>0</v>
      </c>
      <c r="AF254" s="825">
        <v>0</v>
      </c>
      <c r="AG254" s="825">
        <v>0</v>
      </c>
      <c r="AH254" s="825">
        <v>0</v>
      </c>
      <c r="AI254" s="825">
        <v>0</v>
      </c>
      <c r="AJ254" s="825">
        <v>0</v>
      </c>
      <c r="AK254" s="825">
        <v>0</v>
      </c>
      <c r="AL254" s="825">
        <v>0</v>
      </c>
      <c r="AM254" s="825">
        <v>0</v>
      </c>
      <c r="AN254" s="825">
        <v>0</v>
      </c>
      <c r="AO254" s="825">
        <v>0</v>
      </c>
      <c r="AP254" s="825">
        <v>53675</v>
      </c>
    </row>
    <row r="255" hidden="1">
      <c r="B255" s="835" t="s">
        <v>24</v>
      </c>
      <c r="C255" s="827">
        <v>136205</v>
      </c>
      <c r="D255" s="827">
        <v>136205</v>
      </c>
      <c r="E255" s="827">
        <v>142250</v>
      </c>
      <c r="F255" s="827">
        <v>142250</v>
      </c>
      <c r="G255" s="827">
        <v>130504</v>
      </c>
      <c r="H255" s="827">
        <v>130704</v>
      </c>
      <c r="I255" s="827">
        <v>142588</v>
      </c>
      <c r="J255" s="827">
        <v>142588</v>
      </c>
      <c r="K255" s="827">
        <v>186486</v>
      </c>
      <c r="L255" s="827">
        <v>326486</v>
      </c>
      <c r="M255" s="827">
        <v>213373</v>
      </c>
      <c r="N255" s="827">
        <v>235825</v>
      </c>
      <c r="O255" s="827">
        <v>124519</v>
      </c>
      <c r="P255" s="827">
        <v>159019</v>
      </c>
      <c r="Q255" s="827">
        <v>214090</v>
      </c>
      <c r="R255" s="827">
        <v>214090</v>
      </c>
      <c r="S255" s="827">
        <v>229335</v>
      </c>
      <c r="T255" s="827">
        <v>229335</v>
      </c>
      <c r="U255" s="827">
        <v>224155</v>
      </c>
      <c r="V255" s="827">
        <v>224155</v>
      </c>
      <c r="W255" s="827">
        <v>228719</v>
      </c>
      <c r="X255" s="827">
        <v>228719</v>
      </c>
      <c r="Y255" s="827">
        <v>224584</v>
      </c>
      <c r="Z255" s="827">
        <v>224634</v>
      </c>
      <c r="AA255" s="827">
        <v>228577</v>
      </c>
      <c r="AB255" s="827">
        <v>172623</v>
      </c>
      <c r="AC255" s="828">
        <v>172186</v>
      </c>
      <c r="AD255" s="828">
        <v>170461</v>
      </c>
      <c r="AE255" s="828">
        <v>148263</v>
      </c>
      <c r="AF255" s="828">
        <v>186788</v>
      </c>
      <c r="AG255" s="828">
        <v>203629</v>
      </c>
      <c r="AH255" s="828">
        <v>203779</v>
      </c>
      <c r="AI255" s="828">
        <v>206465</v>
      </c>
      <c r="AJ255" s="828">
        <v>206465</v>
      </c>
      <c r="AK255" s="828">
        <v>201967</v>
      </c>
      <c r="AL255" s="828">
        <v>209396</v>
      </c>
      <c r="AM255" s="828">
        <v>198775</v>
      </c>
      <c r="AN255" s="828">
        <v>199999</v>
      </c>
      <c r="AO255" s="828">
        <v>207061</v>
      </c>
      <c r="AP255" s="828">
        <v>202673</v>
      </c>
    </row>
    <row r="256" hidden="1">
      <c r="B256" s="829" t="s">
        <v>25</v>
      </c>
      <c r="C256" s="823">
        <v>0</v>
      </c>
      <c r="D256" s="823">
        <v>0</v>
      </c>
      <c r="E256" s="823">
        <v>0</v>
      </c>
      <c r="F256" s="823">
        <v>0</v>
      </c>
      <c r="G256" s="823">
        <v>0</v>
      </c>
      <c r="H256" s="823">
        <v>0</v>
      </c>
      <c r="I256" s="823">
        <v>0</v>
      </c>
      <c r="J256" s="823">
        <v>0</v>
      </c>
      <c r="K256" s="823">
        <v>0</v>
      </c>
      <c r="L256" s="823">
        <v>0</v>
      </c>
      <c r="M256" s="823">
        <v>0</v>
      </c>
      <c r="N256" s="823">
        <v>0</v>
      </c>
      <c r="O256" s="823">
        <v>0</v>
      </c>
      <c r="P256" s="823">
        <v>0</v>
      </c>
      <c r="Q256" s="823">
        <v>0</v>
      </c>
      <c r="R256" s="823">
        <v>0</v>
      </c>
      <c r="S256" s="823">
        <v>0</v>
      </c>
      <c r="T256" s="823">
        <v>0</v>
      </c>
      <c r="U256" s="823">
        <v>0</v>
      </c>
      <c r="V256" s="823">
        <v>0</v>
      </c>
      <c r="W256" s="823">
        <v>0</v>
      </c>
      <c r="X256" s="823">
        <v>0</v>
      </c>
      <c r="Y256" s="823">
        <v>0</v>
      </c>
      <c r="Z256" s="823">
        <v>0</v>
      </c>
      <c r="AA256" s="823">
        <v>0</v>
      </c>
      <c r="AB256" s="823">
        <v>0</v>
      </c>
      <c r="AC256" s="825">
        <v>0</v>
      </c>
      <c r="AD256" s="825">
        <v>0</v>
      </c>
      <c r="AE256" s="825">
        <v>0</v>
      </c>
      <c r="AF256" s="825">
        <v>0</v>
      </c>
      <c r="AG256" s="825">
        <v>0</v>
      </c>
      <c r="AH256" s="825">
        <v>0</v>
      </c>
      <c r="AI256" s="825">
        <v>0</v>
      </c>
      <c r="AJ256" s="825">
        <v>0</v>
      </c>
      <c r="AK256" s="825">
        <v>0</v>
      </c>
      <c r="AL256" s="825">
        <v>0</v>
      </c>
      <c r="AM256" s="825">
        <v>0</v>
      </c>
      <c r="AN256" s="825">
        <v>0</v>
      </c>
      <c r="AO256" s="825">
        <v>0</v>
      </c>
      <c r="AP256" s="825">
        <v>0</v>
      </c>
    </row>
    <row r="257" hidden="1" ht="13.5">
      <c r="B257" s="836" t="s">
        <v>26</v>
      </c>
      <c r="C257" s="827">
        <v>0</v>
      </c>
      <c r="D257" s="827">
        <v>0</v>
      </c>
      <c r="E257" s="827">
        <v>0</v>
      </c>
      <c r="F257" s="827">
        <v>0</v>
      </c>
      <c r="G257" s="827">
        <v>0</v>
      </c>
      <c r="H257" s="827">
        <v>0</v>
      </c>
      <c r="I257" s="827">
        <v>0</v>
      </c>
      <c r="J257" s="827">
        <v>0</v>
      </c>
      <c r="K257" s="827">
        <v>0</v>
      </c>
      <c r="L257" s="827">
        <v>0</v>
      </c>
      <c r="M257" s="827">
        <v>0</v>
      </c>
      <c r="N257" s="827">
        <v>0</v>
      </c>
      <c r="O257" s="827">
        <v>0</v>
      </c>
      <c r="P257" s="827">
        <v>0</v>
      </c>
      <c r="Q257" s="827">
        <v>0</v>
      </c>
      <c r="R257" s="827">
        <v>0</v>
      </c>
      <c r="S257" s="827">
        <v>0</v>
      </c>
      <c r="T257" s="827">
        <v>0</v>
      </c>
      <c r="U257" s="827">
        <v>0</v>
      </c>
      <c r="V257" s="827">
        <v>0</v>
      </c>
      <c r="W257" s="827">
        <v>0</v>
      </c>
      <c r="X257" s="827">
        <v>0</v>
      </c>
      <c r="Y257" s="827">
        <v>0</v>
      </c>
      <c r="Z257" s="827">
        <v>0</v>
      </c>
      <c r="AA257" s="827">
        <v>0</v>
      </c>
      <c r="AB257" s="837">
        <v>0</v>
      </c>
      <c r="AC257" s="828">
        <v>0</v>
      </c>
      <c r="AD257" s="828">
        <v>0</v>
      </c>
      <c r="AE257" s="828">
        <v>0</v>
      </c>
      <c r="AF257" s="828">
        <v>0</v>
      </c>
      <c r="AG257" s="828">
        <v>0</v>
      </c>
      <c r="AH257" s="828">
        <v>0</v>
      </c>
      <c r="AI257" s="828">
        <v>0</v>
      </c>
      <c r="AJ257" s="828">
        <v>0</v>
      </c>
      <c r="AK257" s="828">
        <v>0</v>
      </c>
      <c r="AL257" s="828">
        <v>0</v>
      </c>
      <c r="AM257" s="828">
        <v>0</v>
      </c>
      <c r="AN257" s="828">
        <v>0</v>
      </c>
      <c r="AO257" s="828">
        <v>0</v>
      </c>
      <c r="AP257" s="828">
        <v>0</v>
      </c>
    </row>
    <row r="258" hidden="1" ht="13.5">
      <c r="B258" s="128" t="s">
        <v>7</v>
      </c>
      <c r="C258" s="129" t="str">
        <f>IF(SUM(C239:C257)&lt;&gt;0,SUM(C239:C257),"")</f>
      </c>
      <c r="D258" s="129" t="str">
        <f ref="D258:AA258" t="shared" si="15">IF(SUM(D239:D257)&lt;&gt;0,SUM(D239:D257),"")</f>
      </c>
      <c r="E258" s="129" t="str">
        <f t="shared" si="15"/>
      </c>
      <c r="F258" s="129" t="str">
        <f t="shared" si="15"/>
      </c>
      <c r="G258" s="129" t="str">
        <f t="shared" si="15"/>
      </c>
      <c r="H258" s="129" t="str">
        <f t="shared" si="15"/>
      </c>
      <c r="I258" s="129" t="str">
        <f t="shared" si="15"/>
      </c>
      <c r="J258" s="129" t="str">
        <f t="shared" si="15"/>
      </c>
      <c r="K258" s="129" t="str">
        <f t="shared" si="15"/>
      </c>
      <c r="L258" s="129" t="str">
        <f t="shared" si="15"/>
      </c>
      <c r="M258" s="129" t="str">
        <f t="shared" si="15"/>
      </c>
      <c r="N258" s="129" t="str">
        <f t="shared" si="15"/>
      </c>
      <c r="O258" s="129" t="str">
        <f t="shared" si="15"/>
      </c>
      <c r="P258" s="129" t="str">
        <f t="shared" si="15"/>
      </c>
      <c r="Q258" s="129" t="str">
        <f t="shared" si="15"/>
      </c>
      <c r="R258" s="129" t="str">
        <f t="shared" si="15"/>
      </c>
      <c r="S258" s="129" t="str">
        <f t="shared" si="15"/>
      </c>
      <c r="T258" s="129" t="str">
        <f t="shared" si="15"/>
      </c>
      <c r="U258" s="129" t="str">
        <f t="shared" si="15"/>
      </c>
      <c r="V258" s="129" t="str">
        <f t="shared" si="15"/>
      </c>
      <c r="W258" s="129" t="str">
        <f t="shared" si="15"/>
      </c>
      <c r="X258" s="129" t="str">
        <f t="shared" si="15"/>
      </c>
      <c r="Y258" s="129" t="str">
        <f t="shared" si="15"/>
      </c>
      <c r="Z258" s="129" t="str">
        <f t="shared" si="15"/>
      </c>
      <c r="AA258" s="129" t="str">
        <f t="shared" si="15"/>
      </c>
      <c r="AB258" s="130" t="str">
        <f>IF(SUM(AB239:AB257)&lt;&gt;0,SUM(AB239:AB257),"")</f>
      </c>
      <c r="AC258" s="91" t="str">
        <f ref="AC258:CN258" t="shared" si="16">IF(SUM(AC239:AC257)&lt;&gt;0,SUM(AC239:AC257),"")</f>
      </c>
      <c r="AD258" s="91" t="str">
        <f t="shared" si="16"/>
      </c>
      <c r="AE258" s="91" t="str">
        <f t="shared" si="16"/>
      </c>
      <c r="AF258" s="91" t="str">
        <f t="shared" si="16"/>
      </c>
      <c r="AG258" s="91" t="str">
        <f t="shared" si="16"/>
      </c>
      <c r="AH258" s="91" t="str">
        <f t="shared" si="16"/>
      </c>
      <c r="AI258" s="91" t="str">
        <f t="shared" si="16"/>
      </c>
      <c r="AJ258" s="91" t="str">
        <f t="shared" si="16"/>
      </c>
      <c r="AK258" s="91" t="str">
        <f t="shared" si="16"/>
      </c>
      <c r="AL258" s="91" t="str">
        <f t="shared" si="16"/>
      </c>
      <c r="AM258" s="91" t="str">
        <f t="shared" si="16"/>
      </c>
      <c r="AN258" s="91" t="str">
        <f t="shared" si="16"/>
      </c>
      <c r="AO258" s="91" t="str">
        <f t="shared" si="16"/>
      </c>
      <c r="AP258" s="91" t="str">
        <f t="shared" si="16"/>
      </c>
      <c r="AQ258" s="91" t="str">
        <f t="shared" si="16"/>
      </c>
      <c r="AR258" s="91" t="str">
        <f t="shared" si="16"/>
      </c>
      <c r="AS258" s="91" t="str">
        <f t="shared" si="16"/>
      </c>
      <c r="AT258" s="91" t="str">
        <f t="shared" si="16"/>
      </c>
      <c r="AU258" s="91" t="str">
        <f t="shared" si="16"/>
      </c>
      <c r="AV258" s="91" t="str">
        <f t="shared" si="16"/>
      </c>
      <c r="AW258" s="91" t="str">
        <f t="shared" si="16"/>
      </c>
      <c r="AX258" s="91" t="str">
        <f t="shared" si="16"/>
      </c>
      <c r="AY258" s="91" t="str">
        <f t="shared" si="16"/>
      </c>
      <c r="AZ258" s="91" t="str">
        <f t="shared" si="16"/>
      </c>
      <c r="BA258" s="91" t="str">
        <f t="shared" si="16"/>
      </c>
      <c r="BB258" s="91" t="str">
        <f t="shared" si="16"/>
      </c>
      <c r="BC258" s="91" t="str">
        <f t="shared" si="16"/>
      </c>
      <c r="BD258" s="91" t="str">
        <f t="shared" si="16"/>
      </c>
      <c r="BE258" s="91" t="str">
        <f t="shared" si="16"/>
      </c>
      <c r="BF258" s="91" t="str">
        <f t="shared" si="16"/>
      </c>
      <c r="BG258" s="91" t="str">
        <f t="shared" si="16"/>
      </c>
      <c r="BH258" s="91" t="str">
        <f t="shared" si="16"/>
      </c>
      <c r="BI258" s="91" t="str">
        <f t="shared" si="16"/>
      </c>
      <c r="BJ258" s="91" t="str">
        <f t="shared" si="16"/>
      </c>
      <c r="BK258" s="91" t="str">
        <f t="shared" si="16"/>
      </c>
      <c r="BL258" s="91" t="str">
        <f t="shared" si="16"/>
      </c>
      <c r="BM258" s="91" t="str">
        <f t="shared" si="16"/>
      </c>
      <c r="BN258" s="91" t="str">
        <f t="shared" si="16"/>
      </c>
      <c r="BO258" s="91" t="str">
        <f t="shared" si="16"/>
      </c>
      <c r="BP258" s="91" t="str">
        <f t="shared" si="16"/>
      </c>
      <c r="BQ258" s="91" t="str">
        <f t="shared" si="16"/>
      </c>
      <c r="BR258" s="91" t="str">
        <f t="shared" si="16"/>
      </c>
      <c r="BS258" s="91" t="str">
        <f t="shared" si="16"/>
      </c>
      <c r="BT258" s="91" t="str">
        <f t="shared" si="16"/>
      </c>
      <c r="BU258" s="91" t="str">
        <f t="shared" si="16"/>
      </c>
      <c r="BV258" s="91" t="str">
        <f t="shared" si="16"/>
      </c>
      <c r="BW258" s="91" t="str">
        <f t="shared" si="16"/>
      </c>
      <c r="BX258" s="91" t="str">
        <f t="shared" si="16"/>
      </c>
      <c r="BY258" s="91" t="str">
        <f t="shared" si="16"/>
      </c>
      <c r="BZ258" s="91" t="str">
        <f t="shared" si="16"/>
      </c>
      <c r="CA258" s="91" t="str">
        <f t="shared" si="16"/>
      </c>
      <c r="CB258" s="91" t="str">
        <f t="shared" si="16"/>
      </c>
      <c r="CC258" s="91" t="str">
        <f t="shared" si="16"/>
      </c>
      <c r="CD258" s="91" t="str">
        <f t="shared" si="16"/>
      </c>
      <c r="CE258" s="91" t="str">
        <f t="shared" si="16"/>
      </c>
      <c r="CF258" s="91" t="str">
        <f t="shared" si="16"/>
      </c>
      <c r="CG258" s="91" t="str">
        <f t="shared" si="16"/>
      </c>
      <c r="CH258" s="91" t="str">
        <f t="shared" si="16"/>
      </c>
      <c r="CI258" s="91" t="str">
        <f t="shared" si="16"/>
      </c>
      <c r="CJ258" s="91" t="str">
        <f t="shared" si="16"/>
      </c>
      <c r="CK258" s="91" t="str">
        <f t="shared" si="16"/>
      </c>
      <c r="CL258" s="91" t="str">
        <f t="shared" si="16"/>
      </c>
      <c r="CM258" s="91" t="str">
        <f t="shared" si="16"/>
      </c>
      <c r="CN258" s="91" t="str">
        <f t="shared" si="16"/>
      </c>
      <c r="CO258" s="91" t="str">
        <f ref="CO258:EZ258" t="shared" si="17">IF(SUM(CO239:CO257)&lt;&gt;0,SUM(CO239:CO257),"")</f>
      </c>
      <c r="CP258" s="91" t="str">
        <f t="shared" si="17"/>
      </c>
      <c r="CQ258" s="91" t="str">
        <f t="shared" si="17"/>
      </c>
      <c r="CR258" s="91" t="str">
        <f t="shared" si="17"/>
      </c>
      <c r="CS258" s="91" t="str">
        <f t="shared" si="17"/>
      </c>
      <c r="CT258" s="91" t="str">
        <f t="shared" si="17"/>
      </c>
      <c r="CU258" s="91" t="str">
        <f t="shared" si="17"/>
      </c>
      <c r="CV258" s="91" t="str">
        <f t="shared" si="17"/>
      </c>
      <c r="CW258" s="91" t="str">
        <f t="shared" si="17"/>
      </c>
      <c r="CX258" s="91" t="str">
        <f t="shared" si="17"/>
      </c>
      <c r="CY258" s="91" t="str">
        <f t="shared" si="17"/>
      </c>
      <c r="CZ258" s="91" t="str">
        <f t="shared" si="17"/>
      </c>
      <c r="DA258" s="91" t="str">
        <f t="shared" si="17"/>
      </c>
      <c r="DB258" s="91" t="str">
        <f t="shared" si="17"/>
      </c>
      <c r="DC258" s="91" t="str">
        <f t="shared" si="17"/>
      </c>
      <c r="DD258" s="91" t="str">
        <f t="shared" si="17"/>
      </c>
      <c r="DE258" s="91" t="str">
        <f t="shared" si="17"/>
      </c>
      <c r="DF258" s="91" t="str">
        <f t="shared" si="17"/>
      </c>
      <c r="DG258" s="91" t="str">
        <f t="shared" si="17"/>
      </c>
      <c r="DH258" s="91" t="str">
        <f t="shared" si="17"/>
      </c>
      <c r="DI258" s="91" t="str">
        <f t="shared" si="17"/>
      </c>
      <c r="DJ258" s="91" t="str">
        <f t="shared" si="17"/>
      </c>
      <c r="DK258" s="91" t="str">
        <f t="shared" si="17"/>
      </c>
      <c r="DL258" s="91" t="str">
        <f t="shared" si="17"/>
      </c>
      <c r="DM258" s="91" t="str">
        <f t="shared" si="17"/>
      </c>
      <c r="DN258" s="91" t="str">
        <f t="shared" si="17"/>
      </c>
      <c r="DO258" s="91" t="str">
        <f t="shared" si="17"/>
      </c>
      <c r="DP258" s="91" t="str">
        <f t="shared" si="17"/>
      </c>
      <c r="DQ258" s="91" t="str">
        <f t="shared" si="17"/>
      </c>
      <c r="DR258" s="91" t="str">
        <f t="shared" si="17"/>
      </c>
      <c r="DS258" s="91" t="str">
        <f t="shared" si="17"/>
      </c>
      <c r="DT258" s="91" t="str">
        <f t="shared" si="17"/>
      </c>
      <c r="DU258" s="91" t="str">
        <f t="shared" si="17"/>
      </c>
      <c r="DV258" s="91" t="str">
        <f t="shared" si="17"/>
      </c>
      <c r="DW258" s="91" t="str">
        <f t="shared" si="17"/>
      </c>
      <c r="DX258" s="91" t="str">
        <f t="shared" si="17"/>
      </c>
      <c r="DY258" s="91" t="str">
        <f t="shared" si="17"/>
      </c>
      <c r="DZ258" s="91" t="str">
        <f t="shared" si="17"/>
      </c>
      <c r="EA258" s="91" t="str">
        <f t="shared" si="17"/>
      </c>
      <c r="EB258" s="91" t="str">
        <f t="shared" si="17"/>
      </c>
      <c r="EC258" s="91" t="str">
        <f t="shared" si="17"/>
      </c>
      <c r="ED258" s="91" t="str">
        <f t="shared" si="17"/>
      </c>
      <c r="EE258" s="91" t="str">
        <f t="shared" si="17"/>
      </c>
      <c r="EF258" s="91" t="str">
        <f t="shared" si="17"/>
      </c>
      <c r="EG258" s="91" t="str">
        <f t="shared" si="17"/>
      </c>
      <c r="EH258" s="91" t="str">
        <f t="shared" si="17"/>
      </c>
      <c r="EI258" s="91" t="str">
        <f t="shared" si="17"/>
      </c>
      <c r="EJ258" s="91" t="str">
        <f t="shared" si="17"/>
      </c>
      <c r="EK258" s="91" t="str">
        <f t="shared" si="17"/>
      </c>
      <c r="EL258" s="91" t="str">
        <f t="shared" si="17"/>
      </c>
      <c r="EM258" s="91" t="str">
        <f t="shared" si="17"/>
      </c>
      <c r="EN258" s="91" t="str">
        <f t="shared" si="17"/>
      </c>
      <c r="EO258" s="91" t="str">
        <f t="shared" si="17"/>
      </c>
      <c r="EP258" s="91" t="str">
        <f t="shared" si="17"/>
      </c>
      <c r="EQ258" s="91" t="str">
        <f t="shared" si="17"/>
      </c>
      <c r="ER258" s="91" t="str">
        <f t="shared" si="17"/>
      </c>
      <c r="ES258" s="91" t="str">
        <f t="shared" si="17"/>
      </c>
      <c r="ET258" s="91" t="str">
        <f t="shared" si="17"/>
      </c>
      <c r="EU258" s="91" t="str">
        <f t="shared" si="17"/>
      </c>
      <c r="EV258" s="91" t="str">
        <f t="shared" si="17"/>
      </c>
      <c r="EW258" s="91" t="str">
        <f t="shared" si="17"/>
      </c>
      <c r="EX258" s="91" t="str">
        <f t="shared" si="17"/>
      </c>
      <c r="EY258" s="91" t="str">
        <f t="shared" si="17"/>
      </c>
      <c r="EZ258" s="91" t="str">
        <f t="shared" si="17"/>
      </c>
      <c r="FA258" s="91" t="str">
        <f ref="FA258:HL258" t="shared" si="18">IF(SUM(FA239:FA257)&lt;&gt;0,SUM(FA239:FA257),"")</f>
      </c>
      <c r="FB258" s="91" t="str">
        <f t="shared" si="18"/>
      </c>
      <c r="FC258" s="91" t="str">
        <f t="shared" si="18"/>
      </c>
      <c r="FD258" s="91" t="str">
        <f t="shared" si="18"/>
      </c>
      <c r="FE258" s="91" t="str">
        <f t="shared" si="18"/>
      </c>
      <c r="FF258" s="91" t="str">
        <f t="shared" si="18"/>
      </c>
      <c r="FG258" s="91" t="str">
        <f t="shared" si="18"/>
      </c>
      <c r="FH258" s="91" t="str">
        <f t="shared" si="18"/>
      </c>
      <c r="FI258" s="91" t="str">
        <f t="shared" si="18"/>
      </c>
      <c r="FJ258" s="91" t="str">
        <f t="shared" si="18"/>
      </c>
      <c r="FK258" s="91" t="str">
        <f t="shared" si="18"/>
      </c>
      <c r="FL258" s="91" t="str">
        <f t="shared" si="18"/>
      </c>
      <c r="FM258" s="91" t="str">
        <f t="shared" si="18"/>
      </c>
      <c r="FN258" s="91" t="str">
        <f t="shared" si="18"/>
      </c>
      <c r="FO258" s="91" t="str">
        <f t="shared" si="18"/>
      </c>
      <c r="FP258" s="91" t="str">
        <f t="shared" si="18"/>
      </c>
      <c r="FQ258" s="91" t="str">
        <f t="shared" si="18"/>
      </c>
      <c r="FR258" s="91" t="str">
        <f t="shared" si="18"/>
      </c>
      <c r="FS258" s="91" t="str">
        <f t="shared" si="18"/>
      </c>
      <c r="FT258" s="91" t="str">
        <f t="shared" si="18"/>
      </c>
      <c r="FU258" s="91" t="str">
        <f t="shared" si="18"/>
      </c>
      <c r="FV258" s="91" t="str">
        <f t="shared" si="18"/>
      </c>
      <c r="FW258" s="91" t="str">
        <f t="shared" si="18"/>
      </c>
      <c r="FX258" s="91" t="str">
        <f t="shared" si="18"/>
      </c>
      <c r="FY258" s="91" t="str">
        <f t="shared" si="18"/>
      </c>
      <c r="FZ258" s="91" t="str">
        <f t="shared" si="18"/>
      </c>
      <c r="GA258" s="91" t="str">
        <f t="shared" si="18"/>
      </c>
      <c r="GB258" s="91" t="str">
        <f t="shared" si="18"/>
      </c>
      <c r="GC258" s="91" t="str">
        <f t="shared" si="18"/>
      </c>
      <c r="GD258" s="91" t="str">
        <f t="shared" si="18"/>
      </c>
      <c r="GE258" s="91" t="str">
        <f t="shared" si="18"/>
      </c>
      <c r="GF258" s="91" t="str">
        <f t="shared" si="18"/>
      </c>
      <c r="GG258" s="91" t="str">
        <f t="shared" si="18"/>
      </c>
      <c r="GH258" s="91" t="str">
        <f t="shared" si="18"/>
      </c>
      <c r="GI258" s="91" t="str">
        <f t="shared" si="18"/>
      </c>
      <c r="GJ258" s="91" t="str">
        <f t="shared" si="18"/>
      </c>
      <c r="GK258" s="91" t="str">
        <f t="shared" si="18"/>
      </c>
      <c r="GL258" s="91" t="str">
        <f t="shared" si="18"/>
      </c>
      <c r="GM258" s="91" t="str">
        <f t="shared" si="18"/>
      </c>
      <c r="GN258" s="91" t="str">
        <f t="shared" si="18"/>
      </c>
      <c r="GO258" s="91" t="str">
        <f t="shared" si="18"/>
      </c>
      <c r="GP258" s="91" t="str">
        <f t="shared" si="18"/>
      </c>
      <c r="GQ258" s="91" t="str">
        <f t="shared" si="18"/>
      </c>
      <c r="GR258" s="91" t="str">
        <f t="shared" si="18"/>
      </c>
      <c r="GS258" s="91" t="str">
        <f t="shared" si="18"/>
      </c>
      <c r="GT258" s="91" t="str">
        <f t="shared" si="18"/>
      </c>
      <c r="GU258" s="91" t="str">
        <f t="shared" si="18"/>
      </c>
      <c r="GV258" s="91" t="str">
        <f t="shared" si="18"/>
      </c>
      <c r="GW258" s="91" t="str">
        <f t="shared" si="18"/>
      </c>
      <c r="GX258" s="91" t="str">
        <f t="shared" si="18"/>
      </c>
      <c r="GY258" s="91" t="str">
        <f t="shared" si="18"/>
      </c>
      <c r="GZ258" s="91" t="str">
        <f t="shared" si="18"/>
      </c>
      <c r="HA258" s="91" t="str">
        <f t="shared" si="18"/>
      </c>
      <c r="HB258" s="91" t="str">
        <f t="shared" si="18"/>
      </c>
      <c r="HC258" s="91" t="str">
        <f t="shared" si="18"/>
      </c>
      <c r="HD258" s="91" t="str">
        <f t="shared" si="18"/>
      </c>
      <c r="HE258" s="91" t="str">
        <f t="shared" si="18"/>
      </c>
      <c r="HF258" s="91" t="str">
        <f t="shared" si="18"/>
      </c>
      <c r="HG258" s="91" t="str">
        <f t="shared" si="18"/>
      </c>
      <c r="HH258" s="91" t="str">
        <f t="shared" si="18"/>
      </c>
      <c r="HI258" s="91" t="str">
        <f t="shared" si="18"/>
      </c>
      <c r="HJ258" s="91" t="str">
        <f t="shared" si="18"/>
      </c>
      <c r="HK258" s="91" t="str">
        <f t="shared" si="18"/>
      </c>
      <c r="HL258" s="91" t="str">
        <f t="shared" si="18"/>
      </c>
      <c r="HM258" s="91" t="str">
        <f ref="HM258:IV258" t="shared" si="19">IF(SUM(HM239:HM257)&lt;&gt;0,SUM(HM239:HM257),"")</f>
      </c>
      <c r="HN258" s="91" t="str">
        <f t="shared" si="19"/>
      </c>
      <c r="HO258" s="91" t="str">
        <f t="shared" si="19"/>
      </c>
      <c r="HP258" s="91" t="str">
        <f t="shared" si="19"/>
      </c>
      <c r="HQ258" s="91" t="str">
        <f t="shared" si="19"/>
      </c>
      <c r="HR258" s="91" t="str">
        <f t="shared" si="19"/>
      </c>
      <c r="HS258" s="91" t="str">
        <f t="shared" si="19"/>
      </c>
      <c r="HT258" s="91" t="str">
        <f t="shared" si="19"/>
      </c>
      <c r="HU258" s="91" t="str">
        <f t="shared" si="19"/>
      </c>
      <c r="HV258" s="91" t="str">
        <f t="shared" si="19"/>
      </c>
      <c r="HW258" s="91" t="str">
        <f t="shared" si="19"/>
      </c>
      <c r="HX258" s="91" t="str">
        <f t="shared" si="19"/>
      </c>
      <c r="HY258" s="91" t="str">
        <f t="shared" si="19"/>
      </c>
      <c r="HZ258" s="91" t="str">
        <f t="shared" si="19"/>
      </c>
      <c r="IA258" s="91" t="str">
        <f t="shared" si="19"/>
      </c>
      <c r="IB258" s="91" t="str">
        <f t="shared" si="19"/>
      </c>
      <c r="IC258" s="91" t="str">
        <f t="shared" si="19"/>
      </c>
      <c r="ID258" s="91" t="str">
        <f t="shared" si="19"/>
      </c>
      <c r="IE258" s="91" t="str">
        <f t="shared" si="19"/>
      </c>
      <c r="IF258" s="91" t="str">
        <f t="shared" si="19"/>
      </c>
      <c r="IG258" s="91" t="str">
        <f t="shared" si="19"/>
      </c>
      <c r="IH258" s="91" t="str">
        <f t="shared" si="19"/>
      </c>
      <c r="II258" s="91" t="str">
        <f t="shared" si="19"/>
      </c>
      <c r="IJ258" s="91" t="str">
        <f t="shared" si="19"/>
      </c>
      <c r="IK258" s="91" t="str">
        <f t="shared" si="19"/>
      </c>
      <c r="IL258" s="91" t="str">
        <f t="shared" si="19"/>
      </c>
      <c r="IM258" s="91" t="str">
        <f t="shared" si="19"/>
      </c>
      <c r="IN258" s="91" t="str">
        <f t="shared" si="19"/>
      </c>
      <c r="IO258" s="91" t="str">
        <f t="shared" si="19"/>
      </c>
      <c r="IP258" s="91" t="str">
        <f t="shared" si="19"/>
      </c>
      <c r="IQ258" s="91" t="str">
        <f t="shared" si="19"/>
      </c>
      <c r="IR258" s="91" t="str">
        <f t="shared" si="19"/>
      </c>
      <c r="IS258" s="91" t="str">
        <f t="shared" si="19"/>
      </c>
      <c r="IT258" s="91" t="str">
        <f t="shared" si="19"/>
      </c>
      <c r="IU258" s="91" t="str">
        <f t="shared" si="19"/>
      </c>
      <c r="IV258" s="91" t="str">
        <f t="shared" si="19"/>
      </c>
    </row>
    <row r="259" hidden="1" ht="13.5"/>
    <row r="260" hidden="1" ht="15.75" customHeight="1">
      <c r="C260" s="686" t="s">
        <v>385</v>
      </c>
      <c r="D260" s="687"/>
      <c r="E260" s="687"/>
      <c r="F260" s="687"/>
      <c r="G260" s="687"/>
      <c r="H260" s="687"/>
      <c r="I260" s="687"/>
      <c r="J260" s="687"/>
      <c r="K260" s="687"/>
      <c r="L260" s="687"/>
      <c r="M260" s="687"/>
      <c r="N260" s="687"/>
      <c r="O260" s="687"/>
      <c r="P260" s="687"/>
      <c r="Q260" s="687"/>
      <c r="R260" s="687"/>
      <c r="S260" s="687"/>
      <c r="T260" s="687"/>
      <c r="U260" s="687"/>
      <c r="V260" s="687"/>
      <c r="W260" s="687"/>
      <c r="X260" s="687"/>
      <c r="Y260" s="687"/>
      <c r="Z260" s="687"/>
      <c r="AA260" s="687"/>
      <c r="AB260" s="688"/>
    </row>
    <row r="261" hidden="1" ht="15" customHeight="1">
      <c r="C261" s="435" t="str">
        <f> IF(C281&lt;&gt;"",TEXT(AUX!G$1,"dd-MMM-aa"),"")</f>
      </c>
      <c r="D261" s="435" t="str">
        <f> IF(D281&lt;&gt;"",TEXT(AUX!H$1,"dd-MMM-aa"),"")</f>
      </c>
      <c r="E261" s="435" t="str">
        <f> IF(E281&lt;&gt;"",TEXT(AUX!I$1,"dd-MMM-aa"),"")</f>
      </c>
      <c r="F261" s="435" t="str">
        <f> IF(F281&lt;&gt;"",TEXT(AUX!J$1,"dd-MMM-aa"),"")</f>
      </c>
      <c r="G261" s="435" t="str">
        <f> IF(G281&lt;&gt;"",TEXT(AUX!K$1,"dd-MMM-aa"),"")</f>
      </c>
      <c r="H261" s="435" t="str">
        <f> IF(H281&lt;&gt;"",TEXT(AUX!L$1,"dd-MMM-aa"),"")</f>
      </c>
      <c r="I261" s="435" t="str">
        <f> IF(I281&lt;&gt;"",TEXT(AUX!M$1,"dd-MMM-aa"),"")</f>
      </c>
      <c r="J261" s="435" t="str">
        <f> IF(J281&lt;&gt;"",TEXT(AUX!N$1,"dd-MMM-aa"),"")</f>
      </c>
      <c r="K261" s="435" t="str">
        <f> IF(K281&lt;&gt;"",TEXT(AUX!O$1,"dd-MMM-aa"),"")</f>
      </c>
      <c r="L261" s="435" t="str">
        <f> IF(L281&lt;&gt;"",TEXT(AUX!P$1,"dd-MMM-aa"),"")</f>
      </c>
      <c r="M261" s="435" t="str">
        <f> IF(M281&lt;&gt;"",TEXT(AUX!Q$1,"dd-MMM-aa"),"")</f>
      </c>
      <c r="N261" s="435" t="str">
        <f> IF(N281&lt;&gt;"",TEXT(AUX!R$1,"dd-MMM-aa"),"")</f>
      </c>
      <c r="O261" s="435" t="str">
        <f> IF(O281&lt;&gt;"",TEXT(AUX!S$1,"dd-MMM-aa"),"")</f>
      </c>
      <c r="P261" s="435" t="str">
        <f> IF(P281&lt;&gt;"",TEXT(AUX!T$1,"dd-MMM-aa"),"")</f>
      </c>
      <c r="Q261" s="435" t="str">
        <f> IF(Q281&lt;&gt;"",TEXT(AUX!U$1,"dd-MMM-aa"),"")</f>
      </c>
      <c r="R261" s="435" t="str">
        <f> IF(R281&lt;&gt;"",TEXT(AUX!V$1,"dd-MMM-aa"),"")</f>
      </c>
      <c r="S261" s="435" t="str">
        <f> IF(S281&lt;&gt;"",TEXT(AUX!W$1,"dd-MMM-aa"),"")</f>
      </c>
      <c r="T261" s="435" t="str">
        <f> IF(T281&lt;&gt;"",TEXT(AUX!X$1,"dd-MMM-aa"),"")</f>
      </c>
      <c r="U261" s="435" t="str">
        <f> IF(U281&lt;&gt;"",TEXT(AUX!Y$1,"dd-MMM-aa"),"")</f>
      </c>
      <c r="V261" s="435" t="str">
        <f> IF(V281&lt;&gt;"",TEXT(AUX!Z$1,"dd-MMM-aa"),"")</f>
      </c>
      <c r="W261" s="435" t="str">
        <f> IF(W281&lt;&gt;"",TEXT(AUX!AA$1,"dd-MMM-aa"),"")</f>
      </c>
      <c r="X261" s="435" t="str">
        <f> IF(X281&lt;&gt;"",TEXT(AUX!AB$1,"dd-MMM-aa"),"")</f>
      </c>
      <c r="Y261" s="435" t="str">
        <f> IF(Y281&lt;&gt;"",TEXT(AUX!AC$1,"dd-MMM-aa"),"")</f>
      </c>
      <c r="Z261" s="435" t="str">
        <f> IF(Z281&lt;&gt;"",TEXT(AUX!AD$1,"dd-MMM-aa"),"")</f>
      </c>
      <c r="AA261" s="435" t="str">
        <f> IF(AA281&lt;&gt;"",TEXT(AUX!AE$1,"dd-MMM-aa"),"")</f>
      </c>
      <c r="AB261" s="497" t="str">
        <f> IF(AB281&lt;&gt;"",TEXT(AUX!AF$1,"dd-MMM-aa"),"")</f>
      </c>
      <c r="AC261" s="496" t="str">
        <f> IF(AC281&lt;&gt;"",TEXT(AUX!AG$1,"dd-MMM-aa"),"")</f>
      </c>
      <c r="AD261" s="496" t="str">
        <f> IF(AD281&lt;&gt;"",TEXT(AUX!AH$1,"dd-MMM-aa"),"")</f>
      </c>
      <c r="AE261" s="496" t="str">
        <f> IF(AE281&lt;&gt;"",TEXT(AUX!AI$1,"dd-MMM-aa"),"")</f>
      </c>
      <c r="AF261" s="496" t="str">
        <f> IF(AF281&lt;&gt;"",TEXT(AUX!AJ$1,"dd-MMM-aa"),"")</f>
      </c>
      <c r="AG261" s="496" t="str">
        <f> IF(AG281&lt;&gt;"",TEXT(AUX!AK$1,"dd-MMM-aa"),"")</f>
      </c>
      <c r="AH261" s="496" t="str">
        <f> IF(AH281&lt;&gt;"",TEXT(AUX!AL$1,"dd-MMM-aa"),"")</f>
      </c>
      <c r="AI261" s="496" t="str">
        <f> IF(AI281&lt;&gt;"",TEXT(AUX!AM$1,"dd-MMM-aa"),"")</f>
      </c>
      <c r="AJ261" s="496" t="str">
        <f> IF(AJ281&lt;&gt;"",TEXT(AUX!AN$1,"dd-MMM-aa"),"")</f>
      </c>
      <c r="AK261" s="496" t="str">
        <f> IF(AK281&lt;&gt;"",TEXT(AUX!AO$1,"dd-MMM-aa"),"")</f>
      </c>
      <c r="AL261" s="496" t="str">
        <f> IF(AL281&lt;&gt;"",TEXT(AUX!AP$1,"dd-MMM-aa"),"")</f>
      </c>
      <c r="AM261" s="496" t="str">
        <f> IF(AM281&lt;&gt;"",TEXT(AUX!AQ$1,"dd-MMM-aa"),"")</f>
      </c>
      <c r="AN261" s="496" t="str">
        <f> IF(AN281&lt;&gt;"",TEXT(AUX!AR$1,"dd-MMM-aa"),"")</f>
      </c>
      <c r="AO261" s="496" t="str">
        <f> IF(AO281&lt;&gt;"",TEXT(AUX!AS$1,"dd-MMM-aa"),"")</f>
      </c>
      <c r="AP261" s="496" t="str">
        <f> IF(AP281&lt;&gt;"",TEXT(AUX!AT$1,"dd-MMM-aa"),"")</f>
      </c>
      <c r="AQ261" s="496" t="str">
        <f> IF(AQ281&lt;&gt;"",TEXT(AUX!AU$1,"dd-MMM-aa"),"")</f>
      </c>
      <c r="AR261" s="496" t="str">
        <f> IF(AR281&lt;&gt;"",TEXT(AUX!AV$1,"dd-MMM-aa"),"")</f>
      </c>
      <c r="AS261" s="496" t="str">
        <f> IF(AS281&lt;&gt;"",TEXT(AUX!AW$1,"dd-MMM-aa"),"")</f>
      </c>
      <c r="AT261" s="496" t="str">
        <f> IF(AT281&lt;&gt;"",TEXT(AUX!AX$1,"dd-MMM-aa"),"")</f>
      </c>
      <c r="AU261" s="496" t="str">
        <f> IF(AU281&lt;&gt;"",TEXT(AUX!AY$1,"dd-MMM-aa"),"")</f>
      </c>
      <c r="AV261" s="496" t="str">
        <f> IF(AV281&lt;&gt;"",TEXT(AUX!AZ$1,"dd-MMM-aa"),"")</f>
      </c>
      <c r="AW261" s="496" t="str">
        <f> IF(AW281&lt;&gt;"",TEXT(AUX!BA$1,"dd-MMM-aa"),"")</f>
      </c>
      <c r="AX261" s="496" t="str">
        <f> IF(AX281&lt;&gt;"",TEXT(AUX!BB$1,"dd-MMM-aa"),"")</f>
      </c>
      <c r="AY261" s="496" t="str">
        <f> IF(AY281&lt;&gt;"",TEXT(AUX!BC$1,"dd-MMM-aa"),"")</f>
      </c>
      <c r="AZ261" s="496" t="str">
        <f> IF(AZ281&lt;&gt;"",TEXT(AUX!BD$1,"dd-MMM-aa"),"")</f>
      </c>
      <c r="BA261" s="496" t="str">
        <f> IF(BA281&lt;&gt;"",TEXT(AUX!BE$1,"dd-MMM-aa"),"")</f>
      </c>
      <c r="BB261" s="496" t="str">
        <f> IF(BB281&lt;&gt;"",TEXT(AUX!BF$1,"dd-MMM-aa"),"")</f>
      </c>
      <c r="BC261" s="496" t="str">
        <f> IF(BC281&lt;&gt;"",TEXT(AUX!BG$1,"dd-MMM-aa"),"")</f>
      </c>
      <c r="BD261" s="496" t="str">
        <f> IF(BD281&lt;&gt;"",TEXT(AUX!BH$1,"dd-MMM-aa"),"")</f>
      </c>
      <c r="BE261" s="496" t="str">
        <f> IF(BE281&lt;&gt;"",TEXT(AUX!BI$1,"dd-MMM-aa"),"")</f>
      </c>
      <c r="BF261" s="496" t="str">
        <f> IF(BF281&lt;&gt;"",TEXT(AUX!BJ$1,"dd-MMM-aa"),"")</f>
      </c>
      <c r="BG261" s="496" t="str">
        <f> IF(BG281&lt;&gt;"",TEXT(AUX!BK$1,"dd-MMM-aa"),"")</f>
      </c>
      <c r="BH261" s="496" t="str">
        <f> IF(BH281&lt;&gt;"",TEXT(AUX!BL$1,"dd-MMM-aa"),"")</f>
      </c>
      <c r="BI261" s="496" t="str">
        <f> IF(BI281&lt;&gt;"",TEXT(AUX!BM$1,"dd-MMM-aa"),"")</f>
      </c>
      <c r="BJ261" s="496" t="str">
        <f> IF(BJ281&lt;&gt;"",TEXT(AUX!BN$1,"dd-MMM-aa"),"")</f>
      </c>
      <c r="BK261" s="496" t="str">
        <f> IF(BK281&lt;&gt;"",TEXT(AUX!BO$1,"dd-MMM-aa"),"")</f>
      </c>
      <c r="BL261" s="496" t="str">
        <f> IF(BL281&lt;&gt;"",TEXT(AUX!BP$1,"dd-MMM-aa"),"")</f>
      </c>
      <c r="BM261" s="496" t="str">
        <f> IF(BM281&lt;&gt;"",TEXT(AUX!BQ$1,"dd-MMM-aa"),"")</f>
      </c>
      <c r="BN261" s="496" t="str">
        <f> IF(BN281&lt;&gt;"",TEXT(AUX!BR$1,"dd-MMM-aa"),"")</f>
      </c>
      <c r="BO261" s="496" t="str">
        <f> IF(BO281&lt;&gt;"",TEXT(AUX!BS$1,"dd-MMM-aa"),"")</f>
      </c>
      <c r="BP261" s="496" t="str">
        <f> IF(BP281&lt;&gt;"",TEXT(AUX!BT$1,"dd-MMM-aa"),"")</f>
      </c>
      <c r="BQ261" s="496" t="str">
        <f> IF(BQ281&lt;&gt;"",TEXT(AUX!BU$1,"dd-MMM-aa"),"")</f>
      </c>
      <c r="BR261" s="496" t="str">
        <f> IF(BR281&lt;&gt;"",TEXT(AUX!BV$1,"dd-MMM-aa"),"")</f>
      </c>
      <c r="BS261" s="496" t="str">
        <f> IF(BS281&lt;&gt;"",TEXT(AUX!BW$1,"dd-MMM-aa"),"")</f>
      </c>
      <c r="BT261" s="496" t="str">
        <f> IF(BT281&lt;&gt;"",TEXT(AUX!BX$1,"dd-MMM-aa"),"")</f>
      </c>
      <c r="BU261" s="496" t="str">
        <f> IF(BU281&lt;&gt;"",TEXT(AUX!BY$1,"dd-MMM-aa"),"")</f>
      </c>
      <c r="BV261" s="496" t="str">
        <f> IF(BV281&lt;&gt;"",TEXT(AUX!BZ$1,"dd-MMM-aa"),"")</f>
      </c>
      <c r="BW261" s="496" t="str">
        <f> IF(BW281&lt;&gt;"",TEXT(AUX!CA$1,"dd-MMM-aa"),"")</f>
      </c>
      <c r="BX261" s="496" t="str">
        <f> IF(BX281&lt;&gt;"",TEXT(AUX!CB$1,"dd-MMM-aa"),"")</f>
      </c>
      <c r="BY261" s="496" t="str">
        <f> IF(BY281&lt;&gt;"",TEXT(AUX!CC$1,"dd-MMM-aa"),"")</f>
      </c>
      <c r="BZ261" s="496" t="str">
        <f> IF(BZ281&lt;&gt;"",TEXT(AUX!CD$1,"dd-MMM-aa"),"")</f>
      </c>
      <c r="CA261" s="496" t="str">
        <f> IF(CA281&lt;&gt;"",TEXT(AUX!CE$1,"dd-MMM-aa"),"")</f>
      </c>
      <c r="CB261" s="496" t="str">
        <f> IF(CB281&lt;&gt;"",TEXT(AUX!CF$1,"dd-MMM-aa"),"")</f>
      </c>
      <c r="CC261" s="496" t="str">
        <f> IF(CC281&lt;&gt;"",TEXT(AUX!CG$1,"dd-MMM-aa"),"")</f>
      </c>
      <c r="CD261" s="496" t="str">
        <f> IF(CD281&lt;&gt;"",TEXT(AUX!CH$1,"dd-MMM-aa"),"")</f>
      </c>
      <c r="CE261" s="496" t="str">
        <f> IF(CE281&lt;&gt;"",TEXT(AUX!CI$1,"dd-MMM-aa"),"")</f>
      </c>
      <c r="CF261" s="496" t="str">
        <f> IF(CF281&lt;&gt;"",TEXT(AUX!CJ$1,"dd-MMM-aa"),"")</f>
      </c>
      <c r="CG261" s="496" t="str">
        <f> IF(CG281&lt;&gt;"",TEXT(AUX!CK$1,"dd-MMM-aa"),"")</f>
      </c>
      <c r="CH261" s="496" t="str">
        <f> IF(CH281&lt;&gt;"",TEXT(AUX!CL$1,"dd-MMM-aa"),"")</f>
      </c>
      <c r="CI261" s="496" t="str">
        <f> IF(CI281&lt;&gt;"",TEXT(AUX!CM$1,"dd-MMM-aa"),"")</f>
      </c>
      <c r="CJ261" s="496" t="str">
        <f> IF(CJ281&lt;&gt;"",TEXT(AUX!CN$1,"dd-MMM-aa"),"")</f>
      </c>
      <c r="CK261" s="496" t="str">
        <f> IF(CK281&lt;&gt;"",TEXT(AUX!CO$1,"dd-MMM-aa"),"")</f>
      </c>
      <c r="CL261" s="496" t="str">
        <f> IF(CL281&lt;&gt;"",TEXT(AUX!CP$1,"dd-MMM-aa"),"")</f>
      </c>
      <c r="CM261" s="496" t="str">
        <f> IF(CM281&lt;&gt;"",TEXT(AUX!CQ$1,"dd-MMM-aa"),"")</f>
      </c>
      <c r="CN261" s="496" t="str">
        <f> IF(CN281&lt;&gt;"",TEXT(AUX!CR$1,"dd-MMM-aa"),"")</f>
      </c>
      <c r="CO261" s="496" t="str">
        <f> IF(CO281&lt;&gt;"",TEXT(AUX!CS$1,"dd-MMM-aa"),"")</f>
      </c>
      <c r="CP261" s="496" t="str">
        <f> IF(CP281&lt;&gt;"",TEXT(AUX!CT$1,"dd-MMM-aa"),"")</f>
      </c>
      <c r="CQ261" s="496" t="str">
        <f> IF(CQ281&lt;&gt;"",TEXT(AUX!CU$1,"dd-MMM-aa"),"")</f>
      </c>
      <c r="CR261" s="496" t="str">
        <f> IF(CR281&lt;&gt;"",TEXT(AUX!CV$1,"dd-MMM-aa"),"")</f>
      </c>
      <c r="CS261" s="496" t="str">
        <f> IF(CS281&lt;&gt;"",TEXT(AUX!CW$1,"dd-MMM-aa"),"")</f>
      </c>
      <c r="CT261" s="496" t="str">
        <f> IF(CT281&lt;&gt;"",TEXT(AUX!CX$1,"dd-MMM-aa"),"")</f>
      </c>
      <c r="CU261" s="496" t="str">
        <f> IF(CU281&lt;&gt;"",TEXT(AUX!CY$1,"dd-MMM-aa"),"")</f>
      </c>
      <c r="CV261" s="496" t="str">
        <f> IF(CV281&lt;&gt;"",TEXT(AUX!CZ$1,"dd-MMM-aa"),"")</f>
      </c>
      <c r="CW261" s="496" t="str">
        <f> IF(CW281&lt;&gt;"",TEXT(AUX!DA$1,"dd-MMM-aa"),"")</f>
      </c>
      <c r="CX261" s="496" t="str">
        <f> IF(CX281&lt;&gt;"",TEXT(AUX!DB$1,"dd-MMM-aa"),"")</f>
      </c>
      <c r="CY261" s="496" t="str">
        <f> IF(CY281&lt;&gt;"",TEXT(AUX!DC$1,"dd-MMM-aa"),"")</f>
      </c>
      <c r="CZ261" s="496" t="str">
        <f> IF(CZ281&lt;&gt;"",TEXT(AUX!DD$1,"dd-MMM-aa"),"")</f>
      </c>
      <c r="DA261" s="496" t="str">
        <f> IF(DA281&lt;&gt;"",TEXT(AUX!DE$1,"dd-MMM-aa"),"")</f>
      </c>
      <c r="DB261" s="496" t="str">
        <f> IF(DB281&lt;&gt;"",TEXT(AUX!DF$1,"dd-MMM-aa"),"")</f>
      </c>
      <c r="DC261" s="496" t="str">
        <f> IF(DC281&lt;&gt;"",TEXT(AUX!DG$1,"dd-MMM-aa"),"")</f>
      </c>
      <c r="DD261" s="496" t="str">
        <f> IF(DD281&lt;&gt;"",TEXT(AUX!DH$1,"dd-MMM-aa"),"")</f>
      </c>
      <c r="DE261" s="496" t="str">
        <f> IF(DE281&lt;&gt;"",TEXT(AUX!DI$1,"dd-MMM-aa"),"")</f>
      </c>
      <c r="DF261" s="496" t="str">
        <f> IF(DF281&lt;&gt;"",TEXT(AUX!DJ$1,"dd-MMM-aa"),"")</f>
      </c>
      <c r="DG261" s="496" t="str">
        <f> IF(DG281&lt;&gt;"",TEXT(AUX!DK$1,"dd-MMM-aa"),"")</f>
      </c>
      <c r="DH261" s="496" t="str">
        <f> IF(DH281&lt;&gt;"",TEXT(AUX!DL$1,"dd-MMM-aa"),"")</f>
      </c>
      <c r="DI261" s="496" t="str">
        <f> IF(DI281&lt;&gt;"",TEXT(AUX!DM$1,"dd-MMM-aa"),"")</f>
      </c>
      <c r="DJ261" s="496" t="str">
        <f> IF(DJ281&lt;&gt;"",TEXT(AUX!DN$1,"dd-MMM-aa"),"")</f>
      </c>
      <c r="DK261" s="496" t="str">
        <f> IF(DK281&lt;&gt;"",TEXT(AUX!DO$1,"dd-MMM-aa"),"")</f>
      </c>
      <c r="DL261" s="496" t="str">
        <f> IF(DL281&lt;&gt;"",TEXT(AUX!DP$1,"dd-MMM-aa"),"")</f>
      </c>
      <c r="DM261" s="496" t="str">
        <f> IF(DM281&lt;&gt;"",TEXT(AUX!DQ$1,"dd-MMM-aa"),"")</f>
      </c>
      <c r="DN261" s="496" t="str">
        <f> IF(DN281&lt;&gt;"",TEXT(AUX!DR$1,"dd-MMM-aa"),"")</f>
      </c>
      <c r="DO261" s="496" t="str">
        <f> IF(DO281&lt;&gt;"",TEXT(AUX!DS$1,"dd-MMM-aa"),"")</f>
      </c>
      <c r="DP261" s="496" t="str">
        <f> IF(DP281&lt;&gt;"",TEXT(AUX!DT$1,"dd-MMM-aa"),"")</f>
      </c>
      <c r="DQ261" s="496" t="str">
        <f> IF(DQ281&lt;&gt;"",TEXT(AUX!DU$1,"dd-MMM-aa"),"")</f>
      </c>
      <c r="DR261" s="496" t="str">
        <f> IF(DR281&lt;&gt;"",TEXT(AUX!DV$1,"dd-MMM-aa"),"")</f>
      </c>
      <c r="DS261" s="496" t="str">
        <f> IF(DS281&lt;&gt;"",TEXT(AUX!DW$1,"dd-MMM-aa"),"")</f>
      </c>
      <c r="DT261" s="496" t="str">
        <f> IF(DT281&lt;&gt;"",TEXT(AUX!DX$1,"dd-MMM-aa"),"")</f>
      </c>
      <c r="DU261" s="496" t="str">
        <f> IF(DU281&lt;&gt;"",TEXT(AUX!DY$1,"dd-MMM-aa"),"")</f>
      </c>
      <c r="DV261" s="496" t="str">
        <f> IF(DV281&lt;&gt;"",TEXT(AUX!DZ$1,"dd-MMM-aa"),"")</f>
      </c>
      <c r="DW261" s="496" t="str">
        <f> IF(DW281&lt;&gt;"",TEXT(AUX!EA$1,"dd-MMM-aa"),"")</f>
      </c>
      <c r="DX261" s="496" t="str">
        <f> IF(DX281&lt;&gt;"",TEXT(AUX!EB$1,"dd-MMM-aa"),"")</f>
      </c>
      <c r="DY261" s="496" t="str">
        <f> IF(DY281&lt;&gt;"",TEXT(AUX!EC$1,"dd-MMM-aa"),"")</f>
      </c>
      <c r="DZ261" s="496" t="str">
        <f> IF(DZ281&lt;&gt;"",TEXT(AUX!ED$1,"dd-MMM-aa"),"")</f>
      </c>
      <c r="EA261" s="496" t="str">
        <f> IF(EA281&lt;&gt;"",TEXT(AUX!EE$1,"dd-MMM-aa"),"")</f>
      </c>
      <c r="EB261" s="496" t="str">
        <f> IF(EB281&lt;&gt;"",TEXT(AUX!EF$1,"dd-MMM-aa"),"")</f>
      </c>
      <c r="EC261" s="496" t="str">
        <f> IF(EC281&lt;&gt;"",TEXT(AUX!EG$1,"dd-MMM-aa"),"")</f>
      </c>
      <c r="ED261" s="496" t="str">
        <f> IF(ED281&lt;&gt;"",TEXT(AUX!EH$1,"dd-MMM-aa"),"")</f>
      </c>
      <c r="EE261" s="496" t="str">
        <f> IF(EE281&lt;&gt;"",TEXT(AUX!EI$1,"dd-MMM-aa"),"")</f>
      </c>
      <c r="EF261" s="496" t="str">
        <f> IF(EF281&lt;&gt;"",TEXT(AUX!EJ$1,"dd-MMM-aa"),"")</f>
      </c>
      <c r="EG261" s="496" t="str">
        <f> IF(EG281&lt;&gt;"",TEXT(AUX!EK$1,"dd-MMM-aa"),"")</f>
      </c>
      <c r="EH261" s="496" t="str">
        <f> IF(EH281&lt;&gt;"",TEXT(AUX!EL$1,"dd-MMM-aa"),"")</f>
      </c>
      <c r="EI261" s="496" t="str">
        <f> IF(EI281&lt;&gt;"",TEXT(AUX!EM$1,"dd-MMM-aa"),"")</f>
      </c>
      <c r="EJ261" s="496" t="str">
        <f> IF(EJ281&lt;&gt;"",TEXT(AUX!EN$1,"dd-MMM-aa"),"")</f>
      </c>
      <c r="EK261" s="496" t="str">
        <f> IF(EK281&lt;&gt;"",TEXT(AUX!EO$1,"dd-MMM-aa"),"")</f>
      </c>
      <c r="EL261" s="496" t="str">
        <f> IF(EL281&lt;&gt;"",TEXT(AUX!EP$1,"dd-MMM-aa"),"")</f>
      </c>
      <c r="EM261" s="496" t="str">
        <f> IF(EM281&lt;&gt;"",TEXT(AUX!EQ$1,"dd-MMM-aa"),"")</f>
      </c>
      <c r="EN261" s="496" t="str">
        <f> IF(EN281&lt;&gt;"",TEXT(AUX!ER$1,"dd-MMM-aa"),"")</f>
      </c>
      <c r="EO261" s="496" t="str">
        <f> IF(EO281&lt;&gt;"",TEXT(AUX!ES$1,"dd-MMM-aa"),"")</f>
      </c>
      <c r="EP261" s="496" t="str">
        <f> IF(EP281&lt;&gt;"",TEXT(AUX!ET$1,"dd-MMM-aa"),"")</f>
      </c>
      <c r="EQ261" s="496" t="str">
        <f> IF(EQ281&lt;&gt;"",TEXT(AUX!EU$1,"dd-MMM-aa"),"")</f>
      </c>
      <c r="ER261" s="496" t="str">
        <f> IF(ER281&lt;&gt;"",TEXT(AUX!EV$1,"dd-MMM-aa"),"")</f>
      </c>
      <c r="ES261" s="496" t="str">
        <f> IF(ES281&lt;&gt;"",TEXT(AUX!EW$1,"dd-MMM-aa"),"")</f>
      </c>
      <c r="ET261" s="496" t="str">
        <f> IF(ET281&lt;&gt;"",TEXT(AUX!EX$1,"dd-MMM-aa"),"")</f>
      </c>
      <c r="EU261" s="496" t="str">
        <f> IF(EU281&lt;&gt;"",TEXT(AUX!EY$1,"dd-MMM-aa"),"")</f>
      </c>
      <c r="EV261" s="496" t="str">
        <f> IF(EV281&lt;&gt;"",TEXT(AUX!EZ$1,"dd-MMM-aa"),"")</f>
      </c>
      <c r="EW261" s="496" t="str">
        <f> IF(EW281&lt;&gt;"",TEXT(AUX!FA$1,"dd-MMM-aa"),"")</f>
      </c>
      <c r="EX261" s="496" t="str">
        <f> IF(EX281&lt;&gt;"",TEXT(AUX!FB$1,"dd-MMM-aa"),"")</f>
      </c>
      <c r="EY261" s="496" t="str">
        <f> IF(EY281&lt;&gt;"",TEXT(AUX!FC$1,"dd-MMM-aa"),"")</f>
      </c>
      <c r="EZ261" s="496" t="str">
        <f> IF(EZ281&lt;&gt;"",TEXT(AUX!FD$1,"dd-MMM-aa"),"")</f>
      </c>
      <c r="FA261" s="496" t="str">
        <f> IF(FA281&lt;&gt;"",TEXT(AUX!FE$1,"dd-MMM-aa"),"")</f>
      </c>
      <c r="FB261" s="496" t="str">
        <f> IF(FB281&lt;&gt;"",TEXT(AUX!FF$1,"dd-MMM-aa"),"")</f>
      </c>
      <c r="FC261" s="496" t="str">
        <f> IF(FC281&lt;&gt;"",TEXT(AUX!FG$1,"dd-MMM-aa"),"")</f>
      </c>
      <c r="FD261" s="496" t="str">
        <f> IF(FD281&lt;&gt;"",TEXT(AUX!FH$1,"dd-MMM-aa"),"")</f>
      </c>
      <c r="FE261" s="496" t="str">
        <f> IF(FE281&lt;&gt;"",TEXT(AUX!FI$1,"dd-MMM-aa"),"")</f>
      </c>
      <c r="FF261" s="496" t="str">
        <f> IF(FF281&lt;&gt;"",TEXT(AUX!FJ$1,"dd-MMM-aa"),"")</f>
      </c>
      <c r="FG261" s="496" t="str">
        <f> IF(FG281&lt;&gt;"",TEXT(AUX!FK$1,"dd-MMM-aa"),"")</f>
      </c>
      <c r="FH261" s="496" t="str">
        <f> IF(FH281&lt;&gt;"",TEXT(AUX!FL$1,"dd-MMM-aa"),"")</f>
      </c>
      <c r="FI261" s="496" t="str">
        <f> IF(FI281&lt;&gt;"",TEXT(AUX!FM$1,"dd-MMM-aa"),"")</f>
      </c>
      <c r="FJ261" s="496" t="str">
        <f> IF(FJ281&lt;&gt;"",TEXT(AUX!FN$1,"dd-MMM-aa"),"")</f>
      </c>
      <c r="FK261" s="496" t="str">
        <f> IF(FK281&lt;&gt;"",TEXT(AUX!FO$1,"dd-MMM-aa"),"")</f>
      </c>
      <c r="FL261" s="496" t="str">
        <f> IF(FL281&lt;&gt;"",TEXT(AUX!FP$1,"dd-MMM-aa"),"")</f>
      </c>
      <c r="FM261" s="496" t="str">
        <f> IF(FM281&lt;&gt;"",TEXT(AUX!FQ$1,"dd-MMM-aa"),"")</f>
      </c>
      <c r="FN261" s="496" t="str">
        <f> IF(FN281&lt;&gt;"",TEXT(AUX!FR$1,"dd-MMM-aa"),"")</f>
      </c>
      <c r="FO261" s="496" t="str">
        <f> IF(FO281&lt;&gt;"",TEXT(AUX!FS$1,"dd-MMM-aa"),"")</f>
      </c>
      <c r="FP261" s="496" t="str">
        <f> IF(FP281&lt;&gt;"",TEXT(AUX!FT$1,"dd-MMM-aa"),"")</f>
      </c>
      <c r="FQ261" s="496" t="str">
        <f> IF(FQ281&lt;&gt;"",TEXT(AUX!FU$1,"dd-MMM-aa"),"")</f>
      </c>
      <c r="FR261" s="496" t="str">
        <f> IF(FR281&lt;&gt;"",TEXT(AUX!FV$1,"dd-MMM-aa"),"")</f>
      </c>
      <c r="FS261" s="496" t="str">
        <f> IF(FS281&lt;&gt;"",TEXT(AUX!FW$1,"dd-MMM-aa"),"")</f>
      </c>
      <c r="FT261" s="496" t="str">
        <f> IF(FT281&lt;&gt;"",TEXT(AUX!FX$1,"dd-MMM-aa"),"")</f>
      </c>
      <c r="FU261" s="496" t="str">
        <f> IF(FU281&lt;&gt;"",TEXT(AUX!FY$1,"dd-MMM-aa"),"")</f>
      </c>
      <c r="FV261" s="496" t="str">
        <f> IF(FV281&lt;&gt;"",TEXT(AUX!FZ$1,"dd-MMM-aa"),"")</f>
      </c>
      <c r="FW261" s="496" t="str">
        <f> IF(FW281&lt;&gt;"",TEXT(AUX!GA$1,"dd-MMM-aa"),"")</f>
      </c>
      <c r="FX261" s="496" t="str">
        <f> IF(FX281&lt;&gt;"",TEXT(AUX!GB$1,"dd-MMM-aa"),"")</f>
      </c>
      <c r="FY261" s="496" t="str">
        <f> IF(FY281&lt;&gt;"",TEXT(AUX!GC$1,"dd-MMM-aa"),"")</f>
      </c>
      <c r="FZ261" s="496" t="str">
        <f> IF(FZ281&lt;&gt;"",TEXT(AUX!GD$1,"dd-MMM-aa"),"")</f>
      </c>
      <c r="GA261" s="496" t="str">
        <f> IF(GA281&lt;&gt;"",TEXT(AUX!GE$1,"dd-MMM-aa"),"")</f>
      </c>
      <c r="GB261" s="496" t="str">
        <f> IF(GB281&lt;&gt;"",TEXT(AUX!GF$1,"dd-MMM-aa"),"")</f>
      </c>
      <c r="GC261" s="496" t="str">
        <f> IF(GC281&lt;&gt;"",TEXT(AUX!GG$1,"dd-MMM-aa"),"")</f>
      </c>
      <c r="GD261" s="496" t="str">
        <f> IF(GD281&lt;&gt;"",TEXT(AUX!GH$1,"dd-MMM-aa"),"")</f>
      </c>
      <c r="GE261" s="496" t="str">
        <f> IF(GE281&lt;&gt;"",TEXT(AUX!GI$1,"dd-MMM-aa"),"")</f>
      </c>
      <c r="GF261" s="496" t="str">
        <f> IF(GF281&lt;&gt;"",TEXT(AUX!GJ$1,"dd-MMM-aa"),"")</f>
      </c>
      <c r="GG261" s="496" t="str">
        <f> IF(GG281&lt;&gt;"",TEXT(AUX!GK$1,"dd-MMM-aa"),"")</f>
      </c>
      <c r="GH261" s="496" t="str">
        <f> IF(GH281&lt;&gt;"",TEXT(AUX!GL$1,"dd-MMM-aa"),"")</f>
      </c>
      <c r="GI261" s="496" t="str">
        <f> IF(GI281&lt;&gt;"",TEXT(AUX!GM$1,"dd-MMM-aa"),"")</f>
      </c>
      <c r="GJ261" s="496" t="str">
        <f> IF(GJ281&lt;&gt;"",TEXT(AUX!GN$1,"dd-MMM-aa"),"")</f>
      </c>
      <c r="GK261" s="496" t="str">
        <f> IF(GK281&lt;&gt;"",TEXT(AUX!GO$1,"dd-MMM-aa"),"")</f>
      </c>
      <c r="GL261" s="496" t="str">
        <f> IF(GL281&lt;&gt;"",TEXT(AUX!GP$1,"dd-MMM-aa"),"")</f>
      </c>
      <c r="GM261" s="496" t="str">
        <f> IF(GM281&lt;&gt;"",TEXT(AUX!GQ$1,"dd-MMM-aa"),"")</f>
      </c>
      <c r="GN261" s="496" t="str">
        <f> IF(GN281&lt;&gt;"",TEXT(AUX!GR$1,"dd-MMM-aa"),"")</f>
      </c>
      <c r="GO261" s="496" t="str">
        <f> IF(GO281&lt;&gt;"",TEXT(AUX!GS$1,"dd-MMM-aa"),"")</f>
      </c>
      <c r="GP261" s="496" t="str">
        <f> IF(GP281&lt;&gt;"",TEXT(AUX!GT$1,"dd-MMM-aa"),"")</f>
      </c>
      <c r="GQ261" s="496" t="str">
        <f> IF(GQ281&lt;&gt;"",TEXT(AUX!GU$1,"dd-MMM-aa"),"")</f>
      </c>
      <c r="GR261" s="496" t="str">
        <f> IF(GR281&lt;&gt;"",TEXT(AUX!GV$1,"dd-MMM-aa"),"")</f>
      </c>
      <c r="GS261" s="496" t="str">
        <f> IF(GS281&lt;&gt;"",TEXT(AUX!GW$1,"dd-MMM-aa"),"")</f>
      </c>
      <c r="GT261" s="496" t="str">
        <f> IF(GT281&lt;&gt;"",TEXT(AUX!GX$1,"dd-MMM-aa"),"")</f>
      </c>
      <c r="GU261" s="496" t="str">
        <f> IF(GU281&lt;&gt;"",TEXT(AUX!GY$1,"dd-MMM-aa"),"")</f>
      </c>
      <c r="GV261" s="496" t="str">
        <f> IF(GV281&lt;&gt;"",TEXT(AUX!GZ$1,"dd-MMM-aa"),"")</f>
      </c>
      <c r="GW261" s="496" t="str">
        <f> IF(GW281&lt;&gt;"",TEXT(AUX!HA$1,"dd-MMM-aa"),"")</f>
      </c>
      <c r="GX261" s="496" t="str">
        <f> IF(GX281&lt;&gt;"",TEXT(AUX!HB$1,"dd-MMM-aa"),"")</f>
      </c>
      <c r="GY261" s="496" t="str">
        <f> IF(GY281&lt;&gt;"",TEXT(AUX!HC$1,"dd-MMM-aa"),"")</f>
      </c>
      <c r="GZ261" s="496" t="str">
        <f> IF(GZ281&lt;&gt;"",TEXT(AUX!HD$1,"dd-MMM-aa"),"")</f>
      </c>
      <c r="HA261" s="496" t="str">
        <f> IF(HA281&lt;&gt;"",TEXT(AUX!HE$1,"dd-MMM-aa"),"")</f>
      </c>
      <c r="HB261" s="496" t="str">
        <f> IF(HB281&lt;&gt;"",TEXT(AUX!HF$1,"dd-MMM-aa"),"")</f>
      </c>
      <c r="HC261" s="496" t="str">
        <f> IF(HC281&lt;&gt;"",TEXT(AUX!HG$1,"dd-MMM-aa"),"")</f>
      </c>
      <c r="HD261" s="496" t="str">
        <f> IF(HD281&lt;&gt;"",TEXT(AUX!HH$1,"dd-MMM-aa"),"")</f>
      </c>
      <c r="HE261" s="496" t="str">
        <f> IF(HE281&lt;&gt;"",TEXT(AUX!HI$1,"dd-MMM-aa"),"")</f>
      </c>
      <c r="HF261" s="496" t="str">
        <f> IF(HF281&lt;&gt;"",TEXT(AUX!HJ$1,"dd-MMM-aa"),"")</f>
      </c>
      <c r="HG261" s="496" t="str">
        <f> IF(HG281&lt;&gt;"",TEXT(AUX!HK$1,"dd-MMM-aa"),"")</f>
      </c>
      <c r="HH261" s="496" t="str">
        <f> IF(HH281&lt;&gt;"",TEXT(AUX!HL$1,"dd-MMM-aa"),"")</f>
      </c>
      <c r="HI261" s="496" t="str">
        <f> IF(HI281&lt;&gt;"",TEXT(AUX!HM$1,"dd-MMM-aa"),"")</f>
      </c>
      <c r="HJ261" s="496" t="str">
        <f> IF(HJ281&lt;&gt;"",TEXT(AUX!HN$1,"dd-MMM-aa"),"")</f>
      </c>
      <c r="HK261" s="496" t="str">
        <f> IF(HK281&lt;&gt;"",TEXT(AUX!HO$1,"dd-MMM-aa"),"")</f>
      </c>
      <c r="HL261" s="496" t="str">
        <f> IF(HL281&lt;&gt;"",TEXT(AUX!HP$1,"dd-MMM-aa"),"")</f>
      </c>
      <c r="HM261" s="496" t="str">
        <f> IF(HM281&lt;&gt;"",TEXT(AUX!HQ$1,"dd-MMM-aa"),"")</f>
      </c>
      <c r="HN261" s="496" t="str">
        <f> IF(HN281&lt;&gt;"",TEXT(AUX!HR$1,"dd-MMM-aa"),"")</f>
      </c>
      <c r="HO261" s="496" t="str">
        <f> IF(HO281&lt;&gt;"",TEXT(AUX!HS$1,"dd-MMM-aa"),"")</f>
      </c>
      <c r="HP261" s="496" t="str">
        <f> IF(HP281&lt;&gt;"",TEXT(AUX!HT$1,"dd-MMM-aa"),"")</f>
      </c>
      <c r="HQ261" s="496" t="str">
        <f> IF(HQ281&lt;&gt;"",TEXT(AUX!HU$1,"dd-MMM-aa"),"")</f>
      </c>
      <c r="HR261" s="496" t="str">
        <f> IF(HR281&lt;&gt;"",TEXT(AUX!HV$1,"dd-MMM-aa"),"")</f>
      </c>
      <c r="HS261" s="496" t="str">
        <f> IF(HS281&lt;&gt;"",TEXT(AUX!HW$1,"dd-MMM-aa"),"")</f>
      </c>
      <c r="HT261" s="496" t="str">
        <f> IF(HT281&lt;&gt;"",TEXT(AUX!HX$1,"dd-MMM-aa"),"")</f>
      </c>
      <c r="HU261" s="496" t="str">
        <f> IF(HU281&lt;&gt;"",TEXT(AUX!HY$1,"dd-MMM-aa"),"")</f>
      </c>
      <c r="HV261" s="496" t="str">
        <f> IF(HV281&lt;&gt;"",TEXT(AUX!HZ$1,"dd-MMM-aa"),"")</f>
      </c>
      <c r="HW261" s="496" t="str">
        <f> IF(HW281&lt;&gt;"",TEXT(AUX!IA$1,"dd-MMM-aa"),"")</f>
      </c>
      <c r="HX261" s="496" t="str">
        <f> IF(HX281&lt;&gt;"",TEXT(AUX!IB$1,"dd-MMM-aa"),"")</f>
      </c>
      <c r="HY261" s="496" t="str">
        <f> IF(HY281&lt;&gt;"",TEXT(AUX!IC$1,"dd-MMM-aa"),"")</f>
      </c>
      <c r="HZ261" s="496" t="str">
        <f> IF(HZ281&lt;&gt;"",TEXT(AUX!ID$1,"dd-MMM-aa"),"")</f>
      </c>
      <c r="IA261" s="496" t="str">
        <f> IF(IA281&lt;&gt;"",TEXT(AUX!IE$1,"dd-MMM-aa"),"")</f>
      </c>
      <c r="IB261" s="496" t="str">
        <f> IF(IB281&lt;&gt;"",TEXT(AUX!IF$1,"dd-MMM-aa"),"")</f>
      </c>
      <c r="IC261" s="496" t="str">
        <f> IF(IC281&lt;&gt;"",TEXT(AUX!IG$1,"dd-MMM-aa"),"")</f>
      </c>
      <c r="ID261" s="496" t="str">
        <f> IF(ID281&lt;&gt;"",TEXT(AUX!IH$1,"dd-MMM-aa"),"")</f>
      </c>
      <c r="IE261" s="496" t="str">
        <f> IF(IE281&lt;&gt;"",TEXT(AUX!II$1,"dd-MMM-aa"),"")</f>
      </c>
      <c r="IF261" s="496" t="str">
        <f> IF(IF281&lt;&gt;"",TEXT(AUX!IJ$1,"dd-MMM-aa"),"")</f>
      </c>
      <c r="IG261" s="496" t="str">
        <f> IF(IG281&lt;&gt;"",TEXT(AUX!IK$1,"dd-MMM-aa"),"")</f>
      </c>
      <c r="IH261" s="496" t="str">
        <f> IF(IH281&lt;&gt;"",TEXT(AUX!IL$1,"dd-MMM-aa"),"")</f>
      </c>
      <c r="II261" s="496" t="str">
        <f> IF(II281&lt;&gt;"",TEXT(AUX!IM$1,"dd-MMM-aa"),"")</f>
      </c>
      <c r="IJ261" s="496" t="str">
        <f> IF(IJ281&lt;&gt;"",TEXT(AUX!IN$1,"dd-MMM-aa"),"")</f>
      </c>
      <c r="IK261" s="496" t="str">
        <f> IF(IK281&lt;&gt;"",TEXT(AUX!IO$1,"dd-MMM-aa"),"")</f>
      </c>
      <c r="IL261" s="496" t="str">
        <f> IF(IL281&lt;&gt;"",TEXT(AUX!IP$1,"dd-MMM-aa"),"")</f>
      </c>
      <c r="IM261" s="496" t="str">
        <f> IF(IM281&lt;&gt;"",TEXT(AUX!IQ$1,"dd-MMM-aa"),"")</f>
      </c>
      <c r="IN261" s="496" t="str">
        <f> IF(IN281&lt;&gt;"",TEXT(AUX!IR$1,"dd-MMM-aa"),"")</f>
      </c>
      <c r="IO261" s="496" t="str">
        <f> IF(IO281&lt;&gt;"",TEXT(AUX!IS$1,"dd-MMM-aa"),"")</f>
      </c>
      <c r="IP261" s="496" t="str">
        <f> IF(IP281&lt;&gt;"",TEXT(AUX!IT$1,"dd-MMM-aa"),"")</f>
      </c>
      <c r="IQ261" s="496" t="str">
        <f> IF(IQ281&lt;&gt;"",TEXT(AUX!IU$1,"dd-MMM-aa"),"")</f>
      </c>
      <c r="IR261" s="496" t="str">
        <f> IF(IR281&lt;&gt;"",TEXT(AUX!IV$1,"dd-MMM-aa"),"")</f>
      </c>
      <c r="IS261" s="496" t="str">
        <f> IF(IS281&lt;&gt;"",TEXT(AUX!#REF!,"dd-MMM-aa"),"")</f>
      </c>
      <c r="IT261" s="496" t="str">
        <f> IF(IT281&lt;&gt;"",TEXT(AUX!#REF!,"dd-MMM-aa"),"")</f>
      </c>
      <c r="IU261" s="496" t="str">
        <f> IF(IU281&lt;&gt;"",TEXT(AUX!#REF!,"dd-MMM-aa"),"")</f>
      </c>
      <c r="IV261" s="496" t="str">
        <f> IF(IV281&lt;&gt;"",TEXT(AUX!#REF!,"dd-MMM-aa"),"")</f>
      </c>
    </row>
    <row r="262" hidden="1">
      <c r="B262" s="838" t="s">
        <v>8</v>
      </c>
      <c r="C262" s="839">
        <f>C170 + C193 + C239</f>
        <v>2174570</v>
      </c>
      <c r="D262" s="839">
        <f>D170 + D193 + D239</f>
        <v>1770112</v>
      </c>
      <c r="E262" s="839">
        <f>E170 + E193 + E239</f>
        <v>1094777</v>
      </c>
      <c r="F262" s="839">
        <f>F170 + F193 + F239</f>
        <v>976206</v>
      </c>
      <c r="G262" s="839">
        <f>G170 + G193 + G239</f>
        <v>983555</v>
      </c>
      <c r="H262" s="839">
        <f>H170 + H193 + H239</f>
        <v>1070745</v>
      </c>
      <c r="I262" s="839">
        <f>I170 + I193 + I239</f>
        <v>1078737</v>
      </c>
      <c r="J262" s="839">
        <f>J170 + J193 + J239</f>
        <v>1346452</v>
      </c>
      <c r="K262" s="839">
        <f>K170 + K193 + K239</f>
        <v>938767</v>
      </c>
      <c r="L262" s="839">
        <f>L170 + L193 + L239</f>
        <v>1164620</v>
      </c>
      <c r="M262" s="839">
        <f>M170 + M193 + M239</f>
        <v>1101224</v>
      </c>
      <c r="N262" s="839">
        <f>N170 + N193 + N239</f>
        <v>1164780</v>
      </c>
      <c r="O262" s="839">
        <f>O170 + O193 + O239</f>
        <v>1398962</v>
      </c>
      <c r="P262" s="839">
        <f>P170 + P193 + P239</f>
        <v>1473730</v>
      </c>
      <c r="Q262" s="839">
        <f>Q170 + Q193 + Q239</f>
        <v>1581864</v>
      </c>
      <c r="R262" s="839">
        <f>R170 + R193 + R239</f>
        <v>1431972</v>
      </c>
      <c r="S262" s="839">
        <f>S170 + S193 + S239</f>
        <v>1300197</v>
      </c>
      <c r="T262" s="839">
        <f>T170 + T193 + T239</f>
        <v>1323158</v>
      </c>
      <c r="U262" s="839">
        <f>U170 + U193 + U239</f>
        <v>1170812</v>
      </c>
      <c r="V262" s="839">
        <f>V170 + V193 + V239</f>
        <v>1419685</v>
      </c>
      <c r="W262" s="839">
        <f>W170 + W193 + W239</f>
        <v>1473989</v>
      </c>
      <c r="X262" s="839">
        <f>X170 + X193 + X239</f>
        <v>1543477</v>
      </c>
      <c r="Y262" s="839">
        <f>Y170 + Y193 + Y239</f>
        <v>1545983</v>
      </c>
      <c r="Z262" s="839">
        <f>Z170 + Z193 + Z239</f>
        <v>1566426</v>
      </c>
      <c r="AA262" s="839">
        <f>AA170 + AA193 + AA239</f>
        <v>1526100</v>
      </c>
      <c r="AB262" s="840">
        <f>AB170 + AB193 + AB239</f>
        <v>1440929</v>
      </c>
      <c r="AC262" s="841">
        <f>AC170 + AC193 + AC239</f>
        <v>1483017</v>
      </c>
      <c r="AD262" s="841">
        <f>AD170 + AD193 + AD239</f>
        <v>1482208</v>
      </c>
      <c r="AE262" s="841">
        <f>AE170 + AE193 + AE239</f>
        <v>1520277</v>
      </c>
      <c r="AF262" s="841">
        <f>AF170 + AF193 + AF239</f>
        <v>1513152</v>
      </c>
      <c r="AG262" s="841">
        <f>AG170 + AG193 + AG239</f>
        <v>1381611</v>
      </c>
      <c r="AH262" s="841">
        <f>AH170 + AH193 + AH239</f>
        <v>1211042</v>
      </c>
      <c r="AI262" s="841">
        <f>AI170 + AI193 + AI239</f>
        <v>1123210</v>
      </c>
      <c r="AJ262" s="841">
        <f>AJ170 + AJ193 + AJ239</f>
        <v>1044059</v>
      </c>
      <c r="AK262" s="841">
        <f>AK170 + AK193 + AK239</f>
        <v>726655</v>
      </c>
      <c r="AL262" s="841">
        <f>AL170 + AL193 + AL239</f>
        <v>717115</v>
      </c>
      <c r="AM262" s="841">
        <f>AM170 + AM193 + AM239</f>
        <v>830269</v>
      </c>
      <c r="AN262" s="841">
        <f>AN170 + AN193 + AN239</f>
        <v>737538</v>
      </c>
      <c r="AO262" s="841">
        <f>AO170 + AO193 + AO239</f>
        <v>778632</v>
      </c>
      <c r="AP262" s="841">
        <f>AP170 + AP193 + AP239</f>
        <v>748659</v>
      </c>
    </row>
    <row r="263" hidden="1">
      <c r="B263" s="842" t="s">
        <v>9</v>
      </c>
      <c r="C263" s="839">
        <f>C171 + C194 + C240</f>
        <v>1426470</v>
      </c>
      <c r="D263" s="839">
        <f>D171 + D194 + D240</f>
        <v>1233913</v>
      </c>
      <c r="E263" s="839">
        <f>E171 + E194 + E240</f>
        <v>1263913</v>
      </c>
      <c r="F263" s="839">
        <f>F171 + F194 + F240</f>
        <v>1184913</v>
      </c>
      <c r="G263" s="839">
        <f>G171 + G194 + G240</f>
        <v>1218203</v>
      </c>
      <c r="H263" s="839">
        <f>H171 + H194 + H240</f>
        <v>1218203</v>
      </c>
      <c r="I263" s="839">
        <f>I171 + I194 + I240</f>
        <v>1204233</v>
      </c>
      <c r="J263" s="839">
        <f>J171 + J194 + J240</f>
        <v>1204248</v>
      </c>
      <c r="K263" s="839">
        <f>K171 + K194 + K240</f>
        <v>13000</v>
      </c>
      <c r="L263" s="839">
        <f>L171 + L194 + L240</f>
        <v>87234</v>
      </c>
      <c r="M263" s="839">
        <f>M171 + M194 + M240</f>
        <v>93786</v>
      </c>
      <c r="N263" s="839">
        <f>N171 + N194 + N240</f>
        <v>321120</v>
      </c>
      <c r="O263" s="839">
        <f>O171 + O194 + O240</f>
        <v>754701</v>
      </c>
      <c r="P263" s="839">
        <f>P171 + P194 + P240</f>
        <v>765401</v>
      </c>
      <c r="Q263" s="839">
        <f>Q171 + Q194 + Q240</f>
        <v>784574</v>
      </c>
      <c r="R263" s="839">
        <f>R171 + R194 + R240</f>
        <v>776388</v>
      </c>
      <c r="S263" s="839">
        <f>S171 + S194 + S240</f>
        <v>828115</v>
      </c>
      <c r="T263" s="839">
        <f>T171 + T194 + T240</f>
        <v>879574</v>
      </c>
      <c r="U263" s="839">
        <f>U171 + U194 + U240</f>
        <v>840064</v>
      </c>
      <c r="V263" s="839">
        <f>V171 + V194 + V240</f>
        <v>882230</v>
      </c>
      <c r="W263" s="839">
        <f>W171 + W194 + W240</f>
        <v>845997</v>
      </c>
      <c r="X263" s="839">
        <f>X171 + X194 + X240</f>
        <v>854283</v>
      </c>
      <c r="Y263" s="839">
        <f>Y171 + Y194 + Y240</f>
        <v>737990</v>
      </c>
      <c r="Z263" s="839">
        <f>Z171 + Z194 + Z240</f>
        <v>748790</v>
      </c>
      <c r="AA263" s="839">
        <f>AA171 + AA194 + AA240</f>
        <v>1009817</v>
      </c>
      <c r="AB263" s="839">
        <f>AB171 + AB194 + AB240</f>
        <v>990143</v>
      </c>
      <c r="AC263" s="841">
        <f>AC171 + AC194 + AC240</f>
        <v>1636351</v>
      </c>
      <c r="AD263" s="841">
        <f>AD171 + AD194 + AD240</f>
        <v>1638897</v>
      </c>
      <c r="AE263" s="841">
        <f>AE171 + AE194 + AE240</f>
        <v>2166589</v>
      </c>
      <c r="AF263" s="841">
        <f>AF171 + AF194 + AF240</f>
        <v>2166589</v>
      </c>
      <c r="AG263" s="841">
        <f>AG171 + AG194 + AG240</f>
        <v>1768357</v>
      </c>
      <c r="AH263" s="841">
        <f>AH171 + AH194 + AH240</f>
        <v>1835087</v>
      </c>
      <c r="AI263" s="841">
        <f>AI171 + AI194 + AI240</f>
        <v>1084366</v>
      </c>
      <c r="AJ263" s="841">
        <f>AJ171 + AJ194 + AJ240</f>
        <v>1044794</v>
      </c>
      <c r="AK263" s="841">
        <f>AK171 + AK194 + AK240</f>
        <v>946124</v>
      </c>
      <c r="AL263" s="841">
        <f>AL171 + AL194 + AL240</f>
        <v>976985</v>
      </c>
      <c r="AM263" s="841">
        <f>AM171 + AM194 + AM240</f>
        <v>1065667</v>
      </c>
      <c r="AN263" s="841">
        <f>AN171 + AN194 + AN240</f>
        <v>1065667</v>
      </c>
      <c r="AO263" s="841">
        <f>AO171 + AO194 + AO240</f>
        <v>1110071</v>
      </c>
      <c r="AP263" s="841">
        <f>AP171 + AP194 + AP240</f>
        <v>1117307</v>
      </c>
    </row>
    <row r="264" hidden="1">
      <c r="B264" s="842" t="s">
        <v>10</v>
      </c>
      <c r="C264" s="839">
        <f>C172 + C195 + C241</f>
        <v>5000</v>
      </c>
      <c r="D264" s="839">
        <f>D172 + D195 + D241</f>
        <v>5000</v>
      </c>
      <c r="E264" s="839">
        <f>E172 + E195 + E241</f>
        <v>5000</v>
      </c>
      <c r="F264" s="839">
        <f>F172 + F195 + F241</f>
        <v>5000</v>
      </c>
      <c r="G264" s="839">
        <f>G172 + G195 + G241</f>
        <v>20</v>
      </c>
      <c r="H264" s="839">
        <f>H172 + H195 + H241</f>
        <v>20</v>
      </c>
      <c r="I264" s="839">
        <f>I172 + I195 + I241</f>
        <v>202</v>
      </c>
      <c r="J264" s="839">
        <f>J172 + J195 + J241</f>
        <v>200</v>
      </c>
      <c r="K264" s="839">
        <f>K172 + K195 + K241</f>
        <v>24</v>
      </c>
      <c r="L264" s="839">
        <f>L172 + L195 + L241</f>
        <v>0</v>
      </c>
      <c r="M264" s="839">
        <f>M172 + M195 + M241</f>
        <v>0</v>
      </c>
      <c r="N264" s="839">
        <f>N172 + N195 + N241</f>
        <v>0</v>
      </c>
      <c r="O264" s="839">
        <f>O172 + O195 + O241</f>
        <v>0</v>
      </c>
      <c r="P264" s="839">
        <f>P172 + P195 + P241</f>
        <v>0</v>
      </c>
      <c r="Q264" s="839">
        <f>Q172 + Q195 + Q241</f>
        <v>0</v>
      </c>
      <c r="R264" s="839">
        <f>R172 + R195 + R241</f>
        <v>0</v>
      </c>
      <c r="S264" s="839">
        <f>S172 + S195 + S241</f>
        <v>0</v>
      </c>
      <c r="T264" s="839">
        <f>T172 + T195 + T241</f>
        <v>0</v>
      </c>
      <c r="U264" s="839">
        <f>U172 + U195 + U241</f>
        <v>0</v>
      </c>
      <c r="V264" s="839">
        <f>V172 + V195 + V241</f>
        <v>0</v>
      </c>
      <c r="W264" s="839">
        <f>W172 + W195 + W241</f>
        <v>0</v>
      </c>
      <c r="X264" s="839">
        <f>X172 + X195 + X241</f>
        <v>0</v>
      </c>
      <c r="Y264" s="839">
        <f>Y172 + Y195 + Y241</f>
        <v>0</v>
      </c>
      <c r="Z264" s="839">
        <f>Z172 + Z195 + Z241</f>
        <v>0</v>
      </c>
      <c r="AA264" s="839">
        <f>AA172 + AA195 + AA241</f>
        <v>0</v>
      </c>
      <c r="AB264" s="839">
        <f>AB172 + AB195 + AB241</f>
        <v>0</v>
      </c>
      <c r="AC264" s="841">
        <f>AC172 + AC195 + AC241</f>
        <v>0</v>
      </c>
      <c r="AD264" s="841">
        <f>AD172 + AD195 + AD241</f>
        <v>0</v>
      </c>
      <c r="AE264" s="841">
        <f>AE172 + AE195 + AE241</f>
        <v>0</v>
      </c>
      <c r="AF264" s="841">
        <f>AF172 + AF195 + AF241</f>
        <v>0</v>
      </c>
      <c r="AG264" s="841">
        <f>AG172 + AG195 + AG241</f>
        <v>0</v>
      </c>
      <c r="AH264" s="841">
        <f>AH172 + AH195 + AH241</f>
        <v>0</v>
      </c>
      <c r="AI264" s="841">
        <f>AI172 + AI195 + AI241</f>
        <v>0</v>
      </c>
      <c r="AJ264" s="841">
        <f>AJ172 + AJ195 + AJ241</f>
        <v>0</v>
      </c>
      <c r="AK264" s="841">
        <f>AK172 + AK195 + AK241</f>
        <v>0</v>
      </c>
      <c r="AL264" s="841">
        <f>AL172 + AL195 + AL241</f>
        <v>0</v>
      </c>
      <c r="AM264" s="841">
        <f>AM172 + AM195 + AM241</f>
        <v>0</v>
      </c>
      <c r="AN264" s="841">
        <f>AN172 + AN195 + AN241</f>
        <v>0</v>
      </c>
      <c r="AO264" s="841">
        <f>AO172 + AO195 + AO241</f>
        <v>0</v>
      </c>
      <c r="AP264" s="841">
        <f>AP172 + AP195 + AP241</f>
        <v>0</v>
      </c>
    </row>
    <row r="265" hidden="1">
      <c r="B265" s="842" t="s">
        <v>11</v>
      </c>
      <c r="C265" s="839">
        <f>C173 + C196 + C242</f>
        <v>26453</v>
      </c>
      <c r="D265" s="839">
        <f>D173 + D196 + D242</f>
        <v>26754</v>
      </c>
      <c r="E265" s="839">
        <f>E173 + E196 + E242</f>
        <v>26995</v>
      </c>
      <c r="F265" s="839">
        <f>F173 + F196 + F242</f>
        <v>27040</v>
      </c>
      <c r="G265" s="839">
        <f>G173 + G196 + G242</f>
        <v>30857</v>
      </c>
      <c r="H265" s="839">
        <f>H173 + H196 + H242</f>
        <v>32389</v>
      </c>
      <c r="I265" s="839">
        <f>I173 + I196 + I242</f>
        <v>33762</v>
      </c>
      <c r="J265" s="839">
        <f>J173 + J196 + J242</f>
        <v>33317</v>
      </c>
      <c r="K265" s="839">
        <f>K173 + K196 + K242</f>
        <v>64000</v>
      </c>
      <c r="L265" s="839">
        <f>L173 + L196 + L242</f>
        <v>64055</v>
      </c>
      <c r="M265" s="839">
        <f>M173 + M196 + M242</f>
        <v>64000</v>
      </c>
      <c r="N265" s="839">
        <f>N173 + N196 + N242</f>
        <v>64000</v>
      </c>
      <c r="O265" s="839">
        <f>O173 + O196 + O242</f>
        <v>56400</v>
      </c>
      <c r="P265" s="839">
        <f>P173 + P196 + P242</f>
        <v>56400</v>
      </c>
      <c r="Q265" s="839">
        <f>Q173 + Q196 + Q242</f>
        <v>20400</v>
      </c>
      <c r="R265" s="839">
        <f>R173 + R196 + R242</f>
        <v>20650</v>
      </c>
      <c r="S265" s="839">
        <f>S173 + S196 + S242</f>
        <v>20500</v>
      </c>
      <c r="T265" s="839">
        <f>T173 + T196 + T242</f>
        <v>20500</v>
      </c>
      <c r="U265" s="839">
        <f>U173 + U196 + U242</f>
        <v>11420</v>
      </c>
      <c r="V265" s="839">
        <f>V173 + V196 + V242</f>
        <v>11170</v>
      </c>
      <c r="W265" s="839">
        <f>W173 + W196 + W242</f>
        <v>5370</v>
      </c>
      <c r="X265" s="839">
        <f>X173 + X196 + X242</f>
        <v>5050</v>
      </c>
      <c r="Y265" s="839">
        <f>Y173 + Y196 + Y242</f>
        <v>5030</v>
      </c>
      <c r="Z265" s="839">
        <f>Z173 + Z196 + Z242</f>
        <v>5030</v>
      </c>
      <c r="AA265" s="839">
        <f>AA173 + AA196 + AA242</f>
        <v>5030</v>
      </c>
      <c r="AB265" s="839">
        <f>AB173 + AB196 + AB242</f>
        <v>5030</v>
      </c>
      <c r="AC265" s="841">
        <f>AC173 + AC196 + AC242</f>
        <v>4030</v>
      </c>
      <c r="AD265" s="841">
        <f>AD173 + AD196 + AD242</f>
        <v>4030</v>
      </c>
      <c r="AE265" s="841">
        <f>AE173 + AE196 + AE242</f>
        <v>4050</v>
      </c>
      <c r="AF265" s="841">
        <f>AF173 + AF196 + AF242</f>
        <v>4050</v>
      </c>
      <c r="AG265" s="841">
        <f>AG173 + AG196 + AG242</f>
        <v>4050</v>
      </c>
      <c r="AH265" s="841">
        <f>AH173 + AH196 + AH242</f>
        <v>4050</v>
      </c>
      <c r="AI265" s="841">
        <f>AI173 + AI196 + AI242</f>
        <v>1130</v>
      </c>
      <c r="AJ265" s="841">
        <f>AJ173 + AJ196 + AJ242</f>
        <v>0</v>
      </c>
      <c r="AK265" s="841">
        <f>AK173 + AK196 + AK242</f>
        <v>0</v>
      </c>
      <c r="AL265" s="841">
        <f>AL173 + AL196 + AL242</f>
        <v>39</v>
      </c>
      <c r="AM265" s="841">
        <f>AM173 + AM196 + AM242</f>
        <v>21</v>
      </c>
      <c r="AN265" s="841">
        <f>AN173 + AN196 + AN242</f>
        <v>21</v>
      </c>
      <c r="AO265" s="841">
        <f>AO173 + AO196 + AO242</f>
        <v>0</v>
      </c>
      <c r="AP265" s="841">
        <f>AP173 + AP196 + AP242</f>
        <v>0</v>
      </c>
    </row>
    <row r="266" hidden="1">
      <c r="B266" s="842" t="s">
        <v>12</v>
      </c>
      <c r="C266" s="839">
        <f>C174 + C197 + C243</f>
        <v>40170</v>
      </c>
      <c r="D266" s="839">
        <f>D174 + D197 + D243</f>
        <v>40170</v>
      </c>
      <c r="E266" s="839">
        <f>E174 + E197 + E243</f>
        <v>24211</v>
      </c>
      <c r="F266" s="839">
        <f>F174 + F197 + F243</f>
        <v>24211</v>
      </c>
      <c r="G266" s="839">
        <f>G174 + G197 + G243</f>
        <v>81211</v>
      </c>
      <c r="H266" s="839">
        <f>H174 + H197 + H243</f>
        <v>81148</v>
      </c>
      <c r="I266" s="839">
        <f>I174 + I197 + I243</f>
        <v>3013</v>
      </c>
      <c r="J266" s="839">
        <f>J174 + J197 + J243</f>
        <v>2933</v>
      </c>
      <c r="K266" s="839">
        <f>K174 + K197 + K243</f>
        <v>2019</v>
      </c>
      <c r="L266" s="839">
        <f>L174 + L197 + L243</f>
        <v>2114</v>
      </c>
      <c r="M266" s="839">
        <f>M174 + M197 + M243</f>
        <v>2119</v>
      </c>
      <c r="N266" s="839">
        <f>N174 + N197 + N243</f>
        <v>2058</v>
      </c>
      <c r="O266" s="839">
        <f>O174 + O197 + O243</f>
        <v>1844</v>
      </c>
      <c r="P266" s="839">
        <f>P174 + P197 + P243</f>
        <v>2044</v>
      </c>
      <c r="Q266" s="839">
        <f>Q174 + Q197 + Q243</f>
        <v>1963</v>
      </c>
      <c r="R266" s="839">
        <f>R174 + R197 + R243</f>
        <v>3963</v>
      </c>
      <c r="S266" s="839">
        <f>S174 + S197 + S243</f>
        <v>1965</v>
      </c>
      <c r="T266" s="839">
        <f>T174 + T197 + T243</f>
        <v>2145</v>
      </c>
      <c r="U266" s="839">
        <f>U174 + U197 + U243</f>
        <v>2090</v>
      </c>
      <c r="V266" s="839">
        <f>V174 + V197 + V243</f>
        <v>1097</v>
      </c>
      <c r="W266" s="839">
        <f>W174 + W197 + W243</f>
        <v>1139</v>
      </c>
      <c r="X266" s="839">
        <f>X174 + X197 + X243</f>
        <v>1112</v>
      </c>
      <c r="Y266" s="839">
        <f>Y174 + Y197 + Y243</f>
        <v>1253</v>
      </c>
      <c r="Z266" s="839">
        <f>Z174 + Z197 + Z243</f>
        <v>1043</v>
      </c>
      <c r="AA266" s="839">
        <f>AA174 + AA197 + AA243</f>
        <v>1068</v>
      </c>
      <c r="AB266" s="839">
        <f>AB174 + AB197 + AB243</f>
        <v>948</v>
      </c>
      <c r="AC266" s="841">
        <f>AC174 + AC197 + AC243</f>
        <v>925</v>
      </c>
      <c r="AD266" s="841">
        <f>AD174 + AD197 + AD243</f>
        <v>1304</v>
      </c>
      <c r="AE266" s="841">
        <f>AE174 + AE197 + AE243</f>
        <v>1375</v>
      </c>
      <c r="AF266" s="841">
        <f>AF174 + AF197 + AF243</f>
        <v>1266</v>
      </c>
      <c r="AG266" s="841">
        <f>AG174 + AG197 + AG243</f>
        <v>1450</v>
      </c>
      <c r="AH266" s="841">
        <f>AH174 + AH197 + AH243</f>
        <v>1450</v>
      </c>
      <c r="AI266" s="841">
        <f>AI174 + AI197 + AI243</f>
        <v>1501</v>
      </c>
      <c r="AJ266" s="841">
        <f>AJ174 + AJ197 + AJ243</f>
        <v>1299</v>
      </c>
      <c r="AK266" s="841">
        <f>AK174 + AK197 + AK243</f>
        <v>1277</v>
      </c>
      <c r="AL266" s="841">
        <f>AL174 + AL197 + AL243</f>
        <v>1281</v>
      </c>
      <c r="AM266" s="841">
        <f>AM174 + AM197 + AM243</f>
        <v>1274</v>
      </c>
      <c r="AN266" s="841">
        <f>AN174 + AN197 + AN243</f>
        <v>1273</v>
      </c>
      <c r="AO266" s="841">
        <f>AO174 + AO197 + AO243</f>
        <v>1166</v>
      </c>
      <c r="AP266" s="841">
        <f>AP174 + AP197 + AP243</f>
        <v>1267</v>
      </c>
    </row>
    <row r="267" hidden="1">
      <c r="B267" s="842" t="s">
        <v>13</v>
      </c>
      <c r="C267" s="839">
        <f>C175 + C198 + C244</f>
        <v>131</v>
      </c>
      <c r="D267" s="839">
        <f>D175 + D198 + D244</f>
        <v>171</v>
      </c>
      <c r="E267" s="839">
        <f>E175 + E198 + E244</f>
        <v>113</v>
      </c>
      <c r="F267" s="839">
        <f>F175 + F198 + F244</f>
        <v>378</v>
      </c>
      <c r="G267" s="839">
        <f>G175 + G198 + G244</f>
        <v>476</v>
      </c>
      <c r="H267" s="839">
        <f>H175 + H198 + H244</f>
        <v>431</v>
      </c>
      <c r="I267" s="839">
        <f>I175 + I198 + I244</f>
        <v>490</v>
      </c>
      <c r="J267" s="839">
        <f>J175 + J198 + J244</f>
        <v>487</v>
      </c>
      <c r="K267" s="839">
        <f>K175 + K198 + K244</f>
        <v>198</v>
      </c>
      <c r="L267" s="839">
        <f>L175 + L198 + L244</f>
        <v>2198</v>
      </c>
      <c r="M267" s="839">
        <f>M175 + M198 + M244</f>
        <v>0</v>
      </c>
      <c r="N267" s="839">
        <f>N175 + N198 + N244</f>
        <v>0</v>
      </c>
      <c r="O267" s="839">
        <f>O175 + O198 + O244</f>
        <v>0</v>
      </c>
      <c r="P267" s="839">
        <f>P175 + P198 + P244</f>
        <v>0</v>
      </c>
      <c r="Q267" s="839">
        <f>Q175 + Q198 + Q244</f>
        <v>0</v>
      </c>
      <c r="R267" s="839">
        <f>R175 + R198 + R244</f>
        <v>0</v>
      </c>
      <c r="S267" s="839">
        <f>S175 + S198 + S244</f>
        <v>0</v>
      </c>
      <c r="T267" s="839">
        <f>T175 + T198 + T244</f>
        <v>0</v>
      </c>
      <c r="U267" s="839">
        <f>U175 + U198 + U244</f>
        <v>0</v>
      </c>
      <c r="V267" s="839">
        <f>V175 + V198 + V244</f>
        <v>0</v>
      </c>
      <c r="W267" s="839">
        <f>W175 + W198 + W244</f>
        <v>0</v>
      </c>
      <c r="X267" s="839">
        <f>X175 + X198 + X244</f>
        <v>0</v>
      </c>
      <c r="Y267" s="839">
        <f>Y175 + Y198 + Y244</f>
        <v>40</v>
      </c>
      <c r="Z267" s="839">
        <f>Z175 + Z198 + Z244</f>
        <v>40</v>
      </c>
      <c r="AA267" s="839">
        <f>AA175 + AA198 + AA244</f>
        <v>30</v>
      </c>
      <c r="AB267" s="839">
        <f>AB175 + AB198 + AB244</f>
        <v>30</v>
      </c>
      <c r="AC267" s="841">
        <f>AC175 + AC198 + AC244</f>
        <v>30</v>
      </c>
      <c r="AD267" s="841">
        <f>AD175 + AD198 + AD244</f>
        <v>30</v>
      </c>
      <c r="AE267" s="841">
        <f>AE175 + AE198 + AE244</f>
        <v>35</v>
      </c>
      <c r="AF267" s="841">
        <f>AF175 + AF198 + AF244</f>
        <v>35</v>
      </c>
      <c r="AG267" s="841">
        <f>AG175 + AG198 + AG244</f>
        <v>17</v>
      </c>
      <c r="AH267" s="841">
        <f>AH175 + AH198 + AH244</f>
        <v>17</v>
      </c>
      <c r="AI267" s="841">
        <f>AI175 + AI198 + AI244</f>
        <v>0</v>
      </c>
      <c r="AJ267" s="841">
        <f>AJ175 + AJ198 + AJ244</f>
        <v>23</v>
      </c>
      <c r="AK267" s="841">
        <f>AK175 + AK198 + AK244</f>
        <v>23</v>
      </c>
      <c r="AL267" s="841">
        <f>AL175 + AL198 + AL244</f>
        <v>23</v>
      </c>
      <c r="AM267" s="841">
        <f>AM175 + AM198 + AM244</f>
        <v>40</v>
      </c>
      <c r="AN267" s="841">
        <f>AN175 + AN198 + AN244</f>
        <v>90</v>
      </c>
      <c r="AO267" s="841">
        <f>AO175 + AO198 + AO244</f>
        <v>180</v>
      </c>
      <c r="AP267" s="841">
        <f>AP175 + AP198 + AP244</f>
        <v>30</v>
      </c>
    </row>
    <row r="268" hidden="1">
      <c r="B268" s="842" t="s">
        <v>109</v>
      </c>
      <c r="C268" s="839">
        <f>C176 + C199 + C245</f>
        <v>269440</v>
      </c>
      <c r="D268" s="839">
        <f>D176 + D199 + D245</f>
        <v>305440</v>
      </c>
      <c r="E268" s="839">
        <f>E176 + E199 + E245</f>
        <v>520404</v>
      </c>
      <c r="F268" s="839">
        <f>F176 + F199 + F245</f>
        <v>520404</v>
      </c>
      <c r="G268" s="839">
        <f>G176 + G199 + G245</f>
        <v>688484</v>
      </c>
      <c r="H268" s="839">
        <f>H176 + H199 + H245</f>
        <v>688484</v>
      </c>
      <c r="I268" s="839">
        <f>I176 + I199 + I245</f>
        <v>642253</v>
      </c>
      <c r="J268" s="839">
        <f>J176 + J199 + J245</f>
        <v>642253</v>
      </c>
      <c r="K268" s="839">
        <f>K176 + K199 + K245</f>
        <v>575204</v>
      </c>
      <c r="L268" s="839">
        <f>L176 + L199 + L245</f>
        <v>575351</v>
      </c>
      <c r="M268" s="839">
        <f>M176 + M199 + M245</f>
        <v>661090</v>
      </c>
      <c r="N268" s="839">
        <f>N176 + N199 + N245</f>
        <v>661090</v>
      </c>
      <c r="O268" s="839">
        <f>O176 + O199 + O245</f>
        <v>635012</v>
      </c>
      <c r="P268" s="839">
        <f>P176 + P199 + P245</f>
        <v>635012</v>
      </c>
      <c r="Q268" s="839">
        <f>Q176 + Q199 + Q245</f>
        <v>1065506</v>
      </c>
      <c r="R268" s="839">
        <f>R176 + R199 + R245</f>
        <v>991032</v>
      </c>
      <c r="S268" s="839">
        <f>S176 + S199 + S245</f>
        <v>615831</v>
      </c>
      <c r="T268" s="839">
        <f>T176 + T199 + T245</f>
        <v>609490</v>
      </c>
      <c r="U268" s="839">
        <f>U176 + U199 + U245</f>
        <v>553597</v>
      </c>
      <c r="V268" s="839">
        <f>V176 + V199 + V245</f>
        <v>555193</v>
      </c>
      <c r="W268" s="839">
        <f>W176 + W199 + W245</f>
        <v>627004</v>
      </c>
      <c r="X268" s="839">
        <f>X176 + X199 + X245</f>
        <v>624840</v>
      </c>
      <c r="Y268" s="839">
        <f>Y176 + Y199 + Y245</f>
        <v>652440</v>
      </c>
      <c r="Z268" s="839">
        <f>Z176 + Z199 + Z245</f>
        <v>640890</v>
      </c>
      <c r="AA268" s="839">
        <f>AA176 + AA199 + AA245</f>
        <v>578553</v>
      </c>
      <c r="AB268" s="839">
        <f>AB176 + AB199 + AB245</f>
        <v>617673</v>
      </c>
      <c r="AC268" s="841">
        <f>AC176 + AC199 + AC245</f>
        <v>595143</v>
      </c>
      <c r="AD268" s="841">
        <f>AD176 + AD199 + AD245</f>
        <v>668066</v>
      </c>
      <c r="AE268" s="841">
        <f>AE176 + AE199 + AE245</f>
        <v>828076</v>
      </c>
      <c r="AF268" s="841">
        <f>AF176 + AF199 + AF245</f>
        <v>837576</v>
      </c>
      <c r="AG268" s="841">
        <f>AG176 + AG199 + AG245</f>
        <v>903560</v>
      </c>
      <c r="AH268" s="841">
        <f>AH176 + AH199 + AH245</f>
        <v>943392</v>
      </c>
      <c r="AI268" s="841">
        <f>AI176 + AI199 + AI245</f>
        <v>938593</v>
      </c>
      <c r="AJ268" s="841">
        <f>AJ176 + AJ199 + AJ245</f>
        <v>938593</v>
      </c>
      <c r="AK268" s="841">
        <f>AK176 + AK199 + AK245</f>
        <v>877878</v>
      </c>
      <c r="AL268" s="841">
        <f>AL176 + AL199 + AL245</f>
        <v>786486</v>
      </c>
      <c r="AM268" s="841">
        <f>AM176 + AM199 + AM245</f>
        <v>811366</v>
      </c>
      <c r="AN268" s="841">
        <f>AN176 + AN199 + AN245</f>
        <v>811366</v>
      </c>
      <c r="AO268" s="841">
        <f>AO176 + AO199 + AO245</f>
        <v>881665</v>
      </c>
      <c r="AP268" s="841">
        <f>AP176 + AP199 + AP245</f>
        <v>879165</v>
      </c>
    </row>
    <row r="269" hidden="1">
      <c r="B269" s="842" t="s">
        <v>110</v>
      </c>
      <c r="C269" s="839">
        <f>C177 + C200 + C246</f>
        <v>225736</v>
      </c>
      <c r="D269" s="839">
        <f>D177 + D200 + D246</f>
        <v>225736</v>
      </c>
      <c r="E269" s="839">
        <f>E177 + E200 + E246</f>
        <v>265297</v>
      </c>
      <c r="F269" s="839">
        <f>F177 + F200 + F246</f>
        <v>316597</v>
      </c>
      <c r="G269" s="839">
        <f>G177 + G200 + G246</f>
        <v>327997</v>
      </c>
      <c r="H269" s="839">
        <f>H177 + H200 + H246</f>
        <v>327997</v>
      </c>
      <c r="I269" s="839">
        <f>I177 + I200 + I246</f>
        <v>317072</v>
      </c>
      <c r="J269" s="839">
        <f>J177 + J200 + J246</f>
        <v>290872</v>
      </c>
      <c r="K269" s="839">
        <f>K177 + K200 + K246</f>
        <v>194333</v>
      </c>
      <c r="L269" s="839">
        <f>L177 + L200 + L246</f>
        <v>209296</v>
      </c>
      <c r="M269" s="839">
        <f>M177 + M200 + M246</f>
        <v>218710</v>
      </c>
      <c r="N269" s="839">
        <f>N177 + N200 + N246</f>
        <v>253830</v>
      </c>
      <c r="O269" s="839">
        <f>O177 + O200 + O246</f>
        <v>302272</v>
      </c>
      <c r="P269" s="839">
        <f>P177 + P200 + P246</f>
        <v>338027</v>
      </c>
      <c r="Q269" s="839">
        <f>Q177 + Q200 + Q246</f>
        <v>350543</v>
      </c>
      <c r="R269" s="839">
        <f>R177 + R200 + R246</f>
        <v>383043</v>
      </c>
      <c r="S269" s="839">
        <f>S177 + S200 + S246</f>
        <v>326359</v>
      </c>
      <c r="T269" s="839">
        <f>T177 + T200 + T246</f>
        <v>333989</v>
      </c>
      <c r="U269" s="839">
        <f>U177 + U200 + U246</f>
        <v>521523</v>
      </c>
      <c r="V269" s="839">
        <f>V177 + V200 + V246</f>
        <v>494971</v>
      </c>
      <c r="W269" s="839">
        <f>W177 + W200 + W246</f>
        <v>410848</v>
      </c>
      <c r="X269" s="839">
        <f>X177 + X200 + X246</f>
        <v>384631</v>
      </c>
      <c r="Y269" s="839">
        <f>Y177 + Y200 + Y246</f>
        <v>440598</v>
      </c>
      <c r="Z269" s="839">
        <f>Z177 + Z200 + Z246</f>
        <v>425591</v>
      </c>
      <c r="AA269" s="839">
        <f>AA177 + AA200 + AA246</f>
        <v>711755</v>
      </c>
      <c r="AB269" s="839">
        <f>AB177 + AB200 + AB246</f>
        <v>726955</v>
      </c>
      <c r="AC269" s="841">
        <f>AC177 + AC200 + AC246</f>
        <v>535615</v>
      </c>
      <c r="AD269" s="841">
        <f>AD177 + AD200 + AD246</f>
        <v>524575</v>
      </c>
      <c r="AE269" s="841">
        <f>AE177 + AE200 + AE246</f>
        <v>533313</v>
      </c>
      <c r="AF269" s="841">
        <f>AF177 + AF200 + AF246</f>
        <v>522655</v>
      </c>
      <c r="AG269" s="841">
        <f>AG177 + AG200 + AG246</f>
        <v>451734</v>
      </c>
      <c r="AH269" s="841">
        <f>AH177 + AH200 + AH246</f>
        <v>448864</v>
      </c>
      <c r="AI269" s="841">
        <f>AI177 + AI200 + AI246</f>
        <v>440382</v>
      </c>
      <c r="AJ269" s="841">
        <f>AJ177 + AJ200 + AJ246</f>
        <v>466350</v>
      </c>
      <c r="AK269" s="841">
        <f>AK177 + AK200 + AK246</f>
        <v>476622</v>
      </c>
      <c r="AL269" s="841">
        <f>AL177 + AL200 + AL246</f>
        <v>475847</v>
      </c>
      <c r="AM269" s="841">
        <f>AM177 + AM200 + AM246</f>
        <v>508698</v>
      </c>
      <c r="AN269" s="841">
        <f>AN177 + AN200 + AN246</f>
        <v>504893</v>
      </c>
      <c r="AO269" s="841">
        <f>AO177 + AO200 + AO246</f>
        <v>502418</v>
      </c>
      <c r="AP269" s="841">
        <f>AP177 + AP200 + AP246</f>
        <v>502588</v>
      </c>
    </row>
    <row r="270" hidden="1">
      <c r="B270" s="842" t="s">
        <v>16</v>
      </c>
      <c r="C270" s="839">
        <f>C178 + C201 + C247</f>
        <v>0</v>
      </c>
      <c r="D270" s="839">
        <f>D178 + D201 + D247</f>
        <v>2890519</v>
      </c>
      <c r="E270" s="839">
        <f>E178 + E201 + E247</f>
        <v>14985761</v>
      </c>
      <c r="F270" s="839">
        <f>F178 + F201 + F247</f>
        <v>16557832</v>
      </c>
      <c r="G270" s="839">
        <f>G178 + G201 + G247</f>
        <v>17247558</v>
      </c>
      <c r="H270" s="839">
        <f>H178 + H201 + H247</f>
        <v>17404091</v>
      </c>
      <c r="I270" s="839">
        <f>I178 + I201 + I247</f>
        <v>16841741</v>
      </c>
      <c r="J270" s="839">
        <f>J178 + J201 + J247</f>
        <v>17444600</v>
      </c>
      <c r="K270" s="839">
        <f>K178 + K201 + K247</f>
        <v>2856703</v>
      </c>
      <c r="L270" s="839">
        <f>L178 + L201 + L247</f>
        <v>2975947</v>
      </c>
      <c r="M270" s="839">
        <f>M178 + M201 + M247</f>
        <v>3356186</v>
      </c>
      <c r="N270" s="839">
        <f>N178 + N201 + N247</f>
        <v>3494557</v>
      </c>
      <c r="O270" s="839">
        <f>O178 + O201 + O247</f>
        <v>3770408</v>
      </c>
      <c r="P270" s="839">
        <f>P178 + P201 + P247</f>
        <v>3572397</v>
      </c>
      <c r="Q270" s="839">
        <f>Q178 + Q201 + Q247</f>
        <v>4110288</v>
      </c>
      <c r="R270" s="839">
        <f>R178 + R201 + R247</f>
        <v>3960526</v>
      </c>
      <c r="S270" s="839">
        <f>S178 + S201 + S247</f>
        <v>4198882</v>
      </c>
      <c r="T270" s="839">
        <f>T178 + T201 + T247</f>
        <v>4239516</v>
      </c>
      <c r="U270" s="839">
        <f>U178 + U201 + U247</f>
        <v>4821735</v>
      </c>
      <c r="V270" s="839">
        <f>V178 + V201 + V247</f>
        <v>4924037</v>
      </c>
      <c r="W270" s="839">
        <f>W178 + W201 + W247</f>
        <v>4756422</v>
      </c>
      <c r="X270" s="839">
        <f>X178 + X201 + X247</f>
        <v>7162028</v>
      </c>
      <c r="Y270" s="839">
        <f>Y178 + Y201 + Y247</f>
        <v>5455835</v>
      </c>
      <c r="Z270" s="839">
        <f>Z178 + Z201 + Z247</f>
        <v>5519560</v>
      </c>
      <c r="AA270" s="839">
        <f>AA178 + AA201 + AA247</f>
        <v>5093722</v>
      </c>
      <c r="AB270" s="839">
        <f>AB178 + AB201 + AB247</f>
        <v>5156532</v>
      </c>
      <c r="AC270" s="841">
        <f>AC178 + AC201 + AC247</f>
        <v>5213217</v>
      </c>
      <c r="AD270" s="841">
        <f>AD178 + AD201 + AD247</f>
        <v>5256309</v>
      </c>
      <c r="AE270" s="841">
        <f>AE178 + AE201 + AE247</f>
        <v>5199320</v>
      </c>
      <c r="AF270" s="841">
        <f>AF178 + AF201 + AF247</f>
        <v>4808785</v>
      </c>
      <c r="AG270" s="841">
        <f>AG178 + AG201 + AG247</f>
        <v>4884206</v>
      </c>
      <c r="AH270" s="841">
        <f>AH178 + AH201 + AH247</f>
        <v>4832106</v>
      </c>
      <c r="AI270" s="841">
        <f>AI178 + AI201 + AI247</f>
        <v>4897794</v>
      </c>
      <c r="AJ270" s="841">
        <f>AJ178 + AJ201 + AJ247</f>
        <v>4812305</v>
      </c>
      <c r="AK270" s="841">
        <f>AK178 + AK201 + AK247</f>
        <v>4565145</v>
      </c>
      <c r="AL270" s="841">
        <f>AL178 + AL201 + AL247</f>
        <v>4612012</v>
      </c>
      <c r="AM270" s="841">
        <f>AM178 + AM201 + AM247</f>
        <v>4466525</v>
      </c>
      <c r="AN270" s="841">
        <f>AN178 + AN201 + AN247</f>
        <v>4015188</v>
      </c>
      <c r="AO270" s="841">
        <f>AO178 + AO201 + AO247</f>
        <v>4098575</v>
      </c>
      <c r="AP270" s="841">
        <f>AP178 + AP201 + AP247</f>
        <v>4096632</v>
      </c>
    </row>
    <row r="271" hidden="1">
      <c r="B271" s="842" t="s">
        <v>17</v>
      </c>
      <c r="C271" s="839">
        <f>C179 + C202 + C248</f>
        <v>585454</v>
      </c>
      <c r="D271" s="839">
        <f>D179 + D202 + D248</f>
        <v>449877</v>
      </c>
      <c r="E271" s="839">
        <f>E179 + E202 + E248</f>
        <v>715885</v>
      </c>
      <c r="F271" s="839">
        <f>F179 + F202 + F248</f>
        <v>564846</v>
      </c>
      <c r="G271" s="839">
        <f>G179 + G202 + G248</f>
        <v>1674637</v>
      </c>
      <c r="H271" s="839">
        <f>H179 + H202 + H248</f>
        <v>2041120</v>
      </c>
      <c r="I271" s="839">
        <f>I179 + I202 + I248</f>
        <v>460999</v>
      </c>
      <c r="J271" s="839">
        <f>J179 + J202 + J248</f>
        <v>449055</v>
      </c>
      <c r="K271" s="839">
        <f>K179 + K202 + K248</f>
        <v>0</v>
      </c>
      <c r="L271" s="839">
        <f>L179 + L202 + L248</f>
        <v>0</v>
      </c>
      <c r="M271" s="839">
        <f>M179 + M202 + M248</f>
        <v>0</v>
      </c>
      <c r="N271" s="839">
        <f>N179 + N202 + N248</f>
        <v>0</v>
      </c>
      <c r="O271" s="839">
        <f>O179 + O202 + O248</f>
        <v>10000</v>
      </c>
      <c r="P271" s="839">
        <f>P179 + P202 + P248</f>
        <v>0</v>
      </c>
      <c r="Q271" s="839">
        <f>Q179 + Q202 + Q248</f>
        <v>35</v>
      </c>
      <c r="R271" s="839">
        <f>R179 + R202 + R248</f>
        <v>35</v>
      </c>
      <c r="S271" s="839">
        <f>S179 + S202 + S248</f>
        <v>85</v>
      </c>
      <c r="T271" s="839">
        <f>T179 + T202 + T248</f>
        <v>150</v>
      </c>
      <c r="U271" s="839">
        <f>U179 + U202 + U248</f>
        <v>150</v>
      </c>
      <c r="V271" s="839">
        <f>V179 + V202 + V248</f>
        <v>165</v>
      </c>
      <c r="W271" s="839">
        <f>W179 + W202 + W248</f>
        <v>335</v>
      </c>
      <c r="X271" s="839">
        <f>X179 + X202 + X248</f>
        <v>276</v>
      </c>
      <c r="Y271" s="839">
        <f>Y179 + Y202 + Y248</f>
        <v>276</v>
      </c>
      <c r="Z271" s="839">
        <f>Z179 + Z202 + Z248</f>
        <v>275</v>
      </c>
      <c r="AA271" s="839">
        <f>AA179 + AA202 + AA248</f>
        <v>309</v>
      </c>
      <c r="AB271" s="839">
        <f>AB179 + AB202 + AB248</f>
        <v>309</v>
      </c>
      <c r="AC271" s="841">
        <f>AC179 + AC202 + AC248</f>
        <v>734</v>
      </c>
      <c r="AD271" s="841">
        <f>AD179 + AD202 + AD248</f>
        <v>724</v>
      </c>
      <c r="AE271" s="841">
        <f>AE179 + AE202 + AE248</f>
        <v>349</v>
      </c>
      <c r="AF271" s="841">
        <f>AF179 + AF202 + AF248</f>
        <v>434</v>
      </c>
      <c r="AG271" s="841">
        <f>AG179 + AG202 + AG248</f>
        <v>1102</v>
      </c>
      <c r="AH271" s="841">
        <f>AH179 + AH202 + AH248</f>
        <v>1102</v>
      </c>
      <c r="AI271" s="841">
        <f>AI179 + AI202 + AI248</f>
        <v>1347</v>
      </c>
      <c r="AJ271" s="841">
        <f>AJ179 + AJ202 + AJ248</f>
        <v>44169</v>
      </c>
      <c r="AK271" s="841">
        <f>AK179 + AK202 + AK248</f>
        <v>47172</v>
      </c>
      <c r="AL271" s="841">
        <f>AL179 + AL202 + AL248</f>
        <v>46555</v>
      </c>
      <c r="AM271" s="841">
        <f>AM179 + AM202 + AM248</f>
        <v>46555</v>
      </c>
      <c r="AN271" s="841">
        <f>AN179 + AN202 + AN248</f>
        <v>46435</v>
      </c>
      <c r="AO271" s="841">
        <f>AO179 + AO202 + AO248</f>
        <v>47180</v>
      </c>
      <c r="AP271" s="841">
        <f>AP179 + AP202 + AP248</f>
        <v>47180</v>
      </c>
    </row>
    <row r="272" hidden="1">
      <c r="B272" s="842" t="s">
        <v>18</v>
      </c>
      <c r="C272" s="839">
        <f>C180 + C203 + C249</f>
        <v>0</v>
      </c>
      <c r="D272" s="839">
        <f>D180 + D203 + D249</f>
        <v>36500</v>
      </c>
      <c r="E272" s="839">
        <f>E180 + E203 + E249</f>
        <v>49539</v>
      </c>
      <c r="F272" s="839">
        <f>F180 + F203 + F249</f>
        <v>145239</v>
      </c>
      <c r="G272" s="839">
        <f>G180 + G203 + G249</f>
        <v>2002599</v>
      </c>
      <c r="H272" s="839">
        <f>H180 + H203 + H249</f>
        <v>2089876</v>
      </c>
      <c r="I272" s="839">
        <f>I180 + I203 + I249</f>
        <v>3431740</v>
      </c>
      <c r="J272" s="839">
        <f>J180 + J203 + J249</f>
        <v>3568603</v>
      </c>
      <c r="K272" s="839">
        <f>K180 + K203 + K249</f>
        <v>2688338</v>
      </c>
      <c r="L272" s="839">
        <f>L180 + L203 + L249</f>
        <v>2604536</v>
      </c>
      <c r="M272" s="839">
        <f>M180 + M203 + M249</f>
        <v>4959522</v>
      </c>
      <c r="N272" s="839">
        <f>N180 + N203 + N249</f>
        <v>4970508</v>
      </c>
      <c r="O272" s="839">
        <f>O180 + O203 + O249</f>
        <v>5331468</v>
      </c>
      <c r="P272" s="839">
        <f>P180 + P203 + P249</f>
        <v>4925387</v>
      </c>
      <c r="Q272" s="839">
        <f>Q180 + Q203 + Q249</f>
        <v>5256152</v>
      </c>
      <c r="R272" s="839">
        <f>R180 + R203 + R249</f>
        <v>5178482</v>
      </c>
      <c r="S272" s="839">
        <f>S180 + S203 + S249</f>
        <v>5573481</v>
      </c>
      <c r="T272" s="839">
        <f>T180 + T203 + T249</f>
        <v>5552332</v>
      </c>
      <c r="U272" s="839">
        <f>U180 + U203 + U249</f>
        <v>5739333</v>
      </c>
      <c r="V272" s="839">
        <f>V180 + V203 + V249</f>
        <v>6183344</v>
      </c>
      <c r="W272" s="839">
        <f>W180 + W203 + W249</f>
        <v>5147707</v>
      </c>
      <c r="X272" s="839">
        <f>X180 + X203 + X249</f>
        <v>5452231</v>
      </c>
      <c r="Y272" s="839">
        <f>Y180 + Y203 + Y249</f>
        <v>5779516</v>
      </c>
      <c r="Z272" s="839">
        <f>Z180 + Z203 + Z249</f>
        <v>5921466</v>
      </c>
      <c r="AA272" s="839">
        <f>AA180 + AA203 + AA249</f>
        <v>6064444</v>
      </c>
      <c r="AB272" s="839">
        <f>AB180 + AB203 + AB249</f>
        <v>6690247</v>
      </c>
      <c r="AC272" s="841">
        <f>AC180 + AC203 + AC249</f>
        <v>4963630</v>
      </c>
      <c r="AD272" s="841">
        <f>AD180 + AD203 + AD249</f>
        <v>5139957</v>
      </c>
      <c r="AE272" s="841">
        <f>AE180 + AE203 + AE249</f>
        <v>5536516</v>
      </c>
      <c r="AF272" s="841">
        <f>AF180 + AF203 + AF249</f>
        <v>5401761</v>
      </c>
      <c r="AG272" s="841">
        <f>AG180 + AG203 + AG249</f>
        <v>5538082</v>
      </c>
      <c r="AH272" s="841">
        <f>AH180 + AH203 + AH249</f>
        <v>5501750</v>
      </c>
      <c r="AI272" s="841">
        <f>AI180 + AI203 + AI249</f>
        <v>2630553</v>
      </c>
      <c r="AJ272" s="841">
        <f>AJ180 + AJ203 + AJ249</f>
        <v>1498392</v>
      </c>
      <c r="AK272" s="841">
        <f>AK180 + AK203 + AK249</f>
        <v>1347814</v>
      </c>
      <c r="AL272" s="841">
        <f>AL180 + AL203 + AL249</f>
        <v>1490491</v>
      </c>
      <c r="AM272" s="841">
        <f>AM180 + AM203 + AM249</f>
        <v>1489947</v>
      </c>
      <c r="AN272" s="841">
        <f>AN180 + AN203 + AN249</f>
        <v>1479255</v>
      </c>
      <c r="AO272" s="841">
        <f>AO180 + AO203 + AO249</f>
        <v>1516076</v>
      </c>
      <c r="AP272" s="841">
        <f>AP180 + AP203 + AP249</f>
        <v>1490015</v>
      </c>
    </row>
    <row r="273" hidden="1">
      <c r="B273" s="842" t="s">
        <v>19</v>
      </c>
      <c r="C273" s="839">
        <f>C181 + C204 + C250</f>
        <v>24</v>
      </c>
      <c r="D273" s="839">
        <f>D181 + D204 + D250</f>
        <v>13</v>
      </c>
      <c r="E273" s="839">
        <f>E181 + E204 + E250</f>
        <v>0</v>
      </c>
      <c r="F273" s="839">
        <f>F181 + F204 + F250</f>
        <v>0</v>
      </c>
      <c r="G273" s="839">
        <f>G181 + G204 + G250</f>
        <v>0</v>
      </c>
      <c r="H273" s="839">
        <f>H181 + H204 + H250</f>
        <v>0</v>
      </c>
      <c r="I273" s="839">
        <f>I181 + I204 + I250</f>
        <v>0</v>
      </c>
      <c r="J273" s="839">
        <f>J181 + J204 + J250</f>
        <v>0</v>
      </c>
      <c r="K273" s="839">
        <f>K181 + K204 + K250</f>
        <v>30</v>
      </c>
      <c r="L273" s="839">
        <f>L181 + L204 + L250</f>
        <v>183492</v>
      </c>
      <c r="M273" s="839">
        <f>M181 + M204 + M250</f>
        <v>30</v>
      </c>
      <c r="N273" s="839">
        <f>N181 + N204 + N250</f>
        <v>30</v>
      </c>
      <c r="O273" s="839">
        <f>O181 + O204 + O250</f>
        <v>30</v>
      </c>
      <c r="P273" s="839">
        <f>P181 + P204 + P250</f>
        <v>30</v>
      </c>
      <c r="Q273" s="839">
        <f>Q181 + Q204 + Q250</f>
        <v>35</v>
      </c>
      <c r="R273" s="839">
        <f>R181 + R204 + R250</f>
        <v>35</v>
      </c>
      <c r="S273" s="839">
        <f>S181 + S204 + S250</f>
        <v>35</v>
      </c>
      <c r="T273" s="839">
        <f>T181 + T204 + T250</f>
        <v>35</v>
      </c>
      <c r="U273" s="839">
        <f>U181 + U204 + U250</f>
        <v>35</v>
      </c>
      <c r="V273" s="839">
        <f>V181 + V204 + V250</f>
        <v>35</v>
      </c>
      <c r="W273" s="839">
        <f>W181 + W204 + W250</f>
        <v>35</v>
      </c>
      <c r="X273" s="839">
        <f>X181 + X204 + X250</f>
        <v>35</v>
      </c>
      <c r="Y273" s="839">
        <f>Y181 + Y204 + Y250</f>
        <v>35</v>
      </c>
      <c r="Z273" s="839">
        <f>Z181 + Z204 + Z250</f>
        <v>67</v>
      </c>
      <c r="AA273" s="839">
        <f>AA181 + AA204 + AA250</f>
        <v>67</v>
      </c>
      <c r="AB273" s="839">
        <f>AB181 + AB204 + AB250</f>
        <v>67</v>
      </c>
      <c r="AC273" s="841">
        <f>AC181 + AC204 + AC250</f>
        <v>67</v>
      </c>
      <c r="AD273" s="841">
        <f>AD181 + AD204 + AD250</f>
        <v>32</v>
      </c>
      <c r="AE273" s="841">
        <f>AE181 + AE204 + AE250</f>
        <v>32</v>
      </c>
      <c r="AF273" s="841">
        <f>AF181 + AF204 + AF250</f>
        <v>0</v>
      </c>
      <c r="AG273" s="841">
        <f>AG181 + AG204 + AG250</f>
        <v>93</v>
      </c>
      <c r="AH273" s="841">
        <f>AH181 + AH204 + AH250</f>
        <v>93</v>
      </c>
      <c r="AI273" s="841">
        <f>AI181 + AI204 + AI250</f>
        <v>93</v>
      </c>
      <c r="AJ273" s="841">
        <f>AJ181 + AJ204 + AJ250</f>
        <v>93</v>
      </c>
      <c r="AK273" s="841">
        <f>AK181 + AK204 + AK250</f>
        <v>93</v>
      </c>
      <c r="AL273" s="841">
        <f>AL181 + AL204 + AL250</f>
        <v>93</v>
      </c>
      <c r="AM273" s="841">
        <f>AM181 + AM204 + AM250</f>
        <v>93</v>
      </c>
      <c r="AN273" s="841">
        <f>AN181 + AN204 + AN250</f>
        <v>93</v>
      </c>
      <c r="AO273" s="841">
        <f>AO181 + AO204 + AO250</f>
        <v>93</v>
      </c>
      <c r="AP273" s="841">
        <f>AP181 + AP204 + AP250</f>
        <v>93</v>
      </c>
    </row>
    <row r="274" hidden="1">
      <c r="B274" s="842" t="s">
        <v>20</v>
      </c>
      <c r="C274" s="839">
        <f>C182 + C205 + C251</f>
        <v>90000</v>
      </c>
      <c r="D274" s="839">
        <f>D182 + D205 + D251</f>
        <v>90000</v>
      </c>
      <c r="E274" s="839">
        <f>E182 + E205 + E251</f>
        <v>90000</v>
      </c>
      <c r="F274" s="839">
        <f>F182 + F205 + F251</f>
        <v>90000</v>
      </c>
      <c r="G274" s="839">
        <f>G182 + G205 + G251</f>
        <v>112000</v>
      </c>
      <c r="H274" s="839">
        <f>H182 + H205 + H251</f>
        <v>109600</v>
      </c>
      <c r="I274" s="839">
        <f>I182 + I205 + I251</f>
        <v>109600</v>
      </c>
      <c r="J274" s="839">
        <f>J182 + J205 + J251</f>
        <v>109600</v>
      </c>
      <c r="K274" s="839">
        <f>K182 + K205 + K251</f>
        <v>228992</v>
      </c>
      <c r="L274" s="839">
        <f>L182 + L205 + L251</f>
        <v>292268</v>
      </c>
      <c r="M274" s="839">
        <f>M182 + M205 + M251</f>
        <v>118100</v>
      </c>
      <c r="N274" s="839">
        <f>N182 + N205 + N251</f>
        <v>131100</v>
      </c>
      <c r="O274" s="839">
        <f>O182 + O205 + O251</f>
        <v>127600</v>
      </c>
      <c r="P274" s="839">
        <f>P182 + P205 + P251</f>
        <v>145280</v>
      </c>
      <c r="Q274" s="839">
        <f>Q182 + Q205 + Q251</f>
        <v>146640</v>
      </c>
      <c r="R274" s="839">
        <f>R182 + R205 + R251</f>
        <v>146640</v>
      </c>
      <c r="S274" s="839">
        <f>S182 + S205 + S251</f>
        <v>120740</v>
      </c>
      <c r="T274" s="839">
        <f>T182 + T205 + T251</f>
        <v>122740</v>
      </c>
      <c r="U274" s="839">
        <f>U182 + U205 + U251</f>
        <v>127840</v>
      </c>
      <c r="V274" s="839">
        <f>V182 + V205 + V251</f>
        <v>127840</v>
      </c>
      <c r="W274" s="839">
        <f>W182 + W205 + W251</f>
        <v>141400</v>
      </c>
      <c r="X274" s="839">
        <f>X182 + X205 + X251</f>
        <v>141400</v>
      </c>
      <c r="Y274" s="839">
        <f>Y182 + Y205 + Y251</f>
        <v>124662</v>
      </c>
      <c r="Z274" s="839">
        <f>Z182 + Z205 + Z251</f>
        <v>124662</v>
      </c>
      <c r="AA274" s="839">
        <f>AA182 + AA205 + AA251</f>
        <v>173824</v>
      </c>
      <c r="AB274" s="839">
        <f>AB182 + AB205 + AB251</f>
        <v>175164</v>
      </c>
      <c r="AC274" s="841">
        <f>AC182 + AC205 + AC251</f>
        <v>191018</v>
      </c>
      <c r="AD274" s="841">
        <f>AD182 + AD205 + AD251</f>
        <v>122618</v>
      </c>
      <c r="AE274" s="841">
        <f>AE182 + AE205 + AE251</f>
        <v>154140</v>
      </c>
      <c r="AF274" s="841">
        <f>AF182 + AF205 + AF251</f>
        <v>154140</v>
      </c>
      <c r="AG274" s="841">
        <f>AG182 + AG205 + AG251</f>
        <v>128400</v>
      </c>
      <c r="AH274" s="841">
        <f>AH182 + AH205 + AH251</f>
        <v>168400</v>
      </c>
      <c r="AI274" s="841">
        <f>AI182 + AI205 + AI251</f>
        <v>166000</v>
      </c>
      <c r="AJ274" s="841">
        <f>AJ182 + AJ205 + AJ251</f>
        <v>125800</v>
      </c>
      <c r="AK274" s="841">
        <f>AK182 + AK205 + AK251</f>
        <v>137700</v>
      </c>
      <c r="AL274" s="841">
        <f>AL182 + AL205 + AL251</f>
        <v>176600</v>
      </c>
      <c r="AM274" s="841">
        <f>AM182 + AM205 + AM251</f>
        <v>172618</v>
      </c>
      <c r="AN274" s="841">
        <f>AN182 + AN205 + AN251</f>
        <v>172618</v>
      </c>
      <c r="AO274" s="841">
        <f>AO182 + AO205 + AO251</f>
        <v>198120</v>
      </c>
      <c r="AP274" s="841">
        <f>AP182 + AP205 + AP251</f>
        <v>198120</v>
      </c>
    </row>
    <row r="275" hidden="1">
      <c r="B275" s="842" t="s">
        <v>21</v>
      </c>
      <c r="C275" s="839">
        <f>C183 + C206 + C252</f>
        <v>186300</v>
      </c>
      <c r="D275" s="839">
        <f>D183 + D206 + D252</f>
        <v>186300</v>
      </c>
      <c r="E275" s="839">
        <f>E183 + E206 + E252</f>
        <v>208900</v>
      </c>
      <c r="F275" s="839">
        <f>F183 + F206 + F252</f>
        <v>208900</v>
      </c>
      <c r="G275" s="839">
        <f>G183 + G206 + G252</f>
        <v>246860</v>
      </c>
      <c r="H275" s="839">
        <f>H183 + H206 + H252</f>
        <v>252098</v>
      </c>
      <c r="I275" s="839">
        <f>I183 + I206 + I252</f>
        <v>246618</v>
      </c>
      <c r="J275" s="839">
        <f>J183 + J206 + J252</f>
        <v>282538</v>
      </c>
      <c r="K275" s="839">
        <f>K183 + K206 + K252</f>
        <v>273668</v>
      </c>
      <c r="L275" s="839">
        <f>L183 + L206 + L252</f>
        <v>56900</v>
      </c>
      <c r="M275" s="839">
        <f>M183 + M206 + M252</f>
        <v>299468</v>
      </c>
      <c r="N275" s="839">
        <f>N183 + N206 + N252</f>
        <v>299468</v>
      </c>
      <c r="O275" s="839">
        <f>O183 + O206 + O252</f>
        <v>278510</v>
      </c>
      <c r="P275" s="839">
        <f>P183 + P206 + P252</f>
        <v>278510</v>
      </c>
      <c r="Q275" s="839">
        <f>Q183 + Q206 + Q252</f>
        <v>281523</v>
      </c>
      <c r="R275" s="839">
        <f>R183 + R206 + R252</f>
        <v>293537</v>
      </c>
      <c r="S275" s="839">
        <f>S183 + S206 + S252</f>
        <v>312092</v>
      </c>
      <c r="T275" s="839">
        <f>T183 + T206 + T252</f>
        <v>314492</v>
      </c>
      <c r="U275" s="839">
        <f>U183 + U206 + U252</f>
        <v>332400</v>
      </c>
      <c r="V275" s="839">
        <f>V183 + V206 + V252</f>
        <v>332900</v>
      </c>
      <c r="W275" s="839">
        <f>W183 + W206 + W252</f>
        <v>381057</v>
      </c>
      <c r="X275" s="839">
        <f>X183 + X206 + X252</f>
        <v>368224</v>
      </c>
      <c r="Y275" s="839">
        <f>Y183 + Y206 + Y252</f>
        <v>370374</v>
      </c>
      <c r="Z275" s="839">
        <f>Z183 + Z206 + Z252</f>
        <v>369779</v>
      </c>
      <c r="AA275" s="839">
        <f>AA183 + AA206 + AA252</f>
        <v>355916</v>
      </c>
      <c r="AB275" s="839">
        <f>AB183 + AB206 + AB252</f>
        <v>349316</v>
      </c>
      <c r="AC275" s="841">
        <f>AC183 + AC206 + AC252</f>
        <v>366646</v>
      </c>
      <c r="AD275" s="841">
        <f>AD183 + AD206 + AD252</f>
        <v>366846</v>
      </c>
      <c r="AE275" s="841">
        <f>AE183 + AE206 + AE252</f>
        <v>364244</v>
      </c>
      <c r="AF275" s="841">
        <f>AF183 + AF206 + AF252</f>
        <v>389606</v>
      </c>
      <c r="AG275" s="841">
        <f>AG183 + AG206 + AG252</f>
        <v>533277</v>
      </c>
      <c r="AH275" s="841">
        <f>AH183 + AH206 + AH252</f>
        <v>538151</v>
      </c>
      <c r="AI275" s="841">
        <f>AI183 + AI206 + AI252</f>
        <v>528844</v>
      </c>
      <c r="AJ275" s="841">
        <f>AJ183 + AJ206 + AJ252</f>
        <v>436342</v>
      </c>
      <c r="AK275" s="841">
        <f>AK183 + AK206 + AK252</f>
        <v>397610</v>
      </c>
      <c r="AL275" s="841">
        <f>AL183 + AL206 + AL252</f>
        <v>363406</v>
      </c>
      <c r="AM275" s="841">
        <f>AM183 + AM206 + AM252</f>
        <v>363356</v>
      </c>
      <c r="AN275" s="841">
        <f>AN183 + AN206 + AN252</f>
        <v>376676</v>
      </c>
      <c r="AO275" s="841">
        <f>AO183 + AO206 + AO252</f>
        <v>415579</v>
      </c>
      <c r="AP275" s="841">
        <f>AP183 + AP206 + AP252</f>
        <v>476297</v>
      </c>
    </row>
    <row r="276" hidden="1">
      <c r="B276" s="842" t="s">
        <v>22</v>
      </c>
      <c r="C276" s="839">
        <f>C184 + C207 + C253</f>
        <v>0</v>
      </c>
      <c r="D276" s="839">
        <f>D184 + D207 + D253</f>
        <v>0</v>
      </c>
      <c r="E276" s="839">
        <f>E184 + E207 + E253</f>
        <v>3800</v>
      </c>
      <c r="F276" s="839">
        <f>F184 + F207 + F253</f>
        <v>3800</v>
      </c>
      <c r="G276" s="839">
        <f>G184 + G207 + G253</f>
        <v>3800</v>
      </c>
      <c r="H276" s="839">
        <f>H184 + H207 + H253</f>
        <v>3800</v>
      </c>
      <c r="I276" s="839">
        <f>I184 + I207 + I253</f>
        <v>3800</v>
      </c>
      <c r="J276" s="839">
        <f>J184 + J207 + J253</f>
        <v>3800</v>
      </c>
      <c r="K276" s="839">
        <f>K184 + K207 + K253</f>
        <v>41900</v>
      </c>
      <c r="L276" s="839">
        <f>L184 + L207 + L253</f>
        <v>472210</v>
      </c>
      <c r="M276" s="839">
        <f>M184 + M207 + M253</f>
        <v>94900</v>
      </c>
      <c r="N276" s="839">
        <f>N184 + N207 + N253</f>
        <v>41900</v>
      </c>
      <c r="O276" s="839">
        <f>O184 + O207 + O253</f>
        <v>62900</v>
      </c>
      <c r="P276" s="839">
        <f>P184 + P207 + P253</f>
        <v>147400</v>
      </c>
      <c r="Q276" s="839">
        <f>Q184 + Q207 + Q253</f>
        <v>88705</v>
      </c>
      <c r="R276" s="839">
        <f>R184 + R207 + R253</f>
        <v>88705</v>
      </c>
      <c r="S276" s="839">
        <f>S184 + S207 + S253</f>
        <v>106630</v>
      </c>
      <c r="T276" s="839">
        <f>T184 + T207 + T253</f>
        <v>105130</v>
      </c>
      <c r="U276" s="839">
        <f>U184 + U207 + U253</f>
        <v>230538</v>
      </c>
      <c r="V276" s="839">
        <f>V184 + V207 + V253</f>
        <v>231033</v>
      </c>
      <c r="W276" s="839">
        <f>W184 + W207 + W253</f>
        <v>117589</v>
      </c>
      <c r="X276" s="839">
        <f>X184 + X207 + X253</f>
        <v>117290</v>
      </c>
      <c r="Y276" s="839">
        <f>Y184 + Y207 + Y253</f>
        <v>120941</v>
      </c>
      <c r="Z276" s="839">
        <f>Z184 + Z207 + Z253</f>
        <v>140941</v>
      </c>
      <c r="AA276" s="839">
        <f>AA184 + AA207 + AA253</f>
        <v>156821</v>
      </c>
      <c r="AB276" s="839">
        <f>AB184 + AB207 + AB253</f>
        <v>135833</v>
      </c>
      <c r="AC276" s="841">
        <f>AC184 + AC207 + AC253</f>
        <v>140426</v>
      </c>
      <c r="AD276" s="841">
        <f>AD184 + AD207 + AD253</f>
        <v>139214</v>
      </c>
      <c r="AE276" s="841">
        <f>AE184 + AE207 + AE253</f>
        <v>115786</v>
      </c>
      <c r="AF276" s="841">
        <f>AF184 + AF207 + AF253</f>
        <v>115774</v>
      </c>
      <c r="AG276" s="841">
        <f>AG184 + AG207 + AG253</f>
        <v>120211</v>
      </c>
      <c r="AH276" s="841">
        <f>AH184 + AH207 + AH253</f>
        <v>120211</v>
      </c>
      <c r="AI276" s="841">
        <f>AI184 + AI207 + AI253</f>
        <v>247133</v>
      </c>
      <c r="AJ276" s="841">
        <f>AJ184 + AJ207 + AJ253</f>
        <v>244733</v>
      </c>
      <c r="AK276" s="841">
        <f>AK184 + AK207 + AK253</f>
        <v>172784</v>
      </c>
      <c r="AL276" s="841">
        <f>AL184 + AL207 + AL253</f>
        <v>174629</v>
      </c>
      <c r="AM276" s="841">
        <f>AM184 + AM207 + AM253</f>
        <v>148168</v>
      </c>
      <c r="AN276" s="841">
        <f>AN184 + AN207 + AN253</f>
        <v>148368</v>
      </c>
      <c r="AO276" s="841">
        <f>AO184 + AO207 + AO253</f>
        <v>184862</v>
      </c>
      <c r="AP276" s="841">
        <f>AP184 + AP207 + AP253</f>
        <v>184862</v>
      </c>
    </row>
    <row r="277" hidden="1">
      <c r="B277" s="842" t="s">
        <v>23</v>
      </c>
      <c r="C277" s="839">
        <f>C185 + C208 + C254</f>
        <v>222467</v>
      </c>
      <c r="D277" s="839">
        <f>D185 + D208 + D254</f>
        <v>231930</v>
      </c>
      <c r="E277" s="839">
        <f>E185 + E208 + E254</f>
        <v>230377</v>
      </c>
      <c r="F277" s="839">
        <f>F185 + F208 + F254</f>
        <v>230377</v>
      </c>
      <c r="G277" s="839">
        <f>G185 + G208 + G254</f>
        <v>264551</v>
      </c>
      <c r="H277" s="839">
        <f>H185 + H208 + H254</f>
        <v>264551</v>
      </c>
      <c r="I277" s="839">
        <f>I185 + I208 + I254</f>
        <v>265230</v>
      </c>
      <c r="J277" s="839">
        <f>J185 + J208 + J254</f>
        <v>265230</v>
      </c>
      <c r="K277" s="839">
        <f>K185 + K208 + K254</f>
        <v>465337</v>
      </c>
      <c r="L277" s="839">
        <f>L185 + L208 + L254</f>
        <v>30</v>
      </c>
      <c r="M277" s="839">
        <f>M185 + M208 + M254</f>
        <v>471940</v>
      </c>
      <c r="N277" s="839">
        <f>N185 + N208 + N254</f>
        <v>471940</v>
      </c>
      <c r="O277" s="839">
        <f>O185 + O208 + O254</f>
        <v>502863</v>
      </c>
      <c r="P277" s="839">
        <f>P185 + P208 + P254</f>
        <v>502863</v>
      </c>
      <c r="Q277" s="839">
        <f>Q185 + Q208 + Q254</f>
        <v>490502</v>
      </c>
      <c r="R277" s="839">
        <f>R185 + R208 + R254</f>
        <v>490502</v>
      </c>
      <c r="S277" s="839">
        <f>S185 + S208 + S254</f>
        <v>514166</v>
      </c>
      <c r="T277" s="839">
        <f>T185 + T208 + T254</f>
        <v>514166</v>
      </c>
      <c r="U277" s="839">
        <f>U185 + U208 + U254</f>
        <v>42807</v>
      </c>
      <c r="V277" s="839">
        <f>V185 + V208 + V254</f>
        <v>278993</v>
      </c>
      <c r="W277" s="839">
        <f>W185 + W208 + W254</f>
        <v>283579</v>
      </c>
      <c r="X277" s="839">
        <f>X185 + X208 + X254</f>
        <v>207816</v>
      </c>
      <c r="Y277" s="839">
        <f>Y185 + Y208 + Y254</f>
        <v>203167</v>
      </c>
      <c r="Z277" s="839">
        <f>Z185 + Z208 + Z254</f>
        <v>241589</v>
      </c>
      <c r="AA277" s="839">
        <f>AA185 + AA208 + AA254</f>
        <v>33246</v>
      </c>
      <c r="AB277" s="839">
        <f>AB185 + AB208 + AB254</f>
        <v>32980</v>
      </c>
      <c r="AC277" s="841">
        <f>AC185 + AC208 + AC254</f>
        <v>23769</v>
      </c>
      <c r="AD277" s="841">
        <f>AD185 + AD208 + AD254</f>
        <v>23769</v>
      </c>
      <c r="AE277" s="841">
        <f>AE185 + AE208 + AE254</f>
        <v>16256</v>
      </c>
      <c r="AF277" s="841">
        <f>AF185 + AF208 + AF254</f>
        <v>16256</v>
      </c>
      <c r="AG277" s="841">
        <f>AG185 + AG208 + AG254</f>
        <v>22769</v>
      </c>
      <c r="AH277" s="841">
        <f>AH185 + AH208 + AH254</f>
        <v>0</v>
      </c>
      <c r="AI277" s="841">
        <f>AI185 + AI208 + AI254</f>
        <v>0</v>
      </c>
      <c r="AJ277" s="841">
        <f>AJ185 + AJ208 + AJ254</f>
        <v>0</v>
      </c>
      <c r="AK277" s="841">
        <f>AK185 + AK208 + AK254</f>
        <v>0</v>
      </c>
      <c r="AL277" s="841">
        <f>AL185 + AL208 + AL254</f>
        <v>0</v>
      </c>
      <c r="AM277" s="841">
        <f>AM185 + AM208 + AM254</f>
        <v>38129</v>
      </c>
      <c r="AN277" s="841">
        <f>AN185 + AN208 + AN254</f>
        <v>38129</v>
      </c>
      <c r="AO277" s="841">
        <f>AO185 + AO208 + AO254</f>
        <v>20553</v>
      </c>
      <c r="AP277" s="841">
        <f>AP185 + AP208 + AP254</f>
        <v>127903</v>
      </c>
    </row>
    <row r="278" hidden="1">
      <c r="B278" s="843" t="s">
        <v>24</v>
      </c>
      <c r="C278" s="839">
        <f>C186 + C209 + C255</f>
        <v>524520</v>
      </c>
      <c r="D278" s="839">
        <f>D186 + D209 + D255</f>
        <v>468485</v>
      </c>
      <c r="E278" s="839">
        <f>E186 + E209 + E255</f>
        <v>517241</v>
      </c>
      <c r="F278" s="839">
        <f>F186 + F209 + F255</f>
        <v>517241</v>
      </c>
      <c r="G278" s="839">
        <f>G186 + G209 + G255</f>
        <v>490939</v>
      </c>
      <c r="H278" s="839">
        <f>H186 + H209 + H255</f>
        <v>496267</v>
      </c>
      <c r="I278" s="839">
        <f>I186 + I209 + I255</f>
        <v>531728</v>
      </c>
      <c r="J278" s="839">
        <f>J186 + J209 + J255</f>
        <v>520568</v>
      </c>
      <c r="K278" s="839">
        <f>K186 + K209 + K255</f>
        <v>607470</v>
      </c>
      <c r="L278" s="839">
        <f>L186 + L209 + L255</f>
        <v>683982</v>
      </c>
      <c r="M278" s="839">
        <f>M186 + M209 + M255</f>
        <v>638924</v>
      </c>
      <c r="N278" s="839">
        <f>N186 + N209 + N255</f>
        <v>677483</v>
      </c>
      <c r="O278" s="839">
        <f>O186 + O209 + O255</f>
        <v>537920</v>
      </c>
      <c r="P278" s="839">
        <f>P186 + P209 + P255</f>
        <v>552420</v>
      </c>
      <c r="Q278" s="839">
        <f>Q186 + Q209 + Q255</f>
        <v>617895</v>
      </c>
      <c r="R278" s="839">
        <f>R186 + R209 + R255</f>
        <v>593544</v>
      </c>
      <c r="S278" s="839">
        <f>S186 + S209 + S255</f>
        <v>608841</v>
      </c>
      <c r="T278" s="839">
        <f>T186 + T209 + T255</f>
        <v>639018</v>
      </c>
      <c r="U278" s="839">
        <f>U186 + U209 + U255</f>
        <v>616171</v>
      </c>
      <c r="V278" s="839">
        <f>V186 + V209 + V255</f>
        <v>614696</v>
      </c>
      <c r="W278" s="839">
        <f>W186 + W209 + W255</f>
        <v>609767</v>
      </c>
      <c r="X278" s="839">
        <f>X186 + X209 + X255</f>
        <v>609638</v>
      </c>
      <c r="Y278" s="839">
        <f>Y186 + Y209 + Y255</f>
        <v>631531</v>
      </c>
      <c r="Z278" s="839">
        <f>Z186 + Z209 + Z255</f>
        <v>622626</v>
      </c>
      <c r="AA278" s="839">
        <f>AA186 + AA209 + AA255</f>
        <v>610529</v>
      </c>
      <c r="AB278" s="839">
        <f>AB186 + AB209 + AB255</f>
        <v>529176</v>
      </c>
      <c r="AC278" s="841">
        <f>AC186 + AC209 + AC255</f>
        <v>550293</v>
      </c>
      <c r="AD278" s="841">
        <f>AD186 + AD209 + AD255</f>
        <v>548568</v>
      </c>
      <c r="AE278" s="841">
        <f>AE186 + AE209 + AE255</f>
        <v>509358</v>
      </c>
      <c r="AF278" s="841">
        <f>AF186 + AF209 + AF255</f>
        <v>547883</v>
      </c>
      <c r="AG278" s="841">
        <f>AG186 + AG209 + AG255</f>
        <v>615222</v>
      </c>
      <c r="AH278" s="841">
        <f>AH186 + AH209 + AH255</f>
        <v>573327</v>
      </c>
      <c r="AI278" s="841">
        <f>AI186 + AI209 + AI255</f>
        <v>556295</v>
      </c>
      <c r="AJ278" s="841">
        <f>AJ186 + AJ209 + AJ255</f>
        <v>556295</v>
      </c>
      <c r="AK278" s="841">
        <f>AK186 + AK209 + AK255</f>
        <v>578943</v>
      </c>
      <c r="AL278" s="841">
        <f>AL186 + AL209 + AL255</f>
        <v>588082</v>
      </c>
      <c r="AM278" s="841">
        <f>AM186 + AM209 + AM255</f>
        <v>638925</v>
      </c>
      <c r="AN278" s="841">
        <f>AN186 + AN209 + AN255</f>
        <v>640149</v>
      </c>
      <c r="AO278" s="841">
        <f>AO186 + AO209 + AO255</f>
        <v>577428</v>
      </c>
      <c r="AP278" s="841">
        <f>AP186 + AP209 + AP255</f>
        <v>557778</v>
      </c>
    </row>
    <row r="279" hidden="1">
      <c r="B279" s="842" t="s">
        <v>25</v>
      </c>
      <c r="C279" s="839">
        <f>C187 + C210 + C256</f>
        <v>0</v>
      </c>
      <c r="D279" s="839">
        <f>D187 + D210 + D256</f>
        <v>0</v>
      </c>
      <c r="E279" s="839">
        <f>E187 + E210 + E256</f>
        <v>0</v>
      </c>
      <c r="F279" s="839">
        <f>F187 + F210 + F256</f>
        <v>0</v>
      </c>
      <c r="G279" s="839">
        <f>G187 + G210 + G256</f>
        <v>0</v>
      </c>
      <c r="H279" s="839">
        <f>H187 + H210 + H256</f>
        <v>0</v>
      </c>
      <c r="I279" s="839">
        <f>I187 + I210 + I256</f>
        <v>0</v>
      </c>
      <c r="J279" s="839">
        <f>J187 + J210 + J256</f>
        <v>0</v>
      </c>
      <c r="K279" s="839">
        <f>K187 + K210 + K256</f>
        <v>0</v>
      </c>
      <c r="L279" s="839">
        <f>L187 + L210 + L256</f>
        <v>0</v>
      </c>
      <c r="M279" s="839">
        <f>M187 + M210 + M256</f>
        <v>0</v>
      </c>
      <c r="N279" s="839">
        <f>N187 + N210 + N256</f>
        <v>0</v>
      </c>
      <c r="O279" s="839">
        <f>O187 + O210 + O256</f>
        <v>0</v>
      </c>
      <c r="P279" s="839">
        <f>P187 + P210 + P256</f>
        <v>0</v>
      </c>
      <c r="Q279" s="839">
        <f>Q187 + Q210 + Q256</f>
        <v>0</v>
      </c>
      <c r="R279" s="839">
        <f>R187 + R210 + R256</f>
        <v>0</v>
      </c>
      <c r="S279" s="839">
        <f>S187 + S210 + S256</f>
        <v>0</v>
      </c>
      <c r="T279" s="839">
        <f>T187 + T210 + T256</f>
        <v>0</v>
      </c>
      <c r="U279" s="839">
        <f>U187 + U210 + U256</f>
        <v>0</v>
      </c>
      <c r="V279" s="839">
        <f>V187 + V210 + V256</f>
        <v>0</v>
      </c>
      <c r="W279" s="839">
        <f>W187 + W210 + W256</f>
        <v>0</v>
      </c>
      <c r="X279" s="839">
        <f>X187 + X210 + X256</f>
        <v>0</v>
      </c>
      <c r="Y279" s="839">
        <f>Y187 + Y210 + Y256</f>
        <v>0</v>
      </c>
      <c r="Z279" s="839">
        <f>Z187 + Z210 + Z256</f>
        <v>0</v>
      </c>
      <c r="AA279" s="839">
        <f>AA187 + AA210 + AA256</f>
        <v>0</v>
      </c>
      <c r="AB279" s="839">
        <f>AB187 + AB210 + AB256</f>
        <v>0</v>
      </c>
      <c r="AC279" s="841">
        <f>AC187 + AC210 + AC256</f>
        <v>0</v>
      </c>
      <c r="AD279" s="841">
        <f>AD187 + AD210 + AD256</f>
        <v>0</v>
      </c>
      <c r="AE279" s="841">
        <f>AE187 + AE210 + AE256</f>
        <v>0</v>
      </c>
      <c r="AF279" s="841">
        <f>AF187 + AF210 + AF256</f>
        <v>0</v>
      </c>
      <c r="AG279" s="841">
        <f>AG187 + AG210 + AG256</f>
        <v>0</v>
      </c>
      <c r="AH279" s="841">
        <f>AH187 + AH210 + AH256</f>
        <v>0</v>
      </c>
      <c r="AI279" s="841">
        <f>AI187 + AI210 + AI256</f>
        <v>0</v>
      </c>
      <c r="AJ279" s="841">
        <f>AJ187 + AJ210 + AJ256</f>
        <v>0</v>
      </c>
      <c r="AK279" s="841">
        <f>AK187 + AK210 + AK256</f>
        <v>0</v>
      </c>
      <c r="AL279" s="841">
        <f>AL187 + AL210 + AL256</f>
        <v>0</v>
      </c>
      <c r="AM279" s="841">
        <f>AM187 + AM210 + AM256</f>
        <v>0</v>
      </c>
      <c r="AN279" s="841">
        <f>AN187 + AN210 + AN256</f>
        <v>0</v>
      </c>
      <c r="AO279" s="841">
        <f>AO187 + AO210 + AO256</f>
        <v>0</v>
      </c>
      <c r="AP279" s="841">
        <f>AP187 + AP210 + AP256</f>
        <v>0</v>
      </c>
    </row>
    <row r="280" hidden="1" ht="13.5">
      <c r="B280" s="844" t="s">
        <v>26</v>
      </c>
      <c r="C280" s="839">
        <f>C188 + C211 + C257</f>
        <v>0</v>
      </c>
      <c r="D280" s="839">
        <f>D188 + D211 + D257</f>
        <v>0</v>
      </c>
      <c r="E280" s="839">
        <f>E188 + E211 + E257</f>
        <v>0</v>
      </c>
      <c r="F280" s="839">
        <f>F188 + F211 + F257</f>
        <v>0</v>
      </c>
      <c r="G280" s="839">
        <f>G188 + G211 + G257</f>
        <v>0</v>
      </c>
      <c r="H280" s="839">
        <f>H188 + H211 + H257</f>
        <v>0</v>
      </c>
      <c r="I280" s="839">
        <f>I188 + I211 + I257</f>
        <v>0</v>
      </c>
      <c r="J280" s="839">
        <f>J188 + J211 + J257</f>
        <v>0</v>
      </c>
      <c r="K280" s="839">
        <f>K188 + K211 + K257</f>
        <v>0</v>
      </c>
      <c r="L280" s="839">
        <f>L188 + L211 + L257</f>
        <v>0</v>
      </c>
      <c r="M280" s="839">
        <f>M188 + M211 + M257</f>
        <v>0</v>
      </c>
      <c r="N280" s="839">
        <f>N188 + N211 + N257</f>
        <v>0</v>
      </c>
      <c r="O280" s="839">
        <f>O188 + O211 + O257</f>
        <v>0</v>
      </c>
      <c r="P280" s="839">
        <f>P188 + P211 + P257</f>
        <v>0</v>
      </c>
      <c r="Q280" s="839">
        <f>Q188 + Q211 + Q257</f>
        <v>0</v>
      </c>
      <c r="R280" s="839">
        <f>R188 + R211 + R257</f>
        <v>0</v>
      </c>
      <c r="S280" s="839">
        <f>S188 + S211 + S257</f>
        <v>0</v>
      </c>
      <c r="T280" s="839">
        <f>T188 + T211 + T257</f>
        <v>0</v>
      </c>
      <c r="U280" s="839">
        <f>U188 + U211 + U257</f>
        <v>0</v>
      </c>
      <c r="V280" s="839">
        <f>V188 + V211 + V257</f>
        <v>0</v>
      </c>
      <c r="W280" s="839">
        <f>W188 + W211 + W257</f>
        <v>0</v>
      </c>
      <c r="X280" s="839">
        <f>X188 + X211 + X257</f>
        <v>0</v>
      </c>
      <c r="Y280" s="839">
        <f>Y188 + Y211 + Y257</f>
        <v>0</v>
      </c>
      <c r="Z280" s="839">
        <f>Z188 + Z211 + Z257</f>
        <v>0</v>
      </c>
      <c r="AA280" s="839">
        <f>AA188 + AA211 + AA257</f>
        <v>0</v>
      </c>
      <c r="AB280" s="845">
        <f>AB188 + AB211 + AB257</f>
        <v>0</v>
      </c>
      <c r="AC280" s="841">
        <f>AC188 + AC211 + AC257</f>
        <v>0</v>
      </c>
      <c r="AD280" s="841">
        <f>AD188 + AD211 + AD257</f>
        <v>0</v>
      </c>
      <c r="AE280" s="841">
        <f>AE188 + AE211 + AE257</f>
        <v>0</v>
      </c>
      <c r="AF280" s="841">
        <f>AF188 + AF211 + AF257</f>
        <v>0</v>
      </c>
      <c r="AG280" s="841">
        <f>AG188 + AG211 + AG257</f>
        <v>0</v>
      </c>
      <c r="AH280" s="841">
        <f>AH188 + AH211 + AH257</f>
        <v>0</v>
      </c>
      <c r="AI280" s="841">
        <f>AI188 + AI211 + AI257</f>
        <v>0</v>
      </c>
      <c r="AJ280" s="841">
        <f>AJ188 + AJ211 + AJ257</f>
        <v>0</v>
      </c>
      <c r="AK280" s="841">
        <f>AK188 + AK211 + AK257</f>
        <v>0</v>
      </c>
      <c r="AL280" s="841">
        <f>AL188 + AL211 + AL257</f>
        <v>0</v>
      </c>
      <c r="AM280" s="841">
        <f>AM188 + AM211 + AM257</f>
        <v>0</v>
      </c>
      <c r="AN280" s="841">
        <f>AN188 + AN211 + AN257</f>
        <v>0</v>
      </c>
      <c r="AO280" s="841">
        <f>AO188 + AO211 + AO257</f>
        <v>0</v>
      </c>
      <c r="AP280" s="841">
        <f>AP188 + AP211 + AP257</f>
        <v>0</v>
      </c>
    </row>
    <row r="281" hidden="1" ht="13.5">
      <c r="B281" s="128" t="s">
        <v>7</v>
      </c>
      <c r="C281" s="129" t="str">
        <f>IF(SUM(C262:C280)&lt;&gt;0,SUM(C262:C280),"")</f>
      </c>
      <c r="D281" s="129" t="str">
        <f ref="D281:AA281" t="shared" si="20">IF(SUM(D262:D280)&lt;&gt;0,SUM(D262:D280),"")</f>
      </c>
      <c r="E281" s="129" t="str">
        <f t="shared" si="20"/>
      </c>
      <c r="F281" s="129" t="str">
        <f t="shared" si="20"/>
      </c>
      <c r="G281" s="129" t="str">
        <f t="shared" si="20"/>
      </c>
      <c r="H281" s="129" t="str">
        <f t="shared" si="20"/>
      </c>
      <c r="I281" s="129" t="str">
        <f t="shared" si="20"/>
      </c>
      <c r="J281" s="129" t="str">
        <f t="shared" si="20"/>
      </c>
      <c r="K281" s="129" t="str">
        <f t="shared" si="20"/>
      </c>
      <c r="L281" s="129" t="str">
        <f t="shared" si="20"/>
      </c>
      <c r="M281" s="129" t="str">
        <f t="shared" si="20"/>
      </c>
      <c r="N281" s="129" t="str">
        <f t="shared" si="20"/>
      </c>
      <c r="O281" s="129" t="str">
        <f t="shared" si="20"/>
      </c>
      <c r="P281" s="129" t="str">
        <f t="shared" si="20"/>
      </c>
      <c r="Q281" s="129" t="str">
        <f t="shared" si="20"/>
      </c>
      <c r="R281" s="129" t="str">
        <f t="shared" si="20"/>
      </c>
      <c r="S281" s="129" t="str">
        <f t="shared" si="20"/>
      </c>
      <c r="T281" s="129" t="str">
        <f t="shared" si="20"/>
      </c>
      <c r="U281" s="129" t="str">
        <f t="shared" si="20"/>
      </c>
      <c r="V281" s="129" t="str">
        <f t="shared" si="20"/>
      </c>
      <c r="W281" s="129" t="str">
        <f t="shared" si="20"/>
      </c>
      <c r="X281" s="129" t="str">
        <f t="shared" si="20"/>
      </c>
      <c r="Y281" s="129" t="str">
        <f t="shared" si="20"/>
      </c>
      <c r="Z281" s="129" t="str">
        <f t="shared" si="20"/>
      </c>
      <c r="AA281" s="129" t="str">
        <f t="shared" si="20"/>
      </c>
      <c r="AB281" s="130" t="str">
        <f>IF(SUM(AB262:AB280)&lt;&gt;0,SUM(AB262:AB280),"")</f>
      </c>
      <c r="AC281" s="91" t="str">
        <f ref="AC281:CN281" t="shared" si="21">IF(SUM(AC262:AC280)&lt;&gt;0,SUM(AC262:AC280),"")</f>
      </c>
      <c r="AD281" s="91" t="str">
        <f t="shared" si="21"/>
      </c>
      <c r="AE281" s="91" t="str">
        <f t="shared" si="21"/>
      </c>
      <c r="AF281" s="91" t="str">
        <f t="shared" si="21"/>
      </c>
      <c r="AG281" s="91" t="str">
        <f t="shared" si="21"/>
      </c>
      <c r="AH281" s="91" t="str">
        <f t="shared" si="21"/>
      </c>
      <c r="AI281" s="91" t="str">
        <f t="shared" si="21"/>
      </c>
      <c r="AJ281" s="91" t="str">
        <f t="shared" si="21"/>
      </c>
      <c r="AK281" s="91" t="str">
        <f t="shared" si="21"/>
      </c>
      <c r="AL281" s="91" t="str">
        <f t="shared" si="21"/>
      </c>
      <c r="AM281" s="91" t="str">
        <f t="shared" si="21"/>
      </c>
      <c r="AN281" s="91" t="str">
        <f t="shared" si="21"/>
      </c>
      <c r="AO281" s="91" t="str">
        <f t="shared" si="21"/>
      </c>
      <c r="AP281" s="91" t="str">
        <f t="shared" si="21"/>
      </c>
      <c r="AQ281" s="91" t="str">
        <f t="shared" si="21"/>
      </c>
      <c r="AR281" s="91" t="str">
        <f t="shared" si="21"/>
      </c>
      <c r="AS281" s="91" t="str">
        <f t="shared" si="21"/>
      </c>
      <c r="AT281" s="91" t="str">
        <f t="shared" si="21"/>
      </c>
      <c r="AU281" s="91" t="str">
        <f t="shared" si="21"/>
      </c>
      <c r="AV281" s="91" t="str">
        <f t="shared" si="21"/>
      </c>
      <c r="AW281" s="91" t="str">
        <f t="shared" si="21"/>
      </c>
      <c r="AX281" s="91" t="str">
        <f t="shared" si="21"/>
      </c>
      <c r="AY281" s="91" t="str">
        <f t="shared" si="21"/>
      </c>
      <c r="AZ281" s="91" t="str">
        <f t="shared" si="21"/>
      </c>
      <c r="BA281" s="91" t="str">
        <f t="shared" si="21"/>
      </c>
      <c r="BB281" s="91" t="str">
        <f t="shared" si="21"/>
      </c>
      <c r="BC281" s="91" t="str">
        <f t="shared" si="21"/>
      </c>
      <c r="BD281" s="91" t="str">
        <f t="shared" si="21"/>
      </c>
      <c r="BE281" s="91" t="str">
        <f t="shared" si="21"/>
      </c>
      <c r="BF281" s="91" t="str">
        <f t="shared" si="21"/>
      </c>
      <c r="BG281" s="91" t="str">
        <f t="shared" si="21"/>
      </c>
      <c r="BH281" s="91" t="str">
        <f t="shared" si="21"/>
      </c>
      <c r="BI281" s="91" t="str">
        <f t="shared" si="21"/>
      </c>
      <c r="BJ281" s="91" t="str">
        <f t="shared" si="21"/>
      </c>
      <c r="BK281" s="91" t="str">
        <f t="shared" si="21"/>
      </c>
      <c r="BL281" s="91" t="str">
        <f t="shared" si="21"/>
      </c>
      <c r="BM281" s="91" t="str">
        <f t="shared" si="21"/>
      </c>
      <c r="BN281" s="91" t="str">
        <f t="shared" si="21"/>
      </c>
      <c r="BO281" s="91" t="str">
        <f t="shared" si="21"/>
      </c>
      <c r="BP281" s="91" t="str">
        <f t="shared" si="21"/>
      </c>
      <c r="BQ281" s="91" t="str">
        <f t="shared" si="21"/>
      </c>
      <c r="BR281" s="91" t="str">
        <f t="shared" si="21"/>
      </c>
      <c r="BS281" s="91" t="str">
        <f t="shared" si="21"/>
      </c>
      <c r="BT281" s="91" t="str">
        <f t="shared" si="21"/>
      </c>
      <c r="BU281" s="91" t="str">
        <f t="shared" si="21"/>
      </c>
      <c r="BV281" s="91" t="str">
        <f t="shared" si="21"/>
      </c>
      <c r="BW281" s="91" t="str">
        <f t="shared" si="21"/>
      </c>
      <c r="BX281" s="91" t="str">
        <f t="shared" si="21"/>
      </c>
      <c r="BY281" s="91" t="str">
        <f t="shared" si="21"/>
      </c>
      <c r="BZ281" s="91" t="str">
        <f t="shared" si="21"/>
      </c>
      <c r="CA281" s="91" t="str">
        <f t="shared" si="21"/>
      </c>
      <c r="CB281" s="91" t="str">
        <f t="shared" si="21"/>
      </c>
      <c r="CC281" s="91" t="str">
        <f t="shared" si="21"/>
      </c>
      <c r="CD281" s="91" t="str">
        <f t="shared" si="21"/>
      </c>
      <c r="CE281" s="91" t="str">
        <f t="shared" si="21"/>
      </c>
      <c r="CF281" s="91" t="str">
        <f t="shared" si="21"/>
      </c>
      <c r="CG281" s="91" t="str">
        <f t="shared" si="21"/>
      </c>
      <c r="CH281" s="91" t="str">
        <f t="shared" si="21"/>
      </c>
      <c r="CI281" s="91" t="str">
        <f t="shared" si="21"/>
      </c>
      <c r="CJ281" s="91" t="str">
        <f t="shared" si="21"/>
      </c>
      <c r="CK281" s="91" t="str">
        <f t="shared" si="21"/>
      </c>
      <c r="CL281" s="91" t="str">
        <f t="shared" si="21"/>
      </c>
      <c r="CM281" s="91" t="str">
        <f t="shared" si="21"/>
      </c>
      <c r="CN281" s="91" t="str">
        <f t="shared" si="21"/>
      </c>
      <c r="CO281" s="91" t="str">
        <f ref="CO281:EZ281" t="shared" si="22">IF(SUM(CO262:CO280)&lt;&gt;0,SUM(CO262:CO280),"")</f>
      </c>
      <c r="CP281" s="91" t="str">
        <f t="shared" si="22"/>
      </c>
      <c r="CQ281" s="91" t="str">
        <f t="shared" si="22"/>
      </c>
      <c r="CR281" s="91" t="str">
        <f t="shared" si="22"/>
      </c>
      <c r="CS281" s="91" t="str">
        <f t="shared" si="22"/>
      </c>
      <c r="CT281" s="91" t="str">
        <f t="shared" si="22"/>
      </c>
      <c r="CU281" s="91" t="str">
        <f t="shared" si="22"/>
      </c>
      <c r="CV281" s="91" t="str">
        <f t="shared" si="22"/>
      </c>
      <c r="CW281" s="91" t="str">
        <f t="shared" si="22"/>
      </c>
      <c r="CX281" s="91" t="str">
        <f t="shared" si="22"/>
      </c>
      <c r="CY281" s="91" t="str">
        <f t="shared" si="22"/>
      </c>
      <c r="CZ281" s="91" t="str">
        <f t="shared" si="22"/>
      </c>
      <c r="DA281" s="91" t="str">
        <f t="shared" si="22"/>
      </c>
      <c r="DB281" s="91" t="str">
        <f t="shared" si="22"/>
      </c>
      <c r="DC281" s="91" t="str">
        <f t="shared" si="22"/>
      </c>
      <c r="DD281" s="91" t="str">
        <f t="shared" si="22"/>
      </c>
      <c r="DE281" s="91" t="str">
        <f t="shared" si="22"/>
      </c>
      <c r="DF281" s="91" t="str">
        <f t="shared" si="22"/>
      </c>
      <c r="DG281" s="91" t="str">
        <f t="shared" si="22"/>
      </c>
      <c r="DH281" s="91" t="str">
        <f t="shared" si="22"/>
      </c>
      <c r="DI281" s="91" t="str">
        <f t="shared" si="22"/>
      </c>
      <c r="DJ281" s="91" t="str">
        <f t="shared" si="22"/>
      </c>
      <c r="DK281" s="91" t="str">
        <f t="shared" si="22"/>
      </c>
      <c r="DL281" s="91" t="str">
        <f t="shared" si="22"/>
      </c>
      <c r="DM281" s="91" t="str">
        <f t="shared" si="22"/>
      </c>
      <c r="DN281" s="91" t="str">
        <f t="shared" si="22"/>
      </c>
      <c r="DO281" s="91" t="str">
        <f t="shared" si="22"/>
      </c>
      <c r="DP281" s="91" t="str">
        <f t="shared" si="22"/>
      </c>
      <c r="DQ281" s="91" t="str">
        <f t="shared" si="22"/>
      </c>
      <c r="DR281" s="91" t="str">
        <f t="shared" si="22"/>
      </c>
      <c r="DS281" s="91" t="str">
        <f t="shared" si="22"/>
      </c>
      <c r="DT281" s="91" t="str">
        <f t="shared" si="22"/>
      </c>
      <c r="DU281" s="91" t="str">
        <f t="shared" si="22"/>
      </c>
      <c r="DV281" s="91" t="str">
        <f t="shared" si="22"/>
      </c>
      <c r="DW281" s="91" t="str">
        <f t="shared" si="22"/>
      </c>
      <c r="DX281" s="91" t="str">
        <f t="shared" si="22"/>
      </c>
      <c r="DY281" s="91" t="str">
        <f t="shared" si="22"/>
      </c>
      <c r="DZ281" s="91" t="str">
        <f t="shared" si="22"/>
      </c>
      <c r="EA281" s="91" t="str">
        <f t="shared" si="22"/>
      </c>
      <c r="EB281" s="91" t="str">
        <f t="shared" si="22"/>
      </c>
      <c r="EC281" s="91" t="str">
        <f t="shared" si="22"/>
      </c>
      <c r="ED281" s="91" t="str">
        <f t="shared" si="22"/>
      </c>
      <c r="EE281" s="91" t="str">
        <f t="shared" si="22"/>
      </c>
      <c r="EF281" s="91" t="str">
        <f t="shared" si="22"/>
      </c>
      <c r="EG281" s="91" t="str">
        <f t="shared" si="22"/>
      </c>
      <c r="EH281" s="91" t="str">
        <f t="shared" si="22"/>
      </c>
      <c r="EI281" s="91" t="str">
        <f t="shared" si="22"/>
      </c>
      <c r="EJ281" s="91" t="str">
        <f t="shared" si="22"/>
      </c>
      <c r="EK281" s="91" t="str">
        <f t="shared" si="22"/>
      </c>
      <c r="EL281" s="91" t="str">
        <f t="shared" si="22"/>
      </c>
      <c r="EM281" s="91" t="str">
        <f t="shared" si="22"/>
      </c>
      <c r="EN281" s="91" t="str">
        <f t="shared" si="22"/>
      </c>
      <c r="EO281" s="91" t="str">
        <f t="shared" si="22"/>
      </c>
      <c r="EP281" s="91" t="str">
        <f t="shared" si="22"/>
      </c>
      <c r="EQ281" s="91" t="str">
        <f t="shared" si="22"/>
      </c>
      <c r="ER281" s="91" t="str">
        <f t="shared" si="22"/>
      </c>
      <c r="ES281" s="91" t="str">
        <f t="shared" si="22"/>
      </c>
      <c r="ET281" s="91" t="str">
        <f t="shared" si="22"/>
      </c>
      <c r="EU281" s="91" t="str">
        <f t="shared" si="22"/>
      </c>
      <c r="EV281" s="91" t="str">
        <f t="shared" si="22"/>
      </c>
      <c r="EW281" s="91" t="str">
        <f t="shared" si="22"/>
      </c>
      <c r="EX281" s="91" t="str">
        <f t="shared" si="22"/>
      </c>
      <c r="EY281" s="91" t="str">
        <f t="shared" si="22"/>
      </c>
      <c r="EZ281" s="91" t="str">
        <f t="shared" si="22"/>
      </c>
      <c r="FA281" s="91" t="str">
        <f ref="FA281:HL281" t="shared" si="23">IF(SUM(FA262:FA280)&lt;&gt;0,SUM(FA262:FA280),"")</f>
      </c>
      <c r="FB281" s="91" t="str">
        <f t="shared" si="23"/>
      </c>
      <c r="FC281" s="91" t="str">
        <f t="shared" si="23"/>
      </c>
      <c r="FD281" s="91" t="str">
        <f t="shared" si="23"/>
      </c>
      <c r="FE281" s="91" t="str">
        <f t="shared" si="23"/>
      </c>
      <c r="FF281" s="91" t="str">
        <f t="shared" si="23"/>
      </c>
      <c r="FG281" s="91" t="str">
        <f t="shared" si="23"/>
      </c>
      <c r="FH281" s="91" t="str">
        <f t="shared" si="23"/>
      </c>
      <c r="FI281" s="91" t="str">
        <f t="shared" si="23"/>
      </c>
      <c r="FJ281" s="91" t="str">
        <f t="shared" si="23"/>
      </c>
      <c r="FK281" s="91" t="str">
        <f t="shared" si="23"/>
      </c>
      <c r="FL281" s="91" t="str">
        <f t="shared" si="23"/>
      </c>
      <c r="FM281" s="91" t="str">
        <f t="shared" si="23"/>
      </c>
      <c r="FN281" s="91" t="str">
        <f t="shared" si="23"/>
      </c>
      <c r="FO281" s="91" t="str">
        <f t="shared" si="23"/>
      </c>
      <c r="FP281" s="91" t="str">
        <f t="shared" si="23"/>
      </c>
      <c r="FQ281" s="91" t="str">
        <f t="shared" si="23"/>
      </c>
      <c r="FR281" s="91" t="str">
        <f t="shared" si="23"/>
      </c>
      <c r="FS281" s="91" t="str">
        <f t="shared" si="23"/>
      </c>
      <c r="FT281" s="91" t="str">
        <f t="shared" si="23"/>
      </c>
      <c r="FU281" s="91" t="str">
        <f t="shared" si="23"/>
      </c>
      <c r="FV281" s="91" t="str">
        <f t="shared" si="23"/>
      </c>
      <c r="FW281" s="91" t="str">
        <f t="shared" si="23"/>
      </c>
      <c r="FX281" s="91" t="str">
        <f t="shared" si="23"/>
      </c>
      <c r="FY281" s="91" t="str">
        <f t="shared" si="23"/>
      </c>
      <c r="FZ281" s="91" t="str">
        <f t="shared" si="23"/>
      </c>
      <c r="GA281" s="91" t="str">
        <f t="shared" si="23"/>
      </c>
      <c r="GB281" s="91" t="str">
        <f t="shared" si="23"/>
      </c>
      <c r="GC281" s="91" t="str">
        <f t="shared" si="23"/>
      </c>
      <c r="GD281" s="91" t="str">
        <f t="shared" si="23"/>
      </c>
      <c r="GE281" s="91" t="str">
        <f t="shared" si="23"/>
      </c>
      <c r="GF281" s="91" t="str">
        <f t="shared" si="23"/>
      </c>
      <c r="GG281" s="91" t="str">
        <f t="shared" si="23"/>
      </c>
      <c r="GH281" s="91" t="str">
        <f t="shared" si="23"/>
      </c>
      <c r="GI281" s="91" t="str">
        <f t="shared" si="23"/>
      </c>
      <c r="GJ281" s="91" t="str">
        <f t="shared" si="23"/>
      </c>
      <c r="GK281" s="91" t="str">
        <f t="shared" si="23"/>
      </c>
      <c r="GL281" s="91" t="str">
        <f t="shared" si="23"/>
      </c>
      <c r="GM281" s="91" t="str">
        <f t="shared" si="23"/>
      </c>
      <c r="GN281" s="91" t="str">
        <f t="shared" si="23"/>
      </c>
      <c r="GO281" s="91" t="str">
        <f t="shared" si="23"/>
      </c>
      <c r="GP281" s="91" t="str">
        <f t="shared" si="23"/>
      </c>
      <c r="GQ281" s="91" t="str">
        <f t="shared" si="23"/>
      </c>
      <c r="GR281" s="91" t="str">
        <f t="shared" si="23"/>
      </c>
      <c r="GS281" s="91" t="str">
        <f t="shared" si="23"/>
      </c>
      <c r="GT281" s="91" t="str">
        <f t="shared" si="23"/>
      </c>
      <c r="GU281" s="91" t="str">
        <f t="shared" si="23"/>
      </c>
      <c r="GV281" s="91" t="str">
        <f t="shared" si="23"/>
      </c>
      <c r="GW281" s="91" t="str">
        <f t="shared" si="23"/>
      </c>
      <c r="GX281" s="91" t="str">
        <f t="shared" si="23"/>
      </c>
      <c r="GY281" s="91" t="str">
        <f t="shared" si="23"/>
      </c>
      <c r="GZ281" s="91" t="str">
        <f t="shared" si="23"/>
      </c>
      <c r="HA281" s="91" t="str">
        <f t="shared" si="23"/>
      </c>
      <c r="HB281" s="91" t="str">
        <f t="shared" si="23"/>
      </c>
      <c r="HC281" s="91" t="str">
        <f t="shared" si="23"/>
      </c>
      <c r="HD281" s="91" t="str">
        <f t="shared" si="23"/>
      </c>
      <c r="HE281" s="91" t="str">
        <f t="shared" si="23"/>
      </c>
      <c r="HF281" s="91" t="str">
        <f t="shared" si="23"/>
      </c>
      <c r="HG281" s="91" t="str">
        <f t="shared" si="23"/>
      </c>
      <c r="HH281" s="91" t="str">
        <f t="shared" si="23"/>
      </c>
      <c r="HI281" s="91" t="str">
        <f t="shared" si="23"/>
      </c>
      <c r="HJ281" s="91" t="str">
        <f t="shared" si="23"/>
      </c>
      <c r="HK281" s="91" t="str">
        <f t="shared" si="23"/>
      </c>
      <c r="HL281" s="91" t="str">
        <f t="shared" si="23"/>
      </c>
      <c r="HM281" s="91" t="str">
        <f ref="HM281:IV281" t="shared" si="24">IF(SUM(HM262:HM280)&lt;&gt;0,SUM(HM262:HM280),"")</f>
      </c>
      <c r="HN281" s="91" t="str">
        <f t="shared" si="24"/>
      </c>
      <c r="HO281" s="91" t="str">
        <f t="shared" si="24"/>
      </c>
      <c r="HP281" s="91" t="str">
        <f t="shared" si="24"/>
      </c>
      <c r="HQ281" s="91" t="str">
        <f t="shared" si="24"/>
      </c>
      <c r="HR281" s="91" t="str">
        <f t="shared" si="24"/>
      </c>
      <c r="HS281" s="91" t="str">
        <f t="shared" si="24"/>
      </c>
      <c r="HT281" s="91" t="str">
        <f t="shared" si="24"/>
      </c>
      <c r="HU281" s="91" t="str">
        <f t="shared" si="24"/>
      </c>
      <c r="HV281" s="91" t="str">
        <f t="shared" si="24"/>
      </c>
      <c r="HW281" s="91" t="str">
        <f t="shared" si="24"/>
      </c>
      <c r="HX281" s="91" t="str">
        <f t="shared" si="24"/>
      </c>
      <c r="HY281" s="91" t="str">
        <f t="shared" si="24"/>
      </c>
      <c r="HZ281" s="91" t="str">
        <f t="shared" si="24"/>
      </c>
      <c r="IA281" s="91" t="str">
        <f t="shared" si="24"/>
      </c>
      <c r="IB281" s="91" t="str">
        <f t="shared" si="24"/>
      </c>
      <c r="IC281" s="91" t="str">
        <f t="shared" si="24"/>
      </c>
      <c r="ID281" s="91" t="str">
        <f t="shared" si="24"/>
      </c>
      <c r="IE281" s="91" t="str">
        <f t="shared" si="24"/>
      </c>
      <c r="IF281" s="91" t="str">
        <f t="shared" si="24"/>
      </c>
      <c r="IG281" s="91" t="str">
        <f t="shared" si="24"/>
      </c>
      <c r="IH281" s="91" t="str">
        <f t="shared" si="24"/>
      </c>
      <c r="II281" s="91" t="str">
        <f t="shared" si="24"/>
      </c>
      <c r="IJ281" s="91" t="str">
        <f t="shared" si="24"/>
      </c>
      <c r="IK281" s="91" t="str">
        <f t="shared" si="24"/>
      </c>
      <c r="IL281" s="91" t="str">
        <f t="shared" si="24"/>
      </c>
      <c r="IM281" s="91" t="str">
        <f t="shared" si="24"/>
      </c>
      <c r="IN281" s="91" t="str">
        <f t="shared" si="24"/>
      </c>
      <c r="IO281" s="91" t="str">
        <f t="shared" si="24"/>
      </c>
      <c r="IP281" s="91" t="str">
        <f t="shared" si="24"/>
      </c>
      <c r="IQ281" s="91" t="str">
        <f t="shared" si="24"/>
      </c>
      <c r="IR281" s="91" t="str">
        <f t="shared" si="24"/>
      </c>
      <c r="IS281" s="91" t="str">
        <f t="shared" si="24"/>
      </c>
      <c r="IT281" s="91" t="str">
        <f t="shared" si="24"/>
      </c>
      <c r="IU281" s="91" t="str">
        <f t="shared" si="24"/>
      </c>
      <c r="IV281" s="91" t="str">
        <f t="shared" si="24"/>
      </c>
    </row>
    <row r="282" hidden="1" ht="13.5"/>
    <row r="283" hidden="1" ht="13.5">
      <c r="C283" s="686" t="s">
        <v>108</v>
      </c>
      <c r="D283" s="687"/>
      <c r="E283" s="687"/>
      <c r="F283" s="687"/>
      <c r="G283" s="687"/>
      <c r="H283" s="687"/>
      <c r="I283" s="687"/>
      <c r="J283" s="687"/>
      <c r="K283" s="687"/>
      <c r="L283" s="687"/>
      <c r="M283" s="687"/>
      <c r="N283" s="687"/>
      <c r="O283" s="687"/>
      <c r="P283" s="687"/>
      <c r="Q283" s="687"/>
      <c r="R283" s="687"/>
      <c r="S283" s="687"/>
      <c r="T283" s="687"/>
      <c r="U283" s="687"/>
      <c r="V283" s="687"/>
      <c r="W283" s="687"/>
      <c r="X283" s="687"/>
      <c r="Y283" s="687"/>
      <c r="Z283" s="687"/>
      <c r="AA283" s="687"/>
      <c r="AB283" s="688"/>
    </row>
    <row r="284" hidden="1" ht="15" customHeight="1">
      <c r="C284" s="435" t="str">
        <f> IF(C304&lt;&gt;"",TEXT(AUX!G$1,"dd-MMM-aa"),"")</f>
      </c>
      <c r="D284" s="435" t="str">
        <f> IF(D304&lt;&gt;"",TEXT(AUX!H$1,"dd-MMM-aa"),"")</f>
      </c>
      <c r="E284" s="435" t="str">
        <f> IF(E304&lt;&gt;"",TEXT(AUX!I$1,"dd-MMM-aa"),"")</f>
      </c>
      <c r="F284" s="435" t="str">
        <f> IF(F304&lt;&gt;"",TEXT(AUX!J$1,"dd-MMM-aa"),"")</f>
      </c>
      <c r="G284" s="435" t="str">
        <f> IF(G304&lt;&gt;"",TEXT(AUX!K$1,"dd-MMM-aa"),"")</f>
      </c>
      <c r="H284" s="435" t="str">
        <f> IF(H304&lt;&gt;"",TEXT(AUX!L$1,"dd-MMM-aa"),"")</f>
      </c>
      <c r="I284" s="435" t="str">
        <f> IF(I304&lt;&gt;"",TEXT(AUX!M$1,"dd-MMM-aa"),"")</f>
      </c>
      <c r="J284" s="435" t="str">
        <f> IF(J304&lt;&gt;"",TEXT(AUX!N$1,"dd-MMM-aa"),"")</f>
      </c>
      <c r="K284" s="435" t="str">
        <f> IF(K304&lt;&gt;"",TEXT(AUX!O$1,"dd-MMM-aa"),"")</f>
      </c>
      <c r="L284" s="435" t="str">
        <f> IF(L304&lt;&gt;"",TEXT(AUX!P$1,"dd-MMM-aa"),"")</f>
      </c>
      <c r="M284" s="435" t="str">
        <f> IF(M304&lt;&gt;"",TEXT(AUX!Q$1,"dd-MMM-aa"),"")</f>
      </c>
      <c r="N284" s="435" t="str">
        <f> IF(N304&lt;&gt;"",TEXT(AUX!R$1,"dd-MMM-aa"),"")</f>
      </c>
      <c r="O284" s="435" t="str">
        <f> IF(O304&lt;&gt;"",TEXT(AUX!S$1,"dd-MMM-aa"),"")</f>
      </c>
      <c r="P284" s="435" t="str">
        <f> IF(P304&lt;&gt;"",TEXT(AUX!T$1,"dd-MMM-aa"),"")</f>
      </c>
      <c r="Q284" s="435" t="str">
        <f> IF(Q304&lt;&gt;"",TEXT(AUX!U$1,"dd-MMM-aa"),"")</f>
      </c>
      <c r="R284" s="435" t="str">
        <f> IF(R304&lt;&gt;"",TEXT(AUX!V$1,"dd-MMM-aa"),"")</f>
      </c>
      <c r="S284" s="435" t="str">
        <f> IF(S304&lt;&gt;"",TEXT(AUX!W$1,"dd-MMM-aa"),"")</f>
      </c>
      <c r="T284" s="435" t="str">
        <f> IF(T304&lt;&gt;"",TEXT(AUX!X$1,"dd-MMM-aa"),"")</f>
      </c>
      <c r="U284" s="435" t="str">
        <f> IF(U304&lt;&gt;"",TEXT(AUX!Y$1,"dd-MMM-aa"),"")</f>
      </c>
      <c r="V284" s="435" t="str">
        <f> IF(V304&lt;&gt;"",TEXT(AUX!Z$1,"dd-MMM-aa"),"")</f>
      </c>
      <c r="W284" s="435" t="str">
        <f> IF(W304&lt;&gt;"",TEXT(AUX!AA$1,"dd-MMM-aa"),"")</f>
      </c>
      <c r="X284" s="435" t="str">
        <f> IF(X304&lt;&gt;"",TEXT(AUX!AB$1,"dd-MMM-aa"),"")</f>
      </c>
      <c r="Y284" s="435" t="str">
        <f> IF(Y304&lt;&gt;"",TEXT(AUX!AC$1,"dd-MMM-aa"),"")</f>
      </c>
      <c r="Z284" s="435" t="str">
        <f> IF(Z304&lt;&gt;"",TEXT(AUX!AD$1,"dd-MMM-aa"),"")</f>
      </c>
      <c r="AA284" s="435" t="str">
        <f> IF(AA304&lt;&gt;"",TEXT(AUX!AE$1,"dd-MMM-aa"),"")</f>
      </c>
      <c r="AB284" s="497" t="str">
        <f> IF(AB304&lt;&gt;"",TEXT(AUX!AF$1,"dd-MMM-aa"),"")</f>
      </c>
      <c r="AC284" s="496" t="str">
        <f> IF(AC304&lt;&gt;"",TEXT(AUX!AG$1,"dd-MMM-aa"),"")</f>
      </c>
      <c r="AD284" s="496" t="str">
        <f> IF(AD304&lt;&gt;"",TEXT(AUX!AH$1,"dd-MMM-aa"),"")</f>
      </c>
      <c r="AE284" s="496" t="str">
        <f> IF(AE304&lt;&gt;"",TEXT(AUX!AI$1,"dd-MMM-aa"),"")</f>
      </c>
      <c r="AF284" s="496" t="str">
        <f> IF(AF304&lt;&gt;"",TEXT(AUX!AJ$1,"dd-MMM-aa"),"")</f>
      </c>
      <c r="AG284" s="496" t="str">
        <f> IF(AG304&lt;&gt;"",TEXT(AUX!AK$1,"dd-MMM-aa"),"")</f>
      </c>
      <c r="AH284" s="496" t="str">
        <f> IF(AH304&lt;&gt;"",TEXT(AUX!AL$1,"dd-MMM-aa"),"")</f>
      </c>
      <c r="AI284" s="496" t="str">
        <f> IF(AI304&lt;&gt;"",TEXT(AUX!AM$1,"dd-MMM-aa"),"")</f>
      </c>
      <c r="AJ284" s="496" t="str">
        <f> IF(AJ304&lt;&gt;"",TEXT(AUX!AN$1,"dd-MMM-aa"),"")</f>
      </c>
      <c r="AK284" s="496" t="str">
        <f> IF(AK304&lt;&gt;"",TEXT(AUX!AO$1,"dd-MMM-aa"),"")</f>
      </c>
      <c r="AL284" s="496" t="str">
        <f> IF(AL304&lt;&gt;"",TEXT(AUX!AP$1,"dd-MMM-aa"),"")</f>
      </c>
      <c r="AM284" s="496" t="str">
        <f> IF(AM304&lt;&gt;"",TEXT(AUX!AQ$1,"dd-MMM-aa"),"")</f>
      </c>
      <c r="AN284" s="496" t="str">
        <f> IF(AN304&lt;&gt;"",TEXT(AUX!AR$1,"dd-MMM-aa"),"")</f>
      </c>
      <c r="AO284" s="496" t="str">
        <f> IF(AO304&lt;&gt;"",TEXT(AUX!AS$1,"dd-MMM-aa"),"")</f>
      </c>
      <c r="AP284" s="496" t="str">
        <f> IF(AP304&lt;&gt;"",TEXT(AUX!AT$1,"dd-MMM-aa"),"")</f>
      </c>
      <c r="AQ284" s="496" t="str">
        <f> IF(AQ304&lt;&gt;"",TEXT(AUX!AU$1,"dd-MMM-aa"),"")</f>
      </c>
      <c r="AR284" s="496" t="str">
        <f> IF(AR304&lt;&gt;"",TEXT(AUX!AV$1,"dd-MMM-aa"),"")</f>
      </c>
      <c r="AS284" s="496" t="str">
        <f> IF(AS304&lt;&gt;"",TEXT(AUX!AW$1,"dd-MMM-aa"),"")</f>
      </c>
      <c r="AT284" s="496" t="str">
        <f> IF(AT304&lt;&gt;"",TEXT(AUX!AX$1,"dd-MMM-aa"),"")</f>
      </c>
      <c r="AU284" s="496" t="str">
        <f> IF(AU304&lt;&gt;"",TEXT(AUX!AY$1,"dd-MMM-aa"),"")</f>
      </c>
      <c r="AV284" s="496" t="str">
        <f> IF(AV304&lt;&gt;"",TEXT(AUX!AZ$1,"dd-MMM-aa"),"")</f>
      </c>
      <c r="AW284" s="496" t="str">
        <f> IF(AW304&lt;&gt;"",TEXT(AUX!BA$1,"dd-MMM-aa"),"")</f>
      </c>
      <c r="AX284" s="496" t="str">
        <f> IF(AX304&lt;&gt;"",TEXT(AUX!BB$1,"dd-MMM-aa"),"")</f>
      </c>
      <c r="AY284" s="496" t="str">
        <f> IF(AY304&lt;&gt;"",TEXT(AUX!BC$1,"dd-MMM-aa"),"")</f>
      </c>
      <c r="AZ284" s="496" t="str">
        <f> IF(AZ304&lt;&gt;"",TEXT(AUX!BD$1,"dd-MMM-aa"),"")</f>
      </c>
      <c r="BA284" s="496" t="str">
        <f> IF(BA304&lt;&gt;"",TEXT(AUX!BE$1,"dd-MMM-aa"),"")</f>
      </c>
      <c r="BB284" s="496" t="str">
        <f> IF(BB304&lt;&gt;"",TEXT(AUX!BF$1,"dd-MMM-aa"),"")</f>
      </c>
      <c r="BC284" s="496" t="str">
        <f> IF(BC304&lt;&gt;"",TEXT(AUX!BG$1,"dd-MMM-aa"),"")</f>
      </c>
      <c r="BD284" s="496" t="str">
        <f> IF(BD304&lt;&gt;"",TEXT(AUX!BH$1,"dd-MMM-aa"),"")</f>
      </c>
      <c r="BE284" s="496" t="str">
        <f> IF(BE304&lt;&gt;"",TEXT(AUX!BI$1,"dd-MMM-aa"),"")</f>
      </c>
      <c r="BF284" s="496" t="str">
        <f> IF(BF304&lt;&gt;"",TEXT(AUX!BJ$1,"dd-MMM-aa"),"")</f>
      </c>
      <c r="BG284" s="496" t="str">
        <f> IF(BG304&lt;&gt;"",TEXT(AUX!BK$1,"dd-MMM-aa"),"")</f>
      </c>
      <c r="BH284" s="496" t="str">
        <f> IF(BH304&lt;&gt;"",TEXT(AUX!BL$1,"dd-MMM-aa"),"")</f>
      </c>
      <c r="BI284" s="496" t="str">
        <f> IF(BI304&lt;&gt;"",TEXT(AUX!BM$1,"dd-MMM-aa"),"")</f>
      </c>
      <c r="BJ284" s="496" t="str">
        <f> IF(BJ304&lt;&gt;"",TEXT(AUX!BN$1,"dd-MMM-aa"),"")</f>
      </c>
      <c r="BK284" s="496" t="str">
        <f> IF(BK304&lt;&gt;"",TEXT(AUX!BO$1,"dd-MMM-aa"),"")</f>
      </c>
      <c r="BL284" s="496" t="str">
        <f> IF(BL304&lt;&gt;"",TEXT(AUX!BP$1,"dd-MMM-aa"),"")</f>
      </c>
      <c r="BM284" s="496" t="str">
        <f> IF(BM304&lt;&gt;"",TEXT(AUX!BQ$1,"dd-MMM-aa"),"")</f>
      </c>
      <c r="BN284" s="496" t="str">
        <f> IF(BN304&lt;&gt;"",TEXT(AUX!BR$1,"dd-MMM-aa"),"")</f>
      </c>
      <c r="BO284" s="496" t="str">
        <f> IF(BO304&lt;&gt;"",TEXT(AUX!BS$1,"dd-MMM-aa"),"")</f>
      </c>
      <c r="BP284" s="496" t="str">
        <f> IF(BP304&lt;&gt;"",TEXT(AUX!BT$1,"dd-MMM-aa"),"")</f>
      </c>
      <c r="BQ284" s="496" t="str">
        <f> IF(BQ304&lt;&gt;"",TEXT(AUX!BU$1,"dd-MMM-aa"),"")</f>
      </c>
      <c r="BR284" s="496" t="str">
        <f> IF(BR304&lt;&gt;"",TEXT(AUX!BV$1,"dd-MMM-aa"),"")</f>
      </c>
      <c r="BS284" s="496" t="str">
        <f> IF(BS304&lt;&gt;"",TEXT(AUX!BW$1,"dd-MMM-aa"),"")</f>
      </c>
      <c r="BT284" s="496" t="str">
        <f> IF(BT304&lt;&gt;"",TEXT(AUX!BX$1,"dd-MMM-aa"),"")</f>
      </c>
      <c r="BU284" s="496" t="str">
        <f> IF(BU304&lt;&gt;"",TEXT(AUX!BY$1,"dd-MMM-aa"),"")</f>
      </c>
      <c r="BV284" s="496" t="str">
        <f> IF(BV304&lt;&gt;"",TEXT(AUX!BZ$1,"dd-MMM-aa"),"")</f>
      </c>
      <c r="BW284" s="496" t="str">
        <f> IF(BW304&lt;&gt;"",TEXT(AUX!CA$1,"dd-MMM-aa"),"")</f>
      </c>
      <c r="BX284" s="496" t="str">
        <f> IF(BX304&lt;&gt;"",TEXT(AUX!CB$1,"dd-MMM-aa"),"")</f>
      </c>
      <c r="BY284" s="496" t="str">
        <f> IF(BY304&lt;&gt;"",TEXT(AUX!CC$1,"dd-MMM-aa"),"")</f>
      </c>
      <c r="BZ284" s="496" t="str">
        <f> IF(BZ304&lt;&gt;"",TEXT(AUX!CD$1,"dd-MMM-aa"),"")</f>
      </c>
      <c r="CA284" s="496" t="str">
        <f> IF(CA304&lt;&gt;"",TEXT(AUX!CE$1,"dd-MMM-aa"),"")</f>
      </c>
      <c r="CB284" s="496" t="str">
        <f> IF(CB304&lt;&gt;"",TEXT(AUX!CF$1,"dd-MMM-aa"),"")</f>
      </c>
      <c r="CC284" s="496" t="str">
        <f> IF(CC304&lt;&gt;"",TEXT(AUX!CG$1,"dd-MMM-aa"),"")</f>
      </c>
      <c r="CD284" s="496" t="str">
        <f> IF(CD304&lt;&gt;"",TEXT(AUX!CH$1,"dd-MMM-aa"),"")</f>
      </c>
      <c r="CE284" s="496" t="str">
        <f> IF(CE304&lt;&gt;"",TEXT(AUX!CI$1,"dd-MMM-aa"),"")</f>
      </c>
      <c r="CF284" s="496" t="str">
        <f> IF(CF304&lt;&gt;"",TEXT(AUX!CJ$1,"dd-MMM-aa"),"")</f>
      </c>
      <c r="CG284" s="496" t="str">
        <f> IF(CG304&lt;&gt;"",TEXT(AUX!CK$1,"dd-MMM-aa"),"")</f>
      </c>
      <c r="CH284" s="496" t="str">
        <f> IF(CH304&lt;&gt;"",TEXT(AUX!CL$1,"dd-MMM-aa"),"")</f>
      </c>
      <c r="CI284" s="496" t="str">
        <f> IF(CI304&lt;&gt;"",TEXT(AUX!CM$1,"dd-MMM-aa"),"")</f>
      </c>
      <c r="CJ284" s="496" t="str">
        <f> IF(CJ304&lt;&gt;"",TEXT(AUX!CN$1,"dd-MMM-aa"),"")</f>
      </c>
      <c r="CK284" s="496" t="str">
        <f> IF(CK304&lt;&gt;"",TEXT(AUX!CO$1,"dd-MMM-aa"),"")</f>
      </c>
      <c r="CL284" s="496" t="str">
        <f> IF(CL304&lt;&gt;"",TEXT(AUX!CP$1,"dd-MMM-aa"),"")</f>
      </c>
      <c r="CM284" s="496" t="str">
        <f> IF(CM304&lt;&gt;"",TEXT(AUX!CQ$1,"dd-MMM-aa"),"")</f>
      </c>
      <c r="CN284" s="496" t="str">
        <f> IF(CN304&lt;&gt;"",TEXT(AUX!CR$1,"dd-MMM-aa"),"")</f>
      </c>
      <c r="CO284" s="496" t="str">
        <f> IF(CO304&lt;&gt;"",TEXT(AUX!CS$1,"dd-MMM-aa"),"")</f>
      </c>
      <c r="CP284" s="496" t="str">
        <f> IF(CP304&lt;&gt;"",TEXT(AUX!CT$1,"dd-MMM-aa"),"")</f>
      </c>
      <c r="CQ284" s="496" t="str">
        <f> IF(CQ304&lt;&gt;"",TEXT(AUX!CU$1,"dd-MMM-aa"),"")</f>
      </c>
      <c r="CR284" s="496" t="str">
        <f> IF(CR304&lt;&gt;"",TEXT(AUX!CV$1,"dd-MMM-aa"),"")</f>
      </c>
      <c r="CS284" s="496" t="str">
        <f> IF(CS304&lt;&gt;"",TEXT(AUX!CW$1,"dd-MMM-aa"),"")</f>
      </c>
      <c r="CT284" s="496" t="str">
        <f> IF(CT304&lt;&gt;"",TEXT(AUX!CX$1,"dd-MMM-aa"),"")</f>
      </c>
      <c r="CU284" s="496" t="str">
        <f> IF(CU304&lt;&gt;"",TEXT(AUX!CY$1,"dd-MMM-aa"),"")</f>
      </c>
      <c r="CV284" s="496" t="str">
        <f> IF(CV304&lt;&gt;"",TEXT(AUX!CZ$1,"dd-MMM-aa"),"")</f>
      </c>
      <c r="CW284" s="496" t="str">
        <f> IF(CW304&lt;&gt;"",TEXT(AUX!DA$1,"dd-MMM-aa"),"")</f>
      </c>
      <c r="CX284" s="496" t="str">
        <f> IF(CX304&lt;&gt;"",TEXT(AUX!DB$1,"dd-MMM-aa"),"")</f>
      </c>
      <c r="CY284" s="496" t="str">
        <f> IF(CY304&lt;&gt;"",TEXT(AUX!DC$1,"dd-MMM-aa"),"")</f>
      </c>
      <c r="CZ284" s="496" t="str">
        <f> IF(CZ304&lt;&gt;"",TEXT(AUX!DD$1,"dd-MMM-aa"),"")</f>
      </c>
      <c r="DA284" s="496" t="str">
        <f> IF(DA304&lt;&gt;"",TEXT(AUX!DE$1,"dd-MMM-aa"),"")</f>
      </c>
      <c r="DB284" s="496" t="str">
        <f> IF(DB304&lt;&gt;"",TEXT(AUX!DF$1,"dd-MMM-aa"),"")</f>
      </c>
      <c r="DC284" s="496" t="str">
        <f> IF(DC304&lt;&gt;"",TEXT(AUX!DG$1,"dd-MMM-aa"),"")</f>
      </c>
      <c r="DD284" s="496" t="str">
        <f> IF(DD304&lt;&gt;"",TEXT(AUX!DH$1,"dd-MMM-aa"),"")</f>
      </c>
      <c r="DE284" s="496" t="str">
        <f> IF(DE304&lt;&gt;"",TEXT(AUX!DI$1,"dd-MMM-aa"),"")</f>
      </c>
      <c r="DF284" s="496" t="str">
        <f> IF(DF304&lt;&gt;"",TEXT(AUX!DJ$1,"dd-MMM-aa"),"")</f>
      </c>
      <c r="DG284" s="496" t="str">
        <f> IF(DG304&lt;&gt;"",TEXT(AUX!DK$1,"dd-MMM-aa"),"")</f>
      </c>
      <c r="DH284" s="496" t="str">
        <f> IF(DH304&lt;&gt;"",TEXT(AUX!DL$1,"dd-MMM-aa"),"")</f>
      </c>
      <c r="DI284" s="496" t="str">
        <f> IF(DI304&lt;&gt;"",TEXT(AUX!DM$1,"dd-MMM-aa"),"")</f>
      </c>
      <c r="DJ284" s="496" t="str">
        <f> IF(DJ304&lt;&gt;"",TEXT(AUX!DN$1,"dd-MMM-aa"),"")</f>
      </c>
      <c r="DK284" s="496" t="str">
        <f> IF(DK304&lt;&gt;"",TEXT(AUX!DO$1,"dd-MMM-aa"),"")</f>
      </c>
      <c r="DL284" s="496" t="str">
        <f> IF(DL304&lt;&gt;"",TEXT(AUX!DP$1,"dd-MMM-aa"),"")</f>
      </c>
      <c r="DM284" s="496" t="str">
        <f> IF(DM304&lt;&gt;"",TEXT(AUX!DQ$1,"dd-MMM-aa"),"")</f>
      </c>
      <c r="DN284" s="496" t="str">
        <f> IF(DN304&lt;&gt;"",TEXT(AUX!DR$1,"dd-MMM-aa"),"")</f>
      </c>
      <c r="DO284" s="496" t="str">
        <f> IF(DO304&lt;&gt;"",TEXT(AUX!DS$1,"dd-MMM-aa"),"")</f>
      </c>
      <c r="DP284" s="496" t="str">
        <f> IF(DP304&lt;&gt;"",TEXT(AUX!DT$1,"dd-MMM-aa"),"")</f>
      </c>
      <c r="DQ284" s="496" t="str">
        <f> IF(DQ304&lt;&gt;"",TEXT(AUX!DU$1,"dd-MMM-aa"),"")</f>
      </c>
      <c r="DR284" s="496" t="str">
        <f> IF(DR304&lt;&gt;"",TEXT(AUX!DV$1,"dd-MMM-aa"),"")</f>
      </c>
      <c r="DS284" s="496" t="str">
        <f> IF(DS304&lt;&gt;"",TEXT(AUX!DW$1,"dd-MMM-aa"),"")</f>
      </c>
      <c r="DT284" s="496" t="str">
        <f> IF(DT304&lt;&gt;"",TEXT(AUX!DX$1,"dd-MMM-aa"),"")</f>
      </c>
      <c r="DU284" s="496" t="str">
        <f> IF(DU304&lt;&gt;"",TEXT(AUX!DY$1,"dd-MMM-aa"),"")</f>
      </c>
      <c r="DV284" s="496" t="str">
        <f> IF(DV304&lt;&gt;"",TEXT(AUX!DZ$1,"dd-MMM-aa"),"")</f>
      </c>
      <c r="DW284" s="496" t="str">
        <f> IF(DW304&lt;&gt;"",TEXT(AUX!EA$1,"dd-MMM-aa"),"")</f>
      </c>
      <c r="DX284" s="496" t="str">
        <f> IF(DX304&lt;&gt;"",TEXT(AUX!EB$1,"dd-MMM-aa"),"")</f>
      </c>
      <c r="DY284" s="496" t="str">
        <f> IF(DY304&lt;&gt;"",TEXT(AUX!EC$1,"dd-MMM-aa"),"")</f>
      </c>
      <c r="DZ284" s="496" t="str">
        <f> IF(DZ304&lt;&gt;"",TEXT(AUX!ED$1,"dd-MMM-aa"),"")</f>
      </c>
      <c r="EA284" s="496" t="str">
        <f> IF(EA304&lt;&gt;"",TEXT(AUX!EE$1,"dd-MMM-aa"),"")</f>
      </c>
      <c r="EB284" s="496" t="str">
        <f> IF(EB304&lt;&gt;"",TEXT(AUX!EF$1,"dd-MMM-aa"),"")</f>
      </c>
      <c r="EC284" s="496" t="str">
        <f> IF(EC304&lt;&gt;"",TEXT(AUX!EG$1,"dd-MMM-aa"),"")</f>
      </c>
      <c r="ED284" s="496" t="str">
        <f> IF(ED304&lt;&gt;"",TEXT(AUX!EH$1,"dd-MMM-aa"),"")</f>
      </c>
      <c r="EE284" s="496" t="str">
        <f> IF(EE304&lt;&gt;"",TEXT(AUX!EI$1,"dd-MMM-aa"),"")</f>
      </c>
      <c r="EF284" s="496" t="str">
        <f> IF(EF304&lt;&gt;"",TEXT(AUX!EJ$1,"dd-MMM-aa"),"")</f>
      </c>
      <c r="EG284" s="496" t="str">
        <f> IF(EG304&lt;&gt;"",TEXT(AUX!EK$1,"dd-MMM-aa"),"")</f>
      </c>
      <c r="EH284" s="496" t="str">
        <f> IF(EH304&lt;&gt;"",TEXT(AUX!EL$1,"dd-MMM-aa"),"")</f>
      </c>
      <c r="EI284" s="496" t="str">
        <f> IF(EI304&lt;&gt;"",TEXT(AUX!EM$1,"dd-MMM-aa"),"")</f>
      </c>
      <c r="EJ284" s="496" t="str">
        <f> IF(EJ304&lt;&gt;"",TEXT(AUX!EN$1,"dd-MMM-aa"),"")</f>
      </c>
      <c r="EK284" s="496" t="str">
        <f> IF(EK304&lt;&gt;"",TEXT(AUX!EO$1,"dd-MMM-aa"),"")</f>
      </c>
      <c r="EL284" s="496" t="str">
        <f> IF(EL304&lt;&gt;"",TEXT(AUX!EP$1,"dd-MMM-aa"),"")</f>
      </c>
      <c r="EM284" s="496" t="str">
        <f> IF(EM304&lt;&gt;"",TEXT(AUX!EQ$1,"dd-MMM-aa"),"")</f>
      </c>
      <c r="EN284" s="496" t="str">
        <f> IF(EN304&lt;&gt;"",TEXT(AUX!ER$1,"dd-MMM-aa"),"")</f>
      </c>
      <c r="EO284" s="496" t="str">
        <f> IF(EO304&lt;&gt;"",TEXT(AUX!ES$1,"dd-MMM-aa"),"")</f>
      </c>
      <c r="EP284" s="496" t="str">
        <f> IF(EP304&lt;&gt;"",TEXT(AUX!ET$1,"dd-MMM-aa"),"")</f>
      </c>
      <c r="EQ284" s="496" t="str">
        <f> IF(EQ304&lt;&gt;"",TEXT(AUX!EU$1,"dd-MMM-aa"),"")</f>
      </c>
      <c r="ER284" s="496" t="str">
        <f> IF(ER304&lt;&gt;"",TEXT(AUX!EV$1,"dd-MMM-aa"),"")</f>
      </c>
      <c r="ES284" s="496" t="str">
        <f> IF(ES304&lt;&gt;"",TEXT(AUX!EW$1,"dd-MMM-aa"),"")</f>
      </c>
      <c r="ET284" s="496" t="str">
        <f> IF(ET304&lt;&gt;"",TEXT(AUX!EX$1,"dd-MMM-aa"),"")</f>
      </c>
      <c r="EU284" s="496" t="str">
        <f> IF(EU304&lt;&gt;"",TEXT(AUX!EY$1,"dd-MMM-aa"),"")</f>
      </c>
      <c r="EV284" s="496" t="str">
        <f> IF(EV304&lt;&gt;"",TEXT(AUX!EZ$1,"dd-MMM-aa"),"")</f>
      </c>
      <c r="EW284" s="496" t="str">
        <f> IF(EW304&lt;&gt;"",TEXT(AUX!FA$1,"dd-MMM-aa"),"")</f>
      </c>
      <c r="EX284" s="496" t="str">
        <f> IF(EX304&lt;&gt;"",TEXT(AUX!FB$1,"dd-MMM-aa"),"")</f>
      </c>
      <c r="EY284" s="496" t="str">
        <f> IF(EY304&lt;&gt;"",TEXT(AUX!FC$1,"dd-MMM-aa"),"")</f>
      </c>
      <c r="EZ284" s="496" t="str">
        <f> IF(EZ304&lt;&gt;"",TEXT(AUX!FD$1,"dd-MMM-aa"),"")</f>
      </c>
      <c r="FA284" s="496" t="str">
        <f> IF(FA304&lt;&gt;"",TEXT(AUX!FE$1,"dd-MMM-aa"),"")</f>
      </c>
      <c r="FB284" s="496" t="str">
        <f> IF(FB304&lt;&gt;"",TEXT(AUX!FF$1,"dd-MMM-aa"),"")</f>
      </c>
      <c r="FC284" s="496" t="str">
        <f> IF(FC304&lt;&gt;"",TEXT(AUX!FG$1,"dd-MMM-aa"),"")</f>
      </c>
      <c r="FD284" s="496" t="str">
        <f> IF(FD304&lt;&gt;"",TEXT(AUX!FH$1,"dd-MMM-aa"),"")</f>
      </c>
      <c r="FE284" s="496" t="str">
        <f> IF(FE304&lt;&gt;"",TEXT(AUX!FI$1,"dd-MMM-aa"),"")</f>
      </c>
      <c r="FF284" s="496" t="str">
        <f> IF(FF304&lt;&gt;"",TEXT(AUX!FJ$1,"dd-MMM-aa"),"")</f>
      </c>
      <c r="FG284" s="496" t="str">
        <f> IF(FG304&lt;&gt;"",TEXT(AUX!FK$1,"dd-MMM-aa"),"")</f>
      </c>
      <c r="FH284" s="496" t="str">
        <f> IF(FH304&lt;&gt;"",TEXT(AUX!FL$1,"dd-MMM-aa"),"")</f>
      </c>
      <c r="FI284" s="496" t="str">
        <f> IF(FI304&lt;&gt;"",TEXT(AUX!FM$1,"dd-MMM-aa"),"")</f>
      </c>
      <c r="FJ284" s="496" t="str">
        <f> IF(FJ304&lt;&gt;"",TEXT(AUX!FN$1,"dd-MMM-aa"),"")</f>
      </c>
      <c r="FK284" s="496" t="str">
        <f> IF(FK304&lt;&gt;"",TEXT(AUX!FO$1,"dd-MMM-aa"),"")</f>
      </c>
      <c r="FL284" s="496" t="str">
        <f> IF(FL304&lt;&gt;"",TEXT(AUX!FP$1,"dd-MMM-aa"),"")</f>
      </c>
      <c r="FM284" s="496" t="str">
        <f> IF(FM304&lt;&gt;"",TEXT(AUX!FQ$1,"dd-MMM-aa"),"")</f>
      </c>
      <c r="FN284" s="496" t="str">
        <f> IF(FN304&lt;&gt;"",TEXT(AUX!FR$1,"dd-MMM-aa"),"")</f>
      </c>
      <c r="FO284" s="496" t="str">
        <f> IF(FO304&lt;&gt;"",TEXT(AUX!FS$1,"dd-MMM-aa"),"")</f>
      </c>
      <c r="FP284" s="496" t="str">
        <f> IF(FP304&lt;&gt;"",TEXT(AUX!FT$1,"dd-MMM-aa"),"")</f>
      </c>
      <c r="FQ284" s="496" t="str">
        <f> IF(FQ304&lt;&gt;"",TEXT(AUX!FU$1,"dd-MMM-aa"),"")</f>
      </c>
      <c r="FR284" s="496" t="str">
        <f> IF(FR304&lt;&gt;"",TEXT(AUX!FV$1,"dd-MMM-aa"),"")</f>
      </c>
      <c r="FS284" s="496" t="str">
        <f> IF(FS304&lt;&gt;"",TEXT(AUX!FW$1,"dd-MMM-aa"),"")</f>
      </c>
      <c r="FT284" s="496" t="str">
        <f> IF(FT304&lt;&gt;"",TEXT(AUX!FX$1,"dd-MMM-aa"),"")</f>
      </c>
      <c r="FU284" s="496" t="str">
        <f> IF(FU304&lt;&gt;"",TEXT(AUX!FY$1,"dd-MMM-aa"),"")</f>
      </c>
      <c r="FV284" s="496" t="str">
        <f> IF(FV304&lt;&gt;"",TEXT(AUX!FZ$1,"dd-MMM-aa"),"")</f>
      </c>
      <c r="FW284" s="496" t="str">
        <f> IF(FW304&lt;&gt;"",TEXT(AUX!GA$1,"dd-MMM-aa"),"")</f>
      </c>
      <c r="FX284" s="496" t="str">
        <f> IF(FX304&lt;&gt;"",TEXT(AUX!GB$1,"dd-MMM-aa"),"")</f>
      </c>
      <c r="FY284" s="496" t="str">
        <f> IF(FY304&lt;&gt;"",TEXT(AUX!GC$1,"dd-MMM-aa"),"")</f>
      </c>
      <c r="FZ284" s="496" t="str">
        <f> IF(FZ304&lt;&gt;"",TEXT(AUX!GD$1,"dd-MMM-aa"),"")</f>
      </c>
      <c r="GA284" s="496" t="str">
        <f> IF(GA304&lt;&gt;"",TEXT(AUX!GE$1,"dd-MMM-aa"),"")</f>
      </c>
      <c r="GB284" s="496" t="str">
        <f> IF(GB304&lt;&gt;"",TEXT(AUX!GF$1,"dd-MMM-aa"),"")</f>
      </c>
      <c r="GC284" s="496" t="str">
        <f> IF(GC304&lt;&gt;"",TEXT(AUX!GG$1,"dd-MMM-aa"),"")</f>
      </c>
      <c r="GD284" s="496" t="str">
        <f> IF(GD304&lt;&gt;"",TEXT(AUX!GH$1,"dd-MMM-aa"),"")</f>
      </c>
      <c r="GE284" s="496" t="str">
        <f> IF(GE304&lt;&gt;"",TEXT(AUX!GI$1,"dd-MMM-aa"),"")</f>
      </c>
      <c r="GF284" s="496" t="str">
        <f> IF(GF304&lt;&gt;"",TEXT(AUX!GJ$1,"dd-MMM-aa"),"")</f>
      </c>
      <c r="GG284" s="496" t="str">
        <f> IF(GG304&lt;&gt;"",TEXT(AUX!GK$1,"dd-MMM-aa"),"")</f>
      </c>
      <c r="GH284" s="496" t="str">
        <f> IF(GH304&lt;&gt;"",TEXT(AUX!GL$1,"dd-MMM-aa"),"")</f>
      </c>
      <c r="GI284" s="496" t="str">
        <f> IF(GI304&lt;&gt;"",TEXT(AUX!GM$1,"dd-MMM-aa"),"")</f>
      </c>
      <c r="GJ284" s="496" t="str">
        <f> IF(GJ304&lt;&gt;"",TEXT(AUX!GN$1,"dd-MMM-aa"),"")</f>
      </c>
      <c r="GK284" s="496" t="str">
        <f> IF(GK304&lt;&gt;"",TEXT(AUX!GO$1,"dd-MMM-aa"),"")</f>
      </c>
      <c r="GL284" s="496" t="str">
        <f> IF(GL304&lt;&gt;"",TEXT(AUX!GP$1,"dd-MMM-aa"),"")</f>
      </c>
      <c r="GM284" s="496" t="str">
        <f> IF(GM304&lt;&gt;"",TEXT(AUX!GQ$1,"dd-MMM-aa"),"")</f>
      </c>
      <c r="GN284" s="496" t="str">
        <f> IF(GN304&lt;&gt;"",TEXT(AUX!GR$1,"dd-MMM-aa"),"")</f>
      </c>
      <c r="GO284" s="496" t="str">
        <f> IF(GO304&lt;&gt;"",TEXT(AUX!GS$1,"dd-MMM-aa"),"")</f>
      </c>
      <c r="GP284" s="496" t="str">
        <f> IF(GP304&lt;&gt;"",TEXT(AUX!GT$1,"dd-MMM-aa"),"")</f>
      </c>
      <c r="GQ284" s="496" t="str">
        <f> IF(GQ304&lt;&gt;"",TEXT(AUX!GU$1,"dd-MMM-aa"),"")</f>
      </c>
      <c r="GR284" s="496" t="str">
        <f> IF(GR304&lt;&gt;"",TEXT(AUX!GV$1,"dd-MMM-aa"),"")</f>
      </c>
      <c r="GS284" s="496" t="str">
        <f> IF(GS304&lt;&gt;"",TEXT(AUX!GW$1,"dd-MMM-aa"),"")</f>
      </c>
      <c r="GT284" s="496" t="str">
        <f> IF(GT304&lt;&gt;"",TEXT(AUX!GX$1,"dd-MMM-aa"),"")</f>
      </c>
      <c r="GU284" s="496" t="str">
        <f> IF(GU304&lt;&gt;"",TEXT(AUX!GY$1,"dd-MMM-aa"),"")</f>
      </c>
      <c r="GV284" s="496" t="str">
        <f> IF(GV304&lt;&gt;"",TEXT(AUX!GZ$1,"dd-MMM-aa"),"")</f>
      </c>
      <c r="GW284" s="496" t="str">
        <f> IF(GW304&lt;&gt;"",TEXT(AUX!HA$1,"dd-MMM-aa"),"")</f>
      </c>
      <c r="GX284" s="496" t="str">
        <f> IF(GX304&lt;&gt;"",TEXT(AUX!HB$1,"dd-MMM-aa"),"")</f>
      </c>
      <c r="GY284" s="496" t="str">
        <f> IF(GY304&lt;&gt;"",TEXT(AUX!HC$1,"dd-MMM-aa"),"")</f>
      </c>
      <c r="GZ284" s="496" t="str">
        <f> IF(GZ304&lt;&gt;"",TEXT(AUX!HD$1,"dd-MMM-aa"),"")</f>
      </c>
      <c r="HA284" s="496" t="str">
        <f> IF(HA304&lt;&gt;"",TEXT(AUX!HE$1,"dd-MMM-aa"),"")</f>
      </c>
      <c r="HB284" s="496" t="str">
        <f> IF(HB304&lt;&gt;"",TEXT(AUX!HF$1,"dd-MMM-aa"),"")</f>
      </c>
      <c r="HC284" s="496" t="str">
        <f> IF(HC304&lt;&gt;"",TEXT(AUX!HG$1,"dd-MMM-aa"),"")</f>
      </c>
      <c r="HD284" s="496" t="str">
        <f> IF(HD304&lt;&gt;"",TEXT(AUX!HH$1,"dd-MMM-aa"),"")</f>
      </c>
      <c r="HE284" s="496" t="str">
        <f> IF(HE304&lt;&gt;"",TEXT(AUX!HI$1,"dd-MMM-aa"),"")</f>
      </c>
      <c r="HF284" s="496" t="str">
        <f> IF(HF304&lt;&gt;"",TEXT(AUX!HJ$1,"dd-MMM-aa"),"")</f>
      </c>
      <c r="HG284" s="496" t="str">
        <f> IF(HG304&lt;&gt;"",TEXT(AUX!HK$1,"dd-MMM-aa"),"")</f>
      </c>
      <c r="HH284" s="496" t="str">
        <f> IF(HH304&lt;&gt;"",TEXT(AUX!HL$1,"dd-MMM-aa"),"")</f>
      </c>
      <c r="HI284" s="496" t="str">
        <f> IF(HI304&lt;&gt;"",TEXT(AUX!HM$1,"dd-MMM-aa"),"")</f>
      </c>
      <c r="HJ284" s="496" t="str">
        <f> IF(HJ304&lt;&gt;"",TEXT(AUX!HN$1,"dd-MMM-aa"),"")</f>
      </c>
      <c r="HK284" s="496" t="str">
        <f> IF(HK304&lt;&gt;"",TEXT(AUX!HO$1,"dd-MMM-aa"),"")</f>
      </c>
      <c r="HL284" s="496" t="str">
        <f> IF(HL304&lt;&gt;"",TEXT(AUX!HP$1,"dd-MMM-aa"),"")</f>
      </c>
      <c r="HM284" s="496" t="str">
        <f> IF(HM304&lt;&gt;"",TEXT(AUX!HQ$1,"dd-MMM-aa"),"")</f>
      </c>
      <c r="HN284" s="496" t="str">
        <f> IF(HN304&lt;&gt;"",TEXT(AUX!HR$1,"dd-MMM-aa"),"")</f>
      </c>
      <c r="HO284" s="496" t="str">
        <f> IF(HO304&lt;&gt;"",TEXT(AUX!HS$1,"dd-MMM-aa"),"")</f>
      </c>
      <c r="HP284" s="496" t="str">
        <f> IF(HP304&lt;&gt;"",TEXT(AUX!HT$1,"dd-MMM-aa"),"")</f>
      </c>
      <c r="HQ284" s="496" t="str">
        <f> IF(HQ304&lt;&gt;"",TEXT(AUX!HU$1,"dd-MMM-aa"),"")</f>
      </c>
      <c r="HR284" s="496" t="str">
        <f> IF(HR304&lt;&gt;"",TEXT(AUX!HV$1,"dd-MMM-aa"),"")</f>
      </c>
      <c r="HS284" s="496" t="str">
        <f> IF(HS304&lt;&gt;"",TEXT(AUX!HW$1,"dd-MMM-aa"),"")</f>
      </c>
      <c r="HT284" s="496" t="str">
        <f> IF(HT304&lt;&gt;"",TEXT(AUX!HX$1,"dd-MMM-aa"),"")</f>
      </c>
      <c r="HU284" s="496" t="str">
        <f> IF(HU304&lt;&gt;"",TEXT(AUX!HY$1,"dd-MMM-aa"),"")</f>
      </c>
      <c r="HV284" s="496" t="str">
        <f> IF(HV304&lt;&gt;"",TEXT(AUX!HZ$1,"dd-MMM-aa"),"")</f>
      </c>
      <c r="HW284" s="496" t="str">
        <f> IF(HW304&lt;&gt;"",TEXT(AUX!IA$1,"dd-MMM-aa"),"")</f>
      </c>
      <c r="HX284" s="496" t="str">
        <f> IF(HX304&lt;&gt;"",TEXT(AUX!IB$1,"dd-MMM-aa"),"")</f>
      </c>
      <c r="HY284" s="496" t="str">
        <f> IF(HY304&lt;&gt;"",TEXT(AUX!IC$1,"dd-MMM-aa"),"")</f>
      </c>
      <c r="HZ284" s="496" t="str">
        <f> IF(HZ304&lt;&gt;"",TEXT(AUX!ID$1,"dd-MMM-aa"),"")</f>
      </c>
      <c r="IA284" s="496" t="str">
        <f> IF(IA304&lt;&gt;"",TEXT(AUX!IE$1,"dd-MMM-aa"),"")</f>
      </c>
      <c r="IB284" s="496" t="str">
        <f> IF(IB304&lt;&gt;"",TEXT(AUX!IF$1,"dd-MMM-aa"),"")</f>
      </c>
      <c r="IC284" s="496" t="str">
        <f> IF(IC304&lt;&gt;"",TEXT(AUX!IG$1,"dd-MMM-aa"),"")</f>
      </c>
      <c r="ID284" s="496" t="str">
        <f> IF(ID304&lt;&gt;"",TEXT(AUX!IH$1,"dd-MMM-aa"),"")</f>
      </c>
      <c r="IE284" s="496" t="str">
        <f> IF(IE304&lt;&gt;"",TEXT(AUX!II$1,"dd-MMM-aa"),"")</f>
      </c>
      <c r="IF284" s="496" t="str">
        <f> IF(IF304&lt;&gt;"",TEXT(AUX!IJ$1,"dd-MMM-aa"),"")</f>
      </c>
      <c r="IG284" s="496" t="str">
        <f> IF(IG304&lt;&gt;"",TEXT(AUX!IK$1,"dd-MMM-aa"),"")</f>
      </c>
      <c r="IH284" s="496" t="str">
        <f> IF(IH304&lt;&gt;"",TEXT(AUX!IL$1,"dd-MMM-aa"),"")</f>
      </c>
      <c r="II284" s="496" t="str">
        <f> IF(II304&lt;&gt;"",TEXT(AUX!IM$1,"dd-MMM-aa"),"")</f>
      </c>
      <c r="IJ284" s="496" t="str">
        <f> IF(IJ304&lt;&gt;"",TEXT(AUX!IN$1,"dd-MMM-aa"),"")</f>
      </c>
      <c r="IK284" s="496" t="str">
        <f> IF(IK304&lt;&gt;"",TEXT(AUX!IO$1,"dd-MMM-aa"),"")</f>
      </c>
      <c r="IL284" s="496" t="str">
        <f> IF(IL304&lt;&gt;"",TEXT(AUX!IP$1,"dd-MMM-aa"),"")</f>
      </c>
      <c r="IM284" s="496" t="str">
        <f> IF(IM304&lt;&gt;"",TEXT(AUX!IQ$1,"dd-MMM-aa"),"")</f>
      </c>
      <c r="IN284" s="496" t="str">
        <f> IF(IN304&lt;&gt;"",TEXT(AUX!IR$1,"dd-MMM-aa"),"")</f>
      </c>
      <c r="IO284" s="496" t="str">
        <f> IF(IO304&lt;&gt;"",TEXT(AUX!IS$1,"dd-MMM-aa"),"")</f>
      </c>
      <c r="IP284" s="496" t="str">
        <f> IF(IP304&lt;&gt;"",TEXT(AUX!IT$1,"dd-MMM-aa"),"")</f>
      </c>
      <c r="IQ284" s="496" t="str">
        <f> IF(IQ304&lt;&gt;"",TEXT(AUX!IU$1,"dd-MMM-aa"),"")</f>
      </c>
      <c r="IR284" s="496" t="str">
        <f> IF(IR304&lt;&gt;"",TEXT(AUX!IV$1,"dd-MMM-aa"),"")</f>
      </c>
      <c r="IS284" s="496" t="str">
        <f> IF(IS304&lt;&gt;"",TEXT(AUX!#REF!,"dd-MMM-aa"),"")</f>
      </c>
      <c r="IT284" s="496" t="str">
        <f> IF(IT304&lt;&gt;"",TEXT(AUX!#REF!,"dd-MMM-aa"),"")</f>
      </c>
      <c r="IU284" s="496" t="str">
        <f> IF(IU304&lt;&gt;"",TEXT(AUX!#REF!,"dd-MMM-aa"),"")</f>
      </c>
      <c r="IV284" s="496" t="str">
        <f> IF(IV304&lt;&gt;"",TEXT(AUX!#REF!,"dd-MMM-aa"),"")</f>
      </c>
    </row>
    <row r="285" hidden="1">
      <c r="B285" s="833" t="s">
        <v>8</v>
      </c>
      <c r="C285" s="827">
        <v>20715317</v>
      </c>
      <c r="D285" s="827">
        <v>21138611</v>
      </c>
      <c r="E285" s="827">
        <v>19215551</v>
      </c>
      <c r="F285" s="827">
        <v>15809919</v>
      </c>
      <c r="G285" s="827">
        <v>14864715</v>
      </c>
      <c r="H285" s="827">
        <v>12200746</v>
      </c>
      <c r="I285" s="827">
        <v>12887997</v>
      </c>
      <c r="J285" s="827">
        <v>13567367</v>
      </c>
      <c r="K285" s="827">
        <v>21533019</v>
      </c>
      <c r="L285" s="827">
        <v>20410812</v>
      </c>
      <c r="M285" s="827">
        <v>16870191</v>
      </c>
      <c r="N285" s="827">
        <v>18435191</v>
      </c>
      <c r="O285" s="827">
        <v>18830759</v>
      </c>
      <c r="P285" s="827">
        <v>16603608</v>
      </c>
      <c r="Q285" s="827">
        <v>20389679</v>
      </c>
      <c r="R285" s="827">
        <v>22484286</v>
      </c>
      <c r="S285" s="827">
        <v>19474385</v>
      </c>
      <c r="T285" s="827">
        <v>18467815</v>
      </c>
      <c r="U285" s="827">
        <v>19735796</v>
      </c>
      <c r="V285" s="827">
        <v>17985378</v>
      </c>
      <c r="W285" s="827">
        <v>21064160</v>
      </c>
      <c r="X285" s="827">
        <v>20849538</v>
      </c>
      <c r="Y285" s="827">
        <v>21039006</v>
      </c>
      <c r="Z285" s="827">
        <v>22378143</v>
      </c>
      <c r="AA285" s="827">
        <v>23141517</v>
      </c>
      <c r="AB285" s="834">
        <v>23406753</v>
      </c>
      <c r="AC285" s="828">
        <v>24073965</v>
      </c>
      <c r="AD285" s="828">
        <v>24849467</v>
      </c>
      <c r="AE285" s="828">
        <v>24895867</v>
      </c>
      <c r="AF285" s="828">
        <v>23139362</v>
      </c>
      <c r="AG285" s="828">
        <v>24574515</v>
      </c>
      <c r="AH285" s="828">
        <v>24273932</v>
      </c>
      <c r="AI285" s="828">
        <v>22151831</v>
      </c>
      <c r="AJ285" s="828">
        <v>23994220</v>
      </c>
      <c r="AK285" s="828">
        <v>24642458</v>
      </c>
      <c r="AL285" s="828">
        <v>21518258</v>
      </c>
      <c r="AM285" s="828">
        <v>17695477</v>
      </c>
      <c r="AN285" s="828">
        <v>18770606</v>
      </c>
      <c r="AO285" s="828">
        <v>19636837</v>
      </c>
      <c r="AP285" s="828">
        <v>20629144</v>
      </c>
    </row>
    <row r="286" hidden="1">
      <c r="B286" s="829" t="s">
        <v>9</v>
      </c>
      <c r="C286" s="823">
        <v>17343589</v>
      </c>
      <c r="D286" s="823">
        <v>18709187</v>
      </c>
      <c r="E286" s="823">
        <v>18837406</v>
      </c>
      <c r="F286" s="823">
        <v>18247767</v>
      </c>
      <c r="G286" s="823">
        <v>19178729</v>
      </c>
      <c r="H286" s="823">
        <v>19178729</v>
      </c>
      <c r="I286" s="823">
        <v>19157759</v>
      </c>
      <c r="J286" s="823">
        <v>18839950</v>
      </c>
      <c r="K286" s="823">
        <v>2756119</v>
      </c>
      <c r="L286" s="823">
        <v>3155508</v>
      </c>
      <c r="M286" s="823">
        <v>5111685</v>
      </c>
      <c r="N286" s="823">
        <v>13734033</v>
      </c>
      <c r="O286" s="823">
        <v>16651744</v>
      </c>
      <c r="P286" s="823">
        <v>17511525</v>
      </c>
      <c r="Q286" s="823">
        <v>20142098</v>
      </c>
      <c r="R286" s="823">
        <v>19335193</v>
      </c>
      <c r="S286" s="823">
        <v>20308392</v>
      </c>
      <c r="T286" s="823">
        <v>20202658</v>
      </c>
      <c r="U286" s="823">
        <v>20834180</v>
      </c>
      <c r="V286" s="823">
        <v>20491825</v>
      </c>
      <c r="W286" s="823">
        <v>21127235</v>
      </c>
      <c r="X286" s="823">
        <v>21542555</v>
      </c>
      <c r="Y286" s="823">
        <v>20745954</v>
      </c>
      <c r="Z286" s="823">
        <v>21005589</v>
      </c>
      <c r="AA286" s="823">
        <v>54537401</v>
      </c>
      <c r="AB286" s="823">
        <v>54553923</v>
      </c>
      <c r="AC286" s="825">
        <v>70756273</v>
      </c>
      <c r="AD286" s="825">
        <v>69352300</v>
      </c>
      <c r="AE286" s="825">
        <v>73686156</v>
      </c>
      <c r="AF286" s="825">
        <v>73137298</v>
      </c>
      <c r="AG286" s="825">
        <v>72468555</v>
      </c>
      <c r="AH286" s="825">
        <v>71826636</v>
      </c>
      <c r="AI286" s="825">
        <v>44314941</v>
      </c>
      <c r="AJ286" s="825">
        <v>43998866</v>
      </c>
      <c r="AK286" s="825">
        <v>40589503</v>
      </c>
      <c r="AL286" s="825">
        <v>40079863</v>
      </c>
      <c r="AM286" s="825">
        <v>40110648</v>
      </c>
      <c r="AN286" s="825">
        <v>40648124</v>
      </c>
      <c r="AO286" s="825">
        <v>40161886</v>
      </c>
      <c r="AP286" s="825">
        <v>40655084</v>
      </c>
    </row>
    <row r="287" hidden="1">
      <c r="B287" s="826" t="s">
        <v>10</v>
      </c>
      <c r="C287" s="827">
        <v>330368</v>
      </c>
      <c r="D287" s="827">
        <v>330368</v>
      </c>
      <c r="E287" s="827">
        <v>330978</v>
      </c>
      <c r="F287" s="827">
        <v>324678</v>
      </c>
      <c r="G287" s="827">
        <v>220055</v>
      </c>
      <c r="H287" s="827">
        <v>220055</v>
      </c>
      <c r="I287" s="827">
        <v>1027541</v>
      </c>
      <c r="J287" s="827">
        <v>308839</v>
      </c>
      <c r="K287" s="827">
        <v>348965</v>
      </c>
      <c r="L287" s="827">
        <v>128873</v>
      </c>
      <c r="M287" s="827">
        <v>178585</v>
      </c>
      <c r="N287" s="827">
        <v>178585</v>
      </c>
      <c r="O287" s="827">
        <v>123071</v>
      </c>
      <c r="P287" s="827">
        <v>147261</v>
      </c>
      <c r="Q287" s="827">
        <v>132128</v>
      </c>
      <c r="R287" s="827">
        <v>131806</v>
      </c>
      <c r="S287" s="827">
        <v>137289</v>
      </c>
      <c r="T287" s="827">
        <v>89806</v>
      </c>
      <c r="U287" s="827">
        <v>143118</v>
      </c>
      <c r="V287" s="827">
        <v>150089</v>
      </c>
      <c r="W287" s="827">
        <v>156893</v>
      </c>
      <c r="X287" s="827">
        <v>162197</v>
      </c>
      <c r="Y287" s="827">
        <v>144747</v>
      </c>
      <c r="Z287" s="827">
        <v>139347</v>
      </c>
      <c r="AA287" s="827">
        <v>120421</v>
      </c>
      <c r="AB287" s="827">
        <v>120560</v>
      </c>
      <c r="AC287" s="828">
        <v>147725</v>
      </c>
      <c r="AD287" s="828">
        <v>147984</v>
      </c>
      <c r="AE287" s="828">
        <v>101863</v>
      </c>
      <c r="AF287" s="828">
        <v>101471</v>
      </c>
      <c r="AG287" s="828">
        <v>106926</v>
      </c>
      <c r="AH287" s="828">
        <v>102511</v>
      </c>
      <c r="AI287" s="828">
        <v>118777</v>
      </c>
      <c r="AJ287" s="828">
        <v>118733</v>
      </c>
      <c r="AK287" s="828">
        <v>117091</v>
      </c>
      <c r="AL287" s="828">
        <v>118772</v>
      </c>
      <c r="AM287" s="828">
        <v>127187</v>
      </c>
      <c r="AN287" s="828">
        <v>126892</v>
      </c>
      <c r="AO287" s="828">
        <v>105512</v>
      </c>
      <c r="AP287" s="828">
        <v>101361</v>
      </c>
    </row>
    <row r="288" hidden="1">
      <c r="B288" s="829" t="s">
        <v>11</v>
      </c>
      <c r="C288" s="823">
        <v>2283626</v>
      </c>
      <c r="D288" s="823">
        <v>2315446</v>
      </c>
      <c r="E288" s="823">
        <v>2391365</v>
      </c>
      <c r="F288" s="823">
        <v>2391264</v>
      </c>
      <c r="G288" s="823">
        <v>2271860</v>
      </c>
      <c r="H288" s="823">
        <v>2266793</v>
      </c>
      <c r="I288" s="823">
        <v>2318256</v>
      </c>
      <c r="J288" s="823">
        <v>2312480</v>
      </c>
      <c r="K288" s="823">
        <v>1146269</v>
      </c>
      <c r="L288" s="823">
        <v>1055869</v>
      </c>
      <c r="M288" s="823">
        <v>4834580</v>
      </c>
      <c r="N288" s="823">
        <v>4861880</v>
      </c>
      <c r="O288" s="823">
        <v>4639840</v>
      </c>
      <c r="P288" s="823">
        <v>4627840</v>
      </c>
      <c r="Q288" s="823">
        <v>4555840</v>
      </c>
      <c r="R288" s="823">
        <v>4559730</v>
      </c>
      <c r="S288" s="823">
        <v>804870</v>
      </c>
      <c r="T288" s="823">
        <v>748120</v>
      </c>
      <c r="U288" s="823">
        <v>809750</v>
      </c>
      <c r="V288" s="823">
        <v>788220</v>
      </c>
      <c r="W288" s="823">
        <v>639400</v>
      </c>
      <c r="X288" s="823">
        <v>467920</v>
      </c>
      <c r="Y288" s="823">
        <v>566300</v>
      </c>
      <c r="Z288" s="823">
        <v>374978</v>
      </c>
      <c r="AA288" s="823">
        <v>374978</v>
      </c>
      <c r="AB288" s="823">
        <v>464219</v>
      </c>
      <c r="AC288" s="825">
        <v>372306</v>
      </c>
      <c r="AD288" s="825">
        <v>398095</v>
      </c>
      <c r="AE288" s="825">
        <v>462477</v>
      </c>
      <c r="AF288" s="825">
        <v>467732</v>
      </c>
      <c r="AG288" s="825">
        <v>409348</v>
      </c>
      <c r="AH288" s="825">
        <v>410618</v>
      </c>
      <c r="AI288" s="825">
        <v>383479</v>
      </c>
      <c r="AJ288" s="825">
        <v>387116</v>
      </c>
      <c r="AK288" s="825">
        <v>495048</v>
      </c>
      <c r="AL288" s="825">
        <v>509394</v>
      </c>
      <c r="AM288" s="825">
        <v>509881</v>
      </c>
      <c r="AN288" s="825">
        <v>511885</v>
      </c>
      <c r="AO288" s="825">
        <v>532937</v>
      </c>
      <c r="AP288" s="825">
        <v>533674</v>
      </c>
    </row>
    <row r="289" hidden="1">
      <c r="B289" s="826" t="s">
        <v>12</v>
      </c>
      <c r="C289" s="827">
        <v>3887127</v>
      </c>
      <c r="D289" s="827">
        <v>4109136</v>
      </c>
      <c r="E289" s="827">
        <v>5676604</v>
      </c>
      <c r="F289" s="827">
        <v>5700954</v>
      </c>
      <c r="G289" s="827">
        <v>5749025</v>
      </c>
      <c r="H289" s="827">
        <v>5732054</v>
      </c>
      <c r="I289" s="827">
        <v>8041178</v>
      </c>
      <c r="J289" s="827">
        <v>7797565</v>
      </c>
      <c r="K289" s="827">
        <v>5742711</v>
      </c>
      <c r="L289" s="827">
        <v>6174710</v>
      </c>
      <c r="M289" s="827">
        <v>5289651</v>
      </c>
      <c r="N289" s="827">
        <v>4976439</v>
      </c>
      <c r="O289" s="827">
        <v>4461510</v>
      </c>
      <c r="P289" s="827">
        <v>4287811</v>
      </c>
      <c r="Q289" s="827">
        <v>5945415</v>
      </c>
      <c r="R289" s="827">
        <v>5753712</v>
      </c>
      <c r="S289" s="827">
        <v>4143116</v>
      </c>
      <c r="T289" s="827">
        <v>4147715</v>
      </c>
      <c r="U289" s="827">
        <v>4190050</v>
      </c>
      <c r="V289" s="827">
        <v>4403456</v>
      </c>
      <c r="W289" s="827">
        <v>4794411</v>
      </c>
      <c r="X289" s="827">
        <v>4563096</v>
      </c>
      <c r="Y289" s="827">
        <v>4627185</v>
      </c>
      <c r="Z289" s="827">
        <v>4562190</v>
      </c>
      <c r="AA289" s="827">
        <v>5043369</v>
      </c>
      <c r="AB289" s="827">
        <v>5064380</v>
      </c>
      <c r="AC289" s="828">
        <v>4625619</v>
      </c>
      <c r="AD289" s="828">
        <v>4528296</v>
      </c>
      <c r="AE289" s="828">
        <v>4414988</v>
      </c>
      <c r="AF289" s="828">
        <v>4437480</v>
      </c>
      <c r="AG289" s="828">
        <v>4418176</v>
      </c>
      <c r="AH289" s="828">
        <v>4414201</v>
      </c>
      <c r="AI289" s="828">
        <v>4517422</v>
      </c>
      <c r="AJ289" s="828">
        <v>4450837</v>
      </c>
      <c r="AK289" s="828">
        <v>4508285</v>
      </c>
      <c r="AL289" s="828">
        <v>4592861</v>
      </c>
      <c r="AM289" s="828">
        <v>4490857</v>
      </c>
      <c r="AN289" s="828">
        <v>4392184</v>
      </c>
      <c r="AO289" s="828">
        <v>4096435</v>
      </c>
      <c r="AP289" s="828">
        <v>4636826</v>
      </c>
    </row>
    <row r="290" hidden="1">
      <c r="B290" s="829" t="s">
        <v>13</v>
      </c>
      <c r="C290" s="823">
        <v>156894</v>
      </c>
      <c r="D290" s="823">
        <v>147055</v>
      </c>
      <c r="E290" s="823">
        <v>170162</v>
      </c>
      <c r="F290" s="823">
        <v>191044</v>
      </c>
      <c r="G290" s="823">
        <v>198862</v>
      </c>
      <c r="H290" s="823">
        <v>198948</v>
      </c>
      <c r="I290" s="823">
        <v>188083</v>
      </c>
      <c r="J290" s="823">
        <v>188095</v>
      </c>
      <c r="K290" s="823">
        <v>59250</v>
      </c>
      <c r="L290" s="823">
        <v>110538</v>
      </c>
      <c r="M290" s="823">
        <v>126016</v>
      </c>
      <c r="N290" s="823">
        <v>108732</v>
      </c>
      <c r="O290" s="823">
        <v>28306</v>
      </c>
      <c r="P290" s="823">
        <v>34452</v>
      </c>
      <c r="Q290" s="823">
        <v>52970</v>
      </c>
      <c r="R290" s="823">
        <v>64867</v>
      </c>
      <c r="S290" s="823">
        <v>70148</v>
      </c>
      <c r="T290" s="823">
        <v>69649</v>
      </c>
      <c r="U290" s="823">
        <v>29850</v>
      </c>
      <c r="V290" s="823">
        <v>71618</v>
      </c>
      <c r="W290" s="823">
        <v>71795</v>
      </c>
      <c r="X290" s="823">
        <v>72348</v>
      </c>
      <c r="Y290" s="823">
        <v>32122</v>
      </c>
      <c r="Z290" s="823">
        <v>72625</v>
      </c>
      <c r="AA290" s="823">
        <v>72001</v>
      </c>
      <c r="AB290" s="823">
        <v>65268</v>
      </c>
      <c r="AC290" s="825">
        <v>52746</v>
      </c>
      <c r="AD290" s="825">
        <v>73459</v>
      </c>
      <c r="AE290" s="825">
        <v>75677</v>
      </c>
      <c r="AF290" s="825">
        <v>75625</v>
      </c>
      <c r="AG290" s="825">
        <v>49768</v>
      </c>
      <c r="AH290" s="825">
        <v>48242</v>
      </c>
      <c r="AI290" s="825">
        <v>78654</v>
      </c>
      <c r="AJ290" s="825">
        <v>77730</v>
      </c>
      <c r="AK290" s="825">
        <v>92077</v>
      </c>
      <c r="AL290" s="825">
        <v>85635</v>
      </c>
      <c r="AM290" s="825">
        <v>67892</v>
      </c>
      <c r="AN290" s="825">
        <v>69857</v>
      </c>
      <c r="AO290" s="825">
        <v>72567</v>
      </c>
      <c r="AP290" s="825">
        <v>62269</v>
      </c>
    </row>
    <row r="291" hidden="1">
      <c r="B291" s="826" t="s">
        <v>109</v>
      </c>
      <c r="C291" s="827">
        <v>36003482</v>
      </c>
      <c r="D291" s="827">
        <v>35461300</v>
      </c>
      <c r="E291" s="827">
        <v>53730584</v>
      </c>
      <c r="F291" s="827">
        <v>52288786</v>
      </c>
      <c r="G291" s="827">
        <v>74328448</v>
      </c>
      <c r="H291" s="827">
        <v>75864620</v>
      </c>
      <c r="I291" s="827">
        <v>100821811</v>
      </c>
      <c r="J291" s="827">
        <v>101846853</v>
      </c>
      <c r="K291" s="827">
        <v>99435548</v>
      </c>
      <c r="L291" s="827">
        <v>76712492</v>
      </c>
      <c r="M291" s="827">
        <v>84478204</v>
      </c>
      <c r="N291" s="827">
        <v>82847014</v>
      </c>
      <c r="O291" s="827">
        <v>80615122</v>
      </c>
      <c r="P291" s="827">
        <v>79633885</v>
      </c>
      <c r="Q291" s="827">
        <v>76638689</v>
      </c>
      <c r="R291" s="827">
        <v>73238711</v>
      </c>
      <c r="S291" s="827">
        <v>71521721</v>
      </c>
      <c r="T291" s="827">
        <v>71718882</v>
      </c>
      <c r="U291" s="827">
        <v>72032572</v>
      </c>
      <c r="V291" s="827">
        <v>79818870</v>
      </c>
      <c r="W291" s="827">
        <v>83941719</v>
      </c>
      <c r="X291" s="827">
        <v>85654802</v>
      </c>
      <c r="Y291" s="827">
        <v>90554533</v>
      </c>
      <c r="Z291" s="827">
        <v>91061289</v>
      </c>
      <c r="AA291" s="827">
        <v>96603834</v>
      </c>
      <c r="AB291" s="827">
        <v>97190744</v>
      </c>
      <c r="AC291" s="828">
        <v>96996273</v>
      </c>
      <c r="AD291" s="828">
        <v>97605954</v>
      </c>
      <c r="AE291" s="828">
        <v>99252176</v>
      </c>
      <c r="AF291" s="828">
        <v>97214594</v>
      </c>
      <c r="AG291" s="828">
        <v>97698016</v>
      </c>
      <c r="AH291" s="828">
        <v>97023737</v>
      </c>
      <c r="AI291" s="828">
        <v>83037179</v>
      </c>
      <c r="AJ291" s="828">
        <v>81890296</v>
      </c>
      <c r="AK291" s="828">
        <v>58999954</v>
      </c>
      <c r="AL291" s="828">
        <v>58204608</v>
      </c>
      <c r="AM291" s="828">
        <v>48626544</v>
      </c>
      <c r="AN291" s="828">
        <v>49354587</v>
      </c>
      <c r="AO291" s="828">
        <v>45125531</v>
      </c>
      <c r="AP291" s="828">
        <v>46456511</v>
      </c>
    </row>
    <row r="292" hidden="1">
      <c r="B292" s="829" t="s">
        <v>110</v>
      </c>
      <c r="C292" s="823">
        <v>234109394</v>
      </c>
      <c r="D292" s="823">
        <v>117485921</v>
      </c>
      <c r="E292" s="823">
        <v>106975559</v>
      </c>
      <c r="F292" s="823">
        <v>114488096</v>
      </c>
      <c r="G292" s="823">
        <v>105170800</v>
      </c>
      <c r="H292" s="823">
        <v>104228824</v>
      </c>
      <c r="I292" s="823">
        <v>93856309</v>
      </c>
      <c r="J292" s="823">
        <v>93386044</v>
      </c>
      <c r="K292" s="823">
        <v>87534404</v>
      </c>
      <c r="L292" s="823">
        <v>19555570</v>
      </c>
      <c r="M292" s="823">
        <v>23218398</v>
      </c>
      <c r="N292" s="823">
        <v>21739602</v>
      </c>
      <c r="O292" s="823">
        <v>25349765</v>
      </c>
      <c r="P292" s="823">
        <v>26051124</v>
      </c>
      <c r="Q292" s="823">
        <v>35366963</v>
      </c>
      <c r="R292" s="823">
        <v>35342951</v>
      </c>
      <c r="S292" s="823">
        <v>40667702</v>
      </c>
      <c r="T292" s="823">
        <v>43924056</v>
      </c>
      <c r="U292" s="823">
        <v>46492048</v>
      </c>
      <c r="V292" s="823">
        <v>47713259</v>
      </c>
      <c r="W292" s="823">
        <v>51693128</v>
      </c>
      <c r="X292" s="823">
        <v>52658643</v>
      </c>
      <c r="Y292" s="823">
        <v>52058526</v>
      </c>
      <c r="Z292" s="823">
        <v>51241434</v>
      </c>
      <c r="AA292" s="823">
        <v>53534839</v>
      </c>
      <c r="AB292" s="823">
        <v>52726132</v>
      </c>
      <c r="AC292" s="825">
        <v>52774882</v>
      </c>
      <c r="AD292" s="825">
        <v>54729188</v>
      </c>
      <c r="AE292" s="825">
        <v>59222422</v>
      </c>
      <c r="AF292" s="825">
        <v>58212101</v>
      </c>
      <c r="AG292" s="825">
        <v>57439721</v>
      </c>
      <c r="AH292" s="825">
        <v>56597016</v>
      </c>
      <c r="AI292" s="825">
        <v>38925973</v>
      </c>
      <c r="AJ292" s="825">
        <v>38772687</v>
      </c>
      <c r="AK292" s="825">
        <v>33172189</v>
      </c>
      <c r="AL292" s="825">
        <v>43457173</v>
      </c>
      <c r="AM292" s="825">
        <v>32646862</v>
      </c>
      <c r="AN292" s="825">
        <v>33165310</v>
      </c>
      <c r="AO292" s="825">
        <v>31630564</v>
      </c>
      <c r="AP292" s="825">
        <v>31993824</v>
      </c>
    </row>
    <row r="293" hidden="1">
      <c r="B293" s="826" t="s">
        <v>16</v>
      </c>
      <c r="C293" s="827">
        <v>37315001</v>
      </c>
      <c r="D293" s="827">
        <v>7637365</v>
      </c>
      <c r="E293" s="827">
        <v>39523236</v>
      </c>
      <c r="F293" s="827">
        <v>40869668</v>
      </c>
      <c r="G293" s="827">
        <v>42665559</v>
      </c>
      <c r="H293" s="827">
        <v>43867415</v>
      </c>
      <c r="I293" s="827">
        <v>43058343</v>
      </c>
      <c r="J293" s="827">
        <v>44002796</v>
      </c>
      <c r="K293" s="827">
        <v>30110468</v>
      </c>
      <c r="L293" s="827">
        <v>31735157</v>
      </c>
      <c r="M293" s="827">
        <v>41836262</v>
      </c>
      <c r="N293" s="827">
        <v>41744996</v>
      </c>
      <c r="O293" s="827">
        <v>45735496</v>
      </c>
      <c r="P293" s="827">
        <v>42762551</v>
      </c>
      <c r="Q293" s="827">
        <v>54507798</v>
      </c>
      <c r="R293" s="827">
        <v>46343602</v>
      </c>
      <c r="S293" s="827">
        <v>47136417</v>
      </c>
      <c r="T293" s="827">
        <v>47605646</v>
      </c>
      <c r="U293" s="827">
        <v>53118969</v>
      </c>
      <c r="V293" s="827">
        <v>53581085</v>
      </c>
      <c r="W293" s="827">
        <v>53716130</v>
      </c>
      <c r="X293" s="827">
        <v>56342573</v>
      </c>
      <c r="Y293" s="827">
        <v>54210524</v>
      </c>
      <c r="Z293" s="827">
        <v>54167505</v>
      </c>
      <c r="AA293" s="827">
        <v>53729411</v>
      </c>
      <c r="AB293" s="827">
        <v>53899880</v>
      </c>
      <c r="AC293" s="828">
        <v>53748289</v>
      </c>
      <c r="AD293" s="828">
        <v>54001699</v>
      </c>
      <c r="AE293" s="828">
        <v>53244100</v>
      </c>
      <c r="AF293" s="828">
        <v>51116932</v>
      </c>
      <c r="AG293" s="828">
        <v>44361415</v>
      </c>
      <c r="AH293" s="828">
        <v>43541982</v>
      </c>
      <c r="AI293" s="828">
        <v>41338011</v>
      </c>
      <c r="AJ293" s="828">
        <v>40246663</v>
      </c>
      <c r="AK293" s="828">
        <v>36336687</v>
      </c>
      <c r="AL293" s="828">
        <v>36040119</v>
      </c>
      <c r="AM293" s="828">
        <v>46955311</v>
      </c>
      <c r="AN293" s="828">
        <v>45411026</v>
      </c>
      <c r="AO293" s="828">
        <v>36905657</v>
      </c>
      <c r="AP293" s="828">
        <v>36820566</v>
      </c>
    </row>
    <row r="294" hidden="1">
      <c r="B294" s="829" t="s">
        <v>17</v>
      </c>
      <c r="C294" s="823">
        <v>6947268</v>
      </c>
      <c r="D294" s="823">
        <v>7211567</v>
      </c>
      <c r="E294" s="823">
        <v>6793678</v>
      </c>
      <c r="F294" s="823">
        <v>6762493</v>
      </c>
      <c r="G294" s="823">
        <v>6349839</v>
      </c>
      <c r="H294" s="823">
        <v>6426015</v>
      </c>
      <c r="I294" s="823">
        <v>6475582</v>
      </c>
      <c r="J294" s="823">
        <v>6580971</v>
      </c>
      <c r="K294" s="823">
        <v>12299351</v>
      </c>
      <c r="L294" s="823">
        <v>16105551</v>
      </c>
      <c r="M294" s="823">
        <v>23847264</v>
      </c>
      <c r="N294" s="823">
        <v>22050687</v>
      </c>
      <c r="O294" s="823">
        <v>24944837</v>
      </c>
      <c r="P294" s="823">
        <v>24471905</v>
      </c>
      <c r="Q294" s="823">
        <v>26775385</v>
      </c>
      <c r="R294" s="823">
        <v>25791218</v>
      </c>
      <c r="S294" s="823">
        <v>27206565</v>
      </c>
      <c r="T294" s="823">
        <v>26984314</v>
      </c>
      <c r="U294" s="823">
        <v>27963853</v>
      </c>
      <c r="V294" s="823">
        <v>27302236</v>
      </c>
      <c r="W294" s="823">
        <v>30052293</v>
      </c>
      <c r="X294" s="823">
        <v>29956583</v>
      </c>
      <c r="Y294" s="823">
        <v>30958815</v>
      </c>
      <c r="Z294" s="823">
        <v>32809889</v>
      </c>
      <c r="AA294" s="823">
        <v>33554890</v>
      </c>
      <c r="AB294" s="823">
        <v>33823206</v>
      </c>
      <c r="AC294" s="825">
        <v>32734060</v>
      </c>
      <c r="AD294" s="825">
        <v>32971247</v>
      </c>
      <c r="AE294" s="825">
        <v>36866494</v>
      </c>
      <c r="AF294" s="825">
        <v>36650064</v>
      </c>
      <c r="AG294" s="825">
        <v>33266764</v>
      </c>
      <c r="AH294" s="825">
        <v>32192944</v>
      </c>
      <c r="AI294" s="825">
        <v>24521052</v>
      </c>
      <c r="AJ294" s="825">
        <v>24649815</v>
      </c>
      <c r="AK294" s="825">
        <v>21287215</v>
      </c>
      <c r="AL294" s="825">
        <v>20070245</v>
      </c>
      <c r="AM294" s="825">
        <v>18678128</v>
      </c>
      <c r="AN294" s="825">
        <v>18459385</v>
      </c>
      <c r="AO294" s="825">
        <v>18190083</v>
      </c>
      <c r="AP294" s="825">
        <v>17577832</v>
      </c>
    </row>
    <row r="295" hidden="1">
      <c r="B295" s="826" t="s">
        <v>18</v>
      </c>
      <c r="C295" s="827">
        <v>0</v>
      </c>
      <c r="D295" s="827">
        <v>665634</v>
      </c>
      <c r="E295" s="827">
        <v>1056052</v>
      </c>
      <c r="F295" s="827">
        <v>4027212</v>
      </c>
      <c r="G295" s="827">
        <v>19090822</v>
      </c>
      <c r="H295" s="827">
        <v>22725177</v>
      </c>
      <c r="I295" s="827">
        <v>183733485</v>
      </c>
      <c r="J295" s="827">
        <v>183776829</v>
      </c>
      <c r="K295" s="827">
        <v>180604991</v>
      </c>
      <c r="L295" s="827">
        <v>62230615</v>
      </c>
      <c r="M295" s="827">
        <v>75052721</v>
      </c>
      <c r="N295" s="827">
        <v>70384049</v>
      </c>
      <c r="O295" s="827">
        <v>69095327</v>
      </c>
      <c r="P295" s="827">
        <v>67152925</v>
      </c>
      <c r="Q295" s="827">
        <v>72328592</v>
      </c>
      <c r="R295" s="827">
        <v>70624194</v>
      </c>
      <c r="S295" s="827">
        <v>73806336</v>
      </c>
      <c r="T295" s="827">
        <v>72143454</v>
      </c>
      <c r="U295" s="827">
        <v>80827080</v>
      </c>
      <c r="V295" s="827">
        <v>78721116</v>
      </c>
      <c r="W295" s="827">
        <v>108751498</v>
      </c>
      <c r="X295" s="827">
        <v>106276482</v>
      </c>
      <c r="Y295" s="827">
        <v>89873014</v>
      </c>
      <c r="Z295" s="827">
        <v>87275284</v>
      </c>
      <c r="AA295" s="827">
        <v>93912711</v>
      </c>
      <c r="AB295" s="827">
        <v>91515225</v>
      </c>
      <c r="AC295" s="828">
        <v>95040029</v>
      </c>
      <c r="AD295" s="828">
        <v>93833240</v>
      </c>
      <c r="AE295" s="828">
        <v>109310846</v>
      </c>
      <c r="AF295" s="828">
        <v>107836969</v>
      </c>
      <c r="AG295" s="828">
        <v>105558237</v>
      </c>
      <c r="AH295" s="828">
        <v>103941829</v>
      </c>
      <c r="AI295" s="828">
        <v>34698877</v>
      </c>
      <c r="AJ295" s="828">
        <v>31029713</v>
      </c>
      <c r="AK295" s="828">
        <v>27405149</v>
      </c>
      <c r="AL295" s="828">
        <v>26669778</v>
      </c>
      <c r="AM295" s="828">
        <v>25358513</v>
      </c>
      <c r="AN295" s="828">
        <v>25762878</v>
      </c>
      <c r="AO295" s="828">
        <v>25635717</v>
      </c>
      <c r="AP295" s="828">
        <v>25271010</v>
      </c>
    </row>
    <row r="296" hidden="1">
      <c r="B296" s="829" t="s">
        <v>19</v>
      </c>
      <c r="C296" s="823">
        <v>3062478</v>
      </c>
      <c r="D296" s="823">
        <v>3237087</v>
      </c>
      <c r="E296" s="823">
        <v>3152932</v>
      </c>
      <c r="F296" s="823">
        <v>3151203</v>
      </c>
      <c r="G296" s="823">
        <v>3137374</v>
      </c>
      <c r="H296" s="823">
        <v>2893466</v>
      </c>
      <c r="I296" s="823">
        <v>3060133</v>
      </c>
      <c r="J296" s="823">
        <v>3091944</v>
      </c>
      <c r="K296" s="823">
        <v>3388861</v>
      </c>
      <c r="L296" s="823">
        <v>6354794</v>
      </c>
      <c r="M296" s="823">
        <v>2240604</v>
      </c>
      <c r="N296" s="823">
        <v>1892733</v>
      </c>
      <c r="O296" s="823">
        <v>2110253</v>
      </c>
      <c r="P296" s="823">
        <v>2065253</v>
      </c>
      <c r="Q296" s="823">
        <v>2686146</v>
      </c>
      <c r="R296" s="823">
        <v>2686146</v>
      </c>
      <c r="S296" s="823">
        <v>2514635</v>
      </c>
      <c r="T296" s="823">
        <v>2514635</v>
      </c>
      <c r="U296" s="823">
        <v>2399594</v>
      </c>
      <c r="V296" s="823">
        <v>2399794</v>
      </c>
      <c r="W296" s="823">
        <v>2971245</v>
      </c>
      <c r="X296" s="823">
        <v>2947863</v>
      </c>
      <c r="Y296" s="823">
        <v>2736918</v>
      </c>
      <c r="Z296" s="823">
        <v>2790107</v>
      </c>
      <c r="AA296" s="823">
        <v>2480191</v>
      </c>
      <c r="AB296" s="823">
        <v>2367445</v>
      </c>
      <c r="AC296" s="825">
        <v>2679975</v>
      </c>
      <c r="AD296" s="825">
        <v>2289837</v>
      </c>
      <c r="AE296" s="825">
        <v>2198881</v>
      </c>
      <c r="AF296" s="825">
        <v>1998313</v>
      </c>
      <c r="AG296" s="825">
        <v>2214895</v>
      </c>
      <c r="AH296" s="825">
        <v>2199538</v>
      </c>
      <c r="AI296" s="825">
        <v>1999920</v>
      </c>
      <c r="AJ296" s="825">
        <v>2594580</v>
      </c>
      <c r="AK296" s="825">
        <v>2678301</v>
      </c>
      <c r="AL296" s="825">
        <v>2739217</v>
      </c>
      <c r="AM296" s="825">
        <v>1735284</v>
      </c>
      <c r="AN296" s="825">
        <v>1735053</v>
      </c>
      <c r="AO296" s="825">
        <v>2333391</v>
      </c>
      <c r="AP296" s="825">
        <v>2325954</v>
      </c>
    </row>
    <row r="297" hidden="1">
      <c r="B297" s="826" t="s">
        <v>20</v>
      </c>
      <c r="C297" s="827">
        <v>5407304</v>
      </c>
      <c r="D297" s="827">
        <v>5463604</v>
      </c>
      <c r="E297" s="827">
        <v>5457604</v>
      </c>
      <c r="F297" s="827">
        <v>6646375</v>
      </c>
      <c r="G297" s="827">
        <v>7347705</v>
      </c>
      <c r="H297" s="827">
        <v>7200008</v>
      </c>
      <c r="I297" s="827">
        <v>7047862</v>
      </c>
      <c r="J297" s="827">
        <v>6992138</v>
      </c>
      <c r="K297" s="827">
        <v>7390041</v>
      </c>
      <c r="L297" s="827">
        <v>5352852</v>
      </c>
      <c r="M297" s="827">
        <v>8237919</v>
      </c>
      <c r="N297" s="827">
        <v>7927669</v>
      </c>
      <c r="O297" s="827">
        <v>6180733</v>
      </c>
      <c r="P297" s="827">
        <v>6217913</v>
      </c>
      <c r="Q297" s="827">
        <v>7337449</v>
      </c>
      <c r="R297" s="827">
        <v>7342949</v>
      </c>
      <c r="S297" s="827">
        <v>6612472</v>
      </c>
      <c r="T297" s="827">
        <v>6530081</v>
      </c>
      <c r="U297" s="827">
        <v>7266392</v>
      </c>
      <c r="V297" s="827">
        <v>7329060</v>
      </c>
      <c r="W297" s="827">
        <v>7665374</v>
      </c>
      <c r="X297" s="827">
        <v>7642493</v>
      </c>
      <c r="Y297" s="827">
        <v>8072218</v>
      </c>
      <c r="Z297" s="827">
        <v>8042496</v>
      </c>
      <c r="AA297" s="827">
        <v>8011867</v>
      </c>
      <c r="AB297" s="827">
        <v>8041755</v>
      </c>
      <c r="AC297" s="828">
        <v>9655794</v>
      </c>
      <c r="AD297" s="828">
        <v>9642144</v>
      </c>
      <c r="AE297" s="828">
        <v>7880121</v>
      </c>
      <c r="AF297" s="828">
        <v>7949220</v>
      </c>
      <c r="AG297" s="828">
        <v>7366144</v>
      </c>
      <c r="AH297" s="828">
        <v>7397970</v>
      </c>
      <c r="AI297" s="828">
        <v>7615583</v>
      </c>
      <c r="AJ297" s="828">
        <v>7537311</v>
      </c>
      <c r="AK297" s="828">
        <v>9714555</v>
      </c>
      <c r="AL297" s="828">
        <v>8353801</v>
      </c>
      <c r="AM297" s="828">
        <v>7627468</v>
      </c>
      <c r="AN297" s="828">
        <v>7652707</v>
      </c>
      <c r="AO297" s="828">
        <v>7852824</v>
      </c>
      <c r="AP297" s="828">
        <v>7877071</v>
      </c>
    </row>
    <row r="298" hidden="1">
      <c r="B298" s="829" t="s">
        <v>21</v>
      </c>
      <c r="C298" s="823">
        <v>4858748</v>
      </c>
      <c r="D298" s="823">
        <v>4866797</v>
      </c>
      <c r="E298" s="823">
        <v>4998105</v>
      </c>
      <c r="F298" s="823">
        <v>4977525</v>
      </c>
      <c r="G298" s="823">
        <v>5223903</v>
      </c>
      <c r="H298" s="823">
        <v>5182009</v>
      </c>
      <c r="I298" s="823">
        <v>5001542</v>
      </c>
      <c r="J298" s="823">
        <v>5084032</v>
      </c>
      <c r="K298" s="823">
        <v>5305579</v>
      </c>
      <c r="L298" s="823">
        <v>72200</v>
      </c>
      <c r="M298" s="823">
        <v>5059479</v>
      </c>
      <c r="N298" s="823">
        <v>5396149</v>
      </c>
      <c r="O298" s="823">
        <v>4705332</v>
      </c>
      <c r="P298" s="823">
        <v>4827233</v>
      </c>
      <c r="Q298" s="823">
        <v>4935724</v>
      </c>
      <c r="R298" s="823">
        <v>5052192</v>
      </c>
      <c r="S298" s="823">
        <v>5525146</v>
      </c>
      <c r="T298" s="823">
        <v>5452858</v>
      </c>
      <c r="U298" s="823">
        <v>5432118</v>
      </c>
      <c r="V298" s="823">
        <v>5676761</v>
      </c>
      <c r="W298" s="823">
        <v>5766670</v>
      </c>
      <c r="X298" s="823">
        <v>5775217</v>
      </c>
      <c r="Y298" s="823">
        <v>6058901</v>
      </c>
      <c r="Z298" s="823">
        <v>6268590</v>
      </c>
      <c r="AA298" s="823">
        <v>6308642</v>
      </c>
      <c r="AB298" s="823">
        <v>6281958</v>
      </c>
      <c r="AC298" s="825">
        <v>6605750</v>
      </c>
      <c r="AD298" s="825">
        <v>6805708</v>
      </c>
      <c r="AE298" s="825">
        <v>7159148</v>
      </c>
      <c r="AF298" s="825">
        <v>7549820</v>
      </c>
      <c r="AG298" s="825">
        <v>7745038</v>
      </c>
      <c r="AH298" s="825">
        <v>7802977</v>
      </c>
      <c r="AI298" s="825">
        <v>7726028</v>
      </c>
      <c r="AJ298" s="825">
        <v>7420178</v>
      </c>
      <c r="AK298" s="825">
        <v>7672843</v>
      </c>
      <c r="AL298" s="825">
        <v>7758999</v>
      </c>
      <c r="AM298" s="825">
        <v>7687111</v>
      </c>
      <c r="AN298" s="825">
        <v>7875292</v>
      </c>
      <c r="AO298" s="825">
        <v>8329024</v>
      </c>
      <c r="AP298" s="825">
        <v>8323422</v>
      </c>
    </row>
    <row r="299" hidden="1">
      <c r="B299" s="826" t="s">
        <v>22</v>
      </c>
      <c r="C299" s="827">
        <v>0</v>
      </c>
      <c r="D299" s="827">
        <v>0</v>
      </c>
      <c r="E299" s="827">
        <v>3800</v>
      </c>
      <c r="F299" s="827">
        <v>54660</v>
      </c>
      <c r="G299" s="827">
        <v>50850</v>
      </c>
      <c r="H299" s="827">
        <v>50850</v>
      </c>
      <c r="I299" s="827">
        <v>50850</v>
      </c>
      <c r="J299" s="827">
        <v>50850</v>
      </c>
      <c r="K299" s="827">
        <v>254999</v>
      </c>
      <c r="L299" s="827">
        <v>10391459</v>
      </c>
      <c r="M299" s="827">
        <v>310839</v>
      </c>
      <c r="N299" s="827">
        <v>1275511</v>
      </c>
      <c r="O299" s="827">
        <v>1319076</v>
      </c>
      <c r="P299" s="827">
        <v>1494690</v>
      </c>
      <c r="Q299" s="827">
        <v>1474117</v>
      </c>
      <c r="R299" s="827">
        <v>1459557</v>
      </c>
      <c r="S299" s="827">
        <v>1507506</v>
      </c>
      <c r="T299" s="827">
        <v>1487730</v>
      </c>
      <c r="U299" s="827">
        <v>2004707</v>
      </c>
      <c r="V299" s="827">
        <v>2002765</v>
      </c>
      <c r="W299" s="827">
        <v>1894158</v>
      </c>
      <c r="X299" s="827">
        <v>1869018</v>
      </c>
      <c r="Y299" s="827">
        <v>3449151</v>
      </c>
      <c r="Z299" s="827">
        <v>2263636</v>
      </c>
      <c r="AA299" s="827">
        <v>2326967</v>
      </c>
      <c r="AB299" s="827">
        <v>2308150</v>
      </c>
      <c r="AC299" s="828">
        <v>1869837</v>
      </c>
      <c r="AD299" s="828">
        <v>1902836</v>
      </c>
      <c r="AE299" s="828">
        <v>1910533</v>
      </c>
      <c r="AF299" s="828">
        <v>1856601</v>
      </c>
      <c r="AG299" s="828">
        <v>1668360</v>
      </c>
      <c r="AH299" s="828">
        <v>1697781</v>
      </c>
      <c r="AI299" s="828">
        <v>2016227</v>
      </c>
      <c r="AJ299" s="828">
        <v>1990646</v>
      </c>
      <c r="AK299" s="828">
        <v>1728178</v>
      </c>
      <c r="AL299" s="828">
        <v>1646684</v>
      </c>
      <c r="AM299" s="828">
        <v>1765866</v>
      </c>
      <c r="AN299" s="828">
        <v>1764591</v>
      </c>
      <c r="AO299" s="828">
        <v>1835327</v>
      </c>
      <c r="AP299" s="828">
        <v>1875612</v>
      </c>
    </row>
    <row r="300" hidden="1">
      <c r="B300" s="829" t="s">
        <v>23</v>
      </c>
      <c r="C300" s="823">
        <v>2566702</v>
      </c>
      <c r="D300" s="823">
        <v>2566070</v>
      </c>
      <c r="E300" s="823">
        <v>9290595</v>
      </c>
      <c r="F300" s="823">
        <v>9277795</v>
      </c>
      <c r="G300" s="823">
        <v>8854754</v>
      </c>
      <c r="H300" s="823">
        <v>8854754</v>
      </c>
      <c r="I300" s="823">
        <v>9542837</v>
      </c>
      <c r="J300" s="823">
        <v>9542527</v>
      </c>
      <c r="K300" s="823">
        <v>10540421</v>
      </c>
      <c r="L300" s="823">
        <v>2885804</v>
      </c>
      <c r="M300" s="823">
        <v>10888399</v>
      </c>
      <c r="N300" s="823">
        <v>10810976</v>
      </c>
      <c r="O300" s="823">
        <v>11876239</v>
      </c>
      <c r="P300" s="823">
        <v>11900807</v>
      </c>
      <c r="Q300" s="823">
        <v>12731374</v>
      </c>
      <c r="R300" s="823">
        <v>12340514</v>
      </c>
      <c r="S300" s="823">
        <v>12412074</v>
      </c>
      <c r="T300" s="823">
        <v>12434416</v>
      </c>
      <c r="U300" s="823">
        <v>11287219</v>
      </c>
      <c r="V300" s="823">
        <v>3024265</v>
      </c>
      <c r="W300" s="823">
        <v>3035635</v>
      </c>
      <c r="X300" s="823">
        <v>2865788</v>
      </c>
      <c r="Y300" s="823">
        <v>2800039</v>
      </c>
      <c r="Z300" s="823">
        <v>2986438</v>
      </c>
      <c r="AA300" s="823">
        <v>3104059</v>
      </c>
      <c r="AB300" s="823">
        <v>3063352</v>
      </c>
      <c r="AC300" s="825">
        <v>2994603</v>
      </c>
      <c r="AD300" s="825">
        <v>2964343</v>
      </c>
      <c r="AE300" s="825">
        <v>3336394</v>
      </c>
      <c r="AF300" s="825">
        <v>3342603</v>
      </c>
      <c r="AG300" s="825">
        <v>3109613</v>
      </c>
      <c r="AH300" s="825">
        <v>2908460</v>
      </c>
      <c r="AI300" s="825">
        <v>2945571</v>
      </c>
      <c r="AJ300" s="825">
        <v>2935217</v>
      </c>
      <c r="AK300" s="825">
        <v>3266779</v>
      </c>
      <c r="AL300" s="825">
        <v>3290015</v>
      </c>
      <c r="AM300" s="825">
        <v>3330994</v>
      </c>
      <c r="AN300" s="825">
        <v>3182460</v>
      </c>
      <c r="AO300" s="825">
        <v>3011179</v>
      </c>
      <c r="AP300" s="825">
        <v>2850728</v>
      </c>
    </row>
    <row r="301" hidden="1">
      <c r="B301" s="835" t="s">
        <v>24</v>
      </c>
      <c r="C301" s="827">
        <v>19966818</v>
      </c>
      <c r="D301" s="827">
        <v>19618944</v>
      </c>
      <c r="E301" s="827">
        <v>20955498</v>
      </c>
      <c r="F301" s="827">
        <v>20937800</v>
      </c>
      <c r="G301" s="827">
        <v>20879968</v>
      </c>
      <c r="H301" s="827">
        <v>20191741</v>
      </c>
      <c r="I301" s="827">
        <v>21293347</v>
      </c>
      <c r="J301" s="827">
        <v>21393134</v>
      </c>
      <c r="K301" s="827">
        <v>19627785</v>
      </c>
      <c r="L301" s="827">
        <v>18016277</v>
      </c>
      <c r="M301" s="827">
        <v>18125185</v>
      </c>
      <c r="N301" s="827">
        <v>17965917</v>
      </c>
      <c r="O301" s="827">
        <v>16796270</v>
      </c>
      <c r="P301" s="827">
        <v>16433278</v>
      </c>
      <c r="Q301" s="827">
        <v>18852361</v>
      </c>
      <c r="R301" s="827">
        <v>19107053</v>
      </c>
      <c r="S301" s="827">
        <v>18741347</v>
      </c>
      <c r="T301" s="827">
        <v>18254905</v>
      </c>
      <c r="U301" s="827">
        <v>18064424</v>
      </c>
      <c r="V301" s="827">
        <v>17180461</v>
      </c>
      <c r="W301" s="827">
        <v>18270419</v>
      </c>
      <c r="X301" s="827">
        <v>18354078</v>
      </c>
      <c r="Y301" s="827">
        <v>18285484</v>
      </c>
      <c r="Z301" s="827">
        <v>17355523</v>
      </c>
      <c r="AA301" s="827">
        <v>19282746</v>
      </c>
      <c r="AB301" s="827">
        <v>18725937</v>
      </c>
      <c r="AC301" s="828">
        <v>18989618</v>
      </c>
      <c r="AD301" s="828">
        <v>18692538</v>
      </c>
      <c r="AE301" s="828">
        <v>18958387</v>
      </c>
      <c r="AF301" s="828">
        <v>18588953</v>
      </c>
      <c r="AG301" s="828">
        <v>19071302</v>
      </c>
      <c r="AH301" s="828">
        <v>17338956</v>
      </c>
      <c r="AI301" s="828">
        <v>17995335</v>
      </c>
      <c r="AJ301" s="828">
        <v>17212109</v>
      </c>
      <c r="AK301" s="828">
        <v>18715905</v>
      </c>
      <c r="AL301" s="828">
        <v>18410633</v>
      </c>
      <c r="AM301" s="828">
        <v>18767782</v>
      </c>
      <c r="AN301" s="828">
        <v>18420581</v>
      </c>
      <c r="AO301" s="828">
        <v>18166707</v>
      </c>
      <c r="AP301" s="828">
        <v>18116104</v>
      </c>
    </row>
    <row r="302" hidden="1">
      <c r="B302" s="829" t="s">
        <v>25</v>
      </c>
      <c r="C302" s="823">
        <v>0</v>
      </c>
      <c r="D302" s="823">
        <v>0</v>
      </c>
      <c r="E302" s="823">
        <v>0</v>
      </c>
      <c r="F302" s="823">
        <v>0</v>
      </c>
      <c r="G302" s="823">
        <v>0</v>
      </c>
      <c r="H302" s="823">
        <v>0</v>
      </c>
      <c r="I302" s="823">
        <v>0</v>
      </c>
      <c r="J302" s="823">
        <v>0</v>
      </c>
      <c r="K302" s="823">
        <v>0</v>
      </c>
      <c r="L302" s="823">
        <v>0</v>
      </c>
      <c r="M302" s="823">
        <v>0</v>
      </c>
      <c r="N302" s="823">
        <v>0</v>
      </c>
      <c r="O302" s="823">
        <v>0</v>
      </c>
      <c r="P302" s="823">
        <v>0</v>
      </c>
      <c r="Q302" s="823">
        <v>0</v>
      </c>
      <c r="R302" s="823">
        <v>0</v>
      </c>
      <c r="S302" s="823">
        <v>0</v>
      </c>
      <c r="T302" s="823">
        <v>0</v>
      </c>
      <c r="U302" s="823">
        <v>0</v>
      </c>
      <c r="V302" s="823">
        <v>0</v>
      </c>
      <c r="W302" s="823">
        <v>0</v>
      </c>
      <c r="X302" s="823">
        <v>0</v>
      </c>
      <c r="Y302" s="823">
        <v>0</v>
      </c>
      <c r="Z302" s="823">
        <v>0</v>
      </c>
      <c r="AA302" s="823">
        <v>0</v>
      </c>
      <c r="AB302" s="823">
        <v>0</v>
      </c>
      <c r="AC302" s="825">
        <v>0</v>
      </c>
      <c r="AD302" s="825">
        <v>0</v>
      </c>
      <c r="AE302" s="825">
        <v>0</v>
      </c>
      <c r="AF302" s="825">
        <v>0</v>
      </c>
      <c r="AG302" s="825">
        <v>0</v>
      </c>
      <c r="AH302" s="825">
        <v>0</v>
      </c>
      <c r="AI302" s="825">
        <v>0</v>
      </c>
      <c r="AJ302" s="825">
        <v>0</v>
      </c>
      <c r="AK302" s="825">
        <v>0</v>
      </c>
      <c r="AL302" s="825">
        <v>0</v>
      </c>
      <c r="AM302" s="825">
        <v>0</v>
      </c>
      <c r="AN302" s="825">
        <v>0</v>
      </c>
      <c r="AO302" s="825">
        <v>0</v>
      </c>
      <c r="AP302" s="825">
        <v>0</v>
      </c>
    </row>
    <row r="303" hidden="1" ht="13.5">
      <c r="B303" s="836" t="s">
        <v>26</v>
      </c>
      <c r="C303" s="827">
        <v>0</v>
      </c>
      <c r="D303" s="827">
        <v>0</v>
      </c>
      <c r="E303" s="827">
        <v>0</v>
      </c>
      <c r="F303" s="827">
        <v>0</v>
      </c>
      <c r="G303" s="827">
        <v>0</v>
      </c>
      <c r="H303" s="827">
        <v>0</v>
      </c>
      <c r="I303" s="827">
        <v>0</v>
      </c>
      <c r="J303" s="827">
        <v>0</v>
      </c>
      <c r="K303" s="827">
        <v>0</v>
      </c>
      <c r="L303" s="827">
        <v>0</v>
      </c>
      <c r="M303" s="827">
        <v>0</v>
      </c>
      <c r="N303" s="827">
        <v>0</v>
      </c>
      <c r="O303" s="827">
        <v>0</v>
      </c>
      <c r="P303" s="827">
        <v>0</v>
      </c>
      <c r="Q303" s="827">
        <v>0</v>
      </c>
      <c r="R303" s="827">
        <v>0</v>
      </c>
      <c r="S303" s="827">
        <v>0</v>
      </c>
      <c r="T303" s="827">
        <v>0</v>
      </c>
      <c r="U303" s="827">
        <v>0</v>
      </c>
      <c r="V303" s="827">
        <v>0</v>
      </c>
      <c r="W303" s="827">
        <v>0</v>
      </c>
      <c r="X303" s="827">
        <v>0</v>
      </c>
      <c r="Y303" s="827">
        <v>0</v>
      </c>
      <c r="Z303" s="827">
        <v>0</v>
      </c>
      <c r="AA303" s="827">
        <v>0</v>
      </c>
      <c r="AB303" s="837">
        <v>0</v>
      </c>
      <c r="AC303" s="828">
        <v>0</v>
      </c>
      <c r="AD303" s="828">
        <v>0</v>
      </c>
      <c r="AE303" s="828">
        <v>0</v>
      </c>
      <c r="AF303" s="828">
        <v>0</v>
      </c>
      <c r="AG303" s="828">
        <v>0</v>
      </c>
      <c r="AH303" s="828">
        <v>0</v>
      </c>
      <c r="AI303" s="828">
        <v>0</v>
      </c>
      <c r="AJ303" s="828">
        <v>0</v>
      </c>
      <c r="AK303" s="828">
        <v>0</v>
      </c>
      <c r="AL303" s="828">
        <v>0</v>
      </c>
      <c r="AM303" s="828">
        <v>0</v>
      </c>
      <c r="AN303" s="828">
        <v>0</v>
      </c>
      <c r="AO303" s="828">
        <v>0</v>
      </c>
      <c r="AP303" s="828">
        <v>0</v>
      </c>
    </row>
    <row r="304" hidden="1" ht="13.5">
      <c r="B304" s="128" t="s">
        <v>7</v>
      </c>
      <c r="C304" s="129" t="str">
        <f>IF(SUM(C285:C303)&lt;&gt;0,SUM(C285:C303),"")</f>
      </c>
      <c r="D304" s="129" t="str">
        <f ref="D304:AA304" t="shared" si="25">IF(SUM(D285:D303)&lt;&gt;0,SUM(D285:D303),"")</f>
      </c>
      <c r="E304" s="129" t="str">
        <f t="shared" si="25"/>
      </c>
      <c r="F304" s="129" t="str">
        <f t="shared" si="25"/>
      </c>
      <c r="G304" s="129" t="str">
        <f t="shared" si="25"/>
      </c>
      <c r="H304" s="129" t="str">
        <f t="shared" si="25"/>
      </c>
      <c r="I304" s="129" t="str">
        <f t="shared" si="25"/>
      </c>
      <c r="J304" s="129" t="str">
        <f t="shared" si="25"/>
      </c>
      <c r="K304" s="129" t="str">
        <f t="shared" si="25"/>
      </c>
      <c r="L304" s="129" t="str">
        <f t="shared" si="25"/>
      </c>
      <c r="M304" s="129" t="str">
        <f t="shared" si="25"/>
      </c>
      <c r="N304" s="129" t="str">
        <f t="shared" si="25"/>
      </c>
      <c r="O304" s="129" t="str">
        <f t="shared" si="25"/>
      </c>
      <c r="P304" s="129" t="str">
        <f t="shared" si="25"/>
      </c>
      <c r="Q304" s="129" t="str">
        <f t="shared" si="25"/>
      </c>
      <c r="R304" s="129" t="str">
        <f t="shared" si="25"/>
      </c>
      <c r="S304" s="129" t="str">
        <f t="shared" si="25"/>
      </c>
      <c r="T304" s="129" t="str">
        <f t="shared" si="25"/>
      </c>
      <c r="U304" s="129" t="str">
        <f t="shared" si="25"/>
      </c>
      <c r="V304" s="129" t="str">
        <f t="shared" si="25"/>
      </c>
      <c r="W304" s="129" t="str">
        <f t="shared" si="25"/>
      </c>
      <c r="X304" s="129" t="str">
        <f t="shared" si="25"/>
      </c>
      <c r="Y304" s="129" t="str">
        <f t="shared" si="25"/>
      </c>
      <c r="Z304" s="129" t="str">
        <f t="shared" si="25"/>
      </c>
      <c r="AA304" s="129" t="str">
        <f t="shared" si="25"/>
      </c>
      <c r="AB304" s="130" t="str">
        <f>IF(SUM(AB285:AB303)&lt;&gt;0,SUM(AB285:AB303),"")</f>
      </c>
      <c r="AC304" s="91" t="str">
        <f ref="AC304:CN304" t="shared" si="26">IF(SUM(AC285:AC303)&lt;&gt;0,SUM(AC285:AC303),"")</f>
      </c>
      <c r="AD304" s="91" t="str">
        <f t="shared" si="26"/>
      </c>
      <c r="AE304" s="91" t="str">
        <f t="shared" si="26"/>
      </c>
      <c r="AF304" s="91" t="str">
        <f t="shared" si="26"/>
      </c>
      <c r="AG304" s="91" t="str">
        <f t="shared" si="26"/>
      </c>
      <c r="AH304" s="91" t="str">
        <f t="shared" si="26"/>
      </c>
      <c r="AI304" s="91" t="str">
        <f t="shared" si="26"/>
      </c>
      <c r="AJ304" s="91" t="str">
        <f t="shared" si="26"/>
      </c>
      <c r="AK304" s="91" t="str">
        <f t="shared" si="26"/>
      </c>
      <c r="AL304" s="91" t="str">
        <f t="shared" si="26"/>
      </c>
      <c r="AM304" s="91" t="str">
        <f t="shared" si="26"/>
      </c>
      <c r="AN304" s="91" t="str">
        <f t="shared" si="26"/>
      </c>
      <c r="AO304" s="91" t="str">
        <f t="shared" si="26"/>
      </c>
      <c r="AP304" s="91" t="str">
        <f t="shared" si="26"/>
      </c>
      <c r="AQ304" s="91" t="str">
        <f t="shared" si="26"/>
      </c>
      <c r="AR304" s="91" t="str">
        <f t="shared" si="26"/>
      </c>
      <c r="AS304" s="91" t="str">
        <f t="shared" si="26"/>
      </c>
      <c r="AT304" s="91" t="str">
        <f t="shared" si="26"/>
      </c>
      <c r="AU304" s="91" t="str">
        <f t="shared" si="26"/>
      </c>
      <c r="AV304" s="91" t="str">
        <f t="shared" si="26"/>
      </c>
      <c r="AW304" s="91" t="str">
        <f t="shared" si="26"/>
      </c>
      <c r="AX304" s="91" t="str">
        <f t="shared" si="26"/>
      </c>
      <c r="AY304" s="91" t="str">
        <f t="shared" si="26"/>
      </c>
      <c r="AZ304" s="91" t="str">
        <f t="shared" si="26"/>
      </c>
      <c r="BA304" s="91" t="str">
        <f t="shared" si="26"/>
      </c>
      <c r="BB304" s="91" t="str">
        <f t="shared" si="26"/>
      </c>
      <c r="BC304" s="91" t="str">
        <f t="shared" si="26"/>
      </c>
      <c r="BD304" s="91" t="str">
        <f t="shared" si="26"/>
      </c>
      <c r="BE304" s="91" t="str">
        <f t="shared" si="26"/>
      </c>
      <c r="BF304" s="91" t="str">
        <f t="shared" si="26"/>
      </c>
      <c r="BG304" s="91" t="str">
        <f t="shared" si="26"/>
      </c>
      <c r="BH304" s="91" t="str">
        <f t="shared" si="26"/>
      </c>
      <c r="BI304" s="91" t="str">
        <f t="shared" si="26"/>
      </c>
      <c r="BJ304" s="91" t="str">
        <f t="shared" si="26"/>
      </c>
      <c r="BK304" s="91" t="str">
        <f t="shared" si="26"/>
      </c>
      <c r="BL304" s="91" t="str">
        <f t="shared" si="26"/>
      </c>
      <c r="BM304" s="91" t="str">
        <f t="shared" si="26"/>
      </c>
      <c r="BN304" s="91" t="str">
        <f t="shared" si="26"/>
      </c>
      <c r="BO304" s="91" t="str">
        <f t="shared" si="26"/>
      </c>
      <c r="BP304" s="91" t="str">
        <f t="shared" si="26"/>
      </c>
      <c r="BQ304" s="91" t="str">
        <f t="shared" si="26"/>
      </c>
      <c r="BR304" s="91" t="str">
        <f t="shared" si="26"/>
      </c>
      <c r="BS304" s="91" t="str">
        <f t="shared" si="26"/>
      </c>
      <c r="BT304" s="91" t="str">
        <f t="shared" si="26"/>
      </c>
      <c r="BU304" s="91" t="str">
        <f t="shared" si="26"/>
      </c>
      <c r="BV304" s="91" t="str">
        <f t="shared" si="26"/>
      </c>
      <c r="BW304" s="91" t="str">
        <f t="shared" si="26"/>
      </c>
      <c r="BX304" s="91" t="str">
        <f t="shared" si="26"/>
      </c>
      <c r="BY304" s="91" t="str">
        <f t="shared" si="26"/>
      </c>
      <c r="BZ304" s="91" t="str">
        <f t="shared" si="26"/>
      </c>
      <c r="CA304" s="91" t="str">
        <f t="shared" si="26"/>
      </c>
      <c r="CB304" s="91" t="str">
        <f t="shared" si="26"/>
      </c>
      <c r="CC304" s="91" t="str">
        <f t="shared" si="26"/>
      </c>
      <c r="CD304" s="91" t="str">
        <f t="shared" si="26"/>
      </c>
      <c r="CE304" s="91" t="str">
        <f t="shared" si="26"/>
      </c>
      <c r="CF304" s="91" t="str">
        <f t="shared" si="26"/>
      </c>
      <c r="CG304" s="91" t="str">
        <f t="shared" si="26"/>
      </c>
      <c r="CH304" s="91" t="str">
        <f t="shared" si="26"/>
      </c>
      <c r="CI304" s="91" t="str">
        <f t="shared" si="26"/>
      </c>
      <c r="CJ304" s="91" t="str">
        <f t="shared" si="26"/>
      </c>
      <c r="CK304" s="91" t="str">
        <f t="shared" si="26"/>
      </c>
      <c r="CL304" s="91" t="str">
        <f t="shared" si="26"/>
      </c>
      <c r="CM304" s="91" t="str">
        <f t="shared" si="26"/>
      </c>
      <c r="CN304" s="91" t="str">
        <f t="shared" si="26"/>
      </c>
      <c r="CO304" s="91" t="str">
        <f ref="CO304:EZ304" t="shared" si="27">IF(SUM(CO285:CO303)&lt;&gt;0,SUM(CO285:CO303),"")</f>
      </c>
      <c r="CP304" s="91" t="str">
        <f t="shared" si="27"/>
      </c>
      <c r="CQ304" s="91" t="str">
        <f t="shared" si="27"/>
      </c>
      <c r="CR304" s="91" t="str">
        <f t="shared" si="27"/>
      </c>
      <c r="CS304" s="91" t="str">
        <f t="shared" si="27"/>
      </c>
      <c r="CT304" s="91" t="str">
        <f t="shared" si="27"/>
      </c>
      <c r="CU304" s="91" t="str">
        <f t="shared" si="27"/>
      </c>
      <c r="CV304" s="91" t="str">
        <f t="shared" si="27"/>
      </c>
      <c r="CW304" s="91" t="str">
        <f t="shared" si="27"/>
      </c>
      <c r="CX304" s="91" t="str">
        <f t="shared" si="27"/>
      </c>
      <c r="CY304" s="91" t="str">
        <f t="shared" si="27"/>
      </c>
      <c r="CZ304" s="91" t="str">
        <f t="shared" si="27"/>
      </c>
      <c r="DA304" s="91" t="str">
        <f t="shared" si="27"/>
      </c>
      <c r="DB304" s="91" t="str">
        <f t="shared" si="27"/>
      </c>
      <c r="DC304" s="91" t="str">
        <f t="shared" si="27"/>
      </c>
      <c r="DD304" s="91" t="str">
        <f t="shared" si="27"/>
      </c>
      <c r="DE304" s="91" t="str">
        <f t="shared" si="27"/>
      </c>
      <c r="DF304" s="91" t="str">
        <f t="shared" si="27"/>
      </c>
      <c r="DG304" s="91" t="str">
        <f t="shared" si="27"/>
      </c>
      <c r="DH304" s="91" t="str">
        <f t="shared" si="27"/>
      </c>
      <c r="DI304" s="91" t="str">
        <f t="shared" si="27"/>
      </c>
      <c r="DJ304" s="91" t="str">
        <f t="shared" si="27"/>
      </c>
      <c r="DK304" s="91" t="str">
        <f t="shared" si="27"/>
      </c>
      <c r="DL304" s="91" t="str">
        <f t="shared" si="27"/>
      </c>
      <c r="DM304" s="91" t="str">
        <f t="shared" si="27"/>
      </c>
      <c r="DN304" s="91" t="str">
        <f t="shared" si="27"/>
      </c>
      <c r="DO304" s="91" t="str">
        <f t="shared" si="27"/>
      </c>
      <c r="DP304" s="91" t="str">
        <f t="shared" si="27"/>
      </c>
      <c r="DQ304" s="91" t="str">
        <f t="shared" si="27"/>
      </c>
      <c r="DR304" s="91" t="str">
        <f t="shared" si="27"/>
      </c>
      <c r="DS304" s="91" t="str">
        <f t="shared" si="27"/>
      </c>
      <c r="DT304" s="91" t="str">
        <f t="shared" si="27"/>
      </c>
      <c r="DU304" s="91" t="str">
        <f t="shared" si="27"/>
      </c>
      <c r="DV304" s="91" t="str">
        <f t="shared" si="27"/>
      </c>
      <c r="DW304" s="91" t="str">
        <f t="shared" si="27"/>
      </c>
      <c r="DX304" s="91" t="str">
        <f t="shared" si="27"/>
      </c>
      <c r="DY304" s="91" t="str">
        <f t="shared" si="27"/>
      </c>
      <c r="DZ304" s="91" t="str">
        <f t="shared" si="27"/>
      </c>
      <c r="EA304" s="91" t="str">
        <f t="shared" si="27"/>
      </c>
      <c r="EB304" s="91" t="str">
        <f t="shared" si="27"/>
      </c>
      <c r="EC304" s="91" t="str">
        <f t="shared" si="27"/>
      </c>
      <c r="ED304" s="91" t="str">
        <f t="shared" si="27"/>
      </c>
      <c r="EE304" s="91" t="str">
        <f t="shared" si="27"/>
      </c>
      <c r="EF304" s="91" t="str">
        <f t="shared" si="27"/>
      </c>
      <c r="EG304" s="91" t="str">
        <f t="shared" si="27"/>
      </c>
      <c r="EH304" s="91" t="str">
        <f t="shared" si="27"/>
      </c>
      <c r="EI304" s="91" t="str">
        <f t="shared" si="27"/>
      </c>
      <c r="EJ304" s="91" t="str">
        <f t="shared" si="27"/>
      </c>
      <c r="EK304" s="91" t="str">
        <f t="shared" si="27"/>
      </c>
      <c r="EL304" s="91" t="str">
        <f t="shared" si="27"/>
      </c>
      <c r="EM304" s="91" t="str">
        <f t="shared" si="27"/>
      </c>
      <c r="EN304" s="91" t="str">
        <f t="shared" si="27"/>
      </c>
      <c r="EO304" s="91" t="str">
        <f t="shared" si="27"/>
      </c>
      <c r="EP304" s="91" t="str">
        <f t="shared" si="27"/>
      </c>
      <c r="EQ304" s="91" t="str">
        <f t="shared" si="27"/>
      </c>
      <c r="ER304" s="91" t="str">
        <f t="shared" si="27"/>
      </c>
      <c r="ES304" s="91" t="str">
        <f t="shared" si="27"/>
      </c>
      <c r="ET304" s="91" t="str">
        <f t="shared" si="27"/>
      </c>
      <c r="EU304" s="91" t="str">
        <f t="shared" si="27"/>
      </c>
      <c r="EV304" s="91" t="str">
        <f t="shared" si="27"/>
      </c>
      <c r="EW304" s="91" t="str">
        <f t="shared" si="27"/>
      </c>
      <c r="EX304" s="91" t="str">
        <f t="shared" si="27"/>
      </c>
      <c r="EY304" s="91" t="str">
        <f t="shared" si="27"/>
      </c>
      <c r="EZ304" s="91" t="str">
        <f t="shared" si="27"/>
      </c>
      <c r="FA304" s="91" t="str">
        <f ref="FA304:HL304" t="shared" si="28">IF(SUM(FA285:FA303)&lt;&gt;0,SUM(FA285:FA303),"")</f>
      </c>
      <c r="FB304" s="91" t="str">
        <f t="shared" si="28"/>
      </c>
      <c r="FC304" s="91" t="str">
        <f t="shared" si="28"/>
      </c>
      <c r="FD304" s="91" t="str">
        <f t="shared" si="28"/>
      </c>
      <c r="FE304" s="91" t="str">
        <f t="shared" si="28"/>
      </c>
      <c r="FF304" s="91" t="str">
        <f t="shared" si="28"/>
      </c>
      <c r="FG304" s="91" t="str">
        <f t="shared" si="28"/>
      </c>
      <c r="FH304" s="91" t="str">
        <f t="shared" si="28"/>
      </c>
      <c r="FI304" s="91" t="str">
        <f t="shared" si="28"/>
      </c>
      <c r="FJ304" s="91" t="str">
        <f t="shared" si="28"/>
      </c>
      <c r="FK304" s="91" t="str">
        <f t="shared" si="28"/>
      </c>
      <c r="FL304" s="91" t="str">
        <f t="shared" si="28"/>
      </c>
      <c r="FM304" s="91" t="str">
        <f t="shared" si="28"/>
      </c>
      <c r="FN304" s="91" t="str">
        <f t="shared" si="28"/>
      </c>
      <c r="FO304" s="91" t="str">
        <f t="shared" si="28"/>
      </c>
      <c r="FP304" s="91" t="str">
        <f t="shared" si="28"/>
      </c>
      <c r="FQ304" s="91" t="str">
        <f t="shared" si="28"/>
      </c>
      <c r="FR304" s="91" t="str">
        <f t="shared" si="28"/>
      </c>
      <c r="FS304" s="91" t="str">
        <f t="shared" si="28"/>
      </c>
      <c r="FT304" s="91" t="str">
        <f t="shared" si="28"/>
      </c>
      <c r="FU304" s="91" t="str">
        <f t="shared" si="28"/>
      </c>
      <c r="FV304" s="91" t="str">
        <f t="shared" si="28"/>
      </c>
      <c r="FW304" s="91" t="str">
        <f t="shared" si="28"/>
      </c>
      <c r="FX304" s="91" t="str">
        <f t="shared" si="28"/>
      </c>
      <c r="FY304" s="91" t="str">
        <f t="shared" si="28"/>
      </c>
      <c r="FZ304" s="91" t="str">
        <f t="shared" si="28"/>
      </c>
      <c r="GA304" s="91" t="str">
        <f t="shared" si="28"/>
      </c>
      <c r="GB304" s="91" t="str">
        <f t="shared" si="28"/>
      </c>
      <c r="GC304" s="91" t="str">
        <f t="shared" si="28"/>
      </c>
      <c r="GD304" s="91" t="str">
        <f t="shared" si="28"/>
      </c>
      <c r="GE304" s="91" t="str">
        <f t="shared" si="28"/>
      </c>
      <c r="GF304" s="91" t="str">
        <f t="shared" si="28"/>
      </c>
      <c r="GG304" s="91" t="str">
        <f t="shared" si="28"/>
      </c>
      <c r="GH304" s="91" t="str">
        <f t="shared" si="28"/>
      </c>
      <c r="GI304" s="91" t="str">
        <f t="shared" si="28"/>
      </c>
      <c r="GJ304" s="91" t="str">
        <f t="shared" si="28"/>
      </c>
      <c r="GK304" s="91" t="str">
        <f t="shared" si="28"/>
      </c>
      <c r="GL304" s="91" t="str">
        <f t="shared" si="28"/>
      </c>
      <c r="GM304" s="91" t="str">
        <f t="shared" si="28"/>
      </c>
      <c r="GN304" s="91" t="str">
        <f t="shared" si="28"/>
      </c>
      <c r="GO304" s="91" t="str">
        <f t="shared" si="28"/>
      </c>
      <c r="GP304" s="91" t="str">
        <f t="shared" si="28"/>
      </c>
      <c r="GQ304" s="91" t="str">
        <f t="shared" si="28"/>
      </c>
      <c r="GR304" s="91" t="str">
        <f t="shared" si="28"/>
      </c>
      <c r="GS304" s="91" t="str">
        <f t="shared" si="28"/>
      </c>
      <c r="GT304" s="91" t="str">
        <f t="shared" si="28"/>
      </c>
      <c r="GU304" s="91" t="str">
        <f t="shared" si="28"/>
      </c>
      <c r="GV304" s="91" t="str">
        <f t="shared" si="28"/>
      </c>
      <c r="GW304" s="91" t="str">
        <f t="shared" si="28"/>
      </c>
      <c r="GX304" s="91" t="str">
        <f t="shared" si="28"/>
      </c>
      <c r="GY304" s="91" t="str">
        <f t="shared" si="28"/>
      </c>
      <c r="GZ304" s="91" t="str">
        <f t="shared" si="28"/>
      </c>
      <c r="HA304" s="91" t="str">
        <f t="shared" si="28"/>
      </c>
      <c r="HB304" s="91" t="str">
        <f t="shared" si="28"/>
      </c>
      <c r="HC304" s="91" t="str">
        <f t="shared" si="28"/>
      </c>
      <c r="HD304" s="91" t="str">
        <f t="shared" si="28"/>
      </c>
      <c r="HE304" s="91" t="str">
        <f t="shared" si="28"/>
      </c>
      <c r="HF304" s="91" t="str">
        <f t="shared" si="28"/>
      </c>
      <c r="HG304" s="91" t="str">
        <f t="shared" si="28"/>
      </c>
      <c r="HH304" s="91" t="str">
        <f t="shared" si="28"/>
      </c>
      <c r="HI304" s="91" t="str">
        <f t="shared" si="28"/>
      </c>
      <c r="HJ304" s="91" t="str">
        <f t="shared" si="28"/>
      </c>
      <c r="HK304" s="91" t="str">
        <f t="shared" si="28"/>
      </c>
      <c r="HL304" s="91" t="str">
        <f t="shared" si="28"/>
      </c>
      <c r="HM304" s="91" t="str">
        <f ref="HM304:IV304" t="shared" si="29">IF(SUM(HM285:HM303)&lt;&gt;0,SUM(HM285:HM303),"")</f>
      </c>
      <c r="HN304" s="91" t="str">
        <f t="shared" si="29"/>
      </c>
      <c r="HO304" s="91" t="str">
        <f t="shared" si="29"/>
      </c>
      <c r="HP304" s="91" t="str">
        <f t="shared" si="29"/>
      </c>
      <c r="HQ304" s="91" t="str">
        <f t="shared" si="29"/>
      </c>
      <c r="HR304" s="91" t="str">
        <f t="shared" si="29"/>
      </c>
      <c r="HS304" s="91" t="str">
        <f t="shared" si="29"/>
      </c>
      <c r="HT304" s="91" t="str">
        <f t="shared" si="29"/>
      </c>
      <c r="HU304" s="91" t="str">
        <f t="shared" si="29"/>
      </c>
      <c r="HV304" s="91" t="str">
        <f t="shared" si="29"/>
      </c>
      <c r="HW304" s="91" t="str">
        <f t="shared" si="29"/>
      </c>
      <c r="HX304" s="91" t="str">
        <f t="shared" si="29"/>
      </c>
      <c r="HY304" s="91" t="str">
        <f t="shared" si="29"/>
      </c>
      <c r="HZ304" s="91" t="str">
        <f t="shared" si="29"/>
      </c>
      <c r="IA304" s="91" t="str">
        <f t="shared" si="29"/>
      </c>
      <c r="IB304" s="91" t="str">
        <f t="shared" si="29"/>
      </c>
      <c r="IC304" s="91" t="str">
        <f t="shared" si="29"/>
      </c>
      <c r="ID304" s="91" t="str">
        <f t="shared" si="29"/>
      </c>
      <c r="IE304" s="91" t="str">
        <f t="shared" si="29"/>
      </c>
      <c r="IF304" s="91" t="str">
        <f t="shared" si="29"/>
      </c>
      <c r="IG304" s="91" t="str">
        <f t="shared" si="29"/>
      </c>
      <c r="IH304" s="91" t="str">
        <f t="shared" si="29"/>
      </c>
      <c r="II304" s="91" t="str">
        <f t="shared" si="29"/>
      </c>
      <c r="IJ304" s="91" t="str">
        <f t="shared" si="29"/>
      </c>
      <c r="IK304" s="91" t="str">
        <f t="shared" si="29"/>
      </c>
      <c r="IL304" s="91" t="str">
        <f t="shared" si="29"/>
      </c>
      <c r="IM304" s="91" t="str">
        <f t="shared" si="29"/>
      </c>
      <c r="IN304" s="91" t="str">
        <f t="shared" si="29"/>
      </c>
      <c r="IO304" s="91" t="str">
        <f t="shared" si="29"/>
      </c>
      <c r="IP304" s="91" t="str">
        <f t="shared" si="29"/>
      </c>
      <c r="IQ304" s="91" t="str">
        <f t="shared" si="29"/>
      </c>
      <c r="IR304" s="91" t="str">
        <f t="shared" si="29"/>
      </c>
      <c r="IS304" s="91" t="str">
        <f t="shared" si="29"/>
      </c>
      <c r="IT304" s="91" t="str">
        <f t="shared" si="29"/>
      </c>
      <c r="IU304" s="91" t="str">
        <f t="shared" si="29"/>
      </c>
      <c r="IV304" s="91" t="str">
        <f t="shared" si="29"/>
      </c>
    </row>
    <row r="305" hidden="1"/>
    <row r="306" hidden="1" ht="13.5"/>
    <row r="307" hidden="1" ht="15.75">
      <c r="B307" s="346">
        <v>43466</v>
      </c>
      <c r="C307" s="339" t="s">
        <v>386</v>
      </c>
      <c r="D307" s="339" t="s">
        <v>387</v>
      </c>
      <c r="E307" s="339" t="s">
        <v>388</v>
      </c>
      <c r="F307" s="339" t="s">
        <v>389</v>
      </c>
      <c r="G307" s="339" t="s">
        <v>108</v>
      </c>
      <c r="H307" s="340" t="str">
        <f>INDEX($C$307:$G$307,1,$E$98)</f>
        <v>Todas</v>
      </c>
      <c r="I307" s="341"/>
      <c r="J307" s="341"/>
      <c r="K307" s="341"/>
      <c r="L307" s="341"/>
    </row>
    <row r="308" hidden="1" ht="15" customHeight="1">
      <c r="B308" s="347" t="s">
        <v>8</v>
      </c>
      <c r="C308" s="96" t="e">
        <f>INDIRECT(ADDRESS(378,MATCH(9000000000+307,378:378,1),1,,))</f>
        <v>#N/A</v>
      </c>
      <c r="D308" s="113" t="e">
        <f>INDIRECT(ADDRESS(216,MATCH(9000000000+307,216:216,1),1,,))</f>
        <v>#N/A</v>
      </c>
      <c r="E308" s="113" t="e">
        <f>INDIRECT(ADDRESS(424,MATCH(9000000000+307,424:424,1),1,,))</f>
        <v>#N/A</v>
      </c>
      <c r="F308" s="113" t="e">
        <f>INDIRECT(ADDRESS(262,MATCH(9000000000+307,262:262,1),1,,))</f>
        <v>#N/A</v>
      </c>
      <c r="G308" s="489" t="e">
        <f>INDIRECT(ADDRESS(285,MATCH(9000000000+307,285:285,1),1,,))</f>
        <v>#N/A</v>
      </c>
      <c r="H308" s="114" t="e">
        <f>INDEX($C$308:$G$327,1,$E$98)</f>
        <v>#N/A</v>
      </c>
      <c r="I308" s="219"/>
      <c r="J308" s="172"/>
      <c r="K308" s="488"/>
      <c r="L308" s="219"/>
    </row>
    <row r="309" hidden="1" ht="15">
      <c r="B309" s="277" t="s">
        <v>9</v>
      </c>
      <c r="C309" s="99" t="e">
        <f>INDIRECT(ADDRESS(379,MATCH(9000000000+307,379:379,1),1,,))</f>
        <v>#N/A</v>
      </c>
      <c r="D309" s="115" t="e">
        <f>INDIRECT(ADDRESS(217,MATCH(9000000000+307,217:217,1),1,,))</f>
        <v>#N/A</v>
      </c>
      <c r="E309" s="115" t="e">
        <f>INDIRECT(ADDRESS(425,MATCH(9000000000+307,425:425,1),1,,))</f>
        <v>#N/A</v>
      </c>
      <c r="F309" s="115" t="e">
        <f>INDIRECT(ADDRESS(263,MATCH(9000000000+307,263:263,1),1,,))</f>
        <v>#N/A</v>
      </c>
      <c r="G309" s="490" t="e">
        <f>INDIRECT(ADDRESS(286,MATCH(9000000000+307,286:286,1),1,,))</f>
        <v>#N/A</v>
      </c>
      <c r="H309" s="116" t="e">
        <f>INDEX($C$308:$G$327,2,$E$98)</f>
        <v>#N/A</v>
      </c>
      <c r="I309" s="219"/>
      <c r="J309" s="172"/>
      <c r="K309" s="488"/>
      <c r="L309" s="219"/>
    </row>
    <row r="310" hidden="1" ht="15">
      <c r="B310" s="277" t="s">
        <v>10</v>
      </c>
      <c r="C310" s="99" t="e">
        <f>INDIRECT(ADDRESS(380,MATCH(9000000000+307,380:380,1),1,,))</f>
        <v>#N/A</v>
      </c>
      <c r="D310" s="115" t="e">
        <f>INDIRECT(ADDRESS(218,MATCH(9000000000+307,218:218,1),1,,))</f>
        <v>#N/A</v>
      </c>
      <c r="E310" s="115" t="e">
        <f>INDIRECT(ADDRESS(426,MATCH(9000000000+307,426:426,1),1,,))</f>
        <v>#N/A</v>
      </c>
      <c r="F310" s="115" t="e">
        <f>INDIRECT(ADDRESS(264,MATCH(9000000000+307,264:264,1),1,,))</f>
        <v>#N/A</v>
      </c>
      <c r="G310" s="490" t="e">
        <f>INDIRECT(ADDRESS(287,MATCH(9000000000+307,287:287,1),1,,))</f>
        <v>#N/A</v>
      </c>
      <c r="H310" s="116" t="e">
        <f>INDEX($C$308:$G$327,3,$E$98)</f>
        <v>#N/A</v>
      </c>
      <c r="I310" s="219"/>
      <c r="J310" s="172"/>
      <c r="K310" s="488"/>
      <c r="L310" s="219"/>
    </row>
    <row r="311" hidden="1" ht="15">
      <c r="B311" s="277" t="s">
        <v>11</v>
      </c>
      <c r="C311" s="99" t="e">
        <f>INDIRECT(ADDRESS(381,MATCH(9000000000+307,381:381,1),1,,))</f>
        <v>#N/A</v>
      </c>
      <c r="D311" s="115" t="e">
        <f>INDIRECT(ADDRESS(219,MATCH(9000000000+307,219:219,1),1,,))</f>
        <v>#N/A</v>
      </c>
      <c r="E311" s="115" t="e">
        <f>INDIRECT(ADDRESS(427,MATCH(9000000000+307,427:427,1),1,,))</f>
        <v>#N/A</v>
      </c>
      <c r="F311" s="115" t="e">
        <f>INDIRECT(ADDRESS(265,MATCH(9000000000+307,265:265,1),1,,))</f>
        <v>#N/A</v>
      </c>
      <c r="G311" s="490" t="e">
        <f>INDIRECT(ADDRESS(288,MATCH(9000000000+307,288:288,1),1,,))</f>
        <v>#N/A</v>
      </c>
      <c r="H311" s="116" t="e">
        <f>INDEX($C$308:$G$327,4,$E$98)</f>
        <v>#N/A</v>
      </c>
      <c r="I311" s="219"/>
      <c r="J311" s="172"/>
      <c r="K311" s="488"/>
      <c r="L311" s="219"/>
    </row>
    <row r="312" hidden="1" ht="15">
      <c r="B312" s="277" t="s">
        <v>12</v>
      </c>
      <c r="C312" s="99" t="e">
        <f>INDIRECT(ADDRESS(382,MATCH(9000000000+307,382:382,1),1,,))</f>
        <v>#N/A</v>
      </c>
      <c r="D312" s="115" t="e">
        <f>INDIRECT(ADDRESS(220,MATCH(9000000000+307,220:220,1),1,,))</f>
        <v>#N/A</v>
      </c>
      <c r="E312" s="115" t="e">
        <f>INDIRECT(ADDRESS(428,MATCH(9000000000+307,428:428,1),1,,))</f>
        <v>#N/A</v>
      </c>
      <c r="F312" s="115" t="e">
        <f>INDIRECT(ADDRESS(266,MATCH(9000000000+307,266:266,1),1,,))</f>
        <v>#N/A</v>
      </c>
      <c r="G312" s="491" t="e">
        <f>INDIRECT(ADDRESS(289,MATCH(9000000000+307,289:289,1),1,,))</f>
        <v>#N/A</v>
      </c>
      <c r="H312" s="116" t="e">
        <f>INDEX($C$308:$G$327,5,$E$98)</f>
        <v>#N/A</v>
      </c>
      <c r="I312" s="219"/>
      <c r="J312" s="172"/>
      <c r="K312" s="488"/>
      <c r="L312" s="219"/>
    </row>
    <row r="313" hidden="1" ht="15">
      <c r="B313" s="277" t="s">
        <v>13</v>
      </c>
      <c r="C313" s="99" t="e">
        <f>INDIRECT(ADDRESS(383,MATCH(9000000000+307,383:383,1),1,,))</f>
        <v>#N/A</v>
      </c>
      <c r="D313" s="115" t="e">
        <f>INDIRECT(ADDRESS(221,MATCH(9000000000+307,221:221,1),1,,))</f>
        <v>#N/A</v>
      </c>
      <c r="E313" s="115" t="e">
        <f>INDIRECT(ADDRESS(429,MATCH(9000000000+307,429:429,1),1,,))</f>
        <v>#N/A</v>
      </c>
      <c r="F313" s="115" t="e">
        <f>INDIRECT(ADDRESS(267,MATCH(9000000000+307,267:267,1),1,,))</f>
        <v>#N/A</v>
      </c>
      <c r="G313" s="490" t="e">
        <f>INDIRECT(ADDRESS(290,MATCH(9000000000+307,290:290,1),1,,))</f>
        <v>#N/A</v>
      </c>
      <c r="H313" s="116" t="e">
        <f>INDEX($C$308:$G$327,6,$E$98)</f>
        <v>#N/A</v>
      </c>
      <c r="I313" s="219"/>
      <c r="J313" s="172"/>
      <c r="K313" s="488"/>
      <c r="L313" s="219"/>
    </row>
    <row r="314" hidden="1" ht="15">
      <c r="B314" s="277" t="s">
        <v>109</v>
      </c>
      <c r="C314" s="99" t="e">
        <f>INDIRECT(ADDRESS(384,MATCH(9000000000+307,384:384,1),1,,))</f>
        <v>#N/A</v>
      </c>
      <c r="D314" s="115" t="e">
        <f>INDIRECT(ADDRESS(222,MATCH(9000000000+307,222:222,1),1,,))</f>
        <v>#N/A</v>
      </c>
      <c r="E314" s="115" t="e">
        <f>INDIRECT(ADDRESS(430,MATCH(9000000000+307,430:430,1),1,,))</f>
        <v>#N/A</v>
      </c>
      <c r="F314" s="115" t="e">
        <f>INDIRECT(ADDRESS(268,MATCH(9000000000+307,268:268,1),1,,))</f>
        <v>#N/A</v>
      </c>
      <c r="G314" s="490" t="e">
        <f>INDIRECT(ADDRESS(291,MATCH(9000000000+307,291:291,1),1,,))</f>
        <v>#N/A</v>
      </c>
      <c r="H314" s="116" t="e">
        <f>INDEX($C$308:$G$327,7,$E$98)</f>
        <v>#N/A</v>
      </c>
      <c r="I314" s="219"/>
      <c r="J314" s="172"/>
      <c r="K314" s="488"/>
      <c r="L314" s="219"/>
    </row>
    <row r="315" hidden="1" ht="15">
      <c r="B315" s="277" t="s">
        <v>110</v>
      </c>
      <c r="C315" s="99" t="e">
        <f>INDIRECT(ADDRESS(385,MATCH(9000000000+307,385:385,1),1,,))</f>
        <v>#N/A</v>
      </c>
      <c r="D315" s="115" t="e">
        <f>INDIRECT(ADDRESS(223,MATCH(9000000000+307,223:223,1),1,,))</f>
        <v>#N/A</v>
      </c>
      <c r="E315" s="115" t="e">
        <f>INDIRECT(ADDRESS(431,MATCH(9000000000+307,431:431,1),1,,))</f>
        <v>#N/A</v>
      </c>
      <c r="F315" s="115" t="e">
        <f>INDIRECT(ADDRESS(269,MATCH(9000000000+307,269:269,1),1,,))</f>
        <v>#N/A</v>
      </c>
      <c r="G315" s="490" t="e">
        <f>INDIRECT(ADDRESS(292,MATCH(9000000000+307,292:292,1),1,,))</f>
        <v>#N/A</v>
      </c>
      <c r="H315" s="116" t="e">
        <f>INDEX($C$308:$G$327,8,$E$98)</f>
        <v>#N/A</v>
      </c>
      <c r="I315" s="219"/>
      <c r="J315" s="172"/>
      <c r="K315" s="488"/>
      <c r="L315" s="219"/>
    </row>
    <row r="316" hidden="1" ht="15">
      <c r="B316" s="277" t="s">
        <v>16</v>
      </c>
      <c r="C316" s="99" t="e">
        <f>INDIRECT(ADDRESS(386,MATCH(9000000000+307,386:386,1),1,,))</f>
        <v>#N/A</v>
      </c>
      <c r="D316" s="115" t="e">
        <f>INDIRECT(ADDRESS(224,MATCH(9000000000+307,224:224,1),1,,))</f>
        <v>#N/A</v>
      </c>
      <c r="E316" s="115" t="e">
        <f>INDIRECT(ADDRESS(432,MATCH(9000000000+307,432:432,1),1,,))</f>
        <v>#N/A</v>
      </c>
      <c r="F316" s="115" t="e">
        <f>INDIRECT(ADDRESS(270,MATCH(9000000000+307,270:270,1),1,,))</f>
        <v>#N/A</v>
      </c>
      <c r="G316" s="490" t="e">
        <f>INDIRECT(ADDRESS(293,MATCH(9000000000+307,293:293,1),1,,))</f>
        <v>#N/A</v>
      </c>
      <c r="H316" s="116" t="e">
        <f>INDEX($C$308:$G$327,9,$E$98)</f>
        <v>#N/A</v>
      </c>
      <c r="I316" s="219"/>
      <c r="J316" s="172"/>
      <c r="K316" s="488"/>
      <c r="L316" s="219"/>
    </row>
    <row r="317" hidden="1" ht="15">
      <c r="B317" s="277" t="s">
        <v>17</v>
      </c>
      <c r="C317" s="99" t="e">
        <f>INDIRECT(ADDRESS(387,MATCH(9000000000+307,387:387,1),1,,))</f>
        <v>#N/A</v>
      </c>
      <c r="D317" s="115" t="e">
        <f>INDIRECT(ADDRESS(225,MATCH(9000000000+307,225:225,1),1,,))</f>
        <v>#N/A</v>
      </c>
      <c r="E317" s="115" t="e">
        <f>INDIRECT(ADDRESS(433,MATCH(9000000000+307,433:433,1),1,,))</f>
        <v>#N/A</v>
      </c>
      <c r="F317" s="115" t="e">
        <f>INDIRECT(ADDRESS(271,MATCH(9000000000+307,271:271,1),1,,))</f>
        <v>#N/A</v>
      </c>
      <c r="G317" s="490" t="e">
        <f>INDIRECT(ADDRESS(294,MATCH(9000000000+307,294:294,1),1,,))</f>
        <v>#N/A</v>
      </c>
      <c r="H317" s="116" t="e">
        <f>INDEX($C$308:$G$327,10,$E$98)</f>
        <v>#N/A</v>
      </c>
      <c r="I317" s="219"/>
      <c r="J317" s="172"/>
      <c r="K317" s="488"/>
      <c r="L317" s="219"/>
    </row>
    <row r="318" hidden="1" ht="15">
      <c r="B318" s="277" t="s">
        <v>18</v>
      </c>
      <c r="C318" s="99" t="e">
        <f>INDIRECT(ADDRESS(388,MATCH(9000000000+307,388:388,1),1,,))</f>
        <v>#N/A</v>
      </c>
      <c r="D318" s="115" t="e">
        <f>INDIRECT(ADDRESS(226,MATCH(9000000000+307,226:226,1),1,,))</f>
        <v>#N/A</v>
      </c>
      <c r="E318" s="115" t="e">
        <f>INDIRECT(ADDRESS(434,MATCH(9000000000+307,434:434,1),1,,))</f>
        <v>#N/A</v>
      </c>
      <c r="F318" s="115" t="e">
        <f>INDIRECT(ADDRESS(272,MATCH(9000000000+307,272:272,1),1,,))</f>
        <v>#N/A</v>
      </c>
      <c r="G318" s="490" t="e">
        <f>INDIRECT(ADDRESS(295,MATCH(9000000000+307,295:295,1),1,,))</f>
        <v>#N/A</v>
      </c>
      <c r="H318" s="116" t="e">
        <f>INDEX($C$308:$G$327,11,$E$98)</f>
        <v>#N/A</v>
      </c>
      <c r="I318" s="219"/>
      <c r="J318" s="172"/>
      <c r="K318" s="488"/>
      <c r="L318" s="219"/>
    </row>
    <row r="319" hidden="1" ht="15">
      <c r="B319" s="277" t="s">
        <v>19</v>
      </c>
      <c r="C319" s="99" t="e">
        <f>INDIRECT(ADDRESS(389,MATCH(9000000000+307,389:389,1),1,,))</f>
        <v>#N/A</v>
      </c>
      <c r="D319" s="115" t="e">
        <f>INDIRECT(ADDRESS(227,MATCH(9000000000+307,227:227,1),1,,))</f>
        <v>#N/A</v>
      </c>
      <c r="E319" s="115" t="e">
        <f>INDIRECT(ADDRESS(435,MATCH(9000000000+307,435:435,1),1,,))</f>
        <v>#N/A</v>
      </c>
      <c r="F319" s="115" t="e">
        <f>INDIRECT(ADDRESS(273,MATCH(9000000000+307,273:273,1),1,,))</f>
        <v>#N/A</v>
      </c>
      <c r="G319" s="490" t="e">
        <f>INDIRECT(ADDRESS(296,MATCH(9000000000+307,296:296,1),1,,))</f>
        <v>#N/A</v>
      </c>
      <c r="H319" s="116" t="e">
        <f>INDEX($C$308:$G$327,13,$E$98)</f>
        <v>#N/A</v>
      </c>
      <c r="I319" s="219"/>
      <c r="J319" s="172"/>
      <c r="K319" s="488"/>
      <c r="L319" s="219"/>
    </row>
    <row r="320" hidden="1" ht="15">
      <c r="B320" s="277" t="s">
        <v>20</v>
      </c>
      <c r="C320" s="99" t="e">
        <f>INDIRECT(ADDRESS(390,MATCH(9000000000+307,390:390,1),1,,))</f>
        <v>#N/A</v>
      </c>
      <c r="D320" s="115" t="e">
        <f>INDIRECT(ADDRESS(228,MATCH(9000000000+307,228:228,1),1,,))</f>
        <v>#N/A</v>
      </c>
      <c r="E320" s="115" t="e">
        <f>INDIRECT(ADDRESS(436,MATCH(9000000000+307,436:436,1),1,,))</f>
        <v>#N/A</v>
      </c>
      <c r="F320" s="115" t="e">
        <f>INDIRECT(ADDRESS(274,MATCH(9000000000+307,274:274,1),1,,))</f>
        <v>#N/A</v>
      </c>
      <c r="G320" s="490" t="e">
        <f>INDIRECT(ADDRESS(297,MATCH(9000000000+307,297:297,1),1,,))</f>
        <v>#N/A</v>
      </c>
      <c r="H320" s="116" t="e">
        <f>INDEX($C$308:$G$327,14,$E$98)</f>
        <v>#N/A</v>
      </c>
      <c r="I320" s="219"/>
      <c r="J320" s="172"/>
      <c r="K320" s="488"/>
      <c r="L320" s="219"/>
    </row>
    <row r="321" hidden="1" ht="15">
      <c r="B321" s="277" t="s">
        <v>21</v>
      </c>
      <c r="C321" s="99" t="e">
        <f>INDIRECT(ADDRESS(391,MATCH(9000000000+307,391:391,1),1,,))</f>
        <v>#N/A</v>
      </c>
      <c r="D321" s="115" t="e">
        <f>INDIRECT(ADDRESS(229,MATCH(9000000000+307,229:229,1),1,,))</f>
        <v>#N/A</v>
      </c>
      <c r="E321" s="115" t="e">
        <f>INDIRECT(ADDRESS(437,MATCH(9000000000+307,437:437,1),1,,))</f>
        <v>#N/A</v>
      </c>
      <c r="F321" s="115" t="e">
        <f>INDIRECT(ADDRESS(275,MATCH(9000000000+307,275:275,1),1,,))</f>
        <v>#N/A</v>
      </c>
      <c r="G321" s="490" t="e">
        <f>INDIRECT(ADDRESS(298,MATCH(9000000000+307,298:298,1),1,,))</f>
        <v>#N/A</v>
      </c>
      <c r="H321" s="116" t="e">
        <f>INDEX($C$308:$G$327,15,$E$98)</f>
        <v>#N/A</v>
      </c>
      <c r="I321" s="219"/>
      <c r="J321" s="172"/>
      <c r="K321" s="488"/>
      <c r="L321" s="219"/>
    </row>
    <row r="322" hidden="1" ht="15">
      <c r="B322" s="277" t="s">
        <v>22</v>
      </c>
      <c r="C322" s="99" t="e">
        <f>INDIRECT(ADDRESS(392,MATCH(9000000000+307,392:392,1),1,,))</f>
        <v>#N/A</v>
      </c>
      <c r="D322" s="115" t="e">
        <f>INDIRECT(ADDRESS(230,MATCH(9000000000+307,230:230,1),1,,))</f>
        <v>#N/A</v>
      </c>
      <c r="E322" s="115" t="e">
        <f>INDIRECT(ADDRESS(438,MATCH(9000000000+307,438:438,1),1,,))</f>
        <v>#N/A</v>
      </c>
      <c r="F322" s="115" t="e">
        <f>INDIRECT(ADDRESS(276,MATCH(9000000000+307,276:276,1),1,,))</f>
        <v>#N/A</v>
      </c>
      <c r="G322" s="490" t="e">
        <f>INDIRECT(ADDRESS(299,MATCH(9000000000+307,299:299,1),1,,))</f>
        <v>#N/A</v>
      </c>
      <c r="H322" s="116" t="e">
        <f>INDEX($C$308:$G$327,16,$E$98)</f>
        <v>#N/A</v>
      </c>
      <c r="I322" s="219"/>
      <c r="J322" s="172"/>
      <c r="K322" s="488"/>
      <c r="L322" s="219"/>
    </row>
    <row r="323" hidden="1" ht="15">
      <c r="B323" s="277" t="s">
        <v>23</v>
      </c>
      <c r="C323" s="99" t="e">
        <f>INDIRECT(ADDRESS(393,MATCH(9000000000+307,393:393,1),1,,))</f>
        <v>#N/A</v>
      </c>
      <c r="D323" s="115" t="e">
        <f>INDIRECT(ADDRESS(231,MATCH(9000000000+307,231:231,1),1,,))</f>
        <v>#N/A</v>
      </c>
      <c r="E323" s="115" t="e">
        <f>INDIRECT(ADDRESS(439,MATCH(9000000000+307,439:439,1),1,,))</f>
        <v>#N/A</v>
      </c>
      <c r="F323" s="115" t="e">
        <f>INDIRECT(ADDRESS(277,MATCH(9000000000+307,277:277,1),1,,))</f>
        <v>#N/A</v>
      </c>
      <c r="G323" s="490" t="e">
        <f>INDIRECT(ADDRESS(300,MATCH(9000000000+307,300:300,1),1,,))</f>
        <v>#N/A</v>
      </c>
      <c r="H323" s="116" t="e">
        <f>INDEX($C$308:$G$327,12,$E$98)</f>
        <v>#N/A</v>
      </c>
      <c r="I323" s="219"/>
      <c r="J323" s="172"/>
      <c r="K323" s="488"/>
      <c r="L323" s="219"/>
    </row>
    <row r="324" hidden="1" ht="15">
      <c r="B324" s="277" t="s">
        <v>24</v>
      </c>
      <c r="C324" s="99" t="e">
        <f>INDIRECT(ADDRESS(394,MATCH(9000000000+307,394:394,1),1,,))</f>
        <v>#N/A</v>
      </c>
      <c r="D324" s="115" t="e">
        <f>INDIRECT(ADDRESS(232,MATCH(9000000000+307,232:232,1),1,,))</f>
        <v>#N/A</v>
      </c>
      <c r="E324" s="115" t="e">
        <f>INDIRECT(ADDRESS(440,MATCH(9000000000+307,440:440,1),1,,))</f>
        <v>#N/A</v>
      </c>
      <c r="F324" s="115" t="e">
        <f>INDIRECT(ADDRESS(278,MATCH(9000000000+307,278:278,1),1,,))</f>
        <v>#N/A</v>
      </c>
      <c r="G324" s="492" t="e">
        <f>INDIRECT(ADDRESS(301,MATCH(9000000000+307,301:301,1),1,,))</f>
        <v>#N/A</v>
      </c>
      <c r="H324" s="116" t="e">
        <f>INDEX($C$308:$G$327,17,$E$98)</f>
        <v>#N/A</v>
      </c>
      <c r="I324" s="219"/>
      <c r="J324" s="172"/>
      <c r="K324" s="488"/>
      <c r="L324" s="219"/>
    </row>
    <row r="325" hidden="1" ht="15">
      <c r="B325" s="277" t="s">
        <v>25</v>
      </c>
      <c r="C325" s="120" t="e">
        <f>INDIRECT(ADDRESS(395,MATCH(9000000000+307,395:395,1),1,,))</f>
        <v>#N/A</v>
      </c>
      <c r="D325" s="122" t="e">
        <f>INDIRECT(ADDRESS(233,MATCH(9000000000+307,233:233,1),1,,))</f>
        <v>#N/A</v>
      </c>
      <c r="E325" s="122" t="e">
        <f>INDIRECT(ADDRESS(441,MATCH(9000000000+307,441:441,1),1,,))</f>
        <v>#N/A</v>
      </c>
      <c r="F325" s="121" t="e">
        <f>INDIRECT(ADDRESS(279,MATCH(9000000000+307,279:279,1),1,,))</f>
        <v>#N/A</v>
      </c>
      <c r="G325" s="494" t="e">
        <f>INDIRECT(ADDRESS(302,MATCH(9000000000+307,302:302,1),1,,))</f>
        <v>#N/A</v>
      </c>
      <c r="H325" s="493">
        <v>0</v>
      </c>
      <c r="I325" s="219"/>
      <c r="J325" s="173"/>
      <c r="K325" s="488"/>
      <c r="L325" s="219"/>
    </row>
    <row r="326" hidden="1" ht="15.75">
      <c r="B326" s="342" t="s">
        <v>26</v>
      </c>
      <c r="C326" s="120" t="e">
        <f>INDIRECT(ADDRESS(396,MATCH(9000000000+307,396:396,1),1,,))</f>
        <v>#N/A</v>
      </c>
      <c r="D326" s="122" t="e">
        <f>INDIRECT(ADDRESS(234,MATCH(9000000000+307,234:234,1),1,,))</f>
        <v>#N/A</v>
      </c>
      <c r="E326" s="122" t="e">
        <f>INDIRECT(ADDRESS(442,MATCH(9000000000+307,442:442,1),1,,))</f>
        <v>#N/A</v>
      </c>
      <c r="F326" s="119" t="e">
        <f>INDIRECT(ADDRESS(280,MATCH(9000000000+307,280:280,1),1,,))</f>
        <v>#N/A</v>
      </c>
      <c r="G326" s="220" t="e">
        <f>INDIRECT(ADDRESS(303,MATCH(9000000000+307,303:303,1),1,,))</f>
        <v>#N/A</v>
      </c>
      <c r="H326" s="493">
        <v>0</v>
      </c>
      <c r="I326" s="219"/>
      <c r="J326" s="488"/>
      <c r="K326" s="488"/>
      <c r="L326" s="219"/>
    </row>
    <row r="327" hidden="1" ht="15.75">
      <c r="B327" s="343" t="s">
        <v>7</v>
      </c>
      <c r="C327" s="296" t="str">
        <f>AB397</f>
      </c>
      <c r="D327" s="298" t="str">
        <f>AB235</f>
      </c>
      <c r="E327" s="298" t="str">
        <f>AB443</f>
      </c>
      <c r="F327" s="299" t="str">
        <f>AB281</f>
      </c>
      <c r="G327" s="495" t="str">
        <f>AB304</f>
      </c>
      <c r="H327" s="495" t="str">
        <f>INDEX($C$308:$G$327,20,$E$98)</f>
      </c>
      <c r="I327" s="219"/>
      <c r="J327" s="219"/>
      <c r="K327" s="219"/>
      <c r="L327" s="219"/>
    </row>
    <row r="328" hidden="1"/>
    <row r="329" hidden="1" ht="13.5"/>
    <row r="330" hidden="1" ht="15.75" customHeight="1">
      <c r="C330" s="686" t="s">
        <v>390</v>
      </c>
      <c r="D330" s="687"/>
      <c r="E330" s="687"/>
      <c r="F330" s="687"/>
      <c r="G330" s="687"/>
      <c r="H330" s="687"/>
      <c r="I330" s="687"/>
      <c r="J330" s="687"/>
      <c r="K330" s="687"/>
      <c r="L330" s="687"/>
      <c r="M330" s="687"/>
      <c r="N330" s="687"/>
      <c r="O330" s="687"/>
      <c r="P330" s="687"/>
      <c r="Q330" s="687"/>
      <c r="R330" s="687"/>
      <c r="S330" s="687"/>
      <c r="T330" s="687"/>
      <c r="U330" s="687"/>
      <c r="V330" s="687"/>
      <c r="W330" s="687"/>
      <c r="X330" s="687"/>
      <c r="Y330" s="687"/>
      <c r="Z330" s="687"/>
      <c r="AA330" s="687"/>
      <c r="AB330" s="688"/>
    </row>
    <row r="331" hidden="1" ht="15" customHeight="1">
      <c r="C331" s="435" t="str">
        <f> IF(C351&lt;&gt;"",TEXT(AUX!G$1,"dd-MMM-aa"),"")</f>
      </c>
      <c r="D331" s="435" t="str">
        <f> IF(D351&lt;&gt;"",TEXT(AUX!H$1,"dd-MMM-aa"),"")</f>
      </c>
      <c r="E331" s="435" t="str">
        <f> IF(E351&lt;&gt;"",TEXT(AUX!I$1,"dd-MMM-aa"),"")</f>
      </c>
      <c r="F331" s="435" t="str">
        <f> IF(F351&lt;&gt;"",TEXT(AUX!J$1,"dd-MMM-aa"),"")</f>
      </c>
      <c r="G331" s="435" t="str">
        <f> IF(G351&lt;&gt;"",TEXT(AUX!K$1,"dd-MMM-aa"),"")</f>
      </c>
      <c r="H331" s="435" t="str">
        <f> IF(H351&lt;&gt;"",TEXT(AUX!L$1,"dd-MMM-aa"),"")</f>
      </c>
      <c r="I331" s="435" t="str">
        <f> IF(I351&lt;&gt;"",TEXT(AUX!M$1,"dd-MMM-aa"),"")</f>
      </c>
      <c r="J331" s="435" t="str">
        <f> IF(J351&lt;&gt;"",TEXT(AUX!N$1,"dd-MMM-aa"),"")</f>
      </c>
      <c r="K331" s="435" t="str">
        <f> IF(K351&lt;&gt;"",TEXT(AUX!O$1,"dd-MMM-aa"),"")</f>
      </c>
      <c r="L331" s="435" t="str">
        <f> IF(L351&lt;&gt;"",TEXT(AUX!P$1,"dd-MMM-aa"),"")</f>
      </c>
      <c r="M331" s="435" t="str">
        <f> IF(M351&lt;&gt;"",TEXT(AUX!Q$1,"dd-MMM-aa"),"")</f>
      </c>
      <c r="N331" s="435" t="str">
        <f> IF(N351&lt;&gt;"",TEXT(AUX!R$1,"dd-MMM-aa"),"")</f>
      </c>
      <c r="O331" s="435" t="str">
        <f> IF(O351&lt;&gt;"",TEXT(AUX!S$1,"dd-MMM-aa"),"")</f>
      </c>
      <c r="P331" s="435" t="str">
        <f> IF(P351&lt;&gt;"",TEXT(AUX!T$1,"dd-MMM-aa"),"")</f>
      </c>
      <c r="Q331" s="435" t="str">
        <f> IF(Q351&lt;&gt;"",TEXT(AUX!U$1,"dd-MMM-aa"),"")</f>
      </c>
      <c r="R331" s="435" t="str">
        <f> IF(R351&lt;&gt;"",TEXT(AUX!V$1,"dd-MMM-aa"),"")</f>
      </c>
      <c r="S331" s="435" t="str">
        <f> IF(S351&lt;&gt;"",TEXT(AUX!W$1,"dd-MMM-aa"),"")</f>
      </c>
      <c r="T331" s="435" t="str">
        <f> IF(T351&lt;&gt;"",TEXT(AUX!X$1,"dd-MMM-aa"),"")</f>
      </c>
      <c r="U331" s="435" t="str">
        <f> IF(U351&lt;&gt;"",TEXT(AUX!Y$1,"dd-MMM-aa"),"")</f>
      </c>
      <c r="V331" s="435" t="str">
        <f> IF(V351&lt;&gt;"",TEXT(AUX!Z$1,"dd-MMM-aa"),"")</f>
      </c>
      <c r="W331" s="435" t="str">
        <f> IF(W351&lt;&gt;"",TEXT(AUX!AA$1,"dd-MMM-aa"),"")</f>
      </c>
      <c r="X331" s="435" t="str">
        <f> IF(X351&lt;&gt;"",TEXT(AUX!AB$1,"dd-MMM-aa"),"")</f>
      </c>
      <c r="Y331" s="435" t="str">
        <f> IF(Y351&lt;&gt;"",TEXT(AUX!AC$1,"dd-MMM-aa"),"")</f>
      </c>
      <c r="Z331" s="435" t="str">
        <f> IF(Z351&lt;&gt;"",TEXT(AUX!AD$1,"dd-MMM-aa"),"")</f>
      </c>
      <c r="AA331" s="435" t="str">
        <f> IF(AA351&lt;&gt;"",TEXT(AUX!AE$1,"dd-MMM-aa"),"")</f>
      </c>
      <c r="AB331" s="497" t="str">
        <f> IF(AB351&lt;&gt;"",TEXT(AUX!AF$1,"dd-MMM-aa"),"")</f>
      </c>
      <c r="AC331" s="496" t="str">
        <f> IF(AC351&lt;&gt;"",TEXT(AUX!AG$1,"dd-MMM-aa"),"")</f>
      </c>
      <c r="AD331" s="496" t="str">
        <f> IF(AD351&lt;&gt;"",TEXT(AUX!AH$1,"dd-MMM-aa"),"")</f>
      </c>
      <c r="AE331" s="496" t="str">
        <f> IF(AE351&lt;&gt;"",TEXT(AUX!AI$1,"dd-MMM-aa"),"")</f>
      </c>
      <c r="AF331" s="496" t="str">
        <f> IF(AF351&lt;&gt;"",TEXT(AUX!AJ$1,"dd-MMM-aa"),"")</f>
      </c>
      <c r="AG331" s="496" t="str">
        <f> IF(AG351&lt;&gt;"",TEXT(AUX!AK$1,"dd-MMM-aa"),"")</f>
      </c>
      <c r="AH331" s="496" t="str">
        <f> IF(AH351&lt;&gt;"",TEXT(AUX!AL$1,"dd-MMM-aa"),"")</f>
      </c>
      <c r="AI331" s="496" t="str">
        <f> IF(AI351&lt;&gt;"",TEXT(AUX!AM$1,"dd-MMM-aa"),"")</f>
      </c>
      <c r="AJ331" s="496" t="str">
        <f> IF(AJ351&lt;&gt;"",TEXT(AUX!AN$1,"dd-MMM-aa"),"")</f>
      </c>
      <c r="AK331" s="496" t="str">
        <f> IF(AK351&lt;&gt;"",TEXT(AUX!AO$1,"dd-MMM-aa"),"")</f>
      </c>
      <c r="AL331" s="496" t="str">
        <f> IF(AL351&lt;&gt;"",TEXT(AUX!AP$1,"dd-MMM-aa"),"")</f>
      </c>
      <c r="AM331" s="496" t="str">
        <f> IF(AM351&lt;&gt;"",TEXT(AUX!AQ$1,"dd-MMM-aa"),"")</f>
      </c>
      <c r="AN331" s="496" t="str">
        <f> IF(AN351&lt;&gt;"",TEXT(AUX!AR$1,"dd-MMM-aa"),"")</f>
      </c>
      <c r="AO331" s="496" t="str">
        <f> IF(AO351&lt;&gt;"",TEXT(AUX!AS$1,"dd-MMM-aa"),"")</f>
      </c>
      <c r="AP331" s="496" t="str">
        <f> IF(AP351&lt;&gt;"",TEXT(AUX!AT$1,"dd-MMM-aa"),"")</f>
      </c>
      <c r="AQ331" s="496" t="str">
        <f> IF(AQ351&lt;&gt;"",TEXT(AUX!AU$1,"dd-MMM-aa"),"")</f>
      </c>
      <c r="AR331" s="496" t="str">
        <f> IF(AR351&lt;&gt;"",TEXT(AUX!AV$1,"dd-MMM-aa"),"")</f>
      </c>
      <c r="AS331" s="496" t="str">
        <f> IF(AS351&lt;&gt;"",TEXT(AUX!AW$1,"dd-MMM-aa"),"")</f>
      </c>
      <c r="AT331" s="496" t="str">
        <f> IF(AT351&lt;&gt;"",TEXT(AUX!AX$1,"dd-MMM-aa"),"")</f>
      </c>
      <c r="AU331" s="496" t="str">
        <f> IF(AU351&lt;&gt;"",TEXT(AUX!AY$1,"dd-MMM-aa"),"")</f>
      </c>
      <c r="AV331" s="496" t="str">
        <f> IF(AV351&lt;&gt;"",TEXT(AUX!AZ$1,"dd-MMM-aa"),"")</f>
      </c>
      <c r="AW331" s="496" t="str">
        <f> IF(AW351&lt;&gt;"",TEXT(AUX!BA$1,"dd-MMM-aa"),"")</f>
      </c>
      <c r="AX331" s="496" t="str">
        <f> IF(AX351&lt;&gt;"",TEXT(AUX!BB$1,"dd-MMM-aa"),"")</f>
      </c>
      <c r="AY331" s="496" t="str">
        <f> IF(AY351&lt;&gt;"",TEXT(AUX!BC$1,"dd-MMM-aa"),"")</f>
      </c>
      <c r="AZ331" s="496" t="str">
        <f> IF(AZ351&lt;&gt;"",TEXT(AUX!BD$1,"dd-MMM-aa"),"")</f>
      </c>
      <c r="BA331" s="496" t="str">
        <f> IF(BA351&lt;&gt;"",TEXT(AUX!BE$1,"dd-MMM-aa"),"")</f>
      </c>
      <c r="BB331" s="496" t="str">
        <f> IF(BB351&lt;&gt;"",TEXT(AUX!BF$1,"dd-MMM-aa"),"")</f>
      </c>
      <c r="BC331" s="496" t="str">
        <f> IF(BC351&lt;&gt;"",TEXT(AUX!BG$1,"dd-MMM-aa"),"")</f>
      </c>
      <c r="BD331" s="496" t="str">
        <f> IF(BD351&lt;&gt;"",TEXT(AUX!BH$1,"dd-MMM-aa"),"")</f>
      </c>
      <c r="BE331" s="496" t="str">
        <f> IF(BE351&lt;&gt;"",TEXT(AUX!BI$1,"dd-MMM-aa"),"")</f>
      </c>
      <c r="BF331" s="496" t="str">
        <f> IF(BF351&lt;&gt;"",TEXT(AUX!BJ$1,"dd-MMM-aa"),"")</f>
      </c>
      <c r="BG331" s="496" t="str">
        <f> IF(BG351&lt;&gt;"",TEXT(AUX!BK$1,"dd-MMM-aa"),"")</f>
      </c>
      <c r="BH331" s="496" t="str">
        <f> IF(BH351&lt;&gt;"",TEXT(AUX!BL$1,"dd-MMM-aa"),"")</f>
      </c>
      <c r="BI331" s="496" t="str">
        <f> IF(BI351&lt;&gt;"",TEXT(AUX!BM$1,"dd-MMM-aa"),"")</f>
      </c>
      <c r="BJ331" s="496" t="str">
        <f> IF(BJ351&lt;&gt;"",TEXT(AUX!BN$1,"dd-MMM-aa"),"")</f>
      </c>
      <c r="BK331" s="496" t="str">
        <f> IF(BK351&lt;&gt;"",TEXT(AUX!BO$1,"dd-MMM-aa"),"")</f>
      </c>
      <c r="BL331" s="496" t="str">
        <f> IF(BL351&lt;&gt;"",TEXT(AUX!BP$1,"dd-MMM-aa"),"")</f>
      </c>
      <c r="BM331" s="496" t="str">
        <f> IF(BM351&lt;&gt;"",TEXT(AUX!BQ$1,"dd-MMM-aa"),"")</f>
      </c>
      <c r="BN331" s="496" t="str">
        <f> IF(BN351&lt;&gt;"",TEXT(AUX!BR$1,"dd-MMM-aa"),"")</f>
      </c>
      <c r="BO331" s="496" t="str">
        <f> IF(BO351&lt;&gt;"",TEXT(AUX!BS$1,"dd-MMM-aa"),"")</f>
      </c>
      <c r="BP331" s="496" t="str">
        <f> IF(BP351&lt;&gt;"",TEXT(AUX!BT$1,"dd-MMM-aa"),"")</f>
      </c>
      <c r="BQ331" s="496" t="str">
        <f> IF(BQ351&lt;&gt;"",TEXT(AUX!BU$1,"dd-MMM-aa"),"")</f>
      </c>
      <c r="BR331" s="496" t="str">
        <f> IF(BR351&lt;&gt;"",TEXT(AUX!BV$1,"dd-MMM-aa"),"")</f>
      </c>
      <c r="BS331" s="496" t="str">
        <f> IF(BS351&lt;&gt;"",TEXT(AUX!BW$1,"dd-MMM-aa"),"")</f>
      </c>
      <c r="BT331" s="496" t="str">
        <f> IF(BT351&lt;&gt;"",TEXT(AUX!BX$1,"dd-MMM-aa"),"")</f>
      </c>
      <c r="BU331" s="496" t="str">
        <f> IF(BU351&lt;&gt;"",TEXT(AUX!BY$1,"dd-MMM-aa"),"")</f>
      </c>
      <c r="BV331" s="496" t="str">
        <f> IF(BV351&lt;&gt;"",TEXT(AUX!BZ$1,"dd-MMM-aa"),"")</f>
      </c>
      <c r="BW331" s="496" t="str">
        <f> IF(BW351&lt;&gt;"",TEXT(AUX!CA$1,"dd-MMM-aa"),"")</f>
      </c>
      <c r="BX331" s="496" t="str">
        <f> IF(BX351&lt;&gt;"",TEXT(AUX!CB$1,"dd-MMM-aa"),"")</f>
      </c>
      <c r="BY331" s="496" t="str">
        <f> IF(BY351&lt;&gt;"",TEXT(AUX!CC$1,"dd-MMM-aa"),"")</f>
      </c>
      <c r="BZ331" s="496" t="str">
        <f> IF(BZ351&lt;&gt;"",TEXT(AUX!CD$1,"dd-MMM-aa"),"")</f>
      </c>
      <c r="CA331" s="496" t="str">
        <f> IF(CA351&lt;&gt;"",TEXT(AUX!CE$1,"dd-MMM-aa"),"")</f>
      </c>
      <c r="CB331" s="496" t="str">
        <f> IF(CB351&lt;&gt;"",TEXT(AUX!CF$1,"dd-MMM-aa"),"")</f>
      </c>
      <c r="CC331" s="496" t="str">
        <f> IF(CC351&lt;&gt;"",TEXT(AUX!CG$1,"dd-MMM-aa"),"")</f>
      </c>
      <c r="CD331" s="496" t="str">
        <f> IF(CD351&lt;&gt;"",TEXT(AUX!CH$1,"dd-MMM-aa"),"")</f>
      </c>
      <c r="CE331" s="496" t="str">
        <f> IF(CE351&lt;&gt;"",TEXT(AUX!CI$1,"dd-MMM-aa"),"")</f>
      </c>
      <c r="CF331" s="496" t="str">
        <f> IF(CF351&lt;&gt;"",TEXT(AUX!CJ$1,"dd-MMM-aa"),"")</f>
      </c>
      <c r="CG331" s="496" t="str">
        <f> IF(CG351&lt;&gt;"",TEXT(AUX!CK$1,"dd-MMM-aa"),"")</f>
      </c>
      <c r="CH331" s="496" t="str">
        <f> IF(CH351&lt;&gt;"",TEXT(AUX!CL$1,"dd-MMM-aa"),"")</f>
      </c>
      <c r="CI331" s="496" t="str">
        <f> IF(CI351&lt;&gt;"",TEXT(AUX!CM$1,"dd-MMM-aa"),"")</f>
      </c>
      <c r="CJ331" s="496" t="str">
        <f> IF(CJ351&lt;&gt;"",TEXT(AUX!CN$1,"dd-MMM-aa"),"")</f>
      </c>
      <c r="CK331" s="496" t="str">
        <f> IF(CK351&lt;&gt;"",TEXT(AUX!CO$1,"dd-MMM-aa"),"")</f>
      </c>
      <c r="CL331" s="496" t="str">
        <f> IF(CL351&lt;&gt;"",TEXT(AUX!CP$1,"dd-MMM-aa"),"")</f>
      </c>
      <c r="CM331" s="496" t="str">
        <f> IF(CM351&lt;&gt;"",TEXT(AUX!CQ$1,"dd-MMM-aa"),"")</f>
      </c>
      <c r="CN331" s="496" t="str">
        <f> IF(CN351&lt;&gt;"",TEXT(AUX!CR$1,"dd-MMM-aa"),"")</f>
      </c>
      <c r="CO331" s="496" t="str">
        <f> IF(CO351&lt;&gt;"",TEXT(AUX!CS$1,"dd-MMM-aa"),"")</f>
      </c>
      <c r="CP331" s="496" t="str">
        <f> IF(CP351&lt;&gt;"",TEXT(AUX!CT$1,"dd-MMM-aa"),"")</f>
      </c>
      <c r="CQ331" s="496" t="str">
        <f> IF(CQ351&lt;&gt;"",TEXT(AUX!CU$1,"dd-MMM-aa"),"")</f>
      </c>
      <c r="CR331" s="496" t="str">
        <f> IF(CR351&lt;&gt;"",TEXT(AUX!CV$1,"dd-MMM-aa"),"")</f>
      </c>
      <c r="CS331" s="496" t="str">
        <f> IF(CS351&lt;&gt;"",TEXT(AUX!CW$1,"dd-MMM-aa"),"")</f>
      </c>
      <c r="CT331" s="496" t="str">
        <f> IF(CT351&lt;&gt;"",TEXT(AUX!CX$1,"dd-MMM-aa"),"")</f>
      </c>
      <c r="CU331" s="496" t="str">
        <f> IF(CU351&lt;&gt;"",TEXT(AUX!CY$1,"dd-MMM-aa"),"")</f>
      </c>
      <c r="CV331" s="496" t="str">
        <f> IF(CV351&lt;&gt;"",TEXT(AUX!CZ$1,"dd-MMM-aa"),"")</f>
      </c>
      <c r="CW331" s="496" t="str">
        <f> IF(CW351&lt;&gt;"",TEXT(AUX!DA$1,"dd-MMM-aa"),"")</f>
      </c>
      <c r="CX331" s="496" t="str">
        <f> IF(CX351&lt;&gt;"",TEXT(AUX!DB$1,"dd-MMM-aa"),"")</f>
      </c>
      <c r="CY331" s="496" t="str">
        <f> IF(CY351&lt;&gt;"",TEXT(AUX!DC$1,"dd-MMM-aa"),"")</f>
      </c>
      <c r="CZ331" s="496" t="str">
        <f> IF(CZ351&lt;&gt;"",TEXT(AUX!DD$1,"dd-MMM-aa"),"")</f>
      </c>
      <c r="DA331" s="496" t="str">
        <f> IF(DA351&lt;&gt;"",TEXT(AUX!DE$1,"dd-MMM-aa"),"")</f>
      </c>
      <c r="DB331" s="496" t="str">
        <f> IF(DB351&lt;&gt;"",TEXT(AUX!DF$1,"dd-MMM-aa"),"")</f>
      </c>
      <c r="DC331" s="496" t="str">
        <f> IF(DC351&lt;&gt;"",TEXT(AUX!DG$1,"dd-MMM-aa"),"")</f>
      </c>
      <c r="DD331" s="496" t="str">
        <f> IF(DD351&lt;&gt;"",TEXT(AUX!DH$1,"dd-MMM-aa"),"")</f>
      </c>
      <c r="DE331" s="496" t="str">
        <f> IF(DE351&lt;&gt;"",TEXT(AUX!DI$1,"dd-MMM-aa"),"")</f>
      </c>
      <c r="DF331" s="496" t="str">
        <f> IF(DF351&lt;&gt;"",TEXT(AUX!DJ$1,"dd-MMM-aa"),"")</f>
      </c>
      <c r="DG331" s="496" t="str">
        <f> IF(DG351&lt;&gt;"",TEXT(AUX!DK$1,"dd-MMM-aa"),"")</f>
      </c>
      <c r="DH331" s="496" t="str">
        <f> IF(DH351&lt;&gt;"",TEXT(AUX!DL$1,"dd-MMM-aa"),"")</f>
      </c>
      <c r="DI331" s="496" t="str">
        <f> IF(DI351&lt;&gt;"",TEXT(AUX!DM$1,"dd-MMM-aa"),"")</f>
      </c>
      <c r="DJ331" s="496" t="str">
        <f> IF(DJ351&lt;&gt;"",TEXT(AUX!DN$1,"dd-MMM-aa"),"")</f>
      </c>
      <c r="DK331" s="496" t="str">
        <f> IF(DK351&lt;&gt;"",TEXT(AUX!DO$1,"dd-MMM-aa"),"")</f>
      </c>
      <c r="DL331" s="496" t="str">
        <f> IF(DL351&lt;&gt;"",TEXT(AUX!DP$1,"dd-MMM-aa"),"")</f>
      </c>
      <c r="DM331" s="496" t="str">
        <f> IF(DM351&lt;&gt;"",TEXT(AUX!DQ$1,"dd-MMM-aa"),"")</f>
      </c>
      <c r="DN331" s="496" t="str">
        <f> IF(DN351&lt;&gt;"",TEXT(AUX!DR$1,"dd-MMM-aa"),"")</f>
      </c>
      <c r="DO331" s="496" t="str">
        <f> IF(DO351&lt;&gt;"",TEXT(AUX!DS$1,"dd-MMM-aa"),"")</f>
      </c>
      <c r="DP331" s="496" t="str">
        <f> IF(DP351&lt;&gt;"",TEXT(AUX!DT$1,"dd-MMM-aa"),"")</f>
      </c>
      <c r="DQ331" s="496" t="str">
        <f> IF(DQ351&lt;&gt;"",TEXT(AUX!DU$1,"dd-MMM-aa"),"")</f>
      </c>
      <c r="DR331" s="496" t="str">
        <f> IF(DR351&lt;&gt;"",TEXT(AUX!DV$1,"dd-MMM-aa"),"")</f>
      </c>
      <c r="DS331" s="496" t="str">
        <f> IF(DS351&lt;&gt;"",TEXT(AUX!DW$1,"dd-MMM-aa"),"")</f>
      </c>
      <c r="DT331" s="496" t="str">
        <f> IF(DT351&lt;&gt;"",TEXT(AUX!DX$1,"dd-MMM-aa"),"")</f>
      </c>
      <c r="DU331" s="496" t="str">
        <f> IF(DU351&lt;&gt;"",TEXT(AUX!DY$1,"dd-MMM-aa"),"")</f>
      </c>
      <c r="DV331" s="496" t="str">
        <f> IF(DV351&lt;&gt;"",TEXT(AUX!DZ$1,"dd-MMM-aa"),"")</f>
      </c>
      <c r="DW331" s="496" t="str">
        <f> IF(DW351&lt;&gt;"",TEXT(AUX!EA$1,"dd-MMM-aa"),"")</f>
      </c>
      <c r="DX331" s="496" t="str">
        <f> IF(DX351&lt;&gt;"",TEXT(AUX!EB$1,"dd-MMM-aa"),"")</f>
      </c>
      <c r="DY331" s="496" t="str">
        <f> IF(DY351&lt;&gt;"",TEXT(AUX!EC$1,"dd-MMM-aa"),"")</f>
      </c>
      <c r="DZ331" s="496" t="str">
        <f> IF(DZ351&lt;&gt;"",TEXT(AUX!ED$1,"dd-MMM-aa"),"")</f>
      </c>
      <c r="EA331" s="496" t="str">
        <f> IF(EA351&lt;&gt;"",TEXT(AUX!EE$1,"dd-MMM-aa"),"")</f>
      </c>
      <c r="EB331" s="496" t="str">
        <f> IF(EB351&lt;&gt;"",TEXT(AUX!EF$1,"dd-MMM-aa"),"")</f>
      </c>
      <c r="EC331" s="496" t="str">
        <f> IF(EC351&lt;&gt;"",TEXT(AUX!EG$1,"dd-MMM-aa"),"")</f>
      </c>
      <c r="ED331" s="496" t="str">
        <f> IF(ED351&lt;&gt;"",TEXT(AUX!EH$1,"dd-MMM-aa"),"")</f>
      </c>
      <c r="EE331" s="496" t="str">
        <f> IF(EE351&lt;&gt;"",TEXT(AUX!EI$1,"dd-MMM-aa"),"")</f>
      </c>
      <c r="EF331" s="496" t="str">
        <f> IF(EF351&lt;&gt;"",TEXT(AUX!EJ$1,"dd-MMM-aa"),"")</f>
      </c>
      <c r="EG331" s="496" t="str">
        <f> IF(EG351&lt;&gt;"",TEXT(AUX!EK$1,"dd-MMM-aa"),"")</f>
      </c>
      <c r="EH331" s="496" t="str">
        <f> IF(EH351&lt;&gt;"",TEXT(AUX!EL$1,"dd-MMM-aa"),"")</f>
      </c>
      <c r="EI331" s="496" t="str">
        <f> IF(EI351&lt;&gt;"",TEXT(AUX!EM$1,"dd-MMM-aa"),"")</f>
      </c>
      <c r="EJ331" s="496" t="str">
        <f> IF(EJ351&lt;&gt;"",TEXT(AUX!EN$1,"dd-MMM-aa"),"")</f>
      </c>
      <c r="EK331" s="496" t="str">
        <f> IF(EK351&lt;&gt;"",TEXT(AUX!EO$1,"dd-MMM-aa"),"")</f>
      </c>
      <c r="EL331" s="496" t="str">
        <f> IF(EL351&lt;&gt;"",TEXT(AUX!EP$1,"dd-MMM-aa"),"")</f>
      </c>
      <c r="EM331" s="496" t="str">
        <f> IF(EM351&lt;&gt;"",TEXT(AUX!EQ$1,"dd-MMM-aa"),"")</f>
      </c>
      <c r="EN331" s="496" t="str">
        <f> IF(EN351&lt;&gt;"",TEXT(AUX!ER$1,"dd-MMM-aa"),"")</f>
      </c>
      <c r="EO331" s="496" t="str">
        <f> IF(EO351&lt;&gt;"",TEXT(AUX!ES$1,"dd-MMM-aa"),"")</f>
      </c>
      <c r="EP331" s="496" t="str">
        <f> IF(EP351&lt;&gt;"",TEXT(AUX!ET$1,"dd-MMM-aa"),"")</f>
      </c>
      <c r="EQ331" s="496" t="str">
        <f> IF(EQ351&lt;&gt;"",TEXT(AUX!EU$1,"dd-MMM-aa"),"")</f>
      </c>
      <c r="ER331" s="496" t="str">
        <f> IF(ER351&lt;&gt;"",TEXT(AUX!EV$1,"dd-MMM-aa"),"")</f>
      </c>
      <c r="ES331" s="496" t="str">
        <f> IF(ES351&lt;&gt;"",TEXT(AUX!EW$1,"dd-MMM-aa"),"")</f>
      </c>
      <c r="ET331" s="496" t="str">
        <f> IF(ET351&lt;&gt;"",TEXT(AUX!EX$1,"dd-MMM-aa"),"")</f>
      </c>
      <c r="EU331" s="496" t="str">
        <f> IF(EU351&lt;&gt;"",TEXT(AUX!EY$1,"dd-MMM-aa"),"")</f>
      </c>
      <c r="EV331" s="496" t="str">
        <f> IF(EV351&lt;&gt;"",TEXT(AUX!EZ$1,"dd-MMM-aa"),"")</f>
      </c>
      <c r="EW331" s="496" t="str">
        <f> IF(EW351&lt;&gt;"",TEXT(AUX!FA$1,"dd-MMM-aa"),"")</f>
      </c>
      <c r="EX331" s="496" t="str">
        <f> IF(EX351&lt;&gt;"",TEXT(AUX!FB$1,"dd-MMM-aa"),"")</f>
      </c>
      <c r="EY331" s="496" t="str">
        <f> IF(EY351&lt;&gt;"",TEXT(AUX!FC$1,"dd-MMM-aa"),"")</f>
      </c>
      <c r="EZ331" s="496" t="str">
        <f> IF(EZ351&lt;&gt;"",TEXT(AUX!FD$1,"dd-MMM-aa"),"")</f>
      </c>
      <c r="FA331" s="496" t="str">
        <f> IF(FA351&lt;&gt;"",TEXT(AUX!FE$1,"dd-MMM-aa"),"")</f>
      </c>
      <c r="FB331" s="496" t="str">
        <f> IF(FB351&lt;&gt;"",TEXT(AUX!FF$1,"dd-MMM-aa"),"")</f>
      </c>
      <c r="FC331" s="496" t="str">
        <f> IF(FC351&lt;&gt;"",TEXT(AUX!FG$1,"dd-MMM-aa"),"")</f>
      </c>
      <c r="FD331" s="496" t="str">
        <f> IF(FD351&lt;&gt;"",TEXT(AUX!FH$1,"dd-MMM-aa"),"")</f>
      </c>
      <c r="FE331" s="496" t="str">
        <f> IF(FE351&lt;&gt;"",TEXT(AUX!FI$1,"dd-MMM-aa"),"")</f>
      </c>
      <c r="FF331" s="496" t="str">
        <f> IF(FF351&lt;&gt;"",TEXT(AUX!FJ$1,"dd-MMM-aa"),"")</f>
      </c>
      <c r="FG331" s="496" t="str">
        <f> IF(FG351&lt;&gt;"",TEXT(AUX!FK$1,"dd-MMM-aa"),"")</f>
      </c>
      <c r="FH331" s="496" t="str">
        <f> IF(FH351&lt;&gt;"",TEXT(AUX!FL$1,"dd-MMM-aa"),"")</f>
      </c>
      <c r="FI331" s="496" t="str">
        <f> IF(FI351&lt;&gt;"",TEXT(AUX!FM$1,"dd-MMM-aa"),"")</f>
      </c>
      <c r="FJ331" s="496" t="str">
        <f> IF(FJ351&lt;&gt;"",TEXT(AUX!FN$1,"dd-MMM-aa"),"")</f>
      </c>
      <c r="FK331" s="496" t="str">
        <f> IF(FK351&lt;&gt;"",TEXT(AUX!FO$1,"dd-MMM-aa"),"")</f>
      </c>
      <c r="FL331" s="496" t="str">
        <f> IF(FL351&lt;&gt;"",TEXT(AUX!FP$1,"dd-MMM-aa"),"")</f>
      </c>
      <c r="FM331" s="496" t="str">
        <f> IF(FM351&lt;&gt;"",TEXT(AUX!FQ$1,"dd-MMM-aa"),"")</f>
      </c>
      <c r="FN331" s="496" t="str">
        <f> IF(FN351&lt;&gt;"",TEXT(AUX!FR$1,"dd-MMM-aa"),"")</f>
      </c>
      <c r="FO331" s="496" t="str">
        <f> IF(FO351&lt;&gt;"",TEXT(AUX!FS$1,"dd-MMM-aa"),"")</f>
      </c>
      <c r="FP331" s="496" t="str">
        <f> IF(FP351&lt;&gt;"",TEXT(AUX!FT$1,"dd-MMM-aa"),"")</f>
      </c>
      <c r="FQ331" s="496" t="str">
        <f> IF(FQ351&lt;&gt;"",TEXT(AUX!FU$1,"dd-MMM-aa"),"")</f>
      </c>
      <c r="FR331" s="496" t="str">
        <f> IF(FR351&lt;&gt;"",TEXT(AUX!FV$1,"dd-MMM-aa"),"")</f>
      </c>
      <c r="FS331" s="496" t="str">
        <f> IF(FS351&lt;&gt;"",TEXT(AUX!FW$1,"dd-MMM-aa"),"")</f>
      </c>
      <c r="FT331" s="496" t="str">
        <f> IF(FT351&lt;&gt;"",TEXT(AUX!FX$1,"dd-MMM-aa"),"")</f>
      </c>
      <c r="FU331" s="496" t="str">
        <f> IF(FU351&lt;&gt;"",TEXT(AUX!FY$1,"dd-MMM-aa"),"")</f>
      </c>
      <c r="FV331" s="496" t="str">
        <f> IF(FV351&lt;&gt;"",TEXT(AUX!FZ$1,"dd-MMM-aa"),"")</f>
      </c>
      <c r="FW331" s="496" t="str">
        <f> IF(FW351&lt;&gt;"",TEXT(AUX!GA$1,"dd-MMM-aa"),"")</f>
      </c>
      <c r="FX331" s="496" t="str">
        <f> IF(FX351&lt;&gt;"",TEXT(AUX!GB$1,"dd-MMM-aa"),"")</f>
      </c>
      <c r="FY331" s="496" t="str">
        <f> IF(FY351&lt;&gt;"",TEXT(AUX!GC$1,"dd-MMM-aa"),"")</f>
      </c>
      <c r="FZ331" s="496" t="str">
        <f> IF(FZ351&lt;&gt;"",TEXT(AUX!GD$1,"dd-MMM-aa"),"")</f>
      </c>
      <c r="GA331" s="496" t="str">
        <f> IF(GA351&lt;&gt;"",TEXT(AUX!GE$1,"dd-MMM-aa"),"")</f>
      </c>
      <c r="GB331" s="496" t="str">
        <f> IF(GB351&lt;&gt;"",TEXT(AUX!GF$1,"dd-MMM-aa"),"")</f>
      </c>
      <c r="GC331" s="496" t="str">
        <f> IF(GC351&lt;&gt;"",TEXT(AUX!GG$1,"dd-MMM-aa"),"")</f>
      </c>
      <c r="GD331" s="496" t="str">
        <f> IF(GD351&lt;&gt;"",TEXT(AUX!GH$1,"dd-MMM-aa"),"")</f>
      </c>
      <c r="GE331" s="496" t="str">
        <f> IF(GE351&lt;&gt;"",TEXT(AUX!GI$1,"dd-MMM-aa"),"")</f>
      </c>
      <c r="GF331" s="496" t="str">
        <f> IF(GF351&lt;&gt;"",TEXT(AUX!GJ$1,"dd-MMM-aa"),"")</f>
      </c>
      <c r="GG331" s="496" t="str">
        <f> IF(GG351&lt;&gt;"",TEXT(AUX!GK$1,"dd-MMM-aa"),"")</f>
      </c>
      <c r="GH331" s="496" t="str">
        <f> IF(GH351&lt;&gt;"",TEXT(AUX!GL$1,"dd-MMM-aa"),"")</f>
      </c>
      <c r="GI331" s="496" t="str">
        <f> IF(GI351&lt;&gt;"",TEXT(AUX!GM$1,"dd-MMM-aa"),"")</f>
      </c>
      <c r="GJ331" s="496" t="str">
        <f> IF(GJ351&lt;&gt;"",TEXT(AUX!GN$1,"dd-MMM-aa"),"")</f>
      </c>
      <c r="GK331" s="496" t="str">
        <f> IF(GK351&lt;&gt;"",TEXT(AUX!GO$1,"dd-MMM-aa"),"")</f>
      </c>
      <c r="GL331" s="496" t="str">
        <f> IF(GL351&lt;&gt;"",TEXT(AUX!GP$1,"dd-MMM-aa"),"")</f>
      </c>
      <c r="GM331" s="496" t="str">
        <f> IF(GM351&lt;&gt;"",TEXT(AUX!GQ$1,"dd-MMM-aa"),"")</f>
      </c>
      <c r="GN331" s="496" t="str">
        <f> IF(GN351&lt;&gt;"",TEXT(AUX!GR$1,"dd-MMM-aa"),"")</f>
      </c>
      <c r="GO331" s="496" t="str">
        <f> IF(GO351&lt;&gt;"",TEXT(AUX!GS$1,"dd-MMM-aa"),"")</f>
      </c>
      <c r="GP331" s="496" t="str">
        <f> IF(GP351&lt;&gt;"",TEXT(AUX!GT$1,"dd-MMM-aa"),"")</f>
      </c>
      <c r="GQ331" s="496" t="str">
        <f> IF(GQ351&lt;&gt;"",TEXT(AUX!GU$1,"dd-MMM-aa"),"")</f>
      </c>
      <c r="GR331" s="496" t="str">
        <f> IF(GR351&lt;&gt;"",TEXT(AUX!GV$1,"dd-MMM-aa"),"")</f>
      </c>
      <c r="GS331" s="496" t="str">
        <f> IF(GS351&lt;&gt;"",TEXT(AUX!GW$1,"dd-MMM-aa"),"")</f>
      </c>
      <c r="GT331" s="496" t="str">
        <f> IF(GT351&lt;&gt;"",TEXT(AUX!GX$1,"dd-MMM-aa"),"")</f>
      </c>
      <c r="GU331" s="496" t="str">
        <f> IF(GU351&lt;&gt;"",TEXT(AUX!GY$1,"dd-MMM-aa"),"")</f>
      </c>
      <c r="GV331" s="496" t="str">
        <f> IF(GV351&lt;&gt;"",TEXT(AUX!GZ$1,"dd-MMM-aa"),"")</f>
      </c>
      <c r="GW331" s="496" t="str">
        <f> IF(GW351&lt;&gt;"",TEXT(AUX!HA$1,"dd-MMM-aa"),"")</f>
      </c>
      <c r="GX331" s="496" t="str">
        <f> IF(GX351&lt;&gt;"",TEXT(AUX!HB$1,"dd-MMM-aa"),"")</f>
      </c>
      <c r="GY331" s="496" t="str">
        <f> IF(GY351&lt;&gt;"",TEXT(AUX!HC$1,"dd-MMM-aa"),"")</f>
      </c>
      <c r="GZ331" s="496" t="str">
        <f> IF(GZ351&lt;&gt;"",TEXT(AUX!HD$1,"dd-MMM-aa"),"")</f>
      </c>
      <c r="HA331" s="496" t="str">
        <f> IF(HA351&lt;&gt;"",TEXT(AUX!HE$1,"dd-MMM-aa"),"")</f>
      </c>
      <c r="HB331" s="496" t="str">
        <f> IF(HB351&lt;&gt;"",TEXT(AUX!HF$1,"dd-MMM-aa"),"")</f>
      </c>
      <c r="HC331" s="496" t="str">
        <f> IF(HC351&lt;&gt;"",TEXT(AUX!HG$1,"dd-MMM-aa"),"")</f>
      </c>
      <c r="HD331" s="496" t="str">
        <f> IF(HD351&lt;&gt;"",TEXT(AUX!HH$1,"dd-MMM-aa"),"")</f>
      </c>
      <c r="HE331" s="496" t="str">
        <f> IF(HE351&lt;&gt;"",TEXT(AUX!HI$1,"dd-MMM-aa"),"")</f>
      </c>
      <c r="HF331" s="496" t="str">
        <f> IF(HF351&lt;&gt;"",TEXT(AUX!HJ$1,"dd-MMM-aa"),"")</f>
      </c>
      <c r="HG331" s="496" t="str">
        <f> IF(HG351&lt;&gt;"",TEXT(AUX!HK$1,"dd-MMM-aa"),"")</f>
      </c>
      <c r="HH331" s="496" t="str">
        <f> IF(HH351&lt;&gt;"",TEXT(AUX!HL$1,"dd-MMM-aa"),"")</f>
      </c>
      <c r="HI331" s="496" t="str">
        <f> IF(HI351&lt;&gt;"",TEXT(AUX!HM$1,"dd-MMM-aa"),"")</f>
      </c>
      <c r="HJ331" s="496" t="str">
        <f> IF(HJ351&lt;&gt;"",TEXT(AUX!HN$1,"dd-MMM-aa"),"")</f>
      </c>
      <c r="HK331" s="496" t="str">
        <f> IF(HK351&lt;&gt;"",TEXT(AUX!HO$1,"dd-MMM-aa"),"")</f>
      </c>
      <c r="HL331" s="496" t="str">
        <f> IF(HL351&lt;&gt;"",TEXT(AUX!HP$1,"dd-MMM-aa"),"")</f>
      </c>
      <c r="HM331" s="496" t="str">
        <f> IF(HM351&lt;&gt;"",TEXT(AUX!HQ$1,"dd-MMM-aa"),"")</f>
      </c>
      <c r="HN331" s="496" t="str">
        <f> IF(HN351&lt;&gt;"",TEXT(AUX!HR$1,"dd-MMM-aa"),"")</f>
      </c>
      <c r="HO331" s="496" t="str">
        <f> IF(HO351&lt;&gt;"",TEXT(AUX!HS$1,"dd-MMM-aa"),"")</f>
      </c>
      <c r="HP331" s="496" t="str">
        <f> IF(HP351&lt;&gt;"",TEXT(AUX!HT$1,"dd-MMM-aa"),"")</f>
      </c>
      <c r="HQ331" s="496" t="str">
        <f> IF(HQ351&lt;&gt;"",TEXT(AUX!HU$1,"dd-MMM-aa"),"")</f>
      </c>
      <c r="HR331" s="496" t="str">
        <f> IF(HR351&lt;&gt;"",TEXT(AUX!HV$1,"dd-MMM-aa"),"")</f>
      </c>
      <c r="HS331" s="496" t="str">
        <f> IF(HS351&lt;&gt;"",TEXT(AUX!HW$1,"dd-MMM-aa"),"")</f>
      </c>
      <c r="HT331" s="496" t="str">
        <f> IF(HT351&lt;&gt;"",TEXT(AUX!HX$1,"dd-MMM-aa"),"")</f>
      </c>
      <c r="HU331" s="496" t="str">
        <f> IF(HU351&lt;&gt;"",TEXT(AUX!HY$1,"dd-MMM-aa"),"")</f>
      </c>
      <c r="HV331" s="496" t="str">
        <f> IF(HV351&lt;&gt;"",TEXT(AUX!HZ$1,"dd-MMM-aa"),"")</f>
      </c>
      <c r="HW331" s="496" t="str">
        <f> IF(HW351&lt;&gt;"",TEXT(AUX!IA$1,"dd-MMM-aa"),"")</f>
      </c>
      <c r="HX331" s="496" t="str">
        <f> IF(HX351&lt;&gt;"",TEXT(AUX!IB$1,"dd-MMM-aa"),"")</f>
      </c>
      <c r="HY331" s="496" t="str">
        <f> IF(HY351&lt;&gt;"",TEXT(AUX!IC$1,"dd-MMM-aa"),"")</f>
      </c>
      <c r="HZ331" s="496" t="str">
        <f> IF(HZ351&lt;&gt;"",TEXT(AUX!ID$1,"dd-MMM-aa"),"")</f>
      </c>
      <c r="IA331" s="496" t="str">
        <f> IF(IA351&lt;&gt;"",TEXT(AUX!IE$1,"dd-MMM-aa"),"")</f>
      </c>
      <c r="IB331" s="496" t="str">
        <f> IF(IB351&lt;&gt;"",TEXT(AUX!IF$1,"dd-MMM-aa"),"")</f>
      </c>
      <c r="IC331" s="496" t="str">
        <f> IF(IC351&lt;&gt;"",TEXT(AUX!IG$1,"dd-MMM-aa"),"")</f>
      </c>
      <c r="ID331" s="496" t="str">
        <f> IF(ID351&lt;&gt;"",TEXT(AUX!IH$1,"dd-MMM-aa"),"")</f>
      </c>
      <c r="IE331" s="496" t="str">
        <f> IF(IE351&lt;&gt;"",TEXT(AUX!II$1,"dd-MMM-aa"),"")</f>
      </c>
      <c r="IF331" s="496" t="str">
        <f> IF(IF351&lt;&gt;"",TEXT(AUX!IJ$1,"dd-MMM-aa"),"")</f>
      </c>
      <c r="IG331" s="496" t="str">
        <f> IF(IG351&lt;&gt;"",TEXT(AUX!IK$1,"dd-MMM-aa"),"")</f>
      </c>
      <c r="IH331" s="496" t="str">
        <f> IF(IH351&lt;&gt;"",TEXT(AUX!IL$1,"dd-MMM-aa"),"")</f>
      </c>
      <c r="II331" s="496" t="str">
        <f> IF(II351&lt;&gt;"",TEXT(AUX!IM$1,"dd-MMM-aa"),"")</f>
      </c>
      <c r="IJ331" s="496" t="str">
        <f> IF(IJ351&lt;&gt;"",TEXT(AUX!IN$1,"dd-MMM-aa"),"")</f>
      </c>
      <c r="IK331" s="496" t="str">
        <f> IF(IK351&lt;&gt;"",TEXT(AUX!IO$1,"dd-MMM-aa"),"")</f>
      </c>
      <c r="IL331" s="496" t="str">
        <f> IF(IL351&lt;&gt;"",TEXT(AUX!IP$1,"dd-MMM-aa"),"")</f>
      </c>
      <c r="IM331" s="496" t="str">
        <f> IF(IM351&lt;&gt;"",TEXT(AUX!IQ$1,"dd-MMM-aa"),"")</f>
      </c>
      <c r="IN331" s="496" t="str">
        <f> IF(IN351&lt;&gt;"",TEXT(AUX!IR$1,"dd-MMM-aa"),"")</f>
      </c>
      <c r="IO331" s="496" t="str">
        <f> IF(IO351&lt;&gt;"",TEXT(AUX!IS$1,"dd-MMM-aa"),"")</f>
      </c>
      <c r="IP331" s="496" t="str">
        <f> IF(IP351&lt;&gt;"",TEXT(AUX!IT$1,"dd-MMM-aa"),"")</f>
      </c>
      <c r="IQ331" s="496" t="str">
        <f> IF(IQ351&lt;&gt;"",TEXT(AUX!IU$1,"dd-MMM-aa"),"")</f>
      </c>
      <c r="IR331" s="496" t="str">
        <f> IF(IR351&lt;&gt;"",TEXT(AUX!IV$1,"dd-MMM-aa"),"")</f>
      </c>
      <c r="IS331" s="496" t="str">
        <f> IF(IS351&lt;&gt;"",TEXT(AUX!#REF!,"dd-MMM-aa"),"")</f>
      </c>
      <c r="IT331" s="496" t="str">
        <f> IF(IT351&lt;&gt;"",TEXT(AUX!#REF!,"dd-MMM-aa"),"")</f>
      </c>
      <c r="IU331" s="496" t="str">
        <f> IF(IU351&lt;&gt;"",TEXT(AUX!#REF!,"dd-MMM-aa"),"")</f>
      </c>
      <c r="IV331" s="496" t="str">
        <f> IF(IV351&lt;&gt;"",TEXT(AUX!#REF!,"dd-MMM-aa"),"")</f>
      </c>
    </row>
    <row r="332" hidden="1">
      <c r="B332" s="822" t="s">
        <v>8</v>
      </c>
      <c r="C332" s="823">
        <v>69770</v>
      </c>
      <c r="D332" s="823">
        <v>74606</v>
      </c>
      <c r="E332" s="823">
        <v>52756</v>
      </c>
      <c r="F332" s="823">
        <v>69587</v>
      </c>
      <c r="G332" s="823">
        <v>29924</v>
      </c>
      <c r="H332" s="823">
        <v>70665</v>
      </c>
      <c r="I332" s="823">
        <v>55604</v>
      </c>
      <c r="J332" s="823">
        <v>69612</v>
      </c>
      <c r="K332" s="823">
        <v>143871</v>
      </c>
      <c r="L332" s="823">
        <v>30906</v>
      </c>
      <c r="M332" s="823">
        <v>714</v>
      </c>
      <c r="N332" s="823">
        <v>109334</v>
      </c>
      <c r="O332" s="823">
        <v>210</v>
      </c>
      <c r="P332" s="823">
        <v>158</v>
      </c>
      <c r="Q332" s="823">
        <v>170</v>
      </c>
      <c r="R332" s="823">
        <v>183</v>
      </c>
      <c r="S332" s="823">
        <v>183</v>
      </c>
      <c r="T332" s="823">
        <v>183</v>
      </c>
      <c r="U332" s="823">
        <v>1083</v>
      </c>
      <c r="V332" s="823">
        <v>1019</v>
      </c>
      <c r="W332" s="823">
        <v>89</v>
      </c>
      <c r="X332" s="823">
        <v>35</v>
      </c>
      <c r="Y332" s="823">
        <v>105</v>
      </c>
      <c r="Z332" s="823">
        <v>105</v>
      </c>
      <c r="AA332" s="823">
        <v>1010</v>
      </c>
      <c r="AB332" s="824">
        <v>30</v>
      </c>
      <c r="AC332" s="825">
        <v>64</v>
      </c>
      <c r="AD332" s="825">
        <v>64</v>
      </c>
      <c r="AE332" s="825">
        <v>64</v>
      </c>
      <c r="AF332" s="825">
        <v>50</v>
      </c>
      <c r="AG332" s="825">
        <v>50</v>
      </c>
      <c r="AH332" s="825">
        <v>50</v>
      </c>
      <c r="AI332" s="825">
        <v>50</v>
      </c>
      <c r="AJ332" s="825">
        <v>32</v>
      </c>
      <c r="AK332" s="825">
        <v>0</v>
      </c>
      <c r="AL332" s="825">
        <v>0</v>
      </c>
      <c r="AM332" s="825">
        <v>0</v>
      </c>
      <c r="AN332" s="825">
        <v>0</v>
      </c>
      <c r="AO332" s="825">
        <v>0</v>
      </c>
      <c r="AP332" s="825">
        <v>0</v>
      </c>
    </row>
    <row r="333" hidden="1">
      <c r="B333" s="826" t="s">
        <v>9</v>
      </c>
      <c r="C333" s="827">
        <v>0</v>
      </c>
      <c r="D333" s="827">
        <v>0</v>
      </c>
      <c r="E333" s="827">
        <v>0</v>
      </c>
      <c r="F333" s="827">
        <v>0</v>
      </c>
      <c r="G333" s="827">
        <v>0</v>
      </c>
      <c r="H333" s="827">
        <v>0</v>
      </c>
      <c r="I333" s="827">
        <v>0</v>
      </c>
      <c r="J333" s="827">
        <v>0</v>
      </c>
      <c r="K333" s="827">
        <v>0</v>
      </c>
      <c r="L333" s="827">
        <v>0</v>
      </c>
      <c r="M333" s="827">
        <v>0</v>
      </c>
      <c r="N333" s="827">
        <v>0</v>
      </c>
      <c r="O333" s="827">
        <v>0</v>
      </c>
      <c r="P333" s="827">
        <v>0</v>
      </c>
      <c r="Q333" s="827">
        <v>0</v>
      </c>
      <c r="R333" s="827">
        <v>0</v>
      </c>
      <c r="S333" s="827">
        <v>0</v>
      </c>
      <c r="T333" s="827">
        <v>0</v>
      </c>
      <c r="U333" s="827">
        <v>0</v>
      </c>
      <c r="V333" s="827">
        <v>0</v>
      </c>
      <c r="W333" s="827">
        <v>0</v>
      </c>
      <c r="X333" s="827">
        <v>0</v>
      </c>
      <c r="Y333" s="827">
        <v>0</v>
      </c>
      <c r="Z333" s="827">
        <v>0</v>
      </c>
      <c r="AA333" s="827">
        <v>0</v>
      </c>
      <c r="AB333" s="827">
        <v>0</v>
      </c>
      <c r="AC333" s="828">
        <v>0</v>
      </c>
      <c r="AD333" s="828">
        <v>0</v>
      </c>
      <c r="AE333" s="828">
        <v>0</v>
      </c>
      <c r="AF333" s="828">
        <v>0</v>
      </c>
      <c r="AG333" s="828">
        <v>0</v>
      </c>
      <c r="AH333" s="828">
        <v>0</v>
      </c>
      <c r="AI333" s="828">
        <v>0</v>
      </c>
      <c r="AJ333" s="828">
        <v>0</v>
      </c>
      <c r="AK333" s="828">
        <v>0</v>
      </c>
      <c r="AL333" s="828">
        <v>0</v>
      </c>
      <c r="AM333" s="828">
        <v>0</v>
      </c>
      <c r="AN333" s="828">
        <v>0</v>
      </c>
      <c r="AO333" s="828">
        <v>0</v>
      </c>
      <c r="AP333" s="828">
        <v>0</v>
      </c>
    </row>
    <row r="334" hidden="1">
      <c r="B334" s="829" t="s">
        <v>10</v>
      </c>
      <c r="C334" s="823">
        <v>0</v>
      </c>
      <c r="D334" s="823">
        <v>0</v>
      </c>
      <c r="E334" s="823">
        <v>0</v>
      </c>
      <c r="F334" s="823">
        <v>0</v>
      </c>
      <c r="G334" s="823">
        <v>0</v>
      </c>
      <c r="H334" s="823">
        <v>0</v>
      </c>
      <c r="I334" s="823">
        <v>0</v>
      </c>
      <c r="J334" s="823">
        <v>0</v>
      </c>
      <c r="K334" s="823">
        <v>0</v>
      </c>
      <c r="L334" s="823">
        <v>0</v>
      </c>
      <c r="M334" s="823">
        <v>0</v>
      </c>
      <c r="N334" s="823">
        <v>0</v>
      </c>
      <c r="O334" s="823">
        <v>0</v>
      </c>
      <c r="P334" s="823">
        <v>0</v>
      </c>
      <c r="Q334" s="823">
        <v>0</v>
      </c>
      <c r="R334" s="823">
        <v>0</v>
      </c>
      <c r="S334" s="823">
        <v>0</v>
      </c>
      <c r="T334" s="823">
        <v>0</v>
      </c>
      <c r="U334" s="823">
        <v>0</v>
      </c>
      <c r="V334" s="823">
        <v>0</v>
      </c>
      <c r="W334" s="823">
        <v>0</v>
      </c>
      <c r="X334" s="823">
        <v>0</v>
      </c>
      <c r="Y334" s="823">
        <v>0</v>
      </c>
      <c r="Z334" s="823">
        <v>0</v>
      </c>
      <c r="AA334" s="823">
        <v>0</v>
      </c>
      <c r="AB334" s="823">
        <v>0</v>
      </c>
      <c r="AC334" s="825">
        <v>0</v>
      </c>
      <c r="AD334" s="825">
        <v>0</v>
      </c>
      <c r="AE334" s="825">
        <v>0</v>
      </c>
      <c r="AF334" s="825">
        <v>0</v>
      </c>
      <c r="AG334" s="825">
        <v>0</v>
      </c>
      <c r="AH334" s="825">
        <v>0</v>
      </c>
      <c r="AI334" s="825">
        <v>0</v>
      </c>
      <c r="AJ334" s="825">
        <v>0</v>
      </c>
      <c r="AK334" s="825">
        <v>0</v>
      </c>
      <c r="AL334" s="825">
        <v>0</v>
      </c>
      <c r="AM334" s="825">
        <v>0</v>
      </c>
      <c r="AN334" s="825">
        <v>0</v>
      </c>
      <c r="AO334" s="825">
        <v>0</v>
      </c>
      <c r="AP334" s="825">
        <v>0</v>
      </c>
    </row>
    <row r="335" hidden="1">
      <c r="B335" s="826" t="s">
        <v>11</v>
      </c>
      <c r="C335" s="827">
        <v>0</v>
      </c>
      <c r="D335" s="827">
        <v>0</v>
      </c>
      <c r="E335" s="827">
        <v>0</v>
      </c>
      <c r="F335" s="827">
        <v>0</v>
      </c>
      <c r="G335" s="827">
        <v>0</v>
      </c>
      <c r="H335" s="827">
        <v>0</v>
      </c>
      <c r="I335" s="827">
        <v>0</v>
      </c>
      <c r="J335" s="827">
        <v>0</v>
      </c>
      <c r="K335" s="827">
        <v>0</v>
      </c>
      <c r="L335" s="827">
        <v>0</v>
      </c>
      <c r="M335" s="827">
        <v>0</v>
      </c>
      <c r="N335" s="827">
        <v>0</v>
      </c>
      <c r="O335" s="827">
        <v>400</v>
      </c>
      <c r="P335" s="827">
        <v>400</v>
      </c>
      <c r="Q335" s="827">
        <v>400</v>
      </c>
      <c r="R335" s="827">
        <v>400</v>
      </c>
      <c r="S335" s="827">
        <v>250</v>
      </c>
      <c r="T335" s="827">
        <v>250</v>
      </c>
      <c r="U335" s="827">
        <v>120</v>
      </c>
      <c r="V335" s="827">
        <v>120</v>
      </c>
      <c r="W335" s="827">
        <v>120</v>
      </c>
      <c r="X335" s="827">
        <v>120</v>
      </c>
      <c r="Y335" s="827">
        <v>100</v>
      </c>
      <c r="Z335" s="827">
        <v>100</v>
      </c>
      <c r="AA335" s="827">
        <v>100</v>
      </c>
      <c r="AB335" s="827">
        <v>100</v>
      </c>
      <c r="AC335" s="828">
        <v>0</v>
      </c>
      <c r="AD335" s="828">
        <v>0</v>
      </c>
      <c r="AE335" s="828">
        <v>0</v>
      </c>
      <c r="AF335" s="828">
        <v>0</v>
      </c>
      <c r="AG335" s="828">
        <v>0</v>
      </c>
      <c r="AH335" s="828">
        <v>0</v>
      </c>
      <c r="AI335" s="828">
        <v>0</v>
      </c>
      <c r="AJ335" s="828">
        <v>0</v>
      </c>
      <c r="AK335" s="828">
        <v>0</v>
      </c>
      <c r="AL335" s="828">
        <v>0</v>
      </c>
      <c r="AM335" s="828">
        <v>0</v>
      </c>
      <c r="AN335" s="828">
        <v>0</v>
      </c>
      <c r="AO335" s="828">
        <v>0</v>
      </c>
      <c r="AP335" s="828">
        <v>0</v>
      </c>
    </row>
    <row r="336" hidden="1">
      <c r="B336" s="829" t="s">
        <v>12</v>
      </c>
      <c r="C336" s="823">
        <v>120</v>
      </c>
      <c r="D336" s="823">
        <v>117</v>
      </c>
      <c r="E336" s="823">
        <v>157</v>
      </c>
      <c r="F336" s="823">
        <v>134</v>
      </c>
      <c r="G336" s="823">
        <v>57</v>
      </c>
      <c r="H336" s="823">
        <v>57</v>
      </c>
      <c r="I336" s="823">
        <v>57</v>
      </c>
      <c r="J336" s="823">
        <v>57</v>
      </c>
      <c r="K336" s="823">
        <v>0</v>
      </c>
      <c r="L336" s="823">
        <v>30</v>
      </c>
      <c r="M336" s="823">
        <v>30</v>
      </c>
      <c r="N336" s="823">
        <v>0</v>
      </c>
      <c r="O336" s="823">
        <v>0</v>
      </c>
      <c r="P336" s="823">
        <v>0</v>
      </c>
      <c r="Q336" s="823">
        <v>60</v>
      </c>
      <c r="R336" s="823">
        <v>60</v>
      </c>
      <c r="S336" s="823">
        <v>60</v>
      </c>
      <c r="T336" s="823">
        <v>60</v>
      </c>
      <c r="U336" s="823">
        <v>0</v>
      </c>
      <c r="V336" s="823">
        <v>0</v>
      </c>
      <c r="W336" s="823">
        <v>0</v>
      </c>
      <c r="X336" s="823">
        <v>0</v>
      </c>
      <c r="Y336" s="823">
        <v>0</v>
      </c>
      <c r="Z336" s="823">
        <v>0</v>
      </c>
      <c r="AA336" s="823">
        <v>0</v>
      </c>
      <c r="AB336" s="823">
        <v>0</v>
      </c>
      <c r="AC336" s="825">
        <v>0</v>
      </c>
      <c r="AD336" s="825">
        <v>0</v>
      </c>
      <c r="AE336" s="825">
        <v>0</v>
      </c>
      <c r="AF336" s="825">
        <v>0</v>
      </c>
      <c r="AG336" s="825">
        <v>0</v>
      </c>
      <c r="AH336" s="825">
        <v>0</v>
      </c>
      <c r="AI336" s="825">
        <v>0</v>
      </c>
      <c r="AJ336" s="825">
        <v>0</v>
      </c>
      <c r="AK336" s="825">
        <v>20</v>
      </c>
      <c r="AL336" s="825">
        <v>20</v>
      </c>
      <c r="AM336" s="825">
        <v>20</v>
      </c>
      <c r="AN336" s="825">
        <v>20</v>
      </c>
      <c r="AO336" s="825">
        <v>53</v>
      </c>
      <c r="AP336" s="825">
        <v>53</v>
      </c>
    </row>
    <row r="337" hidden="1">
      <c r="B337" s="826" t="s">
        <v>13</v>
      </c>
      <c r="C337" s="827">
        <v>0</v>
      </c>
      <c r="D337" s="827">
        <v>0</v>
      </c>
      <c r="E337" s="827">
        <v>0</v>
      </c>
      <c r="F337" s="827">
        <v>0</v>
      </c>
      <c r="G337" s="827">
        <v>12</v>
      </c>
      <c r="H337" s="827">
        <v>43</v>
      </c>
      <c r="I337" s="827">
        <v>58</v>
      </c>
      <c r="J337" s="827">
        <v>58</v>
      </c>
      <c r="K337" s="827">
        <v>0</v>
      </c>
      <c r="L337" s="827">
        <v>0</v>
      </c>
      <c r="M337" s="827">
        <v>0</v>
      </c>
      <c r="N337" s="827">
        <v>0</v>
      </c>
      <c r="O337" s="827">
        <v>0</v>
      </c>
      <c r="P337" s="827">
        <v>0</v>
      </c>
      <c r="Q337" s="827">
        <v>0</v>
      </c>
      <c r="R337" s="827">
        <v>0</v>
      </c>
      <c r="S337" s="827">
        <v>0</v>
      </c>
      <c r="T337" s="827">
        <v>0</v>
      </c>
      <c r="U337" s="827">
        <v>0</v>
      </c>
      <c r="V337" s="827">
        <v>0</v>
      </c>
      <c r="W337" s="827">
        <v>0</v>
      </c>
      <c r="X337" s="827">
        <v>0</v>
      </c>
      <c r="Y337" s="827">
        <v>0</v>
      </c>
      <c r="Z337" s="827">
        <v>0</v>
      </c>
      <c r="AA337" s="827">
        <v>0</v>
      </c>
      <c r="AB337" s="827">
        <v>0</v>
      </c>
      <c r="AC337" s="828">
        <v>0</v>
      </c>
      <c r="AD337" s="828">
        <v>0</v>
      </c>
      <c r="AE337" s="828">
        <v>0</v>
      </c>
      <c r="AF337" s="828">
        <v>0</v>
      </c>
      <c r="AG337" s="828">
        <v>0</v>
      </c>
      <c r="AH337" s="828">
        <v>0</v>
      </c>
      <c r="AI337" s="828">
        <v>0</v>
      </c>
      <c r="AJ337" s="828">
        <v>0</v>
      </c>
      <c r="AK337" s="828">
        <v>52</v>
      </c>
      <c r="AL337" s="828">
        <v>57</v>
      </c>
      <c r="AM337" s="828">
        <v>57</v>
      </c>
      <c r="AN337" s="828">
        <v>57</v>
      </c>
      <c r="AO337" s="828">
        <v>31</v>
      </c>
      <c r="AP337" s="828">
        <v>31</v>
      </c>
    </row>
    <row r="338" hidden="1">
      <c r="B338" s="829" t="s">
        <v>109</v>
      </c>
      <c r="C338" s="823">
        <v>54399</v>
      </c>
      <c r="D338" s="823">
        <v>174387</v>
      </c>
      <c r="E338" s="823">
        <v>0</v>
      </c>
      <c r="F338" s="823">
        <v>0</v>
      </c>
      <c r="G338" s="823">
        <v>0</v>
      </c>
      <c r="H338" s="823">
        <v>0</v>
      </c>
      <c r="I338" s="823">
        <v>0</v>
      </c>
      <c r="J338" s="823">
        <v>0</v>
      </c>
      <c r="K338" s="823">
        <v>0</v>
      </c>
      <c r="L338" s="823">
        <v>0</v>
      </c>
      <c r="M338" s="823">
        <v>0</v>
      </c>
      <c r="N338" s="823">
        <v>0</v>
      </c>
      <c r="O338" s="823">
        <v>0</v>
      </c>
      <c r="P338" s="823">
        <v>0</v>
      </c>
      <c r="Q338" s="823">
        <v>0</v>
      </c>
      <c r="R338" s="823">
        <v>0</v>
      </c>
      <c r="S338" s="823">
        <v>0</v>
      </c>
      <c r="T338" s="823">
        <v>0</v>
      </c>
      <c r="U338" s="823">
        <v>0</v>
      </c>
      <c r="V338" s="823">
        <v>0</v>
      </c>
      <c r="W338" s="823">
        <v>0</v>
      </c>
      <c r="X338" s="823">
        <v>0</v>
      </c>
      <c r="Y338" s="823">
        <v>0</v>
      </c>
      <c r="Z338" s="823">
        <v>0</v>
      </c>
      <c r="AA338" s="823">
        <v>0</v>
      </c>
      <c r="AB338" s="823">
        <v>0</v>
      </c>
      <c r="AC338" s="825">
        <v>0</v>
      </c>
      <c r="AD338" s="825">
        <v>0</v>
      </c>
      <c r="AE338" s="825">
        <v>0</v>
      </c>
      <c r="AF338" s="825">
        <v>0</v>
      </c>
      <c r="AG338" s="825">
        <v>0</v>
      </c>
      <c r="AH338" s="825">
        <v>0</v>
      </c>
      <c r="AI338" s="825">
        <v>0</v>
      </c>
      <c r="AJ338" s="825">
        <v>0</v>
      </c>
      <c r="AK338" s="825">
        <v>0</v>
      </c>
      <c r="AL338" s="825">
        <v>0</v>
      </c>
      <c r="AM338" s="825">
        <v>0</v>
      </c>
      <c r="AN338" s="825">
        <v>0</v>
      </c>
      <c r="AO338" s="825">
        <v>0</v>
      </c>
      <c r="AP338" s="825">
        <v>0</v>
      </c>
    </row>
    <row r="339" hidden="1">
      <c r="B339" s="826" t="s">
        <v>110</v>
      </c>
      <c r="C339" s="827">
        <v>0</v>
      </c>
      <c r="D339" s="827">
        <v>0</v>
      </c>
      <c r="E339" s="827">
        <v>0</v>
      </c>
      <c r="F339" s="827">
        <v>0</v>
      </c>
      <c r="G339" s="827">
        <v>0</v>
      </c>
      <c r="H339" s="827">
        <v>0</v>
      </c>
      <c r="I339" s="827">
        <v>0</v>
      </c>
      <c r="J339" s="827">
        <v>0</v>
      </c>
      <c r="K339" s="827">
        <v>0</v>
      </c>
      <c r="L339" s="827">
        <v>0</v>
      </c>
      <c r="M339" s="827">
        <v>0</v>
      </c>
      <c r="N339" s="827">
        <v>0</v>
      </c>
      <c r="O339" s="827">
        <v>0</v>
      </c>
      <c r="P339" s="827">
        <v>0</v>
      </c>
      <c r="Q339" s="827">
        <v>0</v>
      </c>
      <c r="R339" s="827">
        <v>0</v>
      </c>
      <c r="S339" s="827">
        <v>0</v>
      </c>
      <c r="T339" s="827">
        <v>0</v>
      </c>
      <c r="U339" s="827">
        <v>0</v>
      </c>
      <c r="V339" s="827">
        <v>0</v>
      </c>
      <c r="W339" s="827">
        <v>84000</v>
      </c>
      <c r="X339" s="827">
        <v>80700</v>
      </c>
      <c r="Y339" s="827">
        <v>120700</v>
      </c>
      <c r="Z339" s="827">
        <v>127808</v>
      </c>
      <c r="AA339" s="827">
        <v>188808</v>
      </c>
      <c r="AB339" s="827">
        <v>192355</v>
      </c>
      <c r="AC339" s="828">
        <v>167555</v>
      </c>
      <c r="AD339" s="828">
        <v>167555</v>
      </c>
      <c r="AE339" s="828">
        <v>180445</v>
      </c>
      <c r="AF339" s="828">
        <v>180445</v>
      </c>
      <c r="AG339" s="828">
        <v>133900</v>
      </c>
      <c r="AH339" s="828">
        <v>138129</v>
      </c>
      <c r="AI339" s="828">
        <v>140952</v>
      </c>
      <c r="AJ339" s="828">
        <v>140952</v>
      </c>
      <c r="AK339" s="828">
        <v>191491</v>
      </c>
      <c r="AL339" s="828">
        <v>139739</v>
      </c>
      <c r="AM339" s="828">
        <v>182576</v>
      </c>
      <c r="AN339" s="828">
        <v>182576</v>
      </c>
      <c r="AO339" s="828">
        <v>178858</v>
      </c>
      <c r="AP339" s="828">
        <v>126731</v>
      </c>
    </row>
    <row r="340" hidden="1">
      <c r="B340" s="829" t="s">
        <v>16</v>
      </c>
      <c r="C340" s="823">
        <v>0</v>
      </c>
      <c r="D340" s="823">
        <v>356</v>
      </c>
      <c r="E340" s="823">
        <v>75831</v>
      </c>
      <c r="F340" s="823">
        <v>40</v>
      </c>
      <c r="G340" s="823">
        <v>136</v>
      </c>
      <c r="H340" s="823">
        <v>136</v>
      </c>
      <c r="I340" s="823">
        <v>136</v>
      </c>
      <c r="J340" s="823">
        <v>136</v>
      </c>
      <c r="K340" s="823">
        <v>0</v>
      </c>
      <c r="L340" s="823">
        <v>0</v>
      </c>
      <c r="M340" s="823">
        <v>0</v>
      </c>
      <c r="N340" s="823">
        <v>0</v>
      </c>
      <c r="O340" s="823">
        <v>0</v>
      </c>
      <c r="P340" s="823">
        <v>0</v>
      </c>
      <c r="Q340" s="823">
        <v>0</v>
      </c>
      <c r="R340" s="823">
        <v>0</v>
      </c>
      <c r="S340" s="823">
        <v>0</v>
      </c>
      <c r="T340" s="823">
        <v>0</v>
      </c>
      <c r="U340" s="823">
        <v>0</v>
      </c>
      <c r="V340" s="823">
        <v>0</v>
      </c>
      <c r="W340" s="823">
        <v>0</v>
      </c>
      <c r="X340" s="823">
        <v>15</v>
      </c>
      <c r="Y340" s="823">
        <v>0</v>
      </c>
      <c r="Z340" s="823">
        <v>0</v>
      </c>
      <c r="AA340" s="823">
        <v>0</v>
      </c>
      <c r="AB340" s="823">
        <v>0</v>
      </c>
      <c r="AC340" s="825">
        <v>0</v>
      </c>
      <c r="AD340" s="825">
        <v>0</v>
      </c>
      <c r="AE340" s="825">
        <v>16000</v>
      </c>
      <c r="AF340" s="825">
        <v>16000</v>
      </c>
      <c r="AG340" s="825">
        <v>15600</v>
      </c>
      <c r="AH340" s="825">
        <v>15600</v>
      </c>
      <c r="AI340" s="825">
        <v>20570</v>
      </c>
      <c r="AJ340" s="825">
        <v>20570</v>
      </c>
      <c r="AK340" s="825">
        <v>17137</v>
      </c>
      <c r="AL340" s="825">
        <v>20171</v>
      </c>
      <c r="AM340" s="825">
        <v>80342</v>
      </c>
      <c r="AN340" s="825">
        <v>80342</v>
      </c>
      <c r="AO340" s="825">
        <v>62591</v>
      </c>
      <c r="AP340" s="825">
        <v>21758</v>
      </c>
    </row>
    <row r="341" hidden="1">
      <c r="B341" s="826" t="s">
        <v>17</v>
      </c>
      <c r="C341" s="827">
        <v>1495800</v>
      </c>
      <c r="D341" s="827">
        <v>1721465</v>
      </c>
      <c r="E341" s="827">
        <v>1400801</v>
      </c>
      <c r="F341" s="827">
        <v>1891020</v>
      </c>
      <c r="G341" s="827">
        <v>429326</v>
      </c>
      <c r="H341" s="827">
        <v>152007</v>
      </c>
      <c r="I341" s="827">
        <v>1399479</v>
      </c>
      <c r="J341" s="827">
        <v>1480995</v>
      </c>
      <c r="K341" s="827">
        <v>51</v>
      </c>
      <c r="L341" s="827">
        <v>76</v>
      </c>
      <c r="M341" s="827">
        <v>76</v>
      </c>
      <c r="N341" s="827">
        <v>76</v>
      </c>
      <c r="O341" s="827">
        <v>74</v>
      </c>
      <c r="P341" s="827">
        <v>0</v>
      </c>
      <c r="Q341" s="827">
        <v>0</v>
      </c>
      <c r="R341" s="827">
        <v>0</v>
      </c>
      <c r="S341" s="827">
        <v>0</v>
      </c>
      <c r="T341" s="827">
        <v>0</v>
      </c>
      <c r="U341" s="827">
        <v>0</v>
      </c>
      <c r="V341" s="827">
        <v>0</v>
      </c>
      <c r="W341" s="827">
        <v>0</v>
      </c>
      <c r="X341" s="827">
        <v>0</v>
      </c>
      <c r="Y341" s="827">
        <v>0</v>
      </c>
      <c r="Z341" s="827">
        <v>0</v>
      </c>
      <c r="AA341" s="827">
        <v>0</v>
      </c>
      <c r="AB341" s="827">
        <v>0</v>
      </c>
      <c r="AC341" s="828">
        <v>0</v>
      </c>
      <c r="AD341" s="828">
        <v>0</v>
      </c>
      <c r="AE341" s="828">
        <v>0</v>
      </c>
      <c r="AF341" s="828">
        <v>0</v>
      </c>
      <c r="AG341" s="828">
        <v>0</v>
      </c>
      <c r="AH341" s="828">
        <v>0</v>
      </c>
      <c r="AI341" s="828">
        <v>0</v>
      </c>
      <c r="AJ341" s="828">
        <v>0</v>
      </c>
      <c r="AK341" s="828">
        <v>0</v>
      </c>
      <c r="AL341" s="828">
        <v>0</v>
      </c>
      <c r="AM341" s="828">
        <v>0</v>
      </c>
      <c r="AN341" s="828">
        <v>0</v>
      </c>
      <c r="AO341" s="828">
        <v>0</v>
      </c>
      <c r="AP341" s="828">
        <v>0</v>
      </c>
    </row>
    <row r="342" hidden="1">
      <c r="B342" s="829" t="s">
        <v>18</v>
      </c>
      <c r="C342" s="823">
        <v>0</v>
      </c>
      <c r="D342" s="823">
        <v>0</v>
      </c>
      <c r="E342" s="823">
        <v>0</v>
      </c>
      <c r="F342" s="823">
        <v>0</v>
      </c>
      <c r="G342" s="823">
        <v>1941</v>
      </c>
      <c r="H342" s="823">
        <v>1941</v>
      </c>
      <c r="I342" s="823">
        <v>40</v>
      </c>
      <c r="J342" s="823">
        <v>40</v>
      </c>
      <c r="K342" s="823">
        <v>0</v>
      </c>
      <c r="L342" s="823">
        <v>0</v>
      </c>
      <c r="M342" s="823">
        <v>0</v>
      </c>
      <c r="N342" s="823">
        <v>0</v>
      </c>
      <c r="O342" s="823">
        <v>0</v>
      </c>
      <c r="P342" s="823">
        <v>0</v>
      </c>
      <c r="Q342" s="823">
        <v>0</v>
      </c>
      <c r="R342" s="823">
        <v>0</v>
      </c>
      <c r="S342" s="823">
        <v>0</v>
      </c>
      <c r="T342" s="823">
        <v>0</v>
      </c>
      <c r="U342" s="823">
        <v>0</v>
      </c>
      <c r="V342" s="823">
        <v>0</v>
      </c>
      <c r="W342" s="823">
        <v>0</v>
      </c>
      <c r="X342" s="823">
        <v>0</v>
      </c>
      <c r="Y342" s="823">
        <v>0</v>
      </c>
      <c r="Z342" s="823">
        <v>0</v>
      </c>
      <c r="AA342" s="823">
        <v>0</v>
      </c>
      <c r="AB342" s="823">
        <v>0</v>
      </c>
      <c r="AC342" s="825">
        <v>0</v>
      </c>
      <c r="AD342" s="825">
        <v>0</v>
      </c>
      <c r="AE342" s="825">
        <v>0</v>
      </c>
      <c r="AF342" s="825">
        <v>29484</v>
      </c>
      <c r="AG342" s="825">
        <v>113444</v>
      </c>
      <c r="AH342" s="825">
        <v>82774</v>
      </c>
      <c r="AI342" s="825">
        <v>84086</v>
      </c>
      <c r="AJ342" s="825">
        <v>84086</v>
      </c>
      <c r="AK342" s="825">
        <v>103400</v>
      </c>
      <c r="AL342" s="825">
        <v>102800</v>
      </c>
      <c r="AM342" s="825">
        <v>103155</v>
      </c>
      <c r="AN342" s="825">
        <v>103155</v>
      </c>
      <c r="AO342" s="825">
        <v>67085</v>
      </c>
      <c r="AP342" s="825">
        <v>67085</v>
      </c>
    </row>
    <row r="343" hidden="1">
      <c r="B343" s="826" t="s">
        <v>19</v>
      </c>
      <c r="C343" s="827">
        <v>0</v>
      </c>
      <c r="D343" s="827">
        <v>0</v>
      </c>
      <c r="E343" s="827">
        <v>0</v>
      </c>
      <c r="F343" s="827">
        <v>0</v>
      </c>
      <c r="G343" s="827">
        <v>0</v>
      </c>
      <c r="H343" s="827">
        <v>0</v>
      </c>
      <c r="I343" s="827">
        <v>0</v>
      </c>
      <c r="J343" s="827">
        <v>40</v>
      </c>
      <c r="K343" s="827">
        <v>45</v>
      </c>
      <c r="L343" s="827">
        <v>0</v>
      </c>
      <c r="M343" s="827">
        <v>45</v>
      </c>
      <c r="N343" s="827">
        <v>45</v>
      </c>
      <c r="O343" s="827">
        <v>53</v>
      </c>
      <c r="P343" s="827">
        <v>53</v>
      </c>
      <c r="Q343" s="827">
        <v>17</v>
      </c>
      <c r="R343" s="827">
        <v>17</v>
      </c>
      <c r="S343" s="827">
        <v>10</v>
      </c>
      <c r="T343" s="827">
        <v>10</v>
      </c>
      <c r="U343" s="827">
        <v>10</v>
      </c>
      <c r="V343" s="827">
        <v>10</v>
      </c>
      <c r="W343" s="827">
        <v>7</v>
      </c>
      <c r="X343" s="827">
        <v>7</v>
      </c>
      <c r="Y343" s="827">
        <v>269</v>
      </c>
      <c r="Z343" s="827">
        <v>269</v>
      </c>
      <c r="AA343" s="827">
        <v>269</v>
      </c>
      <c r="AB343" s="827">
        <v>269</v>
      </c>
      <c r="AC343" s="828">
        <v>269</v>
      </c>
      <c r="AD343" s="828">
        <v>269</v>
      </c>
      <c r="AE343" s="828">
        <v>269</v>
      </c>
      <c r="AF343" s="828">
        <v>269</v>
      </c>
      <c r="AG343" s="828">
        <v>0</v>
      </c>
      <c r="AH343" s="828">
        <v>0</v>
      </c>
      <c r="AI343" s="828">
        <v>0</v>
      </c>
      <c r="AJ343" s="828">
        <v>0</v>
      </c>
      <c r="AK343" s="828">
        <v>0</v>
      </c>
      <c r="AL343" s="828">
        <v>0</v>
      </c>
      <c r="AM343" s="828">
        <v>0</v>
      </c>
      <c r="AN343" s="828">
        <v>0</v>
      </c>
      <c r="AO343" s="828">
        <v>0</v>
      </c>
      <c r="AP343" s="828">
        <v>0</v>
      </c>
    </row>
    <row r="344" hidden="1">
      <c r="B344" s="829" t="s">
        <v>20</v>
      </c>
      <c r="C344" s="823">
        <v>0</v>
      </c>
      <c r="D344" s="823">
        <v>0</v>
      </c>
      <c r="E344" s="823">
        <v>0</v>
      </c>
      <c r="F344" s="823">
        <v>0</v>
      </c>
      <c r="G344" s="823">
        <v>0</v>
      </c>
      <c r="H344" s="823">
        <v>0</v>
      </c>
      <c r="I344" s="823">
        <v>0</v>
      </c>
      <c r="J344" s="823">
        <v>0</v>
      </c>
      <c r="K344" s="823">
        <v>0</v>
      </c>
      <c r="L344" s="823">
        <v>0</v>
      </c>
      <c r="M344" s="823">
        <v>0</v>
      </c>
      <c r="N344" s="823">
        <v>0</v>
      </c>
      <c r="O344" s="823">
        <v>0</v>
      </c>
      <c r="P344" s="823">
        <v>0</v>
      </c>
      <c r="Q344" s="823">
        <v>0</v>
      </c>
      <c r="R344" s="823">
        <v>0</v>
      </c>
      <c r="S344" s="823">
        <v>0</v>
      </c>
      <c r="T344" s="823">
        <v>0</v>
      </c>
      <c r="U344" s="823">
        <v>0</v>
      </c>
      <c r="V344" s="823">
        <v>0</v>
      </c>
      <c r="W344" s="823">
        <v>0</v>
      </c>
      <c r="X344" s="823">
        <v>0</v>
      </c>
      <c r="Y344" s="823">
        <v>0</v>
      </c>
      <c r="Z344" s="823">
        <v>0</v>
      </c>
      <c r="AA344" s="823">
        <v>0</v>
      </c>
      <c r="AB344" s="823">
        <v>0</v>
      </c>
      <c r="AC344" s="825">
        <v>0</v>
      </c>
      <c r="AD344" s="825">
        <v>0</v>
      </c>
      <c r="AE344" s="825">
        <v>0</v>
      </c>
      <c r="AF344" s="825">
        <v>0</v>
      </c>
      <c r="AG344" s="825">
        <v>0</v>
      </c>
      <c r="AH344" s="825">
        <v>0</v>
      </c>
      <c r="AI344" s="825">
        <v>0</v>
      </c>
      <c r="AJ344" s="825">
        <v>0</v>
      </c>
      <c r="AK344" s="825">
        <v>0</v>
      </c>
      <c r="AL344" s="825">
        <v>0</v>
      </c>
      <c r="AM344" s="825">
        <v>0</v>
      </c>
      <c r="AN344" s="825">
        <v>0</v>
      </c>
      <c r="AO344" s="825">
        <v>0</v>
      </c>
      <c r="AP344" s="825">
        <v>0</v>
      </c>
    </row>
    <row r="345" hidden="1">
      <c r="B345" s="826" t="s">
        <v>21</v>
      </c>
      <c r="C345" s="827">
        <v>0</v>
      </c>
      <c r="D345" s="827">
        <v>0</v>
      </c>
      <c r="E345" s="827">
        <v>0</v>
      </c>
      <c r="F345" s="827">
        <v>0</v>
      </c>
      <c r="G345" s="827">
        <v>0</v>
      </c>
      <c r="H345" s="827">
        <v>0</v>
      </c>
      <c r="I345" s="827">
        <v>0</v>
      </c>
      <c r="J345" s="827">
        <v>0</v>
      </c>
      <c r="K345" s="827">
        <v>0</v>
      </c>
      <c r="L345" s="827">
        <v>0</v>
      </c>
      <c r="M345" s="827">
        <v>0</v>
      </c>
      <c r="N345" s="827">
        <v>0</v>
      </c>
      <c r="O345" s="827">
        <v>12</v>
      </c>
      <c r="P345" s="827">
        <v>12</v>
      </c>
      <c r="Q345" s="827">
        <v>0</v>
      </c>
      <c r="R345" s="827">
        <v>0</v>
      </c>
      <c r="S345" s="827">
        <v>0</v>
      </c>
      <c r="T345" s="827">
        <v>10</v>
      </c>
      <c r="U345" s="827">
        <v>0</v>
      </c>
      <c r="V345" s="827">
        <v>0</v>
      </c>
      <c r="W345" s="827">
        <v>0</v>
      </c>
      <c r="X345" s="827">
        <v>0</v>
      </c>
      <c r="Y345" s="827">
        <v>0</v>
      </c>
      <c r="Z345" s="827">
        <v>0</v>
      </c>
      <c r="AA345" s="827">
        <v>0</v>
      </c>
      <c r="AB345" s="827">
        <v>0</v>
      </c>
      <c r="AC345" s="828">
        <v>0</v>
      </c>
      <c r="AD345" s="828">
        <v>0</v>
      </c>
      <c r="AE345" s="828">
        <v>0</v>
      </c>
      <c r="AF345" s="828">
        <v>0</v>
      </c>
      <c r="AG345" s="828">
        <v>0</v>
      </c>
      <c r="AH345" s="828">
        <v>0</v>
      </c>
      <c r="AI345" s="828">
        <v>0</v>
      </c>
      <c r="AJ345" s="828">
        <v>0</v>
      </c>
      <c r="AK345" s="828">
        <v>0</v>
      </c>
      <c r="AL345" s="828">
        <v>0</v>
      </c>
      <c r="AM345" s="828">
        <v>0</v>
      </c>
      <c r="AN345" s="828">
        <v>0</v>
      </c>
      <c r="AO345" s="828">
        <v>0</v>
      </c>
      <c r="AP345" s="828">
        <v>0</v>
      </c>
    </row>
    <row r="346" hidden="1">
      <c r="B346" s="829" t="s">
        <v>22</v>
      </c>
      <c r="C346" s="823">
        <v>0</v>
      </c>
      <c r="D346" s="823">
        <v>0</v>
      </c>
      <c r="E346" s="823">
        <v>0</v>
      </c>
      <c r="F346" s="823">
        <v>0</v>
      </c>
      <c r="G346" s="823">
        <v>0</v>
      </c>
      <c r="H346" s="823">
        <v>0</v>
      </c>
      <c r="I346" s="823">
        <v>0</v>
      </c>
      <c r="J346" s="823">
        <v>0</v>
      </c>
      <c r="K346" s="823">
        <v>0</v>
      </c>
      <c r="L346" s="823">
        <v>0</v>
      </c>
      <c r="M346" s="823">
        <v>0</v>
      </c>
      <c r="N346" s="823">
        <v>0</v>
      </c>
      <c r="O346" s="823">
        <v>0</v>
      </c>
      <c r="P346" s="823">
        <v>0</v>
      </c>
      <c r="Q346" s="823">
        <v>0</v>
      </c>
      <c r="R346" s="823">
        <v>0</v>
      </c>
      <c r="S346" s="823">
        <v>0</v>
      </c>
      <c r="T346" s="823">
        <v>0</v>
      </c>
      <c r="U346" s="823">
        <v>0</v>
      </c>
      <c r="V346" s="823">
        <v>0</v>
      </c>
      <c r="W346" s="823">
        <v>0</v>
      </c>
      <c r="X346" s="823">
        <v>0</v>
      </c>
      <c r="Y346" s="823">
        <v>0</v>
      </c>
      <c r="Z346" s="823">
        <v>60</v>
      </c>
      <c r="AA346" s="823">
        <v>85</v>
      </c>
      <c r="AB346" s="823">
        <v>114</v>
      </c>
      <c r="AC346" s="825">
        <v>119</v>
      </c>
      <c r="AD346" s="825">
        <v>82</v>
      </c>
      <c r="AE346" s="825">
        <v>75</v>
      </c>
      <c r="AF346" s="825">
        <v>75</v>
      </c>
      <c r="AG346" s="825">
        <v>75</v>
      </c>
      <c r="AH346" s="825">
        <v>75</v>
      </c>
      <c r="AI346" s="825">
        <v>15</v>
      </c>
      <c r="AJ346" s="825">
        <v>15</v>
      </c>
      <c r="AK346" s="825">
        <v>0</v>
      </c>
      <c r="AL346" s="825">
        <v>0</v>
      </c>
      <c r="AM346" s="825">
        <v>0</v>
      </c>
      <c r="AN346" s="825">
        <v>0</v>
      </c>
      <c r="AO346" s="825">
        <v>0</v>
      </c>
      <c r="AP346" s="825">
        <v>0</v>
      </c>
    </row>
    <row r="347" hidden="1">
      <c r="B347" s="826" t="s">
        <v>23</v>
      </c>
      <c r="C347" s="827">
        <v>0</v>
      </c>
      <c r="D347" s="827">
        <v>0</v>
      </c>
      <c r="E347" s="827">
        <v>0</v>
      </c>
      <c r="F347" s="827">
        <v>0</v>
      </c>
      <c r="G347" s="827">
        <v>0</v>
      </c>
      <c r="H347" s="827">
        <v>0</v>
      </c>
      <c r="I347" s="827">
        <v>0</v>
      </c>
      <c r="J347" s="827">
        <v>0</v>
      </c>
      <c r="K347" s="827">
        <v>0</v>
      </c>
      <c r="L347" s="827">
        <v>45</v>
      </c>
      <c r="M347" s="827">
        <v>0</v>
      </c>
      <c r="N347" s="827">
        <v>0</v>
      </c>
      <c r="O347" s="827">
        <v>0</v>
      </c>
      <c r="P347" s="827">
        <v>0</v>
      </c>
      <c r="Q347" s="827">
        <v>0</v>
      </c>
      <c r="R347" s="827">
        <v>0</v>
      </c>
      <c r="S347" s="827">
        <v>0</v>
      </c>
      <c r="T347" s="827">
        <v>0</v>
      </c>
      <c r="U347" s="827">
        <v>0</v>
      </c>
      <c r="V347" s="827">
        <v>0</v>
      </c>
      <c r="W347" s="827">
        <v>0</v>
      </c>
      <c r="X347" s="827">
        <v>0</v>
      </c>
      <c r="Y347" s="827">
        <v>0</v>
      </c>
      <c r="Z347" s="827">
        <v>0</v>
      </c>
      <c r="AA347" s="827">
        <v>0</v>
      </c>
      <c r="AB347" s="827">
        <v>0</v>
      </c>
      <c r="AC347" s="828">
        <v>0</v>
      </c>
      <c r="AD347" s="828">
        <v>64670</v>
      </c>
      <c r="AE347" s="828">
        <v>153634</v>
      </c>
      <c r="AF347" s="828">
        <v>153634</v>
      </c>
      <c r="AG347" s="828">
        <v>89678</v>
      </c>
      <c r="AH347" s="828">
        <v>38316</v>
      </c>
      <c r="AI347" s="828">
        <v>66487</v>
      </c>
      <c r="AJ347" s="828">
        <v>66487</v>
      </c>
      <c r="AK347" s="828">
        <v>67505</v>
      </c>
      <c r="AL347" s="828">
        <v>67505</v>
      </c>
      <c r="AM347" s="828">
        <v>48500</v>
      </c>
      <c r="AN347" s="828">
        <v>48500</v>
      </c>
      <c r="AO347" s="828">
        <v>53675</v>
      </c>
      <c r="AP347" s="828">
        <v>0</v>
      </c>
    </row>
    <row r="348" hidden="1">
      <c r="B348" s="830" t="s">
        <v>24</v>
      </c>
      <c r="C348" s="823">
        <v>0</v>
      </c>
      <c r="D348" s="823">
        <v>0</v>
      </c>
      <c r="E348" s="823">
        <v>0</v>
      </c>
      <c r="F348" s="823">
        <v>0</v>
      </c>
      <c r="G348" s="823">
        <v>0</v>
      </c>
      <c r="H348" s="823">
        <v>0</v>
      </c>
      <c r="I348" s="823">
        <v>0</v>
      </c>
      <c r="J348" s="823">
        <v>0</v>
      </c>
      <c r="K348" s="823">
        <v>0</v>
      </c>
      <c r="L348" s="823">
        <v>0</v>
      </c>
      <c r="M348" s="823">
        <v>0</v>
      </c>
      <c r="N348" s="823">
        <v>0</v>
      </c>
      <c r="O348" s="823">
        <v>0</v>
      </c>
      <c r="P348" s="823">
        <v>0</v>
      </c>
      <c r="Q348" s="823">
        <v>0</v>
      </c>
      <c r="R348" s="823">
        <v>0</v>
      </c>
      <c r="S348" s="823">
        <v>0</v>
      </c>
      <c r="T348" s="823">
        <v>0</v>
      </c>
      <c r="U348" s="823">
        <v>0</v>
      </c>
      <c r="V348" s="823">
        <v>0</v>
      </c>
      <c r="W348" s="823">
        <v>0</v>
      </c>
      <c r="X348" s="823">
        <v>0</v>
      </c>
      <c r="Y348" s="823">
        <v>0</v>
      </c>
      <c r="Z348" s="823">
        <v>0</v>
      </c>
      <c r="AA348" s="823">
        <v>0</v>
      </c>
      <c r="AB348" s="823">
        <v>0</v>
      </c>
      <c r="AC348" s="825">
        <v>0</v>
      </c>
      <c r="AD348" s="825">
        <v>0</v>
      </c>
      <c r="AE348" s="825">
        <v>0</v>
      </c>
      <c r="AF348" s="825">
        <v>0</v>
      </c>
      <c r="AG348" s="825">
        <v>0</v>
      </c>
      <c r="AH348" s="825">
        <v>25</v>
      </c>
      <c r="AI348" s="825">
        <v>26</v>
      </c>
      <c r="AJ348" s="825">
        <v>11</v>
      </c>
      <c r="AK348" s="825">
        <v>22</v>
      </c>
      <c r="AL348" s="825">
        <v>22</v>
      </c>
      <c r="AM348" s="825">
        <v>16</v>
      </c>
      <c r="AN348" s="825">
        <v>93</v>
      </c>
      <c r="AO348" s="825">
        <v>93</v>
      </c>
      <c r="AP348" s="825">
        <v>93</v>
      </c>
    </row>
    <row r="349" hidden="1">
      <c r="B349" s="826" t="s">
        <v>25</v>
      </c>
      <c r="C349" s="827">
        <v>0</v>
      </c>
      <c r="D349" s="827">
        <v>0</v>
      </c>
      <c r="E349" s="827">
        <v>0</v>
      </c>
      <c r="F349" s="827">
        <v>0</v>
      </c>
      <c r="G349" s="827">
        <v>0</v>
      </c>
      <c r="H349" s="827">
        <v>0</v>
      </c>
      <c r="I349" s="827">
        <v>0</v>
      </c>
      <c r="J349" s="827">
        <v>0</v>
      </c>
      <c r="K349" s="827">
        <v>0</v>
      </c>
      <c r="L349" s="827">
        <v>0</v>
      </c>
      <c r="M349" s="827">
        <v>0</v>
      </c>
      <c r="N349" s="827">
        <v>0</v>
      </c>
      <c r="O349" s="827">
        <v>0</v>
      </c>
      <c r="P349" s="827">
        <v>0</v>
      </c>
      <c r="Q349" s="827">
        <v>0</v>
      </c>
      <c r="R349" s="827">
        <v>0</v>
      </c>
      <c r="S349" s="827">
        <v>0</v>
      </c>
      <c r="T349" s="827">
        <v>0</v>
      </c>
      <c r="U349" s="827">
        <v>0</v>
      </c>
      <c r="V349" s="827">
        <v>0</v>
      </c>
      <c r="W349" s="827">
        <v>0</v>
      </c>
      <c r="X349" s="827">
        <v>0</v>
      </c>
      <c r="Y349" s="827">
        <v>0</v>
      </c>
      <c r="Z349" s="827">
        <v>0</v>
      </c>
      <c r="AA349" s="827">
        <v>0</v>
      </c>
      <c r="AB349" s="827">
        <v>0</v>
      </c>
      <c r="AC349" s="828">
        <v>0</v>
      </c>
      <c r="AD349" s="828">
        <v>0</v>
      </c>
      <c r="AE349" s="828">
        <v>0</v>
      </c>
      <c r="AF349" s="828">
        <v>0</v>
      </c>
      <c r="AG349" s="828">
        <v>0</v>
      </c>
      <c r="AH349" s="828">
        <v>0</v>
      </c>
      <c r="AI349" s="828">
        <v>0</v>
      </c>
      <c r="AJ349" s="828">
        <v>0</v>
      </c>
      <c r="AK349" s="828">
        <v>0</v>
      </c>
      <c r="AL349" s="828">
        <v>0</v>
      </c>
      <c r="AM349" s="828">
        <v>0</v>
      </c>
      <c r="AN349" s="828">
        <v>0</v>
      </c>
      <c r="AO349" s="828">
        <v>0</v>
      </c>
      <c r="AP349" s="828">
        <v>0</v>
      </c>
    </row>
    <row r="350" hidden="1" ht="13.5">
      <c r="B350" s="831" t="s">
        <v>26</v>
      </c>
      <c r="C350" s="823">
        <v>0</v>
      </c>
      <c r="D350" s="823">
        <v>0</v>
      </c>
      <c r="E350" s="823">
        <v>0</v>
      </c>
      <c r="F350" s="823">
        <v>0</v>
      </c>
      <c r="G350" s="823">
        <v>0</v>
      </c>
      <c r="H350" s="823">
        <v>0</v>
      </c>
      <c r="I350" s="823">
        <v>0</v>
      </c>
      <c r="J350" s="823">
        <v>0</v>
      </c>
      <c r="K350" s="823">
        <v>0</v>
      </c>
      <c r="L350" s="823">
        <v>0</v>
      </c>
      <c r="M350" s="823">
        <v>0</v>
      </c>
      <c r="N350" s="823">
        <v>0</v>
      </c>
      <c r="O350" s="823">
        <v>0</v>
      </c>
      <c r="P350" s="823">
        <v>0</v>
      </c>
      <c r="Q350" s="823">
        <v>0</v>
      </c>
      <c r="R350" s="823">
        <v>0</v>
      </c>
      <c r="S350" s="823">
        <v>0</v>
      </c>
      <c r="T350" s="823">
        <v>0</v>
      </c>
      <c r="U350" s="823">
        <v>0</v>
      </c>
      <c r="V350" s="823">
        <v>0</v>
      </c>
      <c r="W350" s="823">
        <v>0</v>
      </c>
      <c r="X350" s="823">
        <v>0</v>
      </c>
      <c r="Y350" s="823">
        <v>0</v>
      </c>
      <c r="Z350" s="823">
        <v>0</v>
      </c>
      <c r="AA350" s="823">
        <v>0</v>
      </c>
      <c r="AB350" s="832">
        <v>0</v>
      </c>
      <c r="AC350" s="825">
        <v>0</v>
      </c>
      <c r="AD350" s="825">
        <v>0</v>
      </c>
      <c r="AE350" s="825">
        <v>0</v>
      </c>
      <c r="AF350" s="825">
        <v>0</v>
      </c>
      <c r="AG350" s="825">
        <v>0</v>
      </c>
      <c r="AH350" s="825">
        <v>0</v>
      </c>
      <c r="AI350" s="825">
        <v>0</v>
      </c>
      <c r="AJ350" s="825">
        <v>0</v>
      </c>
      <c r="AK350" s="825">
        <v>0</v>
      </c>
      <c r="AL350" s="825">
        <v>0</v>
      </c>
      <c r="AM350" s="825">
        <v>0</v>
      </c>
      <c r="AN350" s="825">
        <v>0</v>
      </c>
      <c r="AO350" s="825">
        <v>0</v>
      </c>
      <c r="AP350" s="825">
        <v>0</v>
      </c>
    </row>
    <row r="351" hidden="1" ht="13.5">
      <c r="B351" s="128" t="s">
        <v>7</v>
      </c>
      <c r="C351" s="129" t="str">
        <f>IF(SUM(C332:C350)&lt;&gt;0,SUM(C332:C350),"")</f>
      </c>
      <c r="D351" s="129" t="str">
        <f ref="D351:AA351" t="shared" si="30">IF(SUM(D332:D350)&lt;&gt;0,SUM(D332:D350),"")</f>
      </c>
      <c r="E351" s="129" t="str">
        <f t="shared" si="30"/>
      </c>
      <c r="F351" s="129" t="str">
        <f t="shared" si="30"/>
      </c>
      <c r="G351" s="129" t="str">
        <f t="shared" si="30"/>
      </c>
      <c r="H351" s="129" t="str">
        <f t="shared" si="30"/>
      </c>
      <c r="I351" s="129" t="str">
        <f t="shared" si="30"/>
      </c>
      <c r="J351" s="129" t="str">
        <f t="shared" si="30"/>
      </c>
      <c r="K351" s="129" t="str">
        <f t="shared" si="30"/>
      </c>
      <c r="L351" s="129" t="str">
        <f t="shared" si="30"/>
      </c>
      <c r="M351" s="129" t="str">
        <f t="shared" si="30"/>
      </c>
      <c r="N351" s="129" t="str">
        <f t="shared" si="30"/>
      </c>
      <c r="O351" s="129" t="str">
        <f t="shared" si="30"/>
      </c>
      <c r="P351" s="129" t="str">
        <f t="shared" si="30"/>
      </c>
      <c r="Q351" s="129" t="str">
        <f t="shared" si="30"/>
      </c>
      <c r="R351" s="129" t="str">
        <f t="shared" si="30"/>
      </c>
      <c r="S351" s="129" t="str">
        <f t="shared" si="30"/>
      </c>
      <c r="T351" s="129" t="str">
        <f t="shared" si="30"/>
      </c>
      <c r="U351" s="129" t="str">
        <f t="shared" si="30"/>
      </c>
      <c r="V351" s="129" t="str">
        <f t="shared" si="30"/>
      </c>
      <c r="W351" s="129" t="str">
        <f t="shared" si="30"/>
      </c>
      <c r="X351" s="129" t="str">
        <f t="shared" si="30"/>
      </c>
      <c r="Y351" s="129" t="str">
        <f t="shared" si="30"/>
      </c>
      <c r="Z351" s="129" t="str">
        <f t="shared" si="30"/>
      </c>
      <c r="AA351" s="129" t="str">
        <f t="shared" si="30"/>
      </c>
      <c r="AB351" s="130" t="str">
        <f>IF(SUM(AB332:AB350)&lt;&gt;0,SUM(AB332:AB350),"")</f>
      </c>
      <c r="AC351" s="91" t="str">
        <f ref="AC351:CN351" t="shared" si="31">IF(SUM(AC332:AC350)&lt;&gt;0,SUM(AC332:AC350),"")</f>
      </c>
      <c r="AD351" s="91" t="str">
        <f t="shared" si="31"/>
      </c>
      <c r="AE351" s="91" t="str">
        <f t="shared" si="31"/>
      </c>
      <c r="AF351" s="91" t="str">
        <f t="shared" si="31"/>
      </c>
      <c r="AG351" s="91" t="str">
        <f t="shared" si="31"/>
      </c>
      <c r="AH351" s="91" t="str">
        <f t="shared" si="31"/>
      </c>
      <c r="AI351" s="91" t="str">
        <f t="shared" si="31"/>
      </c>
      <c r="AJ351" s="91" t="str">
        <f t="shared" si="31"/>
      </c>
      <c r="AK351" s="91" t="str">
        <f t="shared" si="31"/>
      </c>
      <c r="AL351" s="91" t="str">
        <f t="shared" si="31"/>
      </c>
      <c r="AM351" s="91" t="str">
        <f t="shared" si="31"/>
      </c>
      <c r="AN351" s="91" t="str">
        <f t="shared" si="31"/>
      </c>
      <c r="AO351" s="91" t="str">
        <f t="shared" si="31"/>
      </c>
      <c r="AP351" s="91" t="str">
        <f t="shared" si="31"/>
      </c>
      <c r="AQ351" s="91" t="str">
        <f t="shared" si="31"/>
      </c>
      <c r="AR351" s="91" t="str">
        <f t="shared" si="31"/>
      </c>
      <c r="AS351" s="91" t="str">
        <f t="shared" si="31"/>
      </c>
      <c r="AT351" s="91" t="str">
        <f t="shared" si="31"/>
      </c>
      <c r="AU351" s="91" t="str">
        <f t="shared" si="31"/>
      </c>
      <c r="AV351" s="91" t="str">
        <f t="shared" si="31"/>
      </c>
      <c r="AW351" s="91" t="str">
        <f t="shared" si="31"/>
      </c>
      <c r="AX351" s="91" t="str">
        <f t="shared" si="31"/>
      </c>
      <c r="AY351" s="91" t="str">
        <f t="shared" si="31"/>
      </c>
      <c r="AZ351" s="91" t="str">
        <f t="shared" si="31"/>
      </c>
      <c r="BA351" s="91" t="str">
        <f t="shared" si="31"/>
      </c>
      <c r="BB351" s="91" t="str">
        <f t="shared" si="31"/>
      </c>
      <c r="BC351" s="91" t="str">
        <f t="shared" si="31"/>
      </c>
      <c r="BD351" s="91" t="str">
        <f t="shared" si="31"/>
      </c>
      <c r="BE351" s="91" t="str">
        <f t="shared" si="31"/>
      </c>
      <c r="BF351" s="91" t="str">
        <f t="shared" si="31"/>
      </c>
      <c r="BG351" s="91" t="str">
        <f t="shared" si="31"/>
      </c>
      <c r="BH351" s="91" t="str">
        <f t="shared" si="31"/>
      </c>
      <c r="BI351" s="91" t="str">
        <f t="shared" si="31"/>
      </c>
      <c r="BJ351" s="91" t="str">
        <f t="shared" si="31"/>
      </c>
      <c r="BK351" s="91" t="str">
        <f t="shared" si="31"/>
      </c>
      <c r="BL351" s="91" t="str">
        <f t="shared" si="31"/>
      </c>
      <c r="BM351" s="91" t="str">
        <f t="shared" si="31"/>
      </c>
      <c r="BN351" s="91" t="str">
        <f t="shared" si="31"/>
      </c>
      <c r="BO351" s="91" t="str">
        <f t="shared" si="31"/>
      </c>
      <c r="BP351" s="91" t="str">
        <f t="shared" si="31"/>
      </c>
      <c r="BQ351" s="91" t="str">
        <f t="shared" si="31"/>
      </c>
      <c r="BR351" s="91" t="str">
        <f t="shared" si="31"/>
      </c>
      <c r="BS351" s="91" t="str">
        <f t="shared" si="31"/>
      </c>
      <c r="BT351" s="91" t="str">
        <f t="shared" si="31"/>
      </c>
      <c r="BU351" s="91" t="str">
        <f t="shared" si="31"/>
      </c>
      <c r="BV351" s="91" t="str">
        <f t="shared" si="31"/>
      </c>
      <c r="BW351" s="91" t="str">
        <f t="shared" si="31"/>
      </c>
      <c r="BX351" s="91" t="str">
        <f t="shared" si="31"/>
      </c>
      <c r="BY351" s="91" t="str">
        <f t="shared" si="31"/>
      </c>
      <c r="BZ351" s="91" t="str">
        <f t="shared" si="31"/>
      </c>
      <c r="CA351" s="91" t="str">
        <f t="shared" si="31"/>
      </c>
      <c r="CB351" s="91" t="str">
        <f t="shared" si="31"/>
      </c>
      <c r="CC351" s="91" t="str">
        <f t="shared" si="31"/>
      </c>
      <c r="CD351" s="91" t="str">
        <f t="shared" si="31"/>
      </c>
      <c r="CE351" s="91" t="str">
        <f t="shared" si="31"/>
      </c>
      <c r="CF351" s="91" t="str">
        <f t="shared" si="31"/>
      </c>
      <c r="CG351" s="91" t="str">
        <f t="shared" si="31"/>
      </c>
      <c r="CH351" s="91" t="str">
        <f t="shared" si="31"/>
      </c>
      <c r="CI351" s="91" t="str">
        <f t="shared" si="31"/>
      </c>
      <c r="CJ351" s="91" t="str">
        <f t="shared" si="31"/>
      </c>
      <c r="CK351" s="91" t="str">
        <f t="shared" si="31"/>
      </c>
      <c r="CL351" s="91" t="str">
        <f t="shared" si="31"/>
      </c>
      <c r="CM351" s="91" t="str">
        <f t="shared" si="31"/>
      </c>
      <c r="CN351" s="91" t="str">
        <f t="shared" si="31"/>
      </c>
      <c r="CO351" s="91" t="str">
        <f ref="CO351:EZ351" t="shared" si="32">IF(SUM(CO332:CO350)&lt;&gt;0,SUM(CO332:CO350),"")</f>
      </c>
      <c r="CP351" s="91" t="str">
        <f t="shared" si="32"/>
      </c>
      <c r="CQ351" s="91" t="str">
        <f t="shared" si="32"/>
      </c>
      <c r="CR351" s="91" t="str">
        <f t="shared" si="32"/>
      </c>
      <c r="CS351" s="91" t="str">
        <f t="shared" si="32"/>
      </c>
      <c r="CT351" s="91" t="str">
        <f t="shared" si="32"/>
      </c>
      <c r="CU351" s="91" t="str">
        <f t="shared" si="32"/>
      </c>
      <c r="CV351" s="91" t="str">
        <f t="shared" si="32"/>
      </c>
      <c r="CW351" s="91" t="str">
        <f t="shared" si="32"/>
      </c>
      <c r="CX351" s="91" t="str">
        <f t="shared" si="32"/>
      </c>
      <c r="CY351" s="91" t="str">
        <f t="shared" si="32"/>
      </c>
      <c r="CZ351" s="91" t="str">
        <f t="shared" si="32"/>
      </c>
      <c r="DA351" s="91" t="str">
        <f t="shared" si="32"/>
      </c>
      <c r="DB351" s="91" t="str">
        <f t="shared" si="32"/>
      </c>
      <c r="DC351" s="91" t="str">
        <f t="shared" si="32"/>
      </c>
      <c r="DD351" s="91" t="str">
        <f t="shared" si="32"/>
      </c>
      <c r="DE351" s="91" t="str">
        <f t="shared" si="32"/>
      </c>
      <c r="DF351" s="91" t="str">
        <f t="shared" si="32"/>
      </c>
      <c r="DG351" s="91" t="str">
        <f t="shared" si="32"/>
      </c>
      <c r="DH351" s="91" t="str">
        <f t="shared" si="32"/>
      </c>
      <c r="DI351" s="91" t="str">
        <f t="shared" si="32"/>
      </c>
      <c r="DJ351" s="91" t="str">
        <f t="shared" si="32"/>
      </c>
      <c r="DK351" s="91" t="str">
        <f t="shared" si="32"/>
      </c>
      <c r="DL351" s="91" t="str">
        <f t="shared" si="32"/>
      </c>
      <c r="DM351" s="91" t="str">
        <f t="shared" si="32"/>
      </c>
      <c r="DN351" s="91" t="str">
        <f t="shared" si="32"/>
      </c>
      <c r="DO351" s="91" t="str">
        <f t="shared" si="32"/>
      </c>
      <c r="DP351" s="91" t="str">
        <f t="shared" si="32"/>
      </c>
      <c r="DQ351" s="91" t="str">
        <f t="shared" si="32"/>
      </c>
      <c r="DR351" s="91" t="str">
        <f t="shared" si="32"/>
      </c>
      <c r="DS351" s="91" t="str">
        <f t="shared" si="32"/>
      </c>
      <c r="DT351" s="91" t="str">
        <f t="shared" si="32"/>
      </c>
      <c r="DU351" s="91" t="str">
        <f t="shared" si="32"/>
      </c>
      <c r="DV351" s="91" t="str">
        <f t="shared" si="32"/>
      </c>
      <c r="DW351" s="91" t="str">
        <f t="shared" si="32"/>
      </c>
      <c r="DX351" s="91" t="str">
        <f t="shared" si="32"/>
      </c>
      <c r="DY351" s="91" t="str">
        <f t="shared" si="32"/>
      </c>
      <c r="DZ351" s="91" t="str">
        <f t="shared" si="32"/>
      </c>
      <c r="EA351" s="91" t="str">
        <f t="shared" si="32"/>
      </c>
      <c r="EB351" s="91" t="str">
        <f t="shared" si="32"/>
      </c>
      <c r="EC351" s="91" t="str">
        <f t="shared" si="32"/>
      </c>
      <c r="ED351" s="91" t="str">
        <f t="shared" si="32"/>
      </c>
      <c r="EE351" s="91" t="str">
        <f t="shared" si="32"/>
      </c>
      <c r="EF351" s="91" t="str">
        <f t="shared" si="32"/>
      </c>
      <c r="EG351" s="91" t="str">
        <f t="shared" si="32"/>
      </c>
      <c r="EH351" s="91" t="str">
        <f t="shared" si="32"/>
      </c>
      <c r="EI351" s="91" t="str">
        <f t="shared" si="32"/>
      </c>
      <c r="EJ351" s="91" t="str">
        <f t="shared" si="32"/>
      </c>
      <c r="EK351" s="91" t="str">
        <f t="shared" si="32"/>
      </c>
      <c r="EL351" s="91" t="str">
        <f t="shared" si="32"/>
      </c>
      <c r="EM351" s="91" t="str">
        <f t="shared" si="32"/>
      </c>
      <c r="EN351" s="91" t="str">
        <f t="shared" si="32"/>
      </c>
      <c r="EO351" s="91" t="str">
        <f t="shared" si="32"/>
      </c>
      <c r="EP351" s="91" t="str">
        <f t="shared" si="32"/>
      </c>
      <c r="EQ351" s="91" t="str">
        <f t="shared" si="32"/>
      </c>
      <c r="ER351" s="91" t="str">
        <f t="shared" si="32"/>
      </c>
      <c r="ES351" s="91" t="str">
        <f t="shared" si="32"/>
      </c>
      <c r="ET351" s="91" t="str">
        <f t="shared" si="32"/>
      </c>
      <c r="EU351" s="91" t="str">
        <f t="shared" si="32"/>
      </c>
      <c r="EV351" s="91" t="str">
        <f t="shared" si="32"/>
      </c>
      <c r="EW351" s="91" t="str">
        <f t="shared" si="32"/>
      </c>
      <c r="EX351" s="91" t="str">
        <f t="shared" si="32"/>
      </c>
      <c r="EY351" s="91" t="str">
        <f t="shared" si="32"/>
      </c>
      <c r="EZ351" s="91" t="str">
        <f t="shared" si="32"/>
      </c>
      <c r="FA351" s="91" t="str">
        <f ref="FA351:HL351" t="shared" si="33">IF(SUM(FA332:FA350)&lt;&gt;0,SUM(FA332:FA350),"")</f>
      </c>
      <c r="FB351" s="91" t="str">
        <f t="shared" si="33"/>
      </c>
      <c r="FC351" s="91" t="str">
        <f t="shared" si="33"/>
      </c>
      <c r="FD351" s="91" t="str">
        <f t="shared" si="33"/>
      </c>
      <c r="FE351" s="91" t="str">
        <f t="shared" si="33"/>
      </c>
      <c r="FF351" s="91" t="str">
        <f t="shared" si="33"/>
      </c>
      <c r="FG351" s="91" t="str">
        <f t="shared" si="33"/>
      </c>
      <c r="FH351" s="91" t="str">
        <f t="shared" si="33"/>
      </c>
      <c r="FI351" s="91" t="str">
        <f t="shared" si="33"/>
      </c>
      <c r="FJ351" s="91" t="str">
        <f t="shared" si="33"/>
      </c>
      <c r="FK351" s="91" t="str">
        <f t="shared" si="33"/>
      </c>
      <c r="FL351" s="91" t="str">
        <f t="shared" si="33"/>
      </c>
      <c r="FM351" s="91" t="str">
        <f t="shared" si="33"/>
      </c>
      <c r="FN351" s="91" t="str">
        <f t="shared" si="33"/>
      </c>
      <c r="FO351" s="91" t="str">
        <f t="shared" si="33"/>
      </c>
      <c r="FP351" s="91" t="str">
        <f t="shared" si="33"/>
      </c>
      <c r="FQ351" s="91" t="str">
        <f t="shared" si="33"/>
      </c>
      <c r="FR351" s="91" t="str">
        <f t="shared" si="33"/>
      </c>
      <c r="FS351" s="91" t="str">
        <f t="shared" si="33"/>
      </c>
      <c r="FT351" s="91" t="str">
        <f t="shared" si="33"/>
      </c>
      <c r="FU351" s="91" t="str">
        <f t="shared" si="33"/>
      </c>
      <c r="FV351" s="91" t="str">
        <f t="shared" si="33"/>
      </c>
      <c r="FW351" s="91" t="str">
        <f t="shared" si="33"/>
      </c>
      <c r="FX351" s="91" t="str">
        <f t="shared" si="33"/>
      </c>
      <c r="FY351" s="91" t="str">
        <f t="shared" si="33"/>
      </c>
      <c r="FZ351" s="91" t="str">
        <f t="shared" si="33"/>
      </c>
      <c r="GA351" s="91" t="str">
        <f t="shared" si="33"/>
      </c>
      <c r="GB351" s="91" t="str">
        <f t="shared" si="33"/>
      </c>
      <c r="GC351" s="91" t="str">
        <f t="shared" si="33"/>
      </c>
      <c r="GD351" s="91" t="str">
        <f t="shared" si="33"/>
      </c>
      <c r="GE351" s="91" t="str">
        <f t="shared" si="33"/>
      </c>
      <c r="GF351" s="91" t="str">
        <f t="shared" si="33"/>
      </c>
      <c r="GG351" s="91" t="str">
        <f t="shared" si="33"/>
      </c>
      <c r="GH351" s="91" t="str">
        <f t="shared" si="33"/>
      </c>
      <c r="GI351" s="91" t="str">
        <f t="shared" si="33"/>
      </c>
      <c r="GJ351" s="91" t="str">
        <f t="shared" si="33"/>
      </c>
      <c r="GK351" s="91" t="str">
        <f t="shared" si="33"/>
      </c>
      <c r="GL351" s="91" t="str">
        <f t="shared" si="33"/>
      </c>
      <c r="GM351" s="91" t="str">
        <f t="shared" si="33"/>
      </c>
      <c r="GN351" s="91" t="str">
        <f t="shared" si="33"/>
      </c>
      <c r="GO351" s="91" t="str">
        <f t="shared" si="33"/>
      </c>
      <c r="GP351" s="91" t="str">
        <f t="shared" si="33"/>
      </c>
      <c r="GQ351" s="91" t="str">
        <f t="shared" si="33"/>
      </c>
      <c r="GR351" s="91" t="str">
        <f t="shared" si="33"/>
      </c>
      <c r="GS351" s="91" t="str">
        <f t="shared" si="33"/>
      </c>
      <c r="GT351" s="91" t="str">
        <f t="shared" si="33"/>
      </c>
      <c r="GU351" s="91" t="str">
        <f t="shared" si="33"/>
      </c>
      <c r="GV351" s="91" t="str">
        <f t="shared" si="33"/>
      </c>
      <c r="GW351" s="91" t="str">
        <f t="shared" si="33"/>
      </c>
      <c r="GX351" s="91" t="str">
        <f t="shared" si="33"/>
      </c>
      <c r="GY351" s="91" t="str">
        <f t="shared" si="33"/>
      </c>
      <c r="GZ351" s="91" t="str">
        <f t="shared" si="33"/>
      </c>
      <c r="HA351" s="91" t="str">
        <f t="shared" si="33"/>
      </c>
      <c r="HB351" s="91" t="str">
        <f t="shared" si="33"/>
      </c>
      <c r="HC351" s="91" t="str">
        <f t="shared" si="33"/>
      </c>
      <c r="HD351" s="91" t="str">
        <f t="shared" si="33"/>
      </c>
      <c r="HE351" s="91" t="str">
        <f t="shared" si="33"/>
      </c>
      <c r="HF351" s="91" t="str">
        <f t="shared" si="33"/>
      </c>
      <c r="HG351" s="91" t="str">
        <f t="shared" si="33"/>
      </c>
      <c r="HH351" s="91" t="str">
        <f t="shared" si="33"/>
      </c>
      <c r="HI351" s="91" t="str">
        <f t="shared" si="33"/>
      </c>
      <c r="HJ351" s="91" t="str">
        <f t="shared" si="33"/>
      </c>
      <c r="HK351" s="91" t="str">
        <f t="shared" si="33"/>
      </c>
      <c r="HL351" s="91" t="str">
        <f t="shared" si="33"/>
      </c>
      <c r="HM351" s="91" t="str">
        <f ref="HM351:IV351" t="shared" si="34">IF(SUM(HM332:HM350)&lt;&gt;0,SUM(HM332:HM350),"")</f>
      </c>
      <c r="HN351" s="91" t="str">
        <f t="shared" si="34"/>
      </c>
      <c r="HO351" s="91" t="str">
        <f t="shared" si="34"/>
      </c>
      <c r="HP351" s="91" t="str">
        <f t="shared" si="34"/>
      </c>
      <c r="HQ351" s="91" t="str">
        <f t="shared" si="34"/>
      </c>
      <c r="HR351" s="91" t="str">
        <f t="shared" si="34"/>
      </c>
      <c r="HS351" s="91" t="str">
        <f t="shared" si="34"/>
      </c>
      <c r="HT351" s="91" t="str">
        <f t="shared" si="34"/>
      </c>
      <c r="HU351" s="91" t="str">
        <f t="shared" si="34"/>
      </c>
      <c r="HV351" s="91" t="str">
        <f t="shared" si="34"/>
      </c>
      <c r="HW351" s="91" t="str">
        <f t="shared" si="34"/>
      </c>
      <c r="HX351" s="91" t="str">
        <f t="shared" si="34"/>
      </c>
      <c r="HY351" s="91" t="str">
        <f t="shared" si="34"/>
      </c>
      <c r="HZ351" s="91" t="str">
        <f t="shared" si="34"/>
      </c>
      <c r="IA351" s="91" t="str">
        <f t="shared" si="34"/>
      </c>
      <c r="IB351" s="91" t="str">
        <f t="shared" si="34"/>
      </c>
      <c r="IC351" s="91" t="str">
        <f t="shared" si="34"/>
      </c>
      <c r="ID351" s="91" t="str">
        <f t="shared" si="34"/>
      </c>
      <c r="IE351" s="91" t="str">
        <f t="shared" si="34"/>
      </c>
      <c r="IF351" s="91" t="str">
        <f t="shared" si="34"/>
      </c>
      <c r="IG351" s="91" t="str">
        <f t="shared" si="34"/>
      </c>
      <c r="IH351" s="91" t="str">
        <f t="shared" si="34"/>
      </c>
      <c r="II351" s="91" t="str">
        <f t="shared" si="34"/>
      </c>
      <c r="IJ351" s="91" t="str">
        <f t="shared" si="34"/>
      </c>
      <c r="IK351" s="91" t="str">
        <f t="shared" si="34"/>
      </c>
      <c r="IL351" s="91" t="str">
        <f t="shared" si="34"/>
      </c>
      <c r="IM351" s="91" t="str">
        <f t="shared" si="34"/>
      </c>
      <c r="IN351" s="91" t="str">
        <f t="shared" si="34"/>
      </c>
      <c r="IO351" s="91" t="str">
        <f t="shared" si="34"/>
      </c>
      <c r="IP351" s="91" t="str">
        <f t="shared" si="34"/>
      </c>
      <c r="IQ351" s="91" t="str">
        <f t="shared" si="34"/>
      </c>
      <c r="IR351" s="91" t="str">
        <f t="shared" si="34"/>
      </c>
      <c r="IS351" s="91" t="str">
        <f t="shared" si="34"/>
      </c>
      <c r="IT351" s="91" t="str">
        <f t="shared" si="34"/>
      </c>
      <c r="IU351" s="91" t="str">
        <f t="shared" si="34"/>
      </c>
      <c r="IV351" s="91" t="str">
        <f t="shared" si="34"/>
      </c>
    </row>
    <row r="352" hidden="1" ht="13.5"/>
    <row r="353" hidden="1" ht="15.75" customHeight="1">
      <c r="C353" s="686" t="s">
        <v>391</v>
      </c>
      <c r="D353" s="687"/>
      <c r="E353" s="687"/>
      <c r="F353" s="687"/>
      <c r="G353" s="687"/>
      <c r="H353" s="687"/>
      <c r="I353" s="687"/>
      <c r="J353" s="687"/>
      <c r="K353" s="687"/>
      <c r="L353" s="687"/>
      <c r="M353" s="687"/>
      <c r="N353" s="687"/>
      <c r="O353" s="687"/>
      <c r="P353" s="687"/>
      <c r="Q353" s="687"/>
      <c r="R353" s="687"/>
      <c r="S353" s="687"/>
      <c r="T353" s="687"/>
      <c r="U353" s="687"/>
      <c r="V353" s="687"/>
      <c r="W353" s="687"/>
      <c r="X353" s="687"/>
      <c r="Y353" s="687"/>
      <c r="Z353" s="687"/>
      <c r="AA353" s="687"/>
      <c r="AB353" s="688"/>
    </row>
    <row r="354" hidden="1" ht="13.5">
      <c r="C354" s="435" t="str">
        <f> IF(C374&lt;&gt;"",TEXT(AUX!G$1,"dd-MMM-aa"),"")</f>
      </c>
      <c r="D354" s="435" t="str">
        <f> IF(D374&lt;&gt;"",TEXT(AUX!H$1,"dd-MMM-aa"),"")</f>
      </c>
      <c r="E354" s="435" t="str">
        <f> IF(E374&lt;&gt;"",TEXT(AUX!I$1,"dd-MMM-aa"),"")</f>
      </c>
      <c r="F354" s="435" t="str">
        <f> IF(F374&lt;&gt;"",TEXT(AUX!J$1,"dd-MMM-aa"),"")</f>
      </c>
      <c r="G354" s="435" t="str">
        <f> IF(G374&lt;&gt;"",TEXT(AUX!K$1,"dd-MMM-aa"),"")</f>
      </c>
      <c r="H354" s="435" t="str">
        <f> IF(H374&lt;&gt;"",TEXT(AUX!L$1,"dd-MMM-aa"),"")</f>
      </c>
      <c r="I354" s="435" t="str">
        <f> IF(I374&lt;&gt;"",TEXT(AUX!M$1,"dd-MMM-aa"),"")</f>
      </c>
      <c r="J354" s="435" t="str">
        <f> IF(J374&lt;&gt;"",TEXT(AUX!N$1,"dd-MMM-aa"),"")</f>
      </c>
      <c r="K354" s="435" t="str">
        <f> IF(K374&lt;&gt;"",TEXT(AUX!O$1,"dd-MMM-aa"),"")</f>
      </c>
      <c r="L354" s="435" t="str">
        <f> IF(L374&lt;&gt;"",TEXT(AUX!P$1,"dd-MMM-aa"),"")</f>
      </c>
      <c r="M354" s="435" t="str">
        <f> IF(M374&lt;&gt;"",TEXT(AUX!Q$1,"dd-MMM-aa"),"")</f>
      </c>
      <c r="N354" s="435" t="str">
        <f> IF(N374&lt;&gt;"",TEXT(AUX!R$1,"dd-MMM-aa"),"")</f>
      </c>
      <c r="O354" s="435" t="str">
        <f> IF(O374&lt;&gt;"",TEXT(AUX!S$1,"dd-MMM-aa"),"")</f>
      </c>
      <c r="P354" s="435" t="str">
        <f> IF(P374&lt;&gt;"",TEXT(AUX!T$1,"dd-MMM-aa"),"")</f>
      </c>
      <c r="Q354" s="435" t="str">
        <f> IF(Q374&lt;&gt;"",TEXT(AUX!U$1,"dd-MMM-aa"),"")</f>
      </c>
      <c r="R354" s="435" t="str">
        <f> IF(R374&lt;&gt;"",TEXT(AUX!V$1,"dd-MMM-aa"),"")</f>
      </c>
      <c r="S354" s="435" t="str">
        <f> IF(S374&lt;&gt;"",TEXT(AUX!W$1,"dd-MMM-aa"),"")</f>
      </c>
      <c r="T354" s="435" t="str">
        <f> IF(T374&lt;&gt;"",TEXT(AUX!X$1,"dd-MMM-aa"),"")</f>
      </c>
      <c r="U354" s="435" t="str">
        <f> IF(U374&lt;&gt;"",TEXT(AUX!Y$1,"dd-MMM-aa"),"")</f>
      </c>
      <c r="V354" s="435" t="str">
        <f> IF(V374&lt;&gt;"",TEXT(AUX!Z$1,"dd-MMM-aa"),"")</f>
      </c>
      <c r="W354" s="435" t="str">
        <f> IF(W374&lt;&gt;"",TEXT(AUX!AA$1,"dd-MMM-aa"),"")</f>
      </c>
      <c r="X354" s="435" t="str">
        <f> IF(X374&lt;&gt;"",TEXT(AUX!AB$1,"dd-MMM-aa"),"")</f>
      </c>
      <c r="Y354" s="435" t="str">
        <f> IF(Y374&lt;&gt;"",TEXT(AUX!AC$1,"dd-MMM-aa"),"")</f>
      </c>
      <c r="Z354" s="435" t="str">
        <f> IF(Z374&lt;&gt;"",TEXT(AUX!AD$1,"dd-MMM-aa"),"")</f>
      </c>
      <c r="AA354" s="435" t="str">
        <f> IF(AA374&lt;&gt;"",TEXT(AUX!AE$1,"dd-MMM-aa"),"")</f>
      </c>
      <c r="AB354" s="497" t="str">
        <f> IF(AB374&lt;&gt;"",TEXT(AUX!AF$1,"dd-MMM-aa"),"")</f>
      </c>
      <c r="AC354" s="496" t="str">
        <f> IF(AC374&lt;&gt;"",TEXT(AUX!AG$1,"dd-MMM-aa"),"")</f>
      </c>
      <c r="AD354" s="496" t="str">
        <f> IF(AD374&lt;&gt;"",TEXT(AUX!AH$1,"dd-MMM-aa"),"")</f>
      </c>
      <c r="AE354" s="496" t="str">
        <f> IF(AE374&lt;&gt;"",TEXT(AUX!AI$1,"dd-MMM-aa"),"")</f>
      </c>
      <c r="AF354" s="496" t="str">
        <f> IF(AF374&lt;&gt;"",TEXT(AUX!AJ$1,"dd-MMM-aa"),"")</f>
      </c>
      <c r="AG354" s="496" t="str">
        <f> IF(AG374&lt;&gt;"",TEXT(AUX!AK$1,"dd-MMM-aa"),"")</f>
      </c>
      <c r="AH354" s="496" t="str">
        <f> IF(AH374&lt;&gt;"",TEXT(AUX!AL$1,"dd-MMM-aa"),"")</f>
      </c>
      <c r="AI354" s="496" t="str">
        <f> IF(AI374&lt;&gt;"",TEXT(AUX!AM$1,"dd-MMM-aa"),"")</f>
      </c>
      <c r="AJ354" s="496" t="str">
        <f> IF(AJ374&lt;&gt;"",TEXT(AUX!AN$1,"dd-MMM-aa"),"")</f>
      </c>
      <c r="AK354" s="496" t="str">
        <f> IF(AK374&lt;&gt;"",TEXT(AUX!AO$1,"dd-MMM-aa"),"")</f>
      </c>
      <c r="AL354" s="496" t="str">
        <f> IF(AL374&lt;&gt;"",TEXT(AUX!AP$1,"dd-MMM-aa"),"")</f>
      </c>
      <c r="AM354" s="496" t="str">
        <f> IF(AM374&lt;&gt;"",TEXT(AUX!AQ$1,"dd-MMM-aa"),"")</f>
      </c>
      <c r="AN354" s="496" t="str">
        <f> IF(AN374&lt;&gt;"",TEXT(AUX!AR$1,"dd-MMM-aa"),"")</f>
      </c>
      <c r="AO354" s="496" t="str">
        <f> IF(AO374&lt;&gt;"",TEXT(AUX!AS$1,"dd-MMM-aa"),"")</f>
      </c>
      <c r="AP354" s="496" t="str">
        <f> IF(AP374&lt;&gt;"",TEXT(AUX!AT$1,"dd-MMM-aa"),"")</f>
      </c>
      <c r="AQ354" s="496" t="str">
        <f> IF(AQ374&lt;&gt;"",TEXT(AUX!AU$1,"dd-MMM-aa"),"")</f>
      </c>
      <c r="AR354" s="496" t="str">
        <f> IF(AR374&lt;&gt;"",TEXT(AUX!AV$1,"dd-MMM-aa"),"")</f>
      </c>
      <c r="AS354" s="496" t="str">
        <f> IF(AS374&lt;&gt;"",TEXT(AUX!AW$1,"dd-MMM-aa"),"")</f>
      </c>
      <c r="AT354" s="496" t="str">
        <f> IF(AT374&lt;&gt;"",TEXT(AUX!AX$1,"dd-MMM-aa"),"")</f>
      </c>
      <c r="AU354" s="496" t="str">
        <f> IF(AU374&lt;&gt;"",TEXT(AUX!AY$1,"dd-MMM-aa"),"")</f>
      </c>
      <c r="AV354" s="496" t="str">
        <f> IF(AV374&lt;&gt;"",TEXT(AUX!AZ$1,"dd-MMM-aa"),"")</f>
      </c>
      <c r="AW354" s="496" t="str">
        <f> IF(AW374&lt;&gt;"",TEXT(AUX!BA$1,"dd-MMM-aa"),"")</f>
      </c>
      <c r="AX354" s="496" t="str">
        <f> IF(AX374&lt;&gt;"",TEXT(AUX!BB$1,"dd-MMM-aa"),"")</f>
      </c>
      <c r="AY354" s="496" t="str">
        <f> IF(AY374&lt;&gt;"",TEXT(AUX!BC$1,"dd-MMM-aa"),"")</f>
      </c>
      <c r="AZ354" s="496" t="str">
        <f> IF(AZ374&lt;&gt;"",TEXT(AUX!BD$1,"dd-MMM-aa"),"")</f>
      </c>
      <c r="BA354" s="496" t="str">
        <f> IF(BA374&lt;&gt;"",TEXT(AUX!BE$1,"dd-MMM-aa"),"")</f>
      </c>
      <c r="BB354" s="496" t="str">
        <f> IF(BB374&lt;&gt;"",TEXT(AUX!BF$1,"dd-MMM-aa"),"")</f>
      </c>
      <c r="BC354" s="496" t="str">
        <f> IF(BC374&lt;&gt;"",TEXT(AUX!BG$1,"dd-MMM-aa"),"")</f>
      </c>
      <c r="BD354" s="496" t="str">
        <f> IF(BD374&lt;&gt;"",TEXT(AUX!BH$1,"dd-MMM-aa"),"")</f>
      </c>
      <c r="BE354" s="496" t="str">
        <f> IF(BE374&lt;&gt;"",TEXT(AUX!BI$1,"dd-MMM-aa"),"")</f>
      </c>
      <c r="BF354" s="496" t="str">
        <f> IF(BF374&lt;&gt;"",TEXT(AUX!BJ$1,"dd-MMM-aa"),"")</f>
      </c>
      <c r="BG354" s="496" t="str">
        <f> IF(BG374&lt;&gt;"",TEXT(AUX!BK$1,"dd-MMM-aa"),"")</f>
      </c>
      <c r="BH354" s="496" t="str">
        <f> IF(BH374&lt;&gt;"",TEXT(AUX!BL$1,"dd-MMM-aa"),"")</f>
      </c>
      <c r="BI354" s="496" t="str">
        <f> IF(BI374&lt;&gt;"",TEXT(AUX!BM$1,"dd-MMM-aa"),"")</f>
      </c>
      <c r="BJ354" s="496" t="str">
        <f> IF(BJ374&lt;&gt;"",TEXT(AUX!BN$1,"dd-MMM-aa"),"")</f>
      </c>
      <c r="BK354" s="496" t="str">
        <f> IF(BK374&lt;&gt;"",TEXT(AUX!BO$1,"dd-MMM-aa"),"")</f>
      </c>
      <c r="BL354" s="496" t="str">
        <f> IF(BL374&lt;&gt;"",TEXT(AUX!BP$1,"dd-MMM-aa"),"")</f>
      </c>
      <c r="BM354" s="496" t="str">
        <f> IF(BM374&lt;&gt;"",TEXT(AUX!BQ$1,"dd-MMM-aa"),"")</f>
      </c>
      <c r="BN354" s="496" t="str">
        <f> IF(BN374&lt;&gt;"",TEXT(AUX!BR$1,"dd-MMM-aa"),"")</f>
      </c>
      <c r="BO354" s="496" t="str">
        <f> IF(BO374&lt;&gt;"",TEXT(AUX!BS$1,"dd-MMM-aa"),"")</f>
      </c>
      <c r="BP354" s="496" t="str">
        <f> IF(BP374&lt;&gt;"",TEXT(AUX!BT$1,"dd-MMM-aa"),"")</f>
      </c>
      <c r="BQ354" s="496" t="str">
        <f> IF(BQ374&lt;&gt;"",TEXT(AUX!BU$1,"dd-MMM-aa"),"")</f>
      </c>
      <c r="BR354" s="496" t="str">
        <f> IF(BR374&lt;&gt;"",TEXT(AUX!BV$1,"dd-MMM-aa"),"")</f>
      </c>
      <c r="BS354" s="496" t="str">
        <f> IF(BS374&lt;&gt;"",TEXT(AUX!BW$1,"dd-MMM-aa"),"")</f>
      </c>
      <c r="BT354" s="496" t="str">
        <f> IF(BT374&lt;&gt;"",TEXT(AUX!BX$1,"dd-MMM-aa"),"")</f>
      </c>
      <c r="BU354" s="496" t="str">
        <f> IF(BU374&lt;&gt;"",TEXT(AUX!BY$1,"dd-MMM-aa"),"")</f>
      </c>
      <c r="BV354" s="496" t="str">
        <f> IF(BV374&lt;&gt;"",TEXT(AUX!BZ$1,"dd-MMM-aa"),"")</f>
      </c>
      <c r="BW354" s="496" t="str">
        <f> IF(BW374&lt;&gt;"",TEXT(AUX!CA$1,"dd-MMM-aa"),"")</f>
      </c>
      <c r="BX354" s="496" t="str">
        <f> IF(BX374&lt;&gt;"",TEXT(AUX!CB$1,"dd-MMM-aa"),"")</f>
      </c>
      <c r="BY354" s="496" t="str">
        <f> IF(BY374&lt;&gt;"",TEXT(AUX!CC$1,"dd-MMM-aa"),"")</f>
      </c>
      <c r="BZ354" s="496" t="str">
        <f> IF(BZ374&lt;&gt;"",TEXT(AUX!CD$1,"dd-MMM-aa"),"")</f>
      </c>
      <c r="CA354" s="496" t="str">
        <f> IF(CA374&lt;&gt;"",TEXT(AUX!CE$1,"dd-MMM-aa"),"")</f>
      </c>
      <c r="CB354" s="496" t="str">
        <f> IF(CB374&lt;&gt;"",TEXT(AUX!CF$1,"dd-MMM-aa"),"")</f>
      </c>
      <c r="CC354" s="496" t="str">
        <f> IF(CC374&lt;&gt;"",TEXT(AUX!CG$1,"dd-MMM-aa"),"")</f>
      </c>
      <c r="CD354" s="496" t="str">
        <f> IF(CD374&lt;&gt;"",TEXT(AUX!CH$1,"dd-MMM-aa"),"")</f>
      </c>
      <c r="CE354" s="496" t="str">
        <f> IF(CE374&lt;&gt;"",TEXT(AUX!CI$1,"dd-MMM-aa"),"")</f>
      </c>
      <c r="CF354" s="496" t="str">
        <f> IF(CF374&lt;&gt;"",TEXT(AUX!CJ$1,"dd-MMM-aa"),"")</f>
      </c>
      <c r="CG354" s="496" t="str">
        <f> IF(CG374&lt;&gt;"",TEXT(AUX!CK$1,"dd-MMM-aa"),"")</f>
      </c>
      <c r="CH354" s="496" t="str">
        <f> IF(CH374&lt;&gt;"",TEXT(AUX!CL$1,"dd-MMM-aa"),"")</f>
      </c>
      <c r="CI354" s="496" t="str">
        <f> IF(CI374&lt;&gt;"",TEXT(AUX!CM$1,"dd-MMM-aa"),"")</f>
      </c>
      <c r="CJ354" s="496" t="str">
        <f> IF(CJ374&lt;&gt;"",TEXT(AUX!CN$1,"dd-MMM-aa"),"")</f>
      </c>
      <c r="CK354" s="496" t="str">
        <f> IF(CK374&lt;&gt;"",TEXT(AUX!CO$1,"dd-MMM-aa"),"")</f>
      </c>
      <c r="CL354" s="496" t="str">
        <f> IF(CL374&lt;&gt;"",TEXT(AUX!CP$1,"dd-MMM-aa"),"")</f>
      </c>
      <c r="CM354" s="496" t="str">
        <f> IF(CM374&lt;&gt;"",TEXT(AUX!CQ$1,"dd-MMM-aa"),"")</f>
      </c>
      <c r="CN354" s="496" t="str">
        <f> IF(CN374&lt;&gt;"",TEXT(AUX!CR$1,"dd-MMM-aa"),"")</f>
      </c>
      <c r="CO354" s="496" t="str">
        <f> IF(CO374&lt;&gt;"",TEXT(AUX!CS$1,"dd-MMM-aa"),"")</f>
      </c>
      <c r="CP354" s="496" t="str">
        <f> IF(CP374&lt;&gt;"",TEXT(AUX!CT$1,"dd-MMM-aa"),"")</f>
      </c>
      <c r="CQ354" s="496" t="str">
        <f> IF(CQ374&lt;&gt;"",TEXT(AUX!CU$1,"dd-MMM-aa"),"")</f>
      </c>
      <c r="CR354" s="496" t="str">
        <f> IF(CR374&lt;&gt;"",TEXT(AUX!CV$1,"dd-MMM-aa"),"")</f>
      </c>
      <c r="CS354" s="496" t="str">
        <f> IF(CS374&lt;&gt;"",TEXT(AUX!CW$1,"dd-MMM-aa"),"")</f>
      </c>
      <c r="CT354" s="496" t="str">
        <f> IF(CT374&lt;&gt;"",TEXT(AUX!CX$1,"dd-MMM-aa"),"")</f>
      </c>
      <c r="CU354" s="496" t="str">
        <f> IF(CU374&lt;&gt;"",TEXT(AUX!CY$1,"dd-MMM-aa"),"")</f>
      </c>
      <c r="CV354" s="496" t="str">
        <f> IF(CV374&lt;&gt;"",TEXT(AUX!CZ$1,"dd-MMM-aa"),"")</f>
      </c>
      <c r="CW354" s="496" t="str">
        <f> IF(CW374&lt;&gt;"",TEXT(AUX!DA$1,"dd-MMM-aa"),"")</f>
      </c>
      <c r="CX354" s="496" t="str">
        <f> IF(CX374&lt;&gt;"",TEXT(AUX!DB$1,"dd-MMM-aa"),"")</f>
      </c>
      <c r="CY354" s="496" t="str">
        <f> IF(CY374&lt;&gt;"",TEXT(AUX!DC$1,"dd-MMM-aa"),"")</f>
      </c>
      <c r="CZ354" s="496" t="str">
        <f> IF(CZ374&lt;&gt;"",TEXT(AUX!DD$1,"dd-MMM-aa"),"")</f>
      </c>
      <c r="DA354" s="496" t="str">
        <f> IF(DA374&lt;&gt;"",TEXT(AUX!DE$1,"dd-MMM-aa"),"")</f>
      </c>
      <c r="DB354" s="496" t="str">
        <f> IF(DB374&lt;&gt;"",TEXT(AUX!DF$1,"dd-MMM-aa"),"")</f>
      </c>
      <c r="DC354" s="496" t="str">
        <f> IF(DC374&lt;&gt;"",TEXT(AUX!DG$1,"dd-MMM-aa"),"")</f>
      </c>
      <c r="DD354" s="496" t="str">
        <f> IF(DD374&lt;&gt;"",TEXT(AUX!DH$1,"dd-MMM-aa"),"")</f>
      </c>
      <c r="DE354" s="496" t="str">
        <f> IF(DE374&lt;&gt;"",TEXT(AUX!DI$1,"dd-MMM-aa"),"")</f>
      </c>
      <c r="DF354" s="496" t="str">
        <f> IF(DF374&lt;&gt;"",TEXT(AUX!DJ$1,"dd-MMM-aa"),"")</f>
      </c>
      <c r="DG354" s="496" t="str">
        <f> IF(DG374&lt;&gt;"",TEXT(AUX!DK$1,"dd-MMM-aa"),"")</f>
      </c>
      <c r="DH354" s="496" t="str">
        <f> IF(DH374&lt;&gt;"",TEXT(AUX!DL$1,"dd-MMM-aa"),"")</f>
      </c>
      <c r="DI354" s="496" t="str">
        <f> IF(DI374&lt;&gt;"",TEXT(AUX!DM$1,"dd-MMM-aa"),"")</f>
      </c>
      <c r="DJ354" s="496" t="str">
        <f> IF(DJ374&lt;&gt;"",TEXT(AUX!DN$1,"dd-MMM-aa"),"")</f>
      </c>
      <c r="DK354" s="496" t="str">
        <f> IF(DK374&lt;&gt;"",TEXT(AUX!DO$1,"dd-MMM-aa"),"")</f>
      </c>
      <c r="DL354" s="496" t="str">
        <f> IF(DL374&lt;&gt;"",TEXT(AUX!DP$1,"dd-MMM-aa"),"")</f>
      </c>
      <c r="DM354" s="496" t="str">
        <f> IF(DM374&lt;&gt;"",TEXT(AUX!DQ$1,"dd-MMM-aa"),"")</f>
      </c>
      <c r="DN354" s="496" t="str">
        <f> IF(DN374&lt;&gt;"",TEXT(AUX!DR$1,"dd-MMM-aa"),"")</f>
      </c>
      <c r="DO354" s="496" t="str">
        <f> IF(DO374&lt;&gt;"",TEXT(AUX!DS$1,"dd-MMM-aa"),"")</f>
      </c>
      <c r="DP354" s="496" t="str">
        <f> IF(DP374&lt;&gt;"",TEXT(AUX!DT$1,"dd-MMM-aa"),"")</f>
      </c>
      <c r="DQ354" s="496" t="str">
        <f> IF(DQ374&lt;&gt;"",TEXT(AUX!DU$1,"dd-MMM-aa"),"")</f>
      </c>
      <c r="DR354" s="496" t="str">
        <f> IF(DR374&lt;&gt;"",TEXT(AUX!DV$1,"dd-MMM-aa"),"")</f>
      </c>
      <c r="DS354" s="496" t="str">
        <f> IF(DS374&lt;&gt;"",TEXT(AUX!DW$1,"dd-MMM-aa"),"")</f>
      </c>
      <c r="DT354" s="496" t="str">
        <f> IF(DT374&lt;&gt;"",TEXT(AUX!DX$1,"dd-MMM-aa"),"")</f>
      </c>
      <c r="DU354" s="496" t="str">
        <f> IF(DU374&lt;&gt;"",TEXT(AUX!DY$1,"dd-MMM-aa"),"")</f>
      </c>
      <c r="DV354" s="496" t="str">
        <f> IF(DV374&lt;&gt;"",TEXT(AUX!DZ$1,"dd-MMM-aa"),"")</f>
      </c>
      <c r="DW354" s="496" t="str">
        <f> IF(DW374&lt;&gt;"",TEXT(AUX!EA$1,"dd-MMM-aa"),"")</f>
      </c>
      <c r="DX354" s="496" t="str">
        <f> IF(DX374&lt;&gt;"",TEXT(AUX!EB$1,"dd-MMM-aa"),"")</f>
      </c>
      <c r="DY354" s="496" t="str">
        <f> IF(DY374&lt;&gt;"",TEXT(AUX!EC$1,"dd-MMM-aa"),"")</f>
      </c>
      <c r="DZ354" s="496" t="str">
        <f> IF(DZ374&lt;&gt;"",TEXT(AUX!ED$1,"dd-MMM-aa"),"")</f>
      </c>
      <c r="EA354" s="496" t="str">
        <f> IF(EA374&lt;&gt;"",TEXT(AUX!EE$1,"dd-MMM-aa"),"")</f>
      </c>
      <c r="EB354" s="496" t="str">
        <f> IF(EB374&lt;&gt;"",TEXT(AUX!EF$1,"dd-MMM-aa"),"")</f>
      </c>
      <c r="EC354" s="496" t="str">
        <f> IF(EC374&lt;&gt;"",TEXT(AUX!EG$1,"dd-MMM-aa"),"")</f>
      </c>
      <c r="ED354" s="496" t="str">
        <f> IF(ED374&lt;&gt;"",TEXT(AUX!EH$1,"dd-MMM-aa"),"")</f>
      </c>
      <c r="EE354" s="496" t="str">
        <f> IF(EE374&lt;&gt;"",TEXT(AUX!EI$1,"dd-MMM-aa"),"")</f>
      </c>
      <c r="EF354" s="496" t="str">
        <f> IF(EF374&lt;&gt;"",TEXT(AUX!EJ$1,"dd-MMM-aa"),"")</f>
      </c>
      <c r="EG354" s="496" t="str">
        <f> IF(EG374&lt;&gt;"",TEXT(AUX!EK$1,"dd-MMM-aa"),"")</f>
      </c>
      <c r="EH354" s="496" t="str">
        <f> IF(EH374&lt;&gt;"",TEXT(AUX!EL$1,"dd-MMM-aa"),"")</f>
      </c>
      <c r="EI354" s="496" t="str">
        <f> IF(EI374&lt;&gt;"",TEXT(AUX!EM$1,"dd-MMM-aa"),"")</f>
      </c>
      <c r="EJ354" s="496" t="str">
        <f> IF(EJ374&lt;&gt;"",TEXT(AUX!EN$1,"dd-MMM-aa"),"")</f>
      </c>
      <c r="EK354" s="496" t="str">
        <f> IF(EK374&lt;&gt;"",TEXT(AUX!EO$1,"dd-MMM-aa"),"")</f>
      </c>
      <c r="EL354" s="496" t="str">
        <f> IF(EL374&lt;&gt;"",TEXT(AUX!EP$1,"dd-MMM-aa"),"")</f>
      </c>
      <c r="EM354" s="496" t="str">
        <f> IF(EM374&lt;&gt;"",TEXT(AUX!EQ$1,"dd-MMM-aa"),"")</f>
      </c>
      <c r="EN354" s="496" t="str">
        <f> IF(EN374&lt;&gt;"",TEXT(AUX!ER$1,"dd-MMM-aa"),"")</f>
      </c>
      <c r="EO354" s="496" t="str">
        <f> IF(EO374&lt;&gt;"",TEXT(AUX!ES$1,"dd-MMM-aa"),"")</f>
      </c>
      <c r="EP354" s="496" t="str">
        <f> IF(EP374&lt;&gt;"",TEXT(AUX!ET$1,"dd-MMM-aa"),"")</f>
      </c>
      <c r="EQ354" s="496" t="str">
        <f> IF(EQ374&lt;&gt;"",TEXT(AUX!EU$1,"dd-MMM-aa"),"")</f>
      </c>
      <c r="ER354" s="496" t="str">
        <f> IF(ER374&lt;&gt;"",TEXT(AUX!EV$1,"dd-MMM-aa"),"")</f>
      </c>
      <c r="ES354" s="496" t="str">
        <f> IF(ES374&lt;&gt;"",TEXT(AUX!EW$1,"dd-MMM-aa"),"")</f>
      </c>
      <c r="ET354" s="496" t="str">
        <f> IF(ET374&lt;&gt;"",TEXT(AUX!EX$1,"dd-MMM-aa"),"")</f>
      </c>
      <c r="EU354" s="496" t="str">
        <f> IF(EU374&lt;&gt;"",TEXT(AUX!EY$1,"dd-MMM-aa"),"")</f>
      </c>
      <c r="EV354" s="496" t="str">
        <f> IF(EV374&lt;&gt;"",TEXT(AUX!EZ$1,"dd-MMM-aa"),"")</f>
      </c>
      <c r="EW354" s="496" t="str">
        <f> IF(EW374&lt;&gt;"",TEXT(AUX!FA$1,"dd-MMM-aa"),"")</f>
      </c>
      <c r="EX354" s="496" t="str">
        <f> IF(EX374&lt;&gt;"",TEXT(AUX!FB$1,"dd-MMM-aa"),"")</f>
      </c>
      <c r="EY354" s="496" t="str">
        <f> IF(EY374&lt;&gt;"",TEXT(AUX!FC$1,"dd-MMM-aa"),"")</f>
      </c>
      <c r="EZ354" s="496" t="str">
        <f> IF(EZ374&lt;&gt;"",TEXT(AUX!FD$1,"dd-MMM-aa"),"")</f>
      </c>
      <c r="FA354" s="496" t="str">
        <f> IF(FA374&lt;&gt;"",TEXT(AUX!FE$1,"dd-MMM-aa"),"")</f>
      </c>
      <c r="FB354" s="496" t="str">
        <f> IF(FB374&lt;&gt;"",TEXT(AUX!FF$1,"dd-MMM-aa"),"")</f>
      </c>
      <c r="FC354" s="496" t="str">
        <f> IF(FC374&lt;&gt;"",TEXT(AUX!FG$1,"dd-MMM-aa"),"")</f>
      </c>
      <c r="FD354" s="496" t="str">
        <f> IF(FD374&lt;&gt;"",TEXT(AUX!FH$1,"dd-MMM-aa"),"")</f>
      </c>
      <c r="FE354" s="496" t="str">
        <f> IF(FE374&lt;&gt;"",TEXT(AUX!FI$1,"dd-MMM-aa"),"")</f>
      </c>
      <c r="FF354" s="496" t="str">
        <f> IF(FF374&lt;&gt;"",TEXT(AUX!FJ$1,"dd-MMM-aa"),"")</f>
      </c>
      <c r="FG354" s="496" t="str">
        <f> IF(FG374&lt;&gt;"",TEXT(AUX!FK$1,"dd-MMM-aa"),"")</f>
      </c>
      <c r="FH354" s="496" t="str">
        <f> IF(FH374&lt;&gt;"",TEXT(AUX!FL$1,"dd-MMM-aa"),"")</f>
      </c>
      <c r="FI354" s="496" t="str">
        <f> IF(FI374&lt;&gt;"",TEXT(AUX!FM$1,"dd-MMM-aa"),"")</f>
      </c>
      <c r="FJ354" s="496" t="str">
        <f> IF(FJ374&lt;&gt;"",TEXT(AUX!FN$1,"dd-MMM-aa"),"")</f>
      </c>
      <c r="FK354" s="496" t="str">
        <f> IF(FK374&lt;&gt;"",TEXT(AUX!FO$1,"dd-MMM-aa"),"")</f>
      </c>
      <c r="FL354" s="496" t="str">
        <f> IF(FL374&lt;&gt;"",TEXT(AUX!FP$1,"dd-MMM-aa"),"")</f>
      </c>
      <c r="FM354" s="496" t="str">
        <f> IF(FM374&lt;&gt;"",TEXT(AUX!FQ$1,"dd-MMM-aa"),"")</f>
      </c>
      <c r="FN354" s="496" t="str">
        <f> IF(FN374&lt;&gt;"",TEXT(AUX!FR$1,"dd-MMM-aa"),"")</f>
      </c>
      <c r="FO354" s="496" t="str">
        <f> IF(FO374&lt;&gt;"",TEXT(AUX!FS$1,"dd-MMM-aa"),"")</f>
      </c>
      <c r="FP354" s="496" t="str">
        <f> IF(FP374&lt;&gt;"",TEXT(AUX!FT$1,"dd-MMM-aa"),"")</f>
      </c>
      <c r="FQ354" s="496" t="str">
        <f> IF(FQ374&lt;&gt;"",TEXT(AUX!FU$1,"dd-MMM-aa"),"")</f>
      </c>
      <c r="FR354" s="496" t="str">
        <f> IF(FR374&lt;&gt;"",TEXT(AUX!FV$1,"dd-MMM-aa"),"")</f>
      </c>
      <c r="FS354" s="496" t="str">
        <f> IF(FS374&lt;&gt;"",TEXT(AUX!FW$1,"dd-MMM-aa"),"")</f>
      </c>
      <c r="FT354" s="496" t="str">
        <f> IF(FT374&lt;&gt;"",TEXT(AUX!FX$1,"dd-MMM-aa"),"")</f>
      </c>
      <c r="FU354" s="496" t="str">
        <f> IF(FU374&lt;&gt;"",TEXT(AUX!FY$1,"dd-MMM-aa"),"")</f>
      </c>
      <c r="FV354" s="496" t="str">
        <f> IF(FV374&lt;&gt;"",TEXT(AUX!FZ$1,"dd-MMM-aa"),"")</f>
      </c>
      <c r="FW354" s="496" t="str">
        <f> IF(FW374&lt;&gt;"",TEXT(AUX!GA$1,"dd-MMM-aa"),"")</f>
      </c>
      <c r="FX354" s="496" t="str">
        <f> IF(FX374&lt;&gt;"",TEXT(AUX!GB$1,"dd-MMM-aa"),"")</f>
      </c>
      <c r="FY354" s="496" t="str">
        <f> IF(FY374&lt;&gt;"",TEXT(AUX!GC$1,"dd-MMM-aa"),"")</f>
      </c>
      <c r="FZ354" s="496" t="str">
        <f> IF(FZ374&lt;&gt;"",TEXT(AUX!GD$1,"dd-MMM-aa"),"")</f>
      </c>
      <c r="GA354" s="496" t="str">
        <f> IF(GA374&lt;&gt;"",TEXT(AUX!GE$1,"dd-MMM-aa"),"")</f>
      </c>
      <c r="GB354" s="496" t="str">
        <f> IF(GB374&lt;&gt;"",TEXT(AUX!GF$1,"dd-MMM-aa"),"")</f>
      </c>
      <c r="GC354" s="496" t="str">
        <f> IF(GC374&lt;&gt;"",TEXT(AUX!GG$1,"dd-MMM-aa"),"")</f>
      </c>
      <c r="GD354" s="496" t="str">
        <f> IF(GD374&lt;&gt;"",TEXT(AUX!GH$1,"dd-MMM-aa"),"")</f>
      </c>
      <c r="GE354" s="496" t="str">
        <f> IF(GE374&lt;&gt;"",TEXT(AUX!GI$1,"dd-MMM-aa"),"")</f>
      </c>
      <c r="GF354" s="496" t="str">
        <f> IF(GF374&lt;&gt;"",TEXT(AUX!GJ$1,"dd-MMM-aa"),"")</f>
      </c>
      <c r="GG354" s="496" t="str">
        <f> IF(GG374&lt;&gt;"",TEXT(AUX!GK$1,"dd-MMM-aa"),"")</f>
      </c>
      <c r="GH354" s="496" t="str">
        <f> IF(GH374&lt;&gt;"",TEXT(AUX!GL$1,"dd-MMM-aa"),"")</f>
      </c>
      <c r="GI354" s="496" t="str">
        <f> IF(GI374&lt;&gt;"",TEXT(AUX!GM$1,"dd-MMM-aa"),"")</f>
      </c>
      <c r="GJ354" s="496" t="str">
        <f> IF(GJ374&lt;&gt;"",TEXT(AUX!GN$1,"dd-MMM-aa"),"")</f>
      </c>
      <c r="GK354" s="496" t="str">
        <f> IF(GK374&lt;&gt;"",TEXT(AUX!GO$1,"dd-MMM-aa"),"")</f>
      </c>
      <c r="GL354" s="496" t="str">
        <f> IF(GL374&lt;&gt;"",TEXT(AUX!GP$1,"dd-MMM-aa"),"")</f>
      </c>
      <c r="GM354" s="496" t="str">
        <f> IF(GM374&lt;&gt;"",TEXT(AUX!GQ$1,"dd-MMM-aa"),"")</f>
      </c>
      <c r="GN354" s="496" t="str">
        <f> IF(GN374&lt;&gt;"",TEXT(AUX!GR$1,"dd-MMM-aa"),"")</f>
      </c>
      <c r="GO354" s="496" t="str">
        <f> IF(GO374&lt;&gt;"",TEXT(AUX!GS$1,"dd-MMM-aa"),"")</f>
      </c>
      <c r="GP354" s="496" t="str">
        <f> IF(GP374&lt;&gt;"",TEXT(AUX!GT$1,"dd-MMM-aa"),"")</f>
      </c>
      <c r="GQ354" s="496" t="str">
        <f> IF(GQ374&lt;&gt;"",TEXT(AUX!GU$1,"dd-MMM-aa"),"")</f>
      </c>
      <c r="GR354" s="496" t="str">
        <f> IF(GR374&lt;&gt;"",TEXT(AUX!GV$1,"dd-MMM-aa"),"")</f>
      </c>
      <c r="GS354" s="496" t="str">
        <f> IF(GS374&lt;&gt;"",TEXT(AUX!GW$1,"dd-MMM-aa"),"")</f>
      </c>
      <c r="GT354" s="496" t="str">
        <f> IF(GT374&lt;&gt;"",TEXT(AUX!GX$1,"dd-MMM-aa"),"")</f>
      </c>
      <c r="GU354" s="496" t="str">
        <f> IF(GU374&lt;&gt;"",TEXT(AUX!GY$1,"dd-MMM-aa"),"")</f>
      </c>
      <c r="GV354" s="496" t="str">
        <f> IF(GV374&lt;&gt;"",TEXT(AUX!GZ$1,"dd-MMM-aa"),"")</f>
      </c>
      <c r="GW354" s="496" t="str">
        <f> IF(GW374&lt;&gt;"",TEXT(AUX!HA$1,"dd-MMM-aa"),"")</f>
      </c>
      <c r="GX354" s="496" t="str">
        <f> IF(GX374&lt;&gt;"",TEXT(AUX!HB$1,"dd-MMM-aa"),"")</f>
      </c>
      <c r="GY354" s="496" t="str">
        <f> IF(GY374&lt;&gt;"",TEXT(AUX!HC$1,"dd-MMM-aa"),"")</f>
      </c>
      <c r="GZ354" s="496" t="str">
        <f> IF(GZ374&lt;&gt;"",TEXT(AUX!HD$1,"dd-MMM-aa"),"")</f>
      </c>
      <c r="HA354" s="496" t="str">
        <f> IF(HA374&lt;&gt;"",TEXT(AUX!HE$1,"dd-MMM-aa"),"")</f>
      </c>
      <c r="HB354" s="496" t="str">
        <f> IF(HB374&lt;&gt;"",TEXT(AUX!HF$1,"dd-MMM-aa"),"")</f>
      </c>
      <c r="HC354" s="496" t="str">
        <f> IF(HC374&lt;&gt;"",TEXT(AUX!HG$1,"dd-MMM-aa"),"")</f>
      </c>
      <c r="HD354" s="496" t="str">
        <f> IF(HD374&lt;&gt;"",TEXT(AUX!HH$1,"dd-MMM-aa"),"")</f>
      </c>
      <c r="HE354" s="496" t="str">
        <f> IF(HE374&lt;&gt;"",TEXT(AUX!HI$1,"dd-MMM-aa"),"")</f>
      </c>
      <c r="HF354" s="496" t="str">
        <f> IF(HF374&lt;&gt;"",TEXT(AUX!HJ$1,"dd-MMM-aa"),"")</f>
      </c>
      <c r="HG354" s="496" t="str">
        <f> IF(HG374&lt;&gt;"",TEXT(AUX!HK$1,"dd-MMM-aa"),"")</f>
      </c>
      <c r="HH354" s="496" t="str">
        <f> IF(HH374&lt;&gt;"",TEXT(AUX!HL$1,"dd-MMM-aa"),"")</f>
      </c>
      <c r="HI354" s="496" t="str">
        <f> IF(HI374&lt;&gt;"",TEXT(AUX!HM$1,"dd-MMM-aa"),"")</f>
      </c>
      <c r="HJ354" s="496" t="str">
        <f> IF(HJ374&lt;&gt;"",TEXT(AUX!HN$1,"dd-MMM-aa"),"")</f>
      </c>
      <c r="HK354" s="496" t="str">
        <f> IF(HK374&lt;&gt;"",TEXT(AUX!HO$1,"dd-MMM-aa"),"")</f>
      </c>
      <c r="HL354" s="496" t="str">
        <f> IF(HL374&lt;&gt;"",TEXT(AUX!HP$1,"dd-MMM-aa"),"")</f>
      </c>
      <c r="HM354" s="496" t="str">
        <f> IF(HM374&lt;&gt;"",TEXT(AUX!HQ$1,"dd-MMM-aa"),"")</f>
      </c>
      <c r="HN354" s="496" t="str">
        <f> IF(HN374&lt;&gt;"",TEXT(AUX!HR$1,"dd-MMM-aa"),"")</f>
      </c>
      <c r="HO354" s="496" t="str">
        <f> IF(HO374&lt;&gt;"",TEXT(AUX!HS$1,"dd-MMM-aa"),"")</f>
      </c>
      <c r="HP354" s="496" t="str">
        <f> IF(HP374&lt;&gt;"",TEXT(AUX!HT$1,"dd-MMM-aa"),"")</f>
      </c>
      <c r="HQ354" s="496" t="str">
        <f> IF(HQ374&lt;&gt;"",TEXT(AUX!HU$1,"dd-MMM-aa"),"")</f>
      </c>
      <c r="HR354" s="496" t="str">
        <f> IF(HR374&lt;&gt;"",TEXT(AUX!HV$1,"dd-MMM-aa"),"")</f>
      </c>
      <c r="HS354" s="496" t="str">
        <f> IF(HS374&lt;&gt;"",TEXT(AUX!HW$1,"dd-MMM-aa"),"")</f>
      </c>
      <c r="HT354" s="496" t="str">
        <f> IF(HT374&lt;&gt;"",TEXT(AUX!HX$1,"dd-MMM-aa"),"")</f>
      </c>
      <c r="HU354" s="496" t="str">
        <f> IF(HU374&lt;&gt;"",TEXT(AUX!HY$1,"dd-MMM-aa"),"")</f>
      </c>
      <c r="HV354" s="496" t="str">
        <f> IF(HV374&lt;&gt;"",TEXT(AUX!HZ$1,"dd-MMM-aa"),"")</f>
      </c>
      <c r="HW354" s="496" t="str">
        <f> IF(HW374&lt;&gt;"",TEXT(AUX!IA$1,"dd-MMM-aa"),"")</f>
      </c>
      <c r="HX354" s="496" t="str">
        <f> IF(HX374&lt;&gt;"",TEXT(AUX!IB$1,"dd-MMM-aa"),"")</f>
      </c>
      <c r="HY354" s="496" t="str">
        <f> IF(HY374&lt;&gt;"",TEXT(AUX!IC$1,"dd-MMM-aa"),"")</f>
      </c>
      <c r="HZ354" s="496" t="str">
        <f> IF(HZ374&lt;&gt;"",TEXT(AUX!ID$1,"dd-MMM-aa"),"")</f>
      </c>
      <c r="IA354" s="496" t="str">
        <f> IF(IA374&lt;&gt;"",TEXT(AUX!IE$1,"dd-MMM-aa"),"")</f>
      </c>
      <c r="IB354" s="496" t="str">
        <f> IF(IB374&lt;&gt;"",TEXT(AUX!IF$1,"dd-MMM-aa"),"")</f>
      </c>
      <c r="IC354" s="496" t="str">
        <f> IF(IC374&lt;&gt;"",TEXT(AUX!IG$1,"dd-MMM-aa"),"")</f>
      </c>
      <c r="ID354" s="496" t="str">
        <f> IF(ID374&lt;&gt;"",TEXT(AUX!IH$1,"dd-MMM-aa"),"")</f>
      </c>
      <c r="IE354" s="496" t="str">
        <f> IF(IE374&lt;&gt;"",TEXT(AUX!II$1,"dd-MMM-aa"),"")</f>
      </c>
      <c r="IF354" s="496" t="str">
        <f> IF(IF374&lt;&gt;"",TEXT(AUX!IJ$1,"dd-MMM-aa"),"")</f>
      </c>
      <c r="IG354" s="496" t="str">
        <f> IF(IG374&lt;&gt;"",TEXT(AUX!IK$1,"dd-MMM-aa"),"")</f>
      </c>
      <c r="IH354" s="496" t="str">
        <f> IF(IH374&lt;&gt;"",TEXT(AUX!IL$1,"dd-MMM-aa"),"")</f>
      </c>
      <c r="II354" s="496" t="str">
        <f> IF(II374&lt;&gt;"",TEXT(AUX!IM$1,"dd-MMM-aa"),"")</f>
      </c>
      <c r="IJ354" s="496" t="str">
        <f> IF(IJ374&lt;&gt;"",TEXT(AUX!IN$1,"dd-MMM-aa"),"")</f>
      </c>
      <c r="IK354" s="496" t="str">
        <f> IF(IK374&lt;&gt;"",TEXT(AUX!IO$1,"dd-MMM-aa"),"")</f>
      </c>
      <c r="IL354" s="496" t="str">
        <f> IF(IL374&lt;&gt;"",TEXT(AUX!IP$1,"dd-MMM-aa"),"")</f>
      </c>
      <c r="IM354" s="496" t="str">
        <f> IF(IM374&lt;&gt;"",TEXT(AUX!IQ$1,"dd-MMM-aa"),"")</f>
      </c>
      <c r="IN354" s="496" t="str">
        <f> IF(IN374&lt;&gt;"",TEXT(AUX!IR$1,"dd-MMM-aa"),"")</f>
      </c>
      <c r="IO354" s="496" t="str">
        <f> IF(IO374&lt;&gt;"",TEXT(AUX!IS$1,"dd-MMM-aa"),"")</f>
      </c>
      <c r="IP354" s="496" t="str">
        <f> IF(IP374&lt;&gt;"",TEXT(AUX!IT$1,"dd-MMM-aa"),"")</f>
      </c>
      <c r="IQ354" s="496" t="str">
        <f> IF(IQ374&lt;&gt;"",TEXT(AUX!IU$1,"dd-MMM-aa"),"")</f>
      </c>
      <c r="IR354" s="496" t="str">
        <f> IF(IR374&lt;&gt;"",TEXT(AUX!IV$1,"dd-MMM-aa"),"")</f>
      </c>
      <c r="IS354" s="496" t="str">
        <f> IF(IS374&lt;&gt;"",TEXT(AUX!#REF!,"dd-MMM-aa"),"")</f>
      </c>
      <c r="IT354" s="496" t="str">
        <f> IF(IT374&lt;&gt;"",TEXT(AUX!#REF!,"dd-MMM-aa"),"")</f>
      </c>
      <c r="IU354" s="496" t="str">
        <f> IF(IU374&lt;&gt;"",TEXT(AUX!#REF!,"dd-MMM-aa"),"")</f>
      </c>
      <c r="IV354" s="496" t="str">
        <f> IF(IV374&lt;&gt;"",TEXT(AUX!#REF!,"dd-MMM-aa"),"")</f>
      </c>
    </row>
    <row r="355" hidden="1">
      <c r="B355" s="833" t="s">
        <v>8</v>
      </c>
      <c r="C355" s="827">
        <v>88271</v>
      </c>
      <c r="D355" s="827">
        <v>85671</v>
      </c>
      <c r="E355" s="827">
        <v>105580</v>
      </c>
      <c r="F355" s="827">
        <v>44180</v>
      </c>
      <c r="G355" s="827">
        <v>55863</v>
      </c>
      <c r="H355" s="827">
        <v>17127</v>
      </c>
      <c r="I355" s="827">
        <v>60790</v>
      </c>
      <c r="J355" s="827">
        <v>54640</v>
      </c>
      <c r="K355" s="827">
        <v>55345</v>
      </c>
      <c r="L355" s="827">
        <v>63120</v>
      </c>
      <c r="M355" s="827">
        <v>2000</v>
      </c>
      <c r="N355" s="827">
        <v>27000</v>
      </c>
      <c r="O355" s="827">
        <v>0</v>
      </c>
      <c r="P355" s="827">
        <v>0</v>
      </c>
      <c r="Q355" s="827">
        <v>0</v>
      </c>
      <c r="R355" s="827">
        <v>0</v>
      </c>
      <c r="S355" s="827">
        <v>0</v>
      </c>
      <c r="T355" s="827">
        <v>0</v>
      </c>
      <c r="U355" s="827">
        <v>0</v>
      </c>
      <c r="V355" s="827">
        <v>0</v>
      </c>
      <c r="W355" s="827">
        <v>0</v>
      </c>
      <c r="X355" s="827">
        <v>0</v>
      </c>
      <c r="Y355" s="827">
        <v>0</v>
      </c>
      <c r="Z355" s="827">
        <v>0</v>
      </c>
      <c r="AA355" s="827">
        <v>0</v>
      </c>
      <c r="AB355" s="834">
        <v>0</v>
      </c>
      <c r="AC355" s="828">
        <v>0</v>
      </c>
      <c r="AD355" s="828">
        <v>0</v>
      </c>
      <c r="AE355" s="828">
        <v>0</v>
      </c>
      <c r="AF355" s="828">
        <v>0</v>
      </c>
      <c r="AG355" s="828">
        <v>0</v>
      </c>
      <c r="AH355" s="828">
        <v>0</v>
      </c>
      <c r="AI355" s="828">
        <v>0</v>
      </c>
      <c r="AJ355" s="828">
        <v>0</v>
      </c>
      <c r="AK355" s="828">
        <v>0</v>
      </c>
      <c r="AL355" s="828">
        <v>0</v>
      </c>
      <c r="AM355" s="828">
        <v>0</v>
      </c>
      <c r="AN355" s="828">
        <v>0</v>
      </c>
      <c r="AO355" s="828">
        <v>0</v>
      </c>
      <c r="AP355" s="828">
        <v>0</v>
      </c>
    </row>
    <row r="356" hidden="1">
      <c r="B356" s="829" t="s">
        <v>9</v>
      </c>
      <c r="C356" s="823">
        <v>0</v>
      </c>
      <c r="D356" s="823">
        <v>0</v>
      </c>
      <c r="E356" s="823">
        <v>0</v>
      </c>
      <c r="F356" s="823">
        <v>0</v>
      </c>
      <c r="G356" s="823">
        <v>0</v>
      </c>
      <c r="H356" s="823">
        <v>0</v>
      </c>
      <c r="I356" s="823">
        <v>0</v>
      </c>
      <c r="J356" s="823">
        <v>0</v>
      </c>
      <c r="K356" s="823">
        <v>0</v>
      </c>
      <c r="L356" s="823">
        <v>0</v>
      </c>
      <c r="M356" s="823">
        <v>0</v>
      </c>
      <c r="N356" s="823">
        <v>0</v>
      </c>
      <c r="O356" s="823">
        <v>0</v>
      </c>
      <c r="P356" s="823">
        <v>0</v>
      </c>
      <c r="Q356" s="823">
        <v>0</v>
      </c>
      <c r="R356" s="823">
        <v>0</v>
      </c>
      <c r="S356" s="823">
        <v>0</v>
      </c>
      <c r="T356" s="823">
        <v>0</v>
      </c>
      <c r="U356" s="823">
        <v>0</v>
      </c>
      <c r="V356" s="823">
        <v>0</v>
      </c>
      <c r="W356" s="823">
        <v>0</v>
      </c>
      <c r="X356" s="823">
        <v>0</v>
      </c>
      <c r="Y356" s="823">
        <v>0</v>
      </c>
      <c r="Z356" s="823">
        <v>0</v>
      </c>
      <c r="AA356" s="823">
        <v>0</v>
      </c>
      <c r="AB356" s="823">
        <v>0</v>
      </c>
      <c r="AC356" s="825">
        <v>0</v>
      </c>
      <c r="AD356" s="825">
        <v>0</v>
      </c>
      <c r="AE356" s="825">
        <v>0</v>
      </c>
      <c r="AF356" s="825">
        <v>0</v>
      </c>
      <c r="AG356" s="825">
        <v>0</v>
      </c>
      <c r="AH356" s="825">
        <v>0</v>
      </c>
      <c r="AI356" s="825">
        <v>0</v>
      </c>
      <c r="AJ356" s="825">
        <v>0</v>
      </c>
      <c r="AK356" s="825">
        <v>0</v>
      </c>
      <c r="AL356" s="825">
        <v>0</v>
      </c>
      <c r="AM356" s="825">
        <v>0</v>
      </c>
      <c r="AN356" s="825">
        <v>0</v>
      </c>
      <c r="AO356" s="825">
        <v>0</v>
      </c>
      <c r="AP356" s="825">
        <v>0</v>
      </c>
    </row>
    <row r="357" hidden="1">
      <c r="B357" s="826" t="s">
        <v>10</v>
      </c>
      <c r="C357" s="827">
        <v>0</v>
      </c>
      <c r="D357" s="827">
        <v>0</v>
      </c>
      <c r="E357" s="827">
        <v>0</v>
      </c>
      <c r="F357" s="827">
        <v>0</v>
      </c>
      <c r="G357" s="827">
        <v>0</v>
      </c>
      <c r="H357" s="827">
        <v>0</v>
      </c>
      <c r="I357" s="827">
        <v>0</v>
      </c>
      <c r="J357" s="827">
        <v>0</v>
      </c>
      <c r="K357" s="827">
        <v>0</v>
      </c>
      <c r="L357" s="827">
        <v>0</v>
      </c>
      <c r="M357" s="827">
        <v>0</v>
      </c>
      <c r="N357" s="827">
        <v>0</v>
      </c>
      <c r="O357" s="827">
        <v>0</v>
      </c>
      <c r="P357" s="827">
        <v>0</v>
      </c>
      <c r="Q357" s="827">
        <v>0</v>
      </c>
      <c r="R357" s="827">
        <v>0</v>
      </c>
      <c r="S357" s="827">
        <v>0</v>
      </c>
      <c r="T357" s="827">
        <v>0</v>
      </c>
      <c r="U357" s="827">
        <v>0</v>
      </c>
      <c r="V357" s="827">
        <v>0</v>
      </c>
      <c r="W357" s="827">
        <v>0</v>
      </c>
      <c r="X357" s="827">
        <v>60</v>
      </c>
      <c r="Y357" s="827">
        <v>60</v>
      </c>
      <c r="Z357" s="827">
        <v>60</v>
      </c>
      <c r="AA357" s="827">
        <v>80</v>
      </c>
      <c r="AB357" s="827">
        <v>80</v>
      </c>
      <c r="AC357" s="828">
        <v>97</v>
      </c>
      <c r="AD357" s="828">
        <v>97</v>
      </c>
      <c r="AE357" s="828">
        <v>97</v>
      </c>
      <c r="AF357" s="828">
        <v>97</v>
      </c>
      <c r="AG357" s="828">
        <v>174</v>
      </c>
      <c r="AH357" s="828">
        <v>159</v>
      </c>
      <c r="AI357" s="828">
        <v>159</v>
      </c>
      <c r="AJ357" s="828">
        <v>159</v>
      </c>
      <c r="AK357" s="828">
        <v>159</v>
      </c>
      <c r="AL357" s="828">
        <v>130</v>
      </c>
      <c r="AM357" s="828">
        <v>48</v>
      </c>
      <c r="AN357" s="828">
        <v>48</v>
      </c>
      <c r="AO357" s="828">
        <v>44</v>
      </c>
      <c r="AP357" s="828">
        <v>0</v>
      </c>
    </row>
    <row r="358" hidden="1">
      <c r="B358" s="829" t="s">
        <v>11</v>
      </c>
      <c r="C358" s="823">
        <v>971</v>
      </c>
      <c r="D358" s="823">
        <v>1017</v>
      </c>
      <c r="E358" s="823">
        <v>1109</v>
      </c>
      <c r="F358" s="823">
        <v>1099</v>
      </c>
      <c r="G358" s="823">
        <v>844</v>
      </c>
      <c r="H358" s="823">
        <v>844</v>
      </c>
      <c r="I358" s="823">
        <v>737</v>
      </c>
      <c r="J358" s="823">
        <v>574</v>
      </c>
      <c r="K358" s="823">
        <v>0</v>
      </c>
      <c r="L358" s="823">
        <v>0</v>
      </c>
      <c r="M358" s="823">
        <v>189500</v>
      </c>
      <c r="N358" s="823">
        <v>189500</v>
      </c>
      <c r="O358" s="823">
        <v>121000</v>
      </c>
      <c r="P358" s="823">
        <v>121000</v>
      </c>
      <c r="Q358" s="823">
        <v>52000</v>
      </c>
      <c r="R358" s="823">
        <v>52000</v>
      </c>
      <c r="S358" s="823">
        <v>52000</v>
      </c>
      <c r="T358" s="823">
        <v>0</v>
      </c>
      <c r="U358" s="823">
        <v>52000</v>
      </c>
      <c r="V358" s="823">
        <v>52000</v>
      </c>
      <c r="W358" s="823">
        <v>52000</v>
      </c>
      <c r="X358" s="823">
        <v>52000</v>
      </c>
      <c r="Y358" s="823">
        <v>52000</v>
      </c>
      <c r="Z358" s="823">
        <v>36</v>
      </c>
      <c r="AA358" s="823">
        <v>36</v>
      </c>
      <c r="AB358" s="823">
        <v>36</v>
      </c>
      <c r="AC358" s="825">
        <v>36</v>
      </c>
      <c r="AD358" s="825">
        <v>0</v>
      </c>
      <c r="AE358" s="825">
        <v>0</v>
      </c>
      <c r="AF358" s="825">
        <v>0</v>
      </c>
      <c r="AG358" s="825">
        <v>0</v>
      </c>
      <c r="AH358" s="825">
        <v>0</v>
      </c>
      <c r="AI358" s="825">
        <v>0</v>
      </c>
      <c r="AJ358" s="825">
        <v>0</v>
      </c>
      <c r="AK358" s="825">
        <v>0</v>
      </c>
      <c r="AL358" s="825">
        <v>0</v>
      </c>
      <c r="AM358" s="825">
        <v>0</v>
      </c>
      <c r="AN358" s="825">
        <v>0</v>
      </c>
      <c r="AO358" s="825">
        <v>0</v>
      </c>
      <c r="AP358" s="825">
        <v>0</v>
      </c>
    </row>
    <row r="359" hidden="1">
      <c r="B359" s="826" t="s">
        <v>12</v>
      </c>
      <c r="C359" s="827">
        <v>46</v>
      </c>
      <c r="D359" s="827">
        <v>46</v>
      </c>
      <c r="E359" s="827">
        <v>46</v>
      </c>
      <c r="F359" s="827">
        <v>46</v>
      </c>
      <c r="G359" s="827">
        <v>9046</v>
      </c>
      <c r="H359" s="827">
        <v>9046</v>
      </c>
      <c r="I359" s="827">
        <v>5106</v>
      </c>
      <c r="J359" s="827">
        <v>5060</v>
      </c>
      <c r="K359" s="827">
        <v>33060</v>
      </c>
      <c r="L359" s="827">
        <v>50060</v>
      </c>
      <c r="M359" s="827">
        <v>39500</v>
      </c>
      <c r="N359" s="827">
        <v>39506</v>
      </c>
      <c r="O359" s="827">
        <v>31000</v>
      </c>
      <c r="P359" s="827">
        <v>31000</v>
      </c>
      <c r="Q359" s="827">
        <v>36000</v>
      </c>
      <c r="R359" s="827">
        <v>36000</v>
      </c>
      <c r="S359" s="827">
        <v>33000</v>
      </c>
      <c r="T359" s="827">
        <v>33000</v>
      </c>
      <c r="U359" s="827">
        <v>30000</v>
      </c>
      <c r="V359" s="827">
        <v>30000</v>
      </c>
      <c r="W359" s="827">
        <v>30000</v>
      </c>
      <c r="X359" s="827">
        <v>30000</v>
      </c>
      <c r="Y359" s="827">
        <v>30000</v>
      </c>
      <c r="Z359" s="827">
        <v>30000</v>
      </c>
      <c r="AA359" s="827">
        <v>0</v>
      </c>
      <c r="AB359" s="827">
        <v>0</v>
      </c>
      <c r="AC359" s="828">
        <v>28</v>
      </c>
      <c r="AD359" s="828">
        <v>28</v>
      </c>
      <c r="AE359" s="828">
        <v>28</v>
      </c>
      <c r="AF359" s="828">
        <v>28</v>
      </c>
      <c r="AG359" s="828">
        <v>282</v>
      </c>
      <c r="AH359" s="828">
        <v>202</v>
      </c>
      <c r="AI359" s="828">
        <v>202</v>
      </c>
      <c r="AJ359" s="828">
        <v>0</v>
      </c>
      <c r="AK359" s="828">
        <v>0</v>
      </c>
      <c r="AL359" s="828">
        <v>0</v>
      </c>
      <c r="AM359" s="828">
        <v>0</v>
      </c>
      <c r="AN359" s="828">
        <v>0</v>
      </c>
      <c r="AO359" s="828">
        <v>12</v>
      </c>
      <c r="AP359" s="828">
        <v>12</v>
      </c>
    </row>
    <row r="360" hidden="1">
      <c r="B360" s="829" t="s">
        <v>13</v>
      </c>
      <c r="C360" s="823">
        <v>0</v>
      </c>
      <c r="D360" s="823">
        <v>0</v>
      </c>
      <c r="E360" s="823">
        <v>46</v>
      </c>
      <c r="F360" s="823">
        <v>46</v>
      </c>
      <c r="G360" s="823">
        <v>0</v>
      </c>
      <c r="H360" s="823">
        <v>0</v>
      </c>
      <c r="I360" s="823">
        <v>0</v>
      </c>
      <c r="J360" s="823">
        <v>0</v>
      </c>
      <c r="K360" s="823">
        <v>0</v>
      </c>
      <c r="L360" s="823">
        <v>0</v>
      </c>
      <c r="M360" s="823">
        <v>0</v>
      </c>
      <c r="N360" s="823">
        <v>0</v>
      </c>
      <c r="O360" s="823">
        <v>0</v>
      </c>
      <c r="P360" s="823">
        <v>0</v>
      </c>
      <c r="Q360" s="823">
        <v>0</v>
      </c>
      <c r="R360" s="823">
        <v>500</v>
      </c>
      <c r="S360" s="823">
        <v>500</v>
      </c>
      <c r="T360" s="823">
        <v>0</v>
      </c>
      <c r="U360" s="823">
        <v>0</v>
      </c>
      <c r="V360" s="823">
        <v>0</v>
      </c>
      <c r="W360" s="823">
        <v>500</v>
      </c>
      <c r="X360" s="823">
        <v>500</v>
      </c>
      <c r="Y360" s="823">
        <v>300</v>
      </c>
      <c r="Z360" s="823">
        <v>300</v>
      </c>
      <c r="AA360" s="823">
        <v>300</v>
      </c>
      <c r="AB360" s="823">
        <v>0</v>
      </c>
      <c r="AC360" s="825">
        <v>0</v>
      </c>
      <c r="AD360" s="825">
        <v>0</v>
      </c>
      <c r="AE360" s="825">
        <v>0</v>
      </c>
      <c r="AF360" s="825">
        <v>0</v>
      </c>
      <c r="AG360" s="825">
        <v>0</v>
      </c>
      <c r="AH360" s="825">
        <v>0</v>
      </c>
      <c r="AI360" s="825">
        <v>0</v>
      </c>
      <c r="AJ360" s="825">
        <v>32</v>
      </c>
      <c r="AK360" s="825">
        <v>84</v>
      </c>
      <c r="AL360" s="825">
        <v>121</v>
      </c>
      <c r="AM360" s="825">
        <v>89</v>
      </c>
      <c r="AN360" s="825">
        <v>139</v>
      </c>
      <c r="AO360" s="825">
        <v>199</v>
      </c>
      <c r="AP360" s="825">
        <v>49</v>
      </c>
    </row>
    <row r="361" hidden="1">
      <c r="B361" s="826" t="s">
        <v>109</v>
      </c>
      <c r="C361" s="827">
        <v>66529</v>
      </c>
      <c r="D361" s="827">
        <v>65229</v>
      </c>
      <c r="E361" s="827">
        <v>280352</v>
      </c>
      <c r="F361" s="827">
        <v>280352</v>
      </c>
      <c r="G361" s="827">
        <v>58684</v>
      </c>
      <c r="H361" s="827">
        <v>58684</v>
      </c>
      <c r="I361" s="827">
        <v>73033</v>
      </c>
      <c r="J361" s="827">
        <v>73033</v>
      </c>
      <c r="K361" s="827">
        <v>75467</v>
      </c>
      <c r="L361" s="827">
        <v>75369</v>
      </c>
      <c r="M361" s="827">
        <v>77253</v>
      </c>
      <c r="N361" s="827">
        <v>77253</v>
      </c>
      <c r="O361" s="827">
        <v>0</v>
      </c>
      <c r="P361" s="827">
        <v>0</v>
      </c>
      <c r="Q361" s="827">
        <v>0</v>
      </c>
      <c r="R361" s="827">
        <v>0</v>
      </c>
      <c r="S361" s="827">
        <v>40172</v>
      </c>
      <c r="T361" s="827">
        <v>40172</v>
      </c>
      <c r="U361" s="827">
        <v>23796</v>
      </c>
      <c r="V361" s="827">
        <v>25392</v>
      </c>
      <c r="W361" s="827">
        <v>33666</v>
      </c>
      <c r="X361" s="827">
        <v>95</v>
      </c>
      <c r="Y361" s="827">
        <v>70</v>
      </c>
      <c r="Z361" s="827">
        <v>70</v>
      </c>
      <c r="AA361" s="827">
        <v>70</v>
      </c>
      <c r="AB361" s="827">
        <v>80</v>
      </c>
      <c r="AC361" s="828">
        <v>70</v>
      </c>
      <c r="AD361" s="828">
        <v>70</v>
      </c>
      <c r="AE361" s="828">
        <v>70</v>
      </c>
      <c r="AF361" s="828">
        <v>70</v>
      </c>
      <c r="AG361" s="828">
        <v>0</v>
      </c>
      <c r="AH361" s="828">
        <v>0</v>
      </c>
      <c r="AI361" s="828">
        <v>0</v>
      </c>
      <c r="AJ361" s="828">
        <v>0</v>
      </c>
      <c r="AK361" s="828">
        <v>0</v>
      </c>
      <c r="AL361" s="828">
        <v>0</v>
      </c>
      <c r="AM361" s="828">
        <v>0</v>
      </c>
      <c r="AN361" s="828">
        <v>0</v>
      </c>
      <c r="AO361" s="828">
        <v>0</v>
      </c>
      <c r="AP361" s="828">
        <v>10</v>
      </c>
    </row>
    <row r="362" hidden="1">
      <c r="B362" s="829" t="s">
        <v>110</v>
      </c>
      <c r="C362" s="823">
        <v>359300</v>
      </c>
      <c r="D362" s="823">
        <v>367300</v>
      </c>
      <c r="E362" s="823">
        <v>369800</v>
      </c>
      <c r="F362" s="823">
        <v>369800</v>
      </c>
      <c r="G362" s="823">
        <v>312000</v>
      </c>
      <c r="H362" s="823">
        <v>310400</v>
      </c>
      <c r="I362" s="823">
        <v>362100</v>
      </c>
      <c r="J362" s="823">
        <v>362100</v>
      </c>
      <c r="K362" s="823">
        <v>358214</v>
      </c>
      <c r="L362" s="823">
        <v>378314</v>
      </c>
      <c r="M362" s="823">
        <v>401752</v>
      </c>
      <c r="N362" s="823">
        <v>357951</v>
      </c>
      <c r="O362" s="823">
        <v>300287</v>
      </c>
      <c r="P362" s="823">
        <v>300287</v>
      </c>
      <c r="Q362" s="823">
        <v>236376</v>
      </c>
      <c r="R362" s="823">
        <v>241631</v>
      </c>
      <c r="S362" s="823">
        <v>241955</v>
      </c>
      <c r="T362" s="823">
        <v>265955</v>
      </c>
      <c r="U362" s="823">
        <v>268850</v>
      </c>
      <c r="V362" s="823">
        <v>244850</v>
      </c>
      <c r="W362" s="823">
        <v>165753</v>
      </c>
      <c r="X362" s="823">
        <v>165753</v>
      </c>
      <c r="Y362" s="823">
        <v>151253</v>
      </c>
      <c r="Z362" s="823">
        <v>156253</v>
      </c>
      <c r="AA362" s="823">
        <v>140253</v>
      </c>
      <c r="AB362" s="823">
        <v>140253</v>
      </c>
      <c r="AC362" s="825">
        <v>127530</v>
      </c>
      <c r="AD362" s="825">
        <v>127530</v>
      </c>
      <c r="AE362" s="825">
        <v>131200</v>
      </c>
      <c r="AF362" s="825">
        <v>131200</v>
      </c>
      <c r="AG362" s="825">
        <v>147500</v>
      </c>
      <c r="AH362" s="825">
        <v>147500</v>
      </c>
      <c r="AI362" s="825">
        <v>108500</v>
      </c>
      <c r="AJ362" s="825">
        <v>147450</v>
      </c>
      <c r="AK362" s="825">
        <v>177450</v>
      </c>
      <c r="AL362" s="825">
        <v>159493</v>
      </c>
      <c r="AM362" s="825">
        <v>189493</v>
      </c>
      <c r="AN362" s="825">
        <v>189493</v>
      </c>
      <c r="AO362" s="825">
        <v>187320</v>
      </c>
      <c r="AP362" s="825">
        <v>206550</v>
      </c>
    </row>
    <row r="363" hidden="1">
      <c r="B363" s="826" t="s">
        <v>16</v>
      </c>
      <c r="C363" s="827">
        <v>0</v>
      </c>
      <c r="D363" s="827">
        <v>0</v>
      </c>
      <c r="E363" s="827">
        <v>0</v>
      </c>
      <c r="F363" s="827">
        <v>0</v>
      </c>
      <c r="G363" s="827">
        <v>0</v>
      </c>
      <c r="H363" s="827">
        <v>0</v>
      </c>
      <c r="I363" s="827">
        <v>0</v>
      </c>
      <c r="J363" s="827">
        <v>0</v>
      </c>
      <c r="K363" s="827">
        <v>39030</v>
      </c>
      <c r="L363" s="827">
        <v>73930</v>
      </c>
      <c r="M363" s="827">
        <v>220291</v>
      </c>
      <c r="N363" s="827">
        <v>200291</v>
      </c>
      <c r="O363" s="827">
        <v>221343</v>
      </c>
      <c r="P363" s="827">
        <v>194453</v>
      </c>
      <c r="Q363" s="827">
        <v>263183</v>
      </c>
      <c r="R363" s="827">
        <v>256061</v>
      </c>
      <c r="S363" s="827">
        <v>265585</v>
      </c>
      <c r="T363" s="827">
        <v>265585</v>
      </c>
      <c r="U363" s="827">
        <v>344876</v>
      </c>
      <c r="V363" s="827">
        <v>345672</v>
      </c>
      <c r="W363" s="827">
        <v>329725</v>
      </c>
      <c r="X363" s="827">
        <v>305359</v>
      </c>
      <c r="Y363" s="827">
        <v>303357</v>
      </c>
      <c r="Z363" s="827">
        <v>303357</v>
      </c>
      <c r="AA363" s="827">
        <v>301669</v>
      </c>
      <c r="AB363" s="827">
        <v>301644</v>
      </c>
      <c r="AC363" s="828">
        <v>302144</v>
      </c>
      <c r="AD363" s="828">
        <v>283156</v>
      </c>
      <c r="AE363" s="828">
        <v>281728</v>
      </c>
      <c r="AF363" s="828">
        <v>378228</v>
      </c>
      <c r="AG363" s="828">
        <v>340209</v>
      </c>
      <c r="AH363" s="828">
        <v>340418</v>
      </c>
      <c r="AI363" s="828">
        <v>292625</v>
      </c>
      <c r="AJ363" s="828">
        <v>312146</v>
      </c>
      <c r="AK363" s="828">
        <v>327648</v>
      </c>
      <c r="AL363" s="828">
        <v>280155</v>
      </c>
      <c r="AM363" s="828">
        <v>254458</v>
      </c>
      <c r="AN363" s="828">
        <v>254372</v>
      </c>
      <c r="AO363" s="828">
        <v>295946</v>
      </c>
      <c r="AP363" s="828">
        <v>289827</v>
      </c>
    </row>
    <row r="364" hidden="1">
      <c r="B364" s="829" t="s">
        <v>17</v>
      </c>
      <c r="C364" s="823">
        <v>70</v>
      </c>
      <c r="D364" s="823">
        <v>20</v>
      </c>
      <c r="E364" s="823">
        <v>152</v>
      </c>
      <c r="F364" s="823">
        <v>9175</v>
      </c>
      <c r="G364" s="823">
        <v>26256</v>
      </c>
      <c r="H364" s="823">
        <v>26147</v>
      </c>
      <c r="I364" s="823">
        <v>190</v>
      </c>
      <c r="J364" s="823">
        <v>15188</v>
      </c>
      <c r="K364" s="823">
        <v>0</v>
      </c>
      <c r="L364" s="823">
        <v>0</v>
      </c>
      <c r="M364" s="823">
        <v>0</v>
      </c>
      <c r="N364" s="823">
        <v>0</v>
      </c>
      <c r="O364" s="823">
        <v>0</v>
      </c>
      <c r="P364" s="823">
        <v>0</v>
      </c>
      <c r="Q364" s="823">
        <v>0</v>
      </c>
      <c r="R364" s="823">
        <v>0</v>
      </c>
      <c r="S364" s="823">
        <v>0</v>
      </c>
      <c r="T364" s="823">
        <v>0</v>
      </c>
      <c r="U364" s="823">
        <v>0</v>
      </c>
      <c r="V364" s="823">
        <v>0</v>
      </c>
      <c r="W364" s="823">
        <v>0</v>
      </c>
      <c r="X364" s="823">
        <v>0</v>
      </c>
      <c r="Y364" s="823">
        <v>0</v>
      </c>
      <c r="Z364" s="823">
        <v>0</v>
      </c>
      <c r="AA364" s="823">
        <v>0</v>
      </c>
      <c r="AB364" s="823">
        <v>0</v>
      </c>
      <c r="AC364" s="825">
        <v>250</v>
      </c>
      <c r="AD364" s="825">
        <v>250</v>
      </c>
      <c r="AE364" s="825">
        <v>299</v>
      </c>
      <c r="AF364" s="825">
        <v>299</v>
      </c>
      <c r="AG364" s="825">
        <v>384</v>
      </c>
      <c r="AH364" s="825">
        <v>594</v>
      </c>
      <c r="AI364" s="825">
        <v>321</v>
      </c>
      <c r="AJ364" s="825">
        <v>321</v>
      </c>
      <c r="AK364" s="825">
        <v>367</v>
      </c>
      <c r="AL364" s="825">
        <v>0</v>
      </c>
      <c r="AM364" s="825">
        <v>0</v>
      </c>
      <c r="AN364" s="825">
        <v>0</v>
      </c>
      <c r="AO364" s="825">
        <v>0</v>
      </c>
      <c r="AP364" s="825">
        <v>0</v>
      </c>
    </row>
    <row r="365" hidden="1">
      <c r="B365" s="826" t="s">
        <v>18</v>
      </c>
      <c r="C365" s="827">
        <v>0</v>
      </c>
      <c r="D365" s="827">
        <v>0</v>
      </c>
      <c r="E365" s="827">
        <v>0</v>
      </c>
      <c r="F365" s="827">
        <v>0</v>
      </c>
      <c r="G365" s="827">
        <v>23640</v>
      </c>
      <c r="H365" s="827">
        <v>23640</v>
      </c>
      <c r="I365" s="827">
        <v>170680</v>
      </c>
      <c r="J365" s="827">
        <v>170680</v>
      </c>
      <c r="K365" s="827">
        <v>150858</v>
      </c>
      <c r="L365" s="827">
        <v>145489</v>
      </c>
      <c r="M365" s="827">
        <v>127460</v>
      </c>
      <c r="N365" s="827">
        <v>142616</v>
      </c>
      <c r="O365" s="827">
        <v>134749</v>
      </c>
      <c r="P365" s="827">
        <v>183590</v>
      </c>
      <c r="Q365" s="827">
        <v>196129</v>
      </c>
      <c r="R365" s="827">
        <v>186602</v>
      </c>
      <c r="S365" s="827">
        <v>192700</v>
      </c>
      <c r="T365" s="827">
        <v>192700</v>
      </c>
      <c r="U365" s="827">
        <v>177903</v>
      </c>
      <c r="V365" s="827">
        <v>178179</v>
      </c>
      <c r="W365" s="827">
        <v>194524</v>
      </c>
      <c r="X365" s="827">
        <v>197210</v>
      </c>
      <c r="Y365" s="827">
        <v>199126</v>
      </c>
      <c r="Z365" s="827">
        <v>190206</v>
      </c>
      <c r="AA365" s="827">
        <v>172061</v>
      </c>
      <c r="AB365" s="827">
        <v>172061</v>
      </c>
      <c r="AC365" s="828">
        <v>154364</v>
      </c>
      <c r="AD365" s="828">
        <v>194665</v>
      </c>
      <c r="AE365" s="828">
        <v>205983</v>
      </c>
      <c r="AF365" s="828">
        <v>205983</v>
      </c>
      <c r="AG365" s="828">
        <v>190018</v>
      </c>
      <c r="AH365" s="828">
        <v>145848</v>
      </c>
      <c r="AI365" s="828">
        <v>137100</v>
      </c>
      <c r="AJ365" s="828">
        <v>137100</v>
      </c>
      <c r="AK365" s="828">
        <v>135987</v>
      </c>
      <c r="AL365" s="828">
        <v>120997</v>
      </c>
      <c r="AM365" s="828">
        <v>115852</v>
      </c>
      <c r="AN365" s="828">
        <v>115852</v>
      </c>
      <c r="AO365" s="828">
        <v>143388</v>
      </c>
      <c r="AP365" s="828">
        <v>143388</v>
      </c>
    </row>
    <row r="366" hidden="1">
      <c r="B366" s="829" t="s">
        <v>19</v>
      </c>
      <c r="C366" s="823">
        <v>0</v>
      </c>
      <c r="D366" s="823">
        <v>0</v>
      </c>
      <c r="E366" s="823">
        <v>0</v>
      </c>
      <c r="F366" s="823">
        <v>0</v>
      </c>
      <c r="G366" s="823">
        <v>0</v>
      </c>
      <c r="H366" s="823">
        <v>0</v>
      </c>
      <c r="I366" s="823">
        <v>0</v>
      </c>
      <c r="J366" s="823">
        <v>0</v>
      </c>
      <c r="K366" s="823">
        <v>0</v>
      </c>
      <c r="L366" s="823">
        <v>0</v>
      </c>
      <c r="M366" s="823">
        <v>0</v>
      </c>
      <c r="N366" s="823">
        <v>0</v>
      </c>
      <c r="O366" s="823">
        <v>0</v>
      </c>
      <c r="P366" s="823">
        <v>0</v>
      </c>
      <c r="Q366" s="823">
        <v>0</v>
      </c>
      <c r="R366" s="823">
        <v>0</v>
      </c>
      <c r="S366" s="823">
        <v>0</v>
      </c>
      <c r="T366" s="823">
        <v>0</v>
      </c>
      <c r="U366" s="823">
        <v>0</v>
      </c>
      <c r="V366" s="823">
        <v>0</v>
      </c>
      <c r="W366" s="823">
        <v>0</v>
      </c>
      <c r="X366" s="823">
        <v>0</v>
      </c>
      <c r="Y366" s="823">
        <v>0</v>
      </c>
      <c r="Z366" s="823">
        <v>0</v>
      </c>
      <c r="AA366" s="823">
        <v>0</v>
      </c>
      <c r="AB366" s="823">
        <v>0</v>
      </c>
      <c r="AC366" s="825">
        <v>0</v>
      </c>
      <c r="AD366" s="825">
        <v>0</v>
      </c>
      <c r="AE366" s="825">
        <v>0</v>
      </c>
      <c r="AF366" s="825">
        <v>0</v>
      </c>
      <c r="AG366" s="825">
        <v>0</v>
      </c>
      <c r="AH366" s="825">
        <v>0</v>
      </c>
      <c r="AI366" s="825">
        <v>0</v>
      </c>
      <c r="AJ366" s="825">
        <v>0</v>
      </c>
      <c r="AK366" s="825">
        <v>0</v>
      </c>
      <c r="AL366" s="825">
        <v>0</v>
      </c>
      <c r="AM366" s="825">
        <v>0</v>
      </c>
      <c r="AN366" s="825">
        <v>0</v>
      </c>
      <c r="AO366" s="825">
        <v>0</v>
      </c>
      <c r="AP366" s="825">
        <v>0</v>
      </c>
    </row>
    <row r="367" hidden="1">
      <c r="B367" s="826" t="s">
        <v>20</v>
      </c>
      <c r="C367" s="827">
        <v>0</v>
      </c>
      <c r="D367" s="827">
        <v>18000</v>
      </c>
      <c r="E367" s="827">
        <v>28000</v>
      </c>
      <c r="F367" s="827">
        <v>28000</v>
      </c>
      <c r="G367" s="827">
        <v>16000</v>
      </c>
      <c r="H367" s="827">
        <v>16000</v>
      </c>
      <c r="I367" s="827">
        <v>16000</v>
      </c>
      <c r="J367" s="827">
        <v>16000</v>
      </c>
      <c r="K367" s="827">
        <v>0</v>
      </c>
      <c r="L367" s="827">
        <v>0</v>
      </c>
      <c r="M367" s="827">
        <v>0</v>
      </c>
      <c r="N367" s="827">
        <v>0</v>
      </c>
      <c r="O367" s="827">
        <v>0</v>
      </c>
      <c r="P367" s="827">
        <v>0</v>
      </c>
      <c r="Q367" s="827">
        <v>0</v>
      </c>
      <c r="R367" s="827">
        <v>0</v>
      </c>
      <c r="S367" s="827">
        <v>0</v>
      </c>
      <c r="T367" s="827">
        <v>0</v>
      </c>
      <c r="U367" s="827">
        <v>0</v>
      </c>
      <c r="V367" s="827">
        <v>0</v>
      </c>
      <c r="W367" s="827">
        <v>0</v>
      </c>
      <c r="X367" s="827">
        <v>90</v>
      </c>
      <c r="Y367" s="827">
        <v>90</v>
      </c>
      <c r="Z367" s="827">
        <v>90</v>
      </c>
      <c r="AA367" s="827">
        <v>90</v>
      </c>
      <c r="AB367" s="827">
        <v>90</v>
      </c>
      <c r="AC367" s="828">
        <v>90</v>
      </c>
      <c r="AD367" s="828">
        <v>90</v>
      </c>
      <c r="AE367" s="828">
        <v>90</v>
      </c>
      <c r="AF367" s="828">
        <v>90</v>
      </c>
      <c r="AG367" s="828">
        <v>100</v>
      </c>
      <c r="AH367" s="828">
        <v>100</v>
      </c>
      <c r="AI367" s="828">
        <v>100</v>
      </c>
      <c r="AJ367" s="828">
        <v>100</v>
      </c>
      <c r="AK367" s="828">
        <v>110</v>
      </c>
      <c r="AL367" s="828">
        <v>110</v>
      </c>
      <c r="AM367" s="828">
        <v>110</v>
      </c>
      <c r="AN367" s="828">
        <v>100</v>
      </c>
      <c r="AO367" s="828">
        <v>100</v>
      </c>
      <c r="AP367" s="828">
        <v>100</v>
      </c>
    </row>
    <row r="368" hidden="1">
      <c r="B368" s="829" t="s">
        <v>21</v>
      </c>
      <c r="C368" s="823">
        <v>0</v>
      </c>
      <c r="D368" s="823">
        <v>0</v>
      </c>
      <c r="E368" s="823">
        <v>0</v>
      </c>
      <c r="F368" s="823">
        <v>0</v>
      </c>
      <c r="G368" s="823">
        <v>0</v>
      </c>
      <c r="H368" s="823">
        <v>12</v>
      </c>
      <c r="I368" s="823">
        <v>18</v>
      </c>
      <c r="J368" s="823">
        <v>0</v>
      </c>
      <c r="K368" s="823">
        <v>0</v>
      </c>
      <c r="L368" s="823">
        <v>0</v>
      </c>
      <c r="M368" s="823">
        <v>0</v>
      </c>
      <c r="N368" s="823">
        <v>0</v>
      </c>
      <c r="O368" s="823">
        <v>20</v>
      </c>
      <c r="P368" s="823">
        <v>20</v>
      </c>
      <c r="Q368" s="823">
        <v>20</v>
      </c>
      <c r="R368" s="823">
        <v>20</v>
      </c>
      <c r="S368" s="823">
        <v>0</v>
      </c>
      <c r="T368" s="823">
        <v>4</v>
      </c>
      <c r="U368" s="823">
        <v>4</v>
      </c>
      <c r="V368" s="823">
        <v>4</v>
      </c>
      <c r="W368" s="823">
        <v>4</v>
      </c>
      <c r="X368" s="823">
        <v>4</v>
      </c>
      <c r="Y368" s="823">
        <v>0</v>
      </c>
      <c r="Z368" s="823">
        <v>0</v>
      </c>
      <c r="AA368" s="823">
        <v>11400</v>
      </c>
      <c r="AB368" s="823">
        <v>0</v>
      </c>
      <c r="AC368" s="825">
        <v>0</v>
      </c>
      <c r="AD368" s="825">
        <v>0</v>
      </c>
      <c r="AE368" s="825">
        <v>0</v>
      </c>
      <c r="AF368" s="825">
        <v>0</v>
      </c>
      <c r="AG368" s="825">
        <v>0</v>
      </c>
      <c r="AH368" s="825">
        <v>0</v>
      </c>
      <c r="AI368" s="825">
        <v>0</v>
      </c>
      <c r="AJ368" s="825">
        <v>0</v>
      </c>
      <c r="AK368" s="825">
        <v>0</v>
      </c>
      <c r="AL368" s="825">
        <v>0</v>
      </c>
      <c r="AM368" s="825">
        <v>0</v>
      </c>
      <c r="AN368" s="825">
        <v>0</v>
      </c>
      <c r="AO368" s="825">
        <v>0</v>
      </c>
      <c r="AP368" s="825">
        <v>0</v>
      </c>
    </row>
    <row r="369" hidden="1">
      <c r="B369" s="826" t="s">
        <v>22</v>
      </c>
      <c r="C369" s="827">
        <v>0</v>
      </c>
      <c r="D369" s="827">
        <v>0</v>
      </c>
      <c r="E369" s="827">
        <v>0</v>
      </c>
      <c r="F369" s="827">
        <v>0</v>
      </c>
      <c r="G369" s="827">
        <v>0</v>
      </c>
      <c r="H369" s="827">
        <v>0</v>
      </c>
      <c r="I369" s="827">
        <v>0</v>
      </c>
      <c r="J369" s="827">
        <v>0</v>
      </c>
      <c r="K369" s="827">
        <v>0</v>
      </c>
      <c r="L369" s="827">
        <v>0</v>
      </c>
      <c r="M369" s="827">
        <v>0</v>
      </c>
      <c r="N369" s="827">
        <v>0</v>
      </c>
      <c r="O369" s="827">
        <v>0</v>
      </c>
      <c r="P369" s="827">
        <v>0</v>
      </c>
      <c r="Q369" s="827">
        <v>0</v>
      </c>
      <c r="R369" s="827">
        <v>0</v>
      </c>
      <c r="S369" s="827">
        <v>0</v>
      </c>
      <c r="T369" s="827">
        <v>0</v>
      </c>
      <c r="U369" s="827">
        <v>0</v>
      </c>
      <c r="V369" s="827">
        <v>0</v>
      </c>
      <c r="W369" s="827">
        <v>0</v>
      </c>
      <c r="X369" s="827">
        <v>0</v>
      </c>
      <c r="Y369" s="827">
        <v>0</v>
      </c>
      <c r="Z369" s="827">
        <v>0</v>
      </c>
      <c r="AA369" s="827">
        <v>0</v>
      </c>
      <c r="AB369" s="827">
        <v>0</v>
      </c>
      <c r="AC369" s="828">
        <v>0</v>
      </c>
      <c r="AD369" s="828">
        <v>0</v>
      </c>
      <c r="AE369" s="828">
        <v>0</v>
      </c>
      <c r="AF369" s="828">
        <v>0</v>
      </c>
      <c r="AG369" s="828">
        <v>0</v>
      </c>
      <c r="AH369" s="828">
        <v>0</v>
      </c>
      <c r="AI369" s="828">
        <v>0</v>
      </c>
      <c r="AJ369" s="828">
        <v>0</v>
      </c>
      <c r="AK369" s="828">
        <v>0</v>
      </c>
      <c r="AL369" s="828">
        <v>0</v>
      </c>
      <c r="AM369" s="828">
        <v>0</v>
      </c>
      <c r="AN369" s="828">
        <v>0</v>
      </c>
      <c r="AO369" s="828">
        <v>0</v>
      </c>
      <c r="AP369" s="828">
        <v>0</v>
      </c>
    </row>
    <row r="370" hidden="1">
      <c r="B370" s="829" t="s">
        <v>23</v>
      </c>
      <c r="C370" s="823">
        <v>13986</v>
      </c>
      <c r="D370" s="823">
        <v>13986</v>
      </c>
      <c r="E370" s="823">
        <v>0</v>
      </c>
      <c r="F370" s="823">
        <v>0</v>
      </c>
      <c r="G370" s="823">
        <v>0</v>
      </c>
      <c r="H370" s="823">
        <v>0</v>
      </c>
      <c r="I370" s="823">
        <v>0</v>
      </c>
      <c r="J370" s="823">
        <v>0</v>
      </c>
      <c r="K370" s="823">
        <v>0</v>
      </c>
      <c r="L370" s="823">
        <v>0</v>
      </c>
      <c r="M370" s="823">
        <v>0</v>
      </c>
      <c r="N370" s="823">
        <v>0</v>
      </c>
      <c r="O370" s="823">
        <v>0</v>
      </c>
      <c r="P370" s="823">
        <v>0</v>
      </c>
      <c r="Q370" s="823">
        <v>0</v>
      </c>
      <c r="R370" s="823">
        <v>0</v>
      </c>
      <c r="S370" s="823">
        <v>0</v>
      </c>
      <c r="T370" s="823">
        <v>0</v>
      </c>
      <c r="U370" s="823">
        <v>0</v>
      </c>
      <c r="V370" s="823">
        <v>0</v>
      </c>
      <c r="W370" s="823">
        <v>0</v>
      </c>
      <c r="X370" s="823">
        <v>0</v>
      </c>
      <c r="Y370" s="823">
        <v>0</v>
      </c>
      <c r="Z370" s="823">
        <v>0</v>
      </c>
      <c r="AA370" s="823">
        <v>107024</v>
      </c>
      <c r="AB370" s="823">
        <v>107024</v>
      </c>
      <c r="AC370" s="825">
        <v>64670</v>
      </c>
      <c r="AD370" s="825">
        <v>64670</v>
      </c>
      <c r="AE370" s="825">
        <v>153634</v>
      </c>
      <c r="AF370" s="825">
        <v>153634</v>
      </c>
      <c r="AG370" s="825">
        <v>89678</v>
      </c>
      <c r="AH370" s="825">
        <v>61085</v>
      </c>
      <c r="AI370" s="825">
        <v>104616</v>
      </c>
      <c r="AJ370" s="825">
        <v>104616</v>
      </c>
      <c r="AK370" s="825">
        <v>105634</v>
      </c>
      <c r="AL370" s="825">
        <v>105634</v>
      </c>
      <c r="AM370" s="825">
        <v>48500</v>
      </c>
      <c r="AN370" s="825">
        <v>48500</v>
      </c>
      <c r="AO370" s="825">
        <v>53675</v>
      </c>
      <c r="AP370" s="825">
        <v>0</v>
      </c>
    </row>
    <row r="371" hidden="1">
      <c r="B371" s="835" t="s">
        <v>24</v>
      </c>
      <c r="C371" s="827">
        <v>0</v>
      </c>
      <c r="D371" s="827">
        <v>0</v>
      </c>
      <c r="E371" s="827">
        <v>0</v>
      </c>
      <c r="F371" s="827">
        <v>0</v>
      </c>
      <c r="G371" s="827">
        <v>0</v>
      </c>
      <c r="H371" s="827">
        <v>0</v>
      </c>
      <c r="I371" s="827">
        <v>0</v>
      </c>
      <c r="J371" s="827">
        <v>0</v>
      </c>
      <c r="K371" s="827">
        <v>0</v>
      </c>
      <c r="L371" s="827">
        <v>0</v>
      </c>
      <c r="M371" s="827">
        <v>12200</v>
      </c>
      <c r="N371" s="827">
        <v>0</v>
      </c>
      <c r="O371" s="827">
        <v>0</v>
      </c>
      <c r="P371" s="827">
        <v>0</v>
      </c>
      <c r="Q371" s="827">
        <v>0</v>
      </c>
      <c r="R371" s="827">
        <v>0</v>
      </c>
      <c r="S371" s="827">
        <v>0</v>
      </c>
      <c r="T371" s="827">
        <v>0</v>
      </c>
      <c r="U371" s="827">
        <v>0</v>
      </c>
      <c r="V371" s="827">
        <v>89</v>
      </c>
      <c r="W371" s="827">
        <v>84</v>
      </c>
      <c r="X371" s="827">
        <v>84</v>
      </c>
      <c r="Y371" s="827">
        <v>84</v>
      </c>
      <c r="Z371" s="827">
        <v>89</v>
      </c>
      <c r="AA371" s="827">
        <v>95</v>
      </c>
      <c r="AB371" s="827">
        <v>795</v>
      </c>
      <c r="AC371" s="828">
        <v>74</v>
      </c>
      <c r="AD371" s="828">
        <v>74</v>
      </c>
      <c r="AE371" s="828">
        <v>71</v>
      </c>
      <c r="AF371" s="828">
        <v>71</v>
      </c>
      <c r="AG371" s="828">
        <v>85</v>
      </c>
      <c r="AH371" s="828">
        <v>85</v>
      </c>
      <c r="AI371" s="828">
        <v>90</v>
      </c>
      <c r="AJ371" s="828">
        <v>90</v>
      </c>
      <c r="AK371" s="828">
        <v>98</v>
      </c>
      <c r="AL371" s="828">
        <v>98</v>
      </c>
      <c r="AM371" s="828">
        <v>60</v>
      </c>
      <c r="AN371" s="828">
        <v>40</v>
      </c>
      <c r="AO371" s="828">
        <v>38</v>
      </c>
      <c r="AP371" s="828">
        <v>38</v>
      </c>
    </row>
    <row r="372" hidden="1">
      <c r="B372" s="829" t="s">
        <v>25</v>
      </c>
      <c r="C372" s="823">
        <v>0</v>
      </c>
      <c r="D372" s="823">
        <v>0</v>
      </c>
      <c r="E372" s="823">
        <v>0</v>
      </c>
      <c r="F372" s="823">
        <v>0</v>
      </c>
      <c r="G372" s="823">
        <v>0</v>
      </c>
      <c r="H372" s="823">
        <v>0</v>
      </c>
      <c r="I372" s="823">
        <v>0</v>
      </c>
      <c r="J372" s="823">
        <v>0</v>
      </c>
      <c r="K372" s="823">
        <v>0</v>
      </c>
      <c r="L372" s="823">
        <v>0</v>
      </c>
      <c r="M372" s="823">
        <v>0</v>
      </c>
      <c r="N372" s="823">
        <v>0</v>
      </c>
      <c r="O372" s="823">
        <v>0</v>
      </c>
      <c r="P372" s="823">
        <v>0</v>
      </c>
      <c r="Q372" s="823">
        <v>0</v>
      </c>
      <c r="R372" s="823">
        <v>0</v>
      </c>
      <c r="S372" s="823">
        <v>0</v>
      </c>
      <c r="T372" s="823">
        <v>0</v>
      </c>
      <c r="U372" s="823">
        <v>0</v>
      </c>
      <c r="V372" s="823">
        <v>0</v>
      </c>
      <c r="W372" s="823">
        <v>0</v>
      </c>
      <c r="X372" s="823">
        <v>0</v>
      </c>
      <c r="Y372" s="823">
        <v>0</v>
      </c>
      <c r="Z372" s="823">
        <v>0</v>
      </c>
      <c r="AA372" s="823">
        <v>0</v>
      </c>
      <c r="AB372" s="823">
        <v>0</v>
      </c>
      <c r="AC372" s="825">
        <v>0</v>
      </c>
      <c r="AD372" s="825">
        <v>0</v>
      </c>
      <c r="AE372" s="825">
        <v>0</v>
      </c>
      <c r="AF372" s="825">
        <v>0</v>
      </c>
      <c r="AG372" s="825">
        <v>0</v>
      </c>
      <c r="AH372" s="825">
        <v>0</v>
      </c>
      <c r="AI372" s="825">
        <v>0</v>
      </c>
      <c r="AJ372" s="825">
        <v>0</v>
      </c>
      <c r="AK372" s="825">
        <v>0</v>
      </c>
      <c r="AL372" s="825">
        <v>0</v>
      </c>
      <c r="AM372" s="825">
        <v>0</v>
      </c>
      <c r="AN372" s="825">
        <v>0</v>
      </c>
      <c r="AO372" s="825">
        <v>0</v>
      </c>
      <c r="AP372" s="825">
        <v>0</v>
      </c>
    </row>
    <row r="373" hidden="1" ht="13.5">
      <c r="B373" s="836" t="s">
        <v>26</v>
      </c>
      <c r="C373" s="827">
        <v>0</v>
      </c>
      <c r="D373" s="827">
        <v>0</v>
      </c>
      <c r="E373" s="827">
        <v>0</v>
      </c>
      <c r="F373" s="827">
        <v>0</v>
      </c>
      <c r="G373" s="827">
        <v>0</v>
      </c>
      <c r="H373" s="827">
        <v>0</v>
      </c>
      <c r="I373" s="827">
        <v>0</v>
      </c>
      <c r="J373" s="827">
        <v>0</v>
      </c>
      <c r="K373" s="827">
        <v>0</v>
      </c>
      <c r="L373" s="827">
        <v>0</v>
      </c>
      <c r="M373" s="827">
        <v>0</v>
      </c>
      <c r="N373" s="827">
        <v>0</v>
      </c>
      <c r="O373" s="827">
        <v>0</v>
      </c>
      <c r="P373" s="827">
        <v>0</v>
      </c>
      <c r="Q373" s="827">
        <v>0</v>
      </c>
      <c r="R373" s="827">
        <v>0</v>
      </c>
      <c r="S373" s="827">
        <v>0</v>
      </c>
      <c r="T373" s="827">
        <v>0</v>
      </c>
      <c r="U373" s="827">
        <v>0</v>
      </c>
      <c r="V373" s="827">
        <v>0</v>
      </c>
      <c r="W373" s="827">
        <v>0</v>
      </c>
      <c r="X373" s="827">
        <v>0</v>
      </c>
      <c r="Y373" s="827">
        <v>0</v>
      </c>
      <c r="Z373" s="827">
        <v>0</v>
      </c>
      <c r="AA373" s="827">
        <v>0</v>
      </c>
      <c r="AB373" s="837">
        <v>0</v>
      </c>
      <c r="AC373" s="828">
        <v>0</v>
      </c>
      <c r="AD373" s="828">
        <v>0</v>
      </c>
      <c r="AE373" s="828">
        <v>0</v>
      </c>
      <c r="AF373" s="828">
        <v>0</v>
      </c>
      <c r="AG373" s="828">
        <v>0</v>
      </c>
      <c r="AH373" s="828">
        <v>0</v>
      </c>
      <c r="AI373" s="828">
        <v>0</v>
      </c>
      <c r="AJ373" s="828">
        <v>0</v>
      </c>
      <c r="AK373" s="828">
        <v>0</v>
      </c>
      <c r="AL373" s="828">
        <v>0</v>
      </c>
      <c r="AM373" s="828">
        <v>0</v>
      </c>
      <c r="AN373" s="828">
        <v>0</v>
      </c>
      <c r="AO373" s="828">
        <v>0</v>
      </c>
      <c r="AP373" s="828">
        <v>0</v>
      </c>
    </row>
    <row r="374" hidden="1" ht="13.5">
      <c r="B374" s="128" t="s">
        <v>7</v>
      </c>
      <c r="C374" s="129" t="str">
        <f>IF(SUM(C355:C373)&lt;&gt;0,SUM(C355:C373),"")</f>
      </c>
      <c r="D374" s="129" t="str">
        <f ref="D374:AA374" t="shared" si="35">IF(SUM(D355:D373)&lt;&gt;0,SUM(D355:D373),"")</f>
      </c>
      <c r="E374" s="129" t="str">
        <f t="shared" si="35"/>
      </c>
      <c r="F374" s="129" t="str">
        <f t="shared" si="35"/>
      </c>
      <c r="G374" s="129" t="str">
        <f t="shared" si="35"/>
      </c>
      <c r="H374" s="129" t="str">
        <f t="shared" si="35"/>
      </c>
      <c r="I374" s="129" t="str">
        <f t="shared" si="35"/>
      </c>
      <c r="J374" s="129" t="str">
        <f t="shared" si="35"/>
      </c>
      <c r="K374" s="129" t="str">
        <f t="shared" si="35"/>
      </c>
      <c r="L374" s="129" t="str">
        <f t="shared" si="35"/>
      </c>
      <c r="M374" s="129" t="str">
        <f t="shared" si="35"/>
      </c>
      <c r="N374" s="129" t="str">
        <f t="shared" si="35"/>
      </c>
      <c r="O374" s="129" t="str">
        <f t="shared" si="35"/>
      </c>
      <c r="P374" s="129" t="str">
        <f t="shared" si="35"/>
      </c>
      <c r="Q374" s="129" t="str">
        <f t="shared" si="35"/>
      </c>
      <c r="R374" s="129" t="str">
        <f t="shared" si="35"/>
      </c>
      <c r="S374" s="129" t="str">
        <f t="shared" si="35"/>
      </c>
      <c r="T374" s="129" t="str">
        <f t="shared" si="35"/>
      </c>
      <c r="U374" s="129" t="str">
        <f t="shared" si="35"/>
      </c>
      <c r="V374" s="129" t="str">
        <f t="shared" si="35"/>
      </c>
      <c r="W374" s="129" t="str">
        <f t="shared" si="35"/>
      </c>
      <c r="X374" s="129" t="str">
        <f t="shared" si="35"/>
      </c>
      <c r="Y374" s="129" t="str">
        <f t="shared" si="35"/>
      </c>
      <c r="Z374" s="129" t="str">
        <f t="shared" si="35"/>
      </c>
      <c r="AA374" s="129" t="str">
        <f t="shared" si="35"/>
      </c>
      <c r="AB374" s="130" t="str">
        <f>IF(SUM(AB355:AB373)&lt;&gt;0,SUM(AB355:AB373),"")</f>
      </c>
      <c r="AC374" s="91" t="str">
        <f ref="AC374:CN374" t="shared" si="36">IF(SUM(AC355:AC373)&lt;&gt;0,SUM(AC355:AC373),"")</f>
      </c>
      <c r="AD374" s="91" t="str">
        <f t="shared" si="36"/>
      </c>
      <c r="AE374" s="91" t="str">
        <f t="shared" si="36"/>
      </c>
      <c r="AF374" s="91" t="str">
        <f t="shared" si="36"/>
      </c>
      <c r="AG374" s="91" t="str">
        <f t="shared" si="36"/>
      </c>
      <c r="AH374" s="91" t="str">
        <f t="shared" si="36"/>
      </c>
      <c r="AI374" s="91" t="str">
        <f t="shared" si="36"/>
      </c>
      <c r="AJ374" s="91" t="str">
        <f t="shared" si="36"/>
      </c>
      <c r="AK374" s="91" t="str">
        <f t="shared" si="36"/>
      </c>
      <c r="AL374" s="91" t="str">
        <f t="shared" si="36"/>
      </c>
      <c r="AM374" s="91" t="str">
        <f t="shared" si="36"/>
      </c>
      <c r="AN374" s="91" t="str">
        <f t="shared" si="36"/>
      </c>
      <c r="AO374" s="91" t="str">
        <f t="shared" si="36"/>
      </c>
      <c r="AP374" s="91" t="str">
        <f t="shared" si="36"/>
      </c>
      <c r="AQ374" s="91" t="str">
        <f t="shared" si="36"/>
      </c>
      <c r="AR374" s="91" t="str">
        <f t="shared" si="36"/>
      </c>
      <c r="AS374" s="91" t="str">
        <f t="shared" si="36"/>
      </c>
      <c r="AT374" s="91" t="str">
        <f t="shared" si="36"/>
      </c>
      <c r="AU374" s="91" t="str">
        <f t="shared" si="36"/>
      </c>
      <c r="AV374" s="91" t="str">
        <f t="shared" si="36"/>
      </c>
      <c r="AW374" s="91" t="str">
        <f t="shared" si="36"/>
      </c>
      <c r="AX374" s="91" t="str">
        <f t="shared" si="36"/>
      </c>
      <c r="AY374" s="91" t="str">
        <f t="shared" si="36"/>
      </c>
      <c r="AZ374" s="91" t="str">
        <f t="shared" si="36"/>
      </c>
      <c r="BA374" s="91" t="str">
        <f t="shared" si="36"/>
      </c>
      <c r="BB374" s="91" t="str">
        <f t="shared" si="36"/>
      </c>
      <c r="BC374" s="91" t="str">
        <f t="shared" si="36"/>
      </c>
      <c r="BD374" s="91" t="str">
        <f t="shared" si="36"/>
      </c>
      <c r="BE374" s="91" t="str">
        <f t="shared" si="36"/>
      </c>
      <c r="BF374" s="91" t="str">
        <f t="shared" si="36"/>
      </c>
      <c r="BG374" s="91" t="str">
        <f t="shared" si="36"/>
      </c>
      <c r="BH374" s="91" t="str">
        <f t="shared" si="36"/>
      </c>
      <c r="BI374" s="91" t="str">
        <f t="shared" si="36"/>
      </c>
      <c r="BJ374" s="91" t="str">
        <f t="shared" si="36"/>
      </c>
      <c r="BK374" s="91" t="str">
        <f t="shared" si="36"/>
      </c>
      <c r="BL374" s="91" t="str">
        <f t="shared" si="36"/>
      </c>
      <c r="BM374" s="91" t="str">
        <f t="shared" si="36"/>
      </c>
      <c r="BN374" s="91" t="str">
        <f t="shared" si="36"/>
      </c>
      <c r="BO374" s="91" t="str">
        <f t="shared" si="36"/>
      </c>
      <c r="BP374" s="91" t="str">
        <f t="shared" si="36"/>
      </c>
      <c r="BQ374" s="91" t="str">
        <f t="shared" si="36"/>
      </c>
      <c r="BR374" s="91" t="str">
        <f t="shared" si="36"/>
      </c>
      <c r="BS374" s="91" t="str">
        <f t="shared" si="36"/>
      </c>
      <c r="BT374" s="91" t="str">
        <f t="shared" si="36"/>
      </c>
      <c r="BU374" s="91" t="str">
        <f t="shared" si="36"/>
      </c>
      <c r="BV374" s="91" t="str">
        <f t="shared" si="36"/>
      </c>
      <c r="BW374" s="91" t="str">
        <f t="shared" si="36"/>
      </c>
      <c r="BX374" s="91" t="str">
        <f t="shared" si="36"/>
      </c>
      <c r="BY374" s="91" t="str">
        <f t="shared" si="36"/>
      </c>
      <c r="BZ374" s="91" t="str">
        <f t="shared" si="36"/>
      </c>
      <c r="CA374" s="91" t="str">
        <f t="shared" si="36"/>
      </c>
      <c r="CB374" s="91" t="str">
        <f t="shared" si="36"/>
      </c>
      <c r="CC374" s="91" t="str">
        <f t="shared" si="36"/>
      </c>
      <c r="CD374" s="91" t="str">
        <f t="shared" si="36"/>
      </c>
      <c r="CE374" s="91" t="str">
        <f t="shared" si="36"/>
      </c>
      <c r="CF374" s="91" t="str">
        <f t="shared" si="36"/>
      </c>
      <c r="CG374" s="91" t="str">
        <f t="shared" si="36"/>
      </c>
      <c r="CH374" s="91" t="str">
        <f t="shared" si="36"/>
      </c>
      <c r="CI374" s="91" t="str">
        <f t="shared" si="36"/>
      </c>
      <c r="CJ374" s="91" t="str">
        <f t="shared" si="36"/>
      </c>
      <c r="CK374" s="91" t="str">
        <f t="shared" si="36"/>
      </c>
      <c r="CL374" s="91" t="str">
        <f t="shared" si="36"/>
      </c>
      <c r="CM374" s="91" t="str">
        <f t="shared" si="36"/>
      </c>
      <c r="CN374" s="91" t="str">
        <f t="shared" si="36"/>
      </c>
      <c r="CO374" s="91" t="str">
        <f ref="CO374:EZ374" t="shared" si="37">IF(SUM(CO355:CO373)&lt;&gt;0,SUM(CO355:CO373),"")</f>
      </c>
      <c r="CP374" s="91" t="str">
        <f t="shared" si="37"/>
      </c>
      <c r="CQ374" s="91" t="str">
        <f t="shared" si="37"/>
      </c>
      <c r="CR374" s="91" t="str">
        <f t="shared" si="37"/>
      </c>
      <c r="CS374" s="91" t="str">
        <f t="shared" si="37"/>
      </c>
      <c r="CT374" s="91" t="str">
        <f t="shared" si="37"/>
      </c>
      <c r="CU374" s="91" t="str">
        <f t="shared" si="37"/>
      </c>
      <c r="CV374" s="91" t="str">
        <f t="shared" si="37"/>
      </c>
      <c r="CW374" s="91" t="str">
        <f t="shared" si="37"/>
      </c>
      <c r="CX374" s="91" t="str">
        <f t="shared" si="37"/>
      </c>
      <c r="CY374" s="91" t="str">
        <f t="shared" si="37"/>
      </c>
      <c r="CZ374" s="91" t="str">
        <f t="shared" si="37"/>
      </c>
      <c r="DA374" s="91" t="str">
        <f t="shared" si="37"/>
      </c>
      <c r="DB374" s="91" t="str">
        <f t="shared" si="37"/>
      </c>
      <c r="DC374" s="91" t="str">
        <f t="shared" si="37"/>
      </c>
      <c r="DD374" s="91" t="str">
        <f t="shared" si="37"/>
      </c>
      <c r="DE374" s="91" t="str">
        <f t="shared" si="37"/>
      </c>
      <c r="DF374" s="91" t="str">
        <f t="shared" si="37"/>
      </c>
      <c r="DG374" s="91" t="str">
        <f t="shared" si="37"/>
      </c>
      <c r="DH374" s="91" t="str">
        <f t="shared" si="37"/>
      </c>
      <c r="DI374" s="91" t="str">
        <f t="shared" si="37"/>
      </c>
      <c r="DJ374" s="91" t="str">
        <f t="shared" si="37"/>
      </c>
      <c r="DK374" s="91" t="str">
        <f t="shared" si="37"/>
      </c>
      <c r="DL374" s="91" t="str">
        <f t="shared" si="37"/>
      </c>
      <c r="DM374" s="91" t="str">
        <f t="shared" si="37"/>
      </c>
      <c r="DN374" s="91" t="str">
        <f t="shared" si="37"/>
      </c>
      <c r="DO374" s="91" t="str">
        <f t="shared" si="37"/>
      </c>
      <c r="DP374" s="91" t="str">
        <f t="shared" si="37"/>
      </c>
      <c r="DQ374" s="91" t="str">
        <f t="shared" si="37"/>
      </c>
      <c r="DR374" s="91" t="str">
        <f t="shared" si="37"/>
      </c>
      <c r="DS374" s="91" t="str">
        <f t="shared" si="37"/>
      </c>
      <c r="DT374" s="91" t="str">
        <f t="shared" si="37"/>
      </c>
      <c r="DU374" s="91" t="str">
        <f t="shared" si="37"/>
      </c>
      <c r="DV374" s="91" t="str">
        <f t="shared" si="37"/>
      </c>
      <c r="DW374" s="91" t="str">
        <f t="shared" si="37"/>
      </c>
      <c r="DX374" s="91" t="str">
        <f t="shared" si="37"/>
      </c>
      <c r="DY374" s="91" t="str">
        <f t="shared" si="37"/>
      </c>
      <c r="DZ374" s="91" t="str">
        <f t="shared" si="37"/>
      </c>
      <c r="EA374" s="91" t="str">
        <f t="shared" si="37"/>
      </c>
      <c r="EB374" s="91" t="str">
        <f t="shared" si="37"/>
      </c>
      <c r="EC374" s="91" t="str">
        <f t="shared" si="37"/>
      </c>
      <c r="ED374" s="91" t="str">
        <f t="shared" si="37"/>
      </c>
      <c r="EE374" s="91" t="str">
        <f t="shared" si="37"/>
      </c>
      <c r="EF374" s="91" t="str">
        <f t="shared" si="37"/>
      </c>
      <c r="EG374" s="91" t="str">
        <f t="shared" si="37"/>
      </c>
      <c r="EH374" s="91" t="str">
        <f t="shared" si="37"/>
      </c>
      <c r="EI374" s="91" t="str">
        <f t="shared" si="37"/>
      </c>
      <c r="EJ374" s="91" t="str">
        <f t="shared" si="37"/>
      </c>
      <c r="EK374" s="91" t="str">
        <f t="shared" si="37"/>
      </c>
      <c r="EL374" s="91" t="str">
        <f t="shared" si="37"/>
      </c>
      <c r="EM374" s="91" t="str">
        <f t="shared" si="37"/>
      </c>
      <c r="EN374" s="91" t="str">
        <f t="shared" si="37"/>
      </c>
      <c r="EO374" s="91" t="str">
        <f t="shared" si="37"/>
      </c>
      <c r="EP374" s="91" t="str">
        <f t="shared" si="37"/>
      </c>
      <c r="EQ374" s="91" t="str">
        <f t="shared" si="37"/>
      </c>
      <c r="ER374" s="91" t="str">
        <f t="shared" si="37"/>
      </c>
      <c r="ES374" s="91" t="str">
        <f t="shared" si="37"/>
      </c>
      <c r="ET374" s="91" t="str">
        <f t="shared" si="37"/>
      </c>
      <c r="EU374" s="91" t="str">
        <f t="shared" si="37"/>
      </c>
      <c r="EV374" s="91" t="str">
        <f t="shared" si="37"/>
      </c>
      <c r="EW374" s="91" t="str">
        <f t="shared" si="37"/>
      </c>
      <c r="EX374" s="91" t="str">
        <f t="shared" si="37"/>
      </c>
      <c r="EY374" s="91" t="str">
        <f t="shared" si="37"/>
      </c>
      <c r="EZ374" s="91" t="str">
        <f t="shared" si="37"/>
      </c>
      <c r="FA374" s="91" t="str">
        <f ref="FA374:HL374" t="shared" si="38">IF(SUM(FA355:FA373)&lt;&gt;0,SUM(FA355:FA373),"")</f>
      </c>
      <c r="FB374" s="91" t="str">
        <f t="shared" si="38"/>
      </c>
      <c r="FC374" s="91" t="str">
        <f t="shared" si="38"/>
      </c>
      <c r="FD374" s="91" t="str">
        <f t="shared" si="38"/>
      </c>
      <c r="FE374" s="91" t="str">
        <f t="shared" si="38"/>
      </c>
      <c r="FF374" s="91" t="str">
        <f t="shared" si="38"/>
      </c>
      <c r="FG374" s="91" t="str">
        <f t="shared" si="38"/>
      </c>
      <c r="FH374" s="91" t="str">
        <f t="shared" si="38"/>
      </c>
      <c r="FI374" s="91" t="str">
        <f t="shared" si="38"/>
      </c>
      <c r="FJ374" s="91" t="str">
        <f t="shared" si="38"/>
      </c>
      <c r="FK374" s="91" t="str">
        <f t="shared" si="38"/>
      </c>
      <c r="FL374" s="91" t="str">
        <f t="shared" si="38"/>
      </c>
      <c r="FM374" s="91" t="str">
        <f t="shared" si="38"/>
      </c>
      <c r="FN374" s="91" t="str">
        <f t="shared" si="38"/>
      </c>
      <c r="FO374" s="91" t="str">
        <f t="shared" si="38"/>
      </c>
      <c r="FP374" s="91" t="str">
        <f t="shared" si="38"/>
      </c>
      <c r="FQ374" s="91" t="str">
        <f t="shared" si="38"/>
      </c>
      <c r="FR374" s="91" t="str">
        <f t="shared" si="38"/>
      </c>
      <c r="FS374" s="91" t="str">
        <f t="shared" si="38"/>
      </c>
      <c r="FT374" s="91" t="str">
        <f t="shared" si="38"/>
      </c>
      <c r="FU374" s="91" t="str">
        <f t="shared" si="38"/>
      </c>
      <c r="FV374" s="91" t="str">
        <f t="shared" si="38"/>
      </c>
      <c r="FW374" s="91" t="str">
        <f t="shared" si="38"/>
      </c>
      <c r="FX374" s="91" t="str">
        <f t="shared" si="38"/>
      </c>
      <c r="FY374" s="91" t="str">
        <f t="shared" si="38"/>
      </c>
      <c r="FZ374" s="91" t="str">
        <f t="shared" si="38"/>
      </c>
      <c r="GA374" s="91" t="str">
        <f t="shared" si="38"/>
      </c>
      <c r="GB374" s="91" t="str">
        <f t="shared" si="38"/>
      </c>
      <c r="GC374" s="91" t="str">
        <f t="shared" si="38"/>
      </c>
      <c r="GD374" s="91" t="str">
        <f t="shared" si="38"/>
      </c>
      <c r="GE374" s="91" t="str">
        <f t="shared" si="38"/>
      </c>
      <c r="GF374" s="91" t="str">
        <f t="shared" si="38"/>
      </c>
      <c r="GG374" s="91" t="str">
        <f t="shared" si="38"/>
      </c>
      <c r="GH374" s="91" t="str">
        <f t="shared" si="38"/>
      </c>
      <c r="GI374" s="91" t="str">
        <f t="shared" si="38"/>
      </c>
      <c r="GJ374" s="91" t="str">
        <f t="shared" si="38"/>
      </c>
      <c r="GK374" s="91" t="str">
        <f t="shared" si="38"/>
      </c>
      <c r="GL374" s="91" t="str">
        <f t="shared" si="38"/>
      </c>
      <c r="GM374" s="91" t="str">
        <f t="shared" si="38"/>
      </c>
      <c r="GN374" s="91" t="str">
        <f t="shared" si="38"/>
      </c>
      <c r="GO374" s="91" t="str">
        <f t="shared" si="38"/>
      </c>
      <c r="GP374" s="91" t="str">
        <f t="shared" si="38"/>
      </c>
      <c r="GQ374" s="91" t="str">
        <f t="shared" si="38"/>
      </c>
      <c r="GR374" s="91" t="str">
        <f t="shared" si="38"/>
      </c>
      <c r="GS374" s="91" t="str">
        <f t="shared" si="38"/>
      </c>
      <c r="GT374" s="91" t="str">
        <f t="shared" si="38"/>
      </c>
      <c r="GU374" s="91" t="str">
        <f t="shared" si="38"/>
      </c>
      <c r="GV374" s="91" t="str">
        <f t="shared" si="38"/>
      </c>
      <c r="GW374" s="91" t="str">
        <f t="shared" si="38"/>
      </c>
      <c r="GX374" s="91" t="str">
        <f t="shared" si="38"/>
      </c>
      <c r="GY374" s="91" t="str">
        <f t="shared" si="38"/>
      </c>
      <c r="GZ374" s="91" t="str">
        <f t="shared" si="38"/>
      </c>
      <c r="HA374" s="91" t="str">
        <f t="shared" si="38"/>
      </c>
      <c r="HB374" s="91" t="str">
        <f t="shared" si="38"/>
      </c>
      <c r="HC374" s="91" t="str">
        <f t="shared" si="38"/>
      </c>
      <c r="HD374" s="91" t="str">
        <f t="shared" si="38"/>
      </c>
      <c r="HE374" s="91" t="str">
        <f t="shared" si="38"/>
      </c>
      <c r="HF374" s="91" t="str">
        <f t="shared" si="38"/>
      </c>
      <c r="HG374" s="91" t="str">
        <f t="shared" si="38"/>
      </c>
      <c r="HH374" s="91" t="str">
        <f t="shared" si="38"/>
      </c>
      <c r="HI374" s="91" t="str">
        <f t="shared" si="38"/>
      </c>
      <c r="HJ374" s="91" t="str">
        <f t="shared" si="38"/>
      </c>
      <c r="HK374" s="91" t="str">
        <f t="shared" si="38"/>
      </c>
      <c r="HL374" s="91" t="str">
        <f t="shared" si="38"/>
      </c>
      <c r="HM374" s="91" t="str">
        <f ref="HM374:IV374" t="shared" si="39">IF(SUM(HM355:HM373)&lt;&gt;0,SUM(HM355:HM373),"")</f>
      </c>
      <c r="HN374" s="91" t="str">
        <f t="shared" si="39"/>
      </c>
      <c r="HO374" s="91" t="str">
        <f t="shared" si="39"/>
      </c>
      <c r="HP374" s="91" t="str">
        <f t="shared" si="39"/>
      </c>
      <c r="HQ374" s="91" t="str">
        <f t="shared" si="39"/>
      </c>
      <c r="HR374" s="91" t="str">
        <f t="shared" si="39"/>
      </c>
      <c r="HS374" s="91" t="str">
        <f t="shared" si="39"/>
      </c>
      <c r="HT374" s="91" t="str">
        <f t="shared" si="39"/>
      </c>
      <c r="HU374" s="91" t="str">
        <f t="shared" si="39"/>
      </c>
      <c r="HV374" s="91" t="str">
        <f t="shared" si="39"/>
      </c>
      <c r="HW374" s="91" t="str">
        <f t="shared" si="39"/>
      </c>
      <c r="HX374" s="91" t="str">
        <f t="shared" si="39"/>
      </c>
      <c r="HY374" s="91" t="str">
        <f t="shared" si="39"/>
      </c>
      <c r="HZ374" s="91" t="str">
        <f t="shared" si="39"/>
      </c>
      <c r="IA374" s="91" t="str">
        <f t="shared" si="39"/>
      </c>
      <c r="IB374" s="91" t="str">
        <f t="shared" si="39"/>
      </c>
      <c r="IC374" s="91" t="str">
        <f t="shared" si="39"/>
      </c>
      <c r="ID374" s="91" t="str">
        <f t="shared" si="39"/>
      </c>
      <c r="IE374" s="91" t="str">
        <f t="shared" si="39"/>
      </c>
      <c r="IF374" s="91" t="str">
        <f t="shared" si="39"/>
      </c>
      <c r="IG374" s="91" t="str">
        <f t="shared" si="39"/>
      </c>
      <c r="IH374" s="91" t="str">
        <f t="shared" si="39"/>
      </c>
      <c r="II374" s="91" t="str">
        <f t="shared" si="39"/>
      </c>
      <c r="IJ374" s="91" t="str">
        <f t="shared" si="39"/>
      </c>
      <c r="IK374" s="91" t="str">
        <f t="shared" si="39"/>
      </c>
      <c r="IL374" s="91" t="str">
        <f t="shared" si="39"/>
      </c>
      <c r="IM374" s="91" t="str">
        <f t="shared" si="39"/>
      </c>
      <c r="IN374" s="91" t="str">
        <f t="shared" si="39"/>
      </c>
      <c r="IO374" s="91" t="str">
        <f t="shared" si="39"/>
      </c>
      <c r="IP374" s="91" t="str">
        <f t="shared" si="39"/>
      </c>
      <c r="IQ374" s="91" t="str">
        <f t="shared" si="39"/>
      </c>
      <c r="IR374" s="91" t="str">
        <f t="shared" si="39"/>
      </c>
      <c r="IS374" s="91" t="str">
        <f t="shared" si="39"/>
      </c>
      <c r="IT374" s="91" t="str">
        <f t="shared" si="39"/>
      </c>
      <c r="IU374" s="91" t="str">
        <f t="shared" si="39"/>
      </c>
      <c r="IV374" s="91" t="str">
        <f t="shared" si="39"/>
      </c>
    </row>
    <row r="375" hidden="1" ht="13.5"/>
    <row r="376" hidden="1" ht="15.75" customHeight="1">
      <c r="C376" s="686" t="s">
        <v>392</v>
      </c>
      <c r="D376" s="687"/>
      <c r="E376" s="687"/>
      <c r="F376" s="687"/>
      <c r="G376" s="687"/>
      <c r="H376" s="687"/>
      <c r="I376" s="687"/>
      <c r="J376" s="687"/>
      <c r="K376" s="687"/>
      <c r="L376" s="687"/>
      <c r="M376" s="687"/>
      <c r="N376" s="687"/>
      <c r="O376" s="687"/>
      <c r="P376" s="687"/>
      <c r="Q376" s="687"/>
      <c r="R376" s="687"/>
      <c r="S376" s="687"/>
      <c r="T376" s="687"/>
      <c r="U376" s="687"/>
      <c r="V376" s="687"/>
      <c r="W376" s="687"/>
      <c r="X376" s="687"/>
      <c r="Y376" s="687"/>
      <c r="Z376" s="687"/>
      <c r="AA376" s="687"/>
      <c r="AB376" s="688"/>
    </row>
    <row r="377" hidden="1" ht="13.5">
      <c r="C377" s="435" t="str">
        <f> IF(C397&lt;&gt;"",TEXT(AUX!G$1,"dd-MMM-aa"),"")</f>
      </c>
      <c r="D377" s="435" t="str">
        <f> IF(D397&lt;&gt;"",TEXT(AUX!H$1,"dd-MMM-aa"),"")</f>
      </c>
      <c r="E377" s="435" t="str">
        <f> IF(E397&lt;&gt;"",TEXT(AUX!I$1,"dd-MMM-aa"),"")</f>
      </c>
      <c r="F377" s="435" t="str">
        <f> IF(F397&lt;&gt;"",TEXT(AUX!J$1,"dd-MMM-aa"),"")</f>
      </c>
      <c r="G377" s="435" t="str">
        <f> IF(G397&lt;&gt;"",TEXT(AUX!K$1,"dd-MMM-aa"),"")</f>
      </c>
      <c r="H377" s="435" t="str">
        <f> IF(H397&lt;&gt;"",TEXT(AUX!L$1,"dd-MMM-aa"),"")</f>
      </c>
      <c r="I377" s="435" t="str">
        <f> IF(I397&lt;&gt;"",TEXT(AUX!M$1,"dd-MMM-aa"),"")</f>
      </c>
      <c r="J377" s="435" t="str">
        <f> IF(J397&lt;&gt;"",TEXT(AUX!N$1,"dd-MMM-aa"),"")</f>
      </c>
      <c r="K377" s="435" t="str">
        <f> IF(K397&lt;&gt;"",TEXT(AUX!O$1,"dd-MMM-aa"),"")</f>
      </c>
      <c r="L377" s="435" t="str">
        <f> IF(L397&lt;&gt;"",TEXT(AUX!P$1,"dd-MMM-aa"),"")</f>
      </c>
      <c r="M377" s="435" t="str">
        <f> IF(M397&lt;&gt;"",TEXT(AUX!Q$1,"dd-MMM-aa"),"")</f>
      </c>
      <c r="N377" s="435" t="str">
        <f> IF(N397&lt;&gt;"",TEXT(AUX!R$1,"dd-MMM-aa"),"")</f>
      </c>
      <c r="O377" s="435" t="str">
        <f> IF(O397&lt;&gt;"",TEXT(AUX!S$1,"dd-MMM-aa"),"")</f>
      </c>
      <c r="P377" s="435" t="str">
        <f> IF(P397&lt;&gt;"",TEXT(AUX!T$1,"dd-MMM-aa"),"")</f>
      </c>
      <c r="Q377" s="435" t="str">
        <f> IF(Q397&lt;&gt;"",TEXT(AUX!U$1,"dd-MMM-aa"),"")</f>
      </c>
      <c r="R377" s="435" t="str">
        <f> IF(R397&lt;&gt;"",TEXT(AUX!V$1,"dd-MMM-aa"),"")</f>
      </c>
      <c r="S377" s="435" t="str">
        <f> IF(S397&lt;&gt;"",TEXT(AUX!W$1,"dd-MMM-aa"),"")</f>
      </c>
      <c r="T377" s="435" t="str">
        <f> IF(T397&lt;&gt;"",TEXT(AUX!X$1,"dd-MMM-aa"),"")</f>
      </c>
      <c r="U377" s="435" t="str">
        <f> IF(U397&lt;&gt;"",TEXT(AUX!Y$1,"dd-MMM-aa"),"")</f>
      </c>
      <c r="V377" s="435" t="str">
        <f> IF(V397&lt;&gt;"",TEXT(AUX!Z$1,"dd-MMM-aa"),"")</f>
      </c>
      <c r="W377" s="435" t="str">
        <f> IF(W397&lt;&gt;"",TEXT(AUX!AA$1,"dd-MMM-aa"),"")</f>
      </c>
      <c r="X377" s="435" t="str">
        <f> IF(X397&lt;&gt;"",TEXT(AUX!AB$1,"dd-MMM-aa"),"")</f>
      </c>
      <c r="Y377" s="435" t="str">
        <f> IF(Y397&lt;&gt;"",TEXT(AUX!AC$1,"dd-MMM-aa"),"")</f>
      </c>
      <c r="Z377" s="435" t="str">
        <f> IF(Z397&lt;&gt;"",TEXT(AUX!AD$1,"dd-MMM-aa"),"")</f>
      </c>
      <c r="AA377" s="435" t="str">
        <f> IF(AA397&lt;&gt;"",TEXT(AUX!AE$1,"dd-MMM-aa"),"")</f>
      </c>
      <c r="AB377" s="497" t="str">
        <f> IF(AB397&lt;&gt;"",TEXT(AUX!AF$1,"dd-MMM-aa"),"")</f>
      </c>
      <c r="AC377" s="496" t="str">
        <f> IF(AC397&lt;&gt;"",TEXT(AUX!AG$1,"dd-MMM-aa"),"")</f>
      </c>
      <c r="AD377" s="496" t="str">
        <f> IF(AD397&lt;&gt;"",TEXT(AUX!AH$1,"dd-MMM-aa"),"")</f>
      </c>
      <c r="AE377" s="496" t="str">
        <f> IF(AE397&lt;&gt;"",TEXT(AUX!AI$1,"dd-MMM-aa"),"")</f>
      </c>
      <c r="AF377" s="496" t="str">
        <f> IF(AF397&lt;&gt;"",TEXT(AUX!AJ$1,"dd-MMM-aa"),"")</f>
      </c>
      <c r="AG377" s="496" t="str">
        <f> IF(AG397&lt;&gt;"",TEXT(AUX!AK$1,"dd-MMM-aa"),"")</f>
      </c>
      <c r="AH377" s="496" t="str">
        <f> IF(AH397&lt;&gt;"",TEXT(AUX!AL$1,"dd-MMM-aa"),"")</f>
      </c>
      <c r="AI377" s="496" t="str">
        <f> IF(AI397&lt;&gt;"",TEXT(AUX!AM$1,"dd-MMM-aa"),"")</f>
      </c>
      <c r="AJ377" s="496" t="str">
        <f> IF(AJ397&lt;&gt;"",TEXT(AUX!AN$1,"dd-MMM-aa"),"")</f>
      </c>
      <c r="AK377" s="496" t="str">
        <f> IF(AK397&lt;&gt;"",TEXT(AUX!AO$1,"dd-MMM-aa"),"")</f>
      </c>
      <c r="AL377" s="496" t="str">
        <f> IF(AL397&lt;&gt;"",TEXT(AUX!AP$1,"dd-MMM-aa"),"")</f>
      </c>
      <c r="AM377" s="496" t="str">
        <f> IF(AM397&lt;&gt;"",TEXT(AUX!AQ$1,"dd-MMM-aa"),"")</f>
      </c>
      <c r="AN377" s="496" t="str">
        <f> IF(AN397&lt;&gt;"",TEXT(AUX!AR$1,"dd-MMM-aa"),"")</f>
      </c>
      <c r="AO377" s="496" t="str">
        <f> IF(AO397&lt;&gt;"",TEXT(AUX!AS$1,"dd-MMM-aa"),"")</f>
      </c>
      <c r="AP377" s="496" t="str">
        <f> IF(AP397&lt;&gt;"",TEXT(AUX!AT$1,"dd-MMM-aa"),"")</f>
      </c>
      <c r="AQ377" s="496" t="str">
        <f> IF(AQ397&lt;&gt;"",TEXT(AUX!AU$1,"dd-MMM-aa"),"")</f>
      </c>
      <c r="AR377" s="496" t="str">
        <f> IF(AR397&lt;&gt;"",TEXT(AUX!AV$1,"dd-MMM-aa"),"")</f>
      </c>
      <c r="AS377" s="496" t="str">
        <f> IF(AS397&lt;&gt;"",TEXT(AUX!AW$1,"dd-MMM-aa"),"")</f>
      </c>
      <c r="AT377" s="496" t="str">
        <f> IF(AT397&lt;&gt;"",TEXT(AUX!AX$1,"dd-MMM-aa"),"")</f>
      </c>
      <c r="AU377" s="496" t="str">
        <f> IF(AU397&lt;&gt;"",TEXT(AUX!AY$1,"dd-MMM-aa"),"")</f>
      </c>
      <c r="AV377" s="496" t="str">
        <f> IF(AV397&lt;&gt;"",TEXT(AUX!AZ$1,"dd-MMM-aa"),"")</f>
      </c>
      <c r="AW377" s="496" t="str">
        <f> IF(AW397&lt;&gt;"",TEXT(AUX!BA$1,"dd-MMM-aa"),"")</f>
      </c>
      <c r="AX377" s="496" t="str">
        <f> IF(AX397&lt;&gt;"",TEXT(AUX!BB$1,"dd-MMM-aa"),"")</f>
      </c>
      <c r="AY377" s="496" t="str">
        <f> IF(AY397&lt;&gt;"",TEXT(AUX!BC$1,"dd-MMM-aa"),"")</f>
      </c>
      <c r="AZ377" s="496" t="str">
        <f> IF(AZ397&lt;&gt;"",TEXT(AUX!BD$1,"dd-MMM-aa"),"")</f>
      </c>
      <c r="BA377" s="496" t="str">
        <f> IF(BA397&lt;&gt;"",TEXT(AUX!BE$1,"dd-MMM-aa"),"")</f>
      </c>
      <c r="BB377" s="496" t="str">
        <f> IF(BB397&lt;&gt;"",TEXT(AUX!BF$1,"dd-MMM-aa"),"")</f>
      </c>
      <c r="BC377" s="496" t="str">
        <f> IF(BC397&lt;&gt;"",TEXT(AUX!BG$1,"dd-MMM-aa"),"")</f>
      </c>
      <c r="BD377" s="496" t="str">
        <f> IF(BD397&lt;&gt;"",TEXT(AUX!BH$1,"dd-MMM-aa"),"")</f>
      </c>
      <c r="BE377" s="496" t="str">
        <f> IF(BE397&lt;&gt;"",TEXT(AUX!BI$1,"dd-MMM-aa"),"")</f>
      </c>
      <c r="BF377" s="496" t="str">
        <f> IF(BF397&lt;&gt;"",TEXT(AUX!BJ$1,"dd-MMM-aa"),"")</f>
      </c>
      <c r="BG377" s="496" t="str">
        <f> IF(BG397&lt;&gt;"",TEXT(AUX!BK$1,"dd-MMM-aa"),"")</f>
      </c>
      <c r="BH377" s="496" t="str">
        <f> IF(BH397&lt;&gt;"",TEXT(AUX!BL$1,"dd-MMM-aa"),"")</f>
      </c>
      <c r="BI377" s="496" t="str">
        <f> IF(BI397&lt;&gt;"",TEXT(AUX!BM$1,"dd-MMM-aa"),"")</f>
      </c>
      <c r="BJ377" s="496" t="str">
        <f> IF(BJ397&lt;&gt;"",TEXT(AUX!BN$1,"dd-MMM-aa"),"")</f>
      </c>
      <c r="BK377" s="496" t="str">
        <f> IF(BK397&lt;&gt;"",TEXT(AUX!BO$1,"dd-MMM-aa"),"")</f>
      </c>
      <c r="BL377" s="496" t="str">
        <f> IF(BL397&lt;&gt;"",TEXT(AUX!BP$1,"dd-MMM-aa"),"")</f>
      </c>
      <c r="BM377" s="496" t="str">
        <f> IF(BM397&lt;&gt;"",TEXT(AUX!BQ$1,"dd-MMM-aa"),"")</f>
      </c>
      <c r="BN377" s="496" t="str">
        <f> IF(BN397&lt;&gt;"",TEXT(AUX!BR$1,"dd-MMM-aa"),"")</f>
      </c>
      <c r="BO377" s="496" t="str">
        <f> IF(BO397&lt;&gt;"",TEXT(AUX!BS$1,"dd-MMM-aa"),"")</f>
      </c>
      <c r="BP377" s="496" t="str">
        <f> IF(BP397&lt;&gt;"",TEXT(AUX!BT$1,"dd-MMM-aa"),"")</f>
      </c>
      <c r="BQ377" s="496" t="str">
        <f> IF(BQ397&lt;&gt;"",TEXT(AUX!BU$1,"dd-MMM-aa"),"")</f>
      </c>
      <c r="BR377" s="496" t="str">
        <f> IF(BR397&lt;&gt;"",TEXT(AUX!BV$1,"dd-MMM-aa"),"")</f>
      </c>
      <c r="BS377" s="496" t="str">
        <f> IF(BS397&lt;&gt;"",TEXT(AUX!BW$1,"dd-MMM-aa"),"")</f>
      </c>
      <c r="BT377" s="496" t="str">
        <f> IF(BT397&lt;&gt;"",TEXT(AUX!BX$1,"dd-MMM-aa"),"")</f>
      </c>
      <c r="BU377" s="496" t="str">
        <f> IF(BU397&lt;&gt;"",TEXT(AUX!BY$1,"dd-MMM-aa"),"")</f>
      </c>
      <c r="BV377" s="496" t="str">
        <f> IF(BV397&lt;&gt;"",TEXT(AUX!BZ$1,"dd-MMM-aa"),"")</f>
      </c>
      <c r="BW377" s="496" t="str">
        <f> IF(BW397&lt;&gt;"",TEXT(AUX!CA$1,"dd-MMM-aa"),"")</f>
      </c>
      <c r="BX377" s="496" t="str">
        <f> IF(BX397&lt;&gt;"",TEXT(AUX!CB$1,"dd-MMM-aa"),"")</f>
      </c>
      <c r="BY377" s="496" t="str">
        <f> IF(BY397&lt;&gt;"",TEXT(AUX!CC$1,"dd-MMM-aa"),"")</f>
      </c>
      <c r="BZ377" s="496" t="str">
        <f> IF(BZ397&lt;&gt;"",TEXT(AUX!CD$1,"dd-MMM-aa"),"")</f>
      </c>
      <c r="CA377" s="496" t="str">
        <f> IF(CA397&lt;&gt;"",TEXT(AUX!CE$1,"dd-MMM-aa"),"")</f>
      </c>
      <c r="CB377" s="496" t="str">
        <f> IF(CB397&lt;&gt;"",TEXT(AUX!CF$1,"dd-MMM-aa"),"")</f>
      </c>
      <c r="CC377" s="496" t="str">
        <f> IF(CC397&lt;&gt;"",TEXT(AUX!CG$1,"dd-MMM-aa"),"")</f>
      </c>
      <c r="CD377" s="496" t="str">
        <f> IF(CD397&lt;&gt;"",TEXT(AUX!CH$1,"dd-MMM-aa"),"")</f>
      </c>
      <c r="CE377" s="496" t="str">
        <f> IF(CE397&lt;&gt;"",TEXT(AUX!CI$1,"dd-MMM-aa"),"")</f>
      </c>
      <c r="CF377" s="496" t="str">
        <f> IF(CF397&lt;&gt;"",TEXT(AUX!CJ$1,"dd-MMM-aa"),"")</f>
      </c>
      <c r="CG377" s="496" t="str">
        <f> IF(CG397&lt;&gt;"",TEXT(AUX!CK$1,"dd-MMM-aa"),"")</f>
      </c>
      <c r="CH377" s="496" t="str">
        <f> IF(CH397&lt;&gt;"",TEXT(AUX!CL$1,"dd-MMM-aa"),"")</f>
      </c>
      <c r="CI377" s="496" t="str">
        <f> IF(CI397&lt;&gt;"",TEXT(AUX!CM$1,"dd-MMM-aa"),"")</f>
      </c>
      <c r="CJ377" s="496" t="str">
        <f> IF(CJ397&lt;&gt;"",TEXT(AUX!CN$1,"dd-MMM-aa"),"")</f>
      </c>
      <c r="CK377" s="496" t="str">
        <f> IF(CK397&lt;&gt;"",TEXT(AUX!CO$1,"dd-MMM-aa"),"")</f>
      </c>
      <c r="CL377" s="496" t="str">
        <f> IF(CL397&lt;&gt;"",TEXT(AUX!CP$1,"dd-MMM-aa"),"")</f>
      </c>
      <c r="CM377" s="496" t="str">
        <f> IF(CM397&lt;&gt;"",TEXT(AUX!CQ$1,"dd-MMM-aa"),"")</f>
      </c>
      <c r="CN377" s="496" t="str">
        <f> IF(CN397&lt;&gt;"",TEXT(AUX!CR$1,"dd-MMM-aa"),"")</f>
      </c>
      <c r="CO377" s="496" t="str">
        <f> IF(CO397&lt;&gt;"",TEXT(AUX!CS$1,"dd-MMM-aa"),"")</f>
      </c>
      <c r="CP377" s="496" t="str">
        <f> IF(CP397&lt;&gt;"",TEXT(AUX!CT$1,"dd-MMM-aa"),"")</f>
      </c>
      <c r="CQ377" s="496" t="str">
        <f> IF(CQ397&lt;&gt;"",TEXT(AUX!CU$1,"dd-MMM-aa"),"")</f>
      </c>
      <c r="CR377" s="496" t="str">
        <f> IF(CR397&lt;&gt;"",TEXT(AUX!CV$1,"dd-MMM-aa"),"")</f>
      </c>
      <c r="CS377" s="496" t="str">
        <f> IF(CS397&lt;&gt;"",TEXT(AUX!CW$1,"dd-MMM-aa"),"")</f>
      </c>
      <c r="CT377" s="496" t="str">
        <f> IF(CT397&lt;&gt;"",TEXT(AUX!CX$1,"dd-MMM-aa"),"")</f>
      </c>
      <c r="CU377" s="496" t="str">
        <f> IF(CU397&lt;&gt;"",TEXT(AUX!CY$1,"dd-MMM-aa"),"")</f>
      </c>
      <c r="CV377" s="496" t="str">
        <f> IF(CV397&lt;&gt;"",TEXT(AUX!CZ$1,"dd-MMM-aa"),"")</f>
      </c>
      <c r="CW377" s="496" t="str">
        <f> IF(CW397&lt;&gt;"",TEXT(AUX!DA$1,"dd-MMM-aa"),"")</f>
      </c>
      <c r="CX377" s="496" t="str">
        <f> IF(CX397&lt;&gt;"",TEXT(AUX!DB$1,"dd-MMM-aa"),"")</f>
      </c>
      <c r="CY377" s="496" t="str">
        <f> IF(CY397&lt;&gt;"",TEXT(AUX!DC$1,"dd-MMM-aa"),"")</f>
      </c>
      <c r="CZ377" s="496" t="str">
        <f> IF(CZ397&lt;&gt;"",TEXT(AUX!DD$1,"dd-MMM-aa"),"")</f>
      </c>
      <c r="DA377" s="496" t="str">
        <f> IF(DA397&lt;&gt;"",TEXT(AUX!DE$1,"dd-MMM-aa"),"")</f>
      </c>
      <c r="DB377" s="496" t="str">
        <f> IF(DB397&lt;&gt;"",TEXT(AUX!DF$1,"dd-MMM-aa"),"")</f>
      </c>
      <c r="DC377" s="496" t="str">
        <f> IF(DC397&lt;&gt;"",TEXT(AUX!DG$1,"dd-MMM-aa"),"")</f>
      </c>
      <c r="DD377" s="496" t="str">
        <f> IF(DD397&lt;&gt;"",TEXT(AUX!DH$1,"dd-MMM-aa"),"")</f>
      </c>
      <c r="DE377" s="496" t="str">
        <f> IF(DE397&lt;&gt;"",TEXT(AUX!DI$1,"dd-MMM-aa"),"")</f>
      </c>
      <c r="DF377" s="496" t="str">
        <f> IF(DF397&lt;&gt;"",TEXT(AUX!DJ$1,"dd-MMM-aa"),"")</f>
      </c>
      <c r="DG377" s="496" t="str">
        <f> IF(DG397&lt;&gt;"",TEXT(AUX!DK$1,"dd-MMM-aa"),"")</f>
      </c>
      <c r="DH377" s="496" t="str">
        <f> IF(DH397&lt;&gt;"",TEXT(AUX!DL$1,"dd-MMM-aa"),"")</f>
      </c>
      <c r="DI377" s="496" t="str">
        <f> IF(DI397&lt;&gt;"",TEXT(AUX!DM$1,"dd-MMM-aa"),"")</f>
      </c>
      <c r="DJ377" s="496" t="str">
        <f> IF(DJ397&lt;&gt;"",TEXT(AUX!DN$1,"dd-MMM-aa"),"")</f>
      </c>
      <c r="DK377" s="496" t="str">
        <f> IF(DK397&lt;&gt;"",TEXT(AUX!DO$1,"dd-MMM-aa"),"")</f>
      </c>
      <c r="DL377" s="496" t="str">
        <f> IF(DL397&lt;&gt;"",TEXT(AUX!DP$1,"dd-MMM-aa"),"")</f>
      </c>
      <c r="DM377" s="496" t="str">
        <f> IF(DM397&lt;&gt;"",TEXT(AUX!DQ$1,"dd-MMM-aa"),"")</f>
      </c>
      <c r="DN377" s="496" t="str">
        <f> IF(DN397&lt;&gt;"",TEXT(AUX!DR$1,"dd-MMM-aa"),"")</f>
      </c>
      <c r="DO377" s="496" t="str">
        <f> IF(DO397&lt;&gt;"",TEXT(AUX!DS$1,"dd-MMM-aa"),"")</f>
      </c>
      <c r="DP377" s="496" t="str">
        <f> IF(DP397&lt;&gt;"",TEXT(AUX!DT$1,"dd-MMM-aa"),"")</f>
      </c>
      <c r="DQ377" s="496" t="str">
        <f> IF(DQ397&lt;&gt;"",TEXT(AUX!DU$1,"dd-MMM-aa"),"")</f>
      </c>
      <c r="DR377" s="496" t="str">
        <f> IF(DR397&lt;&gt;"",TEXT(AUX!DV$1,"dd-MMM-aa"),"")</f>
      </c>
      <c r="DS377" s="496" t="str">
        <f> IF(DS397&lt;&gt;"",TEXT(AUX!DW$1,"dd-MMM-aa"),"")</f>
      </c>
      <c r="DT377" s="496" t="str">
        <f> IF(DT397&lt;&gt;"",TEXT(AUX!DX$1,"dd-MMM-aa"),"")</f>
      </c>
      <c r="DU377" s="496" t="str">
        <f> IF(DU397&lt;&gt;"",TEXT(AUX!DY$1,"dd-MMM-aa"),"")</f>
      </c>
      <c r="DV377" s="496" t="str">
        <f> IF(DV397&lt;&gt;"",TEXT(AUX!DZ$1,"dd-MMM-aa"),"")</f>
      </c>
      <c r="DW377" s="496" t="str">
        <f> IF(DW397&lt;&gt;"",TEXT(AUX!EA$1,"dd-MMM-aa"),"")</f>
      </c>
      <c r="DX377" s="496" t="str">
        <f> IF(DX397&lt;&gt;"",TEXT(AUX!EB$1,"dd-MMM-aa"),"")</f>
      </c>
      <c r="DY377" s="496" t="str">
        <f> IF(DY397&lt;&gt;"",TEXT(AUX!EC$1,"dd-MMM-aa"),"")</f>
      </c>
      <c r="DZ377" s="496" t="str">
        <f> IF(DZ397&lt;&gt;"",TEXT(AUX!ED$1,"dd-MMM-aa"),"")</f>
      </c>
      <c r="EA377" s="496" t="str">
        <f> IF(EA397&lt;&gt;"",TEXT(AUX!EE$1,"dd-MMM-aa"),"")</f>
      </c>
      <c r="EB377" s="496" t="str">
        <f> IF(EB397&lt;&gt;"",TEXT(AUX!EF$1,"dd-MMM-aa"),"")</f>
      </c>
      <c r="EC377" s="496" t="str">
        <f> IF(EC397&lt;&gt;"",TEXT(AUX!EG$1,"dd-MMM-aa"),"")</f>
      </c>
      <c r="ED377" s="496" t="str">
        <f> IF(ED397&lt;&gt;"",TEXT(AUX!EH$1,"dd-MMM-aa"),"")</f>
      </c>
      <c r="EE377" s="496" t="str">
        <f> IF(EE397&lt;&gt;"",TEXT(AUX!EI$1,"dd-MMM-aa"),"")</f>
      </c>
      <c r="EF377" s="496" t="str">
        <f> IF(EF397&lt;&gt;"",TEXT(AUX!EJ$1,"dd-MMM-aa"),"")</f>
      </c>
      <c r="EG377" s="496" t="str">
        <f> IF(EG397&lt;&gt;"",TEXT(AUX!EK$1,"dd-MMM-aa"),"")</f>
      </c>
      <c r="EH377" s="496" t="str">
        <f> IF(EH397&lt;&gt;"",TEXT(AUX!EL$1,"dd-MMM-aa"),"")</f>
      </c>
      <c r="EI377" s="496" t="str">
        <f> IF(EI397&lt;&gt;"",TEXT(AUX!EM$1,"dd-MMM-aa"),"")</f>
      </c>
      <c r="EJ377" s="496" t="str">
        <f> IF(EJ397&lt;&gt;"",TEXT(AUX!EN$1,"dd-MMM-aa"),"")</f>
      </c>
      <c r="EK377" s="496" t="str">
        <f> IF(EK397&lt;&gt;"",TEXT(AUX!EO$1,"dd-MMM-aa"),"")</f>
      </c>
      <c r="EL377" s="496" t="str">
        <f> IF(EL397&lt;&gt;"",TEXT(AUX!EP$1,"dd-MMM-aa"),"")</f>
      </c>
      <c r="EM377" s="496" t="str">
        <f> IF(EM397&lt;&gt;"",TEXT(AUX!EQ$1,"dd-MMM-aa"),"")</f>
      </c>
      <c r="EN377" s="496" t="str">
        <f> IF(EN397&lt;&gt;"",TEXT(AUX!ER$1,"dd-MMM-aa"),"")</f>
      </c>
      <c r="EO377" s="496" t="str">
        <f> IF(EO397&lt;&gt;"",TEXT(AUX!ES$1,"dd-MMM-aa"),"")</f>
      </c>
      <c r="EP377" s="496" t="str">
        <f> IF(EP397&lt;&gt;"",TEXT(AUX!ET$1,"dd-MMM-aa"),"")</f>
      </c>
      <c r="EQ377" s="496" t="str">
        <f> IF(EQ397&lt;&gt;"",TEXT(AUX!EU$1,"dd-MMM-aa"),"")</f>
      </c>
      <c r="ER377" s="496" t="str">
        <f> IF(ER397&lt;&gt;"",TEXT(AUX!EV$1,"dd-MMM-aa"),"")</f>
      </c>
      <c r="ES377" s="496" t="str">
        <f> IF(ES397&lt;&gt;"",TEXT(AUX!EW$1,"dd-MMM-aa"),"")</f>
      </c>
      <c r="ET377" s="496" t="str">
        <f> IF(ET397&lt;&gt;"",TEXT(AUX!EX$1,"dd-MMM-aa"),"")</f>
      </c>
      <c r="EU377" s="496" t="str">
        <f> IF(EU397&lt;&gt;"",TEXT(AUX!EY$1,"dd-MMM-aa"),"")</f>
      </c>
      <c r="EV377" s="496" t="str">
        <f> IF(EV397&lt;&gt;"",TEXT(AUX!EZ$1,"dd-MMM-aa"),"")</f>
      </c>
      <c r="EW377" s="496" t="str">
        <f> IF(EW397&lt;&gt;"",TEXT(AUX!FA$1,"dd-MMM-aa"),"")</f>
      </c>
      <c r="EX377" s="496" t="str">
        <f> IF(EX397&lt;&gt;"",TEXT(AUX!FB$1,"dd-MMM-aa"),"")</f>
      </c>
      <c r="EY377" s="496" t="str">
        <f> IF(EY397&lt;&gt;"",TEXT(AUX!FC$1,"dd-MMM-aa"),"")</f>
      </c>
      <c r="EZ377" s="496" t="str">
        <f> IF(EZ397&lt;&gt;"",TEXT(AUX!FD$1,"dd-MMM-aa"),"")</f>
      </c>
      <c r="FA377" s="496" t="str">
        <f> IF(FA397&lt;&gt;"",TEXT(AUX!FE$1,"dd-MMM-aa"),"")</f>
      </c>
      <c r="FB377" s="496" t="str">
        <f> IF(FB397&lt;&gt;"",TEXT(AUX!FF$1,"dd-MMM-aa"),"")</f>
      </c>
      <c r="FC377" s="496" t="str">
        <f> IF(FC397&lt;&gt;"",TEXT(AUX!FG$1,"dd-MMM-aa"),"")</f>
      </c>
      <c r="FD377" s="496" t="str">
        <f> IF(FD397&lt;&gt;"",TEXT(AUX!FH$1,"dd-MMM-aa"),"")</f>
      </c>
      <c r="FE377" s="496" t="str">
        <f> IF(FE397&lt;&gt;"",TEXT(AUX!FI$1,"dd-MMM-aa"),"")</f>
      </c>
      <c r="FF377" s="496" t="str">
        <f> IF(FF397&lt;&gt;"",TEXT(AUX!FJ$1,"dd-MMM-aa"),"")</f>
      </c>
      <c r="FG377" s="496" t="str">
        <f> IF(FG397&lt;&gt;"",TEXT(AUX!FK$1,"dd-MMM-aa"),"")</f>
      </c>
      <c r="FH377" s="496" t="str">
        <f> IF(FH397&lt;&gt;"",TEXT(AUX!FL$1,"dd-MMM-aa"),"")</f>
      </c>
      <c r="FI377" s="496" t="str">
        <f> IF(FI397&lt;&gt;"",TEXT(AUX!FM$1,"dd-MMM-aa"),"")</f>
      </c>
      <c r="FJ377" s="496" t="str">
        <f> IF(FJ397&lt;&gt;"",TEXT(AUX!FN$1,"dd-MMM-aa"),"")</f>
      </c>
      <c r="FK377" s="496" t="str">
        <f> IF(FK397&lt;&gt;"",TEXT(AUX!FO$1,"dd-MMM-aa"),"")</f>
      </c>
      <c r="FL377" s="496" t="str">
        <f> IF(FL397&lt;&gt;"",TEXT(AUX!FP$1,"dd-MMM-aa"),"")</f>
      </c>
      <c r="FM377" s="496" t="str">
        <f> IF(FM397&lt;&gt;"",TEXT(AUX!FQ$1,"dd-MMM-aa"),"")</f>
      </c>
      <c r="FN377" s="496" t="str">
        <f> IF(FN397&lt;&gt;"",TEXT(AUX!FR$1,"dd-MMM-aa"),"")</f>
      </c>
      <c r="FO377" s="496" t="str">
        <f> IF(FO397&lt;&gt;"",TEXT(AUX!FS$1,"dd-MMM-aa"),"")</f>
      </c>
      <c r="FP377" s="496" t="str">
        <f> IF(FP397&lt;&gt;"",TEXT(AUX!FT$1,"dd-MMM-aa"),"")</f>
      </c>
      <c r="FQ377" s="496" t="str">
        <f> IF(FQ397&lt;&gt;"",TEXT(AUX!FU$1,"dd-MMM-aa"),"")</f>
      </c>
      <c r="FR377" s="496" t="str">
        <f> IF(FR397&lt;&gt;"",TEXT(AUX!FV$1,"dd-MMM-aa"),"")</f>
      </c>
      <c r="FS377" s="496" t="str">
        <f> IF(FS397&lt;&gt;"",TEXT(AUX!FW$1,"dd-MMM-aa"),"")</f>
      </c>
      <c r="FT377" s="496" t="str">
        <f> IF(FT397&lt;&gt;"",TEXT(AUX!FX$1,"dd-MMM-aa"),"")</f>
      </c>
      <c r="FU377" s="496" t="str">
        <f> IF(FU397&lt;&gt;"",TEXT(AUX!FY$1,"dd-MMM-aa"),"")</f>
      </c>
      <c r="FV377" s="496" t="str">
        <f> IF(FV397&lt;&gt;"",TEXT(AUX!FZ$1,"dd-MMM-aa"),"")</f>
      </c>
      <c r="FW377" s="496" t="str">
        <f> IF(FW397&lt;&gt;"",TEXT(AUX!GA$1,"dd-MMM-aa"),"")</f>
      </c>
      <c r="FX377" s="496" t="str">
        <f> IF(FX397&lt;&gt;"",TEXT(AUX!GB$1,"dd-MMM-aa"),"")</f>
      </c>
      <c r="FY377" s="496" t="str">
        <f> IF(FY397&lt;&gt;"",TEXT(AUX!GC$1,"dd-MMM-aa"),"")</f>
      </c>
      <c r="FZ377" s="496" t="str">
        <f> IF(FZ397&lt;&gt;"",TEXT(AUX!GD$1,"dd-MMM-aa"),"")</f>
      </c>
      <c r="GA377" s="496" t="str">
        <f> IF(GA397&lt;&gt;"",TEXT(AUX!GE$1,"dd-MMM-aa"),"")</f>
      </c>
      <c r="GB377" s="496" t="str">
        <f> IF(GB397&lt;&gt;"",TEXT(AUX!GF$1,"dd-MMM-aa"),"")</f>
      </c>
      <c r="GC377" s="496" t="str">
        <f> IF(GC397&lt;&gt;"",TEXT(AUX!GG$1,"dd-MMM-aa"),"")</f>
      </c>
      <c r="GD377" s="496" t="str">
        <f> IF(GD397&lt;&gt;"",TEXT(AUX!GH$1,"dd-MMM-aa"),"")</f>
      </c>
      <c r="GE377" s="496" t="str">
        <f> IF(GE397&lt;&gt;"",TEXT(AUX!GI$1,"dd-MMM-aa"),"")</f>
      </c>
      <c r="GF377" s="496" t="str">
        <f> IF(GF397&lt;&gt;"",TEXT(AUX!GJ$1,"dd-MMM-aa"),"")</f>
      </c>
      <c r="GG377" s="496" t="str">
        <f> IF(GG397&lt;&gt;"",TEXT(AUX!GK$1,"dd-MMM-aa"),"")</f>
      </c>
      <c r="GH377" s="496" t="str">
        <f> IF(GH397&lt;&gt;"",TEXT(AUX!GL$1,"dd-MMM-aa"),"")</f>
      </c>
      <c r="GI377" s="496" t="str">
        <f> IF(GI397&lt;&gt;"",TEXT(AUX!GM$1,"dd-MMM-aa"),"")</f>
      </c>
      <c r="GJ377" s="496" t="str">
        <f> IF(GJ397&lt;&gt;"",TEXT(AUX!GN$1,"dd-MMM-aa"),"")</f>
      </c>
      <c r="GK377" s="496" t="str">
        <f> IF(GK397&lt;&gt;"",TEXT(AUX!GO$1,"dd-MMM-aa"),"")</f>
      </c>
      <c r="GL377" s="496" t="str">
        <f> IF(GL397&lt;&gt;"",TEXT(AUX!GP$1,"dd-MMM-aa"),"")</f>
      </c>
      <c r="GM377" s="496" t="str">
        <f> IF(GM397&lt;&gt;"",TEXT(AUX!GQ$1,"dd-MMM-aa"),"")</f>
      </c>
      <c r="GN377" s="496" t="str">
        <f> IF(GN397&lt;&gt;"",TEXT(AUX!GR$1,"dd-MMM-aa"),"")</f>
      </c>
      <c r="GO377" s="496" t="str">
        <f> IF(GO397&lt;&gt;"",TEXT(AUX!GS$1,"dd-MMM-aa"),"")</f>
      </c>
      <c r="GP377" s="496" t="str">
        <f> IF(GP397&lt;&gt;"",TEXT(AUX!GT$1,"dd-MMM-aa"),"")</f>
      </c>
      <c r="GQ377" s="496" t="str">
        <f> IF(GQ397&lt;&gt;"",TEXT(AUX!GU$1,"dd-MMM-aa"),"")</f>
      </c>
      <c r="GR377" s="496" t="str">
        <f> IF(GR397&lt;&gt;"",TEXT(AUX!GV$1,"dd-MMM-aa"),"")</f>
      </c>
      <c r="GS377" s="496" t="str">
        <f> IF(GS397&lt;&gt;"",TEXT(AUX!GW$1,"dd-MMM-aa"),"")</f>
      </c>
      <c r="GT377" s="496" t="str">
        <f> IF(GT397&lt;&gt;"",TEXT(AUX!GX$1,"dd-MMM-aa"),"")</f>
      </c>
      <c r="GU377" s="496" t="str">
        <f> IF(GU397&lt;&gt;"",TEXT(AUX!GY$1,"dd-MMM-aa"),"")</f>
      </c>
      <c r="GV377" s="496" t="str">
        <f> IF(GV397&lt;&gt;"",TEXT(AUX!GZ$1,"dd-MMM-aa"),"")</f>
      </c>
      <c r="GW377" s="496" t="str">
        <f> IF(GW397&lt;&gt;"",TEXT(AUX!HA$1,"dd-MMM-aa"),"")</f>
      </c>
      <c r="GX377" s="496" t="str">
        <f> IF(GX397&lt;&gt;"",TEXT(AUX!HB$1,"dd-MMM-aa"),"")</f>
      </c>
      <c r="GY377" s="496" t="str">
        <f> IF(GY397&lt;&gt;"",TEXT(AUX!HC$1,"dd-MMM-aa"),"")</f>
      </c>
      <c r="GZ377" s="496" t="str">
        <f> IF(GZ397&lt;&gt;"",TEXT(AUX!HD$1,"dd-MMM-aa"),"")</f>
      </c>
      <c r="HA377" s="496" t="str">
        <f> IF(HA397&lt;&gt;"",TEXT(AUX!HE$1,"dd-MMM-aa"),"")</f>
      </c>
      <c r="HB377" s="496" t="str">
        <f> IF(HB397&lt;&gt;"",TEXT(AUX!HF$1,"dd-MMM-aa"),"")</f>
      </c>
      <c r="HC377" s="496" t="str">
        <f> IF(HC397&lt;&gt;"",TEXT(AUX!HG$1,"dd-MMM-aa"),"")</f>
      </c>
      <c r="HD377" s="496" t="str">
        <f> IF(HD397&lt;&gt;"",TEXT(AUX!HH$1,"dd-MMM-aa"),"")</f>
      </c>
      <c r="HE377" s="496" t="str">
        <f> IF(HE397&lt;&gt;"",TEXT(AUX!HI$1,"dd-MMM-aa"),"")</f>
      </c>
      <c r="HF377" s="496" t="str">
        <f> IF(HF397&lt;&gt;"",TEXT(AUX!HJ$1,"dd-MMM-aa"),"")</f>
      </c>
      <c r="HG377" s="496" t="str">
        <f> IF(HG397&lt;&gt;"",TEXT(AUX!HK$1,"dd-MMM-aa"),"")</f>
      </c>
      <c r="HH377" s="496" t="str">
        <f> IF(HH397&lt;&gt;"",TEXT(AUX!HL$1,"dd-MMM-aa"),"")</f>
      </c>
      <c r="HI377" s="496" t="str">
        <f> IF(HI397&lt;&gt;"",TEXT(AUX!HM$1,"dd-MMM-aa"),"")</f>
      </c>
      <c r="HJ377" s="496" t="str">
        <f> IF(HJ397&lt;&gt;"",TEXT(AUX!HN$1,"dd-MMM-aa"),"")</f>
      </c>
      <c r="HK377" s="496" t="str">
        <f> IF(HK397&lt;&gt;"",TEXT(AUX!HO$1,"dd-MMM-aa"),"")</f>
      </c>
      <c r="HL377" s="496" t="str">
        <f> IF(HL397&lt;&gt;"",TEXT(AUX!HP$1,"dd-MMM-aa"),"")</f>
      </c>
      <c r="HM377" s="496" t="str">
        <f> IF(HM397&lt;&gt;"",TEXT(AUX!HQ$1,"dd-MMM-aa"),"")</f>
      </c>
      <c r="HN377" s="496" t="str">
        <f> IF(HN397&lt;&gt;"",TEXT(AUX!HR$1,"dd-MMM-aa"),"")</f>
      </c>
      <c r="HO377" s="496" t="str">
        <f> IF(HO397&lt;&gt;"",TEXT(AUX!HS$1,"dd-MMM-aa"),"")</f>
      </c>
      <c r="HP377" s="496" t="str">
        <f> IF(HP397&lt;&gt;"",TEXT(AUX!HT$1,"dd-MMM-aa"),"")</f>
      </c>
      <c r="HQ377" s="496" t="str">
        <f> IF(HQ397&lt;&gt;"",TEXT(AUX!HU$1,"dd-MMM-aa"),"")</f>
      </c>
      <c r="HR377" s="496" t="str">
        <f> IF(HR397&lt;&gt;"",TEXT(AUX!HV$1,"dd-MMM-aa"),"")</f>
      </c>
      <c r="HS377" s="496" t="str">
        <f> IF(HS397&lt;&gt;"",TEXT(AUX!HW$1,"dd-MMM-aa"),"")</f>
      </c>
      <c r="HT377" s="496" t="str">
        <f> IF(HT397&lt;&gt;"",TEXT(AUX!HX$1,"dd-MMM-aa"),"")</f>
      </c>
      <c r="HU377" s="496" t="str">
        <f> IF(HU397&lt;&gt;"",TEXT(AUX!HY$1,"dd-MMM-aa"),"")</f>
      </c>
      <c r="HV377" s="496" t="str">
        <f> IF(HV397&lt;&gt;"",TEXT(AUX!HZ$1,"dd-MMM-aa"),"")</f>
      </c>
      <c r="HW377" s="496" t="str">
        <f> IF(HW397&lt;&gt;"",TEXT(AUX!IA$1,"dd-MMM-aa"),"")</f>
      </c>
      <c r="HX377" s="496" t="str">
        <f> IF(HX397&lt;&gt;"",TEXT(AUX!IB$1,"dd-MMM-aa"),"")</f>
      </c>
      <c r="HY377" s="496" t="str">
        <f> IF(HY397&lt;&gt;"",TEXT(AUX!IC$1,"dd-MMM-aa"),"")</f>
      </c>
      <c r="HZ377" s="496" t="str">
        <f> IF(HZ397&lt;&gt;"",TEXT(AUX!ID$1,"dd-MMM-aa"),"")</f>
      </c>
      <c r="IA377" s="496" t="str">
        <f> IF(IA397&lt;&gt;"",TEXT(AUX!IE$1,"dd-MMM-aa"),"")</f>
      </c>
      <c r="IB377" s="496" t="str">
        <f> IF(IB397&lt;&gt;"",TEXT(AUX!IF$1,"dd-MMM-aa"),"")</f>
      </c>
      <c r="IC377" s="496" t="str">
        <f> IF(IC397&lt;&gt;"",TEXT(AUX!IG$1,"dd-MMM-aa"),"")</f>
      </c>
      <c r="ID377" s="496" t="str">
        <f> IF(ID397&lt;&gt;"",TEXT(AUX!IH$1,"dd-MMM-aa"),"")</f>
      </c>
      <c r="IE377" s="496" t="str">
        <f> IF(IE397&lt;&gt;"",TEXT(AUX!II$1,"dd-MMM-aa"),"")</f>
      </c>
      <c r="IF377" s="496" t="str">
        <f> IF(IF397&lt;&gt;"",TEXT(AUX!IJ$1,"dd-MMM-aa"),"")</f>
      </c>
      <c r="IG377" s="496" t="str">
        <f> IF(IG397&lt;&gt;"",TEXT(AUX!IK$1,"dd-MMM-aa"),"")</f>
      </c>
      <c r="IH377" s="496" t="str">
        <f> IF(IH397&lt;&gt;"",TEXT(AUX!IL$1,"dd-MMM-aa"),"")</f>
      </c>
      <c r="II377" s="496" t="str">
        <f> IF(II397&lt;&gt;"",TEXT(AUX!IM$1,"dd-MMM-aa"),"")</f>
      </c>
      <c r="IJ377" s="496" t="str">
        <f> IF(IJ397&lt;&gt;"",TEXT(AUX!IN$1,"dd-MMM-aa"),"")</f>
      </c>
      <c r="IK377" s="496" t="str">
        <f> IF(IK397&lt;&gt;"",TEXT(AUX!IO$1,"dd-MMM-aa"),"")</f>
      </c>
      <c r="IL377" s="496" t="str">
        <f> IF(IL397&lt;&gt;"",TEXT(AUX!IP$1,"dd-MMM-aa"),"")</f>
      </c>
      <c r="IM377" s="496" t="str">
        <f> IF(IM397&lt;&gt;"",TEXT(AUX!IQ$1,"dd-MMM-aa"),"")</f>
      </c>
      <c r="IN377" s="496" t="str">
        <f> IF(IN397&lt;&gt;"",TEXT(AUX!IR$1,"dd-MMM-aa"),"")</f>
      </c>
      <c r="IO377" s="496" t="str">
        <f> IF(IO397&lt;&gt;"",TEXT(AUX!IS$1,"dd-MMM-aa"),"")</f>
      </c>
      <c r="IP377" s="496" t="str">
        <f> IF(IP397&lt;&gt;"",TEXT(AUX!IT$1,"dd-MMM-aa"),"")</f>
      </c>
      <c r="IQ377" s="496" t="str">
        <f> IF(IQ397&lt;&gt;"",TEXT(AUX!IU$1,"dd-MMM-aa"),"")</f>
      </c>
      <c r="IR377" s="496" t="str">
        <f> IF(IR397&lt;&gt;"",TEXT(AUX!IV$1,"dd-MMM-aa"),"")</f>
      </c>
      <c r="IS377" s="496" t="str">
        <f> IF(IS397&lt;&gt;"",TEXT(AUX!#REF!,"dd-MMM-aa"),"")</f>
      </c>
      <c r="IT377" s="496" t="str">
        <f> IF(IT397&lt;&gt;"",TEXT(AUX!#REF!,"dd-MMM-aa"),"")</f>
      </c>
      <c r="IU377" s="496" t="str">
        <f> IF(IU397&lt;&gt;"",TEXT(AUX!#REF!,"dd-MMM-aa"),"")</f>
      </c>
      <c r="IV377" s="496" t="str">
        <f> IF(IV397&lt;&gt;"",TEXT(AUX!#REF!,"dd-MMM-aa"),"")</f>
      </c>
    </row>
    <row r="378" hidden="1">
      <c r="B378" s="822" t="s">
        <v>8</v>
      </c>
      <c r="C378" s="823">
        <v>43651</v>
      </c>
      <c r="D378" s="823">
        <v>44582</v>
      </c>
      <c r="E378" s="823">
        <v>47208</v>
      </c>
      <c r="F378" s="823">
        <v>46764</v>
      </c>
      <c r="G378" s="823">
        <v>44440</v>
      </c>
      <c r="H378" s="823">
        <v>32973</v>
      </c>
      <c r="I378" s="823">
        <v>32489</v>
      </c>
      <c r="J378" s="823">
        <v>35058</v>
      </c>
      <c r="K378" s="823">
        <v>2856858</v>
      </c>
      <c r="L378" s="823">
        <v>3217107</v>
      </c>
      <c r="M378" s="823">
        <v>2874561</v>
      </c>
      <c r="N378" s="823">
        <v>2456842</v>
      </c>
      <c r="O378" s="823">
        <v>2601470</v>
      </c>
      <c r="P378" s="823">
        <v>2880939</v>
      </c>
      <c r="Q378" s="823">
        <v>2666184</v>
      </c>
      <c r="R378" s="823">
        <v>2573374</v>
      </c>
      <c r="S378" s="823">
        <v>2260573</v>
      </c>
      <c r="T378" s="823">
        <v>2256428</v>
      </c>
      <c r="U378" s="823">
        <v>2285150</v>
      </c>
      <c r="V378" s="823">
        <v>2308043</v>
      </c>
      <c r="W378" s="823">
        <v>2414100</v>
      </c>
      <c r="X378" s="823">
        <v>2488886</v>
      </c>
      <c r="Y378" s="823">
        <v>2265729</v>
      </c>
      <c r="Z378" s="823">
        <v>2231135</v>
      </c>
      <c r="AA378" s="823">
        <v>2255041</v>
      </c>
      <c r="AB378" s="824">
        <v>2364497</v>
      </c>
      <c r="AC378" s="825">
        <v>2236723</v>
      </c>
      <c r="AD378" s="825">
        <v>2414690</v>
      </c>
      <c r="AE378" s="825">
        <v>2183951</v>
      </c>
      <c r="AF378" s="825">
        <v>1985784</v>
      </c>
      <c r="AG378" s="825">
        <v>1940572</v>
      </c>
      <c r="AH378" s="825">
        <v>2094826</v>
      </c>
      <c r="AI378" s="825">
        <v>1877712</v>
      </c>
      <c r="AJ378" s="825">
        <v>2155842</v>
      </c>
      <c r="AK378" s="825">
        <v>3768205</v>
      </c>
      <c r="AL378" s="825">
        <v>3673678</v>
      </c>
      <c r="AM378" s="825">
        <v>3590770</v>
      </c>
      <c r="AN378" s="825">
        <v>3850924</v>
      </c>
      <c r="AO378" s="825">
        <v>3910076</v>
      </c>
      <c r="AP378" s="825">
        <v>3964728</v>
      </c>
    </row>
    <row r="379" hidden="1">
      <c r="B379" s="826" t="s">
        <v>9</v>
      </c>
      <c r="C379" s="827">
        <v>2253599</v>
      </c>
      <c r="D379" s="827">
        <v>2529837</v>
      </c>
      <c r="E379" s="827">
        <v>2529876</v>
      </c>
      <c r="F379" s="827">
        <v>2592153</v>
      </c>
      <c r="G379" s="827">
        <v>3018315</v>
      </c>
      <c r="H379" s="827">
        <v>3018315</v>
      </c>
      <c r="I379" s="827">
        <v>3031861</v>
      </c>
      <c r="J379" s="827">
        <v>2973842</v>
      </c>
      <c r="K379" s="827">
        <v>2165782</v>
      </c>
      <c r="L379" s="827">
        <v>2404882</v>
      </c>
      <c r="M379" s="827">
        <v>3933581</v>
      </c>
      <c r="N379" s="827">
        <v>3913581</v>
      </c>
      <c r="O379" s="827">
        <v>1356449</v>
      </c>
      <c r="P379" s="827">
        <v>2315147</v>
      </c>
      <c r="Q379" s="827">
        <v>2854921</v>
      </c>
      <c r="R379" s="827">
        <v>2854989</v>
      </c>
      <c r="S379" s="827">
        <v>3007107</v>
      </c>
      <c r="T379" s="827">
        <v>3067025</v>
      </c>
      <c r="U379" s="827">
        <v>3731949</v>
      </c>
      <c r="V379" s="827">
        <v>3739345</v>
      </c>
      <c r="W379" s="827">
        <v>4664722</v>
      </c>
      <c r="X379" s="827">
        <v>4731167</v>
      </c>
      <c r="Y379" s="827">
        <v>4532926</v>
      </c>
      <c r="Z379" s="827">
        <v>4508520</v>
      </c>
      <c r="AA379" s="827">
        <v>5179182</v>
      </c>
      <c r="AB379" s="827">
        <v>5175227</v>
      </c>
      <c r="AC379" s="828">
        <v>5110383</v>
      </c>
      <c r="AD379" s="828">
        <v>5126769</v>
      </c>
      <c r="AE379" s="828">
        <v>6385844</v>
      </c>
      <c r="AF379" s="828">
        <v>6385864</v>
      </c>
      <c r="AG379" s="828">
        <v>6783947</v>
      </c>
      <c r="AH379" s="828">
        <v>6925734</v>
      </c>
      <c r="AI379" s="828">
        <v>6784504</v>
      </c>
      <c r="AJ379" s="828">
        <v>11332545</v>
      </c>
      <c r="AK379" s="828">
        <v>11079382</v>
      </c>
      <c r="AL379" s="828">
        <v>11154310</v>
      </c>
      <c r="AM379" s="828">
        <v>11420788</v>
      </c>
      <c r="AN379" s="828">
        <v>11771329</v>
      </c>
      <c r="AO379" s="828">
        <v>12000328</v>
      </c>
      <c r="AP379" s="828">
        <v>12537218</v>
      </c>
    </row>
    <row r="380" hidden="1">
      <c r="B380" s="829" t="s">
        <v>10</v>
      </c>
      <c r="C380" s="823">
        <v>204878</v>
      </c>
      <c r="D380" s="823">
        <v>204878</v>
      </c>
      <c r="E380" s="823">
        <v>189078</v>
      </c>
      <c r="F380" s="823">
        <v>182778</v>
      </c>
      <c r="G380" s="823">
        <v>176143</v>
      </c>
      <c r="H380" s="823">
        <v>176143</v>
      </c>
      <c r="I380" s="823">
        <v>826000</v>
      </c>
      <c r="J380" s="823">
        <v>106000</v>
      </c>
      <c r="K380" s="823">
        <v>220918</v>
      </c>
      <c r="L380" s="823">
        <v>89923</v>
      </c>
      <c r="M380" s="823">
        <v>133835</v>
      </c>
      <c r="N380" s="823">
        <v>133835</v>
      </c>
      <c r="O380" s="823">
        <v>75521</v>
      </c>
      <c r="P380" s="823">
        <v>100061</v>
      </c>
      <c r="Q380" s="823">
        <v>92242</v>
      </c>
      <c r="R380" s="823">
        <v>91920</v>
      </c>
      <c r="S380" s="823">
        <v>97050</v>
      </c>
      <c r="T380" s="823">
        <v>48737</v>
      </c>
      <c r="U380" s="823">
        <v>106530</v>
      </c>
      <c r="V380" s="823">
        <v>113501</v>
      </c>
      <c r="W380" s="823">
        <v>112135</v>
      </c>
      <c r="X380" s="823">
        <v>117379</v>
      </c>
      <c r="Y380" s="823">
        <v>100126</v>
      </c>
      <c r="Z380" s="823">
        <v>92006</v>
      </c>
      <c r="AA380" s="823">
        <v>72161</v>
      </c>
      <c r="AB380" s="823">
        <v>72281</v>
      </c>
      <c r="AC380" s="825">
        <v>96196</v>
      </c>
      <c r="AD380" s="825">
        <v>96455</v>
      </c>
      <c r="AE380" s="825">
        <v>57558</v>
      </c>
      <c r="AF380" s="825">
        <v>57558</v>
      </c>
      <c r="AG380" s="825">
        <v>66548</v>
      </c>
      <c r="AH380" s="825">
        <v>63648</v>
      </c>
      <c r="AI380" s="825">
        <v>86327</v>
      </c>
      <c r="AJ380" s="825">
        <v>86283</v>
      </c>
      <c r="AK380" s="825">
        <v>85610</v>
      </c>
      <c r="AL380" s="825">
        <v>87320</v>
      </c>
      <c r="AM380" s="825">
        <v>110647</v>
      </c>
      <c r="AN380" s="825">
        <v>110352</v>
      </c>
      <c r="AO380" s="825">
        <v>92777</v>
      </c>
      <c r="AP380" s="825">
        <v>92200</v>
      </c>
    </row>
    <row r="381" hidden="1">
      <c r="B381" s="826" t="s">
        <v>11</v>
      </c>
      <c r="C381" s="827">
        <v>319224</v>
      </c>
      <c r="D381" s="827">
        <v>329011</v>
      </c>
      <c r="E381" s="827">
        <v>333742</v>
      </c>
      <c r="F381" s="827">
        <v>334027</v>
      </c>
      <c r="G381" s="827">
        <v>332986</v>
      </c>
      <c r="H381" s="827">
        <v>332446</v>
      </c>
      <c r="I381" s="827">
        <v>347523</v>
      </c>
      <c r="J381" s="827">
        <v>346133</v>
      </c>
      <c r="K381" s="827">
        <v>342170</v>
      </c>
      <c r="L381" s="827">
        <v>293470</v>
      </c>
      <c r="M381" s="827">
        <v>337895</v>
      </c>
      <c r="N381" s="827">
        <v>342695</v>
      </c>
      <c r="O381" s="827">
        <v>148090</v>
      </c>
      <c r="P381" s="827">
        <v>139090</v>
      </c>
      <c r="Q381" s="827">
        <v>206540</v>
      </c>
      <c r="R381" s="827">
        <v>210180</v>
      </c>
      <c r="S381" s="827">
        <v>197500</v>
      </c>
      <c r="T381" s="827">
        <v>197450</v>
      </c>
      <c r="U381" s="827">
        <v>203170</v>
      </c>
      <c r="V381" s="827">
        <v>199890</v>
      </c>
      <c r="W381" s="827">
        <v>212840</v>
      </c>
      <c r="X381" s="827">
        <v>212000</v>
      </c>
      <c r="Y381" s="827">
        <v>208349</v>
      </c>
      <c r="Z381" s="827">
        <v>278071</v>
      </c>
      <c r="AA381" s="827">
        <v>278071</v>
      </c>
      <c r="AB381" s="827">
        <v>294509</v>
      </c>
      <c r="AC381" s="828">
        <v>223551</v>
      </c>
      <c r="AD381" s="828">
        <v>287876</v>
      </c>
      <c r="AE381" s="828">
        <v>339860</v>
      </c>
      <c r="AF381" s="828">
        <v>340730</v>
      </c>
      <c r="AG381" s="828">
        <v>260487</v>
      </c>
      <c r="AH381" s="828">
        <v>260497</v>
      </c>
      <c r="AI381" s="828">
        <v>252902</v>
      </c>
      <c r="AJ381" s="828">
        <v>256559</v>
      </c>
      <c r="AK381" s="828">
        <v>332432</v>
      </c>
      <c r="AL381" s="828">
        <v>340870</v>
      </c>
      <c r="AM381" s="828">
        <v>339986</v>
      </c>
      <c r="AN381" s="828">
        <v>341467</v>
      </c>
      <c r="AO381" s="828">
        <v>358586</v>
      </c>
      <c r="AP381" s="828">
        <v>354890</v>
      </c>
    </row>
    <row r="382" hidden="1">
      <c r="B382" s="829" t="s">
        <v>12</v>
      </c>
      <c r="C382" s="823">
        <v>1833347</v>
      </c>
      <c r="D382" s="823">
        <v>1744912</v>
      </c>
      <c r="E382" s="823">
        <v>1701773</v>
      </c>
      <c r="F382" s="823">
        <v>1726279</v>
      </c>
      <c r="G382" s="823">
        <v>1747485</v>
      </c>
      <c r="H382" s="823">
        <v>1776983</v>
      </c>
      <c r="I382" s="823">
        <v>1877246</v>
      </c>
      <c r="J382" s="823">
        <v>1804757</v>
      </c>
      <c r="K382" s="823">
        <v>2279128</v>
      </c>
      <c r="L382" s="823">
        <v>2346332</v>
      </c>
      <c r="M382" s="823">
        <v>1983014</v>
      </c>
      <c r="N382" s="823">
        <v>1828892</v>
      </c>
      <c r="O382" s="823">
        <v>1611363</v>
      </c>
      <c r="P382" s="823">
        <v>1503094</v>
      </c>
      <c r="Q382" s="823">
        <v>1583015</v>
      </c>
      <c r="R382" s="823">
        <v>1575358</v>
      </c>
      <c r="S382" s="823">
        <v>1585106</v>
      </c>
      <c r="T382" s="823">
        <v>1611463</v>
      </c>
      <c r="U382" s="823">
        <v>1599972</v>
      </c>
      <c r="V382" s="823">
        <v>1606633</v>
      </c>
      <c r="W382" s="823">
        <v>1747202</v>
      </c>
      <c r="X382" s="823">
        <v>1626115</v>
      </c>
      <c r="Y382" s="823">
        <v>1749874</v>
      </c>
      <c r="Z382" s="823">
        <v>1692598</v>
      </c>
      <c r="AA382" s="823">
        <v>1758910</v>
      </c>
      <c r="AB382" s="823">
        <v>1769496</v>
      </c>
      <c r="AC382" s="825">
        <v>1684202</v>
      </c>
      <c r="AD382" s="825">
        <v>1655247</v>
      </c>
      <c r="AE382" s="825">
        <v>1612739</v>
      </c>
      <c r="AF382" s="825">
        <v>1676414</v>
      </c>
      <c r="AG382" s="825">
        <v>1654079</v>
      </c>
      <c r="AH382" s="825">
        <v>1650516</v>
      </c>
      <c r="AI382" s="825">
        <v>1666731</v>
      </c>
      <c r="AJ382" s="825">
        <v>1711470</v>
      </c>
      <c r="AK382" s="825">
        <v>1769204</v>
      </c>
      <c r="AL382" s="825">
        <v>1825652</v>
      </c>
      <c r="AM382" s="825">
        <v>1838858</v>
      </c>
      <c r="AN382" s="825">
        <v>1748797</v>
      </c>
      <c r="AO382" s="825">
        <v>1620177</v>
      </c>
      <c r="AP382" s="825">
        <v>1945177</v>
      </c>
    </row>
    <row r="383" hidden="1">
      <c r="B383" s="826" t="s">
        <v>13</v>
      </c>
      <c r="C383" s="827">
        <v>50766</v>
      </c>
      <c r="D383" s="827">
        <v>50925</v>
      </c>
      <c r="E383" s="827">
        <v>146482</v>
      </c>
      <c r="F383" s="827">
        <v>154199</v>
      </c>
      <c r="G383" s="827">
        <v>166615</v>
      </c>
      <c r="H383" s="827">
        <v>166646</v>
      </c>
      <c r="I383" s="827">
        <v>167363</v>
      </c>
      <c r="J383" s="827">
        <v>167333</v>
      </c>
      <c r="K383" s="827">
        <v>58244</v>
      </c>
      <c r="L383" s="827">
        <v>107090</v>
      </c>
      <c r="M383" s="827">
        <v>123759</v>
      </c>
      <c r="N383" s="827">
        <v>106502</v>
      </c>
      <c r="O383" s="827">
        <v>28108</v>
      </c>
      <c r="P383" s="827">
        <v>34254</v>
      </c>
      <c r="Q383" s="827">
        <v>52708</v>
      </c>
      <c r="R383" s="827">
        <v>63776</v>
      </c>
      <c r="S383" s="827">
        <v>65570</v>
      </c>
      <c r="T383" s="827">
        <v>65571</v>
      </c>
      <c r="U383" s="827">
        <v>25553</v>
      </c>
      <c r="V383" s="827">
        <v>70641</v>
      </c>
      <c r="W383" s="827">
        <v>70548</v>
      </c>
      <c r="X383" s="827">
        <v>70769</v>
      </c>
      <c r="Y383" s="827">
        <v>30448</v>
      </c>
      <c r="Z383" s="827">
        <v>70735</v>
      </c>
      <c r="AA383" s="827">
        <v>70639</v>
      </c>
      <c r="AB383" s="827">
        <v>64147</v>
      </c>
      <c r="AC383" s="828">
        <v>50108</v>
      </c>
      <c r="AD383" s="828">
        <v>70721</v>
      </c>
      <c r="AE383" s="828">
        <v>72986</v>
      </c>
      <c r="AF383" s="828">
        <v>74736</v>
      </c>
      <c r="AG383" s="828">
        <v>48880</v>
      </c>
      <c r="AH383" s="828">
        <v>47686</v>
      </c>
      <c r="AI383" s="828">
        <v>78078</v>
      </c>
      <c r="AJ383" s="828">
        <v>77026</v>
      </c>
      <c r="AK383" s="828">
        <v>91296</v>
      </c>
      <c r="AL383" s="828">
        <v>84820</v>
      </c>
      <c r="AM383" s="828">
        <v>67276</v>
      </c>
      <c r="AN383" s="828">
        <v>69226</v>
      </c>
      <c r="AO383" s="828">
        <v>71758</v>
      </c>
      <c r="AP383" s="828">
        <v>61820</v>
      </c>
    </row>
    <row r="384" hidden="1">
      <c r="B384" s="829" t="s">
        <v>109</v>
      </c>
      <c r="C384" s="823">
        <v>9396355</v>
      </c>
      <c r="D384" s="823">
        <v>10485102</v>
      </c>
      <c r="E384" s="823">
        <v>11540907</v>
      </c>
      <c r="F384" s="823">
        <v>11061107</v>
      </c>
      <c r="G384" s="823">
        <v>12559023</v>
      </c>
      <c r="H384" s="823">
        <v>12508816</v>
      </c>
      <c r="I384" s="823">
        <v>13378017</v>
      </c>
      <c r="J384" s="823">
        <v>13377788</v>
      </c>
      <c r="K384" s="823">
        <v>16015527</v>
      </c>
      <c r="L384" s="823">
        <v>15971739</v>
      </c>
      <c r="M384" s="823">
        <v>16986955</v>
      </c>
      <c r="N384" s="823">
        <v>16027024</v>
      </c>
      <c r="O384" s="823">
        <v>14722345</v>
      </c>
      <c r="P384" s="823">
        <v>14262253</v>
      </c>
      <c r="Q384" s="823">
        <v>13283178</v>
      </c>
      <c r="R384" s="823">
        <v>13136288</v>
      </c>
      <c r="S384" s="823">
        <v>11703742</v>
      </c>
      <c r="T384" s="823">
        <v>11491832</v>
      </c>
      <c r="U384" s="823">
        <v>11150459</v>
      </c>
      <c r="V384" s="823">
        <v>14857832</v>
      </c>
      <c r="W384" s="823">
        <v>15503852</v>
      </c>
      <c r="X384" s="823">
        <v>15698453</v>
      </c>
      <c r="Y384" s="823">
        <v>15821682</v>
      </c>
      <c r="Z384" s="823">
        <v>15873503</v>
      </c>
      <c r="AA384" s="823">
        <v>15988364</v>
      </c>
      <c r="AB384" s="823">
        <v>15998933</v>
      </c>
      <c r="AC384" s="825">
        <v>17320526</v>
      </c>
      <c r="AD384" s="825">
        <v>17207262</v>
      </c>
      <c r="AE384" s="825">
        <v>16833320</v>
      </c>
      <c r="AF384" s="825">
        <v>16472176</v>
      </c>
      <c r="AG384" s="825">
        <v>16000575</v>
      </c>
      <c r="AH384" s="825">
        <v>16003995</v>
      </c>
      <c r="AI384" s="825">
        <v>15298386</v>
      </c>
      <c r="AJ384" s="825">
        <v>26653066</v>
      </c>
      <c r="AK384" s="825">
        <v>24204312</v>
      </c>
      <c r="AL384" s="825">
        <v>24151004</v>
      </c>
      <c r="AM384" s="825">
        <v>23684911</v>
      </c>
      <c r="AN384" s="825">
        <v>23605381</v>
      </c>
      <c r="AO384" s="825">
        <v>21892506</v>
      </c>
      <c r="AP384" s="825">
        <v>22837716</v>
      </c>
    </row>
    <row r="385" hidden="1">
      <c r="B385" s="826" t="s">
        <v>110</v>
      </c>
      <c r="C385" s="827">
        <v>8719015</v>
      </c>
      <c r="D385" s="827">
        <v>9127188</v>
      </c>
      <c r="E385" s="827">
        <v>9542392</v>
      </c>
      <c r="F385" s="827">
        <v>9540722</v>
      </c>
      <c r="G385" s="827">
        <v>8481626</v>
      </c>
      <c r="H385" s="827">
        <v>8038851</v>
      </c>
      <c r="I385" s="827">
        <v>8762578</v>
      </c>
      <c r="J385" s="827">
        <v>8893206</v>
      </c>
      <c r="K385" s="827">
        <v>5810600</v>
      </c>
      <c r="L385" s="827">
        <v>6284532</v>
      </c>
      <c r="M385" s="827">
        <v>9183160</v>
      </c>
      <c r="N385" s="827">
        <v>7394610</v>
      </c>
      <c r="O385" s="827">
        <v>5929357</v>
      </c>
      <c r="P385" s="827">
        <v>6495575</v>
      </c>
      <c r="Q385" s="827">
        <v>7517057</v>
      </c>
      <c r="R385" s="827">
        <v>7511383</v>
      </c>
      <c r="S385" s="827">
        <v>7884134</v>
      </c>
      <c r="T385" s="827">
        <v>7875721</v>
      </c>
      <c r="U385" s="827">
        <v>7841667</v>
      </c>
      <c r="V385" s="827">
        <v>7914768</v>
      </c>
      <c r="W385" s="827">
        <v>7867250</v>
      </c>
      <c r="X385" s="827">
        <v>7902141</v>
      </c>
      <c r="Y385" s="827">
        <v>8113008</v>
      </c>
      <c r="Z385" s="827">
        <v>8243122</v>
      </c>
      <c r="AA385" s="827">
        <v>7702015</v>
      </c>
      <c r="AB385" s="827">
        <v>7560173</v>
      </c>
      <c r="AC385" s="828">
        <v>7797526</v>
      </c>
      <c r="AD385" s="828">
        <v>7810019</v>
      </c>
      <c r="AE385" s="828">
        <v>8483027</v>
      </c>
      <c r="AF385" s="828">
        <v>8407525</v>
      </c>
      <c r="AG385" s="828">
        <v>8245195</v>
      </c>
      <c r="AH385" s="828">
        <v>8154407</v>
      </c>
      <c r="AI385" s="828">
        <v>8047617</v>
      </c>
      <c r="AJ385" s="828">
        <v>7946849</v>
      </c>
      <c r="AK385" s="828">
        <v>11688679</v>
      </c>
      <c r="AL385" s="828">
        <v>11595783</v>
      </c>
      <c r="AM385" s="828">
        <v>11950350</v>
      </c>
      <c r="AN385" s="828">
        <v>12214820</v>
      </c>
      <c r="AO385" s="828">
        <v>11806723</v>
      </c>
      <c r="AP385" s="828">
        <v>11846204</v>
      </c>
    </row>
    <row r="386" hidden="1">
      <c r="B386" s="829" t="s">
        <v>16</v>
      </c>
      <c r="C386" s="823">
        <v>0</v>
      </c>
      <c r="D386" s="823">
        <v>83635</v>
      </c>
      <c r="E386" s="823">
        <v>3704710</v>
      </c>
      <c r="F386" s="823">
        <v>3717753</v>
      </c>
      <c r="G386" s="823">
        <v>3746100</v>
      </c>
      <c r="H386" s="823">
        <v>3667687</v>
      </c>
      <c r="I386" s="823">
        <v>4093260</v>
      </c>
      <c r="J386" s="823">
        <v>4107861</v>
      </c>
      <c r="K386" s="823">
        <v>3393969</v>
      </c>
      <c r="L386" s="823">
        <v>3540067</v>
      </c>
      <c r="M386" s="823">
        <v>3077225</v>
      </c>
      <c r="N386" s="823">
        <v>3160109</v>
      </c>
      <c r="O386" s="823">
        <v>3553232</v>
      </c>
      <c r="P386" s="823">
        <v>3620700</v>
      </c>
      <c r="Q386" s="823">
        <v>4063632</v>
      </c>
      <c r="R386" s="823">
        <v>4028820</v>
      </c>
      <c r="S386" s="823">
        <v>4122944</v>
      </c>
      <c r="T386" s="823">
        <v>4472445</v>
      </c>
      <c r="U386" s="823">
        <v>4753433</v>
      </c>
      <c r="V386" s="823">
        <v>4850458</v>
      </c>
      <c r="W386" s="823">
        <v>5004632</v>
      </c>
      <c r="X386" s="823">
        <v>5010224</v>
      </c>
      <c r="Y386" s="823">
        <v>5205127</v>
      </c>
      <c r="Z386" s="823">
        <v>5200602</v>
      </c>
      <c r="AA386" s="823">
        <v>5102864</v>
      </c>
      <c r="AB386" s="823">
        <v>5172359</v>
      </c>
      <c r="AC386" s="825">
        <v>5103353</v>
      </c>
      <c r="AD386" s="825">
        <v>4926052</v>
      </c>
      <c r="AE386" s="825">
        <v>4734697</v>
      </c>
      <c r="AF386" s="825">
        <v>4752059</v>
      </c>
      <c r="AG386" s="825">
        <v>5027192</v>
      </c>
      <c r="AH386" s="825">
        <v>5017056</v>
      </c>
      <c r="AI386" s="825">
        <v>4797343</v>
      </c>
      <c r="AJ386" s="825">
        <v>4773929</v>
      </c>
      <c r="AK386" s="825">
        <v>4668939</v>
      </c>
      <c r="AL386" s="825">
        <v>5032453</v>
      </c>
      <c r="AM386" s="825">
        <v>6319466</v>
      </c>
      <c r="AN386" s="825">
        <v>5945254</v>
      </c>
      <c r="AO386" s="825">
        <v>4690004</v>
      </c>
      <c r="AP386" s="825">
        <v>4858942</v>
      </c>
    </row>
    <row r="387" hidden="1">
      <c r="B387" s="826" t="s">
        <v>17</v>
      </c>
      <c r="C387" s="827">
        <v>12667</v>
      </c>
      <c r="D387" s="827">
        <v>11443</v>
      </c>
      <c r="E387" s="827">
        <v>36795</v>
      </c>
      <c r="F387" s="827">
        <v>5831</v>
      </c>
      <c r="G387" s="827">
        <v>6014</v>
      </c>
      <c r="H387" s="827">
        <v>43409</v>
      </c>
      <c r="I387" s="827">
        <v>393530</v>
      </c>
      <c r="J387" s="827">
        <v>40872</v>
      </c>
      <c r="K387" s="827">
        <v>1410459</v>
      </c>
      <c r="L387" s="827">
        <v>1446984</v>
      </c>
      <c r="M387" s="827">
        <v>1340487</v>
      </c>
      <c r="N387" s="827">
        <v>1318018</v>
      </c>
      <c r="O387" s="827">
        <v>1368334</v>
      </c>
      <c r="P387" s="827">
        <v>1633334</v>
      </c>
      <c r="Q387" s="827">
        <v>1663812</v>
      </c>
      <c r="R387" s="827">
        <v>1645979</v>
      </c>
      <c r="S387" s="827">
        <v>1655803</v>
      </c>
      <c r="T387" s="827">
        <v>1655853</v>
      </c>
      <c r="U387" s="827">
        <v>1667777</v>
      </c>
      <c r="V387" s="827">
        <v>1655662</v>
      </c>
      <c r="W387" s="827">
        <v>1636768</v>
      </c>
      <c r="X387" s="827">
        <v>1639959</v>
      </c>
      <c r="Y387" s="827">
        <v>1648309</v>
      </c>
      <c r="Z387" s="827">
        <v>1649614</v>
      </c>
      <c r="AA387" s="827">
        <v>1373966</v>
      </c>
      <c r="AB387" s="827">
        <v>1375611</v>
      </c>
      <c r="AC387" s="828">
        <v>1371600</v>
      </c>
      <c r="AD387" s="828">
        <v>1371945</v>
      </c>
      <c r="AE387" s="828">
        <v>1380240</v>
      </c>
      <c r="AF387" s="828">
        <v>1381240</v>
      </c>
      <c r="AG387" s="828">
        <v>1283177</v>
      </c>
      <c r="AH387" s="828">
        <v>1282627</v>
      </c>
      <c r="AI387" s="828">
        <v>1195696</v>
      </c>
      <c r="AJ387" s="828">
        <v>1456651</v>
      </c>
      <c r="AK387" s="828">
        <v>1534421</v>
      </c>
      <c r="AL387" s="828">
        <v>1497735</v>
      </c>
      <c r="AM387" s="828">
        <v>1475694</v>
      </c>
      <c r="AN387" s="828">
        <v>1487497</v>
      </c>
      <c r="AO387" s="828">
        <v>1527628</v>
      </c>
      <c r="AP387" s="828">
        <v>1518842</v>
      </c>
    </row>
    <row r="388" hidden="1">
      <c r="B388" s="829" t="s">
        <v>18</v>
      </c>
      <c r="C388" s="823">
        <v>0</v>
      </c>
      <c r="D388" s="823">
        <v>157472</v>
      </c>
      <c r="E388" s="823">
        <v>229769</v>
      </c>
      <c r="F388" s="823">
        <v>456907</v>
      </c>
      <c r="G388" s="823">
        <v>612801</v>
      </c>
      <c r="H388" s="823">
        <v>898754</v>
      </c>
      <c r="I388" s="823">
        <v>1484660</v>
      </c>
      <c r="J388" s="823">
        <v>1541385</v>
      </c>
      <c r="K388" s="823">
        <v>1553297</v>
      </c>
      <c r="L388" s="823">
        <v>1441542</v>
      </c>
      <c r="M388" s="823">
        <v>1460138</v>
      </c>
      <c r="N388" s="823">
        <v>1510913</v>
      </c>
      <c r="O388" s="823">
        <v>1192835</v>
      </c>
      <c r="P388" s="823">
        <v>1143806</v>
      </c>
      <c r="Q388" s="823">
        <v>1274676</v>
      </c>
      <c r="R388" s="823">
        <v>1444186</v>
      </c>
      <c r="S388" s="823">
        <v>1531549</v>
      </c>
      <c r="T388" s="823">
        <v>1418023</v>
      </c>
      <c r="U388" s="823">
        <v>1409427</v>
      </c>
      <c r="V388" s="823">
        <v>1454077</v>
      </c>
      <c r="W388" s="823">
        <v>1494136</v>
      </c>
      <c r="X388" s="823">
        <v>1439501</v>
      </c>
      <c r="Y388" s="823">
        <v>1517371</v>
      </c>
      <c r="Z388" s="823">
        <v>1938105</v>
      </c>
      <c r="AA388" s="823">
        <v>1824466</v>
      </c>
      <c r="AB388" s="823">
        <v>1482556</v>
      </c>
      <c r="AC388" s="825">
        <v>1677482</v>
      </c>
      <c r="AD388" s="825">
        <v>1800162</v>
      </c>
      <c r="AE388" s="825">
        <v>1850879</v>
      </c>
      <c r="AF388" s="825">
        <v>1826515</v>
      </c>
      <c r="AG388" s="825">
        <v>1989264</v>
      </c>
      <c r="AH388" s="825">
        <v>2003926</v>
      </c>
      <c r="AI388" s="825">
        <v>2125290</v>
      </c>
      <c r="AJ388" s="825">
        <v>3497284</v>
      </c>
      <c r="AK388" s="825">
        <v>3588289</v>
      </c>
      <c r="AL388" s="825">
        <v>3547641</v>
      </c>
      <c r="AM388" s="825">
        <v>3505994</v>
      </c>
      <c r="AN388" s="825">
        <v>3492651</v>
      </c>
      <c r="AO388" s="825">
        <v>3593223</v>
      </c>
      <c r="AP388" s="825">
        <v>3774349</v>
      </c>
    </row>
    <row r="389" hidden="1">
      <c r="B389" s="826" t="s">
        <v>19</v>
      </c>
      <c r="C389" s="827">
        <v>1349082</v>
      </c>
      <c r="D389" s="827">
        <v>1509082</v>
      </c>
      <c r="E389" s="827">
        <v>1907748</v>
      </c>
      <c r="F389" s="827">
        <v>1906009</v>
      </c>
      <c r="G389" s="827">
        <v>1755313</v>
      </c>
      <c r="H389" s="827">
        <v>1859141</v>
      </c>
      <c r="I389" s="827">
        <v>1702582</v>
      </c>
      <c r="J389" s="827">
        <v>1702667</v>
      </c>
      <c r="K389" s="827">
        <v>1992654</v>
      </c>
      <c r="L389" s="827">
        <v>780550</v>
      </c>
      <c r="M389" s="827">
        <v>1550687</v>
      </c>
      <c r="N389" s="827">
        <v>1280966</v>
      </c>
      <c r="O389" s="827">
        <v>1255611</v>
      </c>
      <c r="P389" s="827">
        <v>1186821</v>
      </c>
      <c r="Q389" s="827">
        <v>1069778</v>
      </c>
      <c r="R389" s="827">
        <v>1069778</v>
      </c>
      <c r="S389" s="827">
        <v>750892</v>
      </c>
      <c r="T389" s="827">
        <v>750892</v>
      </c>
      <c r="U389" s="827">
        <v>793509</v>
      </c>
      <c r="V389" s="827">
        <v>793709</v>
      </c>
      <c r="W389" s="827">
        <v>1306418</v>
      </c>
      <c r="X389" s="827">
        <v>1307821</v>
      </c>
      <c r="Y389" s="827">
        <v>1214966</v>
      </c>
      <c r="Z389" s="827">
        <v>1268149</v>
      </c>
      <c r="AA389" s="827">
        <v>1094952</v>
      </c>
      <c r="AB389" s="827">
        <v>1094686</v>
      </c>
      <c r="AC389" s="828">
        <v>1280813</v>
      </c>
      <c r="AD389" s="828">
        <v>1485338</v>
      </c>
      <c r="AE389" s="828">
        <v>1390286</v>
      </c>
      <c r="AF389" s="828">
        <v>1189732</v>
      </c>
      <c r="AG389" s="828">
        <v>1374017</v>
      </c>
      <c r="AH389" s="828">
        <v>1358660</v>
      </c>
      <c r="AI389" s="828">
        <v>1360298</v>
      </c>
      <c r="AJ389" s="828">
        <v>1360348</v>
      </c>
      <c r="AK389" s="828">
        <v>1346523</v>
      </c>
      <c r="AL389" s="828">
        <v>1347485</v>
      </c>
      <c r="AM389" s="828">
        <v>1073271</v>
      </c>
      <c r="AN389" s="828">
        <v>1073259</v>
      </c>
      <c r="AO389" s="828">
        <v>1371604</v>
      </c>
      <c r="AP389" s="828">
        <v>1367903</v>
      </c>
    </row>
    <row r="390" hidden="1">
      <c r="B390" s="829" t="s">
        <v>20</v>
      </c>
      <c r="C390" s="823">
        <v>12650</v>
      </c>
      <c r="D390" s="823">
        <v>12650</v>
      </c>
      <c r="E390" s="823">
        <v>12650</v>
      </c>
      <c r="F390" s="823">
        <v>15330</v>
      </c>
      <c r="G390" s="823">
        <v>4950</v>
      </c>
      <c r="H390" s="823">
        <v>4950</v>
      </c>
      <c r="I390" s="823">
        <v>4950</v>
      </c>
      <c r="J390" s="823">
        <v>4950</v>
      </c>
      <c r="K390" s="823">
        <v>779300</v>
      </c>
      <c r="L390" s="823">
        <v>1286860</v>
      </c>
      <c r="M390" s="823">
        <v>975034</v>
      </c>
      <c r="N390" s="823">
        <v>973784</v>
      </c>
      <c r="O390" s="823">
        <v>924854</v>
      </c>
      <c r="P390" s="823">
        <v>924954</v>
      </c>
      <c r="Q390" s="823">
        <v>1034756</v>
      </c>
      <c r="R390" s="823">
        <v>1034756</v>
      </c>
      <c r="S390" s="823">
        <v>964094</v>
      </c>
      <c r="T390" s="823">
        <v>1045394</v>
      </c>
      <c r="U390" s="823">
        <v>1050521</v>
      </c>
      <c r="V390" s="823">
        <v>1050530</v>
      </c>
      <c r="W390" s="823">
        <v>1299263</v>
      </c>
      <c r="X390" s="823">
        <v>1283498</v>
      </c>
      <c r="Y390" s="823">
        <v>1286000</v>
      </c>
      <c r="Z390" s="823">
        <v>1286000</v>
      </c>
      <c r="AA390" s="823">
        <v>1341149</v>
      </c>
      <c r="AB390" s="823">
        <v>1341417</v>
      </c>
      <c r="AC390" s="825">
        <v>1332666</v>
      </c>
      <c r="AD390" s="825">
        <v>1332666</v>
      </c>
      <c r="AE390" s="825">
        <v>1489450</v>
      </c>
      <c r="AF390" s="825">
        <v>1489449</v>
      </c>
      <c r="AG390" s="825">
        <v>1276439</v>
      </c>
      <c r="AH390" s="825">
        <v>1277539</v>
      </c>
      <c r="AI390" s="825">
        <v>1266152</v>
      </c>
      <c r="AJ390" s="825">
        <v>1352457</v>
      </c>
      <c r="AK390" s="825">
        <v>1345304</v>
      </c>
      <c r="AL390" s="825">
        <v>1346582</v>
      </c>
      <c r="AM390" s="825">
        <v>1341495</v>
      </c>
      <c r="AN390" s="825">
        <v>1340400</v>
      </c>
      <c r="AO390" s="825">
        <v>1311203</v>
      </c>
      <c r="AP390" s="825">
        <v>1304195</v>
      </c>
    </row>
    <row r="391" hidden="1">
      <c r="B391" s="826" t="s">
        <v>21</v>
      </c>
      <c r="C391" s="827">
        <v>1209832</v>
      </c>
      <c r="D391" s="827">
        <v>1238496</v>
      </c>
      <c r="E391" s="827">
        <v>1217674</v>
      </c>
      <c r="F391" s="827">
        <v>1215064</v>
      </c>
      <c r="G391" s="827">
        <v>1271143</v>
      </c>
      <c r="H391" s="827">
        <v>1271073</v>
      </c>
      <c r="I391" s="827">
        <v>1082351</v>
      </c>
      <c r="J391" s="827">
        <v>1082389</v>
      </c>
      <c r="K391" s="827">
        <v>1395899</v>
      </c>
      <c r="L391" s="827">
        <v>7950</v>
      </c>
      <c r="M391" s="827">
        <v>963998</v>
      </c>
      <c r="N391" s="827">
        <v>1226668</v>
      </c>
      <c r="O391" s="827">
        <v>517777</v>
      </c>
      <c r="P391" s="827">
        <v>657678</v>
      </c>
      <c r="Q391" s="827">
        <v>793533</v>
      </c>
      <c r="R391" s="827">
        <v>859076</v>
      </c>
      <c r="S391" s="827">
        <v>968903</v>
      </c>
      <c r="T391" s="827">
        <v>995224</v>
      </c>
      <c r="U391" s="827">
        <v>1001834</v>
      </c>
      <c r="V391" s="827">
        <v>1003692</v>
      </c>
      <c r="W391" s="827">
        <v>1007269</v>
      </c>
      <c r="X391" s="827">
        <v>1040354</v>
      </c>
      <c r="Y391" s="827">
        <v>1156733</v>
      </c>
      <c r="Z391" s="827">
        <v>1165398</v>
      </c>
      <c r="AA391" s="827">
        <v>1137809</v>
      </c>
      <c r="AB391" s="827">
        <v>1151509</v>
      </c>
      <c r="AC391" s="828">
        <v>1177302</v>
      </c>
      <c r="AD391" s="828">
        <v>1193550</v>
      </c>
      <c r="AE391" s="828">
        <v>1176560</v>
      </c>
      <c r="AF391" s="828">
        <v>1175609</v>
      </c>
      <c r="AG391" s="828">
        <v>1225397</v>
      </c>
      <c r="AH391" s="828">
        <v>1225329</v>
      </c>
      <c r="AI391" s="828">
        <v>1069495</v>
      </c>
      <c r="AJ391" s="828">
        <v>1375376</v>
      </c>
      <c r="AK391" s="828">
        <v>1497848</v>
      </c>
      <c r="AL391" s="828">
        <v>1478828</v>
      </c>
      <c r="AM391" s="828">
        <v>1361587</v>
      </c>
      <c r="AN391" s="828">
        <v>1534970</v>
      </c>
      <c r="AO391" s="828">
        <v>1922013</v>
      </c>
      <c r="AP391" s="828">
        <v>1922365</v>
      </c>
    </row>
    <row r="392" hidden="1">
      <c r="B392" s="829" t="s">
        <v>22</v>
      </c>
      <c r="C392" s="823">
        <v>0</v>
      </c>
      <c r="D392" s="823">
        <v>0</v>
      </c>
      <c r="E392" s="823">
        <v>0</v>
      </c>
      <c r="F392" s="823">
        <v>46960</v>
      </c>
      <c r="G392" s="823">
        <v>46960</v>
      </c>
      <c r="H392" s="823">
        <v>46960</v>
      </c>
      <c r="I392" s="823">
        <v>46960</v>
      </c>
      <c r="J392" s="823">
        <v>46960</v>
      </c>
      <c r="K392" s="823">
        <v>101950</v>
      </c>
      <c r="L392" s="823">
        <v>80450</v>
      </c>
      <c r="M392" s="823">
        <v>202289</v>
      </c>
      <c r="N392" s="823">
        <v>1223711</v>
      </c>
      <c r="O392" s="823">
        <v>1131070</v>
      </c>
      <c r="P392" s="823">
        <v>1153310</v>
      </c>
      <c r="Q392" s="823">
        <v>1128363</v>
      </c>
      <c r="R392" s="823">
        <v>1124503</v>
      </c>
      <c r="S392" s="823">
        <v>1103189</v>
      </c>
      <c r="T392" s="823">
        <v>1095063</v>
      </c>
      <c r="U392" s="823">
        <v>1100711</v>
      </c>
      <c r="V392" s="823">
        <v>1099521</v>
      </c>
      <c r="W392" s="823">
        <v>1119207</v>
      </c>
      <c r="X392" s="823">
        <v>1094873</v>
      </c>
      <c r="Y392" s="823">
        <v>1069943</v>
      </c>
      <c r="Z392" s="823">
        <v>1455894</v>
      </c>
      <c r="AA392" s="823">
        <v>1462995</v>
      </c>
      <c r="AB392" s="823">
        <v>1465402</v>
      </c>
      <c r="AC392" s="825">
        <v>1054463</v>
      </c>
      <c r="AD392" s="825">
        <v>1079681</v>
      </c>
      <c r="AE392" s="825">
        <v>1076339</v>
      </c>
      <c r="AF392" s="825">
        <v>1114729</v>
      </c>
      <c r="AG392" s="825">
        <v>1139529</v>
      </c>
      <c r="AH392" s="825">
        <v>1139539</v>
      </c>
      <c r="AI392" s="825">
        <v>1194103</v>
      </c>
      <c r="AJ392" s="825">
        <v>1358622</v>
      </c>
      <c r="AK392" s="825">
        <v>1249631</v>
      </c>
      <c r="AL392" s="825">
        <v>1232609</v>
      </c>
      <c r="AM392" s="825">
        <v>1374285</v>
      </c>
      <c r="AN392" s="825">
        <v>1375410</v>
      </c>
      <c r="AO392" s="825">
        <v>1392894</v>
      </c>
      <c r="AP392" s="825">
        <v>1380718</v>
      </c>
    </row>
    <row r="393" hidden="1">
      <c r="B393" s="826" t="s">
        <v>23</v>
      </c>
      <c r="C393" s="827">
        <v>97152</v>
      </c>
      <c r="D393" s="827">
        <v>96501</v>
      </c>
      <c r="E393" s="827">
        <v>84148</v>
      </c>
      <c r="F393" s="827">
        <v>84148</v>
      </c>
      <c r="G393" s="827">
        <v>82359</v>
      </c>
      <c r="H393" s="827">
        <v>82359</v>
      </c>
      <c r="I393" s="827">
        <v>69369</v>
      </c>
      <c r="J393" s="827">
        <v>69369</v>
      </c>
      <c r="K393" s="827">
        <v>68752</v>
      </c>
      <c r="L393" s="827">
        <v>1929269</v>
      </c>
      <c r="M393" s="827">
        <v>62441</v>
      </c>
      <c r="N393" s="827">
        <v>62441</v>
      </c>
      <c r="O393" s="827">
        <v>85212</v>
      </c>
      <c r="P393" s="827">
        <v>109780</v>
      </c>
      <c r="Q393" s="827">
        <v>108768</v>
      </c>
      <c r="R393" s="827">
        <v>109368</v>
      </c>
      <c r="S393" s="827">
        <v>107955</v>
      </c>
      <c r="T393" s="827">
        <v>107355</v>
      </c>
      <c r="U393" s="827">
        <v>108361</v>
      </c>
      <c r="V393" s="827">
        <v>113922</v>
      </c>
      <c r="W393" s="827">
        <v>110722</v>
      </c>
      <c r="X393" s="827">
        <v>106629</v>
      </c>
      <c r="Y393" s="827">
        <v>106765</v>
      </c>
      <c r="Z393" s="827">
        <v>111701</v>
      </c>
      <c r="AA393" s="827">
        <v>112231</v>
      </c>
      <c r="AB393" s="827">
        <v>100587</v>
      </c>
      <c r="AC393" s="828">
        <v>129937</v>
      </c>
      <c r="AD393" s="828">
        <v>130437</v>
      </c>
      <c r="AE393" s="828">
        <v>147860</v>
      </c>
      <c r="AF393" s="828">
        <v>147860</v>
      </c>
      <c r="AG393" s="828">
        <v>145103</v>
      </c>
      <c r="AH393" s="828">
        <v>145151</v>
      </c>
      <c r="AI393" s="828">
        <v>150699</v>
      </c>
      <c r="AJ393" s="828">
        <v>800049</v>
      </c>
      <c r="AK393" s="828">
        <v>794837</v>
      </c>
      <c r="AL393" s="828">
        <v>790257</v>
      </c>
      <c r="AM393" s="828">
        <v>705520</v>
      </c>
      <c r="AN393" s="828">
        <v>699470</v>
      </c>
      <c r="AO393" s="828">
        <v>780410</v>
      </c>
      <c r="AP393" s="828">
        <v>780310</v>
      </c>
    </row>
    <row r="394" hidden="1">
      <c r="B394" s="830" t="s">
        <v>24</v>
      </c>
      <c r="C394" s="823">
        <v>3879683</v>
      </c>
      <c r="D394" s="823">
        <v>3897923</v>
      </c>
      <c r="E394" s="823">
        <v>3885104</v>
      </c>
      <c r="F394" s="823">
        <v>3885004</v>
      </c>
      <c r="G394" s="823">
        <v>3415097</v>
      </c>
      <c r="H394" s="823">
        <v>2914256</v>
      </c>
      <c r="I394" s="823">
        <v>4119976</v>
      </c>
      <c r="J394" s="823">
        <v>4365458</v>
      </c>
      <c r="K394" s="823">
        <v>3122444</v>
      </c>
      <c r="L394" s="823">
        <v>2867707</v>
      </c>
      <c r="M394" s="823">
        <v>3922581</v>
      </c>
      <c r="N394" s="823">
        <v>2765869</v>
      </c>
      <c r="O394" s="823">
        <v>2482070</v>
      </c>
      <c r="P394" s="823">
        <v>2234153</v>
      </c>
      <c r="Q394" s="823">
        <v>3074926</v>
      </c>
      <c r="R394" s="823">
        <v>3271002</v>
      </c>
      <c r="S394" s="823">
        <v>3564807</v>
      </c>
      <c r="T394" s="823">
        <v>3538671</v>
      </c>
      <c r="U394" s="823">
        <v>3480193</v>
      </c>
      <c r="V394" s="823">
        <v>2769398</v>
      </c>
      <c r="W394" s="823">
        <v>3447782</v>
      </c>
      <c r="X394" s="823">
        <v>3551024</v>
      </c>
      <c r="Y394" s="823">
        <v>3977512</v>
      </c>
      <c r="Z394" s="823">
        <v>2829975</v>
      </c>
      <c r="AA394" s="823">
        <v>4224469</v>
      </c>
      <c r="AB394" s="823">
        <v>3858909</v>
      </c>
      <c r="AC394" s="825">
        <v>4337606</v>
      </c>
      <c r="AD394" s="825">
        <v>4208738</v>
      </c>
      <c r="AE394" s="825">
        <v>4346814</v>
      </c>
      <c r="AF394" s="825">
        <v>4167232</v>
      </c>
      <c r="AG394" s="825">
        <v>4541369</v>
      </c>
      <c r="AH394" s="825">
        <v>3284484</v>
      </c>
      <c r="AI394" s="825">
        <v>4076822</v>
      </c>
      <c r="AJ394" s="825">
        <v>4788002</v>
      </c>
      <c r="AK394" s="825">
        <v>6013139</v>
      </c>
      <c r="AL394" s="825">
        <v>6050840</v>
      </c>
      <c r="AM394" s="825">
        <v>5759332</v>
      </c>
      <c r="AN394" s="825">
        <v>5700133</v>
      </c>
      <c r="AO394" s="825">
        <v>5691882</v>
      </c>
      <c r="AP394" s="825">
        <v>5742041</v>
      </c>
    </row>
    <row r="395" hidden="1">
      <c r="B395" s="826" t="s">
        <v>25</v>
      </c>
      <c r="C395" s="827">
        <v>0</v>
      </c>
      <c r="D395" s="827">
        <v>0</v>
      </c>
      <c r="E395" s="827">
        <v>0</v>
      </c>
      <c r="F395" s="827">
        <v>0</v>
      </c>
      <c r="G395" s="827">
        <v>0</v>
      </c>
      <c r="H395" s="827">
        <v>0</v>
      </c>
      <c r="I395" s="827">
        <v>0</v>
      </c>
      <c r="J395" s="827">
        <v>0</v>
      </c>
      <c r="K395" s="827">
        <v>0</v>
      </c>
      <c r="L395" s="827">
        <v>0</v>
      </c>
      <c r="M395" s="827">
        <v>0</v>
      </c>
      <c r="N395" s="827">
        <v>0</v>
      </c>
      <c r="O395" s="827">
        <v>0</v>
      </c>
      <c r="P395" s="827">
        <v>0</v>
      </c>
      <c r="Q395" s="827">
        <v>0</v>
      </c>
      <c r="R395" s="827">
        <v>0</v>
      </c>
      <c r="S395" s="827">
        <v>0</v>
      </c>
      <c r="T395" s="827">
        <v>0</v>
      </c>
      <c r="U395" s="827">
        <v>0</v>
      </c>
      <c r="V395" s="827">
        <v>0</v>
      </c>
      <c r="W395" s="827">
        <v>0</v>
      </c>
      <c r="X395" s="827">
        <v>0</v>
      </c>
      <c r="Y395" s="827">
        <v>0</v>
      </c>
      <c r="Z395" s="827">
        <v>0</v>
      </c>
      <c r="AA395" s="827">
        <v>0</v>
      </c>
      <c r="AB395" s="827">
        <v>0</v>
      </c>
      <c r="AC395" s="828">
        <v>0</v>
      </c>
      <c r="AD395" s="828">
        <v>0</v>
      </c>
      <c r="AE395" s="828">
        <v>0</v>
      </c>
      <c r="AF395" s="828">
        <v>0</v>
      </c>
      <c r="AG395" s="828">
        <v>0</v>
      </c>
      <c r="AH395" s="828">
        <v>0</v>
      </c>
      <c r="AI395" s="828">
        <v>0</v>
      </c>
      <c r="AJ395" s="828">
        <v>0</v>
      </c>
      <c r="AK395" s="828">
        <v>0</v>
      </c>
      <c r="AL395" s="828">
        <v>0</v>
      </c>
      <c r="AM395" s="828">
        <v>0</v>
      </c>
      <c r="AN395" s="828">
        <v>0</v>
      </c>
      <c r="AO395" s="828">
        <v>0</v>
      </c>
      <c r="AP395" s="828">
        <v>0</v>
      </c>
    </row>
    <row r="396" hidden="1" ht="13.5">
      <c r="B396" s="831" t="s">
        <v>26</v>
      </c>
      <c r="C396" s="823">
        <v>0</v>
      </c>
      <c r="D396" s="823">
        <v>0</v>
      </c>
      <c r="E396" s="823">
        <v>0</v>
      </c>
      <c r="F396" s="823">
        <v>0</v>
      </c>
      <c r="G396" s="823">
        <v>0</v>
      </c>
      <c r="H396" s="823">
        <v>0</v>
      </c>
      <c r="I396" s="823">
        <v>0</v>
      </c>
      <c r="J396" s="823">
        <v>0</v>
      </c>
      <c r="K396" s="823">
        <v>0</v>
      </c>
      <c r="L396" s="823">
        <v>0</v>
      </c>
      <c r="M396" s="823">
        <v>0</v>
      </c>
      <c r="N396" s="823">
        <v>0</v>
      </c>
      <c r="O396" s="823">
        <v>0</v>
      </c>
      <c r="P396" s="823">
        <v>0</v>
      </c>
      <c r="Q396" s="823">
        <v>0</v>
      </c>
      <c r="R396" s="823">
        <v>0</v>
      </c>
      <c r="S396" s="823">
        <v>0</v>
      </c>
      <c r="T396" s="823">
        <v>0</v>
      </c>
      <c r="U396" s="823">
        <v>0</v>
      </c>
      <c r="V396" s="823">
        <v>0</v>
      </c>
      <c r="W396" s="823">
        <v>0</v>
      </c>
      <c r="X396" s="823">
        <v>0</v>
      </c>
      <c r="Y396" s="823">
        <v>0</v>
      </c>
      <c r="Z396" s="823">
        <v>0</v>
      </c>
      <c r="AA396" s="823">
        <v>0</v>
      </c>
      <c r="AB396" s="832">
        <v>0</v>
      </c>
      <c r="AC396" s="825">
        <v>0</v>
      </c>
      <c r="AD396" s="825">
        <v>0</v>
      </c>
      <c r="AE396" s="825">
        <v>0</v>
      </c>
      <c r="AF396" s="825">
        <v>0</v>
      </c>
      <c r="AG396" s="825">
        <v>0</v>
      </c>
      <c r="AH396" s="825">
        <v>0</v>
      </c>
      <c r="AI396" s="825">
        <v>0</v>
      </c>
      <c r="AJ396" s="825">
        <v>0</v>
      </c>
      <c r="AK396" s="825">
        <v>0</v>
      </c>
      <c r="AL396" s="825">
        <v>0</v>
      </c>
      <c r="AM396" s="825">
        <v>0</v>
      </c>
      <c r="AN396" s="825">
        <v>0</v>
      </c>
      <c r="AO396" s="825">
        <v>0</v>
      </c>
      <c r="AP396" s="825">
        <v>0</v>
      </c>
    </row>
    <row r="397" hidden="1" ht="13.5">
      <c r="B397" s="128" t="s">
        <v>7</v>
      </c>
      <c r="C397" s="129" t="str">
        <f>IF(SUM(C378:C396)&lt;&gt;0,SUM(C378:C396),"")</f>
      </c>
      <c r="D397" s="129" t="str">
        <f ref="D397:AA397" t="shared" si="40">IF(SUM(D378:D396)&lt;&gt;0,SUM(D378:D396),"")</f>
      </c>
      <c r="E397" s="129" t="str">
        <f t="shared" si="40"/>
      </c>
      <c r="F397" s="129" t="str">
        <f t="shared" si="40"/>
      </c>
      <c r="G397" s="129" t="str">
        <f t="shared" si="40"/>
      </c>
      <c r="H397" s="129" t="str">
        <f t="shared" si="40"/>
      </c>
      <c r="I397" s="129" t="str">
        <f t="shared" si="40"/>
      </c>
      <c r="J397" s="129" t="str">
        <f t="shared" si="40"/>
      </c>
      <c r="K397" s="129" t="str">
        <f t="shared" si="40"/>
      </c>
      <c r="L397" s="129" t="str">
        <f t="shared" si="40"/>
      </c>
      <c r="M397" s="129" t="str">
        <f t="shared" si="40"/>
      </c>
      <c r="N397" s="129" t="str">
        <f t="shared" si="40"/>
      </c>
      <c r="O397" s="129" t="str">
        <f t="shared" si="40"/>
      </c>
      <c r="P397" s="129" t="str">
        <f t="shared" si="40"/>
      </c>
      <c r="Q397" s="129" t="str">
        <f t="shared" si="40"/>
      </c>
      <c r="R397" s="129" t="str">
        <f t="shared" si="40"/>
      </c>
      <c r="S397" s="129" t="str">
        <f t="shared" si="40"/>
      </c>
      <c r="T397" s="129" t="str">
        <f t="shared" si="40"/>
      </c>
      <c r="U397" s="129" t="str">
        <f t="shared" si="40"/>
      </c>
      <c r="V397" s="129" t="str">
        <f t="shared" si="40"/>
      </c>
      <c r="W397" s="129" t="str">
        <f t="shared" si="40"/>
      </c>
      <c r="X397" s="129" t="str">
        <f t="shared" si="40"/>
      </c>
      <c r="Y397" s="129" t="str">
        <f t="shared" si="40"/>
      </c>
      <c r="Z397" s="129" t="str">
        <f t="shared" si="40"/>
      </c>
      <c r="AA397" s="129" t="str">
        <f t="shared" si="40"/>
      </c>
      <c r="AB397" s="130" t="str">
        <f>IF(SUM(AB378:AB396)&lt;&gt;0,SUM(AB378:AB396),"")</f>
      </c>
      <c r="AC397" s="91" t="str">
        <f ref="AC397:CN397" t="shared" si="41">IF(SUM(AC378:AC396)&lt;&gt;0,SUM(AC378:AC396),"")</f>
      </c>
      <c r="AD397" s="91" t="str">
        <f t="shared" si="41"/>
      </c>
      <c r="AE397" s="91" t="str">
        <f t="shared" si="41"/>
      </c>
      <c r="AF397" s="91" t="str">
        <f t="shared" si="41"/>
      </c>
      <c r="AG397" s="91" t="str">
        <f t="shared" si="41"/>
      </c>
      <c r="AH397" s="91" t="str">
        <f t="shared" si="41"/>
      </c>
      <c r="AI397" s="91" t="str">
        <f t="shared" si="41"/>
      </c>
      <c r="AJ397" s="91" t="str">
        <f t="shared" si="41"/>
      </c>
      <c r="AK397" s="91" t="str">
        <f t="shared" si="41"/>
      </c>
      <c r="AL397" s="91" t="str">
        <f t="shared" si="41"/>
      </c>
      <c r="AM397" s="91" t="str">
        <f t="shared" si="41"/>
      </c>
      <c r="AN397" s="91" t="str">
        <f t="shared" si="41"/>
      </c>
      <c r="AO397" s="91" t="str">
        <f t="shared" si="41"/>
      </c>
      <c r="AP397" s="91" t="str">
        <f t="shared" si="41"/>
      </c>
      <c r="AQ397" s="91" t="str">
        <f t="shared" si="41"/>
      </c>
      <c r="AR397" s="91" t="str">
        <f t="shared" si="41"/>
      </c>
      <c r="AS397" s="91" t="str">
        <f t="shared" si="41"/>
      </c>
      <c r="AT397" s="91" t="str">
        <f t="shared" si="41"/>
      </c>
      <c r="AU397" s="91" t="str">
        <f t="shared" si="41"/>
      </c>
      <c r="AV397" s="91" t="str">
        <f t="shared" si="41"/>
      </c>
      <c r="AW397" s="91" t="str">
        <f t="shared" si="41"/>
      </c>
      <c r="AX397" s="91" t="str">
        <f t="shared" si="41"/>
      </c>
      <c r="AY397" s="91" t="str">
        <f t="shared" si="41"/>
      </c>
      <c r="AZ397" s="91" t="str">
        <f t="shared" si="41"/>
      </c>
      <c r="BA397" s="91" t="str">
        <f t="shared" si="41"/>
      </c>
      <c r="BB397" s="91" t="str">
        <f t="shared" si="41"/>
      </c>
      <c r="BC397" s="91" t="str">
        <f t="shared" si="41"/>
      </c>
      <c r="BD397" s="91" t="str">
        <f t="shared" si="41"/>
      </c>
      <c r="BE397" s="91" t="str">
        <f t="shared" si="41"/>
      </c>
      <c r="BF397" s="91" t="str">
        <f t="shared" si="41"/>
      </c>
      <c r="BG397" s="91" t="str">
        <f t="shared" si="41"/>
      </c>
      <c r="BH397" s="91" t="str">
        <f t="shared" si="41"/>
      </c>
      <c r="BI397" s="91" t="str">
        <f t="shared" si="41"/>
      </c>
      <c r="BJ397" s="91" t="str">
        <f t="shared" si="41"/>
      </c>
      <c r="BK397" s="91" t="str">
        <f t="shared" si="41"/>
      </c>
      <c r="BL397" s="91" t="str">
        <f t="shared" si="41"/>
      </c>
      <c r="BM397" s="91" t="str">
        <f t="shared" si="41"/>
      </c>
      <c r="BN397" s="91" t="str">
        <f t="shared" si="41"/>
      </c>
      <c r="BO397" s="91" t="str">
        <f t="shared" si="41"/>
      </c>
      <c r="BP397" s="91" t="str">
        <f t="shared" si="41"/>
      </c>
      <c r="BQ397" s="91" t="str">
        <f t="shared" si="41"/>
      </c>
      <c r="BR397" s="91" t="str">
        <f t="shared" si="41"/>
      </c>
      <c r="BS397" s="91" t="str">
        <f t="shared" si="41"/>
      </c>
      <c r="BT397" s="91" t="str">
        <f t="shared" si="41"/>
      </c>
      <c r="BU397" s="91" t="str">
        <f t="shared" si="41"/>
      </c>
      <c r="BV397" s="91" t="str">
        <f t="shared" si="41"/>
      </c>
      <c r="BW397" s="91" t="str">
        <f t="shared" si="41"/>
      </c>
      <c r="BX397" s="91" t="str">
        <f t="shared" si="41"/>
      </c>
      <c r="BY397" s="91" t="str">
        <f t="shared" si="41"/>
      </c>
      <c r="BZ397" s="91" t="str">
        <f t="shared" si="41"/>
      </c>
      <c r="CA397" s="91" t="str">
        <f t="shared" si="41"/>
      </c>
      <c r="CB397" s="91" t="str">
        <f t="shared" si="41"/>
      </c>
      <c r="CC397" s="91" t="str">
        <f t="shared" si="41"/>
      </c>
      <c r="CD397" s="91" t="str">
        <f t="shared" si="41"/>
      </c>
      <c r="CE397" s="91" t="str">
        <f t="shared" si="41"/>
      </c>
      <c r="CF397" s="91" t="str">
        <f t="shared" si="41"/>
      </c>
      <c r="CG397" s="91" t="str">
        <f t="shared" si="41"/>
      </c>
      <c r="CH397" s="91" t="str">
        <f t="shared" si="41"/>
      </c>
      <c r="CI397" s="91" t="str">
        <f t="shared" si="41"/>
      </c>
      <c r="CJ397" s="91" t="str">
        <f t="shared" si="41"/>
      </c>
      <c r="CK397" s="91" t="str">
        <f t="shared" si="41"/>
      </c>
      <c r="CL397" s="91" t="str">
        <f t="shared" si="41"/>
      </c>
      <c r="CM397" s="91" t="str">
        <f t="shared" si="41"/>
      </c>
      <c r="CN397" s="91" t="str">
        <f t="shared" si="41"/>
      </c>
      <c r="CO397" s="91" t="str">
        <f ref="CO397:EZ397" t="shared" si="42">IF(SUM(CO378:CO396)&lt;&gt;0,SUM(CO378:CO396),"")</f>
      </c>
      <c r="CP397" s="91" t="str">
        <f t="shared" si="42"/>
      </c>
      <c r="CQ397" s="91" t="str">
        <f t="shared" si="42"/>
      </c>
      <c r="CR397" s="91" t="str">
        <f t="shared" si="42"/>
      </c>
      <c r="CS397" s="91" t="str">
        <f t="shared" si="42"/>
      </c>
      <c r="CT397" s="91" t="str">
        <f t="shared" si="42"/>
      </c>
      <c r="CU397" s="91" t="str">
        <f t="shared" si="42"/>
      </c>
      <c r="CV397" s="91" t="str">
        <f t="shared" si="42"/>
      </c>
      <c r="CW397" s="91" t="str">
        <f t="shared" si="42"/>
      </c>
      <c r="CX397" s="91" t="str">
        <f t="shared" si="42"/>
      </c>
      <c r="CY397" s="91" t="str">
        <f t="shared" si="42"/>
      </c>
      <c r="CZ397" s="91" t="str">
        <f t="shared" si="42"/>
      </c>
      <c r="DA397" s="91" t="str">
        <f t="shared" si="42"/>
      </c>
      <c r="DB397" s="91" t="str">
        <f t="shared" si="42"/>
      </c>
      <c r="DC397" s="91" t="str">
        <f t="shared" si="42"/>
      </c>
      <c r="DD397" s="91" t="str">
        <f t="shared" si="42"/>
      </c>
      <c r="DE397" s="91" t="str">
        <f t="shared" si="42"/>
      </c>
      <c r="DF397" s="91" t="str">
        <f t="shared" si="42"/>
      </c>
      <c r="DG397" s="91" t="str">
        <f t="shared" si="42"/>
      </c>
      <c r="DH397" s="91" t="str">
        <f t="shared" si="42"/>
      </c>
      <c r="DI397" s="91" t="str">
        <f t="shared" si="42"/>
      </c>
      <c r="DJ397" s="91" t="str">
        <f t="shared" si="42"/>
      </c>
      <c r="DK397" s="91" t="str">
        <f t="shared" si="42"/>
      </c>
      <c r="DL397" s="91" t="str">
        <f t="shared" si="42"/>
      </c>
      <c r="DM397" s="91" t="str">
        <f t="shared" si="42"/>
      </c>
      <c r="DN397" s="91" t="str">
        <f t="shared" si="42"/>
      </c>
      <c r="DO397" s="91" t="str">
        <f t="shared" si="42"/>
      </c>
      <c r="DP397" s="91" t="str">
        <f t="shared" si="42"/>
      </c>
      <c r="DQ397" s="91" t="str">
        <f t="shared" si="42"/>
      </c>
      <c r="DR397" s="91" t="str">
        <f t="shared" si="42"/>
      </c>
      <c r="DS397" s="91" t="str">
        <f t="shared" si="42"/>
      </c>
      <c r="DT397" s="91" t="str">
        <f t="shared" si="42"/>
      </c>
      <c r="DU397" s="91" t="str">
        <f t="shared" si="42"/>
      </c>
      <c r="DV397" s="91" t="str">
        <f t="shared" si="42"/>
      </c>
      <c r="DW397" s="91" t="str">
        <f t="shared" si="42"/>
      </c>
      <c r="DX397" s="91" t="str">
        <f t="shared" si="42"/>
      </c>
      <c r="DY397" s="91" t="str">
        <f t="shared" si="42"/>
      </c>
      <c r="DZ397" s="91" t="str">
        <f t="shared" si="42"/>
      </c>
      <c r="EA397" s="91" t="str">
        <f t="shared" si="42"/>
      </c>
      <c r="EB397" s="91" t="str">
        <f t="shared" si="42"/>
      </c>
      <c r="EC397" s="91" t="str">
        <f t="shared" si="42"/>
      </c>
      <c r="ED397" s="91" t="str">
        <f t="shared" si="42"/>
      </c>
      <c r="EE397" s="91" t="str">
        <f t="shared" si="42"/>
      </c>
      <c r="EF397" s="91" t="str">
        <f t="shared" si="42"/>
      </c>
      <c r="EG397" s="91" t="str">
        <f t="shared" si="42"/>
      </c>
      <c r="EH397" s="91" t="str">
        <f t="shared" si="42"/>
      </c>
      <c r="EI397" s="91" t="str">
        <f t="shared" si="42"/>
      </c>
      <c r="EJ397" s="91" t="str">
        <f t="shared" si="42"/>
      </c>
      <c r="EK397" s="91" t="str">
        <f t="shared" si="42"/>
      </c>
      <c r="EL397" s="91" t="str">
        <f t="shared" si="42"/>
      </c>
      <c r="EM397" s="91" t="str">
        <f t="shared" si="42"/>
      </c>
      <c r="EN397" s="91" t="str">
        <f t="shared" si="42"/>
      </c>
      <c r="EO397" s="91" t="str">
        <f t="shared" si="42"/>
      </c>
      <c r="EP397" s="91" t="str">
        <f t="shared" si="42"/>
      </c>
      <c r="EQ397" s="91" t="str">
        <f t="shared" si="42"/>
      </c>
      <c r="ER397" s="91" t="str">
        <f t="shared" si="42"/>
      </c>
      <c r="ES397" s="91" t="str">
        <f t="shared" si="42"/>
      </c>
      <c r="ET397" s="91" t="str">
        <f t="shared" si="42"/>
      </c>
      <c r="EU397" s="91" t="str">
        <f t="shared" si="42"/>
      </c>
      <c r="EV397" s="91" t="str">
        <f t="shared" si="42"/>
      </c>
      <c r="EW397" s="91" t="str">
        <f t="shared" si="42"/>
      </c>
      <c r="EX397" s="91" t="str">
        <f t="shared" si="42"/>
      </c>
      <c r="EY397" s="91" t="str">
        <f t="shared" si="42"/>
      </c>
      <c r="EZ397" s="91" t="str">
        <f t="shared" si="42"/>
      </c>
      <c r="FA397" s="91" t="str">
        <f ref="FA397:HL397" t="shared" si="43">IF(SUM(FA378:FA396)&lt;&gt;0,SUM(FA378:FA396),"")</f>
      </c>
      <c r="FB397" s="91" t="str">
        <f t="shared" si="43"/>
      </c>
      <c r="FC397" s="91" t="str">
        <f t="shared" si="43"/>
      </c>
      <c r="FD397" s="91" t="str">
        <f t="shared" si="43"/>
      </c>
      <c r="FE397" s="91" t="str">
        <f t="shared" si="43"/>
      </c>
      <c r="FF397" s="91" t="str">
        <f t="shared" si="43"/>
      </c>
      <c r="FG397" s="91" t="str">
        <f t="shared" si="43"/>
      </c>
      <c r="FH397" s="91" t="str">
        <f t="shared" si="43"/>
      </c>
      <c r="FI397" s="91" t="str">
        <f t="shared" si="43"/>
      </c>
      <c r="FJ397" s="91" t="str">
        <f t="shared" si="43"/>
      </c>
      <c r="FK397" s="91" t="str">
        <f t="shared" si="43"/>
      </c>
      <c r="FL397" s="91" t="str">
        <f t="shared" si="43"/>
      </c>
      <c r="FM397" s="91" t="str">
        <f t="shared" si="43"/>
      </c>
      <c r="FN397" s="91" t="str">
        <f t="shared" si="43"/>
      </c>
      <c r="FO397" s="91" t="str">
        <f t="shared" si="43"/>
      </c>
      <c r="FP397" s="91" t="str">
        <f t="shared" si="43"/>
      </c>
      <c r="FQ397" s="91" t="str">
        <f t="shared" si="43"/>
      </c>
      <c r="FR397" s="91" t="str">
        <f t="shared" si="43"/>
      </c>
      <c r="FS397" s="91" t="str">
        <f t="shared" si="43"/>
      </c>
      <c r="FT397" s="91" t="str">
        <f t="shared" si="43"/>
      </c>
      <c r="FU397" s="91" t="str">
        <f t="shared" si="43"/>
      </c>
      <c r="FV397" s="91" t="str">
        <f t="shared" si="43"/>
      </c>
      <c r="FW397" s="91" t="str">
        <f t="shared" si="43"/>
      </c>
      <c r="FX397" s="91" t="str">
        <f t="shared" si="43"/>
      </c>
      <c r="FY397" s="91" t="str">
        <f t="shared" si="43"/>
      </c>
      <c r="FZ397" s="91" t="str">
        <f t="shared" si="43"/>
      </c>
      <c r="GA397" s="91" t="str">
        <f t="shared" si="43"/>
      </c>
      <c r="GB397" s="91" t="str">
        <f t="shared" si="43"/>
      </c>
      <c r="GC397" s="91" t="str">
        <f t="shared" si="43"/>
      </c>
      <c r="GD397" s="91" t="str">
        <f t="shared" si="43"/>
      </c>
      <c r="GE397" s="91" t="str">
        <f t="shared" si="43"/>
      </c>
      <c r="GF397" s="91" t="str">
        <f t="shared" si="43"/>
      </c>
      <c r="GG397" s="91" t="str">
        <f t="shared" si="43"/>
      </c>
      <c r="GH397" s="91" t="str">
        <f t="shared" si="43"/>
      </c>
      <c r="GI397" s="91" t="str">
        <f t="shared" si="43"/>
      </c>
      <c r="GJ397" s="91" t="str">
        <f t="shared" si="43"/>
      </c>
      <c r="GK397" s="91" t="str">
        <f t="shared" si="43"/>
      </c>
      <c r="GL397" s="91" t="str">
        <f t="shared" si="43"/>
      </c>
      <c r="GM397" s="91" t="str">
        <f t="shared" si="43"/>
      </c>
      <c r="GN397" s="91" t="str">
        <f t="shared" si="43"/>
      </c>
      <c r="GO397" s="91" t="str">
        <f t="shared" si="43"/>
      </c>
      <c r="GP397" s="91" t="str">
        <f t="shared" si="43"/>
      </c>
      <c r="GQ397" s="91" t="str">
        <f t="shared" si="43"/>
      </c>
      <c r="GR397" s="91" t="str">
        <f t="shared" si="43"/>
      </c>
      <c r="GS397" s="91" t="str">
        <f t="shared" si="43"/>
      </c>
      <c r="GT397" s="91" t="str">
        <f t="shared" si="43"/>
      </c>
      <c r="GU397" s="91" t="str">
        <f t="shared" si="43"/>
      </c>
      <c r="GV397" s="91" t="str">
        <f t="shared" si="43"/>
      </c>
      <c r="GW397" s="91" t="str">
        <f t="shared" si="43"/>
      </c>
      <c r="GX397" s="91" t="str">
        <f t="shared" si="43"/>
      </c>
      <c r="GY397" s="91" t="str">
        <f t="shared" si="43"/>
      </c>
      <c r="GZ397" s="91" t="str">
        <f t="shared" si="43"/>
      </c>
      <c r="HA397" s="91" t="str">
        <f t="shared" si="43"/>
      </c>
      <c r="HB397" s="91" t="str">
        <f t="shared" si="43"/>
      </c>
      <c r="HC397" s="91" t="str">
        <f t="shared" si="43"/>
      </c>
      <c r="HD397" s="91" t="str">
        <f t="shared" si="43"/>
      </c>
      <c r="HE397" s="91" t="str">
        <f t="shared" si="43"/>
      </c>
      <c r="HF397" s="91" t="str">
        <f t="shared" si="43"/>
      </c>
      <c r="HG397" s="91" t="str">
        <f t="shared" si="43"/>
      </c>
      <c r="HH397" s="91" t="str">
        <f t="shared" si="43"/>
      </c>
      <c r="HI397" s="91" t="str">
        <f t="shared" si="43"/>
      </c>
      <c r="HJ397" s="91" t="str">
        <f t="shared" si="43"/>
      </c>
      <c r="HK397" s="91" t="str">
        <f t="shared" si="43"/>
      </c>
      <c r="HL397" s="91" t="str">
        <f t="shared" si="43"/>
      </c>
      <c r="HM397" s="91" t="str">
        <f ref="HM397:IV397" t="shared" si="44">IF(SUM(HM378:HM396)&lt;&gt;0,SUM(HM378:HM396),"")</f>
      </c>
      <c r="HN397" s="91" t="str">
        <f t="shared" si="44"/>
      </c>
      <c r="HO397" s="91" t="str">
        <f t="shared" si="44"/>
      </c>
      <c r="HP397" s="91" t="str">
        <f t="shared" si="44"/>
      </c>
      <c r="HQ397" s="91" t="str">
        <f t="shared" si="44"/>
      </c>
      <c r="HR397" s="91" t="str">
        <f t="shared" si="44"/>
      </c>
      <c r="HS397" s="91" t="str">
        <f t="shared" si="44"/>
      </c>
      <c r="HT397" s="91" t="str">
        <f t="shared" si="44"/>
      </c>
      <c r="HU397" s="91" t="str">
        <f t="shared" si="44"/>
      </c>
      <c r="HV397" s="91" t="str">
        <f t="shared" si="44"/>
      </c>
      <c r="HW397" s="91" t="str">
        <f t="shared" si="44"/>
      </c>
      <c r="HX397" s="91" t="str">
        <f t="shared" si="44"/>
      </c>
      <c r="HY397" s="91" t="str">
        <f t="shared" si="44"/>
      </c>
      <c r="HZ397" s="91" t="str">
        <f t="shared" si="44"/>
      </c>
      <c r="IA397" s="91" t="str">
        <f t="shared" si="44"/>
      </c>
      <c r="IB397" s="91" t="str">
        <f t="shared" si="44"/>
      </c>
      <c r="IC397" s="91" t="str">
        <f t="shared" si="44"/>
      </c>
      <c r="ID397" s="91" t="str">
        <f t="shared" si="44"/>
      </c>
      <c r="IE397" s="91" t="str">
        <f t="shared" si="44"/>
      </c>
      <c r="IF397" s="91" t="str">
        <f t="shared" si="44"/>
      </c>
      <c r="IG397" s="91" t="str">
        <f t="shared" si="44"/>
      </c>
      <c r="IH397" s="91" t="str">
        <f t="shared" si="44"/>
      </c>
      <c r="II397" s="91" t="str">
        <f t="shared" si="44"/>
      </c>
      <c r="IJ397" s="91" t="str">
        <f t="shared" si="44"/>
      </c>
      <c r="IK397" s="91" t="str">
        <f t="shared" si="44"/>
      </c>
      <c r="IL397" s="91" t="str">
        <f t="shared" si="44"/>
      </c>
      <c r="IM397" s="91" t="str">
        <f t="shared" si="44"/>
      </c>
      <c r="IN397" s="91" t="str">
        <f t="shared" si="44"/>
      </c>
      <c r="IO397" s="91" t="str">
        <f t="shared" si="44"/>
      </c>
      <c r="IP397" s="91" t="str">
        <f t="shared" si="44"/>
      </c>
      <c r="IQ397" s="91" t="str">
        <f t="shared" si="44"/>
      </c>
      <c r="IR397" s="91" t="str">
        <f t="shared" si="44"/>
      </c>
      <c r="IS397" s="91" t="str">
        <f t="shared" si="44"/>
      </c>
      <c r="IT397" s="91" t="str">
        <f t="shared" si="44"/>
      </c>
      <c r="IU397" s="91" t="str">
        <f t="shared" si="44"/>
      </c>
      <c r="IV397" s="91" t="str">
        <f t="shared" si="44"/>
      </c>
    </row>
    <row r="398" hidden="1" ht="13.5"/>
    <row r="399" hidden="1" ht="15.75" customHeight="1">
      <c r="C399" s="686" t="s">
        <v>393</v>
      </c>
      <c r="D399" s="687"/>
      <c r="E399" s="687"/>
      <c r="F399" s="687"/>
      <c r="G399" s="687"/>
      <c r="H399" s="687"/>
      <c r="I399" s="687"/>
      <c r="J399" s="687"/>
      <c r="K399" s="687"/>
      <c r="L399" s="687"/>
      <c r="M399" s="687"/>
      <c r="N399" s="687"/>
      <c r="O399" s="687"/>
      <c r="P399" s="687"/>
      <c r="Q399" s="687"/>
      <c r="R399" s="687"/>
      <c r="S399" s="687"/>
      <c r="T399" s="687"/>
      <c r="U399" s="687"/>
      <c r="V399" s="687"/>
      <c r="W399" s="687"/>
      <c r="X399" s="687"/>
      <c r="Y399" s="687"/>
      <c r="Z399" s="687"/>
      <c r="AA399" s="687"/>
      <c r="AB399" s="688"/>
    </row>
    <row r="400" hidden="1" ht="13.5">
      <c r="C400" s="435" t="str">
        <f> IF(C420&lt;&gt;"",TEXT(AUX!G$1,"dd-MMM-aa"),"")</f>
      </c>
      <c r="D400" s="435" t="str">
        <f> IF(D420&lt;&gt;"",TEXT(AUX!H$1,"dd-MMM-aa"),"")</f>
      </c>
      <c r="E400" s="435" t="str">
        <f> IF(E420&lt;&gt;"",TEXT(AUX!I$1,"dd-MMM-aa"),"")</f>
      </c>
      <c r="F400" s="435" t="str">
        <f> IF(F420&lt;&gt;"",TEXT(AUX!J$1,"dd-MMM-aa"),"")</f>
      </c>
      <c r="G400" s="435" t="str">
        <f> IF(G420&lt;&gt;"",TEXT(AUX!K$1,"dd-MMM-aa"),"")</f>
      </c>
      <c r="H400" s="435" t="str">
        <f> IF(H420&lt;&gt;"",TEXT(AUX!L$1,"dd-MMM-aa"),"")</f>
      </c>
      <c r="I400" s="435" t="str">
        <f> IF(I420&lt;&gt;"",TEXT(AUX!M$1,"dd-MMM-aa"),"")</f>
      </c>
      <c r="J400" s="435" t="str">
        <f> IF(J420&lt;&gt;"",TEXT(AUX!N$1,"dd-MMM-aa"),"")</f>
      </c>
      <c r="K400" s="435" t="str">
        <f> IF(K420&lt;&gt;"",TEXT(AUX!O$1,"dd-MMM-aa"),"")</f>
      </c>
      <c r="L400" s="435" t="str">
        <f> IF(L420&lt;&gt;"",TEXT(AUX!P$1,"dd-MMM-aa"),"")</f>
      </c>
      <c r="M400" s="435" t="str">
        <f> IF(M420&lt;&gt;"",TEXT(AUX!Q$1,"dd-MMM-aa"),"")</f>
      </c>
      <c r="N400" s="435" t="str">
        <f> IF(N420&lt;&gt;"",TEXT(AUX!R$1,"dd-MMM-aa"),"")</f>
      </c>
      <c r="O400" s="435" t="str">
        <f> IF(O420&lt;&gt;"",TEXT(AUX!S$1,"dd-MMM-aa"),"")</f>
      </c>
      <c r="P400" s="435" t="str">
        <f> IF(P420&lt;&gt;"",TEXT(AUX!T$1,"dd-MMM-aa"),"")</f>
      </c>
      <c r="Q400" s="435" t="str">
        <f> IF(Q420&lt;&gt;"",TEXT(AUX!U$1,"dd-MMM-aa"),"")</f>
      </c>
      <c r="R400" s="435" t="str">
        <f> IF(R420&lt;&gt;"",TEXT(AUX!V$1,"dd-MMM-aa"),"")</f>
      </c>
      <c r="S400" s="435" t="str">
        <f> IF(S420&lt;&gt;"",TEXT(AUX!W$1,"dd-MMM-aa"),"")</f>
      </c>
      <c r="T400" s="435" t="str">
        <f> IF(T420&lt;&gt;"",TEXT(AUX!X$1,"dd-MMM-aa"),"")</f>
      </c>
      <c r="U400" s="435" t="str">
        <f> IF(U420&lt;&gt;"",TEXT(AUX!Y$1,"dd-MMM-aa"),"")</f>
      </c>
      <c r="V400" s="435" t="str">
        <f> IF(V420&lt;&gt;"",TEXT(AUX!Z$1,"dd-MMM-aa"),"")</f>
      </c>
      <c r="W400" s="435" t="str">
        <f> IF(W420&lt;&gt;"",TEXT(AUX!AA$1,"dd-MMM-aa"),"")</f>
      </c>
      <c r="X400" s="435" t="str">
        <f> IF(X420&lt;&gt;"",TEXT(AUX!AB$1,"dd-MMM-aa"),"")</f>
      </c>
      <c r="Y400" s="435" t="str">
        <f> IF(Y420&lt;&gt;"",TEXT(AUX!AC$1,"dd-MMM-aa"),"")</f>
      </c>
      <c r="Z400" s="435" t="str">
        <f> IF(Z420&lt;&gt;"",TEXT(AUX!AD$1,"dd-MMM-aa"),"")</f>
      </c>
      <c r="AA400" s="435" t="str">
        <f> IF(AA420&lt;&gt;"",TEXT(AUX!AE$1,"dd-MMM-aa"),"")</f>
      </c>
      <c r="AB400" s="497" t="str">
        <f> IF(AB420&lt;&gt;"",TEXT(AUX!AF$1,"dd-MMM-aa"),"")</f>
      </c>
      <c r="AC400" s="496" t="str">
        <f> IF(AC420&lt;&gt;"",TEXT(AUX!AG$1,"dd-MMM-aa"),"")</f>
      </c>
      <c r="AD400" s="496" t="str">
        <f> IF(AD420&lt;&gt;"",TEXT(AUX!AH$1,"dd-MMM-aa"),"")</f>
      </c>
      <c r="AE400" s="496" t="str">
        <f> IF(AE420&lt;&gt;"",TEXT(AUX!AI$1,"dd-MMM-aa"),"")</f>
      </c>
      <c r="AF400" s="496" t="str">
        <f> IF(AF420&lt;&gt;"",TEXT(AUX!AJ$1,"dd-MMM-aa"),"")</f>
      </c>
      <c r="AG400" s="496" t="str">
        <f> IF(AG420&lt;&gt;"",TEXT(AUX!AK$1,"dd-MMM-aa"),"")</f>
      </c>
      <c r="AH400" s="496" t="str">
        <f> IF(AH420&lt;&gt;"",TEXT(AUX!AL$1,"dd-MMM-aa"),"")</f>
      </c>
      <c r="AI400" s="496" t="str">
        <f> IF(AI420&lt;&gt;"",TEXT(AUX!AM$1,"dd-MMM-aa"),"")</f>
      </c>
      <c r="AJ400" s="496" t="str">
        <f> IF(AJ420&lt;&gt;"",TEXT(AUX!AN$1,"dd-MMM-aa"),"")</f>
      </c>
      <c r="AK400" s="496" t="str">
        <f> IF(AK420&lt;&gt;"",TEXT(AUX!AO$1,"dd-MMM-aa"),"")</f>
      </c>
      <c r="AL400" s="496" t="str">
        <f> IF(AL420&lt;&gt;"",TEXT(AUX!AP$1,"dd-MMM-aa"),"")</f>
      </c>
      <c r="AM400" s="496" t="str">
        <f> IF(AM420&lt;&gt;"",TEXT(AUX!AQ$1,"dd-MMM-aa"),"")</f>
      </c>
      <c r="AN400" s="496" t="str">
        <f> IF(AN420&lt;&gt;"",TEXT(AUX!AR$1,"dd-MMM-aa"),"")</f>
      </c>
      <c r="AO400" s="496" t="str">
        <f> IF(AO420&lt;&gt;"",TEXT(AUX!AS$1,"dd-MMM-aa"),"")</f>
      </c>
      <c r="AP400" s="496" t="str">
        <f> IF(AP420&lt;&gt;"",TEXT(AUX!AT$1,"dd-MMM-aa"),"")</f>
      </c>
      <c r="AQ400" s="496" t="str">
        <f> IF(AQ420&lt;&gt;"",TEXT(AUX!AU$1,"dd-MMM-aa"),"")</f>
      </c>
      <c r="AR400" s="496" t="str">
        <f> IF(AR420&lt;&gt;"",TEXT(AUX!AV$1,"dd-MMM-aa"),"")</f>
      </c>
      <c r="AS400" s="496" t="str">
        <f> IF(AS420&lt;&gt;"",TEXT(AUX!AW$1,"dd-MMM-aa"),"")</f>
      </c>
      <c r="AT400" s="496" t="str">
        <f> IF(AT420&lt;&gt;"",TEXT(AUX!AX$1,"dd-MMM-aa"),"")</f>
      </c>
      <c r="AU400" s="496" t="str">
        <f> IF(AU420&lt;&gt;"",TEXT(AUX!AY$1,"dd-MMM-aa"),"")</f>
      </c>
      <c r="AV400" s="496" t="str">
        <f> IF(AV420&lt;&gt;"",TEXT(AUX!AZ$1,"dd-MMM-aa"),"")</f>
      </c>
      <c r="AW400" s="496" t="str">
        <f> IF(AW420&lt;&gt;"",TEXT(AUX!BA$1,"dd-MMM-aa"),"")</f>
      </c>
      <c r="AX400" s="496" t="str">
        <f> IF(AX420&lt;&gt;"",TEXT(AUX!BB$1,"dd-MMM-aa"),"")</f>
      </c>
      <c r="AY400" s="496" t="str">
        <f> IF(AY420&lt;&gt;"",TEXT(AUX!BC$1,"dd-MMM-aa"),"")</f>
      </c>
      <c r="AZ400" s="496" t="str">
        <f> IF(AZ420&lt;&gt;"",TEXT(AUX!BD$1,"dd-MMM-aa"),"")</f>
      </c>
      <c r="BA400" s="496" t="str">
        <f> IF(BA420&lt;&gt;"",TEXT(AUX!BE$1,"dd-MMM-aa"),"")</f>
      </c>
      <c r="BB400" s="496" t="str">
        <f> IF(BB420&lt;&gt;"",TEXT(AUX!BF$1,"dd-MMM-aa"),"")</f>
      </c>
      <c r="BC400" s="496" t="str">
        <f> IF(BC420&lt;&gt;"",TEXT(AUX!BG$1,"dd-MMM-aa"),"")</f>
      </c>
      <c r="BD400" s="496" t="str">
        <f> IF(BD420&lt;&gt;"",TEXT(AUX!BH$1,"dd-MMM-aa"),"")</f>
      </c>
      <c r="BE400" s="496" t="str">
        <f> IF(BE420&lt;&gt;"",TEXT(AUX!BI$1,"dd-MMM-aa"),"")</f>
      </c>
      <c r="BF400" s="496" t="str">
        <f> IF(BF420&lt;&gt;"",TEXT(AUX!BJ$1,"dd-MMM-aa"),"")</f>
      </c>
      <c r="BG400" s="496" t="str">
        <f> IF(BG420&lt;&gt;"",TEXT(AUX!BK$1,"dd-MMM-aa"),"")</f>
      </c>
      <c r="BH400" s="496" t="str">
        <f> IF(BH420&lt;&gt;"",TEXT(AUX!BL$1,"dd-MMM-aa"),"")</f>
      </c>
      <c r="BI400" s="496" t="str">
        <f> IF(BI420&lt;&gt;"",TEXT(AUX!BM$1,"dd-MMM-aa"),"")</f>
      </c>
      <c r="BJ400" s="496" t="str">
        <f> IF(BJ420&lt;&gt;"",TEXT(AUX!BN$1,"dd-MMM-aa"),"")</f>
      </c>
      <c r="BK400" s="496" t="str">
        <f> IF(BK420&lt;&gt;"",TEXT(AUX!BO$1,"dd-MMM-aa"),"")</f>
      </c>
      <c r="BL400" s="496" t="str">
        <f> IF(BL420&lt;&gt;"",TEXT(AUX!BP$1,"dd-MMM-aa"),"")</f>
      </c>
      <c r="BM400" s="496" t="str">
        <f> IF(BM420&lt;&gt;"",TEXT(AUX!BQ$1,"dd-MMM-aa"),"")</f>
      </c>
      <c r="BN400" s="496" t="str">
        <f> IF(BN420&lt;&gt;"",TEXT(AUX!BR$1,"dd-MMM-aa"),"")</f>
      </c>
      <c r="BO400" s="496" t="str">
        <f> IF(BO420&lt;&gt;"",TEXT(AUX!BS$1,"dd-MMM-aa"),"")</f>
      </c>
      <c r="BP400" s="496" t="str">
        <f> IF(BP420&lt;&gt;"",TEXT(AUX!BT$1,"dd-MMM-aa"),"")</f>
      </c>
      <c r="BQ400" s="496" t="str">
        <f> IF(BQ420&lt;&gt;"",TEXT(AUX!BU$1,"dd-MMM-aa"),"")</f>
      </c>
      <c r="BR400" s="496" t="str">
        <f> IF(BR420&lt;&gt;"",TEXT(AUX!BV$1,"dd-MMM-aa"),"")</f>
      </c>
      <c r="BS400" s="496" t="str">
        <f> IF(BS420&lt;&gt;"",TEXT(AUX!BW$1,"dd-MMM-aa"),"")</f>
      </c>
      <c r="BT400" s="496" t="str">
        <f> IF(BT420&lt;&gt;"",TEXT(AUX!BX$1,"dd-MMM-aa"),"")</f>
      </c>
      <c r="BU400" s="496" t="str">
        <f> IF(BU420&lt;&gt;"",TEXT(AUX!BY$1,"dd-MMM-aa"),"")</f>
      </c>
      <c r="BV400" s="496" t="str">
        <f> IF(BV420&lt;&gt;"",TEXT(AUX!BZ$1,"dd-MMM-aa"),"")</f>
      </c>
      <c r="BW400" s="496" t="str">
        <f> IF(BW420&lt;&gt;"",TEXT(AUX!CA$1,"dd-MMM-aa"),"")</f>
      </c>
      <c r="BX400" s="496" t="str">
        <f> IF(BX420&lt;&gt;"",TEXT(AUX!CB$1,"dd-MMM-aa"),"")</f>
      </c>
      <c r="BY400" s="496" t="str">
        <f> IF(BY420&lt;&gt;"",TEXT(AUX!CC$1,"dd-MMM-aa"),"")</f>
      </c>
      <c r="BZ400" s="496" t="str">
        <f> IF(BZ420&lt;&gt;"",TEXT(AUX!CD$1,"dd-MMM-aa"),"")</f>
      </c>
      <c r="CA400" s="496" t="str">
        <f> IF(CA420&lt;&gt;"",TEXT(AUX!CE$1,"dd-MMM-aa"),"")</f>
      </c>
      <c r="CB400" s="496" t="str">
        <f> IF(CB420&lt;&gt;"",TEXT(AUX!CF$1,"dd-MMM-aa"),"")</f>
      </c>
      <c r="CC400" s="496" t="str">
        <f> IF(CC420&lt;&gt;"",TEXT(AUX!CG$1,"dd-MMM-aa"),"")</f>
      </c>
      <c r="CD400" s="496" t="str">
        <f> IF(CD420&lt;&gt;"",TEXT(AUX!CH$1,"dd-MMM-aa"),"")</f>
      </c>
      <c r="CE400" s="496" t="str">
        <f> IF(CE420&lt;&gt;"",TEXT(AUX!CI$1,"dd-MMM-aa"),"")</f>
      </c>
      <c r="CF400" s="496" t="str">
        <f> IF(CF420&lt;&gt;"",TEXT(AUX!CJ$1,"dd-MMM-aa"),"")</f>
      </c>
      <c r="CG400" s="496" t="str">
        <f> IF(CG420&lt;&gt;"",TEXT(AUX!CK$1,"dd-MMM-aa"),"")</f>
      </c>
      <c r="CH400" s="496" t="str">
        <f> IF(CH420&lt;&gt;"",TEXT(AUX!CL$1,"dd-MMM-aa"),"")</f>
      </c>
      <c r="CI400" s="496" t="str">
        <f> IF(CI420&lt;&gt;"",TEXT(AUX!CM$1,"dd-MMM-aa"),"")</f>
      </c>
      <c r="CJ400" s="496" t="str">
        <f> IF(CJ420&lt;&gt;"",TEXT(AUX!CN$1,"dd-MMM-aa"),"")</f>
      </c>
      <c r="CK400" s="496" t="str">
        <f> IF(CK420&lt;&gt;"",TEXT(AUX!CO$1,"dd-MMM-aa"),"")</f>
      </c>
      <c r="CL400" s="496" t="str">
        <f> IF(CL420&lt;&gt;"",TEXT(AUX!CP$1,"dd-MMM-aa"),"")</f>
      </c>
      <c r="CM400" s="496" t="str">
        <f> IF(CM420&lt;&gt;"",TEXT(AUX!CQ$1,"dd-MMM-aa"),"")</f>
      </c>
      <c r="CN400" s="496" t="str">
        <f> IF(CN420&lt;&gt;"",TEXT(AUX!CR$1,"dd-MMM-aa"),"")</f>
      </c>
      <c r="CO400" s="496" t="str">
        <f> IF(CO420&lt;&gt;"",TEXT(AUX!CS$1,"dd-MMM-aa"),"")</f>
      </c>
      <c r="CP400" s="496" t="str">
        <f> IF(CP420&lt;&gt;"",TEXT(AUX!CT$1,"dd-MMM-aa"),"")</f>
      </c>
      <c r="CQ400" s="496" t="str">
        <f> IF(CQ420&lt;&gt;"",TEXT(AUX!CU$1,"dd-MMM-aa"),"")</f>
      </c>
      <c r="CR400" s="496" t="str">
        <f> IF(CR420&lt;&gt;"",TEXT(AUX!CV$1,"dd-MMM-aa"),"")</f>
      </c>
      <c r="CS400" s="496" t="str">
        <f> IF(CS420&lt;&gt;"",TEXT(AUX!CW$1,"dd-MMM-aa"),"")</f>
      </c>
      <c r="CT400" s="496" t="str">
        <f> IF(CT420&lt;&gt;"",TEXT(AUX!CX$1,"dd-MMM-aa"),"")</f>
      </c>
      <c r="CU400" s="496" t="str">
        <f> IF(CU420&lt;&gt;"",TEXT(AUX!CY$1,"dd-MMM-aa"),"")</f>
      </c>
      <c r="CV400" s="496" t="str">
        <f> IF(CV420&lt;&gt;"",TEXT(AUX!CZ$1,"dd-MMM-aa"),"")</f>
      </c>
      <c r="CW400" s="496" t="str">
        <f> IF(CW420&lt;&gt;"",TEXT(AUX!DA$1,"dd-MMM-aa"),"")</f>
      </c>
      <c r="CX400" s="496" t="str">
        <f> IF(CX420&lt;&gt;"",TEXT(AUX!DB$1,"dd-MMM-aa"),"")</f>
      </c>
      <c r="CY400" s="496" t="str">
        <f> IF(CY420&lt;&gt;"",TEXT(AUX!DC$1,"dd-MMM-aa"),"")</f>
      </c>
      <c r="CZ400" s="496" t="str">
        <f> IF(CZ420&lt;&gt;"",TEXT(AUX!DD$1,"dd-MMM-aa"),"")</f>
      </c>
      <c r="DA400" s="496" t="str">
        <f> IF(DA420&lt;&gt;"",TEXT(AUX!DE$1,"dd-MMM-aa"),"")</f>
      </c>
      <c r="DB400" s="496" t="str">
        <f> IF(DB420&lt;&gt;"",TEXT(AUX!DF$1,"dd-MMM-aa"),"")</f>
      </c>
      <c r="DC400" s="496" t="str">
        <f> IF(DC420&lt;&gt;"",TEXT(AUX!DG$1,"dd-MMM-aa"),"")</f>
      </c>
      <c r="DD400" s="496" t="str">
        <f> IF(DD420&lt;&gt;"",TEXT(AUX!DH$1,"dd-MMM-aa"),"")</f>
      </c>
      <c r="DE400" s="496" t="str">
        <f> IF(DE420&lt;&gt;"",TEXT(AUX!DI$1,"dd-MMM-aa"),"")</f>
      </c>
      <c r="DF400" s="496" t="str">
        <f> IF(DF420&lt;&gt;"",TEXT(AUX!DJ$1,"dd-MMM-aa"),"")</f>
      </c>
      <c r="DG400" s="496" t="str">
        <f> IF(DG420&lt;&gt;"",TEXT(AUX!DK$1,"dd-MMM-aa"),"")</f>
      </c>
      <c r="DH400" s="496" t="str">
        <f> IF(DH420&lt;&gt;"",TEXT(AUX!DL$1,"dd-MMM-aa"),"")</f>
      </c>
      <c r="DI400" s="496" t="str">
        <f> IF(DI420&lt;&gt;"",TEXT(AUX!DM$1,"dd-MMM-aa"),"")</f>
      </c>
      <c r="DJ400" s="496" t="str">
        <f> IF(DJ420&lt;&gt;"",TEXT(AUX!DN$1,"dd-MMM-aa"),"")</f>
      </c>
      <c r="DK400" s="496" t="str">
        <f> IF(DK420&lt;&gt;"",TEXT(AUX!DO$1,"dd-MMM-aa"),"")</f>
      </c>
      <c r="DL400" s="496" t="str">
        <f> IF(DL420&lt;&gt;"",TEXT(AUX!DP$1,"dd-MMM-aa"),"")</f>
      </c>
      <c r="DM400" s="496" t="str">
        <f> IF(DM420&lt;&gt;"",TEXT(AUX!DQ$1,"dd-MMM-aa"),"")</f>
      </c>
      <c r="DN400" s="496" t="str">
        <f> IF(DN420&lt;&gt;"",TEXT(AUX!DR$1,"dd-MMM-aa"),"")</f>
      </c>
      <c r="DO400" s="496" t="str">
        <f> IF(DO420&lt;&gt;"",TEXT(AUX!DS$1,"dd-MMM-aa"),"")</f>
      </c>
      <c r="DP400" s="496" t="str">
        <f> IF(DP420&lt;&gt;"",TEXT(AUX!DT$1,"dd-MMM-aa"),"")</f>
      </c>
      <c r="DQ400" s="496" t="str">
        <f> IF(DQ420&lt;&gt;"",TEXT(AUX!DU$1,"dd-MMM-aa"),"")</f>
      </c>
      <c r="DR400" s="496" t="str">
        <f> IF(DR420&lt;&gt;"",TEXT(AUX!DV$1,"dd-MMM-aa"),"")</f>
      </c>
      <c r="DS400" s="496" t="str">
        <f> IF(DS420&lt;&gt;"",TEXT(AUX!DW$1,"dd-MMM-aa"),"")</f>
      </c>
      <c r="DT400" s="496" t="str">
        <f> IF(DT420&lt;&gt;"",TEXT(AUX!DX$1,"dd-MMM-aa"),"")</f>
      </c>
      <c r="DU400" s="496" t="str">
        <f> IF(DU420&lt;&gt;"",TEXT(AUX!DY$1,"dd-MMM-aa"),"")</f>
      </c>
      <c r="DV400" s="496" t="str">
        <f> IF(DV420&lt;&gt;"",TEXT(AUX!DZ$1,"dd-MMM-aa"),"")</f>
      </c>
      <c r="DW400" s="496" t="str">
        <f> IF(DW420&lt;&gt;"",TEXT(AUX!EA$1,"dd-MMM-aa"),"")</f>
      </c>
      <c r="DX400" s="496" t="str">
        <f> IF(DX420&lt;&gt;"",TEXT(AUX!EB$1,"dd-MMM-aa"),"")</f>
      </c>
      <c r="DY400" s="496" t="str">
        <f> IF(DY420&lt;&gt;"",TEXT(AUX!EC$1,"dd-MMM-aa"),"")</f>
      </c>
      <c r="DZ400" s="496" t="str">
        <f> IF(DZ420&lt;&gt;"",TEXT(AUX!ED$1,"dd-MMM-aa"),"")</f>
      </c>
      <c r="EA400" s="496" t="str">
        <f> IF(EA420&lt;&gt;"",TEXT(AUX!EE$1,"dd-MMM-aa"),"")</f>
      </c>
      <c r="EB400" s="496" t="str">
        <f> IF(EB420&lt;&gt;"",TEXT(AUX!EF$1,"dd-MMM-aa"),"")</f>
      </c>
      <c r="EC400" s="496" t="str">
        <f> IF(EC420&lt;&gt;"",TEXT(AUX!EG$1,"dd-MMM-aa"),"")</f>
      </c>
      <c r="ED400" s="496" t="str">
        <f> IF(ED420&lt;&gt;"",TEXT(AUX!EH$1,"dd-MMM-aa"),"")</f>
      </c>
      <c r="EE400" s="496" t="str">
        <f> IF(EE420&lt;&gt;"",TEXT(AUX!EI$1,"dd-MMM-aa"),"")</f>
      </c>
      <c r="EF400" s="496" t="str">
        <f> IF(EF420&lt;&gt;"",TEXT(AUX!EJ$1,"dd-MMM-aa"),"")</f>
      </c>
      <c r="EG400" s="496" t="str">
        <f> IF(EG420&lt;&gt;"",TEXT(AUX!EK$1,"dd-MMM-aa"),"")</f>
      </c>
      <c r="EH400" s="496" t="str">
        <f> IF(EH420&lt;&gt;"",TEXT(AUX!EL$1,"dd-MMM-aa"),"")</f>
      </c>
      <c r="EI400" s="496" t="str">
        <f> IF(EI420&lt;&gt;"",TEXT(AUX!EM$1,"dd-MMM-aa"),"")</f>
      </c>
      <c r="EJ400" s="496" t="str">
        <f> IF(EJ420&lt;&gt;"",TEXT(AUX!EN$1,"dd-MMM-aa"),"")</f>
      </c>
      <c r="EK400" s="496" t="str">
        <f> IF(EK420&lt;&gt;"",TEXT(AUX!EO$1,"dd-MMM-aa"),"")</f>
      </c>
      <c r="EL400" s="496" t="str">
        <f> IF(EL420&lt;&gt;"",TEXT(AUX!EP$1,"dd-MMM-aa"),"")</f>
      </c>
      <c r="EM400" s="496" t="str">
        <f> IF(EM420&lt;&gt;"",TEXT(AUX!EQ$1,"dd-MMM-aa"),"")</f>
      </c>
      <c r="EN400" s="496" t="str">
        <f> IF(EN420&lt;&gt;"",TEXT(AUX!ER$1,"dd-MMM-aa"),"")</f>
      </c>
      <c r="EO400" s="496" t="str">
        <f> IF(EO420&lt;&gt;"",TEXT(AUX!ES$1,"dd-MMM-aa"),"")</f>
      </c>
      <c r="EP400" s="496" t="str">
        <f> IF(EP420&lt;&gt;"",TEXT(AUX!ET$1,"dd-MMM-aa"),"")</f>
      </c>
      <c r="EQ400" s="496" t="str">
        <f> IF(EQ420&lt;&gt;"",TEXT(AUX!EU$1,"dd-MMM-aa"),"")</f>
      </c>
      <c r="ER400" s="496" t="str">
        <f> IF(ER420&lt;&gt;"",TEXT(AUX!EV$1,"dd-MMM-aa"),"")</f>
      </c>
      <c r="ES400" s="496" t="str">
        <f> IF(ES420&lt;&gt;"",TEXT(AUX!EW$1,"dd-MMM-aa"),"")</f>
      </c>
      <c r="ET400" s="496" t="str">
        <f> IF(ET420&lt;&gt;"",TEXT(AUX!EX$1,"dd-MMM-aa"),"")</f>
      </c>
      <c r="EU400" s="496" t="str">
        <f> IF(EU420&lt;&gt;"",TEXT(AUX!EY$1,"dd-MMM-aa"),"")</f>
      </c>
      <c r="EV400" s="496" t="str">
        <f> IF(EV420&lt;&gt;"",TEXT(AUX!EZ$1,"dd-MMM-aa"),"")</f>
      </c>
      <c r="EW400" s="496" t="str">
        <f> IF(EW420&lt;&gt;"",TEXT(AUX!FA$1,"dd-MMM-aa"),"")</f>
      </c>
      <c r="EX400" s="496" t="str">
        <f> IF(EX420&lt;&gt;"",TEXT(AUX!FB$1,"dd-MMM-aa"),"")</f>
      </c>
      <c r="EY400" s="496" t="str">
        <f> IF(EY420&lt;&gt;"",TEXT(AUX!FC$1,"dd-MMM-aa"),"")</f>
      </c>
      <c r="EZ400" s="496" t="str">
        <f> IF(EZ420&lt;&gt;"",TEXT(AUX!FD$1,"dd-MMM-aa"),"")</f>
      </c>
      <c r="FA400" s="496" t="str">
        <f> IF(FA420&lt;&gt;"",TEXT(AUX!FE$1,"dd-MMM-aa"),"")</f>
      </c>
      <c r="FB400" s="496" t="str">
        <f> IF(FB420&lt;&gt;"",TEXT(AUX!FF$1,"dd-MMM-aa"),"")</f>
      </c>
      <c r="FC400" s="496" t="str">
        <f> IF(FC420&lt;&gt;"",TEXT(AUX!FG$1,"dd-MMM-aa"),"")</f>
      </c>
      <c r="FD400" s="496" t="str">
        <f> IF(FD420&lt;&gt;"",TEXT(AUX!FH$1,"dd-MMM-aa"),"")</f>
      </c>
      <c r="FE400" s="496" t="str">
        <f> IF(FE420&lt;&gt;"",TEXT(AUX!FI$1,"dd-MMM-aa"),"")</f>
      </c>
      <c r="FF400" s="496" t="str">
        <f> IF(FF420&lt;&gt;"",TEXT(AUX!FJ$1,"dd-MMM-aa"),"")</f>
      </c>
      <c r="FG400" s="496" t="str">
        <f> IF(FG420&lt;&gt;"",TEXT(AUX!FK$1,"dd-MMM-aa"),"")</f>
      </c>
      <c r="FH400" s="496" t="str">
        <f> IF(FH420&lt;&gt;"",TEXT(AUX!FL$1,"dd-MMM-aa"),"")</f>
      </c>
      <c r="FI400" s="496" t="str">
        <f> IF(FI420&lt;&gt;"",TEXT(AUX!FM$1,"dd-MMM-aa"),"")</f>
      </c>
      <c r="FJ400" s="496" t="str">
        <f> IF(FJ420&lt;&gt;"",TEXT(AUX!FN$1,"dd-MMM-aa"),"")</f>
      </c>
      <c r="FK400" s="496" t="str">
        <f> IF(FK420&lt;&gt;"",TEXT(AUX!FO$1,"dd-MMM-aa"),"")</f>
      </c>
      <c r="FL400" s="496" t="str">
        <f> IF(FL420&lt;&gt;"",TEXT(AUX!FP$1,"dd-MMM-aa"),"")</f>
      </c>
      <c r="FM400" s="496" t="str">
        <f> IF(FM420&lt;&gt;"",TEXT(AUX!FQ$1,"dd-MMM-aa"),"")</f>
      </c>
      <c r="FN400" s="496" t="str">
        <f> IF(FN420&lt;&gt;"",TEXT(AUX!FR$1,"dd-MMM-aa"),"")</f>
      </c>
      <c r="FO400" s="496" t="str">
        <f> IF(FO420&lt;&gt;"",TEXT(AUX!FS$1,"dd-MMM-aa"),"")</f>
      </c>
      <c r="FP400" s="496" t="str">
        <f> IF(FP420&lt;&gt;"",TEXT(AUX!FT$1,"dd-MMM-aa"),"")</f>
      </c>
      <c r="FQ400" s="496" t="str">
        <f> IF(FQ420&lt;&gt;"",TEXT(AUX!FU$1,"dd-MMM-aa"),"")</f>
      </c>
      <c r="FR400" s="496" t="str">
        <f> IF(FR420&lt;&gt;"",TEXT(AUX!FV$1,"dd-MMM-aa"),"")</f>
      </c>
      <c r="FS400" s="496" t="str">
        <f> IF(FS420&lt;&gt;"",TEXT(AUX!FW$1,"dd-MMM-aa"),"")</f>
      </c>
      <c r="FT400" s="496" t="str">
        <f> IF(FT420&lt;&gt;"",TEXT(AUX!FX$1,"dd-MMM-aa"),"")</f>
      </c>
      <c r="FU400" s="496" t="str">
        <f> IF(FU420&lt;&gt;"",TEXT(AUX!FY$1,"dd-MMM-aa"),"")</f>
      </c>
      <c r="FV400" s="496" t="str">
        <f> IF(FV420&lt;&gt;"",TEXT(AUX!FZ$1,"dd-MMM-aa"),"")</f>
      </c>
      <c r="FW400" s="496" t="str">
        <f> IF(FW420&lt;&gt;"",TEXT(AUX!GA$1,"dd-MMM-aa"),"")</f>
      </c>
      <c r="FX400" s="496" t="str">
        <f> IF(FX420&lt;&gt;"",TEXT(AUX!GB$1,"dd-MMM-aa"),"")</f>
      </c>
      <c r="FY400" s="496" t="str">
        <f> IF(FY420&lt;&gt;"",TEXT(AUX!GC$1,"dd-MMM-aa"),"")</f>
      </c>
      <c r="FZ400" s="496" t="str">
        <f> IF(FZ420&lt;&gt;"",TEXT(AUX!GD$1,"dd-MMM-aa"),"")</f>
      </c>
      <c r="GA400" s="496" t="str">
        <f> IF(GA420&lt;&gt;"",TEXT(AUX!GE$1,"dd-MMM-aa"),"")</f>
      </c>
      <c r="GB400" s="496" t="str">
        <f> IF(GB420&lt;&gt;"",TEXT(AUX!GF$1,"dd-MMM-aa"),"")</f>
      </c>
      <c r="GC400" s="496" t="str">
        <f> IF(GC420&lt;&gt;"",TEXT(AUX!GG$1,"dd-MMM-aa"),"")</f>
      </c>
      <c r="GD400" s="496" t="str">
        <f> IF(GD420&lt;&gt;"",TEXT(AUX!GH$1,"dd-MMM-aa"),"")</f>
      </c>
      <c r="GE400" s="496" t="str">
        <f> IF(GE420&lt;&gt;"",TEXT(AUX!GI$1,"dd-MMM-aa"),"")</f>
      </c>
      <c r="GF400" s="496" t="str">
        <f> IF(GF420&lt;&gt;"",TEXT(AUX!GJ$1,"dd-MMM-aa"),"")</f>
      </c>
      <c r="GG400" s="496" t="str">
        <f> IF(GG420&lt;&gt;"",TEXT(AUX!GK$1,"dd-MMM-aa"),"")</f>
      </c>
      <c r="GH400" s="496" t="str">
        <f> IF(GH420&lt;&gt;"",TEXT(AUX!GL$1,"dd-MMM-aa"),"")</f>
      </c>
      <c r="GI400" s="496" t="str">
        <f> IF(GI420&lt;&gt;"",TEXT(AUX!GM$1,"dd-MMM-aa"),"")</f>
      </c>
      <c r="GJ400" s="496" t="str">
        <f> IF(GJ420&lt;&gt;"",TEXT(AUX!GN$1,"dd-MMM-aa"),"")</f>
      </c>
      <c r="GK400" s="496" t="str">
        <f> IF(GK420&lt;&gt;"",TEXT(AUX!GO$1,"dd-MMM-aa"),"")</f>
      </c>
      <c r="GL400" s="496" t="str">
        <f> IF(GL420&lt;&gt;"",TEXT(AUX!GP$1,"dd-MMM-aa"),"")</f>
      </c>
      <c r="GM400" s="496" t="str">
        <f> IF(GM420&lt;&gt;"",TEXT(AUX!GQ$1,"dd-MMM-aa"),"")</f>
      </c>
      <c r="GN400" s="496" t="str">
        <f> IF(GN420&lt;&gt;"",TEXT(AUX!GR$1,"dd-MMM-aa"),"")</f>
      </c>
      <c r="GO400" s="496" t="str">
        <f> IF(GO420&lt;&gt;"",TEXT(AUX!GS$1,"dd-MMM-aa"),"")</f>
      </c>
      <c r="GP400" s="496" t="str">
        <f> IF(GP420&lt;&gt;"",TEXT(AUX!GT$1,"dd-MMM-aa"),"")</f>
      </c>
      <c r="GQ400" s="496" t="str">
        <f> IF(GQ420&lt;&gt;"",TEXT(AUX!GU$1,"dd-MMM-aa"),"")</f>
      </c>
      <c r="GR400" s="496" t="str">
        <f> IF(GR420&lt;&gt;"",TEXT(AUX!GV$1,"dd-MMM-aa"),"")</f>
      </c>
      <c r="GS400" s="496" t="str">
        <f> IF(GS420&lt;&gt;"",TEXT(AUX!GW$1,"dd-MMM-aa"),"")</f>
      </c>
      <c r="GT400" s="496" t="str">
        <f> IF(GT420&lt;&gt;"",TEXT(AUX!GX$1,"dd-MMM-aa"),"")</f>
      </c>
      <c r="GU400" s="496" t="str">
        <f> IF(GU420&lt;&gt;"",TEXT(AUX!GY$1,"dd-MMM-aa"),"")</f>
      </c>
      <c r="GV400" s="496" t="str">
        <f> IF(GV420&lt;&gt;"",TEXT(AUX!GZ$1,"dd-MMM-aa"),"")</f>
      </c>
      <c r="GW400" s="496" t="str">
        <f> IF(GW420&lt;&gt;"",TEXT(AUX!HA$1,"dd-MMM-aa"),"")</f>
      </c>
      <c r="GX400" s="496" t="str">
        <f> IF(GX420&lt;&gt;"",TEXT(AUX!HB$1,"dd-MMM-aa"),"")</f>
      </c>
      <c r="GY400" s="496" t="str">
        <f> IF(GY420&lt;&gt;"",TEXT(AUX!HC$1,"dd-MMM-aa"),"")</f>
      </c>
      <c r="GZ400" s="496" t="str">
        <f> IF(GZ420&lt;&gt;"",TEXT(AUX!HD$1,"dd-MMM-aa"),"")</f>
      </c>
      <c r="HA400" s="496" t="str">
        <f> IF(HA420&lt;&gt;"",TEXT(AUX!HE$1,"dd-MMM-aa"),"")</f>
      </c>
      <c r="HB400" s="496" t="str">
        <f> IF(HB420&lt;&gt;"",TEXT(AUX!HF$1,"dd-MMM-aa"),"")</f>
      </c>
      <c r="HC400" s="496" t="str">
        <f> IF(HC420&lt;&gt;"",TEXT(AUX!HG$1,"dd-MMM-aa"),"")</f>
      </c>
      <c r="HD400" s="496" t="str">
        <f> IF(HD420&lt;&gt;"",TEXT(AUX!HH$1,"dd-MMM-aa"),"")</f>
      </c>
      <c r="HE400" s="496" t="str">
        <f> IF(HE420&lt;&gt;"",TEXT(AUX!HI$1,"dd-MMM-aa"),"")</f>
      </c>
      <c r="HF400" s="496" t="str">
        <f> IF(HF420&lt;&gt;"",TEXT(AUX!HJ$1,"dd-MMM-aa"),"")</f>
      </c>
      <c r="HG400" s="496" t="str">
        <f> IF(HG420&lt;&gt;"",TEXT(AUX!HK$1,"dd-MMM-aa"),"")</f>
      </c>
      <c r="HH400" s="496" t="str">
        <f> IF(HH420&lt;&gt;"",TEXT(AUX!HL$1,"dd-MMM-aa"),"")</f>
      </c>
      <c r="HI400" s="496" t="str">
        <f> IF(HI420&lt;&gt;"",TEXT(AUX!HM$1,"dd-MMM-aa"),"")</f>
      </c>
      <c r="HJ400" s="496" t="str">
        <f> IF(HJ420&lt;&gt;"",TEXT(AUX!HN$1,"dd-MMM-aa"),"")</f>
      </c>
      <c r="HK400" s="496" t="str">
        <f> IF(HK420&lt;&gt;"",TEXT(AUX!HO$1,"dd-MMM-aa"),"")</f>
      </c>
      <c r="HL400" s="496" t="str">
        <f> IF(HL420&lt;&gt;"",TEXT(AUX!HP$1,"dd-MMM-aa"),"")</f>
      </c>
      <c r="HM400" s="496" t="str">
        <f> IF(HM420&lt;&gt;"",TEXT(AUX!HQ$1,"dd-MMM-aa"),"")</f>
      </c>
      <c r="HN400" s="496" t="str">
        <f> IF(HN420&lt;&gt;"",TEXT(AUX!HR$1,"dd-MMM-aa"),"")</f>
      </c>
      <c r="HO400" s="496" t="str">
        <f> IF(HO420&lt;&gt;"",TEXT(AUX!HS$1,"dd-MMM-aa"),"")</f>
      </c>
      <c r="HP400" s="496" t="str">
        <f> IF(HP420&lt;&gt;"",TEXT(AUX!HT$1,"dd-MMM-aa"),"")</f>
      </c>
      <c r="HQ400" s="496" t="str">
        <f> IF(HQ420&lt;&gt;"",TEXT(AUX!HU$1,"dd-MMM-aa"),"")</f>
      </c>
      <c r="HR400" s="496" t="str">
        <f> IF(HR420&lt;&gt;"",TEXT(AUX!HV$1,"dd-MMM-aa"),"")</f>
      </c>
      <c r="HS400" s="496" t="str">
        <f> IF(HS420&lt;&gt;"",TEXT(AUX!HW$1,"dd-MMM-aa"),"")</f>
      </c>
      <c r="HT400" s="496" t="str">
        <f> IF(HT420&lt;&gt;"",TEXT(AUX!HX$1,"dd-MMM-aa"),"")</f>
      </c>
      <c r="HU400" s="496" t="str">
        <f> IF(HU420&lt;&gt;"",TEXT(AUX!HY$1,"dd-MMM-aa"),"")</f>
      </c>
      <c r="HV400" s="496" t="str">
        <f> IF(HV420&lt;&gt;"",TEXT(AUX!HZ$1,"dd-MMM-aa"),"")</f>
      </c>
      <c r="HW400" s="496" t="str">
        <f> IF(HW420&lt;&gt;"",TEXT(AUX!IA$1,"dd-MMM-aa"),"")</f>
      </c>
      <c r="HX400" s="496" t="str">
        <f> IF(HX420&lt;&gt;"",TEXT(AUX!IB$1,"dd-MMM-aa"),"")</f>
      </c>
      <c r="HY400" s="496" t="str">
        <f> IF(HY420&lt;&gt;"",TEXT(AUX!IC$1,"dd-MMM-aa"),"")</f>
      </c>
      <c r="HZ400" s="496" t="str">
        <f> IF(HZ420&lt;&gt;"",TEXT(AUX!ID$1,"dd-MMM-aa"),"")</f>
      </c>
      <c r="IA400" s="496" t="str">
        <f> IF(IA420&lt;&gt;"",TEXT(AUX!IE$1,"dd-MMM-aa"),"")</f>
      </c>
      <c r="IB400" s="496" t="str">
        <f> IF(IB420&lt;&gt;"",TEXT(AUX!IF$1,"dd-MMM-aa"),"")</f>
      </c>
      <c r="IC400" s="496" t="str">
        <f> IF(IC420&lt;&gt;"",TEXT(AUX!IG$1,"dd-MMM-aa"),"")</f>
      </c>
      <c r="ID400" s="496" t="str">
        <f> IF(ID420&lt;&gt;"",TEXT(AUX!IH$1,"dd-MMM-aa"),"")</f>
      </c>
      <c r="IE400" s="496" t="str">
        <f> IF(IE420&lt;&gt;"",TEXT(AUX!II$1,"dd-MMM-aa"),"")</f>
      </c>
      <c r="IF400" s="496" t="str">
        <f> IF(IF420&lt;&gt;"",TEXT(AUX!IJ$1,"dd-MMM-aa"),"")</f>
      </c>
      <c r="IG400" s="496" t="str">
        <f> IF(IG420&lt;&gt;"",TEXT(AUX!IK$1,"dd-MMM-aa"),"")</f>
      </c>
      <c r="IH400" s="496" t="str">
        <f> IF(IH420&lt;&gt;"",TEXT(AUX!IL$1,"dd-MMM-aa"),"")</f>
      </c>
      <c r="II400" s="496" t="str">
        <f> IF(II420&lt;&gt;"",TEXT(AUX!IM$1,"dd-MMM-aa"),"")</f>
      </c>
      <c r="IJ400" s="496" t="str">
        <f> IF(IJ420&lt;&gt;"",TEXT(AUX!IN$1,"dd-MMM-aa"),"")</f>
      </c>
      <c r="IK400" s="496" t="str">
        <f> IF(IK420&lt;&gt;"",TEXT(AUX!IO$1,"dd-MMM-aa"),"")</f>
      </c>
      <c r="IL400" s="496" t="str">
        <f> IF(IL420&lt;&gt;"",TEXT(AUX!IP$1,"dd-MMM-aa"),"")</f>
      </c>
      <c r="IM400" s="496" t="str">
        <f> IF(IM420&lt;&gt;"",TEXT(AUX!IQ$1,"dd-MMM-aa"),"")</f>
      </c>
      <c r="IN400" s="496" t="str">
        <f> IF(IN420&lt;&gt;"",TEXT(AUX!IR$1,"dd-MMM-aa"),"")</f>
      </c>
      <c r="IO400" s="496" t="str">
        <f> IF(IO420&lt;&gt;"",TEXT(AUX!IS$1,"dd-MMM-aa"),"")</f>
      </c>
      <c r="IP400" s="496" t="str">
        <f> IF(IP420&lt;&gt;"",TEXT(AUX!IT$1,"dd-MMM-aa"),"")</f>
      </c>
      <c r="IQ400" s="496" t="str">
        <f> IF(IQ420&lt;&gt;"",TEXT(AUX!IU$1,"dd-MMM-aa"),"")</f>
      </c>
      <c r="IR400" s="496" t="str">
        <f> IF(IR420&lt;&gt;"",TEXT(AUX!IV$1,"dd-MMM-aa"),"")</f>
      </c>
      <c r="IS400" s="496" t="str">
        <f> IF(IS420&lt;&gt;"",TEXT(AUX!#REF!,"dd-MMM-aa"),"")</f>
      </c>
      <c r="IT400" s="496" t="str">
        <f> IF(IT420&lt;&gt;"",TEXT(AUX!#REF!,"dd-MMM-aa"),"")</f>
      </c>
      <c r="IU400" s="496" t="str">
        <f> IF(IU420&lt;&gt;"",TEXT(AUX!#REF!,"dd-MMM-aa"),"")</f>
      </c>
      <c r="IV400" s="496" t="str">
        <f> IF(IV420&lt;&gt;"",TEXT(AUX!#REF!,"dd-MMM-aa"),"")</f>
      </c>
    </row>
    <row r="401" hidden="1">
      <c r="B401" s="833" t="s">
        <v>8</v>
      </c>
      <c r="C401" s="827">
        <v>0</v>
      </c>
      <c r="D401" s="827">
        <v>0</v>
      </c>
      <c r="E401" s="827">
        <v>0</v>
      </c>
      <c r="F401" s="827">
        <v>0</v>
      </c>
      <c r="G401" s="827">
        <v>0</v>
      </c>
      <c r="H401" s="827">
        <v>0</v>
      </c>
      <c r="I401" s="827">
        <v>0</v>
      </c>
      <c r="J401" s="827">
        <v>0</v>
      </c>
      <c r="K401" s="827">
        <v>0</v>
      </c>
      <c r="L401" s="827">
        <v>0</v>
      </c>
      <c r="M401" s="827">
        <v>0</v>
      </c>
      <c r="N401" s="827">
        <v>0</v>
      </c>
      <c r="O401" s="827">
        <v>0</v>
      </c>
      <c r="P401" s="827">
        <v>0</v>
      </c>
      <c r="Q401" s="827">
        <v>0</v>
      </c>
      <c r="R401" s="827">
        <v>0</v>
      </c>
      <c r="S401" s="827">
        <v>0</v>
      </c>
      <c r="T401" s="827">
        <v>0</v>
      </c>
      <c r="U401" s="827">
        <v>0</v>
      </c>
      <c r="V401" s="827">
        <v>0</v>
      </c>
      <c r="W401" s="827">
        <v>0</v>
      </c>
      <c r="X401" s="827">
        <v>0</v>
      </c>
      <c r="Y401" s="827">
        <v>0</v>
      </c>
      <c r="Z401" s="827">
        <v>0</v>
      </c>
      <c r="AA401" s="827">
        <v>0</v>
      </c>
      <c r="AB401" s="834">
        <v>0</v>
      </c>
      <c r="AC401" s="828">
        <v>0</v>
      </c>
      <c r="AD401" s="828">
        <v>0</v>
      </c>
      <c r="AE401" s="828">
        <v>0</v>
      </c>
      <c r="AF401" s="828">
        <v>0</v>
      </c>
      <c r="AG401" s="828">
        <v>0</v>
      </c>
      <c r="AH401" s="828">
        <v>0</v>
      </c>
      <c r="AI401" s="828">
        <v>0</v>
      </c>
      <c r="AJ401" s="828">
        <v>0</v>
      </c>
      <c r="AK401" s="828">
        <v>2985</v>
      </c>
      <c r="AL401" s="828">
        <v>0</v>
      </c>
      <c r="AM401" s="828">
        <v>0</v>
      </c>
      <c r="AN401" s="828">
        <v>0</v>
      </c>
      <c r="AO401" s="828">
        <v>39254</v>
      </c>
      <c r="AP401" s="828">
        <v>38979</v>
      </c>
    </row>
    <row r="402" hidden="1">
      <c r="B402" s="829" t="s">
        <v>9</v>
      </c>
      <c r="C402" s="823">
        <v>523803</v>
      </c>
      <c r="D402" s="823">
        <v>1237401</v>
      </c>
      <c r="E402" s="823">
        <v>1237321</v>
      </c>
      <c r="F402" s="823">
        <v>950493</v>
      </c>
      <c r="G402" s="823">
        <v>1181503</v>
      </c>
      <c r="H402" s="823">
        <v>1181503</v>
      </c>
      <c r="I402" s="823">
        <v>1173503</v>
      </c>
      <c r="J402" s="823">
        <v>988811</v>
      </c>
      <c r="K402" s="823">
        <v>149312</v>
      </c>
      <c r="L402" s="823">
        <v>149317</v>
      </c>
      <c r="M402" s="823">
        <v>135493</v>
      </c>
      <c r="N402" s="823">
        <v>160693</v>
      </c>
      <c r="O402" s="823">
        <v>1440145</v>
      </c>
      <c r="P402" s="823">
        <v>1489138</v>
      </c>
      <c r="Q402" s="823">
        <v>1546754</v>
      </c>
      <c r="R402" s="823">
        <v>1566695</v>
      </c>
      <c r="S402" s="823">
        <v>1794643</v>
      </c>
      <c r="T402" s="823">
        <v>1757143</v>
      </c>
      <c r="U402" s="823">
        <v>1688422</v>
      </c>
      <c r="V402" s="823">
        <v>1675222</v>
      </c>
      <c r="W402" s="823">
        <v>1678602</v>
      </c>
      <c r="X402" s="823">
        <v>1646602</v>
      </c>
      <c r="Y402" s="823">
        <v>1592593</v>
      </c>
      <c r="Z402" s="823">
        <v>1592593</v>
      </c>
      <c r="AA402" s="823">
        <v>2827184</v>
      </c>
      <c r="AB402" s="823">
        <v>2809554</v>
      </c>
      <c r="AC402" s="825">
        <v>5104</v>
      </c>
      <c r="AD402" s="825">
        <v>5104</v>
      </c>
      <c r="AE402" s="825">
        <v>4395</v>
      </c>
      <c r="AF402" s="825">
        <v>4395</v>
      </c>
      <c r="AG402" s="825">
        <v>147590</v>
      </c>
      <c r="AH402" s="825">
        <v>147590</v>
      </c>
      <c r="AI402" s="825">
        <v>88968</v>
      </c>
      <c r="AJ402" s="825">
        <v>88968</v>
      </c>
      <c r="AK402" s="825">
        <v>401553</v>
      </c>
      <c r="AL402" s="825">
        <v>401480</v>
      </c>
      <c r="AM402" s="825">
        <v>167266</v>
      </c>
      <c r="AN402" s="825">
        <v>202861</v>
      </c>
      <c r="AO402" s="825">
        <v>422406</v>
      </c>
      <c r="AP402" s="825">
        <v>18205</v>
      </c>
    </row>
    <row r="403" hidden="1">
      <c r="B403" s="826" t="s">
        <v>10</v>
      </c>
      <c r="C403" s="827">
        <v>0</v>
      </c>
      <c r="D403" s="827">
        <v>0</v>
      </c>
      <c r="E403" s="827">
        <v>0</v>
      </c>
      <c r="F403" s="827">
        <v>0</v>
      </c>
      <c r="G403" s="827">
        <v>0</v>
      </c>
      <c r="H403" s="827">
        <v>0</v>
      </c>
      <c r="I403" s="827">
        <v>63</v>
      </c>
      <c r="J403" s="827">
        <v>63</v>
      </c>
      <c r="K403" s="827">
        <v>0</v>
      </c>
      <c r="L403" s="827">
        <v>0</v>
      </c>
      <c r="M403" s="827">
        <v>0</v>
      </c>
      <c r="N403" s="827">
        <v>0</v>
      </c>
      <c r="O403" s="827">
        <v>0</v>
      </c>
      <c r="P403" s="827">
        <v>0</v>
      </c>
      <c r="Q403" s="827">
        <v>0</v>
      </c>
      <c r="R403" s="827">
        <v>0</v>
      </c>
      <c r="S403" s="827">
        <v>0</v>
      </c>
      <c r="T403" s="827">
        <v>0</v>
      </c>
      <c r="U403" s="827">
        <v>0</v>
      </c>
      <c r="V403" s="827">
        <v>0</v>
      </c>
      <c r="W403" s="827">
        <v>0</v>
      </c>
      <c r="X403" s="827">
        <v>0</v>
      </c>
      <c r="Y403" s="827">
        <v>0</v>
      </c>
      <c r="Z403" s="827">
        <v>0</v>
      </c>
      <c r="AA403" s="827">
        <v>0</v>
      </c>
      <c r="AB403" s="827">
        <v>0</v>
      </c>
      <c r="AC403" s="828">
        <v>0</v>
      </c>
      <c r="AD403" s="828">
        <v>0</v>
      </c>
      <c r="AE403" s="828">
        <v>0</v>
      </c>
      <c r="AF403" s="828">
        <v>0</v>
      </c>
      <c r="AG403" s="828">
        <v>0</v>
      </c>
      <c r="AH403" s="828">
        <v>0</v>
      </c>
      <c r="AI403" s="828">
        <v>0</v>
      </c>
      <c r="AJ403" s="828">
        <v>0</v>
      </c>
      <c r="AK403" s="828">
        <v>0</v>
      </c>
      <c r="AL403" s="828">
        <v>0</v>
      </c>
      <c r="AM403" s="828">
        <v>0</v>
      </c>
      <c r="AN403" s="828">
        <v>0</v>
      </c>
      <c r="AO403" s="828">
        <v>0</v>
      </c>
      <c r="AP403" s="828">
        <v>0</v>
      </c>
    </row>
    <row r="404" hidden="1">
      <c r="B404" s="829" t="s">
        <v>11</v>
      </c>
      <c r="C404" s="823">
        <v>52866</v>
      </c>
      <c r="D404" s="823">
        <v>52678</v>
      </c>
      <c r="E404" s="823">
        <v>53323</v>
      </c>
      <c r="F404" s="823">
        <v>53678</v>
      </c>
      <c r="G404" s="823">
        <v>53754</v>
      </c>
      <c r="H404" s="823">
        <v>53775</v>
      </c>
      <c r="I404" s="823">
        <v>68151</v>
      </c>
      <c r="J404" s="823">
        <v>67542</v>
      </c>
      <c r="K404" s="823">
        <v>90478</v>
      </c>
      <c r="L404" s="823">
        <v>90424</v>
      </c>
      <c r="M404" s="823">
        <v>92380</v>
      </c>
      <c r="N404" s="823">
        <v>114880</v>
      </c>
      <c r="O404" s="823">
        <v>89250</v>
      </c>
      <c r="P404" s="823">
        <v>86250</v>
      </c>
      <c r="Q404" s="823">
        <v>98350</v>
      </c>
      <c r="R404" s="823">
        <v>98350</v>
      </c>
      <c r="S404" s="823">
        <v>94400</v>
      </c>
      <c r="T404" s="823">
        <v>94450</v>
      </c>
      <c r="U404" s="823">
        <v>93950</v>
      </c>
      <c r="V404" s="823">
        <v>93950</v>
      </c>
      <c r="W404" s="823">
        <v>90450</v>
      </c>
      <c r="X404" s="823">
        <v>90450</v>
      </c>
      <c r="Y404" s="823">
        <v>96200</v>
      </c>
      <c r="Z404" s="823">
        <v>51200</v>
      </c>
      <c r="AA404" s="823">
        <v>51200</v>
      </c>
      <c r="AB404" s="823">
        <v>126050</v>
      </c>
      <c r="AC404" s="825">
        <v>104150</v>
      </c>
      <c r="AD404" s="825">
        <v>69850</v>
      </c>
      <c r="AE404" s="825">
        <v>85850</v>
      </c>
      <c r="AF404" s="825">
        <v>85850</v>
      </c>
      <c r="AG404" s="825">
        <v>107796</v>
      </c>
      <c r="AH404" s="825">
        <v>107796</v>
      </c>
      <c r="AI404" s="825">
        <v>97996</v>
      </c>
      <c r="AJ404" s="825">
        <v>97996</v>
      </c>
      <c r="AK404" s="825">
        <v>139500</v>
      </c>
      <c r="AL404" s="825">
        <v>148500</v>
      </c>
      <c r="AM404" s="825">
        <v>150500</v>
      </c>
      <c r="AN404" s="825">
        <v>150500</v>
      </c>
      <c r="AO404" s="825">
        <v>159000</v>
      </c>
      <c r="AP404" s="825">
        <v>155500</v>
      </c>
    </row>
    <row r="405" hidden="1">
      <c r="B405" s="826" t="s">
        <v>12</v>
      </c>
      <c r="C405" s="827">
        <v>429891</v>
      </c>
      <c r="D405" s="827">
        <v>740469</v>
      </c>
      <c r="E405" s="827">
        <v>718471</v>
      </c>
      <c r="F405" s="827">
        <v>710952</v>
      </c>
      <c r="G405" s="827">
        <v>671939</v>
      </c>
      <c r="H405" s="827">
        <v>621941</v>
      </c>
      <c r="I405" s="827">
        <v>1076810</v>
      </c>
      <c r="J405" s="827">
        <v>1117625</v>
      </c>
      <c r="K405" s="827">
        <v>1980093</v>
      </c>
      <c r="L405" s="827">
        <v>2029643</v>
      </c>
      <c r="M405" s="827">
        <v>1571335</v>
      </c>
      <c r="N405" s="827">
        <v>1522977</v>
      </c>
      <c r="O405" s="827">
        <v>1302439</v>
      </c>
      <c r="P405" s="827">
        <v>1250289</v>
      </c>
      <c r="Q405" s="827">
        <v>1326035</v>
      </c>
      <c r="R405" s="827">
        <v>1334078</v>
      </c>
      <c r="S405" s="827">
        <v>1298489</v>
      </c>
      <c r="T405" s="827">
        <v>1282501</v>
      </c>
      <c r="U405" s="827">
        <v>1289679</v>
      </c>
      <c r="V405" s="827">
        <v>1299058</v>
      </c>
      <c r="W405" s="827">
        <v>1449447</v>
      </c>
      <c r="X405" s="827">
        <v>1332286</v>
      </c>
      <c r="Y405" s="827">
        <v>1390230</v>
      </c>
      <c r="Z405" s="827">
        <v>1573379</v>
      </c>
      <c r="AA405" s="827">
        <v>1654701</v>
      </c>
      <c r="AB405" s="827">
        <v>1665501</v>
      </c>
      <c r="AC405" s="828">
        <v>1426111</v>
      </c>
      <c r="AD405" s="828">
        <v>76097</v>
      </c>
      <c r="AE405" s="828">
        <v>1122598</v>
      </c>
      <c r="AF405" s="828">
        <v>1140686</v>
      </c>
      <c r="AG405" s="828">
        <v>1195662</v>
      </c>
      <c r="AH405" s="828">
        <v>1195602</v>
      </c>
      <c r="AI405" s="828">
        <v>1224107</v>
      </c>
      <c r="AJ405" s="828">
        <v>1210701</v>
      </c>
      <c r="AK405" s="828">
        <v>1244392</v>
      </c>
      <c r="AL405" s="828">
        <v>1272236</v>
      </c>
      <c r="AM405" s="828">
        <v>1306950</v>
      </c>
      <c r="AN405" s="828">
        <v>1289440</v>
      </c>
      <c r="AO405" s="828">
        <v>1179327</v>
      </c>
      <c r="AP405" s="828">
        <v>1370880</v>
      </c>
    </row>
    <row r="406" hidden="1">
      <c r="B406" s="829" t="s">
        <v>13</v>
      </c>
      <c r="C406" s="823">
        <v>0</v>
      </c>
      <c r="D406" s="823">
        <v>0</v>
      </c>
      <c r="E406" s="823">
        <v>0</v>
      </c>
      <c r="F406" s="823">
        <v>0</v>
      </c>
      <c r="G406" s="823">
        <v>670</v>
      </c>
      <c r="H406" s="823">
        <v>670</v>
      </c>
      <c r="I406" s="823">
        <v>680</v>
      </c>
      <c r="J406" s="823">
        <v>725</v>
      </c>
      <c r="K406" s="823">
        <v>343</v>
      </c>
      <c r="L406" s="823">
        <v>1250</v>
      </c>
      <c r="M406" s="823">
        <v>40</v>
      </c>
      <c r="N406" s="823">
        <v>0</v>
      </c>
      <c r="O406" s="823">
        <v>15</v>
      </c>
      <c r="P406" s="823">
        <v>15</v>
      </c>
      <c r="Q406" s="823">
        <v>46</v>
      </c>
      <c r="R406" s="823">
        <v>31</v>
      </c>
      <c r="S406" s="823">
        <v>119</v>
      </c>
      <c r="T406" s="823">
        <v>119</v>
      </c>
      <c r="U406" s="823">
        <v>225</v>
      </c>
      <c r="V406" s="823">
        <v>225</v>
      </c>
      <c r="W406" s="823">
        <v>25</v>
      </c>
      <c r="X406" s="823">
        <v>25</v>
      </c>
      <c r="Y406" s="823">
        <v>220</v>
      </c>
      <c r="Z406" s="823">
        <v>200</v>
      </c>
      <c r="AA406" s="823">
        <v>203</v>
      </c>
      <c r="AB406" s="823">
        <v>203</v>
      </c>
      <c r="AC406" s="825">
        <v>0</v>
      </c>
      <c r="AD406" s="825">
        <v>100</v>
      </c>
      <c r="AE406" s="825">
        <v>100</v>
      </c>
      <c r="AF406" s="825">
        <v>100</v>
      </c>
      <c r="AG406" s="825">
        <v>100</v>
      </c>
      <c r="AH406" s="825">
        <v>100</v>
      </c>
      <c r="AI406" s="825">
        <v>200</v>
      </c>
      <c r="AJ406" s="825">
        <v>200</v>
      </c>
      <c r="AK406" s="825">
        <v>200</v>
      </c>
      <c r="AL406" s="825">
        <v>200</v>
      </c>
      <c r="AM406" s="825">
        <v>285</v>
      </c>
      <c r="AN406" s="825">
        <v>200</v>
      </c>
      <c r="AO406" s="825">
        <v>213</v>
      </c>
      <c r="AP406" s="825">
        <v>163</v>
      </c>
    </row>
    <row r="407" hidden="1">
      <c r="B407" s="826" t="s">
        <v>109</v>
      </c>
      <c r="C407" s="827">
        <v>4103616</v>
      </c>
      <c r="D407" s="827">
        <v>3838109</v>
      </c>
      <c r="E407" s="827">
        <v>4878989</v>
      </c>
      <c r="F407" s="827">
        <v>4817034</v>
      </c>
      <c r="G407" s="827">
        <v>6223081</v>
      </c>
      <c r="H407" s="827">
        <v>6223081</v>
      </c>
      <c r="I407" s="827">
        <v>5927655</v>
      </c>
      <c r="J407" s="827">
        <v>6108605</v>
      </c>
      <c r="K407" s="827">
        <v>14076345</v>
      </c>
      <c r="L407" s="827">
        <v>13988177</v>
      </c>
      <c r="M407" s="827">
        <v>15115166</v>
      </c>
      <c r="N407" s="827">
        <v>14226662</v>
      </c>
      <c r="O407" s="827">
        <v>13236748</v>
      </c>
      <c r="P407" s="827">
        <v>12889766</v>
      </c>
      <c r="Q407" s="827">
        <v>10418149</v>
      </c>
      <c r="R407" s="827">
        <v>10419049</v>
      </c>
      <c r="S407" s="827">
        <v>9473589</v>
      </c>
      <c r="T407" s="827">
        <v>9580813</v>
      </c>
      <c r="U407" s="827">
        <v>8191233</v>
      </c>
      <c r="V407" s="827">
        <v>11949377</v>
      </c>
      <c r="W407" s="827">
        <v>12208914</v>
      </c>
      <c r="X407" s="827">
        <v>12555945</v>
      </c>
      <c r="Y407" s="827">
        <v>12639236</v>
      </c>
      <c r="Z407" s="827">
        <v>12609206</v>
      </c>
      <c r="AA407" s="827">
        <v>12844971</v>
      </c>
      <c r="AB407" s="827">
        <v>12844971</v>
      </c>
      <c r="AC407" s="828">
        <v>13541228</v>
      </c>
      <c r="AD407" s="828">
        <v>0</v>
      </c>
      <c r="AE407" s="828">
        <v>0</v>
      </c>
      <c r="AF407" s="828">
        <v>0</v>
      </c>
      <c r="AG407" s="828">
        <v>0</v>
      </c>
      <c r="AH407" s="828">
        <v>0</v>
      </c>
      <c r="AI407" s="828">
        <v>0</v>
      </c>
      <c r="AJ407" s="828">
        <v>0</v>
      </c>
      <c r="AK407" s="828">
        <v>0</v>
      </c>
      <c r="AL407" s="828">
        <v>0</v>
      </c>
      <c r="AM407" s="828">
        <v>0</v>
      </c>
      <c r="AN407" s="828">
        <v>0</v>
      </c>
      <c r="AO407" s="828">
        <v>0</v>
      </c>
      <c r="AP407" s="828">
        <v>0</v>
      </c>
    </row>
    <row r="408" hidden="1">
      <c r="B408" s="829" t="s">
        <v>110</v>
      </c>
      <c r="C408" s="823">
        <v>2077600</v>
      </c>
      <c r="D408" s="823">
        <v>2077600</v>
      </c>
      <c r="E408" s="823">
        <v>3030478</v>
      </c>
      <c r="F408" s="823">
        <v>3113478</v>
      </c>
      <c r="G408" s="823">
        <v>2107255</v>
      </c>
      <c r="H408" s="823">
        <v>2107255</v>
      </c>
      <c r="I408" s="823">
        <v>1880255</v>
      </c>
      <c r="J408" s="823">
        <v>1846705</v>
      </c>
      <c r="K408" s="823">
        <v>1387600</v>
      </c>
      <c r="L408" s="823">
        <v>1535200</v>
      </c>
      <c r="M408" s="823">
        <v>1754550</v>
      </c>
      <c r="N408" s="823">
        <v>1754780</v>
      </c>
      <c r="O408" s="823">
        <v>2678686</v>
      </c>
      <c r="P408" s="823">
        <v>2678686</v>
      </c>
      <c r="Q408" s="823">
        <v>2580867</v>
      </c>
      <c r="R408" s="823">
        <v>2584867</v>
      </c>
      <c r="S408" s="823">
        <v>3096927</v>
      </c>
      <c r="T408" s="823">
        <v>3405292</v>
      </c>
      <c r="U408" s="823">
        <v>2576279</v>
      </c>
      <c r="V408" s="823">
        <v>2553865</v>
      </c>
      <c r="W408" s="823">
        <v>3325200</v>
      </c>
      <c r="X408" s="823">
        <v>3360936</v>
      </c>
      <c r="Y408" s="823">
        <v>2439983</v>
      </c>
      <c r="Z408" s="823">
        <v>2401793</v>
      </c>
      <c r="AA408" s="823">
        <v>3025038</v>
      </c>
      <c r="AB408" s="823">
        <v>3110038</v>
      </c>
      <c r="AC408" s="825">
        <v>3005038</v>
      </c>
      <c r="AD408" s="825">
        <v>3093038</v>
      </c>
      <c r="AE408" s="825">
        <v>3348930</v>
      </c>
      <c r="AF408" s="825">
        <v>3348930</v>
      </c>
      <c r="AG408" s="825">
        <v>3264324</v>
      </c>
      <c r="AH408" s="825">
        <v>3229113</v>
      </c>
      <c r="AI408" s="825">
        <v>2956115</v>
      </c>
      <c r="AJ408" s="825">
        <v>3057703</v>
      </c>
      <c r="AK408" s="825">
        <v>170000</v>
      </c>
      <c r="AL408" s="825">
        <v>168500</v>
      </c>
      <c r="AM408" s="825">
        <v>168500</v>
      </c>
      <c r="AN408" s="825">
        <v>168500</v>
      </c>
      <c r="AO408" s="825">
        <v>227880</v>
      </c>
      <c r="AP408" s="825">
        <v>241767</v>
      </c>
    </row>
    <row r="409" hidden="1">
      <c r="B409" s="826" t="s">
        <v>16</v>
      </c>
      <c r="C409" s="827">
        <v>0</v>
      </c>
      <c r="D409" s="827">
        <v>78000</v>
      </c>
      <c r="E409" s="827">
        <v>1538840</v>
      </c>
      <c r="F409" s="827">
        <v>1541740</v>
      </c>
      <c r="G409" s="827">
        <v>1476740</v>
      </c>
      <c r="H409" s="827">
        <v>1684271</v>
      </c>
      <c r="I409" s="827">
        <v>1529271</v>
      </c>
      <c r="J409" s="827">
        <v>1463271</v>
      </c>
      <c r="K409" s="827">
        <v>1222627</v>
      </c>
      <c r="L409" s="827">
        <v>1291792</v>
      </c>
      <c r="M409" s="827">
        <v>1656346</v>
      </c>
      <c r="N409" s="827">
        <v>1884100</v>
      </c>
      <c r="O409" s="827">
        <v>2971761</v>
      </c>
      <c r="P409" s="827">
        <v>2720465</v>
      </c>
      <c r="Q409" s="827">
        <v>3434006</v>
      </c>
      <c r="R409" s="827">
        <v>3258169</v>
      </c>
      <c r="S409" s="827">
        <v>3185435</v>
      </c>
      <c r="T409" s="827">
        <v>3273381</v>
      </c>
      <c r="U409" s="827">
        <v>3648052</v>
      </c>
      <c r="V409" s="827">
        <v>3794448</v>
      </c>
      <c r="W409" s="827">
        <v>3748595</v>
      </c>
      <c r="X409" s="827">
        <v>3819377</v>
      </c>
      <c r="Y409" s="827">
        <v>3578484</v>
      </c>
      <c r="Z409" s="827">
        <v>3394316</v>
      </c>
      <c r="AA409" s="827">
        <v>3381833</v>
      </c>
      <c r="AB409" s="827">
        <v>3381793</v>
      </c>
      <c r="AC409" s="828">
        <v>3168411</v>
      </c>
      <c r="AD409" s="828">
        <v>3234184</v>
      </c>
      <c r="AE409" s="828">
        <v>3387225</v>
      </c>
      <c r="AF409" s="828">
        <v>3408205</v>
      </c>
      <c r="AG409" s="828">
        <v>3293236</v>
      </c>
      <c r="AH409" s="828">
        <v>3251918</v>
      </c>
      <c r="AI409" s="828">
        <v>3080805</v>
      </c>
      <c r="AJ409" s="828">
        <v>3082958</v>
      </c>
      <c r="AK409" s="828">
        <v>2958440</v>
      </c>
      <c r="AL409" s="828">
        <v>2891955</v>
      </c>
      <c r="AM409" s="828">
        <v>2945899</v>
      </c>
      <c r="AN409" s="828">
        <v>2902940</v>
      </c>
      <c r="AO409" s="828">
        <v>2628270</v>
      </c>
      <c r="AP409" s="828">
        <v>2751746</v>
      </c>
    </row>
    <row r="410" hidden="1">
      <c r="B410" s="829" t="s">
        <v>17</v>
      </c>
      <c r="C410" s="823">
        <v>32</v>
      </c>
      <c r="D410" s="823">
        <v>274</v>
      </c>
      <c r="E410" s="823">
        <v>336</v>
      </c>
      <c r="F410" s="823">
        <v>409</v>
      </c>
      <c r="G410" s="823">
        <v>401</v>
      </c>
      <c r="H410" s="823">
        <v>311</v>
      </c>
      <c r="I410" s="823">
        <v>158</v>
      </c>
      <c r="J410" s="823">
        <v>350118</v>
      </c>
      <c r="K410" s="823">
        <v>350000</v>
      </c>
      <c r="L410" s="823">
        <v>350000</v>
      </c>
      <c r="M410" s="823">
        <v>346847</v>
      </c>
      <c r="N410" s="823">
        <v>346847</v>
      </c>
      <c r="O410" s="823">
        <v>295000</v>
      </c>
      <c r="P410" s="823">
        <v>0</v>
      </c>
      <c r="Q410" s="823">
        <v>0</v>
      </c>
      <c r="R410" s="823">
        <v>0</v>
      </c>
      <c r="S410" s="823">
        <v>0</v>
      </c>
      <c r="T410" s="823">
        <v>0</v>
      </c>
      <c r="U410" s="823">
        <v>0</v>
      </c>
      <c r="V410" s="823">
        <v>0</v>
      </c>
      <c r="W410" s="823">
        <v>24</v>
      </c>
      <c r="X410" s="823">
        <v>24</v>
      </c>
      <c r="Y410" s="823">
        <v>24</v>
      </c>
      <c r="Z410" s="823">
        <v>0</v>
      </c>
      <c r="AA410" s="823">
        <v>295000</v>
      </c>
      <c r="AB410" s="823">
        <v>295000</v>
      </c>
      <c r="AC410" s="825">
        <v>298000</v>
      </c>
      <c r="AD410" s="825">
        <v>298000</v>
      </c>
      <c r="AE410" s="825">
        <v>318900</v>
      </c>
      <c r="AF410" s="825">
        <v>318900</v>
      </c>
      <c r="AG410" s="825">
        <v>0</v>
      </c>
      <c r="AH410" s="825">
        <v>0</v>
      </c>
      <c r="AI410" s="825">
        <v>0</v>
      </c>
      <c r="AJ410" s="825">
        <v>0</v>
      </c>
      <c r="AK410" s="825">
        <v>0</v>
      </c>
      <c r="AL410" s="825">
        <v>0</v>
      </c>
      <c r="AM410" s="825">
        <v>0</v>
      </c>
      <c r="AN410" s="825">
        <v>0</v>
      </c>
      <c r="AO410" s="825">
        <v>0</v>
      </c>
      <c r="AP410" s="825">
        <v>0</v>
      </c>
    </row>
    <row r="411" hidden="1">
      <c r="B411" s="826" t="s">
        <v>18</v>
      </c>
      <c r="C411" s="827">
        <v>0</v>
      </c>
      <c r="D411" s="827">
        <v>0</v>
      </c>
      <c r="E411" s="827">
        <v>0</v>
      </c>
      <c r="F411" s="827">
        <v>168000</v>
      </c>
      <c r="G411" s="827">
        <v>447849</v>
      </c>
      <c r="H411" s="827">
        <v>697924</v>
      </c>
      <c r="I411" s="827">
        <v>1063684</v>
      </c>
      <c r="J411" s="827">
        <v>1033798</v>
      </c>
      <c r="K411" s="827">
        <v>1118769</v>
      </c>
      <c r="L411" s="827">
        <v>1056804</v>
      </c>
      <c r="M411" s="827">
        <v>2205213</v>
      </c>
      <c r="N411" s="827">
        <v>18000</v>
      </c>
      <c r="O411" s="827">
        <v>0</v>
      </c>
      <c r="P411" s="827">
        <v>0</v>
      </c>
      <c r="Q411" s="827">
        <v>0</v>
      </c>
      <c r="R411" s="827">
        <v>0</v>
      </c>
      <c r="S411" s="827">
        <v>0</v>
      </c>
      <c r="T411" s="827">
        <v>0</v>
      </c>
      <c r="U411" s="827">
        <v>0</v>
      </c>
      <c r="V411" s="827">
        <v>0</v>
      </c>
      <c r="W411" s="827">
        <v>20580</v>
      </c>
      <c r="X411" s="827">
        <v>20580</v>
      </c>
      <c r="Y411" s="827">
        <v>22450</v>
      </c>
      <c r="Z411" s="827">
        <v>22450</v>
      </c>
      <c r="AA411" s="827">
        <v>16240</v>
      </c>
      <c r="AB411" s="827">
        <v>16240</v>
      </c>
      <c r="AC411" s="828">
        <v>47128</v>
      </c>
      <c r="AD411" s="828">
        <v>160224</v>
      </c>
      <c r="AE411" s="828">
        <v>98478</v>
      </c>
      <c r="AF411" s="828">
        <v>275233</v>
      </c>
      <c r="AG411" s="828">
        <v>105506</v>
      </c>
      <c r="AH411" s="828">
        <v>274582</v>
      </c>
      <c r="AI411" s="828">
        <v>98858</v>
      </c>
      <c r="AJ411" s="828">
        <v>132258</v>
      </c>
      <c r="AK411" s="828">
        <v>97225</v>
      </c>
      <c r="AL411" s="828">
        <v>105835</v>
      </c>
      <c r="AM411" s="828">
        <v>153759</v>
      </c>
      <c r="AN411" s="828">
        <v>117929</v>
      </c>
      <c r="AO411" s="828">
        <v>36950</v>
      </c>
      <c r="AP411" s="828">
        <v>68456</v>
      </c>
    </row>
    <row r="412" hidden="1">
      <c r="B412" s="829" t="s">
        <v>19</v>
      </c>
      <c r="C412" s="823">
        <v>835010</v>
      </c>
      <c r="D412" s="823">
        <v>850010</v>
      </c>
      <c r="E412" s="823">
        <v>395121</v>
      </c>
      <c r="F412" s="823">
        <v>395121</v>
      </c>
      <c r="G412" s="823">
        <v>551164</v>
      </c>
      <c r="H412" s="823">
        <v>523414</v>
      </c>
      <c r="I412" s="823">
        <v>593081</v>
      </c>
      <c r="J412" s="823">
        <v>584270</v>
      </c>
      <c r="K412" s="823">
        <v>594757</v>
      </c>
      <c r="L412" s="823">
        <v>42000</v>
      </c>
      <c r="M412" s="823">
        <v>623751</v>
      </c>
      <c r="N412" s="823">
        <v>498601</v>
      </c>
      <c r="O412" s="823">
        <v>648073</v>
      </c>
      <c r="P412" s="823">
        <v>716863</v>
      </c>
      <c r="Q412" s="823">
        <v>585276</v>
      </c>
      <c r="R412" s="823">
        <v>585276</v>
      </c>
      <c r="S412" s="823">
        <v>907507</v>
      </c>
      <c r="T412" s="823">
        <v>907507</v>
      </c>
      <c r="U412" s="823">
        <v>874494</v>
      </c>
      <c r="V412" s="823">
        <v>874494</v>
      </c>
      <c r="W412" s="823">
        <v>874079</v>
      </c>
      <c r="X412" s="823">
        <v>873996</v>
      </c>
      <c r="Y412" s="823">
        <v>707226</v>
      </c>
      <c r="Z412" s="823">
        <v>707226</v>
      </c>
      <c r="AA412" s="823">
        <v>536510</v>
      </c>
      <c r="AB412" s="823">
        <v>424020</v>
      </c>
      <c r="AC412" s="825">
        <v>594724</v>
      </c>
      <c r="AD412" s="825">
        <v>64</v>
      </c>
      <c r="AE412" s="825">
        <v>64</v>
      </c>
      <c r="AF412" s="825">
        <v>64</v>
      </c>
      <c r="AG412" s="825">
        <v>205000</v>
      </c>
      <c r="AH412" s="825">
        <v>205000</v>
      </c>
      <c r="AI412" s="825">
        <v>169500</v>
      </c>
      <c r="AJ412" s="825">
        <v>764110</v>
      </c>
      <c r="AK412" s="825">
        <v>719610</v>
      </c>
      <c r="AL412" s="825">
        <v>920862</v>
      </c>
      <c r="AM412" s="825">
        <v>589382</v>
      </c>
      <c r="AN412" s="825">
        <v>589382</v>
      </c>
      <c r="AO412" s="825">
        <v>894245</v>
      </c>
      <c r="AP412" s="825">
        <v>890558</v>
      </c>
    </row>
    <row r="413" hidden="1">
      <c r="B413" s="826" t="s">
        <v>20</v>
      </c>
      <c r="C413" s="827">
        <v>0</v>
      </c>
      <c r="D413" s="827">
        <v>0</v>
      </c>
      <c r="E413" s="827">
        <v>0</v>
      </c>
      <c r="F413" s="827">
        <v>0</v>
      </c>
      <c r="G413" s="827">
        <v>0</v>
      </c>
      <c r="H413" s="827">
        <v>0</v>
      </c>
      <c r="I413" s="827">
        <v>0</v>
      </c>
      <c r="J413" s="827">
        <v>0</v>
      </c>
      <c r="K413" s="827">
        <v>42000</v>
      </c>
      <c r="L413" s="827">
        <v>364500</v>
      </c>
      <c r="M413" s="827">
        <v>43275</v>
      </c>
      <c r="N413" s="827">
        <v>43275</v>
      </c>
      <c r="O413" s="827">
        <v>50600</v>
      </c>
      <c r="P413" s="827">
        <v>53500</v>
      </c>
      <c r="Q413" s="827">
        <v>29000</v>
      </c>
      <c r="R413" s="827">
        <v>29000</v>
      </c>
      <c r="S413" s="827">
        <v>44500</v>
      </c>
      <c r="T413" s="827">
        <v>44500</v>
      </c>
      <c r="U413" s="827">
        <v>37000</v>
      </c>
      <c r="V413" s="827">
        <v>67000</v>
      </c>
      <c r="W413" s="827">
        <v>65000</v>
      </c>
      <c r="X413" s="827">
        <v>75000</v>
      </c>
      <c r="Y413" s="827">
        <v>75000</v>
      </c>
      <c r="Z413" s="827">
        <v>75000</v>
      </c>
      <c r="AA413" s="827">
        <v>67000</v>
      </c>
      <c r="AB413" s="827">
        <v>67000</v>
      </c>
      <c r="AC413" s="828">
        <v>46000</v>
      </c>
      <c r="AD413" s="828">
        <v>7000</v>
      </c>
      <c r="AE413" s="828">
        <v>7000</v>
      </c>
      <c r="AF413" s="828">
        <v>7000</v>
      </c>
      <c r="AG413" s="828">
        <v>0</v>
      </c>
      <c r="AH413" s="828">
        <v>0</v>
      </c>
      <c r="AI413" s="828">
        <v>0</v>
      </c>
      <c r="AJ413" s="828">
        <v>0</v>
      </c>
      <c r="AK413" s="828">
        <v>0</v>
      </c>
      <c r="AL413" s="828">
        <v>0</v>
      </c>
      <c r="AM413" s="828">
        <v>0</v>
      </c>
      <c r="AN413" s="828">
        <v>0</v>
      </c>
      <c r="AO413" s="828">
        <v>0</v>
      </c>
      <c r="AP413" s="828">
        <v>0</v>
      </c>
    </row>
    <row r="414" hidden="1">
      <c r="B414" s="829" t="s">
        <v>21</v>
      </c>
      <c r="C414" s="823">
        <v>486003</v>
      </c>
      <c r="D414" s="823">
        <v>468348</v>
      </c>
      <c r="E414" s="823">
        <v>457363</v>
      </c>
      <c r="F414" s="823">
        <v>457363</v>
      </c>
      <c r="G414" s="823">
        <v>462413</v>
      </c>
      <c r="H414" s="823">
        <v>481913</v>
      </c>
      <c r="I414" s="823">
        <v>471895</v>
      </c>
      <c r="J414" s="823">
        <v>471895</v>
      </c>
      <c r="K414" s="823">
        <v>309500</v>
      </c>
      <c r="L414" s="823">
        <v>0</v>
      </c>
      <c r="M414" s="823">
        <v>354500</v>
      </c>
      <c r="N414" s="823">
        <v>354500</v>
      </c>
      <c r="O414" s="823">
        <v>356500</v>
      </c>
      <c r="P414" s="823">
        <v>356500</v>
      </c>
      <c r="Q414" s="823">
        <v>362500</v>
      </c>
      <c r="R414" s="823">
        <v>391500</v>
      </c>
      <c r="S414" s="823">
        <v>391500</v>
      </c>
      <c r="T414" s="823">
        <v>391500</v>
      </c>
      <c r="U414" s="823">
        <v>313500</v>
      </c>
      <c r="V414" s="823">
        <v>325500</v>
      </c>
      <c r="W414" s="823">
        <v>323000</v>
      </c>
      <c r="X414" s="823">
        <v>298000</v>
      </c>
      <c r="Y414" s="823">
        <v>292000</v>
      </c>
      <c r="Z414" s="823">
        <v>304000</v>
      </c>
      <c r="AA414" s="823">
        <v>303000</v>
      </c>
      <c r="AB414" s="823">
        <v>303000</v>
      </c>
      <c r="AC414" s="825">
        <v>307000</v>
      </c>
      <c r="AD414" s="825">
        <v>0</v>
      </c>
      <c r="AE414" s="825">
        <v>0</v>
      </c>
      <c r="AF414" s="825">
        <v>0</v>
      </c>
      <c r="AG414" s="825">
        <v>0</v>
      </c>
      <c r="AH414" s="825">
        <v>0</v>
      </c>
      <c r="AI414" s="825">
        <v>0</v>
      </c>
      <c r="AJ414" s="825">
        <v>0</v>
      </c>
      <c r="AK414" s="825">
        <v>0</v>
      </c>
      <c r="AL414" s="825">
        <v>0</v>
      </c>
      <c r="AM414" s="825">
        <v>0</v>
      </c>
      <c r="AN414" s="825">
        <v>0</v>
      </c>
      <c r="AO414" s="825">
        <v>0</v>
      </c>
      <c r="AP414" s="825">
        <v>0</v>
      </c>
    </row>
    <row r="415" hidden="1">
      <c r="B415" s="826" t="s">
        <v>22</v>
      </c>
      <c r="C415" s="827">
        <v>0</v>
      </c>
      <c r="D415" s="827">
        <v>0</v>
      </c>
      <c r="E415" s="827">
        <v>0</v>
      </c>
      <c r="F415" s="827">
        <v>0</v>
      </c>
      <c r="G415" s="827">
        <v>0</v>
      </c>
      <c r="H415" s="827">
        <v>0</v>
      </c>
      <c r="I415" s="827">
        <v>0</v>
      </c>
      <c r="J415" s="827">
        <v>0</v>
      </c>
      <c r="K415" s="827">
        <v>0</v>
      </c>
      <c r="L415" s="827">
        <v>923408</v>
      </c>
      <c r="M415" s="827">
        <v>0</v>
      </c>
      <c r="N415" s="827">
        <v>0</v>
      </c>
      <c r="O415" s="827">
        <v>90000</v>
      </c>
      <c r="P415" s="827">
        <v>90000</v>
      </c>
      <c r="Q415" s="827">
        <v>133905</v>
      </c>
      <c r="R415" s="827">
        <v>133905</v>
      </c>
      <c r="S415" s="827">
        <v>153130</v>
      </c>
      <c r="T415" s="827">
        <v>153130</v>
      </c>
      <c r="U415" s="827">
        <v>140710</v>
      </c>
      <c r="V415" s="827">
        <v>140710</v>
      </c>
      <c r="W415" s="827">
        <v>30464</v>
      </c>
      <c r="X415" s="827">
        <v>30464</v>
      </c>
      <c r="Y415" s="827">
        <v>30550</v>
      </c>
      <c r="Z415" s="827">
        <v>30550</v>
      </c>
      <c r="AA415" s="827">
        <v>49305</v>
      </c>
      <c r="AB415" s="827">
        <v>49305</v>
      </c>
      <c r="AC415" s="828">
        <v>49446</v>
      </c>
      <c r="AD415" s="828">
        <v>49446</v>
      </c>
      <c r="AE415" s="828">
        <v>19639</v>
      </c>
      <c r="AF415" s="828">
        <v>19639</v>
      </c>
      <c r="AG415" s="828">
        <v>19956</v>
      </c>
      <c r="AH415" s="828">
        <v>19956</v>
      </c>
      <c r="AI415" s="828">
        <v>154605</v>
      </c>
      <c r="AJ415" s="828">
        <v>154605</v>
      </c>
      <c r="AK415" s="828">
        <v>90794</v>
      </c>
      <c r="AL415" s="828">
        <v>90794</v>
      </c>
      <c r="AM415" s="828">
        <v>73880</v>
      </c>
      <c r="AN415" s="828">
        <v>73880</v>
      </c>
      <c r="AO415" s="828">
        <v>91477</v>
      </c>
      <c r="AP415" s="828">
        <v>91477</v>
      </c>
    </row>
    <row r="416" hidden="1">
      <c r="B416" s="829" t="s">
        <v>23</v>
      </c>
      <c r="C416" s="823">
        <v>305000</v>
      </c>
      <c r="D416" s="823">
        <v>305000</v>
      </c>
      <c r="E416" s="823">
        <v>873805</v>
      </c>
      <c r="F416" s="823">
        <v>873805</v>
      </c>
      <c r="G416" s="823">
        <v>1024044</v>
      </c>
      <c r="H416" s="823">
        <v>1024044</v>
      </c>
      <c r="I416" s="823">
        <v>992918</v>
      </c>
      <c r="J416" s="823">
        <v>992918</v>
      </c>
      <c r="K416" s="823">
        <v>952491</v>
      </c>
      <c r="L416" s="823">
        <v>594783</v>
      </c>
      <c r="M416" s="823">
        <v>993313</v>
      </c>
      <c r="N416" s="823">
        <v>808690</v>
      </c>
      <c r="O416" s="823">
        <v>712800</v>
      </c>
      <c r="P416" s="823">
        <v>712800</v>
      </c>
      <c r="Q416" s="823">
        <v>966580</v>
      </c>
      <c r="R416" s="823">
        <v>966580</v>
      </c>
      <c r="S416" s="823">
        <v>396000</v>
      </c>
      <c r="T416" s="823">
        <v>396000</v>
      </c>
      <c r="U416" s="823">
        <v>396000</v>
      </c>
      <c r="V416" s="823">
        <v>396000</v>
      </c>
      <c r="W416" s="823">
        <v>396000</v>
      </c>
      <c r="X416" s="823">
        <v>414554</v>
      </c>
      <c r="Y416" s="823">
        <v>422500</v>
      </c>
      <c r="Z416" s="823">
        <v>422500</v>
      </c>
      <c r="AA416" s="823">
        <v>585659</v>
      </c>
      <c r="AB416" s="823">
        <v>585659</v>
      </c>
      <c r="AC416" s="825">
        <v>532120</v>
      </c>
      <c r="AD416" s="825">
        <v>64670</v>
      </c>
      <c r="AE416" s="825">
        <v>153634</v>
      </c>
      <c r="AF416" s="825">
        <v>153634</v>
      </c>
      <c r="AG416" s="825">
        <v>89678</v>
      </c>
      <c r="AH416" s="825">
        <v>38316</v>
      </c>
      <c r="AI416" s="825">
        <v>66487</v>
      </c>
      <c r="AJ416" s="825">
        <v>66487</v>
      </c>
      <c r="AK416" s="825">
        <v>67505</v>
      </c>
      <c r="AL416" s="825">
        <v>67505</v>
      </c>
      <c r="AM416" s="825">
        <v>48500</v>
      </c>
      <c r="AN416" s="825">
        <v>48500</v>
      </c>
      <c r="AO416" s="825">
        <v>53675</v>
      </c>
      <c r="AP416" s="825">
        <v>0</v>
      </c>
    </row>
    <row r="417" hidden="1">
      <c r="B417" s="835" t="s">
        <v>24</v>
      </c>
      <c r="C417" s="827">
        <v>1226660</v>
      </c>
      <c r="D417" s="827">
        <v>1059660</v>
      </c>
      <c r="E417" s="827">
        <v>1189660</v>
      </c>
      <c r="F417" s="827">
        <v>1222660</v>
      </c>
      <c r="G417" s="827">
        <v>1150460</v>
      </c>
      <c r="H417" s="827">
        <v>1187260</v>
      </c>
      <c r="I417" s="827">
        <v>1076712</v>
      </c>
      <c r="J417" s="827">
        <v>1124012</v>
      </c>
      <c r="K417" s="827">
        <v>1605160</v>
      </c>
      <c r="L417" s="827">
        <v>1607060</v>
      </c>
      <c r="M417" s="827">
        <v>1205767</v>
      </c>
      <c r="N417" s="827">
        <v>1230767</v>
      </c>
      <c r="O417" s="827">
        <v>1060960</v>
      </c>
      <c r="P417" s="827">
        <v>1195120</v>
      </c>
      <c r="Q417" s="827">
        <v>1507149</v>
      </c>
      <c r="R417" s="827">
        <v>1528549</v>
      </c>
      <c r="S417" s="827">
        <v>1523561</v>
      </c>
      <c r="T417" s="827">
        <v>1212901</v>
      </c>
      <c r="U417" s="827">
        <v>1268820</v>
      </c>
      <c r="V417" s="827">
        <v>1378042</v>
      </c>
      <c r="W417" s="827">
        <v>1342249</v>
      </c>
      <c r="X417" s="827">
        <v>1313849</v>
      </c>
      <c r="Y417" s="827">
        <v>1238947</v>
      </c>
      <c r="Z417" s="827">
        <v>1203966</v>
      </c>
      <c r="AA417" s="827">
        <v>1456192</v>
      </c>
      <c r="AB417" s="827">
        <v>303421</v>
      </c>
      <c r="AC417" s="828">
        <v>110546</v>
      </c>
      <c r="AD417" s="828">
        <v>0</v>
      </c>
      <c r="AE417" s="828">
        <v>0</v>
      </c>
      <c r="AF417" s="828">
        <v>0</v>
      </c>
      <c r="AG417" s="828">
        <v>0</v>
      </c>
      <c r="AH417" s="828">
        <v>105</v>
      </c>
      <c r="AI417" s="828">
        <v>105</v>
      </c>
      <c r="AJ417" s="828">
        <v>105</v>
      </c>
      <c r="AK417" s="828">
        <v>105</v>
      </c>
      <c r="AL417" s="828">
        <v>105</v>
      </c>
      <c r="AM417" s="828">
        <v>28105</v>
      </c>
      <c r="AN417" s="828">
        <v>28105</v>
      </c>
      <c r="AO417" s="828">
        <v>28105</v>
      </c>
      <c r="AP417" s="828">
        <v>0</v>
      </c>
    </row>
    <row r="418" hidden="1">
      <c r="B418" s="829" t="s">
        <v>25</v>
      </c>
      <c r="C418" s="823">
        <v>0</v>
      </c>
      <c r="D418" s="823">
        <v>0</v>
      </c>
      <c r="E418" s="823">
        <v>0</v>
      </c>
      <c r="F418" s="823">
        <v>0</v>
      </c>
      <c r="G418" s="823">
        <v>0</v>
      </c>
      <c r="H418" s="823">
        <v>0</v>
      </c>
      <c r="I418" s="823">
        <v>0</v>
      </c>
      <c r="J418" s="823">
        <v>0</v>
      </c>
      <c r="K418" s="823">
        <v>0</v>
      </c>
      <c r="L418" s="823">
        <v>0</v>
      </c>
      <c r="M418" s="823">
        <v>0</v>
      </c>
      <c r="N418" s="823">
        <v>0</v>
      </c>
      <c r="O418" s="823">
        <v>0</v>
      </c>
      <c r="P418" s="823">
        <v>0</v>
      </c>
      <c r="Q418" s="823">
        <v>0</v>
      </c>
      <c r="R418" s="823">
        <v>0</v>
      </c>
      <c r="S418" s="823">
        <v>0</v>
      </c>
      <c r="T418" s="823">
        <v>0</v>
      </c>
      <c r="U418" s="823">
        <v>0</v>
      </c>
      <c r="V418" s="823">
        <v>0</v>
      </c>
      <c r="W418" s="823">
        <v>0</v>
      </c>
      <c r="X418" s="823">
        <v>0</v>
      </c>
      <c r="Y418" s="823">
        <v>0</v>
      </c>
      <c r="Z418" s="823">
        <v>0</v>
      </c>
      <c r="AA418" s="823">
        <v>0</v>
      </c>
      <c r="AB418" s="823">
        <v>0</v>
      </c>
      <c r="AC418" s="825">
        <v>0</v>
      </c>
      <c r="AD418" s="825">
        <v>0</v>
      </c>
      <c r="AE418" s="825">
        <v>0</v>
      </c>
      <c r="AF418" s="825">
        <v>0</v>
      </c>
      <c r="AG418" s="825">
        <v>0</v>
      </c>
      <c r="AH418" s="825">
        <v>0</v>
      </c>
      <c r="AI418" s="825">
        <v>0</v>
      </c>
      <c r="AJ418" s="825">
        <v>0</v>
      </c>
      <c r="AK418" s="825">
        <v>0</v>
      </c>
      <c r="AL418" s="825">
        <v>0</v>
      </c>
      <c r="AM418" s="825">
        <v>0</v>
      </c>
      <c r="AN418" s="825">
        <v>0</v>
      </c>
      <c r="AO418" s="825">
        <v>0</v>
      </c>
      <c r="AP418" s="825">
        <v>0</v>
      </c>
    </row>
    <row r="419" hidden="1" ht="13.5">
      <c r="B419" s="836" t="s">
        <v>26</v>
      </c>
      <c r="C419" s="827">
        <v>0</v>
      </c>
      <c r="D419" s="827">
        <v>0</v>
      </c>
      <c r="E419" s="827">
        <v>0</v>
      </c>
      <c r="F419" s="827">
        <v>0</v>
      </c>
      <c r="G419" s="827">
        <v>0</v>
      </c>
      <c r="H419" s="827">
        <v>0</v>
      </c>
      <c r="I419" s="827">
        <v>0</v>
      </c>
      <c r="J419" s="827">
        <v>0</v>
      </c>
      <c r="K419" s="827">
        <v>0</v>
      </c>
      <c r="L419" s="827">
        <v>0</v>
      </c>
      <c r="M419" s="827">
        <v>0</v>
      </c>
      <c r="N419" s="827">
        <v>0</v>
      </c>
      <c r="O419" s="827">
        <v>0</v>
      </c>
      <c r="P419" s="827">
        <v>0</v>
      </c>
      <c r="Q419" s="827">
        <v>0</v>
      </c>
      <c r="R419" s="827">
        <v>0</v>
      </c>
      <c r="S419" s="827">
        <v>0</v>
      </c>
      <c r="T419" s="827">
        <v>0</v>
      </c>
      <c r="U419" s="827">
        <v>0</v>
      </c>
      <c r="V419" s="827">
        <v>0</v>
      </c>
      <c r="W419" s="827">
        <v>0</v>
      </c>
      <c r="X419" s="827">
        <v>0</v>
      </c>
      <c r="Y419" s="827">
        <v>0</v>
      </c>
      <c r="Z419" s="827">
        <v>0</v>
      </c>
      <c r="AA419" s="827">
        <v>0</v>
      </c>
      <c r="AB419" s="837">
        <v>0</v>
      </c>
      <c r="AC419" s="828">
        <v>0</v>
      </c>
      <c r="AD419" s="828">
        <v>0</v>
      </c>
      <c r="AE419" s="828">
        <v>0</v>
      </c>
      <c r="AF419" s="828">
        <v>0</v>
      </c>
      <c r="AG419" s="828">
        <v>0</v>
      </c>
      <c r="AH419" s="828">
        <v>0</v>
      </c>
      <c r="AI419" s="828">
        <v>0</v>
      </c>
      <c r="AJ419" s="828">
        <v>0</v>
      </c>
      <c r="AK419" s="828">
        <v>0</v>
      </c>
      <c r="AL419" s="828">
        <v>0</v>
      </c>
      <c r="AM419" s="828">
        <v>0</v>
      </c>
      <c r="AN419" s="828">
        <v>0</v>
      </c>
      <c r="AO419" s="828">
        <v>0</v>
      </c>
      <c r="AP419" s="828">
        <v>0</v>
      </c>
    </row>
    <row r="420" hidden="1" ht="13.5">
      <c r="B420" s="128" t="s">
        <v>7</v>
      </c>
      <c r="C420" s="129" t="str">
        <f>IF(SUM(C401:C419)&lt;&gt;0,SUM(C401:C419),"")</f>
      </c>
      <c r="D420" s="129" t="str">
        <f ref="D420:AA420" t="shared" si="45">IF(SUM(D401:D419)&lt;&gt;0,SUM(D401:D419),"")</f>
      </c>
      <c r="E420" s="129" t="str">
        <f t="shared" si="45"/>
      </c>
      <c r="F420" s="129" t="str">
        <f t="shared" si="45"/>
      </c>
      <c r="G420" s="129" t="str">
        <f t="shared" si="45"/>
      </c>
      <c r="H420" s="129" t="str">
        <f t="shared" si="45"/>
      </c>
      <c r="I420" s="129" t="str">
        <f t="shared" si="45"/>
      </c>
      <c r="J420" s="129" t="str">
        <f t="shared" si="45"/>
      </c>
      <c r="K420" s="129" t="str">
        <f t="shared" si="45"/>
      </c>
      <c r="L420" s="129" t="str">
        <f t="shared" si="45"/>
      </c>
      <c r="M420" s="129" t="str">
        <f t="shared" si="45"/>
      </c>
      <c r="N420" s="129" t="str">
        <f t="shared" si="45"/>
      </c>
      <c r="O420" s="129" t="str">
        <f t="shared" si="45"/>
      </c>
      <c r="P420" s="129" t="str">
        <f t="shared" si="45"/>
      </c>
      <c r="Q420" s="129" t="str">
        <f t="shared" si="45"/>
      </c>
      <c r="R420" s="129" t="str">
        <f t="shared" si="45"/>
      </c>
      <c r="S420" s="129" t="str">
        <f t="shared" si="45"/>
      </c>
      <c r="T420" s="129" t="str">
        <f t="shared" si="45"/>
      </c>
      <c r="U420" s="129" t="str">
        <f t="shared" si="45"/>
      </c>
      <c r="V420" s="129" t="str">
        <f t="shared" si="45"/>
      </c>
      <c r="W420" s="129" t="str">
        <f t="shared" si="45"/>
      </c>
      <c r="X420" s="129" t="str">
        <f t="shared" si="45"/>
      </c>
      <c r="Y420" s="129" t="str">
        <f t="shared" si="45"/>
      </c>
      <c r="Z420" s="129" t="str">
        <f t="shared" si="45"/>
      </c>
      <c r="AA420" s="129" t="str">
        <f t="shared" si="45"/>
      </c>
      <c r="AB420" s="130" t="str">
        <f>IF(SUM(AB401:AB419)&lt;&gt;0,SUM(AB401:AB419),"")</f>
      </c>
      <c r="AC420" s="91" t="str">
        <f ref="AC420:CN420" t="shared" si="46">IF(SUM(AC401:AC419)&lt;&gt;0,SUM(AC401:AC419),"")</f>
      </c>
      <c r="AD420" s="91" t="str">
        <f t="shared" si="46"/>
      </c>
      <c r="AE420" s="91" t="str">
        <f t="shared" si="46"/>
      </c>
      <c r="AF420" s="91" t="str">
        <f t="shared" si="46"/>
      </c>
      <c r="AG420" s="91" t="str">
        <f t="shared" si="46"/>
      </c>
      <c r="AH420" s="91" t="str">
        <f t="shared" si="46"/>
      </c>
      <c r="AI420" s="91" t="str">
        <f t="shared" si="46"/>
      </c>
      <c r="AJ420" s="91" t="str">
        <f t="shared" si="46"/>
      </c>
      <c r="AK420" s="91" t="str">
        <f t="shared" si="46"/>
      </c>
      <c r="AL420" s="91" t="str">
        <f t="shared" si="46"/>
      </c>
      <c r="AM420" s="91" t="str">
        <f t="shared" si="46"/>
      </c>
      <c r="AN420" s="91" t="str">
        <f t="shared" si="46"/>
      </c>
      <c r="AO420" s="91" t="str">
        <f t="shared" si="46"/>
      </c>
      <c r="AP420" s="91" t="str">
        <f t="shared" si="46"/>
      </c>
      <c r="AQ420" s="91" t="str">
        <f t="shared" si="46"/>
      </c>
      <c r="AR420" s="91" t="str">
        <f t="shared" si="46"/>
      </c>
      <c r="AS420" s="91" t="str">
        <f t="shared" si="46"/>
      </c>
      <c r="AT420" s="91" t="str">
        <f t="shared" si="46"/>
      </c>
      <c r="AU420" s="91" t="str">
        <f t="shared" si="46"/>
      </c>
      <c r="AV420" s="91" t="str">
        <f t="shared" si="46"/>
      </c>
      <c r="AW420" s="91" t="str">
        <f t="shared" si="46"/>
      </c>
      <c r="AX420" s="91" t="str">
        <f t="shared" si="46"/>
      </c>
      <c r="AY420" s="91" t="str">
        <f t="shared" si="46"/>
      </c>
      <c r="AZ420" s="91" t="str">
        <f t="shared" si="46"/>
      </c>
      <c r="BA420" s="91" t="str">
        <f t="shared" si="46"/>
      </c>
      <c r="BB420" s="91" t="str">
        <f t="shared" si="46"/>
      </c>
      <c r="BC420" s="91" t="str">
        <f t="shared" si="46"/>
      </c>
      <c r="BD420" s="91" t="str">
        <f t="shared" si="46"/>
      </c>
      <c r="BE420" s="91" t="str">
        <f t="shared" si="46"/>
      </c>
      <c r="BF420" s="91" t="str">
        <f t="shared" si="46"/>
      </c>
      <c r="BG420" s="91" t="str">
        <f t="shared" si="46"/>
      </c>
      <c r="BH420" s="91" t="str">
        <f t="shared" si="46"/>
      </c>
      <c r="BI420" s="91" t="str">
        <f t="shared" si="46"/>
      </c>
      <c r="BJ420" s="91" t="str">
        <f t="shared" si="46"/>
      </c>
      <c r="BK420" s="91" t="str">
        <f t="shared" si="46"/>
      </c>
      <c r="BL420" s="91" t="str">
        <f t="shared" si="46"/>
      </c>
      <c r="BM420" s="91" t="str">
        <f t="shared" si="46"/>
      </c>
      <c r="BN420" s="91" t="str">
        <f t="shared" si="46"/>
      </c>
      <c r="BO420" s="91" t="str">
        <f t="shared" si="46"/>
      </c>
      <c r="BP420" s="91" t="str">
        <f t="shared" si="46"/>
      </c>
      <c r="BQ420" s="91" t="str">
        <f t="shared" si="46"/>
      </c>
      <c r="BR420" s="91" t="str">
        <f t="shared" si="46"/>
      </c>
      <c r="BS420" s="91" t="str">
        <f t="shared" si="46"/>
      </c>
      <c r="BT420" s="91" t="str">
        <f t="shared" si="46"/>
      </c>
      <c r="BU420" s="91" t="str">
        <f t="shared" si="46"/>
      </c>
      <c r="BV420" s="91" t="str">
        <f t="shared" si="46"/>
      </c>
      <c r="BW420" s="91" t="str">
        <f t="shared" si="46"/>
      </c>
      <c r="BX420" s="91" t="str">
        <f t="shared" si="46"/>
      </c>
      <c r="BY420" s="91" t="str">
        <f t="shared" si="46"/>
      </c>
      <c r="BZ420" s="91" t="str">
        <f t="shared" si="46"/>
      </c>
      <c r="CA420" s="91" t="str">
        <f t="shared" si="46"/>
      </c>
      <c r="CB420" s="91" t="str">
        <f t="shared" si="46"/>
      </c>
      <c r="CC420" s="91" t="str">
        <f t="shared" si="46"/>
      </c>
      <c r="CD420" s="91" t="str">
        <f t="shared" si="46"/>
      </c>
      <c r="CE420" s="91" t="str">
        <f t="shared" si="46"/>
      </c>
      <c r="CF420" s="91" t="str">
        <f t="shared" si="46"/>
      </c>
      <c r="CG420" s="91" t="str">
        <f t="shared" si="46"/>
      </c>
      <c r="CH420" s="91" t="str">
        <f t="shared" si="46"/>
      </c>
      <c r="CI420" s="91" t="str">
        <f t="shared" si="46"/>
      </c>
      <c r="CJ420" s="91" t="str">
        <f t="shared" si="46"/>
      </c>
      <c r="CK420" s="91" t="str">
        <f t="shared" si="46"/>
      </c>
      <c r="CL420" s="91" t="str">
        <f t="shared" si="46"/>
      </c>
      <c r="CM420" s="91" t="str">
        <f t="shared" si="46"/>
      </c>
      <c r="CN420" s="91" t="str">
        <f t="shared" si="46"/>
      </c>
      <c r="CO420" s="91" t="str">
        <f ref="CO420:EZ420" t="shared" si="47">IF(SUM(CO401:CO419)&lt;&gt;0,SUM(CO401:CO419),"")</f>
      </c>
      <c r="CP420" s="91" t="str">
        <f t="shared" si="47"/>
      </c>
      <c r="CQ420" s="91" t="str">
        <f t="shared" si="47"/>
      </c>
      <c r="CR420" s="91" t="str">
        <f t="shared" si="47"/>
      </c>
      <c r="CS420" s="91" t="str">
        <f t="shared" si="47"/>
      </c>
      <c r="CT420" s="91" t="str">
        <f t="shared" si="47"/>
      </c>
      <c r="CU420" s="91" t="str">
        <f t="shared" si="47"/>
      </c>
      <c r="CV420" s="91" t="str">
        <f t="shared" si="47"/>
      </c>
      <c r="CW420" s="91" t="str">
        <f t="shared" si="47"/>
      </c>
      <c r="CX420" s="91" t="str">
        <f t="shared" si="47"/>
      </c>
      <c r="CY420" s="91" t="str">
        <f t="shared" si="47"/>
      </c>
      <c r="CZ420" s="91" t="str">
        <f t="shared" si="47"/>
      </c>
      <c r="DA420" s="91" t="str">
        <f t="shared" si="47"/>
      </c>
      <c r="DB420" s="91" t="str">
        <f t="shared" si="47"/>
      </c>
      <c r="DC420" s="91" t="str">
        <f t="shared" si="47"/>
      </c>
      <c r="DD420" s="91" t="str">
        <f t="shared" si="47"/>
      </c>
      <c r="DE420" s="91" t="str">
        <f t="shared" si="47"/>
      </c>
      <c r="DF420" s="91" t="str">
        <f t="shared" si="47"/>
      </c>
      <c r="DG420" s="91" t="str">
        <f t="shared" si="47"/>
      </c>
      <c r="DH420" s="91" t="str">
        <f t="shared" si="47"/>
      </c>
      <c r="DI420" s="91" t="str">
        <f t="shared" si="47"/>
      </c>
      <c r="DJ420" s="91" t="str">
        <f t="shared" si="47"/>
      </c>
      <c r="DK420" s="91" t="str">
        <f t="shared" si="47"/>
      </c>
      <c r="DL420" s="91" t="str">
        <f t="shared" si="47"/>
      </c>
      <c r="DM420" s="91" t="str">
        <f t="shared" si="47"/>
      </c>
      <c r="DN420" s="91" t="str">
        <f t="shared" si="47"/>
      </c>
      <c r="DO420" s="91" t="str">
        <f t="shared" si="47"/>
      </c>
      <c r="DP420" s="91" t="str">
        <f t="shared" si="47"/>
      </c>
      <c r="DQ420" s="91" t="str">
        <f t="shared" si="47"/>
      </c>
      <c r="DR420" s="91" t="str">
        <f t="shared" si="47"/>
      </c>
      <c r="DS420" s="91" t="str">
        <f t="shared" si="47"/>
      </c>
      <c r="DT420" s="91" t="str">
        <f t="shared" si="47"/>
      </c>
      <c r="DU420" s="91" t="str">
        <f t="shared" si="47"/>
      </c>
      <c r="DV420" s="91" t="str">
        <f t="shared" si="47"/>
      </c>
      <c r="DW420" s="91" t="str">
        <f t="shared" si="47"/>
      </c>
      <c r="DX420" s="91" t="str">
        <f t="shared" si="47"/>
      </c>
      <c r="DY420" s="91" t="str">
        <f t="shared" si="47"/>
      </c>
      <c r="DZ420" s="91" t="str">
        <f t="shared" si="47"/>
      </c>
      <c r="EA420" s="91" t="str">
        <f t="shared" si="47"/>
      </c>
      <c r="EB420" s="91" t="str">
        <f t="shared" si="47"/>
      </c>
      <c r="EC420" s="91" t="str">
        <f t="shared" si="47"/>
      </c>
      <c r="ED420" s="91" t="str">
        <f t="shared" si="47"/>
      </c>
      <c r="EE420" s="91" t="str">
        <f t="shared" si="47"/>
      </c>
      <c r="EF420" s="91" t="str">
        <f t="shared" si="47"/>
      </c>
      <c r="EG420" s="91" t="str">
        <f t="shared" si="47"/>
      </c>
      <c r="EH420" s="91" t="str">
        <f t="shared" si="47"/>
      </c>
      <c r="EI420" s="91" t="str">
        <f t="shared" si="47"/>
      </c>
      <c r="EJ420" s="91" t="str">
        <f t="shared" si="47"/>
      </c>
      <c r="EK420" s="91" t="str">
        <f t="shared" si="47"/>
      </c>
      <c r="EL420" s="91" t="str">
        <f t="shared" si="47"/>
      </c>
      <c r="EM420" s="91" t="str">
        <f t="shared" si="47"/>
      </c>
      <c r="EN420" s="91" t="str">
        <f t="shared" si="47"/>
      </c>
      <c r="EO420" s="91" t="str">
        <f t="shared" si="47"/>
      </c>
      <c r="EP420" s="91" t="str">
        <f t="shared" si="47"/>
      </c>
      <c r="EQ420" s="91" t="str">
        <f t="shared" si="47"/>
      </c>
      <c r="ER420" s="91" t="str">
        <f t="shared" si="47"/>
      </c>
      <c r="ES420" s="91" t="str">
        <f t="shared" si="47"/>
      </c>
      <c r="ET420" s="91" t="str">
        <f t="shared" si="47"/>
      </c>
      <c r="EU420" s="91" t="str">
        <f t="shared" si="47"/>
      </c>
      <c r="EV420" s="91" t="str">
        <f t="shared" si="47"/>
      </c>
      <c r="EW420" s="91" t="str">
        <f t="shared" si="47"/>
      </c>
      <c r="EX420" s="91" t="str">
        <f t="shared" si="47"/>
      </c>
      <c r="EY420" s="91" t="str">
        <f t="shared" si="47"/>
      </c>
      <c r="EZ420" s="91" t="str">
        <f t="shared" si="47"/>
      </c>
      <c r="FA420" s="91" t="str">
        <f ref="FA420:HL420" t="shared" si="48">IF(SUM(FA401:FA419)&lt;&gt;0,SUM(FA401:FA419),"")</f>
      </c>
      <c r="FB420" s="91" t="str">
        <f t="shared" si="48"/>
      </c>
      <c r="FC420" s="91" t="str">
        <f t="shared" si="48"/>
      </c>
      <c r="FD420" s="91" t="str">
        <f t="shared" si="48"/>
      </c>
      <c r="FE420" s="91" t="str">
        <f t="shared" si="48"/>
      </c>
      <c r="FF420" s="91" t="str">
        <f t="shared" si="48"/>
      </c>
      <c r="FG420" s="91" t="str">
        <f t="shared" si="48"/>
      </c>
      <c r="FH420" s="91" t="str">
        <f t="shared" si="48"/>
      </c>
      <c r="FI420" s="91" t="str">
        <f t="shared" si="48"/>
      </c>
      <c r="FJ420" s="91" t="str">
        <f t="shared" si="48"/>
      </c>
      <c r="FK420" s="91" t="str">
        <f t="shared" si="48"/>
      </c>
      <c r="FL420" s="91" t="str">
        <f t="shared" si="48"/>
      </c>
      <c r="FM420" s="91" t="str">
        <f t="shared" si="48"/>
      </c>
      <c r="FN420" s="91" t="str">
        <f t="shared" si="48"/>
      </c>
      <c r="FO420" s="91" t="str">
        <f t="shared" si="48"/>
      </c>
      <c r="FP420" s="91" t="str">
        <f t="shared" si="48"/>
      </c>
      <c r="FQ420" s="91" t="str">
        <f t="shared" si="48"/>
      </c>
      <c r="FR420" s="91" t="str">
        <f t="shared" si="48"/>
      </c>
      <c r="FS420" s="91" t="str">
        <f t="shared" si="48"/>
      </c>
      <c r="FT420" s="91" t="str">
        <f t="shared" si="48"/>
      </c>
      <c r="FU420" s="91" t="str">
        <f t="shared" si="48"/>
      </c>
      <c r="FV420" s="91" t="str">
        <f t="shared" si="48"/>
      </c>
      <c r="FW420" s="91" t="str">
        <f t="shared" si="48"/>
      </c>
      <c r="FX420" s="91" t="str">
        <f t="shared" si="48"/>
      </c>
      <c r="FY420" s="91" t="str">
        <f t="shared" si="48"/>
      </c>
      <c r="FZ420" s="91" t="str">
        <f t="shared" si="48"/>
      </c>
      <c r="GA420" s="91" t="str">
        <f t="shared" si="48"/>
      </c>
      <c r="GB420" s="91" t="str">
        <f t="shared" si="48"/>
      </c>
      <c r="GC420" s="91" t="str">
        <f t="shared" si="48"/>
      </c>
      <c r="GD420" s="91" t="str">
        <f t="shared" si="48"/>
      </c>
      <c r="GE420" s="91" t="str">
        <f t="shared" si="48"/>
      </c>
      <c r="GF420" s="91" t="str">
        <f t="shared" si="48"/>
      </c>
      <c r="GG420" s="91" t="str">
        <f t="shared" si="48"/>
      </c>
      <c r="GH420" s="91" t="str">
        <f t="shared" si="48"/>
      </c>
      <c r="GI420" s="91" t="str">
        <f t="shared" si="48"/>
      </c>
      <c r="GJ420" s="91" t="str">
        <f t="shared" si="48"/>
      </c>
      <c r="GK420" s="91" t="str">
        <f t="shared" si="48"/>
      </c>
      <c r="GL420" s="91" t="str">
        <f t="shared" si="48"/>
      </c>
      <c r="GM420" s="91" t="str">
        <f t="shared" si="48"/>
      </c>
      <c r="GN420" s="91" t="str">
        <f t="shared" si="48"/>
      </c>
      <c r="GO420" s="91" t="str">
        <f t="shared" si="48"/>
      </c>
      <c r="GP420" s="91" t="str">
        <f t="shared" si="48"/>
      </c>
      <c r="GQ420" s="91" t="str">
        <f t="shared" si="48"/>
      </c>
      <c r="GR420" s="91" t="str">
        <f t="shared" si="48"/>
      </c>
      <c r="GS420" s="91" t="str">
        <f t="shared" si="48"/>
      </c>
      <c r="GT420" s="91" t="str">
        <f t="shared" si="48"/>
      </c>
      <c r="GU420" s="91" t="str">
        <f t="shared" si="48"/>
      </c>
      <c r="GV420" s="91" t="str">
        <f t="shared" si="48"/>
      </c>
      <c r="GW420" s="91" t="str">
        <f t="shared" si="48"/>
      </c>
      <c r="GX420" s="91" t="str">
        <f t="shared" si="48"/>
      </c>
      <c r="GY420" s="91" t="str">
        <f t="shared" si="48"/>
      </c>
      <c r="GZ420" s="91" t="str">
        <f t="shared" si="48"/>
      </c>
      <c r="HA420" s="91" t="str">
        <f t="shared" si="48"/>
      </c>
      <c r="HB420" s="91" t="str">
        <f t="shared" si="48"/>
      </c>
      <c r="HC420" s="91" t="str">
        <f t="shared" si="48"/>
      </c>
      <c r="HD420" s="91" t="str">
        <f t="shared" si="48"/>
      </c>
      <c r="HE420" s="91" t="str">
        <f t="shared" si="48"/>
      </c>
      <c r="HF420" s="91" t="str">
        <f t="shared" si="48"/>
      </c>
      <c r="HG420" s="91" t="str">
        <f t="shared" si="48"/>
      </c>
      <c r="HH420" s="91" t="str">
        <f t="shared" si="48"/>
      </c>
      <c r="HI420" s="91" t="str">
        <f t="shared" si="48"/>
      </c>
      <c r="HJ420" s="91" t="str">
        <f t="shared" si="48"/>
      </c>
      <c r="HK420" s="91" t="str">
        <f t="shared" si="48"/>
      </c>
      <c r="HL420" s="91" t="str">
        <f t="shared" si="48"/>
      </c>
      <c r="HM420" s="91" t="str">
        <f ref="HM420:IV420" t="shared" si="49">IF(SUM(HM401:HM419)&lt;&gt;0,SUM(HM401:HM419),"")</f>
      </c>
      <c r="HN420" s="91" t="str">
        <f t="shared" si="49"/>
      </c>
      <c r="HO420" s="91" t="str">
        <f t="shared" si="49"/>
      </c>
      <c r="HP420" s="91" t="str">
        <f t="shared" si="49"/>
      </c>
      <c r="HQ420" s="91" t="str">
        <f t="shared" si="49"/>
      </c>
      <c r="HR420" s="91" t="str">
        <f t="shared" si="49"/>
      </c>
      <c r="HS420" s="91" t="str">
        <f t="shared" si="49"/>
      </c>
      <c r="HT420" s="91" t="str">
        <f t="shared" si="49"/>
      </c>
      <c r="HU420" s="91" t="str">
        <f t="shared" si="49"/>
      </c>
      <c r="HV420" s="91" t="str">
        <f t="shared" si="49"/>
      </c>
      <c r="HW420" s="91" t="str">
        <f t="shared" si="49"/>
      </c>
      <c r="HX420" s="91" t="str">
        <f t="shared" si="49"/>
      </c>
      <c r="HY420" s="91" t="str">
        <f t="shared" si="49"/>
      </c>
      <c r="HZ420" s="91" t="str">
        <f t="shared" si="49"/>
      </c>
      <c r="IA420" s="91" t="str">
        <f t="shared" si="49"/>
      </c>
      <c r="IB420" s="91" t="str">
        <f t="shared" si="49"/>
      </c>
      <c r="IC420" s="91" t="str">
        <f t="shared" si="49"/>
      </c>
      <c r="ID420" s="91" t="str">
        <f t="shared" si="49"/>
      </c>
      <c r="IE420" s="91" t="str">
        <f t="shared" si="49"/>
      </c>
      <c r="IF420" s="91" t="str">
        <f t="shared" si="49"/>
      </c>
      <c r="IG420" s="91" t="str">
        <f t="shared" si="49"/>
      </c>
      <c r="IH420" s="91" t="str">
        <f t="shared" si="49"/>
      </c>
      <c r="II420" s="91" t="str">
        <f t="shared" si="49"/>
      </c>
      <c r="IJ420" s="91" t="str">
        <f t="shared" si="49"/>
      </c>
      <c r="IK420" s="91" t="str">
        <f t="shared" si="49"/>
      </c>
      <c r="IL420" s="91" t="str">
        <f t="shared" si="49"/>
      </c>
      <c r="IM420" s="91" t="str">
        <f t="shared" si="49"/>
      </c>
      <c r="IN420" s="91" t="str">
        <f t="shared" si="49"/>
      </c>
      <c r="IO420" s="91" t="str">
        <f t="shared" si="49"/>
      </c>
      <c r="IP420" s="91" t="str">
        <f t="shared" si="49"/>
      </c>
      <c r="IQ420" s="91" t="str">
        <f t="shared" si="49"/>
      </c>
      <c r="IR420" s="91" t="str">
        <f t="shared" si="49"/>
      </c>
      <c r="IS420" s="91" t="str">
        <f t="shared" si="49"/>
      </c>
      <c r="IT420" s="91" t="str">
        <f t="shared" si="49"/>
      </c>
      <c r="IU420" s="91" t="str">
        <f t="shared" si="49"/>
      </c>
      <c r="IV420" s="91" t="str">
        <f t="shared" si="49"/>
      </c>
    </row>
    <row r="421" hidden="1" ht="13.5"/>
    <row r="422" hidden="1" ht="15.75" customHeight="1">
      <c r="C422" s="686" t="s">
        <v>394</v>
      </c>
      <c r="D422" s="687"/>
      <c r="E422" s="687"/>
      <c r="F422" s="687"/>
      <c r="G422" s="687"/>
      <c r="H422" s="687"/>
      <c r="I422" s="687"/>
      <c r="J422" s="687"/>
      <c r="K422" s="687"/>
      <c r="L422" s="687"/>
      <c r="M422" s="687"/>
      <c r="N422" s="687"/>
      <c r="O422" s="687"/>
      <c r="P422" s="687"/>
      <c r="Q422" s="687"/>
      <c r="R422" s="687"/>
      <c r="S422" s="687"/>
      <c r="T422" s="687"/>
      <c r="U422" s="687"/>
      <c r="V422" s="687"/>
      <c r="W422" s="687"/>
      <c r="X422" s="687"/>
      <c r="Y422" s="687"/>
      <c r="Z422" s="687"/>
      <c r="AA422" s="687"/>
      <c r="AB422" s="688"/>
    </row>
    <row r="423" hidden="1" ht="13.5">
      <c r="C423" s="435" t="str">
        <f> IF(C443&lt;&gt;"",TEXT(AUX!G$1,"dd-MMM-aa"),"")</f>
      </c>
      <c r="D423" s="435" t="str">
        <f> IF(D443&lt;&gt;"",TEXT(AUX!H$1,"dd-MMM-aa"),"")</f>
      </c>
      <c r="E423" s="435" t="str">
        <f> IF(E443&lt;&gt;"",TEXT(AUX!I$1,"dd-MMM-aa"),"")</f>
      </c>
      <c r="F423" s="435" t="str">
        <f> IF(F443&lt;&gt;"",TEXT(AUX!J$1,"dd-MMM-aa"),"")</f>
      </c>
      <c r="G423" s="435" t="str">
        <f> IF(G443&lt;&gt;"",TEXT(AUX!K$1,"dd-MMM-aa"),"")</f>
      </c>
      <c r="H423" s="435" t="str">
        <f> IF(H443&lt;&gt;"",TEXT(AUX!L$1,"dd-MMM-aa"),"")</f>
      </c>
      <c r="I423" s="435" t="str">
        <f> IF(I443&lt;&gt;"",TEXT(AUX!M$1,"dd-MMM-aa"),"")</f>
      </c>
      <c r="J423" s="435" t="str">
        <f> IF(J443&lt;&gt;"",TEXT(AUX!N$1,"dd-MMM-aa"),"")</f>
      </c>
      <c r="K423" s="435" t="str">
        <f> IF(K443&lt;&gt;"",TEXT(AUX!O$1,"dd-MMM-aa"),"")</f>
      </c>
      <c r="L423" s="435" t="str">
        <f> IF(L443&lt;&gt;"",TEXT(AUX!P$1,"dd-MMM-aa"),"")</f>
      </c>
      <c r="M423" s="435" t="str">
        <f> IF(M443&lt;&gt;"",TEXT(AUX!Q$1,"dd-MMM-aa"),"")</f>
      </c>
      <c r="N423" s="435" t="str">
        <f> IF(N443&lt;&gt;"",TEXT(AUX!R$1,"dd-MMM-aa"),"")</f>
      </c>
      <c r="O423" s="435" t="str">
        <f> IF(O443&lt;&gt;"",TEXT(AUX!S$1,"dd-MMM-aa"),"")</f>
      </c>
      <c r="P423" s="435" t="str">
        <f> IF(P443&lt;&gt;"",TEXT(AUX!T$1,"dd-MMM-aa"),"")</f>
      </c>
      <c r="Q423" s="435" t="str">
        <f> IF(Q443&lt;&gt;"",TEXT(AUX!U$1,"dd-MMM-aa"),"")</f>
      </c>
      <c r="R423" s="435" t="str">
        <f> IF(R443&lt;&gt;"",TEXT(AUX!V$1,"dd-MMM-aa"),"")</f>
      </c>
      <c r="S423" s="435" t="str">
        <f> IF(S443&lt;&gt;"",TEXT(AUX!W$1,"dd-MMM-aa"),"")</f>
      </c>
      <c r="T423" s="435" t="str">
        <f> IF(T443&lt;&gt;"",TEXT(AUX!X$1,"dd-MMM-aa"),"")</f>
      </c>
      <c r="U423" s="435" t="str">
        <f> IF(U443&lt;&gt;"",TEXT(AUX!Y$1,"dd-MMM-aa"),"")</f>
      </c>
      <c r="V423" s="435" t="str">
        <f> IF(V443&lt;&gt;"",TEXT(AUX!Z$1,"dd-MMM-aa"),"")</f>
      </c>
      <c r="W423" s="435" t="str">
        <f> IF(W443&lt;&gt;"",TEXT(AUX!AA$1,"dd-MMM-aa"),"")</f>
      </c>
      <c r="X423" s="435" t="str">
        <f> IF(X443&lt;&gt;"",TEXT(AUX!AB$1,"dd-MMM-aa"),"")</f>
      </c>
      <c r="Y423" s="435" t="str">
        <f> IF(Y443&lt;&gt;"",TEXT(AUX!AC$1,"dd-MMM-aa"),"")</f>
      </c>
      <c r="Z423" s="435" t="str">
        <f> IF(Z443&lt;&gt;"",TEXT(AUX!AD$1,"dd-MMM-aa"),"")</f>
      </c>
      <c r="AA423" s="435" t="str">
        <f> IF(AA443&lt;&gt;"",TEXT(AUX!AE$1,"dd-MMM-aa"),"")</f>
      </c>
      <c r="AB423" s="497" t="str">
        <f> IF(AB443&lt;&gt;"",TEXT(AUX!AF$1,"dd-MMM-aa"),"")</f>
      </c>
      <c r="AC423" s="496" t="str">
        <f> IF(AC443&lt;&gt;"",TEXT(AUX!AG$1,"dd-MMM-aa"),"")</f>
      </c>
      <c r="AD423" s="496" t="str">
        <f> IF(AD443&lt;&gt;"",TEXT(AUX!AH$1,"dd-MMM-aa"),"")</f>
      </c>
      <c r="AE423" s="496" t="str">
        <f> IF(AE443&lt;&gt;"",TEXT(AUX!AI$1,"dd-MMM-aa"),"")</f>
      </c>
      <c r="AF423" s="496" t="str">
        <f> IF(AF443&lt;&gt;"",TEXT(AUX!AJ$1,"dd-MMM-aa"),"")</f>
      </c>
      <c r="AG423" s="496" t="str">
        <f> IF(AG443&lt;&gt;"",TEXT(AUX!AK$1,"dd-MMM-aa"),"")</f>
      </c>
      <c r="AH423" s="496" t="str">
        <f> IF(AH443&lt;&gt;"",TEXT(AUX!AL$1,"dd-MMM-aa"),"")</f>
      </c>
      <c r="AI423" s="496" t="str">
        <f> IF(AI443&lt;&gt;"",TEXT(AUX!AM$1,"dd-MMM-aa"),"")</f>
      </c>
      <c r="AJ423" s="496" t="str">
        <f> IF(AJ443&lt;&gt;"",TEXT(AUX!AN$1,"dd-MMM-aa"),"")</f>
      </c>
      <c r="AK423" s="496" t="str">
        <f> IF(AK443&lt;&gt;"",TEXT(AUX!AO$1,"dd-MMM-aa"),"")</f>
      </c>
      <c r="AL423" s="496" t="str">
        <f> IF(AL443&lt;&gt;"",TEXT(AUX!AP$1,"dd-MMM-aa"),"")</f>
      </c>
      <c r="AM423" s="496" t="str">
        <f> IF(AM443&lt;&gt;"",TEXT(AUX!AQ$1,"dd-MMM-aa"),"")</f>
      </c>
      <c r="AN423" s="496" t="str">
        <f> IF(AN443&lt;&gt;"",TEXT(AUX!AR$1,"dd-MMM-aa"),"")</f>
      </c>
      <c r="AO423" s="496" t="str">
        <f> IF(AO443&lt;&gt;"",TEXT(AUX!AS$1,"dd-MMM-aa"),"")</f>
      </c>
      <c r="AP423" s="496" t="str">
        <f> IF(AP443&lt;&gt;"",TEXT(AUX!AT$1,"dd-MMM-aa"),"")</f>
      </c>
      <c r="AQ423" s="496" t="str">
        <f> IF(AQ443&lt;&gt;"",TEXT(AUX!AU$1,"dd-MMM-aa"),"")</f>
      </c>
      <c r="AR423" s="496" t="str">
        <f> IF(AR443&lt;&gt;"",TEXT(AUX!AV$1,"dd-MMM-aa"),"")</f>
      </c>
      <c r="AS423" s="496" t="str">
        <f> IF(AS443&lt;&gt;"",TEXT(AUX!AW$1,"dd-MMM-aa"),"")</f>
      </c>
      <c r="AT423" s="496" t="str">
        <f> IF(AT443&lt;&gt;"",TEXT(AUX!AX$1,"dd-MMM-aa"),"")</f>
      </c>
      <c r="AU423" s="496" t="str">
        <f> IF(AU443&lt;&gt;"",TEXT(AUX!AY$1,"dd-MMM-aa"),"")</f>
      </c>
      <c r="AV423" s="496" t="str">
        <f> IF(AV443&lt;&gt;"",TEXT(AUX!AZ$1,"dd-MMM-aa"),"")</f>
      </c>
      <c r="AW423" s="496" t="str">
        <f> IF(AW443&lt;&gt;"",TEXT(AUX!BA$1,"dd-MMM-aa"),"")</f>
      </c>
      <c r="AX423" s="496" t="str">
        <f> IF(AX443&lt;&gt;"",TEXT(AUX!BB$1,"dd-MMM-aa"),"")</f>
      </c>
      <c r="AY423" s="496" t="str">
        <f> IF(AY443&lt;&gt;"",TEXT(AUX!BC$1,"dd-MMM-aa"),"")</f>
      </c>
      <c r="AZ423" s="496" t="str">
        <f> IF(AZ443&lt;&gt;"",TEXT(AUX!BD$1,"dd-MMM-aa"),"")</f>
      </c>
      <c r="BA423" s="496" t="str">
        <f> IF(BA443&lt;&gt;"",TEXT(AUX!BE$1,"dd-MMM-aa"),"")</f>
      </c>
      <c r="BB423" s="496" t="str">
        <f> IF(BB443&lt;&gt;"",TEXT(AUX!BF$1,"dd-MMM-aa"),"")</f>
      </c>
      <c r="BC423" s="496" t="str">
        <f> IF(BC443&lt;&gt;"",TEXT(AUX!BG$1,"dd-MMM-aa"),"")</f>
      </c>
      <c r="BD423" s="496" t="str">
        <f> IF(BD443&lt;&gt;"",TEXT(AUX!BH$1,"dd-MMM-aa"),"")</f>
      </c>
      <c r="BE423" s="496" t="str">
        <f> IF(BE443&lt;&gt;"",TEXT(AUX!BI$1,"dd-MMM-aa"),"")</f>
      </c>
      <c r="BF423" s="496" t="str">
        <f> IF(BF443&lt;&gt;"",TEXT(AUX!BJ$1,"dd-MMM-aa"),"")</f>
      </c>
      <c r="BG423" s="496" t="str">
        <f> IF(BG443&lt;&gt;"",TEXT(AUX!BK$1,"dd-MMM-aa"),"")</f>
      </c>
      <c r="BH423" s="496" t="str">
        <f> IF(BH443&lt;&gt;"",TEXT(AUX!BL$1,"dd-MMM-aa"),"")</f>
      </c>
      <c r="BI423" s="496" t="str">
        <f> IF(BI443&lt;&gt;"",TEXT(AUX!BM$1,"dd-MMM-aa"),"")</f>
      </c>
      <c r="BJ423" s="496" t="str">
        <f> IF(BJ443&lt;&gt;"",TEXT(AUX!BN$1,"dd-MMM-aa"),"")</f>
      </c>
      <c r="BK423" s="496" t="str">
        <f> IF(BK443&lt;&gt;"",TEXT(AUX!BO$1,"dd-MMM-aa"),"")</f>
      </c>
      <c r="BL423" s="496" t="str">
        <f> IF(BL443&lt;&gt;"",TEXT(AUX!BP$1,"dd-MMM-aa"),"")</f>
      </c>
      <c r="BM423" s="496" t="str">
        <f> IF(BM443&lt;&gt;"",TEXT(AUX!BQ$1,"dd-MMM-aa"),"")</f>
      </c>
      <c r="BN423" s="496" t="str">
        <f> IF(BN443&lt;&gt;"",TEXT(AUX!BR$1,"dd-MMM-aa"),"")</f>
      </c>
      <c r="BO423" s="496" t="str">
        <f> IF(BO443&lt;&gt;"",TEXT(AUX!BS$1,"dd-MMM-aa"),"")</f>
      </c>
      <c r="BP423" s="496" t="str">
        <f> IF(BP443&lt;&gt;"",TEXT(AUX!BT$1,"dd-MMM-aa"),"")</f>
      </c>
      <c r="BQ423" s="496" t="str">
        <f> IF(BQ443&lt;&gt;"",TEXT(AUX!BU$1,"dd-MMM-aa"),"")</f>
      </c>
      <c r="BR423" s="496" t="str">
        <f> IF(BR443&lt;&gt;"",TEXT(AUX!BV$1,"dd-MMM-aa"),"")</f>
      </c>
      <c r="BS423" s="496" t="str">
        <f> IF(BS443&lt;&gt;"",TEXT(AUX!BW$1,"dd-MMM-aa"),"")</f>
      </c>
      <c r="BT423" s="496" t="str">
        <f> IF(BT443&lt;&gt;"",TEXT(AUX!BX$1,"dd-MMM-aa"),"")</f>
      </c>
      <c r="BU423" s="496" t="str">
        <f> IF(BU443&lt;&gt;"",TEXT(AUX!BY$1,"dd-MMM-aa"),"")</f>
      </c>
      <c r="BV423" s="496" t="str">
        <f> IF(BV443&lt;&gt;"",TEXT(AUX!BZ$1,"dd-MMM-aa"),"")</f>
      </c>
      <c r="BW423" s="496" t="str">
        <f> IF(BW443&lt;&gt;"",TEXT(AUX!CA$1,"dd-MMM-aa"),"")</f>
      </c>
      <c r="BX423" s="496" t="str">
        <f> IF(BX443&lt;&gt;"",TEXT(AUX!CB$1,"dd-MMM-aa"),"")</f>
      </c>
      <c r="BY423" s="496" t="str">
        <f> IF(BY443&lt;&gt;"",TEXT(AUX!CC$1,"dd-MMM-aa"),"")</f>
      </c>
      <c r="BZ423" s="496" t="str">
        <f> IF(BZ443&lt;&gt;"",TEXT(AUX!CD$1,"dd-MMM-aa"),"")</f>
      </c>
      <c r="CA423" s="496" t="str">
        <f> IF(CA443&lt;&gt;"",TEXT(AUX!CE$1,"dd-MMM-aa"),"")</f>
      </c>
      <c r="CB423" s="496" t="str">
        <f> IF(CB443&lt;&gt;"",TEXT(AUX!CF$1,"dd-MMM-aa"),"")</f>
      </c>
      <c r="CC423" s="496" t="str">
        <f> IF(CC443&lt;&gt;"",TEXT(AUX!CG$1,"dd-MMM-aa"),"")</f>
      </c>
      <c r="CD423" s="496" t="str">
        <f> IF(CD443&lt;&gt;"",TEXT(AUX!CH$1,"dd-MMM-aa"),"")</f>
      </c>
      <c r="CE423" s="496" t="str">
        <f> IF(CE443&lt;&gt;"",TEXT(AUX!CI$1,"dd-MMM-aa"),"")</f>
      </c>
      <c r="CF423" s="496" t="str">
        <f> IF(CF443&lt;&gt;"",TEXT(AUX!CJ$1,"dd-MMM-aa"),"")</f>
      </c>
      <c r="CG423" s="496" t="str">
        <f> IF(CG443&lt;&gt;"",TEXT(AUX!CK$1,"dd-MMM-aa"),"")</f>
      </c>
      <c r="CH423" s="496" t="str">
        <f> IF(CH443&lt;&gt;"",TEXT(AUX!CL$1,"dd-MMM-aa"),"")</f>
      </c>
      <c r="CI423" s="496" t="str">
        <f> IF(CI443&lt;&gt;"",TEXT(AUX!CM$1,"dd-MMM-aa"),"")</f>
      </c>
      <c r="CJ423" s="496" t="str">
        <f> IF(CJ443&lt;&gt;"",TEXT(AUX!CN$1,"dd-MMM-aa"),"")</f>
      </c>
      <c r="CK423" s="496" t="str">
        <f> IF(CK443&lt;&gt;"",TEXT(AUX!CO$1,"dd-MMM-aa"),"")</f>
      </c>
      <c r="CL423" s="496" t="str">
        <f> IF(CL443&lt;&gt;"",TEXT(AUX!CP$1,"dd-MMM-aa"),"")</f>
      </c>
      <c r="CM423" s="496" t="str">
        <f> IF(CM443&lt;&gt;"",TEXT(AUX!CQ$1,"dd-MMM-aa"),"")</f>
      </c>
      <c r="CN423" s="496" t="str">
        <f> IF(CN443&lt;&gt;"",TEXT(AUX!CR$1,"dd-MMM-aa"),"")</f>
      </c>
      <c r="CO423" s="496" t="str">
        <f> IF(CO443&lt;&gt;"",TEXT(AUX!CS$1,"dd-MMM-aa"),"")</f>
      </c>
      <c r="CP423" s="496" t="str">
        <f> IF(CP443&lt;&gt;"",TEXT(AUX!CT$1,"dd-MMM-aa"),"")</f>
      </c>
      <c r="CQ423" s="496" t="str">
        <f> IF(CQ443&lt;&gt;"",TEXT(AUX!CU$1,"dd-MMM-aa"),"")</f>
      </c>
      <c r="CR423" s="496" t="str">
        <f> IF(CR443&lt;&gt;"",TEXT(AUX!CV$1,"dd-MMM-aa"),"")</f>
      </c>
      <c r="CS423" s="496" t="str">
        <f> IF(CS443&lt;&gt;"",TEXT(AUX!CW$1,"dd-MMM-aa"),"")</f>
      </c>
      <c r="CT423" s="496" t="str">
        <f> IF(CT443&lt;&gt;"",TEXT(AUX!CX$1,"dd-MMM-aa"),"")</f>
      </c>
      <c r="CU423" s="496" t="str">
        <f> IF(CU443&lt;&gt;"",TEXT(AUX!CY$1,"dd-MMM-aa"),"")</f>
      </c>
      <c r="CV423" s="496" t="str">
        <f> IF(CV443&lt;&gt;"",TEXT(AUX!CZ$1,"dd-MMM-aa"),"")</f>
      </c>
      <c r="CW423" s="496" t="str">
        <f> IF(CW443&lt;&gt;"",TEXT(AUX!DA$1,"dd-MMM-aa"),"")</f>
      </c>
      <c r="CX423" s="496" t="str">
        <f> IF(CX443&lt;&gt;"",TEXT(AUX!DB$1,"dd-MMM-aa"),"")</f>
      </c>
      <c r="CY423" s="496" t="str">
        <f> IF(CY443&lt;&gt;"",TEXT(AUX!DC$1,"dd-MMM-aa"),"")</f>
      </c>
      <c r="CZ423" s="496" t="str">
        <f> IF(CZ443&lt;&gt;"",TEXT(AUX!DD$1,"dd-MMM-aa"),"")</f>
      </c>
      <c r="DA423" s="496" t="str">
        <f> IF(DA443&lt;&gt;"",TEXT(AUX!DE$1,"dd-MMM-aa"),"")</f>
      </c>
      <c r="DB423" s="496" t="str">
        <f> IF(DB443&lt;&gt;"",TEXT(AUX!DF$1,"dd-MMM-aa"),"")</f>
      </c>
      <c r="DC423" s="496" t="str">
        <f> IF(DC443&lt;&gt;"",TEXT(AUX!DG$1,"dd-MMM-aa"),"")</f>
      </c>
      <c r="DD423" s="496" t="str">
        <f> IF(DD443&lt;&gt;"",TEXT(AUX!DH$1,"dd-MMM-aa"),"")</f>
      </c>
      <c r="DE423" s="496" t="str">
        <f> IF(DE443&lt;&gt;"",TEXT(AUX!DI$1,"dd-MMM-aa"),"")</f>
      </c>
      <c r="DF423" s="496" t="str">
        <f> IF(DF443&lt;&gt;"",TEXT(AUX!DJ$1,"dd-MMM-aa"),"")</f>
      </c>
      <c r="DG423" s="496" t="str">
        <f> IF(DG443&lt;&gt;"",TEXT(AUX!DK$1,"dd-MMM-aa"),"")</f>
      </c>
      <c r="DH423" s="496" t="str">
        <f> IF(DH443&lt;&gt;"",TEXT(AUX!DL$1,"dd-MMM-aa"),"")</f>
      </c>
      <c r="DI423" s="496" t="str">
        <f> IF(DI443&lt;&gt;"",TEXT(AUX!DM$1,"dd-MMM-aa"),"")</f>
      </c>
      <c r="DJ423" s="496" t="str">
        <f> IF(DJ443&lt;&gt;"",TEXT(AUX!DN$1,"dd-MMM-aa"),"")</f>
      </c>
      <c r="DK423" s="496" t="str">
        <f> IF(DK443&lt;&gt;"",TEXT(AUX!DO$1,"dd-MMM-aa"),"")</f>
      </c>
      <c r="DL423" s="496" t="str">
        <f> IF(DL443&lt;&gt;"",TEXT(AUX!DP$1,"dd-MMM-aa"),"")</f>
      </c>
      <c r="DM423" s="496" t="str">
        <f> IF(DM443&lt;&gt;"",TEXT(AUX!DQ$1,"dd-MMM-aa"),"")</f>
      </c>
      <c r="DN423" s="496" t="str">
        <f> IF(DN443&lt;&gt;"",TEXT(AUX!DR$1,"dd-MMM-aa"),"")</f>
      </c>
      <c r="DO423" s="496" t="str">
        <f> IF(DO443&lt;&gt;"",TEXT(AUX!DS$1,"dd-MMM-aa"),"")</f>
      </c>
      <c r="DP423" s="496" t="str">
        <f> IF(DP443&lt;&gt;"",TEXT(AUX!DT$1,"dd-MMM-aa"),"")</f>
      </c>
      <c r="DQ423" s="496" t="str">
        <f> IF(DQ443&lt;&gt;"",TEXT(AUX!DU$1,"dd-MMM-aa"),"")</f>
      </c>
      <c r="DR423" s="496" t="str">
        <f> IF(DR443&lt;&gt;"",TEXT(AUX!DV$1,"dd-MMM-aa"),"")</f>
      </c>
      <c r="DS423" s="496" t="str">
        <f> IF(DS443&lt;&gt;"",TEXT(AUX!DW$1,"dd-MMM-aa"),"")</f>
      </c>
      <c r="DT423" s="496" t="str">
        <f> IF(DT443&lt;&gt;"",TEXT(AUX!DX$1,"dd-MMM-aa"),"")</f>
      </c>
      <c r="DU423" s="496" t="str">
        <f> IF(DU443&lt;&gt;"",TEXT(AUX!DY$1,"dd-MMM-aa"),"")</f>
      </c>
      <c r="DV423" s="496" t="str">
        <f> IF(DV443&lt;&gt;"",TEXT(AUX!DZ$1,"dd-MMM-aa"),"")</f>
      </c>
      <c r="DW423" s="496" t="str">
        <f> IF(DW443&lt;&gt;"",TEXT(AUX!EA$1,"dd-MMM-aa"),"")</f>
      </c>
      <c r="DX423" s="496" t="str">
        <f> IF(DX443&lt;&gt;"",TEXT(AUX!EB$1,"dd-MMM-aa"),"")</f>
      </c>
      <c r="DY423" s="496" t="str">
        <f> IF(DY443&lt;&gt;"",TEXT(AUX!EC$1,"dd-MMM-aa"),"")</f>
      </c>
      <c r="DZ423" s="496" t="str">
        <f> IF(DZ443&lt;&gt;"",TEXT(AUX!ED$1,"dd-MMM-aa"),"")</f>
      </c>
      <c r="EA423" s="496" t="str">
        <f> IF(EA443&lt;&gt;"",TEXT(AUX!EE$1,"dd-MMM-aa"),"")</f>
      </c>
      <c r="EB423" s="496" t="str">
        <f> IF(EB443&lt;&gt;"",TEXT(AUX!EF$1,"dd-MMM-aa"),"")</f>
      </c>
      <c r="EC423" s="496" t="str">
        <f> IF(EC443&lt;&gt;"",TEXT(AUX!EG$1,"dd-MMM-aa"),"")</f>
      </c>
      <c r="ED423" s="496" t="str">
        <f> IF(ED443&lt;&gt;"",TEXT(AUX!EH$1,"dd-MMM-aa"),"")</f>
      </c>
      <c r="EE423" s="496" t="str">
        <f> IF(EE443&lt;&gt;"",TEXT(AUX!EI$1,"dd-MMM-aa"),"")</f>
      </c>
      <c r="EF423" s="496" t="str">
        <f> IF(EF443&lt;&gt;"",TEXT(AUX!EJ$1,"dd-MMM-aa"),"")</f>
      </c>
      <c r="EG423" s="496" t="str">
        <f> IF(EG443&lt;&gt;"",TEXT(AUX!EK$1,"dd-MMM-aa"),"")</f>
      </c>
      <c r="EH423" s="496" t="str">
        <f> IF(EH443&lt;&gt;"",TEXT(AUX!EL$1,"dd-MMM-aa"),"")</f>
      </c>
      <c r="EI423" s="496" t="str">
        <f> IF(EI443&lt;&gt;"",TEXT(AUX!EM$1,"dd-MMM-aa"),"")</f>
      </c>
      <c r="EJ423" s="496" t="str">
        <f> IF(EJ443&lt;&gt;"",TEXT(AUX!EN$1,"dd-MMM-aa"),"")</f>
      </c>
      <c r="EK423" s="496" t="str">
        <f> IF(EK443&lt;&gt;"",TEXT(AUX!EO$1,"dd-MMM-aa"),"")</f>
      </c>
      <c r="EL423" s="496" t="str">
        <f> IF(EL443&lt;&gt;"",TEXT(AUX!EP$1,"dd-MMM-aa"),"")</f>
      </c>
      <c r="EM423" s="496" t="str">
        <f> IF(EM443&lt;&gt;"",TEXT(AUX!EQ$1,"dd-MMM-aa"),"")</f>
      </c>
      <c r="EN423" s="496" t="str">
        <f> IF(EN443&lt;&gt;"",TEXT(AUX!ER$1,"dd-MMM-aa"),"")</f>
      </c>
      <c r="EO423" s="496" t="str">
        <f> IF(EO443&lt;&gt;"",TEXT(AUX!ES$1,"dd-MMM-aa"),"")</f>
      </c>
      <c r="EP423" s="496" t="str">
        <f> IF(EP443&lt;&gt;"",TEXT(AUX!ET$1,"dd-MMM-aa"),"")</f>
      </c>
      <c r="EQ423" s="496" t="str">
        <f> IF(EQ443&lt;&gt;"",TEXT(AUX!EU$1,"dd-MMM-aa"),"")</f>
      </c>
      <c r="ER423" s="496" t="str">
        <f> IF(ER443&lt;&gt;"",TEXT(AUX!EV$1,"dd-MMM-aa"),"")</f>
      </c>
      <c r="ES423" s="496" t="str">
        <f> IF(ES443&lt;&gt;"",TEXT(AUX!EW$1,"dd-MMM-aa"),"")</f>
      </c>
      <c r="ET423" s="496" t="str">
        <f> IF(ET443&lt;&gt;"",TEXT(AUX!EX$1,"dd-MMM-aa"),"")</f>
      </c>
      <c r="EU423" s="496" t="str">
        <f> IF(EU443&lt;&gt;"",TEXT(AUX!EY$1,"dd-MMM-aa"),"")</f>
      </c>
      <c r="EV423" s="496" t="str">
        <f> IF(EV443&lt;&gt;"",TEXT(AUX!EZ$1,"dd-MMM-aa"),"")</f>
      </c>
      <c r="EW423" s="496" t="str">
        <f> IF(EW443&lt;&gt;"",TEXT(AUX!FA$1,"dd-MMM-aa"),"")</f>
      </c>
      <c r="EX423" s="496" t="str">
        <f> IF(EX443&lt;&gt;"",TEXT(AUX!FB$1,"dd-MMM-aa"),"")</f>
      </c>
      <c r="EY423" s="496" t="str">
        <f> IF(EY443&lt;&gt;"",TEXT(AUX!FC$1,"dd-MMM-aa"),"")</f>
      </c>
      <c r="EZ423" s="496" t="str">
        <f> IF(EZ443&lt;&gt;"",TEXT(AUX!FD$1,"dd-MMM-aa"),"")</f>
      </c>
      <c r="FA423" s="496" t="str">
        <f> IF(FA443&lt;&gt;"",TEXT(AUX!FE$1,"dd-MMM-aa"),"")</f>
      </c>
      <c r="FB423" s="496" t="str">
        <f> IF(FB443&lt;&gt;"",TEXT(AUX!FF$1,"dd-MMM-aa"),"")</f>
      </c>
      <c r="FC423" s="496" t="str">
        <f> IF(FC443&lt;&gt;"",TEXT(AUX!FG$1,"dd-MMM-aa"),"")</f>
      </c>
      <c r="FD423" s="496" t="str">
        <f> IF(FD443&lt;&gt;"",TEXT(AUX!FH$1,"dd-MMM-aa"),"")</f>
      </c>
      <c r="FE423" s="496" t="str">
        <f> IF(FE443&lt;&gt;"",TEXT(AUX!FI$1,"dd-MMM-aa"),"")</f>
      </c>
      <c r="FF423" s="496" t="str">
        <f> IF(FF443&lt;&gt;"",TEXT(AUX!FJ$1,"dd-MMM-aa"),"")</f>
      </c>
      <c r="FG423" s="496" t="str">
        <f> IF(FG443&lt;&gt;"",TEXT(AUX!FK$1,"dd-MMM-aa"),"")</f>
      </c>
      <c r="FH423" s="496" t="str">
        <f> IF(FH443&lt;&gt;"",TEXT(AUX!FL$1,"dd-MMM-aa"),"")</f>
      </c>
      <c r="FI423" s="496" t="str">
        <f> IF(FI443&lt;&gt;"",TEXT(AUX!FM$1,"dd-MMM-aa"),"")</f>
      </c>
      <c r="FJ423" s="496" t="str">
        <f> IF(FJ443&lt;&gt;"",TEXT(AUX!FN$1,"dd-MMM-aa"),"")</f>
      </c>
      <c r="FK423" s="496" t="str">
        <f> IF(FK443&lt;&gt;"",TEXT(AUX!FO$1,"dd-MMM-aa"),"")</f>
      </c>
      <c r="FL423" s="496" t="str">
        <f> IF(FL443&lt;&gt;"",TEXT(AUX!FP$1,"dd-MMM-aa"),"")</f>
      </c>
      <c r="FM423" s="496" t="str">
        <f> IF(FM443&lt;&gt;"",TEXT(AUX!FQ$1,"dd-MMM-aa"),"")</f>
      </c>
      <c r="FN423" s="496" t="str">
        <f> IF(FN443&lt;&gt;"",TEXT(AUX!FR$1,"dd-MMM-aa"),"")</f>
      </c>
      <c r="FO423" s="496" t="str">
        <f> IF(FO443&lt;&gt;"",TEXT(AUX!FS$1,"dd-MMM-aa"),"")</f>
      </c>
      <c r="FP423" s="496" t="str">
        <f> IF(FP443&lt;&gt;"",TEXT(AUX!FT$1,"dd-MMM-aa"),"")</f>
      </c>
      <c r="FQ423" s="496" t="str">
        <f> IF(FQ443&lt;&gt;"",TEXT(AUX!FU$1,"dd-MMM-aa"),"")</f>
      </c>
      <c r="FR423" s="496" t="str">
        <f> IF(FR443&lt;&gt;"",TEXT(AUX!FV$1,"dd-MMM-aa"),"")</f>
      </c>
      <c r="FS423" s="496" t="str">
        <f> IF(FS443&lt;&gt;"",TEXT(AUX!FW$1,"dd-MMM-aa"),"")</f>
      </c>
      <c r="FT423" s="496" t="str">
        <f> IF(FT443&lt;&gt;"",TEXT(AUX!FX$1,"dd-MMM-aa"),"")</f>
      </c>
      <c r="FU423" s="496" t="str">
        <f> IF(FU443&lt;&gt;"",TEXT(AUX!FY$1,"dd-MMM-aa"),"")</f>
      </c>
      <c r="FV423" s="496" t="str">
        <f> IF(FV443&lt;&gt;"",TEXT(AUX!FZ$1,"dd-MMM-aa"),"")</f>
      </c>
      <c r="FW423" s="496" t="str">
        <f> IF(FW443&lt;&gt;"",TEXT(AUX!GA$1,"dd-MMM-aa"),"")</f>
      </c>
      <c r="FX423" s="496" t="str">
        <f> IF(FX443&lt;&gt;"",TEXT(AUX!GB$1,"dd-MMM-aa"),"")</f>
      </c>
      <c r="FY423" s="496" t="str">
        <f> IF(FY443&lt;&gt;"",TEXT(AUX!GC$1,"dd-MMM-aa"),"")</f>
      </c>
      <c r="FZ423" s="496" t="str">
        <f> IF(FZ443&lt;&gt;"",TEXT(AUX!GD$1,"dd-MMM-aa"),"")</f>
      </c>
      <c r="GA423" s="496" t="str">
        <f> IF(GA443&lt;&gt;"",TEXT(AUX!GE$1,"dd-MMM-aa"),"")</f>
      </c>
      <c r="GB423" s="496" t="str">
        <f> IF(GB443&lt;&gt;"",TEXT(AUX!GF$1,"dd-MMM-aa"),"")</f>
      </c>
      <c r="GC423" s="496" t="str">
        <f> IF(GC443&lt;&gt;"",TEXT(AUX!GG$1,"dd-MMM-aa"),"")</f>
      </c>
      <c r="GD423" s="496" t="str">
        <f> IF(GD443&lt;&gt;"",TEXT(AUX!GH$1,"dd-MMM-aa"),"")</f>
      </c>
      <c r="GE423" s="496" t="str">
        <f> IF(GE443&lt;&gt;"",TEXT(AUX!GI$1,"dd-MMM-aa"),"")</f>
      </c>
      <c r="GF423" s="496" t="str">
        <f> IF(GF443&lt;&gt;"",TEXT(AUX!GJ$1,"dd-MMM-aa"),"")</f>
      </c>
      <c r="GG423" s="496" t="str">
        <f> IF(GG443&lt;&gt;"",TEXT(AUX!GK$1,"dd-MMM-aa"),"")</f>
      </c>
      <c r="GH423" s="496" t="str">
        <f> IF(GH443&lt;&gt;"",TEXT(AUX!GL$1,"dd-MMM-aa"),"")</f>
      </c>
      <c r="GI423" s="496" t="str">
        <f> IF(GI443&lt;&gt;"",TEXT(AUX!GM$1,"dd-MMM-aa"),"")</f>
      </c>
      <c r="GJ423" s="496" t="str">
        <f> IF(GJ443&lt;&gt;"",TEXT(AUX!GN$1,"dd-MMM-aa"),"")</f>
      </c>
      <c r="GK423" s="496" t="str">
        <f> IF(GK443&lt;&gt;"",TEXT(AUX!GO$1,"dd-MMM-aa"),"")</f>
      </c>
      <c r="GL423" s="496" t="str">
        <f> IF(GL443&lt;&gt;"",TEXT(AUX!GP$1,"dd-MMM-aa"),"")</f>
      </c>
      <c r="GM423" s="496" t="str">
        <f> IF(GM443&lt;&gt;"",TEXT(AUX!GQ$1,"dd-MMM-aa"),"")</f>
      </c>
      <c r="GN423" s="496" t="str">
        <f> IF(GN443&lt;&gt;"",TEXT(AUX!GR$1,"dd-MMM-aa"),"")</f>
      </c>
      <c r="GO423" s="496" t="str">
        <f> IF(GO443&lt;&gt;"",TEXT(AUX!GS$1,"dd-MMM-aa"),"")</f>
      </c>
      <c r="GP423" s="496" t="str">
        <f> IF(GP443&lt;&gt;"",TEXT(AUX!GT$1,"dd-MMM-aa"),"")</f>
      </c>
      <c r="GQ423" s="496" t="str">
        <f> IF(GQ443&lt;&gt;"",TEXT(AUX!GU$1,"dd-MMM-aa"),"")</f>
      </c>
      <c r="GR423" s="496" t="str">
        <f> IF(GR443&lt;&gt;"",TEXT(AUX!GV$1,"dd-MMM-aa"),"")</f>
      </c>
      <c r="GS423" s="496" t="str">
        <f> IF(GS443&lt;&gt;"",TEXT(AUX!GW$1,"dd-MMM-aa"),"")</f>
      </c>
      <c r="GT423" s="496" t="str">
        <f> IF(GT443&lt;&gt;"",TEXT(AUX!GX$1,"dd-MMM-aa"),"")</f>
      </c>
      <c r="GU423" s="496" t="str">
        <f> IF(GU443&lt;&gt;"",TEXT(AUX!GY$1,"dd-MMM-aa"),"")</f>
      </c>
      <c r="GV423" s="496" t="str">
        <f> IF(GV443&lt;&gt;"",TEXT(AUX!GZ$1,"dd-MMM-aa"),"")</f>
      </c>
      <c r="GW423" s="496" t="str">
        <f> IF(GW443&lt;&gt;"",TEXT(AUX!HA$1,"dd-MMM-aa"),"")</f>
      </c>
      <c r="GX423" s="496" t="str">
        <f> IF(GX443&lt;&gt;"",TEXT(AUX!HB$1,"dd-MMM-aa"),"")</f>
      </c>
      <c r="GY423" s="496" t="str">
        <f> IF(GY443&lt;&gt;"",TEXT(AUX!HC$1,"dd-MMM-aa"),"")</f>
      </c>
      <c r="GZ423" s="496" t="str">
        <f> IF(GZ443&lt;&gt;"",TEXT(AUX!HD$1,"dd-MMM-aa"),"")</f>
      </c>
      <c r="HA423" s="496" t="str">
        <f> IF(HA443&lt;&gt;"",TEXT(AUX!HE$1,"dd-MMM-aa"),"")</f>
      </c>
      <c r="HB423" s="496" t="str">
        <f> IF(HB443&lt;&gt;"",TEXT(AUX!HF$1,"dd-MMM-aa"),"")</f>
      </c>
      <c r="HC423" s="496" t="str">
        <f> IF(HC443&lt;&gt;"",TEXT(AUX!HG$1,"dd-MMM-aa"),"")</f>
      </c>
      <c r="HD423" s="496" t="str">
        <f> IF(HD443&lt;&gt;"",TEXT(AUX!HH$1,"dd-MMM-aa"),"")</f>
      </c>
      <c r="HE423" s="496" t="str">
        <f> IF(HE443&lt;&gt;"",TEXT(AUX!HI$1,"dd-MMM-aa"),"")</f>
      </c>
      <c r="HF423" s="496" t="str">
        <f> IF(HF443&lt;&gt;"",TEXT(AUX!HJ$1,"dd-MMM-aa"),"")</f>
      </c>
      <c r="HG423" s="496" t="str">
        <f> IF(HG443&lt;&gt;"",TEXT(AUX!HK$1,"dd-MMM-aa"),"")</f>
      </c>
      <c r="HH423" s="496" t="str">
        <f> IF(HH443&lt;&gt;"",TEXT(AUX!HL$1,"dd-MMM-aa"),"")</f>
      </c>
      <c r="HI423" s="496" t="str">
        <f> IF(HI443&lt;&gt;"",TEXT(AUX!HM$1,"dd-MMM-aa"),"")</f>
      </c>
      <c r="HJ423" s="496" t="str">
        <f> IF(HJ443&lt;&gt;"",TEXT(AUX!HN$1,"dd-MMM-aa"),"")</f>
      </c>
      <c r="HK423" s="496" t="str">
        <f> IF(HK443&lt;&gt;"",TEXT(AUX!HO$1,"dd-MMM-aa"),"")</f>
      </c>
      <c r="HL423" s="496" t="str">
        <f> IF(HL443&lt;&gt;"",TEXT(AUX!HP$1,"dd-MMM-aa"),"")</f>
      </c>
      <c r="HM423" s="496" t="str">
        <f> IF(HM443&lt;&gt;"",TEXT(AUX!HQ$1,"dd-MMM-aa"),"")</f>
      </c>
      <c r="HN423" s="496" t="str">
        <f> IF(HN443&lt;&gt;"",TEXT(AUX!HR$1,"dd-MMM-aa"),"")</f>
      </c>
      <c r="HO423" s="496" t="str">
        <f> IF(HO443&lt;&gt;"",TEXT(AUX!HS$1,"dd-MMM-aa"),"")</f>
      </c>
      <c r="HP423" s="496" t="str">
        <f> IF(HP443&lt;&gt;"",TEXT(AUX!HT$1,"dd-MMM-aa"),"")</f>
      </c>
      <c r="HQ423" s="496" t="str">
        <f> IF(HQ443&lt;&gt;"",TEXT(AUX!HU$1,"dd-MMM-aa"),"")</f>
      </c>
      <c r="HR423" s="496" t="str">
        <f> IF(HR443&lt;&gt;"",TEXT(AUX!HV$1,"dd-MMM-aa"),"")</f>
      </c>
      <c r="HS423" s="496" t="str">
        <f> IF(HS443&lt;&gt;"",TEXT(AUX!HW$1,"dd-MMM-aa"),"")</f>
      </c>
      <c r="HT423" s="496" t="str">
        <f> IF(HT443&lt;&gt;"",TEXT(AUX!HX$1,"dd-MMM-aa"),"")</f>
      </c>
      <c r="HU423" s="496" t="str">
        <f> IF(HU443&lt;&gt;"",TEXT(AUX!HY$1,"dd-MMM-aa"),"")</f>
      </c>
      <c r="HV423" s="496" t="str">
        <f> IF(HV443&lt;&gt;"",TEXT(AUX!HZ$1,"dd-MMM-aa"),"")</f>
      </c>
      <c r="HW423" s="496" t="str">
        <f> IF(HW443&lt;&gt;"",TEXT(AUX!IA$1,"dd-MMM-aa"),"")</f>
      </c>
      <c r="HX423" s="496" t="str">
        <f> IF(HX443&lt;&gt;"",TEXT(AUX!IB$1,"dd-MMM-aa"),"")</f>
      </c>
      <c r="HY423" s="496" t="str">
        <f> IF(HY443&lt;&gt;"",TEXT(AUX!IC$1,"dd-MMM-aa"),"")</f>
      </c>
      <c r="HZ423" s="496" t="str">
        <f> IF(HZ443&lt;&gt;"",TEXT(AUX!ID$1,"dd-MMM-aa"),"")</f>
      </c>
      <c r="IA423" s="496" t="str">
        <f> IF(IA443&lt;&gt;"",TEXT(AUX!IE$1,"dd-MMM-aa"),"")</f>
      </c>
      <c r="IB423" s="496" t="str">
        <f> IF(IB443&lt;&gt;"",TEXT(AUX!IF$1,"dd-MMM-aa"),"")</f>
      </c>
      <c r="IC423" s="496" t="str">
        <f> IF(IC443&lt;&gt;"",TEXT(AUX!IG$1,"dd-MMM-aa"),"")</f>
      </c>
      <c r="ID423" s="496" t="str">
        <f> IF(ID443&lt;&gt;"",TEXT(AUX!IH$1,"dd-MMM-aa"),"")</f>
      </c>
      <c r="IE423" s="496" t="str">
        <f> IF(IE443&lt;&gt;"",TEXT(AUX!II$1,"dd-MMM-aa"),"")</f>
      </c>
      <c r="IF423" s="496" t="str">
        <f> IF(IF443&lt;&gt;"",TEXT(AUX!IJ$1,"dd-MMM-aa"),"")</f>
      </c>
      <c r="IG423" s="496" t="str">
        <f> IF(IG443&lt;&gt;"",TEXT(AUX!IK$1,"dd-MMM-aa"),"")</f>
      </c>
      <c r="IH423" s="496" t="str">
        <f> IF(IH443&lt;&gt;"",TEXT(AUX!IL$1,"dd-MMM-aa"),"")</f>
      </c>
      <c r="II423" s="496" t="str">
        <f> IF(II443&lt;&gt;"",TEXT(AUX!IM$1,"dd-MMM-aa"),"")</f>
      </c>
      <c r="IJ423" s="496" t="str">
        <f> IF(IJ443&lt;&gt;"",TEXT(AUX!IN$1,"dd-MMM-aa"),"")</f>
      </c>
      <c r="IK423" s="496" t="str">
        <f> IF(IK443&lt;&gt;"",TEXT(AUX!IO$1,"dd-MMM-aa"),"")</f>
      </c>
      <c r="IL423" s="496" t="str">
        <f> IF(IL443&lt;&gt;"",TEXT(AUX!IP$1,"dd-MMM-aa"),"")</f>
      </c>
      <c r="IM423" s="496" t="str">
        <f> IF(IM443&lt;&gt;"",TEXT(AUX!IQ$1,"dd-MMM-aa"),"")</f>
      </c>
      <c r="IN423" s="496" t="str">
        <f> IF(IN443&lt;&gt;"",TEXT(AUX!IR$1,"dd-MMM-aa"),"")</f>
      </c>
      <c r="IO423" s="496" t="str">
        <f> IF(IO443&lt;&gt;"",TEXT(AUX!IS$1,"dd-MMM-aa"),"")</f>
      </c>
      <c r="IP423" s="496" t="str">
        <f> IF(IP443&lt;&gt;"",TEXT(AUX!IT$1,"dd-MMM-aa"),"")</f>
      </c>
      <c r="IQ423" s="496" t="str">
        <f> IF(IQ443&lt;&gt;"",TEXT(AUX!IU$1,"dd-MMM-aa"),"")</f>
      </c>
      <c r="IR423" s="496" t="str">
        <f> IF(IR443&lt;&gt;"",TEXT(AUX!IV$1,"dd-MMM-aa"),"")</f>
      </c>
      <c r="IS423" s="496" t="str">
        <f> IF(IS443&lt;&gt;"",TEXT(AUX!#REF!,"dd-MMM-aa"),"")</f>
      </c>
      <c r="IT423" s="496" t="str">
        <f> IF(IT443&lt;&gt;"",TEXT(AUX!#REF!,"dd-MMM-aa"),"")</f>
      </c>
      <c r="IU423" s="496" t="str">
        <f> IF(IU443&lt;&gt;"",TEXT(AUX!#REF!,"dd-MMM-aa"),"")</f>
      </c>
      <c r="IV423" s="496" t="str">
        <f> IF(IV443&lt;&gt;"",TEXT(AUX!#REF!,"dd-MMM-aa"),"")</f>
      </c>
    </row>
    <row r="424" hidden="1">
      <c r="B424" s="838" t="s">
        <v>8</v>
      </c>
      <c r="C424" s="839">
        <f>C401 + C355 + C332</f>
        <v>158041</v>
      </c>
      <c r="D424" s="839">
        <f>D401 + D355 + D332</f>
        <v>160277</v>
      </c>
      <c r="E424" s="839">
        <f>E401 + E355 + E332</f>
        <v>158336</v>
      </c>
      <c r="F424" s="839">
        <f>F401 + F355 + F332</f>
        <v>113767</v>
      </c>
      <c r="G424" s="839">
        <f>G401 + G355 + G332</f>
        <v>85787</v>
      </c>
      <c r="H424" s="839">
        <f>H401 + H355 + H332</f>
        <v>87792</v>
      </c>
      <c r="I424" s="839">
        <f>I401 + I355 + I332</f>
        <v>116394</v>
      </c>
      <c r="J424" s="839">
        <f>J401 + J355 + J332</f>
        <v>124252</v>
      </c>
      <c r="K424" s="839">
        <f>K401 + K355 + K332</f>
        <v>199216</v>
      </c>
      <c r="L424" s="839">
        <f>L401 + L355 + L332</f>
        <v>94026</v>
      </c>
      <c r="M424" s="839">
        <f>M401 + M355 + M332</f>
        <v>2714</v>
      </c>
      <c r="N424" s="839">
        <f>N401 + N355 + N332</f>
        <v>136334</v>
      </c>
      <c r="O424" s="839">
        <f>O401 + O355 + O332</f>
        <v>210</v>
      </c>
      <c r="P424" s="839">
        <f>P401 + P355 + P332</f>
        <v>158</v>
      </c>
      <c r="Q424" s="839">
        <f>Q401 + Q355 + Q332</f>
        <v>170</v>
      </c>
      <c r="R424" s="839">
        <f>R401 + R355 + R332</f>
        <v>183</v>
      </c>
      <c r="S424" s="839">
        <f>S401 + S355 + S332</f>
        <v>183</v>
      </c>
      <c r="T424" s="839">
        <f>T401 + T355 + T332</f>
        <v>183</v>
      </c>
      <c r="U424" s="839">
        <f>U401 + U355 + U332</f>
        <v>1083</v>
      </c>
      <c r="V424" s="839">
        <f>V401 + V355 + V332</f>
        <v>1019</v>
      </c>
      <c r="W424" s="839">
        <f>W401 + W355 + W332</f>
        <v>89</v>
      </c>
      <c r="X424" s="839">
        <f>X401 + X355 + X332</f>
        <v>35</v>
      </c>
      <c r="Y424" s="839">
        <f>Y401 + Y355 + Y332</f>
        <v>105</v>
      </c>
      <c r="Z424" s="839">
        <f>Z401 + Z355 + Z332</f>
        <v>105</v>
      </c>
      <c r="AA424" s="839">
        <f>AA401 + AA355 + AA332</f>
        <v>1010</v>
      </c>
      <c r="AB424" s="840">
        <f>AB401 + AB355 + AB332</f>
        <v>30</v>
      </c>
      <c r="AC424" s="841">
        <f>AC401 + AC355 + AC332</f>
        <v>64</v>
      </c>
      <c r="AD424" s="841">
        <f>AD401 + AD355 + AD332</f>
        <v>64</v>
      </c>
      <c r="AE424" s="841">
        <f>AE401 + AE355 + AE332</f>
        <v>64</v>
      </c>
      <c r="AF424" s="841">
        <f>AF401 + AF355 + AF332</f>
        <v>50</v>
      </c>
      <c r="AG424" s="841">
        <f>AG401 + AG355 + AG332</f>
        <v>50</v>
      </c>
      <c r="AH424" s="841">
        <f>AH401 + AH355 + AH332</f>
        <v>50</v>
      </c>
      <c r="AI424" s="841">
        <f>AI401 + AI355 + AI332</f>
        <v>50</v>
      </c>
      <c r="AJ424" s="841">
        <f>AJ401 + AJ355 + AJ332</f>
        <v>32</v>
      </c>
      <c r="AK424" s="841">
        <f>AK401 + AK355 + AK332</f>
        <v>2985</v>
      </c>
      <c r="AL424" s="841">
        <f>AL401 + AL355 + AL332</f>
        <v>0</v>
      </c>
      <c r="AM424" s="841">
        <f>AM401 + AM355 + AM332</f>
        <v>0</v>
      </c>
      <c r="AN424" s="841">
        <f>AN401 + AN355 + AN332</f>
        <v>0</v>
      </c>
      <c r="AO424" s="841">
        <f>AO401 + AO355 + AO332</f>
        <v>39254</v>
      </c>
      <c r="AP424" s="841">
        <f>AP401 + AP355 + AP332</f>
        <v>38979</v>
      </c>
    </row>
    <row r="425" hidden="1">
      <c r="B425" s="842" t="s">
        <v>9</v>
      </c>
      <c r="C425" s="839">
        <f>C402 + C356 + C333</f>
        <v>523803</v>
      </c>
      <c r="D425" s="839">
        <f>D402 + D356 + D333</f>
        <v>1237401</v>
      </c>
      <c r="E425" s="839">
        <f>E402 + E356 + E333</f>
        <v>1237321</v>
      </c>
      <c r="F425" s="839">
        <f>F402 + F356 + F333</f>
        <v>950493</v>
      </c>
      <c r="G425" s="839">
        <f>G402 + G356 + G333</f>
        <v>1181503</v>
      </c>
      <c r="H425" s="839">
        <f>H402 + H356 + H333</f>
        <v>1181503</v>
      </c>
      <c r="I425" s="839">
        <f>I402 + I356 + I333</f>
        <v>1173503</v>
      </c>
      <c r="J425" s="839">
        <f>J402 + J356 + J333</f>
        <v>988811</v>
      </c>
      <c r="K425" s="839">
        <f>K402 + K356 + K333</f>
        <v>149312</v>
      </c>
      <c r="L425" s="839">
        <f>L402 + L356 + L333</f>
        <v>149317</v>
      </c>
      <c r="M425" s="839">
        <f>M402 + M356 + M333</f>
        <v>135493</v>
      </c>
      <c r="N425" s="839">
        <f>N402 + N356 + N333</f>
        <v>160693</v>
      </c>
      <c r="O425" s="839">
        <f>O402 + O356 + O333</f>
        <v>1440145</v>
      </c>
      <c r="P425" s="839">
        <f>P402 + P356 + P333</f>
        <v>1489138</v>
      </c>
      <c r="Q425" s="839">
        <f>Q402 + Q356 + Q333</f>
        <v>1546754</v>
      </c>
      <c r="R425" s="839">
        <f>R402 + R356 + R333</f>
        <v>1566695</v>
      </c>
      <c r="S425" s="839">
        <f>S402 + S356 + S333</f>
        <v>1794643</v>
      </c>
      <c r="T425" s="839">
        <f>T402 + T356 + T333</f>
        <v>1757143</v>
      </c>
      <c r="U425" s="839">
        <f>U402 + U356 + U333</f>
        <v>1688422</v>
      </c>
      <c r="V425" s="839">
        <f>V402 + V356 + V333</f>
        <v>1675222</v>
      </c>
      <c r="W425" s="839">
        <f>W402 + W356 + W333</f>
        <v>1678602</v>
      </c>
      <c r="X425" s="839">
        <f>X402 + X356 + X333</f>
        <v>1646602</v>
      </c>
      <c r="Y425" s="839">
        <f>Y402 + Y356 + Y333</f>
        <v>1592593</v>
      </c>
      <c r="Z425" s="839">
        <f>Z402 + Z356 + Z333</f>
        <v>1592593</v>
      </c>
      <c r="AA425" s="839">
        <f>AA402 + AA356 + AA333</f>
        <v>2827184</v>
      </c>
      <c r="AB425" s="839">
        <f>AB402 + AB356 + AB333</f>
        <v>2809554</v>
      </c>
      <c r="AC425" s="841">
        <f>AC402 + AC356 + AC333</f>
        <v>5104</v>
      </c>
      <c r="AD425" s="841">
        <f>AD402 + AD356 + AD333</f>
        <v>5104</v>
      </c>
      <c r="AE425" s="841">
        <f>AE402 + AE356 + AE333</f>
        <v>4395</v>
      </c>
      <c r="AF425" s="841">
        <f>AF402 + AF356 + AF333</f>
        <v>4395</v>
      </c>
      <c r="AG425" s="841">
        <f>AG402 + AG356 + AG333</f>
        <v>147590</v>
      </c>
      <c r="AH425" s="841">
        <f>AH402 + AH356 + AH333</f>
        <v>147590</v>
      </c>
      <c r="AI425" s="841">
        <f>AI402 + AI356 + AI333</f>
        <v>88968</v>
      </c>
      <c r="AJ425" s="841">
        <f>AJ402 + AJ356 + AJ333</f>
        <v>88968</v>
      </c>
      <c r="AK425" s="841">
        <f>AK402 + AK356 + AK333</f>
        <v>401553</v>
      </c>
      <c r="AL425" s="841">
        <f>AL402 + AL356 + AL333</f>
        <v>401480</v>
      </c>
      <c r="AM425" s="841">
        <f>AM402 + AM356 + AM333</f>
        <v>167266</v>
      </c>
      <c r="AN425" s="841">
        <f>AN402 + AN356 + AN333</f>
        <v>202861</v>
      </c>
      <c r="AO425" s="841">
        <f>AO402 + AO356 + AO333</f>
        <v>422406</v>
      </c>
      <c r="AP425" s="841">
        <f>AP402 + AP356 + AP333</f>
        <v>18205</v>
      </c>
    </row>
    <row r="426" hidden="1">
      <c r="B426" s="842" t="s">
        <v>10</v>
      </c>
      <c r="C426" s="839">
        <f>C403 + C357 + C334</f>
        <v>0</v>
      </c>
      <c r="D426" s="839">
        <f>D403 + D357 + D334</f>
        <v>0</v>
      </c>
      <c r="E426" s="839">
        <f>E403 + E357 + E334</f>
        <v>0</v>
      </c>
      <c r="F426" s="839">
        <f>F403 + F357 + F334</f>
        <v>0</v>
      </c>
      <c r="G426" s="839">
        <f>G403 + G357 + G334</f>
        <v>0</v>
      </c>
      <c r="H426" s="839">
        <f>H403 + H357 + H334</f>
        <v>0</v>
      </c>
      <c r="I426" s="839">
        <f>I403 + I357 + I334</f>
        <v>63</v>
      </c>
      <c r="J426" s="839">
        <f>J403 + J357 + J334</f>
        <v>63</v>
      </c>
      <c r="K426" s="839">
        <f>K403 + K357 + K334</f>
        <v>0</v>
      </c>
      <c r="L426" s="839">
        <f>L403 + L357 + L334</f>
        <v>0</v>
      </c>
      <c r="M426" s="839">
        <f>M403 + M357 + M334</f>
        <v>0</v>
      </c>
      <c r="N426" s="839">
        <f>N403 + N357 + N334</f>
        <v>0</v>
      </c>
      <c r="O426" s="839">
        <f>O403 + O357 + O334</f>
        <v>0</v>
      </c>
      <c r="P426" s="839">
        <f>P403 + P357 + P334</f>
        <v>0</v>
      </c>
      <c r="Q426" s="839">
        <f>Q403 + Q357 + Q334</f>
        <v>0</v>
      </c>
      <c r="R426" s="839">
        <f>R403 + R357 + R334</f>
        <v>0</v>
      </c>
      <c r="S426" s="839">
        <f>S403 + S357 + S334</f>
        <v>0</v>
      </c>
      <c r="T426" s="839">
        <f>T403 + T357 + T334</f>
        <v>0</v>
      </c>
      <c r="U426" s="839">
        <f>U403 + U357 + U334</f>
        <v>0</v>
      </c>
      <c r="V426" s="839">
        <f>V403 + V357 + V334</f>
        <v>0</v>
      </c>
      <c r="W426" s="839">
        <f>W403 + W357 + W334</f>
        <v>0</v>
      </c>
      <c r="X426" s="839">
        <f>X403 + X357 + X334</f>
        <v>60</v>
      </c>
      <c r="Y426" s="839">
        <f>Y403 + Y357 + Y334</f>
        <v>60</v>
      </c>
      <c r="Z426" s="839">
        <f>Z403 + Z357 + Z334</f>
        <v>60</v>
      </c>
      <c r="AA426" s="839">
        <f>AA403 + AA357 + AA334</f>
        <v>80</v>
      </c>
      <c r="AB426" s="839">
        <f>AB403 + AB357 + AB334</f>
        <v>80</v>
      </c>
      <c r="AC426" s="841">
        <f>AC403 + AC357 + AC334</f>
        <v>97</v>
      </c>
      <c r="AD426" s="841">
        <f>AD403 + AD357 + AD334</f>
        <v>97</v>
      </c>
      <c r="AE426" s="841">
        <f>AE403 + AE357 + AE334</f>
        <v>97</v>
      </c>
      <c r="AF426" s="841">
        <f>AF403 + AF357 + AF334</f>
        <v>97</v>
      </c>
      <c r="AG426" s="841">
        <f>AG403 + AG357 + AG334</f>
        <v>174</v>
      </c>
      <c r="AH426" s="841">
        <f>AH403 + AH357 + AH334</f>
        <v>159</v>
      </c>
      <c r="AI426" s="841">
        <f>AI403 + AI357 + AI334</f>
        <v>159</v>
      </c>
      <c r="AJ426" s="841">
        <f>AJ403 + AJ357 + AJ334</f>
        <v>159</v>
      </c>
      <c r="AK426" s="841">
        <f>AK403 + AK357 + AK334</f>
        <v>159</v>
      </c>
      <c r="AL426" s="841">
        <f>AL403 + AL357 + AL334</f>
        <v>130</v>
      </c>
      <c r="AM426" s="841">
        <f>AM403 + AM357 + AM334</f>
        <v>48</v>
      </c>
      <c r="AN426" s="841">
        <f>AN403 + AN357 + AN334</f>
        <v>48</v>
      </c>
      <c r="AO426" s="841">
        <f>AO403 + AO357 + AO334</f>
        <v>44</v>
      </c>
      <c r="AP426" s="841">
        <f>AP403 + AP357 + AP334</f>
        <v>0</v>
      </c>
    </row>
    <row r="427" hidden="1">
      <c r="B427" s="842" t="s">
        <v>11</v>
      </c>
      <c r="C427" s="839">
        <f>C404 + C358 + C335</f>
        <v>53837</v>
      </c>
      <c r="D427" s="839">
        <f>D404 + D358 + D335</f>
        <v>53695</v>
      </c>
      <c r="E427" s="839">
        <f>E404 + E358 + E335</f>
        <v>54432</v>
      </c>
      <c r="F427" s="839">
        <f>F404 + F358 + F335</f>
        <v>54777</v>
      </c>
      <c r="G427" s="839">
        <f>G404 + G358 + G335</f>
        <v>54598</v>
      </c>
      <c r="H427" s="839">
        <f>H404 + H358 + H335</f>
        <v>54619</v>
      </c>
      <c r="I427" s="839">
        <f>I404 + I358 + I335</f>
        <v>68888</v>
      </c>
      <c r="J427" s="839">
        <f>J404 + J358 + J335</f>
        <v>68116</v>
      </c>
      <c r="K427" s="839">
        <f>K404 + K358 + K335</f>
        <v>90478</v>
      </c>
      <c r="L427" s="839">
        <f>L404 + L358 + L335</f>
        <v>90424</v>
      </c>
      <c r="M427" s="839">
        <f>M404 + M358 + M335</f>
        <v>281880</v>
      </c>
      <c r="N427" s="839">
        <f>N404 + N358 + N335</f>
        <v>304380</v>
      </c>
      <c r="O427" s="839">
        <f>O404 + O358 + O335</f>
        <v>210650</v>
      </c>
      <c r="P427" s="839">
        <f>P404 + P358 + P335</f>
        <v>207650</v>
      </c>
      <c r="Q427" s="839">
        <f>Q404 + Q358 + Q335</f>
        <v>150750</v>
      </c>
      <c r="R427" s="839">
        <f>R404 + R358 + R335</f>
        <v>150750</v>
      </c>
      <c r="S427" s="839">
        <f>S404 + S358 + S335</f>
        <v>146650</v>
      </c>
      <c r="T427" s="839">
        <f>T404 + T358 + T335</f>
        <v>94700</v>
      </c>
      <c r="U427" s="839">
        <f>U404 + U358 + U335</f>
        <v>146070</v>
      </c>
      <c r="V427" s="839">
        <f>V404 + V358 + V335</f>
        <v>146070</v>
      </c>
      <c r="W427" s="839">
        <f>W404 + W358 + W335</f>
        <v>142570</v>
      </c>
      <c r="X427" s="839">
        <f>X404 + X358 + X335</f>
        <v>142570</v>
      </c>
      <c r="Y427" s="839">
        <f>Y404 + Y358 + Y335</f>
        <v>148300</v>
      </c>
      <c r="Z427" s="839">
        <f>Z404 + Z358 + Z335</f>
        <v>51336</v>
      </c>
      <c r="AA427" s="839">
        <f>AA404 + AA358 + AA335</f>
        <v>51336</v>
      </c>
      <c r="AB427" s="839">
        <f>AB404 + AB358 + AB335</f>
        <v>126186</v>
      </c>
      <c r="AC427" s="841">
        <f>AC404 + AC358 + AC335</f>
        <v>104186</v>
      </c>
      <c r="AD427" s="841">
        <f>AD404 + AD358 + AD335</f>
        <v>69850</v>
      </c>
      <c r="AE427" s="841">
        <f>AE404 + AE358 + AE335</f>
        <v>85850</v>
      </c>
      <c r="AF427" s="841">
        <f>AF404 + AF358 + AF335</f>
        <v>85850</v>
      </c>
      <c r="AG427" s="841">
        <f>AG404 + AG358 + AG335</f>
        <v>107796</v>
      </c>
      <c r="AH427" s="841">
        <f>AH404 + AH358 + AH335</f>
        <v>107796</v>
      </c>
      <c r="AI427" s="841">
        <f>AI404 + AI358 + AI335</f>
        <v>97996</v>
      </c>
      <c r="AJ427" s="841">
        <f>AJ404 + AJ358 + AJ335</f>
        <v>97996</v>
      </c>
      <c r="AK427" s="841">
        <f>AK404 + AK358 + AK335</f>
        <v>139500</v>
      </c>
      <c r="AL427" s="841">
        <f>AL404 + AL358 + AL335</f>
        <v>148500</v>
      </c>
      <c r="AM427" s="841">
        <f>AM404 + AM358 + AM335</f>
        <v>150500</v>
      </c>
      <c r="AN427" s="841">
        <f>AN404 + AN358 + AN335</f>
        <v>150500</v>
      </c>
      <c r="AO427" s="841">
        <f>AO404 + AO358 + AO335</f>
        <v>159000</v>
      </c>
      <c r="AP427" s="841">
        <f>AP404 + AP358 + AP335</f>
        <v>155500</v>
      </c>
    </row>
    <row r="428" hidden="1">
      <c r="B428" s="842" t="s">
        <v>12</v>
      </c>
      <c r="C428" s="839">
        <f>C405 + C359 + C336</f>
        <v>430057</v>
      </c>
      <c r="D428" s="839">
        <f>D405 + D359 + D336</f>
        <v>740632</v>
      </c>
      <c r="E428" s="839">
        <f>E405 + E359 + E336</f>
        <v>718674</v>
      </c>
      <c r="F428" s="839">
        <f>F405 + F359 + F336</f>
        <v>711132</v>
      </c>
      <c r="G428" s="839">
        <f>G405 + G359 + G336</f>
        <v>681042</v>
      </c>
      <c r="H428" s="839">
        <f>H405 + H359 + H336</f>
        <v>631044</v>
      </c>
      <c r="I428" s="839">
        <f>I405 + I359 + I336</f>
        <v>1081973</v>
      </c>
      <c r="J428" s="839">
        <f>J405 + J359 + J336</f>
        <v>1122742</v>
      </c>
      <c r="K428" s="839">
        <f>K405 + K359 + K336</f>
        <v>2013153</v>
      </c>
      <c r="L428" s="839">
        <f>L405 + L359 + L336</f>
        <v>2079733</v>
      </c>
      <c r="M428" s="839">
        <f>M405 + M359 + M336</f>
        <v>1610865</v>
      </c>
      <c r="N428" s="839">
        <f>N405 + N359 + N336</f>
        <v>1562483</v>
      </c>
      <c r="O428" s="839">
        <f>O405 + O359 + O336</f>
        <v>1333439</v>
      </c>
      <c r="P428" s="839">
        <f>P405 + P359 + P336</f>
        <v>1281289</v>
      </c>
      <c r="Q428" s="839">
        <f>Q405 + Q359 + Q336</f>
        <v>1362095</v>
      </c>
      <c r="R428" s="839">
        <f>R405 + R359 + R336</f>
        <v>1370138</v>
      </c>
      <c r="S428" s="839">
        <f>S405 + S359 + S336</f>
        <v>1331549</v>
      </c>
      <c r="T428" s="839">
        <f>T405 + T359 + T336</f>
        <v>1315561</v>
      </c>
      <c r="U428" s="839">
        <f>U405 + U359 + U336</f>
        <v>1319679</v>
      </c>
      <c r="V428" s="839">
        <f>V405 + V359 + V336</f>
        <v>1329058</v>
      </c>
      <c r="W428" s="839">
        <f>W405 + W359 + W336</f>
        <v>1479447</v>
      </c>
      <c r="X428" s="839">
        <f>X405 + X359 + X336</f>
        <v>1362286</v>
      </c>
      <c r="Y428" s="839">
        <f>Y405 + Y359 + Y336</f>
        <v>1420230</v>
      </c>
      <c r="Z428" s="839">
        <f>Z405 + Z359 + Z336</f>
        <v>1603379</v>
      </c>
      <c r="AA428" s="839">
        <f>AA405 + AA359 + AA336</f>
        <v>1654701</v>
      </c>
      <c r="AB428" s="839">
        <f>AB405 + AB359 + AB336</f>
        <v>1665501</v>
      </c>
      <c r="AC428" s="841">
        <f>AC405 + AC359 + AC336</f>
        <v>1426139</v>
      </c>
      <c r="AD428" s="841">
        <f>AD405 + AD359 + AD336</f>
        <v>76125</v>
      </c>
      <c r="AE428" s="841">
        <f>AE405 + AE359 + AE336</f>
        <v>1122626</v>
      </c>
      <c r="AF428" s="841">
        <f>AF405 + AF359 + AF336</f>
        <v>1140714</v>
      </c>
      <c r="AG428" s="841">
        <f>AG405 + AG359 + AG336</f>
        <v>1195944</v>
      </c>
      <c r="AH428" s="841">
        <f>AH405 + AH359 + AH336</f>
        <v>1195804</v>
      </c>
      <c r="AI428" s="841">
        <f>AI405 + AI359 + AI336</f>
        <v>1224309</v>
      </c>
      <c r="AJ428" s="841">
        <f>AJ405 + AJ359 + AJ336</f>
        <v>1210701</v>
      </c>
      <c r="AK428" s="841">
        <f>AK405 + AK359 + AK336</f>
        <v>1244412</v>
      </c>
      <c r="AL428" s="841">
        <f>AL405 + AL359 + AL336</f>
        <v>1272256</v>
      </c>
      <c r="AM428" s="841">
        <f>AM405 + AM359 + AM336</f>
        <v>1306970</v>
      </c>
      <c r="AN428" s="841">
        <f>AN405 + AN359 + AN336</f>
        <v>1289460</v>
      </c>
      <c r="AO428" s="841">
        <f>AO405 + AO359 + AO336</f>
        <v>1179392</v>
      </c>
      <c r="AP428" s="841">
        <f>AP405 + AP359 + AP336</f>
        <v>1370945</v>
      </c>
    </row>
    <row r="429" hidden="1">
      <c r="B429" s="842" t="s">
        <v>13</v>
      </c>
      <c r="C429" s="839">
        <f>C406 + C360 + C337</f>
        <v>0</v>
      </c>
      <c r="D429" s="839">
        <f>D406 + D360 + D337</f>
        <v>0</v>
      </c>
      <c r="E429" s="839">
        <f>E406 + E360 + E337</f>
        <v>46</v>
      </c>
      <c r="F429" s="839">
        <f>F406 + F360 + F337</f>
        <v>46</v>
      </c>
      <c r="G429" s="839">
        <f>G406 + G360 + G337</f>
        <v>682</v>
      </c>
      <c r="H429" s="839">
        <f>H406 + H360 + H337</f>
        <v>713</v>
      </c>
      <c r="I429" s="839">
        <f>I406 + I360 + I337</f>
        <v>738</v>
      </c>
      <c r="J429" s="839">
        <f>J406 + J360 + J337</f>
        <v>783</v>
      </c>
      <c r="K429" s="839">
        <f>K406 + K360 + K337</f>
        <v>343</v>
      </c>
      <c r="L429" s="839">
        <f>L406 + L360 + L337</f>
        <v>1250</v>
      </c>
      <c r="M429" s="839">
        <f>M406 + M360 + M337</f>
        <v>40</v>
      </c>
      <c r="N429" s="839">
        <f>N406 + N360 + N337</f>
        <v>0</v>
      </c>
      <c r="O429" s="839">
        <f>O406 + O360 + O337</f>
        <v>15</v>
      </c>
      <c r="P429" s="839">
        <f>P406 + P360 + P337</f>
        <v>15</v>
      </c>
      <c r="Q429" s="839">
        <f>Q406 + Q360 + Q337</f>
        <v>46</v>
      </c>
      <c r="R429" s="839">
        <f>R406 + R360 + R337</f>
        <v>531</v>
      </c>
      <c r="S429" s="839">
        <f>S406 + S360 + S337</f>
        <v>619</v>
      </c>
      <c r="T429" s="839">
        <f>T406 + T360 + T337</f>
        <v>119</v>
      </c>
      <c r="U429" s="839">
        <f>U406 + U360 + U337</f>
        <v>225</v>
      </c>
      <c r="V429" s="839">
        <f>V406 + V360 + V337</f>
        <v>225</v>
      </c>
      <c r="W429" s="839">
        <f>W406 + W360 + W337</f>
        <v>525</v>
      </c>
      <c r="X429" s="839">
        <f>X406 + X360 + X337</f>
        <v>525</v>
      </c>
      <c r="Y429" s="839">
        <f>Y406 + Y360 + Y337</f>
        <v>520</v>
      </c>
      <c r="Z429" s="839">
        <f>Z406 + Z360 + Z337</f>
        <v>500</v>
      </c>
      <c r="AA429" s="839">
        <f>AA406 + AA360 + AA337</f>
        <v>503</v>
      </c>
      <c r="AB429" s="839">
        <f>AB406 + AB360 + AB337</f>
        <v>203</v>
      </c>
      <c r="AC429" s="841">
        <f>AC406 + AC360 + AC337</f>
        <v>0</v>
      </c>
      <c r="AD429" s="841">
        <f>AD406 + AD360 + AD337</f>
        <v>100</v>
      </c>
      <c r="AE429" s="841">
        <f>AE406 + AE360 + AE337</f>
        <v>100</v>
      </c>
      <c r="AF429" s="841">
        <f>AF406 + AF360 + AF337</f>
        <v>100</v>
      </c>
      <c r="AG429" s="841">
        <f>AG406 + AG360 + AG337</f>
        <v>100</v>
      </c>
      <c r="AH429" s="841">
        <f>AH406 + AH360 + AH337</f>
        <v>100</v>
      </c>
      <c r="AI429" s="841">
        <f>AI406 + AI360 + AI337</f>
        <v>200</v>
      </c>
      <c r="AJ429" s="841">
        <f>AJ406 + AJ360 + AJ337</f>
        <v>232</v>
      </c>
      <c r="AK429" s="841">
        <f>AK406 + AK360 + AK337</f>
        <v>336</v>
      </c>
      <c r="AL429" s="841">
        <f>AL406 + AL360 + AL337</f>
        <v>378</v>
      </c>
      <c r="AM429" s="841">
        <f>AM406 + AM360 + AM337</f>
        <v>431</v>
      </c>
      <c r="AN429" s="841">
        <f>AN406 + AN360 + AN337</f>
        <v>396</v>
      </c>
      <c r="AO429" s="841">
        <f>AO406 + AO360 + AO337</f>
        <v>443</v>
      </c>
      <c r="AP429" s="841">
        <f>AP406 + AP360 + AP337</f>
        <v>243</v>
      </c>
    </row>
    <row r="430" hidden="1">
      <c r="B430" s="842" t="s">
        <v>109</v>
      </c>
      <c r="C430" s="839">
        <f>C407 + C361 + C338</f>
        <v>4224544</v>
      </c>
      <c r="D430" s="839">
        <f>D407 + D361 + D338</f>
        <v>4077725</v>
      </c>
      <c r="E430" s="839">
        <f>E407 + E361 + E338</f>
        <v>5159341</v>
      </c>
      <c r="F430" s="839">
        <f>F407 + F361 + F338</f>
        <v>5097386</v>
      </c>
      <c r="G430" s="839">
        <f>G407 + G361 + G338</f>
        <v>6281765</v>
      </c>
      <c r="H430" s="839">
        <f>H407 + H361 + H338</f>
        <v>6281765</v>
      </c>
      <c r="I430" s="839">
        <f>I407 + I361 + I338</f>
        <v>6000688</v>
      </c>
      <c r="J430" s="839">
        <f>J407 + J361 + J338</f>
        <v>6181638</v>
      </c>
      <c r="K430" s="839">
        <f>K407 + K361 + K338</f>
        <v>14151812</v>
      </c>
      <c r="L430" s="839">
        <f>L407 + L361 + L338</f>
        <v>14063546</v>
      </c>
      <c r="M430" s="839">
        <f>M407 + M361 + M338</f>
        <v>15192419</v>
      </c>
      <c r="N430" s="839">
        <f>N407 + N361 + N338</f>
        <v>14303915</v>
      </c>
      <c r="O430" s="839">
        <f>O407 + O361 + O338</f>
        <v>13236748</v>
      </c>
      <c r="P430" s="839">
        <f>P407 + P361 + P338</f>
        <v>12889766</v>
      </c>
      <c r="Q430" s="839">
        <f>Q407 + Q361 + Q338</f>
        <v>10418149</v>
      </c>
      <c r="R430" s="839">
        <f>R407 + R361 + R338</f>
        <v>10419049</v>
      </c>
      <c r="S430" s="839">
        <f>S407 + S361 + S338</f>
        <v>9513761</v>
      </c>
      <c r="T430" s="839">
        <f>T407 + T361 + T338</f>
        <v>9620985</v>
      </c>
      <c r="U430" s="839">
        <f>U407 + U361 + U338</f>
        <v>8215029</v>
      </c>
      <c r="V430" s="839">
        <f>V407 + V361 + V338</f>
        <v>11974769</v>
      </c>
      <c r="W430" s="839">
        <f>W407 + W361 + W338</f>
        <v>12242580</v>
      </c>
      <c r="X430" s="839">
        <f>X407 + X361 + X338</f>
        <v>12556040</v>
      </c>
      <c r="Y430" s="839">
        <f>Y407 + Y361 + Y338</f>
        <v>12639306</v>
      </c>
      <c r="Z430" s="839">
        <f>Z407 + Z361 + Z338</f>
        <v>12609276</v>
      </c>
      <c r="AA430" s="839">
        <f>AA407 + AA361 + AA338</f>
        <v>12845041</v>
      </c>
      <c r="AB430" s="839">
        <f>AB407 + AB361 + AB338</f>
        <v>12845051</v>
      </c>
      <c r="AC430" s="841">
        <f>AC407 + AC361 + AC338</f>
        <v>13541298</v>
      </c>
      <c r="AD430" s="841">
        <f>AD407 + AD361 + AD338</f>
        <v>70</v>
      </c>
      <c r="AE430" s="841">
        <f>AE407 + AE361 + AE338</f>
        <v>70</v>
      </c>
      <c r="AF430" s="841">
        <f>AF407 + AF361 + AF338</f>
        <v>70</v>
      </c>
      <c r="AG430" s="841">
        <f>AG407 + AG361 + AG338</f>
        <v>0</v>
      </c>
      <c r="AH430" s="841">
        <f>AH407 + AH361 + AH338</f>
        <v>0</v>
      </c>
      <c r="AI430" s="841">
        <f>AI407 + AI361 + AI338</f>
        <v>0</v>
      </c>
      <c r="AJ430" s="841">
        <f>AJ407 + AJ361 + AJ338</f>
        <v>0</v>
      </c>
      <c r="AK430" s="841">
        <f>AK407 + AK361 + AK338</f>
        <v>0</v>
      </c>
      <c r="AL430" s="841">
        <f>AL407 + AL361 + AL338</f>
        <v>0</v>
      </c>
      <c r="AM430" s="841">
        <f>AM407 + AM361 + AM338</f>
        <v>0</v>
      </c>
      <c r="AN430" s="841">
        <f>AN407 + AN361 + AN338</f>
        <v>0</v>
      </c>
      <c r="AO430" s="841">
        <f>AO407 + AO361 + AO338</f>
        <v>0</v>
      </c>
      <c r="AP430" s="841">
        <f>AP407 + AP361 + AP338</f>
        <v>10</v>
      </c>
    </row>
    <row r="431" hidden="1">
      <c r="B431" s="842" t="s">
        <v>110</v>
      </c>
      <c r="C431" s="839">
        <f>C408 + C362 + C339</f>
        <v>2436900</v>
      </c>
      <c r="D431" s="839">
        <f>D408 + D362 + D339</f>
        <v>2444900</v>
      </c>
      <c r="E431" s="839">
        <f>E408 + E362 + E339</f>
        <v>3400278</v>
      </c>
      <c r="F431" s="839">
        <f>F408 + F362 + F339</f>
        <v>3483278</v>
      </c>
      <c r="G431" s="839">
        <f>G408 + G362 + G339</f>
        <v>2419255</v>
      </c>
      <c r="H431" s="839">
        <f>H408 + H362 + H339</f>
        <v>2417655</v>
      </c>
      <c r="I431" s="839">
        <f>I408 + I362 + I339</f>
        <v>2242355</v>
      </c>
      <c r="J431" s="839">
        <f>J408 + J362 + J339</f>
        <v>2208805</v>
      </c>
      <c r="K431" s="839">
        <f>K408 + K362 + K339</f>
        <v>1745814</v>
      </c>
      <c r="L431" s="839">
        <f>L408 + L362 + L339</f>
        <v>1913514</v>
      </c>
      <c r="M431" s="839">
        <f>M408 + M362 + M339</f>
        <v>2156302</v>
      </c>
      <c r="N431" s="839">
        <f>N408 + N362 + N339</f>
        <v>2112731</v>
      </c>
      <c r="O431" s="839">
        <f>O408 + O362 + O339</f>
        <v>2978973</v>
      </c>
      <c r="P431" s="839">
        <f>P408 + P362 + P339</f>
        <v>2978973</v>
      </c>
      <c r="Q431" s="839">
        <f>Q408 + Q362 + Q339</f>
        <v>2817243</v>
      </c>
      <c r="R431" s="839">
        <f>R408 + R362 + R339</f>
        <v>2826498</v>
      </c>
      <c r="S431" s="839">
        <f>S408 + S362 + S339</f>
        <v>3338882</v>
      </c>
      <c r="T431" s="839">
        <f>T408 + T362 + T339</f>
        <v>3671247</v>
      </c>
      <c r="U431" s="839">
        <f>U408 + U362 + U339</f>
        <v>2845129</v>
      </c>
      <c r="V431" s="839">
        <f>V408 + V362 + V339</f>
        <v>2798715</v>
      </c>
      <c r="W431" s="839">
        <f>W408 + W362 + W339</f>
        <v>3574953</v>
      </c>
      <c r="X431" s="839">
        <f>X408 + X362 + X339</f>
        <v>3607389</v>
      </c>
      <c r="Y431" s="839">
        <f>Y408 + Y362 + Y339</f>
        <v>2711936</v>
      </c>
      <c r="Z431" s="839">
        <f>Z408 + Z362 + Z339</f>
        <v>2685854</v>
      </c>
      <c r="AA431" s="839">
        <f>AA408 + AA362 + AA339</f>
        <v>3354099</v>
      </c>
      <c r="AB431" s="839">
        <f>AB408 + AB362 + AB339</f>
        <v>3442646</v>
      </c>
      <c r="AC431" s="841">
        <f>AC408 + AC362 + AC339</f>
        <v>3300123</v>
      </c>
      <c r="AD431" s="841">
        <f>AD408 + AD362 + AD339</f>
        <v>3388123</v>
      </c>
      <c r="AE431" s="841">
        <f>AE408 + AE362 + AE339</f>
        <v>3660575</v>
      </c>
      <c r="AF431" s="841">
        <f>AF408 + AF362 + AF339</f>
        <v>3660575</v>
      </c>
      <c r="AG431" s="841">
        <f>AG408 + AG362 + AG339</f>
        <v>3545724</v>
      </c>
      <c r="AH431" s="841">
        <f>AH408 + AH362 + AH339</f>
        <v>3514742</v>
      </c>
      <c r="AI431" s="841">
        <f>AI408 + AI362 + AI339</f>
        <v>3205567</v>
      </c>
      <c r="AJ431" s="841">
        <f>AJ408 + AJ362 + AJ339</f>
        <v>3346105</v>
      </c>
      <c r="AK431" s="841">
        <f>AK408 + AK362 + AK339</f>
        <v>538941</v>
      </c>
      <c r="AL431" s="841">
        <f>AL408 + AL362 + AL339</f>
        <v>467732</v>
      </c>
      <c r="AM431" s="841">
        <f>AM408 + AM362 + AM339</f>
        <v>540569</v>
      </c>
      <c r="AN431" s="841">
        <f>AN408 + AN362 + AN339</f>
        <v>540569</v>
      </c>
      <c r="AO431" s="841">
        <f>AO408 + AO362 + AO339</f>
        <v>594058</v>
      </c>
      <c r="AP431" s="841">
        <f>AP408 + AP362 + AP339</f>
        <v>575048</v>
      </c>
    </row>
    <row r="432" hidden="1">
      <c r="B432" s="842" t="s">
        <v>16</v>
      </c>
      <c r="C432" s="839">
        <f>C409 + C363 + C340</f>
        <v>0</v>
      </c>
      <c r="D432" s="839">
        <f>D409 + D363 + D340</f>
        <v>78356</v>
      </c>
      <c r="E432" s="839">
        <f>E409 + E363 + E340</f>
        <v>1614671</v>
      </c>
      <c r="F432" s="839">
        <f>F409 + F363 + F340</f>
        <v>1541780</v>
      </c>
      <c r="G432" s="839">
        <f>G409 + G363 + G340</f>
        <v>1476876</v>
      </c>
      <c r="H432" s="839">
        <f>H409 + H363 + H340</f>
        <v>1684407</v>
      </c>
      <c r="I432" s="839">
        <f>I409 + I363 + I340</f>
        <v>1529407</v>
      </c>
      <c r="J432" s="839">
        <f>J409 + J363 + J340</f>
        <v>1463407</v>
      </c>
      <c r="K432" s="839">
        <f>K409 + K363 + K340</f>
        <v>1261657</v>
      </c>
      <c r="L432" s="839">
        <f>L409 + L363 + L340</f>
        <v>1365722</v>
      </c>
      <c r="M432" s="839">
        <f>M409 + M363 + M340</f>
        <v>1876637</v>
      </c>
      <c r="N432" s="839">
        <f>N409 + N363 + N340</f>
        <v>2084391</v>
      </c>
      <c r="O432" s="839">
        <f>O409 + O363 + O340</f>
        <v>3193104</v>
      </c>
      <c r="P432" s="839">
        <f>P409 + P363 + P340</f>
        <v>2914918</v>
      </c>
      <c r="Q432" s="839">
        <f>Q409 + Q363 + Q340</f>
        <v>3697189</v>
      </c>
      <c r="R432" s="839">
        <f>R409 + R363 + R340</f>
        <v>3514230</v>
      </c>
      <c r="S432" s="839">
        <f>S409 + S363 + S340</f>
        <v>3451020</v>
      </c>
      <c r="T432" s="839">
        <f>T409 + T363 + T340</f>
        <v>3538966</v>
      </c>
      <c r="U432" s="839">
        <f>U409 + U363 + U340</f>
        <v>3992928</v>
      </c>
      <c r="V432" s="839">
        <f>V409 + V363 + V340</f>
        <v>4140120</v>
      </c>
      <c r="W432" s="839">
        <f>W409 + W363 + W340</f>
        <v>4078320</v>
      </c>
      <c r="X432" s="839">
        <f>X409 + X363 + X340</f>
        <v>4124751</v>
      </c>
      <c r="Y432" s="839">
        <f>Y409 + Y363 + Y340</f>
        <v>3881841</v>
      </c>
      <c r="Z432" s="839">
        <f>Z409 + Z363 + Z340</f>
        <v>3697673</v>
      </c>
      <c r="AA432" s="839">
        <f>AA409 + AA363 + AA340</f>
        <v>3683502</v>
      </c>
      <c r="AB432" s="839">
        <f>AB409 + AB363 + AB340</f>
        <v>3683437</v>
      </c>
      <c r="AC432" s="841">
        <f>AC409 + AC363 + AC340</f>
        <v>3470555</v>
      </c>
      <c r="AD432" s="841">
        <f>AD409 + AD363 + AD340</f>
        <v>3517340</v>
      </c>
      <c r="AE432" s="841">
        <f>AE409 + AE363 + AE340</f>
        <v>3684953</v>
      </c>
      <c r="AF432" s="841">
        <f>AF409 + AF363 + AF340</f>
        <v>3802433</v>
      </c>
      <c r="AG432" s="841">
        <f>AG409 + AG363 + AG340</f>
        <v>3649045</v>
      </c>
      <c r="AH432" s="841">
        <f>AH409 + AH363 + AH340</f>
        <v>3607936</v>
      </c>
      <c r="AI432" s="841">
        <f>AI409 + AI363 + AI340</f>
        <v>3394000</v>
      </c>
      <c r="AJ432" s="841">
        <f>AJ409 + AJ363 + AJ340</f>
        <v>3415674</v>
      </c>
      <c r="AK432" s="841">
        <f>AK409 + AK363 + AK340</f>
        <v>3303225</v>
      </c>
      <c r="AL432" s="841">
        <f>AL409 + AL363 + AL340</f>
        <v>3192281</v>
      </c>
      <c r="AM432" s="841">
        <f>AM409 + AM363 + AM340</f>
        <v>3280699</v>
      </c>
      <c r="AN432" s="841">
        <f>AN409 + AN363 + AN340</f>
        <v>3237654</v>
      </c>
      <c r="AO432" s="841">
        <f>AO409 + AO363 + AO340</f>
        <v>2986807</v>
      </c>
      <c r="AP432" s="841">
        <f>AP409 + AP363 + AP340</f>
        <v>3063331</v>
      </c>
    </row>
    <row r="433" hidden="1">
      <c r="B433" s="842" t="s">
        <v>17</v>
      </c>
      <c r="C433" s="839">
        <f>C410 + C364 + C341</f>
        <v>1495902</v>
      </c>
      <c r="D433" s="839">
        <f>D410 + D364 + D341</f>
        <v>1721759</v>
      </c>
      <c r="E433" s="839">
        <f>E410 + E364 + E341</f>
        <v>1401289</v>
      </c>
      <c r="F433" s="839">
        <f>F410 + F364 + F341</f>
        <v>1900604</v>
      </c>
      <c r="G433" s="839">
        <f>G410 + G364 + G341</f>
        <v>455983</v>
      </c>
      <c r="H433" s="839">
        <f>H410 + H364 + H341</f>
        <v>178465</v>
      </c>
      <c r="I433" s="839">
        <f>I410 + I364 + I341</f>
        <v>1399827</v>
      </c>
      <c r="J433" s="839">
        <f>J410 + J364 + J341</f>
        <v>1846301</v>
      </c>
      <c r="K433" s="839">
        <f>K410 + K364 + K341</f>
        <v>350051</v>
      </c>
      <c r="L433" s="839">
        <f>L410 + L364 + L341</f>
        <v>350076</v>
      </c>
      <c r="M433" s="839">
        <f>M410 + M364 + M341</f>
        <v>346923</v>
      </c>
      <c r="N433" s="839">
        <f>N410 + N364 + N341</f>
        <v>346923</v>
      </c>
      <c r="O433" s="839">
        <f>O410 + O364 + O341</f>
        <v>295074</v>
      </c>
      <c r="P433" s="839">
        <f>P410 + P364 + P341</f>
        <v>0</v>
      </c>
      <c r="Q433" s="839">
        <f>Q410 + Q364 + Q341</f>
        <v>0</v>
      </c>
      <c r="R433" s="839">
        <f>R410 + R364 + R341</f>
        <v>0</v>
      </c>
      <c r="S433" s="839">
        <f>S410 + S364 + S341</f>
        <v>0</v>
      </c>
      <c r="T433" s="839">
        <f>T410 + T364 + T341</f>
        <v>0</v>
      </c>
      <c r="U433" s="839">
        <f>U410 + U364 + U341</f>
        <v>0</v>
      </c>
      <c r="V433" s="839">
        <f>V410 + V364 + V341</f>
        <v>0</v>
      </c>
      <c r="W433" s="839">
        <f>W410 + W364 + W341</f>
        <v>24</v>
      </c>
      <c r="X433" s="839">
        <f>X410 + X364 + X341</f>
        <v>24</v>
      </c>
      <c r="Y433" s="839">
        <f>Y410 + Y364 + Y341</f>
        <v>24</v>
      </c>
      <c r="Z433" s="839">
        <f>Z410 + Z364 + Z341</f>
        <v>0</v>
      </c>
      <c r="AA433" s="839">
        <f>AA410 + AA364 + AA341</f>
        <v>295000</v>
      </c>
      <c r="AB433" s="839">
        <f>AB410 + AB364 + AB341</f>
        <v>295000</v>
      </c>
      <c r="AC433" s="841">
        <f>AC410 + AC364 + AC341</f>
        <v>298250</v>
      </c>
      <c r="AD433" s="841">
        <f>AD410 + AD364 + AD341</f>
        <v>298250</v>
      </c>
      <c r="AE433" s="841">
        <f>AE410 + AE364 + AE341</f>
        <v>319199</v>
      </c>
      <c r="AF433" s="841">
        <f>AF410 + AF364 + AF341</f>
        <v>319199</v>
      </c>
      <c r="AG433" s="841">
        <f>AG410 + AG364 + AG341</f>
        <v>384</v>
      </c>
      <c r="AH433" s="841">
        <f>AH410 + AH364 + AH341</f>
        <v>594</v>
      </c>
      <c r="AI433" s="841">
        <f>AI410 + AI364 + AI341</f>
        <v>321</v>
      </c>
      <c r="AJ433" s="841">
        <f>AJ410 + AJ364 + AJ341</f>
        <v>321</v>
      </c>
      <c r="AK433" s="841">
        <f>AK410 + AK364 + AK341</f>
        <v>367</v>
      </c>
      <c r="AL433" s="841">
        <f>AL410 + AL364 + AL341</f>
        <v>0</v>
      </c>
      <c r="AM433" s="841">
        <f>AM410 + AM364 + AM341</f>
        <v>0</v>
      </c>
      <c r="AN433" s="841">
        <f>AN410 + AN364 + AN341</f>
        <v>0</v>
      </c>
      <c r="AO433" s="841">
        <f>AO410 + AO364 + AO341</f>
        <v>0</v>
      </c>
      <c r="AP433" s="841">
        <f>AP410 + AP364 + AP341</f>
        <v>0</v>
      </c>
    </row>
    <row r="434" hidden="1">
      <c r="B434" s="842" t="s">
        <v>18</v>
      </c>
      <c r="C434" s="839">
        <f>C411 + C365 + C342</f>
        <v>0</v>
      </c>
      <c r="D434" s="839">
        <f>D411 + D365 + D342</f>
        <v>0</v>
      </c>
      <c r="E434" s="839">
        <f>E411 + E365 + E342</f>
        <v>0</v>
      </c>
      <c r="F434" s="839">
        <f>F411 + F365 + F342</f>
        <v>168000</v>
      </c>
      <c r="G434" s="839">
        <f>G411 + G365 + G342</f>
        <v>473430</v>
      </c>
      <c r="H434" s="839">
        <f>H411 + H365 + H342</f>
        <v>723505</v>
      </c>
      <c r="I434" s="839">
        <f>I411 + I365 + I342</f>
        <v>1234404</v>
      </c>
      <c r="J434" s="839">
        <f>J411 + J365 + J342</f>
        <v>1204518</v>
      </c>
      <c r="K434" s="839">
        <f>K411 + K365 + K342</f>
        <v>1269627</v>
      </c>
      <c r="L434" s="839">
        <f>L411 + L365 + L342</f>
        <v>1202293</v>
      </c>
      <c r="M434" s="839">
        <f>M411 + M365 + M342</f>
        <v>2332673</v>
      </c>
      <c r="N434" s="839">
        <f>N411 + N365 + N342</f>
        <v>160616</v>
      </c>
      <c r="O434" s="839">
        <f>O411 + O365 + O342</f>
        <v>134749</v>
      </c>
      <c r="P434" s="839">
        <f>P411 + P365 + P342</f>
        <v>183590</v>
      </c>
      <c r="Q434" s="839">
        <f>Q411 + Q365 + Q342</f>
        <v>196129</v>
      </c>
      <c r="R434" s="839">
        <f>R411 + R365 + R342</f>
        <v>186602</v>
      </c>
      <c r="S434" s="839">
        <f>S411 + S365 + S342</f>
        <v>192700</v>
      </c>
      <c r="T434" s="839">
        <f>T411 + T365 + T342</f>
        <v>192700</v>
      </c>
      <c r="U434" s="839">
        <f>U411 + U365 + U342</f>
        <v>177903</v>
      </c>
      <c r="V434" s="839">
        <f>V411 + V365 + V342</f>
        <v>178179</v>
      </c>
      <c r="W434" s="839">
        <f>W411 + W365 + W342</f>
        <v>215104</v>
      </c>
      <c r="X434" s="839">
        <f>X411 + X365 + X342</f>
        <v>217790</v>
      </c>
      <c r="Y434" s="839">
        <f>Y411 + Y365 + Y342</f>
        <v>221576</v>
      </c>
      <c r="Z434" s="839">
        <f>Z411 + Z365 + Z342</f>
        <v>212656</v>
      </c>
      <c r="AA434" s="839">
        <f>AA411 + AA365 + AA342</f>
        <v>188301</v>
      </c>
      <c r="AB434" s="839">
        <f>AB411 + AB365 + AB342</f>
        <v>188301</v>
      </c>
      <c r="AC434" s="841">
        <f>AC411 + AC365 + AC342</f>
        <v>201492</v>
      </c>
      <c r="AD434" s="841">
        <f>AD411 + AD365 + AD342</f>
        <v>354889</v>
      </c>
      <c r="AE434" s="841">
        <f>AE411 + AE365 + AE342</f>
        <v>304461</v>
      </c>
      <c r="AF434" s="841">
        <f>AF411 + AF365 + AF342</f>
        <v>510700</v>
      </c>
      <c r="AG434" s="841">
        <f>AG411 + AG365 + AG342</f>
        <v>408968</v>
      </c>
      <c r="AH434" s="841">
        <f>AH411 + AH365 + AH342</f>
        <v>503204</v>
      </c>
      <c r="AI434" s="841">
        <f>AI411 + AI365 + AI342</f>
        <v>320044</v>
      </c>
      <c r="AJ434" s="841">
        <f>AJ411 + AJ365 + AJ342</f>
        <v>353444</v>
      </c>
      <c r="AK434" s="841">
        <f>AK411 + AK365 + AK342</f>
        <v>336612</v>
      </c>
      <c r="AL434" s="841">
        <f>AL411 + AL365 + AL342</f>
        <v>329632</v>
      </c>
      <c r="AM434" s="841">
        <f>AM411 + AM365 + AM342</f>
        <v>372766</v>
      </c>
      <c r="AN434" s="841">
        <f>AN411 + AN365 + AN342</f>
        <v>336936</v>
      </c>
      <c r="AO434" s="841">
        <f>AO411 + AO365 + AO342</f>
        <v>247423</v>
      </c>
      <c r="AP434" s="841">
        <f>AP411 + AP365 + AP342</f>
        <v>278929</v>
      </c>
    </row>
    <row r="435" hidden="1">
      <c r="B435" s="842" t="s">
        <v>19</v>
      </c>
      <c r="C435" s="839">
        <f>C412 + C366 + C343</f>
        <v>835010</v>
      </c>
      <c r="D435" s="839">
        <f>D412 + D366 + D343</f>
        <v>850010</v>
      </c>
      <c r="E435" s="839">
        <f>E412 + E366 + E343</f>
        <v>395121</v>
      </c>
      <c r="F435" s="839">
        <f>F412 + F366 + F343</f>
        <v>395121</v>
      </c>
      <c r="G435" s="839">
        <f>G412 + G366 + G343</f>
        <v>551164</v>
      </c>
      <c r="H435" s="839">
        <f>H412 + H366 + H343</f>
        <v>523414</v>
      </c>
      <c r="I435" s="839">
        <f>I412 + I366 + I343</f>
        <v>593081</v>
      </c>
      <c r="J435" s="839">
        <f>J412 + J366 + J343</f>
        <v>584310</v>
      </c>
      <c r="K435" s="839">
        <f>K412 + K366 + K343</f>
        <v>594802</v>
      </c>
      <c r="L435" s="839">
        <f>L412 + L366 + L343</f>
        <v>42000</v>
      </c>
      <c r="M435" s="839">
        <f>M412 + M366 + M343</f>
        <v>623796</v>
      </c>
      <c r="N435" s="839">
        <f>N412 + N366 + N343</f>
        <v>498646</v>
      </c>
      <c r="O435" s="839">
        <f>O412 + O366 + O343</f>
        <v>648126</v>
      </c>
      <c r="P435" s="839">
        <f>P412 + P366 + P343</f>
        <v>716916</v>
      </c>
      <c r="Q435" s="839">
        <f>Q412 + Q366 + Q343</f>
        <v>585293</v>
      </c>
      <c r="R435" s="839">
        <f>R412 + R366 + R343</f>
        <v>585293</v>
      </c>
      <c r="S435" s="839">
        <f>S412 + S366 + S343</f>
        <v>907517</v>
      </c>
      <c r="T435" s="839">
        <f>T412 + T366 + T343</f>
        <v>907517</v>
      </c>
      <c r="U435" s="839">
        <f>U412 + U366 + U343</f>
        <v>874504</v>
      </c>
      <c r="V435" s="839">
        <f>V412 + V366 + V343</f>
        <v>874504</v>
      </c>
      <c r="W435" s="839">
        <f>W412 + W366 + W343</f>
        <v>874086</v>
      </c>
      <c r="X435" s="839">
        <f>X412 + X366 + X343</f>
        <v>874003</v>
      </c>
      <c r="Y435" s="839">
        <f>Y412 + Y366 + Y343</f>
        <v>707495</v>
      </c>
      <c r="Z435" s="839">
        <f>Z412 + Z366 + Z343</f>
        <v>707495</v>
      </c>
      <c r="AA435" s="839">
        <f>AA412 + AA366 + AA343</f>
        <v>536779</v>
      </c>
      <c r="AB435" s="839">
        <f>AB412 + AB366 + AB343</f>
        <v>424289</v>
      </c>
      <c r="AC435" s="841">
        <f>AC412 + AC366 + AC343</f>
        <v>594993</v>
      </c>
      <c r="AD435" s="841">
        <f>AD412 + AD366 + AD343</f>
        <v>333</v>
      </c>
      <c r="AE435" s="841">
        <f>AE412 + AE366 + AE343</f>
        <v>333</v>
      </c>
      <c r="AF435" s="841">
        <f>AF412 + AF366 + AF343</f>
        <v>333</v>
      </c>
      <c r="AG435" s="841">
        <f>AG412 + AG366 + AG343</f>
        <v>205000</v>
      </c>
      <c r="AH435" s="841">
        <f>AH412 + AH366 + AH343</f>
        <v>205000</v>
      </c>
      <c r="AI435" s="841">
        <f>AI412 + AI366 + AI343</f>
        <v>169500</v>
      </c>
      <c r="AJ435" s="841">
        <f>AJ412 + AJ366 + AJ343</f>
        <v>764110</v>
      </c>
      <c r="AK435" s="841">
        <f>AK412 + AK366 + AK343</f>
        <v>719610</v>
      </c>
      <c r="AL435" s="841">
        <f>AL412 + AL366 + AL343</f>
        <v>920862</v>
      </c>
      <c r="AM435" s="841">
        <f>AM412 + AM366 + AM343</f>
        <v>589382</v>
      </c>
      <c r="AN435" s="841">
        <f>AN412 + AN366 + AN343</f>
        <v>589382</v>
      </c>
      <c r="AO435" s="841">
        <f>AO412 + AO366 + AO343</f>
        <v>894245</v>
      </c>
      <c r="AP435" s="841">
        <f>AP412 + AP366 + AP343</f>
        <v>890558</v>
      </c>
    </row>
    <row r="436" hidden="1">
      <c r="B436" s="842" t="s">
        <v>20</v>
      </c>
      <c r="C436" s="839">
        <f>C413 + C367 + C344</f>
        <v>0</v>
      </c>
      <c r="D436" s="839">
        <f>D413 + D367 + D344</f>
        <v>18000</v>
      </c>
      <c r="E436" s="839">
        <f>E413 + E367 + E344</f>
        <v>28000</v>
      </c>
      <c r="F436" s="839">
        <f>F413 + F367 + F344</f>
        <v>28000</v>
      </c>
      <c r="G436" s="839">
        <f>G413 + G367 + G344</f>
        <v>16000</v>
      </c>
      <c r="H436" s="839">
        <f>H413 + H367 + H344</f>
        <v>16000</v>
      </c>
      <c r="I436" s="839">
        <f>I413 + I367 + I344</f>
        <v>16000</v>
      </c>
      <c r="J436" s="839">
        <f>J413 + J367 + J344</f>
        <v>16000</v>
      </c>
      <c r="K436" s="839">
        <f>K413 + K367 + K344</f>
        <v>42000</v>
      </c>
      <c r="L436" s="839">
        <f>L413 + L367 + L344</f>
        <v>364500</v>
      </c>
      <c r="M436" s="839">
        <f>M413 + M367 + M344</f>
        <v>43275</v>
      </c>
      <c r="N436" s="839">
        <f>N413 + N367 + N344</f>
        <v>43275</v>
      </c>
      <c r="O436" s="839">
        <f>O413 + O367 + O344</f>
        <v>50600</v>
      </c>
      <c r="P436" s="839">
        <f>P413 + P367 + P344</f>
        <v>53500</v>
      </c>
      <c r="Q436" s="839">
        <f>Q413 + Q367 + Q344</f>
        <v>29000</v>
      </c>
      <c r="R436" s="839">
        <f>R413 + R367 + R344</f>
        <v>29000</v>
      </c>
      <c r="S436" s="839">
        <f>S413 + S367 + S344</f>
        <v>44500</v>
      </c>
      <c r="T436" s="839">
        <f>T413 + T367 + T344</f>
        <v>44500</v>
      </c>
      <c r="U436" s="839">
        <f>U413 + U367 + U344</f>
        <v>37000</v>
      </c>
      <c r="V436" s="839">
        <f>V413 + V367 + V344</f>
        <v>67000</v>
      </c>
      <c r="W436" s="839">
        <f>W413 + W367 + W344</f>
        <v>65000</v>
      </c>
      <c r="X436" s="839">
        <f>X413 + X367 + X344</f>
        <v>75090</v>
      </c>
      <c r="Y436" s="839">
        <f>Y413 + Y367 + Y344</f>
        <v>75090</v>
      </c>
      <c r="Z436" s="839">
        <f>Z413 + Z367 + Z344</f>
        <v>75090</v>
      </c>
      <c r="AA436" s="839">
        <f>AA413 + AA367 + AA344</f>
        <v>67090</v>
      </c>
      <c r="AB436" s="839">
        <f>AB413 + AB367 + AB344</f>
        <v>67090</v>
      </c>
      <c r="AC436" s="841">
        <f>AC413 + AC367 + AC344</f>
        <v>46090</v>
      </c>
      <c r="AD436" s="841">
        <f>AD413 + AD367 + AD344</f>
        <v>7090</v>
      </c>
      <c r="AE436" s="841">
        <f>AE413 + AE367 + AE344</f>
        <v>7090</v>
      </c>
      <c r="AF436" s="841">
        <f>AF413 + AF367 + AF344</f>
        <v>7090</v>
      </c>
      <c r="AG436" s="841">
        <f>AG413 + AG367 + AG344</f>
        <v>100</v>
      </c>
      <c r="AH436" s="841">
        <f>AH413 + AH367 + AH344</f>
        <v>100</v>
      </c>
      <c r="AI436" s="841">
        <f>AI413 + AI367 + AI344</f>
        <v>100</v>
      </c>
      <c r="AJ436" s="841">
        <f>AJ413 + AJ367 + AJ344</f>
        <v>100</v>
      </c>
      <c r="AK436" s="841">
        <f>AK413 + AK367 + AK344</f>
        <v>110</v>
      </c>
      <c r="AL436" s="841">
        <f>AL413 + AL367 + AL344</f>
        <v>110</v>
      </c>
      <c r="AM436" s="841">
        <f>AM413 + AM367 + AM344</f>
        <v>110</v>
      </c>
      <c r="AN436" s="841">
        <f>AN413 + AN367 + AN344</f>
        <v>100</v>
      </c>
      <c r="AO436" s="841">
        <f>AO413 + AO367 + AO344</f>
        <v>100</v>
      </c>
      <c r="AP436" s="841">
        <f>AP413 + AP367 + AP344</f>
        <v>100</v>
      </c>
    </row>
    <row r="437" hidden="1">
      <c r="B437" s="842" t="s">
        <v>21</v>
      </c>
      <c r="C437" s="839">
        <f>C414 + C368 + C345</f>
        <v>486003</v>
      </c>
      <c r="D437" s="839">
        <f>D414 + D368 + D345</f>
        <v>468348</v>
      </c>
      <c r="E437" s="839">
        <f>E414 + E368 + E345</f>
        <v>457363</v>
      </c>
      <c r="F437" s="839">
        <f>F414 + F368 + F345</f>
        <v>457363</v>
      </c>
      <c r="G437" s="839">
        <f>G414 + G368 + G345</f>
        <v>462413</v>
      </c>
      <c r="H437" s="839">
        <f>H414 + H368 + H345</f>
        <v>481925</v>
      </c>
      <c r="I437" s="839">
        <f>I414 + I368 + I345</f>
        <v>471913</v>
      </c>
      <c r="J437" s="839">
        <f>J414 + J368 + J345</f>
        <v>471895</v>
      </c>
      <c r="K437" s="839">
        <f>K414 + K368 + K345</f>
        <v>309500</v>
      </c>
      <c r="L437" s="839">
        <f>L414 + L368 + L345</f>
        <v>0</v>
      </c>
      <c r="M437" s="839">
        <f>M414 + M368 + M345</f>
        <v>354500</v>
      </c>
      <c r="N437" s="839">
        <f>N414 + N368 + N345</f>
        <v>354500</v>
      </c>
      <c r="O437" s="839">
        <f>O414 + O368 + O345</f>
        <v>356532</v>
      </c>
      <c r="P437" s="839">
        <f>P414 + P368 + P345</f>
        <v>356532</v>
      </c>
      <c r="Q437" s="839">
        <f>Q414 + Q368 + Q345</f>
        <v>362520</v>
      </c>
      <c r="R437" s="839">
        <f>R414 + R368 + R345</f>
        <v>391520</v>
      </c>
      <c r="S437" s="839">
        <f>S414 + S368 + S345</f>
        <v>391500</v>
      </c>
      <c r="T437" s="839">
        <f>T414 + T368 + T345</f>
        <v>391514</v>
      </c>
      <c r="U437" s="839">
        <f>U414 + U368 + U345</f>
        <v>313504</v>
      </c>
      <c r="V437" s="839">
        <f>V414 + V368 + V345</f>
        <v>325504</v>
      </c>
      <c r="W437" s="839">
        <f>W414 + W368 + W345</f>
        <v>323004</v>
      </c>
      <c r="X437" s="839">
        <f>X414 + X368 + X345</f>
        <v>298004</v>
      </c>
      <c r="Y437" s="839">
        <f>Y414 + Y368 + Y345</f>
        <v>292000</v>
      </c>
      <c r="Z437" s="839">
        <f>Z414 + Z368 + Z345</f>
        <v>304000</v>
      </c>
      <c r="AA437" s="839">
        <f>AA414 + AA368 + AA345</f>
        <v>314400</v>
      </c>
      <c r="AB437" s="839">
        <f>AB414 + AB368 + AB345</f>
        <v>303000</v>
      </c>
      <c r="AC437" s="841">
        <f>AC414 + AC368 + AC345</f>
        <v>307000</v>
      </c>
      <c r="AD437" s="841">
        <f>AD414 + AD368 + AD345</f>
        <v>0</v>
      </c>
      <c r="AE437" s="841">
        <f>AE414 + AE368 + AE345</f>
        <v>0</v>
      </c>
      <c r="AF437" s="841">
        <f>AF414 + AF368 + AF345</f>
        <v>0</v>
      </c>
      <c r="AG437" s="841">
        <f>AG414 + AG368 + AG345</f>
        <v>0</v>
      </c>
      <c r="AH437" s="841">
        <f>AH414 + AH368 + AH345</f>
        <v>0</v>
      </c>
      <c r="AI437" s="841">
        <f>AI414 + AI368 + AI345</f>
        <v>0</v>
      </c>
      <c r="AJ437" s="841">
        <f>AJ414 + AJ368 + AJ345</f>
        <v>0</v>
      </c>
      <c r="AK437" s="841">
        <f>AK414 + AK368 + AK345</f>
        <v>0</v>
      </c>
      <c r="AL437" s="841">
        <f>AL414 + AL368 + AL345</f>
        <v>0</v>
      </c>
      <c r="AM437" s="841">
        <f>AM414 + AM368 + AM345</f>
        <v>0</v>
      </c>
      <c r="AN437" s="841">
        <f>AN414 + AN368 + AN345</f>
        <v>0</v>
      </c>
      <c r="AO437" s="841">
        <f>AO414 + AO368 + AO345</f>
        <v>0</v>
      </c>
      <c r="AP437" s="841">
        <f>AP414 + AP368 + AP345</f>
        <v>0</v>
      </c>
    </row>
    <row r="438" hidden="1">
      <c r="B438" s="842" t="s">
        <v>22</v>
      </c>
      <c r="C438" s="839">
        <f>C415 + C369 + C346</f>
        <v>0</v>
      </c>
      <c r="D438" s="839">
        <f>D415 + D369 + D346</f>
        <v>0</v>
      </c>
      <c r="E438" s="839">
        <f>E415 + E369 + E346</f>
        <v>0</v>
      </c>
      <c r="F438" s="839">
        <f>F415 + F369 + F346</f>
        <v>0</v>
      </c>
      <c r="G438" s="839">
        <f>G415 + G369 + G346</f>
        <v>0</v>
      </c>
      <c r="H438" s="839">
        <f>H415 + H369 + H346</f>
        <v>0</v>
      </c>
      <c r="I438" s="839">
        <f>I415 + I369 + I346</f>
        <v>0</v>
      </c>
      <c r="J438" s="839">
        <f>J415 + J369 + J346</f>
        <v>0</v>
      </c>
      <c r="K438" s="839">
        <f>K415 + K369 + K346</f>
        <v>0</v>
      </c>
      <c r="L438" s="839">
        <f>L415 + L369 + L346</f>
        <v>923408</v>
      </c>
      <c r="M438" s="839">
        <f>M415 + M369 + M346</f>
        <v>0</v>
      </c>
      <c r="N438" s="839">
        <f>N415 + N369 + N346</f>
        <v>0</v>
      </c>
      <c r="O438" s="839">
        <f>O415 + O369 + O346</f>
        <v>90000</v>
      </c>
      <c r="P438" s="839">
        <f>P415 + P369 + P346</f>
        <v>90000</v>
      </c>
      <c r="Q438" s="839">
        <f>Q415 + Q369 + Q346</f>
        <v>133905</v>
      </c>
      <c r="R438" s="839">
        <f>R415 + R369 + R346</f>
        <v>133905</v>
      </c>
      <c r="S438" s="839">
        <f>S415 + S369 + S346</f>
        <v>153130</v>
      </c>
      <c r="T438" s="839">
        <f>T415 + T369 + T346</f>
        <v>153130</v>
      </c>
      <c r="U438" s="839">
        <f>U415 + U369 + U346</f>
        <v>140710</v>
      </c>
      <c r="V438" s="839">
        <f>V415 + V369 + V346</f>
        <v>140710</v>
      </c>
      <c r="W438" s="839">
        <f>W415 + W369 + W346</f>
        <v>30464</v>
      </c>
      <c r="X438" s="839">
        <f>X415 + X369 + X346</f>
        <v>30464</v>
      </c>
      <c r="Y438" s="839">
        <f>Y415 + Y369 + Y346</f>
        <v>30550</v>
      </c>
      <c r="Z438" s="839">
        <f>Z415 + Z369 + Z346</f>
        <v>30610</v>
      </c>
      <c r="AA438" s="839">
        <f>AA415 + AA369 + AA346</f>
        <v>49390</v>
      </c>
      <c r="AB438" s="839">
        <f>AB415 + AB369 + AB346</f>
        <v>49419</v>
      </c>
      <c r="AC438" s="841">
        <f>AC415 + AC369 + AC346</f>
        <v>49565</v>
      </c>
      <c r="AD438" s="841">
        <f>AD415 + AD369 + AD346</f>
        <v>49528</v>
      </c>
      <c r="AE438" s="841">
        <f>AE415 + AE369 + AE346</f>
        <v>19714</v>
      </c>
      <c r="AF438" s="841">
        <f>AF415 + AF369 + AF346</f>
        <v>19714</v>
      </c>
      <c r="AG438" s="841">
        <f>AG415 + AG369 + AG346</f>
        <v>20031</v>
      </c>
      <c r="AH438" s="841">
        <f>AH415 + AH369 + AH346</f>
        <v>20031</v>
      </c>
      <c r="AI438" s="841">
        <f>AI415 + AI369 + AI346</f>
        <v>154620</v>
      </c>
      <c r="AJ438" s="841">
        <f>AJ415 + AJ369 + AJ346</f>
        <v>154620</v>
      </c>
      <c r="AK438" s="841">
        <f>AK415 + AK369 + AK346</f>
        <v>90794</v>
      </c>
      <c r="AL438" s="841">
        <f>AL415 + AL369 + AL346</f>
        <v>90794</v>
      </c>
      <c r="AM438" s="841">
        <f>AM415 + AM369 + AM346</f>
        <v>73880</v>
      </c>
      <c r="AN438" s="841">
        <f>AN415 + AN369 + AN346</f>
        <v>73880</v>
      </c>
      <c r="AO438" s="841">
        <f>AO415 + AO369 + AO346</f>
        <v>91477</v>
      </c>
      <c r="AP438" s="841">
        <f>AP415 + AP369 + AP346</f>
        <v>91477</v>
      </c>
    </row>
    <row r="439" hidden="1">
      <c r="B439" s="842" t="s">
        <v>23</v>
      </c>
      <c r="C439" s="839">
        <f>C416 + C370 + C347</f>
        <v>318986</v>
      </c>
      <c r="D439" s="839">
        <f>D416 + D370 + D347</f>
        <v>318986</v>
      </c>
      <c r="E439" s="839">
        <f>E416 + E370 + E347</f>
        <v>873805</v>
      </c>
      <c r="F439" s="839">
        <f>F416 + F370 + F347</f>
        <v>873805</v>
      </c>
      <c r="G439" s="839">
        <f>G416 + G370 + G347</f>
        <v>1024044</v>
      </c>
      <c r="H439" s="839">
        <f>H416 + H370 + H347</f>
        <v>1024044</v>
      </c>
      <c r="I439" s="839">
        <f>I416 + I370 + I347</f>
        <v>992918</v>
      </c>
      <c r="J439" s="839">
        <f>J416 + J370 + J347</f>
        <v>992918</v>
      </c>
      <c r="K439" s="839">
        <f>K416 + K370 + K347</f>
        <v>952491</v>
      </c>
      <c r="L439" s="839">
        <f>L416 + L370 + L347</f>
        <v>594828</v>
      </c>
      <c r="M439" s="839">
        <f>M416 + M370 + M347</f>
        <v>993313</v>
      </c>
      <c r="N439" s="839">
        <f>N416 + N370 + N347</f>
        <v>808690</v>
      </c>
      <c r="O439" s="839">
        <f>O416 + O370 + O347</f>
        <v>712800</v>
      </c>
      <c r="P439" s="839">
        <f>P416 + P370 + P347</f>
        <v>712800</v>
      </c>
      <c r="Q439" s="839">
        <f>Q416 + Q370 + Q347</f>
        <v>966580</v>
      </c>
      <c r="R439" s="839">
        <f>R416 + R370 + R347</f>
        <v>966580</v>
      </c>
      <c r="S439" s="839">
        <f>S416 + S370 + S347</f>
        <v>396000</v>
      </c>
      <c r="T439" s="839">
        <f>T416 + T370 + T347</f>
        <v>396000</v>
      </c>
      <c r="U439" s="839">
        <f>U416 + U370 + U347</f>
        <v>396000</v>
      </c>
      <c r="V439" s="839">
        <f>V416 + V370 + V347</f>
        <v>396000</v>
      </c>
      <c r="W439" s="839">
        <f>W416 + W370 + W347</f>
        <v>396000</v>
      </c>
      <c r="X439" s="839">
        <f>X416 + X370 + X347</f>
        <v>414554</v>
      </c>
      <c r="Y439" s="839">
        <f>Y416 + Y370 + Y347</f>
        <v>422500</v>
      </c>
      <c r="Z439" s="839">
        <f>Z416 + Z370 + Z347</f>
        <v>422500</v>
      </c>
      <c r="AA439" s="839">
        <f>AA416 + AA370 + AA347</f>
        <v>692683</v>
      </c>
      <c r="AB439" s="839">
        <f>AB416 + AB370 + AB347</f>
        <v>692683</v>
      </c>
      <c r="AC439" s="841">
        <f>AC416 + AC370 + AC347</f>
        <v>596790</v>
      </c>
      <c r="AD439" s="841">
        <f>AD416 + AD370 + AD347</f>
        <v>194010</v>
      </c>
      <c r="AE439" s="841">
        <f>AE416 + AE370 + AE347</f>
        <v>460902</v>
      </c>
      <c r="AF439" s="841">
        <f>AF416 + AF370 + AF347</f>
        <v>460902</v>
      </c>
      <c r="AG439" s="841">
        <f>AG416 + AG370 + AG347</f>
        <v>269034</v>
      </c>
      <c r="AH439" s="841">
        <f>AH416 + AH370 + AH347</f>
        <v>137717</v>
      </c>
      <c r="AI439" s="841">
        <f>AI416 + AI370 + AI347</f>
        <v>237590</v>
      </c>
      <c r="AJ439" s="841">
        <f>AJ416 + AJ370 + AJ347</f>
        <v>237590</v>
      </c>
      <c r="AK439" s="841">
        <f>AK416 + AK370 + AK347</f>
        <v>240644</v>
      </c>
      <c r="AL439" s="841">
        <f>AL416 + AL370 + AL347</f>
        <v>240644</v>
      </c>
      <c r="AM439" s="841">
        <f>AM416 + AM370 + AM347</f>
        <v>145500</v>
      </c>
      <c r="AN439" s="841">
        <f>AN416 + AN370 + AN347</f>
        <v>145500</v>
      </c>
      <c r="AO439" s="841">
        <f>AO416 + AO370 + AO347</f>
        <v>161025</v>
      </c>
      <c r="AP439" s="841">
        <f>AP416 + AP370 + AP347</f>
        <v>0</v>
      </c>
    </row>
    <row r="440" hidden="1">
      <c r="B440" s="843" t="s">
        <v>24</v>
      </c>
      <c r="C440" s="839">
        <f>C417 + C371 + C348</f>
        <v>1226660</v>
      </c>
      <c r="D440" s="839">
        <f>D417 + D371 + D348</f>
        <v>1059660</v>
      </c>
      <c r="E440" s="839">
        <f>E417 + E371 + E348</f>
        <v>1189660</v>
      </c>
      <c r="F440" s="839">
        <f>F417 + F371 + F348</f>
        <v>1222660</v>
      </c>
      <c r="G440" s="839">
        <f>G417 + G371 + G348</f>
        <v>1150460</v>
      </c>
      <c r="H440" s="839">
        <f>H417 + H371 + H348</f>
        <v>1187260</v>
      </c>
      <c r="I440" s="839">
        <f>I417 + I371 + I348</f>
        <v>1076712</v>
      </c>
      <c r="J440" s="839">
        <f>J417 + J371 + J348</f>
        <v>1124012</v>
      </c>
      <c r="K440" s="839">
        <f>K417 + K371 + K348</f>
        <v>1605160</v>
      </c>
      <c r="L440" s="839">
        <f>L417 + L371 + L348</f>
        <v>1607060</v>
      </c>
      <c r="M440" s="839">
        <f>M417 + M371 + M348</f>
        <v>1217967</v>
      </c>
      <c r="N440" s="839">
        <f>N417 + N371 + N348</f>
        <v>1230767</v>
      </c>
      <c r="O440" s="839">
        <f>O417 + O371 + O348</f>
        <v>1060960</v>
      </c>
      <c r="P440" s="839">
        <f>P417 + P371 + P348</f>
        <v>1195120</v>
      </c>
      <c r="Q440" s="839">
        <f>Q417 + Q371 + Q348</f>
        <v>1507149</v>
      </c>
      <c r="R440" s="839">
        <f>R417 + R371 + R348</f>
        <v>1528549</v>
      </c>
      <c r="S440" s="839">
        <f>S417 + S371 + S348</f>
        <v>1523561</v>
      </c>
      <c r="T440" s="839">
        <f>T417 + T371 + T348</f>
        <v>1212901</v>
      </c>
      <c r="U440" s="839">
        <f>U417 + U371 + U348</f>
        <v>1268820</v>
      </c>
      <c r="V440" s="839">
        <f>V417 + V371 + V348</f>
        <v>1378131</v>
      </c>
      <c r="W440" s="839">
        <f>W417 + W371 + W348</f>
        <v>1342333</v>
      </c>
      <c r="X440" s="839">
        <f>X417 + X371 + X348</f>
        <v>1313933</v>
      </c>
      <c r="Y440" s="839">
        <f>Y417 + Y371 + Y348</f>
        <v>1239031</v>
      </c>
      <c r="Z440" s="839">
        <f>Z417 + Z371 + Z348</f>
        <v>1204055</v>
      </c>
      <c r="AA440" s="839">
        <f>AA417 + AA371 + AA348</f>
        <v>1456287</v>
      </c>
      <c r="AB440" s="839">
        <f>AB417 + AB371 + AB348</f>
        <v>304216</v>
      </c>
      <c r="AC440" s="841">
        <f>AC417 + AC371 + AC348</f>
        <v>110620</v>
      </c>
      <c r="AD440" s="841">
        <f>AD417 + AD371 + AD348</f>
        <v>74</v>
      </c>
      <c r="AE440" s="841">
        <f>AE417 + AE371 + AE348</f>
        <v>71</v>
      </c>
      <c r="AF440" s="841">
        <f>AF417 + AF371 + AF348</f>
        <v>71</v>
      </c>
      <c r="AG440" s="841">
        <f>AG417 + AG371 + AG348</f>
        <v>85</v>
      </c>
      <c r="AH440" s="841">
        <f>AH417 + AH371 + AH348</f>
        <v>215</v>
      </c>
      <c r="AI440" s="841">
        <f>AI417 + AI371 + AI348</f>
        <v>221</v>
      </c>
      <c r="AJ440" s="841">
        <f>AJ417 + AJ371 + AJ348</f>
        <v>206</v>
      </c>
      <c r="AK440" s="841">
        <f>AK417 + AK371 + AK348</f>
        <v>225</v>
      </c>
      <c r="AL440" s="841">
        <f>AL417 + AL371 + AL348</f>
        <v>225</v>
      </c>
      <c r="AM440" s="841">
        <f>AM417 + AM371 + AM348</f>
        <v>28181</v>
      </c>
      <c r="AN440" s="841">
        <f>AN417 + AN371 + AN348</f>
        <v>28238</v>
      </c>
      <c r="AO440" s="841">
        <f>AO417 + AO371 + AO348</f>
        <v>28236</v>
      </c>
      <c r="AP440" s="841">
        <f>AP417 + AP371 + AP348</f>
        <v>131</v>
      </c>
    </row>
    <row r="441" hidden="1">
      <c r="B441" s="842" t="s">
        <v>25</v>
      </c>
      <c r="C441" s="839">
        <f>C418 + C372 + C349</f>
        <v>0</v>
      </c>
      <c r="D441" s="839">
        <f>D418 + D372 + D349</f>
        <v>0</v>
      </c>
      <c r="E441" s="839">
        <f>E418 + E372 + E349</f>
        <v>0</v>
      </c>
      <c r="F441" s="839">
        <f>F418 + F372 + F349</f>
        <v>0</v>
      </c>
      <c r="G441" s="839">
        <f>G418 + G372 + G349</f>
        <v>0</v>
      </c>
      <c r="H441" s="839">
        <f>H418 + H372 + H349</f>
        <v>0</v>
      </c>
      <c r="I441" s="839">
        <f>I418 + I372 + I349</f>
        <v>0</v>
      </c>
      <c r="J441" s="839">
        <f>J418 + J372 + J349</f>
        <v>0</v>
      </c>
      <c r="K441" s="839">
        <f>K418 + K372 + K349</f>
        <v>0</v>
      </c>
      <c r="L441" s="839">
        <f>L418 + L372 + L349</f>
        <v>0</v>
      </c>
      <c r="M441" s="839">
        <f>M418 + M372 + M349</f>
        <v>0</v>
      </c>
      <c r="N441" s="839">
        <f>N418 + N372 + N349</f>
        <v>0</v>
      </c>
      <c r="O441" s="839">
        <f>O418 + O372 + O349</f>
        <v>0</v>
      </c>
      <c r="P441" s="839">
        <f>P418 + P372 + P349</f>
        <v>0</v>
      </c>
      <c r="Q441" s="839">
        <f>Q418 + Q372 + Q349</f>
        <v>0</v>
      </c>
      <c r="R441" s="839">
        <f>R418 + R372 + R349</f>
        <v>0</v>
      </c>
      <c r="S441" s="839">
        <f>S418 + S372 + S349</f>
        <v>0</v>
      </c>
      <c r="T441" s="839">
        <f>T418 + T372 + T349</f>
        <v>0</v>
      </c>
      <c r="U441" s="839">
        <f>U418 + U372 + U349</f>
        <v>0</v>
      </c>
      <c r="V441" s="839">
        <f>V418 + V372 + V349</f>
        <v>0</v>
      </c>
      <c r="W441" s="839">
        <f>W418 + W372 + W349</f>
        <v>0</v>
      </c>
      <c r="X441" s="839">
        <f>X418 + X372 + X349</f>
        <v>0</v>
      </c>
      <c r="Y441" s="839">
        <f>Y418 + Y372 + Y349</f>
        <v>0</v>
      </c>
      <c r="Z441" s="839">
        <f>Z418 + Z372 + Z349</f>
        <v>0</v>
      </c>
      <c r="AA441" s="839">
        <f>AA418 + AA372 + AA349</f>
        <v>0</v>
      </c>
      <c r="AB441" s="839">
        <f>AB418 + AB372 + AB349</f>
        <v>0</v>
      </c>
      <c r="AC441" s="841">
        <f>AC418 + AC372 + AC349</f>
        <v>0</v>
      </c>
      <c r="AD441" s="841">
        <f>AD418 + AD372 + AD349</f>
        <v>0</v>
      </c>
      <c r="AE441" s="841">
        <f>AE418 + AE372 + AE349</f>
        <v>0</v>
      </c>
      <c r="AF441" s="841">
        <f>AF418 + AF372 + AF349</f>
        <v>0</v>
      </c>
      <c r="AG441" s="841">
        <f>AG418 + AG372 + AG349</f>
        <v>0</v>
      </c>
      <c r="AH441" s="841">
        <f>AH418 + AH372 + AH349</f>
        <v>0</v>
      </c>
      <c r="AI441" s="841">
        <f>AI418 + AI372 + AI349</f>
        <v>0</v>
      </c>
      <c r="AJ441" s="841">
        <f>AJ418 + AJ372 + AJ349</f>
        <v>0</v>
      </c>
      <c r="AK441" s="841">
        <f>AK418 + AK372 + AK349</f>
        <v>0</v>
      </c>
      <c r="AL441" s="841">
        <f>AL418 + AL372 + AL349</f>
        <v>0</v>
      </c>
      <c r="AM441" s="841">
        <f>AM418 + AM372 + AM349</f>
        <v>0</v>
      </c>
      <c r="AN441" s="841">
        <f>AN418 + AN372 + AN349</f>
        <v>0</v>
      </c>
      <c r="AO441" s="841">
        <f>AO418 + AO372 + AO349</f>
        <v>0</v>
      </c>
      <c r="AP441" s="841">
        <f>AP418 + AP372 + AP349</f>
        <v>0</v>
      </c>
    </row>
    <row r="442" hidden="1" ht="13.5">
      <c r="B442" s="844" t="s">
        <v>26</v>
      </c>
      <c r="C442" s="839">
        <f>C419 + C373 + C350</f>
        <v>0</v>
      </c>
      <c r="D442" s="839">
        <f>D419 + D373 + D350</f>
        <v>0</v>
      </c>
      <c r="E442" s="839">
        <f>E419 + E373 + E350</f>
        <v>0</v>
      </c>
      <c r="F442" s="839">
        <f>F419 + F373 + F350</f>
        <v>0</v>
      </c>
      <c r="G442" s="839">
        <f>G419 + G373 + G350</f>
        <v>0</v>
      </c>
      <c r="H442" s="839">
        <f>H419 + H373 + H350</f>
        <v>0</v>
      </c>
      <c r="I442" s="839">
        <f>I419 + I373 + I350</f>
        <v>0</v>
      </c>
      <c r="J442" s="839">
        <f>J419 + J373 + J350</f>
        <v>0</v>
      </c>
      <c r="K442" s="839">
        <f>K419 + K373 + K350</f>
        <v>0</v>
      </c>
      <c r="L442" s="839">
        <f>L419 + L373 + L350</f>
        <v>0</v>
      </c>
      <c r="M442" s="839">
        <f>M419 + M373 + M350</f>
        <v>0</v>
      </c>
      <c r="N442" s="839">
        <f>N419 + N373 + N350</f>
        <v>0</v>
      </c>
      <c r="O442" s="839">
        <f>O419 + O373 + O350</f>
        <v>0</v>
      </c>
      <c r="P442" s="839">
        <f>P419 + P373 + P350</f>
        <v>0</v>
      </c>
      <c r="Q442" s="839">
        <f>Q419 + Q373 + Q350</f>
        <v>0</v>
      </c>
      <c r="R442" s="839">
        <f>R419 + R373 + R350</f>
        <v>0</v>
      </c>
      <c r="S442" s="839">
        <f>S419 + S373 + S350</f>
        <v>0</v>
      </c>
      <c r="T442" s="839">
        <f>T419 + T373 + T350</f>
        <v>0</v>
      </c>
      <c r="U442" s="839">
        <f>U419 + U373 + U350</f>
        <v>0</v>
      </c>
      <c r="V442" s="839">
        <f>V419 + V373 + V350</f>
        <v>0</v>
      </c>
      <c r="W442" s="839">
        <f>W419 + W373 + W350</f>
        <v>0</v>
      </c>
      <c r="X442" s="839">
        <f>X419 + X373 + X350</f>
        <v>0</v>
      </c>
      <c r="Y442" s="839">
        <f>Y419 + Y373 + Y350</f>
        <v>0</v>
      </c>
      <c r="Z442" s="839">
        <f>Z419 + Z373 + Z350</f>
        <v>0</v>
      </c>
      <c r="AA442" s="839">
        <f>AA419 + AA373 + AA350</f>
        <v>0</v>
      </c>
      <c r="AB442" s="845">
        <f>AB419 + AB373 + AB350</f>
        <v>0</v>
      </c>
      <c r="AC442" s="841">
        <f>AC419 + AC373 + AC350</f>
        <v>0</v>
      </c>
      <c r="AD442" s="841">
        <f>AD419 + AD373 + AD350</f>
        <v>0</v>
      </c>
      <c r="AE442" s="841">
        <f>AE419 + AE373 + AE350</f>
        <v>0</v>
      </c>
      <c r="AF442" s="841">
        <f>AF419 + AF373 + AF350</f>
        <v>0</v>
      </c>
      <c r="AG442" s="841">
        <f>AG419 + AG373 + AG350</f>
        <v>0</v>
      </c>
      <c r="AH442" s="841">
        <f>AH419 + AH373 + AH350</f>
        <v>0</v>
      </c>
      <c r="AI442" s="841">
        <f>AI419 + AI373 + AI350</f>
        <v>0</v>
      </c>
      <c r="AJ442" s="841">
        <f>AJ419 + AJ373 + AJ350</f>
        <v>0</v>
      </c>
      <c r="AK442" s="841">
        <f>AK419 + AK373 + AK350</f>
        <v>0</v>
      </c>
      <c r="AL442" s="841">
        <f>AL419 + AL373 + AL350</f>
        <v>0</v>
      </c>
      <c r="AM442" s="841">
        <f>AM419 + AM373 + AM350</f>
        <v>0</v>
      </c>
      <c r="AN442" s="841">
        <f>AN419 + AN373 + AN350</f>
        <v>0</v>
      </c>
      <c r="AO442" s="841">
        <f>AO419 + AO373 + AO350</f>
        <v>0</v>
      </c>
      <c r="AP442" s="841">
        <f>AP419 + AP373 + AP350</f>
        <v>0</v>
      </c>
    </row>
    <row r="443" hidden="1" ht="13.5">
      <c r="B443" s="128" t="s">
        <v>7</v>
      </c>
      <c r="C443" s="129" t="str">
        <f>IF(SUM(C424:C442)&lt;&gt;0,SUM(C424:C442),"")</f>
      </c>
      <c r="D443" s="129" t="str">
        <f ref="D443:AA443" t="shared" si="50">IF(SUM(D424:D442)&lt;&gt;0,SUM(D424:D442),"")</f>
      </c>
      <c r="E443" s="129" t="str">
        <f t="shared" si="50"/>
      </c>
      <c r="F443" s="129" t="str">
        <f t="shared" si="50"/>
      </c>
      <c r="G443" s="129" t="str">
        <f t="shared" si="50"/>
      </c>
      <c r="H443" s="129" t="str">
        <f t="shared" si="50"/>
      </c>
      <c r="I443" s="129" t="str">
        <f t="shared" si="50"/>
      </c>
      <c r="J443" s="129" t="str">
        <f t="shared" si="50"/>
      </c>
      <c r="K443" s="129" t="str">
        <f t="shared" si="50"/>
      </c>
      <c r="L443" s="129" t="str">
        <f t="shared" si="50"/>
      </c>
      <c r="M443" s="129" t="str">
        <f t="shared" si="50"/>
      </c>
      <c r="N443" s="129" t="str">
        <f t="shared" si="50"/>
      </c>
      <c r="O443" s="129" t="str">
        <f t="shared" si="50"/>
      </c>
      <c r="P443" s="129" t="str">
        <f t="shared" si="50"/>
      </c>
      <c r="Q443" s="129" t="str">
        <f t="shared" si="50"/>
      </c>
      <c r="R443" s="129" t="str">
        <f t="shared" si="50"/>
      </c>
      <c r="S443" s="129" t="str">
        <f t="shared" si="50"/>
      </c>
      <c r="T443" s="129" t="str">
        <f t="shared" si="50"/>
      </c>
      <c r="U443" s="129" t="str">
        <f t="shared" si="50"/>
      </c>
      <c r="V443" s="129" t="str">
        <f t="shared" si="50"/>
      </c>
      <c r="W443" s="129" t="str">
        <f t="shared" si="50"/>
      </c>
      <c r="X443" s="129" t="str">
        <f t="shared" si="50"/>
      </c>
      <c r="Y443" s="129" t="str">
        <f t="shared" si="50"/>
      </c>
      <c r="Z443" s="129" t="str">
        <f t="shared" si="50"/>
      </c>
      <c r="AA443" s="129" t="str">
        <f t="shared" si="50"/>
      </c>
      <c r="AB443" s="130" t="str">
        <f>IF(SUM(AB424:AB442)&lt;&gt;0,SUM(AB424:AB442),"")</f>
      </c>
      <c r="AC443" s="91" t="str">
        <f ref="AC443:CN443" t="shared" si="51">IF(SUM(AC424:AC442)&lt;&gt;0,SUM(AC424:AC442),"")</f>
      </c>
      <c r="AD443" s="91" t="str">
        <f t="shared" si="51"/>
      </c>
      <c r="AE443" s="91" t="str">
        <f t="shared" si="51"/>
      </c>
      <c r="AF443" s="91" t="str">
        <f t="shared" si="51"/>
      </c>
      <c r="AG443" s="91" t="str">
        <f t="shared" si="51"/>
      </c>
      <c r="AH443" s="91" t="str">
        <f t="shared" si="51"/>
      </c>
      <c r="AI443" s="91" t="str">
        <f t="shared" si="51"/>
      </c>
      <c r="AJ443" s="91" t="str">
        <f t="shared" si="51"/>
      </c>
      <c r="AK443" s="91" t="str">
        <f t="shared" si="51"/>
      </c>
      <c r="AL443" s="91" t="str">
        <f t="shared" si="51"/>
      </c>
      <c r="AM443" s="91" t="str">
        <f t="shared" si="51"/>
      </c>
      <c r="AN443" s="91" t="str">
        <f t="shared" si="51"/>
      </c>
      <c r="AO443" s="91" t="str">
        <f t="shared" si="51"/>
      </c>
      <c r="AP443" s="91" t="str">
        <f t="shared" si="51"/>
      </c>
      <c r="AQ443" s="91" t="str">
        <f t="shared" si="51"/>
      </c>
      <c r="AR443" s="91" t="str">
        <f t="shared" si="51"/>
      </c>
      <c r="AS443" s="91" t="str">
        <f t="shared" si="51"/>
      </c>
      <c r="AT443" s="91" t="str">
        <f t="shared" si="51"/>
      </c>
      <c r="AU443" s="91" t="str">
        <f t="shared" si="51"/>
      </c>
      <c r="AV443" s="91" t="str">
        <f t="shared" si="51"/>
      </c>
      <c r="AW443" s="91" t="str">
        <f t="shared" si="51"/>
      </c>
      <c r="AX443" s="91" t="str">
        <f t="shared" si="51"/>
      </c>
      <c r="AY443" s="91" t="str">
        <f t="shared" si="51"/>
      </c>
      <c r="AZ443" s="91" t="str">
        <f t="shared" si="51"/>
      </c>
      <c r="BA443" s="91" t="str">
        <f t="shared" si="51"/>
      </c>
      <c r="BB443" s="91" t="str">
        <f t="shared" si="51"/>
      </c>
      <c r="BC443" s="91" t="str">
        <f t="shared" si="51"/>
      </c>
      <c r="BD443" s="91" t="str">
        <f t="shared" si="51"/>
      </c>
      <c r="BE443" s="91" t="str">
        <f t="shared" si="51"/>
      </c>
      <c r="BF443" s="91" t="str">
        <f t="shared" si="51"/>
      </c>
      <c r="BG443" s="91" t="str">
        <f t="shared" si="51"/>
      </c>
      <c r="BH443" s="91" t="str">
        <f t="shared" si="51"/>
      </c>
      <c r="BI443" s="91" t="str">
        <f t="shared" si="51"/>
      </c>
      <c r="BJ443" s="91" t="str">
        <f t="shared" si="51"/>
      </c>
      <c r="BK443" s="91" t="str">
        <f t="shared" si="51"/>
      </c>
      <c r="BL443" s="91" t="str">
        <f t="shared" si="51"/>
      </c>
      <c r="BM443" s="91" t="str">
        <f t="shared" si="51"/>
      </c>
      <c r="BN443" s="91" t="str">
        <f t="shared" si="51"/>
      </c>
      <c r="BO443" s="91" t="str">
        <f t="shared" si="51"/>
      </c>
      <c r="BP443" s="91" t="str">
        <f t="shared" si="51"/>
      </c>
      <c r="BQ443" s="91" t="str">
        <f t="shared" si="51"/>
      </c>
      <c r="BR443" s="91" t="str">
        <f t="shared" si="51"/>
      </c>
      <c r="BS443" s="91" t="str">
        <f t="shared" si="51"/>
      </c>
      <c r="BT443" s="91" t="str">
        <f t="shared" si="51"/>
      </c>
      <c r="BU443" s="91" t="str">
        <f t="shared" si="51"/>
      </c>
      <c r="BV443" s="91" t="str">
        <f t="shared" si="51"/>
      </c>
      <c r="BW443" s="91" t="str">
        <f t="shared" si="51"/>
      </c>
      <c r="BX443" s="91" t="str">
        <f t="shared" si="51"/>
      </c>
      <c r="BY443" s="91" t="str">
        <f t="shared" si="51"/>
      </c>
      <c r="BZ443" s="91" t="str">
        <f t="shared" si="51"/>
      </c>
      <c r="CA443" s="91" t="str">
        <f t="shared" si="51"/>
      </c>
      <c r="CB443" s="91" t="str">
        <f t="shared" si="51"/>
      </c>
      <c r="CC443" s="91" t="str">
        <f t="shared" si="51"/>
      </c>
      <c r="CD443" s="91" t="str">
        <f t="shared" si="51"/>
      </c>
      <c r="CE443" s="91" t="str">
        <f t="shared" si="51"/>
      </c>
      <c r="CF443" s="91" t="str">
        <f t="shared" si="51"/>
      </c>
      <c r="CG443" s="91" t="str">
        <f t="shared" si="51"/>
      </c>
      <c r="CH443" s="91" t="str">
        <f t="shared" si="51"/>
      </c>
      <c r="CI443" s="91" t="str">
        <f t="shared" si="51"/>
      </c>
      <c r="CJ443" s="91" t="str">
        <f t="shared" si="51"/>
      </c>
      <c r="CK443" s="91" t="str">
        <f t="shared" si="51"/>
      </c>
      <c r="CL443" s="91" t="str">
        <f t="shared" si="51"/>
      </c>
      <c r="CM443" s="91" t="str">
        <f t="shared" si="51"/>
      </c>
      <c r="CN443" s="91" t="str">
        <f t="shared" si="51"/>
      </c>
      <c r="CO443" s="91" t="str">
        <f ref="CO443:EZ443" t="shared" si="52">IF(SUM(CO424:CO442)&lt;&gt;0,SUM(CO424:CO442),"")</f>
      </c>
      <c r="CP443" s="91" t="str">
        <f t="shared" si="52"/>
      </c>
      <c r="CQ443" s="91" t="str">
        <f t="shared" si="52"/>
      </c>
      <c r="CR443" s="91" t="str">
        <f t="shared" si="52"/>
      </c>
      <c r="CS443" s="91" t="str">
        <f t="shared" si="52"/>
      </c>
      <c r="CT443" s="91" t="str">
        <f t="shared" si="52"/>
      </c>
      <c r="CU443" s="91" t="str">
        <f t="shared" si="52"/>
      </c>
      <c r="CV443" s="91" t="str">
        <f t="shared" si="52"/>
      </c>
      <c r="CW443" s="91" t="str">
        <f t="shared" si="52"/>
      </c>
      <c r="CX443" s="91" t="str">
        <f t="shared" si="52"/>
      </c>
      <c r="CY443" s="91" t="str">
        <f t="shared" si="52"/>
      </c>
      <c r="CZ443" s="91" t="str">
        <f t="shared" si="52"/>
      </c>
      <c r="DA443" s="91" t="str">
        <f t="shared" si="52"/>
      </c>
      <c r="DB443" s="91" t="str">
        <f t="shared" si="52"/>
      </c>
      <c r="DC443" s="91" t="str">
        <f t="shared" si="52"/>
      </c>
      <c r="DD443" s="91" t="str">
        <f t="shared" si="52"/>
      </c>
      <c r="DE443" s="91" t="str">
        <f t="shared" si="52"/>
      </c>
      <c r="DF443" s="91" t="str">
        <f t="shared" si="52"/>
      </c>
      <c r="DG443" s="91" t="str">
        <f t="shared" si="52"/>
      </c>
      <c r="DH443" s="91" t="str">
        <f t="shared" si="52"/>
      </c>
      <c r="DI443" s="91" t="str">
        <f t="shared" si="52"/>
      </c>
      <c r="DJ443" s="91" t="str">
        <f t="shared" si="52"/>
      </c>
      <c r="DK443" s="91" t="str">
        <f t="shared" si="52"/>
      </c>
      <c r="DL443" s="91" t="str">
        <f t="shared" si="52"/>
      </c>
      <c r="DM443" s="91" t="str">
        <f t="shared" si="52"/>
      </c>
      <c r="DN443" s="91" t="str">
        <f t="shared" si="52"/>
      </c>
      <c r="DO443" s="91" t="str">
        <f t="shared" si="52"/>
      </c>
      <c r="DP443" s="91" t="str">
        <f t="shared" si="52"/>
      </c>
      <c r="DQ443" s="91" t="str">
        <f t="shared" si="52"/>
      </c>
      <c r="DR443" s="91" t="str">
        <f t="shared" si="52"/>
      </c>
      <c r="DS443" s="91" t="str">
        <f t="shared" si="52"/>
      </c>
      <c r="DT443" s="91" t="str">
        <f t="shared" si="52"/>
      </c>
      <c r="DU443" s="91" t="str">
        <f t="shared" si="52"/>
      </c>
      <c r="DV443" s="91" t="str">
        <f t="shared" si="52"/>
      </c>
      <c r="DW443" s="91" t="str">
        <f t="shared" si="52"/>
      </c>
      <c r="DX443" s="91" t="str">
        <f t="shared" si="52"/>
      </c>
      <c r="DY443" s="91" t="str">
        <f t="shared" si="52"/>
      </c>
      <c r="DZ443" s="91" t="str">
        <f t="shared" si="52"/>
      </c>
      <c r="EA443" s="91" t="str">
        <f t="shared" si="52"/>
      </c>
      <c r="EB443" s="91" t="str">
        <f t="shared" si="52"/>
      </c>
      <c r="EC443" s="91" t="str">
        <f t="shared" si="52"/>
      </c>
      <c r="ED443" s="91" t="str">
        <f t="shared" si="52"/>
      </c>
      <c r="EE443" s="91" t="str">
        <f t="shared" si="52"/>
      </c>
      <c r="EF443" s="91" t="str">
        <f t="shared" si="52"/>
      </c>
      <c r="EG443" s="91" t="str">
        <f t="shared" si="52"/>
      </c>
      <c r="EH443" s="91" t="str">
        <f t="shared" si="52"/>
      </c>
      <c r="EI443" s="91" t="str">
        <f t="shared" si="52"/>
      </c>
      <c r="EJ443" s="91" t="str">
        <f t="shared" si="52"/>
      </c>
      <c r="EK443" s="91" t="str">
        <f t="shared" si="52"/>
      </c>
      <c r="EL443" s="91" t="str">
        <f t="shared" si="52"/>
      </c>
      <c r="EM443" s="91" t="str">
        <f t="shared" si="52"/>
      </c>
      <c r="EN443" s="91" t="str">
        <f t="shared" si="52"/>
      </c>
      <c r="EO443" s="91" t="str">
        <f t="shared" si="52"/>
      </c>
      <c r="EP443" s="91" t="str">
        <f t="shared" si="52"/>
      </c>
      <c r="EQ443" s="91" t="str">
        <f t="shared" si="52"/>
      </c>
      <c r="ER443" s="91" t="str">
        <f t="shared" si="52"/>
      </c>
      <c r="ES443" s="91" t="str">
        <f t="shared" si="52"/>
      </c>
      <c r="ET443" s="91" t="str">
        <f t="shared" si="52"/>
      </c>
      <c r="EU443" s="91" t="str">
        <f t="shared" si="52"/>
      </c>
      <c r="EV443" s="91" t="str">
        <f t="shared" si="52"/>
      </c>
      <c r="EW443" s="91" t="str">
        <f t="shared" si="52"/>
      </c>
      <c r="EX443" s="91" t="str">
        <f t="shared" si="52"/>
      </c>
      <c r="EY443" s="91" t="str">
        <f t="shared" si="52"/>
      </c>
      <c r="EZ443" s="91" t="str">
        <f t="shared" si="52"/>
      </c>
      <c r="FA443" s="91" t="str">
        <f ref="FA443:HL443" t="shared" si="53">IF(SUM(FA424:FA442)&lt;&gt;0,SUM(FA424:FA442),"")</f>
      </c>
      <c r="FB443" s="91" t="str">
        <f t="shared" si="53"/>
      </c>
      <c r="FC443" s="91" t="str">
        <f t="shared" si="53"/>
      </c>
      <c r="FD443" s="91" t="str">
        <f t="shared" si="53"/>
      </c>
      <c r="FE443" s="91" t="str">
        <f t="shared" si="53"/>
      </c>
      <c r="FF443" s="91" t="str">
        <f t="shared" si="53"/>
      </c>
      <c r="FG443" s="91" t="str">
        <f t="shared" si="53"/>
      </c>
      <c r="FH443" s="91" t="str">
        <f t="shared" si="53"/>
      </c>
      <c r="FI443" s="91" t="str">
        <f t="shared" si="53"/>
      </c>
      <c r="FJ443" s="91" t="str">
        <f t="shared" si="53"/>
      </c>
      <c r="FK443" s="91" t="str">
        <f t="shared" si="53"/>
      </c>
      <c r="FL443" s="91" t="str">
        <f t="shared" si="53"/>
      </c>
      <c r="FM443" s="91" t="str">
        <f t="shared" si="53"/>
      </c>
      <c r="FN443" s="91" t="str">
        <f t="shared" si="53"/>
      </c>
      <c r="FO443" s="91" t="str">
        <f t="shared" si="53"/>
      </c>
      <c r="FP443" s="91" t="str">
        <f t="shared" si="53"/>
      </c>
      <c r="FQ443" s="91" t="str">
        <f t="shared" si="53"/>
      </c>
      <c r="FR443" s="91" t="str">
        <f t="shared" si="53"/>
      </c>
      <c r="FS443" s="91" t="str">
        <f t="shared" si="53"/>
      </c>
      <c r="FT443" s="91" t="str">
        <f t="shared" si="53"/>
      </c>
      <c r="FU443" s="91" t="str">
        <f t="shared" si="53"/>
      </c>
      <c r="FV443" s="91" t="str">
        <f t="shared" si="53"/>
      </c>
      <c r="FW443" s="91" t="str">
        <f t="shared" si="53"/>
      </c>
      <c r="FX443" s="91" t="str">
        <f t="shared" si="53"/>
      </c>
      <c r="FY443" s="91" t="str">
        <f t="shared" si="53"/>
      </c>
      <c r="FZ443" s="91" t="str">
        <f t="shared" si="53"/>
      </c>
      <c r="GA443" s="91" t="str">
        <f t="shared" si="53"/>
      </c>
      <c r="GB443" s="91" t="str">
        <f t="shared" si="53"/>
      </c>
      <c r="GC443" s="91" t="str">
        <f t="shared" si="53"/>
      </c>
      <c r="GD443" s="91" t="str">
        <f t="shared" si="53"/>
      </c>
      <c r="GE443" s="91" t="str">
        <f t="shared" si="53"/>
      </c>
      <c r="GF443" s="91" t="str">
        <f t="shared" si="53"/>
      </c>
      <c r="GG443" s="91" t="str">
        <f t="shared" si="53"/>
      </c>
      <c r="GH443" s="91" t="str">
        <f t="shared" si="53"/>
      </c>
      <c r="GI443" s="91" t="str">
        <f t="shared" si="53"/>
      </c>
      <c r="GJ443" s="91" t="str">
        <f t="shared" si="53"/>
      </c>
      <c r="GK443" s="91" t="str">
        <f t="shared" si="53"/>
      </c>
      <c r="GL443" s="91" t="str">
        <f t="shared" si="53"/>
      </c>
      <c r="GM443" s="91" t="str">
        <f t="shared" si="53"/>
      </c>
      <c r="GN443" s="91" t="str">
        <f t="shared" si="53"/>
      </c>
      <c r="GO443" s="91" t="str">
        <f t="shared" si="53"/>
      </c>
      <c r="GP443" s="91" t="str">
        <f t="shared" si="53"/>
      </c>
      <c r="GQ443" s="91" t="str">
        <f t="shared" si="53"/>
      </c>
      <c r="GR443" s="91" t="str">
        <f t="shared" si="53"/>
      </c>
      <c r="GS443" s="91" t="str">
        <f t="shared" si="53"/>
      </c>
      <c r="GT443" s="91" t="str">
        <f t="shared" si="53"/>
      </c>
      <c r="GU443" s="91" t="str">
        <f t="shared" si="53"/>
      </c>
      <c r="GV443" s="91" t="str">
        <f t="shared" si="53"/>
      </c>
      <c r="GW443" s="91" t="str">
        <f t="shared" si="53"/>
      </c>
      <c r="GX443" s="91" t="str">
        <f t="shared" si="53"/>
      </c>
      <c r="GY443" s="91" t="str">
        <f t="shared" si="53"/>
      </c>
      <c r="GZ443" s="91" t="str">
        <f t="shared" si="53"/>
      </c>
      <c r="HA443" s="91" t="str">
        <f t="shared" si="53"/>
      </c>
      <c r="HB443" s="91" t="str">
        <f t="shared" si="53"/>
      </c>
      <c r="HC443" s="91" t="str">
        <f t="shared" si="53"/>
      </c>
      <c r="HD443" s="91" t="str">
        <f t="shared" si="53"/>
      </c>
      <c r="HE443" s="91" t="str">
        <f t="shared" si="53"/>
      </c>
      <c r="HF443" s="91" t="str">
        <f t="shared" si="53"/>
      </c>
      <c r="HG443" s="91" t="str">
        <f t="shared" si="53"/>
      </c>
      <c r="HH443" s="91" t="str">
        <f t="shared" si="53"/>
      </c>
      <c r="HI443" s="91" t="str">
        <f t="shared" si="53"/>
      </c>
      <c r="HJ443" s="91" t="str">
        <f t="shared" si="53"/>
      </c>
      <c r="HK443" s="91" t="str">
        <f t="shared" si="53"/>
      </c>
      <c r="HL443" s="91" t="str">
        <f t="shared" si="53"/>
      </c>
      <c r="HM443" s="91" t="str">
        <f ref="HM443:IV443" t="shared" si="54">IF(SUM(HM424:HM442)&lt;&gt;0,SUM(HM424:HM442),"")</f>
      </c>
      <c r="HN443" s="91" t="str">
        <f t="shared" si="54"/>
      </c>
      <c r="HO443" s="91" t="str">
        <f t="shared" si="54"/>
      </c>
      <c r="HP443" s="91" t="str">
        <f t="shared" si="54"/>
      </c>
      <c r="HQ443" s="91" t="str">
        <f t="shared" si="54"/>
      </c>
      <c r="HR443" s="91" t="str">
        <f t="shared" si="54"/>
      </c>
      <c r="HS443" s="91" t="str">
        <f t="shared" si="54"/>
      </c>
      <c r="HT443" s="91" t="str">
        <f t="shared" si="54"/>
      </c>
      <c r="HU443" s="91" t="str">
        <f t="shared" si="54"/>
      </c>
      <c r="HV443" s="91" t="str">
        <f t="shared" si="54"/>
      </c>
      <c r="HW443" s="91" t="str">
        <f t="shared" si="54"/>
      </c>
      <c r="HX443" s="91" t="str">
        <f t="shared" si="54"/>
      </c>
      <c r="HY443" s="91" t="str">
        <f t="shared" si="54"/>
      </c>
      <c r="HZ443" s="91" t="str">
        <f t="shared" si="54"/>
      </c>
      <c r="IA443" s="91" t="str">
        <f t="shared" si="54"/>
      </c>
      <c r="IB443" s="91" t="str">
        <f t="shared" si="54"/>
      </c>
      <c r="IC443" s="91" t="str">
        <f t="shared" si="54"/>
      </c>
      <c r="ID443" s="91" t="str">
        <f t="shared" si="54"/>
      </c>
      <c r="IE443" s="91" t="str">
        <f t="shared" si="54"/>
      </c>
      <c r="IF443" s="91" t="str">
        <f t="shared" si="54"/>
      </c>
      <c r="IG443" s="91" t="str">
        <f t="shared" si="54"/>
      </c>
      <c r="IH443" s="91" t="str">
        <f t="shared" si="54"/>
      </c>
      <c r="II443" s="91" t="str">
        <f t="shared" si="54"/>
      </c>
      <c r="IJ443" s="91" t="str">
        <f t="shared" si="54"/>
      </c>
      <c r="IK443" s="91" t="str">
        <f t="shared" si="54"/>
      </c>
      <c r="IL443" s="91" t="str">
        <f t="shared" si="54"/>
      </c>
      <c r="IM443" s="91" t="str">
        <f t="shared" si="54"/>
      </c>
      <c r="IN443" s="91" t="str">
        <f t="shared" si="54"/>
      </c>
      <c r="IO443" s="91" t="str">
        <f t="shared" si="54"/>
      </c>
      <c r="IP443" s="91" t="str">
        <f t="shared" si="54"/>
      </c>
      <c r="IQ443" s="91" t="str">
        <f t="shared" si="54"/>
      </c>
      <c r="IR443" s="91" t="str">
        <f t="shared" si="54"/>
      </c>
      <c r="IS443" s="91" t="str">
        <f t="shared" si="54"/>
      </c>
      <c r="IT443" s="91" t="str">
        <f t="shared" si="54"/>
      </c>
      <c r="IU443" s="91" t="str">
        <f t="shared" si="54"/>
      </c>
      <c r="IV443" s="91" t="str">
        <f t="shared" si="54"/>
      </c>
    </row>
    <row r="444" hidden="1"/>
    <row r="445" hidden="1"/>
    <row r="446" hidden="1"/>
    <row r="447" hidden="1"/>
    <row r="448" hidden="1"/>
  </sheetData>
  <sheetProtection sheet="1" autoFilter="0" objects="1" scenarios="1" sort="0" password="ed66"/>
  <mergeCells>
    <mergeCell ref="B9:E9"/>
    <mergeCell ref="C13:M13"/>
    <mergeCell ref="C14:M14"/>
    <mergeCell ref="C17:M17"/>
    <mergeCell ref="C19:M19"/>
    <mergeCell ref="C283:AB283"/>
    <mergeCell ref="C21:M21"/>
    <mergeCell ref="C260:AB260"/>
    <mergeCell ref="C168:AB168"/>
    <mergeCell ref="C191:AB191"/>
    <mergeCell ref="C23:M23"/>
    <mergeCell ref="C214:AB214"/>
    <mergeCell ref="C237:AB237"/>
    <mergeCell ref="C25:M25"/>
    <mergeCell ref="C30:M31"/>
    <mergeCell ref="C27:M28"/>
    <mergeCell ref="C330:AB330"/>
    <mergeCell ref="C353:AB353"/>
    <mergeCell ref="C376:AB376"/>
    <mergeCell ref="C399:AB399"/>
    <mergeCell ref="C422:AB422"/>
  </mergeCells>
  <phoneticPr fontId="2" type="noConversion"/>
  <printOptions horizontalCentered="1"/>
  <pageMargins left="0.78740157480314965" right="0.78740157480314965" top="0.98425196850393704" bottom="0.98425196850393704" header="0" footer="0"/>
  <pageSetup paperSize="9" scale="43" orientation="portrait"/>
  <headerFooter alignWithMargins="0"/>
  <rowBreaks count="1" manualBreakCount="1">
    <brk id="95" max="1048575" man="1"/>
  </rowBreaks>
  <drawing r:id="rId2"/>
  <legacyDrawing r:id="rId3"/>
  <mc:AlternateContent xmlns:mc="http://schemas.openxmlformats.org/markup-compatibility/2006">
    <mc:Choice Requires="x14">
      <controls>
        <mc:AlternateContent xmlns:mc="http://schemas.openxmlformats.org/markup-compatibility/2006">
          <mc:Choice Requires="x14">
            <control shapeId="83969" r:id="rId4" name="Drop Down 1">
              <controlPr defaultSize="0" autoLine="0" autoPict="0">
                <anchor moveWithCells="1">
                  <from>
                    <xdr:col>4</xdr:col>
                    <xdr:colOff>647700</xdr:colOff>
                    <xdr:row>6</xdr:row>
                    <xdr:rowOff>152400</xdr:rowOff>
                  </from>
                  <to>
                    <xdr:col>6</xdr:col>
                    <xdr:colOff>666750</xdr:colOff>
                    <xdr:row>8</xdr:row>
                    <xdr:rowOff>152400</xdr:rowOff>
                  </to>
                </anchor>
              </controlPr>
            </control>
          </mc:Choice>
        </mc:AlternateContent>
        <mc:AlternateContent xmlns:mc="http://schemas.openxmlformats.org/markup-compatibility/2006">
          <mc:Choice Requires="x14">
            <control shapeId="83974" r:id="rId5" name="Drop Down 6">
              <controlPr locked="0" defaultSize="0" autoLine="0" autoPict="0">
                <anchor moveWithCells="1">
                  <from>
                    <xdr:col>4</xdr:col>
                    <xdr:colOff>209550</xdr:colOff>
                    <xdr:row>96</xdr:row>
                    <xdr:rowOff>28575</xdr:rowOff>
                  </from>
                  <to>
                    <xdr:col>6</xdr:col>
                    <xdr:colOff>209550</xdr:colOff>
                    <xdr:row>98</xdr:row>
                    <xdr:rowOff>76200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ontainsText" priority="44" operator="containsText" id="{401980A0-538E-4F1C-BB77-71C2FA2F9E48}">
            <xm:f>NOT(ISERROR(SEARCH("",AC443)))</xm:f>
            <xm:f>""</xm:f>
            <x14:dxf>
              <numFmt numFmtId="3" formatCode="#,##0"/>
              <border>
                <left style="thin">
                  <color auto="1"/>
                </left>
                <right style="thin">
                  <color auto="1"/>
                </right>
                <top style="thin">
                  <color auto="1"/>
                </top>
                <bottom style="thin">
                  <color auto="1"/>
                </bottom>
                <vertical/>
                <horizontal/>
              </border>
            </x14:dxf>
          </x14:cfRule>
          <xm:sqref>AC443:IV443</xm:sqref>
        </x14:conditionalFormatting>
        <x14:conditionalFormatting xmlns:xm="http://schemas.microsoft.com/office/excel/2006/main">
          <x14:cfRule type="containsText" priority="43" operator="containsText" id="{C21E35D6-5036-4351-8897-DBEC6F21AE3A}">
            <xm:f>NOT(ISERROR(SEARCH("",C424)))</xm:f>
            <xm:f>""</xm:f>
            <x14:dxf>
              <numFmt numFmtId="3" formatCode="#,##0"/>
              <border>
                <right style="thin">
                  <color auto="1"/>
                </right>
                <top style="thin">
                  <color auto="1"/>
                </top>
                <bottom style="thin">
                  <color auto="1"/>
                </bottom>
                <vertical/>
                <horizontal/>
              </border>
            </x14:dxf>
          </x14:cfRule>
          <xm:sqref>C424:IV442</xm:sqref>
        </x14:conditionalFormatting>
        <x14:conditionalFormatting xmlns:xm="http://schemas.microsoft.com/office/excel/2006/main">
          <x14:cfRule type="containsText" priority="38" operator="containsText" id="{3F2DB1DF-9C86-43F3-A2FA-679CC184CF84}">
            <xm:f>NOT(ISERROR(SEARCH("",AD400)))</xm:f>
            <xm:f>""</xm:f>
            <x14:dxf>
              <numFmt numFmtId="3" formatCode="#,##0"/>
              <border>
                <left style="thin">
                  <color auto="1"/>
                </left>
                <right style="thin">
                  <color auto="1"/>
                </right>
                <top style="thin">
                  <color auto="1"/>
                </top>
                <bottom style="thin">
                  <color auto="1"/>
                </bottom>
                <vertical/>
                <horizontal/>
              </border>
            </x14:dxf>
          </x14:cfRule>
          <xm:sqref>AD400:AG400 AI400:AL400 AN400:AQ400 AS400:AV400 AX400:BA400 BC400:BF400 BH400:BK400 BM400:BP400 BR400:BU400 BW400:BZ400 CB400:CE400 CG400:CJ400 CL400:CO400 CQ400:CT400 CV400:CY400 DA400:DD400 DF400:DI400 DK400:DN400 DP400:DS400 DU400:DX400 DZ400:EC400 EE400:EH400 EJ400:EM400 EO400:ER400 ET400:EW400 EY400:FB400 FD400:FG400 FI400:FL400 FN400:FQ400 FS400:FV400 FX400:GA400 GC400:GF400 GH400:GK400 GM400:GP400 GR400:GU400 GW400:GZ400 HB400:HE400 HG400:HJ400 HL400:HO400 HQ400:HT400 HV400:HY400 IA400:ID400 IF400:II400 IK400:IN400 IP400:IS400 IU400:IV400</xm:sqref>
        </x14:conditionalFormatting>
        <x14:conditionalFormatting xmlns:xm="http://schemas.microsoft.com/office/excel/2006/main">
          <x14:cfRule type="containsText" priority="32" operator="containsText" id="{66F5D6A1-FCBD-48DC-A478-C1FDD7D64485}">
            <xm:f>NOT(ISERROR(SEARCH("",AC374)))</xm:f>
            <xm:f>""</xm:f>
            <x14:dxf>
              <numFmt numFmtId="3" formatCode="#,##0"/>
              <border>
                <left style="thin">
                  <color auto="1"/>
                </left>
                <right style="thin">
                  <color auto="1"/>
                </right>
                <top style="thin">
                  <color auto="1"/>
                </top>
                <bottom style="thin">
                  <color auto="1"/>
                </bottom>
                <vertical/>
                <horizontal/>
              </border>
            </x14:dxf>
          </x14:cfRule>
          <xm:sqref>AC374:IV374</xm:sqref>
        </x14:conditionalFormatting>
        <x14:conditionalFormatting xmlns:xm="http://schemas.microsoft.com/office/excel/2006/main">
          <x14:cfRule type="containsText" priority="31" operator="containsText" id="{D8C171FE-A9D7-45C0-84F1-87A01B78FB15}">
            <xm:f>NOT(ISERROR(SEARCH("",C355)))</xm:f>
            <xm:f>""</xm:f>
            <x14:dxf>
              <numFmt numFmtId="3" formatCode="#,##0"/>
              <border>
                <right style="thin">
                  <color auto="1"/>
                </right>
                <top style="thin">
                  <color auto="1"/>
                </top>
                <bottom style="thin">
                  <color auto="1"/>
                </bottom>
                <vertical/>
                <horizontal/>
              </border>
            </x14:dxf>
          </x14:cfRule>
          <xm:sqref>C355:IV373</xm:sqref>
        </x14:conditionalFormatting>
        <x14:conditionalFormatting xmlns:xm="http://schemas.microsoft.com/office/excel/2006/main">
          <x14:cfRule type="containsText" priority="26" operator="containsText" id="{1668A910-3337-4EFC-A9E5-F0E8B8385FB1}">
            <xm:f>NOT(ISERROR(SEARCH("",AD331)))</xm:f>
            <xm:f>""</xm:f>
            <x14:dxf>
              <numFmt numFmtId="3" formatCode="#,##0"/>
              <border>
                <left style="thin">
                  <color auto="1"/>
                </left>
                <right style="thin">
                  <color auto="1"/>
                </right>
                <top style="thin">
                  <color auto="1"/>
                </top>
                <bottom style="thin">
                  <color auto="1"/>
                </bottom>
                <vertical/>
                <horizontal/>
              </border>
            </x14:dxf>
          </x14:cfRule>
          <xm:sqref>AD331:AG331 AI331:AL331 AN331:AQ331 AS331:AV331 AX331:BA331 BC331:BF331 BH331:BK331 BM331:BP331 BR331:BU331 BW331:BZ331 CB331:CE331 CG331:CJ331 CL331:CO331 CQ331:CT331 CV331:CY331 DA331:DD331 DF331:DI331 DK331:DN331 DP331:DS331 DU331:DX331 DZ331:EC331 EE331:EH331 EJ331:EM331 EO331:ER331 ET331:EW331 EY331:FB331 FD331:FG331 FI331:FL331 FN331:FQ331 FS331:FV331 FX331:GA331 GC331:GF331 GH331:GK331 GM331:GP331 GR331:GU331 GW331:GZ331 HB331:HE331 HG331:HJ331 HL331:HO331 HQ331:HT331 HV331:HY331 IA331:ID331 IF331:II331 IK331:IN331 IP331:IS331 IU331:IV331</xm:sqref>
        </x14:conditionalFormatting>
        <x14:conditionalFormatting xmlns:xm="http://schemas.microsoft.com/office/excel/2006/main">
          <x14:cfRule type="containsText" priority="20" operator="containsText" id="{53DE2A4C-A7A8-49A4-A6EC-9972DEFE5E7D}">
            <xm:f>NOT(ISERROR(SEARCH("",AC281)))</xm:f>
            <xm:f>""</xm:f>
            <x14:dxf>
              <numFmt numFmtId="3" formatCode="#,##0"/>
              <border>
                <left style="thin">
                  <color auto="1"/>
                </left>
                <right style="thin">
                  <color auto="1"/>
                </right>
                <top style="thin">
                  <color auto="1"/>
                </top>
                <bottom style="thin">
                  <color auto="1"/>
                </bottom>
                <vertical/>
                <horizontal/>
              </border>
            </x14:dxf>
          </x14:cfRule>
          <xm:sqref>AC281:IV281</xm:sqref>
        </x14:conditionalFormatting>
        <x14:conditionalFormatting xmlns:xm="http://schemas.microsoft.com/office/excel/2006/main">
          <x14:cfRule type="containsText" priority="19" operator="containsText" id="{F38539E3-D37A-4D44-AB72-D43E449A2B83}">
            <xm:f>NOT(ISERROR(SEARCH("",C262)))</xm:f>
            <xm:f>""</xm:f>
            <x14:dxf>
              <numFmt numFmtId="3" formatCode="#,##0"/>
              <border>
                <right style="thin">
                  <color auto="1"/>
                </right>
                <top style="thin">
                  <color auto="1"/>
                </top>
                <bottom style="thin">
                  <color auto="1"/>
                </bottom>
                <vertical/>
                <horizontal/>
              </border>
            </x14:dxf>
          </x14:cfRule>
          <xm:sqref>C262:IV280</xm:sqref>
        </x14:conditionalFormatting>
        <x14:conditionalFormatting xmlns:xm="http://schemas.microsoft.com/office/excel/2006/main">
          <x14:cfRule type="containsText" priority="14" operator="containsText" id="{75DB1889-786F-4EBB-AD89-D1F72A6D6743}">
            <xm:f>NOT(ISERROR(SEARCH("",AD238)))</xm:f>
            <xm:f>""</xm:f>
            <x14:dxf>
              <numFmt numFmtId="3" formatCode="#,##0"/>
              <border>
                <left style="thin">
                  <color auto="1"/>
                </left>
                <right style="thin">
                  <color auto="1"/>
                </right>
                <top style="thin">
                  <color auto="1"/>
                </top>
                <bottom style="thin">
                  <color auto="1"/>
                </bottom>
                <vertical/>
                <horizontal/>
              </border>
            </x14:dxf>
          </x14:cfRule>
          <xm:sqref>AD238:AG238 AI238:AL238 AN238:AQ238 AS238:AV238 AX238:BA238 BC238:BF238 BH238:BK238 BM238:BP238 BR238:BU238 BW238:BZ238 CB238:CE238 CG238:CJ238 CL238:CO238 CQ238:CT238 CV238:CY238 DA238:DD238 DF238:DI238 DK238:DN238 DP238:DS238 DU238:DX238 DZ238:EC238 EE238:EH238 EJ238:EM238 EO238:ER238 ET238:EW238 EY238:FB238 FD238:FG238 FI238:FL238 FN238:FQ238 FS238:FV238 FX238:GA238 GC238:GF238 GH238:GK238 GM238:GP238 GR238:GU238 GW238:GZ238 HB238:HE238 HG238:HJ238 HL238:HO238 HQ238:HT238 HV238:HY238 IA238:ID238 IF238:II238 IK238:IN238 IP238:IS238 IU238:IV238</xm:sqref>
        </x14:conditionalFormatting>
        <x14:conditionalFormatting xmlns:xm="http://schemas.microsoft.com/office/excel/2006/main">
          <x14:cfRule type="containsText" priority="8" operator="containsText" id="{C33A1D7E-3749-4729-8A42-613733532F32}">
            <xm:f>NOT(ISERROR(SEARCH("",AC212)))</xm:f>
            <xm:f>""</xm:f>
            <x14:dxf>
              <numFmt numFmtId="3" formatCode="#,##0"/>
              <border>
                <left style="thin">
                  <color auto="1"/>
                </left>
                <right style="thin">
                  <color auto="1"/>
                </right>
                <top style="thin">
                  <color auto="1"/>
                </top>
                <bottom style="thin">
                  <color auto="1"/>
                </bottom>
                <vertical/>
                <horizontal/>
              </border>
            </x14:dxf>
          </x14:cfRule>
          <xm:sqref>AC212:IV212</xm:sqref>
        </x14:conditionalFormatting>
        <x14:conditionalFormatting xmlns:xm="http://schemas.microsoft.com/office/excel/2006/main">
          <x14:cfRule type="containsText" priority="7" operator="containsText" id="{104E09B8-0A6E-41C4-A9F5-94F522BF5A23}">
            <xm:f>NOT(ISERROR(SEARCH("",C193)))</xm:f>
            <xm:f>""</xm:f>
            <x14:dxf>
              <numFmt numFmtId="3" formatCode="#,##0"/>
              <border>
                <right style="thin">
                  <color auto="1"/>
                </right>
                <top style="thin">
                  <color auto="1"/>
                </top>
                <bottom style="thin">
                  <color auto="1"/>
                </bottom>
                <vertical/>
                <horizontal/>
              </border>
            </x14:dxf>
          </x14:cfRule>
          <xm:sqref>C193:IV211</xm:sqref>
        </x14:conditionalFormatting>
        <x14:conditionalFormatting xmlns:xm="http://schemas.microsoft.com/office/excel/2006/main">
          <x14:cfRule type="containsText" priority="2" operator="containsText" id="{2E5C6C6D-9C57-4EAD-815E-CDDA34495AA8}">
            <xm:f>NOT(ISERROR(SEARCH("",AD169)))</xm:f>
            <xm:f>""</xm:f>
            <x14:dxf>
              <numFmt numFmtId="3" formatCode="#,##0"/>
              <border>
                <left style="thin">
                  <color auto="1"/>
                </left>
                <right style="thin">
                  <color auto="1"/>
                </right>
                <top style="thin">
                  <color auto="1"/>
                </top>
                <bottom style="thin">
                  <color auto="1"/>
                </bottom>
                <vertical/>
                <horizontal/>
              </border>
            </x14:dxf>
          </x14:cfRule>
          <xm:sqref>AD169:AG169 AI169:AL169 AN169:AQ169 AS169:AV169 AX169:BA169 BC169:BF169 BH169:BK169 BM169:BP169 BR169:BU169 BW169:BZ169 CB169:CE169 CG169:CJ169 CL169:CO169 CQ169:CT169 CV169:CY169 DA169:DD169 DF169:DI169 DK169:DN169 DP169:DS169 DU169:DX169 DZ169:EC169 EE169:EH169 EJ169:EM169 EO169:ER169 ET169:EW169 EY169:FB169 FD169:FG169 FI169:FL169 FN169:FQ169 FS169:FV169 FX169:GA169 GC169:GF169 GH169:GK169 GM169:GP169 GR169:GU169 GW169:GZ169 HB169:HE169 HG169:HJ169 HL169:HO169 HQ169:HT169 HV169:HY169 IA169:ID169 IF169:II169 IK169:IN169 IP169:IS169 IU169:IV169</xm:sqref>
        </x14:conditionalFormatting>
        <x14:conditionalFormatting xmlns:xm="http://schemas.microsoft.com/office/excel/2006/main">
          <x14:cfRule type="containsText" priority="42" operator="containsText" id="{D94993F3-C553-4730-A18B-AEF846FF15D3}">
            <xm:f>NOT(ISERROR(SEARCH("",AD423)))</xm:f>
            <xm:f>""</xm:f>
            <x14:dxf>
              <numFmt numFmtId="3" formatCode="#,##0"/>
              <border>
                <left style="thin">
                  <color auto="1"/>
                </left>
                <right style="thin">
                  <color auto="1"/>
                </right>
                <top style="thin">
                  <color auto="1"/>
                </top>
                <bottom style="thin">
                  <color auto="1"/>
                </bottom>
                <vertical/>
                <horizontal/>
              </border>
            </x14:dxf>
          </x14:cfRule>
          <xm:sqref>AD423:AG423 AI423:AL423 AN423:AQ423 AS423:AV423 AX423:BA423 BC423:BF423 BH423:BK423 BM423:BP423 BR423:BU423 BW423:BZ423 CB423:CE423 CG423:CJ423 CL423:CO423 CQ423:CT423 CV423:CY423 DA423:DD423 DF423:DI423 DK423:DN423 DP423:DS423 DU423:DX423 DZ423:EC423 EE423:EH423 EJ423:EM423 EO423:ER423 ET423:EW423 EY423:FB423 FD423:FG423 FI423:FL423 FN423:FQ423 FS423:FV423 FX423:GA423 GC423:GF423 GH423:GK423 GM423:GP423 GR423:GU423 GW423:GZ423 HB423:HE423 HG423:HJ423 HL423:HO423 HQ423:HT423 HV423:HY423 IA423:ID423 IF423:II423 IK423:IN423 IP423:IS423 IU423:IV423</xm:sqref>
        </x14:conditionalFormatting>
        <x14:conditionalFormatting xmlns:xm="http://schemas.microsoft.com/office/excel/2006/main">
          <x14:cfRule type="containsText" priority="41" operator="containsText" id="{2A39F2A0-3233-4077-A0DA-98F440B379DA}">
            <xm:f>NOT(ISERROR(SEARCH("",AC423)))</xm:f>
            <xm:f>""</xm:f>
            <x14:dxf>
              <numFmt numFmtId="3" formatCode="#,##0"/>
              <border>
                <left style="thin">
                  <color auto="1"/>
                </left>
                <right style="thin">
                  <color auto="1"/>
                </right>
                <top style="thin">
                  <color auto="1"/>
                </top>
                <bottom style="thin">
                  <color auto="1"/>
                </bottom>
                <vertical/>
                <horizontal/>
              </border>
            </x14:dxf>
          </x14:cfRule>
          <xm:sqref>AC423 AH423 AM423 AR423 AW423 BB423 BG423 BL423 BQ423 BV423 CA423 CF423 CK423 CP423 CU423 CZ423 DE423 DJ423 DO423 DT423 DY423 ED423 EI423 EN423 ES423 EX423 FC423 FH423 FM423 FR423 FW423 GB423 GG423 GL423 GQ423 GV423 HA423 HF423 HK423 HP423 HU423 HZ423 IE423 IJ423 IO423 IT423</xm:sqref>
        </x14:conditionalFormatting>
        <x14:conditionalFormatting xmlns:xm="http://schemas.microsoft.com/office/excel/2006/main">
          <x14:cfRule type="containsText" priority="40" operator="containsText" id="{BFA768A6-963A-457F-858C-4DBB806B850D}">
            <xm:f>NOT(ISERROR(SEARCH("",AC420)))</xm:f>
            <xm:f>""</xm:f>
            <x14:dxf>
              <numFmt numFmtId="3" formatCode="#,##0"/>
              <border>
                <left style="thin">
                  <color auto="1"/>
                </left>
                <right style="thin">
                  <color auto="1"/>
                </right>
                <top style="thin">
                  <color auto="1"/>
                </top>
                <bottom style="thin">
                  <color auto="1"/>
                </bottom>
                <vertical/>
                <horizontal/>
              </border>
            </x14:dxf>
          </x14:cfRule>
          <xm:sqref>AC420:IV420</xm:sqref>
        </x14:conditionalFormatting>
        <x14:conditionalFormatting xmlns:xm="http://schemas.microsoft.com/office/excel/2006/main">
          <x14:cfRule type="containsText" priority="39" operator="containsText" id="{A5414655-CADF-4701-9DDF-AD04D08CDC06}">
            <xm:f>NOT(ISERROR(SEARCH("",C401)))</xm:f>
            <xm:f>""</xm:f>
            <x14:dxf>
              <numFmt numFmtId="3" formatCode="#,##0"/>
              <border>
                <right style="thin">
                  <color auto="1"/>
                </right>
                <top style="thin">
                  <color auto="1"/>
                </top>
                <bottom style="thin">
                  <color auto="1"/>
                </bottom>
                <vertical/>
                <horizontal/>
              </border>
            </x14:dxf>
          </x14:cfRule>
          <xm:sqref>C401:IV419</xm:sqref>
        </x14:conditionalFormatting>
        <x14:conditionalFormatting xmlns:xm="http://schemas.microsoft.com/office/excel/2006/main">
          <x14:cfRule type="containsText" priority="37" operator="containsText" id="{F3586A8D-8311-45B1-BA49-D8F6D3CC4482}">
            <xm:f>NOT(ISERROR(SEARCH("",AC400)))</xm:f>
            <xm:f>""</xm:f>
            <x14:dxf>
              <numFmt numFmtId="3" formatCode="#,##0"/>
              <border>
                <left style="thin">
                  <color auto="1"/>
                </left>
                <right style="thin">
                  <color auto="1"/>
                </right>
                <top style="thin">
                  <color auto="1"/>
                </top>
                <bottom style="thin">
                  <color auto="1"/>
                </bottom>
                <vertical/>
                <horizontal/>
              </border>
            </x14:dxf>
          </x14:cfRule>
          <xm:sqref>AC400 AH400 AM400 AR400 AW400 BB400 BG400 BL400 BQ400 BV400 CA400 CF400 CK400 CP400 CU400 CZ400 DE400 DJ400 DO400 DT400 DY400 ED400 EI400 EN400 ES400 EX400 FC400 FH400 FM400 FR400 FW400 GB400 GG400 GL400 GQ400 GV400 HA400 HF400 HK400 HP400 HU400 HZ400 IE400 IJ400 IO400 IT400</xm:sqref>
        </x14:conditionalFormatting>
        <x14:conditionalFormatting xmlns:xm="http://schemas.microsoft.com/office/excel/2006/main">
          <x14:cfRule type="containsText" priority="36" operator="containsText" id="{A0854E04-13C7-4E64-9D0D-DA7B8A87DA5D}">
            <xm:f>NOT(ISERROR(SEARCH("",AC397)))</xm:f>
            <xm:f>""</xm:f>
            <x14:dxf>
              <numFmt numFmtId="3" formatCode="#,##0"/>
              <border>
                <left style="thin">
                  <color auto="1"/>
                </left>
                <right style="thin">
                  <color auto="1"/>
                </right>
                <top style="thin">
                  <color auto="1"/>
                </top>
                <bottom style="thin">
                  <color auto="1"/>
                </bottom>
                <vertical/>
                <horizontal/>
              </border>
            </x14:dxf>
          </x14:cfRule>
          <xm:sqref>AC397:IV397</xm:sqref>
        </x14:conditionalFormatting>
        <x14:conditionalFormatting xmlns:xm="http://schemas.microsoft.com/office/excel/2006/main">
          <x14:cfRule type="containsText" priority="35" operator="containsText" id="{21ADB56F-822A-4F94-A940-39E81C0137B9}">
            <xm:f>NOT(ISERROR(SEARCH("",C378)))</xm:f>
            <xm:f>""</xm:f>
            <x14:dxf>
              <numFmt numFmtId="3" formatCode="#,##0"/>
              <border>
                <right style="thin">
                  <color auto="1"/>
                </right>
                <top style="thin">
                  <color auto="1"/>
                </top>
                <bottom style="thin">
                  <color auto="1"/>
                </bottom>
                <vertical/>
                <horizontal/>
              </border>
            </x14:dxf>
          </x14:cfRule>
          <xm:sqref>C378:IV396</xm:sqref>
        </x14:conditionalFormatting>
        <x14:conditionalFormatting xmlns:xm="http://schemas.microsoft.com/office/excel/2006/main">
          <x14:cfRule type="containsText" priority="34" operator="containsText" id="{EB0D6AE9-B91B-46AA-AFAD-861479381142}">
            <xm:f>NOT(ISERROR(SEARCH("",AD377)))</xm:f>
            <xm:f>""</xm:f>
            <x14:dxf>
              <numFmt numFmtId="3" formatCode="#,##0"/>
              <border>
                <left style="thin">
                  <color auto="1"/>
                </left>
                <right style="thin">
                  <color auto="1"/>
                </right>
                <top style="thin">
                  <color auto="1"/>
                </top>
                <bottom style="thin">
                  <color auto="1"/>
                </bottom>
                <vertical/>
                <horizontal/>
              </border>
            </x14:dxf>
          </x14:cfRule>
          <xm:sqref>AD377:AG377 AI377:AL377 AN377:AQ377 AS377:AV377 AX377:BA377 BC377:BF377 BH377:BK377 BM377:BP377 BR377:BU377 BW377:BZ377 CB377:CE377 CG377:CJ377 CL377:CO377 CQ377:CT377 CV377:CY377 DA377:DD377 DF377:DI377 DK377:DN377 DP377:DS377 DU377:DX377 DZ377:EC377 EE377:EH377 EJ377:EM377 EO377:ER377 ET377:EW377 EY377:FB377 FD377:FG377 FI377:FL377 FN377:FQ377 FS377:FV377 FX377:GA377 GC377:GF377 GH377:GK377 GM377:GP377 GR377:GU377 GW377:GZ377 HB377:HE377 HG377:HJ377 HL377:HO377 HQ377:HT377 HV377:HY377 IA377:ID377 IF377:II377 IK377:IN377 IP377:IS377 IU377:IV377</xm:sqref>
        </x14:conditionalFormatting>
        <x14:conditionalFormatting xmlns:xm="http://schemas.microsoft.com/office/excel/2006/main">
          <x14:cfRule type="containsText" priority="33" operator="containsText" id="{B4C91461-DC43-47C7-A87E-AEA128512583}">
            <xm:f>NOT(ISERROR(SEARCH("",AC377)))</xm:f>
            <xm:f>""</xm:f>
            <x14:dxf>
              <numFmt numFmtId="3" formatCode="#,##0"/>
              <border>
                <left style="thin">
                  <color auto="1"/>
                </left>
                <right style="thin">
                  <color auto="1"/>
                </right>
                <top style="thin">
                  <color auto="1"/>
                </top>
                <bottom style="thin">
                  <color auto="1"/>
                </bottom>
                <vertical/>
                <horizontal/>
              </border>
            </x14:dxf>
          </x14:cfRule>
          <xm:sqref>AC377 AH377 AM377 AR377 AW377 BB377 BG377 BL377 BQ377 BV377 CA377 CF377 CK377 CP377 CU377 CZ377 DE377 DJ377 DO377 DT377 DY377 ED377 EI377 EN377 ES377 EX377 FC377 FH377 FM377 FR377 FW377 GB377 GG377 GL377 GQ377 GV377 HA377 HF377 HK377 HP377 HU377 HZ377 IE377 IJ377 IO377 IT377</xm:sqref>
        </x14:conditionalFormatting>
        <x14:conditionalFormatting xmlns:xm="http://schemas.microsoft.com/office/excel/2006/main">
          <x14:cfRule type="containsText" priority="30" operator="containsText" id="{24A9C047-63AE-4890-85AA-2DD89A7C7C13}">
            <xm:f>NOT(ISERROR(SEARCH("",AD354)))</xm:f>
            <xm:f>""</xm:f>
            <x14:dxf>
              <numFmt numFmtId="3" formatCode="#,##0"/>
              <border>
                <left style="thin">
                  <color auto="1"/>
                </left>
                <right style="thin">
                  <color auto="1"/>
                </right>
                <top style="thin">
                  <color auto="1"/>
                </top>
                <bottom style="thin">
                  <color auto="1"/>
                </bottom>
                <vertical/>
                <horizontal/>
              </border>
            </x14:dxf>
          </x14:cfRule>
          <xm:sqref>AD354:AG354 AI354:AL354 AN354:AQ354 AS354:AV354 AX354:BA354 BC354:BF354 BH354:BK354 BM354:BP354 BR354:BU354 BW354:BZ354 CB354:CE354 CG354:CJ354 CL354:CO354 CQ354:CT354 CV354:CY354 DA354:DD354 DF354:DI354 DK354:DN354 DP354:DS354 DU354:DX354 DZ354:EC354 EE354:EH354 EJ354:EM354 EO354:ER354 ET354:EW354 EY354:FB354 FD354:FG354 FI354:FL354 FN354:FQ354 FS354:FV354 FX354:GA354 GC354:GF354 GH354:GK354 GM354:GP354 GR354:GU354 GW354:GZ354 HB354:HE354 HG354:HJ354 HL354:HO354 HQ354:HT354 HV354:HY354 IA354:ID354 IF354:II354 IK354:IN354 IP354:IS354 IU354:IV354</xm:sqref>
        </x14:conditionalFormatting>
        <x14:conditionalFormatting xmlns:xm="http://schemas.microsoft.com/office/excel/2006/main">
          <x14:cfRule type="containsText" priority="29" operator="containsText" id="{1C6AD325-FAF5-4AD9-BFBE-20AD630FEDA4}">
            <xm:f>NOT(ISERROR(SEARCH("",AC354)))</xm:f>
            <xm:f>""</xm:f>
            <x14:dxf>
              <numFmt numFmtId="3" formatCode="#,##0"/>
              <border>
                <left style="thin">
                  <color auto="1"/>
                </left>
                <right style="thin">
                  <color auto="1"/>
                </right>
                <top style="thin">
                  <color auto="1"/>
                </top>
                <bottom style="thin">
                  <color auto="1"/>
                </bottom>
                <vertical/>
                <horizontal/>
              </border>
            </x14:dxf>
          </x14:cfRule>
          <xm:sqref>AC354 AH354 AM354 AR354 AW354 BB354 BG354 BL354 BQ354 BV354 CA354 CF354 CK354 CP354 CU354 CZ354 DE354 DJ354 DO354 DT354 DY354 ED354 EI354 EN354 ES354 EX354 FC354 FH354 FM354 FR354 FW354 GB354 GG354 GL354 GQ354 GV354 HA354 HF354 HK354 HP354 HU354 HZ354 IE354 IJ354 IO354 IT354</xm:sqref>
        </x14:conditionalFormatting>
        <x14:conditionalFormatting xmlns:xm="http://schemas.microsoft.com/office/excel/2006/main">
          <x14:cfRule type="containsText" priority="28" operator="containsText" id="{3F9BC284-0709-419F-BD7A-8AD842AD1AEC}">
            <xm:f>NOT(ISERROR(SEARCH("",AC351)))</xm:f>
            <xm:f>""</xm:f>
            <x14:dxf>
              <numFmt numFmtId="3" formatCode="#,##0"/>
              <border>
                <left style="thin">
                  <color auto="1"/>
                </left>
                <right style="thin">
                  <color auto="1"/>
                </right>
                <top style="thin">
                  <color auto="1"/>
                </top>
                <bottom style="thin">
                  <color auto="1"/>
                </bottom>
                <vertical/>
                <horizontal/>
              </border>
            </x14:dxf>
          </x14:cfRule>
          <xm:sqref>AC351:IV351</xm:sqref>
        </x14:conditionalFormatting>
        <x14:conditionalFormatting xmlns:xm="http://schemas.microsoft.com/office/excel/2006/main">
          <x14:cfRule type="containsText" priority="27" operator="containsText" id="{4A6ABE08-4238-40FC-8E77-F1989BFF2CD2}">
            <xm:f>NOT(ISERROR(SEARCH("",C332)))</xm:f>
            <xm:f>""</xm:f>
            <x14:dxf>
              <numFmt numFmtId="3" formatCode="#,##0"/>
              <border>
                <right style="thin">
                  <color auto="1"/>
                </right>
                <top style="thin">
                  <color auto="1"/>
                </top>
                <bottom style="thin">
                  <color auto="1"/>
                </bottom>
                <vertical/>
                <horizontal/>
              </border>
            </x14:dxf>
          </x14:cfRule>
          <xm:sqref>C332:IV350</xm:sqref>
        </x14:conditionalFormatting>
        <x14:conditionalFormatting xmlns:xm="http://schemas.microsoft.com/office/excel/2006/main">
          <x14:cfRule type="containsText" priority="25" operator="containsText" id="{E4E8750C-D1D5-4C63-9A86-4A76A3E4C4E8}">
            <xm:f>NOT(ISERROR(SEARCH("",AC331)))</xm:f>
            <xm:f>""</xm:f>
            <x14:dxf>
              <numFmt numFmtId="3" formatCode="#,##0"/>
              <border>
                <left style="thin">
                  <color auto="1"/>
                </left>
                <right style="thin">
                  <color auto="1"/>
                </right>
                <top style="thin">
                  <color auto="1"/>
                </top>
                <bottom style="thin">
                  <color auto="1"/>
                </bottom>
                <vertical/>
                <horizontal/>
              </border>
            </x14:dxf>
          </x14:cfRule>
          <xm:sqref>AC331 AH331 AM331 AR331 AW331 BB331 BG331 BL331 BQ331 BV331 CA331 CF331 CK331 CP331 CU331 CZ331 DE331 DJ331 DO331 DT331 DY331 ED331 EI331 EN331 ES331 EX331 FC331 FH331 FM331 FR331 FW331 GB331 GG331 GL331 GQ331 GV331 HA331 HF331 HK331 HP331 HU331 HZ331 IE331 IJ331 IO331 IT331</xm:sqref>
        </x14:conditionalFormatting>
        <x14:conditionalFormatting xmlns:xm="http://schemas.microsoft.com/office/excel/2006/main">
          <x14:cfRule type="containsText" priority="24" operator="containsText" id="{71B980FA-F484-4C5D-8EC4-19663135E7DE}">
            <xm:f>NOT(ISERROR(SEARCH("",AC304)))</xm:f>
            <xm:f>""</xm:f>
            <x14:dxf>
              <numFmt numFmtId="3" formatCode="#,##0"/>
              <border>
                <left style="thin">
                  <color auto="1"/>
                </left>
                <right style="thin">
                  <color auto="1"/>
                </right>
                <top style="thin">
                  <color auto="1"/>
                </top>
                <bottom style="thin">
                  <color auto="1"/>
                </bottom>
                <vertical/>
                <horizontal/>
              </border>
            </x14:dxf>
          </x14:cfRule>
          <xm:sqref>AC304:IV304</xm:sqref>
        </x14:conditionalFormatting>
        <x14:conditionalFormatting xmlns:xm="http://schemas.microsoft.com/office/excel/2006/main">
          <x14:cfRule type="containsText" priority="23" operator="containsText" id="{0141E8B8-6117-48C9-9E4A-10C8DCB9DC36}">
            <xm:f>NOT(ISERROR(SEARCH("",C285)))</xm:f>
            <xm:f>""</xm:f>
            <x14:dxf>
              <numFmt numFmtId="3" formatCode="#,##0"/>
              <border>
                <right style="thin">
                  <color auto="1"/>
                </right>
                <top style="thin">
                  <color auto="1"/>
                </top>
                <bottom style="thin">
                  <color auto="1"/>
                </bottom>
                <vertical/>
                <horizontal/>
              </border>
            </x14:dxf>
          </x14:cfRule>
          <xm:sqref>C285:IV303</xm:sqref>
        </x14:conditionalFormatting>
        <x14:conditionalFormatting xmlns:xm="http://schemas.microsoft.com/office/excel/2006/main">
          <x14:cfRule type="containsText" priority="22" operator="containsText" id="{7152EEBC-6884-4C5C-BA39-42050C583388}">
            <xm:f>NOT(ISERROR(SEARCH("",AD284)))</xm:f>
            <xm:f>""</xm:f>
            <x14:dxf>
              <numFmt numFmtId="3" formatCode="#,##0"/>
              <border>
                <left style="thin">
                  <color auto="1"/>
                </left>
                <right style="thin">
                  <color auto="1"/>
                </right>
                <top style="thin">
                  <color auto="1"/>
                </top>
                <bottom style="thin">
                  <color auto="1"/>
                </bottom>
                <vertical/>
                <horizontal/>
              </border>
            </x14:dxf>
          </x14:cfRule>
          <xm:sqref>AD284:AG284 AI284:AL284 AN284:AQ284 AS284:AV284 AX284:BA284 BC284:BF284 BH284:BK284 BM284:BP284 BR284:BU284 BW284:BZ284 CB284:CE284 CG284:CJ284 CL284:CO284 CQ284:CT284 CV284:CY284 DA284:DD284 DF284:DI284 DK284:DN284 DP284:DS284 DU284:DX284 DZ284:EC284 EE284:EH284 EJ284:EM284 EO284:ER284 ET284:EW284 EY284:FB284 FD284:FG284 FI284:FL284 FN284:FQ284 FS284:FV284 FX284:GA284 GC284:GF284 GH284:GK284 GM284:GP284 GR284:GU284 GW284:GZ284 HB284:HE284 HG284:HJ284 HL284:HO284 HQ284:HT284 HV284:HY284 IA284:ID284 IF284:II284 IK284:IN284 IP284:IS284 IU284:IV284</xm:sqref>
        </x14:conditionalFormatting>
        <x14:conditionalFormatting xmlns:xm="http://schemas.microsoft.com/office/excel/2006/main">
          <x14:cfRule type="containsText" priority="21" operator="containsText" id="{84B4EE57-2175-48E1-971F-142EECD06DB5}">
            <xm:f>NOT(ISERROR(SEARCH("",AC284)))</xm:f>
            <xm:f>""</xm:f>
            <x14:dxf>
              <numFmt numFmtId="3" formatCode="#,##0"/>
              <border>
                <left style="thin">
                  <color auto="1"/>
                </left>
                <right style="thin">
                  <color auto="1"/>
                </right>
                <top style="thin">
                  <color auto="1"/>
                </top>
                <bottom style="thin">
                  <color auto="1"/>
                </bottom>
                <vertical/>
                <horizontal/>
              </border>
            </x14:dxf>
          </x14:cfRule>
          <xm:sqref>AC284 AH284 AM284 AR284 AW284 BB284 BG284 BL284 BQ284 BV284 CA284 CF284 CK284 CP284 CU284 CZ284 DE284 DJ284 DO284 DT284 DY284 ED284 EI284 EN284 ES284 EX284 FC284 FH284 FM284 FR284 FW284 GB284 GG284 GL284 GQ284 GV284 HA284 HF284 HK284 HP284 HU284 HZ284 IE284 IJ284 IO284 IT284</xm:sqref>
        </x14:conditionalFormatting>
        <x14:conditionalFormatting xmlns:xm="http://schemas.microsoft.com/office/excel/2006/main">
          <x14:cfRule type="containsText" priority="18" operator="containsText" id="{2558E925-B229-4D32-97D6-A125C47F613E}">
            <xm:f>NOT(ISERROR(SEARCH("",AD261)))</xm:f>
            <xm:f>""</xm:f>
            <x14:dxf>
              <numFmt numFmtId="3" formatCode="#,##0"/>
              <border>
                <left style="thin">
                  <color auto="1"/>
                </left>
                <right style="thin">
                  <color auto="1"/>
                </right>
                <top style="thin">
                  <color auto="1"/>
                </top>
                <bottom style="thin">
                  <color auto="1"/>
                </bottom>
                <vertical/>
                <horizontal/>
              </border>
            </x14:dxf>
          </x14:cfRule>
          <xm:sqref>AD261:AG261 AI261:AL261 AN261:AQ261 AS261:AV261 AX261:BA261 BC261:BF261 BH261:BK261 BM261:BP261 BR261:BU261 BW261:BZ261 CB261:CE261 CG261:CJ261 CL261:CO261 CQ261:CT261 CV261:CY261 DA261:DD261 DF261:DI261 DK261:DN261 DP261:DS261 DU261:DX261 DZ261:EC261 EE261:EH261 EJ261:EM261 EO261:ER261 ET261:EW261 EY261:FB261 FD261:FG261 FI261:FL261 FN261:FQ261 FS261:FV261 FX261:GA261 GC261:GF261 GH261:GK261 GM261:GP261 GR261:GU261 GW261:GZ261 HB261:HE261 HG261:HJ261 HL261:HO261 HQ261:HT261 HV261:HY261 IA261:ID261 IF261:II261 IK261:IN261 IP261:IS261 IU261:IV261</xm:sqref>
        </x14:conditionalFormatting>
        <x14:conditionalFormatting xmlns:xm="http://schemas.microsoft.com/office/excel/2006/main">
          <x14:cfRule type="containsText" priority="17" operator="containsText" id="{82427B28-C4EC-4716-ACB8-D34BDF84821B}">
            <xm:f>NOT(ISERROR(SEARCH("",AC261)))</xm:f>
            <xm:f>""</xm:f>
            <x14:dxf>
              <numFmt numFmtId="3" formatCode="#,##0"/>
              <border>
                <left style="thin">
                  <color auto="1"/>
                </left>
                <right style="thin">
                  <color auto="1"/>
                </right>
                <top style="thin">
                  <color auto="1"/>
                </top>
                <bottom style="thin">
                  <color auto="1"/>
                </bottom>
                <vertical/>
                <horizontal/>
              </border>
            </x14:dxf>
          </x14:cfRule>
          <xm:sqref>AC261 AH261 AM261 AR261 AW261 BB261 BG261 BL261 BQ261 BV261 CA261 CF261 CK261 CP261 CU261 CZ261 DE261 DJ261 DO261 DT261 DY261 ED261 EI261 EN261 ES261 EX261 FC261 FH261 FM261 FR261 FW261 GB261 GG261 GL261 GQ261 GV261 HA261 HF261 HK261 HP261 HU261 HZ261 IE261 IJ261 IO261 IT261</xm:sqref>
        </x14:conditionalFormatting>
        <x14:conditionalFormatting xmlns:xm="http://schemas.microsoft.com/office/excel/2006/main">
          <x14:cfRule type="containsText" priority="16" operator="containsText" id="{B6956766-7069-4A4D-8E5A-6F7170B0D761}">
            <xm:f>NOT(ISERROR(SEARCH("",AC258)))</xm:f>
            <xm:f>""</xm:f>
            <x14:dxf>
              <numFmt numFmtId="3" formatCode="#,##0"/>
              <border>
                <left style="thin">
                  <color auto="1"/>
                </left>
                <right style="thin">
                  <color auto="1"/>
                </right>
                <top style="thin">
                  <color auto="1"/>
                </top>
                <bottom style="thin">
                  <color auto="1"/>
                </bottom>
                <vertical/>
                <horizontal/>
              </border>
            </x14:dxf>
          </x14:cfRule>
          <xm:sqref>AC258:IV258</xm:sqref>
        </x14:conditionalFormatting>
        <x14:conditionalFormatting xmlns:xm="http://schemas.microsoft.com/office/excel/2006/main">
          <x14:cfRule type="containsText" priority="15" operator="containsText" id="{A862117E-E2D7-4BB6-8633-B2DC49908FFD}">
            <xm:f>NOT(ISERROR(SEARCH("",C239)))</xm:f>
            <xm:f>""</xm:f>
            <x14:dxf>
              <numFmt numFmtId="3" formatCode="#,##0"/>
              <border>
                <right style="thin">
                  <color auto="1"/>
                </right>
                <top style="thin">
                  <color auto="1"/>
                </top>
                <bottom style="thin">
                  <color auto="1"/>
                </bottom>
                <vertical/>
                <horizontal/>
              </border>
            </x14:dxf>
          </x14:cfRule>
          <xm:sqref>C239:IV257</xm:sqref>
        </x14:conditionalFormatting>
        <x14:conditionalFormatting xmlns:xm="http://schemas.microsoft.com/office/excel/2006/main">
          <x14:cfRule type="containsText" priority="13" operator="containsText" id="{92B72A74-D6E6-4E41-B0EC-1E69626D77CE}">
            <xm:f>NOT(ISERROR(SEARCH("",AC238)))</xm:f>
            <xm:f>""</xm:f>
            <x14:dxf>
              <numFmt numFmtId="3" formatCode="#,##0"/>
              <border>
                <left style="thin">
                  <color auto="1"/>
                </left>
                <right style="thin">
                  <color auto="1"/>
                </right>
                <top style="thin">
                  <color auto="1"/>
                </top>
                <bottom style="thin">
                  <color auto="1"/>
                </bottom>
                <vertical/>
                <horizontal/>
              </border>
            </x14:dxf>
          </x14:cfRule>
          <xm:sqref>AC238 AH238 AM238 AR238 AW238 BB238 BG238 BL238 BQ238 BV238 CA238 CF238 CK238 CP238 CU238 CZ238 DE238 DJ238 DO238 DT238 DY238 ED238 EI238 EN238 ES238 EX238 FC238 FH238 FM238 FR238 FW238 GB238 GG238 GL238 GQ238 GV238 HA238 HF238 HK238 HP238 HU238 HZ238 IE238 IJ238 IO238 IT238</xm:sqref>
        </x14:conditionalFormatting>
        <x14:conditionalFormatting xmlns:xm="http://schemas.microsoft.com/office/excel/2006/main">
          <x14:cfRule type="containsText" priority="12" operator="containsText" id="{B6239694-4EB8-4574-B4BF-D560830802A7}">
            <xm:f>NOT(ISERROR(SEARCH("",AC235)))</xm:f>
            <xm:f>""</xm:f>
            <x14:dxf>
              <numFmt numFmtId="3" formatCode="#,##0"/>
              <border>
                <left style="thin">
                  <color auto="1"/>
                </left>
                <right style="thin">
                  <color auto="1"/>
                </right>
                <top style="thin">
                  <color auto="1"/>
                </top>
                <bottom style="thin">
                  <color auto="1"/>
                </bottom>
                <vertical/>
                <horizontal/>
              </border>
            </x14:dxf>
          </x14:cfRule>
          <xm:sqref>AC235:IV235</xm:sqref>
        </x14:conditionalFormatting>
        <x14:conditionalFormatting xmlns:xm="http://schemas.microsoft.com/office/excel/2006/main">
          <x14:cfRule type="containsText" priority="11" operator="containsText" id="{FF4446D2-FAD2-41EC-9DED-232F2D18431C}">
            <xm:f>NOT(ISERROR(SEARCH("",C216)))</xm:f>
            <xm:f>""</xm:f>
            <x14:dxf>
              <numFmt numFmtId="3" formatCode="#,##0"/>
              <border>
                <right style="thin">
                  <color auto="1"/>
                </right>
                <top style="thin">
                  <color auto="1"/>
                </top>
                <bottom style="thin">
                  <color auto="1"/>
                </bottom>
                <vertical/>
                <horizontal/>
              </border>
            </x14:dxf>
          </x14:cfRule>
          <xm:sqref>C216:IV234</xm:sqref>
        </x14:conditionalFormatting>
        <x14:conditionalFormatting xmlns:xm="http://schemas.microsoft.com/office/excel/2006/main">
          <x14:cfRule type="containsText" priority="10" operator="containsText" id="{9D4D516E-BE90-4378-823B-0CFD380CCFD5}">
            <xm:f>NOT(ISERROR(SEARCH("",AD215)))</xm:f>
            <xm:f>""</xm:f>
            <x14:dxf>
              <numFmt numFmtId="3" formatCode="#,##0"/>
              <border>
                <left style="thin">
                  <color auto="1"/>
                </left>
                <right style="thin">
                  <color auto="1"/>
                </right>
                <top style="thin">
                  <color auto="1"/>
                </top>
                <bottom style="thin">
                  <color auto="1"/>
                </bottom>
                <vertical/>
                <horizontal/>
              </border>
            </x14:dxf>
          </x14:cfRule>
          <xm:sqref>AD215:AG215 AI215:AL215 AN215:AQ215 AS215:AV215 AX215:BA215 BC215:BF215 BH215:BK215 BM215:BP215 BR215:BU215 BW215:BZ215 CB215:CE215 CG215:CJ215 CL215:CO215 CQ215:CT215 CV215:CY215 DA215:DD215 DF215:DI215 DK215:DN215 DP215:DS215 DU215:DX215 DZ215:EC215 EE215:EH215 EJ215:EM215 EO215:ER215 ET215:EW215 EY215:FB215 FD215:FG215 FI215:FL215 FN215:FQ215 FS215:FV215 FX215:GA215 GC215:GF215 GH215:GK215 GM215:GP215 GR215:GU215 GW215:GZ215 HB215:HE215 HG215:HJ215 HL215:HO215 HQ215:HT215 HV215:HY215 IA215:ID215 IF215:II215 IK215:IN215 IP215:IS215 IU215:IV215</xm:sqref>
        </x14:conditionalFormatting>
        <x14:conditionalFormatting xmlns:xm="http://schemas.microsoft.com/office/excel/2006/main">
          <x14:cfRule type="containsText" priority="9" operator="containsText" id="{1850D24D-2B04-4BD4-89DD-C61650A62B03}">
            <xm:f>NOT(ISERROR(SEARCH("",AC215)))</xm:f>
            <xm:f>""</xm:f>
            <x14:dxf>
              <numFmt numFmtId="3" formatCode="#,##0"/>
              <border>
                <left style="thin">
                  <color auto="1"/>
                </left>
                <right style="thin">
                  <color auto="1"/>
                </right>
                <top style="thin">
                  <color auto="1"/>
                </top>
                <bottom style="thin">
                  <color auto="1"/>
                </bottom>
                <vertical/>
                <horizontal/>
              </border>
            </x14:dxf>
          </x14:cfRule>
          <xm:sqref>AC215 AH215 AM215 AR215 AW215 BB215 BG215 BL215 BQ215 BV215 CA215 CF215 CK215 CP215 CU215 CZ215 DE215 DJ215 DO215 DT215 DY215 ED215 EI215 EN215 ES215 EX215 FC215 FH215 FM215 FR215 FW215 GB215 GG215 GL215 GQ215 GV215 HA215 HF215 HK215 HP215 HU215 HZ215 IE215 IJ215 IO215 IT215</xm:sqref>
        </x14:conditionalFormatting>
        <x14:conditionalFormatting xmlns:xm="http://schemas.microsoft.com/office/excel/2006/main">
          <x14:cfRule type="containsText" priority="6" operator="containsText" id="{9A7C25ED-FD0A-435F-97AB-D8618C9D2A16}">
            <xm:f>NOT(ISERROR(SEARCH("",AD192)))</xm:f>
            <xm:f>""</xm:f>
            <x14:dxf>
              <numFmt numFmtId="3" formatCode="#,##0"/>
              <border>
                <left style="thin">
                  <color auto="1"/>
                </left>
                <right style="thin">
                  <color auto="1"/>
                </right>
                <top style="thin">
                  <color auto="1"/>
                </top>
                <bottom style="thin">
                  <color auto="1"/>
                </bottom>
                <vertical/>
                <horizontal/>
              </border>
            </x14:dxf>
          </x14:cfRule>
          <xm:sqref>AD192:AG192 AI192:AL192 AN192:AQ192 AS192:AV192 AX192:BA192 BC192:BF192 BH192:BK192 BM192:BP192 BR192:BU192 BW192:BZ192 CB192:CE192 CG192:CJ192 CL192:CO192 CQ192:CT192 CV192:CY192 DA192:DD192 DF192:DI192 DK192:DN192 DP192:DS192 DU192:DX192 DZ192:EC192 EE192:EH192 EJ192:EM192 EO192:ER192 ET192:EW192 EY192:FB192 FD192:FG192 FI192:FL192 FN192:FQ192 FS192:FV192 FX192:GA192 GC192:GF192 GH192:GK192 GM192:GP192 GR192:GU192 GW192:GZ192 HB192:HE192 HG192:HJ192 HL192:HO192 HQ192:HT192 HV192:HY192 IA192:ID192 IF192:II192 IK192:IN192 IP192:IS192 IU192:IV192</xm:sqref>
        </x14:conditionalFormatting>
        <x14:conditionalFormatting xmlns:xm="http://schemas.microsoft.com/office/excel/2006/main">
          <x14:cfRule type="containsText" priority="5" operator="containsText" id="{91F0C403-7B7D-4933-A510-37A04D0691FF}">
            <xm:f>NOT(ISERROR(SEARCH("",AC192)))</xm:f>
            <xm:f>""</xm:f>
            <x14:dxf>
              <numFmt numFmtId="3" formatCode="#,##0"/>
              <border>
                <left style="thin">
                  <color auto="1"/>
                </left>
                <right style="thin">
                  <color auto="1"/>
                </right>
                <top style="thin">
                  <color auto="1"/>
                </top>
                <bottom style="thin">
                  <color auto="1"/>
                </bottom>
                <vertical/>
                <horizontal/>
              </border>
            </x14:dxf>
          </x14:cfRule>
          <xm:sqref>AC192 AH192 AM192 AR192 AW192 BB192 BG192 BL192 BQ192 BV192 CA192 CF192 CK192 CP192 CU192 CZ192 DE192 DJ192 DO192 DT192 DY192 ED192 EI192 EN192 ES192 EX192 FC192 FH192 FM192 FR192 FW192 GB192 GG192 GL192 GQ192 GV192 HA192 HF192 HK192 HP192 HU192 HZ192 IE192 IJ192 IO192 IT192</xm:sqref>
        </x14:conditionalFormatting>
        <x14:conditionalFormatting xmlns:xm="http://schemas.microsoft.com/office/excel/2006/main">
          <x14:cfRule type="containsText" priority="4" operator="containsText" id="{2C825466-4174-4B55-992F-381C7410E39B}">
            <xm:f>NOT(ISERROR(SEARCH("",AC189)))</xm:f>
            <xm:f>""</xm:f>
            <x14:dxf>
              <numFmt numFmtId="3" formatCode="#,##0"/>
              <border>
                <left style="thin">
                  <color auto="1"/>
                </left>
                <right style="thin">
                  <color auto="1"/>
                </right>
                <top style="thin">
                  <color auto="1"/>
                </top>
                <bottom style="thin">
                  <color auto="1"/>
                </bottom>
                <vertical/>
                <horizontal/>
              </border>
            </x14:dxf>
          </x14:cfRule>
          <xm:sqref>AC189:IV189</xm:sqref>
        </x14:conditionalFormatting>
        <x14:conditionalFormatting xmlns:xm="http://schemas.microsoft.com/office/excel/2006/main">
          <x14:cfRule type="containsText" priority="3" operator="containsText" id="{35E83C35-F3F0-4A58-875C-71D6662EE713}">
            <xm:f>NOT(ISERROR(SEARCH("",C170)))</xm:f>
            <xm:f>""</xm:f>
            <x14:dxf>
              <numFmt numFmtId="3" formatCode="#,##0"/>
              <border>
                <right style="thin">
                  <color auto="1"/>
                </right>
                <top style="thin">
                  <color auto="1"/>
                </top>
                <bottom style="thin">
                  <color auto="1"/>
                </bottom>
                <vertical/>
                <horizontal/>
              </border>
            </x14:dxf>
          </x14:cfRule>
          <xm:sqref>C170:IV188</xm:sqref>
        </x14:conditionalFormatting>
        <x14:conditionalFormatting xmlns:xm="http://schemas.microsoft.com/office/excel/2006/main">
          <x14:cfRule type="containsText" priority="1" operator="containsText" id="{2ED70CEB-3125-4671-8810-AFC7AB354055}">
            <xm:f>NOT(ISERROR(SEARCH("",AC169)))</xm:f>
            <xm:f>""</xm:f>
            <x14:dxf>
              <numFmt numFmtId="3" formatCode="#,##0"/>
              <border>
                <left style="thin">
                  <color auto="1"/>
                </left>
                <right style="thin">
                  <color auto="1"/>
                </right>
                <top style="thin">
                  <color auto="1"/>
                </top>
                <bottom style="thin">
                  <color auto="1"/>
                </bottom>
                <vertical/>
                <horizontal/>
              </border>
            </x14:dxf>
          </x14:cfRule>
          <xm:sqref>AC169 AH169 AM169 AR169 AW169 BB169 BG169 BL169 BQ169 BV169 CA169 CF169 CK169 CP169 CU169 CZ169 DE169 DJ169 DO169 DT169 DY169 ED169 EI169 EN169 ES169 EX169 FC169 FH169 FM169 FR169 FW169 GB169 GG169 GL169 GQ169 GV169 HA169 HF169 HK169 HP169 HU169 HZ169 IE169 IJ169 IO169 IT169</xm:sqref>
        </x14:conditionalFormatting>
      </x14:conditionalFormattings>
    </ext>
  </extLs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mc:Ignorable="x14ac xr">
  <sheetPr codeName="Hoja21">
    <tabColor indexed="49"/>
  </sheetPr>
  <dimension ref="A1:IV435"/>
  <sheetViews>
    <sheetView showGridLines="0" view="pageBreakPreview" zoomScale="85" zoomScaleNormal="100" workbookViewId="0">
      <pane ySplit="9" topLeftCell="A10" activePane="bottomLeft" state="frozen"/>
      <selection activeCell="F11" sqref="F11"/>
      <selection pane="bottomLeft" activeCell="A10" sqref="A10"/>
    </sheetView>
  </sheetViews>
  <sheetFormatPr baseColWidth="10" defaultRowHeight="12.75"/>
  <cols>
    <col min="1" max="1" width="11.42578125" customWidth="1" style="51"/>
    <col min="2" max="2" bestFit="1" width="19.5703125" customWidth="1" style="51"/>
    <col min="3" max="12" width="11.7109375" customWidth="1" style="51"/>
    <col min="13" max="16384" width="11.42578125" customWidth="1" style="51"/>
  </cols>
  <sheetData>
    <row r="1">
      <c r="A1" s="46"/>
      <c r="B1" s="47"/>
      <c r="C1" s="47"/>
      <c r="D1" s="47"/>
      <c r="E1" s="47"/>
      <c r="F1" s="47"/>
      <c r="G1" s="47"/>
      <c r="H1" s="47"/>
      <c r="I1" s="47"/>
      <c r="J1" s="47"/>
      <c r="K1" s="47"/>
      <c r="L1" s="47"/>
      <c r="M1" s="47"/>
      <c r="N1" s="47"/>
      <c r="O1" s="48"/>
      <c r="P1" s="49"/>
      <c r="Q1" s="50"/>
    </row>
    <row r="2">
      <c r="A2" s="52"/>
      <c r="B2" s="49"/>
      <c r="C2" s="49"/>
      <c r="D2" s="49"/>
      <c r="E2" s="49"/>
      <c r="F2" s="49"/>
      <c r="G2" s="49"/>
      <c r="H2" s="49"/>
      <c r="I2" s="49"/>
      <c r="J2" s="49"/>
      <c r="K2" s="49"/>
      <c r="L2" s="49"/>
      <c r="M2" s="49"/>
      <c r="N2" s="49"/>
      <c r="O2" s="53"/>
      <c r="P2" s="49"/>
      <c r="Q2" s="50"/>
    </row>
    <row r="3">
      <c r="A3" s="52"/>
      <c r="B3" s="49"/>
      <c r="C3" s="49"/>
      <c r="D3" s="49"/>
      <c r="E3" s="49"/>
      <c r="F3" s="49"/>
      <c r="G3" s="49"/>
      <c r="H3" s="49"/>
      <c r="I3" s="49"/>
      <c r="J3" s="49"/>
      <c r="K3" s="49"/>
      <c r="L3" s="49"/>
      <c r="M3" s="49"/>
      <c r="N3" s="49"/>
      <c r="O3" s="53"/>
      <c r="P3" s="49"/>
      <c r="Q3" s="50"/>
    </row>
    <row r="4">
      <c r="A4" s="52"/>
      <c r="B4" s="49"/>
      <c r="C4" s="49"/>
      <c r="D4" s="49"/>
      <c r="E4" s="49"/>
      <c r="F4" s="49"/>
      <c r="G4" s="49"/>
      <c r="H4" s="49"/>
      <c r="I4" s="49"/>
      <c r="J4" s="49"/>
      <c r="K4" s="49"/>
      <c r="L4" s="49"/>
      <c r="M4" s="49"/>
      <c r="N4" s="49"/>
      <c r="O4" s="53"/>
      <c r="P4" s="49"/>
      <c r="Q4" s="50"/>
    </row>
    <row r="5">
      <c r="A5" s="52"/>
      <c r="B5" s="49"/>
      <c r="C5" s="49"/>
      <c r="D5" s="49"/>
      <c r="E5" s="49"/>
      <c r="F5" s="49"/>
      <c r="G5" s="49"/>
      <c r="H5" s="49"/>
      <c r="I5" s="49"/>
      <c r="J5" s="49"/>
      <c r="K5" s="49"/>
      <c r="L5" s="49"/>
      <c r="M5" s="49"/>
      <c r="N5" s="49"/>
      <c r="O5" s="53"/>
      <c r="P5" s="49"/>
      <c r="Q5" s="50"/>
    </row>
    <row r="6" ht="13.5">
      <c r="A6" s="54"/>
      <c r="B6" s="55"/>
      <c r="C6" s="55"/>
      <c r="D6" s="55"/>
      <c r="E6" s="55"/>
      <c r="F6" s="55"/>
      <c r="G6" s="55"/>
      <c r="H6" s="55"/>
      <c r="I6" s="55"/>
      <c r="J6" s="55"/>
      <c r="K6" s="55"/>
      <c r="L6" s="55"/>
      <c r="M6" s="55"/>
      <c r="N6" s="55"/>
      <c r="O6" s="56"/>
      <c r="P6" s="49"/>
      <c r="Q6" s="50"/>
    </row>
    <row r="7" s="57" customFormat="1">
      <c r="P7" s="58"/>
      <c r="Q7" s="58"/>
    </row>
    <row r="8">
      <c r="F8" s="131">
        <v>20</v>
      </c>
      <c r="J8" s="51" t="s">
        <v>100</v>
      </c>
      <c r="K8" s="51" t="e">
        <f>LOOKUP(AUX!$E$10,AUX!$B:$B,AUX!$A:$A)</f>
        <v>#N/A</v>
      </c>
      <c r="P8" s="50"/>
      <c r="Q8" s="50"/>
    </row>
    <row r="9" ht="15.75" customHeight="1">
      <c r="B9" s="597" t="s">
        <v>101</v>
      </c>
      <c r="C9" s="597"/>
      <c r="D9" s="597"/>
      <c r="E9" s="597"/>
      <c r="J9" s="51" t="s">
        <v>1</v>
      </c>
      <c r="K9" s="51" t="str">
        <f>LOOKUP(AUX!$E$11,AUX!$E1:$E5,AUX!$D1:$D5)</f>
        <v>6 meses</v>
      </c>
      <c r="P9" s="50"/>
      <c r="Q9" s="50"/>
    </row>
    <row r="10">
      <c r="P10" s="50"/>
      <c r="Q10" s="50"/>
    </row>
    <row r="11">
      <c r="P11" s="50"/>
      <c r="Q11" s="50"/>
    </row>
    <row r="12" ht="13.5">
      <c r="P12" s="50"/>
      <c r="Q12" s="50"/>
    </row>
    <row r="13" ht="16.5" customHeight="1">
      <c r="C13" s="768" t="s">
        <v>395</v>
      </c>
      <c r="D13" s="769"/>
      <c r="E13" s="769"/>
      <c r="F13" s="769"/>
      <c r="G13" s="769"/>
      <c r="H13" s="769"/>
      <c r="I13" s="769"/>
      <c r="J13" s="769"/>
      <c r="K13" s="769"/>
      <c r="L13" s="769"/>
      <c r="M13" s="770"/>
      <c r="P13" s="50"/>
      <c r="Q13" s="50"/>
    </row>
    <row r="14" ht="15.75">
      <c r="B14" s="164"/>
      <c r="C14" s="771" t="s">
        <v>182</v>
      </c>
      <c r="D14" s="772"/>
      <c r="E14" s="772"/>
      <c r="F14" s="772"/>
      <c r="G14" s="772"/>
      <c r="H14" s="772"/>
      <c r="I14" s="772"/>
      <c r="J14" s="772"/>
      <c r="K14" s="772"/>
      <c r="L14" s="772"/>
      <c r="M14" s="773"/>
      <c r="N14" s="164"/>
      <c r="O14" s="164"/>
      <c r="P14" s="344"/>
      <c r="Q14" s="50"/>
    </row>
    <row r="15">
      <c r="C15" s="141"/>
      <c r="D15" s="142"/>
      <c r="E15" s="142"/>
      <c r="F15" s="142"/>
      <c r="G15" s="142"/>
      <c r="H15" s="142"/>
      <c r="I15" s="142"/>
      <c r="J15" s="142"/>
      <c r="K15" s="142"/>
      <c r="L15" s="142"/>
      <c r="M15" s="143"/>
      <c r="N15" s="50"/>
      <c r="O15" s="50"/>
      <c r="P15" s="50"/>
      <c r="Q15" s="50"/>
    </row>
    <row r="16" ht="15.75" customHeight="1">
      <c r="B16" s="209"/>
      <c r="C16" s="145" t="e">
        <f>INDEX(AUX!$G$1:$IV$1,1,AUX!$E$10+(AUX!$E$11*AUX!G$2))</f>
        <v>#VALUE!</v>
      </c>
      <c r="D16" s="146">
        <f>INDEX(AUX!$G$1:$IV$1,1,AUX!$E$10+(AUX!$E$11*AUX!H$2))</f>
        <v>38899</v>
      </c>
      <c r="E16" s="146">
        <f>INDEX(AUX!$G$1:$IV$1,1,AUX!$E$10+(AUX!$E$11*AUX!I$2))</f>
        <v>39083</v>
      </c>
      <c r="F16" s="146">
        <f>INDEX(AUX!$G$1:$IV$1,1,AUX!$E$10+(AUX!$E$11*AUX!J$2))</f>
        <v>39264</v>
      </c>
      <c r="G16" s="146">
        <f>INDEX(AUX!$G$1:$IV$1,1,AUX!$E$10+(AUX!$E$11*AUX!K$2))</f>
        <v>39448</v>
      </c>
      <c r="H16" s="146">
        <f>INDEX(AUX!$G$1:$IV$1,1,AUX!$E$10+(AUX!$E$11*AUX!L$2))</f>
        <v>39630</v>
      </c>
      <c r="I16" s="146">
        <f>INDEX(AUX!$G$1:$IV$1,1,AUX!$E$10+(AUX!$E$11*AUX!M$2))</f>
        <v>39814</v>
      </c>
      <c r="J16" s="146">
        <f>INDEX(AUX!$G$1:$IV$1,1,AUX!$E$10+(AUX!$E$11*AUX!N$2))</f>
        <v>39995</v>
      </c>
      <c r="K16" s="146">
        <f>INDEX(AUX!$G$1:$IV$1,1,AUX!$E$10+(AUX!$E$11*AUX!O$2))</f>
        <v>40179</v>
      </c>
      <c r="L16" s="146">
        <f>INDEX(AUX!$G$1:$IV$1,1,AUX!$E$10+(AUX!$E$11*AUX!P$2))</f>
        <v>40360</v>
      </c>
      <c r="M16" s="147">
        <f>INDEX(AUX!$G$1:$IV$1,1,AUX!$E$10+(AUX!$E$11*AUX!Q$2))</f>
        <v>40544</v>
      </c>
      <c r="N16" s="201"/>
      <c r="O16" s="50"/>
      <c r="P16" s="50"/>
    </row>
    <row r="17" ht="15.75" customHeight="1">
      <c r="B17" s="288"/>
      <c r="C17" s="745" t="s">
        <v>392</v>
      </c>
      <c r="D17" s="746"/>
      <c r="E17" s="746"/>
      <c r="F17" s="746"/>
      <c r="G17" s="746"/>
      <c r="H17" s="746"/>
      <c r="I17" s="746"/>
      <c r="J17" s="746"/>
      <c r="K17" s="746"/>
      <c r="L17" s="746"/>
      <c r="M17" s="747"/>
      <c r="N17" s="201"/>
      <c r="O17" s="201"/>
      <c r="P17" s="50"/>
      <c r="Q17" s="50"/>
    </row>
    <row r="18" ht="15.75" customHeight="1">
      <c r="B18" s="334" t="str">
        <f>INDEX($B$162:$H$181,$F$8,1)</f>
        <v>Total</v>
      </c>
      <c r="C18" s="289" t="str">
        <f>IF(INDEX($C$393:$II$412,$F$8,AUX!$E$10+(AUX!$E$11*AUX!G$2))="","--",INDEX($C$393:$II$412,$F$8,AUX!$E$10+(AUX!$E$11*AUX!G$2)))</f>
        <v>--</v>
      </c>
      <c r="D18" s="290" t="str">
        <f>IF(INDEX($C$393:$II$412,$F$8,AUX!$E$10+(AUX!$E$11*AUX!H$2))="","--",INDEX($C$393:$II$412,$F$8,AUX!$E$10+(AUX!$E$11*AUX!H$2)))</f>
        <v>--</v>
      </c>
      <c r="E18" s="290" t="str">
        <f>IF(INDEX($C$393:$II$412,$F$8,AUX!$E$10+(AUX!$E$11*AUX!I$2))="","--",INDEX($C$393:$II$412,$F$8,AUX!$E$10+(AUX!$E$11*AUX!I$2)))</f>
        <v>--</v>
      </c>
      <c r="F18" s="290" t="str">
        <f>IF(INDEX($C$393:$II$412,$F$8,AUX!$E$10+(AUX!$E$11*AUX!J$2))="","--",INDEX($C$393:$II$412,$F$8,AUX!$E$10+(AUX!$E$11*AUX!J$2)))</f>
        <v>--</v>
      </c>
      <c r="G18" s="290" t="str">
        <f>IF(INDEX($C$393:$II$412,$F$8,AUX!$E$10+(AUX!$E$11*AUX!K$2))="","--",INDEX($C$393:$II$412,$F$8,AUX!$E$10+(AUX!$E$11*AUX!K$2)))</f>
        <v>--</v>
      </c>
      <c r="H18" s="290" t="str">
        <f>IF(INDEX($C$393:$II$412,$F$8,AUX!$E$10+(AUX!$E$11*AUX!L$2))="","--",INDEX($C$393:$II$412,$F$8,AUX!$E$10+(AUX!$E$11*AUX!L$2)))</f>
        <v>--</v>
      </c>
      <c r="I18" s="290" t="str">
        <f>IF(INDEX($C$393:$II$412,$F$8,AUX!$E$10+(AUX!$E$11*AUX!M$2))="","--",INDEX($C$393:$II$412,$F$8,AUX!$E$10+(AUX!$E$11*AUX!M$2)))</f>
        <v>--</v>
      </c>
      <c r="J18" s="290" t="str">
        <f>IF(INDEX($C$393:$II$412,$F$8,AUX!$E$10+(AUX!$E$11*AUX!N$2))="","--",INDEX($C$393:$II$412,$F$8,AUX!$E$10+(AUX!$E$11*AUX!N$2)))</f>
        <v>--</v>
      </c>
      <c r="K18" s="290" t="str">
        <f>IF(INDEX($C$393:$II$412,$F$8,AUX!$E$10+(AUX!$E$11*AUX!O$2))="","--",INDEX($C$393:$II$412,$F$8,AUX!$E$10+(AUX!$E$11*AUX!O$2)))</f>
        <v>--</v>
      </c>
      <c r="L18" s="290" t="str">
        <f>IF(INDEX($C$393:$II$412,$F$8,AUX!$E$10+(AUX!$E$11*AUX!P$2))="","--",INDEX($C$393:$II$412,$F$8,AUX!$E$10+(AUX!$E$11*AUX!P$2)))</f>
        <v>--</v>
      </c>
      <c r="M18" s="291" t="str">
        <f>IF(INDEX($C$393:$II$412,$F$8,AUX!$E$10+(AUX!$E$11*AUX!Q$2))="","--",INDEX($C$393:$II$412,$F$8,AUX!$E$10+(AUX!$E$11*AUX!Q$2)))</f>
        <v>--</v>
      </c>
      <c r="N18" s="201"/>
      <c r="O18" s="50"/>
      <c r="P18" s="50"/>
    </row>
    <row r="19" ht="15.75" customHeight="1">
      <c r="B19" s="209"/>
      <c r="C19" s="745" t="s">
        <v>183</v>
      </c>
      <c r="D19" s="746"/>
      <c r="E19" s="746"/>
      <c r="F19" s="746"/>
      <c r="G19" s="746"/>
      <c r="H19" s="746"/>
      <c r="I19" s="746"/>
      <c r="J19" s="746"/>
      <c r="K19" s="746"/>
      <c r="L19" s="746"/>
      <c r="M19" s="747"/>
      <c r="N19" s="201"/>
      <c r="O19" s="201"/>
      <c r="P19" s="50"/>
      <c r="Q19" s="50"/>
    </row>
    <row r="20" ht="15.75" customHeight="1">
      <c r="B20" s="209"/>
      <c r="C20" s="289" t="str">
        <f>IF(INDEX($C$231:$II$250,$F$8,AUX!$E$10+(AUX!$E$11*AUX!G$2))="","--",INDEX($C$231:$II$250,$F$8,AUX!$E$10+(AUX!$E$11*AUX!G$2)))</f>
        <v>--</v>
      </c>
      <c r="D20" s="290" t="str">
        <f>IF(INDEX($C$231:$II$250,$F$8,AUX!$E$10+(AUX!$E$11*AUX!H$2))="","--",INDEX($C$231:$II$250,$F$8,AUX!$E$10+(AUX!$E$11*AUX!H$2)))</f>
        <v>--</v>
      </c>
      <c r="E20" s="290" t="str">
        <f>IF(INDEX($C$231:$II$250,$F$8,AUX!$E$10+(AUX!$E$11*AUX!I$2))="","--",INDEX($C$231:$II$250,$F$8,AUX!$E$10+(AUX!$E$11*AUX!I$2)))</f>
        <v>--</v>
      </c>
      <c r="F20" s="290" t="str">
        <f>IF(INDEX($C$231:$II$250,$F$8,AUX!$E$10+(AUX!$E$11*AUX!J$2))="","--",INDEX($C$231:$II$250,$F$8,AUX!$E$10+(AUX!$E$11*AUX!J$2)))</f>
        <v>--</v>
      </c>
      <c r="G20" s="290" t="str">
        <f>IF(INDEX($C$231:$II$250,$F$8,AUX!$E$10+(AUX!$E$11*AUX!K$2))="","--",INDEX($C$231:$II$250,$F$8,AUX!$E$10+(AUX!$E$11*AUX!K$2)))</f>
        <v>--</v>
      </c>
      <c r="H20" s="290" t="str">
        <f>IF(INDEX($C$231:$II$250,$F$8,AUX!$E$10+(AUX!$E$11*AUX!L$2))="","--",INDEX($C$231:$II$250,$F$8,AUX!$E$10+(AUX!$E$11*AUX!L$2)))</f>
        <v>--</v>
      </c>
      <c r="I20" s="290" t="str">
        <f>IF(INDEX($C$231:$II$250,$F$8,AUX!$E$10+(AUX!$E$11*AUX!M$2))="","--",INDEX($C$231:$II$250,$F$8,AUX!$E$10+(AUX!$E$11*AUX!M$2)))</f>
        <v>--</v>
      </c>
      <c r="J20" s="290" t="str">
        <f>IF(INDEX($C$231:$II$250,$F$8,AUX!$E$10+(AUX!$E$11*AUX!N$2))="","--",INDEX($C$231:$II$250,$F$8,AUX!$E$10+(AUX!$E$11*AUX!N$2)))</f>
        <v>--</v>
      </c>
      <c r="K20" s="290" t="str">
        <f>IF(INDEX($C$231:$II$250,$F$8,AUX!$E$10+(AUX!$E$11*AUX!O$2))="","--",INDEX($C$231:$II$250,$F$8,AUX!$E$10+(AUX!$E$11*AUX!O$2)))</f>
        <v>--</v>
      </c>
      <c r="L20" s="290" t="str">
        <f>IF(INDEX($C$231:$II$250,$F$8,AUX!$E$10+(AUX!$E$11*AUX!P$2))="","--",INDEX($C$231:$II$250,$F$8,AUX!$E$10+(AUX!$E$11*AUX!P$2)))</f>
        <v>--</v>
      </c>
      <c r="M20" s="291" t="str">
        <f>IF(INDEX($C$231:$II$250,$F$8,AUX!$E$10+(AUX!$E$11*AUX!Q$2))="","--",INDEX($C$231:$II$250,$F$8,AUX!$E$10+(AUX!$E$11*AUX!Q$2)))</f>
        <v>--</v>
      </c>
      <c r="N20" s="201"/>
    </row>
    <row r="21" ht="15.75" customHeight="1">
      <c r="B21" s="209"/>
      <c r="C21" s="745" t="s">
        <v>396</v>
      </c>
      <c r="D21" s="746"/>
      <c r="E21" s="746"/>
      <c r="F21" s="746"/>
      <c r="G21" s="746"/>
      <c r="H21" s="746"/>
      <c r="I21" s="746"/>
      <c r="J21" s="746"/>
      <c r="K21" s="746"/>
      <c r="L21" s="746"/>
      <c r="M21" s="747"/>
      <c r="N21" s="201"/>
      <c r="O21" s="201"/>
    </row>
    <row r="22" ht="15.75" customHeight="1">
      <c r="B22" s="209"/>
      <c r="C22" s="289" t="str">
        <f>IF(INDEX($C$416:$II$435,$F$8,AUX!$E$10+(AUX!$E$11*AUX!G$2))="","--",INDEX($C$416:$II$435,$F$8,AUX!$E$10+(AUX!$E$11*AUX!G$2)))</f>
        <v>--</v>
      </c>
      <c r="D22" s="290" t="str">
        <f>IF(INDEX($C$416:$II$435,$F$8,AUX!$E$10+(AUX!$E$11*AUX!H$2))="","--",INDEX($C$416:$II$435,$F$8,AUX!$E$10+(AUX!$E$11*AUX!H$2)))</f>
        <v>--</v>
      </c>
      <c r="E22" s="290" t="str">
        <f>IF(INDEX($C$416:$II$435,$F$8,AUX!$E$10+(AUX!$E$11*AUX!I$2))="","--",INDEX($C$416:$II$435,$F$8,AUX!$E$10+(AUX!$E$11*AUX!I$2)))</f>
        <v>--</v>
      </c>
      <c r="F22" s="290" t="str">
        <f>IF(INDEX($C$416:$II$435,$F$8,AUX!$E$10+(AUX!$E$11*AUX!J$2))="","--",INDEX($C$416:$II$435,$F$8,AUX!$E$10+(AUX!$E$11*AUX!J$2)))</f>
        <v>--</v>
      </c>
      <c r="G22" s="290" t="str">
        <f>IF(INDEX($C$416:$II$435,$F$8,AUX!$E$10+(AUX!$E$11*AUX!K$2))="","--",INDEX($C$416:$II$435,$F$8,AUX!$E$10+(AUX!$E$11*AUX!K$2)))</f>
        <v>--</v>
      </c>
      <c r="H22" s="290" t="str">
        <f>IF(INDEX($C$416:$II$435,$F$8,AUX!$E$10+(AUX!$E$11*AUX!L$2))="","--",INDEX($C$416:$II$435,$F$8,AUX!$E$10+(AUX!$E$11*AUX!L$2)))</f>
        <v>--</v>
      </c>
      <c r="I22" s="290" t="str">
        <f>IF(INDEX($C$416:$II$435,$F$8,AUX!$E$10+(AUX!$E$11*AUX!M$2))="","--",INDEX($C$416:$II$435,$F$8,AUX!$E$10+(AUX!$E$11*AUX!M$2)))</f>
        <v>--</v>
      </c>
      <c r="J22" s="290" t="str">
        <f>IF(INDEX($C$416:$II$435,$F$8,AUX!$E$10+(AUX!$E$11*AUX!N$2))="","--",INDEX($C$416:$II$435,$F$8,AUX!$E$10+(AUX!$E$11*AUX!N$2)))</f>
        <v>--</v>
      </c>
      <c r="K22" s="290" t="str">
        <f>IF(INDEX($C$416:$II$435,$F$8,AUX!$E$10+(AUX!$E$11*AUX!O$2))="","--",INDEX($C$416:$II$435,$F$8,AUX!$E$10+(AUX!$E$11*AUX!O$2)))</f>
        <v>--</v>
      </c>
      <c r="L22" s="290" t="str">
        <f>IF(INDEX($C$416:$II$435,$F$8,AUX!$E$10+(AUX!$E$11*AUX!P$2))="","--",INDEX($C$416:$II$435,$F$8,AUX!$E$10+(AUX!$E$11*AUX!P$2)))</f>
        <v>--</v>
      </c>
      <c r="M22" s="291" t="str">
        <f>IF(INDEX($C$416:$II$435,$F$8,AUX!$E$10+(AUX!$E$11*AUX!Q$2))="","--",INDEX($C$416:$II$435,$F$8,AUX!$E$10+(AUX!$E$11*AUX!Q$2)))</f>
        <v>--</v>
      </c>
      <c r="N22" s="335"/>
    </row>
    <row r="23" ht="15.75" customHeight="1">
      <c r="B23" s="209"/>
      <c r="C23" s="745" t="s">
        <v>397</v>
      </c>
      <c r="D23" s="746"/>
      <c r="E23" s="746"/>
      <c r="F23" s="746"/>
      <c r="G23" s="746"/>
      <c r="H23" s="746"/>
      <c r="I23" s="746"/>
      <c r="J23" s="746"/>
      <c r="K23" s="746"/>
      <c r="L23" s="746"/>
      <c r="M23" s="747"/>
      <c r="N23" s="202"/>
      <c r="O23" s="202"/>
    </row>
    <row r="24" ht="15.75" customHeight="1">
      <c r="B24" s="209"/>
      <c r="C24" s="289" t="str">
        <f>IF(INDEX($C$254:$II$273,$F$8,AUX!$E$10+(AUX!$E$11*AUX!G$2))="","--",INDEX($C$254:$II$273,$F$8,AUX!$E$10+(AUX!$E$11*AUX!G$2)))</f>
        <v>--</v>
      </c>
      <c r="D24" s="290" t="str">
        <f>IF(INDEX($C$254:$II$273,$F$8,AUX!$E$10+(AUX!$E$11*AUX!H$2))="","--",INDEX($C$254:$II$273,$F$8,AUX!$E$10+(AUX!$E$11*AUX!H$2)))</f>
        <v>--</v>
      </c>
      <c r="E24" s="290" t="str">
        <f>IF(INDEX($C$254:$II$273,$F$8,AUX!$E$10+(AUX!$E$11*AUX!I$2))="","--",INDEX($C$254:$II$273,$F$8,AUX!$E$10+(AUX!$E$11*AUX!I$2)))</f>
        <v>--</v>
      </c>
      <c r="F24" s="290" t="str">
        <f>IF(INDEX($C$254:$II$273,$F$8,AUX!$E$10+(AUX!$E$11*AUX!J$2))="","--",INDEX($C$254:$II$273,$F$8,AUX!$E$10+(AUX!$E$11*AUX!J$2)))</f>
        <v>--</v>
      </c>
      <c r="G24" s="290" t="str">
        <f>IF(INDEX($C$254:$II$273,$F$8,AUX!$E$10+(AUX!$E$11*AUX!K$2))="","--",INDEX($C$254:$II$273,$F$8,AUX!$E$10+(AUX!$E$11*AUX!K$2)))</f>
        <v>--</v>
      </c>
      <c r="H24" s="290" t="str">
        <f>IF(INDEX($C$254:$II$273,$F$8,AUX!$E$10+(AUX!$E$11*AUX!L$2))="","--",INDEX($C$254:$II$273,$F$8,AUX!$E$10+(AUX!$E$11*AUX!L$2)))</f>
        <v>--</v>
      </c>
      <c r="I24" s="290" t="str">
        <f>IF(INDEX($C$254:$II$273,$F$8,AUX!$E$10+(AUX!$E$11*AUX!M$2))="","--",INDEX($C$254:$II$273,$F$8,AUX!$E$10+(AUX!$E$11*AUX!M$2)))</f>
        <v>--</v>
      </c>
      <c r="J24" s="290" t="str">
        <f>IF(INDEX($C$254:$II$273,$F$8,AUX!$E$10+(AUX!$E$11*AUX!N$2))="","--",INDEX($C$254:$II$273,$F$8,AUX!$E$10+(AUX!$E$11*AUX!N$2)))</f>
        <v>--</v>
      </c>
      <c r="K24" s="290" t="str">
        <f>IF(INDEX($C$254:$II$273,$F$8,AUX!$E$10+(AUX!$E$11*AUX!O$2))="","--",INDEX($C$254:$II$273,$F$8,AUX!$E$10+(AUX!$E$11*AUX!O$2)))</f>
        <v>--</v>
      </c>
      <c r="L24" s="290" t="str">
        <f>IF(INDEX($C$254:$II$273,$F$8,AUX!$E$10+(AUX!$E$11*AUX!P$2))="","--",INDEX($C$254:$II$273,$F$8,AUX!$E$10+(AUX!$E$11*AUX!P$2)))</f>
        <v>--</v>
      </c>
      <c r="M24" s="291" t="str">
        <f>IF(INDEX($C$254:$II$273,$F$8,AUX!$E$10+(AUX!$E$11*AUX!Q$2))="","--",INDEX($C$254:$II$273,$F$8,AUX!$E$10+(AUX!$E$11*AUX!Q$2)))</f>
        <v>--</v>
      </c>
      <c r="N24" s="50"/>
    </row>
    <row r="25" ht="15.75" customHeight="1">
      <c r="B25" s="209"/>
      <c r="C25" s="745" t="s">
        <v>106</v>
      </c>
      <c r="D25" s="746"/>
      <c r="E25" s="746"/>
      <c r="F25" s="746"/>
      <c r="G25" s="746"/>
      <c r="H25" s="746"/>
      <c r="I25" s="746"/>
      <c r="J25" s="746"/>
      <c r="K25" s="746"/>
      <c r="L25" s="746"/>
      <c r="M25" s="747"/>
      <c r="N25" s="50"/>
      <c r="O25" s="50"/>
    </row>
    <row r="26" ht="15.75" customHeight="1">
      <c r="B26" s="209"/>
      <c r="C26" s="292" t="str">
        <f>IF(INDEX($C$277:$II$296,$F$8,AUX!$E$10+(AUX!$E$11*AUX!G$2))="","--",INDEX($C$277:$II$296,$F$8,AUX!$E$10+(AUX!$E$11*AUX!G$2)))</f>
        <v>--</v>
      </c>
      <c r="D26" s="293" t="str">
        <f>IF(INDEX($C$277:$II$296,$F$8,AUX!$E$10+(AUX!$E$11*AUX!H$2))="","--",INDEX($C$277:$II$296,$F$8,AUX!$E$10+(AUX!$E$11*AUX!H$2)))</f>
        <v>--</v>
      </c>
      <c r="E26" s="293" t="str">
        <f>IF(INDEX($C$277:$II$296,$F$8,AUX!$E$10+(AUX!$E$11*AUX!I$2))="","--",INDEX($C$277:$II$296,$F$8,AUX!$E$10+(AUX!$E$11*AUX!I$2)))</f>
        <v>--</v>
      </c>
      <c r="F26" s="293" t="str">
        <f>IF(INDEX($C$277:$II$296,$F$8,AUX!$E$10+(AUX!$E$11*AUX!J$2))="","--",INDEX($C$277:$II$296,$F$8,AUX!$E$10+(AUX!$E$11*AUX!J$2)))</f>
        <v>--</v>
      </c>
      <c r="G26" s="293" t="str">
        <f>IF(INDEX($C$277:$II$296,$F$8,AUX!$E$10+(AUX!$E$11*AUX!K$2))="","--",INDEX($C$277:$II$296,$F$8,AUX!$E$10+(AUX!$E$11*AUX!K$2)))</f>
        <v>--</v>
      </c>
      <c r="H26" s="293" t="str">
        <f>IF(INDEX($C$277:$II$296,$F$8,AUX!$E$10+(AUX!$E$11*AUX!L$2))="","--",INDEX($C$277:$II$296,$F$8,AUX!$E$10+(AUX!$E$11*AUX!L$2)))</f>
        <v>--</v>
      </c>
      <c r="I26" s="293" t="str">
        <f>IF(INDEX($C$277:$II$296,$F$8,AUX!$E$10+(AUX!$E$11*AUX!M$2))="","--",INDEX($C$277:$II$296,$F$8,AUX!$E$10+(AUX!$E$11*AUX!M$2)))</f>
        <v>--</v>
      </c>
      <c r="J26" s="293" t="str">
        <f>IF(INDEX($C$277:$II$296,$F$8,AUX!$E$10+(AUX!$E$11*AUX!N$2))="","--",INDEX($C$277:$II$296,$F$8,AUX!$E$10+(AUX!$E$11*AUX!N$2)))</f>
        <v>--</v>
      </c>
      <c r="K26" s="293" t="str">
        <f>IF(INDEX($C$277:$II$296,$F$8,AUX!$E$10+(AUX!$E$11*AUX!O$2))="","--",INDEX($C$277:$II$296,$F$8,AUX!$E$10+(AUX!$E$11*AUX!O$2)))</f>
        <v>--</v>
      </c>
      <c r="L26" s="293" t="str">
        <f>IF(INDEX($C$277:$II$296,$F$8,AUX!$E$10+(AUX!$E$11*AUX!P$2))="","--",INDEX($C$277:$II$296,$F$8,AUX!$E$10+(AUX!$E$11*AUX!P$2)))</f>
        <v>--</v>
      </c>
      <c r="M26" s="294" t="str">
        <f>IF(INDEX($C$277:$II$296,$F$8,AUX!$E$10+(AUX!$E$11*AUX!Q$2))="","--",INDEX($C$277:$II$296,$F$8,AUX!$E$10+(AUX!$E$11*AUX!Q$2)))</f>
        <v>--</v>
      </c>
    </row>
    <row r="27" ht="12.75" customHeight="1">
      <c r="C27" s="754" t="s">
        <v>398</v>
      </c>
      <c r="D27" s="754"/>
      <c r="E27" s="754"/>
      <c r="F27" s="754"/>
      <c r="G27" s="754"/>
      <c r="H27" s="754"/>
      <c r="I27" s="754"/>
      <c r="J27" s="754"/>
      <c r="K27" s="754"/>
      <c r="L27" s="754"/>
      <c r="M27" s="754"/>
    </row>
    <row r="28" ht="13.5">
      <c r="C28" s="336"/>
      <c r="D28" s="336"/>
      <c r="E28" s="336"/>
      <c r="F28" s="336"/>
      <c r="G28" s="336"/>
      <c r="H28" s="336"/>
      <c r="I28" s="336"/>
      <c r="J28" s="336"/>
      <c r="K28" s="336"/>
      <c r="L28" s="336"/>
    </row>
    <row r="29" ht="14.25" customHeight="1">
      <c r="C29" s="762" t="s">
        <v>399</v>
      </c>
      <c r="D29" s="763"/>
      <c r="E29" s="763"/>
      <c r="F29" s="763"/>
      <c r="G29" s="763"/>
      <c r="H29" s="763"/>
      <c r="I29" s="763"/>
      <c r="J29" s="763"/>
      <c r="K29" s="763"/>
      <c r="L29" s="763"/>
      <c r="M29" s="764"/>
    </row>
    <row r="30" ht="13.5">
      <c r="C30" s="765"/>
      <c r="D30" s="766"/>
      <c r="E30" s="766"/>
      <c r="F30" s="766"/>
      <c r="G30" s="766"/>
      <c r="H30" s="766"/>
      <c r="I30" s="766"/>
      <c r="J30" s="766"/>
      <c r="K30" s="766"/>
      <c r="L30" s="766"/>
      <c r="M30" s="767"/>
    </row>
    <row r="86"/>
    <row r="88" ht="13.5" customHeight="1">
      <c r="F88" s="131">
        <v>4</v>
      </c>
    </row>
    <row r="89">
      <c r="C89" s="761" t="s">
        <v>400</v>
      </c>
      <c r="D89" s="761"/>
    </row>
    <row r="115">
      <c r="D115" s="51" t="s">
        <v>401</v>
      </c>
      <c r="F115" s="51" t="str">
        <f>IF(INDEX($B$162:$H$181,$F$8,7)=0, "-", INDEX($B$162:$H$181,$F$8,7))</f>
      </c>
    </row>
    <row r="116">
      <c r="D116" s="51" t="s">
        <v>188</v>
      </c>
      <c r="F116" s="51" t="str">
        <f>IF(INDEX($B$185:$H$204,$F$8,7)=0, "-", INDEX($B$185:$H$204,$F$8,7))</f>
      </c>
    </row>
    <row r="117">
      <c r="D117" s="51" t="s">
        <v>402</v>
      </c>
      <c r="F117" s="51" t="str">
        <f>IF(INDEX($B$231:$H$250,$F$8,7)=0, "-", INDEX($B$231:$H$250,$F$8,7))</f>
      </c>
    </row>
    <row r="118">
      <c r="D118" s="51" t="s">
        <v>403</v>
      </c>
      <c r="F118" s="51" t="str">
        <f>IF(INDEX($B$254:$H$273,$F$8,7)=0, "-", INDEX($B$254:$H$273,$F$8,7))</f>
      </c>
    </row>
    <row r="119">
      <c r="D119" s="51" t="s">
        <v>108</v>
      </c>
    </row>
    <row r="160" hidden="1" ht="15" customHeight="1">
      <c r="C160" s="686" t="s">
        <v>382</v>
      </c>
      <c r="D160" s="687"/>
      <c r="E160" s="687"/>
      <c r="F160" s="687"/>
      <c r="G160" s="687"/>
      <c r="H160" s="687"/>
      <c r="I160" s="687"/>
      <c r="J160" s="687"/>
      <c r="K160" s="687"/>
      <c r="L160" s="687"/>
      <c r="M160" s="687"/>
      <c r="N160" s="687"/>
      <c r="O160" s="687"/>
      <c r="P160" s="687"/>
      <c r="Q160" s="687"/>
      <c r="R160" s="687"/>
      <c r="S160" s="687"/>
      <c r="T160" s="687"/>
      <c r="U160" s="687"/>
      <c r="V160" s="687"/>
      <c r="W160" s="687"/>
      <c r="X160" s="687"/>
      <c r="Y160" s="687"/>
      <c r="Z160" s="687"/>
      <c r="AA160" s="687"/>
      <c r="AB160" s="688"/>
    </row>
    <row r="161" hidden="1" ht="15" customHeight="1">
      <c r="C161" s="435" t="str">
        <f> IF(C181&lt;&gt;"",TEXT(AUX!G$1,"dd-MMM-aa"),"")</f>
      </c>
      <c r="D161" s="435" t="str">
        <f> IF(D181&lt;&gt;"",TEXT(AUX!H$1,"dd-MMM-aa"),"")</f>
      </c>
      <c r="E161" s="435" t="str">
        <f> IF(E181&lt;&gt;"",TEXT(AUX!I$1,"dd-MMM-aa"),"")</f>
      </c>
      <c r="F161" s="435" t="str">
        <f> IF(F181&lt;&gt;"",TEXT(AUX!J$1,"dd-MMM-aa"),"")</f>
      </c>
      <c r="G161" s="435" t="str">
        <f> IF(G181&lt;&gt;"",TEXT(AUX!K$1,"dd-MMM-aa"),"")</f>
      </c>
      <c r="H161" s="435" t="str">
        <f> IF(H181&lt;&gt;"",TEXT(AUX!L$1,"dd-MMM-aa"),"")</f>
      </c>
      <c r="I161" s="435" t="str">
        <f> IF(I181&lt;&gt;"",TEXT(AUX!M$1,"dd-MMM-aa"),"")</f>
      </c>
      <c r="J161" s="435" t="str">
        <f> IF(J181&lt;&gt;"",TEXT(AUX!N$1,"dd-MMM-aa"),"")</f>
      </c>
      <c r="K161" s="435" t="str">
        <f> IF(K181&lt;&gt;"",TEXT(AUX!O$1,"dd-MMM-aa"),"")</f>
      </c>
      <c r="L161" s="435" t="str">
        <f> IF(L181&lt;&gt;"",TEXT(AUX!P$1,"dd-MMM-aa"),"")</f>
      </c>
      <c r="M161" s="435" t="str">
        <f> IF(M181&lt;&gt;"",TEXT(AUX!Q$1,"dd-MMM-aa"),"")</f>
      </c>
      <c r="N161" s="435" t="str">
        <f> IF(N181&lt;&gt;"",TEXT(AUX!R$1,"dd-MMM-aa"),"")</f>
      </c>
      <c r="O161" s="435" t="str">
        <f> IF(O181&lt;&gt;"",TEXT(AUX!S$1,"dd-MMM-aa"),"")</f>
      </c>
      <c r="P161" s="435" t="str">
        <f> IF(P181&lt;&gt;"",TEXT(AUX!T$1,"dd-MMM-aa"),"")</f>
      </c>
      <c r="Q161" s="435" t="str">
        <f> IF(Q181&lt;&gt;"",TEXT(AUX!U$1,"dd-MMM-aa"),"")</f>
      </c>
      <c r="R161" s="435" t="str">
        <f> IF(R181&lt;&gt;"",TEXT(AUX!V$1,"dd-MMM-aa"),"")</f>
      </c>
      <c r="S161" s="435" t="str">
        <f> IF(S181&lt;&gt;"",TEXT(AUX!W$1,"dd-MMM-aa"),"")</f>
      </c>
      <c r="T161" s="435" t="str">
        <f> IF(T181&lt;&gt;"",TEXT(AUX!X$1,"dd-MMM-aa"),"")</f>
      </c>
      <c r="U161" s="435" t="str">
        <f> IF(U181&lt;&gt;"",TEXT(AUX!Y$1,"dd-MMM-aa"),"")</f>
      </c>
      <c r="V161" s="435" t="str">
        <f> IF(V181&lt;&gt;"",TEXT(AUX!Z$1,"dd-MMM-aa"),"")</f>
      </c>
      <c r="W161" s="435" t="str">
        <f> IF(W181&lt;&gt;"",TEXT(AUX!AA$1,"dd-MMM-aa"),"")</f>
      </c>
      <c r="X161" s="435" t="str">
        <f> IF(X181&lt;&gt;"",TEXT(AUX!AB$1,"dd-MMM-aa"),"")</f>
      </c>
      <c r="Y161" s="435" t="str">
        <f> IF(Y181&lt;&gt;"",TEXT(AUX!AC$1,"dd-MMM-aa"),"")</f>
      </c>
      <c r="Z161" s="435" t="str">
        <f> IF(Z181&lt;&gt;"",TEXT(AUX!AD$1,"dd-MMM-aa"),"")</f>
      </c>
      <c r="AA161" s="435" t="str">
        <f> IF(AA181&lt;&gt;"",TEXT(AUX!AE$1,"dd-MMM-aa"),"")</f>
      </c>
      <c r="AB161" s="497" t="str">
        <f> IF(AB181&lt;&gt;"",TEXT(AUX!AF$1,"dd-MMM-aa"),"")</f>
      </c>
      <c r="AC161" s="496" t="str">
        <f> IF(AC181&lt;&gt;"",TEXT(AUX!AG$1,"dd-MMM-aa"),"")</f>
      </c>
      <c r="AD161" s="496" t="str">
        <f> IF(AD181&lt;&gt;"",TEXT(AUX!AH$1,"dd-MMM-aa"),"")</f>
      </c>
      <c r="AE161" s="496" t="str">
        <f> IF(AE181&lt;&gt;"",TEXT(AUX!AI$1,"dd-MMM-aa"),"")</f>
      </c>
      <c r="AF161" s="496" t="str">
        <f> IF(AF181&lt;&gt;"",TEXT(AUX!AJ$1,"dd-MMM-aa"),"")</f>
      </c>
      <c r="AG161" s="496" t="str">
        <f> IF(AG181&lt;&gt;"",TEXT(AUX!AK$1,"dd-MMM-aa"),"")</f>
      </c>
      <c r="AH161" s="496" t="str">
        <f> IF(AH181&lt;&gt;"",TEXT(AUX!AL$1,"dd-MMM-aa"),"")</f>
      </c>
      <c r="AI161" s="496" t="str">
        <f> IF(AI181&lt;&gt;"",TEXT(AUX!AM$1,"dd-MMM-aa"),"")</f>
      </c>
      <c r="AJ161" s="496" t="str">
        <f> IF(AJ181&lt;&gt;"",TEXT(AUX!AN$1,"dd-MMM-aa"),"")</f>
      </c>
      <c r="AK161" s="496" t="str">
        <f> IF(AK181&lt;&gt;"",TEXT(AUX!AO$1,"dd-MMM-aa"),"")</f>
      </c>
      <c r="AL161" s="496" t="str">
        <f> IF(AL181&lt;&gt;"",TEXT(AUX!AP$1,"dd-MMM-aa"),"")</f>
      </c>
      <c r="AM161" s="496" t="str">
        <f> IF(AM181&lt;&gt;"",TEXT(AUX!AQ$1,"dd-MMM-aa"),"")</f>
      </c>
      <c r="AN161" s="496" t="str">
        <f> IF(AN181&lt;&gt;"",TEXT(AUX!AR$1,"dd-MMM-aa"),"")</f>
      </c>
      <c r="AO161" s="496" t="str">
        <f> IF(AO181&lt;&gt;"",TEXT(AUX!AS$1,"dd-MMM-aa"),"")</f>
      </c>
      <c r="AP161" s="496" t="str">
        <f> IF(AP181&lt;&gt;"",TEXT(AUX!AT$1,"dd-MMM-aa"),"")</f>
      </c>
      <c r="AQ161" s="496" t="str">
        <f> IF(AQ181&lt;&gt;"",TEXT(AUX!AU$1,"dd-MMM-aa"),"")</f>
      </c>
      <c r="AR161" s="496" t="str">
        <f> IF(AR181&lt;&gt;"",TEXT(AUX!AV$1,"dd-MMM-aa"),"")</f>
      </c>
      <c r="AS161" s="496" t="str">
        <f> IF(AS181&lt;&gt;"",TEXT(AUX!AW$1,"dd-MMM-aa"),"")</f>
      </c>
      <c r="AT161" s="496" t="str">
        <f> IF(AT181&lt;&gt;"",TEXT(AUX!AX$1,"dd-MMM-aa"),"")</f>
      </c>
      <c r="AU161" s="496" t="str">
        <f> IF(AU181&lt;&gt;"",TEXT(AUX!AY$1,"dd-MMM-aa"),"")</f>
      </c>
      <c r="AV161" s="496" t="str">
        <f> IF(AV181&lt;&gt;"",TEXT(AUX!AZ$1,"dd-MMM-aa"),"")</f>
      </c>
      <c r="AW161" s="496" t="str">
        <f> IF(AW181&lt;&gt;"",TEXT(AUX!BA$1,"dd-MMM-aa"),"")</f>
      </c>
      <c r="AX161" s="496" t="str">
        <f> IF(AX181&lt;&gt;"",TEXT(AUX!BB$1,"dd-MMM-aa"),"")</f>
      </c>
      <c r="AY161" s="496" t="str">
        <f> IF(AY181&lt;&gt;"",TEXT(AUX!BC$1,"dd-MMM-aa"),"")</f>
      </c>
      <c r="AZ161" s="496" t="str">
        <f> IF(AZ181&lt;&gt;"",TEXT(AUX!BD$1,"dd-MMM-aa"),"")</f>
      </c>
      <c r="BA161" s="496" t="str">
        <f> IF(BA181&lt;&gt;"",TEXT(AUX!BE$1,"dd-MMM-aa"),"")</f>
      </c>
      <c r="BB161" s="496" t="str">
        <f> IF(BB181&lt;&gt;"",TEXT(AUX!BF$1,"dd-MMM-aa"),"")</f>
      </c>
      <c r="BC161" s="496" t="str">
        <f> IF(BC181&lt;&gt;"",TEXT(AUX!BG$1,"dd-MMM-aa"),"")</f>
      </c>
      <c r="BD161" s="496" t="str">
        <f> IF(BD181&lt;&gt;"",TEXT(AUX!BH$1,"dd-MMM-aa"),"")</f>
      </c>
      <c r="BE161" s="496" t="str">
        <f> IF(BE181&lt;&gt;"",TEXT(AUX!BI$1,"dd-MMM-aa"),"")</f>
      </c>
      <c r="BF161" s="496" t="str">
        <f> IF(BF181&lt;&gt;"",TEXT(AUX!BJ$1,"dd-MMM-aa"),"")</f>
      </c>
      <c r="BG161" s="496" t="str">
        <f> IF(BG181&lt;&gt;"",TEXT(AUX!BK$1,"dd-MMM-aa"),"")</f>
      </c>
      <c r="BH161" s="496" t="str">
        <f> IF(BH181&lt;&gt;"",TEXT(AUX!BL$1,"dd-MMM-aa"),"")</f>
      </c>
      <c r="BI161" s="496" t="str">
        <f> IF(BI181&lt;&gt;"",TEXT(AUX!BM$1,"dd-MMM-aa"),"")</f>
      </c>
      <c r="BJ161" s="496" t="str">
        <f> IF(BJ181&lt;&gt;"",TEXT(AUX!BN$1,"dd-MMM-aa"),"")</f>
      </c>
      <c r="BK161" s="496" t="str">
        <f> IF(BK181&lt;&gt;"",TEXT(AUX!BO$1,"dd-MMM-aa"),"")</f>
      </c>
      <c r="BL161" s="496" t="str">
        <f> IF(BL181&lt;&gt;"",TEXT(AUX!BP$1,"dd-MMM-aa"),"")</f>
      </c>
      <c r="BM161" s="496" t="str">
        <f> IF(BM181&lt;&gt;"",TEXT(AUX!BQ$1,"dd-MMM-aa"),"")</f>
      </c>
      <c r="BN161" s="496" t="str">
        <f> IF(BN181&lt;&gt;"",TEXT(AUX!BR$1,"dd-MMM-aa"),"")</f>
      </c>
      <c r="BO161" s="496" t="str">
        <f> IF(BO181&lt;&gt;"",TEXT(AUX!BS$1,"dd-MMM-aa"),"")</f>
      </c>
      <c r="BP161" s="496" t="str">
        <f> IF(BP181&lt;&gt;"",TEXT(AUX!BT$1,"dd-MMM-aa"),"")</f>
      </c>
      <c r="BQ161" s="496" t="str">
        <f> IF(BQ181&lt;&gt;"",TEXT(AUX!BU$1,"dd-MMM-aa"),"")</f>
      </c>
      <c r="BR161" s="496" t="str">
        <f> IF(BR181&lt;&gt;"",TEXT(AUX!BV$1,"dd-MMM-aa"),"")</f>
      </c>
      <c r="BS161" s="496" t="str">
        <f> IF(BS181&lt;&gt;"",TEXT(AUX!BW$1,"dd-MMM-aa"),"")</f>
      </c>
      <c r="BT161" s="496" t="str">
        <f> IF(BT181&lt;&gt;"",TEXT(AUX!BX$1,"dd-MMM-aa"),"")</f>
      </c>
      <c r="BU161" s="496" t="str">
        <f> IF(BU181&lt;&gt;"",TEXT(AUX!BY$1,"dd-MMM-aa"),"")</f>
      </c>
      <c r="BV161" s="496" t="str">
        <f> IF(BV181&lt;&gt;"",TEXT(AUX!BZ$1,"dd-MMM-aa"),"")</f>
      </c>
      <c r="BW161" s="496" t="str">
        <f> IF(BW181&lt;&gt;"",TEXT(AUX!CA$1,"dd-MMM-aa"),"")</f>
      </c>
      <c r="BX161" s="496" t="str">
        <f> IF(BX181&lt;&gt;"",TEXT(AUX!CB$1,"dd-MMM-aa"),"")</f>
      </c>
      <c r="BY161" s="496" t="str">
        <f> IF(BY181&lt;&gt;"",TEXT(AUX!CC$1,"dd-MMM-aa"),"")</f>
      </c>
      <c r="BZ161" s="496" t="str">
        <f> IF(BZ181&lt;&gt;"",TEXT(AUX!CD$1,"dd-MMM-aa"),"")</f>
      </c>
      <c r="CA161" s="496" t="str">
        <f> IF(CA181&lt;&gt;"",TEXT(AUX!CE$1,"dd-MMM-aa"),"")</f>
      </c>
      <c r="CB161" s="496" t="str">
        <f> IF(CB181&lt;&gt;"",TEXT(AUX!CF$1,"dd-MMM-aa"),"")</f>
      </c>
      <c r="CC161" s="496" t="str">
        <f> IF(CC181&lt;&gt;"",TEXT(AUX!CG$1,"dd-MMM-aa"),"")</f>
      </c>
      <c r="CD161" s="496" t="str">
        <f> IF(CD181&lt;&gt;"",TEXT(AUX!CH$1,"dd-MMM-aa"),"")</f>
      </c>
      <c r="CE161" s="496" t="str">
        <f> IF(CE181&lt;&gt;"",TEXT(AUX!CI$1,"dd-MMM-aa"),"")</f>
      </c>
      <c r="CF161" s="496" t="str">
        <f> IF(CF181&lt;&gt;"",TEXT(AUX!CJ$1,"dd-MMM-aa"),"")</f>
      </c>
      <c r="CG161" s="496" t="str">
        <f> IF(CG181&lt;&gt;"",TEXT(AUX!CK$1,"dd-MMM-aa"),"")</f>
      </c>
      <c r="CH161" s="496" t="str">
        <f> IF(CH181&lt;&gt;"",TEXT(AUX!CL$1,"dd-MMM-aa"),"")</f>
      </c>
      <c r="CI161" s="496" t="str">
        <f> IF(CI181&lt;&gt;"",TEXT(AUX!CM$1,"dd-MMM-aa"),"")</f>
      </c>
      <c r="CJ161" s="496" t="str">
        <f> IF(CJ181&lt;&gt;"",TEXT(AUX!CN$1,"dd-MMM-aa"),"")</f>
      </c>
      <c r="CK161" s="496" t="str">
        <f> IF(CK181&lt;&gt;"",TEXT(AUX!CO$1,"dd-MMM-aa"),"")</f>
      </c>
      <c r="CL161" s="496" t="str">
        <f> IF(CL181&lt;&gt;"",TEXT(AUX!CP$1,"dd-MMM-aa"),"")</f>
      </c>
      <c r="CM161" s="496" t="str">
        <f> IF(CM181&lt;&gt;"",TEXT(AUX!CQ$1,"dd-MMM-aa"),"")</f>
      </c>
      <c r="CN161" s="496" t="str">
        <f> IF(CN181&lt;&gt;"",TEXT(AUX!CR$1,"dd-MMM-aa"),"")</f>
      </c>
      <c r="CO161" s="496" t="str">
        <f> IF(CO181&lt;&gt;"",TEXT(AUX!CS$1,"dd-MMM-aa"),"")</f>
      </c>
      <c r="CP161" s="496" t="str">
        <f> IF(CP181&lt;&gt;"",TEXT(AUX!CT$1,"dd-MMM-aa"),"")</f>
      </c>
      <c r="CQ161" s="496" t="str">
        <f> IF(CQ181&lt;&gt;"",TEXT(AUX!CU$1,"dd-MMM-aa"),"")</f>
      </c>
      <c r="CR161" s="496" t="str">
        <f> IF(CR181&lt;&gt;"",TEXT(AUX!CV$1,"dd-MMM-aa"),"")</f>
      </c>
      <c r="CS161" s="496" t="str">
        <f> IF(CS181&lt;&gt;"",TEXT(AUX!CW$1,"dd-MMM-aa"),"")</f>
      </c>
      <c r="CT161" s="496" t="str">
        <f> IF(CT181&lt;&gt;"",TEXT(AUX!CX$1,"dd-MMM-aa"),"")</f>
      </c>
      <c r="CU161" s="496" t="str">
        <f> IF(CU181&lt;&gt;"",TEXT(AUX!CY$1,"dd-MMM-aa"),"")</f>
      </c>
      <c r="CV161" s="496" t="str">
        <f> IF(CV181&lt;&gt;"",TEXT(AUX!CZ$1,"dd-MMM-aa"),"")</f>
      </c>
      <c r="CW161" s="496" t="str">
        <f> IF(CW181&lt;&gt;"",TEXT(AUX!DA$1,"dd-MMM-aa"),"")</f>
      </c>
      <c r="CX161" s="496" t="str">
        <f> IF(CX181&lt;&gt;"",TEXT(AUX!DB$1,"dd-MMM-aa"),"")</f>
      </c>
      <c r="CY161" s="496" t="str">
        <f> IF(CY181&lt;&gt;"",TEXT(AUX!DC$1,"dd-MMM-aa"),"")</f>
      </c>
      <c r="CZ161" s="496" t="str">
        <f> IF(CZ181&lt;&gt;"",TEXT(AUX!DD$1,"dd-MMM-aa"),"")</f>
      </c>
      <c r="DA161" s="496" t="str">
        <f> IF(DA181&lt;&gt;"",TEXT(AUX!DE$1,"dd-MMM-aa"),"")</f>
      </c>
      <c r="DB161" s="496" t="str">
        <f> IF(DB181&lt;&gt;"",TEXT(AUX!DF$1,"dd-MMM-aa"),"")</f>
      </c>
      <c r="DC161" s="496" t="str">
        <f> IF(DC181&lt;&gt;"",TEXT(AUX!DG$1,"dd-MMM-aa"),"")</f>
      </c>
      <c r="DD161" s="496" t="str">
        <f> IF(DD181&lt;&gt;"",TEXT(AUX!DH$1,"dd-MMM-aa"),"")</f>
      </c>
      <c r="DE161" s="496" t="str">
        <f> IF(DE181&lt;&gt;"",TEXT(AUX!DI$1,"dd-MMM-aa"),"")</f>
      </c>
      <c r="DF161" s="496" t="str">
        <f> IF(DF181&lt;&gt;"",TEXT(AUX!DJ$1,"dd-MMM-aa"),"")</f>
      </c>
      <c r="DG161" s="496" t="str">
        <f> IF(DG181&lt;&gt;"",TEXT(AUX!DK$1,"dd-MMM-aa"),"")</f>
      </c>
      <c r="DH161" s="496" t="str">
        <f> IF(DH181&lt;&gt;"",TEXT(AUX!DL$1,"dd-MMM-aa"),"")</f>
      </c>
      <c r="DI161" s="496" t="str">
        <f> IF(DI181&lt;&gt;"",TEXT(AUX!DM$1,"dd-MMM-aa"),"")</f>
      </c>
      <c r="DJ161" s="496" t="str">
        <f> IF(DJ181&lt;&gt;"",TEXT(AUX!DN$1,"dd-MMM-aa"),"")</f>
      </c>
      <c r="DK161" s="496" t="str">
        <f> IF(DK181&lt;&gt;"",TEXT(AUX!DO$1,"dd-MMM-aa"),"")</f>
      </c>
      <c r="DL161" s="496" t="str">
        <f> IF(DL181&lt;&gt;"",TEXT(AUX!DP$1,"dd-MMM-aa"),"")</f>
      </c>
      <c r="DM161" s="496" t="str">
        <f> IF(DM181&lt;&gt;"",TEXT(AUX!DQ$1,"dd-MMM-aa"),"")</f>
      </c>
      <c r="DN161" s="496" t="str">
        <f> IF(DN181&lt;&gt;"",TEXT(AUX!DR$1,"dd-MMM-aa"),"")</f>
      </c>
      <c r="DO161" s="496" t="str">
        <f> IF(DO181&lt;&gt;"",TEXT(AUX!DS$1,"dd-MMM-aa"),"")</f>
      </c>
      <c r="DP161" s="496" t="str">
        <f> IF(DP181&lt;&gt;"",TEXT(AUX!DT$1,"dd-MMM-aa"),"")</f>
      </c>
      <c r="DQ161" s="496" t="str">
        <f> IF(DQ181&lt;&gt;"",TEXT(AUX!DU$1,"dd-MMM-aa"),"")</f>
      </c>
      <c r="DR161" s="496" t="str">
        <f> IF(DR181&lt;&gt;"",TEXT(AUX!DV$1,"dd-MMM-aa"),"")</f>
      </c>
      <c r="DS161" s="496" t="str">
        <f> IF(DS181&lt;&gt;"",TEXT(AUX!DW$1,"dd-MMM-aa"),"")</f>
      </c>
      <c r="DT161" s="496" t="str">
        <f> IF(DT181&lt;&gt;"",TEXT(AUX!DX$1,"dd-MMM-aa"),"")</f>
      </c>
      <c r="DU161" s="496" t="str">
        <f> IF(DU181&lt;&gt;"",TEXT(AUX!DY$1,"dd-MMM-aa"),"")</f>
      </c>
      <c r="DV161" s="496" t="str">
        <f> IF(DV181&lt;&gt;"",TEXT(AUX!DZ$1,"dd-MMM-aa"),"")</f>
      </c>
      <c r="DW161" s="496" t="str">
        <f> IF(DW181&lt;&gt;"",TEXT(AUX!EA$1,"dd-MMM-aa"),"")</f>
      </c>
      <c r="DX161" s="496" t="str">
        <f> IF(DX181&lt;&gt;"",TEXT(AUX!EB$1,"dd-MMM-aa"),"")</f>
      </c>
      <c r="DY161" s="496" t="str">
        <f> IF(DY181&lt;&gt;"",TEXT(AUX!EC$1,"dd-MMM-aa"),"")</f>
      </c>
      <c r="DZ161" s="496" t="str">
        <f> IF(DZ181&lt;&gt;"",TEXT(AUX!ED$1,"dd-MMM-aa"),"")</f>
      </c>
      <c r="EA161" s="496" t="str">
        <f> IF(EA181&lt;&gt;"",TEXT(AUX!EE$1,"dd-MMM-aa"),"")</f>
      </c>
      <c r="EB161" s="496" t="str">
        <f> IF(EB181&lt;&gt;"",TEXT(AUX!EF$1,"dd-MMM-aa"),"")</f>
      </c>
      <c r="EC161" s="496" t="str">
        <f> IF(EC181&lt;&gt;"",TEXT(AUX!EG$1,"dd-MMM-aa"),"")</f>
      </c>
      <c r="ED161" s="496" t="str">
        <f> IF(ED181&lt;&gt;"",TEXT(AUX!EH$1,"dd-MMM-aa"),"")</f>
      </c>
      <c r="EE161" s="496" t="str">
        <f> IF(EE181&lt;&gt;"",TEXT(AUX!EI$1,"dd-MMM-aa"),"")</f>
      </c>
      <c r="EF161" s="496" t="str">
        <f> IF(EF181&lt;&gt;"",TEXT(AUX!EJ$1,"dd-MMM-aa"),"")</f>
      </c>
      <c r="EG161" s="496" t="str">
        <f> IF(EG181&lt;&gt;"",TEXT(AUX!EK$1,"dd-MMM-aa"),"")</f>
      </c>
      <c r="EH161" s="496" t="str">
        <f> IF(EH181&lt;&gt;"",TEXT(AUX!EL$1,"dd-MMM-aa"),"")</f>
      </c>
      <c r="EI161" s="496" t="str">
        <f> IF(EI181&lt;&gt;"",TEXT(AUX!EM$1,"dd-MMM-aa"),"")</f>
      </c>
      <c r="EJ161" s="496" t="str">
        <f> IF(EJ181&lt;&gt;"",TEXT(AUX!EN$1,"dd-MMM-aa"),"")</f>
      </c>
      <c r="EK161" s="496" t="str">
        <f> IF(EK181&lt;&gt;"",TEXT(AUX!EO$1,"dd-MMM-aa"),"")</f>
      </c>
      <c r="EL161" s="496" t="str">
        <f> IF(EL181&lt;&gt;"",TEXT(AUX!EP$1,"dd-MMM-aa"),"")</f>
      </c>
      <c r="EM161" s="496" t="str">
        <f> IF(EM181&lt;&gt;"",TEXT(AUX!EQ$1,"dd-MMM-aa"),"")</f>
      </c>
      <c r="EN161" s="496" t="str">
        <f> IF(EN181&lt;&gt;"",TEXT(AUX!ER$1,"dd-MMM-aa"),"")</f>
      </c>
      <c r="EO161" s="496" t="str">
        <f> IF(EO181&lt;&gt;"",TEXT(AUX!ES$1,"dd-MMM-aa"),"")</f>
      </c>
      <c r="EP161" s="496" t="str">
        <f> IF(EP181&lt;&gt;"",TEXT(AUX!ET$1,"dd-MMM-aa"),"")</f>
      </c>
      <c r="EQ161" s="496" t="str">
        <f> IF(EQ181&lt;&gt;"",TEXT(AUX!EU$1,"dd-MMM-aa"),"")</f>
      </c>
      <c r="ER161" s="496" t="str">
        <f> IF(ER181&lt;&gt;"",TEXT(AUX!EV$1,"dd-MMM-aa"),"")</f>
      </c>
      <c r="ES161" s="496" t="str">
        <f> IF(ES181&lt;&gt;"",TEXT(AUX!EW$1,"dd-MMM-aa"),"")</f>
      </c>
      <c r="ET161" s="496" t="str">
        <f> IF(ET181&lt;&gt;"",TEXT(AUX!EX$1,"dd-MMM-aa"),"")</f>
      </c>
      <c r="EU161" s="496" t="str">
        <f> IF(EU181&lt;&gt;"",TEXT(AUX!EY$1,"dd-MMM-aa"),"")</f>
      </c>
      <c r="EV161" s="496" t="str">
        <f> IF(EV181&lt;&gt;"",TEXT(AUX!EZ$1,"dd-MMM-aa"),"")</f>
      </c>
      <c r="EW161" s="496" t="str">
        <f> IF(EW181&lt;&gt;"",TEXT(AUX!FA$1,"dd-MMM-aa"),"")</f>
      </c>
      <c r="EX161" s="496" t="str">
        <f> IF(EX181&lt;&gt;"",TEXT(AUX!FB$1,"dd-MMM-aa"),"")</f>
      </c>
      <c r="EY161" s="496" t="str">
        <f> IF(EY181&lt;&gt;"",TEXT(AUX!FC$1,"dd-MMM-aa"),"")</f>
      </c>
      <c r="EZ161" s="496" t="str">
        <f> IF(EZ181&lt;&gt;"",TEXT(AUX!FD$1,"dd-MMM-aa"),"")</f>
      </c>
      <c r="FA161" s="496" t="str">
        <f> IF(FA181&lt;&gt;"",TEXT(AUX!FE$1,"dd-MMM-aa"),"")</f>
      </c>
      <c r="FB161" s="496" t="str">
        <f> IF(FB181&lt;&gt;"",TEXT(AUX!FF$1,"dd-MMM-aa"),"")</f>
      </c>
      <c r="FC161" s="496" t="str">
        <f> IF(FC181&lt;&gt;"",TEXT(AUX!FG$1,"dd-MMM-aa"),"")</f>
      </c>
      <c r="FD161" s="496" t="str">
        <f> IF(FD181&lt;&gt;"",TEXT(AUX!FH$1,"dd-MMM-aa"),"")</f>
      </c>
      <c r="FE161" s="496" t="str">
        <f> IF(FE181&lt;&gt;"",TEXT(AUX!FI$1,"dd-MMM-aa"),"")</f>
      </c>
      <c r="FF161" s="496" t="str">
        <f> IF(FF181&lt;&gt;"",TEXT(AUX!FJ$1,"dd-MMM-aa"),"")</f>
      </c>
      <c r="FG161" s="496" t="str">
        <f> IF(FG181&lt;&gt;"",TEXT(AUX!FK$1,"dd-MMM-aa"),"")</f>
      </c>
      <c r="FH161" s="496" t="str">
        <f> IF(FH181&lt;&gt;"",TEXT(AUX!FL$1,"dd-MMM-aa"),"")</f>
      </c>
      <c r="FI161" s="496" t="str">
        <f> IF(FI181&lt;&gt;"",TEXT(AUX!FM$1,"dd-MMM-aa"),"")</f>
      </c>
      <c r="FJ161" s="496" t="str">
        <f> IF(FJ181&lt;&gt;"",TEXT(AUX!FN$1,"dd-MMM-aa"),"")</f>
      </c>
      <c r="FK161" s="496" t="str">
        <f> IF(FK181&lt;&gt;"",TEXT(AUX!FO$1,"dd-MMM-aa"),"")</f>
      </c>
      <c r="FL161" s="496" t="str">
        <f> IF(FL181&lt;&gt;"",TEXT(AUX!FP$1,"dd-MMM-aa"),"")</f>
      </c>
      <c r="FM161" s="496" t="str">
        <f> IF(FM181&lt;&gt;"",TEXT(AUX!FQ$1,"dd-MMM-aa"),"")</f>
      </c>
      <c r="FN161" s="496" t="str">
        <f> IF(FN181&lt;&gt;"",TEXT(AUX!FR$1,"dd-MMM-aa"),"")</f>
      </c>
      <c r="FO161" s="496" t="str">
        <f> IF(FO181&lt;&gt;"",TEXT(AUX!FS$1,"dd-MMM-aa"),"")</f>
      </c>
      <c r="FP161" s="496" t="str">
        <f> IF(FP181&lt;&gt;"",TEXT(AUX!FT$1,"dd-MMM-aa"),"")</f>
      </c>
      <c r="FQ161" s="496" t="str">
        <f> IF(FQ181&lt;&gt;"",TEXT(AUX!FU$1,"dd-MMM-aa"),"")</f>
      </c>
      <c r="FR161" s="496" t="str">
        <f> IF(FR181&lt;&gt;"",TEXT(AUX!FV$1,"dd-MMM-aa"),"")</f>
      </c>
      <c r="FS161" s="496" t="str">
        <f> IF(FS181&lt;&gt;"",TEXT(AUX!FW$1,"dd-MMM-aa"),"")</f>
      </c>
      <c r="FT161" s="496" t="str">
        <f> IF(FT181&lt;&gt;"",TEXT(AUX!FX$1,"dd-MMM-aa"),"")</f>
      </c>
      <c r="FU161" s="496" t="str">
        <f> IF(FU181&lt;&gt;"",TEXT(AUX!FY$1,"dd-MMM-aa"),"")</f>
      </c>
      <c r="FV161" s="496" t="str">
        <f> IF(FV181&lt;&gt;"",TEXT(AUX!FZ$1,"dd-MMM-aa"),"")</f>
      </c>
      <c r="FW161" s="496" t="str">
        <f> IF(FW181&lt;&gt;"",TEXT(AUX!GA$1,"dd-MMM-aa"),"")</f>
      </c>
      <c r="FX161" s="496" t="str">
        <f> IF(FX181&lt;&gt;"",TEXT(AUX!GB$1,"dd-MMM-aa"),"")</f>
      </c>
      <c r="FY161" s="496" t="str">
        <f> IF(FY181&lt;&gt;"",TEXT(AUX!GC$1,"dd-MMM-aa"),"")</f>
      </c>
      <c r="FZ161" s="496" t="str">
        <f> IF(FZ181&lt;&gt;"",TEXT(AUX!GD$1,"dd-MMM-aa"),"")</f>
      </c>
      <c r="GA161" s="496" t="str">
        <f> IF(GA181&lt;&gt;"",TEXT(AUX!GE$1,"dd-MMM-aa"),"")</f>
      </c>
      <c r="GB161" s="496" t="str">
        <f> IF(GB181&lt;&gt;"",TEXT(AUX!GF$1,"dd-MMM-aa"),"")</f>
      </c>
      <c r="GC161" s="496" t="str">
        <f> IF(GC181&lt;&gt;"",TEXT(AUX!GG$1,"dd-MMM-aa"),"")</f>
      </c>
      <c r="GD161" s="496" t="str">
        <f> IF(GD181&lt;&gt;"",TEXT(AUX!GH$1,"dd-MMM-aa"),"")</f>
      </c>
      <c r="GE161" s="496" t="str">
        <f> IF(GE181&lt;&gt;"",TEXT(AUX!GI$1,"dd-MMM-aa"),"")</f>
      </c>
      <c r="GF161" s="496" t="str">
        <f> IF(GF181&lt;&gt;"",TEXT(AUX!GJ$1,"dd-MMM-aa"),"")</f>
      </c>
      <c r="GG161" s="496" t="str">
        <f> IF(GG181&lt;&gt;"",TEXT(AUX!GK$1,"dd-MMM-aa"),"")</f>
      </c>
      <c r="GH161" s="496" t="str">
        <f> IF(GH181&lt;&gt;"",TEXT(AUX!GL$1,"dd-MMM-aa"),"")</f>
      </c>
      <c r="GI161" s="496" t="str">
        <f> IF(GI181&lt;&gt;"",TEXT(AUX!GM$1,"dd-MMM-aa"),"")</f>
      </c>
      <c r="GJ161" s="496" t="str">
        <f> IF(GJ181&lt;&gt;"",TEXT(AUX!GN$1,"dd-MMM-aa"),"")</f>
      </c>
      <c r="GK161" s="496" t="str">
        <f> IF(GK181&lt;&gt;"",TEXT(AUX!GO$1,"dd-MMM-aa"),"")</f>
      </c>
      <c r="GL161" s="496" t="str">
        <f> IF(GL181&lt;&gt;"",TEXT(AUX!GP$1,"dd-MMM-aa"),"")</f>
      </c>
      <c r="GM161" s="496" t="str">
        <f> IF(GM181&lt;&gt;"",TEXT(AUX!GQ$1,"dd-MMM-aa"),"")</f>
      </c>
      <c r="GN161" s="496" t="str">
        <f> IF(GN181&lt;&gt;"",TEXT(AUX!GR$1,"dd-MMM-aa"),"")</f>
      </c>
      <c r="GO161" s="496" t="str">
        <f> IF(GO181&lt;&gt;"",TEXT(AUX!GS$1,"dd-MMM-aa"),"")</f>
      </c>
      <c r="GP161" s="496" t="str">
        <f> IF(GP181&lt;&gt;"",TEXT(AUX!GT$1,"dd-MMM-aa"),"")</f>
      </c>
      <c r="GQ161" s="496" t="str">
        <f> IF(GQ181&lt;&gt;"",TEXT(AUX!GU$1,"dd-MMM-aa"),"")</f>
      </c>
      <c r="GR161" s="496" t="str">
        <f> IF(GR181&lt;&gt;"",TEXT(AUX!GV$1,"dd-MMM-aa"),"")</f>
      </c>
      <c r="GS161" s="496" t="str">
        <f> IF(GS181&lt;&gt;"",TEXT(AUX!GW$1,"dd-MMM-aa"),"")</f>
      </c>
      <c r="GT161" s="496" t="str">
        <f> IF(GT181&lt;&gt;"",TEXT(AUX!GX$1,"dd-MMM-aa"),"")</f>
      </c>
      <c r="GU161" s="496" t="str">
        <f> IF(GU181&lt;&gt;"",TEXT(AUX!GY$1,"dd-MMM-aa"),"")</f>
      </c>
      <c r="GV161" s="496" t="str">
        <f> IF(GV181&lt;&gt;"",TEXT(AUX!GZ$1,"dd-MMM-aa"),"")</f>
      </c>
      <c r="GW161" s="496" t="str">
        <f> IF(GW181&lt;&gt;"",TEXT(AUX!HA$1,"dd-MMM-aa"),"")</f>
      </c>
      <c r="GX161" s="496" t="str">
        <f> IF(GX181&lt;&gt;"",TEXT(AUX!HB$1,"dd-MMM-aa"),"")</f>
      </c>
      <c r="GY161" s="496" t="str">
        <f> IF(GY181&lt;&gt;"",TEXT(AUX!HC$1,"dd-MMM-aa"),"")</f>
      </c>
      <c r="GZ161" s="496" t="str">
        <f> IF(GZ181&lt;&gt;"",TEXT(AUX!HD$1,"dd-MMM-aa"),"")</f>
      </c>
      <c r="HA161" s="496" t="str">
        <f> IF(HA181&lt;&gt;"",TEXT(AUX!HE$1,"dd-MMM-aa"),"")</f>
      </c>
      <c r="HB161" s="496" t="str">
        <f> IF(HB181&lt;&gt;"",TEXT(AUX!HF$1,"dd-MMM-aa"),"")</f>
      </c>
      <c r="HC161" s="496" t="str">
        <f> IF(HC181&lt;&gt;"",TEXT(AUX!HG$1,"dd-MMM-aa"),"")</f>
      </c>
      <c r="HD161" s="496" t="str">
        <f> IF(HD181&lt;&gt;"",TEXT(AUX!HH$1,"dd-MMM-aa"),"")</f>
      </c>
      <c r="HE161" s="496" t="str">
        <f> IF(HE181&lt;&gt;"",TEXT(AUX!HI$1,"dd-MMM-aa"),"")</f>
      </c>
      <c r="HF161" s="496" t="str">
        <f> IF(HF181&lt;&gt;"",TEXT(AUX!HJ$1,"dd-MMM-aa"),"")</f>
      </c>
      <c r="HG161" s="496" t="str">
        <f> IF(HG181&lt;&gt;"",TEXT(AUX!HK$1,"dd-MMM-aa"),"")</f>
      </c>
      <c r="HH161" s="496" t="str">
        <f> IF(HH181&lt;&gt;"",TEXT(AUX!HL$1,"dd-MMM-aa"),"")</f>
      </c>
      <c r="HI161" s="496" t="str">
        <f> IF(HI181&lt;&gt;"",TEXT(AUX!HM$1,"dd-MMM-aa"),"")</f>
      </c>
      <c r="HJ161" s="496" t="str">
        <f> IF(HJ181&lt;&gt;"",TEXT(AUX!HN$1,"dd-MMM-aa"),"")</f>
      </c>
      <c r="HK161" s="496" t="str">
        <f> IF(HK181&lt;&gt;"",TEXT(AUX!HO$1,"dd-MMM-aa"),"")</f>
      </c>
      <c r="HL161" s="496" t="str">
        <f> IF(HL181&lt;&gt;"",TEXT(AUX!HP$1,"dd-MMM-aa"),"")</f>
      </c>
      <c r="HM161" s="496" t="str">
        <f> IF(HM181&lt;&gt;"",TEXT(AUX!HQ$1,"dd-MMM-aa"),"")</f>
      </c>
      <c r="HN161" s="496" t="str">
        <f> IF(HN181&lt;&gt;"",TEXT(AUX!HR$1,"dd-MMM-aa"),"")</f>
      </c>
      <c r="HO161" s="496" t="str">
        <f> IF(HO181&lt;&gt;"",TEXT(AUX!HS$1,"dd-MMM-aa"),"")</f>
      </c>
      <c r="HP161" s="496" t="str">
        <f> IF(HP181&lt;&gt;"",TEXT(AUX!HT$1,"dd-MMM-aa"),"")</f>
      </c>
      <c r="HQ161" s="496" t="str">
        <f> IF(HQ181&lt;&gt;"",TEXT(AUX!HU$1,"dd-MMM-aa"),"")</f>
      </c>
      <c r="HR161" s="496" t="str">
        <f> IF(HR181&lt;&gt;"",TEXT(AUX!HV$1,"dd-MMM-aa"),"")</f>
      </c>
      <c r="HS161" s="496" t="str">
        <f> IF(HS181&lt;&gt;"",TEXT(AUX!HW$1,"dd-MMM-aa"),"")</f>
      </c>
      <c r="HT161" s="496" t="str">
        <f> IF(HT181&lt;&gt;"",TEXT(AUX!HX$1,"dd-MMM-aa"),"")</f>
      </c>
      <c r="HU161" s="496" t="str">
        <f> IF(HU181&lt;&gt;"",TEXT(AUX!HY$1,"dd-MMM-aa"),"")</f>
      </c>
      <c r="HV161" s="496" t="str">
        <f> IF(HV181&lt;&gt;"",TEXT(AUX!HZ$1,"dd-MMM-aa"),"")</f>
      </c>
      <c r="HW161" s="496" t="str">
        <f> IF(HW181&lt;&gt;"",TEXT(AUX!IA$1,"dd-MMM-aa"),"")</f>
      </c>
      <c r="HX161" s="496" t="str">
        <f> IF(HX181&lt;&gt;"",TEXT(AUX!IB$1,"dd-MMM-aa"),"")</f>
      </c>
      <c r="HY161" s="496" t="str">
        <f> IF(HY181&lt;&gt;"",TEXT(AUX!IC$1,"dd-MMM-aa"),"")</f>
      </c>
      <c r="HZ161" s="496" t="str">
        <f> IF(HZ181&lt;&gt;"",TEXT(AUX!ID$1,"dd-MMM-aa"),"")</f>
      </c>
      <c r="IA161" s="496" t="str">
        <f> IF(IA181&lt;&gt;"",TEXT(AUX!IE$1,"dd-MMM-aa"),"")</f>
      </c>
      <c r="IB161" s="496" t="str">
        <f> IF(IB181&lt;&gt;"",TEXT(AUX!IF$1,"dd-MMM-aa"),"")</f>
      </c>
      <c r="IC161" s="496" t="str">
        <f> IF(IC181&lt;&gt;"",TEXT(AUX!IG$1,"dd-MMM-aa"),"")</f>
      </c>
      <c r="ID161" s="496" t="str">
        <f> IF(ID181&lt;&gt;"",TEXT(AUX!IH$1,"dd-MMM-aa"),"")</f>
      </c>
      <c r="IE161" s="496" t="str">
        <f> IF(IE181&lt;&gt;"",TEXT(AUX!II$1,"dd-MMM-aa"),"")</f>
      </c>
      <c r="IF161" s="496" t="str">
        <f> IF(IF181&lt;&gt;"",TEXT(AUX!IJ$1,"dd-MMM-aa"),"")</f>
      </c>
      <c r="IG161" s="496" t="str">
        <f> IF(IG181&lt;&gt;"",TEXT(AUX!IK$1,"dd-MMM-aa"),"")</f>
      </c>
      <c r="IH161" s="496" t="str">
        <f> IF(IH181&lt;&gt;"",TEXT(AUX!IL$1,"dd-MMM-aa"),"")</f>
      </c>
      <c r="II161" s="496" t="str">
        <f> IF(II181&lt;&gt;"",TEXT(AUX!IM$1,"dd-MMM-aa"),"")</f>
      </c>
      <c r="IJ161" s="496" t="str">
        <f> IF(IJ181&lt;&gt;"",TEXT(AUX!IN$1,"dd-MMM-aa"),"")</f>
      </c>
      <c r="IK161" s="496" t="str">
        <f> IF(IK181&lt;&gt;"",TEXT(AUX!IO$1,"dd-MMM-aa"),"")</f>
      </c>
      <c r="IL161" s="496" t="str">
        <f> IF(IL181&lt;&gt;"",TEXT(AUX!IP$1,"dd-MMM-aa"),"")</f>
      </c>
      <c r="IM161" s="496" t="str">
        <f> IF(IM181&lt;&gt;"",TEXT(AUX!IQ$1,"dd-MMM-aa"),"")</f>
      </c>
      <c r="IN161" s="496" t="str">
        <f> IF(IN181&lt;&gt;"",TEXT(AUX!IR$1,"dd-MMM-aa"),"")</f>
      </c>
      <c r="IO161" s="496" t="str">
        <f> IF(IO181&lt;&gt;"",TEXT(AUX!IS$1,"dd-MMM-aa"),"")</f>
      </c>
      <c r="IP161" s="496" t="str">
        <f> IF(IP181&lt;&gt;"",TEXT(AUX!IT$1,"dd-MMM-aa"),"")</f>
      </c>
      <c r="IQ161" s="496" t="str">
        <f> IF(IQ181&lt;&gt;"",TEXT(AUX!IU$1,"dd-MMM-aa"),"")</f>
      </c>
      <c r="IR161" s="496" t="str">
        <f> IF(IR181&lt;&gt;"",TEXT(AUX!IV$1,"dd-MMM-aa"),"")</f>
      </c>
      <c r="IS161" s="496" t="str">
        <f> IF(IS181&lt;&gt;"",TEXT(AUX!#REF!,"dd-MMM-aa"),"")</f>
      </c>
      <c r="IT161" s="496" t="str">
        <f> IF(IT181&lt;&gt;"",TEXT(AUX!#REF!,"dd-MMM-aa"),"")</f>
      </c>
      <c r="IU161" s="496" t="str">
        <f> IF(IU181&lt;&gt;"",TEXT(AUX!#REF!,"dd-MMM-aa"),"")</f>
      </c>
      <c r="IV161" s="496" t="str">
        <f> IF(IV181&lt;&gt;"",TEXT(AUX!#REF!,"dd-MMM-aa"),"")</f>
      </c>
    </row>
    <row r="162" hidden="1">
      <c r="B162" s="822" t="s">
        <v>8</v>
      </c>
      <c r="C162" s="823">
        <v>1</v>
      </c>
      <c r="D162" s="823">
        <v>1</v>
      </c>
      <c r="E162" s="823">
        <v>2</v>
      </c>
      <c r="F162" s="823">
        <v>1</v>
      </c>
      <c r="G162" s="823">
        <v>0</v>
      </c>
      <c r="H162" s="823">
        <v>0</v>
      </c>
      <c r="I162" s="823">
        <v>0</v>
      </c>
      <c r="J162" s="823">
        <v>0</v>
      </c>
      <c r="K162" s="823">
        <v>0</v>
      </c>
      <c r="L162" s="823">
        <v>0</v>
      </c>
      <c r="M162" s="823">
        <v>0</v>
      </c>
      <c r="N162" s="823">
        <v>0</v>
      </c>
      <c r="O162" s="823">
        <v>0</v>
      </c>
      <c r="P162" s="823">
        <v>0</v>
      </c>
      <c r="Q162" s="823">
        <v>1</v>
      </c>
      <c r="R162" s="823">
        <v>1</v>
      </c>
      <c r="S162" s="823">
        <v>0</v>
      </c>
      <c r="T162" s="823">
        <v>0</v>
      </c>
      <c r="U162" s="823">
        <v>0</v>
      </c>
      <c r="V162" s="823">
        <v>0</v>
      </c>
      <c r="W162" s="823">
        <v>0</v>
      </c>
      <c r="X162" s="823">
        <v>0</v>
      </c>
      <c r="Y162" s="823">
        <v>0</v>
      </c>
      <c r="Z162" s="823">
        <v>0</v>
      </c>
      <c r="AA162" s="823">
        <v>0</v>
      </c>
      <c r="AB162" s="824">
        <v>0</v>
      </c>
      <c r="AC162" s="825">
        <v>0</v>
      </c>
      <c r="AD162" s="825">
        <v>0</v>
      </c>
      <c r="AE162" s="825">
        <v>0</v>
      </c>
      <c r="AF162" s="825">
        <v>0</v>
      </c>
      <c r="AG162" s="825">
        <v>0</v>
      </c>
      <c r="AH162" s="825">
        <v>0</v>
      </c>
      <c r="AI162" s="825">
        <v>0</v>
      </c>
      <c r="AJ162" s="825">
        <v>0</v>
      </c>
      <c r="AK162" s="825">
        <v>0</v>
      </c>
      <c r="AL162" s="825">
        <v>0</v>
      </c>
      <c r="AM162" s="825">
        <v>0</v>
      </c>
      <c r="AN162" s="825">
        <v>0</v>
      </c>
      <c r="AO162" s="825">
        <v>0</v>
      </c>
      <c r="AP162" s="825">
        <v>0</v>
      </c>
    </row>
    <row r="163" hidden="1">
      <c r="B163" s="826" t="s">
        <v>9</v>
      </c>
      <c r="C163" s="827">
        <v>0</v>
      </c>
      <c r="D163" s="827">
        <v>0</v>
      </c>
      <c r="E163" s="827">
        <v>0</v>
      </c>
      <c r="F163" s="827">
        <v>0</v>
      </c>
      <c r="G163" s="827">
        <v>0</v>
      </c>
      <c r="H163" s="827">
        <v>0</v>
      </c>
      <c r="I163" s="827">
        <v>0</v>
      </c>
      <c r="J163" s="827">
        <v>0</v>
      </c>
      <c r="K163" s="827">
        <v>0</v>
      </c>
      <c r="L163" s="827">
        <v>0</v>
      </c>
      <c r="M163" s="827">
        <v>0</v>
      </c>
      <c r="N163" s="827">
        <v>0</v>
      </c>
      <c r="O163" s="827">
        <v>0</v>
      </c>
      <c r="P163" s="827">
        <v>0</v>
      </c>
      <c r="Q163" s="827">
        <v>0</v>
      </c>
      <c r="R163" s="827">
        <v>0</v>
      </c>
      <c r="S163" s="827">
        <v>0</v>
      </c>
      <c r="T163" s="827">
        <v>0</v>
      </c>
      <c r="U163" s="827">
        <v>0</v>
      </c>
      <c r="V163" s="827">
        <v>0</v>
      </c>
      <c r="W163" s="827">
        <v>1</v>
      </c>
      <c r="X163" s="827">
        <v>1</v>
      </c>
      <c r="Y163" s="827">
        <v>1</v>
      </c>
      <c r="Z163" s="827">
        <v>3</v>
      </c>
      <c r="AA163" s="827">
        <v>2</v>
      </c>
      <c r="AB163" s="827">
        <v>3</v>
      </c>
      <c r="AC163" s="828">
        <v>3</v>
      </c>
      <c r="AD163" s="828">
        <v>3</v>
      </c>
      <c r="AE163" s="828">
        <v>3</v>
      </c>
      <c r="AF163" s="828">
        <v>3</v>
      </c>
      <c r="AG163" s="828">
        <v>3</v>
      </c>
      <c r="AH163" s="828">
        <v>3</v>
      </c>
      <c r="AI163" s="828">
        <v>3</v>
      </c>
      <c r="AJ163" s="828">
        <v>3</v>
      </c>
      <c r="AK163" s="828">
        <v>2</v>
      </c>
      <c r="AL163" s="828">
        <v>2</v>
      </c>
      <c r="AM163" s="828">
        <v>2</v>
      </c>
      <c r="AN163" s="828">
        <v>2</v>
      </c>
      <c r="AO163" s="828">
        <v>2</v>
      </c>
      <c r="AP163" s="828">
        <v>2</v>
      </c>
    </row>
    <row r="164" hidden="1">
      <c r="B164" s="829" t="s">
        <v>10</v>
      </c>
      <c r="C164" s="823">
        <v>0</v>
      </c>
      <c r="D164" s="823">
        <v>0</v>
      </c>
      <c r="E164" s="823">
        <v>0</v>
      </c>
      <c r="F164" s="823">
        <v>0</v>
      </c>
      <c r="G164" s="823">
        <v>0</v>
      </c>
      <c r="H164" s="823">
        <v>0</v>
      </c>
      <c r="I164" s="823">
        <v>0</v>
      </c>
      <c r="J164" s="823">
        <v>0</v>
      </c>
      <c r="K164" s="823">
        <v>0</v>
      </c>
      <c r="L164" s="823">
        <v>0</v>
      </c>
      <c r="M164" s="823">
        <v>0</v>
      </c>
      <c r="N164" s="823">
        <v>0</v>
      </c>
      <c r="O164" s="823">
        <v>0</v>
      </c>
      <c r="P164" s="823">
        <v>0</v>
      </c>
      <c r="Q164" s="823">
        <v>0</v>
      </c>
      <c r="R164" s="823">
        <v>0</v>
      </c>
      <c r="S164" s="823">
        <v>0</v>
      </c>
      <c r="T164" s="823">
        <v>0</v>
      </c>
      <c r="U164" s="823">
        <v>0</v>
      </c>
      <c r="V164" s="823">
        <v>0</v>
      </c>
      <c r="W164" s="823">
        <v>0</v>
      </c>
      <c r="X164" s="823">
        <v>0</v>
      </c>
      <c r="Y164" s="823">
        <v>0</v>
      </c>
      <c r="Z164" s="823">
        <v>0</v>
      </c>
      <c r="AA164" s="823">
        <v>0</v>
      </c>
      <c r="AB164" s="823">
        <v>0</v>
      </c>
      <c r="AC164" s="825">
        <v>0</v>
      </c>
      <c r="AD164" s="825">
        <v>0</v>
      </c>
      <c r="AE164" s="825">
        <v>0</v>
      </c>
      <c r="AF164" s="825">
        <v>0</v>
      </c>
      <c r="AG164" s="825">
        <v>0</v>
      </c>
      <c r="AH164" s="825">
        <v>0</v>
      </c>
      <c r="AI164" s="825">
        <v>0</v>
      </c>
      <c r="AJ164" s="825">
        <v>0</v>
      </c>
      <c r="AK164" s="825">
        <v>0</v>
      </c>
      <c r="AL164" s="825">
        <v>0</v>
      </c>
      <c r="AM164" s="825">
        <v>0</v>
      </c>
      <c r="AN164" s="825">
        <v>0</v>
      </c>
      <c r="AO164" s="825">
        <v>0</v>
      </c>
      <c r="AP164" s="825">
        <v>0</v>
      </c>
    </row>
    <row r="165" hidden="1">
      <c r="B165" s="826" t="s">
        <v>11</v>
      </c>
      <c r="C165" s="827">
        <v>0</v>
      </c>
      <c r="D165" s="827">
        <v>0</v>
      </c>
      <c r="E165" s="827">
        <v>0</v>
      </c>
      <c r="F165" s="827">
        <v>0</v>
      </c>
      <c r="G165" s="827">
        <v>1</v>
      </c>
      <c r="H165" s="827">
        <v>1</v>
      </c>
      <c r="I165" s="827">
        <v>1</v>
      </c>
      <c r="J165" s="827">
        <v>0</v>
      </c>
      <c r="K165" s="827">
        <v>0</v>
      </c>
      <c r="L165" s="827">
        <v>0</v>
      </c>
      <c r="M165" s="827">
        <v>0</v>
      </c>
      <c r="N165" s="827">
        <v>0</v>
      </c>
      <c r="O165" s="827">
        <v>0</v>
      </c>
      <c r="P165" s="827">
        <v>0</v>
      </c>
      <c r="Q165" s="827">
        <v>0</v>
      </c>
      <c r="R165" s="827">
        <v>0</v>
      </c>
      <c r="S165" s="827">
        <v>0</v>
      </c>
      <c r="T165" s="827">
        <v>0</v>
      </c>
      <c r="U165" s="827">
        <v>0</v>
      </c>
      <c r="V165" s="827">
        <v>0</v>
      </c>
      <c r="W165" s="827">
        <v>0</v>
      </c>
      <c r="X165" s="827">
        <v>0</v>
      </c>
      <c r="Y165" s="827">
        <v>0</v>
      </c>
      <c r="Z165" s="827">
        <v>0</v>
      </c>
      <c r="AA165" s="827">
        <v>0</v>
      </c>
      <c r="AB165" s="827">
        <v>0</v>
      </c>
      <c r="AC165" s="828">
        <v>0</v>
      </c>
      <c r="AD165" s="828">
        <v>0</v>
      </c>
      <c r="AE165" s="828">
        <v>0</v>
      </c>
      <c r="AF165" s="828">
        <v>0</v>
      </c>
      <c r="AG165" s="828">
        <v>0</v>
      </c>
      <c r="AH165" s="828">
        <v>0</v>
      </c>
      <c r="AI165" s="828">
        <v>0</v>
      </c>
      <c r="AJ165" s="828">
        <v>0</v>
      </c>
      <c r="AK165" s="828">
        <v>0</v>
      </c>
      <c r="AL165" s="828">
        <v>0</v>
      </c>
      <c r="AM165" s="828">
        <v>0</v>
      </c>
      <c r="AN165" s="828">
        <v>0</v>
      </c>
      <c r="AO165" s="828">
        <v>0</v>
      </c>
      <c r="AP165" s="828">
        <v>0</v>
      </c>
    </row>
    <row r="166" hidden="1">
      <c r="B166" s="829" t="s">
        <v>12</v>
      </c>
      <c r="C166" s="823">
        <v>0</v>
      </c>
      <c r="D166" s="823">
        <v>0</v>
      </c>
      <c r="E166" s="823">
        <v>0</v>
      </c>
      <c r="F166" s="823">
        <v>0</v>
      </c>
      <c r="G166" s="823">
        <v>0</v>
      </c>
      <c r="H166" s="823">
        <v>0</v>
      </c>
      <c r="I166" s="823">
        <v>2</v>
      </c>
      <c r="J166" s="823">
        <v>2</v>
      </c>
      <c r="K166" s="823">
        <v>2</v>
      </c>
      <c r="L166" s="823">
        <v>3</v>
      </c>
      <c r="M166" s="823">
        <v>3</v>
      </c>
      <c r="N166" s="823">
        <v>3</v>
      </c>
      <c r="O166" s="823">
        <v>3</v>
      </c>
      <c r="P166" s="823">
        <v>3</v>
      </c>
      <c r="Q166" s="823">
        <v>3</v>
      </c>
      <c r="R166" s="823">
        <v>3</v>
      </c>
      <c r="S166" s="823">
        <v>2</v>
      </c>
      <c r="T166" s="823">
        <v>2</v>
      </c>
      <c r="U166" s="823">
        <v>2</v>
      </c>
      <c r="V166" s="823">
        <v>2</v>
      </c>
      <c r="W166" s="823">
        <v>2</v>
      </c>
      <c r="X166" s="823">
        <v>2</v>
      </c>
      <c r="Y166" s="823">
        <v>3</v>
      </c>
      <c r="Z166" s="823">
        <v>4</v>
      </c>
      <c r="AA166" s="823">
        <v>4</v>
      </c>
      <c r="AB166" s="823">
        <v>4</v>
      </c>
      <c r="AC166" s="825">
        <v>3</v>
      </c>
      <c r="AD166" s="825">
        <v>3</v>
      </c>
      <c r="AE166" s="825">
        <v>3</v>
      </c>
      <c r="AF166" s="825">
        <v>3</v>
      </c>
      <c r="AG166" s="825">
        <v>3</v>
      </c>
      <c r="AH166" s="825">
        <v>3</v>
      </c>
      <c r="AI166" s="825">
        <v>3</v>
      </c>
      <c r="AJ166" s="825">
        <v>3</v>
      </c>
      <c r="AK166" s="825">
        <v>3</v>
      </c>
      <c r="AL166" s="825">
        <v>3</v>
      </c>
      <c r="AM166" s="825">
        <v>3</v>
      </c>
      <c r="AN166" s="825">
        <v>3</v>
      </c>
      <c r="AO166" s="825">
        <v>2</v>
      </c>
      <c r="AP166" s="825">
        <v>2</v>
      </c>
    </row>
    <row r="167" hidden="1">
      <c r="B167" s="826" t="s">
        <v>13</v>
      </c>
      <c r="C167" s="827">
        <v>0</v>
      </c>
      <c r="D167" s="827">
        <v>0</v>
      </c>
      <c r="E167" s="827">
        <v>0</v>
      </c>
      <c r="F167" s="827">
        <v>1</v>
      </c>
      <c r="G167" s="827">
        <v>2</v>
      </c>
      <c r="H167" s="827">
        <v>2</v>
      </c>
      <c r="I167" s="827">
        <v>2</v>
      </c>
      <c r="J167" s="827">
        <v>2</v>
      </c>
      <c r="K167" s="827">
        <v>2</v>
      </c>
      <c r="L167" s="827">
        <v>2</v>
      </c>
      <c r="M167" s="827">
        <v>0</v>
      </c>
      <c r="N167" s="827">
        <v>0</v>
      </c>
      <c r="O167" s="827">
        <v>0</v>
      </c>
      <c r="P167" s="827">
        <v>0</v>
      </c>
      <c r="Q167" s="827">
        <v>0</v>
      </c>
      <c r="R167" s="827">
        <v>0</v>
      </c>
      <c r="S167" s="827">
        <v>0</v>
      </c>
      <c r="T167" s="827">
        <v>0</v>
      </c>
      <c r="U167" s="827">
        <v>0</v>
      </c>
      <c r="V167" s="827">
        <v>0</v>
      </c>
      <c r="W167" s="827">
        <v>0</v>
      </c>
      <c r="X167" s="827">
        <v>0</v>
      </c>
      <c r="Y167" s="827">
        <v>0</v>
      </c>
      <c r="Z167" s="827">
        <v>0</v>
      </c>
      <c r="AA167" s="827">
        <v>0</v>
      </c>
      <c r="AB167" s="827">
        <v>0</v>
      </c>
      <c r="AC167" s="828">
        <v>0</v>
      </c>
      <c r="AD167" s="828">
        <v>0</v>
      </c>
      <c r="AE167" s="828">
        <v>0</v>
      </c>
      <c r="AF167" s="828">
        <v>0</v>
      </c>
      <c r="AG167" s="828">
        <v>0</v>
      </c>
      <c r="AH167" s="828">
        <v>0</v>
      </c>
      <c r="AI167" s="828">
        <v>0</v>
      </c>
      <c r="AJ167" s="828">
        <v>0</v>
      </c>
      <c r="AK167" s="828">
        <v>0</v>
      </c>
      <c r="AL167" s="828">
        <v>0</v>
      </c>
      <c r="AM167" s="828">
        <v>0</v>
      </c>
      <c r="AN167" s="828">
        <v>0</v>
      </c>
      <c r="AO167" s="828">
        <v>0</v>
      </c>
      <c r="AP167" s="828">
        <v>0</v>
      </c>
    </row>
    <row r="168" hidden="1">
      <c r="B168" s="829" t="s">
        <v>109</v>
      </c>
      <c r="C168" s="823">
        <v>0</v>
      </c>
      <c r="D168" s="823">
        <v>5</v>
      </c>
      <c r="E168" s="823">
        <v>5</v>
      </c>
      <c r="F168" s="823">
        <v>5</v>
      </c>
      <c r="G168" s="823">
        <v>5</v>
      </c>
      <c r="H168" s="823">
        <v>5</v>
      </c>
      <c r="I168" s="823">
        <v>5</v>
      </c>
      <c r="J168" s="823">
        <v>4</v>
      </c>
      <c r="K168" s="823">
        <v>4</v>
      </c>
      <c r="L168" s="823">
        <v>4</v>
      </c>
      <c r="M168" s="823">
        <v>4</v>
      </c>
      <c r="N168" s="823">
        <v>4</v>
      </c>
      <c r="O168" s="823">
        <v>4</v>
      </c>
      <c r="P168" s="823">
        <v>4</v>
      </c>
      <c r="Q168" s="823">
        <v>4</v>
      </c>
      <c r="R168" s="823">
        <v>4</v>
      </c>
      <c r="S168" s="823">
        <v>4</v>
      </c>
      <c r="T168" s="823">
        <v>4</v>
      </c>
      <c r="U168" s="823">
        <v>4</v>
      </c>
      <c r="V168" s="823">
        <v>4</v>
      </c>
      <c r="W168" s="823">
        <v>4</v>
      </c>
      <c r="X168" s="823">
        <v>4</v>
      </c>
      <c r="Y168" s="823">
        <v>4</v>
      </c>
      <c r="Z168" s="823">
        <v>4</v>
      </c>
      <c r="AA168" s="823">
        <v>4</v>
      </c>
      <c r="AB168" s="823">
        <v>4</v>
      </c>
      <c r="AC168" s="825">
        <v>4</v>
      </c>
      <c r="AD168" s="825">
        <v>4</v>
      </c>
      <c r="AE168" s="825">
        <v>4</v>
      </c>
      <c r="AF168" s="825">
        <v>4</v>
      </c>
      <c r="AG168" s="825">
        <v>4</v>
      </c>
      <c r="AH168" s="825">
        <v>4</v>
      </c>
      <c r="AI168" s="825">
        <v>4</v>
      </c>
      <c r="AJ168" s="825">
        <v>4</v>
      </c>
      <c r="AK168" s="825">
        <v>4</v>
      </c>
      <c r="AL168" s="825">
        <v>4</v>
      </c>
      <c r="AM168" s="825">
        <v>4</v>
      </c>
      <c r="AN168" s="825">
        <v>4</v>
      </c>
      <c r="AO168" s="825">
        <v>4</v>
      </c>
      <c r="AP168" s="825">
        <v>4</v>
      </c>
    </row>
    <row r="169" hidden="1">
      <c r="B169" s="826" t="s">
        <v>110</v>
      </c>
      <c r="C169" s="827">
        <v>26</v>
      </c>
      <c r="D169" s="827">
        <v>27</v>
      </c>
      <c r="E169" s="827">
        <v>28</v>
      </c>
      <c r="F169" s="827">
        <v>27</v>
      </c>
      <c r="G169" s="827">
        <v>2</v>
      </c>
      <c r="H169" s="827">
        <v>2</v>
      </c>
      <c r="I169" s="827">
        <v>2</v>
      </c>
      <c r="J169" s="827">
        <v>2</v>
      </c>
      <c r="K169" s="827">
        <v>3</v>
      </c>
      <c r="L169" s="827">
        <v>3</v>
      </c>
      <c r="M169" s="827">
        <v>3</v>
      </c>
      <c r="N169" s="827">
        <v>3</v>
      </c>
      <c r="O169" s="827">
        <v>4</v>
      </c>
      <c r="P169" s="827">
        <v>4</v>
      </c>
      <c r="Q169" s="827">
        <v>5</v>
      </c>
      <c r="R169" s="827">
        <v>5</v>
      </c>
      <c r="S169" s="827">
        <v>3</v>
      </c>
      <c r="T169" s="827">
        <v>3</v>
      </c>
      <c r="U169" s="827">
        <v>4</v>
      </c>
      <c r="V169" s="827">
        <v>4</v>
      </c>
      <c r="W169" s="827">
        <v>4</v>
      </c>
      <c r="X169" s="827">
        <v>5</v>
      </c>
      <c r="Y169" s="827">
        <v>5</v>
      </c>
      <c r="Z169" s="827">
        <v>5</v>
      </c>
      <c r="AA169" s="827">
        <v>6</v>
      </c>
      <c r="AB169" s="827">
        <v>6</v>
      </c>
      <c r="AC169" s="828">
        <v>6</v>
      </c>
      <c r="AD169" s="828">
        <v>7</v>
      </c>
      <c r="AE169" s="828">
        <v>7</v>
      </c>
      <c r="AF169" s="828">
        <v>7</v>
      </c>
      <c r="AG169" s="828">
        <v>7</v>
      </c>
      <c r="AH169" s="828">
        <v>7</v>
      </c>
      <c r="AI169" s="828">
        <v>8</v>
      </c>
      <c r="AJ169" s="828">
        <v>9</v>
      </c>
      <c r="AK169" s="828">
        <v>10</v>
      </c>
      <c r="AL169" s="828">
        <v>7</v>
      </c>
      <c r="AM169" s="828">
        <v>8</v>
      </c>
      <c r="AN169" s="828">
        <v>8</v>
      </c>
      <c r="AO169" s="828">
        <v>7</v>
      </c>
      <c r="AP169" s="828">
        <v>7</v>
      </c>
    </row>
    <row r="170" hidden="1">
      <c r="B170" s="829" t="s">
        <v>16</v>
      </c>
      <c r="C170" s="823">
        <v>19</v>
      </c>
      <c r="D170" s="823">
        <v>17</v>
      </c>
      <c r="E170" s="823">
        <v>15</v>
      </c>
      <c r="F170" s="823">
        <v>14</v>
      </c>
      <c r="G170" s="823">
        <v>11</v>
      </c>
      <c r="H170" s="823">
        <v>9</v>
      </c>
      <c r="I170" s="823">
        <v>8</v>
      </c>
      <c r="J170" s="823">
        <v>8</v>
      </c>
      <c r="K170" s="823">
        <v>7</v>
      </c>
      <c r="L170" s="823">
        <v>7</v>
      </c>
      <c r="M170" s="823">
        <v>7</v>
      </c>
      <c r="N170" s="823">
        <v>8</v>
      </c>
      <c r="O170" s="823">
        <v>7</v>
      </c>
      <c r="P170" s="823">
        <v>7</v>
      </c>
      <c r="Q170" s="823">
        <v>7</v>
      </c>
      <c r="R170" s="823">
        <v>7</v>
      </c>
      <c r="S170" s="823">
        <v>7</v>
      </c>
      <c r="T170" s="823">
        <v>7</v>
      </c>
      <c r="U170" s="823">
        <v>7</v>
      </c>
      <c r="V170" s="823">
        <v>8</v>
      </c>
      <c r="W170" s="823">
        <v>9</v>
      </c>
      <c r="X170" s="823">
        <v>9</v>
      </c>
      <c r="Y170" s="823">
        <v>9</v>
      </c>
      <c r="Z170" s="823">
        <v>8</v>
      </c>
      <c r="AA170" s="823">
        <v>7</v>
      </c>
      <c r="AB170" s="823">
        <v>7</v>
      </c>
      <c r="AC170" s="825">
        <v>7</v>
      </c>
      <c r="AD170" s="825">
        <v>7</v>
      </c>
      <c r="AE170" s="825">
        <v>8</v>
      </c>
      <c r="AF170" s="825">
        <v>8</v>
      </c>
      <c r="AG170" s="825">
        <v>8</v>
      </c>
      <c r="AH170" s="825">
        <v>7</v>
      </c>
      <c r="AI170" s="825">
        <v>6</v>
      </c>
      <c r="AJ170" s="825">
        <v>6</v>
      </c>
      <c r="AK170" s="825">
        <v>6</v>
      </c>
      <c r="AL170" s="825">
        <v>6</v>
      </c>
      <c r="AM170" s="825">
        <v>5</v>
      </c>
      <c r="AN170" s="825">
        <v>5</v>
      </c>
      <c r="AO170" s="825">
        <v>5</v>
      </c>
      <c r="AP170" s="825">
        <v>5</v>
      </c>
    </row>
    <row r="171" hidden="1">
      <c r="B171" s="826" t="s">
        <v>17</v>
      </c>
      <c r="C171" s="827">
        <v>1</v>
      </c>
      <c r="D171" s="827">
        <v>1</v>
      </c>
      <c r="E171" s="827">
        <v>3</v>
      </c>
      <c r="F171" s="827">
        <v>3</v>
      </c>
      <c r="G171" s="827">
        <v>3</v>
      </c>
      <c r="H171" s="827">
        <v>3</v>
      </c>
      <c r="I171" s="827">
        <v>3</v>
      </c>
      <c r="J171" s="827">
        <v>3</v>
      </c>
      <c r="K171" s="827">
        <v>2</v>
      </c>
      <c r="L171" s="827">
        <v>1</v>
      </c>
      <c r="M171" s="827">
        <v>2</v>
      </c>
      <c r="N171" s="827">
        <v>2</v>
      </c>
      <c r="O171" s="827">
        <v>2</v>
      </c>
      <c r="P171" s="827">
        <v>2</v>
      </c>
      <c r="Q171" s="827">
        <v>3</v>
      </c>
      <c r="R171" s="827">
        <v>3</v>
      </c>
      <c r="S171" s="827">
        <v>3</v>
      </c>
      <c r="T171" s="827">
        <v>3</v>
      </c>
      <c r="U171" s="827">
        <v>2</v>
      </c>
      <c r="V171" s="827">
        <v>2</v>
      </c>
      <c r="W171" s="827">
        <v>1</v>
      </c>
      <c r="X171" s="827">
        <v>1</v>
      </c>
      <c r="Y171" s="827">
        <v>2</v>
      </c>
      <c r="Z171" s="827">
        <v>2</v>
      </c>
      <c r="AA171" s="827">
        <v>3</v>
      </c>
      <c r="AB171" s="827">
        <v>3</v>
      </c>
      <c r="AC171" s="828">
        <v>3</v>
      </c>
      <c r="AD171" s="828">
        <v>3</v>
      </c>
      <c r="AE171" s="828">
        <v>3</v>
      </c>
      <c r="AF171" s="828">
        <v>3</v>
      </c>
      <c r="AG171" s="828">
        <v>2</v>
      </c>
      <c r="AH171" s="828">
        <v>2</v>
      </c>
      <c r="AI171" s="828">
        <v>2</v>
      </c>
      <c r="AJ171" s="828">
        <v>2</v>
      </c>
      <c r="AK171" s="828">
        <v>2</v>
      </c>
      <c r="AL171" s="828">
        <v>2</v>
      </c>
      <c r="AM171" s="828">
        <v>2</v>
      </c>
      <c r="AN171" s="828">
        <v>2</v>
      </c>
      <c r="AO171" s="828">
        <v>1</v>
      </c>
      <c r="AP171" s="828">
        <v>1</v>
      </c>
    </row>
    <row r="172" hidden="1">
      <c r="B172" s="829" t="s">
        <v>18</v>
      </c>
      <c r="C172" s="823">
        <v>2</v>
      </c>
      <c r="D172" s="823">
        <v>1</v>
      </c>
      <c r="E172" s="823">
        <v>1</v>
      </c>
      <c r="F172" s="823">
        <v>1</v>
      </c>
      <c r="G172" s="823">
        <v>1</v>
      </c>
      <c r="H172" s="823">
        <v>1</v>
      </c>
      <c r="I172" s="823">
        <v>0</v>
      </c>
      <c r="J172" s="823">
        <v>0</v>
      </c>
      <c r="K172" s="823">
        <v>0</v>
      </c>
      <c r="L172" s="823">
        <v>0</v>
      </c>
      <c r="M172" s="823">
        <v>0</v>
      </c>
      <c r="N172" s="823">
        <v>0</v>
      </c>
      <c r="O172" s="823">
        <v>0</v>
      </c>
      <c r="P172" s="823">
        <v>0</v>
      </c>
      <c r="Q172" s="823">
        <v>0</v>
      </c>
      <c r="R172" s="823">
        <v>0</v>
      </c>
      <c r="S172" s="823">
        <v>0</v>
      </c>
      <c r="T172" s="823">
        <v>0</v>
      </c>
      <c r="U172" s="823">
        <v>0</v>
      </c>
      <c r="V172" s="823">
        <v>0</v>
      </c>
      <c r="W172" s="823">
        <v>0</v>
      </c>
      <c r="X172" s="823">
        <v>0</v>
      </c>
      <c r="Y172" s="823">
        <v>0</v>
      </c>
      <c r="Z172" s="823">
        <v>0</v>
      </c>
      <c r="AA172" s="823">
        <v>0</v>
      </c>
      <c r="AB172" s="823">
        <v>0</v>
      </c>
      <c r="AC172" s="825">
        <v>0</v>
      </c>
      <c r="AD172" s="825">
        <v>0</v>
      </c>
      <c r="AE172" s="825">
        <v>0</v>
      </c>
      <c r="AF172" s="825">
        <v>0</v>
      </c>
      <c r="AG172" s="825">
        <v>0</v>
      </c>
      <c r="AH172" s="825">
        <v>1</v>
      </c>
      <c r="AI172" s="825">
        <v>1</v>
      </c>
      <c r="AJ172" s="825">
        <v>1</v>
      </c>
      <c r="AK172" s="825">
        <v>1</v>
      </c>
      <c r="AL172" s="825">
        <v>1</v>
      </c>
      <c r="AM172" s="825">
        <v>1</v>
      </c>
      <c r="AN172" s="825">
        <v>1</v>
      </c>
      <c r="AO172" s="825">
        <v>1</v>
      </c>
      <c r="AP172" s="825">
        <v>1</v>
      </c>
    </row>
    <row r="173" hidden="1">
      <c r="B173" s="826" t="s">
        <v>19</v>
      </c>
      <c r="C173" s="827">
        <v>0</v>
      </c>
      <c r="D173" s="827">
        <v>0</v>
      </c>
      <c r="E173" s="827">
        <v>0</v>
      </c>
      <c r="F173" s="827">
        <v>0</v>
      </c>
      <c r="G173" s="827">
        <v>0</v>
      </c>
      <c r="H173" s="827">
        <v>0</v>
      </c>
      <c r="I173" s="827">
        <v>0</v>
      </c>
      <c r="J173" s="827">
        <v>0</v>
      </c>
      <c r="K173" s="827">
        <v>0</v>
      </c>
      <c r="L173" s="827">
        <v>0</v>
      </c>
      <c r="M173" s="827">
        <v>0</v>
      </c>
      <c r="N173" s="827">
        <v>0</v>
      </c>
      <c r="O173" s="827">
        <v>0</v>
      </c>
      <c r="P173" s="827">
        <v>0</v>
      </c>
      <c r="Q173" s="827">
        <v>0</v>
      </c>
      <c r="R173" s="827">
        <v>0</v>
      </c>
      <c r="S173" s="827">
        <v>0</v>
      </c>
      <c r="T173" s="827">
        <v>0</v>
      </c>
      <c r="U173" s="827">
        <v>0</v>
      </c>
      <c r="V173" s="827">
        <v>0</v>
      </c>
      <c r="W173" s="827">
        <v>0</v>
      </c>
      <c r="X173" s="827">
        <v>0</v>
      </c>
      <c r="Y173" s="827">
        <v>0</v>
      </c>
      <c r="Z173" s="827">
        <v>0</v>
      </c>
      <c r="AA173" s="827">
        <v>0</v>
      </c>
      <c r="AB173" s="827">
        <v>0</v>
      </c>
      <c r="AC173" s="828">
        <v>0</v>
      </c>
      <c r="AD173" s="828">
        <v>0</v>
      </c>
      <c r="AE173" s="828">
        <v>0</v>
      </c>
      <c r="AF173" s="828">
        <v>0</v>
      </c>
      <c r="AG173" s="828">
        <v>0</v>
      </c>
      <c r="AH173" s="828">
        <v>0</v>
      </c>
      <c r="AI173" s="828">
        <v>0</v>
      </c>
      <c r="AJ173" s="828">
        <v>0</v>
      </c>
      <c r="AK173" s="828">
        <v>0</v>
      </c>
      <c r="AL173" s="828">
        <v>0</v>
      </c>
      <c r="AM173" s="828">
        <v>0</v>
      </c>
      <c r="AN173" s="828">
        <v>0</v>
      </c>
      <c r="AO173" s="828">
        <v>0</v>
      </c>
      <c r="AP173" s="828">
        <v>0</v>
      </c>
    </row>
    <row r="174" hidden="1">
      <c r="B174" s="829" t="s">
        <v>20</v>
      </c>
      <c r="C174" s="823">
        <v>0</v>
      </c>
      <c r="D174" s="823">
        <v>0</v>
      </c>
      <c r="E174" s="823">
        <v>0</v>
      </c>
      <c r="F174" s="823">
        <v>0</v>
      </c>
      <c r="G174" s="823">
        <v>0</v>
      </c>
      <c r="H174" s="823">
        <v>0</v>
      </c>
      <c r="I174" s="823">
        <v>0</v>
      </c>
      <c r="J174" s="823">
        <v>0</v>
      </c>
      <c r="K174" s="823">
        <v>0</v>
      </c>
      <c r="L174" s="823">
        <v>0</v>
      </c>
      <c r="M174" s="823">
        <v>0</v>
      </c>
      <c r="N174" s="823">
        <v>0</v>
      </c>
      <c r="O174" s="823">
        <v>0</v>
      </c>
      <c r="P174" s="823">
        <v>0</v>
      </c>
      <c r="Q174" s="823">
        <v>0</v>
      </c>
      <c r="R174" s="823">
        <v>0</v>
      </c>
      <c r="S174" s="823">
        <v>0</v>
      </c>
      <c r="T174" s="823">
        <v>0</v>
      </c>
      <c r="U174" s="823">
        <v>0</v>
      </c>
      <c r="V174" s="823">
        <v>0</v>
      </c>
      <c r="W174" s="823">
        <v>0</v>
      </c>
      <c r="X174" s="823">
        <v>0</v>
      </c>
      <c r="Y174" s="823">
        <v>0</v>
      </c>
      <c r="Z174" s="823">
        <v>0</v>
      </c>
      <c r="AA174" s="823">
        <v>0</v>
      </c>
      <c r="AB174" s="823">
        <v>0</v>
      </c>
      <c r="AC174" s="825">
        <v>0</v>
      </c>
      <c r="AD174" s="825">
        <v>0</v>
      </c>
      <c r="AE174" s="825">
        <v>0</v>
      </c>
      <c r="AF174" s="825">
        <v>0</v>
      </c>
      <c r="AG174" s="825">
        <v>0</v>
      </c>
      <c r="AH174" s="825">
        <v>0</v>
      </c>
      <c r="AI174" s="825">
        <v>0</v>
      </c>
      <c r="AJ174" s="825">
        <v>0</v>
      </c>
      <c r="AK174" s="825">
        <v>0</v>
      </c>
      <c r="AL174" s="825">
        <v>0</v>
      </c>
      <c r="AM174" s="825">
        <v>0</v>
      </c>
      <c r="AN174" s="825">
        <v>0</v>
      </c>
      <c r="AO174" s="825">
        <v>0</v>
      </c>
      <c r="AP174" s="825">
        <v>0</v>
      </c>
    </row>
    <row r="175" hidden="1">
      <c r="B175" s="826" t="s">
        <v>21</v>
      </c>
      <c r="C175" s="827">
        <v>0</v>
      </c>
      <c r="D175" s="827">
        <v>0</v>
      </c>
      <c r="E175" s="827">
        <v>0</v>
      </c>
      <c r="F175" s="827">
        <v>0</v>
      </c>
      <c r="G175" s="827">
        <v>0</v>
      </c>
      <c r="H175" s="827">
        <v>0</v>
      </c>
      <c r="I175" s="827">
        <v>0</v>
      </c>
      <c r="J175" s="827">
        <v>0</v>
      </c>
      <c r="K175" s="827">
        <v>0</v>
      </c>
      <c r="L175" s="827">
        <v>1</v>
      </c>
      <c r="M175" s="827">
        <v>0</v>
      </c>
      <c r="N175" s="827">
        <v>0</v>
      </c>
      <c r="O175" s="827">
        <v>0</v>
      </c>
      <c r="P175" s="827">
        <v>0</v>
      </c>
      <c r="Q175" s="827">
        <v>0</v>
      </c>
      <c r="R175" s="827">
        <v>0</v>
      </c>
      <c r="S175" s="827">
        <v>0</v>
      </c>
      <c r="T175" s="827">
        <v>0</v>
      </c>
      <c r="U175" s="827">
        <v>0</v>
      </c>
      <c r="V175" s="827">
        <v>0</v>
      </c>
      <c r="W175" s="827">
        <v>0</v>
      </c>
      <c r="X175" s="827">
        <v>0</v>
      </c>
      <c r="Y175" s="827">
        <v>0</v>
      </c>
      <c r="Z175" s="827">
        <v>0</v>
      </c>
      <c r="AA175" s="827">
        <v>0</v>
      </c>
      <c r="AB175" s="827">
        <v>0</v>
      </c>
      <c r="AC175" s="828">
        <v>0</v>
      </c>
      <c r="AD175" s="828">
        <v>0</v>
      </c>
      <c r="AE175" s="828">
        <v>0</v>
      </c>
      <c r="AF175" s="828">
        <v>0</v>
      </c>
      <c r="AG175" s="828">
        <v>0</v>
      </c>
      <c r="AH175" s="828">
        <v>0</v>
      </c>
      <c r="AI175" s="828">
        <v>0</v>
      </c>
      <c r="AJ175" s="828">
        <v>0</v>
      </c>
      <c r="AK175" s="828">
        <v>0</v>
      </c>
      <c r="AL175" s="828">
        <v>0</v>
      </c>
      <c r="AM175" s="828">
        <v>0</v>
      </c>
      <c r="AN175" s="828">
        <v>0</v>
      </c>
      <c r="AO175" s="828">
        <v>0</v>
      </c>
      <c r="AP175" s="828">
        <v>0</v>
      </c>
    </row>
    <row r="176" hidden="1">
      <c r="B176" s="829" t="s">
        <v>22</v>
      </c>
      <c r="C176" s="823">
        <v>0</v>
      </c>
      <c r="D176" s="823">
        <v>1</v>
      </c>
      <c r="E176" s="823">
        <v>1</v>
      </c>
      <c r="F176" s="823">
        <v>1</v>
      </c>
      <c r="G176" s="823">
        <v>1</v>
      </c>
      <c r="H176" s="823">
        <v>1</v>
      </c>
      <c r="I176" s="823">
        <v>1</v>
      </c>
      <c r="J176" s="823">
        <v>1</v>
      </c>
      <c r="K176" s="823">
        <v>1</v>
      </c>
      <c r="L176" s="823">
        <v>0</v>
      </c>
      <c r="M176" s="823">
        <v>2</v>
      </c>
      <c r="N176" s="823">
        <v>2</v>
      </c>
      <c r="O176" s="823">
        <v>3</v>
      </c>
      <c r="P176" s="823">
        <v>4</v>
      </c>
      <c r="Q176" s="823">
        <v>7</v>
      </c>
      <c r="R176" s="823">
        <v>7</v>
      </c>
      <c r="S176" s="823">
        <v>6</v>
      </c>
      <c r="T176" s="823">
        <v>6</v>
      </c>
      <c r="U176" s="823">
        <v>6</v>
      </c>
      <c r="V176" s="823">
        <v>6</v>
      </c>
      <c r="W176" s="823">
        <v>6</v>
      </c>
      <c r="X176" s="823">
        <v>6</v>
      </c>
      <c r="Y176" s="823">
        <v>4</v>
      </c>
      <c r="Z176" s="823">
        <v>5</v>
      </c>
      <c r="AA176" s="823">
        <v>6</v>
      </c>
      <c r="AB176" s="823">
        <v>6</v>
      </c>
      <c r="AC176" s="825">
        <v>6</v>
      </c>
      <c r="AD176" s="825">
        <v>6</v>
      </c>
      <c r="AE176" s="825">
        <v>7</v>
      </c>
      <c r="AF176" s="825">
        <v>5</v>
      </c>
      <c r="AG176" s="825">
        <v>5</v>
      </c>
      <c r="AH176" s="825">
        <v>5</v>
      </c>
      <c r="AI176" s="825">
        <v>5</v>
      </c>
      <c r="AJ176" s="825">
        <v>3</v>
      </c>
      <c r="AK176" s="825">
        <v>3</v>
      </c>
      <c r="AL176" s="825">
        <v>3</v>
      </c>
      <c r="AM176" s="825">
        <v>3</v>
      </c>
      <c r="AN176" s="825">
        <v>3</v>
      </c>
      <c r="AO176" s="825">
        <v>3</v>
      </c>
      <c r="AP176" s="825">
        <v>3</v>
      </c>
    </row>
    <row r="177" hidden="1">
      <c r="B177" s="826" t="s">
        <v>23</v>
      </c>
      <c r="C177" s="827">
        <v>0</v>
      </c>
      <c r="D177" s="827">
        <v>0</v>
      </c>
      <c r="E177" s="827">
        <v>0</v>
      </c>
      <c r="F177" s="827">
        <v>0</v>
      </c>
      <c r="G177" s="827">
        <v>0</v>
      </c>
      <c r="H177" s="827">
        <v>0</v>
      </c>
      <c r="I177" s="827">
        <v>0</v>
      </c>
      <c r="J177" s="827">
        <v>0</v>
      </c>
      <c r="K177" s="827">
        <v>0</v>
      </c>
      <c r="L177" s="827">
        <v>0</v>
      </c>
      <c r="M177" s="827">
        <v>0</v>
      </c>
      <c r="N177" s="827">
        <v>0</v>
      </c>
      <c r="O177" s="827">
        <v>0</v>
      </c>
      <c r="P177" s="827">
        <v>0</v>
      </c>
      <c r="Q177" s="827">
        <v>0</v>
      </c>
      <c r="R177" s="827">
        <v>0</v>
      </c>
      <c r="S177" s="827">
        <v>0</v>
      </c>
      <c r="T177" s="827">
        <v>0</v>
      </c>
      <c r="U177" s="827">
        <v>0</v>
      </c>
      <c r="V177" s="827">
        <v>0</v>
      </c>
      <c r="W177" s="827">
        <v>0</v>
      </c>
      <c r="X177" s="827">
        <v>0</v>
      </c>
      <c r="Y177" s="827">
        <v>0</v>
      </c>
      <c r="Z177" s="827">
        <v>0</v>
      </c>
      <c r="AA177" s="827">
        <v>0</v>
      </c>
      <c r="AB177" s="827">
        <v>0</v>
      </c>
      <c r="AC177" s="828">
        <v>0</v>
      </c>
      <c r="AD177" s="828">
        <v>0</v>
      </c>
      <c r="AE177" s="828">
        <v>0</v>
      </c>
      <c r="AF177" s="828">
        <v>0</v>
      </c>
      <c r="AG177" s="828">
        <v>0</v>
      </c>
      <c r="AH177" s="828">
        <v>0</v>
      </c>
      <c r="AI177" s="828">
        <v>0</v>
      </c>
      <c r="AJ177" s="828">
        <v>0</v>
      </c>
      <c r="AK177" s="828">
        <v>0</v>
      </c>
      <c r="AL177" s="828">
        <v>0</v>
      </c>
      <c r="AM177" s="828">
        <v>0</v>
      </c>
      <c r="AN177" s="828">
        <v>0</v>
      </c>
      <c r="AO177" s="828">
        <v>0</v>
      </c>
      <c r="AP177" s="828">
        <v>0</v>
      </c>
    </row>
    <row r="178" hidden="1">
      <c r="B178" s="830" t="s">
        <v>24</v>
      </c>
      <c r="C178" s="823">
        <v>0</v>
      </c>
      <c r="D178" s="823">
        <v>0</v>
      </c>
      <c r="E178" s="823">
        <v>0</v>
      </c>
      <c r="F178" s="823">
        <v>0</v>
      </c>
      <c r="G178" s="823">
        <v>0</v>
      </c>
      <c r="H178" s="823">
        <v>0</v>
      </c>
      <c r="I178" s="823">
        <v>0</v>
      </c>
      <c r="J178" s="823">
        <v>0</v>
      </c>
      <c r="K178" s="823">
        <v>0</v>
      </c>
      <c r="L178" s="823">
        <v>0</v>
      </c>
      <c r="M178" s="823">
        <v>0</v>
      </c>
      <c r="N178" s="823">
        <v>1</v>
      </c>
      <c r="O178" s="823">
        <v>1</v>
      </c>
      <c r="P178" s="823">
        <v>1</v>
      </c>
      <c r="Q178" s="823">
        <v>1</v>
      </c>
      <c r="R178" s="823">
        <v>0</v>
      </c>
      <c r="S178" s="823">
        <v>0</v>
      </c>
      <c r="T178" s="823">
        <v>0</v>
      </c>
      <c r="U178" s="823">
        <v>0</v>
      </c>
      <c r="V178" s="823">
        <v>0</v>
      </c>
      <c r="W178" s="823">
        <v>0</v>
      </c>
      <c r="X178" s="823">
        <v>0</v>
      </c>
      <c r="Y178" s="823">
        <v>0</v>
      </c>
      <c r="Z178" s="823">
        <v>0</v>
      </c>
      <c r="AA178" s="823">
        <v>0</v>
      </c>
      <c r="AB178" s="823">
        <v>0</v>
      </c>
      <c r="AC178" s="825">
        <v>0</v>
      </c>
      <c r="AD178" s="825">
        <v>1</v>
      </c>
      <c r="AE178" s="825">
        <v>2</v>
      </c>
      <c r="AF178" s="825">
        <v>2</v>
      </c>
      <c r="AG178" s="825">
        <v>2</v>
      </c>
      <c r="AH178" s="825">
        <v>3</v>
      </c>
      <c r="AI178" s="825">
        <v>3</v>
      </c>
      <c r="AJ178" s="825">
        <v>3</v>
      </c>
      <c r="AK178" s="825">
        <v>3</v>
      </c>
      <c r="AL178" s="825">
        <v>3</v>
      </c>
      <c r="AM178" s="825">
        <v>2</v>
      </c>
      <c r="AN178" s="825">
        <v>2</v>
      </c>
      <c r="AO178" s="825">
        <v>2</v>
      </c>
      <c r="AP178" s="825">
        <v>2</v>
      </c>
    </row>
    <row r="179" hidden="1">
      <c r="B179" s="826" t="s">
        <v>25</v>
      </c>
      <c r="C179" s="827">
        <v>0</v>
      </c>
      <c r="D179" s="827">
        <v>0</v>
      </c>
      <c r="E179" s="827">
        <v>0</v>
      </c>
      <c r="F179" s="827">
        <v>0</v>
      </c>
      <c r="G179" s="827">
        <v>0</v>
      </c>
      <c r="H179" s="827">
        <v>0</v>
      </c>
      <c r="I179" s="827">
        <v>0</v>
      </c>
      <c r="J179" s="827">
        <v>0</v>
      </c>
      <c r="K179" s="827">
        <v>0</v>
      </c>
      <c r="L179" s="827">
        <v>0</v>
      </c>
      <c r="M179" s="827">
        <v>0</v>
      </c>
      <c r="N179" s="827">
        <v>0</v>
      </c>
      <c r="O179" s="827">
        <v>0</v>
      </c>
      <c r="P179" s="827">
        <v>0</v>
      </c>
      <c r="Q179" s="827">
        <v>0</v>
      </c>
      <c r="R179" s="827">
        <v>0</v>
      </c>
      <c r="S179" s="827">
        <v>0</v>
      </c>
      <c r="T179" s="827">
        <v>0</v>
      </c>
      <c r="U179" s="827">
        <v>0</v>
      </c>
      <c r="V179" s="827">
        <v>0</v>
      </c>
      <c r="W179" s="827">
        <v>0</v>
      </c>
      <c r="X179" s="827">
        <v>0</v>
      </c>
      <c r="Y179" s="827">
        <v>0</v>
      </c>
      <c r="Z179" s="827">
        <v>0</v>
      </c>
      <c r="AA179" s="827">
        <v>0</v>
      </c>
      <c r="AB179" s="827">
        <v>0</v>
      </c>
      <c r="AC179" s="828">
        <v>0</v>
      </c>
      <c r="AD179" s="828">
        <v>0</v>
      </c>
      <c r="AE179" s="828">
        <v>0</v>
      </c>
      <c r="AF179" s="828">
        <v>0</v>
      </c>
      <c r="AG179" s="828">
        <v>0</v>
      </c>
      <c r="AH179" s="828">
        <v>0</v>
      </c>
      <c r="AI179" s="828">
        <v>0</v>
      </c>
      <c r="AJ179" s="828">
        <v>0</v>
      </c>
      <c r="AK179" s="828">
        <v>0</v>
      </c>
      <c r="AL179" s="828">
        <v>0</v>
      </c>
      <c r="AM179" s="828">
        <v>0</v>
      </c>
      <c r="AN179" s="828">
        <v>0</v>
      </c>
      <c r="AO179" s="828">
        <v>0</v>
      </c>
      <c r="AP179" s="828">
        <v>0</v>
      </c>
    </row>
    <row r="180" hidden="1" ht="13.5">
      <c r="B180" s="831" t="s">
        <v>26</v>
      </c>
      <c r="C180" s="823">
        <v>0</v>
      </c>
      <c r="D180" s="823">
        <v>0</v>
      </c>
      <c r="E180" s="823">
        <v>0</v>
      </c>
      <c r="F180" s="823">
        <v>0</v>
      </c>
      <c r="G180" s="823">
        <v>0</v>
      </c>
      <c r="H180" s="823">
        <v>0</v>
      </c>
      <c r="I180" s="823">
        <v>0</v>
      </c>
      <c r="J180" s="823">
        <v>0</v>
      </c>
      <c r="K180" s="823">
        <v>0</v>
      </c>
      <c r="L180" s="823">
        <v>0</v>
      </c>
      <c r="M180" s="823">
        <v>0</v>
      </c>
      <c r="N180" s="823">
        <v>0</v>
      </c>
      <c r="O180" s="823">
        <v>0</v>
      </c>
      <c r="P180" s="823">
        <v>0</v>
      </c>
      <c r="Q180" s="823">
        <v>0</v>
      </c>
      <c r="R180" s="823">
        <v>0</v>
      </c>
      <c r="S180" s="823">
        <v>0</v>
      </c>
      <c r="T180" s="823">
        <v>0</v>
      </c>
      <c r="U180" s="823">
        <v>0</v>
      </c>
      <c r="V180" s="823">
        <v>0</v>
      </c>
      <c r="W180" s="823">
        <v>0</v>
      </c>
      <c r="X180" s="823">
        <v>0</v>
      </c>
      <c r="Y180" s="823">
        <v>0</v>
      </c>
      <c r="Z180" s="823">
        <v>0</v>
      </c>
      <c r="AA180" s="823">
        <v>0</v>
      </c>
      <c r="AB180" s="832">
        <v>0</v>
      </c>
      <c r="AC180" s="825">
        <v>0</v>
      </c>
      <c r="AD180" s="825">
        <v>0</v>
      </c>
      <c r="AE180" s="825">
        <v>0</v>
      </c>
      <c r="AF180" s="825">
        <v>0</v>
      </c>
      <c r="AG180" s="825">
        <v>0</v>
      </c>
      <c r="AH180" s="825">
        <v>0</v>
      </c>
      <c r="AI180" s="825">
        <v>0</v>
      </c>
      <c r="AJ180" s="825">
        <v>0</v>
      </c>
      <c r="AK180" s="825">
        <v>0</v>
      </c>
      <c r="AL180" s="825">
        <v>0</v>
      </c>
      <c r="AM180" s="825">
        <v>0</v>
      </c>
      <c r="AN180" s="825">
        <v>0</v>
      </c>
      <c r="AO180" s="825">
        <v>0</v>
      </c>
      <c r="AP180" s="825">
        <v>0</v>
      </c>
    </row>
    <row r="181" hidden="1" ht="13.5">
      <c r="B181" s="128" t="s">
        <v>7</v>
      </c>
      <c r="C181" s="129" t="str">
        <f>IF(SUM(C162:C180)&lt;&gt;0,SUM(C162:C180),"")</f>
      </c>
      <c r="D181" s="129" t="str">
        <f ref="D181:AA181" t="shared" si="0">IF(SUM(D162:D180)&lt;&gt;0,SUM(D162:D180),"")</f>
      </c>
      <c r="E181" s="129" t="str">
        <f t="shared" si="0"/>
      </c>
      <c r="F181" s="129" t="str">
        <f t="shared" si="0"/>
      </c>
      <c r="G181" s="129" t="str">
        <f t="shared" si="0"/>
      </c>
      <c r="H181" s="129" t="str">
        <f t="shared" si="0"/>
      </c>
      <c r="I181" s="129" t="str">
        <f t="shared" si="0"/>
      </c>
      <c r="J181" s="129" t="str">
        <f t="shared" si="0"/>
      </c>
      <c r="K181" s="129" t="str">
        <f t="shared" si="0"/>
      </c>
      <c r="L181" s="129" t="str">
        <f t="shared" si="0"/>
      </c>
      <c r="M181" s="129" t="str">
        <f t="shared" si="0"/>
      </c>
      <c r="N181" s="129" t="str">
        <f t="shared" si="0"/>
      </c>
      <c r="O181" s="129" t="str">
        <f t="shared" si="0"/>
      </c>
      <c r="P181" s="129" t="str">
        <f t="shared" si="0"/>
      </c>
      <c r="Q181" s="129" t="str">
        <f t="shared" si="0"/>
      </c>
      <c r="R181" s="129" t="str">
        <f t="shared" si="0"/>
      </c>
      <c r="S181" s="129" t="str">
        <f t="shared" si="0"/>
      </c>
      <c r="T181" s="129" t="str">
        <f t="shared" si="0"/>
      </c>
      <c r="U181" s="129" t="str">
        <f t="shared" si="0"/>
      </c>
      <c r="V181" s="129" t="str">
        <f t="shared" si="0"/>
      </c>
      <c r="W181" s="129" t="str">
        <f t="shared" si="0"/>
      </c>
      <c r="X181" s="129" t="str">
        <f t="shared" si="0"/>
      </c>
      <c r="Y181" s="129" t="str">
        <f t="shared" si="0"/>
      </c>
      <c r="Z181" s="129" t="str">
        <f t="shared" si="0"/>
      </c>
      <c r="AA181" s="129" t="str">
        <f t="shared" si="0"/>
      </c>
      <c r="AB181" s="130" t="str">
        <f>IF(SUM(AB162:AB180)&lt;&gt;0,SUM(AB162:AB180),"")</f>
      </c>
      <c r="AC181" s="91" t="str">
        <f ref="AC181:CN181" t="shared" si="1">IF(SUM(AC162:AC180)&lt;&gt;0,SUM(AC162:AC180),"")</f>
      </c>
      <c r="AD181" s="91" t="str">
        <f t="shared" si="1"/>
      </c>
      <c r="AE181" s="91" t="str">
        <f t="shared" si="1"/>
      </c>
      <c r="AF181" s="91" t="str">
        <f t="shared" si="1"/>
      </c>
      <c r="AG181" s="91" t="str">
        <f t="shared" si="1"/>
      </c>
      <c r="AH181" s="91" t="str">
        <f t="shared" si="1"/>
      </c>
      <c r="AI181" s="91" t="str">
        <f t="shared" si="1"/>
      </c>
      <c r="AJ181" s="91" t="str">
        <f t="shared" si="1"/>
      </c>
      <c r="AK181" s="91" t="str">
        <f t="shared" si="1"/>
      </c>
      <c r="AL181" s="91" t="str">
        <f t="shared" si="1"/>
      </c>
      <c r="AM181" s="91" t="str">
        <f t="shared" si="1"/>
      </c>
      <c r="AN181" s="91" t="str">
        <f t="shared" si="1"/>
      </c>
      <c r="AO181" s="91" t="str">
        <f t="shared" si="1"/>
      </c>
      <c r="AP181" s="91" t="str">
        <f t="shared" si="1"/>
      </c>
      <c r="AQ181" s="91" t="str">
        <f t="shared" si="1"/>
      </c>
      <c r="AR181" s="91" t="str">
        <f t="shared" si="1"/>
      </c>
      <c r="AS181" s="91" t="str">
        <f t="shared" si="1"/>
      </c>
      <c r="AT181" s="91" t="str">
        <f t="shared" si="1"/>
      </c>
      <c r="AU181" s="91" t="str">
        <f t="shared" si="1"/>
      </c>
      <c r="AV181" s="91" t="str">
        <f t="shared" si="1"/>
      </c>
      <c r="AW181" s="91" t="str">
        <f t="shared" si="1"/>
      </c>
      <c r="AX181" s="91" t="str">
        <f t="shared" si="1"/>
      </c>
      <c r="AY181" s="91" t="str">
        <f t="shared" si="1"/>
      </c>
      <c r="AZ181" s="91" t="str">
        <f t="shared" si="1"/>
      </c>
      <c r="BA181" s="91" t="str">
        <f t="shared" si="1"/>
      </c>
      <c r="BB181" s="91" t="str">
        <f t="shared" si="1"/>
      </c>
      <c r="BC181" s="91" t="str">
        <f t="shared" si="1"/>
      </c>
      <c r="BD181" s="91" t="str">
        <f t="shared" si="1"/>
      </c>
      <c r="BE181" s="91" t="str">
        <f t="shared" si="1"/>
      </c>
      <c r="BF181" s="91" t="str">
        <f t="shared" si="1"/>
      </c>
      <c r="BG181" s="91" t="str">
        <f t="shared" si="1"/>
      </c>
      <c r="BH181" s="91" t="str">
        <f t="shared" si="1"/>
      </c>
      <c r="BI181" s="91" t="str">
        <f t="shared" si="1"/>
      </c>
      <c r="BJ181" s="91" t="str">
        <f t="shared" si="1"/>
      </c>
      <c r="BK181" s="91" t="str">
        <f t="shared" si="1"/>
      </c>
      <c r="BL181" s="91" t="str">
        <f t="shared" si="1"/>
      </c>
      <c r="BM181" s="91" t="str">
        <f t="shared" si="1"/>
      </c>
      <c r="BN181" s="91" t="str">
        <f t="shared" si="1"/>
      </c>
      <c r="BO181" s="91" t="str">
        <f t="shared" si="1"/>
      </c>
      <c r="BP181" s="91" t="str">
        <f t="shared" si="1"/>
      </c>
      <c r="BQ181" s="91" t="str">
        <f t="shared" si="1"/>
      </c>
      <c r="BR181" s="91" t="str">
        <f t="shared" si="1"/>
      </c>
      <c r="BS181" s="91" t="str">
        <f t="shared" si="1"/>
      </c>
      <c r="BT181" s="91" t="str">
        <f t="shared" si="1"/>
      </c>
      <c r="BU181" s="91" t="str">
        <f t="shared" si="1"/>
      </c>
      <c r="BV181" s="91" t="str">
        <f t="shared" si="1"/>
      </c>
      <c r="BW181" s="91" t="str">
        <f t="shared" si="1"/>
      </c>
      <c r="BX181" s="91" t="str">
        <f t="shared" si="1"/>
      </c>
      <c r="BY181" s="91" t="str">
        <f t="shared" si="1"/>
      </c>
      <c r="BZ181" s="91" t="str">
        <f t="shared" si="1"/>
      </c>
      <c r="CA181" s="91" t="str">
        <f t="shared" si="1"/>
      </c>
      <c r="CB181" s="91" t="str">
        <f t="shared" si="1"/>
      </c>
      <c r="CC181" s="91" t="str">
        <f t="shared" si="1"/>
      </c>
      <c r="CD181" s="91" t="str">
        <f t="shared" si="1"/>
      </c>
      <c r="CE181" s="91" t="str">
        <f t="shared" si="1"/>
      </c>
      <c r="CF181" s="91" t="str">
        <f t="shared" si="1"/>
      </c>
      <c r="CG181" s="91" t="str">
        <f t="shared" si="1"/>
      </c>
      <c r="CH181" s="91" t="str">
        <f t="shared" si="1"/>
      </c>
      <c r="CI181" s="91" t="str">
        <f t="shared" si="1"/>
      </c>
      <c r="CJ181" s="91" t="str">
        <f t="shared" si="1"/>
      </c>
      <c r="CK181" s="91" t="str">
        <f t="shared" si="1"/>
      </c>
      <c r="CL181" s="91" t="str">
        <f t="shared" si="1"/>
      </c>
      <c r="CM181" s="91" t="str">
        <f t="shared" si="1"/>
      </c>
      <c r="CN181" s="91" t="str">
        <f t="shared" si="1"/>
      </c>
      <c r="CO181" s="91" t="str">
        <f ref="CO181:EZ181" t="shared" si="2">IF(SUM(CO162:CO180)&lt;&gt;0,SUM(CO162:CO180),"")</f>
      </c>
      <c r="CP181" s="91" t="str">
        <f t="shared" si="2"/>
      </c>
      <c r="CQ181" s="91" t="str">
        <f t="shared" si="2"/>
      </c>
      <c r="CR181" s="91" t="str">
        <f t="shared" si="2"/>
      </c>
      <c r="CS181" s="91" t="str">
        <f t="shared" si="2"/>
      </c>
      <c r="CT181" s="91" t="str">
        <f t="shared" si="2"/>
      </c>
      <c r="CU181" s="91" t="str">
        <f t="shared" si="2"/>
      </c>
      <c r="CV181" s="91" t="str">
        <f t="shared" si="2"/>
      </c>
      <c r="CW181" s="91" t="str">
        <f t="shared" si="2"/>
      </c>
      <c r="CX181" s="91" t="str">
        <f t="shared" si="2"/>
      </c>
      <c r="CY181" s="91" t="str">
        <f t="shared" si="2"/>
      </c>
      <c r="CZ181" s="91" t="str">
        <f t="shared" si="2"/>
      </c>
      <c r="DA181" s="91" t="str">
        <f t="shared" si="2"/>
      </c>
      <c r="DB181" s="91" t="str">
        <f t="shared" si="2"/>
      </c>
      <c r="DC181" s="91" t="str">
        <f t="shared" si="2"/>
      </c>
      <c r="DD181" s="91" t="str">
        <f t="shared" si="2"/>
      </c>
      <c r="DE181" s="91" t="str">
        <f t="shared" si="2"/>
      </c>
      <c r="DF181" s="91" t="str">
        <f t="shared" si="2"/>
      </c>
      <c r="DG181" s="91" t="str">
        <f t="shared" si="2"/>
      </c>
      <c r="DH181" s="91" t="str">
        <f t="shared" si="2"/>
      </c>
      <c r="DI181" s="91" t="str">
        <f t="shared" si="2"/>
      </c>
      <c r="DJ181" s="91" t="str">
        <f t="shared" si="2"/>
      </c>
      <c r="DK181" s="91" t="str">
        <f t="shared" si="2"/>
      </c>
      <c r="DL181" s="91" t="str">
        <f t="shared" si="2"/>
      </c>
      <c r="DM181" s="91" t="str">
        <f t="shared" si="2"/>
      </c>
      <c r="DN181" s="91" t="str">
        <f t="shared" si="2"/>
      </c>
      <c r="DO181" s="91" t="str">
        <f t="shared" si="2"/>
      </c>
      <c r="DP181" s="91" t="str">
        <f t="shared" si="2"/>
      </c>
      <c r="DQ181" s="91" t="str">
        <f t="shared" si="2"/>
      </c>
      <c r="DR181" s="91" t="str">
        <f t="shared" si="2"/>
      </c>
      <c r="DS181" s="91" t="str">
        <f t="shared" si="2"/>
      </c>
      <c r="DT181" s="91" t="str">
        <f t="shared" si="2"/>
      </c>
      <c r="DU181" s="91" t="str">
        <f t="shared" si="2"/>
      </c>
      <c r="DV181" s="91" t="str">
        <f t="shared" si="2"/>
      </c>
      <c r="DW181" s="91" t="str">
        <f t="shared" si="2"/>
      </c>
      <c r="DX181" s="91" t="str">
        <f t="shared" si="2"/>
      </c>
      <c r="DY181" s="91" t="str">
        <f t="shared" si="2"/>
      </c>
      <c r="DZ181" s="91" t="str">
        <f t="shared" si="2"/>
      </c>
      <c r="EA181" s="91" t="str">
        <f t="shared" si="2"/>
      </c>
      <c r="EB181" s="91" t="str">
        <f t="shared" si="2"/>
      </c>
      <c r="EC181" s="91" t="str">
        <f t="shared" si="2"/>
      </c>
      <c r="ED181" s="91" t="str">
        <f t="shared" si="2"/>
      </c>
      <c r="EE181" s="91" t="str">
        <f t="shared" si="2"/>
      </c>
      <c r="EF181" s="91" t="str">
        <f t="shared" si="2"/>
      </c>
      <c r="EG181" s="91" t="str">
        <f t="shared" si="2"/>
      </c>
      <c r="EH181" s="91" t="str">
        <f t="shared" si="2"/>
      </c>
      <c r="EI181" s="91" t="str">
        <f t="shared" si="2"/>
      </c>
      <c r="EJ181" s="91" t="str">
        <f t="shared" si="2"/>
      </c>
      <c r="EK181" s="91" t="str">
        <f t="shared" si="2"/>
      </c>
      <c r="EL181" s="91" t="str">
        <f t="shared" si="2"/>
      </c>
      <c r="EM181" s="91" t="str">
        <f t="shared" si="2"/>
      </c>
      <c r="EN181" s="91" t="str">
        <f t="shared" si="2"/>
      </c>
      <c r="EO181" s="91" t="str">
        <f t="shared" si="2"/>
      </c>
      <c r="EP181" s="91" t="str">
        <f t="shared" si="2"/>
      </c>
      <c r="EQ181" s="91" t="str">
        <f t="shared" si="2"/>
      </c>
      <c r="ER181" s="91" t="str">
        <f t="shared" si="2"/>
      </c>
      <c r="ES181" s="91" t="str">
        <f t="shared" si="2"/>
      </c>
      <c r="ET181" s="91" t="str">
        <f t="shared" si="2"/>
      </c>
      <c r="EU181" s="91" t="str">
        <f t="shared" si="2"/>
      </c>
      <c r="EV181" s="91" t="str">
        <f t="shared" si="2"/>
      </c>
      <c r="EW181" s="91" t="str">
        <f t="shared" si="2"/>
      </c>
      <c r="EX181" s="91" t="str">
        <f t="shared" si="2"/>
      </c>
      <c r="EY181" s="91" t="str">
        <f t="shared" si="2"/>
      </c>
      <c r="EZ181" s="91" t="str">
        <f t="shared" si="2"/>
      </c>
      <c r="FA181" s="91" t="str">
        <f ref="FA181:HL181" t="shared" si="3">IF(SUM(FA162:FA180)&lt;&gt;0,SUM(FA162:FA180),"")</f>
      </c>
      <c r="FB181" s="91" t="str">
        <f t="shared" si="3"/>
      </c>
      <c r="FC181" s="91" t="str">
        <f t="shared" si="3"/>
      </c>
      <c r="FD181" s="91" t="str">
        <f t="shared" si="3"/>
      </c>
      <c r="FE181" s="91" t="str">
        <f t="shared" si="3"/>
      </c>
      <c r="FF181" s="91" t="str">
        <f t="shared" si="3"/>
      </c>
      <c r="FG181" s="91" t="str">
        <f t="shared" si="3"/>
      </c>
      <c r="FH181" s="91" t="str">
        <f t="shared" si="3"/>
      </c>
      <c r="FI181" s="91" t="str">
        <f t="shared" si="3"/>
      </c>
      <c r="FJ181" s="91" t="str">
        <f t="shared" si="3"/>
      </c>
      <c r="FK181" s="91" t="str">
        <f t="shared" si="3"/>
      </c>
      <c r="FL181" s="91" t="str">
        <f t="shared" si="3"/>
      </c>
      <c r="FM181" s="91" t="str">
        <f t="shared" si="3"/>
      </c>
      <c r="FN181" s="91" t="str">
        <f t="shared" si="3"/>
      </c>
      <c r="FO181" s="91" t="str">
        <f t="shared" si="3"/>
      </c>
      <c r="FP181" s="91" t="str">
        <f t="shared" si="3"/>
      </c>
      <c r="FQ181" s="91" t="str">
        <f t="shared" si="3"/>
      </c>
      <c r="FR181" s="91" t="str">
        <f t="shared" si="3"/>
      </c>
      <c r="FS181" s="91" t="str">
        <f t="shared" si="3"/>
      </c>
      <c r="FT181" s="91" t="str">
        <f t="shared" si="3"/>
      </c>
      <c r="FU181" s="91" t="str">
        <f t="shared" si="3"/>
      </c>
      <c r="FV181" s="91" t="str">
        <f t="shared" si="3"/>
      </c>
      <c r="FW181" s="91" t="str">
        <f t="shared" si="3"/>
      </c>
      <c r="FX181" s="91" t="str">
        <f t="shared" si="3"/>
      </c>
      <c r="FY181" s="91" t="str">
        <f t="shared" si="3"/>
      </c>
      <c r="FZ181" s="91" t="str">
        <f t="shared" si="3"/>
      </c>
      <c r="GA181" s="91" t="str">
        <f t="shared" si="3"/>
      </c>
      <c r="GB181" s="91" t="str">
        <f t="shared" si="3"/>
      </c>
      <c r="GC181" s="91" t="str">
        <f t="shared" si="3"/>
      </c>
      <c r="GD181" s="91" t="str">
        <f t="shared" si="3"/>
      </c>
      <c r="GE181" s="91" t="str">
        <f t="shared" si="3"/>
      </c>
      <c r="GF181" s="91" t="str">
        <f t="shared" si="3"/>
      </c>
      <c r="GG181" s="91" t="str">
        <f t="shared" si="3"/>
      </c>
      <c r="GH181" s="91" t="str">
        <f t="shared" si="3"/>
      </c>
      <c r="GI181" s="91" t="str">
        <f t="shared" si="3"/>
      </c>
      <c r="GJ181" s="91" t="str">
        <f t="shared" si="3"/>
      </c>
      <c r="GK181" s="91" t="str">
        <f t="shared" si="3"/>
      </c>
      <c r="GL181" s="91" t="str">
        <f t="shared" si="3"/>
      </c>
      <c r="GM181" s="91" t="str">
        <f t="shared" si="3"/>
      </c>
      <c r="GN181" s="91" t="str">
        <f t="shared" si="3"/>
      </c>
      <c r="GO181" s="91" t="str">
        <f t="shared" si="3"/>
      </c>
      <c r="GP181" s="91" t="str">
        <f t="shared" si="3"/>
      </c>
      <c r="GQ181" s="91" t="str">
        <f t="shared" si="3"/>
      </c>
      <c r="GR181" s="91" t="str">
        <f t="shared" si="3"/>
      </c>
      <c r="GS181" s="91" t="str">
        <f t="shared" si="3"/>
      </c>
      <c r="GT181" s="91" t="str">
        <f t="shared" si="3"/>
      </c>
      <c r="GU181" s="91" t="str">
        <f t="shared" si="3"/>
      </c>
      <c r="GV181" s="91" t="str">
        <f t="shared" si="3"/>
      </c>
      <c r="GW181" s="91" t="str">
        <f t="shared" si="3"/>
      </c>
      <c r="GX181" s="91" t="str">
        <f t="shared" si="3"/>
      </c>
      <c r="GY181" s="91" t="str">
        <f t="shared" si="3"/>
      </c>
      <c r="GZ181" s="91" t="str">
        <f t="shared" si="3"/>
      </c>
      <c r="HA181" s="91" t="str">
        <f t="shared" si="3"/>
      </c>
      <c r="HB181" s="91" t="str">
        <f t="shared" si="3"/>
      </c>
      <c r="HC181" s="91" t="str">
        <f t="shared" si="3"/>
      </c>
      <c r="HD181" s="91" t="str">
        <f t="shared" si="3"/>
      </c>
      <c r="HE181" s="91" t="str">
        <f t="shared" si="3"/>
      </c>
      <c r="HF181" s="91" t="str">
        <f t="shared" si="3"/>
      </c>
      <c r="HG181" s="91" t="str">
        <f t="shared" si="3"/>
      </c>
      <c r="HH181" s="91" t="str">
        <f t="shared" si="3"/>
      </c>
      <c r="HI181" s="91" t="str">
        <f t="shared" si="3"/>
      </c>
      <c r="HJ181" s="91" t="str">
        <f t="shared" si="3"/>
      </c>
      <c r="HK181" s="91" t="str">
        <f t="shared" si="3"/>
      </c>
      <c r="HL181" s="91" t="str">
        <f t="shared" si="3"/>
      </c>
      <c r="HM181" s="91" t="str">
        <f ref="HM181:IV181" t="shared" si="4">IF(SUM(HM162:HM180)&lt;&gt;0,SUM(HM162:HM180),"")</f>
      </c>
      <c r="HN181" s="91" t="str">
        <f t="shared" si="4"/>
      </c>
      <c r="HO181" s="91" t="str">
        <f t="shared" si="4"/>
      </c>
      <c r="HP181" s="91" t="str">
        <f t="shared" si="4"/>
      </c>
      <c r="HQ181" s="91" t="str">
        <f t="shared" si="4"/>
      </c>
      <c r="HR181" s="91" t="str">
        <f t="shared" si="4"/>
      </c>
      <c r="HS181" s="91" t="str">
        <f t="shared" si="4"/>
      </c>
      <c r="HT181" s="91" t="str">
        <f t="shared" si="4"/>
      </c>
      <c r="HU181" s="91" t="str">
        <f t="shared" si="4"/>
      </c>
      <c r="HV181" s="91" t="str">
        <f t="shared" si="4"/>
      </c>
      <c r="HW181" s="91" t="str">
        <f t="shared" si="4"/>
      </c>
      <c r="HX181" s="91" t="str">
        <f t="shared" si="4"/>
      </c>
      <c r="HY181" s="91" t="str">
        <f t="shared" si="4"/>
      </c>
      <c r="HZ181" s="91" t="str">
        <f t="shared" si="4"/>
      </c>
      <c r="IA181" s="91" t="str">
        <f t="shared" si="4"/>
      </c>
      <c r="IB181" s="91" t="str">
        <f t="shared" si="4"/>
      </c>
      <c r="IC181" s="91" t="str">
        <f t="shared" si="4"/>
      </c>
      <c r="ID181" s="91" t="str">
        <f t="shared" si="4"/>
      </c>
      <c r="IE181" s="91" t="str">
        <f t="shared" si="4"/>
      </c>
      <c r="IF181" s="91" t="str">
        <f t="shared" si="4"/>
      </c>
      <c r="IG181" s="91" t="str">
        <f t="shared" si="4"/>
      </c>
      <c r="IH181" s="91" t="str">
        <f t="shared" si="4"/>
      </c>
      <c r="II181" s="91" t="str">
        <f t="shared" si="4"/>
      </c>
      <c r="IJ181" s="91" t="str">
        <f t="shared" si="4"/>
      </c>
      <c r="IK181" s="91" t="str">
        <f t="shared" si="4"/>
      </c>
      <c r="IL181" s="91" t="str">
        <f t="shared" si="4"/>
      </c>
      <c r="IM181" s="91" t="str">
        <f t="shared" si="4"/>
      </c>
      <c r="IN181" s="91" t="str">
        <f t="shared" si="4"/>
      </c>
      <c r="IO181" s="91" t="str">
        <f t="shared" si="4"/>
      </c>
      <c r="IP181" s="91" t="str">
        <f t="shared" si="4"/>
      </c>
      <c r="IQ181" s="91" t="str">
        <f t="shared" si="4"/>
      </c>
      <c r="IR181" s="91" t="str">
        <f t="shared" si="4"/>
      </c>
      <c r="IS181" s="91" t="str">
        <f t="shared" si="4"/>
      </c>
      <c r="IT181" s="91" t="str">
        <f t="shared" si="4"/>
      </c>
      <c r="IU181" s="91" t="str">
        <f t="shared" si="4"/>
      </c>
      <c r="IV181" s="91" t="str">
        <f t="shared" si="4"/>
      </c>
    </row>
    <row r="182" hidden="1" ht="13.5"/>
    <row r="183" hidden="1" ht="15" customHeight="1">
      <c r="C183" s="686" t="s">
        <v>383</v>
      </c>
      <c r="D183" s="687"/>
      <c r="E183" s="687"/>
      <c r="F183" s="687"/>
      <c r="G183" s="687"/>
      <c r="H183" s="687"/>
      <c r="I183" s="687"/>
      <c r="J183" s="687"/>
      <c r="K183" s="687"/>
      <c r="L183" s="687"/>
      <c r="M183" s="687"/>
      <c r="N183" s="687"/>
      <c r="O183" s="687"/>
      <c r="P183" s="687"/>
      <c r="Q183" s="687"/>
      <c r="R183" s="687"/>
      <c r="S183" s="687"/>
      <c r="T183" s="687"/>
      <c r="U183" s="687"/>
      <c r="V183" s="687"/>
      <c r="W183" s="687"/>
      <c r="X183" s="687"/>
      <c r="Y183" s="687"/>
      <c r="Z183" s="687"/>
      <c r="AA183" s="687"/>
      <c r="AB183" s="688"/>
    </row>
    <row r="184" hidden="1" ht="15" customHeight="1">
      <c r="C184" s="435" t="str">
        <f> IF(C204&lt;&gt;"",TEXT(AUX!G$1,"dd-MMM-aa"),"")</f>
      </c>
      <c r="D184" s="435" t="str">
        <f> IF(D204&lt;&gt;"",TEXT(AUX!H$1,"dd-MMM-aa"),"")</f>
      </c>
      <c r="E184" s="435" t="str">
        <f> IF(E204&lt;&gt;"",TEXT(AUX!I$1,"dd-MMM-aa"),"")</f>
      </c>
      <c r="F184" s="435" t="str">
        <f> IF(F204&lt;&gt;"",TEXT(AUX!J$1,"dd-MMM-aa"),"")</f>
      </c>
      <c r="G184" s="435" t="str">
        <f> IF(G204&lt;&gt;"",TEXT(AUX!K$1,"dd-MMM-aa"),"")</f>
      </c>
      <c r="H184" s="435" t="str">
        <f> IF(H204&lt;&gt;"",TEXT(AUX!L$1,"dd-MMM-aa"),"")</f>
      </c>
      <c r="I184" s="435" t="str">
        <f> IF(I204&lt;&gt;"",TEXT(AUX!M$1,"dd-MMM-aa"),"")</f>
      </c>
      <c r="J184" s="435" t="str">
        <f> IF(J204&lt;&gt;"",TEXT(AUX!N$1,"dd-MMM-aa"),"")</f>
      </c>
      <c r="K184" s="435" t="str">
        <f> IF(K204&lt;&gt;"",TEXT(AUX!O$1,"dd-MMM-aa"),"")</f>
      </c>
      <c r="L184" s="435" t="str">
        <f> IF(L204&lt;&gt;"",TEXT(AUX!P$1,"dd-MMM-aa"),"")</f>
      </c>
      <c r="M184" s="435" t="str">
        <f> IF(M204&lt;&gt;"",TEXT(AUX!Q$1,"dd-MMM-aa"),"")</f>
      </c>
      <c r="N184" s="435" t="str">
        <f> IF(N204&lt;&gt;"",TEXT(AUX!R$1,"dd-MMM-aa"),"")</f>
      </c>
      <c r="O184" s="435" t="str">
        <f> IF(O204&lt;&gt;"",TEXT(AUX!S$1,"dd-MMM-aa"),"")</f>
      </c>
      <c r="P184" s="435" t="str">
        <f> IF(P204&lt;&gt;"",TEXT(AUX!T$1,"dd-MMM-aa"),"")</f>
      </c>
      <c r="Q184" s="435" t="str">
        <f> IF(Q204&lt;&gt;"",TEXT(AUX!U$1,"dd-MMM-aa"),"")</f>
      </c>
      <c r="R184" s="435" t="str">
        <f> IF(R204&lt;&gt;"",TEXT(AUX!V$1,"dd-MMM-aa"),"")</f>
      </c>
      <c r="S184" s="435" t="str">
        <f> IF(S204&lt;&gt;"",TEXT(AUX!W$1,"dd-MMM-aa"),"")</f>
      </c>
      <c r="T184" s="435" t="str">
        <f> IF(T204&lt;&gt;"",TEXT(AUX!X$1,"dd-MMM-aa"),"")</f>
      </c>
      <c r="U184" s="435" t="str">
        <f> IF(U204&lt;&gt;"",TEXT(AUX!Y$1,"dd-MMM-aa"),"")</f>
      </c>
      <c r="V184" s="435" t="str">
        <f> IF(V204&lt;&gt;"",TEXT(AUX!Z$1,"dd-MMM-aa"),"")</f>
      </c>
      <c r="W184" s="435" t="str">
        <f> IF(W204&lt;&gt;"",TEXT(AUX!AA$1,"dd-MMM-aa"),"")</f>
      </c>
      <c r="X184" s="435" t="str">
        <f> IF(X204&lt;&gt;"",TEXT(AUX!AB$1,"dd-MMM-aa"),"")</f>
      </c>
      <c r="Y184" s="435" t="str">
        <f> IF(Y204&lt;&gt;"",TEXT(AUX!AC$1,"dd-MMM-aa"),"")</f>
      </c>
      <c r="Z184" s="435" t="str">
        <f> IF(Z204&lt;&gt;"",TEXT(AUX!AD$1,"dd-MMM-aa"),"")</f>
      </c>
      <c r="AA184" s="435" t="str">
        <f> IF(AA204&lt;&gt;"",TEXT(AUX!AE$1,"dd-MMM-aa"),"")</f>
      </c>
      <c r="AB184" s="497" t="str">
        <f> IF(AB204&lt;&gt;"",TEXT(AUX!AF$1,"dd-MMM-aa"),"")</f>
      </c>
      <c r="AC184" s="496" t="str">
        <f> IF(AC204&lt;&gt;"",TEXT(AUX!AG$1,"dd-MMM-aa"),"")</f>
      </c>
      <c r="AD184" s="496" t="str">
        <f> IF(AD204&lt;&gt;"",TEXT(AUX!AH$1,"dd-MMM-aa"),"")</f>
      </c>
      <c r="AE184" s="496" t="str">
        <f> IF(AE204&lt;&gt;"",TEXT(AUX!AI$1,"dd-MMM-aa"),"")</f>
      </c>
      <c r="AF184" s="496" t="str">
        <f> IF(AF204&lt;&gt;"",TEXT(AUX!AJ$1,"dd-MMM-aa"),"")</f>
      </c>
      <c r="AG184" s="496" t="str">
        <f> IF(AG204&lt;&gt;"",TEXT(AUX!AK$1,"dd-MMM-aa"),"")</f>
      </c>
      <c r="AH184" s="496" t="str">
        <f> IF(AH204&lt;&gt;"",TEXT(AUX!AL$1,"dd-MMM-aa"),"")</f>
      </c>
      <c r="AI184" s="496" t="str">
        <f> IF(AI204&lt;&gt;"",TEXT(AUX!AM$1,"dd-MMM-aa"),"")</f>
      </c>
      <c r="AJ184" s="496" t="str">
        <f> IF(AJ204&lt;&gt;"",TEXT(AUX!AN$1,"dd-MMM-aa"),"")</f>
      </c>
      <c r="AK184" s="496" t="str">
        <f> IF(AK204&lt;&gt;"",TEXT(AUX!AO$1,"dd-MMM-aa"),"")</f>
      </c>
      <c r="AL184" s="496" t="str">
        <f> IF(AL204&lt;&gt;"",TEXT(AUX!AP$1,"dd-MMM-aa"),"")</f>
      </c>
      <c r="AM184" s="496" t="str">
        <f> IF(AM204&lt;&gt;"",TEXT(AUX!AQ$1,"dd-MMM-aa"),"")</f>
      </c>
      <c r="AN184" s="496" t="str">
        <f> IF(AN204&lt;&gt;"",TEXT(AUX!AR$1,"dd-MMM-aa"),"")</f>
      </c>
      <c r="AO184" s="496" t="str">
        <f> IF(AO204&lt;&gt;"",TEXT(AUX!AS$1,"dd-MMM-aa"),"")</f>
      </c>
      <c r="AP184" s="496" t="str">
        <f> IF(AP204&lt;&gt;"",TEXT(AUX!AT$1,"dd-MMM-aa"),"")</f>
      </c>
      <c r="AQ184" s="496" t="str">
        <f> IF(AQ204&lt;&gt;"",TEXT(AUX!AU$1,"dd-MMM-aa"),"")</f>
      </c>
      <c r="AR184" s="496" t="str">
        <f> IF(AR204&lt;&gt;"",TEXT(AUX!AV$1,"dd-MMM-aa"),"")</f>
      </c>
      <c r="AS184" s="496" t="str">
        <f> IF(AS204&lt;&gt;"",TEXT(AUX!AW$1,"dd-MMM-aa"),"")</f>
      </c>
      <c r="AT184" s="496" t="str">
        <f> IF(AT204&lt;&gt;"",TEXT(AUX!AX$1,"dd-MMM-aa"),"")</f>
      </c>
      <c r="AU184" s="496" t="str">
        <f> IF(AU204&lt;&gt;"",TEXT(AUX!AY$1,"dd-MMM-aa"),"")</f>
      </c>
      <c r="AV184" s="496" t="str">
        <f> IF(AV204&lt;&gt;"",TEXT(AUX!AZ$1,"dd-MMM-aa"),"")</f>
      </c>
      <c r="AW184" s="496" t="str">
        <f> IF(AW204&lt;&gt;"",TEXT(AUX!BA$1,"dd-MMM-aa"),"")</f>
      </c>
      <c r="AX184" s="496" t="str">
        <f> IF(AX204&lt;&gt;"",TEXT(AUX!BB$1,"dd-MMM-aa"),"")</f>
      </c>
      <c r="AY184" s="496" t="str">
        <f> IF(AY204&lt;&gt;"",TEXT(AUX!BC$1,"dd-MMM-aa"),"")</f>
      </c>
      <c r="AZ184" s="496" t="str">
        <f> IF(AZ204&lt;&gt;"",TEXT(AUX!BD$1,"dd-MMM-aa"),"")</f>
      </c>
      <c r="BA184" s="496" t="str">
        <f> IF(BA204&lt;&gt;"",TEXT(AUX!BE$1,"dd-MMM-aa"),"")</f>
      </c>
      <c r="BB184" s="496" t="str">
        <f> IF(BB204&lt;&gt;"",TEXT(AUX!BF$1,"dd-MMM-aa"),"")</f>
      </c>
      <c r="BC184" s="496" t="str">
        <f> IF(BC204&lt;&gt;"",TEXT(AUX!BG$1,"dd-MMM-aa"),"")</f>
      </c>
      <c r="BD184" s="496" t="str">
        <f> IF(BD204&lt;&gt;"",TEXT(AUX!BH$1,"dd-MMM-aa"),"")</f>
      </c>
      <c r="BE184" s="496" t="str">
        <f> IF(BE204&lt;&gt;"",TEXT(AUX!BI$1,"dd-MMM-aa"),"")</f>
      </c>
      <c r="BF184" s="496" t="str">
        <f> IF(BF204&lt;&gt;"",TEXT(AUX!BJ$1,"dd-MMM-aa"),"")</f>
      </c>
      <c r="BG184" s="496" t="str">
        <f> IF(BG204&lt;&gt;"",TEXT(AUX!BK$1,"dd-MMM-aa"),"")</f>
      </c>
      <c r="BH184" s="496" t="str">
        <f> IF(BH204&lt;&gt;"",TEXT(AUX!BL$1,"dd-MMM-aa"),"")</f>
      </c>
      <c r="BI184" s="496" t="str">
        <f> IF(BI204&lt;&gt;"",TEXT(AUX!BM$1,"dd-MMM-aa"),"")</f>
      </c>
      <c r="BJ184" s="496" t="str">
        <f> IF(BJ204&lt;&gt;"",TEXT(AUX!BN$1,"dd-MMM-aa"),"")</f>
      </c>
      <c r="BK184" s="496" t="str">
        <f> IF(BK204&lt;&gt;"",TEXT(AUX!BO$1,"dd-MMM-aa"),"")</f>
      </c>
      <c r="BL184" s="496" t="str">
        <f> IF(BL204&lt;&gt;"",TEXT(AUX!BP$1,"dd-MMM-aa"),"")</f>
      </c>
      <c r="BM184" s="496" t="str">
        <f> IF(BM204&lt;&gt;"",TEXT(AUX!BQ$1,"dd-MMM-aa"),"")</f>
      </c>
      <c r="BN184" s="496" t="str">
        <f> IF(BN204&lt;&gt;"",TEXT(AUX!BR$1,"dd-MMM-aa"),"")</f>
      </c>
      <c r="BO184" s="496" t="str">
        <f> IF(BO204&lt;&gt;"",TEXT(AUX!BS$1,"dd-MMM-aa"),"")</f>
      </c>
      <c r="BP184" s="496" t="str">
        <f> IF(BP204&lt;&gt;"",TEXT(AUX!BT$1,"dd-MMM-aa"),"")</f>
      </c>
      <c r="BQ184" s="496" t="str">
        <f> IF(BQ204&lt;&gt;"",TEXT(AUX!BU$1,"dd-MMM-aa"),"")</f>
      </c>
      <c r="BR184" s="496" t="str">
        <f> IF(BR204&lt;&gt;"",TEXT(AUX!BV$1,"dd-MMM-aa"),"")</f>
      </c>
      <c r="BS184" s="496" t="str">
        <f> IF(BS204&lt;&gt;"",TEXT(AUX!BW$1,"dd-MMM-aa"),"")</f>
      </c>
      <c r="BT184" s="496" t="str">
        <f> IF(BT204&lt;&gt;"",TEXT(AUX!BX$1,"dd-MMM-aa"),"")</f>
      </c>
      <c r="BU184" s="496" t="str">
        <f> IF(BU204&lt;&gt;"",TEXT(AUX!BY$1,"dd-MMM-aa"),"")</f>
      </c>
      <c r="BV184" s="496" t="str">
        <f> IF(BV204&lt;&gt;"",TEXT(AUX!BZ$1,"dd-MMM-aa"),"")</f>
      </c>
      <c r="BW184" s="496" t="str">
        <f> IF(BW204&lt;&gt;"",TEXT(AUX!CA$1,"dd-MMM-aa"),"")</f>
      </c>
      <c r="BX184" s="496" t="str">
        <f> IF(BX204&lt;&gt;"",TEXT(AUX!CB$1,"dd-MMM-aa"),"")</f>
      </c>
      <c r="BY184" s="496" t="str">
        <f> IF(BY204&lt;&gt;"",TEXT(AUX!CC$1,"dd-MMM-aa"),"")</f>
      </c>
      <c r="BZ184" s="496" t="str">
        <f> IF(BZ204&lt;&gt;"",TEXT(AUX!CD$1,"dd-MMM-aa"),"")</f>
      </c>
      <c r="CA184" s="496" t="str">
        <f> IF(CA204&lt;&gt;"",TEXT(AUX!CE$1,"dd-MMM-aa"),"")</f>
      </c>
      <c r="CB184" s="496" t="str">
        <f> IF(CB204&lt;&gt;"",TEXT(AUX!CF$1,"dd-MMM-aa"),"")</f>
      </c>
      <c r="CC184" s="496" t="str">
        <f> IF(CC204&lt;&gt;"",TEXT(AUX!CG$1,"dd-MMM-aa"),"")</f>
      </c>
      <c r="CD184" s="496" t="str">
        <f> IF(CD204&lt;&gt;"",TEXT(AUX!CH$1,"dd-MMM-aa"),"")</f>
      </c>
      <c r="CE184" s="496" t="str">
        <f> IF(CE204&lt;&gt;"",TEXT(AUX!CI$1,"dd-MMM-aa"),"")</f>
      </c>
      <c r="CF184" s="496" t="str">
        <f> IF(CF204&lt;&gt;"",TEXT(AUX!CJ$1,"dd-MMM-aa"),"")</f>
      </c>
      <c r="CG184" s="496" t="str">
        <f> IF(CG204&lt;&gt;"",TEXT(AUX!CK$1,"dd-MMM-aa"),"")</f>
      </c>
      <c r="CH184" s="496" t="str">
        <f> IF(CH204&lt;&gt;"",TEXT(AUX!CL$1,"dd-MMM-aa"),"")</f>
      </c>
      <c r="CI184" s="496" t="str">
        <f> IF(CI204&lt;&gt;"",TEXT(AUX!CM$1,"dd-MMM-aa"),"")</f>
      </c>
      <c r="CJ184" s="496" t="str">
        <f> IF(CJ204&lt;&gt;"",TEXT(AUX!CN$1,"dd-MMM-aa"),"")</f>
      </c>
      <c r="CK184" s="496" t="str">
        <f> IF(CK204&lt;&gt;"",TEXT(AUX!CO$1,"dd-MMM-aa"),"")</f>
      </c>
      <c r="CL184" s="496" t="str">
        <f> IF(CL204&lt;&gt;"",TEXT(AUX!CP$1,"dd-MMM-aa"),"")</f>
      </c>
      <c r="CM184" s="496" t="str">
        <f> IF(CM204&lt;&gt;"",TEXT(AUX!CQ$1,"dd-MMM-aa"),"")</f>
      </c>
      <c r="CN184" s="496" t="str">
        <f> IF(CN204&lt;&gt;"",TEXT(AUX!CR$1,"dd-MMM-aa"),"")</f>
      </c>
      <c r="CO184" s="496" t="str">
        <f> IF(CO204&lt;&gt;"",TEXT(AUX!CS$1,"dd-MMM-aa"),"")</f>
      </c>
      <c r="CP184" s="496" t="str">
        <f> IF(CP204&lt;&gt;"",TEXT(AUX!CT$1,"dd-MMM-aa"),"")</f>
      </c>
      <c r="CQ184" s="496" t="str">
        <f> IF(CQ204&lt;&gt;"",TEXT(AUX!CU$1,"dd-MMM-aa"),"")</f>
      </c>
      <c r="CR184" s="496" t="str">
        <f> IF(CR204&lt;&gt;"",TEXT(AUX!CV$1,"dd-MMM-aa"),"")</f>
      </c>
      <c r="CS184" s="496" t="str">
        <f> IF(CS204&lt;&gt;"",TEXT(AUX!CW$1,"dd-MMM-aa"),"")</f>
      </c>
      <c r="CT184" s="496" t="str">
        <f> IF(CT204&lt;&gt;"",TEXT(AUX!CX$1,"dd-MMM-aa"),"")</f>
      </c>
      <c r="CU184" s="496" t="str">
        <f> IF(CU204&lt;&gt;"",TEXT(AUX!CY$1,"dd-MMM-aa"),"")</f>
      </c>
      <c r="CV184" s="496" t="str">
        <f> IF(CV204&lt;&gt;"",TEXT(AUX!CZ$1,"dd-MMM-aa"),"")</f>
      </c>
      <c r="CW184" s="496" t="str">
        <f> IF(CW204&lt;&gt;"",TEXT(AUX!DA$1,"dd-MMM-aa"),"")</f>
      </c>
      <c r="CX184" s="496" t="str">
        <f> IF(CX204&lt;&gt;"",TEXT(AUX!DB$1,"dd-MMM-aa"),"")</f>
      </c>
      <c r="CY184" s="496" t="str">
        <f> IF(CY204&lt;&gt;"",TEXT(AUX!DC$1,"dd-MMM-aa"),"")</f>
      </c>
      <c r="CZ184" s="496" t="str">
        <f> IF(CZ204&lt;&gt;"",TEXT(AUX!DD$1,"dd-MMM-aa"),"")</f>
      </c>
      <c r="DA184" s="496" t="str">
        <f> IF(DA204&lt;&gt;"",TEXT(AUX!DE$1,"dd-MMM-aa"),"")</f>
      </c>
      <c r="DB184" s="496" t="str">
        <f> IF(DB204&lt;&gt;"",TEXT(AUX!DF$1,"dd-MMM-aa"),"")</f>
      </c>
      <c r="DC184" s="496" t="str">
        <f> IF(DC204&lt;&gt;"",TEXT(AUX!DG$1,"dd-MMM-aa"),"")</f>
      </c>
      <c r="DD184" s="496" t="str">
        <f> IF(DD204&lt;&gt;"",TEXT(AUX!DH$1,"dd-MMM-aa"),"")</f>
      </c>
      <c r="DE184" s="496" t="str">
        <f> IF(DE204&lt;&gt;"",TEXT(AUX!DI$1,"dd-MMM-aa"),"")</f>
      </c>
      <c r="DF184" s="496" t="str">
        <f> IF(DF204&lt;&gt;"",TEXT(AUX!DJ$1,"dd-MMM-aa"),"")</f>
      </c>
      <c r="DG184" s="496" t="str">
        <f> IF(DG204&lt;&gt;"",TEXT(AUX!DK$1,"dd-MMM-aa"),"")</f>
      </c>
      <c r="DH184" s="496" t="str">
        <f> IF(DH204&lt;&gt;"",TEXT(AUX!DL$1,"dd-MMM-aa"),"")</f>
      </c>
      <c r="DI184" s="496" t="str">
        <f> IF(DI204&lt;&gt;"",TEXT(AUX!DM$1,"dd-MMM-aa"),"")</f>
      </c>
      <c r="DJ184" s="496" t="str">
        <f> IF(DJ204&lt;&gt;"",TEXT(AUX!DN$1,"dd-MMM-aa"),"")</f>
      </c>
      <c r="DK184" s="496" t="str">
        <f> IF(DK204&lt;&gt;"",TEXT(AUX!DO$1,"dd-MMM-aa"),"")</f>
      </c>
      <c r="DL184" s="496" t="str">
        <f> IF(DL204&lt;&gt;"",TEXT(AUX!DP$1,"dd-MMM-aa"),"")</f>
      </c>
      <c r="DM184" s="496" t="str">
        <f> IF(DM204&lt;&gt;"",TEXT(AUX!DQ$1,"dd-MMM-aa"),"")</f>
      </c>
      <c r="DN184" s="496" t="str">
        <f> IF(DN204&lt;&gt;"",TEXT(AUX!DR$1,"dd-MMM-aa"),"")</f>
      </c>
      <c r="DO184" s="496" t="str">
        <f> IF(DO204&lt;&gt;"",TEXT(AUX!DS$1,"dd-MMM-aa"),"")</f>
      </c>
      <c r="DP184" s="496" t="str">
        <f> IF(DP204&lt;&gt;"",TEXT(AUX!DT$1,"dd-MMM-aa"),"")</f>
      </c>
      <c r="DQ184" s="496" t="str">
        <f> IF(DQ204&lt;&gt;"",TEXT(AUX!DU$1,"dd-MMM-aa"),"")</f>
      </c>
      <c r="DR184" s="496" t="str">
        <f> IF(DR204&lt;&gt;"",TEXT(AUX!DV$1,"dd-MMM-aa"),"")</f>
      </c>
      <c r="DS184" s="496" t="str">
        <f> IF(DS204&lt;&gt;"",TEXT(AUX!DW$1,"dd-MMM-aa"),"")</f>
      </c>
      <c r="DT184" s="496" t="str">
        <f> IF(DT204&lt;&gt;"",TEXT(AUX!DX$1,"dd-MMM-aa"),"")</f>
      </c>
      <c r="DU184" s="496" t="str">
        <f> IF(DU204&lt;&gt;"",TEXT(AUX!DY$1,"dd-MMM-aa"),"")</f>
      </c>
      <c r="DV184" s="496" t="str">
        <f> IF(DV204&lt;&gt;"",TEXT(AUX!DZ$1,"dd-MMM-aa"),"")</f>
      </c>
      <c r="DW184" s="496" t="str">
        <f> IF(DW204&lt;&gt;"",TEXT(AUX!EA$1,"dd-MMM-aa"),"")</f>
      </c>
      <c r="DX184" s="496" t="str">
        <f> IF(DX204&lt;&gt;"",TEXT(AUX!EB$1,"dd-MMM-aa"),"")</f>
      </c>
      <c r="DY184" s="496" t="str">
        <f> IF(DY204&lt;&gt;"",TEXT(AUX!EC$1,"dd-MMM-aa"),"")</f>
      </c>
      <c r="DZ184" s="496" t="str">
        <f> IF(DZ204&lt;&gt;"",TEXT(AUX!ED$1,"dd-MMM-aa"),"")</f>
      </c>
      <c r="EA184" s="496" t="str">
        <f> IF(EA204&lt;&gt;"",TEXT(AUX!EE$1,"dd-MMM-aa"),"")</f>
      </c>
      <c r="EB184" s="496" t="str">
        <f> IF(EB204&lt;&gt;"",TEXT(AUX!EF$1,"dd-MMM-aa"),"")</f>
      </c>
      <c r="EC184" s="496" t="str">
        <f> IF(EC204&lt;&gt;"",TEXT(AUX!EG$1,"dd-MMM-aa"),"")</f>
      </c>
      <c r="ED184" s="496" t="str">
        <f> IF(ED204&lt;&gt;"",TEXT(AUX!EH$1,"dd-MMM-aa"),"")</f>
      </c>
      <c r="EE184" s="496" t="str">
        <f> IF(EE204&lt;&gt;"",TEXT(AUX!EI$1,"dd-MMM-aa"),"")</f>
      </c>
      <c r="EF184" s="496" t="str">
        <f> IF(EF204&lt;&gt;"",TEXT(AUX!EJ$1,"dd-MMM-aa"),"")</f>
      </c>
      <c r="EG184" s="496" t="str">
        <f> IF(EG204&lt;&gt;"",TEXT(AUX!EK$1,"dd-MMM-aa"),"")</f>
      </c>
      <c r="EH184" s="496" t="str">
        <f> IF(EH204&lt;&gt;"",TEXT(AUX!EL$1,"dd-MMM-aa"),"")</f>
      </c>
      <c r="EI184" s="496" t="str">
        <f> IF(EI204&lt;&gt;"",TEXT(AUX!EM$1,"dd-MMM-aa"),"")</f>
      </c>
      <c r="EJ184" s="496" t="str">
        <f> IF(EJ204&lt;&gt;"",TEXT(AUX!EN$1,"dd-MMM-aa"),"")</f>
      </c>
      <c r="EK184" s="496" t="str">
        <f> IF(EK204&lt;&gt;"",TEXT(AUX!EO$1,"dd-MMM-aa"),"")</f>
      </c>
      <c r="EL184" s="496" t="str">
        <f> IF(EL204&lt;&gt;"",TEXT(AUX!EP$1,"dd-MMM-aa"),"")</f>
      </c>
      <c r="EM184" s="496" t="str">
        <f> IF(EM204&lt;&gt;"",TEXT(AUX!EQ$1,"dd-MMM-aa"),"")</f>
      </c>
      <c r="EN184" s="496" t="str">
        <f> IF(EN204&lt;&gt;"",TEXT(AUX!ER$1,"dd-MMM-aa"),"")</f>
      </c>
      <c r="EO184" s="496" t="str">
        <f> IF(EO204&lt;&gt;"",TEXT(AUX!ES$1,"dd-MMM-aa"),"")</f>
      </c>
      <c r="EP184" s="496" t="str">
        <f> IF(EP204&lt;&gt;"",TEXT(AUX!ET$1,"dd-MMM-aa"),"")</f>
      </c>
      <c r="EQ184" s="496" t="str">
        <f> IF(EQ204&lt;&gt;"",TEXT(AUX!EU$1,"dd-MMM-aa"),"")</f>
      </c>
      <c r="ER184" s="496" t="str">
        <f> IF(ER204&lt;&gt;"",TEXT(AUX!EV$1,"dd-MMM-aa"),"")</f>
      </c>
      <c r="ES184" s="496" t="str">
        <f> IF(ES204&lt;&gt;"",TEXT(AUX!EW$1,"dd-MMM-aa"),"")</f>
      </c>
      <c r="ET184" s="496" t="str">
        <f> IF(ET204&lt;&gt;"",TEXT(AUX!EX$1,"dd-MMM-aa"),"")</f>
      </c>
      <c r="EU184" s="496" t="str">
        <f> IF(EU204&lt;&gt;"",TEXT(AUX!EY$1,"dd-MMM-aa"),"")</f>
      </c>
      <c r="EV184" s="496" t="str">
        <f> IF(EV204&lt;&gt;"",TEXT(AUX!EZ$1,"dd-MMM-aa"),"")</f>
      </c>
      <c r="EW184" s="496" t="str">
        <f> IF(EW204&lt;&gt;"",TEXT(AUX!FA$1,"dd-MMM-aa"),"")</f>
      </c>
      <c r="EX184" s="496" t="str">
        <f> IF(EX204&lt;&gt;"",TEXT(AUX!FB$1,"dd-MMM-aa"),"")</f>
      </c>
      <c r="EY184" s="496" t="str">
        <f> IF(EY204&lt;&gt;"",TEXT(AUX!FC$1,"dd-MMM-aa"),"")</f>
      </c>
      <c r="EZ184" s="496" t="str">
        <f> IF(EZ204&lt;&gt;"",TEXT(AUX!FD$1,"dd-MMM-aa"),"")</f>
      </c>
      <c r="FA184" s="496" t="str">
        <f> IF(FA204&lt;&gt;"",TEXT(AUX!FE$1,"dd-MMM-aa"),"")</f>
      </c>
      <c r="FB184" s="496" t="str">
        <f> IF(FB204&lt;&gt;"",TEXT(AUX!FF$1,"dd-MMM-aa"),"")</f>
      </c>
      <c r="FC184" s="496" t="str">
        <f> IF(FC204&lt;&gt;"",TEXT(AUX!FG$1,"dd-MMM-aa"),"")</f>
      </c>
      <c r="FD184" s="496" t="str">
        <f> IF(FD204&lt;&gt;"",TEXT(AUX!FH$1,"dd-MMM-aa"),"")</f>
      </c>
      <c r="FE184" s="496" t="str">
        <f> IF(FE204&lt;&gt;"",TEXT(AUX!FI$1,"dd-MMM-aa"),"")</f>
      </c>
      <c r="FF184" s="496" t="str">
        <f> IF(FF204&lt;&gt;"",TEXT(AUX!FJ$1,"dd-MMM-aa"),"")</f>
      </c>
      <c r="FG184" s="496" t="str">
        <f> IF(FG204&lt;&gt;"",TEXT(AUX!FK$1,"dd-MMM-aa"),"")</f>
      </c>
      <c r="FH184" s="496" t="str">
        <f> IF(FH204&lt;&gt;"",TEXT(AUX!FL$1,"dd-MMM-aa"),"")</f>
      </c>
      <c r="FI184" s="496" t="str">
        <f> IF(FI204&lt;&gt;"",TEXT(AUX!FM$1,"dd-MMM-aa"),"")</f>
      </c>
      <c r="FJ184" s="496" t="str">
        <f> IF(FJ204&lt;&gt;"",TEXT(AUX!FN$1,"dd-MMM-aa"),"")</f>
      </c>
      <c r="FK184" s="496" t="str">
        <f> IF(FK204&lt;&gt;"",TEXT(AUX!FO$1,"dd-MMM-aa"),"")</f>
      </c>
      <c r="FL184" s="496" t="str">
        <f> IF(FL204&lt;&gt;"",TEXT(AUX!FP$1,"dd-MMM-aa"),"")</f>
      </c>
      <c r="FM184" s="496" t="str">
        <f> IF(FM204&lt;&gt;"",TEXT(AUX!FQ$1,"dd-MMM-aa"),"")</f>
      </c>
      <c r="FN184" s="496" t="str">
        <f> IF(FN204&lt;&gt;"",TEXT(AUX!FR$1,"dd-MMM-aa"),"")</f>
      </c>
      <c r="FO184" s="496" t="str">
        <f> IF(FO204&lt;&gt;"",TEXT(AUX!FS$1,"dd-MMM-aa"),"")</f>
      </c>
      <c r="FP184" s="496" t="str">
        <f> IF(FP204&lt;&gt;"",TEXT(AUX!FT$1,"dd-MMM-aa"),"")</f>
      </c>
      <c r="FQ184" s="496" t="str">
        <f> IF(FQ204&lt;&gt;"",TEXT(AUX!FU$1,"dd-MMM-aa"),"")</f>
      </c>
      <c r="FR184" s="496" t="str">
        <f> IF(FR204&lt;&gt;"",TEXT(AUX!FV$1,"dd-MMM-aa"),"")</f>
      </c>
      <c r="FS184" s="496" t="str">
        <f> IF(FS204&lt;&gt;"",TEXT(AUX!FW$1,"dd-MMM-aa"),"")</f>
      </c>
      <c r="FT184" s="496" t="str">
        <f> IF(FT204&lt;&gt;"",TEXT(AUX!FX$1,"dd-MMM-aa"),"")</f>
      </c>
      <c r="FU184" s="496" t="str">
        <f> IF(FU204&lt;&gt;"",TEXT(AUX!FY$1,"dd-MMM-aa"),"")</f>
      </c>
      <c r="FV184" s="496" t="str">
        <f> IF(FV204&lt;&gt;"",TEXT(AUX!FZ$1,"dd-MMM-aa"),"")</f>
      </c>
      <c r="FW184" s="496" t="str">
        <f> IF(FW204&lt;&gt;"",TEXT(AUX!GA$1,"dd-MMM-aa"),"")</f>
      </c>
      <c r="FX184" s="496" t="str">
        <f> IF(FX204&lt;&gt;"",TEXT(AUX!GB$1,"dd-MMM-aa"),"")</f>
      </c>
      <c r="FY184" s="496" t="str">
        <f> IF(FY204&lt;&gt;"",TEXT(AUX!GC$1,"dd-MMM-aa"),"")</f>
      </c>
      <c r="FZ184" s="496" t="str">
        <f> IF(FZ204&lt;&gt;"",TEXT(AUX!GD$1,"dd-MMM-aa"),"")</f>
      </c>
      <c r="GA184" s="496" t="str">
        <f> IF(GA204&lt;&gt;"",TEXT(AUX!GE$1,"dd-MMM-aa"),"")</f>
      </c>
      <c r="GB184" s="496" t="str">
        <f> IF(GB204&lt;&gt;"",TEXT(AUX!GF$1,"dd-MMM-aa"),"")</f>
      </c>
      <c r="GC184" s="496" t="str">
        <f> IF(GC204&lt;&gt;"",TEXT(AUX!GG$1,"dd-MMM-aa"),"")</f>
      </c>
      <c r="GD184" s="496" t="str">
        <f> IF(GD204&lt;&gt;"",TEXT(AUX!GH$1,"dd-MMM-aa"),"")</f>
      </c>
      <c r="GE184" s="496" t="str">
        <f> IF(GE204&lt;&gt;"",TEXT(AUX!GI$1,"dd-MMM-aa"),"")</f>
      </c>
      <c r="GF184" s="496" t="str">
        <f> IF(GF204&lt;&gt;"",TEXT(AUX!GJ$1,"dd-MMM-aa"),"")</f>
      </c>
      <c r="GG184" s="496" t="str">
        <f> IF(GG204&lt;&gt;"",TEXT(AUX!GK$1,"dd-MMM-aa"),"")</f>
      </c>
      <c r="GH184" s="496" t="str">
        <f> IF(GH204&lt;&gt;"",TEXT(AUX!GL$1,"dd-MMM-aa"),"")</f>
      </c>
      <c r="GI184" s="496" t="str">
        <f> IF(GI204&lt;&gt;"",TEXT(AUX!GM$1,"dd-MMM-aa"),"")</f>
      </c>
      <c r="GJ184" s="496" t="str">
        <f> IF(GJ204&lt;&gt;"",TEXT(AUX!GN$1,"dd-MMM-aa"),"")</f>
      </c>
      <c r="GK184" s="496" t="str">
        <f> IF(GK204&lt;&gt;"",TEXT(AUX!GO$1,"dd-MMM-aa"),"")</f>
      </c>
      <c r="GL184" s="496" t="str">
        <f> IF(GL204&lt;&gt;"",TEXT(AUX!GP$1,"dd-MMM-aa"),"")</f>
      </c>
      <c r="GM184" s="496" t="str">
        <f> IF(GM204&lt;&gt;"",TEXT(AUX!GQ$1,"dd-MMM-aa"),"")</f>
      </c>
      <c r="GN184" s="496" t="str">
        <f> IF(GN204&lt;&gt;"",TEXT(AUX!GR$1,"dd-MMM-aa"),"")</f>
      </c>
      <c r="GO184" s="496" t="str">
        <f> IF(GO204&lt;&gt;"",TEXT(AUX!GS$1,"dd-MMM-aa"),"")</f>
      </c>
      <c r="GP184" s="496" t="str">
        <f> IF(GP204&lt;&gt;"",TEXT(AUX!GT$1,"dd-MMM-aa"),"")</f>
      </c>
      <c r="GQ184" s="496" t="str">
        <f> IF(GQ204&lt;&gt;"",TEXT(AUX!GU$1,"dd-MMM-aa"),"")</f>
      </c>
      <c r="GR184" s="496" t="str">
        <f> IF(GR204&lt;&gt;"",TEXT(AUX!GV$1,"dd-MMM-aa"),"")</f>
      </c>
      <c r="GS184" s="496" t="str">
        <f> IF(GS204&lt;&gt;"",TEXT(AUX!GW$1,"dd-MMM-aa"),"")</f>
      </c>
      <c r="GT184" s="496" t="str">
        <f> IF(GT204&lt;&gt;"",TEXT(AUX!GX$1,"dd-MMM-aa"),"")</f>
      </c>
      <c r="GU184" s="496" t="str">
        <f> IF(GU204&lt;&gt;"",TEXT(AUX!GY$1,"dd-MMM-aa"),"")</f>
      </c>
      <c r="GV184" s="496" t="str">
        <f> IF(GV204&lt;&gt;"",TEXT(AUX!GZ$1,"dd-MMM-aa"),"")</f>
      </c>
      <c r="GW184" s="496" t="str">
        <f> IF(GW204&lt;&gt;"",TEXT(AUX!HA$1,"dd-MMM-aa"),"")</f>
      </c>
      <c r="GX184" s="496" t="str">
        <f> IF(GX204&lt;&gt;"",TEXT(AUX!HB$1,"dd-MMM-aa"),"")</f>
      </c>
      <c r="GY184" s="496" t="str">
        <f> IF(GY204&lt;&gt;"",TEXT(AUX!HC$1,"dd-MMM-aa"),"")</f>
      </c>
      <c r="GZ184" s="496" t="str">
        <f> IF(GZ204&lt;&gt;"",TEXT(AUX!HD$1,"dd-MMM-aa"),"")</f>
      </c>
      <c r="HA184" s="496" t="str">
        <f> IF(HA204&lt;&gt;"",TEXT(AUX!HE$1,"dd-MMM-aa"),"")</f>
      </c>
      <c r="HB184" s="496" t="str">
        <f> IF(HB204&lt;&gt;"",TEXT(AUX!HF$1,"dd-MMM-aa"),"")</f>
      </c>
      <c r="HC184" s="496" t="str">
        <f> IF(HC204&lt;&gt;"",TEXT(AUX!HG$1,"dd-MMM-aa"),"")</f>
      </c>
      <c r="HD184" s="496" t="str">
        <f> IF(HD204&lt;&gt;"",TEXT(AUX!HH$1,"dd-MMM-aa"),"")</f>
      </c>
      <c r="HE184" s="496" t="str">
        <f> IF(HE204&lt;&gt;"",TEXT(AUX!HI$1,"dd-MMM-aa"),"")</f>
      </c>
      <c r="HF184" s="496" t="str">
        <f> IF(HF204&lt;&gt;"",TEXT(AUX!HJ$1,"dd-MMM-aa"),"")</f>
      </c>
      <c r="HG184" s="496" t="str">
        <f> IF(HG204&lt;&gt;"",TEXT(AUX!HK$1,"dd-MMM-aa"),"")</f>
      </c>
      <c r="HH184" s="496" t="str">
        <f> IF(HH204&lt;&gt;"",TEXT(AUX!HL$1,"dd-MMM-aa"),"")</f>
      </c>
      <c r="HI184" s="496" t="str">
        <f> IF(HI204&lt;&gt;"",TEXT(AUX!HM$1,"dd-MMM-aa"),"")</f>
      </c>
      <c r="HJ184" s="496" t="str">
        <f> IF(HJ204&lt;&gt;"",TEXT(AUX!HN$1,"dd-MMM-aa"),"")</f>
      </c>
      <c r="HK184" s="496" t="str">
        <f> IF(HK204&lt;&gt;"",TEXT(AUX!HO$1,"dd-MMM-aa"),"")</f>
      </c>
      <c r="HL184" s="496" t="str">
        <f> IF(HL204&lt;&gt;"",TEXT(AUX!HP$1,"dd-MMM-aa"),"")</f>
      </c>
      <c r="HM184" s="496" t="str">
        <f> IF(HM204&lt;&gt;"",TEXT(AUX!HQ$1,"dd-MMM-aa"),"")</f>
      </c>
      <c r="HN184" s="496" t="str">
        <f> IF(HN204&lt;&gt;"",TEXT(AUX!HR$1,"dd-MMM-aa"),"")</f>
      </c>
      <c r="HO184" s="496" t="str">
        <f> IF(HO204&lt;&gt;"",TEXT(AUX!HS$1,"dd-MMM-aa"),"")</f>
      </c>
      <c r="HP184" s="496" t="str">
        <f> IF(HP204&lt;&gt;"",TEXT(AUX!HT$1,"dd-MMM-aa"),"")</f>
      </c>
      <c r="HQ184" s="496" t="str">
        <f> IF(HQ204&lt;&gt;"",TEXT(AUX!HU$1,"dd-MMM-aa"),"")</f>
      </c>
      <c r="HR184" s="496" t="str">
        <f> IF(HR204&lt;&gt;"",TEXT(AUX!HV$1,"dd-MMM-aa"),"")</f>
      </c>
      <c r="HS184" s="496" t="str">
        <f> IF(HS204&lt;&gt;"",TEXT(AUX!HW$1,"dd-MMM-aa"),"")</f>
      </c>
      <c r="HT184" s="496" t="str">
        <f> IF(HT204&lt;&gt;"",TEXT(AUX!HX$1,"dd-MMM-aa"),"")</f>
      </c>
      <c r="HU184" s="496" t="str">
        <f> IF(HU204&lt;&gt;"",TEXT(AUX!HY$1,"dd-MMM-aa"),"")</f>
      </c>
      <c r="HV184" s="496" t="str">
        <f> IF(HV204&lt;&gt;"",TEXT(AUX!HZ$1,"dd-MMM-aa"),"")</f>
      </c>
      <c r="HW184" s="496" t="str">
        <f> IF(HW204&lt;&gt;"",TEXT(AUX!IA$1,"dd-MMM-aa"),"")</f>
      </c>
      <c r="HX184" s="496" t="str">
        <f> IF(HX204&lt;&gt;"",TEXT(AUX!IB$1,"dd-MMM-aa"),"")</f>
      </c>
      <c r="HY184" s="496" t="str">
        <f> IF(HY204&lt;&gt;"",TEXT(AUX!IC$1,"dd-MMM-aa"),"")</f>
      </c>
      <c r="HZ184" s="496" t="str">
        <f> IF(HZ204&lt;&gt;"",TEXT(AUX!ID$1,"dd-MMM-aa"),"")</f>
      </c>
      <c r="IA184" s="496" t="str">
        <f> IF(IA204&lt;&gt;"",TEXT(AUX!IE$1,"dd-MMM-aa"),"")</f>
      </c>
      <c r="IB184" s="496" t="str">
        <f> IF(IB204&lt;&gt;"",TEXT(AUX!IF$1,"dd-MMM-aa"),"")</f>
      </c>
      <c r="IC184" s="496" t="str">
        <f> IF(IC204&lt;&gt;"",TEXT(AUX!IG$1,"dd-MMM-aa"),"")</f>
      </c>
      <c r="ID184" s="496" t="str">
        <f> IF(ID204&lt;&gt;"",TEXT(AUX!IH$1,"dd-MMM-aa"),"")</f>
      </c>
      <c r="IE184" s="496" t="str">
        <f> IF(IE204&lt;&gt;"",TEXT(AUX!II$1,"dd-MMM-aa"),"")</f>
      </c>
      <c r="IF184" s="496" t="str">
        <f> IF(IF204&lt;&gt;"",TEXT(AUX!IJ$1,"dd-MMM-aa"),"")</f>
      </c>
      <c r="IG184" s="496" t="str">
        <f> IF(IG204&lt;&gt;"",TEXT(AUX!IK$1,"dd-MMM-aa"),"")</f>
      </c>
      <c r="IH184" s="496" t="str">
        <f> IF(IH204&lt;&gt;"",TEXT(AUX!IL$1,"dd-MMM-aa"),"")</f>
      </c>
      <c r="II184" s="496" t="str">
        <f> IF(II204&lt;&gt;"",TEXT(AUX!IM$1,"dd-MMM-aa"),"")</f>
      </c>
      <c r="IJ184" s="496" t="str">
        <f> IF(IJ204&lt;&gt;"",TEXT(AUX!IN$1,"dd-MMM-aa"),"")</f>
      </c>
      <c r="IK184" s="496" t="str">
        <f> IF(IK204&lt;&gt;"",TEXT(AUX!IO$1,"dd-MMM-aa"),"")</f>
      </c>
      <c r="IL184" s="496" t="str">
        <f> IF(IL204&lt;&gt;"",TEXT(AUX!IP$1,"dd-MMM-aa"),"")</f>
      </c>
      <c r="IM184" s="496" t="str">
        <f> IF(IM204&lt;&gt;"",TEXT(AUX!IQ$1,"dd-MMM-aa"),"")</f>
      </c>
      <c r="IN184" s="496" t="str">
        <f> IF(IN204&lt;&gt;"",TEXT(AUX!IR$1,"dd-MMM-aa"),"")</f>
      </c>
      <c r="IO184" s="496" t="str">
        <f> IF(IO204&lt;&gt;"",TEXT(AUX!IS$1,"dd-MMM-aa"),"")</f>
      </c>
      <c r="IP184" s="496" t="str">
        <f> IF(IP204&lt;&gt;"",TEXT(AUX!IT$1,"dd-MMM-aa"),"")</f>
      </c>
      <c r="IQ184" s="496" t="str">
        <f> IF(IQ204&lt;&gt;"",TEXT(AUX!IU$1,"dd-MMM-aa"),"")</f>
      </c>
      <c r="IR184" s="496" t="str">
        <f> IF(IR204&lt;&gt;"",TEXT(AUX!IV$1,"dd-MMM-aa"),"")</f>
      </c>
      <c r="IS184" s="496" t="str">
        <f> IF(IS204&lt;&gt;"",TEXT(AUX!#REF!,"dd-MMM-aa"),"")</f>
      </c>
      <c r="IT184" s="496" t="str">
        <f> IF(IT204&lt;&gt;"",TEXT(AUX!#REF!,"dd-MMM-aa"),"")</f>
      </c>
      <c r="IU184" s="496" t="str">
        <f> IF(IU204&lt;&gt;"",TEXT(AUX!#REF!,"dd-MMM-aa"),"")</f>
      </c>
      <c r="IV184" s="496" t="str">
        <f> IF(IV204&lt;&gt;"",TEXT(AUX!#REF!,"dd-MMM-aa"),"")</f>
      </c>
    </row>
    <row r="185" hidden="1">
      <c r="B185" s="833" t="s">
        <v>8</v>
      </c>
      <c r="C185" s="827">
        <v>37</v>
      </c>
      <c r="D185" s="827">
        <v>37</v>
      </c>
      <c r="E185" s="827">
        <v>38</v>
      </c>
      <c r="F185" s="827">
        <v>40</v>
      </c>
      <c r="G185" s="827">
        <v>40</v>
      </c>
      <c r="H185" s="827">
        <v>43</v>
      </c>
      <c r="I185" s="827">
        <v>44</v>
      </c>
      <c r="J185" s="827">
        <v>45</v>
      </c>
      <c r="K185" s="827">
        <v>44</v>
      </c>
      <c r="L185" s="827">
        <v>41</v>
      </c>
      <c r="M185" s="827">
        <v>32</v>
      </c>
      <c r="N185" s="827">
        <v>44</v>
      </c>
      <c r="O185" s="827">
        <v>40</v>
      </c>
      <c r="P185" s="827">
        <v>40</v>
      </c>
      <c r="Q185" s="827">
        <v>38</v>
      </c>
      <c r="R185" s="827">
        <v>36</v>
      </c>
      <c r="S185" s="827">
        <v>35</v>
      </c>
      <c r="T185" s="827">
        <v>34</v>
      </c>
      <c r="U185" s="827">
        <v>34</v>
      </c>
      <c r="V185" s="827">
        <v>33</v>
      </c>
      <c r="W185" s="827">
        <v>30</v>
      </c>
      <c r="X185" s="827">
        <v>29</v>
      </c>
      <c r="Y185" s="827">
        <v>29</v>
      </c>
      <c r="Z185" s="827">
        <v>28</v>
      </c>
      <c r="AA185" s="827">
        <v>26</v>
      </c>
      <c r="AB185" s="834">
        <v>27</v>
      </c>
      <c r="AC185" s="828">
        <v>26</v>
      </c>
      <c r="AD185" s="828">
        <v>26</v>
      </c>
      <c r="AE185" s="828">
        <v>27</v>
      </c>
      <c r="AF185" s="828">
        <v>27</v>
      </c>
      <c r="AG185" s="828">
        <v>27</v>
      </c>
      <c r="AH185" s="828">
        <v>27</v>
      </c>
      <c r="AI185" s="828">
        <v>27</v>
      </c>
      <c r="AJ185" s="828">
        <v>26</v>
      </c>
      <c r="AK185" s="828">
        <v>26</v>
      </c>
      <c r="AL185" s="828">
        <v>26</v>
      </c>
      <c r="AM185" s="828">
        <v>26</v>
      </c>
      <c r="AN185" s="828">
        <v>26</v>
      </c>
      <c r="AO185" s="828">
        <v>26</v>
      </c>
      <c r="AP185" s="828">
        <v>26</v>
      </c>
    </row>
    <row r="186" hidden="1">
      <c r="B186" s="829" t="s">
        <v>9</v>
      </c>
      <c r="C186" s="823">
        <v>18</v>
      </c>
      <c r="D186" s="823">
        <v>21</v>
      </c>
      <c r="E186" s="823">
        <v>20</v>
      </c>
      <c r="F186" s="823">
        <v>23</v>
      </c>
      <c r="G186" s="823">
        <v>23</v>
      </c>
      <c r="H186" s="823">
        <v>23</v>
      </c>
      <c r="I186" s="823">
        <v>23</v>
      </c>
      <c r="J186" s="823">
        <v>23</v>
      </c>
      <c r="K186" s="823">
        <v>23</v>
      </c>
      <c r="L186" s="823">
        <v>22</v>
      </c>
      <c r="M186" s="823">
        <v>22</v>
      </c>
      <c r="N186" s="823">
        <v>22</v>
      </c>
      <c r="O186" s="823">
        <v>22</v>
      </c>
      <c r="P186" s="823">
        <v>22</v>
      </c>
      <c r="Q186" s="823">
        <v>21</v>
      </c>
      <c r="R186" s="823">
        <v>20</v>
      </c>
      <c r="S186" s="823">
        <v>20</v>
      </c>
      <c r="T186" s="823">
        <v>21</v>
      </c>
      <c r="U186" s="823">
        <v>21</v>
      </c>
      <c r="V186" s="823">
        <v>21</v>
      </c>
      <c r="W186" s="823">
        <v>20</v>
      </c>
      <c r="X186" s="823">
        <v>21</v>
      </c>
      <c r="Y186" s="823">
        <v>20</v>
      </c>
      <c r="Z186" s="823">
        <v>20</v>
      </c>
      <c r="AA186" s="823">
        <v>21</v>
      </c>
      <c r="AB186" s="823">
        <v>21</v>
      </c>
      <c r="AC186" s="825">
        <v>22</v>
      </c>
      <c r="AD186" s="825">
        <v>22</v>
      </c>
      <c r="AE186" s="825">
        <v>21</v>
      </c>
      <c r="AF186" s="825">
        <v>21</v>
      </c>
      <c r="AG186" s="825">
        <v>21</v>
      </c>
      <c r="AH186" s="825">
        <v>20</v>
      </c>
      <c r="AI186" s="825">
        <v>20</v>
      </c>
      <c r="AJ186" s="825">
        <v>20</v>
      </c>
      <c r="AK186" s="825">
        <v>21</v>
      </c>
      <c r="AL186" s="825">
        <v>21</v>
      </c>
      <c r="AM186" s="825">
        <v>21</v>
      </c>
      <c r="AN186" s="825">
        <v>21</v>
      </c>
      <c r="AO186" s="825">
        <v>21</v>
      </c>
      <c r="AP186" s="825">
        <v>21</v>
      </c>
    </row>
    <row r="187" hidden="1">
      <c r="B187" s="826" t="s">
        <v>10</v>
      </c>
      <c r="C187" s="827">
        <v>0</v>
      </c>
      <c r="D187" s="827">
        <v>0</v>
      </c>
      <c r="E187" s="827">
        <v>0</v>
      </c>
      <c r="F187" s="827">
        <v>1</v>
      </c>
      <c r="G187" s="827">
        <v>1</v>
      </c>
      <c r="H187" s="827">
        <v>1</v>
      </c>
      <c r="I187" s="827">
        <v>1</v>
      </c>
      <c r="J187" s="827">
        <v>1</v>
      </c>
      <c r="K187" s="827">
        <v>1</v>
      </c>
      <c r="L187" s="827">
        <v>0</v>
      </c>
      <c r="M187" s="827">
        <v>0</v>
      </c>
      <c r="N187" s="827">
        <v>0</v>
      </c>
      <c r="O187" s="827">
        <v>0</v>
      </c>
      <c r="P187" s="827">
        <v>0</v>
      </c>
      <c r="Q187" s="827">
        <v>0</v>
      </c>
      <c r="R187" s="827">
        <v>0</v>
      </c>
      <c r="S187" s="827">
        <v>0</v>
      </c>
      <c r="T187" s="827">
        <v>0</v>
      </c>
      <c r="U187" s="827">
        <v>0</v>
      </c>
      <c r="V187" s="827">
        <v>1</v>
      </c>
      <c r="W187" s="827">
        <v>1</v>
      </c>
      <c r="X187" s="827">
        <v>1</v>
      </c>
      <c r="Y187" s="827">
        <v>0</v>
      </c>
      <c r="Z187" s="827">
        <v>0</v>
      </c>
      <c r="AA187" s="827">
        <v>0</v>
      </c>
      <c r="AB187" s="827">
        <v>0</v>
      </c>
      <c r="AC187" s="828">
        <v>0</v>
      </c>
      <c r="AD187" s="828">
        <v>0</v>
      </c>
      <c r="AE187" s="828">
        <v>0</v>
      </c>
      <c r="AF187" s="828">
        <v>0</v>
      </c>
      <c r="AG187" s="828">
        <v>0</v>
      </c>
      <c r="AH187" s="828">
        <v>0</v>
      </c>
      <c r="AI187" s="828">
        <v>0</v>
      </c>
      <c r="AJ187" s="828">
        <v>0</v>
      </c>
      <c r="AK187" s="828">
        <v>0</v>
      </c>
      <c r="AL187" s="828">
        <v>0</v>
      </c>
      <c r="AM187" s="828">
        <v>0</v>
      </c>
      <c r="AN187" s="828">
        <v>0</v>
      </c>
      <c r="AO187" s="828">
        <v>0</v>
      </c>
      <c r="AP187" s="828">
        <v>0</v>
      </c>
    </row>
    <row r="188" hidden="1">
      <c r="B188" s="829" t="s">
        <v>11</v>
      </c>
      <c r="C188" s="823">
        <v>2</v>
      </c>
      <c r="D188" s="823">
        <v>2</v>
      </c>
      <c r="E188" s="823">
        <v>3</v>
      </c>
      <c r="F188" s="823">
        <v>3</v>
      </c>
      <c r="G188" s="823">
        <v>1</v>
      </c>
      <c r="H188" s="823">
        <v>1</v>
      </c>
      <c r="I188" s="823">
        <v>1</v>
      </c>
      <c r="J188" s="823">
        <v>1</v>
      </c>
      <c r="K188" s="823">
        <v>1</v>
      </c>
      <c r="L188" s="823">
        <v>1</v>
      </c>
      <c r="M188" s="823">
        <v>1</v>
      </c>
      <c r="N188" s="823">
        <v>1</v>
      </c>
      <c r="O188" s="823">
        <v>1</v>
      </c>
      <c r="P188" s="823">
        <v>1</v>
      </c>
      <c r="Q188" s="823">
        <v>1</v>
      </c>
      <c r="R188" s="823">
        <v>1</v>
      </c>
      <c r="S188" s="823">
        <v>1</v>
      </c>
      <c r="T188" s="823">
        <v>1</v>
      </c>
      <c r="U188" s="823">
        <v>1</v>
      </c>
      <c r="V188" s="823">
        <v>1</v>
      </c>
      <c r="W188" s="823">
        <v>0</v>
      </c>
      <c r="X188" s="823">
        <v>0</v>
      </c>
      <c r="Y188" s="823">
        <v>0</v>
      </c>
      <c r="Z188" s="823">
        <v>0</v>
      </c>
      <c r="AA188" s="823">
        <v>0</v>
      </c>
      <c r="AB188" s="823">
        <v>0</v>
      </c>
      <c r="AC188" s="825">
        <v>0</v>
      </c>
      <c r="AD188" s="825">
        <v>0</v>
      </c>
      <c r="AE188" s="825">
        <v>0</v>
      </c>
      <c r="AF188" s="825">
        <v>0</v>
      </c>
      <c r="AG188" s="825">
        <v>0</v>
      </c>
      <c r="AH188" s="825">
        <v>0</v>
      </c>
      <c r="AI188" s="825">
        <v>0</v>
      </c>
      <c r="AJ188" s="825">
        <v>0</v>
      </c>
      <c r="AK188" s="825">
        <v>0</v>
      </c>
      <c r="AL188" s="825">
        <v>1</v>
      </c>
      <c r="AM188" s="825">
        <v>1</v>
      </c>
      <c r="AN188" s="825">
        <v>1</v>
      </c>
      <c r="AO188" s="825">
        <v>1</v>
      </c>
      <c r="AP188" s="825">
        <v>1</v>
      </c>
    </row>
    <row r="189" hidden="1">
      <c r="B189" s="826" t="s">
        <v>12</v>
      </c>
      <c r="C189" s="827">
        <v>1</v>
      </c>
      <c r="D189" s="827">
        <v>1</v>
      </c>
      <c r="E189" s="827">
        <v>1</v>
      </c>
      <c r="F189" s="827">
        <v>1</v>
      </c>
      <c r="G189" s="827">
        <v>2</v>
      </c>
      <c r="H189" s="827">
        <v>2</v>
      </c>
      <c r="I189" s="827">
        <v>1</v>
      </c>
      <c r="J189" s="827">
        <v>1</v>
      </c>
      <c r="K189" s="827">
        <v>1</v>
      </c>
      <c r="L189" s="827">
        <v>1</v>
      </c>
      <c r="M189" s="827">
        <v>1</v>
      </c>
      <c r="N189" s="827">
        <v>1</v>
      </c>
      <c r="O189" s="827">
        <v>1</v>
      </c>
      <c r="P189" s="827">
        <v>1</v>
      </c>
      <c r="Q189" s="827">
        <v>1</v>
      </c>
      <c r="R189" s="827">
        <v>1</v>
      </c>
      <c r="S189" s="827">
        <v>1</v>
      </c>
      <c r="T189" s="827">
        <v>1</v>
      </c>
      <c r="U189" s="827">
        <v>1</v>
      </c>
      <c r="V189" s="827">
        <v>0</v>
      </c>
      <c r="W189" s="827">
        <v>0</v>
      </c>
      <c r="X189" s="827">
        <v>0</v>
      </c>
      <c r="Y189" s="827">
        <v>0</v>
      </c>
      <c r="Z189" s="827">
        <v>0</v>
      </c>
      <c r="AA189" s="827">
        <v>0</v>
      </c>
      <c r="AB189" s="827">
        <v>0</v>
      </c>
      <c r="AC189" s="828">
        <v>1</v>
      </c>
      <c r="AD189" s="828">
        <v>1</v>
      </c>
      <c r="AE189" s="828">
        <v>2</v>
      </c>
      <c r="AF189" s="828">
        <v>2</v>
      </c>
      <c r="AG189" s="828">
        <v>2</v>
      </c>
      <c r="AH189" s="828">
        <v>2</v>
      </c>
      <c r="AI189" s="828">
        <v>2</v>
      </c>
      <c r="AJ189" s="828">
        <v>1</v>
      </c>
      <c r="AK189" s="828">
        <v>1</v>
      </c>
      <c r="AL189" s="828">
        <v>1</v>
      </c>
      <c r="AM189" s="828">
        <v>1</v>
      </c>
      <c r="AN189" s="828">
        <v>1</v>
      </c>
      <c r="AO189" s="828">
        <v>1</v>
      </c>
      <c r="AP189" s="828">
        <v>1</v>
      </c>
    </row>
    <row r="190" hidden="1">
      <c r="B190" s="829" t="s">
        <v>13</v>
      </c>
      <c r="C190" s="823">
        <v>0</v>
      </c>
      <c r="D190" s="823">
        <v>0</v>
      </c>
      <c r="E190" s="823">
        <v>0</v>
      </c>
      <c r="F190" s="823">
        <v>0</v>
      </c>
      <c r="G190" s="823">
        <v>0</v>
      </c>
      <c r="H190" s="823">
        <v>0</v>
      </c>
      <c r="I190" s="823">
        <v>0</v>
      </c>
      <c r="J190" s="823">
        <v>0</v>
      </c>
      <c r="K190" s="823">
        <v>0</v>
      </c>
      <c r="L190" s="823">
        <v>0</v>
      </c>
      <c r="M190" s="823">
        <v>0</v>
      </c>
      <c r="N190" s="823">
        <v>0</v>
      </c>
      <c r="O190" s="823">
        <v>0</v>
      </c>
      <c r="P190" s="823">
        <v>0</v>
      </c>
      <c r="Q190" s="823">
        <v>0</v>
      </c>
      <c r="R190" s="823">
        <v>0</v>
      </c>
      <c r="S190" s="823">
        <v>0</v>
      </c>
      <c r="T190" s="823">
        <v>0</v>
      </c>
      <c r="U190" s="823">
        <v>0</v>
      </c>
      <c r="V190" s="823">
        <v>0</v>
      </c>
      <c r="W190" s="823">
        <v>0</v>
      </c>
      <c r="X190" s="823">
        <v>0</v>
      </c>
      <c r="Y190" s="823">
        <v>0</v>
      </c>
      <c r="Z190" s="823">
        <v>0</v>
      </c>
      <c r="AA190" s="823">
        <v>0</v>
      </c>
      <c r="AB190" s="823">
        <v>0</v>
      </c>
      <c r="AC190" s="825">
        <v>0</v>
      </c>
      <c r="AD190" s="825">
        <v>0</v>
      </c>
      <c r="AE190" s="825">
        <v>0</v>
      </c>
      <c r="AF190" s="825">
        <v>0</v>
      </c>
      <c r="AG190" s="825">
        <v>0</v>
      </c>
      <c r="AH190" s="825">
        <v>0</v>
      </c>
      <c r="AI190" s="825">
        <v>0</v>
      </c>
      <c r="AJ190" s="825">
        <v>0</v>
      </c>
      <c r="AK190" s="825">
        <v>0</v>
      </c>
      <c r="AL190" s="825">
        <v>0</v>
      </c>
      <c r="AM190" s="825">
        <v>0</v>
      </c>
      <c r="AN190" s="825">
        <v>0</v>
      </c>
      <c r="AO190" s="825">
        <v>0</v>
      </c>
      <c r="AP190" s="825">
        <v>0</v>
      </c>
    </row>
    <row r="191" hidden="1">
      <c r="B191" s="826" t="s">
        <v>109</v>
      </c>
      <c r="C191" s="827">
        <v>12</v>
      </c>
      <c r="D191" s="827">
        <v>11</v>
      </c>
      <c r="E191" s="827">
        <v>11</v>
      </c>
      <c r="F191" s="827">
        <v>11</v>
      </c>
      <c r="G191" s="827">
        <v>11</v>
      </c>
      <c r="H191" s="827">
        <v>12</v>
      </c>
      <c r="I191" s="827">
        <v>12</v>
      </c>
      <c r="J191" s="827">
        <v>12</v>
      </c>
      <c r="K191" s="827">
        <v>12</v>
      </c>
      <c r="L191" s="827">
        <v>13</v>
      </c>
      <c r="M191" s="827">
        <v>12</v>
      </c>
      <c r="N191" s="827">
        <v>12</v>
      </c>
      <c r="O191" s="827">
        <v>20</v>
      </c>
      <c r="P191" s="827">
        <v>20</v>
      </c>
      <c r="Q191" s="827">
        <v>21</v>
      </c>
      <c r="R191" s="827">
        <v>18</v>
      </c>
      <c r="S191" s="827">
        <v>19</v>
      </c>
      <c r="T191" s="827">
        <v>19</v>
      </c>
      <c r="U191" s="827">
        <v>19</v>
      </c>
      <c r="V191" s="827">
        <v>19</v>
      </c>
      <c r="W191" s="827">
        <v>19</v>
      </c>
      <c r="X191" s="827">
        <v>18</v>
      </c>
      <c r="Y191" s="827">
        <v>18</v>
      </c>
      <c r="Z191" s="827">
        <v>18</v>
      </c>
      <c r="AA191" s="827">
        <v>17</v>
      </c>
      <c r="AB191" s="827">
        <v>18</v>
      </c>
      <c r="AC191" s="828">
        <v>18</v>
      </c>
      <c r="AD191" s="828">
        <v>21</v>
      </c>
      <c r="AE191" s="828">
        <v>22</v>
      </c>
      <c r="AF191" s="828">
        <v>22</v>
      </c>
      <c r="AG191" s="828">
        <v>24</v>
      </c>
      <c r="AH191" s="828">
        <v>25</v>
      </c>
      <c r="AI191" s="828">
        <v>25</v>
      </c>
      <c r="AJ191" s="828">
        <v>25</v>
      </c>
      <c r="AK191" s="828">
        <v>25</v>
      </c>
      <c r="AL191" s="828">
        <v>25</v>
      </c>
      <c r="AM191" s="828">
        <v>25</v>
      </c>
      <c r="AN191" s="828">
        <v>25</v>
      </c>
      <c r="AO191" s="828">
        <v>25</v>
      </c>
      <c r="AP191" s="828">
        <v>25</v>
      </c>
    </row>
    <row r="192" hidden="1">
      <c r="B192" s="829" t="s">
        <v>110</v>
      </c>
      <c r="C192" s="823">
        <v>13</v>
      </c>
      <c r="D192" s="823">
        <v>12</v>
      </c>
      <c r="E192" s="823">
        <v>10</v>
      </c>
      <c r="F192" s="823">
        <v>12</v>
      </c>
      <c r="G192" s="823">
        <v>12</v>
      </c>
      <c r="H192" s="823">
        <v>11</v>
      </c>
      <c r="I192" s="823">
        <v>10</v>
      </c>
      <c r="J192" s="823">
        <v>9</v>
      </c>
      <c r="K192" s="823">
        <v>10</v>
      </c>
      <c r="L192" s="823">
        <v>9</v>
      </c>
      <c r="M192" s="823">
        <v>9</v>
      </c>
      <c r="N192" s="823">
        <v>11</v>
      </c>
      <c r="O192" s="823">
        <v>12</v>
      </c>
      <c r="P192" s="823">
        <v>13</v>
      </c>
      <c r="Q192" s="823">
        <v>14</v>
      </c>
      <c r="R192" s="823">
        <v>14</v>
      </c>
      <c r="S192" s="823">
        <v>15</v>
      </c>
      <c r="T192" s="823">
        <v>16</v>
      </c>
      <c r="U192" s="823">
        <v>14</v>
      </c>
      <c r="V192" s="823">
        <v>13</v>
      </c>
      <c r="W192" s="823">
        <v>12</v>
      </c>
      <c r="X192" s="823">
        <v>12</v>
      </c>
      <c r="Y192" s="823">
        <v>12</v>
      </c>
      <c r="Z192" s="823">
        <v>12</v>
      </c>
      <c r="AA192" s="823">
        <v>12</v>
      </c>
      <c r="AB192" s="823">
        <v>12</v>
      </c>
      <c r="AC192" s="825">
        <v>14</v>
      </c>
      <c r="AD192" s="825">
        <v>14</v>
      </c>
      <c r="AE192" s="825">
        <v>13</v>
      </c>
      <c r="AF192" s="825">
        <v>13</v>
      </c>
      <c r="AG192" s="825">
        <v>14</v>
      </c>
      <c r="AH192" s="825">
        <v>15</v>
      </c>
      <c r="AI192" s="825">
        <v>13</v>
      </c>
      <c r="AJ192" s="825">
        <v>13</v>
      </c>
      <c r="AK192" s="825">
        <v>12</v>
      </c>
      <c r="AL192" s="825">
        <v>12</v>
      </c>
      <c r="AM192" s="825">
        <v>11</v>
      </c>
      <c r="AN192" s="825">
        <v>11</v>
      </c>
      <c r="AO192" s="825">
        <v>12</v>
      </c>
      <c r="AP192" s="825">
        <v>13</v>
      </c>
    </row>
    <row r="193" hidden="1">
      <c r="B193" s="826" t="s">
        <v>16</v>
      </c>
      <c r="C193" s="827">
        <v>115</v>
      </c>
      <c r="D193" s="827">
        <v>125</v>
      </c>
      <c r="E193" s="827">
        <v>131</v>
      </c>
      <c r="F193" s="827">
        <v>126</v>
      </c>
      <c r="G193" s="827">
        <v>139</v>
      </c>
      <c r="H193" s="827">
        <v>139</v>
      </c>
      <c r="I193" s="827">
        <v>138</v>
      </c>
      <c r="J193" s="827">
        <v>143</v>
      </c>
      <c r="K193" s="827">
        <v>150</v>
      </c>
      <c r="L193" s="827">
        <v>155</v>
      </c>
      <c r="M193" s="827">
        <v>159</v>
      </c>
      <c r="N193" s="827">
        <v>159</v>
      </c>
      <c r="O193" s="827">
        <v>161</v>
      </c>
      <c r="P193" s="827">
        <v>161</v>
      </c>
      <c r="Q193" s="827">
        <v>162</v>
      </c>
      <c r="R193" s="827">
        <v>158</v>
      </c>
      <c r="S193" s="827">
        <v>158</v>
      </c>
      <c r="T193" s="827">
        <v>157</v>
      </c>
      <c r="U193" s="827">
        <v>157</v>
      </c>
      <c r="V193" s="827">
        <v>157</v>
      </c>
      <c r="W193" s="827">
        <v>151</v>
      </c>
      <c r="X193" s="827">
        <v>150</v>
      </c>
      <c r="Y193" s="827">
        <v>155</v>
      </c>
      <c r="Z193" s="827">
        <v>154</v>
      </c>
      <c r="AA193" s="827">
        <v>154</v>
      </c>
      <c r="AB193" s="827">
        <v>153</v>
      </c>
      <c r="AC193" s="828">
        <v>155</v>
      </c>
      <c r="AD193" s="828">
        <v>156</v>
      </c>
      <c r="AE193" s="828">
        <v>157</v>
      </c>
      <c r="AF193" s="828">
        <v>157</v>
      </c>
      <c r="AG193" s="828">
        <v>156</v>
      </c>
      <c r="AH193" s="828">
        <v>154</v>
      </c>
      <c r="AI193" s="828">
        <v>154</v>
      </c>
      <c r="AJ193" s="828">
        <v>150</v>
      </c>
      <c r="AK193" s="828">
        <v>144</v>
      </c>
      <c r="AL193" s="828">
        <v>139</v>
      </c>
      <c r="AM193" s="828">
        <v>138</v>
      </c>
      <c r="AN193" s="828">
        <v>140</v>
      </c>
      <c r="AO193" s="828">
        <v>138</v>
      </c>
      <c r="AP193" s="828">
        <v>133</v>
      </c>
    </row>
    <row r="194" hidden="1">
      <c r="B194" s="829" t="s">
        <v>17</v>
      </c>
      <c r="C194" s="823">
        <v>0</v>
      </c>
      <c r="D194" s="823">
        <v>0</v>
      </c>
      <c r="E194" s="823">
        <v>0</v>
      </c>
      <c r="F194" s="823">
        <v>0</v>
      </c>
      <c r="G194" s="823">
        <v>0</v>
      </c>
      <c r="H194" s="823">
        <v>0</v>
      </c>
      <c r="I194" s="823">
        <v>0</v>
      </c>
      <c r="J194" s="823">
        <v>0</v>
      </c>
      <c r="K194" s="823">
        <v>1</v>
      </c>
      <c r="L194" s="823">
        <v>1</v>
      </c>
      <c r="M194" s="823">
        <v>1</v>
      </c>
      <c r="N194" s="823">
        <v>1</v>
      </c>
      <c r="O194" s="823">
        <v>2</v>
      </c>
      <c r="P194" s="823">
        <v>2</v>
      </c>
      <c r="Q194" s="823">
        <v>2</v>
      </c>
      <c r="R194" s="823">
        <v>2</v>
      </c>
      <c r="S194" s="823">
        <v>2</v>
      </c>
      <c r="T194" s="823">
        <v>2</v>
      </c>
      <c r="U194" s="823">
        <v>2</v>
      </c>
      <c r="V194" s="823">
        <v>2</v>
      </c>
      <c r="W194" s="823">
        <v>2</v>
      </c>
      <c r="X194" s="823">
        <v>2</v>
      </c>
      <c r="Y194" s="823">
        <v>2</v>
      </c>
      <c r="Z194" s="823">
        <v>2</v>
      </c>
      <c r="AA194" s="823">
        <v>2</v>
      </c>
      <c r="AB194" s="823">
        <v>2</v>
      </c>
      <c r="AC194" s="825">
        <v>1</v>
      </c>
      <c r="AD194" s="825">
        <v>1</v>
      </c>
      <c r="AE194" s="825">
        <v>2</v>
      </c>
      <c r="AF194" s="825">
        <v>3</v>
      </c>
      <c r="AG194" s="825">
        <v>2</v>
      </c>
      <c r="AH194" s="825">
        <v>2</v>
      </c>
      <c r="AI194" s="825">
        <v>2</v>
      </c>
      <c r="AJ194" s="825">
        <v>2</v>
      </c>
      <c r="AK194" s="825">
        <v>2</v>
      </c>
      <c r="AL194" s="825">
        <v>2</v>
      </c>
      <c r="AM194" s="825">
        <v>2</v>
      </c>
      <c r="AN194" s="825">
        <v>2</v>
      </c>
      <c r="AO194" s="825">
        <v>2</v>
      </c>
      <c r="AP194" s="825">
        <v>2</v>
      </c>
    </row>
    <row r="195" hidden="1">
      <c r="B195" s="826" t="s">
        <v>18</v>
      </c>
      <c r="C195" s="827">
        <v>54</v>
      </c>
      <c r="D195" s="827">
        <v>53</v>
      </c>
      <c r="E195" s="827">
        <v>50</v>
      </c>
      <c r="F195" s="827">
        <v>47</v>
      </c>
      <c r="G195" s="827">
        <v>45</v>
      </c>
      <c r="H195" s="827">
        <v>45</v>
      </c>
      <c r="I195" s="827">
        <v>44</v>
      </c>
      <c r="J195" s="827">
        <v>45</v>
      </c>
      <c r="K195" s="827">
        <v>45</v>
      </c>
      <c r="L195" s="827">
        <v>44</v>
      </c>
      <c r="M195" s="827">
        <v>42</v>
      </c>
      <c r="N195" s="827">
        <v>43</v>
      </c>
      <c r="O195" s="827">
        <v>47</v>
      </c>
      <c r="P195" s="827">
        <v>50</v>
      </c>
      <c r="Q195" s="827">
        <v>53</v>
      </c>
      <c r="R195" s="827">
        <v>55</v>
      </c>
      <c r="S195" s="827">
        <v>53</v>
      </c>
      <c r="T195" s="827">
        <v>44</v>
      </c>
      <c r="U195" s="827">
        <v>39</v>
      </c>
      <c r="V195" s="827">
        <v>39</v>
      </c>
      <c r="W195" s="827">
        <v>40</v>
      </c>
      <c r="X195" s="827">
        <v>41</v>
      </c>
      <c r="Y195" s="827">
        <v>41</v>
      </c>
      <c r="Z195" s="827">
        <v>42</v>
      </c>
      <c r="AA195" s="827">
        <v>43</v>
      </c>
      <c r="AB195" s="827">
        <v>42</v>
      </c>
      <c r="AC195" s="828">
        <v>43</v>
      </c>
      <c r="AD195" s="828">
        <v>49</v>
      </c>
      <c r="AE195" s="828">
        <v>49</v>
      </c>
      <c r="AF195" s="828">
        <v>47</v>
      </c>
      <c r="AG195" s="828">
        <v>47</v>
      </c>
      <c r="AH195" s="828">
        <v>47</v>
      </c>
      <c r="AI195" s="828">
        <v>45</v>
      </c>
      <c r="AJ195" s="828">
        <v>45</v>
      </c>
      <c r="AK195" s="828">
        <v>44</v>
      </c>
      <c r="AL195" s="828">
        <v>44</v>
      </c>
      <c r="AM195" s="828">
        <v>44</v>
      </c>
      <c r="AN195" s="828">
        <v>44</v>
      </c>
      <c r="AO195" s="828">
        <v>43</v>
      </c>
      <c r="AP195" s="828">
        <v>42</v>
      </c>
    </row>
    <row r="196" hidden="1">
      <c r="B196" s="829" t="s">
        <v>19</v>
      </c>
      <c r="C196" s="823">
        <v>0</v>
      </c>
      <c r="D196" s="823">
        <v>0</v>
      </c>
      <c r="E196" s="823">
        <v>0</v>
      </c>
      <c r="F196" s="823">
        <v>0</v>
      </c>
      <c r="G196" s="823">
        <v>0</v>
      </c>
      <c r="H196" s="823">
        <v>0</v>
      </c>
      <c r="I196" s="823">
        <v>0</v>
      </c>
      <c r="J196" s="823">
        <v>0</v>
      </c>
      <c r="K196" s="823">
        <v>0</v>
      </c>
      <c r="L196" s="823">
        <v>7</v>
      </c>
      <c r="M196" s="823">
        <v>0</v>
      </c>
      <c r="N196" s="823">
        <v>0</v>
      </c>
      <c r="O196" s="823">
        <v>0</v>
      </c>
      <c r="P196" s="823">
        <v>0</v>
      </c>
      <c r="Q196" s="823">
        <v>0</v>
      </c>
      <c r="R196" s="823">
        <v>0</v>
      </c>
      <c r="S196" s="823">
        <v>0</v>
      </c>
      <c r="T196" s="823">
        <v>0</v>
      </c>
      <c r="U196" s="823">
        <v>0</v>
      </c>
      <c r="V196" s="823">
        <v>0</v>
      </c>
      <c r="W196" s="823">
        <v>0</v>
      </c>
      <c r="X196" s="823">
        <v>0</v>
      </c>
      <c r="Y196" s="823">
        <v>0</v>
      </c>
      <c r="Z196" s="823">
        <v>0</v>
      </c>
      <c r="AA196" s="823">
        <v>0</v>
      </c>
      <c r="AB196" s="823">
        <v>0</v>
      </c>
      <c r="AC196" s="825">
        <v>0</v>
      </c>
      <c r="AD196" s="825">
        <v>0</v>
      </c>
      <c r="AE196" s="825">
        <v>0</v>
      </c>
      <c r="AF196" s="825">
        <v>0</v>
      </c>
      <c r="AG196" s="825">
        <v>0</v>
      </c>
      <c r="AH196" s="825">
        <v>0</v>
      </c>
      <c r="AI196" s="825">
        <v>0</v>
      </c>
      <c r="AJ196" s="825">
        <v>0</v>
      </c>
      <c r="AK196" s="825">
        <v>0</v>
      </c>
      <c r="AL196" s="825">
        <v>0</v>
      </c>
      <c r="AM196" s="825">
        <v>0</v>
      </c>
      <c r="AN196" s="825">
        <v>0</v>
      </c>
      <c r="AO196" s="825">
        <v>0</v>
      </c>
      <c r="AP196" s="825">
        <v>0</v>
      </c>
    </row>
    <row r="197" hidden="1">
      <c r="B197" s="826" t="s">
        <v>20</v>
      </c>
      <c r="C197" s="827">
        <v>11</v>
      </c>
      <c r="D197" s="827">
        <v>11</v>
      </c>
      <c r="E197" s="827">
        <v>9</v>
      </c>
      <c r="F197" s="827">
        <v>8</v>
      </c>
      <c r="G197" s="827">
        <v>8</v>
      </c>
      <c r="H197" s="827">
        <v>8</v>
      </c>
      <c r="I197" s="827">
        <v>8</v>
      </c>
      <c r="J197" s="827">
        <v>8</v>
      </c>
      <c r="K197" s="827">
        <v>8</v>
      </c>
      <c r="L197" s="827">
        <v>12</v>
      </c>
      <c r="M197" s="827">
        <v>6</v>
      </c>
      <c r="N197" s="827">
        <v>4</v>
      </c>
      <c r="O197" s="827">
        <v>3</v>
      </c>
      <c r="P197" s="827">
        <v>3</v>
      </c>
      <c r="Q197" s="827">
        <v>3</v>
      </c>
      <c r="R197" s="827">
        <v>3</v>
      </c>
      <c r="S197" s="827">
        <v>3</v>
      </c>
      <c r="T197" s="827">
        <v>3</v>
      </c>
      <c r="U197" s="827">
        <v>3</v>
      </c>
      <c r="V197" s="827">
        <v>3</v>
      </c>
      <c r="W197" s="827">
        <v>3</v>
      </c>
      <c r="X197" s="827">
        <v>3</v>
      </c>
      <c r="Y197" s="827">
        <v>3</v>
      </c>
      <c r="Z197" s="827">
        <v>3</v>
      </c>
      <c r="AA197" s="827">
        <v>4</v>
      </c>
      <c r="AB197" s="827">
        <v>3</v>
      </c>
      <c r="AC197" s="828">
        <v>3</v>
      </c>
      <c r="AD197" s="828">
        <v>3</v>
      </c>
      <c r="AE197" s="828">
        <v>4</v>
      </c>
      <c r="AF197" s="828">
        <v>4</v>
      </c>
      <c r="AG197" s="828">
        <v>2</v>
      </c>
      <c r="AH197" s="828">
        <v>3</v>
      </c>
      <c r="AI197" s="828">
        <v>3</v>
      </c>
      <c r="AJ197" s="828">
        <v>4</v>
      </c>
      <c r="AK197" s="828">
        <v>4</v>
      </c>
      <c r="AL197" s="828">
        <v>6</v>
      </c>
      <c r="AM197" s="828">
        <v>4</v>
      </c>
      <c r="AN197" s="828">
        <v>4</v>
      </c>
      <c r="AO197" s="828">
        <v>4</v>
      </c>
      <c r="AP197" s="828">
        <v>4</v>
      </c>
    </row>
    <row r="198" hidden="1">
      <c r="B198" s="829" t="s">
        <v>21</v>
      </c>
      <c r="C198" s="823">
        <v>9</v>
      </c>
      <c r="D198" s="823">
        <v>9</v>
      </c>
      <c r="E198" s="823">
        <v>9</v>
      </c>
      <c r="F198" s="823">
        <v>9</v>
      </c>
      <c r="G198" s="823">
        <v>10</v>
      </c>
      <c r="H198" s="823">
        <v>11</v>
      </c>
      <c r="I198" s="823">
        <v>11</v>
      </c>
      <c r="J198" s="823">
        <v>11</v>
      </c>
      <c r="K198" s="823">
        <v>12</v>
      </c>
      <c r="L198" s="823">
        <v>12</v>
      </c>
      <c r="M198" s="823">
        <v>12</v>
      </c>
      <c r="N198" s="823">
        <v>12</v>
      </c>
      <c r="O198" s="823">
        <v>12</v>
      </c>
      <c r="P198" s="823">
        <v>12</v>
      </c>
      <c r="Q198" s="823">
        <v>12</v>
      </c>
      <c r="R198" s="823">
        <v>12</v>
      </c>
      <c r="S198" s="823">
        <v>12</v>
      </c>
      <c r="T198" s="823">
        <v>12</v>
      </c>
      <c r="U198" s="823">
        <v>12</v>
      </c>
      <c r="V198" s="823">
        <v>12</v>
      </c>
      <c r="W198" s="823">
        <v>12</v>
      </c>
      <c r="X198" s="823">
        <v>12</v>
      </c>
      <c r="Y198" s="823">
        <v>12</v>
      </c>
      <c r="Z198" s="823">
        <v>12</v>
      </c>
      <c r="AA198" s="823">
        <v>12</v>
      </c>
      <c r="AB198" s="823">
        <v>12</v>
      </c>
      <c r="AC198" s="825">
        <v>12</v>
      </c>
      <c r="AD198" s="825">
        <v>12</v>
      </c>
      <c r="AE198" s="825">
        <v>12</v>
      </c>
      <c r="AF198" s="825">
        <v>13</v>
      </c>
      <c r="AG198" s="825">
        <v>13</v>
      </c>
      <c r="AH198" s="825">
        <v>13</v>
      </c>
      <c r="AI198" s="825">
        <v>13</v>
      </c>
      <c r="AJ198" s="825">
        <v>13</v>
      </c>
      <c r="AK198" s="825">
        <v>14</v>
      </c>
      <c r="AL198" s="825">
        <v>12</v>
      </c>
      <c r="AM198" s="825">
        <v>12</v>
      </c>
      <c r="AN198" s="825">
        <v>13</v>
      </c>
      <c r="AO198" s="825">
        <v>13</v>
      </c>
      <c r="AP198" s="825">
        <v>13</v>
      </c>
    </row>
    <row r="199" hidden="1">
      <c r="B199" s="826" t="s">
        <v>22</v>
      </c>
      <c r="C199" s="827">
        <v>9</v>
      </c>
      <c r="D199" s="827">
        <v>9</v>
      </c>
      <c r="E199" s="827">
        <v>9</v>
      </c>
      <c r="F199" s="827">
        <v>10</v>
      </c>
      <c r="G199" s="827">
        <v>10</v>
      </c>
      <c r="H199" s="827">
        <v>10</v>
      </c>
      <c r="I199" s="827">
        <v>11</v>
      </c>
      <c r="J199" s="827">
        <v>11</v>
      </c>
      <c r="K199" s="827">
        <v>12</v>
      </c>
      <c r="L199" s="827">
        <v>4</v>
      </c>
      <c r="M199" s="827">
        <v>12</v>
      </c>
      <c r="N199" s="827">
        <v>13</v>
      </c>
      <c r="O199" s="827">
        <v>12</v>
      </c>
      <c r="P199" s="827">
        <v>12</v>
      </c>
      <c r="Q199" s="827">
        <v>7</v>
      </c>
      <c r="R199" s="827">
        <v>7</v>
      </c>
      <c r="S199" s="827">
        <v>7</v>
      </c>
      <c r="T199" s="827">
        <v>7</v>
      </c>
      <c r="U199" s="827">
        <v>7</v>
      </c>
      <c r="V199" s="827">
        <v>7</v>
      </c>
      <c r="W199" s="827">
        <v>9</v>
      </c>
      <c r="X199" s="827">
        <v>12</v>
      </c>
      <c r="Y199" s="827">
        <v>12</v>
      </c>
      <c r="Z199" s="827">
        <v>12</v>
      </c>
      <c r="AA199" s="827">
        <v>12</v>
      </c>
      <c r="AB199" s="827">
        <v>12</v>
      </c>
      <c r="AC199" s="828">
        <v>12</v>
      </c>
      <c r="AD199" s="828">
        <v>12</v>
      </c>
      <c r="AE199" s="828">
        <v>9</v>
      </c>
      <c r="AF199" s="828">
        <v>8</v>
      </c>
      <c r="AG199" s="828">
        <v>8</v>
      </c>
      <c r="AH199" s="828">
        <v>8</v>
      </c>
      <c r="AI199" s="828">
        <v>6</v>
      </c>
      <c r="AJ199" s="828">
        <v>6</v>
      </c>
      <c r="AK199" s="828">
        <v>4</v>
      </c>
      <c r="AL199" s="828">
        <v>4</v>
      </c>
      <c r="AM199" s="828">
        <v>4</v>
      </c>
      <c r="AN199" s="828">
        <v>4</v>
      </c>
      <c r="AO199" s="828">
        <v>4</v>
      </c>
      <c r="AP199" s="828">
        <v>4</v>
      </c>
    </row>
    <row r="200" hidden="1">
      <c r="B200" s="829" t="s">
        <v>23</v>
      </c>
      <c r="C200" s="823">
        <v>64</v>
      </c>
      <c r="D200" s="823">
        <v>4</v>
      </c>
      <c r="E200" s="823">
        <v>4</v>
      </c>
      <c r="F200" s="823">
        <v>4</v>
      </c>
      <c r="G200" s="823">
        <v>4</v>
      </c>
      <c r="H200" s="823">
        <v>4</v>
      </c>
      <c r="I200" s="823">
        <v>4</v>
      </c>
      <c r="J200" s="823">
        <v>4</v>
      </c>
      <c r="K200" s="823">
        <v>4</v>
      </c>
      <c r="L200" s="823">
        <v>0</v>
      </c>
      <c r="M200" s="823">
        <v>4</v>
      </c>
      <c r="N200" s="823">
        <v>4</v>
      </c>
      <c r="O200" s="823">
        <v>5</v>
      </c>
      <c r="P200" s="823">
        <v>5</v>
      </c>
      <c r="Q200" s="823">
        <v>5</v>
      </c>
      <c r="R200" s="823">
        <v>5</v>
      </c>
      <c r="S200" s="823">
        <v>5</v>
      </c>
      <c r="T200" s="823">
        <v>5</v>
      </c>
      <c r="U200" s="823">
        <v>5</v>
      </c>
      <c r="V200" s="823">
        <v>5</v>
      </c>
      <c r="W200" s="823">
        <v>5</v>
      </c>
      <c r="X200" s="823">
        <v>5</v>
      </c>
      <c r="Y200" s="823">
        <v>5</v>
      </c>
      <c r="Z200" s="823">
        <v>4</v>
      </c>
      <c r="AA200" s="823">
        <v>3</v>
      </c>
      <c r="AB200" s="823">
        <v>2</v>
      </c>
      <c r="AC200" s="825">
        <v>1</v>
      </c>
      <c r="AD200" s="825">
        <v>1</v>
      </c>
      <c r="AE200" s="825">
        <v>1</v>
      </c>
      <c r="AF200" s="825">
        <v>1</v>
      </c>
      <c r="AG200" s="825">
        <v>1</v>
      </c>
      <c r="AH200" s="825">
        <v>0</v>
      </c>
      <c r="AI200" s="825">
        <v>0</v>
      </c>
      <c r="AJ200" s="825">
        <v>0</v>
      </c>
      <c r="AK200" s="825">
        <v>0</v>
      </c>
      <c r="AL200" s="825">
        <v>0</v>
      </c>
      <c r="AM200" s="825">
        <v>1</v>
      </c>
      <c r="AN200" s="825">
        <v>1</v>
      </c>
      <c r="AO200" s="825">
        <v>1</v>
      </c>
      <c r="AP200" s="825">
        <v>3</v>
      </c>
    </row>
    <row r="201" hidden="1">
      <c r="B201" s="835" t="s">
        <v>24</v>
      </c>
      <c r="C201" s="827">
        <v>21</v>
      </c>
      <c r="D201" s="827">
        <v>20</v>
      </c>
      <c r="E201" s="827">
        <v>20</v>
      </c>
      <c r="F201" s="827">
        <v>19</v>
      </c>
      <c r="G201" s="827">
        <v>19</v>
      </c>
      <c r="H201" s="827">
        <v>20</v>
      </c>
      <c r="I201" s="827">
        <v>21</v>
      </c>
      <c r="J201" s="827">
        <v>21</v>
      </c>
      <c r="K201" s="827">
        <v>20</v>
      </c>
      <c r="L201" s="827">
        <v>18</v>
      </c>
      <c r="M201" s="827">
        <v>20</v>
      </c>
      <c r="N201" s="827">
        <v>20</v>
      </c>
      <c r="O201" s="827">
        <v>17</v>
      </c>
      <c r="P201" s="827">
        <v>15</v>
      </c>
      <c r="Q201" s="827">
        <v>15</v>
      </c>
      <c r="R201" s="827">
        <v>14</v>
      </c>
      <c r="S201" s="827">
        <v>15</v>
      </c>
      <c r="T201" s="827">
        <v>15</v>
      </c>
      <c r="U201" s="827">
        <v>15</v>
      </c>
      <c r="V201" s="827">
        <v>15</v>
      </c>
      <c r="W201" s="827">
        <v>15</v>
      </c>
      <c r="X201" s="827">
        <v>15</v>
      </c>
      <c r="Y201" s="827">
        <v>15</v>
      </c>
      <c r="Z201" s="827">
        <v>15</v>
      </c>
      <c r="AA201" s="827">
        <v>15</v>
      </c>
      <c r="AB201" s="827">
        <v>15</v>
      </c>
      <c r="AC201" s="828">
        <v>15</v>
      </c>
      <c r="AD201" s="828">
        <v>15</v>
      </c>
      <c r="AE201" s="828">
        <v>16</v>
      </c>
      <c r="AF201" s="828">
        <v>16</v>
      </c>
      <c r="AG201" s="828">
        <v>16</v>
      </c>
      <c r="AH201" s="828">
        <v>14</v>
      </c>
      <c r="AI201" s="828">
        <v>14</v>
      </c>
      <c r="AJ201" s="828">
        <v>14</v>
      </c>
      <c r="AK201" s="828">
        <v>14</v>
      </c>
      <c r="AL201" s="828">
        <v>14</v>
      </c>
      <c r="AM201" s="828">
        <v>15</v>
      </c>
      <c r="AN201" s="828">
        <v>15</v>
      </c>
      <c r="AO201" s="828">
        <v>15</v>
      </c>
      <c r="AP201" s="828">
        <v>15</v>
      </c>
    </row>
    <row r="202" hidden="1">
      <c r="B202" s="829" t="s">
        <v>25</v>
      </c>
      <c r="C202" s="823">
        <v>0</v>
      </c>
      <c r="D202" s="823">
        <v>0</v>
      </c>
      <c r="E202" s="823">
        <v>0</v>
      </c>
      <c r="F202" s="823">
        <v>0</v>
      </c>
      <c r="G202" s="823">
        <v>0</v>
      </c>
      <c r="H202" s="823">
        <v>0</v>
      </c>
      <c r="I202" s="823">
        <v>0</v>
      </c>
      <c r="J202" s="823">
        <v>0</v>
      </c>
      <c r="K202" s="823">
        <v>0</v>
      </c>
      <c r="L202" s="823">
        <v>0</v>
      </c>
      <c r="M202" s="823">
        <v>0</v>
      </c>
      <c r="N202" s="823">
        <v>0</v>
      </c>
      <c r="O202" s="823">
        <v>0</v>
      </c>
      <c r="P202" s="823">
        <v>0</v>
      </c>
      <c r="Q202" s="823">
        <v>0</v>
      </c>
      <c r="R202" s="823">
        <v>0</v>
      </c>
      <c r="S202" s="823">
        <v>0</v>
      </c>
      <c r="T202" s="823">
        <v>0</v>
      </c>
      <c r="U202" s="823">
        <v>0</v>
      </c>
      <c r="V202" s="823">
        <v>0</v>
      </c>
      <c r="W202" s="823">
        <v>0</v>
      </c>
      <c r="X202" s="823">
        <v>0</v>
      </c>
      <c r="Y202" s="823">
        <v>0</v>
      </c>
      <c r="Z202" s="823">
        <v>0</v>
      </c>
      <c r="AA202" s="823">
        <v>0</v>
      </c>
      <c r="AB202" s="823">
        <v>0</v>
      </c>
      <c r="AC202" s="825">
        <v>0</v>
      </c>
      <c r="AD202" s="825">
        <v>0</v>
      </c>
      <c r="AE202" s="825">
        <v>0</v>
      </c>
      <c r="AF202" s="825">
        <v>0</v>
      </c>
      <c r="AG202" s="825">
        <v>0</v>
      </c>
      <c r="AH202" s="825">
        <v>0</v>
      </c>
      <c r="AI202" s="825">
        <v>0</v>
      </c>
      <c r="AJ202" s="825">
        <v>0</v>
      </c>
      <c r="AK202" s="825">
        <v>0</v>
      </c>
      <c r="AL202" s="825">
        <v>0</v>
      </c>
      <c r="AM202" s="825">
        <v>0</v>
      </c>
      <c r="AN202" s="825">
        <v>0</v>
      </c>
      <c r="AO202" s="825">
        <v>0</v>
      </c>
      <c r="AP202" s="825">
        <v>0</v>
      </c>
    </row>
    <row r="203" hidden="1" ht="13.5">
      <c r="B203" s="836" t="s">
        <v>26</v>
      </c>
      <c r="C203" s="827">
        <v>0</v>
      </c>
      <c r="D203" s="827">
        <v>0</v>
      </c>
      <c r="E203" s="827">
        <v>0</v>
      </c>
      <c r="F203" s="827">
        <v>0</v>
      </c>
      <c r="G203" s="827">
        <v>0</v>
      </c>
      <c r="H203" s="827">
        <v>0</v>
      </c>
      <c r="I203" s="827">
        <v>0</v>
      </c>
      <c r="J203" s="827">
        <v>0</v>
      </c>
      <c r="K203" s="827">
        <v>0</v>
      </c>
      <c r="L203" s="827">
        <v>0</v>
      </c>
      <c r="M203" s="827">
        <v>0</v>
      </c>
      <c r="N203" s="827">
        <v>0</v>
      </c>
      <c r="O203" s="827">
        <v>0</v>
      </c>
      <c r="P203" s="827">
        <v>0</v>
      </c>
      <c r="Q203" s="827">
        <v>0</v>
      </c>
      <c r="R203" s="827">
        <v>0</v>
      </c>
      <c r="S203" s="827">
        <v>0</v>
      </c>
      <c r="T203" s="827">
        <v>0</v>
      </c>
      <c r="U203" s="827">
        <v>0</v>
      </c>
      <c r="V203" s="827">
        <v>0</v>
      </c>
      <c r="W203" s="827">
        <v>0</v>
      </c>
      <c r="X203" s="827">
        <v>0</v>
      </c>
      <c r="Y203" s="827">
        <v>0</v>
      </c>
      <c r="Z203" s="827">
        <v>0</v>
      </c>
      <c r="AA203" s="827">
        <v>0</v>
      </c>
      <c r="AB203" s="837">
        <v>0</v>
      </c>
      <c r="AC203" s="828">
        <v>0</v>
      </c>
      <c r="AD203" s="828">
        <v>0</v>
      </c>
      <c r="AE203" s="828">
        <v>0</v>
      </c>
      <c r="AF203" s="828">
        <v>0</v>
      </c>
      <c r="AG203" s="828">
        <v>0</v>
      </c>
      <c r="AH203" s="828">
        <v>0</v>
      </c>
      <c r="AI203" s="828">
        <v>0</v>
      </c>
      <c r="AJ203" s="828">
        <v>0</v>
      </c>
      <c r="AK203" s="828">
        <v>0</v>
      </c>
      <c r="AL203" s="828">
        <v>0</v>
      </c>
      <c r="AM203" s="828">
        <v>0</v>
      </c>
      <c r="AN203" s="828">
        <v>0</v>
      </c>
      <c r="AO203" s="828">
        <v>0</v>
      </c>
      <c r="AP203" s="828">
        <v>0</v>
      </c>
    </row>
    <row r="204" hidden="1" ht="13.5">
      <c r="B204" s="128" t="s">
        <v>7</v>
      </c>
      <c r="C204" s="129" t="str">
        <f>IF(SUM(C185:C203)&lt;&gt;0,SUM(C185:C203),"")</f>
      </c>
      <c r="D204" s="129" t="str">
        <f ref="D204:AA204" t="shared" si="5">IF(SUM(D185:D203)&lt;&gt;0,SUM(D185:D203),"")</f>
      </c>
      <c r="E204" s="129" t="str">
        <f t="shared" si="5"/>
      </c>
      <c r="F204" s="129" t="str">
        <f t="shared" si="5"/>
      </c>
      <c r="G204" s="129" t="str">
        <f t="shared" si="5"/>
      </c>
      <c r="H204" s="129" t="str">
        <f t="shared" si="5"/>
      </c>
      <c r="I204" s="129" t="str">
        <f t="shared" si="5"/>
      </c>
      <c r="J204" s="129" t="str">
        <f t="shared" si="5"/>
      </c>
      <c r="K204" s="129" t="str">
        <f t="shared" si="5"/>
      </c>
      <c r="L204" s="129" t="str">
        <f t="shared" si="5"/>
      </c>
      <c r="M204" s="129" t="str">
        <f t="shared" si="5"/>
      </c>
      <c r="N204" s="129" t="str">
        <f t="shared" si="5"/>
      </c>
      <c r="O204" s="129" t="str">
        <f t="shared" si="5"/>
      </c>
      <c r="P204" s="129" t="str">
        <f t="shared" si="5"/>
      </c>
      <c r="Q204" s="129" t="str">
        <f t="shared" si="5"/>
      </c>
      <c r="R204" s="129" t="str">
        <f t="shared" si="5"/>
      </c>
      <c r="S204" s="129" t="str">
        <f t="shared" si="5"/>
      </c>
      <c r="T204" s="129" t="str">
        <f t="shared" si="5"/>
      </c>
      <c r="U204" s="129" t="str">
        <f t="shared" si="5"/>
      </c>
      <c r="V204" s="129" t="str">
        <f t="shared" si="5"/>
      </c>
      <c r="W204" s="129" t="str">
        <f t="shared" si="5"/>
      </c>
      <c r="X204" s="129" t="str">
        <f t="shared" si="5"/>
      </c>
      <c r="Y204" s="129" t="str">
        <f t="shared" si="5"/>
      </c>
      <c r="Z204" s="129" t="str">
        <f t="shared" si="5"/>
      </c>
      <c r="AA204" s="129" t="str">
        <f t="shared" si="5"/>
      </c>
      <c r="AB204" s="130" t="str">
        <f>IF(SUM(AB185:AB203)&lt;&gt;0,SUM(AB185:AB203),"")</f>
      </c>
      <c r="AC204" s="91" t="str">
        <f ref="AC204:CN204" t="shared" si="6">IF(SUM(AC185:AC203)&lt;&gt;0,SUM(AC185:AC203),"")</f>
      </c>
      <c r="AD204" s="91" t="str">
        <f t="shared" si="6"/>
      </c>
      <c r="AE204" s="91" t="str">
        <f t="shared" si="6"/>
      </c>
      <c r="AF204" s="91" t="str">
        <f t="shared" si="6"/>
      </c>
      <c r="AG204" s="91" t="str">
        <f t="shared" si="6"/>
      </c>
      <c r="AH204" s="91" t="str">
        <f t="shared" si="6"/>
      </c>
      <c r="AI204" s="91" t="str">
        <f t="shared" si="6"/>
      </c>
      <c r="AJ204" s="91" t="str">
        <f t="shared" si="6"/>
      </c>
      <c r="AK204" s="91" t="str">
        <f t="shared" si="6"/>
      </c>
      <c r="AL204" s="91" t="str">
        <f t="shared" si="6"/>
      </c>
      <c r="AM204" s="91" t="str">
        <f t="shared" si="6"/>
      </c>
      <c r="AN204" s="91" t="str">
        <f t="shared" si="6"/>
      </c>
      <c r="AO204" s="91" t="str">
        <f t="shared" si="6"/>
      </c>
      <c r="AP204" s="91" t="str">
        <f t="shared" si="6"/>
      </c>
      <c r="AQ204" s="91" t="str">
        <f t="shared" si="6"/>
      </c>
      <c r="AR204" s="91" t="str">
        <f t="shared" si="6"/>
      </c>
      <c r="AS204" s="91" t="str">
        <f t="shared" si="6"/>
      </c>
      <c r="AT204" s="91" t="str">
        <f t="shared" si="6"/>
      </c>
      <c r="AU204" s="91" t="str">
        <f t="shared" si="6"/>
      </c>
      <c r="AV204" s="91" t="str">
        <f t="shared" si="6"/>
      </c>
      <c r="AW204" s="91" t="str">
        <f t="shared" si="6"/>
      </c>
      <c r="AX204" s="91" t="str">
        <f t="shared" si="6"/>
      </c>
      <c r="AY204" s="91" t="str">
        <f t="shared" si="6"/>
      </c>
      <c r="AZ204" s="91" t="str">
        <f t="shared" si="6"/>
      </c>
      <c r="BA204" s="91" t="str">
        <f t="shared" si="6"/>
      </c>
      <c r="BB204" s="91" t="str">
        <f t="shared" si="6"/>
      </c>
      <c r="BC204" s="91" t="str">
        <f t="shared" si="6"/>
      </c>
      <c r="BD204" s="91" t="str">
        <f t="shared" si="6"/>
      </c>
      <c r="BE204" s="91" t="str">
        <f t="shared" si="6"/>
      </c>
      <c r="BF204" s="91" t="str">
        <f t="shared" si="6"/>
      </c>
      <c r="BG204" s="91" t="str">
        <f t="shared" si="6"/>
      </c>
      <c r="BH204" s="91" t="str">
        <f t="shared" si="6"/>
      </c>
      <c r="BI204" s="91" t="str">
        <f t="shared" si="6"/>
      </c>
      <c r="BJ204" s="91" t="str">
        <f t="shared" si="6"/>
      </c>
      <c r="BK204" s="91" t="str">
        <f t="shared" si="6"/>
      </c>
      <c r="BL204" s="91" t="str">
        <f t="shared" si="6"/>
      </c>
      <c r="BM204" s="91" t="str">
        <f t="shared" si="6"/>
      </c>
      <c r="BN204" s="91" t="str">
        <f t="shared" si="6"/>
      </c>
      <c r="BO204" s="91" t="str">
        <f t="shared" si="6"/>
      </c>
      <c r="BP204" s="91" t="str">
        <f t="shared" si="6"/>
      </c>
      <c r="BQ204" s="91" t="str">
        <f t="shared" si="6"/>
      </c>
      <c r="BR204" s="91" t="str">
        <f t="shared" si="6"/>
      </c>
      <c r="BS204" s="91" t="str">
        <f t="shared" si="6"/>
      </c>
      <c r="BT204" s="91" t="str">
        <f t="shared" si="6"/>
      </c>
      <c r="BU204" s="91" t="str">
        <f t="shared" si="6"/>
      </c>
      <c r="BV204" s="91" t="str">
        <f t="shared" si="6"/>
      </c>
      <c r="BW204" s="91" t="str">
        <f t="shared" si="6"/>
      </c>
      <c r="BX204" s="91" t="str">
        <f t="shared" si="6"/>
      </c>
      <c r="BY204" s="91" t="str">
        <f t="shared" si="6"/>
      </c>
      <c r="BZ204" s="91" t="str">
        <f t="shared" si="6"/>
      </c>
      <c r="CA204" s="91" t="str">
        <f t="shared" si="6"/>
      </c>
      <c r="CB204" s="91" t="str">
        <f t="shared" si="6"/>
      </c>
      <c r="CC204" s="91" t="str">
        <f t="shared" si="6"/>
      </c>
      <c r="CD204" s="91" t="str">
        <f t="shared" si="6"/>
      </c>
      <c r="CE204" s="91" t="str">
        <f t="shared" si="6"/>
      </c>
      <c r="CF204" s="91" t="str">
        <f t="shared" si="6"/>
      </c>
      <c r="CG204" s="91" t="str">
        <f t="shared" si="6"/>
      </c>
      <c r="CH204" s="91" t="str">
        <f t="shared" si="6"/>
      </c>
      <c r="CI204" s="91" t="str">
        <f t="shared" si="6"/>
      </c>
      <c r="CJ204" s="91" t="str">
        <f t="shared" si="6"/>
      </c>
      <c r="CK204" s="91" t="str">
        <f t="shared" si="6"/>
      </c>
      <c r="CL204" s="91" t="str">
        <f t="shared" si="6"/>
      </c>
      <c r="CM204" s="91" t="str">
        <f t="shared" si="6"/>
      </c>
      <c r="CN204" s="91" t="str">
        <f t="shared" si="6"/>
      </c>
      <c r="CO204" s="91" t="str">
        <f ref="CO204:EZ204" t="shared" si="7">IF(SUM(CO185:CO203)&lt;&gt;0,SUM(CO185:CO203),"")</f>
      </c>
      <c r="CP204" s="91" t="str">
        <f t="shared" si="7"/>
      </c>
      <c r="CQ204" s="91" t="str">
        <f t="shared" si="7"/>
      </c>
      <c r="CR204" s="91" t="str">
        <f t="shared" si="7"/>
      </c>
      <c r="CS204" s="91" t="str">
        <f t="shared" si="7"/>
      </c>
      <c r="CT204" s="91" t="str">
        <f t="shared" si="7"/>
      </c>
      <c r="CU204" s="91" t="str">
        <f t="shared" si="7"/>
      </c>
      <c r="CV204" s="91" t="str">
        <f t="shared" si="7"/>
      </c>
      <c r="CW204" s="91" t="str">
        <f t="shared" si="7"/>
      </c>
      <c r="CX204" s="91" t="str">
        <f t="shared" si="7"/>
      </c>
      <c r="CY204" s="91" t="str">
        <f t="shared" si="7"/>
      </c>
      <c r="CZ204" s="91" t="str">
        <f t="shared" si="7"/>
      </c>
      <c r="DA204" s="91" t="str">
        <f t="shared" si="7"/>
      </c>
      <c r="DB204" s="91" t="str">
        <f t="shared" si="7"/>
      </c>
      <c r="DC204" s="91" t="str">
        <f t="shared" si="7"/>
      </c>
      <c r="DD204" s="91" t="str">
        <f t="shared" si="7"/>
      </c>
      <c r="DE204" s="91" t="str">
        <f t="shared" si="7"/>
      </c>
      <c r="DF204" s="91" t="str">
        <f t="shared" si="7"/>
      </c>
      <c r="DG204" s="91" t="str">
        <f t="shared" si="7"/>
      </c>
      <c r="DH204" s="91" t="str">
        <f t="shared" si="7"/>
      </c>
      <c r="DI204" s="91" t="str">
        <f t="shared" si="7"/>
      </c>
      <c r="DJ204" s="91" t="str">
        <f t="shared" si="7"/>
      </c>
      <c r="DK204" s="91" t="str">
        <f t="shared" si="7"/>
      </c>
      <c r="DL204" s="91" t="str">
        <f t="shared" si="7"/>
      </c>
      <c r="DM204" s="91" t="str">
        <f t="shared" si="7"/>
      </c>
      <c r="DN204" s="91" t="str">
        <f t="shared" si="7"/>
      </c>
      <c r="DO204" s="91" t="str">
        <f t="shared" si="7"/>
      </c>
      <c r="DP204" s="91" t="str">
        <f t="shared" si="7"/>
      </c>
      <c r="DQ204" s="91" t="str">
        <f t="shared" si="7"/>
      </c>
      <c r="DR204" s="91" t="str">
        <f t="shared" si="7"/>
      </c>
      <c r="DS204" s="91" t="str">
        <f t="shared" si="7"/>
      </c>
      <c r="DT204" s="91" t="str">
        <f t="shared" si="7"/>
      </c>
      <c r="DU204" s="91" t="str">
        <f t="shared" si="7"/>
      </c>
      <c r="DV204" s="91" t="str">
        <f t="shared" si="7"/>
      </c>
      <c r="DW204" s="91" t="str">
        <f t="shared" si="7"/>
      </c>
      <c r="DX204" s="91" t="str">
        <f t="shared" si="7"/>
      </c>
      <c r="DY204" s="91" t="str">
        <f t="shared" si="7"/>
      </c>
      <c r="DZ204" s="91" t="str">
        <f t="shared" si="7"/>
      </c>
      <c r="EA204" s="91" t="str">
        <f t="shared" si="7"/>
      </c>
      <c r="EB204" s="91" t="str">
        <f t="shared" si="7"/>
      </c>
      <c r="EC204" s="91" t="str">
        <f t="shared" si="7"/>
      </c>
      <c r="ED204" s="91" t="str">
        <f t="shared" si="7"/>
      </c>
      <c r="EE204" s="91" t="str">
        <f t="shared" si="7"/>
      </c>
      <c r="EF204" s="91" t="str">
        <f t="shared" si="7"/>
      </c>
      <c r="EG204" s="91" t="str">
        <f t="shared" si="7"/>
      </c>
      <c r="EH204" s="91" t="str">
        <f t="shared" si="7"/>
      </c>
      <c r="EI204" s="91" t="str">
        <f t="shared" si="7"/>
      </c>
      <c r="EJ204" s="91" t="str">
        <f t="shared" si="7"/>
      </c>
      <c r="EK204" s="91" t="str">
        <f t="shared" si="7"/>
      </c>
      <c r="EL204" s="91" t="str">
        <f t="shared" si="7"/>
      </c>
      <c r="EM204" s="91" t="str">
        <f t="shared" si="7"/>
      </c>
      <c r="EN204" s="91" t="str">
        <f t="shared" si="7"/>
      </c>
      <c r="EO204" s="91" t="str">
        <f t="shared" si="7"/>
      </c>
      <c r="EP204" s="91" t="str">
        <f t="shared" si="7"/>
      </c>
      <c r="EQ204" s="91" t="str">
        <f t="shared" si="7"/>
      </c>
      <c r="ER204" s="91" t="str">
        <f t="shared" si="7"/>
      </c>
      <c r="ES204" s="91" t="str">
        <f t="shared" si="7"/>
      </c>
      <c r="ET204" s="91" t="str">
        <f t="shared" si="7"/>
      </c>
      <c r="EU204" s="91" t="str">
        <f t="shared" si="7"/>
      </c>
      <c r="EV204" s="91" t="str">
        <f t="shared" si="7"/>
      </c>
      <c r="EW204" s="91" t="str">
        <f t="shared" si="7"/>
      </c>
      <c r="EX204" s="91" t="str">
        <f t="shared" si="7"/>
      </c>
      <c r="EY204" s="91" t="str">
        <f t="shared" si="7"/>
      </c>
      <c r="EZ204" s="91" t="str">
        <f t="shared" si="7"/>
      </c>
      <c r="FA204" s="91" t="str">
        <f ref="FA204:HL204" t="shared" si="8">IF(SUM(FA185:FA203)&lt;&gt;0,SUM(FA185:FA203),"")</f>
      </c>
      <c r="FB204" s="91" t="str">
        <f t="shared" si="8"/>
      </c>
      <c r="FC204" s="91" t="str">
        <f t="shared" si="8"/>
      </c>
      <c r="FD204" s="91" t="str">
        <f t="shared" si="8"/>
      </c>
      <c r="FE204" s="91" t="str">
        <f t="shared" si="8"/>
      </c>
      <c r="FF204" s="91" t="str">
        <f t="shared" si="8"/>
      </c>
      <c r="FG204" s="91" t="str">
        <f t="shared" si="8"/>
      </c>
      <c r="FH204" s="91" t="str">
        <f t="shared" si="8"/>
      </c>
      <c r="FI204" s="91" t="str">
        <f t="shared" si="8"/>
      </c>
      <c r="FJ204" s="91" t="str">
        <f t="shared" si="8"/>
      </c>
      <c r="FK204" s="91" t="str">
        <f t="shared" si="8"/>
      </c>
      <c r="FL204" s="91" t="str">
        <f t="shared" si="8"/>
      </c>
      <c r="FM204" s="91" t="str">
        <f t="shared" si="8"/>
      </c>
      <c r="FN204" s="91" t="str">
        <f t="shared" si="8"/>
      </c>
      <c r="FO204" s="91" t="str">
        <f t="shared" si="8"/>
      </c>
      <c r="FP204" s="91" t="str">
        <f t="shared" si="8"/>
      </c>
      <c r="FQ204" s="91" t="str">
        <f t="shared" si="8"/>
      </c>
      <c r="FR204" s="91" t="str">
        <f t="shared" si="8"/>
      </c>
      <c r="FS204" s="91" t="str">
        <f t="shared" si="8"/>
      </c>
      <c r="FT204" s="91" t="str">
        <f t="shared" si="8"/>
      </c>
      <c r="FU204" s="91" t="str">
        <f t="shared" si="8"/>
      </c>
      <c r="FV204" s="91" t="str">
        <f t="shared" si="8"/>
      </c>
      <c r="FW204" s="91" t="str">
        <f t="shared" si="8"/>
      </c>
      <c r="FX204" s="91" t="str">
        <f t="shared" si="8"/>
      </c>
      <c r="FY204" s="91" t="str">
        <f t="shared" si="8"/>
      </c>
      <c r="FZ204" s="91" t="str">
        <f t="shared" si="8"/>
      </c>
      <c r="GA204" s="91" t="str">
        <f t="shared" si="8"/>
      </c>
      <c r="GB204" s="91" t="str">
        <f t="shared" si="8"/>
      </c>
      <c r="GC204" s="91" t="str">
        <f t="shared" si="8"/>
      </c>
      <c r="GD204" s="91" t="str">
        <f t="shared" si="8"/>
      </c>
      <c r="GE204" s="91" t="str">
        <f t="shared" si="8"/>
      </c>
      <c r="GF204" s="91" t="str">
        <f t="shared" si="8"/>
      </c>
      <c r="GG204" s="91" t="str">
        <f t="shared" si="8"/>
      </c>
      <c r="GH204" s="91" t="str">
        <f t="shared" si="8"/>
      </c>
      <c r="GI204" s="91" t="str">
        <f t="shared" si="8"/>
      </c>
      <c r="GJ204" s="91" t="str">
        <f t="shared" si="8"/>
      </c>
      <c r="GK204" s="91" t="str">
        <f t="shared" si="8"/>
      </c>
      <c r="GL204" s="91" t="str">
        <f t="shared" si="8"/>
      </c>
      <c r="GM204" s="91" t="str">
        <f t="shared" si="8"/>
      </c>
      <c r="GN204" s="91" t="str">
        <f t="shared" si="8"/>
      </c>
      <c r="GO204" s="91" t="str">
        <f t="shared" si="8"/>
      </c>
      <c r="GP204" s="91" t="str">
        <f t="shared" si="8"/>
      </c>
      <c r="GQ204" s="91" t="str">
        <f t="shared" si="8"/>
      </c>
      <c r="GR204" s="91" t="str">
        <f t="shared" si="8"/>
      </c>
      <c r="GS204" s="91" t="str">
        <f t="shared" si="8"/>
      </c>
      <c r="GT204" s="91" t="str">
        <f t="shared" si="8"/>
      </c>
      <c r="GU204" s="91" t="str">
        <f t="shared" si="8"/>
      </c>
      <c r="GV204" s="91" t="str">
        <f t="shared" si="8"/>
      </c>
      <c r="GW204" s="91" t="str">
        <f t="shared" si="8"/>
      </c>
      <c r="GX204" s="91" t="str">
        <f t="shared" si="8"/>
      </c>
      <c r="GY204" s="91" t="str">
        <f t="shared" si="8"/>
      </c>
      <c r="GZ204" s="91" t="str">
        <f t="shared" si="8"/>
      </c>
      <c r="HA204" s="91" t="str">
        <f t="shared" si="8"/>
      </c>
      <c r="HB204" s="91" t="str">
        <f t="shared" si="8"/>
      </c>
      <c r="HC204" s="91" t="str">
        <f t="shared" si="8"/>
      </c>
      <c r="HD204" s="91" t="str">
        <f t="shared" si="8"/>
      </c>
      <c r="HE204" s="91" t="str">
        <f t="shared" si="8"/>
      </c>
      <c r="HF204" s="91" t="str">
        <f t="shared" si="8"/>
      </c>
      <c r="HG204" s="91" t="str">
        <f t="shared" si="8"/>
      </c>
      <c r="HH204" s="91" t="str">
        <f t="shared" si="8"/>
      </c>
      <c r="HI204" s="91" t="str">
        <f t="shared" si="8"/>
      </c>
      <c r="HJ204" s="91" t="str">
        <f t="shared" si="8"/>
      </c>
      <c r="HK204" s="91" t="str">
        <f t="shared" si="8"/>
      </c>
      <c r="HL204" s="91" t="str">
        <f t="shared" si="8"/>
      </c>
      <c r="HM204" s="91" t="str">
        <f ref="HM204:IV204" t="shared" si="9">IF(SUM(HM185:HM203)&lt;&gt;0,SUM(HM185:HM203),"")</f>
      </c>
      <c r="HN204" s="91" t="str">
        <f t="shared" si="9"/>
      </c>
      <c r="HO204" s="91" t="str">
        <f t="shared" si="9"/>
      </c>
      <c r="HP204" s="91" t="str">
        <f t="shared" si="9"/>
      </c>
      <c r="HQ204" s="91" t="str">
        <f t="shared" si="9"/>
      </c>
      <c r="HR204" s="91" t="str">
        <f t="shared" si="9"/>
      </c>
      <c r="HS204" s="91" t="str">
        <f t="shared" si="9"/>
      </c>
      <c r="HT204" s="91" t="str">
        <f t="shared" si="9"/>
      </c>
      <c r="HU204" s="91" t="str">
        <f t="shared" si="9"/>
      </c>
      <c r="HV204" s="91" t="str">
        <f t="shared" si="9"/>
      </c>
      <c r="HW204" s="91" t="str">
        <f t="shared" si="9"/>
      </c>
      <c r="HX204" s="91" t="str">
        <f t="shared" si="9"/>
      </c>
      <c r="HY204" s="91" t="str">
        <f t="shared" si="9"/>
      </c>
      <c r="HZ204" s="91" t="str">
        <f t="shared" si="9"/>
      </c>
      <c r="IA204" s="91" t="str">
        <f t="shared" si="9"/>
      </c>
      <c r="IB204" s="91" t="str">
        <f t="shared" si="9"/>
      </c>
      <c r="IC204" s="91" t="str">
        <f t="shared" si="9"/>
      </c>
      <c r="ID204" s="91" t="str">
        <f t="shared" si="9"/>
      </c>
      <c r="IE204" s="91" t="str">
        <f t="shared" si="9"/>
      </c>
      <c r="IF204" s="91" t="str">
        <f t="shared" si="9"/>
      </c>
      <c r="IG204" s="91" t="str">
        <f t="shared" si="9"/>
      </c>
      <c r="IH204" s="91" t="str">
        <f t="shared" si="9"/>
      </c>
      <c r="II204" s="91" t="str">
        <f t="shared" si="9"/>
      </c>
      <c r="IJ204" s="91" t="str">
        <f t="shared" si="9"/>
      </c>
      <c r="IK204" s="91" t="str">
        <f t="shared" si="9"/>
      </c>
      <c r="IL204" s="91" t="str">
        <f t="shared" si="9"/>
      </c>
      <c r="IM204" s="91" t="str">
        <f t="shared" si="9"/>
      </c>
      <c r="IN204" s="91" t="str">
        <f t="shared" si="9"/>
      </c>
      <c r="IO204" s="91" t="str">
        <f t="shared" si="9"/>
      </c>
      <c r="IP204" s="91" t="str">
        <f t="shared" si="9"/>
      </c>
      <c r="IQ204" s="91" t="str">
        <f t="shared" si="9"/>
      </c>
      <c r="IR204" s="91" t="str">
        <f t="shared" si="9"/>
      </c>
      <c r="IS204" s="91" t="str">
        <f t="shared" si="9"/>
      </c>
      <c r="IT204" s="91" t="str">
        <f t="shared" si="9"/>
      </c>
      <c r="IU204" s="91" t="str">
        <f t="shared" si="9"/>
      </c>
      <c r="IV204" s="91" t="str">
        <f t="shared" si="9"/>
      </c>
    </row>
    <row r="205" hidden="1" ht="15.75">
      <c r="B205" s="337"/>
    </row>
    <row r="206" hidden="1" ht="15" customHeight="1">
      <c r="C206" s="686" t="s">
        <v>404</v>
      </c>
      <c r="D206" s="687"/>
      <c r="E206" s="687"/>
      <c r="F206" s="687"/>
      <c r="G206" s="687"/>
      <c r="H206" s="687"/>
      <c r="I206" s="687"/>
      <c r="J206" s="687"/>
      <c r="K206" s="687"/>
      <c r="L206" s="687"/>
      <c r="M206" s="687"/>
      <c r="N206" s="687"/>
      <c r="O206" s="687"/>
      <c r="P206" s="687"/>
      <c r="Q206" s="687"/>
      <c r="R206" s="687"/>
      <c r="S206" s="687"/>
      <c r="T206" s="687"/>
      <c r="U206" s="687"/>
      <c r="V206" s="687"/>
      <c r="W206" s="687"/>
      <c r="X206" s="687"/>
      <c r="Y206" s="687"/>
      <c r="Z206" s="687"/>
      <c r="AA206" s="687"/>
      <c r="AB206" s="688"/>
    </row>
    <row r="207" hidden="1" ht="15" customHeight="1">
      <c r="C207" s="435" t="str">
        <f> IF(C227&lt;&gt;"",TEXT(AUX!G$1,"dd-MMM-aa"),"")</f>
      </c>
      <c r="D207" s="435" t="str">
        <f> IF(D227&lt;&gt;"",TEXT(AUX!H$1,"dd-MMM-aa"),"")</f>
      </c>
      <c r="E207" s="435" t="str">
        <f> IF(E227&lt;&gt;"",TEXT(AUX!I$1,"dd-MMM-aa"),"")</f>
      </c>
      <c r="F207" s="435" t="str">
        <f> IF(F227&lt;&gt;"",TEXT(AUX!J$1,"dd-MMM-aa"),"")</f>
      </c>
      <c r="G207" s="435" t="str">
        <f> IF(G227&lt;&gt;"",TEXT(AUX!K$1,"dd-MMM-aa"),"")</f>
      </c>
      <c r="H207" s="435" t="str">
        <f> IF(H227&lt;&gt;"",TEXT(AUX!L$1,"dd-MMM-aa"),"")</f>
      </c>
      <c r="I207" s="435" t="str">
        <f> IF(I227&lt;&gt;"",TEXT(AUX!M$1,"dd-MMM-aa"),"")</f>
      </c>
      <c r="J207" s="435" t="str">
        <f> IF(J227&lt;&gt;"",TEXT(AUX!N$1,"dd-MMM-aa"),"")</f>
      </c>
      <c r="K207" s="435" t="str">
        <f> IF(K227&lt;&gt;"",TEXT(AUX!O$1,"dd-MMM-aa"),"")</f>
      </c>
      <c r="L207" s="435" t="str">
        <f> IF(L227&lt;&gt;"",TEXT(AUX!P$1,"dd-MMM-aa"),"")</f>
      </c>
      <c r="M207" s="435" t="str">
        <f> IF(M227&lt;&gt;"",TEXT(AUX!Q$1,"dd-MMM-aa"),"")</f>
      </c>
      <c r="N207" s="435" t="str">
        <f> IF(N227&lt;&gt;"",TEXT(AUX!R$1,"dd-MMM-aa"),"")</f>
      </c>
      <c r="O207" s="435" t="str">
        <f> IF(O227&lt;&gt;"",TEXT(AUX!S$1,"dd-MMM-aa"),"")</f>
      </c>
      <c r="P207" s="435" t="str">
        <f> IF(P227&lt;&gt;"",TEXT(AUX!T$1,"dd-MMM-aa"),"")</f>
      </c>
      <c r="Q207" s="435" t="str">
        <f> IF(Q227&lt;&gt;"",TEXT(AUX!U$1,"dd-MMM-aa"),"")</f>
      </c>
      <c r="R207" s="435" t="str">
        <f> IF(R227&lt;&gt;"",TEXT(AUX!V$1,"dd-MMM-aa"),"")</f>
      </c>
      <c r="S207" s="435" t="str">
        <f> IF(S227&lt;&gt;"",TEXT(AUX!W$1,"dd-MMM-aa"),"")</f>
      </c>
      <c r="T207" s="435" t="str">
        <f> IF(T227&lt;&gt;"",TEXT(AUX!X$1,"dd-MMM-aa"),"")</f>
      </c>
      <c r="U207" s="435" t="str">
        <f> IF(U227&lt;&gt;"",TEXT(AUX!Y$1,"dd-MMM-aa"),"")</f>
      </c>
      <c r="V207" s="435" t="str">
        <f> IF(V227&lt;&gt;"",TEXT(AUX!Z$1,"dd-MMM-aa"),"")</f>
      </c>
      <c r="W207" s="435" t="str">
        <f> IF(W227&lt;&gt;"",TEXT(AUX!AA$1,"dd-MMM-aa"),"")</f>
      </c>
      <c r="X207" s="435" t="str">
        <f> IF(X227&lt;&gt;"",TEXT(AUX!AB$1,"dd-MMM-aa"),"")</f>
      </c>
      <c r="Y207" s="435" t="str">
        <f> IF(Y227&lt;&gt;"",TEXT(AUX!AC$1,"dd-MMM-aa"),"")</f>
      </c>
      <c r="Z207" s="435" t="str">
        <f> IF(Z227&lt;&gt;"",TEXT(AUX!AD$1,"dd-MMM-aa"),"")</f>
      </c>
      <c r="AA207" s="435" t="str">
        <f> IF(AA227&lt;&gt;"",TEXT(AUX!AE$1,"dd-MMM-aa"),"")</f>
      </c>
      <c r="AB207" s="497" t="str">
        <f> IF(AB227&lt;&gt;"",TEXT(AUX!AF$1,"dd-MMM-aa"),"")</f>
      </c>
      <c r="AC207" s="496" t="str">
        <f> IF(AC227&lt;&gt;"",TEXT(AUX!AG$1,"dd-MMM-aa"),"")</f>
      </c>
      <c r="AD207" s="496" t="str">
        <f> IF(AD227&lt;&gt;"",TEXT(AUX!AH$1,"dd-MMM-aa"),"")</f>
      </c>
      <c r="AE207" s="496" t="str">
        <f> IF(AE227&lt;&gt;"",TEXT(AUX!AI$1,"dd-MMM-aa"),"")</f>
      </c>
      <c r="AF207" s="496" t="str">
        <f> IF(AF227&lt;&gt;"",TEXT(AUX!AJ$1,"dd-MMM-aa"),"")</f>
      </c>
      <c r="AG207" s="496" t="str">
        <f> IF(AG227&lt;&gt;"",TEXT(AUX!AK$1,"dd-MMM-aa"),"")</f>
      </c>
      <c r="AH207" s="496" t="str">
        <f> IF(AH227&lt;&gt;"",TEXT(AUX!AL$1,"dd-MMM-aa"),"")</f>
      </c>
      <c r="AI207" s="496" t="str">
        <f> IF(AI227&lt;&gt;"",TEXT(AUX!AM$1,"dd-MMM-aa"),"")</f>
      </c>
      <c r="AJ207" s="496" t="str">
        <f> IF(AJ227&lt;&gt;"",TEXT(AUX!AN$1,"dd-MMM-aa"),"")</f>
      </c>
      <c r="AK207" s="496" t="str">
        <f> IF(AK227&lt;&gt;"",TEXT(AUX!AO$1,"dd-MMM-aa"),"")</f>
      </c>
      <c r="AL207" s="496" t="str">
        <f> IF(AL227&lt;&gt;"",TEXT(AUX!AP$1,"dd-MMM-aa"),"")</f>
      </c>
      <c r="AM207" s="496" t="str">
        <f> IF(AM227&lt;&gt;"",TEXT(AUX!AQ$1,"dd-MMM-aa"),"")</f>
      </c>
      <c r="AN207" s="496" t="str">
        <f> IF(AN227&lt;&gt;"",TEXT(AUX!AR$1,"dd-MMM-aa"),"")</f>
      </c>
      <c r="AO207" s="496" t="str">
        <f> IF(AO227&lt;&gt;"",TEXT(AUX!AS$1,"dd-MMM-aa"),"")</f>
      </c>
      <c r="AP207" s="496" t="str">
        <f> IF(AP227&lt;&gt;"",TEXT(AUX!AT$1,"dd-MMM-aa"),"")</f>
      </c>
      <c r="AQ207" s="496" t="str">
        <f> IF(AQ227&lt;&gt;"",TEXT(AUX!AU$1,"dd-MMM-aa"),"")</f>
      </c>
      <c r="AR207" s="496" t="str">
        <f> IF(AR227&lt;&gt;"",TEXT(AUX!AV$1,"dd-MMM-aa"),"")</f>
      </c>
      <c r="AS207" s="496" t="str">
        <f> IF(AS227&lt;&gt;"",TEXT(AUX!AW$1,"dd-MMM-aa"),"")</f>
      </c>
      <c r="AT207" s="496" t="str">
        <f> IF(AT227&lt;&gt;"",TEXT(AUX!AX$1,"dd-MMM-aa"),"")</f>
      </c>
      <c r="AU207" s="496" t="str">
        <f> IF(AU227&lt;&gt;"",TEXT(AUX!AY$1,"dd-MMM-aa"),"")</f>
      </c>
      <c r="AV207" s="496" t="str">
        <f> IF(AV227&lt;&gt;"",TEXT(AUX!AZ$1,"dd-MMM-aa"),"")</f>
      </c>
      <c r="AW207" s="496" t="str">
        <f> IF(AW227&lt;&gt;"",TEXT(AUX!BA$1,"dd-MMM-aa"),"")</f>
      </c>
      <c r="AX207" s="496" t="str">
        <f> IF(AX227&lt;&gt;"",TEXT(AUX!BB$1,"dd-MMM-aa"),"")</f>
      </c>
      <c r="AY207" s="496" t="str">
        <f> IF(AY227&lt;&gt;"",TEXT(AUX!BC$1,"dd-MMM-aa"),"")</f>
      </c>
      <c r="AZ207" s="496" t="str">
        <f> IF(AZ227&lt;&gt;"",TEXT(AUX!BD$1,"dd-MMM-aa"),"")</f>
      </c>
      <c r="BA207" s="496" t="str">
        <f> IF(BA227&lt;&gt;"",TEXT(AUX!BE$1,"dd-MMM-aa"),"")</f>
      </c>
      <c r="BB207" s="496" t="str">
        <f> IF(BB227&lt;&gt;"",TEXT(AUX!BF$1,"dd-MMM-aa"),"")</f>
      </c>
      <c r="BC207" s="496" t="str">
        <f> IF(BC227&lt;&gt;"",TEXT(AUX!BG$1,"dd-MMM-aa"),"")</f>
      </c>
      <c r="BD207" s="496" t="str">
        <f> IF(BD227&lt;&gt;"",TEXT(AUX!BH$1,"dd-MMM-aa"),"")</f>
      </c>
      <c r="BE207" s="496" t="str">
        <f> IF(BE227&lt;&gt;"",TEXT(AUX!BI$1,"dd-MMM-aa"),"")</f>
      </c>
      <c r="BF207" s="496" t="str">
        <f> IF(BF227&lt;&gt;"",TEXT(AUX!BJ$1,"dd-MMM-aa"),"")</f>
      </c>
      <c r="BG207" s="496" t="str">
        <f> IF(BG227&lt;&gt;"",TEXT(AUX!BK$1,"dd-MMM-aa"),"")</f>
      </c>
      <c r="BH207" s="496" t="str">
        <f> IF(BH227&lt;&gt;"",TEXT(AUX!BL$1,"dd-MMM-aa"),"")</f>
      </c>
      <c r="BI207" s="496" t="str">
        <f> IF(BI227&lt;&gt;"",TEXT(AUX!BM$1,"dd-MMM-aa"),"")</f>
      </c>
      <c r="BJ207" s="496" t="str">
        <f> IF(BJ227&lt;&gt;"",TEXT(AUX!BN$1,"dd-MMM-aa"),"")</f>
      </c>
      <c r="BK207" s="496" t="str">
        <f> IF(BK227&lt;&gt;"",TEXT(AUX!BO$1,"dd-MMM-aa"),"")</f>
      </c>
      <c r="BL207" s="496" t="str">
        <f> IF(BL227&lt;&gt;"",TEXT(AUX!BP$1,"dd-MMM-aa"),"")</f>
      </c>
      <c r="BM207" s="496" t="str">
        <f> IF(BM227&lt;&gt;"",TEXT(AUX!BQ$1,"dd-MMM-aa"),"")</f>
      </c>
      <c r="BN207" s="496" t="str">
        <f> IF(BN227&lt;&gt;"",TEXT(AUX!BR$1,"dd-MMM-aa"),"")</f>
      </c>
      <c r="BO207" s="496" t="str">
        <f> IF(BO227&lt;&gt;"",TEXT(AUX!BS$1,"dd-MMM-aa"),"")</f>
      </c>
      <c r="BP207" s="496" t="str">
        <f> IF(BP227&lt;&gt;"",TEXT(AUX!BT$1,"dd-MMM-aa"),"")</f>
      </c>
      <c r="BQ207" s="496" t="str">
        <f> IF(BQ227&lt;&gt;"",TEXT(AUX!BU$1,"dd-MMM-aa"),"")</f>
      </c>
      <c r="BR207" s="496" t="str">
        <f> IF(BR227&lt;&gt;"",TEXT(AUX!BV$1,"dd-MMM-aa"),"")</f>
      </c>
      <c r="BS207" s="496" t="str">
        <f> IF(BS227&lt;&gt;"",TEXT(AUX!BW$1,"dd-MMM-aa"),"")</f>
      </c>
      <c r="BT207" s="496" t="str">
        <f> IF(BT227&lt;&gt;"",TEXT(AUX!BX$1,"dd-MMM-aa"),"")</f>
      </c>
      <c r="BU207" s="496" t="str">
        <f> IF(BU227&lt;&gt;"",TEXT(AUX!BY$1,"dd-MMM-aa"),"")</f>
      </c>
      <c r="BV207" s="496" t="str">
        <f> IF(BV227&lt;&gt;"",TEXT(AUX!BZ$1,"dd-MMM-aa"),"")</f>
      </c>
      <c r="BW207" s="496" t="str">
        <f> IF(BW227&lt;&gt;"",TEXT(AUX!CA$1,"dd-MMM-aa"),"")</f>
      </c>
      <c r="BX207" s="496" t="str">
        <f> IF(BX227&lt;&gt;"",TEXT(AUX!CB$1,"dd-MMM-aa"),"")</f>
      </c>
      <c r="BY207" s="496" t="str">
        <f> IF(BY227&lt;&gt;"",TEXT(AUX!CC$1,"dd-MMM-aa"),"")</f>
      </c>
      <c r="BZ207" s="496" t="str">
        <f> IF(BZ227&lt;&gt;"",TEXT(AUX!CD$1,"dd-MMM-aa"),"")</f>
      </c>
      <c r="CA207" s="496" t="str">
        <f> IF(CA227&lt;&gt;"",TEXT(AUX!CE$1,"dd-MMM-aa"),"")</f>
      </c>
      <c r="CB207" s="496" t="str">
        <f> IF(CB227&lt;&gt;"",TEXT(AUX!CF$1,"dd-MMM-aa"),"")</f>
      </c>
      <c r="CC207" s="496" t="str">
        <f> IF(CC227&lt;&gt;"",TEXT(AUX!CG$1,"dd-MMM-aa"),"")</f>
      </c>
      <c r="CD207" s="496" t="str">
        <f> IF(CD227&lt;&gt;"",TEXT(AUX!CH$1,"dd-MMM-aa"),"")</f>
      </c>
      <c r="CE207" s="496" t="str">
        <f> IF(CE227&lt;&gt;"",TEXT(AUX!CI$1,"dd-MMM-aa"),"")</f>
      </c>
      <c r="CF207" s="496" t="str">
        <f> IF(CF227&lt;&gt;"",TEXT(AUX!CJ$1,"dd-MMM-aa"),"")</f>
      </c>
      <c r="CG207" s="496" t="str">
        <f> IF(CG227&lt;&gt;"",TEXT(AUX!CK$1,"dd-MMM-aa"),"")</f>
      </c>
      <c r="CH207" s="496" t="str">
        <f> IF(CH227&lt;&gt;"",TEXT(AUX!CL$1,"dd-MMM-aa"),"")</f>
      </c>
      <c r="CI207" s="496" t="str">
        <f> IF(CI227&lt;&gt;"",TEXT(AUX!CM$1,"dd-MMM-aa"),"")</f>
      </c>
      <c r="CJ207" s="496" t="str">
        <f> IF(CJ227&lt;&gt;"",TEXT(AUX!CN$1,"dd-MMM-aa"),"")</f>
      </c>
      <c r="CK207" s="496" t="str">
        <f> IF(CK227&lt;&gt;"",TEXT(AUX!CO$1,"dd-MMM-aa"),"")</f>
      </c>
      <c r="CL207" s="496" t="str">
        <f> IF(CL227&lt;&gt;"",TEXT(AUX!CP$1,"dd-MMM-aa"),"")</f>
      </c>
      <c r="CM207" s="496" t="str">
        <f> IF(CM227&lt;&gt;"",TEXT(AUX!CQ$1,"dd-MMM-aa"),"")</f>
      </c>
      <c r="CN207" s="496" t="str">
        <f> IF(CN227&lt;&gt;"",TEXT(AUX!CR$1,"dd-MMM-aa"),"")</f>
      </c>
      <c r="CO207" s="496" t="str">
        <f> IF(CO227&lt;&gt;"",TEXT(AUX!CS$1,"dd-MMM-aa"),"")</f>
      </c>
      <c r="CP207" s="496" t="str">
        <f> IF(CP227&lt;&gt;"",TEXT(AUX!CT$1,"dd-MMM-aa"),"")</f>
      </c>
      <c r="CQ207" s="496" t="str">
        <f> IF(CQ227&lt;&gt;"",TEXT(AUX!CU$1,"dd-MMM-aa"),"")</f>
      </c>
      <c r="CR207" s="496" t="str">
        <f> IF(CR227&lt;&gt;"",TEXT(AUX!CV$1,"dd-MMM-aa"),"")</f>
      </c>
      <c r="CS207" s="496" t="str">
        <f> IF(CS227&lt;&gt;"",TEXT(AUX!CW$1,"dd-MMM-aa"),"")</f>
      </c>
      <c r="CT207" s="496" t="str">
        <f> IF(CT227&lt;&gt;"",TEXT(AUX!CX$1,"dd-MMM-aa"),"")</f>
      </c>
      <c r="CU207" s="496" t="str">
        <f> IF(CU227&lt;&gt;"",TEXT(AUX!CY$1,"dd-MMM-aa"),"")</f>
      </c>
      <c r="CV207" s="496" t="str">
        <f> IF(CV227&lt;&gt;"",TEXT(AUX!CZ$1,"dd-MMM-aa"),"")</f>
      </c>
      <c r="CW207" s="496" t="str">
        <f> IF(CW227&lt;&gt;"",TEXT(AUX!DA$1,"dd-MMM-aa"),"")</f>
      </c>
      <c r="CX207" s="496" t="str">
        <f> IF(CX227&lt;&gt;"",TEXT(AUX!DB$1,"dd-MMM-aa"),"")</f>
      </c>
      <c r="CY207" s="496" t="str">
        <f> IF(CY227&lt;&gt;"",TEXT(AUX!DC$1,"dd-MMM-aa"),"")</f>
      </c>
      <c r="CZ207" s="496" t="str">
        <f> IF(CZ227&lt;&gt;"",TEXT(AUX!DD$1,"dd-MMM-aa"),"")</f>
      </c>
      <c r="DA207" s="496" t="str">
        <f> IF(DA227&lt;&gt;"",TEXT(AUX!DE$1,"dd-MMM-aa"),"")</f>
      </c>
      <c r="DB207" s="496" t="str">
        <f> IF(DB227&lt;&gt;"",TEXT(AUX!DF$1,"dd-MMM-aa"),"")</f>
      </c>
      <c r="DC207" s="496" t="str">
        <f> IF(DC227&lt;&gt;"",TEXT(AUX!DG$1,"dd-MMM-aa"),"")</f>
      </c>
      <c r="DD207" s="496" t="str">
        <f> IF(DD227&lt;&gt;"",TEXT(AUX!DH$1,"dd-MMM-aa"),"")</f>
      </c>
      <c r="DE207" s="496" t="str">
        <f> IF(DE227&lt;&gt;"",TEXT(AUX!DI$1,"dd-MMM-aa"),"")</f>
      </c>
      <c r="DF207" s="496" t="str">
        <f> IF(DF227&lt;&gt;"",TEXT(AUX!DJ$1,"dd-MMM-aa"),"")</f>
      </c>
      <c r="DG207" s="496" t="str">
        <f> IF(DG227&lt;&gt;"",TEXT(AUX!DK$1,"dd-MMM-aa"),"")</f>
      </c>
      <c r="DH207" s="496" t="str">
        <f> IF(DH227&lt;&gt;"",TEXT(AUX!DL$1,"dd-MMM-aa"),"")</f>
      </c>
      <c r="DI207" s="496" t="str">
        <f> IF(DI227&lt;&gt;"",TEXT(AUX!DM$1,"dd-MMM-aa"),"")</f>
      </c>
      <c r="DJ207" s="496" t="str">
        <f> IF(DJ227&lt;&gt;"",TEXT(AUX!DN$1,"dd-MMM-aa"),"")</f>
      </c>
      <c r="DK207" s="496" t="str">
        <f> IF(DK227&lt;&gt;"",TEXT(AUX!DO$1,"dd-MMM-aa"),"")</f>
      </c>
      <c r="DL207" s="496" t="str">
        <f> IF(DL227&lt;&gt;"",TEXT(AUX!DP$1,"dd-MMM-aa"),"")</f>
      </c>
      <c r="DM207" s="496" t="str">
        <f> IF(DM227&lt;&gt;"",TEXT(AUX!DQ$1,"dd-MMM-aa"),"")</f>
      </c>
      <c r="DN207" s="496" t="str">
        <f> IF(DN227&lt;&gt;"",TEXT(AUX!DR$1,"dd-MMM-aa"),"")</f>
      </c>
      <c r="DO207" s="496" t="str">
        <f> IF(DO227&lt;&gt;"",TEXT(AUX!DS$1,"dd-MMM-aa"),"")</f>
      </c>
      <c r="DP207" s="496" t="str">
        <f> IF(DP227&lt;&gt;"",TEXT(AUX!DT$1,"dd-MMM-aa"),"")</f>
      </c>
      <c r="DQ207" s="496" t="str">
        <f> IF(DQ227&lt;&gt;"",TEXT(AUX!DU$1,"dd-MMM-aa"),"")</f>
      </c>
      <c r="DR207" s="496" t="str">
        <f> IF(DR227&lt;&gt;"",TEXT(AUX!DV$1,"dd-MMM-aa"),"")</f>
      </c>
      <c r="DS207" s="496" t="str">
        <f> IF(DS227&lt;&gt;"",TEXT(AUX!DW$1,"dd-MMM-aa"),"")</f>
      </c>
      <c r="DT207" s="496" t="str">
        <f> IF(DT227&lt;&gt;"",TEXT(AUX!DX$1,"dd-MMM-aa"),"")</f>
      </c>
      <c r="DU207" s="496" t="str">
        <f> IF(DU227&lt;&gt;"",TEXT(AUX!DY$1,"dd-MMM-aa"),"")</f>
      </c>
      <c r="DV207" s="496" t="str">
        <f> IF(DV227&lt;&gt;"",TEXT(AUX!DZ$1,"dd-MMM-aa"),"")</f>
      </c>
      <c r="DW207" s="496" t="str">
        <f> IF(DW227&lt;&gt;"",TEXT(AUX!EA$1,"dd-MMM-aa"),"")</f>
      </c>
      <c r="DX207" s="496" t="str">
        <f> IF(DX227&lt;&gt;"",TEXT(AUX!EB$1,"dd-MMM-aa"),"")</f>
      </c>
      <c r="DY207" s="496" t="str">
        <f> IF(DY227&lt;&gt;"",TEXT(AUX!EC$1,"dd-MMM-aa"),"")</f>
      </c>
      <c r="DZ207" s="496" t="str">
        <f> IF(DZ227&lt;&gt;"",TEXT(AUX!ED$1,"dd-MMM-aa"),"")</f>
      </c>
      <c r="EA207" s="496" t="str">
        <f> IF(EA227&lt;&gt;"",TEXT(AUX!EE$1,"dd-MMM-aa"),"")</f>
      </c>
      <c r="EB207" s="496" t="str">
        <f> IF(EB227&lt;&gt;"",TEXT(AUX!EF$1,"dd-MMM-aa"),"")</f>
      </c>
      <c r="EC207" s="496" t="str">
        <f> IF(EC227&lt;&gt;"",TEXT(AUX!EG$1,"dd-MMM-aa"),"")</f>
      </c>
      <c r="ED207" s="496" t="str">
        <f> IF(ED227&lt;&gt;"",TEXT(AUX!EH$1,"dd-MMM-aa"),"")</f>
      </c>
      <c r="EE207" s="496" t="str">
        <f> IF(EE227&lt;&gt;"",TEXT(AUX!EI$1,"dd-MMM-aa"),"")</f>
      </c>
      <c r="EF207" s="496" t="str">
        <f> IF(EF227&lt;&gt;"",TEXT(AUX!EJ$1,"dd-MMM-aa"),"")</f>
      </c>
      <c r="EG207" s="496" t="str">
        <f> IF(EG227&lt;&gt;"",TEXT(AUX!EK$1,"dd-MMM-aa"),"")</f>
      </c>
      <c r="EH207" s="496" t="str">
        <f> IF(EH227&lt;&gt;"",TEXT(AUX!EL$1,"dd-MMM-aa"),"")</f>
      </c>
      <c r="EI207" s="496" t="str">
        <f> IF(EI227&lt;&gt;"",TEXT(AUX!EM$1,"dd-MMM-aa"),"")</f>
      </c>
      <c r="EJ207" s="496" t="str">
        <f> IF(EJ227&lt;&gt;"",TEXT(AUX!EN$1,"dd-MMM-aa"),"")</f>
      </c>
      <c r="EK207" s="496" t="str">
        <f> IF(EK227&lt;&gt;"",TEXT(AUX!EO$1,"dd-MMM-aa"),"")</f>
      </c>
      <c r="EL207" s="496" t="str">
        <f> IF(EL227&lt;&gt;"",TEXT(AUX!EP$1,"dd-MMM-aa"),"")</f>
      </c>
      <c r="EM207" s="496" t="str">
        <f> IF(EM227&lt;&gt;"",TEXT(AUX!EQ$1,"dd-MMM-aa"),"")</f>
      </c>
      <c r="EN207" s="496" t="str">
        <f> IF(EN227&lt;&gt;"",TEXT(AUX!ER$1,"dd-MMM-aa"),"")</f>
      </c>
      <c r="EO207" s="496" t="str">
        <f> IF(EO227&lt;&gt;"",TEXT(AUX!ES$1,"dd-MMM-aa"),"")</f>
      </c>
      <c r="EP207" s="496" t="str">
        <f> IF(EP227&lt;&gt;"",TEXT(AUX!ET$1,"dd-MMM-aa"),"")</f>
      </c>
      <c r="EQ207" s="496" t="str">
        <f> IF(EQ227&lt;&gt;"",TEXT(AUX!EU$1,"dd-MMM-aa"),"")</f>
      </c>
      <c r="ER207" s="496" t="str">
        <f> IF(ER227&lt;&gt;"",TEXT(AUX!EV$1,"dd-MMM-aa"),"")</f>
      </c>
      <c r="ES207" s="496" t="str">
        <f> IF(ES227&lt;&gt;"",TEXT(AUX!EW$1,"dd-MMM-aa"),"")</f>
      </c>
      <c r="ET207" s="496" t="str">
        <f> IF(ET227&lt;&gt;"",TEXT(AUX!EX$1,"dd-MMM-aa"),"")</f>
      </c>
      <c r="EU207" s="496" t="str">
        <f> IF(EU227&lt;&gt;"",TEXT(AUX!EY$1,"dd-MMM-aa"),"")</f>
      </c>
      <c r="EV207" s="496" t="str">
        <f> IF(EV227&lt;&gt;"",TEXT(AUX!EZ$1,"dd-MMM-aa"),"")</f>
      </c>
      <c r="EW207" s="496" t="str">
        <f> IF(EW227&lt;&gt;"",TEXT(AUX!FA$1,"dd-MMM-aa"),"")</f>
      </c>
      <c r="EX207" s="496" t="str">
        <f> IF(EX227&lt;&gt;"",TEXT(AUX!FB$1,"dd-MMM-aa"),"")</f>
      </c>
      <c r="EY207" s="496" t="str">
        <f> IF(EY227&lt;&gt;"",TEXT(AUX!FC$1,"dd-MMM-aa"),"")</f>
      </c>
      <c r="EZ207" s="496" t="str">
        <f> IF(EZ227&lt;&gt;"",TEXT(AUX!FD$1,"dd-MMM-aa"),"")</f>
      </c>
      <c r="FA207" s="496" t="str">
        <f> IF(FA227&lt;&gt;"",TEXT(AUX!FE$1,"dd-MMM-aa"),"")</f>
      </c>
      <c r="FB207" s="496" t="str">
        <f> IF(FB227&lt;&gt;"",TEXT(AUX!FF$1,"dd-MMM-aa"),"")</f>
      </c>
      <c r="FC207" s="496" t="str">
        <f> IF(FC227&lt;&gt;"",TEXT(AUX!FG$1,"dd-MMM-aa"),"")</f>
      </c>
      <c r="FD207" s="496" t="str">
        <f> IF(FD227&lt;&gt;"",TEXT(AUX!FH$1,"dd-MMM-aa"),"")</f>
      </c>
      <c r="FE207" s="496" t="str">
        <f> IF(FE227&lt;&gt;"",TEXT(AUX!FI$1,"dd-MMM-aa"),"")</f>
      </c>
      <c r="FF207" s="496" t="str">
        <f> IF(FF227&lt;&gt;"",TEXT(AUX!FJ$1,"dd-MMM-aa"),"")</f>
      </c>
      <c r="FG207" s="496" t="str">
        <f> IF(FG227&lt;&gt;"",TEXT(AUX!FK$1,"dd-MMM-aa"),"")</f>
      </c>
      <c r="FH207" s="496" t="str">
        <f> IF(FH227&lt;&gt;"",TEXT(AUX!FL$1,"dd-MMM-aa"),"")</f>
      </c>
      <c r="FI207" s="496" t="str">
        <f> IF(FI227&lt;&gt;"",TEXT(AUX!FM$1,"dd-MMM-aa"),"")</f>
      </c>
      <c r="FJ207" s="496" t="str">
        <f> IF(FJ227&lt;&gt;"",TEXT(AUX!FN$1,"dd-MMM-aa"),"")</f>
      </c>
      <c r="FK207" s="496" t="str">
        <f> IF(FK227&lt;&gt;"",TEXT(AUX!FO$1,"dd-MMM-aa"),"")</f>
      </c>
      <c r="FL207" s="496" t="str">
        <f> IF(FL227&lt;&gt;"",TEXT(AUX!FP$1,"dd-MMM-aa"),"")</f>
      </c>
      <c r="FM207" s="496" t="str">
        <f> IF(FM227&lt;&gt;"",TEXT(AUX!FQ$1,"dd-MMM-aa"),"")</f>
      </c>
      <c r="FN207" s="496" t="str">
        <f> IF(FN227&lt;&gt;"",TEXT(AUX!FR$1,"dd-MMM-aa"),"")</f>
      </c>
      <c r="FO207" s="496" t="str">
        <f> IF(FO227&lt;&gt;"",TEXT(AUX!FS$1,"dd-MMM-aa"),"")</f>
      </c>
      <c r="FP207" s="496" t="str">
        <f> IF(FP227&lt;&gt;"",TEXT(AUX!FT$1,"dd-MMM-aa"),"")</f>
      </c>
      <c r="FQ207" s="496" t="str">
        <f> IF(FQ227&lt;&gt;"",TEXT(AUX!FU$1,"dd-MMM-aa"),"")</f>
      </c>
      <c r="FR207" s="496" t="str">
        <f> IF(FR227&lt;&gt;"",TEXT(AUX!FV$1,"dd-MMM-aa"),"")</f>
      </c>
      <c r="FS207" s="496" t="str">
        <f> IF(FS227&lt;&gt;"",TEXT(AUX!FW$1,"dd-MMM-aa"),"")</f>
      </c>
      <c r="FT207" s="496" t="str">
        <f> IF(FT227&lt;&gt;"",TEXT(AUX!FX$1,"dd-MMM-aa"),"")</f>
      </c>
      <c r="FU207" s="496" t="str">
        <f> IF(FU227&lt;&gt;"",TEXT(AUX!FY$1,"dd-MMM-aa"),"")</f>
      </c>
      <c r="FV207" s="496" t="str">
        <f> IF(FV227&lt;&gt;"",TEXT(AUX!FZ$1,"dd-MMM-aa"),"")</f>
      </c>
      <c r="FW207" s="496" t="str">
        <f> IF(FW227&lt;&gt;"",TEXT(AUX!GA$1,"dd-MMM-aa"),"")</f>
      </c>
      <c r="FX207" s="496" t="str">
        <f> IF(FX227&lt;&gt;"",TEXT(AUX!GB$1,"dd-MMM-aa"),"")</f>
      </c>
      <c r="FY207" s="496" t="str">
        <f> IF(FY227&lt;&gt;"",TEXT(AUX!GC$1,"dd-MMM-aa"),"")</f>
      </c>
      <c r="FZ207" s="496" t="str">
        <f> IF(FZ227&lt;&gt;"",TEXT(AUX!GD$1,"dd-MMM-aa"),"")</f>
      </c>
      <c r="GA207" s="496" t="str">
        <f> IF(GA227&lt;&gt;"",TEXT(AUX!GE$1,"dd-MMM-aa"),"")</f>
      </c>
      <c r="GB207" s="496" t="str">
        <f> IF(GB227&lt;&gt;"",TEXT(AUX!GF$1,"dd-MMM-aa"),"")</f>
      </c>
      <c r="GC207" s="496" t="str">
        <f> IF(GC227&lt;&gt;"",TEXT(AUX!GG$1,"dd-MMM-aa"),"")</f>
      </c>
      <c r="GD207" s="496" t="str">
        <f> IF(GD227&lt;&gt;"",TEXT(AUX!GH$1,"dd-MMM-aa"),"")</f>
      </c>
      <c r="GE207" s="496" t="str">
        <f> IF(GE227&lt;&gt;"",TEXT(AUX!GI$1,"dd-MMM-aa"),"")</f>
      </c>
      <c r="GF207" s="496" t="str">
        <f> IF(GF227&lt;&gt;"",TEXT(AUX!GJ$1,"dd-MMM-aa"),"")</f>
      </c>
      <c r="GG207" s="496" t="str">
        <f> IF(GG227&lt;&gt;"",TEXT(AUX!GK$1,"dd-MMM-aa"),"")</f>
      </c>
      <c r="GH207" s="496" t="str">
        <f> IF(GH227&lt;&gt;"",TEXT(AUX!GL$1,"dd-MMM-aa"),"")</f>
      </c>
      <c r="GI207" s="496" t="str">
        <f> IF(GI227&lt;&gt;"",TEXT(AUX!GM$1,"dd-MMM-aa"),"")</f>
      </c>
      <c r="GJ207" s="496" t="str">
        <f> IF(GJ227&lt;&gt;"",TEXT(AUX!GN$1,"dd-MMM-aa"),"")</f>
      </c>
      <c r="GK207" s="496" t="str">
        <f> IF(GK227&lt;&gt;"",TEXT(AUX!GO$1,"dd-MMM-aa"),"")</f>
      </c>
      <c r="GL207" s="496" t="str">
        <f> IF(GL227&lt;&gt;"",TEXT(AUX!GP$1,"dd-MMM-aa"),"")</f>
      </c>
      <c r="GM207" s="496" t="str">
        <f> IF(GM227&lt;&gt;"",TEXT(AUX!GQ$1,"dd-MMM-aa"),"")</f>
      </c>
      <c r="GN207" s="496" t="str">
        <f> IF(GN227&lt;&gt;"",TEXT(AUX!GR$1,"dd-MMM-aa"),"")</f>
      </c>
      <c r="GO207" s="496" t="str">
        <f> IF(GO227&lt;&gt;"",TEXT(AUX!GS$1,"dd-MMM-aa"),"")</f>
      </c>
      <c r="GP207" s="496" t="str">
        <f> IF(GP227&lt;&gt;"",TEXT(AUX!GT$1,"dd-MMM-aa"),"")</f>
      </c>
      <c r="GQ207" s="496" t="str">
        <f> IF(GQ227&lt;&gt;"",TEXT(AUX!GU$1,"dd-MMM-aa"),"")</f>
      </c>
      <c r="GR207" s="496" t="str">
        <f> IF(GR227&lt;&gt;"",TEXT(AUX!GV$1,"dd-MMM-aa"),"")</f>
      </c>
      <c r="GS207" s="496" t="str">
        <f> IF(GS227&lt;&gt;"",TEXT(AUX!GW$1,"dd-MMM-aa"),"")</f>
      </c>
      <c r="GT207" s="496" t="str">
        <f> IF(GT227&lt;&gt;"",TEXT(AUX!GX$1,"dd-MMM-aa"),"")</f>
      </c>
      <c r="GU207" s="496" t="str">
        <f> IF(GU227&lt;&gt;"",TEXT(AUX!GY$1,"dd-MMM-aa"),"")</f>
      </c>
      <c r="GV207" s="496" t="str">
        <f> IF(GV227&lt;&gt;"",TEXT(AUX!GZ$1,"dd-MMM-aa"),"")</f>
      </c>
      <c r="GW207" s="496" t="str">
        <f> IF(GW227&lt;&gt;"",TEXT(AUX!HA$1,"dd-MMM-aa"),"")</f>
      </c>
      <c r="GX207" s="496" t="str">
        <f> IF(GX227&lt;&gt;"",TEXT(AUX!HB$1,"dd-MMM-aa"),"")</f>
      </c>
      <c r="GY207" s="496" t="str">
        <f> IF(GY227&lt;&gt;"",TEXT(AUX!HC$1,"dd-MMM-aa"),"")</f>
      </c>
      <c r="GZ207" s="496" t="str">
        <f> IF(GZ227&lt;&gt;"",TEXT(AUX!HD$1,"dd-MMM-aa"),"")</f>
      </c>
      <c r="HA207" s="496" t="str">
        <f> IF(HA227&lt;&gt;"",TEXT(AUX!HE$1,"dd-MMM-aa"),"")</f>
      </c>
      <c r="HB207" s="496" t="str">
        <f> IF(HB227&lt;&gt;"",TEXT(AUX!HF$1,"dd-MMM-aa"),"")</f>
      </c>
      <c r="HC207" s="496" t="str">
        <f> IF(HC227&lt;&gt;"",TEXT(AUX!HG$1,"dd-MMM-aa"),"")</f>
      </c>
      <c r="HD207" s="496" t="str">
        <f> IF(HD227&lt;&gt;"",TEXT(AUX!HH$1,"dd-MMM-aa"),"")</f>
      </c>
      <c r="HE207" s="496" t="str">
        <f> IF(HE227&lt;&gt;"",TEXT(AUX!HI$1,"dd-MMM-aa"),"")</f>
      </c>
      <c r="HF207" s="496" t="str">
        <f> IF(HF227&lt;&gt;"",TEXT(AUX!HJ$1,"dd-MMM-aa"),"")</f>
      </c>
      <c r="HG207" s="496" t="str">
        <f> IF(HG227&lt;&gt;"",TEXT(AUX!HK$1,"dd-MMM-aa"),"")</f>
      </c>
      <c r="HH207" s="496" t="str">
        <f> IF(HH227&lt;&gt;"",TEXT(AUX!HL$1,"dd-MMM-aa"),"")</f>
      </c>
      <c r="HI207" s="496" t="str">
        <f> IF(HI227&lt;&gt;"",TEXT(AUX!HM$1,"dd-MMM-aa"),"")</f>
      </c>
      <c r="HJ207" s="496" t="str">
        <f> IF(HJ227&lt;&gt;"",TEXT(AUX!HN$1,"dd-MMM-aa"),"")</f>
      </c>
      <c r="HK207" s="496" t="str">
        <f> IF(HK227&lt;&gt;"",TEXT(AUX!HO$1,"dd-MMM-aa"),"")</f>
      </c>
      <c r="HL207" s="496" t="str">
        <f> IF(HL227&lt;&gt;"",TEXT(AUX!HP$1,"dd-MMM-aa"),"")</f>
      </c>
      <c r="HM207" s="496" t="str">
        <f> IF(HM227&lt;&gt;"",TEXT(AUX!HQ$1,"dd-MMM-aa"),"")</f>
      </c>
      <c r="HN207" s="496" t="str">
        <f> IF(HN227&lt;&gt;"",TEXT(AUX!HR$1,"dd-MMM-aa"),"")</f>
      </c>
      <c r="HO207" s="496" t="str">
        <f> IF(HO227&lt;&gt;"",TEXT(AUX!HS$1,"dd-MMM-aa"),"")</f>
      </c>
      <c r="HP207" s="496" t="str">
        <f> IF(HP227&lt;&gt;"",TEXT(AUX!HT$1,"dd-MMM-aa"),"")</f>
      </c>
      <c r="HQ207" s="496" t="str">
        <f> IF(HQ227&lt;&gt;"",TEXT(AUX!HU$1,"dd-MMM-aa"),"")</f>
      </c>
      <c r="HR207" s="496" t="str">
        <f> IF(HR227&lt;&gt;"",TEXT(AUX!HV$1,"dd-MMM-aa"),"")</f>
      </c>
      <c r="HS207" s="496" t="str">
        <f> IF(HS227&lt;&gt;"",TEXT(AUX!HW$1,"dd-MMM-aa"),"")</f>
      </c>
      <c r="HT207" s="496" t="str">
        <f> IF(HT227&lt;&gt;"",TEXT(AUX!HX$1,"dd-MMM-aa"),"")</f>
      </c>
      <c r="HU207" s="496" t="str">
        <f> IF(HU227&lt;&gt;"",TEXT(AUX!HY$1,"dd-MMM-aa"),"")</f>
      </c>
      <c r="HV207" s="496" t="str">
        <f> IF(HV227&lt;&gt;"",TEXT(AUX!HZ$1,"dd-MMM-aa"),"")</f>
      </c>
      <c r="HW207" s="496" t="str">
        <f> IF(HW227&lt;&gt;"",TEXT(AUX!IA$1,"dd-MMM-aa"),"")</f>
      </c>
      <c r="HX207" s="496" t="str">
        <f> IF(HX227&lt;&gt;"",TEXT(AUX!IB$1,"dd-MMM-aa"),"")</f>
      </c>
      <c r="HY207" s="496" t="str">
        <f> IF(HY227&lt;&gt;"",TEXT(AUX!IC$1,"dd-MMM-aa"),"")</f>
      </c>
      <c r="HZ207" s="496" t="str">
        <f> IF(HZ227&lt;&gt;"",TEXT(AUX!ID$1,"dd-MMM-aa"),"")</f>
      </c>
      <c r="IA207" s="496" t="str">
        <f> IF(IA227&lt;&gt;"",TEXT(AUX!IE$1,"dd-MMM-aa"),"")</f>
      </c>
      <c r="IB207" s="496" t="str">
        <f> IF(IB227&lt;&gt;"",TEXT(AUX!IF$1,"dd-MMM-aa"),"")</f>
      </c>
      <c r="IC207" s="496" t="str">
        <f> IF(IC227&lt;&gt;"",TEXT(AUX!IG$1,"dd-MMM-aa"),"")</f>
      </c>
      <c r="ID207" s="496" t="str">
        <f> IF(ID227&lt;&gt;"",TEXT(AUX!IH$1,"dd-MMM-aa"),"")</f>
      </c>
      <c r="IE207" s="496" t="str">
        <f> IF(IE227&lt;&gt;"",TEXT(AUX!II$1,"dd-MMM-aa"),"")</f>
      </c>
      <c r="IF207" s="496" t="str">
        <f> IF(IF227&lt;&gt;"",TEXT(AUX!IJ$1,"dd-MMM-aa"),"")</f>
      </c>
      <c r="IG207" s="496" t="str">
        <f> IF(IG227&lt;&gt;"",TEXT(AUX!IK$1,"dd-MMM-aa"),"")</f>
      </c>
      <c r="IH207" s="496" t="str">
        <f> IF(IH227&lt;&gt;"",TEXT(AUX!IL$1,"dd-MMM-aa"),"")</f>
      </c>
      <c r="II207" s="496" t="str">
        <f> IF(II227&lt;&gt;"",TEXT(AUX!IM$1,"dd-MMM-aa"),"")</f>
      </c>
      <c r="IJ207" s="496" t="str">
        <f> IF(IJ227&lt;&gt;"",TEXT(AUX!IN$1,"dd-MMM-aa"),"")</f>
      </c>
      <c r="IK207" s="496" t="str">
        <f> IF(IK227&lt;&gt;"",TEXT(AUX!IO$1,"dd-MMM-aa"),"")</f>
      </c>
      <c r="IL207" s="496" t="str">
        <f> IF(IL227&lt;&gt;"",TEXT(AUX!IP$1,"dd-MMM-aa"),"")</f>
      </c>
      <c r="IM207" s="496" t="str">
        <f> IF(IM227&lt;&gt;"",TEXT(AUX!IQ$1,"dd-MMM-aa"),"")</f>
      </c>
      <c r="IN207" s="496" t="str">
        <f> IF(IN227&lt;&gt;"",TEXT(AUX!IR$1,"dd-MMM-aa"),"")</f>
      </c>
      <c r="IO207" s="496" t="str">
        <f> IF(IO227&lt;&gt;"",TEXT(AUX!IS$1,"dd-MMM-aa"),"")</f>
      </c>
      <c r="IP207" s="496" t="str">
        <f> IF(IP227&lt;&gt;"",TEXT(AUX!IT$1,"dd-MMM-aa"),"")</f>
      </c>
      <c r="IQ207" s="496" t="str">
        <f> IF(IQ227&lt;&gt;"",TEXT(AUX!IU$1,"dd-MMM-aa"),"")</f>
      </c>
      <c r="IR207" s="496" t="str">
        <f> IF(IR227&lt;&gt;"",TEXT(AUX!IV$1,"dd-MMM-aa"),"")</f>
      </c>
      <c r="IS207" s="496" t="str">
        <f> IF(IS227&lt;&gt;"",TEXT(AUX!#REF!,"dd-MMM-aa"),"")</f>
      </c>
      <c r="IT207" s="496" t="str">
        <f> IF(IT227&lt;&gt;"",TEXT(AUX!#REF!,"dd-MMM-aa"),"")</f>
      </c>
      <c r="IU207" s="496" t="str">
        <f> IF(IU227&lt;&gt;"",TEXT(AUX!#REF!,"dd-MMM-aa"),"")</f>
      </c>
      <c r="IV207" s="496" t="str">
        <f> IF(IV227&lt;&gt;"",TEXT(AUX!#REF!,"dd-MMM-aa"),"")</f>
      </c>
    </row>
    <row r="208" hidden="1">
      <c r="B208" s="822" t="s">
        <v>8</v>
      </c>
      <c r="C208" s="823">
        <v>35</v>
      </c>
      <c r="D208" s="823">
        <v>36</v>
      </c>
      <c r="E208" s="823">
        <v>34</v>
      </c>
      <c r="F208" s="823">
        <v>33</v>
      </c>
      <c r="G208" s="823">
        <v>28</v>
      </c>
      <c r="H208" s="823">
        <v>28</v>
      </c>
      <c r="I208" s="823">
        <v>28</v>
      </c>
      <c r="J208" s="823">
        <v>29</v>
      </c>
      <c r="K208" s="823">
        <v>28</v>
      </c>
      <c r="L208" s="823">
        <v>27</v>
      </c>
      <c r="M208" s="823">
        <v>29</v>
      </c>
      <c r="N208" s="823">
        <v>29</v>
      </c>
      <c r="O208" s="823">
        <v>33</v>
      </c>
      <c r="P208" s="823">
        <v>33</v>
      </c>
      <c r="Q208" s="823">
        <v>33</v>
      </c>
      <c r="R208" s="823">
        <v>32</v>
      </c>
      <c r="S208" s="823">
        <v>31</v>
      </c>
      <c r="T208" s="823">
        <v>33</v>
      </c>
      <c r="U208" s="823">
        <v>32</v>
      </c>
      <c r="V208" s="823">
        <v>33</v>
      </c>
      <c r="W208" s="823">
        <v>33</v>
      </c>
      <c r="X208" s="823">
        <v>32</v>
      </c>
      <c r="Y208" s="823">
        <v>32</v>
      </c>
      <c r="Z208" s="823">
        <v>31</v>
      </c>
      <c r="AA208" s="823">
        <v>32</v>
      </c>
      <c r="AB208" s="824">
        <v>33</v>
      </c>
      <c r="AC208" s="825">
        <v>34</v>
      </c>
      <c r="AD208" s="825">
        <v>28</v>
      </c>
      <c r="AE208" s="825">
        <v>26</v>
      </c>
      <c r="AF208" s="825">
        <v>26</v>
      </c>
      <c r="AG208" s="825">
        <v>26</v>
      </c>
      <c r="AH208" s="825">
        <v>25</v>
      </c>
      <c r="AI208" s="825">
        <v>25</v>
      </c>
      <c r="AJ208" s="825">
        <v>25</v>
      </c>
      <c r="AK208" s="825">
        <v>14</v>
      </c>
      <c r="AL208" s="825">
        <v>12</v>
      </c>
      <c r="AM208" s="825">
        <v>12</v>
      </c>
      <c r="AN208" s="825">
        <v>12</v>
      </c>
      <c r="AO208" s="825">
        <v>11</v>
      </c>
      <c r="AP208" s="825">
        <v>11</v>
      </c>
    </row>
    <row r="209" hidden="1">
      <c r="B209" s="826" t="s">
        <v>9</v>
      </c>
      <c r="C209" s="827">
        <v>29</v>
      </c>
      <c r="D209" s="827">
        <v>17</v>
      </c>
      <c r="E209" s="827">
        <v>17</v>
      </c>
      <c r="F209" s="827">
        <v>15</v>
      </c>
      <c r="G209" s="827">
        <v>16</v>
      </c>
      <c r="H209" s="827">
        <v>16</v>
      </c>
      <c r="I209" s="827">
        <v>15</v>
      </c>
      <c r="J209" s="827">
        <v>15</v>
      </c>
      <c r="K209" s="827">
        <v>15</v>
      </c>
      <c r="L209" s="827">
        <v>14</v>
      </c>
      <c r="M209" s="827">
        <v>15</v>
      </c>
      <c r="N209" s="827">
        <v>15</v>
      </c>
      <c r="O209" s="827">
        <v>15</v>
      </c>
      <c r="P209" s="827">
        <v>15</v>
      </c>
      <c r="Q209" s="827">
        <v>16</v>
      </c>
      <c r="R209" s="827">
        <v>17</v>
      </c>
      <c r="S209" s="827">
        <v>17</v>
      </c>
      <c r="T209" s="827">
        <v>17</v>
      </c>
      <c r="U209" s="827">
        <v>17</v>
      </c>
      <c r="V209" s="827">
        <v>16</v>
      </c>
      <c r="W209" s="827">
        <v>16</v>
      </c>
      <c r="X209" s="827">
        <v>16</v>
      </c>
      <c r="Y209" s="827">
        <v>16</v>
      </c>
      <c r="Z209" s="827">
        <v>18</v>
      </c>
      <c r="AA209" s="827">
        <v>20</v>
      </c>
      <c r="AB209" s="827">
        <v>22</v>
      </c>
      <c r="AC209" s="828">
        <v>23</v>
      </c>
      <c r="AD209" s="828">
        <v>23</v>
      </c>
      <c r="AE209" s="828">
        <v>23</v>
      </c>
      <c r="AF209" s="828">
        <v>24</v>
      </c>
      <c r="AG209" s="828">
        <v>23</v>
      </c>
      <c r="AH209" s="828">
        <v>23</v>
      </c>
      <c r="AI209" s="828">
        <v>20</v>
      </c>
      <c r="AJ209" s="828">
        <v>18</v>
      </c>
      <c r="AK209" s="828">
        <v>17</v>
      </c>
      <c r="AL209" s="828">
        <v>17</v>
      </c>
      <c r="AM209" s="828">
        <v>17</v>
      </c>
      <c r="AN209" s="828">
        <v>17</v>
      </c>
      <c r="AO209" s="828">
        <v>18</v>
      </c>
      <c r="AP209" s="828">
        <v>19</v>
      </c>
    </row>
    <row r="210" hidden="1">
      <c r="B210" s="829" t="s">
        <v>10</v>
      </c>
      <c r="C210" s="823">
        <v>0</v>
      </c>
      <c r="D210" s="823">
        <v>0</v>
      </c>
      <c r="E210" s="823">
        <v>0</v>
      </c>
      <c r="F210" s="823">
        <v>0</v>
      </c>
      <c r="G210" s="823">
        <v>0</v>
      </c>
      <c r="H210" s="823">
        <v>0</v>
      </c>
      <c r="I210" s="823">
        <v>0</v>
      </c>
      <c r="J210" s="823">
        <v>0</v>
      </c>
      <c r="K210" s="823">
        <v>0</v>
      </c>
      <c r="L210" s="823">
        <v>0</v>
      </c>
      <c r="M210" s="823">
        <v>0</v>
      </c>
      <c r="N210" s="823">
        <v>0</v>
      </c>
      <c r="O210" s="823">
        <v>0</v>
      </c>
      <c r="P210" s="823">
        <v>0</v>
      </c>
      <c r="Q210" s="823">
        <v>0</v>
      </c>
      <c r="R210" s="823">
        <v>0</v>
      </c>
      <c r="S210" s="823">
        <v>0</v>
      </c>
      <c r="T210" s="823">
        <v>0</v>
      </c>
      <c r="U210" s="823">
        <v>0</v>
      </c>
      <c r="V210" s="823">
        <v>0</v>
      </c>
      <c r="W210" s="823">
        <v>0</v>
      </c>
      <c r="X210" s="823">
        <v>0</v>
      </c>
      <c r="Y210" s="823">
        <v>0</v>
      </c>
      <c r="Z210" s="823">
        <v>0</v>
      </c>
      <c r="AA210" s="823">
        <v>0</v>
      </c>
      <c r="AB210" s="823">
        <v>0</v>
      </c>
      <c r="AC210" s="825">
        <v>0</v>
      </c>
      <c r="AD210" s="825">
        <v>0</v>
      </c>
      <c r="AE210" s="825">
        <v>0</v>
      </c>
      <c r="AF210" s="825">
        <v>0</v>
      </c>
      <c r="AG210" s="825">
        <v>0</v>
      </c>
      <c r="AH210" s="825">
        <v>0</v>
      </c>
      <c r="AI210" s="825">
        <v>0</v>
      </c>
      <c r="AJ210" s="825">
        <v>0</v>
      </c>
      <c r="AK210" s="825">
        <v>0</v>
      </c>
      <c r="AL210" s="825">
        <v>0</v>
      </c>
      <c r="AM210" s="825">
        <v>0</v>
      </c>
      <c r="AN210" s="825">
        <v>0</v>
      </c>
      <c r="AO210" s="825">
        <v>0</v>
      </c>
      <c r="AP210" s="825">
        <v>0</v>
      </c>
    </row>
    <row r="211" hidden="1">
      <c r="B211" s="826" t="s">
        <v>11</v>
      </c>
      <c r="C211" s="827">
        <v>13</v>
      </c>
      <c r="D211" s="827">
        <v>15</v>
      </c>
      <c r="E211" s="827">
        <v>18</v>
      </c>
      <c r="F211" s="827">
        <v>20</v>
      </c>
      <c r="G211" s="827">
        <v>3</v>
      </c>
      <c r="H211" s="827">
        <v>7</v>
      </c>
      <c r="I211" s="827">
        <v>5</v>
      </c>
      <c r="J211" s="827">
        <v>1</v>
      </c>
      <c r="K211" s="827">
        <v>0</v>
      </c>
      <c r="L211" s="827">
        <v>1</v>
      </c>
      <c r="M211" s="827">
        <v>0</v>
      </c>
      <c r="N211" s="827">
        <v>0</v>
      </c>
      <c r="O211" s="827">
        <v>1</v>
      </c>
      <c r="P211" s="827">
        <v>1</v>
      </c>
      <c r="Q211" s="827">
        <v>1</v>
      </c>
      <c r="R211" s="827">
        <v>2</v>
      </c>
      <c r="S211" s="827">
        <v>2</v>
      </c>
      <c r="T211" s="827">
        <v>2</v>
      </c>
      <c r="U211" s="827">
        <v>3</v>
      </c>
      <c r="V211" s="827">
        <v>2</v>
      </c>
      <c r="W211" s="827">
        <v>3</v>
      </c>
      <c r="X211" s="827">
        <v>3</v>
      </c>
      <c r="Y211" s="827">
        <v>3</v>
      </c>
      <c r="Z211" s="827">
        <v>3</v>
      </c>
      <c r="AA211" s="827">
        <v>3</v>
      </c>
      <c r="AB211" s="827">
        <v>3</v>
      </c>
      <c r="AC211" s="828">
        <v>1</v>
      </c>
      <c r="AD211" s="828">
        <v>1</v>
      </c>
      <c r="AE211" s="828">
        <v>1</v>
      </c>
      <c r="AF211" s="828">
        <v>1</v>
      </c>
      <c r="AG211" s="828">
        <v>1</v>
      </c>
      <c r="AH211" s="828">
        <v>1</v>
      </c>
      <c r="AI211" s="828">
        <v>1</v>
      </c>
      <c r="AJ211" s="828">
        <v>0</v>
      </c>
      <c r="AK211" s="828">
        <v>0</v>
      </c>
      <c r="AL211" s="828">
        <v>0</v>
      </c>
      <c r="AM211" s="828">
        <v>0</v>
      </c>
      <c r="AN211" s="828">
        <v>0</v>
      </c>
      <c r="AO211" s="828">
        <v>0</v>
      </c>
      <c r="AP211" s="828">
        <v>0</v>
      </c>
    </row>
    <row r="212" hidden="1">
      <c r="B212" s="829" t="s">
        <v>12</v>
      </c>
      <c r="C212" s="823">
        <v>3</v>
      </c>
      <c r="D212" s="823">
        <v>2</v>
      </c>
      <c r="E212" s="823">
        <v>1</v>
      </c>
      <c r="F212" s="823">
        <v>1</v>
      </c>
      <c r="G212" s="823">
        <v>0</v>
      </c>
      <c r="H212" s="823">
        <v>0</v>
      </c>
      <c r="I212" s="823">
        <v>7</v>
      </c>
      <c r="J212" s="823">
        <v>7</v>
      </c>
      <c r="K212" s="823">
        <v>7</v>
      </c>
      <c r="L212" s="823">
        <v>8</v>
      </c>
      <c r="M212" s="823">
        <v>8</v>
      </c>
      <c r="N212" s="823">
        <v>9</v>
      </c>
      <c r="O212" s="823">
        <v>7</v>
      </c>
      <c r="P212" s="823">
        <v>7</v>
      </c>
      <c r="Q212" s="823">
        <v>7</v>
      </c>
      <c r="R212" s="823">
        <v>8</v>
      </c>
      <c r="S212" s="823">
        <v>6</v>
      </c>
      <c r="T212" s="823">
        <v>7</v>
      </c>
      <c r="U212" s="823">
        <v>8</v>
      </c>
      <c r="V212" s="823">
        <v>8</v>
      </c>
      <c r="W212" s="823">
        <v>9</v>
      </c>
      <c r="X212" s="823">
        <v>8</v>
      </c>
      <c r="Y212" s="823">
        <v>8</v>
      </c>
      <c r="Z212" s="823">
        <v>6</v>
      </c>
      <c r="AA212" s="823">
        <v>5</v>
      </c>
      <c r="AB212" s="823">
        <v>4</v>
      </c>
      <c r="AC212" s="825">
        <v>6</v>
      </c>
      <c r="AD212" s="825">
        <v>9</v>
      </c>
      <c r="AE212" s="825">
        <v>10</v>
      </c>
      <c r="AF212" s="825">
        <v>9</v>
      </c>
      <c r="AG212" s="825">
        <v>9</v>
      </c>
      <c r="AH212" s="825">
        <v>9</v>
      </c>
      <c r="AI212" s="825">
        <v>9</v>
      </c>
      <c r="AJ212" s="825">
        <v>9</v>
      </c>
      <c r="AK212" s="825">
        <v>9</v>
      </c>
      <c r="AL212" s="825">
        <v>9</v>
      </c>
      <c r="AM212" s="825">
        <v>9</v>
      </c>
      <c r="AN212" s="825">
        <v>9</v>
      </c>
      <c r="AO212" s="825">
        <v>9</v>
      </c>
      <c r="AP212" s="825">
        <v>9</v>
      </c>
    </row>
    <row r="213" hidden="1">
      <c r="B213" s="826" t="s">
        <v>13</v>
      </c>
      <c r="C213" s="827">
        <v>0</v>
      </c>
      <c r="D213" s="827">
        <v>0</v>
      </c>
      <c r="E213" s="827">
        <v>1</v>
      </c>
      <c r="F213" s="827">
        <v>5</v>
      </c>
      <c r="G213" s="827">
        <v>6</v>
      </c>
      <c r="H213" s="827">
        <v>8</v>
      </c>
      <c r="I213" s="827">
        <v>8</v>
      </c>
      <c r="J213" s="827">
        <v>9</v>
      </c>
      <c r="K213" s="827">
        <v>10</v>
      </c>
      <c r="L213" s="827">
        <v>10</v>
      </c>
      <c r="M213" s="827">
        <v>0</v>
      </c>
      <c r="N213" s="827">
        <v>0</v>
      </c>
      <c r="O213" s="827">
        <v>0</v>
      </c>
      <c r="P213" s="827">
        <v>0</v>
      </c>
      <c r="Q213" s="827">
        <v>0</v>
      </c>
      <c r="R213" s="827">
        <v>0</v>
      </c>
      <c r="S213" s="827">
        <v>0</v>
      </c>
      <c r="T213" s="827">
        <v>0</v>
      </c>
      <c r="U213" s="827">
        <v>0</v>
      </c>
      <c r="V213" s="827">
        <v>0</v>
      </c>
      <c r="W213" s="827">
        <v>0</v>
      </c>
      <c r="X213" s="827">
        <v>0</v>
      </c>
      <c r="Y213" s="827">
        <v>1</v>
      </c>
      <c r="Z213" s="827">
        <v>1</v>
      </c>
      <c r="AA213" s="827">
        <v>1</v>
      </c>
      <c r="AB213" s="827">
        <v>1</v>
      </c>
      <c r="AC213" s="828">
        <v>1</v>
      </c>
      <c r="AD213" s="828">
        <v>1</v>
      </c>
      <c r="AE213" s="828">
        <v>1</v>
      </c>
      <c r="AF213" s="828">
        <v>1</v>
      </c>
      <c r="AG213" s="828">
        <v>1</v>
      </c>
      <c r="AH213" s="828">
        <v>1</v>
      </c>
      <c r="AI213" s="828">
        <v>0</v>
      </c>
      <c r="AJ213" s="828">
        <v>1</v>
      </c>
      <c r="AK213" s="828">
        <v>1</v>
      </c>
      <c r="AL213" s="828">
        <v>1</v>
      </c>
      <c r="AM213" s="828">
        <v>1</v>
      </c>
      <c r="AN213" s="828">
        <v>2</v>
      </c>
      <c r="AO213" s="828">
        <v>2</v>
      </c>
      <c r="AP213" s="828">
        <v>2</v>
      </c>
    </row>
    <row r="214" hidden="1">
      <c r="B214" s="829" t="s">
        <v>109</v>
      </c>
      <c r="C214" s="823">
        <v>9</v>
      </c>
      <c r="D214" s="823">
        <v>8</v>
      </c>
      <c r="E214" s="823">
        <v>8</v>
      </c>
      <c r="F214" s="823">
        <v>8</v>
      </c>
      <c r="G214" s="823">
        <v>7</v>
      </c>
      <c r="H214" s="823">
        <v>7</v>
      </c>
      <c r="I214" s="823">
        <v>7</v>
      </c>
      <c r="J214" s="823">
        <v>8</v>
      </c>
      <c r="K214" s="823">
        <v>7</v>
      </c>
      <c r="L214" s="823">
        <v>7</v>
      </c>
      <c r="M214" s="823">
        <v>7</v>
      </c>
      <c r="N214" s="823">
        <v>7</v>
      </c>
      <c r="O214" s="823">
        <v>9</v>
      </c>
      <c r="P214" s="823">
        <v>10</v>
      </c>
      <c r="Q214" s="823">
        <v>9</v>
      </c>
      <c r="R214" s="823">
        <v>8</v>
      </c>
      <c r="S214" s="823">
        <v>8</v>
      </c>
      <c r="T214" s="823">
        <v>8</v>
      </c>
      <c r="U214" s="823">
        <v>9</v>
      </c>
      <c r="V214" s="823">
        <v>9</v>
      </c>
      <c r="W214" s="823">
        <v>9</v>
      </c>
      <c r="X214" s="823">
        <v>9</v>
      </c>
      <c r="Y214" s="823">
        <v>9</v>
      </c>
      <c r="Z214" s="823">
        <v>10</v>
      </c>
      <c r="AA214" s="823">
        <v>10</v>
      </c>
      <c r="AB214" s="823">
        <v>11</v>
      </c>
      <c r="AC214" s="825">
        <v>12</v>
      </c>
      <c r="AD214" s="825">
        <v>13</v>
      </c>
      <c r="AE214" s="825">
        <v>13</v>
      </c>
      <c r="AF214" s="825">
        <v>13</v>
      </c>
      <c r="AG214" s="825">
        <v>12</v>
      </c>
      <c r="AH214" s="825">
        <v>12</v>
      </c>
      <c r="AI214" s="825">
        <v>11</v>
      </c>
      <c r="AJ214" s="825">
        <v>11</v>
      </c>
      <c r="AK214" s="825">
        <v>11</v>
      </c>
      <c r="AL214" s="825">
        <v>11</v>
      </c>
      <c r="AM214" s="825">
        <v>11</v>
      </c>
      <c r="AN214" s="825">
        <v>11</v>
      </c>
      <c r="AO214" s="825">
        <v>11</v>
      </c>
      <c r="AP214" s="825">
        <v>11</v>
      </c>
    </row>
    <row r="215" hidden="1">
      <c r="B215" s="826" t="s">
        <v>110</v>
      </c>
      <c r="C215" s="827">
        <v>21</v>
      </c>
      <c r="D215" s="827">
        <v>38</v>
      </c>
      <c r="E215" s="827">
        <v>34</v>
      </c>
      <c r="F215" s="827">
        <v>34</v>
      </c>
      <c r="G215" s="827">
        <v>31</v>
      </c>
      <c r="H215" s="827">
        <v>20</v>
      </c>
      <c r="I215" s="827">
        <v>18</v>
      </c>
      <c r="J215" s="827">
        <v>17</v>
      </c>
      <c r="K215" s="827">
        <v>10</v>
      </c>
      <c r="L215" s="827">
        <v>10</v>
      </c>
      <c r="M215" s="827">
        <v>11</v>
      </c>
      <c r="N215" s="827">
        <v>5</v>
      </c>
      <c r="O215" s="827">
        <v>6</v>
      </c>
      <c r="P215" s="827">
        <v>6</v>
      </c>
      <c r="Q215" s="827">
        <v>6</v>
      </c>
      <c r="R215" s="827">
        <v>12</v>
      </c>
      <c r="S215" s="827">
        <v>12</v>
      </c>
      <c r="T215" s="827">
        <v>9</v>
      </c>
      <c r="U215" s="827">
        <v>12</v>
      </c>
      <c r="V215" s="827">
        <v>12</v>
      </c>
      <c r="W215" s="827">
        <v>11</v>
      </c>
      <c r="X215" s="827">
        <v>12</v>
      </c>
      <c r="Y215" s="827">
        <v>12</v>
      </c>
      <c r="Z215" s="827">
        <v>12</v>
      </c>
      <c r="AA215" s="827">
        <v>6</v>
      </c>
      <c r="AB215" s="827">
        <v>6</v>
      </c>
      <c r="AC215" s="828">
        <v>6</v>
      </c>
      <c r="AD215" s="828">
        <v>7</v>
      </c>
      <c r="AE215" s="828">
        <v>6</v>
      </c>
      <c r="AF215" s="828">
        <v>7</v>
      </c>
      <c r="AG215" s="828">
        <v>7</v>
      </c>
      <c r="AH215" s="828">
        <v>6</v>
      </c>
      <c r="AI215" s="828">
        <v>5</v>
      </c>
      <c r="AJ215" s="828">
        <v>4</v>
      </c>
      <c r="AK215" s="828">
        <v>4</v>
      </c>
      <c r="AL215" s="828">
        <v>4</v>
      </c>
      <c r="AM215" s="828">
        <v>5</v>
      </c>
      <c r="AN215" s="828">
        <v>5</v>
      </c>
      <c r="AO215" s="828">
        <v>5</v>
      </c>
      <c r="AP215" s="828">
        <v>5</v>
      </c>
    </row>
    <row r="216" hidden="1">
      <c r="B216" s="829" t="s">
        <v>16</v>
      </c>
      <c r="C216" s="823">
        <v>116</v>
      </c>
      <c r="D216" s="823">
        <v>111</v>
      </c>
      <c r="E216" s="823">
        <v>111</v>
      </c>
      <c r="F216" s="823">
        <v>116</v>
      </c>
      <c r="G216" s="823">
        <v>113</v>
      </c>
      <c r="H216" s="823">
        <v>108</v>
      </c>
      <c r="I216" s="823">
        <v>102</v>
      </c>
      <c r="J216" s="823">
        <v>104</v>
      </c>
      <c r="K216" s="823">
        <v>101</v>
      </c>
      <c r="L216" s="823">
        <v>102</v>
      </c>
      <c r="M216" s="823">
        <v>102</v>
      </c>
      <c r="N216" s="823">
        <v>97</v>
      </c>
      <c r="O216" s="823">
        <v>96</v>
      </c>
      <c r="P216" s="823">
        <v>97</v>
      </c>
      <c r="Q216" s="823">
        <v>109</v>
      </c>
      <c r="R216" s="823">
        <v>96</v>
      </c>
      <c r="S216" s="823">
        <v>104</v>
      </c>
      <c r="T216" s="823">
        <v>103</v>
      </c>
      <c r="U216" s="823">
        <v>102</v>
      </c>
      <c r="V216" s="823">
        <v>102</v>
      </c>
      <c r="W216" s="823">
        <v>100</v>
      </c>
      <c r="X216" s="823">
        <v>69</v>
      </c>
      <c r="Y216" s="823">
        <v>64</v>
      </c>
      <c r="Z216" s="823">
        <v>65</v>
      </c>
      <c r="AA216" s="823">
        <v>68</v>
      </c>
      <c r="AB216" s="823">
        <v>66</v>
      </c>
      <c r="AC216" s="825">
        <v>68</v>
      </c>
      <c r="AD216" s="825">
        <v>63</v>
      </c>
      <c r="AE216" s="825">
        <v>62</v>
      </c>
      <c r="AF216" s="825">
        <v>62</v>
      </c>
      <c r="AG216" s="825">
        <v>62</v>
      </c>
      <c r="AH216" s="825">
        <v>61</v>
      </c>
      <c r="AI216" s="825">
        <v>60</v>
      </c>
      <c r="AJ216" s="825">
        <v>59</v>
      </c>
      <c r="AK216" s="825">
        <v>60</v>
      </c>
      <c r="AL216" s="825">
        <v>59</v>
      </c>
      <c r="AM216" s="825">
        <v>60</v>
      </c>
      <c r="AN216" s="825">
        <v>60</v>
      </c>
      <c r="AO216" s="825">
        <v>60</v>
      </c>
      <c r="AP216" s="825">
        <v>57</v>
      </c>
    </row>
    <row r="217" hidden="1">
      <c r="B217" s="826" t="s">
        <v>17</v>
      </c>
      <c r="C217" s="827">
        <v>0</v>
      </c>
      <c r="D217" s="827">
        <v>0</v>
      </c>
      <c r="E217" s="827">
        <v>0</v>
      </c>
      <c r="F217" s="827">
        <v>0</v>
      </c>
      <c r="G217" s="827">
        <v>0</v>
      </c>
      <c r="H217" s="827">
        <v>0</v>
      </c>
      <c r="I217" s="827">
        <v>0</v>
      </c>
      <c r="J217" s="827">
        <v>0</v>
      </c>
      <c r="K217" s="827">
        <v>0</v>
      </c>
      <c r="L217" s="827">
        <v>0</v>
      </c>
      <c r="M217" s="827">
        <v>0</v>
      </c>
      <c r="N217" s="827">
        <v>0</v>
      </c>
      <c r="O217" s="827">
        <v>1</v>
      </c>
      <c r="P217" s="827">
        <v>0</v>
      </c>
      <c r="Q217" s="827">
        <v>0</v>
      </c>
      <c r="R217" s="827">
        <v>0</v>
      </c>
      <c r="S217" s="827">
        <v>1</v>
      </c>
      <c r="T217" s="827">
        <v>1</v>
      </c>
      <c r="U217" s="827">
        <v>1</v>
      </c>
      <c r="V217" s="827">
        <v>3</v>
      </c>
      <c r="W217" s="827">
        <v>4</v>
      </c>
      <c r="X217" s="827">
        <v>3</v>
      </c>
      <c r="Y217" s="827">
        <v>4</v>
      </c>
      <c r="Z217" s="827">
        <v>5</v>
      </c>
      <c r="AA217" s="827">
        <v>5</v>
      </c>
      <c r="AB217" s="827">
        <v>5</v>
      </c>
      <c r="AC217" s="828">
        <v>5</v>
      </c>
      <c r="AD217" s="828">
        <v>4</v>
      </c>
      <c r="AE217" s="828">
        <v>4</v>
      </c>
      <c r="AF217" s="828">
        <v>4</v>
      </c>
      <c r="AG217" s="828">
        <v>2</v>
      </c>
      <c r="AH217" s="828">
        <v>2</v>
      </c>
      <c r="AI217" s="828">
        <v>2</v>
      </c>
      <c r="AJ217" s="828">
        <v>1</v>
      </c>
      <c r="AK217" s="828">
        <v>1</v>
      </c>
      <c r="AL217" s="828">
        <v>1</v>
      </c>
      <c r="AM217" s="828">
        <v>1</v>
      </c>
      <c r="AN217" s="828">
        <v>1</v>
      </c>
      <c r="AO217" s="828">
        <v>1</v>
      </c>
      <c r="AP217" s="828">
        <v>1</v>
      </c>
    </row>
    <row r="218" hidden="1">
      <c r="B218" s="829" t="s">
        <v>18</v>
      </c>
      <c r="C218" s="823">
        <v>12</v>
      </c>
      <c r="D218" s="823">
        <v>65</v>
      </c>
      <c r="E218" s="823">
        <v>64</v>
      </c>
      <c r="F218" s="823">
        <v>66</v>
      </c>
      <c r="G218" s="823">
        <v>68</v>
      </c>
      <c r="H218" s="823">
        <v>64</v>
      </c>
      <c r="I218" s="823">
        <v>63</v>
      </c>
      <c r="J218" s="823">
        <v>65</v>
      </c>
      <c r="K218" s="823">
        <v>65</v>
      </c>
      <c r="L218" s="823">
        <v>62</v>
      </c>
      <c r="M218" s="823">
        <v>69</v>
      </c>
      <c r="N218" s="823">
        <v>66</v>
      </c>
      <c r="O218" s="823">
        <v>70</v>
      </c>
      <c r="P218" s="823">
        <v>70</v>
      </c>
      <c r="Q218" s="823">
        <v>67</v>
      </c>
      <c r="R218" s="823">
        <v>67</v>
      </c>
      <c r="S218" s="823">
        <v>78</v>
      </c>
      <c r="T218" s="823">
        <v>78</v>
      </c>
      <c r="U218" s="823">
        <v>74</v>
      </c>
      <c r="V218" s="823">
        <v>75</v>
      </c>
      <c r="W218" s="823">
        <v>71</v>
      </c>
      <c r="X218" s="823">
        <v>73</v>
      </c>
      <c r="Y218" s="823">
        <v>70</v>
      </c>
      <c r="Z218" s="823">
        <v>74</v>
      </c>
      <c r="AA218" s="823">
        <v>71</v>
      </c>
      <c r="AB218" s="823">
        <v>77</v>
      </c>
      <c r="AC218" s="825">
        <v>74</v>
      </c>
      <c r="AD218" s="825">
        <v>73</v>
      </c>
      <c r="AE218" s="825">
        <v>74</v>
      </c>
      <c r="AF218" s="825">
        <v>73</v>
      </c>
      <c r="AG218" s="825">
        <v>75</v>
      </c>
      <c r="AH218" s="825">
        <v>75</v>
      </c>
      <c r="AI218" s="825">
        <v>67</v>
      </c>
      <c r="AJ218" s="825">
        <v>18</v>
      </c>
      <c r="AK218" s="825">
        <v>18</v>
      </c>
      <c r="AL218" s="825">
        <v>19</v>
      </c>
      <c r="AM218" s="825">
        <v>19</v>
      </c>
      <c r="AN218" s="825">
        <v>19</v>
      </c>
      <c r="AO218" s="825">
        <v>18</v>
      </c>
      <c r="AP218" s="825">
        <v>17</v>
      </c>
    </row>
    <row r="219" hidden="1">
      <c r="B219" s="826" t="s">
        <v>19</v>
      </c>
      <c r="C219" s="827">
        <v>1</v>
      </c>
      <c r="D219" s="827">
        <v>0</v>
      </c>
      <c r="E219" s="827">
        <v>1</v>
      </c>
      <c r="F219" s="827">
        <v>1</v>
      </c>
      <c r="G219" s="827">
        <v>1</v>
      </c>
      <c r="H219" s="827">
        <v>1</v>
      </c>
      <c r="I219" s="827">
        <v>1</v>
      </c>
      <c r="J219" s="827">
        <v>1</v>
      </c>
      <c r="K219" s="827">
        <v>1</v>
      </c>
      <c r="L219" s="827">
        <v>5</v>
      </c>
      <c r="M219" s="827">
        <v>1</v>
      </c>
      <c r="N219" s="827">
        <v>1</v>
      </c>
      <c r="O219" s="827">
        <v>1</v>
      </c>
      <c r="P219" s="827">
        <v>1</v>
      </c>
      <c r="Q219" s="827">
        <v>1</v>
      </c>
      <c r="R219" s="827">
        <v>1</v>
      </c>
      <c r="S219" s="827">
        <v>1</v>
      </c>
      <c r="T219" s="827">
        <v>1</v>
      </c>
      <c r="U219" s="827">
        <v>1</v>
      </c>
      <c r="V219" s="827">
        <v>1</v>
      </c>
      <c r="W219" s="827">
        <v>1</v>
      </c>
      <c r="X219" s="827">
        <v>1</v>
      </c>
      <c r="Y219" s="827">
        <v>1</v>
      </c>
      <c r="Z219" s="827">
        <v>2</v>
      </c>
      <c r="AA219" s="827">
        <v>2</v>
      </c>
      <c r="AB219" s="827">
        <v>2</v>
      </c>
      <c r="AC219" s="828">
        <v>2</v>
      </c>
      <c r="AD219" s="828">
        <v>1</v>
      </c>
      <c r="AE219" s="828">
        <v>1</v>
      </c>
      <c r="AF219" s="828">
        <v>0</v>
      </c>
      <c r="AG219" s="828">
        <v>1</v>
      </c>
      <c r="AH219" s="828">
        <v>1</v>
      </c>
      <c r="AI219" s="828">
        <v>1</v>
      </c>
      <c r="AJ219" s="828">
        <v>1</v>
      </c>
      <c r="AK219" s="828">
        <v>1</v>
      </c>
      <c r="AL219" s="828">
        <v>1</v>
      </c>
      <c r="AM219" s="828">
        <v>1</v>
      </c>
      <c r="AN219" s="828">
        <v>1</v>
      </c>
      <c r="AO219" s="828">
        <v>1</v>
      </c>
      <c r="AP219" s="828">
        <v>1</v>
      </c>
    </row>
    <row r="220" hidden="1">
      <c r="B220" s="829" t="s">
        <v>20</v>
      </c>
      <c r="C220" s="823">
        <v>9</v>
      </c>
      <c r="D220" s="823">
        <v>9</v>
      </c>
      <c r="E220" s="823">
        <v>9</v>
      </c>
      <c r="F220" s="823">
        <v>8</v>
      </c>
      <c r="G220" s="823">
        <v>9</v>
      </c>
      <c r="H220" s="823">
        <v>9</v>
      </c>
      <c r="I220" s="823">
        <v>9</v>
      </c>
      <c r="J220" s="823">
        <v>9</v>
      </c>
      <c r="K220" s="823">
        <v>7</v>
      </c>
      <c r="L220" s="823">
        <v>5</v>
      </c>
      <c r="M220" s="823">
        <v>4</v>
      </c>
      <c r="N220" s="823">
        <v>4</v>
      </c>
      <c r="O220" s="823">
        <v>4</v>
      </c>
      <c r="P220" s="823">
        <v>4</v>
      </c>
      <c r="Q220" s="823">
        <v>5</v>
      </c>
      <c r="R220" s="823">
        <v>5</v>
      </c>
      <c r="S220" s="823">
        <v>4</v>
      </c>
      <c r="T220" s="823">
        <v>4</v>
      </c>
      <c r="U220" s="823">
        <v>4</v>
      </c>
      <c r="V220" s="823">
        <v>4</v>
      </c>
      <c r="W220" s="823">
        <v>4</v>
      </c>
      <c r="X220" s="823">
        <v>4</v>
      </c>
      <c r="Y220" s="823">
        <v>4</v>
      </c>
      <c r="Z220" s="823">
        <v>4</v>
      </c>
      <c r="AA220" s="823">
        <v>5</v>
      </c>
      <c r="AB220" s="823">
        <v>5</v>
      </c>
      <c r="AC220" s="825">
        <v>5</v>
      </c>
      <c r="AD220" s="825">
        <v>3</v>
      </c>
      <c r="AE220" s="825">
        <v>3</v>
      </c>
      <c r="AF220" s="825">
        <v>3</v>
      </c>
      <c r="AG220" s="825">
        <v>3</v>
      </c>
      <c r="AH220" s="825">
        <v>4</v>
      </c>
      <c r="AI220" s="825">
        <v>4</v>
      </c>
      <c r="AJ220" s="825">
        <v>2</v>
      </c>
      <c r="AK220" s="825">
        <v>3</v>
      </c>
      <c r="AL220" s="825">
        <v>3</v>
      </c>
      <c r="AM220" s="825">
        <v>3</v>
      </c>
      <c r="AN220" s="825">
        <v>3</v>
      </c>
      <c r="AO220" s="825">
        <v>3</v>
      </c>
      <c r="AP220" s="825">
        <v>3</v>
      </c>
    </row>
    <row r="221" hidden="1">
      <c r="B221" s="826" t="s">
        <v>21</v>
      </c>
      <c r="C221" s="827">
        <v>5</v>
      </c>
      <c r="D221" s="827">
        <v>5</v>
      </c>
      <c r="E221" s="827">
        <v>6</v>
      </c>
      <c r="F221" s="827">
        <v>6</v>
      </c>
      <c r="G221" s="827">
        <v>7</v>
      </c>
      <c r="H221" s="827">
        <v>7</v>
      </c>
      <c r="I221" s="827">
        <v>7</v>
      </c>
      <c r="J221" s="827">
        <v>5</v>
      </c>
      <c r="K221" s="827">
        <v>5</v>
      </c>
      <c r="L221" s="827">
        <v>2</v>
      </c>
      <c r="M221" s="827">
        <v>5</v>
      </c>
      <c r="N221" s="827">
        <v>5</v>
      </c>
      <c r="O221" s="827">
        <v>6</v>
      </c>
      <c r="P221" s="827">
        <v>6</v>
      </c>
      <c r="Q221" s="827">
        <v>7</v>
      </c>
      <c r="R221" s="827">
        <v>9</v>
      </c>
      <c r="S221" s="827">
        <v>7</v>
      </c>
      <c r="T221" s="827">
        <v>7</v>
      </c>
      <c r="U221" s="827">
        <v>5</v>
      </c>
      <c r="V221" s="827">
        <v>5</v>
      </c>
      <c r="W221" s="827">
        <v>6</v>
      </c>
      <c r="X221" s="827">
        <v>5</v>
      </c>
      <c r="Y221" s="827">
        <v>5</v>
      </c>
      <c r="Z221" s="827">
        <v>5</v>
      </c>
      <c r="AA221" s="827">
        <v>5</v>
      </c>
      <c r="AB221" s="827">
        <v>5</v>
      </c>
      <c r="AC221" s="828">
        <v>5</v>
      </c>
      <c r="AD221" s="828">
        <v>5</v>
      </c>
      <c r="AE221" s="828">
        <v>5</v>
      </c>
      <c r="AF221" s="828">
        <v>6</v>
      </c>
      <c r="AG221" s="828">
        <v>9</v>
      </c>
      <c r="AH221" s="828">
        <v>9</v>
      </c>
      <c r="AI221" s="828">
        <v>7</v>
      </c>
      <c r="AJ221" s="828">
        <v>4</v>
      </c>
      <c r="AK221" s="828">
        <v>4</v>
      </c>
      <c r="AL221" s="828">
        <v>3</v>
      </c>
      <c r="AM221" s="828">
        <v>3</v>
      </c>
      <c r="AN221" s="828">
        <v>3</v>
      </c>
      <c r="AO221" s="828">
        <v>3</v>
      </c>
      <c r="AP221" s="828">
        <v>4</v>
      </c>
    </row>
    <row r="222" hidden="1">
      <c r="B222" s="829" t="s">
        <v>22</v>
      </c>
      <c r="C222" s="823">
        <v>0</v>
      </c>
      <c r="D222" s="823">
        <v>0</v>
      </c>
      <c r="E222" s="823">
        <v>0</v>
      </c>
      <c r="F222" s="823">
        <v>0</v>
      </c>
      <c r="G222" s="823">
        <v>1</v>
      </c>
      <c r="H222" s="823">
        <v>1</v>
      </c>
      <c r="I222" s="823">
        <v>1</v>
      </c>
      <c r="J222" s="823">
        <v>1</v>
      </c>
      <c r="K222" s="823">
        <v>1</v>
      </c>
      <c r="L222" s="823">
        <v>1</v>
      </c>
      <c r="M222" s="823">
        <v>2</v>
      </c>
      <c r="N222" s="823">
        <v>1</v>
      </c>
      <c r="O222" s="823">
        <v>2</v>
      </c>
      <c r="P222" s="823">
        <v>3</v>
      </c>
      <c r="Q222" s="823">
        <v>5</v>
      </c>
      <c r="R222" s="823">
        <v>5</v>
      </c>
      <c r="S222" s="823">
        <v>7</v>
      </c>
      <c r="T222" s="823">
        <v>7</v>
      </c>
      <c r="U222" s="823">
        <v>7</v>
      </c>
      <c r="V222" s="823">
        <v>7</v>
      </c>
      <c r="W222" s="823">
        <v>9</v>
      </c>
      <c r="X222" s="823">
        <v>9</v>
      </c>
      <c r="Y222" s="823">
        <v>9</v>
      </c>
      <c r="Z222" s="823">
        <v>10</v>
      </c>
      <c r="AA222" s="823">
        <v>10</v>
      </c>
      <c r="AB222" s="823">
        <v>10</v>
      </c>
      <c r="AC222" s="825">
        <v>10</v>
      </c>
      <c r="AD222" s="825">
        <v>7</v>
      </c>
      <c r="AE222" s="825">
        <v>7</v>
      </c>
      <c r="AF222" s="825">
        <v>7</v>
      </c>
      <c r="AG222" s="825">
        <v>7</v>
      </c>
      <c r="AH222" s="825">
        <v>6</v>
      </c>
      <c r="AI222" s="825">
        <v>6</v>
      </c>
      <c r="AJ222" s="825">
        <v>4</v>
      </c>
      <c r="AK222" s="825">
        <v>4</v>
      </c>
      <c r="AL222" s="825">
        <v>4</v>
      </c>
      <c r="AM222" s="825">
        <v>3</v>
      </c>
      <c r="AN222" s="825">
        <v>3</v>
      </c>
      <c r="AO222" s="825">
        <v>3</v>
      </c>
      <c r="AP222" s="825">
        <v>3</v>
      </c>
    </row>
    <row r="223" hidden="1">
      <c r="B223" s="826" t="s">
        <v>23</v>
      </c>
      <c r="C223" s="827">
        <v>2</v>
      </c>
      <c r="D223" s="827">
        <v>2</v>
      </c>
      <c r="E223" s="827">
        <v>1</v>
      </c>
      <c r="F223" s="827">
        <v>1</v>
      </c>
      <c r="G223" s="827">
        <v>1</v>
      </c>
      <c r="H223" s="827">
        <v>1</v>
      </c>
      <c r="I223" s="827">
        <v>1</v>
      </c>
      <c r="J223" s="827">
        <v>1</v>
      </c>
      <c r="K223" s="827">
        <v>1</v>
      </c>
      <c r="L223" s="827">
        <v>1</v>
      </c>
      <c r="M223" s="827">
        <v>1</v>
      </c>
      <c r="N223" s="827">
        <v>1</v>
      </c>
      <c r="O223" s="827">
        <v>1</v>
      </c>
      <c r="P223" s="827">
        <v>1</v>
      </c>
      <c r="Q223" s="827">
        <v>1</v>
      </c>
      <c r="R223" s="827">
        <v>1</v>
      </c>
      <c r="S223" s="827">
        <v>1</v>
      </c>
      <c r="T223" s="827">
        <v>1</v>
      </c>
      <c r="U223" s="827">
        <v>1</v>
      </c>
      <c r="V223" s="827">
        <v>1</v>
      </c>
      <c r="W223" s="827">
        <v>1</v>
      </c>
      <c r="X223" s="827">
        <v>1</v>
      </c>
      <c r="Y223" s="827">
        <v>1</v>
      </c>
      <c r="Z223" s="827">
        <v>1</v>
      </c>
      <c r="AA223" s="827">
        <v>0</v>
      </c>
      <c r="AB223" s="827">
        <v>0</v>
      </c>
      <c r="AC223" s="828">
        <v>0</v>
      </c>
      <c r="AD223" s="828">
        <v>0</v>
      </c>
      <c r="AE223" s="828">
        <v>0</v>
      </c>
      <c r="AF223" s="828">
        <v>0</v>
      </c>
      <c r="AG223" s="828">
        <v>0</v>
      </c>
      <c r="AH223" s="828">
        <v>0</v>
      </c>
      <c r="AI223" s="828">
        <v>0</v>
      </c>
      <c r="AJ223" s="828">
        <v>0</v>
      </c>
      <c r="AK223" s="828">
        <v>0</v>
      </c>
      <c r="AL223" s="828">
        <v>0</v>
      </c>
      <c r="AM223" s="828">
        <v>0</v>
      </c>
      <c r="AN223" s="828">
        <v>0</v>
      </c>
      <c r="AO223" s="828">
        <v>0</v>
      </c>
      <c r="AP223" s="828">
        <v>2</v>
      </c>
    </row>
    <row r="224" hidden="1">
      <c r="B224" s="830" t="s">
        <v>24</v>
      </c>
      <c r="C224" s="823">
        <v>9</v>
      </c>
      <c r="D224" s="823">
        <v>9</v>
      </c>
      <c r="E224" s="823">
        <v>8</v>
      </c>
      <c r="F224" s="823">
        <v>8</v>
      </c>
      <c r="G224" s="823">
        <v>8</v>
      </c>
      <c r="H224" s="823">
        <v>8</v>
      </c>
      <c r="I224" s="823">
        <v>8</v>
      </c>
      <c r="J224" s="823">
        <v>10</v>
      </c>
      <c r="K224" s="823">
        <v>8</v>
      </c>
      <c r="L224" s="823">
        <v>8</v>
      </c>
      <c r="M224" s="823">
        <v>8</v>
      </c>
      <c r="N224" s="823">
        <v>7</v>
      </c>
      <c r="O224" s="823">
        <v>6</v>
      </c>
      <c r="P224" s="823">
        <v>7</v>
      </c>
      <c r="Q224" s="823">
        <v>7</v>
      </c>
      <c r="R224" s="823">
        <v>7</v>
      </c>
      <c r="S224" s="823">
        <v>7</v>
      </c>
      <c r="T224" s="823">
        <v>7</v>
      </c>
      <c r="U224" s="823">
        <v>7</v>
      </c>
      <c r="V224" s="823">
        <v>7</v>
      </c>
      <c r="W224" s="823">
        <v>9</v>
      </c>
      <c r="X224" s="823">
        <v>9</v>
      </c>
      <c r="Y224" s="823">
        <v>8</v>
      </c>
      <c r="Z224" s="823">
        <v>8</v>
      </c>
      <c r="AA224" s="823">
        <v>8</v>
      </c>
      <c r="AB224" s="823">
        <v>6</v>
      </c>
      <c r="AC224" s="825">
        <v>6</v>
      </c>
      <c r="AD224" s="825">
        <v>6</v>
      </c>
      <c r="AE224" s="825">
        <v>5</v>
      </c>
      <c r="AF224" s="825">
        <v>6</v>
      </c>
      <c r="AG224" s="825">
        <v>6</v>
      </c>
      <c r="AH224" s="825">
        <v>7</v>
      </c>
      <c r="AI224" s="825">
        <v>7</v>
      </c>
      <c r="AJ224" s="825">
        <v>7</v>
      </c>
      <c r="AK224" s="825">
        <v>6</v>
      </c>
      <c r="AL224" s="825">
        <v>6</v>
      </c>
      <c r="AM224" s="825">
        <v>6</v>
      </c>
      <c r="AN224" s="825">
        <v>6</v>
      </c>
      <c r="AO224" s="825">
        <v>6</v>
      </c>
      <c r="AP224" s="825">
        <v>6</v>
      </c>
    </row>
    <row r="225" hidden="1">
      <c r="B225" s="826" t="s">
        <v>25</v>
      </c>
      <c r="C225" s="827">
        <v>0</v>
      </c>
      <c r="D225" s="827">
        <v>0</v>
      </c>
      <c r="E225" s="827">
        <v>0</v>
      </c>
      <c r="F225" s="827">
        <v>0</v>
      </c>
      <c r="G225" s="827">
        <v>0</v>
      </c>
      <c r="H225" s="827">
        <v>0</v>
      </c>
      <c r="I225" s="827">
        <v>0</v>
      </c>
      <c r="J225" s="827">
        <v>0</v>
      </c>
      <c r="K225" s="827">
        <v>0</v>
      </c>
      <c r="L225" s="827">
        <v>0</v>
      </c>
      <c r="M225" s="827">
        <v>0</v>
      </c>
      <c r="N225" s="827">
        <v>0</v>
      </c>
      <c r="O225" s="827">
        <v>0</v>
      </c>
      <c r="P225" s="827">
        <v>0</v>
      </c>
      <c r="Q225" s="827">
        <v>0</v>
      </c>
      <c r="R225" s="827">
        <v>0</v>
      </c>
      <c r="S225" s="827">
        <v>0</v>
      </c>
      <c r="T225" s="827">
        <v>0</v>
      </c>
      <c r="U225" s="827">
        <v>0</v>
      </c>
      <c r="V225" s="827">
        <v>0</v>
      </c>
      <c r="W225" s="827">
        <v>0</v>
      </c>
      <c r="X225" s="827">
        <v>0</v>
      </c>
      <c r="Y225" s="827">
        <v>0</v>
      </c>
      <c r="Z225" s="827">
        <v>0</v>
      </c>
      <c r="AA225" s="827">
        <v>0</v>
      </c>
      <c r="AB225" s="827">
        <v>0</v>
      </c>
      <c r="AC225" s="828">
        <v>0</v>
      </c>
      <c r="AD225" s="828">
        <v>0</v>
      </c>
      <c r="AE225" s="828">
        <v>0</v>
      </c>
      <c r="AF225" s="828">
        <v>0</v>
      </c>
      <c r="AG225" s="828">
        <v>0</v>
      </c>
      <c r="AH225" s="828">
        <v>0</v>
      </c>
      <c r="AI225" s="828">
        <v>0</v>
      </c>
      <c r="AJ225" s="828">
        <v>0</v>
      </c>
      <c r="AK225" s="828">
        <v>0</v>
      </c>
      <c r="AL225" s="828">
        <v>0</v>
      </c>
      <c r="AM225" s="828">
        <v>0</v>
      </c>
      <c r="AN225" s="828">
        <v>0</v>
      </c>
      <c r="AO225" s="828">
        <v>0</v>
      </c>
      <c r="AP225" s="828">
        <v>0</v>
      </c>
    </row>
    <row r="226" hidden="1" ht="13.5">
      <c r="B226" s="831" t="s">
        <v>26</v>
      </c>
      <c r="C226" s="823">
        <v>0</v>
      </c>
      <c r="D226" s="823">
        <v>0</v>
      </c>
      <c r="E226" s="823">
        <v>0</v>
      </c>
      <c r="F226" s="823">
        <v>0</v>
      </c>
      <c r="G226" s="823">
        <v>0</v>
      </c>
      <c r="H226" s="823">
        <v>0</v>
      </c>
      <c r="I226" s="823">
        <v>0</v>
      </c>
      <c r="J226" s="823">
        <v>0</v>
      </c>
      <c r="K226" s="823">
        <v>0</v>
      </c>
      <c r="L226" s="823">
        <v>0</v>
      </c>
      <c r="M226" s="823">
        <v>0</v>
      </c>
      <c r="N226" s="823">
        <v>0</v>
      </c>
      <c r="O226" s="823">
        <v>0</v>
      </c>
      <c r="P226" s="823">
        <v>0</v>
      </c>
      <c r="Q226" s="823">
        <v>0</v>
      </c>
      <c r="R226" s="823">
        <v>0</v>
      </c>
      <c r="S226" s="823">
        <v>0</v>
      </c>
      <c r="T226" s="823">
        <v>0</v>
      </c>
      <c r="U226" s="823">
        <v>0</v>
      </c>
      <c r="V226" s="823">
        <v>0</v>
      </c>
      <c r="W226" s="823">
        <v>0</v>
      </c>
      <c r="X226" s="823">
        <v>0</v>
      </c>
      <c r="Y226" s="823">
        <v>0</v>
      </c>
      <c r="Z226" s="823">
        <v>0</v>
      </c>
      <c r="AA226" s="823">
        <v>0</v>
      </c>
      <c r="AB226" s="832">
        <v>0</v>
      </c>
      <c r="AC226" s="825">
        <v>0</v>
      </c>
      <c r="AD226" s="825">
        <v>0</v>
      </c>
      <c r="AE226" s="825">
        <v>0</v>
      </c>
      <c r="AF226" s="825">
        <v>0</v>
      </c>
      <c r="AG226" s="825">
        <v>0</v>
      </c>
      <c r="AH226" s="825">
        <v>0</v>
      </c>
      <c r="AI226" s="825">
        <v>0</v>
      </c>
      <c r="AJ226" s="825">
        <v>0</v>
      </c>
      <c r="AK226" s="825">
        <v>0</v>
      </c>
      <c r="AL226" s="825">
        <v>0</v>
      </c>
      <c r="AM226" s="825">
        <v>0</v>
      </c>
      <c r="AN226" s="825">
        <v>0</v>
      </c>
      <c r="AO226" s="825">
        <v>0</v>
      </c>
      <c r="AP226" s="825">
        <v>0</v>
      </c>
    </row>
    <row r="227" hidden="1" ht="13.5">
      <c r="B227" s="128" t="s">
        <v>7</v>
      </c>
      <c r="C227" s="129" t="str">
        <f>IF(SUM(C208:C226)&lt;&gt;0,SUM(C208:C226),"")</f>
      </c>
      <c r="D227" s="129" t="str">
        <f ref="D227:AA227" t="shared" si="10">IF(SUM(D208:D226)&lt;&gt;0,SUM(D208:D226),"")</f>
      </c>
      <c r="E227" s="129" t="str">
        <f t="shared" si="10"/>
      </c>
      <c r="F227" s="129" t="str">
        <f t="shared" si="10"/>
      </c>
      <c r="G227" s="129" t="str">
        <f t="shared" si="10"/>
      </c>
      <c r="H227" s="129" t="str">
        <f t="shared" si="10"/>
      </c>
      <c r="I227" s="129" t="str">
        <f t="shared" si="10"/>
      </c>
      <c r="J227" s="129" t="str">
        <f t="shared" si="10"/>
      </c>
      <c r="K227" s="129" t="str">
        <f t="shared" si="10"/>
      </c>
      <c r="L227" s="129" t="str">
        <f t="shared" si="10"/>
      </c>
      <c r="M227" s="129" t="str">
        <f t="shared" si="10"/>
      </c>
      <c r="N227" s="129" t="str">
        <f t="shared" si="10"/>
      </c>
      <c r="O227" s="129" t="str">
        <f t="shared" si="10"/>
      </c>
      <c r="P227" s="129" t="str">
        <f t="shared" si="10"/>
      </c>
      <c r="Q227" s="129" t="str">
        <f t="shared" si="10"/>
      </c>
      <c r="R227" s="129" t="str">
        <f t="shared" si="10"/>
      </c>
      <c r="S227" s="129" t="str">
        <f t="shared" si="10"/>
      </c>
      <c r="T227" s="129" t="str">
        <f t="shared" si="10"/>
      </c>
      <c r="U227" s="129" t="str">
        <f t="shared" si="10"/>
      </c>
      <c r="V227" s="129" t="str">
        <f t="shared" si="10"/>
      </c>
      <c r="W227" s="129" t="str">
        <f t="shared" si="10"/>
      </c>
      <c r="X227" s="129" t="str">
        <f t="shared" si="10"/>
      </c>
      <c r="Y227" s="129" t="str">
        <f t="shared" si="10"/>
      </c>
      <c r="Z227" s="129" t="str">
        <f t="shared" si="10"/>
      </c>
      <c r="AA227" s="129" t="str">
        <f t="shared" si="10"/>
      </c>
      <c r="AB227" s="130" t="str">
        <f>IF(SUM(AB208:AB226)&lt;&gt;0,SUM(AB208:AB226),"")</f>
      </c>
      <c r="AC227" s="91" t="str">
        <f ref="AC227:CN227" t="shared" si="11">IF(SUM(AC208:AC226)&lt;&gt;0,SUM(AC208:AC226),"")</f>
      </c>
      <c r="AD227" s="91" t="str">
        <f t="shared" si="11"/>
      </c>
      <c r="AE227" s="91" t="str">
        <f t="shared" si="11"/>
      </c>
      <c r="AF227" s="91" t="str">
        <f t="shared" si="11"/>
      </c>
      <c r="AG227" s="91" t="str">
        <f t="shared" si="11"/>
      </c>
      <c r="AH227" s="91" t="str">
        <f t="shared" si="11"/>
      </c>
      <c r="AI227" s="91" t="str">
        <f t="shared" si="11"/>
      </c>
      <c r="AJ227" s="91" t="str">
        <f t="shared" si="11"/>
      </c>
      <c r="AK227" s="91" t="str">
        <f t="shared" si="11"/>
      </c>
      <c r="AL227" s="91" t="str">
        <f t="shared" si="11"/>
      </c>
      <c r="AM227" s="91" t="str">
        <f t="shared" si="11"/>
      </c>
      <c r="AN227" s="91" t="str">
        <f t="shared" si="11"/>
      </c>
      <c r="AO227" s="91" t="str">
        <f t="shared" si="11"/>
      </c>
      <c r="AP227" s="91" t="str">
        <f t="shared" si="11"/>
      </c>
      <c r="AQ227" s="91" t="str">
        <f t="shared" si="11"/>
      </c>
      <c r="AR227" s="91" t="str">
        <f t="shared" si="11"/>
      </c>
      <c r="AS227" s="91" t="str">
        <f t="shared" si="11"/>
      </c>
      <c r="AT227" s="91" t="str">
        <f t="shared" si="11"/>
      </c>
      <c r="AU227" s="91" t="str">
        <f t="shared" si="11"/>
      </c>
      <c r="AV227" s="91" t="str">
        <f t="shared" si="11"/>
      </c>
      <c r="AW227" s="91" t="str">
        <f t="shared" si="11"/>
      </c>
      <c r="AX227" s="91" t="str">
        <f t="shared" si="11"/>
      </c>
      <c r="AY227" s="91" t="str">
        <f t="shared" si="11"/>
      </c>
      <c r="AZ227" s="91" t="str">
        <f t="shared" si="11"/>
      </c>
      <c r="BA227" s="91" t="str">
        <f t="shared" si="11"/>
      </c>
      <c r="BB227" s="91" t="str">
        <f t="shared" si="11"/>
      </c>
      <c r="BC227" s="91" t="str">
        <f t="shared" si="11"/>
      </c>
      <c r="BD227" s="91" t="str">
        <f t="shared" si="11"/>
      </c>
      <c r="BE227" s="91" t="str">
        <f t="shared" si="11"/>
      </c>
      <c r="BF227" s="91" t="str">
        <f t="shared" si="11"/>
      </c>
      <c r="BG227" s="91" t="str">
        <f t="shared" si="11"/>
      </c>
      <c r="BH227" s="91" t="str">
        <f t="shared" si="11"/>
      </c>
      <c r="BI227" s="91" t="str">
        <f t="shared" si="11"/>
      </c>
      <c r="BJ227" s="91" t="str">
        <f t="shared" si="11"/>
      </c>
      <c r="BK227" s="91" t="str">
        <f t="shared" si="11"/>
      </c>
      <c r="BL227" s="91" t="str">
        <f t="shared" si="11"/>
      </c>
      <c r="BM227" s="91" t="str">
        <f t="shared" si="11"/>
      </c>
      <c r="BN227" s="91" t="str">
        <f t="shared" si="11"/>
      </c>
      <c r="BO227" s="91" t="str">
        <f t="shared" si="11"/>
      </c>
      <c r="BP227" s="91" t="str">
        <f t="shared" si="11"/>
      </c>
      <c r="BQ227" s="91" t="str">
        <f t="shared" si="11"/>
      </c>
      <c r="BR227" s="91" t="str">
        <f t="shared" si="11"/>
      </c>
      <c r="BS227" s="91" t="str">
        <f t="shared" si="11"/>
      </c>
      <c r="BT227" s="91" t="str">
        <f t="shared" si="11"/>
      </c>
      <c r="BU227" s="91" t="str">
        <f t="shared" si="11"/>
      </c>
      <c r="BV227" s="91" t="str">
        <f t="shared" si="11"/>
      </c>
      <c r="BW227" s="91" t="str">
        <f t="shared" si="11"/>
      </c>
      <c r="BX227" s="91" t="str">
        <f t="shared" si="11"/>
      </c>
      <c r="BY227" s="91" t="str">
        <f t="shared" si="11"/>
      </c>
      <c r="BZ227" s="91" t="str">
        <f t="shared" si="11"/>
      </c>
      <c r="CA227" s="91" t="str">
        <f t="shared" si="11"/>
      </c>
      <c r="CB227" s="91" t="str">
        <f t="shared" si="11"/>
      </c>
      <c r="CC227" s="91" t="str">
        <f t="shared" si="11"/>
      </c>
      <c r="CD227" s="91" t="str">
        <f t="shared" si="11"/>
      </c>
      <c r="CE227" s="91" t="str">
        <f t="shared" si="11"/>
      </c>
      <c r="CF227" s="91" t="str">
        <f t="shared" si="11"/>
      </c>
      <c r="CG227" s="91" t="str">
        <f t="shared" si="11"/>
      </c>
      <c r="CH227" s="91" t="str">
        <f t="shared" si="11"/>
      </c>
      <c r="CI227" s="91" t="str">
        <f t="shared" si="11"/>
      </c>
      <c r="CJ227" s="91" t="str">
        <f t="shared" si="11"/>
      </c>
      <c r="CK227" s="91" t="str">
        <f t="shared" si="11"/>
      </c>
      <c r="CL227" s="91" t="str">
        <f t="shared" si="11"/>
      </c>
      <c r="CM227" s="91" t="str">
        <f t="shared" si="11"/>
      </c>
      <c r="CN227" s="91" t="str">
        <f t="shared" si="11"/>
      </c>
      <c r="CO227" s="91" t="str">
        <f ref="CO227:EZ227" t="shared" si="12">IF(SUM(CO208:CO226)&lt;&gt;0,SUM(CO208:CO226),"")</f>
      </c>
      <c r="CP227" s="91" t="str">
        <f t="shared" si="12"/>
      </c>
      <c r="CQ227" s="91" t="str">
        <f t="shared" si="12"/>
      </c>
      <c r="CR227" s="91" t="str">
        <f t="shared" si="12"/>
      </c>
      <c r="CS227" s="91" t="str">
        <f t="shared" si="12"/>
      </c>
      <c r="CT227" s="91" t="str">
        <f t="shared" si="12"/>
      </c>
      <c r="CU227" s="91" t="str">
        <f t="shared" si="12"/>
      </c>
      <c r="CV227" s="91" t="str">
        <f t="shared" si="12"/>
      </c>
      <c r="CW227" s="91" t="str">
        <f t="shared" si="12"/>
      </c>
      <c r="CX227" s="91" t="str">
        <f t="shared" si="12"/>
      </c>
      <c r="CY227" s="91" t="str">
        <f t="shared" si="12"/>
      </c>
      <c r="CZ227" s="91" t="str">
        <f t="shared" si="12"/>
      </c>
      <c r="DA227" s="91" t="str">
        <f t="shared" si="12"/>
      </c>
      <c r="DB227" s="91" t="str">
        <f t="shared" si="12"/>
      </c>
      <c r="DC227" s="91" t="str">
        <f t="shared" si="12"/>
      </c>
      <c r="DD227" s="91" t="str">
        <f t="shared" si="12"/>
      </c>
      <c r="DE227" s="91" t="str">
        <f t="shared" si="12"/>
      </c>
      <c r="DF227" s="91" t="str">
        <f t="shared" si="12"/>
      </c>
      <c r="DG227" s="91" t="str">
        <f t="shared" si="12"/>
      </c>
      <c r="DH227" s="91" t="str">
        <f t="shared" si="12"/>
      </c>
      <c r="DI227" s="91" t="str">
        <f t="shared" si="12"/>
      </c>
      <c r="DJ227" s="91" t="str">
        <f t="shared" si="12"/>
      </c>
      <c r="DK227" s="91" t="str">
        <f t="shared" si="12"/>
      </c>
      <c r="DL227" s="91" t="str">
        <f t="shared" si="12"/>
      </c>
      <c r="DM227" s="91" t="str">
        <f t="shared" si="12"/>
      </c>
      <c r="DN227" s="91" t="str">
        <f t="shared" si="12"/>
      </c>
      <c r="DO227" s="91" t="str">
        <f t="shared" si="12"/>
      </c>
      <c r="DP227" s="91" t="str">
        <f t="shared" si="12"/>
      </c>
      <c r="DQ227" s="91" t="str">
        <f t="shared" si="12"/>
      </c>
      <c r="DR227" s="91" t="str">
        <f t="shared" si="12"/>
      </c>
      <c r="DS227" s="91" t="str">
        <f t="shared" si="12"/>
      </c>
      <c r="DT227" s="91" t="str">
        <f t="shared" si="12"/>
      </c>
      <c r="DU227" s="91" t="str">
        <f t="shared" si="12"/>
      </c>
      <c r="DV227" s="91" t="str">
        <f t="shared" si="12"/>
      </c>
      <c r="DW227" s="91" t="str">
        <f t="shared" si="12"/>
      </c>
      <c r="DX227" s="91" t="str">
        <f t="shared" si="12"/>
      </c>
      <c r="DY227" s="91" t="str">
        <f t="shared" si="12"/>
      </c>
      <c r="DZ227" s="91" t="str">
        <f t="shared" si="12"/>
      </c>
      <c r="EA227" s="91" t="str">
        <f t="shared" si="12"/>
      </c>
      <c r="EB227" s="91" t="str">
        <f t="shared" si="12"/>
      </c>
      <c r="EC227" s="91" t="str">
        <f t="shared" si="12"/>
      </c>
      <c r="ED227" s="91" t="str">
        <f t="shared" si="12"/>
      </c>
      <c r="EE227" s="91" t="str">
        <f t="shared" si="12"/>
      </c>
      <c r="EF227" s="91" t="str">
        <f t="shared" si="12"/>
      </c>
      <c r="EG227" s="91" t="str">
        <f t="shared" si="12"/>
      </c>
      <c r="EH227" s="91" t="str">
        <f t="shared" si="12"/>
      </c>
      <c r="EI227" s="91" t="str">
        <f t="shared" si="12"/>
      </c>
      <c r="EJ227" s="91" t="str">
        <f t="shared" si="12"/>
      </c>
      <c r="EK227" s="91" t="str">
        <f t="shared" si="12"/>
      </c>
      <c r="EL227" s="91" t="str">
        <f t="shared" si="12"/>
      </c>
      <c r="EM227" s="91" t="str">
        <f t="shared" si="12"/>
      </c>
      <c r="EN227" s="91" t="str">
        <f t="shared" si="12"/>
      </c>
      <c r="EO227" s="91" t="str">
        <f t="shared" si="12"/>
      </c>
      <c r="EP227" s="91" t="str">
        <f t="shared" si="12"/>
      </c>
      <c r="EQ227" s="91" t="str">
        <f t="shared" si="12"/>
      </c>
      <c r="ER227" s="91" t="str">
        <f t="shared" si="12"/>
      </c>
      <c r="ES227" s="91" t="str">
        <f t="shared" si="12"/>
      </c>
      <c r="ET227" s="91" t="str">
        <f t="shared" si="12"/>
      </c>
      <c r="EU227" s="91" t="str">
        <f t="shared" si="12"/>
      </c>
      <c r="EV227" s="91" t="str">
        <f t="shared" si="12"/>
      </c>
      <c r="EW227" s="91" t="str">
        <f t="shared" si="12"/>
      </c>
      <c r="EX227" s="91" t="str">
        <f t="shared" si="12"/>
      </c>
      <c r="EY227" s="91" t="str">
        <f t="shared" si="12"/>
      </c>
      <c r="EZ227" s="91" t="str">
        <f t="shared" si="12"/>
      </c>
      <c r="FA227" s="91" t="str">
        <f ref="FA227:HL227" t="shared" si="13">IF(SUM(FA208:FA226)&lt;&gt;0,SUM(FA208:FA226),"")</f>
      </c>
      <c r="FB227" s="91" t="str">
        <f t="shared" si="13"/>
      </c>
      <c r="FC227" s="91" t="str">
        <f t="shared" si="13"/>
      </c>
      <c r="FD227" s="91" t="str">
        <f t="shared" si="13"/>
      </c>
      <c r="FE227" s="91" t="str">
        <f t="shared" si="13"/>
      </c>
      <c r="FF227" s="91" t="str">
        <f t="shared" si="13"/>
      </c>
      <c r="FG227" s="91" t="str">
        <f t="shared" si="13"/>
      </c>
      <c r="FH227" s="91" t="str">
        <f t="shared" si="13"/>
      </c>
      <c r="FI227" s="91" t="str">
        <f t="shared" si="13"/>
      </c>
      <c r="FJ227" s="91" t="str">
        <f t="shared" si="13"/>
      </c>
      <c r="FK227" s="91" t="str">
        <f t="shared" si="13"/>
      </c>
      <c r="FL227" s="91" t="str">
        <f t="shared" si="13"/>
      </c>
      <c r="FM227" s="91" t="str">
        <f t="shared" si="13"/>
      </c>
      <c r="FN227" s="91" t="str">
        <f t="shared" si="13"/>
      </c>
      <c r="FO227" s="91" t="str">
        <f t="shared" si="13"/>
      </c>
      <c r="FP227" s="91" t="str">
        <f t="shared" si="13"/>
      </c>
      <c r="FQ227" s="91" t="str">
        <f t="shared" si="13"/>
      </c>
      <c r="FR227" s="91" t="str">
        <f t="shared" si="13"/>
      </c>
      <c r="FS227" s="91" t="str">
        <f t="shared" si="13"/>
      </c>
      <c r="FT227" s="91" t="str">
        <f t="shared" si="13"/>
      </c>
      <c r="FU227" s="91" t="str">
        <f t="shared" si="13"/>
      </c>
      <c r="FV227" s="91" t="str">
        <f t="shared" si="13"/>
      </c>
      <c r="FW227" s="91" t="str">
        <f t="shared" si="13"/>
      </c>
      <c r="FX227" s="91" t="str">
        <f t="shared" si="13"/>
      </c>
      <c r="FY227" s="91" t="str">
        <f t="shared" si="13"/>
      </c>
      <c r="FZ227" s="91" t="str">
        <f t="shared" si="13"/>
      </c>
      <c r="GA227" s="91" t="str">
        <f t="shared" si="13"/>
      </c>
      <c r="GB227" s="91" t="str">
        <f t="shared" si="13"/>
      </c>
      <c r="GC227" s="91" t="str">
        <f t="shared" si="13"/>
      </c>
      <c r="GD227" s="91" t="str">
        <f t="shared" si="13"/>
      </c>
      <c r="GE227" s="91" t="str">
        <f t="shared" si="13"/>
      </c>
      <c r="GF227" s="91" t="str">
        <f t="shared" si="13"/>
      </c>
      <c r="GG227" s="91" t="str">
        <f t="shared" si="13"/>
      </c>
      <c r="GH227" s="91" t="str">
        <f t="shared" si="13"/>
      </c>
      <c r="GI227" s="91" t="str">
        <f t="shared" si="13"/>
      </c>
      <c r="GJ227" s="91" t="str">
        <f t="shared" si="13"/>
      </c>
      <c r="GK227" s="91" t="str">
        <f t="shared" si="13"/>
      </c>
      <c r="GL227" s="91" t="str">
        <f t="shared" si="13"/>
      </c>
      <c r="GM227" s="91" t="str">
        <f t="shared" si="13"/>
      </c>
      <c r="GN227" s="91" t="str">
        <f t="shared" si="13"/>
      </c>
      <c r="GO227" s="91" t="str">
        <f t="shared" si="13"/>
      </c>
      <c r="GP227" s="91" t="str">
        <f t="shared" si="13"/>
      </c>
      <c r="GQ227" s="91" t="str">
        <f t="shared" si="13"/>
      </c>
      <c r="GR227" s="91" t="str">
        <f t="shared" si="13"/>
      </c>
      <c r="GS227" s="91" t="str">
        <f t="shared" si="13"/>
      </c>
      <c r="GT227" s="91" t="str">
        <f t="shared" si="13"/>
      </c>
      <c r="GU227" s="91" t="str">
        <f t="shared" si="13"/>
      </c>
      <c r="GV227" s="91" t="str">
        <f t="shared" si="13"/>
      </c>
      <c r="GW227" s="91" t="str">
        <f t="shared" si="13"/>
      </c>
      <c r="GX227" s="91" t="str">
        <f t="shared" si="13"/>
      </c>
      <c r="GY227" s="91" t="str">
        <f t="shared" si="13"/>
      </c>
      <c r="GZ227" s="91" t="str">
        <f t="shared" si="13"/>
      </c>
      <c r="HA227" s="91" t="str">
        <f t="shared" si="13"/>
      </c>
      <c r="HB227" s="91" t="str">
        <f t="shared" si="13"/>
      </c>
      <c r="HC227" s="91" t="str">
        <f t="shared" si="13"/>
      </c>
      <c r="HD227" s="91" t="str">
        <f t="shared" si="13"/>
      </c>
      <c r="HE227" s="91" t="str">
        <f t="shared" si="13"/>
      </c>
      <c r="HF227" s="91" t="str">
        <f t="shared" si="13"/>
      </c>
      <c r="HG227" s="91" t="str">
        <f t="shared" si="13"/>
      </c>
      <c r="HH227" s="91" t="str">
        <f t="shared" si="13"/>
      </c>
      <c r="HI227" s="91" t="str">
        <f t="shared" si="13"/>
      </c>
      <c r="HJ227" s="91" t="str">
        <f t="shared" si="13"/>
      </c>
      <c r="HK227" s="91" t="str">
        <f t="shared" si="13"/>
      </c>
      <c r="HL227" s="91" t="str">
        <f t="shared" si="13"/>
      </c>
      <c r="HM227" s="91" t="str">
        <f ref="HM227:IV227" t="shared" si="14">IF(SUM(HM208:HM226)&lt;&gt;0,SUM(HM208:HM226),"")</f>
      </c>
      <c r="HN227" s="91" t="str">
        <f t="shared" si="14"/>
      </c>
      <c r="HO227" s="91" t="str">
        <f t="shared" si="14"/>
      </c>
      <c r="HP227" s="91" t="str">
        <f t="shared" si="14"/>
      </c>
      <c r="HQ227" s="91" t="str">
        <f t="shared" si="14"/>
      </c>
      <c r="HR227" s="91" t="str">
        <f t="shared" si="14"/>
      </c>
      <c r="HS227" s="91" t="str">
        <f t="shared" si="14"/>
      </c>
      <c r="HT227" s="91" t="str">
        <f t="shared" si="14"/>
      </c>
      <c r="HU227" s="91" t="str">
        <f t="shared" si="14"/>
      </c>
      <c r="HV227" s="91" t="str">
        <f t="shared" si="14"/>
      </c>
      <c r="HW227" s="91" t="str">
        <f t="shared" si="14"/>
      </c>
      <c r="HX227" s="91" t="str">
        <f t="shared" si="14"/>
      </c>
      <c r="HY227" s="91" t="str">
        <f t="shared" si="14"/>
      </c>
      <c r="HZ227" s="91" t="str">
        <f t="shared" si="14"/>
      </c>
      <c r="IA227" s="91" t="str">
        <f t="shared" si="14"/>
      </c>
      <c r="IB227" s="91" t="str">
        <f t="shared" si="14"/>
      </c>
      <c r="IC227" s="91" t="str">
        <f t="shared" si="14"/>
      </c>
      <c r="ID227" s="91" t="str">
        <f t="shared" si="14"/>
      </c>
      <c r="IE227" s="91" t="str">
        <f t="shared" si="14"/>
      </c>
      <c r="IF227" s="91" t="str">
        <f t="shared" si="14"/>
      </c>
      <c r="IG227" s="91" t="str">
        <f t="shared" si="14"/>
      </c>
      <c r="IH227" s="91" t="str">
        <f t="shared" si="14"/>
      </c>
      <c r="II227" s="91" t="str">
        <f t="shared" si="14"/>
      </c>
      <c r="IJ227" s="91" t="str">
        <f t="shared" si="14"/>
      </c>
      <c r="IK227" s="91" t="str">
        <f t="shared" si="14"/>
      </c>
      <c r="IL227" s="91" t="str">
        <f t="shared" si="14"/>
      </c>
      <c r="IM227" s="91" t="str">
        <f t="shared" si="14"/>
      </c>
      <c r="IN227" s="91" t="str">
        <f t="shared" si="14"/>
      </c>
      <c r="IO227" s="91" t="str">
        <f t="shared" si="14"/>
      </c>
      <c r="IP227" s="91" t="str">
        <f t="shared" si="14"/>
      </c>
      <c r="IQ227" s="91" t="str">
        <f t="shared" si="14"/>
      </c>
      <c r="IR227" s="91" t="str">
        <f t="shared" si="14"/>
      </c>
      <c r="IS227" s="91" t="str">
        <f t="shared" si="14"/>
      </c>
      <c r="IT227" s="91" t="str">
        <f t="shared" si="14"/>
      </c>
      <c r="IU227" s="91" t="str">
        <f t="shared" si="14"/>
      </c>
      <c r="IV227" s="91" t="str">
        <f t="shared" si="14"/>
      </c>
    </row>
    <row r="228" hidden="1" ht="13.5"/>
    <row r="229" hidden="1" ht="15" customHeight="1">
      <c r="C229" s="686" t="s">
        <v>183</v>
      </c>
      <c r="D229" s="687"/>
      <c r="E229" s="687"/>
      <c r="F229" s="687"/>
      <c r="G229" s="687"/>
      <c r="H229" s="687"/>
      <c r="I229" s="687"/>
      <c r="J229" s="687"/>
      <c r="K229" s="687"/>
      <c r="L229" s="687"/>
      <c r="M229" s="687"/>
      <c r="N229" s="687"/>
      <c r="O229" s="687"/>
      <c r="P229" s="687"/>
      <c r="Q229" s="687"/>
      <c r="R229" s="687"/>
      <c r="S229" s="687"/>
      <c r="T229" s="687"/>
      <c r="U229" s="687"/>
      <c r="V229" s="687"/>
      <c r="W229" s="687"/>
      <c r="X229" s="687"/>
      <c r="Y229" s="687"/>
      <c r="Z229" s="687"/>
      <c r="AA229" s="687"/>
      <c r="AB229" s="688"/>
    </row>
    <row r="230" hidden="1" ht="15" customHeight="1">
      <c r="C230" s="435" t="str">
        <f> IF(C250&lt;&gt;"",TEXT(AUX!G$1,"dd-MMM-aa"),"")</f>
      </c>
      <c r="D230" s="435" t="str">
        <f> IF(D250&lt;&gt;"",TEXT(AUX!H$1,"dd-MMM-aa"),"")</f>
      </c>
      <c r="E230" s="435" t="str">
        <f> IF(E250&lt;&gt;"",TEXT(AUX!I$1,"dd-MMM-aa"),"")</f>
      </c>
      <c r="F230" s="435" t="str">
        <f> IF(F250&lt;&gt;"",TEXT(AUX!J$1,"dd-MMM-aa"),"")</f>
      </c>
      <c r="G230" s="435" t="str">
        <f> IF(G250&lt;&gt;"",TEXT(AUX!K$1,"dd-MMM-aa"),"")</f>
      </c>
      <c r="H230" s="435" t="str">
        <f> IF(H250&lt;&gt;"",TEXT(AUX!L$1,"dd-MMM-aa"),"")</f>
      </c>
      <c r="I230" s="435" t="str">
        <f> IF(I250&lt;&gt;"",TEXT(AUX!M$1,"dd-MMM-aa"),"")</f>
      </c>
      <c r="J230" s="435" t="str">
        <f> IF(J250&lt;&gt;"",TEXT(AUX!N$1,"dd-MMM-aa"),"")</f>
      </c>
      <c r="K230" s="435" t="str">
        <f> IF(K250&lt;&gt;"",TEXT(AUX!O$1,"dd-MMM-aa"),"")</f>
      </c>
      <c r="L230" s="435" t="str">
        <f> IF(L250&lt;&gt;"",TEXT(AUX!P$1,"dd-MMM-aa"),"")</f>
      </c>
      <c r="M230" s="435" t="str">
        <f> IF(M250&lt;&gt;"",TEXT(AUX!Q$1,"dd-MMM-aa"),"")</f>
      </c>
      <c r="N230" s="435" t="str">
        <f> IF(N250&lt;&gt;"",TEXT(AUX!R$1,"dd-MMM-aa"),"")</f>
      </c>
      <c r="O230" s="435" t="str">
        <f> IF(O250&lt;&gt;"",TEXT(AUX!S$1,"dd-MMM-aa"),"")</f>
      </c>
      <c r="P230" s="435" t="str">
        <f> IF(P250&lt;&gt;"",TEXT(AUX!T$1,"dd-MMM-aa"),"")</f>
      </c>
      <c r="Q230" s="435" t="str">
        <f> IF(Q250&lt;&gt;"",TEXT(AUX!U$1,"dd-MMM-aa"),"")</f>
      </c>
      <c r="R230" s="435" t="str">
        <f> IF(R250&lt;&gt;"",TEXT(AUX!V$1,"dd-MMM-aa"),"")</f>
      </c>
      <c r="S230" s="435" t="str">
        <f> IF(S250&lt;&gt;"",TEXT(AUX!W$1,"dd-MMM-aa"),"")</f>
      </c>
      <c r="T230" s="435" t="str">
        <f> IF(T250&lt;&gt;"",TEXT(AUX!X$1,"dd-MMM-aa"),"")</f>
      </c>
      <c r="U230" s="435" t="str">
        <f> IF(U250&lt;&gt;"",TEXT(AUX!Y$1,"dd-MMM-aa"),"")</f>
      </c>
      <c r="V230" s="435" t="str">
        <f> IF(V250&lt;&gt;"",TEXT(AUX!Z$1,"dd-MMM-aa"),"")</f>
      </c>
      <c r="W230" s="435" t="str">
        <f> IF(W250&lt;&gt;"",TEXT(AUX!AA$1,"dd-MMM-aa"),"")</f>
      </c>
      <c r="X230" s="435" t="str">
        <f> IF(X250&lt;&gt;"",TEXT(AUX!AB$1,"dd-MMM-aa"),"")</f>
      </c>
      <c r="Y230" s="435" t="str">
        <f> IF(Y250&lt;&gt;"",TEXT(AUX!AC$1,"dd-MMM-aa"),"")</f>
      </c>
      <c r="Z230" s="435" t="str">
        <f> IF(Z250&lt;&gt;"",TEXT(AUX!AD$1,"dd-MMM-aa"),"")</f>
      </c>
      <c r="AA230" s="435" t="str">
        <f> IF(AA250&lt;&gt;"",TEXT(AUX!AE$1,"dd-MMM-aa"),"")</f>
      </c>
      <c r="AB230" s="497" t="str">
        <f> IF(AB250&lt;&gt;"",TEXT(AUX!AF$1,"dd-MMM-aa"),"")</f>
      </c>
      <c r="AC230" s="496" t="str">
        <f> IF(AC250&lt;&gt;"",TEXT(AUX!AG$1,"dd-MMM-aa"),"")</f>
      </c>
      <c r="AD230" s="496" t="str">
        <f> IF(AD250&lt;&gt;"",TEXT(AUX!AH$1,"dd-MMM-aa"),"")</f>
      </c>
      <c r="AE230" s="496" t="str">
        <f> IF(AE250&lt;&gt;"",TEXT(AUX!AI$1,"dd-MMM-aa"),"")</f>
      </c>
      <c r="AF230" s="496" t="str">
        <f> IF(AF250&lt;&gt;"",TEXT(AUX!AJ$1,"dd-MMM-aa"),"")</f>
      </c>
      <c r="AG230" s="496" t="str">
        <f> IF(AG250&lt;&gt;"",TEXT(AUX!AK$1,"dd-MMM-aa"),"")</f>
      </c>
      <c r="AH230" s="496" t="str">
        <f> IF(AH250&lt;&gt;"",TEXT(AUX!AL$1,"dd-MMM-aa"),"")</f>
      </c>
      <c r="AI230" s="496" t="str">
        <f> IF(AI250&lt;&gt;"",TEXT(AUX!AM$1,"dd-MMM-aa"),"")</f>
      </c>
      <c r="AJ230" s="496" t="str">
        <f> IF(AJ250&lt;&gt;"",TEXT(AUX!AN$1,"dd-MMM-aa"),"")</f>
      </c>
      <c r="AK230" s="496" t="str">
        <f> IF(AK250&lt;&gt;"",TEXT(AUX!AO$1,"dd-MMM-aa"),"")</f>
      </c>
      <c r="AL230" s="496" t="str">
        <f> IF(AL250&lt;&gt;"",TEXT(AUX!AP$1,"dd-MMM-aa"),"")</f>
      </c>
      <c r="AM230" s="496" t="str">
        <f> IF(AM250&lt;&gt;"",TEXT(AUX!AQ$1,"dd-MMM-aa"),"")</f>
      </c>
      <c r="AN230" s="496" t="str">
        <f> IF(AN250&lt;&gt;"",TEXT(AUX!AR$1,"dd-MMM-aa"),"")</f>
      </c>
      <c r="AO230" s="496" t="str">
        <f> IF(AO250&lt;&gt;"",TEXT(AUX!AS$1,"dd-MMM-aa"),"")</f>
      </c>
      <c r="AP230" s="496" t="str">
        <f> IF(AP250&lt;&gt;"",TEXT(AUX!AT$1,"dd-MMM-aa"),"")</f>
      </c>
      <c r="AQ230" s="496" t="str">
        <f> IF(AQ250&lt;&gt;"",TEXT(AUX!AU$1,"dd-MMM-aa"),"")</f>
      </c>
      <c r="AR230" s="496" t="str">
        <f> IF(AR250&lt;&gt;"",TEXT(AUX!AV$1,"dd-MMM-aa"),"")</f>
      </c>
      <c r="AS230" s="496" t="str">
        <f> IF(AS250&lt;&gt;"",TEXT(AUX!AW$1,"dd-MMM-aa"),"")</f>
      </c>
      <c r="AT230" s="496" t="str">
        <f> IF(AT250&lt;&gt;"",TEXT(AUX!AX$1,"dd-MMM-aa"),"")</f>
      </c>
      <c r="AU230" s="496" t="str">
        <f> IF(AU250&lt;&gt;"",TEXT(AUX!AY$1,"dd-MMM-aa"),"")</f>
      </c>
      <c r="AV230" s="496" t="str">
        <f> IF(AV250&lt;&gt;"",TEXT(AUX!AZ$1,"dd-MMM-aa"),"")</f>
      </c>
      <c r="AW230" s="496" t="str">
        <f> IF(AW250&lt;&gt;"",TEXT(AUX!BA$1,"dd-MMM-aa"),"")</f>
      </c>
      <c r="AX230" s="496" t="str">
        <f> IF(AX250&lt;&gt;"",TEXT(AUX!BB$1,"dd-MMM-aa"),"")</f>
      </c>
      <c r="AY230" s="496" t="str">
        <f> IF(AY250&lt;&gt;"",TEXT(AUX!BC$1,"dd-MMM-aa"),"")</f>
      </c>
      <c r="AZ230" s="496" t="str">
        <f> IF(AZ250&lt;&gt;"",TEXT(AUX!BD$1,"dd-MMM-aa"),"")</f>
      </c>
      <c r="BA230" s="496" t="str">
        <f> IF(BA250&lt;&gt;"",TEXT(AUX!BE$1,"dd-MMM-aa"),"")</f>
      </c>
      <c r="BB230" s="496" t="str">
        <f> IF(BB250&lt;&gt;"",TEXT(AUX!BF$1,"dd-MMM-aa"),"")</f>
      </c>
      <c r="BC230" s="496" t="str">
        <f> IF(BC250&lt;&gt;"",TEXT(AUX!BG$1,"dd-MMM-aa"),"")</f>
      </c>
      <c r="BD230" s="496" t="str">
        <f> IF(BD250&lt;&gt;"",TEXT(AUX!BH$1,"dd-MMM-aa"),"")</f>
      </c>
      <c r="BE230" s="496" t="str">
        <f> IF(BE250&lt;&gt;"",TEXT(AUX!BI$1,"dd-MMM-aa"),"")</f>
      </c>
      <c r="BF230" s="496" t="str">
        <f> IF(BF250&lt;&gt;"",TEXT(AUX!BJ$1,"dd-MMM-aa"),"")</f>
      </c>
      <c r="BG230" s="496" t="str">
        <f> IF(BG250&lt;&gt;"",TEXT(AUX!BK$1,"dd-MMM-aa"),"")</f>
      </c>
      <c r="BH230" s="496" t="str">
        <f> IF(BH250&lt;&gt;"",TEXT(AUX!BL$1,"dd-MMM-aa"),"")</f>
      </c>
      <c r="BI230" s="496" t="str">
        <f> IF(BI250&lt;&gt;"",TEXT(AUX!BM$1,"dd-MMM-aa"),"")</f>
      </c>
      <c r="BJ230" s="496" t="str">
        <f> IF(BJ250&lt;&gt;"",TEXT(AUX!BN$1,"dd-MMM-aa"),"")</f>
      </c>
      <c r="BK230" s="496" t="str">
        <f> IF(BK250&lt;&gt;"",TEXT(AUX!BO$1,"dd-MMM-aa"),"")</f>
      </c>
      <c r="BL230" s="496" t="str">
        <f> IF(BL250&lt;&gt;"",TEXT(AUX!BP$1,"dd-MMM-aa"),"")</f>
      </c>
      <c r="BM230" s="496" t="str">
        <f> IF(BM250&lt;&gt;"",TEXT(AUX!BQ$1,"dd-MMM-aa"),"")</f>
      </c>
      <c r="BN230" s="496" t="str">
        <f> IF(BN250&lt;&gt;"",TEXT(AUX!BR$1,"dd-MMM-aa"),"")</f>
      </c>
      <c r="BO230" s="496" t="str">
        <f> IF(BO250&lt;&gt;"",TEXT(AUX!BS$1,"dd-MMM-aa"),"")</f>
      </c>
      <c r="BP230" s="496" t="str">
        <f> IF(BP250&lt;&gt;"",TEXT(AUX!BT$1,"dd-MMM-aa"),"")</f>
      </c>
      <c r="BQ230" s="496" t="str">
        <f> IF(BQ250&lt;&gt;"",TEXT(AUX!BU$1,"dd-MMM-aa"),"")</f>
      </c>
      <c r="BR230" s="496" t="str">
        <f> IF(BR250&lt;&gt;"",TEXT(AUX!BV$1,"dd-MMM-aa"),"")</f>
      </c>
      <c r="BS230" s="496" t="str">
        <f> IF(BS250&lt;&gt;"",TEXT(AUX!BW$1,"dd-MMM-aa"),"")</f>
      </c>
      <c r="BT230" s="496" t="str">
        <f> IF(BT250&lt;&gt;"",TEXT(AUX!BX$1,"dd-MMM-aa"),"")</f>
      </c>
      <c r="BU230" s="496" t="str">
        <f> IF(BU250&lt;&gt;"",TEXT(AUX!BY$1,"dd-MMM-aa"),"")</f>
      </c>
      <c r="BV230" s="496" t="str">
        <f> IF(BV250&lt;&gt;"",TEXT(AUX!BZ$1,"dd-MMM-aa"),"")</f>
      </c>
      <c r="BW230" s="496" t="str">
        <f> IF(BW250&lt;&gt;"",TEXT(AUX!CA$1,"dd-MMM-aa"),"")</f>
      </c>
      <c r="BX230" s="496" t="str">
        <f> IF(BX250&lt;&gt;"",TEXT(AUX!CB$1,"dd-MMM-aa"),"")</f>
      </c>
      <c r="BY230" s="496" t="str">
        <f> IF(BY250&lt;&gt;"",TEXT(AUX!CC$1,"dd-MMM-aa"),"")</f>
      </c>
      <c r="BZ230" s="496" t="str">
        <f> IF(BZ250&lt;&gt;"",TEXT(AUX!CD$1,"dd-MMM-aa"),"")</f>
      </c>
      <c r="CA230" s="496" t="str">
        <f> IF(CA250&lt;&gt;"",TEXT(AUX!CE$1,"dd-MMM-aa"),"")</f>
      </c>
      <c r="CB230" s="496" t="str">
        <f> IF(CB250&lt;&gt;"",TEXT(AUX!CF$1,"dd-MMM-aa"),"")</f>
      </c>
      <c r="CC230" s="496" t="str">
        <f> IF(CC250&lt;&gt;"",TEXT(AUX!CG$1,"dd-MMM-aa"),"")</f>
      </c>
      <c r="CD230" s="496" t="str">
        <f> IF(CD250&lt;&gt;"",TEXT(AUX!CH$1,"dd-MMM-aa"),"")</f>
      </c>
      <c r="CE230" s="496" t="str">
        <f> IF(CE250&lt;&gt;"",TEXT(AUX!CI$1,"dd-MMM-aa"),"")</f>
      </c>
      <c r="CF230" s="496" t="str">
        <f> IF(CF250&lt;&gt;"",TEXT(AUX!CJ$1,"dd-MMM-aa"),"")</f>
      </c>
      <c r="CG230" s="496" t="str">
        <f> IF(CG250&lt;&gt;"",TEXT(AUX!CK$1,"dd-MMM-aa"),"")</f>
      </c>
      <c r="CH230" s="496" t="str">
        <f> IF(CH250&lt;&gt;"",TEXT(AUX!CL$1,"dd-MMM-aa"),"")</f>
      </c>
      <c r="CI230" s="496" t="str">
        <f> IF(CI250&lt;&gt;"",TEXT(AUX!CM$1,"dd-MMM-aa"),"")</f>
      </c>
      <c r="CJ230" s="496" t="str">
        <f> IF(CJ250&lt;&gt;"",TEXT(AUX!CN$1,"dd-MMM-aa"),"")</f>
      </c>
      <c r="CK230" s="496" t="str">
        <f> IF(CK250&lt;&gt;"",TEXT(AUX!CO$1,"dd-MMM-aa"),"")</f>
      </c>
      <c r="CL230" s="496" t="str">
        <f> IF(CL250&lt;&gt;"",TEXT(AUX!CP$1,"dd-MMM-aa"),"")</f>
      </c>
      <c r="CM230" s="496" t="str">
        <f> IF(CM250&lt;&gt;"",TEXT(AUX!CQ$1,"dd-MMM-aa"),"")</f>
      </c>
      <c r="CN230" s="496" t="str">
        <f> IF(CN250&lt;&gt;"",TEXT(AUX!CR$1,"dd-MMM-aa"),"")</f>
      </c>
      <c r="CO230" s="496" t="str">
        <f> IF(CO250&lt;&gt;"",TEXT(AUX!CS$1,"dd-MMM-aa"),"")</f>
      </c>
      <c r="CP230" s="496" t="str">
        <f> IF(CP250&lt;&gt;"",TEXT(AUX!CT$1,"dd-MMM-aa"),"")</f>
      </c>
      <c r="CQ230" s="496" t="str">
        <f> IF(CQ250&lt;&gt;"",TEXT(AUX!CU$1,"dd-MMM-aa"),"")</f>
      </c>
      <c r="CR230" s="496" t="str">
        <f> IF(CR250&lt;&gt;"",TEXT(AUX!CV$1,"dd-MMM-aa"),"")</f>
      </c>
      <c r="CS230" s="496" t="str">
        <f> IF(CS250&lt;&gt;"",TEXT(AUX!CW$1,"dd-MMM-aa"),"")</f>
      </c>
      <c r="CT230" s="496" t="str">
        <f> IF(CT250&lt;&gt;"",TEXT(AUX!CX$1,"dd-MMM-aa"),"")</f>
      </c>
      <c r="CU230" s="496" t="str">
        <f> IF(CU250&lt;&gt;"",TEXT(AUX!CY$1,"dd-MMM-aa"),"")</f>
      </c>
      <c r="CV230" s="496" t="str">
        <f> IF(CV250&lt;&gt;"",TEXT(AUX!CZ$1,"dd-MMM-aa"),"")</f>
      </c>
      <c r="CW230" s="496" t="str">
        <f> IF(CW250&lt;&gt;"",TEXT(AUX!DA$1,"dd-MMM-aa"),"")</f>
      </c>
      <c r="CX230" s="496" t="str">
        <f> IF(CX250&lt;&gt;"",TEXT(AUX!DB$1,"dd-MMM-aa"),"")</f>
      </c>
      <c r="CY230" s="496" t="str">
        <f> IF(CY250&lt;&gt;"",TEXT(AUX!DC$1,"dd-MMM-aa"),"")</f>
      </c>
      <c r="CZ230" s="496" t="str">
        <f> IF(CZ250&lt;&gt;"",TEXT(AUX!DD$1,"dd-MMM-aa"),"")</f>
      </c>
      <c r="DA230" s="496" t="str">
        <f> IF(DA250&lt;&gt;"",TEXT(AUX!DE$1,"dd-MMM-aa"),"")</f>
      </c>
      <c r="DB230" s="496" t="str">
        <f> IF(DB250&lt;&gt;"",TEXT(AUX!DF$1,"dd-MMM-aa"),"")</f>
      </c>
      <c r="DC230" s="496" t="str">
        <f> IF(DC250&lt;&gt;"",TEXT(AUX!DG$1,"dd-MMM-aa"),"")</f>
      </c>
      <c r="DD230" s="496" t="str">
        <f> IF(DD250&lt;&gt;"",TEXT(AUX!DH$1,"dd-MMM-aa"),"")</f>
      </c>
      <c r="DE230" s="496" t="str">
        <f> IF(DE250&lt;&gt;"",TEXT(AUX!DI$1,"dd-MMM-aa"),"")</f>
      </c>
      <c r="DF230" s="496" t="str">
        <f> IF(DF250&lt;&gt;"",TEXT(AUX!DJ$1,"dd-MMM-aa"),"")</f>
      </c>
      <c r="DG230" s="496" t="str">
        <f> IF(DG250&lt;&gt;"",TEXT(AUX!DK$1,"dd-MMM-aa"),"")</f>
      </c>
      <c r="DH230" s="496" t="str">
        <f> IF(DH250&lt;&gt;"",TEXT(AUX!DL$1,"dd-MMM-aa"),"")</f>
      </c>
      <c r="DI230" s="496" t="str">
        <f> IF(DI250&lt;&gt;"",TEXT(AUX!DM$1,"dd-MMM-aa"),"")</f>
      </c>
      <c r="DJ230" s="496" t="str">
        <f> IF(DJ250&lt;&gt;"",TEXT(AUX!DN$1,"dd-MMM-aa"),"")</f>
      </c>
      <c r="DK230" s="496" t="str">
        <f> IF(DK250&lt;&gt;"",TEXT(AUX!DO$1,"dd-MMM-aa"),"")</f>
      </c>
      <c r="DL230" s="496" t="str">
        <f> IF(DL250&lt;&gt;"",TEXT(AUX!DP$1,"dd-MMM-aa"),"")</f>
      </c>
      <c r="DM230" s="496" t="str">
        <f> IF(DM250&lt;&gt;"",TEXT(AUX!DQ$1,"dd-MMM-aa"),"")</f>
      </c>
      <c r="DN230" s="496" t="str">
        <f> IF(DN250&lt;&gt;"",TEXT(AUX!DR$1,"dd-MMM-aa"),"")</f>
      </c>
      <c r="DO230" s="496" t="str">
        <f> IF(DO250&lt;&gt;"",TEXT(AUX!DS$1,"dd-MMM-aa"),"")</f>
      </c>
      <c r="DP230" s="496" t="str">
        <f> IF(DP250&lt;&gt;"",TEXT(AUX!DT$1,"dd-MMM-aa"),"")</f>
      </c>
      <c r="DQ230" s="496" t="str">
        <f> IF(DQ250&lt;&gt;"",TEXT(AUX!DU$1,"dd-MMM-aa"),"")</f>
      </c>
      <c r="DR230" s="496" t="str">
        <f> IF(DR250&lt;&gt;"",TEXT(AUX!DV$1,"dd-MMM-aa"),"")</f>
      </c>
      <c r="DS230" s="496" t="str">
        <f> IF(DS250&lt;&gt;"",TEXT(AUX!DW$1,"dd-MMM-aa"),"")</f>
      </c>
      <c r="DT230" s="496" t="str">
        <f> IF(DT250&lt;&gt;"",TEXT(AUX!DX$1,"dd-MMM-aa"),"")</f>
      </c>
      <c r="DU230" s="496" t="str">
        <f> IF(DU250&lt;&gt;"",TEXT(AUX!DY$1,"dd-MMM-aa"),"")</f>
      </c>
      <c r="DV230" s="496" t="str">
        <f> IF(DV250&lt;&gt;"",TEXT(AUX!DZ$1,"dd-MMM-aa"),"")</f>
      </c>
      <c r="DW230" s="496" t="str">
        <f> IF(DW250&lt;&gt;"",TEXT(AUX!EA$1,"dd-MMM-aa"),"")</f>
      </c>
      <c r="DX230" s="496" t="str">
        <f> IF(DX250&lt;&gt;"",TEXT(AUX!EB$1,"dd-MMM-aa"),"")</f>
      </c>
      <c r="DY230" s="496" t="str">
        <f> IF(DY250&lt;&gt;"",TEXT(AUX!EC$1,"dd-MMM-aa"),"")</f>
      </c>
      <c r="DZ230" s="496" t="str">
        <f> IF(DZ250&lt;&gt;"",TEXT(AUX!ED$1,"dd-MMM-aa"),"")</f>
      </c>
      <c r="EA230" s="496" t="str">
        <f> IF(EA250&lt;&gt;"",TEXT(AUX!EE$1,"dd-MMM-aa"),"")</f>
      </c>
      <c r="EB230" s="496" t="str">
        <f> IF(EB250&lt;&gt;"",TEXT(AUX!EF$1,"dd-MMM-aa"),"")</f>
      </c>
      <c r="EC230" s="496" t="str">
        <f> IF(EC250&lt;&gt;"",TEXT(AUX!EG$1,"dd-MMM-aa"),"")</f>
      </c>
      <c r="ED230" s="496" t="str">
        <f> IF(ED250&lt;&gt;"",TEXT(AUX!EH$1,"dd-MMM-aa"),"")</f>
      </c>
      <c r="EE230" s="496" t="str">
        <f> IF(EE250&lt;&gt;"",TEXT(AUX!EI$1,"dd-MMM-aa"),"")</f>
      </c>
      <c r="EF230" s="496" t="str">
        <f> IF(EF250&lt;&gt;"",TEXT(AUX!EJ$1,"dd-MMM-aa"),"")</f>
      </c>
      <c r="EG230" s="496" t="str">
        <f> IF(EG250&lt;&gt;"",TEXT(AUX!EK$1,"dd-MMM-aa"),"")</f>
      </c>
      <c r="EH230" s="496" t="str">
        <f> IF(EH250&lt;&gt;"",TEXT(AUX!EL$1,"dd-MMM-aa"),"")</f>
      </c>
      <c r="EI230" s="496" t="str">
        <f> IF(EI250&lt;&gt;"",TEXT(AUX!EM$1,"dd-MMM-aa"),"")</f>
      </c>
      <c r="EJ230" s="496" t="str">
        <f> IF(EJ250&lt;&gt;"",TEXT(AUX!EN$1,"dd-MMM-aa"),"")</f>
      </c>
      <c r="EK230" s="496" t="str">
        <f> IF(EK250&lt;&gt;"",TEXT(AUX!EO$1,"dd-MMM-aa"),"")</f>
      </c>
      <c r="EL230" s="496" t="str">
        <f> IF(EL250&lt;&gt;"",TEXT(AUX!EP$1,"dd-MMM-aa"),"")</f>
      </c>
      <c r="EM230" s="496" t="str">
        <f> IF(EM250&lt;&gt;"",TEXT(AUX!EQ$1,"dd-MMM-aa"),"")</f>
      </c>
      <c r="EN230" s="496" t="str">
        <f> IF(EN250&lt;&gt;"",TEXT(AUX!ER$1,"dd-MMM-aa"),"")</f>
      </c>
      <c r="EO230" s="496" t="str">
        <f> IF(EO250&lt;&gt;"",TEXT(AUX!ES$1,"dd-MMM-aa"),"")</f>
      </c>
      <c r="EP230" s="496" t="str">
        <f> IF(EP250&lt;&gt;"",TEXT(AUX!ET$1,"dd-MMM-aa"),"")</f>
      </c>
      <c r="EQ230" s="496" t="str">
        <f> IF(EQ250&lt;&gt;"",TEXT(AUX!EU$1,"dd-MMM-aa"),"")</f>
      </c>
      <c r="ER230" s="496" t="str">
        <f> IF(ER250&lt;&gt;"",TEXT(AUX!EV$1,"dd-MMM-aa"),"")</f>
      </c>
      <c r="ES230" s="496" t="str">
        <f> IF(ES250&lt;&gt;"",TEXT(AUX!EW$1,"dd-MMM-aa"),"")</f>
      </c>
      <c r="ET230" s="496" t="str">
        <f> IF(ET250&lt;&gt;"",TEXT(AUX!EX$1,"dd-MMM-aa"),"")</f>
      </c>
      <c r="EU230" s="496" t="str">
        <f> IF(EU250&lt;&gt;"",TEXT(AUX!EY$1,"dd-MMM-aa"),"")</f>
      </c>
      <c r="EV230" s="496" t="str">
        <f> IF(EV250&lt;&gt;"",TEXT(AUX!EZ$1,"dd-MMM-aa"),"")</f>
      </c>
      <c r="EW230" s="496" t="str">
        <f> IF(EW250&lt;&gt;"",TEXT(AUX!FA$1,"dd-MMM-aa"),"")</f>
      </c>
      <c r="EX230" s="496" t="str">
        <f> IF(EX250&lt;&gt;"",TEXT(AUX!FB$1,"dd-MMM-aa"),"")</f>
      </c>
      <c r="EY230" s="496" t="str">
        <f> IF(EY250&lt;&gt;"",TEXT(AUX!FC$1,"dd-MMM-aa"),"")</f>
      </c>
      <c r="EZ230" s="496" t="str">
        <f> IF(EZ250&lt;&gt;"",TEXT(AUX!FD$1,"dd-MMM-aa"),"")</f>
      </c>
      <c r="FA230" s="496" t="str">
        <f> IF(FA250&lt;&gt;"",TEXT(AUX!FE$1,"dd-MMM-aa"),"")</f>
      </c>
      <c r="FB230" s="496" t="str">
        <f> IF(FB250&lt;&gt;"",TEXT(AUX!FF$1,"dd-MMM-aa"),"")</f>
      </c>
      <c r="FC230" s="496" t="str">
        <f> IF(FC250&lt;&gt;"",TEXT(AUX!FG$1,"dd-MMM-aa"),"")</f>
      </c>
      <c r="FD230" s="496" t="str">
        <f> IF(FD250&lt;&gt;"",TEXT(AUX!FH$1,"dd-MMM-aa"),"")</f>
      </c>
      <c r="FE230" s="496" t="str">
        <f> IF(FE250&lt;&gt;"",TEXT(AUX!FI$1,"dd-MMM-aa"),"")</f>
      </c>
      <c r="FF230" s="496" t="str">
        <f> IF(FF250&lt;&gt;"",TEXT(AUX!FJ$1,"dd-MMM-aa"),"")</f>
      </c>
      <c r="FG230" s="496" t="str">
        <f> IF(FG250&lt;&gt;"",TEXT(AUX!FK$1,"dd-MMM-aa"),"")</f>
      </c>
      <c r="FH230" s="496" t="str">
        <f> IF(FH250&lt;&gt;"",TEXT(AUX!FL$1,"dd-MMM-aa"),"")</f>
      </c>
      <c r="FI230" s="496" t="str">
        <f> IF(FI250&lt;&gt;"",TEXT(AUX!FM$1,"dd-MMM-aa"),"")</f>
      </c>
      <c r="FJ230" s="496" t="str">
        <f> IF(FJ250&lt;&gt;"",TEXT(AUX!FN$1,"dd-MMM-aa"),"")</f>
      </c>
      <c r="FK230" s="496" t="str">
        <f> IF(FK250&lt;&gt;"",TEXT(AUX!FO$1,"dd-MMM-aa"),"")</f>
      </c>
      <c r="FL230" s="496" t="str">
        <f> IF(FL250&lt;&gt;"",TEXT(AUX!FP$1,"dd-MMM-aa"),"")</f>
      </c>
      <c r="FM230" s="496" t="str">
        <f> IF(FM250&lt;&gt;"",TEXT(AUX!FQ$1,"dd-MMM-aa"),"")</f>
      </c>
      <c r="FN230" s="496" t="str">
        <f> IF(FN250&lt;&gt;"",TEXT(AUX!FR$1,"dd-MMM-aa"),"")</f>
      </c>
      <c r="FO230" s="496" t="str">
        <f> IF(FO250&lt;&gt;"",TEXT(AUX!FS$1,"dd-MMM-aa"),"")</f>
      </c>
      <c r="FP230" s="496" t="str">
        <f> IF(FP250&lt;&gt;"",TEXT(AUX!FT$1,"dd-MMM-aa"),"")</f>
      </c>
      <c r="FQ230" s="496" t="str">
        <f> IF(FQ250&lt;&gt;"",TEXT(AUX!FU$1,"dd-MMM-aa"),"")</f>
      </c>
      <c r="FR230" s="496" t="str">
        <f> IF(FR250&lt;&gt;"",TEXT(AUX!FV$1,"dd-MMM-aa"),"")</f>
      </c>
      <c r="FS230" s="496" t="str">
        <f> IF(FS250&lt;&gt;"",TEXT(AUX!FW$1,"dd-MMM-aa"),"")</f>
      </c>
      <c r="FT230" s="496" t="str">
        <f> IF(FT250&lt;&gt;"",TEXT(AUX!FX$1,"dd-MMM-aa"),"")</f>
      </c>
      <c r="FU230" s="496" t="str">
        <f> IF(FU250&lt;&gt;"",TEXT(AUX!FY$1,"dd-MMM-aa"),"")</f>
      </c>
      <c r="FV230" s="496" t="str">
        <f> IF(FV250&lt;&gt;"",TEXT(AUX!FZ$1,"dd-MMM-aa"),"")</f>
      </c>
      <c r="FW230" s="496" t="str">
        <f> IF(FW250&lt;&gt;"",TEXT(AUX!GA$1,"dd-MMM-aa"),"")</f>
      </c>
      <c r="FX230" s="496" t="str">
        <f> IF(FX250&lt;&gt;"",TEXT(AUX!GB$1,"dd-MMM-aa"),"")</f>
      </c>
      <c r="FY230" s="496" t="str">
        <f> IF(FY250&lt;&gt;"",TEXT(AUX!GC$1,"dd-MMM-aa"),"")</f>
      </c>
      <c r="FZ230" s="496" t="str">
        <f> IF(FZ250&lt;&gt;"",TEXT(AUX!GD$1,"dd-MMM-aa"),"")</f>
      </c>
      <c r="GA230" s="496" t="str">
        <f> IF(GA250&lt;&gt;"",TEXT(AUX!GE$1,"dd-MMM-aa"),"")</f>
      </c>
      <c r="GB230" s="496" t="str">
        <f> IF(GB250&lt;&gt;"",TEXT(AUX!GF$1,"dd-MMM-aa"),"")</f>
      </c>
      <c r="GC230" s="496" t="str">
        <f> IF(GC250&lt;&gt;"",TEXT(AUX!GG$1,"dd-MMM-aa"),"")</f>
      </c>
      <c r="GD230" s="496" t="str">
        <f> IF(GD250&lt;&gt;"",TEXT(AUX!GH$1,"dd-MMM-aa"),"")</f>
      </c>
      <c r="GE230" s="496" t="str">
        <f> IF(GE250&lt;&gt;"",TEXT(AUX!GI$1,"dd-MMM-aa"),"")</f>
      </c>
      <c r="GF230" s="496" t="str">
        <f> IF(GF250&lt;&gt;"",TEXT(AUX!GJ$1,"dd-MMM-aa"),"")</f>
      </c>
      <c r="GG230" s="496" t="str">
        <f> IF(GG250&lt;&gt;"",TEXT(AUX!GK$1,"dd-MMM-aa"),"")</f>
      </c>
      <c r="GH230" s="496" t="str">
        <f> IF(GH250&lt;&gt;"",TEXT(AUX!GL$1,"dd-MMM-aa"),"")</f>
      </c>
      <c r="GI230" s="496" t="str">
        <f> IF(GI250&lt;&gt;"",TEXT(AUX!GM$1,"dd-MMM-aa"),"")</f>
      </c>
      <c r="GJ230" s="496" t="str">
        <f> IF(GJ250&lt;&gt;"",TEXT(AUX!GN$1,"dd-MMM-aa"),"")</f>
      </c>
      <c r="GK230" s="496" t="str">
        <f> IF(GK250&lt;&gt;"",TEXT(AUX!GO$1,"dd-MMM-aa"),"")</f>
      </c>
      <c r="GL230" s="496" t="str">
        <f> IF(GL250&lt;&gt;"",TEXT(AUX!GP$1,"dd-MMM-aa"),"")</f>
      </c>
      <c r="GM230" s="496" t="str">
        <f> IF(GM250&lt;&gt;"",TEXT(AUX!GQ$1,"dd-MMM-aa"),"")</f>
      </c>
      <c r="GN230" s="496" t="str">
        <f> IF(GN250&lt;&gt;"",TEXT(AUX!GR$1,"dd-MMM-aa"),"")</f>
      </c>
      <c r="GO230" s="496" t="str">
        <f> IF(GO250&lt;&gt;"",TEXT(AUX!GS$1,"dd-MMM-aa"),"")</f>
      </c>
      <c r="GP230" s="496" t="str">
        <f> IF(GP250&lt;&gt;"",TEXT(AUX!GT$1,"dd-MMM-aa"),"")</f>
      </c>
      <c r="GQ230" s="496" t="str">
        <f> IF(GQ250&lt;&gt;"",TEXT(AUX!GU$1,"dd-MMM-aa"),"")</f>
      </c>
      <c r="GR230" s="496" t="str">
        <f> IF(GR250&lt;&gt;"",TEXT(AUX!GV$1,"dd-MMM-aa"),"")</f>
      </c>
      <c r="GS230" s="496" t="str">
        <f> IF(GS250&lt;&gt;"",TEXT(AUX!GW$1,"dd-MMM-aa"),"")</f>
      </c>
      <c r="GT230" s="496" t="str">
        <f> IF(GT250&lt;&gt;"",TEXT(AUX!GX$1,"dd-MMM-aa"),"")</f>
      </c>
      <c r="GU230" s="496" t="str">
        <f> IF(GU250&lt;&gt;"",TEXT(AUX!GY$1,"dd-MMM-aa"),"")</f>
      </c>
      <c r="GV230" s="496" t="str">
        <f> IF(GV250&lt;&gt;"",TEXT(AUX!GZ$1,"dd-MMM-aa"),"")</f>
      </c>
      <c r="GW230" s="496" t="str">
        <f> IF(GW250&lt;&gt;"",TEXT(AUX!HA$1,"dd-MMM-aa"),"")</f>
      </c>
      <c r="GX230" s="496" t="str">
        <f> IF(GX250&lt;&gt;"",TEXT(AUX!HB$1,"dd-MMM-aa"),"")</f>
      </c>
      <c r="GY230" s="496" t="str">
        <f> IF(GY250&lt;&gt;"",TEXT(AUX!HC$1,"dd-MMM-aa"),"")</f>
      </c>
      <c r="GZ230" s="496" t="str">
        <f> IF(GZ250&lt;&gt;"",TEXT(AUX!HD$1,"dd-MMM-aa"),"")</f>
      </c>
      <c r="HA230" s="496" t="str">
        <f> IF(HA250&lt;&gt;"",TEXT(AUX!HE$1,"dd-MMM-aa"),"")</f>
      </c>
      <c r="HB230" s="496" t="str">
        <f> IF(HB250&lt;&gt;"",TEXT(AUX!HF$1,"dd-MMM-aa"),"")</f>
      </c>
      <c r="HC230" s="496" t="str">
        <f> IF(HC250&lt;&gt;"",TEXT(AUX!HG$1,"dd-MMM-aa"),"")</f>
      </c>
      <c r="HD230" s="496" t="str">
        <f> IF(HD250&lt;&gt;"",TEXT(AUX!HH$1,"dd-MMM-aa"),"")</f>
      </c>
      <c r="HE230" s="496" t="str">
        <f> IF(HE250&lt;&gt;"",TEXT(AUX!HI$1,"dd-MMM-aa"),"")</f>
      </c>
      <c r="HF230" s="496" t="str">
        <f> IF(HF250&lt;&gt;"",TEXT(AUX!HJ$1,"dd-MMM-aa"),"")</f>
      </c>
      <c r="HG230" s="496" t="str">
        <f> IF(HG250&lt;&gt;"",TEXT(AUX!HK$1,"dd-MMM-aa"),"")</f>
      </c>
      <c r="HH230" s="496" t="str">
        <f> IF(HH250&lt;&gt;"",TEXT(AUX!HL$1,"dd-MMM-aa"),"")</f>
      </c>
      <c r="HI230" s="496" t="str">
        <f> IF(HI250&lt;&gt;"",TEXT(AUX!HM$1,"dd-MMM-aa"),"")</f>
      </c>
      <c r="HJ230" s="496" t="str">
        <f> IF(HJ250&lt;&gt;"",TEXT(AUX!HN$1,"dd-MMM-aa"),"")</f>
      </c>
      <c r="HK230" s="496" t="str">
        <f> IF(HK250&lt;&gt;"",TEXT(AUX!HO$1,"dd-MMM-aa"),"")</f>
      </c>
      <c r="HL230" s="496" t="str">
        <f> IF(HL250&lt;&gt;"",TEXT(AUX!HP$1,"dd-MMM-aa"),"")</f>
      </c>
      <c r="HM230" s="496" t="str">
        <f> IF(HM250&lt;&gt;"",TEXT(AUX!HQ$1,"dd-MMM-aa"),"")</f>
      </c>
      <c r="HN230" s="496" t="str">
        <f> IF(HN250&lt;&gt;"",TEXT(AUX!HR$1,"dd-MMM-aa"),"")</f>
      </c>
      <c r="HO230" s="496" t="str">
        <f> IF(HO250&lt;&gt;"",TEXT(AUX!HS$1,"dd-MMM-aa"),"")</f>
      </c>
      <c r="HP230" s="496" t="str">
        <f> IF(HP250&lt;&gt;"",TEXT(AUX!HT$1,"dd-MMM-aa"),"")</f>
      </c>
      <c r="HQ230" s="496" t="str">
        <f> IF(HQ250&lt;&gt;"",TEXT(AUX!HU$1,"dd-MMM-aa"),"")</f>
      </c>
      <c r="HR230" s="496" t="str">
        <f> IF(HR250&lt;&gt;"",TEXT(AUX!HV$1,"dd-MMM-aa"),"")</f>
      </c>
      <c r="HS230" s="496" t="str">
        <f> IF(HS250&lt;&gt;"",TEXT(AUX!HW$1,"dd-MMM-aa"),"")</f>
      </c>
      <c r="HT230" s="496" t="str">
        <f> IF(HT250&lt;&gt;"",TEXT(AUX!HX$1,"dd-MMM-aa"),"")</f>
      </c>
      <c r="HU230" s="496" t="str">
        <f> IF(HU250&lt;&gt;"",TEXT(AUX!HY$1,"dd-MMM-aa"),"")</f>
      </c>
      <c r="HV230" s="496" t="str">
        <f> IF(HV250&lt;&gt;"",TEXT(AUX!HZ$1,"dd-MMM-aa"),"")</f>
      </c>
      <c r="HW230" s="496" t="str">
        <f> IF(HW250&lt;&gt;"",TEXT(AUX!IA$1,"dd-MMM-aa"),"")</f>
      </c>
      <c r="HX230" s="496" t="str">
        <f> IF(HX250&lt;&gt;"",TEXT(AUX!IB$1,"dd-MMM-aa"),"")</f>
      </c>
      <c r="HY230" s="496" t="str">
        <f> IF(HY250&lt;&gt;"",TEXT(AUX!IC$1,"dd-MMM-aa"),"")</f>
      </c>
      <c r="HZ230" s="496" t="str">
        <f> IF(HZ250&lt;&gt;"",TEXT(AUX!ID$1,"dd-MMM-aa"),"")</f>
      </c>
      <c r="IA230" s="496" t="str">
        <f> IF(IA250&lt;&gt;"",TEXT(AUX!IE$1,"dd-MMM-aa"),"")</f>
      </c>
      <c r="IB230" s="496" t="str">
        <f> IF(IB250&lt;&gt;"",TEXT(AUX!IF$1,"dd-MMM-aa"),"")</f>
      </c>
      <c r="IC230" s="496" t="str">
        <f> IF(IC250&lt;&gt;"",TEXT(AUX!IG$1,"dd-MMM-aa"),"")</f>
      </c>
      <c r="ID230" s="496" t="str">
        <f> IF(ID250&lt;&gt;"",TEXT(AUX!IH$1,"dd-MMM-aa"),"")</f>
      </c>
      <c r="IE230" s="496" t="str">
        <f> IF(IE250&lt;&gt;"",TEXT(AUX!II$1,"dd-MMM-aa"),"")</f>
      </c>
      <c r="IF230" s="496" t="str">
        <f> IF(IF250&lt;&gt;"",TEXT(AUX!IJ$1,"dd-MMM-aa"),"")</f>
      </c>
      <c r="IG230" s="496" t="str">
        <f> IF(IG250&lt;&gt;"",TEXT(AUX!IK$1,"dd-MMM-aa"),"")</f>
      </c>
      <c r="IH230" s="496" t="str">
        <f> IF(IH250&lt;&gt;"",TEXT(AUX!IL$1,"dd-MMM-aa"),"")</f>
      </c>
      <c r="II230" s="496" t="str">
        <f> IF(II250&lt;&gt;"",TEXT(AUX!IM$1,"dd-MMM-aa"),"")</f>
      </c>
      <c r="IJ230" s="496" t="str">
        <f> IF(IJ250&lt;&gt;"",TEXT(AUX!IN$1,"dd-MMM-aa"),"")</f>
      </c>
      <c r="IK230" s="496" t="str">
        <f> IF(IK250&lt;&gt;"",TEXT(AUX!IO$1,"dd-MMM-aa"),"")</f>
      </c>
      <c r="IL230" s="496" t="str">
        <f> IF(IL250&lt;&gt;"",TEXT(AUX!IP$1,"dd-MMM-aa"),"")</f>
      </c>
      <c r="IM230" s="496" t="str">
        <f> IF(IM250&lt;&gt;"",TEXT(AUX!IQ$1,"dd-MMM-aa"),"")</f>
      </c>
      <c r="IN230" s="496" t="str">
        <f> IF(IN250&lt;&gt;"",TEXT(AUX!IR$1,"dd-MMM-aa"),"")</f>
      </c>
      <c r="IO230" s="496" t="str">
        <f> IF(IO250&lt;&gt;"",TEXT(AUX!IS$1,"dd-MMM-aa"),"")</f>
      </c>
      <c r="IP230" s="496" t="str">
        <f> IF(IP250&lt;&gt;"",TEXT(AUX!IT$1,"dd-MMM-aa"),"")</f>
      </c>
      <c r="IQ230" s="496" t="str">
        <f> IF(IQ250&lt;&gt;"",TEXT(AUX!IU$1,"dd-MMM-aa"),"")</f>
      </c>
      <c r="IR230" s="496" t="str">
        <f> IF(IR250&lt;&gt;"",TEXT(AUX!IV$1,"dd-MMM-aa"),"")</f>
      </c>
      <c r="IS230" s="496" t="str">
        <f> IF(IS250&lt;&gt;"",TEXT(AUX!#REF!,"dd-MMM-aa"),"")</f>
      </c>
      <c r="IT230" s="496" t="str">
        <f> IF(IT250&lt;&gt;"",TEXT(AUX!#REF!,"dd-MMM-aa"),"")</f>
      </c>
      <c r="IU230" s="496" t="str">
        <f> IF(IU250&lt;&gt;"",TEXT(AUX!#REF!,"dd-MMM-aa"),"")</f>
      </c>
      <c r="IV230" s="496" t="str">
        <f> IF(IV250&lt;&gt;"",TEXT(AUX!#REF!,"dd-MMM-aa"),"")</f>
      </c>
    </row>
    <row r="231" hidden="1">
      <c r="B231" s="833" t="s">
        <v>8</v>
      </c>
      <c r="C231" s="827">
        <v>990</v>
      </c>
      <c r="D231" s="827">
        <v>995</v>
      </c>
      <c r="E231" s="827">
        <v>1004</v>
      </c>
      <c r="F231" s="827">
        <v>1019</v>
      </c>
      <c r="G231" s="827">
        <v>1009</v>
      </c>
      <c r="H231" s="827">
        <v>1008</v>
      </c>
      <c r="I231" s="827">
        <v>1001</v>
      </c>
      <c r="J231" s="827">
        <v>990</v>
      </c>
      <c r="K231" s="827">
        <v>960</v>
      </c>
      <c r="L231" s="827">
        <v>948</v>
      </c>
      <c r="M231" s="827">
        <v>726</v>
      </c>
      <c r="N231" s="827">
        <v>858</v>
      </c>
      <c r="O231" s="827">
        <v>812</v>
      </c>
      <c r="P231" s="827">
        <v>812</v>
      </c>
      <c r="Q231" s="827">
        <v>779</v>
      </c>
      <c r="R231" s="827">
        <v>768</v>
      </c>
      <c r="S231" s="827">
        <v>762</v>
      </c>
      <c r="T231" s="827">
        <v>759</v>
      </c>
      <c r="U231" s="827">
        <v>702</v>
      </c>
      <c r="V231" s="827">
        <v>703</v>
      </c>
      <c r="W231" s="827">
        <v>702</v>
      </c>
      <c r="X231" s="827">
        <v>689</v>
      </c>
      <c r="Y231" s="827">
        <v>681</v>
      </c>
      <c r="Z231" s="827">
        <v>690</v>
      </c>
      <c r="AA231" s="827">
        <v>694</v>
      </c>
      <c r="AB231" s="834">
        <v>708</v>
      </c>
      <c r="AC231" s="828">
        <v>730</v>
      </c>
      <c r="AD231" s="828">
        <v>739</v>
      </c>
      <c r="AE231" s="828">
        <v>744</v>
      </c>
      <c r="AF231" s="828">
        <v>758</v>
      </c>
      <c r="AG231" s="828">
        <v>748</v>
      </c>
      <c r="AH231" s="828">
        <v>741</v>
      </c>
      <c r="AI231" s="828">
        <v>741</v>
      </c>
      <c r="AJ231" s="828">
        <v>735</v>
      </c>
      <c r="AK231" s="828">
        <v>724</v>
      </c>
      <c r="AL231" s="828">
        <v>692</v>
      </c>
      <c r="AM231" s="828">
        <v>676</v>
      </c>
      <c r="AN231" s="828">
        <v>677</v>
      </c>
      <c r="AO231" s="828">
        <v>674</v>
      </c>
      <c r="AP231" s="828">
        <v>683</v>
      </c>
    </row>
    <row r="232" hidden="1">
      <c r="B232" s="829" t="s">
        <v>9</v>
      </c>
      <c r="C232" s="823">
        <v>454</v>
      </c>
      <c r="D232" s="823">
        <v>442</v>
      </c>
      <c r="E232" s="823">
        <v>438</v>
      </c>
      <c r="F232" s="823">
        <v>423</v>
      </c>
      <c r="G232" s="823">
        <v>424</v>
      </c>
      <c r="H232" s="823">
        <v>430</v>
      </c>
      <c r="I232" s="823">
        <v>435</v>
      </c>
      <c r="J232" s="823">
        <v>434</v>
      </c>
      <c r="K232" s="823">
        <v>427</v>
      </c>
      <c r="L232" s="823">
        <v>417</v>
      </c>
      <c r="M232" s="823">
        <v>402</v>
      </c>
      <c r="N232" s="823">
        <v>405</v>
      </c>
      <c r="O232" s="823">
        <v>409</v>
      </c>
      <c r="P232" s="823">
        <v>413</v>
      </c>
      <c r="Q232" s="823">
        <v>414</v>
      </c>
      <c r="R232" s="823">
        <v>418</v>
      </c>
      <c r="S232" s="823">
        <v>418</v>
      </c>
      <c r="T232" s="823">
        <v>423</v>
      </c>
      <c r="U232" s="823">
        <v>435</v>
      </c>
      <c r="V232" s="823">
        <v>411</v>
      </c>
      <c r="W232" s="823">
        <v>418</v>
      </c>
      <c r="X232" s="823">
        <v>417</v>
      </c>
      <c r="Y232" s="823">
        <v>412</v>
      </c>
      <c r="Z232" s="823">
        <v>414</v>
      </c>
      <c r="AA232" s="823">
        <v>408</v>
      </c>
      <c r="AB232" s="823">
        <v>408</v>
      </c>
      <c r="AC232" s="825">
        <v>403</v>
      </c>
      <c r="AD232" s="825">
        <v>397</v>
      </c>
      <c r="AE232" s="825">
        <v>389</v>
      </c>
      <c r="AF232" s="825">
        <v>384</v>
      </c>
      <c r="AG232" s="825">
        <v>381</v>
      </c>
      <c r="AH232" s="825">
        <v>373</v>
      </c>
      <c r="AI232" s="825">
        <v>358</v>
      </c>
      <c r="AJ232" s="825">
        <v>356</v>
      </c>
      <c r="AK232" s="825">
        <v>348</v>
      </c>
      <c r="AL232" s="825">
        <v>338</v>
      </c>
      <c r="AM232" s="825">
        <v>323</v>
      </c>
      <c r="AN232" s="825">
        <v>323</v>
      </c>
      <c r="AO232" s="825">
        <v>318</v>
      </c>
      <c r="AP232" s="825">
        <v>320</v>
      </c>
    </row>
    <row r="233" hidden="1">
      <c r="B233" s="826" t="s">
        <v>10</v>
      </c>
      <c r="C233" s="827">
        <v>13</v>
      </c>
      <c r="D233" s="827">
        <v>13</v>
      </c>
      <c r="E233" s="827">
        <v>13</v>
      </c>
      <c r="F233" s="827">
        <v>13</v>
      </c>
      <c r="G233" s="827">
        <v>10</v>
      </c>
      <c r="H233" s="827">
        <v>10</v>
      </c>
      <c r="I233" s="827">
        <v>10</v>
      </c>
      <c r="J233" s="827">
        <v>10</v>
      </c>
      <c r="K233" s="827">
        <v>8</v>
      </c>
      <c r="L233" s="827">
        <v>8</v>
      </c>
      <c r="M233" s="827">
        <v>8</v>
      </c>
      <c r="N233" s="827">
        <v>9</v>
      </c>
      <c r="O233" s="827">
        <v>9</v>
      </c>
      <c r="P233" s="827">
        <v>6</v>
      </c>
      <c r="Q233" s="827">
        <v>7</v>
      </c>
      <c r="R233" s="827">
        <v>7</v>
      </c>
      <c r="S233" s="827">
        <v>7</v>
      </c>
      <c r="T233" s="827">
        <v>7</v>
      </c>
      <c r="U233" s="827">
        <v>8</v>
      </c>
      <c r="V233" s="827">
        <v>9</v>
      </c>
      <c r="W233" s="827">
        <v>9</v>
      </c>
      <c r="X233" s="827">
        <v>9</v>
      </c>
      <c r="Y233" s="827">
        <v>9</v>
      </c>
      <c r="Z233" s="827">
        <v>9</v>
      </c>
      <c r="AA233" s="827">
        <v>9</v>
      </c>
      <c r="AB233" s="827">
        <v>9</v>
      </c>
      <c r="AC233" s="828">
        <v>9</v>
      </c>
      <c r="AD233" s="828">
        <v>9</v>
      </c>
      <c r="AE233" s="828">
        <v>9</v>
      </c>
      <c r="AF233" s="828">
        <v>9</v>
      </c>
      <c r="AG233" s="828">
        <v>9</v>
      </c>
      <c r="AH233" s="828">
        <v>10</v>
      </c>
      <c r="AI233" s="828">
        <v>10</v>
      </c>
      <c r="AJ233" s="828">
        <v>11</v>
      </c>
      <c r="AK233" s="828">
        <v>10</v>
      </c>
      <c r="AL233" s="828">
        <v>10</v>
      </c>
      <c r="AM233" s="828">
        <v>10</v>
      </c>
      <c r="AN233" s="828">
        <v>10</v>
      </c>
      <c r="AO233" s="828">
        <v>11</v>
      </c>
      <c r="AP233" s="828">
        <v>10</v>
      </c>
    </row>
    <row r="234" hidden="1">
      <c r="B234" s="829" t="s">
        <v>11</v>
      </c>
      <c r="C234" s="823">
        <v>56</v>
      </c>
      <c r="D234" s="823">
        <v>58</v>
      </c>
      <c r="E234" s="823">
        <v>82</v>
      </c>
      <c r="F234" s="823">
        <v>85</v>
      </c>
      <c r="G234" s="823">
        <v>30</v>
      </c>
      <c r="H234" s="823">
        <v>31</v>
      </c>
      <c r="I234" s="823">
        <v>40</v>
      </c>
      <c r="J234" s="823">
        <v>23</v>
      </c>
      <c r="K234" s="823">
        <v>20</v>
      </c>
      <c r="L234" s="823">
        <v>21</v>
      </c>
      <c r="M234" s="823">
        <v>22</v>
      </c>
      <c r="N234" s="823">
        <v>21</v>
      </c>
      <c r="O234" s="823">
        <v>21</v>
      </c>
      <c r="P234" s="823">
        <v>21</v>
      </c>
      <c r="Q234" s="823">
        <v>22</v>
      </c>
      <c r="R234" s="823">
        <v>22</v>
      </c>
      <c r="S234" s="823">
        <v>20</v>
      </c>
      <c r="T234" s="823">
        <v>20</v>
      </c>
      <c r="U234" s="823">
        <v>18</v>
      </c>
      <c r="V234" s="823">
        <v>17</v>
      </c>
      <c r="W234" s="823">
        <v>18</v>
      </c>
      <c r="X234" s="823">
        <v>15</v>
      </c>
      <c r="Y234" s="823">
        <v>17</v>
      </c>
      <c r="Z234" s="823">
        <v>12</v>
      </c>
      <c r="AA234" s="823">
        <v>12</v>
      </c>
      <c r="AB234" s="823">
        <v>14</v>
      </c>
      <c r="AC234" s="825">
        <v>15</v>
      </c>
      <c r="AD234" s="825">
        <v>14</v>
      </c>
      <c r="AE234" s="825">
        <v>14</v>
      </c>
      <c r="AF234" s="825">
        <v>16</v>
      </c>
      <c r="AG234" s="825">
        <v>18</v>
      </c>
      <c r="AH234" s="825">
        <v>20</v>
      </c>
      <c r="AI234" s="825">
        <v>22</v>
      </c>
      <c r="AJ234" s="825">
        <v>23</v>
      </c>
      <c r="AK234" s="825">
        <v>22</v>
      </c>
      <c r="AL234" s="825">
        <v>24</v>
      </c>
      <c r="AM234" s="825">
        <v>19</v>
      </c>
      <c r="AN234" s="825">
        <v>18</v>
      </c>
      <c r="AO234" s="825">
        <v>17</v>
      </c>
      <c r="AP234" s="825">
        <v>16</v>
      </c>
    </row>
    <row r="235" hidden="1">
      <c r="B235" s="826" t="s">
        <v>12</v>
      </c>
      <c r="C235" s="827">
        <v>58</v>
      </c>
      <c r="D235" s="827">
        <v>62</v>
      </c>
      <c r="E235" s="827">
        <v>64</v>
      </c>
      <c r="F235" s="827">
        <v>65</v>
      </c>
      <c r="G235" s="827">
        <v>66</v>
      </c>
      <c r="H235" s="827">
        <v>67</v>
      </c>
      <c r="I235" s="827">
        <v>69</v>
      </c>
      <c r="J235" s="827">
        <v>54</v>
      </c>
      <c r="K235" s="827">
        <v>55</v>
      </c>
      <c r="L235" s="827">
        <v>55</v>
      </c>
      <c r="M235" s="827">
        <v>55</v>
      </c>
      <c r="N235" s="827">
        <v>53</v>
      </c>
      <c r="O235" s="827">
        <v>53</v>
      </c>
      <c r="P235" s="827">
        <v>53</v>
      </c>
      <c r="Q235" s="827">
        <v>55</v>
      </c>
      <c r="R235" s="827">
        <v>51</v>
      </c>
      <c r="S235" s="827">
        <v>48</v>
      </c>
      <c r="T235" s="827">
        <v>47</v>
      </c>
      <c r="U235" s="827">
        <v>47</v>
      </c>
      <c r="V235" s="827">
        <v>50</v>
      </c>
      <c r="W235" s="827">
        <v>47</v>
      </c>
      <c r="X235" s="827">
        <v>47</v>
      </c>
      <c r="Y235" s="827">
        <v>49</v>
      </c>
      <c r="Z235" s="827">
        <v>48</v>
      </c>
      <c r="AA235" s="827">
        <v>47</v>
      </c>
      <c r="AB235" s="827">
        <v>46</v>
      </c>
      <c r="AC235" s="828">
        <v>48</v>
      </c>
      <c r="AD235" s="828">
        <v>46</v>
      </c>
      <c r="AE235" s="828">
        <v>45</v>
      </c>
      <c r="AF235" s="828">
        <v>47</v>
      </c>
      <c r="AG235" s="828">
        <v>48</v>
      </c>
      <c r="AH235" s="828">
        <v>49</v>
      </c>
      <c r="AI235" s="828">
        <v>51</v>
      </c>
      <c r="AJ235" s="828">
        <v>49</v>
      </c>
      <c r="AK235" s="828">
        <v>50</v>
      </c>
      <c r="AL235" s="828">
        <v>52</v>
      </c>
      <c r="AM235" s="828">
        <v>51</v>
      </c>
      <c r="AN235" s="828">
        <v>49</v>
      </c>
      <c r="AO235" s="828">
        <v>48</v>
      </c>
      <c r="AP235" s="828">
        <v>48</v>
      </c>
    </row>
    <row r="236" hidden="1">
      <c r="B236" s="829" t="s">
        <v>13</v>
      </c>
      <c r="C236" s="823">
        <v>2</v>
      </c>
      <c r="D236" s="823">
        <v>5</v>
      </c>
      <c r="E236" s="823">
        <v>3</v>
      </c>
      <c r="F236" s="823">
        <v>4</v>
      </c>
      <c r="G236" s="823">
        <v>4</v>
      </c>
      <c r="H236" s="823">
        <v>4</v>
      </c>
      <c r="I236" s="823">
        <v>4</v>
      </c>
      <c r="J236" s="823">
        <v>4</v>
      </c>
      <c r="K236" s="823">
        <v>4</v>
      </c>
      <c r="L236" s="823">
        <v>2</v>
      </c>
      <c r="M236" s="823">
        <v>15</v>
      </c>
      <c r="N236" s="823">
        <v>13</v>
      </c>
      <c r="O236" s="823">
        <v>11</v>
      </c>
      <c r="P236" s="823">
        <v>11</v>
      </c>
      <c r="Q236" s="823">
        <v>12</v>
      </c>
      <c r="R236" s="823">
        <v>13</v>
      </c>
      <c r="S236" s="823">
        <v>15</v>
      </c>
      <c r="T236" s="823">
        <v>15</v>
      </c>
      <c r="U236" s="823">
        <v>10</v>
      </c>
      <c r="V236" s="823">
        <v>8</v>
      </c>
      <c r="W236" s="823">
        <v>7</v>
      </c>
      <c r="X236" s="823">
        <v>9</v>
      </c>
      <c r="Y236" s="823">
        <v>6</v>
      </c>
      <c r="Z236" s="823">
        <v>7</v>
      </c>
      <c r="AA236" s="823">
        <v>5</v>
      </c>
      <c r="AB236" s="823">
        <v>7</v>
      </c>
      <c r="AC236" s="825">
        <v>8</v>
      </c>
      <c r="AD236" s="825">
        <v>8</v>
      </c>
      <c r="AE236" s="825">
        <v>7</v>
      </c>
      <c r="AF236" s="825">
        <v>7</v>
      </c>
      <c r="AG236" s="825">
        <v>8</v>
      </c>
      <c r="AH236" s="825">
        <v>5</v>
      </c>
      <c r="AI236" s="825">
        <v>3</v>
      </c>
      <c r="AJ236" s="825">
        <v>5</v>
      </c>
      <c r="AK236" s="825">
        <v>5</v>
      </c>
      <c r="AL236" s="825">
        <v>5</v>
      </c>
      <c r="AM236" s="825">
        <v>5</v>
      </c>
      <c r="AN236" s="825">
        <v>5</v>
      </c>
      <c r="AO236" s="825">
        <v>6</v>
      </c>
      <c r="AP236" s="825">
        <v>7</v>
      </c>
    </row>
    <row r="237" hidden="1">
      <c r="B237" s="826" t="s">
        <v>109</v>
      </c>
      <c r="C237" s="827">
        <v>365</v>
      </c>
      <c r="D237" s="827">
        <v>370</v>
      </c>
      <c r="E237" s="827">
        <v>369</v>
      </c>
      <c r="F237" s="827">
        <v>347</v>
      </c>
      <c r="G237" s="827">
        <v>346</v>
      </c>
      <c r="H237" s="827">
        <v>350</v>
      </c>
      <c r="I237" s="827">
        <v>357</v>
      </c>
      <c r="J237" s="827">
        <v>356</v>
      </c>
      <c r="K237" s="827">
        <v>351</v>
      </c>
      <c r="L237" s="827">
        <v>349</v>
      </c>
      <c r="M237" s="827">
        <v>352</v>
      </c>
      <c r="N237" s="827">
        <v>353</v>
      </c>
      <c r="O237" s="827">
        <v>337</v>
      </c>
      <c r="P237" s="827">
        <v>339</v>
      </c>
      <c r="Q237" s="827">
        <v>338</v>
      </c>
      <c r="R237" s="827">
        <v>339</v>
      </c>
      <c r="S237" s="827">
        <v>350</v>
      </c>
      <c r="T237" s="827">
        <v>351</v>
      </c>
      <c r="U237" s="827">
        <v>361</v>
      </c>
      <c r="V237" s="827">
        <v>366</v>
      </c>
      <c r="W237" s="827">
        <v>367</v>
      </c>
      <c r="X237" s="827">
        <v>373</v>
      </c>
      <c r="Y237" s="827">
        <v>373</v>
      </c>
      <c r="Z237" s="827">
        <v>376</v>
      </c>
      <c r="AA237" s="827">
        <v>379</v>
      </c>
      <c r="AB237" s="827">
        <v>380</v>
      </c>
      <c r="AC237" s="828">
        <v>379</v>
      </c>
      <c r="AD237" s="828">
        <v>388</v>
      </c>
      <c r="AE237" s="828">
        <v>393</v>
      </c>
      <c r="AF237" s="828">
        <v>393</v>
      </c>
      <c r="AG237" s="828">
        <v>396</v>
      </c>
      <c r="AH237" s="828">
        <v>413</v>
      </c>
      <c r="AI237" s="828">
        <v>388</v>
      </c>
      <c r="AJ237" s="828">
        <v>378</v>
      </c>
      <c r="AK237" s="828">
        <v>371</v>
      </c>
      <c r="AL237" s="828">
        <v>369</v>
      </c>
      <c r="AM237" s="828">
        <v>352</v>
      </c>
      <c r="AN237" s="828">
        <v>357</v>
      </c>
      <c r="AO237" s="828">
        <v>359</v>
      </c>
      <c r="AP237" s="828">
        <v>359</v>
      </c>
    </row>
    <row r="238" hidden="1">
      <c r="B238" s="829" t="s">
        <v>110</v>
      </c>
      <c r="C238" s="823">
        <v>432</v>
      </c>
      <c r="D238" s="823">
        <v>446</v>
      </c>
      <c r="E238" s="823">
        <v>464</v>
      </c>
      <c r="F238" s="823">
        <v>472</v>
      </c>
      <c r="G238" s="823">
        <v>495</v>
      </c>
      <c r="H238" s="823">
        <v>485</v>
      </c>
      <c r="I238" s="823">
        <v>470</v>
      </c>
      <c r="J238" s="823">
        <v>475</v>
      </c>
      <c r="K238" s="823">
        <v>479</v>
      </c>
      <c r="L238" s="823">
        <v>488</v>
      </c>
      <c r="M238" s="823">
        <v>486</v>
      </c>
      <c r="N238" s="823">
        <v>436</v>
      </c>
      <c r="O238" s="823">
        <v>455</v>
      </c>
      <c r="P238" s="823">
        <v>450</v>
      </c>
      <c r="Q238" s="823">
        <v>450</v>
      </c>
      <c r="R238" s="823">
        <v>469</v>
      </c>
      <c r="S238" s="823">
        <v>467</v>
      </c>
      <c r="T238" s="823">
        <v>458</v>
      </c>
      <c r="U238" s="823">
        <v>466</v>
      </c>
      <c r="V238" s="823">
        <v>483</v>
      </c>
      <c r="W238" s="823">
        <v>469</v>
      </c>
      <c r="X238" s="823">
        <v>468</v>
      </c>
      <c r="Y238" s="823">
        <v>463</v>
      </c>
      <c r="Z238" s="823">
        <v>463</v>
      </c>
      <c r="AA238" s="823">
        <v>458</v>
      </c>
      <c r="AB238" s="823">
        <v>451</v>
      </c>
      <c r="AC238" s="825">
        <v>437</v>
      </c>
      <c r="AD238" s="825">
        <v>430</v>
      </c>
      <c r="AE238" s="825">
        <v>426</v>
      </c>
      <c r="AF238" s="825">
        <v>434</v>
      </c>
      <c r="AG238" s="825">
        <v>451</v>
      </c>
      <c r="AH238" s="825">
        <v>446</v>
      </c>
      <c r="AI238" s="825">
        <v>446</v>
      </c>
      <c r="AJ238" s="825">
        <v>445</v>
      </c>
      <c r="AK238" s="825">
        <v>438</v>
      </c>
      <c r="AL238" s="825">
        <v>420</v>
      </c>
      <c r="AM238" s="825">
        <v>419</v>
      </c>
      <c r="AN238" s="825">
        <v>432</v>
      </c>
      <c r="AO238" s="825">
        <v>433</v>
      </c>
      <c r="AP238" s="825">
        <v>432</v>
      </c>
    </row>
    <row r="239" hidden="1">
      <c r="B239" s="826" t="s">
        <v>16</v>
      </c>
      <c r="C239" s="827">
        <v>1301</v>
      </c>
      <c r="D239" s="827">
        <v>1273</v>
      </c>
      <c r="E239" s="827">
        <v>1244</v>
      </c>
      <c r="F239" s="827">
        <v>1204</v>
      </c>
      <c r="G239" s="827">
        <v>1176</v>
      </c>
      <c r="H239" s="827">
        <v>1135</v>
      </c>
      <c r="I239" s="827">
        <v>1057</v>
      </c>
      <c r="J239" s="827">
        <v>1047</v>
      </c>
      <c r="K239" s="827">
        <v>1040</v>
      </c>
      <c r="L239" s="827">
        <v>1040</v>
      </c>
      <c r="M239" s="827">
        <v>1022</v>
      </c>
      <c r="N239" s="827">
        <v>1009</v>
      </c>
      <c r="O239" s="827">
        <v>999</v>
      </c>
      <c r="P239" s="827">
        <v>998</v>
      </c>
      <c r="Q239" s="827">
        <v>1015</v>
      </c>
      <c r="R239" s="827">
        <v>993</v>
      </c>
      <c r="S239" s="827">
        <v>992</v>
      </c>
      <c r="T239" s="827">
        <v>980</v>
      </c>
      <c r="U239" s="827">
        <v>957</v>
      </c>
      <c r="V239" s="827">
        <v>951</v>
      </c>
      <c r="W239" s="827">
        <v>941</v>
      </c>
      <c r="X239" s="827">
        <v>983</v>
      </c>
      <c r="Y239" s="827">
        <v>980</v>
      </c>
      <c r="Z239" s="827">
        <v>983</v>
      </c>
      <c r="AA239" s="827">
        <v>972</v>
      </c>
      <c r="AB239" s="827">
        <v>974</v>
      </c>
      <c r="AC239" s="828">
        <v>958</v>
      </c>
      <c r="AD239" s="828">
        <v>950</v>
      </c>
      <c r="AE239" s="828">
        <v>935</v>
      </c>
      <c r="AF239" s="828">
        <v>935</v>
      </c>
      <c r="AG239" s="828">
        <v>930</v>
      </c>
      <c r="AH239" s="828">
        <v>909</v>
      </c>
      <c r="AI239" s="828">
        <v>894</v>
      </c>
      <c r="AJ239" s="828">
        <v>882</v>
      </c>
      <c r="AK239" s="828">
        <v>842</v>
      </c>
      <c r="AL239" s="828">
        <v>814</v>
      </c>
      <c r="AM239" s="828">
        <v>798</v>
      </c>
      <c r="AN239" s="828">
        <v>787</v>
      </c>
      <c r="AO239" s="828">
        <v>788</v>
      </c>
      <c r="AP239" s="828">
        <v>779</v>
      </c>
    </row>
    <row r="240" hidden="1">
      <c r="B240" s="829" t="s">
        <v>17</v>
      </c>
      <c r="C240" s="823">
        <v>324</v>
      </c>
      <c r="D240" s="823">
        <v>325</v>
      </c>
      <c r="E240" s="823">
        <v>323</v>
      </c>
      <c r="F240" s="823">
        <v>330</v>
      </c>
      <c r="G240" s="823">
        <v>326</v>
      </c>
      <c r="H240" s="823">
        <v>323</v>
      </c>
      <c r="I240" s="823">
        <v>327</v>
      </c>
      <c r="J240" s="823">
        <v>323</v>
      </c>
      <c r="K240" s="823">
        <v>316</v>
      </c>
      <c r="L240" s="823">
        <v>318</v>
      </c>
      <c r="M240" s="823">
        <v>314</v>
      </c>
      <c r="N240" s="823">
        <v>305</v>
      </c>
      <c r="O240" s="823">
        <v>311</v>
      </c>
      <c r="P240" s="823">
        <v>314</v>
      </c>
      <c r="Q240" s="823">
        <v>302</v>
      </c>
      <c r="R240" s="823">
        <v>305</v>
      </c>
      <c r="S240" s="823">
        <v>307</v>
      </c>
      <c r="T240" s="823">
        <v>308</v>
      </c>
      <c r="U240" s="823">
        <v>312</v>
      </c>
      <c r="V240" s="823">
        <v>312</v>
      </c>
      <c r="W240" s="823">
        <v>315</v>
      </c>
      <c r="X240" s="823">
        <v>314</v>
      </c>
      <c r="Y240" s="823">
        <v>316</v>
      </c>
      <c r="Z240" s="823">
        <v>322</v>
      </c>
      <c r="AA240" s="823">
        <v>323</v>
      </c>
      <c r="AB240" s="823">
        <v>327</v>
      </c>
      <c r="AC240" s="825">
        <v>332</v>
      </c>
      <c r="AD240" s="825">
        <v>337</v>
      </c>
      <c r="AE240" s="825">
        <v>337</v>
      </c>
      <c r="AF240" s="825">
        <v>337</v>
      </c>
      <c r="AG240" s="825">
        <v>342</v>
      </c>
      <c r="AH240" s="825">
        <v>343</v>
      </c>
      <c r="AI240" s="825">
        <v>342</v>
      </c>
      <c r="AJ240" s="825">
        <v>340</v>
      </c>
      <c r="AK240" s="825">
        <v>341</v>
      </c>
      <c r="AL240" s="825">
        <v>340</v>
      </c>
      <c r="AM240" s="825">
        <v>332</v>
      </c>
      <c r="AN240" s="825">
        <v>330</v>
      </c>
      <c r="AO240" s="825">
        <v>326</v>
      </c>
      <c r="AP240" s="825">
        <v>322</v>
      </c>
    </row>
    <row r="241" hidden="1">
      <c r="B241" s="826" t="s">
        <v>18</v>
      </c>
      <c r="C241" s="827">
        <v>840</v>
      </c>
      <c r="D241" s="827">
        <v>801</v>
      </c>
      <c r="E241" s="827">
        <v>752</v>
      </c>
      <c r="F241" s="827">
        <v>749</v>
      </c>
      <c r="G241" s="827">
        <v>760</v>
      </c>
      <c r="H241" s="827">
        <v>759</v>
      </c>
      <c r="I241" s="827">
        <v>742</v>
      </c>
      <c r="J241" s="827">
        <v>724</v>
      </c>
      <c r="K241" s="827">
        <v>720</v>
      </c>
      <c r="L241" s="827">
        <v>690</v>
      </c>
      <c r="M241" s="827">
        <v>679</v>
      </c>
      <c r="N241" s="827">
        <v>682</v>
      </c>
      <c r="O241" s="827">
        <v>700</v>
      </c>
      <c r="P241" s="827">
        <v>724</v>
      </c>
      <c r="Q241" s="827">
        <v>747</v>
      </c>
      <c r="R241" s="827">
        <v>750</v>
      </c>
      <c r="S241" s="827">
        <v>735</v>
      </c>
      <c r="T241" s="827">
        <v>742</v>
      </c>
      <c r="U241" s="827">
        <v>740</v>
      </c>
      <c r="V241" s="827">
        <v>727</v>
      </c>
      <c r="W241" s="827">
        <v>764</v>
      </c>
      <c r="X241" s="827">
        <v>782</v>
      </c>
      <c r="Y241" s="827">
        <v>798</v>
      </c>
      <c r="Z241" s="827">
        <v>803</v>
      </c>
      <c r="AA241" s="827">
        <v>814</v>
      </c>
      <c r="AB241" s="827">
        <v>813</v>
      </c>
      <c r="AC241" s="828">
        <v>827</v>
      </c>
      <c r="AD241" s="828">
        <v>825</v>
      </c>
      <c r="AE241" s="828">
        <v>836</v>
      </c>
      <c r="AF241" s="828">
        <v>844</v>
      </c>
      <c r="AG241" s="828">
        <v>857</v>
      </c>
      <c r="AH241" s="828">
        <v>873</v>
      </c>
      <c r="AI241" s="828">
        <v>861</v>
      </c>
      <c r="AJ241" s="828">
        <v>868</v>
      </c>
      <c r="AK241" s="828">
        <v>860</v>
      </c>
      <c r="AL241" s="828">
        <v>854</v>
      </c>
      <c r="AM241" s="828">
        <v>814</v>
      </c>
      <c r="AN241" s="828">
        <v>816</v>
      </c>
      <c r="AO241" s="828">
        <v>788</v>
      </c>
      <c r="AP241" s="828">
        <v>777</v>
      </c>
    </row>
    <row r="242" hidden="1">
      <c r="B242" s="829" t="s">
        <v>19</v>
      </c>
      <c r="C242" s="823">
        <v>2</v>
      </c>
      <c r="D242" s="823">
        <v>3</v>
      </c>
      <c r="E242" s="823">
        <v>5</v>
      </c>
      <c r="F242" s="823">
        <v>6</v>
      </c>
      <c r="G242" s="823">
        <v>7</v>
      </c>
      <c r="H242" s="823">
        <v>7</v>
      </c>
      <c r="I242" s="823">
        <v>8</v>
      </c>
      <c r="J242" s="823">
        <v>8</v>
      </c>
      <c r="K242" s="823">
        <v>6</v>
      </c>
      <c r="L242" s="823">
        <v>219</v>
      </c>
      <c r="M242" s="823">
        <v>6</v>
      </c>
      <c r="N242" s="823">
        <v>6</v>
      </c>
      <c r="O242" s="823">
        <v>7</v>
      </c>
      <c r="P242" s="823">
        <v>7</v>
      </c>
      <c r="Q242" s="823">
        <v>6</v>
      </c>
      <c r="R242" s="823">
        <v>6</v>
      </c>
      <c r="S242" s="823">
        <v>8</v>
      </c>
      <c r="T242" s="823">
        <v>8</v>
      </c>
      <c r="U242" s="823">
        <v>8</v>
      </c>
      <c r="V242" s="823">
        <v>8</v>
      </c>
      <c r="W242" s="823">
        <v>8</v>
      </c>
      <c r="X242" s="823">
        <v>8</v>
      </c>
      <c r="Y242" s="823">
        <v>8</v>
      </c>
      <c r="Z242" s="823">
        <v>8</v>
      </c>
      <c r="AA242" s="823">
        <v>8</v>
      </c>
      <c r="AB242" s="823">
        <v>8</v>
      </c>
      <c r="AC242" s="825">
        <v>8</v>
      </c>
      <c r="AD242" s="825">
        <v>9</v>
      </c>
      <c r="AE242" s="825">
        <v>9</v>
      </c>
      <c r="AF242" s="825">
        <v>9</v>
      </c>
      <c r="AG242" s="825">
        <v>6</v>
      </c>
      <c r="AH242" s="825">
        <v>6</v>
      </c>
      <c r="AI242" s="825">
        <v>4</v>
      </c>
      <c r="AJ242" s="825">
        <v>4</v>
      </c>
      <c r="AK242" s="825">
        <v>5</v>
      </c>
      <c r="AL242" s="825">
        <v>4</v>
      </c>
      <c r="AM242" s="825">
        <v>2</v>
      </c>
      <c r="AN242" s="825">
        <v>3</v>
      </c>
      <c r="AO242" s="825">
        <v>3</v>
      </c>
      <c r="AP242" s="825">
        <v>2</v>
      </c>
    </row>
    <row r="243" hidden="1">
      <c r="B243" s="826" t="s">
        <v>20</v>
      </c>
      <c r="C243" s="827">
        <v>246</v>
      </c>
      <c r="D243" s="827">
        <v>247</v>
      </c>
      <c r="E243" s="827">
        <v>247</v>
      </c>
      <c r="F243" s="827">
        <v>250</v>
      </c>
      <c r="G243" s="827">
        <v>256</v>
      </c>
      <c r="H243" s="827">
        <v>248</v>
      </c>
      <c r="I243" s="827">
        <v>229</v>
      </c>
      <c r="J243" s="827">
        <v>225</v>
      </c>
      <c r="K243" s="827">
        <v>213</v>
      </c>
      <c r="L243" s="827">
        <v>91</v>
      </c>
      <c r="M243" s="827">
        <v>219</v>
      </c>
      <c r="N243" s="827">
        <v>204</v>
      </c>
      <c r="O243" s="827">
        <v>209</v>
      </c>
      <c r="P243" s="827">
        <v>212</v>
      </c>
      <c r="Q243" s="827">
        <v>218</v>
      </c>
      <c r="R243" s="827">
        <v>218</v>
      </c>
      <c r="S243" s="827">
        <v>212</v>
      </c>
      <c r="T243" s="827">
        <v>210</v>
      </c>
      <c r="U243" s="827">
        <v>211</v>
      </c>
      <c r="V243" s="827">
        <v>212</v>
      </c>
      <c r="W243" s="827">
        <v>214</v>
      </c>
      <c r="X243" s="827">
        <v>217</v>
      </c>
      <c r="Y243" s="827">
        <v>211</v>
      </c>
      <c r="Z243" s="827">
        <v>212</v>
      </c>
      <c r="AA243" s="827">
        <v>214</v>
      </c>
      <c r="AB243" s="827">
        <v>215</v>
      </c>
      <c r="AC243" s="828">
        <v>216</v>
      </c>
      <c r="AD243" s="828">
        <v>217</v>
      </c>
      <c r="AE243" s="828">
        <v>222</v>
      </c>
      <c r="AF243" s="828">
        <v>224</v>
      </c>
      <c r="AG243" s="828">
        <v>216</v>
      </c>
      <c r="AH243" s="828">
        <v>216</v>
      </c>
      <c r="AI243" s="828">
        <v>219</v>
      </c>
      <c r="AJ243" s="828">
        <v>219</v>
      </c>
      <c r="AK243" s="828">
        <v>218</v>
      </c>
      <c r="AL243" s="828">
        <v>219</v>
      </c>
      <c r="AM243" s="828">
        <v>221</v>
      </c>
      <c r="AN243" s="828">
        <v>219</v>
      </c>
      <c r="AO243" s="828">
        <v>218</v>
      </c>
      <c r="AP243" s="828">
        <v>217</v>
      </c>
    </row>
    <row r="244" hidden="1">
      <c r="B244" s="829" t="s">
        <v>21</v>
      </c>
      <c r="C244" s="823">
        <v>105</v>
      </c>
      <c r="D244" s="823">
        <v>101</v>
      </c>
      <c r="E244" s="823">
        <v>96</v>
      </c>
      <c r="F244" s="823">
        <v>96</v>
      </c>
      <c r="G244" s="823">
        <v>95</v>
      </c>
      <c r="H244" s="823">
        <v>90</v>
      </c>
      <c r="I244" s="823">
        <v>88</v>
      </c>
      <c r="J244" s="823">
        <v>89</v>
      </c>
      <c r="K244" s="823">
        <v>89</v>
      </c>
      <c r="L244" s="823">
        <v>59</v>
      </c>
      <c r="M244" s="823">
        <v>96</v>
      </c>
      <c r="N244" s="823">
        <v>96</v>
      </c>
      <c r="O244" s="823">
        <v>95</v>
      </c>
      <c r="P244" s="823">
        <v>94</v>
      </c>
      <c r="Q244" s="823">
        <v>94</v>
      </c>
      <c r="R244" s="823">
        <v>96</v>
      </c>
      <c r="S244" s="823">
        <v>91</v>
      </c>
      <c r="T244" s="823">
        <v>92</v>
      </c>
      <c r="U244" s="823">
        <v>95</v>
      </c>
      <c r="V244" s="823">
        <v>99</v>
      </c>
      <c r="W244" s="823">
        <v>101</v>
      </c>
      <c r="X244" s="823">
        <v>103</v>
      </c>
      <c r="Y244" s="823">
        <v>100</v>
      </c>
      <c r="Z244" s="823">
        <v>101</v>
      </c>
      <c r="AA244" s="823">
        <v>101</v>
      </c>
      <c r="AB244" s="823">
        <v>104</v>
      </c>
      <c r="AC244" s="825">
        <v>102</v>
      </c>
      <c r="AD244" s="825">
        <v>106</v>
      </c>
      <c r="AE244" s="825">
        <v>106</v>
      </c>
      <c r="AF244" s="825">
        <v>108</v>
      </c>
      <c r="AG244" s="825">
        <v>104</v>
      </c>
      <c r="AH244" s="825">
        <v>105</v>
      </c>
      <c r="AI244" s="825">
        <v>106</v>
      </c>
      <c r="AJ244" s="825">
        <v>107</v>
      </c>
      <c r="AK244" s="825">
        <v>103</v>
      </c>
      <c r="AL244" s="825">
        <v>105</v>
      </c>
      <c r="AM244" s="825">
        <v>107</v>
      </c>
      <c r="AN244" s="825">
        <v>100</v>
      </c>
      <c r="AO244" s="825">
        <v>100</v>
      </c>
      <c r="AP244" s="825">
        <v>99</v>
      </c>
    </row>
    <row r="245" hidden="1">
      <c r="B245" s="826" t="s">
        <v>22</v>
      </c>
      <c r="C245" s="827">
        <v>27</v>
      </c>
      <c r="D245" s="827">
        <v>28</v>
      </c>
      <c r="E245" s="827">
        <v>38</v>
      </c>
      <c r="F245" s="827">
        <v>41</v>
      </c>
      <c r="G245" s="827">
        <v>45</v>
      </c>
      <c r="H245" s="827">
        <v>48</v>
      </c>
      <c r="I245" s="827">
        <v>50</v>
      </c>
      <c r="J245" s="827">
        <v>55</v>
      </c>
      <c r="K245" s="827">
        <v>57</v>
      </c>
      <c r="L245" s="827">
        <v>51</v>
      </c>
      <c r="M245" s="827">
        <v>59</v>
      </c>
      <c r="N245" s="827">
        <v>57</v>
      </c>
      <c r="O245" s="827">
        <v>60</v>
      </c>
      <c r="P245" s="827">
        <v>65</v>
      </c>
      <c r="Q245" s="827">
        <v>65</v>
      </c>
      <c r="R245" s="827">
        <v>65</v>
      </c>
      <c r="S245" s="827">
        <v>64</v>
      </c>
      <c r="T245" s="827">
        <v>65</v>
      </c>
      <c r="U245" s="827">
        <v>63</v>
      </c>
      <c r="V245" s="827">
        <v>66</v>
      </c>
      <c r="W245" s="827">
        <v>70</v>
      </c>
      <c r="X245" s="827">
        <v>75</v>
      </c>
      <c r="Y245" s="827">
        <v>70</v>
      </c>
      <c r="Z245" s="827">
        <v>70</v>
      </c>
      <c r="AA245" s="827">
        <v>71</v>
      </c>
      <c r="AB245" s="827">
        <v>73</v>
      </c>
      <c r="AC245" s="828">
        <v>71</v>
      </c>
      <c r="AD245" s="828">
        <v>73</v>
      </c>
      <c r="AE245" s="828">
        <v>62</v>
      </c>
      <c r="AF245" s="828">
        <v>57</v>
      </c>
      <c r="AG245" s="828">
        <v>56</v>
      </c>
      <c r="AH245" s="828">
        <v>57</v>
      </c>
      <c r="AI245" s="828">
        <v>54</v>
      </c>
      <c r="AJ245" s="828">
        <v>54</v>
      </c>
      <c r="AK245" s="828">
        <v>47</v>
      </c>
      <c r="AL245" s="828">
        <v>47</v>
      </c>
      <c r="AM245" s="828">
        <v>48</v>
      </c>
      <c r="AN245" s="828">
        <v>50</v>
      </c>
      <c r="AO245" s="828">
        <v>49</v>
      </c>
      <c r="AP245" s="828">
        <v>50</v>
      </c>
    </row>
    <row r="246" hidden="1">
      <c r="B246" s="829" t="s">
        <v>23</v>
      </c>
      <c r="C246" s="823">
        <v>58</v>
      </c>
      <c r="D246" s="823">
        <v>58</v>
      </c>
      <c r="E246" s="823">
        <v>57</v>
      </c>
      <c r="F246" s="823">
        <v>57</v>
      </c>
      <c r="G246" s="823">
        <v>55</v>
      </c>
      <c r="H246" s="823">
        <v>55</v>
      </c>
      <c r="I246" s="823">
        <v>53</v>
      </c>
      <c r="J246" s="823">
        <v>52</v>
      </c>
      <c r="K246" s="823">
        <v>53</v>
      </c>
      <c r="L246" s="823">
        <v>5</v>
      </c>
      <c r="M246" s="823">
        <v>52</v>
      </c>
      <c r="N246" s="823">
        <v>53</v>
      </c>
      <c r="O246" s="823">
        <v>53</v>
      </c>
      <c r="P246" s="823">
        <v>54</v>
      </c>
      <c r="Q246" s="823">
        <v>54</v>
      </c>
      <c r="R246" s="823">
        <v>54</v>
      </c>
      <c r="S246" s="823">
        <v>55</v>
      </c>
      <c r="T246" s="823">
        <v>55</v>
      </c>
      <c r="U246" s="823">
        <v>53</v>
      </c>
      <c r="V246" s="823">
        <v>51</v>
      </c>
      <c r="W246" s="823">
        <v>51</v>
      </c>
      <c r="X246" s="823">
        <v>50</v>
      </c>
      <c r="Y246" s="823">
        <v>48</v>
      </c>
      <c r="Z246" s="823">
        <v>46</v>
      </c>
      <c r="AA246" s="823">
        <v>46</v>
      </c>
      <c r="AB246" s="823">
        <v>48</v>
      </c>
      <c r="AC246" s="825">
        <v>48</v>
      </c>
      <c r="AD246" s="825">
        <v>46</v>
      </c>
      <c r="AE246" s="825">
        <v>46</v>
      </c>
      <c r="AF246" s="825">
        <v>46</v>
      </c>
      <c r="AG246" s="825">
        <v>46</v>
      </c>
      <c r="AH246" s="825">
        <v>46</v>
      </c>
      <c r="AI246" s="825">
        <v>44</v>
      </c>
      <c r="AJ246" s="825">
        <v>41</v>
      </c>
      <c r="AK246" s="825">
        <v>41</v>
      </c>
      <c r="AL246" s="825">
        <v>40</v>
      </c>
      <c r="AM246" s="825">
        <v>39</v>
      </c>
      <c r="AN246" s="825">
        <v>39</v>
      </c>
      <c r="AO246" s="825">
        <v>39</v>
      </c>
      <c r="AP246" s="825">
        <v>38</v>
      </c>
    </row>
    <row r="247" hidden="1">
      <c r="B247" s="835" t="s">
        <v>24</v>
      </c>
      <c r="C247" s="827">
        <v>536</v>
      </c>
      <c r="D247" s="827">
        <v>513</v>
      </c>
      <c r="E247" s="827">
        <v>499</v>
      </c>
      <c r="F247" s="827">
        <v>497</v>
      </c>
      <c r="G247" s="827">
        <v>496</v>
      </c>
      <c r="H247" s="827">
        <v>492</v>
      </c>
      <c r="I247" s="827">
        <v>485</v>
      </c>
      <c r="J247" s="827">
        <v>476</v>
      </c>
      <c r="K247" s="827">
        <v>478</v>
      </c>
      <c r="L247" s="827">
        <v>473</v>
      </c>
      <c r="M247" s="827">
        <v>468</v>
      </c>
      <c r="N247" s="827">
        <v>464</v>
      </c>
      <c r="O247" s="827">
        <v>462</v>
      </c>
      <c r="P247" s="827">
        <v>461</v>
      </c>
      <c r="Q247" s="827">
        <v>458</v>
      </c>
      <c r="R247" s="827">
        <v>458</v>
      </c>
      <c r="S247" s="827">
        <v>456</v>
      </c>
      <c r="T247" s="827">
        <v>456</v>
      </c>
      <c r="U247" s="827">
        <v>451</v>
      </c>
      <c r="V247" s="827">
        <v>443</v>
      </c>
      <c r="W247" s="827">
        <v>435</v>
      </c>
      <c r="X247" s="827">
        <v>435</v>
      </c>
      <c r="Y247" s="827">
        <v>425</v>
      </c>
      <c r="Z247" s="827">
        <v>423</v>
      </c>
      <c r="AA247" s="827">
        <v>412</v>
      </c>
      <c r="AB247" s="827">
        <v>416</v>
      </c>
      <c r="AC247" s="828">
        <v>410</v>
      </c>
      <c r="AD247" s="828">
        <v>410</v>
      </c>
      <c r="AE247" s="828">
        <v>405</v>
      </c>
      <c r="AF247" s="828">
        <v>401</v>
      </c>
      <c r="AG247" s="828">
        <v>391</v>
      </c>
      <c r="AH247" s="828">
        <v>377</v>
      </c>
      <c r="AI247" s="828">
        <v>367</v>
      </c>
      <c r="AJ247" s="828">
        <v>361</v>
      </c>
      <c r="AK247" s="828">
        <v>356</v>
      </c>
      <c r="AL247" s="828">
        <v>347</v>
      </c>
      <c r="AM247" s="828">
        <v>337</v>
      </c>
      <c r="AN247" s="828">
        <v>341</v>
      </c>
      <c r="AO247" s="828">
        <v>336</v>
      </c>
      <c r="AP247" s="828">
        <v>330</v>
      </c>
    </row>
    <row r="248" hidden="1">
      <c r="B248" s="829" t="s">
        <v>25</v>
      </c>
      <c r="C248" s="823">
        <v>0</v>
      </c>
      <c r="D248" s="823">
        <v>0</v>
      </c>
      <c r="E248" s="823">
        <v>0</v>
      </c>
      <c r="F248" s="823">
        <v>0</v>
      </c>
      <c r="G248" s="823">
        <v>0</v>
      </c>
      <c r="H248" s="823">
        <v>0</v>
      </c>
      <c r="I248" s="823">
        <v>0</v>
      </c>
      <c r="J248" s="823">
        <v>0</v>
      </c>
      <c r="K248" s="823">
        <v>0</v>
      </c>
      <c r="L248" s="823">
        <v>0</v>
      </c>
      <c r="M248" s="823">
        <v>0</v>
      </c>
      <c r="N248" s="823">
        <v>0</v>
      </c>
      <c r="O248" s="823">
        <v>0</v>
      </c>
      <c r="P248" s="823">
        <v>0</v>
      </c>
      <c r="Q248" s="823">
        <v>0</v>
      </c>
      <c r="R248" s="823">
        <v>0</v>
      </c>
      <c r="S248" s="823">
        <v>0</v>
      </c>
      <c r="T248" s="823">
        <v>0</v>
      </c>
      <c r="U248" s="823">
        <v>0</v>
      </c>
      <c r="V248" s="823">
        <v>0</v>
      </c>
      <c r="W248" s="823">
        <v>0</v>
      </c>
      <c r="X248" s="823">
        <v>0</v>
      </c>
      <c r="Y248" s="823">
        <v>0</v>
      </c>
      <c r="Z248" s="823">
        <v>0</v>
      </c>
      <c r="AA248" s="823">
        <v>0</v>
      </c>
      <c r="AB248" s="823">
        <v>0</v>
      </c>
      <c r="AC248" s="825">
        <v>0</v>
      </c>
      <c r="AD248" s="825">
        <v>0</v>
      </c>
      <c r="AE248" s="825">
        <v>0</v>
      </c>
      <c r="AF248" s="825">
        <v>0</v>
      </c>
      <c r="AG248" s="825">
        <v>0</v>
      </c>
      <c r="AH248" s="825">
        <v>0</v>
      </c>
      <c r="AI248" s="825">
        <v>0</v>
      </c>
      <c r="AJ248" s="825">
        <v>0</v>
      </c>
      <c r="AK248" s="825">
        <v>0</v>
      </c>
      <c r="AL248" s="825">
        <v>0</v>
      </c>
      <c r="AM248" s="825">
        <v>0</v>
      </c>
      <c r="AN248" s="825">
        <v>0</v>
      </c>
      <c r="AO248" s="825">
        <v>0</v>
      </c>
      <c r="AP248" s="825">
        <v>0</v>
      </c>
    </row>
    <row r="249" hidden="1" ht="13.5">
      <c r="B249" s="836" t="s">
        <v>26</v>
      </c>
      <c r="C249" s="827">
        <v>0</v>
      </c>
      <c r="D249" s="827">
        <v>0</v>
      </c>
      <c r="E249" s="827">
        <v>0</v>
      </c>
      <c r="F249" s="827">
        <v>0</v>
      </c>
      <c r="G249" s="827">
        <v>0</v>
      </c>
      <c r="H249" s="827">
        <v>0</v>
      </c>
      <c r="I249" s="827">
        <v>0</v>
      </c>
      <c r="J249" s="827">
        <v>0</v>
      </c>
      <c r="K249" s="827">
        <v>0</v>
      </c>
      <c r="L249" s="827">
        <v>0</v>
      </c>
      <c r="M249" s="827">
        <v>0</v>
      </c>
      <c r="N249" s="827">
        <v>0</v>
      </c>
      <c r="O249" s="827">
        <v>0</v>
      </c>
      <c r="P249" s="827">
        <v>0</v>
      </c>
      <c r="Q249" s="827">
        <v>0</v>
      </c>
      <c r="R249" s="827">
        <v>0</v>
      </c>
      <c r="S249" s="827">
        <v>0</v>
      </c>
      <c r="T249" s="827">
        <v>0</v>
      </c>
      <c r="U249" s="827">
        <v>0</v>
      </c>
      <c r="V249" s="827">
        <v>0</v>
      </c>
      <c r="W249" s="827">
        <v>0</v>
      </c>
      <c r="X249" s="827">
        <v>0</v>
      </c>
      <c r="Y249" s="827">
        <v>0</v>
      </c>
      <c r="Z249" s="827">
        <v>0</v>
      </c>
      <c r="AA249" s="827">
        <v>0</v>
      </c>
      <c r="AB249" s="837">
        <v>0</v>
      </c>
      <c r="AC249" s="828">
        <v>0</v>
      </c>
      <c r="AD249" s="828">
        <v>0</v>
      </c>
      <c r="AE249" s="828">
        <v>0</v>
      </c>
      <c r="AF249" s="828">
        <v>0</v>
      </c>
      <c r="AG249" s="828">
        <v>0</v>
      </c>
      <c r="AH249" s="828">
        <v>0</v>
      </c>
      <c r="AI249" s="828">
        <v>0</v>
      </c>
      <c r="AJ249" s="828">
        <v>0</v>
      </c>
      <c r="AK249" s="828">
        <v>0</v>
      </c>
      <c r="AL249" s="828">
        <v>0</v>
      </c>
      <c r="AM249" s="828">
        <v>0</v>
      </c>
      <c r="AN249" s="828">
        <v>0</v>
      </c>
      <c r="AO249" s="828">
        <v>0</v>
      </c>
      <c r="AP249" s="828">
        <v>0</v>
      </c>
    </row>
    <row r="250" hidden="1" ht="13.5">
      <c r="B250" s="128" t="s">
        <v>7</v>
      </c>
      <c r="C250" s="129" t="str">
        <f>IF(SUM(C231:C249)&lt;&gt;0,SUM(C231:C249),"")</f>
      </c>
      <c r="D250" s="129" t="str">
        <f ref="D250:AA250" t="shared" si="15">IF(SUM(D231:D249)&lt;&gt;0,SUM(D231:D249),"")</f>
      </c>
      <c r="E250" s="129" t="str">
        <f t="shared" si="15"/>
      </c>
      <c r="F250" s="129" t="str">
        <f t="shared" si="15"/>
      </c>
      <c r="G250" s="129" t="str">
        <f t="shared" si="15"/>
      </c>
      <c r="H250" s="129" t="str">
        <f t="shared" si="15"/>
      </c>
      <c r="I250" s="129" t="str">
        <f t="shared" si="15"/>
      </c>
      <c r="J250" s="129" t="str">
        <f t="shared" si="15"/>
      </c>
      <c r="K250" s="129" t="str">
        <f t="shared" si="15"/>
      </c>
      <c r="L250" s="129" t="str">
        <f t="shared" si="15"/>
      </c>
      <c r="M250" s="129" t="str">
        <f t="shared" si="15"/>
      </c>
      <c r="N250" s="129" t="str">
        <f t="shared" si="15"/>
      </c>
      <c r="O250" s="129" t="str">
        <f t="shared" si="15"/>
      </c>
      <c r="P250" s="129" t="str">
        <f t="shared" si="15"/>
      </c>
      <c r="Q250" s="129" t="str">
        <f t="shared" si="15"/>
      </c>
      <c r="R250" s="129" t="str">
        <f t="shared" si="15"/>
      </c>
      <c r="S250" s="129" t="str">
        <f t="shared" si="15"/>
      </c>
      <c r="T250" s="129" t="str">
        <f t="shared" si="15"/>
      </c>
      <c r="U250" s="129" t="str">
        <f t="shared" si="15"/>
      </c>
      <c r="V250" s="129" t="str">
        <f t="shared" si="15"/>
      </c>
      <c r="W250" s="129" t="str">
        <f t="shared" si="15"/>
      </c>
      <c r="X250" s="129" t="str">
        <f t="shared" si="15"/>
      </c>
      <c r="Y250" s="129" t="str">
        <f t="shared" si="15"/>
      </c>
      <c r="Z250" s="129" t="str">
        <f t="shared" si="15"/>
      </c>
      <c r="AA250" s="129" t="str">
        <f t="shared" si="15"/>
      </c>
      <c r="AB250" s="130" t="str">
        <f>IF(SUM(AB231:AB249)&lt;&gt;0,SUM(AB231:AB249),"")</f>
      </c>
      <c r="AC250" s="91" t="str">
        <f ref="AC250:CN250" t="shared" si="16">IF(SUM(AC231:AC249)&lt;&gt;0,SUM(AC231:AC249),"")</f>
      </c>
      <c r="AD250" s="91" t="str">
        <f t="shared" si="16"/>
      </c>
      <c r="AE250" s="91" t="str">
        <f t="shared" si="16"/>
      </c>
      <c r="AF250" s="91" t="str">
        <f t="shared" si="16"/>
      </c>
      <c r="AG250" s="91" t="str">
        <f t="shared" si="16"/>
      </c>
      <c r="AH250" s="91" t="str">
        <f t="shared" si="16"/>
      </c>
      <c r="AI250" s="91" t="str">
        <f t="shared" si="16"/>
      </c>
      <c r="AJ250" s="91" t="str">
        <f t="shared" si="16"/>
      </c>
      <c r="AK250" s="91" t="str">
        <f t="shared" si="16"/>
      </c>
      <c r="AL250" s="91" t="str">
        <f t="shared" si="16"/>
      </c>
      <c r="AM250" s="91" t="str">
        <f t="shared" si="16"/>
      </c>
      <c r="AN250" s="91" t="str">
        <f t="shared" si="16"/>
      </c>
      <c r="AO250" s="91" t="str">
        <f t="shared" si="16"/>
      </c>
      <c r="AP250" s="91" t="str">
        <f t="shared" si="16"/>
      </c>
      <c r="AQ250" s="91" t="str">
        <f t="shared" si="16"/>
      </c>
      <c r="AR250" s="91" t="str">
        <f t="shared" si="16"/>
      </c>
      <c r="AS250" s="91" t="str">
        <f t="shared" si="16"/>
      </c>
      <c r="AT250" s="91" t="str">
        <f t="shared" si="16"/>
      </c>
      <c r="AU250" s="91" t="str">
        <f t="shared" si="16"/>
      </c>
      <c r="AV250" s="91" t="str">
        <f t="shared" si="16"/>
      </c>
      <c r="AW250" s="91" t="str">
        <f t="shared" si="16"/>
      </c>
      <c r="AX250" s="91" t="str">
        <f t="shared" si="16"/>
      </c>
      <c r="AY250" s="91" t="str">
        <f t="shared" si="16"/>
      </c>
      <c r="AZ250" s="91" t="str">
        <f t="shared" si="16"/>
      </c>
      <c r="BA250" s="91" t="str">
        <f t="shared" si="16"/>
      </c>
      <c r="BB250" s="91" t="str">
        <f t="shared" si="16"/>
      </c>
      <c r="BC250" s="91" t="str">
        <f t="shared" si="16"/>
      </c>
      <c r="BD250" s="91" t="str">
        <f t="shared" si="16"/>
      </c>
      <c r="BE250" s="91" t="str">
        <f t="shared" si="16"/>
      </c>
      <c r="BF250" s="91" t="str">
        <f t="shared" si="16"/>
      </c>
      <c r="BG250" s="91" t="str">
        <f t="shared" si="16"/>
      </c>
      <c r="BH250" s="91" t="str">
        <f t="shared" si="16"/>
      </c>
      <c r="BI250" s="91" t="str">
        <f t="shared" si="16"/>
      </c>
      <c r="BJ250" s="91" t="str">
        <f t="shared" si="16"/>
      </c>
      <c r="BK250" s="91" t="str">
        <f t="shared" si="16"/>
      </c>
      <c r="BL250" s="91" t="str">
        <f t="shared" si="16"/>
      </c>
      <c r="BM250" s="91" t="str">
        <f t="shared" si="16"/>
      </c>
      <c r="BN250" s="91" t="str">
        <f t="shared" si="16"/>
      </c>
      <c r="BO250" s="91" t="str">
        <f t="shared" si="16"/>
      </c>
      <c r="BP250" s="91" t="str">
        <f t="shared" si="16"/>
      </c>
      <c r="BQ250" s="91" t="str">
        <f t="shared" si="16"/>
      </c>
      <c r="BR250" s="91" t="str">
        <f t="shared" si="16"/>
      </c>
      <c r="BS250" s="91" t="str">
        <f t="shared" si="16"/>
      </c>
      <c r="BT250" s="91" t="str">
        <f t="shared" si="16"/>
      </c>
      <c r="BU250" s="91" t="str">
        <f t="shared" si="16"/>
      </c>
      <c r="BV250" s="91" t="str">
        <f t="shared" si="16"/>
      </c>
      <c r="BW250" s="91" t="str">
        <f t="shared" si="16"/>
      </c>
      <c r="BX250" s="91" t="str">
        <f t="shared" si="16"/>
      </c>
      <c r="BY250" s="91" t="str">
        <f t="shared" si="16"/>
      </c>
      <c r="BZ250" s="91" t="str">
        <f t="shared" si="16"/>
      </c>
      <c r="CA250" s="91" t="str">
        <f t="shared" si="16"/>
      </c>
      <c r="CB250" s="91" t="str">
        <f t="shared" si="16"/>
      </c>
      <c r="CC250" s="91" t="str">
        <f t="shared" si="16"/>
      </c>
      <c r="CD250" s="91" t="str">
        <f t="shared" si="16"/>
      </c>
      <c r="CE250" s="91" t="str">
        <f t="shared" si="16"/>
      </c>
      <c r="CF250" s="91" t="str">
        <f t="shared" si="16"/>
      </c>
      <c r="CG250" s="91" t="str">
        <f t="shared" si="16"/>
      </c>
      <c r="CH250" s="91" t="str">
        <f t="shared" si="16"/>
      </c>
      <c r="CI250" s="91" t="str">
        <f t="shared" si="16"/>
      </c>
      <c r="CJ250" s="91" t="str">
        <f t="shared" si="16"/>
      </c>
      <c r="CK250" s="91" t="str">
        <f t="shared" si="16"/>
      </c>
      <c r="CL250" s="91" t="str">
        <f t="shared" si="16"/>
      </c>
      <c r="CM250" s="91" t="str">
        <f t="shared" si="16"/>
      </c>
      <c r="CN250" s="91" t="str">
        <f t="shared" si="16"/>
      </c>
      <c r="CO250" s="91" t="str">
        <f ref="CO250:EZ250" t="shared" si="17">IF(SUM(CO231:CO249)&lt;&gt;0,SUM(CO231:CO249),"")</f>
      </c>
      <c r="CP250" s="91" t="str">
        <f t="shared" si="17"/>
      </c>
      <c r="CQ250" s="91" t="str">
        <f t="shared" si="17"/>
      </c>
      <c r="CR250" s="91" t="str">
        <f t="shared" si="17"/>
      </c>
      <c r="CS250" s="91" t="str">
        <f t="shared" si="17"/>
      </c>
      <c r="CT250" s="91" t="str">
        <f t="shared" si="17"/>
      </c>
      <c r="CU250" s="91" t="str">
        <f t="shared" si="17"/>
      </c>
      <c r="CV250" s="91" t="str">
        <f t="shared" si="17"/>
      </c>
      <c r="CW250" s="91" t="str">
        <f t="shared" si="17"/>
      </c>
      <c r="CX250" s="91" t="str">
        <f t="shared" si="17"/>
      </c>
      <c r="CY250" s="91" t="str">
        <f t="shared" si="17"/>
      </c>
      <c r="CZ250" s="91" t="str">
        <f t="shared" si="17"/>
      </c>
      <c r="DA250" s="91" t="str">
        <f t="shared" si="17"/>
      </c>
      <c r="DB250" s="91" t="str">
        <f t="shared" si="17"/>
      </c>
      <c r="DC250" s="91" t="str">
        <f t="shared" si="17"/>
      </c>
      <c r="DD250" s="91" t="str">
        <f t="shared" si="17"/>
      </c>
      <c r="DE250" s="91" t="str">
        <f t="shared" si="17"/>
      </c>
      <c r="DF250" s="91" t="str">
        <f t="shared" si="17"/>
      </c>
      <c r="DG250" s="91" t="str">
        <f t="shared" si="17"/>
      </c>
      <c r="DH250" s="91" t="str">
        <f t="shared" si="17"/>
      </c>
      <c r="DI250" s="91" t="str">
        <f t="shared" si="17"/>
      </c>
      <c r="DJ250" s="91" t="str">
        <f t="shared" si="17"/>
      </c>
      <c r="DK250" s="91" t="str">
        <f t="shared" si="17"/>
      </c>
      <c r="DL250" s="91" t="str">
        <f t="shared" si="17"/>
      </c>
      <c r="DM250" s="91" t="str">
        <f t="shared" si="17"/>
      </c>
      <c r="DN250" s="91" t="str">
        <f t="shared" si="17"/>
      </c>
      <c r="DO250" s="91" t="str">
        <f t="shared" si="17"/>
      </c>
      <c r="DP250" s="91" t="str">
        <f t="shared" si="17"/>
      </c>
      <c r="DQ250" s="91" t="str">
        <f t="shared" si="17"/>
      </c>
      <c r="DR250" s="91" t="str">
        <f t="shared" si="17"/>
      </c>
      <c r="DS250" s="91" t="str">
        <f t="shared" si="17"/>
      </c>
      <c r="DT250" s="91" t="str">
        <f t="shared" si="17"/>
      </c>
      <c r="DU250" s="91" t="str">
        <f t="shared" si="17"/>
      </c>
      <c r="DV250" s="91" t="str">
        <f t="shared" si="17"/>
      </c>
      <c r="DW250" s="91" t="str">
        <f t="shared" si="17"/>
      </c>
      <c r="DX250" s="91" t="str">
        <f t="shared" si="17"/>
      </c>
      <c r="DY250" s="91" t="str">
        <f t="shared" si="17"/>
      </c>
      <c r="DZ250" s="91" t="str">
        <f t="shared" si="17"/>
      </c>
      <c r="EA250" s="91" t="str">
        <f t="shared" si="17"/>
      </c>
      <c r="EB250" s="91" t="str">
        <f t="shared" si="17"/>
      </c>
      <c r="EC250" s="91" t="str">
        <f t="shared" si="17"/>
      </c>
      <c r="ED250" s="91" t="str">
        <f t="shared" si="17"/>
      </c>
      <c r="EE250" s="91" t="str">
        <f t="shared" si="17"/>
      </c>
      <c r="EF250" s="91" t="str">
        <f t="shared" si="17"/>
      </c>
      <c r="EG250" s="91" t="str">
        <f t="shared" si="17"/>
      </c>
      <c r="EH250" s="91" t="str">
        <f t="shared" si="17"/>
      </c>
      <c r="EI250" s="91" t="str">
        <f t="shared" si="17"/>
      </c>
      <c r="EJ250" s="91" t="str">
        <f t="shared" si="17"/>
      </c>
      <c r="EK250" s="91" t="str">
        <f t="shared" si="17"/>
      </c>
      <c r="EL250" s="91" t="str">
        <f t="shared" si="17"/>
      </c>
      <c r="EM250" s="91" t="str">
        <f t="shared" si="17"/>
      </c>
      <c r="EN250" s="91" t="str">
        <f t="shared" si="17"/>
      </c>
      <c r="EO250" s="91" t="str">
        <f t="shared" si="17"/>
      </c>
      <c r="EP250" s="91" t="str">
        <f t="shared" si="17"/>
      </c>
      <c r="EQ250" s="91" t="str">
        <f t="shared" si="17"/>
      </c>
      <c r="ER250" s="91" t="str">
        <f t="shared" si="17"/>
      </c>
      <c r="ES250" s="91" t="str">
        <f t="shared" si="17"/>
      </c>
      <c r="ET250" s="91" t="str">
        <f t="shared" si="17"/>
      </c>
      <c r="EU250" s="91" t="str">
        <f t="shared" si="17"/>
      </c>
      <c r="EV250" s="91" t="str">
        <f t="shared" si="17"/>
      </c>
      <c r="EW250" s="91" t="str">
        <f t="shared" si="17"/>
      </c>
      <c r="EX250" s="91" t="str">
        <f t="shared" si="17"/>
      </c>
      <c r="EY250" s="91" t="str">
        <f t="shared" si="17"/>
      </c>
      <c r="EZ250" s="91" t="str">
        <f t="shared" si="17"/>
      </c>
      <c r="FA250" s="91" t="str">
        <f ref="FA250:HL250" t="shared" si="18">IF(SUM(FA231:FA249)&lt;&gt;0,SUM(FA231:FA249),"")</f>
      </c>
      <c r="FB250" s="91" t="str">
        <f t="shared" si="18"/>
      </c>
      <c r="FC250" s="91" t="str">
        <f t="shared" si="18"/>
      </c>
      <c r="FD250" s="91" t="str">
        <f t="shared" si="18"/>
      </c>
      <c r="FE250" s="91" t="str">
        <f t="shared" si="18"/>
      </c>
      <c r="FF250" s="91" t="str">
        <f t="shared" si="18"/>
      </c>
      <c r="FG250" s="91" t="str">
        <f t="shared" si="18"/>
      </c>
      <c r="FH250" s="91" t="str">
        <f t="shared" si="18"/>
      </c>
      <c r="FI250" s="91" t="str">
        <f t="shared" si="18"/>
      </c>
      <c r="FJ250" s="91" t="str">
        <f t="shared" si="18"/>
      </c>
      <c r="FK250" s="91" t="str">
        <f t="shared" si="18"/>
      </c>
      <c r="FL250" s="91" t="str">
        <f t="shared" si="18"/>
      </c>
      <c r="FM250" s="91" t="str">
        <f t="shared" si="18"/>
      </c>
      <c r="FN250" s="91" t="str">
        <f t="shared" si="18"/>
      </c>
      <c r="FO250" s="91" t="str">
        <f t="shared" si="18"/>
      </c>
      <c r="FP250" s="91" t="str">
        <f t="shared" si="18"/>
      </c>
      <c r="FQ250" s="91" t="str">
        <f t="shared" si="18"/>
      </c>
      <c r="FR250" s="91" t="str">
        <f t="shared" si="18"/>
      </c>
      <c r="FS250" s="91" t="str">
        <f t="shared" si="18"/>
      </c>
      <c r="FT250" s="91" t="str">
        <f t="shared" si="18"/>
      </c>
      <c r="FU250" s="91" t="str">
        <f t="shared" si="18"/>
      </c>
      <c r="FV250" s="91" t="str">
        <f t="shared" si="18"/>
      </c>
      <c r="FW250" s="91" t="str">
        <f t="shared" si="18"/>
      </c>
      <c r="FX250" s="91" t="str">
        <f t="shared" si="18"/>
      </c>
      <c r="FY250" s="91" t="str">
        <f t="shared" si="18"/>
      </c>
      <c r="FZ250" s="91" t="str">
        <f t="shared" si="18"/>
      </c>
      <c r="GA250" s="91" t="str">
        <f t="shared" si="18"/>
      </c>
      <c r="GB250" s="91" t="str">
        <f t="shared" si="18"/>
      </c>
      <c r="GC250" s="91" t="str">
        <f t="shared" si="18"/>
      </c>
      <c r="GD250" s="91" t="str">
        <f t="shared" si="18"/>
      </c>
      <c r="GE250" s="91" t="str">
        <f t="shared" si="18"/>
      </c>
      <c r="GF250" s="91" t="str">
        <f t="shared" si="18"/>
      </c>
      <c r="GG250" s="91" t="str">
        <f t="shared" si="18"/>
      </c>
      <c r="GH250" s="91" t="str">
        <f t="shared" si="18"/>
      </c>
      <c r="GI250" s="91" t="str">
        <f t="shared" si="18"/>
      </c>
      <c r="GJ250" s="91" t="str">
        <f t="shared" si="18"/>
      </c>
      <c r="GK250" s="91" t="str">
        <f t="shared" si="18"/>
      </c>
      <c r="GL250" s="91" t="str">
        <f t="shared" si="18"/>
      </c>
      <c r="GM250" s="91" t="str">
        <f t="shared" si="18"/>
      </c>
      <c r="GN250" s="91" t="str">
        <f t="shared" si="18"/>
      </c>
      <c r="GO250" s="91" t="str">
        <f t="shared" si="18"/>
      </c>
      <c r="GP250" s="91" t="str">
        <f t="shared" si="18"/>
      </c>
      <c r="GQ250" s="91" t="str">
        <f t="shared" si="18"/>
      </c>
      <c r="GR250" s="91" t="str">
        <f t="shared" si="18"/>
      </c>
      <c r="GS250" s="91" t="str">
        <f t="shared" si="18"/>
      </c>
      <c r="GT250" s="91" t="str">
        <f t="shared" si="18"/>
      </c>
      <c r="GU250" s="91" t="str">
        <f t="shared" si="18"/>
      </c>
      <c r="GV250" s="91" t="str">
        <f t="shared" si="18"/>
      </c>
      <c r="GW250" s="91" t="str">
        <f t="shared" si="18"/>
      </c>
      <c r="GX250" s="91" t="str">
        <f t="shared" si="18"/>
      </c>
      <c r="GY250" s="91" t="str">
        <f t="shared" si="18"/>
      </c>
      <c r="GZ250" s="91" t="str">
        <f t="shared" si="18"/>
      </c>
      <c r="HA250" s="91" t="str">
        <f t="shared" si="18"/>
      </c>
      <c r="HB250" s="91" t="str">
        <f t="shared" si="18"/>
      </c>
      <c r="HC250" s="91" t="str">
        <f t="shared" si="18"/>
      </c>
      <c r="HD250" s="91" t="str">
        <f t="shared" si="18"/>
      </c>
      <c r="HE250" s="91" t="str">
        <f t="shared" si="18"/>
      </c>
      <c r="HF250" s="91" t="str">
        <f t="shared" si="18"/>
      </c>
      <c r="HG250" s="91" t="str">
        <f t="shared" si="18"/>
      </c>
      <c r="HH250" s="91" t="str">
        <f t="shared" si="18"/>
      </c>
      <c r="HI250" s="91" t="str">
        <f t="shared" si="18"/>
      </c>
      <c r="HJ250" s="91" t="str">
        <f t="shared" si="18"/>
      </c>
      <c r="HK250" s="91" t="str">
        <f t="shared" si="18"/>
      </c>
      <c r="HL250" s="91" t="str">
        <f t="shared" si="18"/>
      </c>
      <c r="HM250" s="91" t="str">
        <f ref="HM250:IV250" t="shared" si="19">IF(SUM(HM231:HM249)&lt;&gt;0,SUM(HM231:HM249),"")</f>
      </c>
      <c r="HN250" s="91" t="str">
        <f t="shared" si="19"/>
      </c>
      <c r="HO250" s="91" t="str">
        <f t="shared" si="19"/>
      </c>
      <c r="HP250" s="91" t="str">
        <f t="shared" si="19"/>
      </c>
      <c r="HQ250" s="91" t="str">
        <f t="shared" si="19"/>
      </c>
      <c r="HR250" s="91" t="str">
        <f t="shared" si="19"/>
      </c>
      <c r="HS250" s="91" t="str">
        <f t="shared" si="19"/>
      </c>
      <c r="HT250" s="91" t="str">
        <f t="shared" si="19"/>
      </c>
      <c r="HU250" s="91" t="str">
        <f t="shared" si="19"/>
      </c>
      <c r="HV250" s="91" t="str">
        <f t="shared" si="19"/>
      </c>
      <c r="HW250" s="91" t="str">
        <f t="shared" si="19"/>
      </c>
      <c r="HX250" s="91" t="str">
        <f t="shared" si="19"/>
      </c>
      <c r="HY250" s="91" t="str">
        <f t="shared" si="19"/>
      </c>
      <c r="HZ250" s="91" t="str">
        <f t="shared" si="19"/>
      </c>
      <c r="IA250" s="91" t="str">
        <f t="shared" si="19"/>
      </c>
      <c r="IB250" s="91" t="str">
        <f t="shared" si="19"/>
      </c>
      <c r="IC250" s="91" t="str">
        <f t="shared" si="19"/>
      </c>
      <c r="ID250" s="91" t="str">
        <f t="shared" si="19"/>
      </c>
      <c r="IE250" s="91" t="str">
        <f t="shared" si="19"/>
      </c>
      <c r="IF250" s="91" t="str">
        <f t="shared" si="19"/>
      </c>
      <c r="IG250" s="91" t="str">
        <f t="shared" si="19"/>
      </c>
      <c r="IH250" s="91" t="str">
        <f t="shared" si="19"/>
      </c>
      <c r="II250" s="91" t="str">
        <f t="shared" si="19"/>
      </c>
      <c r="IJ250" s="91" t="str">
        <f t="shared" si="19"/>
      </c>
      <c r="IK250" s="91" t="str">
        <f t="shared" si="19"/>
      </c>
      <c r="IL250" s="91" t="str">
        <f t="shared" si="19"/>
      </c>
      <c r="IM250" s="91" t="str">
        <f t="shared" si="19"/>
      </c>
      <c r="IN250" s="91" t="str">
        <f t="shared" si="19"/>
      </c>
      <c r="IO250" s="91" t="str">
        <f t="shared" si="19"/>
      </c>
      <c r="IP250" s="91" t="str">
        <f t="shared" si="19"/>
      </c>
      <c r="IQ250" s="91" t="str">
        <f t="shared" si="19"/>
      </c>
      <c r="IR250" s="91" t="str">
        <f t="shared" si="19"/>
      </c>
      <c r="IS250" s="91" t="str">
        <f t="shared" si="19"/>
      </c>
      <c r="IT250" s="91" t="str">
        <f t="shared" si="19"/>
      </c>
      <c r="IU250" s="91" t="str">
        <f t="shared" si="19"/>
      </c>
      <c r="IV250" s="91" t="str">
        <f t="shared" si="19"/>
      </c>
    </row>
    <row r="251" hidden="1" ht="13.5"/>
    <row r="252" hidden="1" ht="15" customHeight="1">
      <c r="C252" s="686" t="s">
        <v>405</v>
      </c>
      <c r="D252" s="687"/>
      <c r="E252" s="687"/>
      <c r="F252" s="687"/>
      <c r="G252" s="687"/>
      <c r="H252" s="687"/>
      <c r="I252" s="687"/>
      <c r="J252" s="687"/>
      <c r="K252" s="687"/>
      <c r="L252" s="687"/>
      <c r="M252" s="687"/>
      <c r="N252" s="687"/>
      <c r="O252" s="687"/>
      <c r="P252" s="687"/>
      <c r="Q252" s="687"/>
      <c r="R252" s="687"/>
      <c r="S252" s="687"/>
      <c r="T252" s="687"/>
      <c r="U252" s="687"/>
      <c r="V252" s="687"/>
      <c r="W252" s="687"/>
      <c r="X252" s="687"/>
      <c r="Y252" s="687"/>
      <c r="Z252" s="687"/>
      <c r="AA252" s="687"/>
      <c r="AB252" s="688"/>
    </row>
    <row r="253" hidden="1" ht="15" customHeight="1">
      <c r="C253" s="435" t="str">
        <f> IF(C273&lt;&gt;"",TEXT(AUX!G$1,"dd-MMM-aa"),"")</f>
      </c>
      <c r="D253" s="435" t="str">
        <f> IF(D273&lt;&gt;"",TEXT(AUX!H$1,"dd-MMM-aa"),"")</f>
      </c>
      <c r="E253" s="435" t="str">
        <f> IF(E273&lt;&gt;"",TEXT(AUX!I$1,"dd-MMM-aa"),"")</f>
      </c>
      <c r="F253" s="435" t="str">
        <f> IF(F273&lt;&gt;"",TEXT(AUX!J$1,"dd-MMM-aa"),"")</f>
      </c>
      <c r="G253" s="435" t="str">
        <f> IF(G273&lt;&gt;"",TEXT(AUX!K$1,"dd-MMM-aa"),"")</f>
      </c>
      <c r="H253" s="435" t="str">
        <f> IF(H273&lt;&gt;"",TEXT(AUX!L$1,"dd-MMM-aa"),"")</f>
      </c>
      <c r="I253" s="435" t="str">
        <f> IF(I273&lt;&gt;"",TEXT(AUX!M$1,"dd-MMM-aa"),"")</f>
      </c>
      <c r="J253" s="435" t="str">
        <f> IF(J273&lt;&gt;"",TEXT(AUX!N$1,"dd-MMM-aa"),"")</f>
      </c>
      <c r="K253" s="435" t="str">
        <f> IF(K273&lt;&gt;"",TEXT(AUX!O$1,"dd-MMM-aa"),"")</f>
      </c>
      <c r="L253" s="435" t="str">
        <f> IF(L273&lt;&gt;"",TEXT(AUX!P$1,"dd-MMM-aa"),"")</f>
      </c>
      <c r="M253" s="435" t="str">
        <f> IF(M273&lt;&gt;"",TEXT(AUX!Q$1,"dd-MMM-aa"),"")</f>
      </c>
      <c r="N253" s="435" t="str">
        <f> IF(N273&lt;&gt;"",TEXT(AUX!R$1,"dd-MMM-aa"),"")</f>
      </c>
      <c r="O253" s="435" t="str">
        <f> IF(O273&lt;&gt;"",TEXT(AUX!S$1,"dd-MMM-aa"),"")</f>
      </c>
      <c r="P253" s="435" t="str">
        <f> IF(P273&lt;&gt;"",TEXT(AUX!T$1,"dd-MMM-aa"),"")</f>
      </c>
      <c r="Q253" s="435" t="str">
        <f> IF(Q273&lt;&gt;"",TEXT(AUX!U$1,"dd-MMM-aa"),"")</f>
      </c>
      <c r="R253" s="435" t="str">
        <f> IF(R273&lt;&gt;"",TEXT(AUX!V$1,"dd-MMM-aa"),"")</f>
      </c>
      <c r="S253" s="435" t="str">
        <f> IF(S273&lt;&gt;"",TEXT(AUX!W$1,"dd-MMM-aa"),"")</f>
      </c>
      <c r="T253" s="435" t="str">
        <f> IF(T273&lt;&gt;"",TEXT(AUX!X$1,"dd-MMM-aa"),"")</f>
      </c>
      <c r="U253" s="435" t="str">
        <f> IF(U273&lt;&gt;"",TEXT(AUX!Y$1,"dd-MMM-aa"),"")</f>
      </c>
      <c r="V253" s="435" t="str">
        <f> IF(V273&lt;&gt;"",TEXT(AUX!Z$1,"dd-MMM-aa"),"")</f>
      </c>
      <c r="W253" s="435" t="str">
        <f> IF(W273&lt;&gt;"",TEXT(AUX!AA$1,"dd-MMM-aa"),"")</f>
      </c>
      <c r="X253" s="435" t="str">
        <f> IF(X273&lt;&gt;"",TEXT(AUX!AB$1,"dd-MMM-aa"),"")</f>
      </c>
      <c r="Y253" s="435" t="str">
        <f> IF(Y273&lt;&gt;"",TEXT(AUX!AC$1,"dd-MMM-aa"),"")</f>
      </c>
      <c r="Z253" s="435" t="str">
        <f> IF(Z273&lt;&gt;"",TEXT(AUX!AD$1,"dd-MMM-aa"),"")</f>
      </c>
      <c r="AA253" s="435" t="str">
        <f> IF(AA273&lt;&gt;"",TEXT(AUX!AE$1,"dd-MMM-aa"),"")</f>
      </c>
      <c r="AB253" s="497" t="str">
        <f> IF(AB273&lt;&gt;"",TEXT(AUX!AF$1,"dd-MMM-aa"),"")</f>
      </c>
      <c r="AC253" s="496" t="str">
        <f> IF(AC273&lt;&gt;"",TEXT(AUX!AG$1,"dd-MMM-aa"),"")</f>
      </c>
      <c r="AD253" s="496" t="str">
        <f> IF(AD273&lt;&gt;"",TEXT(AUX!AH$1,"dd-MMM-aa"),"")</f>
      </c>
      <c r="AE253" s="496" t="str">
        <f> IF(AE273&lt;&gt;"",TEXT(AUX!AI$1,"dd-MMM-aa"),"")</f>
      </c>
      <c r="AF253" s="496" t="str">
        <f> IF(AF273&lt;&gt;"",TEXT(AUX!AJ$1,"dd-MMM-aa"),"")</f>
      </c>
      <c r="AG253" s="496" t="str">
        <f> IF(AG273&lt;&gt;"",TEXT(AUX!AK$1,"dd-MMM-aa"),"")</f>
      </c>
      <c r="AH253" s="496" t="str">
        <f> IF(AH273&lt;&gt;"",TEXT(AUX!AL$1,"dd-MMM-aa"),"")</f>
      </c>
      <c r="AI253" s="496" t="str">
        <f> IF(AI273&lt;&gt;"",TEXT(AUX!AM$1,"dd-MMM-aa"),"")</f>
      </c>
      <c r="AJ253" s="496" t="str">
        <f> IF(AJ273&lt;&gt;"",TEXT(AUX!AN$1,"dd-MMM-aa"),"")</f>
      </c>
      <c r="AK253" s="496" t="str">
        <f> IF(AK273&lt;&gt;"",TEXT(AUX!AO$1,"dd-MMM-aa"),"")</f>
      </c>
      <c r="AL253" s="496" t="str">
        <f> IF(AL273&lt;&gt;"",TEXT(AUX!AP$1,"dd-MMM-aa"),"")</f>
      </c>
      <c r="AM253" s="496" t="str">
        <f> IF(AM273&lt;&gt;"",TEXT(AUX!AQ$1,"dd-MMM-aa"),"")</f>
      </c>
      <c r="AN253" s="496" t="str">
        <f> IF(AN273&lt;&gt;"",TEXT(AUX!AR$1,"dd-MMM-aa"),"")</f>
      </c>
      <c r="AO253" s="496" t="str">
        <f> IF(AO273&lt;&gt;"",TEXT(AUX!AS$1,"dd-MMM-aa"),"")</f>
      </c>
      <c r="AP253" s="496" t="str">
        <f> IF(AP273&lt;&gt;"",TEXT(AUX!AT$1,"dd-MMM-aa"),"")</f>
      </c>
      <c r="AQ253" s="496" t="str">
        <f> IF(AQ273&lt;&gt;"",TEXT(AUX!AU$1,"dd-MMM-aa"),"")</f>
      </c>
      <c r="AR253" s="496" t="str">
        <f> IF(AR273&lt;&gt;"",TEXT(AUX!AV$1,"dd-MMM-aa"),"")</f>
      </c>
      <c r="AS253" s="496" t="str">
        <f> IF(AS273&lt;&gt;"",TEXT(AUX!AW$1,"dd-MMM-aa"),"")</f>
      </c>
      <c r="AT253" s="496" t="str">
        <f> IF(AT273&lt;&gt;"",TEXT(AUX!AX$1,"dd-MMM-aa"),"")</f>
      </c>
      <c r="AU253" s="496" t="str">
        <f> IF(AU273&lt;&gt;"",TEXT(AUX!AY$1,"dd-MMM-aa"),"")</f>
      </c>
      <c r="AV253" s="496" t="str">
        <f> IF(AV273&lt;&gt;"",TEXT(AUX!AZ$1,"dd-MMM-aa"),"")</f>
      </c>
      <c r="AW253" s="496" t="str">
        <f> IF(AW273&lt;&gt;"",TEXT(AUX!BA$1,"dd-MMM-aa"),"")</f>
      </c>
      <c r="AX253" s="496" t="str">
        <f> IF(AX273&lt;&gt;"",TEXT(AUX!BB$1,"dd-MMM-aa"),"")</f>
      </c>
      <c r="AY253" s="496" t="str">
        <f> IF(AY273&lt;&gt;"",TEXT(AUX!BC$1,"dd-MMM-aa"),"")</f>
      </c>
      <c r="AZ253" s="496" t="str">
        <f> IF(AZ273&lt;&gt;"",TEXT(AUX!BD$1,"dd-MMM-aa"),"")</f>
      </c>
      <c r="BA253" s="496" t="str">
        <f> IF(BA273&lt;&gt;"",TEXT(AUX!BE$1,"dd-MMM-aa"),"")</f>
      </c>
      <c r="BB253" s="496" t="str">
        <f> IF(BB273&lt;&gt;"",TEXT(AUX!BF$1,"dd-MMM-aa"),"")</f>
      </c>
      <c r="BC253" s="496" t="str">
        <f> IF(BC273&lt;&gt;"",TEXT(AUX!BG$1,"dd-MMM-aa"),"")</f>
      </c>
      <c r="BD253" s="496" t="str">
        <f> IF(BD273&lt;&gt;"",TEXT(AUX!BH$1,"dd-MMM-aa"),"")</f>
      </c>
      <c r="BE253" s="496" t="str">
        <f> IF(BE273&lt;&gt;"",TEXT(AUX!BI$1,"dd-MMM-aa"),"")</f>
      </c>
      <c r="BF253" s="496" t="str">
        <f> IF(BF273&lt;&gt;"",TEXT(AUX!BJ$1,"dd-MMM-aa"),"")</f>
      </c>
      <c r="BG253" s="496" t="str">
        <f> IF(BG273&lt;&gt;"",TEXT(AUX!BK$1,"dd-MMM-aa"),"")</f>
      </c>
      <c r="BH253" s="496" t="str">
        <f> IF(BH273&lt;&gt;"",TEXT(AUX!BL$1,"dd-MMM-aa"),"")</f>
      </c>
      <c r="BI253" s="496" t="str">
        <f> IF(BI273&lt;&gt;"",TEXT(AUX!BM$1,"dd-MMM-aa"),"")</f>
      </c>
      <c r="BJ253" s="496" t="str">
        <f> IF(BJ273&lt;&gt;"",TEXT(AUX!BN$1,"dd-MMM-aa"),"")</f>
      </c>
      <c r="BK253" s="496" t="str">
        <f> IF(BK273&lt;&gt;"",TEXT(AUX!BO$1,"dd-MMM-aa"),"")</f>
      </c>
      <c r="BL253" s="496" t="str">
        <f> IF(BL273&lt;&gt;"",TEXT(AUX!BP$1,"dd-MMM-aa"),"")</f>
      </c>
      <c r="BM253" s="496" t="str">
        <f> IF(BM273&lt;&gt;"",TEXT(AUX!BQ$1,"dd-MMM-aa"),"")</f>
      </c>
      <c r="BN253" s="496" t="str">
        <f> IF(BN273&lt;&gt;"",TEXT(AUX!BR$1,"dd-MMM-aa"),"")</f>
      </c>
      <c r="BO253" s="496" t="str">
        <f> IF(BO273&lt;&gt;"",TEXT(AUX!BS$1,"dd-MMM-aa"),"")</f>
      </c>
      <c r="BP253" s="496" t="str">
        <f> IF(BP273&lt;&gt;"",TEXT(AUX!BT$1,"dd-MMM-aa"),"")</f>
      </c>
      <c r="BQ253" s="496" t="str">
        <f> IF(BQ273&lt;&gt;"",TEXT(AUX!BU$1,"dd-MMM-aa"),"")</f>
      </c>
      <c r="BR253" s="496" t="str">
        <f> IF(BR273&lt;&gt;"",TEXT(AUX!BV$1,"dd-MMM-aa"),"")</f>
      </c>
      <c r="BS253" s="496" t="str">
        <f> IF(BS273&lt;&gt;"",TEXT(AUX!BW$1,"dd-MMM-aa"),"")</f>
      </c>
      <c r="BT253" s="496" t="str">
        <f> IF(BT273&lt;&gt;"",TEXT(AUX!BX$1,"dd-MMM-aa"),"")</f>
      </c>
      <c r="BU253" s="496" t="str">
        <f> IF(BU273&lt;&gt;"",TEXT(AUX!BY$1,"dd-MMM-aa"),"")</f>
      </c>
      <c r="BV253" s="496" t="str">
        <f> IF(BV273&lt;&gt;"",TEXT(AUX!BZ$1,"dd-MMM-aa"),"")</f>
      </c>
      <c r="BW253" s="496" t="str">
        <f> IF(BW273&lt;&gt;"",TEXT(AUX!CA$1,"dd-MMM-aa"),"")</f>
      </c>
      <c r="BX253" s="496" t="str">
        <f> IF(BX273&lt;&gt;"",TEXT(AUX!CB$1,"dd-MMM-aa"),"")</f>
      </c>
      <c r="BY253" s="496" t="str">
        <f> IF(BY273&lt;&gt;"",TEXT(AUX!CC$1,"dd-MMM-aa"),"")</f>
      </c>
      <c r="BZ253" s="496" t="str">
        <f> IF(BZ273&lt;&gt;"",TEXT(AUX!CD$1,"dd-MMM-aa"),"")</f>
      </c>
      <c r="CA253" s="496" t="str">
        <f> IF(CA273&lt;&gt;"",TEXT(AUX!CE$1,"dd-MMM-aa"),"")</f>
      </c>
      <c r="CB253" s="496" t="str">
        <f> IF(CB273&lt;&gt;"",TEXT(AUX!CF$1,"dd-MMM-aa"),"")</f>
      </c>
      <c r="CC253" s="496" t="str">
        <f> IF(CC273&lt;&gt;"",TEXT(AUX!CG$1,"dd-MMM-aa"),"")</f>
      </c>
      <c r="CD253" s="496" t="str">
        <f> IF(CD273&lt;&gt;"",TEXT(AUX!CH$1,"dd-MMM-aa"),"")</f>
      </c>
      <c r="CE253" s="496" t="str">
        <f> IF(CE273&lt;&gt;"",TEXT(AUX!CI$1,"dd-MMM-aa"),"")</f>
      </c>
      <c r="CF253" s="496" t="str">
        <f> IF(CF273&lt;&gt;"",TEXT(AUX!CJ$1,"dd-MMM-aa"),"")</f>
      </c>
      <c r="CG253" s="496" t="str">
        <f> IF(CG273&lt;&gt;"",TEXT(AUX!CK$1,"dd-MMM-aa"),"")</f>
      </c>
      <c r="CH253" s="496" t="str">
        <f> IF(CH273&lt;&gt;"",TEXT(AUX!CL$1,"dd-MMM-aa"),"")</f>
      </c>
      <c r="CI253" s="496" t="str">
        <f> IF(CI273&lt;&gt;"",TEXT(AUX!CM$1,"dd-MMM-aa"),"")</f>
      </c>
      <c r="CJ253" s="496" t="str">
        <f> IF(CJ273&lt;&gt;"",TEXT(AUX!CN$1,"dd-MMM-aa"),"")</f>
      </c>
      <c r="CK253" s="496" t="str">
        <f> IF(CK273&lt;&gt;"",TEXT(AUX!CO$1,"dd-MMM-aa"),"")</f>
      </c>
      <c r="CL253" s="496" t="str">
        <f> IF(CL273&lt;&gt;"",TEXT(AUX!CP$1,"dd-MMM-aa"),"")</f>
      </c>
      <c r="CM253" s="496" t="str">
        <f> IF(CM273&lt;&gt;"",TEXT(AUX!CQ$1,"dd-MMM-aa"),"")</f>
      </c>
      <c r="CN253" s="496" t="str">
        <f> IF(CN273&lt;&gt;"",TEXT(AUX!CR$1,"dd-MMM-aa"),"")</f>
      </c>
      <c r="CO253" s="496" t="str">
        <f> IF(CO273&lt;&gt;"",TEXT(AUX!CS$1,"dd-MMM-aa"),"")</f>
      </c>
      <c r="CP253" s="496" t="str">
        <f> IF(CP273&lt;&gt;"",TEXT(AUX!CT$1,"dd-MMM-aa"),"")</f>
      </c>
      <c r="CQ253" s="496" t="str">
        <f> IF(CQ273&lt;&gt;"",TEXT(AUX!CU$1,"dd-MMM-aa"),"")</f>
      </c>
      <c r="CR253" s="496" t="str">
        <f> IF(CR273&lt;&gt;"",TEXT(AUX!CV$1,"dd-MMM-aa"),"")</f>
      </c>
      <c r="CS253" s="496" t="str">
        <f> IF(CS273&lt;&gt;"",TEXT(AUX!CW$1,"dd-MMM-aa"),"")</f>
      </c>
      <c r="CT253" s="496" t="str">
        <f> IF(CT273&lt;&gt;"",TEXT(AUX!CX$1,"dd-MMM-aa"),"")</f>
      </c>
      <c r="CU253" s="496" t="str">
        <f> IF(CU273&lt;&gt;"",TEXT(AUX!CY$1,"dd-MMM-aa"),"")</f>
      </c>
      <c r="CV253" s="496" t="str">
        <f> IF(CV273&lt;&gt;"",TEXT(AUX!CZ$1,"dd-MMM-aa"),"")</f>
      </c>
      <c r="CW253" s="496" t="str">
        <f> IF(CW273&lt;&gt;"",TEXT(AUX!DA$1,"dd-MMM-aa"),"")</f>
      </c>
      <c r="CX253" s="496" t="str">
        <f> IF(CX273&lt;&gt;"",TEXT(AUX!DB$1,"dd-MMM-aa"),"")</f>
      </c>
      <c r="CY253" s="496" t="str">
        <f> IF(CY273&lt;&gt;"",TEXT(AUX!DC$1,"dd-MMM-aa"),"")</f>
      </c>
      <c r="CZ253" s="496" t="str">
        <f> IF(CZ273&lt;&gt;"",TEXT(AUX!DD$1,"dd-MMM-aa"),"")</f>
      </c>
      <c r="DA253" s="496" t="str">
        <f> IF(DA273&lt;&gt;"",TEXT(AUX!DE$1,"dd-MMM-aa"),"")</f>
      </c>
      <c r="DB253" s="496" t="str">
        <f> IF(DB273&lt;&gt;"",TEXT(AUX!DF$1,"dd-MMM-aa"),"")</f>
      </c>
      <c r="DC253" s="496" t="str">
        <f> IF(DC273&lt;&gt;"",TEXT(AUX!DG$1,"dd-MMM-aa"),"")</f>
      </c>
      <c r="DD253" s="496" t="str">
        <f> IF(DD273&lt;&gt;"",TEXT(AUX!DH$1,"dd-MMM-aa"),"")</f>
      </c>
      <c r="DE253" s="496" t="str">
        <f> IF(DE273&lt;&gt;"",TEXT(AUX!DI$1,"dd-MMM-aa"),"")</f>
      </c>
      <c r="DF253" s="496" t="str">
        <f> IF(DF273&lt;&gt;"",TEXT(AUX!DJ$1,"dd-MMM-aa"),"")</f>
      </c>
      <c r="DG253" s="496" t="str">
        <f> IF(DG273&lt;&gt;"",TEXT(AUX!DK$1,"dd-MMM-aa"),"")</f>
      </c>
      <c r="DH253" s="496" t="str">
        <f> IF(DH273&lt;&gt;"",TEXT(AUX!DL$1,"dd-MMM-aa"),"")</f>
      </c>
      <c r="DI253" s="496" t="str">
        <f> IF(DI273&lt;&gt;"",TEXT(AUX!DM$1,"dd-MMM-aa"),"")</f>
      </c>
      <c r="DJ253" s="496" t="str">
        <f> IF(DJ273&lt;&gt;"",TEXT(AUX!DN$1,"dd-MMM-aa"),"")</f>
      </c>
      <c r="DK253" s="496" t="str">
        <f> IF(DK273&lt;&gt;"",TEXT(AUX!DO$1,"dd-MMM-aa"),"")</f>
      </c>
      <c r="DL253" s="496" t="str">
        <f> IF(DL273&lt;&gt;"",TEXT(AUX!DP$1,"dd-MMM-aa"),"")</f>
      </c>
      <c r="DM253" s="496" t="str">
        <f> IF(DM273&lt;&gt;"",TEXT(AUX!DQ$1,"dd-MMM-aa"),"")</f>
      </c>
      <c r="DN253" s="496" t="str">
        <f> IF(DN273&lt;&gt;"",TEXT(AUX!DR$1,"dd-MMM-aa"),"")</f>
      </c>
      <c r="DO253" s="496" t="str">
        <f> IF(DO273&lt;&gt;"",TEXT(AUX!DS$1,"dd-MMM-aa"),"")</f>
      </c>
      <c r="DP253" s="496" t="str">
        <f> IF(DP273&lt;&gt;"",TEXT(AUX!DT$1,"dd-MMM-aa"),"")</f>
      </c>
      <c r="DQ253" s="496" t="str">
        <f> IF(DQ273&lt;&gt;"",TEXT(AUX!DU$1,"dd-MMM-aa"),"")</f>
      </c>
      <c r="DR253" s="496" t="str">
        <f> IF(DR273&lt;&gt;"",TEXT(AUX!DV$1,"dd-MMM-aa"),"")</f>
      </c>
      <c r="DS253" s="496" t="str">
        <f> IF(DS273&lt;&gt;"",TEXT(AUX!DW$1,"dd-MMM-aa"),"")</f>
      </c>
      <c r="DT253" s="496" t="str">
        <f> IF(DT273&lt;&gt;"",TEXT(AUX!DX$1,"dd-MMM-aa"),"")</f>
      </c>
      <c r="DU253" s="496" t="str">
        <f> IF(DU273&lt;&gt;"",TEXT(AUX!DY$1,"dd-MMM-aa"),"")</f>
      </c>
      <c r="DV253" s="496" t="str">
        <f> IF(DV273&lt;&gt;"",TEXT(AUX!DZ$1,"dd-MMM-aa"),"")</f>
      </c>
      <c r="DW253" s="496" t="str">
        <f> IF(DW273&lt;&gt;"",TEXT(AUX!EA$1,"dd-MMM-aa"),"")</f>
      </c>
      <c r="DX253" s="496" t="str">
        <f> IF(DX273&lt;&gt;"",TEXT(AUX!EB$1,"dd-MMM-aa"),"")</f>
      </c>
      <c r="DY253" s="496" t="str">
        <f> IF(DY273&lt;&gt;"",TEXT(AUX!EC$1,"dd-MMM-aa"),"")</f>
      </c>
      <c r="DZ253" s="496" t="str">
        <f> IF(DZ273&lt;&gt;"",TEXT(AUX!ED$1,"dd-MMM-aa"),"")</f>
      </c>
      <c r="EA253" s="496" t="str">
        <f> IF(EA273&lt;&gt;"",TEXT(AUX!EE$1,"dd-MMM-aa"),"")</f>
      </c>
      <c r="EB253" s="496" t="str">
        <f> IF(EB273&lt;&gt;"",TEXT(AUX!EF$1,"dd-MMM-aa"),"")</f>
      </c>
      <c r="EC253" s="496" t="str">
        <f> IF(EC273&lt;&gt;"",TEXT(AUX!EG$1,"dd-MMM-aa"),"")</f>
      </c>
      <c r="ED253" s="496" t="str">
        <f> IF(ED273&lt;&gt;"",TEXT(AUX!EH$1,"dd-MMM-aa"),"")</f>
      </c>
      <c r="EE253" s="496" t="str">
        <f> IF(EE273&lt;&gt;"",TEXT(AUX!EI$1,"dd-MMM-aa"),"")</f>
      </c>
      <c r="EF253" s="496" t="str">
        <f> IF(EF273&lt;&gt;"",TEXT(AUX!EJ$1,"dd-MMM-aa"),"")</f>
      </c>
      <c r="EG253" s="496" t="str">
        <f> IF(EG273&lt;&gt;"",TEXT(AUX!EK$1,"dd-MMM-aa"),"")</f>
      </c>
      <c r="EH253" s="496" t="str">
        <f> IF(EH273&lt;&gt;"",TEXT(AUX!EL$1,"dd-MMM-aa"),"")</f>
      </c>
      <c r="EI253" s="496" t="str">
        <f> IF(EI273&lt;&gt;"",TEXT(AUX!EM$1,"dd-MMM-aa"),"")</f>
      </c>
      <c r="EJ253" s="496" t="str">
        <f> IF(EJ273&lt;&gt;"",TEXT(AUX!EN$1,"dd-MMM-aa"),"")</f>
      </c>
      <c r="EK253" s="496" t="str">
        <f> IF(EK273&lt;&gt;"",TEXT(AUX!EO$1,"dd-MMM-aa"),"")</f>
      </c>
      <c r="EL253" s="496" t="str">
        <f> IF(EL273&lt;&gt;"",TEXT(AUX!EP$1,"dd-MMM-aa"),"")</f>
      </c>
      <c r="EM253" s="496" t="str">
        <f> IF(EM273&lt;&gt;"",TEXT(AUX!EQ$1,"dd-MMM-aa"),"")</f>
      </c>
      <c r="EN253" s="496" t="str">
        <f> IF(EN273&lt;&gt;"",TEXT(AUX!ER$1,"dd-MMM-aa"),"")</f>
      </c>
      <c r="EO253" s="496" t="str">
        <f> IF(EO273&lt;&gt;"",TEXT(AUX!ES$1,"dd-MMM-aa"),"")</f>
      </c>
      <c r="EP253" s="496" t="str">
        <f> IF(EP273&lt;&gt;"",TEXT(AUX!ET$1,"dd-MMM-aa"),"")</f>
      </c>
      <c r="EQ253" s="496" t="str">
        <f> IF(EQ273&lt;&gt;"",TEXT(AUX!EU$1,"dd-MMM-aa"),"")</f>
      </c>
      <c r="ER253" s="496" t="str">
        <f> IF(ER273&lt;&gt;"",TEXT(AUX!EV$1,"dd-MMM-aa"),"")</f>
      </c>
      <c r="ES253" s="496" t="str">
        <f> IF(ES273&lt;&gt;"",TEXT(AUX!EW$1,"dd-MMM-aa"),"")</f>
      </c>
      <c r="ET253" s="496" t="str">
        <f> IF(ET273&lt;&gt;"",TEXT(AUX!EX$1,"dd-MMM-aa"),"")</f>
      </c>
      <c r="EU253" s="496" t="str">
        <f> IF(EU273&lt;&gt;"",TEXT(AUX!EY$1,"dd-MMM-aa"),"")</f>
      </c>
      <c r="EV253" s="496" t="str">
        <f> IF(EV273&lt;&gt;"",TEXT(AUX!EZ$1,"dd-MMM-aa"),"")</f>
      </c>
      <c r="EW253" s="496" t="str">
        <f> IF(EW273&lt;&gt;"",TEXT(AUX!FA$1,"dd-MMM-aa"),"")</f>
      </c>
      <c r="EX253" s="496" t="str">
        <f> IF(EX273&lt;&gt;"",TEXT(AUX!FB$1,"dd-MMM-aa"),"")</f>
      </c>
      <c r="EY253" s="496" t="str">
        <f> IF(EY273&lt;&gt;"",TEXT(AUX!FC$1,"dd-MMM-aa"),"")</f>
      </c>
      <c r="EZ253" s="496" t="str">
        <f> IF(EZ273&lt;&gt;"",TEXT(AUX!FD$1,"dd-MMM-aa"),"")</f>
      </c>
      <c r="FA253" s="496" t="str">
        <f> IF(FA273&lt;&gt;"",TEXT(AUX!FE$1,"dd-MMM-aa"),"")</f>
      </c>
      <c r="FB253" s="496" t="str">
        <f> IF(FB273&lt;&gt;"",TEXT(AUX!FF$1,"dd-MMM-aa"),"")</f>
      </c>
      <c r="FC253" s="496" t="str">
        <f> IF(FC273&lt;&gt;"",TEXT(AUX!FG$1,"dd-MMM-aa"),"")</f>
      </c>
      <c r="FD253" s="496" t="str">
        <f> IF(FD273&lt;&gt;"",TEXT(AUX!FH$1,"dd-MMM-aa"),"")</f>
      </c>
      <c r="FE253" s="496" t="str">
        <f> IF(FE273&lt;&gt;"",TEXT(AUX!FI$1,"dd-MMM-aa"),"")</f>
      </c>
      <c r="FF253" s="496" t="str">
        <f> IF(FF273&lt;&gt;"",TEXT(AUX!FJ$1,"dd-MMM-aa"),"")</f>
      </c>
      <c r="FG253" s="496" t="str">
        <f> IF(FG273&lt;&gt;"",TEXT(AUX!FK$1,"dd-MMM-aa"),"")</f>
      </c>
      <c r="FH253" s="496" t="str">
        <f> IF(FH273&lt;&gt;"",TEXT(AUX!FL$1,"dd-MMM-aa"),"")</f>
      </c>
      <c r="FI253" s="496" t="str">
        <f> IF(FI273&lt;&gt;"",TEXT(AUX!FM$1,"dd-MMM-aa"),"")</f>
      </c>
      <c r="FJ253" s="496" t="str">
        <f> IF(FJ273&lt;&gt;"",TEXT(AUX!FN$1,"dd-MMM-aa"),"")</f>
      </c>
      <c r="FK253" s="496" t="str">
        <f> IF(FK273&lt;&gt;"",TEXT(AUX!FO$1,"dd-MMM-aa"),"")</f>
      </c>
      <c r="FL253" s="496" t="str">
        <f> IF(FL273&lt;&gt;"",TEXT(AUX!FP$1,"dd-MMM-aa"),"")</f>
      </c>
      <c r="FM253" s="496" t="str">
        <f> IF(FM273&lt;&gt;"",TEXT(AUX!FQ$1,"dd-MMM-aa"),"")</f>
      </c>
      <c r="FN253" s="496" t="str">
        <f> IF(FN273&lt;&gt;"",TEXT(AUX!FR$1,"dd-MMM-aa"),"")</f>
      </c>
      <c r="FO253" s="496" t="str">
        <f> IF(FO273&lt;&gt;"",TEXT(AUX!FS$1,"dd-MMM-aa"),"")</f>
      </c>
      <c r="FP253" s="496" t="str">
        <f> IF(FP273&lt;&gt;"",TEXT(AUX!FT$1,"dd-MMM-aa"),"")</f>
      </c>
      <c r="FQ253" s="496" t="str">
        <f> IF(FQ273&lt;&gt;"",TEXT(AUX!FU$1,"dd-MMM-aa"),"")</f>
      </c>
      <c r="FR253" s="496" t="str">
        <f> IF(FR273&lt;&gt;"",TEXT(AUX!FV$1,"dd-MMM-aa"),"")</f>
      </c>
      <c r="FS253" s="496" t="str">
        <f> IF(FS273&lt;&gt;"",TEXT(AUX!FW$1,"dd-MMM-aa"),"")</f>
      </c>
      <c r="FT253" s="496" t="str">
        <f> IF(FT273&lt;&gt;"",TEXT(AUX!FX$1,"dd-MMM-aa"),"")</f>
      </c>
      <c r="FU253" s="496" t="str">
        <f> IF(FU273&lt;&gt;"",TEXT(AUX!FY$1,"dd-MMM-aa"),"")</f>
      </c>
      <c r="FV253" s="496" t="str">
        <f> IF(FV273&lt;&gt;"",TEXT(AUX!FZ$1,"dd-MMM-aa"),"")</f>
      </c>
      <c r="FW253" s="496" t="str">
        <f> IF(FW273&lt;&gt;"",TEXT(AUX!GA$1,"dd-MMM-aa"),"")</f>
      </c>
      <c r="FX253" s="496" t="str">
        <f> IF(FX273&lt;&gt;"",TEXT(AUX!GB$1,"dd-MMM-aa"),"")</f>
      </c>
      <c r="FY253" s="496" t="str">
        <f> IF(FY273&lt;&gt;"",TEXT(AUX!GC$1,"dd-MMM-aa"),"")</f>
      </c>
      <c r="FZ253" s="496" t="str">
        <f> IF(FZ273&lt;&gt;"",TEXT(AUX!GD$1,"dd-MMM-aa"),"")</f>
      </c>
      <c r="GA253" s="496" t="str">
        <f> IF(GA273&lt;&gt;"",TEXT(AUX!GE$1,"dd-MMM-aa"),"")</f>
      </c>
      <c r="GB253" s="496" t="str">
        <f> IF(GB273&lt;&gt;"",TEXT(AUX!GF$1,"dd-MMM-aa"),"")</f>
      </c>
      <c r="GC253" s="496" t="str">
        <f> IF(GC273&lt;&gt;"",TEXT(AUX!GG$1,"dd-MMM-aa"),"")</f>
      </c>
      <c r="GD253" s="496" t="str">
        <f> IF(GD273&lt;&gt;"",TEXT(AUX!GH$1,"dd-MMM-aa"),"")</f>
      </c>
      <c r="GE253" s="496" t="str">
        <f> IF(GE273&lt;&gt;"",TEXT(AUX!GI$1,"dd-MMM-aa"),"")</f>
      </c>
      <c r="GF253" s="496" t="str">
        <f> IF(GF273&lt;&gt;"",TEXT(AUX!GJ$1,"dd-MMM-aa"),"")</f>
      </c>
      <c r="GG253" s="496" t="str">
        <f> IF(GG273&lt;&gt;"",TEXT(AUX!GK$1,"dd-MMM-aa"),"")</f>
      </c>
      <c r="GH253" s="496" t="str">
        <f> IF(GH273&lt;&gt;"",TEXT(AUX!GL$1,"dd-MMM-aa"),"")</f>
      </c>
      <c r="GI253" s="496" t="str">
        <f> IF(GI273&lt;&gt;"",TEXT(AUX!GM$1,"dd-MMM-aa"),"")</f>
      </c>
      <c r="GJ253" s="496" t="str">
        <f> IF(GJ273&lt;&gt;"",TEXT(AUX!GN$1,"dd-MMM-aa"),"")</f>
      </c>
      <c r="GK253" s="496" t="str">
        <f> IF(GK273&lt;&gt;"",TEXT(AUX!GO$1,"dd-MMM-aa"),"")</f>
      </c>
      <c r="GL253" s="496" t="str">
        <f> IF(GL273&lt;&gt;"",TEXT(AUX!GP$1,"dd-MMM-aa"),"")</f>
      </c>
      <c r="GM253" s="496" t="str">
        <f> IF(GM273&lt;&gt;"",TEXT(AUX!GQ$1,"dd-MMM-aa"),"")</f>
      </c>
      <c r="GN253" s="496" t="str">
        <f> IF(GN273&lt;&gt;"",TEXT(AUX!GR$1,"dd-MMM-aa"),"")</f>
      </c>
      <c r="GO253" s="496" t="str">
        <f> IF(GO273&lt;&gt;"",TEXT(AUX!GS$1,"dd-MMM-aa"),"")</f>
      </c>
      <c r="GP253" s="496" t="str">
        <f> IF(GP273&lt;&gt;"",TEXT(AUX!GT$1,"dd-MMM-aa"),"")</f>
      </c>
      <c r="GQ253" s="496" t="str">
        <f> IF(GQ273&lt;&gt;"",TEXT(AUX!GU$1,"dd-MMM-aa"),"")</f>
      </c>
      <c r="GR253" s="496" t="str">
        <f> IF(GR273&lt;&gt;"",TEXT(AUX!GV$1,"dd-MMM-aa"),"")</f>
      </c>
      <c r="GS253" s="496" t="str">
        <f> IF(GS273&lt;&gt;"",TEXT(AUX!GW$1,"dd-MMM-aa"),"")</f>
      </c>
      <c r="GT253" s="496" t="str">
        <f> IF(GT273&lt;&gt;"",TEXT(AUX!GX$1,"dd-MMM-aa"),"")</f>
      </c>
      <c r="GU253" s="496" t="str">
        <f> IF(GU273&lt;&gt;"",TEXT(AUX!GY$1,"dd-MMM-aa"),"")</f>
      </c>
      <c r="GV253" s="496" t="str">
        <f> IF(GV273&lt;&gt;"",TEXT(AUX!GZ$1,"dd-MMM-aa"),"")</f>
      </c>
      <c r="GW253" s="496" t="str">
        <f> IF(GW273&lt;&gt;"",TEXT(AUX!HA$1,"dd-MMM-aa"),"")</f>
      </c>
      <c r="GX253" s="496" t="str">
        <f> IF(GX273&lt;&gt;"",TEXT(AUX!HB$1,"dd-MMM-aa"),"")</f>
      </c>
      <c r="GY253" s="496" t="str">
        <f> IF(GY273&lt;&gt;"",TEXT(AUX!HC$1,"dd-MMM-aa"),"")</f>
      </c>
      <c r="GZ253" s="496" t="str">
        <f> IF(GZ273&lt;&gt;"",TEXT(AUX!HD$1,"dd-MMM-aa"),"")</f>
      </c>
      <c r="HA253" s="496" t="str">
        <f> IF(HA273&lt;&gt;"",TEXT(AUX!HE$1,"dd-MMM-aa"),"")</f>
      </c>
      <c r="HB253" s="496" t="str">
        <f> IF(HB273&lt;&gt;"",TEXT(AUX!HF$1,"dd-MMM-aa"),"")</f>
      </c>
      <c r="HC253" s="496" t="str">
        <f> IF(HC273&lt;&gt;"",TEXT(AUX!HG$1,"dd-MMM-aa"),"")</f>
      </c>
      <c r="HD253" s="496" t="str">
        <f> IF(HD273&lt;&gt;"",TEXT(AUX!HH$1,"dd-MMM-aa"),"")</f>
      </c>
      <c r="HE253" s="496" t="str">
        <f> IF(HE273&lt;&gt;"",TEXT(AUX!HI$1,"dd-MMM-aa"),"")</f>
      </c>
      <c r="HF253" s="496" t="str">
        <f> IF(HF273&lt;&gt;"",TEXT(AUX!HJ$1,"dd-MMM-aa"),"")</f>
      </c>
      <c r="HG253" s="496" t="str">
        <f> IF(HG273&lt;&gt;"",TEXT(AUX!HK$1,"dd-MMM-aa"),"")</f>
      </c>
      <c r="HH253" s="496" t="str">
        <f> IF(HH273&lt;&gt;"",TEXT(AUX!HL$1,"dd-MMM-aa"),"")</f>
      </c>
      <c r="HI253" s="496" t="str">
        <f> IF(HI273&lt;&gt;"",TEXT(AUX!HM$1,"dd-MMM-aa"),"")</f>
      </c>
      <c r="HJ253" s="496" t="str">
        <f> IF(HJ273&lt;&gt;"",TEXT(AUX!HN$1,"dd-MMM-aa"),"")</f>
      </c>
      <c r="HK253" s="496" t="str">
        <f> IF(HK273&lt;&gt;"",TEXT(AUX!HO$1,"dd-MMM-aa"),"")</f>
      </c>
      <c r="HL253" s="496" t="str">
        <f> IF(HL273&lt;&gt;"",TEXT(AUX!HP$1,"dd-MMM-aa"),"")</f>
      </c>
      <c r="HM253" s="496" t="str">
        <f> IF(HM273&lt;&gt;"",TEXT(AUX!HQ$1,"dd-MMM-aa"),"")</f>
      </c>
      <c r="HN253" s="496" t="str">
        <f> IF(HN273&lt;&gt;"",TEXT(AUX!HR$1,"dd-MMM-aa"),"")</f>
      </c>
      <c r="HO253" s="496" t="str">
        <f> IF(HO273&lt;&gt;"",TEXT(AUX!HS$1,"dd-MMM-aa"),"")</f>
      </c>
      <c r="HP253" s="496" t="str">
        <f> IF(HP273&lt;&gt;"",TEXT(AUX!HT$1,"dd-MMM-aa"),"")</f>
      </c>
      <c r="HQ253" s="496" t="str">
        <f> IF(HQ273&lt;&gt;"",TEXT(AUX!HU$1,"dd-MMM-aa"),"")</f>
      </c>
      <c r="HR253" s="496" t="str">
        <f> IF(HR273&lt;&gt;"",TEXT(AUX!HV$1,"dd-MMM-aa"),"")</f>
      </c>
      <c r="HS253" s="496" t="str">
        <f> IF(HS273&lt;&gt;"",TEXT(AUX!HW$1,"dd-MMM-aa"),"")</f>
      </c>
      <c r="HT253" s="496" t="str">
        <f> IF(HT273&lt;&gt;"",TEXT(AUX!HX$1,"dd-MMM-aa"),"")</f>
      </c>
      <c r="HU253" s="496" t="str">
        <f> IF(HU273&lt;&gt;"",TEXT(AUX!HY$1,"dd-MMM-aa"),"")</f>
      </c>
      <c r="HV253" s="496" t="str">
        <f> IF(HV273&lt;&gt;"",TEXT(AUX!HZ$1,"dd-MMM-aa"),"")</f>
      </c>
      <c r="HW253" s="496" t="str">
        <f> IF(HW273&lt;&gt;"",TEXT(AUX!IA$1,"dd-MMM-aa"),"")</f>
      </c>
      <c r="HX253" s="496" t="str">
        <f> IF(HX273&lt;&gt;"",TEXT(AUX!IB$1,"dd-MMM-aa"),"")</f>
      </c>
      <c r="HY253" s="496" t="str">
        <f> IF(HY273&lt;&gt;"",TEXT(AUX!IC$1,"dd-MMM-aa"),"")</f>
      </c>
      <c r="HZ253" s="496" t="str">
        <f> IF(HZ273&lt;&gt;"",TEXT(AUX!ID$1,"dd-MMM-aa"),"")</f>
      </c>
      <c r="IA253" s="496" t="str">
        <f> IF(IA273&lt;&gt;"",TEXT(AUX!IE$1,"dd-MMM-aa"),"")</f>
      </c>
      <c r="IB253" s="496" t="str">
        <f> IF(IB273&lt;&gt;"",TEXT(AUX!IF$1,"dd-MMM-aa"),"")</f>
      </c>
      <c r="IC253" s="496" t="str">
        <f> IF(IC273&lt;&gt;"",TEXT(AUX!IG$1,"dd-MMM-aa"),"")</f>
      </c>
      <c r="ID253" s="496" t="str">
        <f> IF(ID273&lt;&gt;"",TEXT(AUX!IH$1,"dd-MMM-aa"),"")</f>
      </c>
      <c r="IE253" s="496" t="str">
        <f> IF(IE273&lt;&gt;"",TEXT(AUX!II$1,"dd-MMM-aa"),"")</f>
      </c>
      <c r="IF253" s="496" t="str">
        <f> IF(IF273&lt;&gt;"",TEXT(AUX!IJ$1,"dd-MMM-aa"),"")</f>
      </c>
      <c r="IG253" s="496" t="str">
        <f> IF(IG273&lt;&gt;"",TEXT(AUX!IK$1,"dd-MMM-aa"),"")</f>
      </c>
      <c r="IH253" s="496" t="str">
        <f> IF(IH273&lt;&gt;"",TEXT(AUX!IL$1,"dd-MMM-aa"),"")</f>
      </c>
      <c r="II253" s="496" t="str">
        <f> IF(II273&lt;&gt;"",TEXT(AUX!IM$1,"dd-MMM-aa"),"")</f>
      </c>
      <c r="IJ253" s="496" t="str">
        <f> IF(IJ273&lt;&gt;"",TEXT(AUX!IN$1,"dd-MMM-aa"),"")</f>
      </c>
      <c r="IK253" s="496" t="str">
        <f> IF(IK273&lt;&gt;"",TEXT(AUX!IO$1,"dd-MMM-aa"),"")</f>
      </c>
      <c r="IL253" s="496" t="str">
        <f> IF(IL273&lt;&gt;"",TEXT(AUX!IP$1,"dd-MMM-aa"),"")</f>
      </c>
      <c r="IM253" s="496" t="str">
        <f> IF(IM273&lt;&gt;"",TEXT(AUX!IQ$1,"dd-MMM-aa"),"")</f>
      </c>
      <c r="IN253" s="496" t="str">
        <f> IF(IN273&lt;&gt;"",TEXT(AUX!IR$1,"dd-MMM-aa"),"")</f>
      </c>
      <c r="IO253" s="496" t="str">
        <f> IF(IO273&lt;&gt;"",TEXT(AUX!IS$1,"dd-MMM-aa"),"")</f>
      </c>
      <c r="IP253" s="496" t="str">
        <f> IF(IP273&lt;&gt;"",TEXT(AUX!IT$1,"dd-MMM-aa"),"")</f>
      </c>
      <c r="IQ253" s="496" t="str">
        <f> IF(IQ273&lt;&gt;"",TEXT(AUX!IU$1,"dd-MMM-aa"),"")</f>
      </c>
      <c r="IR253" s="496" t="str">
        <f> IF(IR273&lt;&gt;"",TEXT(AUX!IV$1,"dd-MMM-aa"),"")</f>
      </c>
      <c r="IS253" s="496" t="str">
        <f> IF(IS273&lt;&gt;"",TEXT(AUX!#REF!,"dd-MMM-aa"),"")</f>
      </c>
      <c r="IT253" s="496" t="str">
        <f> IF(IT273&lt;&gt;"",TEXT(AUX!#REF!,"dd-MMM-aa"),"")</f>
      </c>
      <c r="IU253" s="496" t="str">
        <f> IF(IU273&lt;&gt;"",TEXT(AUX!#REF!,"dd-MMM-aa"),"")</f>
      </c>
      <c r="IV253" s="496" t="str">
        <f> IF(IV273&lt;&gt;"",TEXT(AUX!#REF!,"dd-MMM-aa"),"")</f>
      </c>
    </row>
    <row r="254" hidden="1">
      <c r="B254" s="838" t="s">
        <v>8</v>
      </c>
      <c r="C254" s="839">
        <f>C208 + C185 + C162</f>
        <v>73</v>
      </c>
      <c r="D254" s="839">
        <f>D208 + D185 + D162</f>
        <v>74</v>
      </c>
      <c r="E254" s="839">
        <f>E208 + E185 + E162</f>
        <v>74</v>
      </c>
      <c r="F254" s="839">
        <f>F208 + F185 + F162</f>
        <v>74</v>
      </c>
      <c r="G254" s="839">
        <f>G208 + G185 + G162</f>
        <v>68</v>
      </c>
      <c r="H254" s="839">
        <f>H208 + H185 + H162</f>
        <v>71</v>
      </c>
      <c r="I254" s="839">
        <f>I208 + I185 + I162</f>
        <v>72</v>
      </c>
      <c r="J254" s="839">
        <f>J208 + J185 + J162</f>
        <v>74</v>
      </c>
      <c r="K254" s="839">
        <f>K208 + K185 + K162</f>
        <v>72</v>
      </c>
      <c r="L254" s="839">
        <f>L208 + L185 + L162</f>
        <v>68</v>
      </c>
      <c r="M254" s="839">
        <f>M208 + M185 + M162</f>
        <v>61</v>
      </c>
      <c r="N254" s="839">
        <f>N208 + N185 + N162</f>
        <v>73</v>
      </c>
      <c r="O254" s="839">
        <f>O208 + O185 + O162</f>
        <v>73</v>
      </c>
      <c r="P254" s="839">
        <f>P208 + P185 + P162</f>
        <v>73</v>
      </c>
      <c r="Q254" s="839">
        <f>Q208 + Q185 + Q162</f>
        <v>72</v>
      </c>
      <c r="R254" s="839">
        <f>R208 + R185 + R162</f>
        <v>69</v>
      </c>
      <c r="S254" s="839">
        <f>S208 + S185 + S162</f>
        <v>66</v>
      </c>
      <c r="T254" s="839">
        <f>T208 + T185 + T162</f>
        <v>67</v>
      </c>
      <c r="U254" s="839">
        <f>U208 + U185 + U162</f>
        <v>66</v>
      </c>
      <c r="V254" s="839">
        <f>V208 + V185 + V162</f>
        <v>66</v>
      </c>
      <c r="W254" s="839">
        <f>W208 + W185 + W162</f>
        <v>63</v>
      </c>
      <c r="X254" s="839">
        <f>X208 + X185 + X162</f>
        <v>61</v>
      </c>
      <c r="Y254" s="839">
        <f>Y208 + Y185 + Y162</f>
        <v>61</v>
      </c>
      <c r="Z254" s="839">
        <f>Z208 + Z185 + Z162</f>
        <v>59</v>
      </c>
      <c r="AA254" s="839">
        <f>AA208 + AA185 + AA162</f>
        <v>58</v>
      </c>
      <c r="AB254" s="840">
        <f>AB208 + AB185 + AB162</f>
        <v>60</v>
      </c>
      <c r="AC254" s="841">
        <f>AC208 + AC185 + AC162</f>
        <v>60</v>
      </c>
      <c r="AD254" s="841">
        <f>AD208 + AD185 + AD162</f>
        <v>54</v>
      </c>
      <c r="AE254" s="841">
        <f>AE208 + AE185 + AE162</f>
        <v>53</v>
      </c>
      <c r="AF254" s="841">
        <f>AF208 + AF185 + AF162</f>
        <v>53</v>
      </c>
      <c r="AG254" s="841">
        <f>AG208 + AG185 + AG162</f>
        <v>53</v>
      </c>
      <c r="AH254" s="841">
        <f>AH208 + AH185 + AH162</f>
        <v>52</v>
      </c>
      <c r="AI254" s="841">
        <f>AI208 + AI185 + AI162</f>
        <v>52</v>
      </c>
      <c r="AJ254" s="841">
        <f>AJ208 + AJ185 + AJ162</f>
        <v>51</v>
      </c>
      <c r="AK254" s="841">
        <f>AK208 + AK185 + AK162</f>
        <v>40</v>
      </c>
      <c r="AL254" s="841">
        <f>AL208 + AL185 + AL162</f>
        <v>38</v>
      </c>
      <c r="AM254" s="841">
        <f>AM208 + AM185 + AM162</f>
        <v>38</v>
      </c>
      <c r="AN254" s="841">
        <f>AN208 + AN185 + AN162</f>
        <v>38</v>
      </c>
      <c r="AO254" s="841">
        <f>AO208 + AO185 + AO162</f>
        <v>37</v>
      </c>
      <c r="AP254" s="841">
        <f>AP208 + AP185 + AP162</f>
        <v>37</v>
      </c>
    </row>
    <row r="255" hidden="1">
      <c r="B255" s="842" t="s">
        <v>9</v>
      </c>
      <c r="C255" s="839">
        <f>C209 + C186 + C163</f>
        <v>47</v>
      </c>
      <c r="D255" s="839">
        <f>D209 + D186 + D163</f>
        <v>38</v>
      </c>
      <c r="E255" s="839">
        <f>E209 + E186 + E163</f>
        <v>37</v>
      </c>
      <c r="F255" s="839">
        <f>F209 + F186 + F163</f>
        <v>38</v>
      </c>
      <c r="G255" s="839">
        <f>G209 + G186 + G163</f>
        <v>39</v>
      </c>
      <c r="H255" s="839">
        <f>H209 + H186 + H163</f>
        <v>39</v>
      </c>
      <c r="I255" s="839">
        <f>I209 + I186 + I163</f>
        <v>38</v>
      </c>
      <c r="J255" s="839">
        <f>J209 + J186 + J163</f>
        <v>38</v>
      </c>
      <c r="K255" s="839">
        <f>K209 + K186 + K163</f>
        <v>38</v>
      </c>
      <c r="L255" s="839">
        <f>L209 + L186 + L163</f>
        <v>36</v>
      </c>
      <c r="M255" s="839">
        <f>M209 + M186 + M163</f>
        <v>37</v>
      </c>
      <c r="N255" s="839">
        <f>N209 + N186 + N163</f>
        <v>37</v>
      </c>
      <c r="O255" s="839">
        <f>O209 + O186 + O163</f>
        <v>37</v>
      </c>
      <c r="P255" s="839">
        <f>P209 + P186 + P163</f>
        <v>37</v>
      </c>
      <c r="Q255" s="839">
        <f>Q209 + Q186 + Q163</f>
        <v>37</v>
      </c>
      <c r="R255" s="839">
        <f>R209 + R186 + R163</f>
        <v>37</v>
      </c>
      <c r="S255" s="839">
        <f>S209 + S186 + S163</f>
        <v>37</v>
      </c>
      <c r="T255" s="839">
        <f>T209 + T186 + T163</f>
        <v>38</v>
      </c>
      <c r="U255" s="839">
        <f>U209 + U186 + U163</f>
        <v>38</v>
      </c>
      <c r="V255" s="839">
        <f>V209 + V186 + V163</f>
        <v>37</v>
      </c>
      <c r="W255" s="839">
        <f>W209 + W186 + W163</f>
        <v>37</v>
      </c>
      <c r="X255" s="839">
        <f>X209 + X186 + X163</f>
        <v>38</v>
      </c>
      <c r="Y255" s="839">
        <f>Y209 + Y186 + Y163</f>
        <v>37</v>
      </c>
      <c r="Z255" s="839">
        <f>Z209 + Z186 + Z163</f>
        <v>41</v>
      </c>
      <c r="AA255" s="839">
        <f>AA209 + AA186 + AA163</f>
        <v>43</v>
      </c>
      <c r="AB255" s="839">
        <f>AB209 + AB186 + AB163</f>
        <v>46</v>
      </c>
      <c r="AC255" s="841">
        <f>AC209 + AC186 + AC163</f>
        <v>48</v>
      </c>
      <c r="AD255" s="841">
        <f>AD209 + AD186 + AD163</f>
        <v>48</v>
      </c>
      <c r="AE255" s="841">
        <f>AE209 + AE186 + AE163</f>
        <v>47</v>
      </c>
      <c r="AF255" s="841">
        <f>AF209 + AF186 + AF163</f>
        <v>48</v>
      </c>
      <c r="AG255" s="841">
        <f>AG209 + AG186 + AG163</f>
        <v>47</v>
      </c>
      <c r="AH255" s="841">
        <f>AH209 + AH186 + AH163</f>
        <v>46</v>
      </c>
      <c r="AI255" s="841">
        <f>AI209 + AI186 + AI163</f>
        <v>43</v>
      </c>
      <c r="AJ255" s="841">
        <f>AJ209 + AJ186 + AJ163</f>
        <v>41</v>
      </c>
      <c r="AK255" s="841">
        <f>AK209 + AK186 + AK163</f>
        <v>40</v>
      </c>
      <c r="AL255" s="841">
        <f>AL209 + AL186 + AL163</f>
        <v>40</v>
      </c>
      <c r="AM255" s="841">
        <f>AM209 + AM186 + AM163</f>
        <v>40</v>
      </c>
      <c r="AN255" s="841">
        <f>AN209 + AN186 + AN163</f>
        <v>40</v>
      </c>
      <c r="AO255" s="841">
        <f>AO209 + AO186 + AO163</f>
        <v>41</v>
      </c>
      <c r="AP255" s="841">
        <f>AP209 + AP186 + AP163</f>
        <v>42</v>
      </c>
    </row>
    <row r="256" hidden="1">
      <c r="B256" s="842" t="s">
        <v>10</v>
      </c>
      <c r="C256" s="839">
        <f>C210 + C187 + C164</f>
        <v>0</v>
      </c>
      <c r="D256" s="839">
        <f>D210 + D187 + D164</f>
        <v>0</v>
      </c>
      <c r="E256" s="839">
        <f>E210 + E187 + E164</f>
        <v>0</v>
      </c>
      <c r="F256" s="839">
        <f>F210 + F187 + F164</f>
        <v>1</v>
      </c>
      <c r="G256" s="839">
        <f>G210 + G187 + G164</f>
        <v>1</v>
      </c>
      <c r="H256" s="839">
        <f>H210 + H187 + H164</f>
        <v>1</v>
      </c>
      <c r="I256" s="839">
        <f>I210 + I187 + I164</f>
        <v>1</v>
      </c>
      <c r="J256" s="839">
        <f>J210 + J187 + J164</f>
        <v>1</v>
      </c>
      <c r="K256" s="839">
        <f>K210 + K187 + K164</f>
        <v>1</v>
      </c>
      <c r="L256" s="839">
        <f>L210 + L187 + L164</f>
        <v>0</v>
      </c>
      <c r="M256" s="839">
        <f>M210 + M187 + M164</f>
        <v>0</v>
      </c>
      <c r="N256" s="839">
        <f>N210 + N187 + N164</f>
        <v>0</v>
      </c>
      <c r="O256" s="839">
        <f>O210 + O187 + O164</f>
        <v>0</v>
      </c>
      <c r="P256" s="839">
        <f>P210 + P187 + P164</f>
        <v>0</v>
      </c>
      <c r="Q256" s="839">
        <f>Q210 + Q187 + Q164</f>
        <v>0</v>
      </c>
      <c r="R256" s="839">
        <f>R210 + R187 + R164</f>
        <v>0</v>
      </c>
      <c r="S256" s="839">
        <f>S210 + S187 + S164</f>
        <v>0</v>
      </c>
      <c r="T256" s="839">
        <f>T210 + T187 + T164</f>
        <v>0</v>
      </c>
      <c r="U256" s="839">
        <f>U210 + U187 + U164</f>
        <v>0</v>
      </c>
      <c r="V256" s="839">
        <f>V210 + V187 + V164</f>
        <v>1</v>
      </c>
      <c r="W256" s="839">
        <f>W210 + W187 + W164</f>
        <v>1</v>
      </c>
      <c r="X256" s="839">
        <f>X210 + X187 + X164</f>
        <v>1</v>
      </c>
      <c r="Y256" s="839">
        <f>Y210 + Y187 + Y164</f>
        <v>0</v>
      </c>
      <c r="Z256" s="839">
        <f>Z210 + Z187 + Z164</f>
        <v>0</v>
      </c>
      <c r="AA256" s="839">
        <f>AA210 + AA187 + AA164</f>
        <v>0</v>
      </c>
      <c r="AB256" s="839">
        <f>AB210 + AB187 + AB164</f>
        <v>0</v>
      </c>
      <c r="AC256" s="841">
        <f>AC210 + AC187 + AC164</f>
        <v>0</v>
      </c>
      <c r="AD256" s="841">
        <f>AD210 + AD187 + AD164</f>
        <v>0</v>
      </c>
      <c r="AE256" s="841">
        <f>AE210 + AE187 + AE164</f>
        <v>0</v>
      </c>
      <c r="AF256" s="841">
        <f>AF210 + AF187 + AF164</f>
        <v>0</v>
      </c>
      <c r="AG256" s="841">
        <f>AG210 + AG187 + AG164</f>
        <v>0</v>
      </c>
      <c r="AH256" s="841">
        <f>AH210 + AH187 + AH164</f>
        <v>0</v>
      </c>
      <c r="AI256" s="841">
        <f>AI210 + AI187 + AI164</f>
        <v>0</v>
      </c>
      <c r="AJ256" s="841">
        <f>AJ210 + AJ187 + AJ164</f>
        <v>0</v>
      </c>
      <c r="AK256" s="841">
        <f>AK210 + AK187 + AK164</f>
        <v>0</v>
      </c>
      <c r="AL256" s="841">
        <f>AL210 + AL187 + AL164</f>
        <v>0</v>
      </c>
      <c r="AM256" s="841">
        <f>AM210 + AM187 + AM164</f>
        <v>0</v>
      </c>
      <c r="AN256" s="841">
        <f>AN210 + AN187 + AN164</f>
        <v>0</v>
      </c>
      <c r="AO256" s="841">
        <f>AO210 + AO187 + AO164</f>
        <v>0</v>
      </c>
      <c r="AP256" s="841">
        <f>AP210 + AP187 + AP164</f>
        <v>0</v>
      </c>
    </row>
    <row r="257" hidden="1">
      <c r="B257" s="842" t="s">
        <v>11</v>
      </c>
      <c r="C257" s="839">
        <f>C211 + C188 + C165</f>
        <v>15</v>
      </c>
      <c r="D257" s="839">
        <f>D211 + D188 + D165</f>
        <v>17</v>
      </c>
      <c r="E257" s="839">
        <f>E211 + E188 + E165</f>
        <v>21</v>
      </c>
      <c r="F257" s="839">
        <f>F211 + F188 + F165</f>
        <v>23</v>
      </c>
      <c r="G257" s="839">
        <f>G211 + G188 + G165</f>
        <v>5</v>
      </c>
      <c r="H257" s="839">
        <f>H211 + H188 + H165</f>
        <v>9</v>
      </c>
      <c r="I257" s="839">
        <f>I211 + I188 + I165</f>
        <v>7</v>
      </c>
      <c r="J257" s="839">
        <f>J211 + J188 + J165</f>
        <v>2</v>
      </c>
      <c r="K257" s="839">
        <f>K211 + K188 + K165</f>
        <v>1</v>
      </c>
      <c r="L257" s="839">
        <f>L211 + L188 + L165</f>
        <v>2</v>
      </c>
      <c r="M257" s="839">
        <f>M211 + M188 + M165</f>
        <v>1</v>
      </c>
      <c r="N257" s="839">
        <f>N211 + N188 + N165</f>
        <v>1</v>
      </c>
      <c r="O257" s="839">
        <f>O211 + O188 + O165</f>
        <v>2</v>
      </c>
      <c r="P257" s="839">
        <f>P211 + P188 + P165</f>
        <v>2</v>
      </c>
      <c r="Q257" s="839">
        <f>Q211 + Q188 + Q165</f>
        <v>2</v>
      </c>
      <c r="R257" s="839">
        <f>R211 + R188 + R165</f>
        <v>3</v>
      </c>
      <c r="S257" s="839">
        <f>S211 + S188 + S165</f>
        <v>3</v>
      </c>
      <c r="T257" s="839">
        <f>T211 + T188 + T165</f>
        <v>3</v>
      </c>
      <c r="U257" s="839">
        <f>U211 + U188 + U165</f>
        <v>4</v>
      </c>
      <c r="V257" s="839">
        <f>V211 + V188 + V165</f>
        <v>3</v>
      </c>
      <c r="W257" s="839">
        <f>W211 + W188 + W165</f>
        <v>3</v>
      </c>
      <c r="X257" s="839">
        <f>X211 + X188 + X165</f>
        <v>3</v>
      </c>
      <c r="Y257" s="839">
        <f>Y211 + Y188 + Y165</f>
        <v>3</v>
      </c>
      <c r="Z257" s="839">
        <f>Z211 + Z188 + Z165</f>
        <v>3</v>
      </c>
      <c r="AA257" s="839">
        <f>AA211 + AA188 + AA165</f>
        <v>3</v>
      </c>
      <c r="AB257" s="839">
        <f>AB211 + AB188 + AB165</f>
        <v>3</v>
      </c>
      <c r="AC257" s="841">
        <f>AC211 + AC188 + AC165</f>
        <v>1</v>
      </c>
      <c r="AD257" s="841">
        <f>AD211 + AD188 + AD165</f>
        <v>1</v>
      </c>
      <c r="AE257" s="841">
        <f>AE211 + AE188 + AE165</f>
        <v>1</v>
      </c>
      <c r="AF257" s="841">
        <f>AF211 + AF188 + AF165</f>
        <v>1</v>
      </c>
      <c r="AG257" s="841">
        <f>AG211 + AG188 + AG165</f>
        <v>1</v>
      </c>
      <c r="AH257" s="841">
        <f>AH211 + AH188 + AH165</f>
        <v>1</v>
      </c>
      <c r="AI257" s="841">
        <f>AI211 + AI188 + AI165</f>
        <v>1</v>
      </c>
      <c r="AJ257" s="841">
        <f>AJ211 + AJ188 + AJ165</f>
        <v>0</v>
      </c>
      <c r="AK257" s="841">
        <f>AK211 + AK188 + AK165</f>
        <v>0</v>
      </c>
      <c r="AL257" s="841">
        <f>AL211 + AL188 + AL165</f>
        <v>1</v>
      </c>
      <c r="AM257" s="841">
        <f>AM211 + AM188 + AM165</f>
        <v>1</v>
      </c>
      <c r="AN257" s="841">
        <f>AN211 + AN188 + AN165</f>
        <v>1</v>
      </c>
      <c r="AO257" s="841">
        <f>AO211 + AO188 + AO165</f>
        <v>1</v>
      </c>
      <c r="AP257" s="841">
        <f>AP211 + AP188 + AP165</f>
        <v>1</v>
      </c>
    </row>
    <row r="258" hidden="1">
      <c r="B258" s="842" t="s">
        <v>12</v>
      </c>
      <c r="C258" s="839">
        <f>C212 + C189 + C166</f>
        <v>4</v>
      </c>
      <c r="D258" s="839">
        <f>D212 + D189 + D166</f>
        <v>3</v>
      </c>
      <c r="E258" s="839">
        <f>E212 + E189 + E166</f>
        <v>2</v>
      </c>
      <c r="F258" s="839">
        <f>F212 + F189 + F166</f>
        <v>2</v>
      </c>
      <c r="G258" s="839">
        <f>G212 + G189 + G166</f>
        <v>2</v>
      </c>
      <c r="H258" s="839">
        <f>H212 + H189 + H166</f>
        <v>2</v>
      </c>
      <c r="I258" s="839">
        <f>I212 + I189 + I166</f>
        <v>10</v>
      </c>
      <c r="J258" s="839">
        <f>J212 + J189 + J166</f>
        <v>10</v>
      </c>
      <c r="K258" s="839">
        <f>K212 + K189 + K166</f>
        <v>10</v>
      </c>
      <c r="L258" s="839">
        <f>L212 + L189 + L166</f>
        <v>12</v>
      </c>
      <c r="M258" s="839">
        <f>M212 + M189 + M166</f>
        <v>12</v>
      </c>
      <c r="N258" s="839">
        <f>N212 + N189 + N166</f>
        <v>13</v>
      </c>
      <c r="O258" s="839">
        <f>O212 + O189 + O166</f>
        <v>11</v>
      </c>
      <c r="P258" s="839">
        <f>P212 + P189 + P166</f>
        <v>11</v>
      </c>
      <c r="Q258" s="839">
        <f>Q212 + Q189 + Q166</f>
        <v>11</v>
      </c>
      <c r="R258" s="839">
        <f>R212 + R189 + R166</f>
        <v>12</v>
      </c>
      <c r="S258" s="839">
        <f>S212 + S189 + S166</f>
        <v>9</v>
      </c>
      <c r="T258" s="839">
        <f>T212 + T189 + T166</f>
        <v>10</v>
      </c>
      <c r="U258" s="839">
        <f>U212 + U189 + U166</f>
        <v>11</v>
      </c>
      <c r="V258" s="839">
        <f>V212 + V189 + V166</f>
        <v>10</v>
      </c>
      <c r="W258" s="839">
        <f>W212 + W189 + W166</f>
        <v>11</v>
      </c>
      <c r="X258" s="839">
        <f>X212 + X189 + X166</f>
        <v>10</v>
      </c>
      <c r="Y258" s="839">
        <f>Y212 + Y189 + Y166</f>
        <v>11</v>
      </c>
      <c r="Z258" s="839">
        <f>Z212 + Z189 + Z166</f>
        <v>10</v>
      </c>
      <c r="AA258" s="839">
        <f>AA212 + AA189 + AA166</f>
        <v>9</v>
      </c>
      <c r="AB258" s="839">
        <f>AB212 + AB189 + AB166</f>
        <v>8</v>
      </c>
      <c r="AC258" s="841">
        <f>AC212 + AC189 + AC166</f>
        <v>10</v>
      </c>
      <c r="AD258" s="841">
        <f>AD212 + AD189 + AD166</f>
        <v>13</v>
      </c>
      <c r="AE258" s="841">
        <f>AE212 + AE189 + AE166</f>
        <v>15</v>
      </c>
      <c r="AF258" s="841">
        <f>AF212 + AF189 + AF166</f>
        <v>14</v>
      </c>
      <c r="AG258" s="841">
        <f>AG212 + AG189 + AG166</f>
        <v>14</v>
      </c>
      <c r="AH258" s="841">
        <f>AH212 + AH189 + AH166</f>
        <v>14</v>
      </c>
      <c r="AI258" s="841">
        <f>AI212 + AI189 + AI166</f>
        <v>14</v>
      </c>
      <c r="AJ258" s="841">
        <f>AJ212 + AJ189 + AJ166</f>
        <v>13</v>
      </c>
      <c r="AK258" s="841">
        <f>AK212 + AK189 + AK166</f>
        <v>13</v>
      </c>
      <c r="AL258" s="841">
        <f>AL212 + AL189 + AL166</f>
        <v>13</v>
      </c>
      <c r="AM258" s="841">
        <f>AM212 + AM189 + AM166</f>
        <v>13</v>
      </c>
      <c r="AN258" s="841">
        <f>AN212 + AN189 + AN166</f>
        <v>13</v>
      </c>
      <c r="AO258" s="841">
        <f>AO212 + AO189 + AO166</f>
        <v>12</v>
      </c>
      <c r="AP258" s="841">
        <f>AP212 + AP189 + AP166</f>
        <v>12</v>
      </c>
    </row>
    <row r="259" hidden="1">
      <c r="B259" s="842" t="s">
        <v>13</v>
      </c>
      <c r="C259" s="839">
        <f>C213 + C190 + C167</f>
        <v>0</v>
      </c>
      <c r="D259" s="839">
        <f>D213 + D190 + D167</f>
        <v>0</v>
      </c>
      <c r="E259" s="839">
        <f>E213 + E190 + E167</f>
        <v>1</v>
      </c>
      <c r="F259" s="839">
        <f>F213 + F190 + F167</f>
        <v>6</v>
      </c>
      <c r="G259" s="839">
        <f>G213 + G190 + G167</f>
        <v>8</v>
      </c>
      <c r="H259" s="839">
        <f>H213 + H190 + H167</f>
        <v>10</v>
      </c>
      <c r="I259" s="839">
        <f>I213 + I190 + I167</f>
        <v>10</v>
      </c>
      <c r="J259" s="839">
        <f>J213 + J190 + J167</f>
        <v>11</v>
      </c>
      <c r="K259" s="839">
        <f>K213 + K190 + K167</f>
        <v>12</v>
      </c>
      <c r="L259" s="839">
        <f>L213 + L190 + L167</f>
        <v>12</v>
      </c>
      <c r="M259" s="839">
        <f>M213 + M190 + M167</f>
        <v>0</v>
      </c>
      <c r="N259" s="839">
        <f>N213 + N190 + N167</f>
        <v>0</v>
      </c>
      <c r="O259" s="839">
        <f>O213 + O190 + O167</f>
        <v>0</v>
      </c>
      <c r="P259" s="839">
        <f>P213 + P190 + P167</f>
        <v>0</v>
      </c>
      <c r="Q259" s="839">
        <f>Q213 + Q190 + Q167</f>
        <v>0</v>
      </c>
      <c r="R259" s="839">
        <f>R213 + R190 + R167</f>
        <v>0</v>
      </c>
      <c r="S259" s="839">
        <f>S213 + S190 + S167</f>
        <v>0</v>
      </c>
      <c r="T259" s="839">
        <f>T213 + T190 + T167</f>
        <v>0</v>
      </c>
      <c r="U259" s="839">
        <f>U213 + U190 + U167</f>
        <v>0</v>
      </c>
      <c r="V259" s="839">
        <f>V213 + V190 + V167</f>
        <v>0</v>
      </c>
      <c r="W259" s="839">
        <f>W213 + W190 + W167</f>
        <v>0</v>
      </c>
      <c r="X259" s="839">
        <f>X213 + X190 + X167</f>
        <v>0</v>
      </c>
      <c r="Y259" s="839">
        <f>Y213 + Y190 + Y167</f>
        <v>1</v>
      </c>
      <c r="Z259" s="839">
        <f>Z213 + Z190 + Z167</f>
        <v>1</v>
      </c>
      <c r="AA259" s="839">
        <f>AA213 + AA190 + AA167</f>
        <v>1</v>
      </c>
      <c r="AB259" s="839">
        <f>AB213 + AB190 + AB167</f>
        <v>1</v>
      </c>
      <c r="AC259" s="841">
        <f>AC213 + AC190 + AC167</f>
        <v>1</v>
      </c>
      <c r="AD259" s="841">
        <f>AD213 + AD190 + AD167</f>
        <v>1</v>
      </c>
      <c r="AE259" s="841">
        <f>AE213 + AE190 + AE167</f>
        <v>1</v>
      </c>
      <c r="AF259" s="841">
        <f>AF213 + AF190 + AF167</f>
        <v>1</v>
      </c>
      <c r="AG259" s="841">
        <f>AG213 + AG190 + AG167</f>
        <v>1</v>
      </c>
      <c r="AH259" s="841">
        <f>AH213 + AH190 + AH167</f>
        <v>1</v>
      </c>
      <c r="AI259" s="841">
        <f>AI213 + AI190 + AI167</f>
        <v>0</v>
      </c>
      <c r="AJ259" s="841">
        <f>AJ213 + AJ190 + AJ167</f>
        <v>1</v>
      </c>
      <c r="AK259" s="841">
        <f>AK213 + AK190 + AK167</f>
        <v>1</v>
      </c>
      <c r="AL259" s="841">
        <f>AL213 + AL190 + AL167</f>
        <v>1</v>
      </c>
      <c r="AM259" s="841">
        <f>AM213 + AM190 + AM167</f>
        <v>1</v>
      </c>
      <c r="AN259" s="841">
        <f>AN213 + AN190 + AN167</f>
        <v>2</v>
      </c>
      <c r="AO259" s="841">
        <f>AO213 + AO190 + AO167</f>
        <v>2</v>
      </c>
      <c r="AP259" s="841">
        <f>AP213 + AP190 + AP167</f>
        <v>2</v>
      </c>
    </row>
    <row r="260" hidden="1">
      <c r="B260" s="842" t="s">
        <v>109</v>
      </c>
      <c r="C260" s="839">
        <f>C214 + C191 + C168</f>
        <v>21</v>
      </c>
      <c r="D260" s="839">
        <f>D214 + D191 + D168</f>
        <v>24</v>
      </c>
      <c r="E260" s="839">
        <f>E214 + E191 + E168</f>
        <v>24</v>
      </c>
      <c r="F260" s="839">
        <f>F214 + F191 + F168</f>
        <v>24</v>
      </c>
      <c r="G260" s="839">
        <f>G214 + G191 + G168</f>
        <v>23</v>
      </c>
      <c r="H260" s="839">
        <f>H214 + H191 + H168</f>
        <v>24</v>
      </c>
      <c r="I260" s="839">
        <f>I214 + I191 + I168</f>
        <v>24</v>
      </c>
      <c r="J260" s="839">
        <f>J214 + J191 + J168</f>
        <v>24</v>
      </c>
      <c r="K260" s="839">
        <f>K214 + K191 + K168</f>
        <v>23</v>
      </c>
      <c r="L260" s="839">
        <f>L214 + L191 + L168</f>
        <v>24</v>
      </c>
      <c r="M260" s="839">
        <f>M214 + M191 + M168</f>
        <v>23</v>
      </c>
      <c r="N260" s="839">
        <f>N214 + N191 + N168</f>
        <v>23</v>
      </c>
      <c r="O260" s="839">
        <f>O214 + O191 + O168</f>
        <v>33</v>
      </c>
      <c r="P260" s="839">
        <f>P214 + P191 + P168</f>
        <v>34</v>
      </c>
      <c r="Q260" s="839">
        <f>Q214 + Q191 + Q168</f>
        <v>34</v>
      </c>
      <c r="R260" s="839">
        <f>R214 + R191 + R168</f>
        <v>30</v>
      </c>
      <c r="S260" s="839">
        <f>S214 + S191 + S168</f>
        <v>31</v>
      </c>
      <c r="T260" s="839">
        <f>T214 + T191 + T168</f>
        <v>31</v>
      </c>
      <c r="U260" s="839">
        <f>U214 + U191 + U168</f>
        <v>32</v>
      </c>
      <c r="V260" s="839">
        <f>V214 + V191 + V168</f>
        <v>32</v>
      </c>
      <c r="W260" s="839">
        <f>W214 + W191 + W168</f>
        <v>32</v>
      </c>
      <c r="X260" s="839">
        <f>X214 + X191 + X168</f>
        <v>31</v>
      </c>
      <c r="Y260" s="839">
        <f>Y214 + Y191 + Y168</f>
        <v>31</v>
      </c>
      <c r="Z260" s="839">
        <f>Z214 + Z191 + Z168</f>
        <v>32</v>
      </c>
      <c r="AA260" s="839">
        <f>AA214 + AA191 + AA168</f>
        <v>31</v>
      </c>
      <c r="AB260" s="839">
        <f>AB214 + AB191 + AB168</f>
        <v>33</v>
      </c>
      <c r="AC260" s="841">
        <f>AC214 + AC191 + AC168</f>
        <v>34</v>
      </c>
      <c r="AD260" s="841">
        <f>AD214 + AD191 + AD168</f>
        <v>38</v>
      </c>
      <c r="AE260" s="841">
        <f>AE214 + AE191 + AE168</f>
        <v>39</v>
      </c>
      <c r="AF260" s="841">
        <f>AF214 + AF191 + AF168</f>
        <v>39</v>
      </c>
      <c r="AG260" s="841">
        <f>AG214 + AG191 + AG168</f>
        <v>40</v>
      </c>
      <c r="AH260" s="841">
        <f>AH214 + AH191 + AH168</f>
        <v>41</v>
      </c>
      <c r="AI260" s="841">
        <f>AI214 + AI191 + AI168</f>
        <v>40</v>
      </c>
      <c r="AJ260" s="841">
        <f>AJ214 + AJ191 + AJ168</f>
        <v>40</v>
      </c>
      <c r="AK260" s="841">
        <f>AK214 + AK191 + AK168</f>
        <v>40</v>
      </c>
      <c r="AL260" s="841">
        <f>AL214 + AL191 + AL168</f>
        <v>40</v>
      </c>
      <c r="AM260" s="841">
        <f>AM214 + AM191 + AM168</f>
        <v>40</v>
      </c>
      <c r="AN260" s="841">
        <f>AN214 + AN191 + AN168</f>
        <v>40</v>
      </c>
      <c r="AO260" s="841">
        <f>AO214 + AO191 + AO168</f>
        <v>40</v>
      </c>
      <c r="AP260" s="841">
        <f>AP214 + AP191 + AP168</f>
        <v>40</v>
      </c>
    </row>
    <row r="261" hidden="1">
      <c r="B261" s="842" t="s">
        <v>110</v>
      </c>
      <c r="C261" s="839">
        <f>C215 + C192 + C169</f>
        <v>60</v>
      </c>
      <c r="D261" s="839">
        <f>D215 + D192 + D169</f>
        <v>77</v>
      </c>
      <c r="E261" s="839">
        <f>E215 + E192 + E169</f>
        <v>72</v>
      </c>
      <c r="F261" s="839">
        <f>F215 + F192 + F169</f>
        <v>73</v>
      </c>
      <c r="G261" s="839">
        <f>G215 + G192 + G169</f>
        <v>45</v>
      </c>
      <c r="H261" s="839">
        <f>H215 + H192 + H169</f>
        <v>33</v>
      </c>
      <c r="I261" s="839">
        <f>I215 + I192 + I169</f>
        <v>30</v>
      </c>
      <c r="J261" s="839">
        <f>J215 + J192 + J169</f>
        <v>28</v>
      </c>
      <c r="K261" s="839">
        <f>K215 + K192 + K169</f>
        <v>23</v>
      </c>
      <c r="L261" s="839">
        <f>L215 + L192 + L169</f>
        <v>22</v>
      </c>
      <c r="M261" s="839">
        <f>M215 + M192 + M169</f>
        <v>23</v>
      </c>
      <c r="N261" s="839">
        <f>N215 + N192 + N169</f>
        <v>19</v>
      </c>
      <c r="O261" s="839">
        <f>O215 + O192 + O169</f>
        <v>22</v>
      </c>
      <c r="P261" s="839">
        <f>P215 + P192 + P169</f>
        <v>23</v>
      </c>
      <c r="Q261" s="839">
        <f>Q215 + Q192 + Q169</f>
        <v>25</v>
      </c>
      <c r="R261" s="839">
        <f>R215 + R192 + R169</f>
        <v>31</v>
      </c>
      <c r="S261" s="839">
        <f>S215 + S192 + S169</f>
        <v>30</v>
      </c>
      <c r="T261" s="839">
        <f>T215 + T192 + T169</f>
        <v>28</v>
      </c>
      <c r="U261" s="839">
        <f>U215 + U192 + U169</f>
        <v>30</v>
      </c>
      <c r="V261" s="839">
        <f>V215 + V192 + V169</f>
        <v>29</v>
      </c>
      <c r="W261" s="839">
        <f>W215 + W192 + W169</f>
        <v>27</v>
      </c>
      <c r="X261" s="839">
        <f>X215 + X192 + X169</f>
        <v>29</v>
      </c>
      <c r="Y261" s="839">
        <f>Y215 + Y192 + Y169</f>
        <v>29</v>
      </c>
      <c r="Z261" s="839">
        <f>Z215 + Z192 + Z169</f>
        <v>29</v>
      </c>
      <c r="AA261" s="839">
        <f>AA215 + AA192 + AA169</f>
        <v>24</v>
      </c>
      <c r="AB261" s="839">
        <f>AB215 + AB192 + AB169</f>
        <v>24</v>
      </c>
      <c r="AC261" s="841">
        <f>AC215 + AC192 + AC169</f>
        <v>26</v>
      </c>
      <c r="AD261" s="841">
        <f>AD215 + AD192 + AD169</f>
        <v>28</v>
      </c>
      <c r="AE261" s="841">
        <f>AE215 + AE192 + AE169</f>
        <v>26</v>
      </c>
      <c r="AF261" s="841">
        <f>AF215 + AF192 + AF169</f>
        <v>27</v>
      </c>
      <c r="AG261" s="841">
        <f>AG215 + AG192 + AG169</f>
        <v>28</v>
      </c>
      <c r="AH261" s="841">
        <f>AH215 + AH192 + AH169</f>
        <v>28</v>
      </c>
      <c r="AI261" s="841">
        <f>AI215 + AI192 + AI169</f>
        <v>26</v>
      </c>
      <c r="AJ261" s="841">
        <f>AJ215 + AJ192 + AJ169</f>
        <v>26</v>
      </c>
      <c r="AK261" s="841">
        <f>AK215 + AK192 + AK169</f>
        <v>26</v>
      </c>
      <c r="AL261" s="841">
        <f>AL215 + AL192 + AL169</f>
        <v>23</v>
      </c>
      <c r="AM261" s="841">
        <f>AM215 + AM192 + AM169</f>
        <v>24</v>
      </c>
      <c r="AN261" s="841">
        <f>AN215 + AN192 + AN169</f>
        <v>24</v>
      </c>
      <c r="AO261" s="841">
        <f>AO215 + AO192 + AO169</f>
        <v>24</v>
      </c>
      <c r="AP261" s="841">
        <f>AP215 + AP192 + AP169</f>
        <v>25</v>
      </c>
    </row>
    <row r="262" hidden="1">
      <c r="B262" s="842" t="s">
        <v>16</v>
      </c>
      <c r="C262" s="839">
        <f>C216 + C193 + C170</f>
        <v>250</v>
      </c>
      <c r="D262" s="839">
        <f>D216 + D193 + D170</f>
        <v>253</v>
      </c>
      <c r="E262" s="839">
        <f>E216 + E193 + E170</f>
        <v>257</v>
      </c>
      <c r="F262" s="839">
        <f>F216 + F193 + F170</f>
        <v>256</v>
      </c>
      <c r="G262" s="839">
        <f>G216 + G193 + G170</f>
        <v>263</v>
      </c>
      <c r="H262" s="839">
        <f>H216 + H193 + H170</f>
        <v>256</v>
      </c>
      <c r="I262" s="839">
        <f>I216 + I193 + I170</f>
        <v>248</v>
      </c>
      <c r="J262" s="839">
        <f>J216 + J193 + J170</f>
        <v>255</v>
      </c>
      <c r="K262" s="839">
        <f>K216 + K193 + K170</f>
        <v>258</v>
      </c>
      <c r="L262" s="839">
        <f>L216 + L193 + L170</f>
        <v>264</v>
      </c>
      <c r="M262" s="839">
        <f>M216 + M193 + M170</f>
        <v>268</v>
      </c>
      <c r="N262" s="839">
        <f>N216 + N193 + N170</f>
        <v>264</v>
      </c>
      <c r="O262" s="839">
        <f>O216 + O193 + O170</f>
        <v>264</v>
      </c>
      <c r="P262" s="839">
        <f>P216 + P193 + P170</f>
        <v>265</v>
      </c>
      <c r="Q262" s="839">
        <f>Q216 + Q193 + Q170</f>
        <v>278</v>
      </c>
      <c r="R262" s="839">
        <f>R216 + R193 + R170</f>
        <v>261</v>
      </c>
      <c r="S262" s="839">
        <f>S216 + S193 + S170</f>
        <v>269</v>
      </c>
      <c r="T262" s="839">
        <f>T216 + T193 + T170</f>
        <v>267</v>
      </c>
      <c r="U262" s="839">
        <f>U216 + U193 + U170</f>
        <v>266</v>
      </c>
      <c r="V262" s="839">
        <f>V216 + V193 + V170</f>
        <v>267</v>
      </c>
      <c r="W262" s="839">
        <f>W216 + W193 + W170</f>
        <v>260</v>
      </c>
      <c r="X262" s="839">
        <f>X216 + X193 + X170</f>
        <v>228</v>
      </c>
      <c r="Y262" s="839">
        <f>Y216 + Y193 + Y170</f>
        <v>228</v>
      </c>
      <c r="Z262" s="839">
        <f>Z216 + Z193 + Z170</f>
        <v>227</v>
      </c>
      <c r="AA262" s="839">
        <f>AA216 + AA193 + AA170</f>
        <v>229</v>
      </c>
      <c r="AB262" s="839">
        <f>AB216 + AB193 + AB170</f>
        <v>226</v>
      </c>
      <c r="AC262" s="841">
        <f>AC216 + AC193 + AC170</f>
        <v>230</v>
      </c>
      <c r="AD262" s="841">
        <f>AD216 + AD193 + AD170</f>
        <v>226</v>
      </c>
      <c r="AE262" s="841">
        <f>AE216 + AE193 + AE170</f>
        <v>227</v>
      </c>
      <c r="AF262" s="841">
        <f>AF216 + AF193 + AF170</f>
        <v>227</v>
      </c>
      <c r="AG262" s="841">
        <f>AG216 + AG193 + AG170</f>
        <v>226</v>
      </c>
      <c r="AH262" s="841">
        <f>AH216 + AH193 + AH170</f>
        <v>222</v>
      </c>
      <c r="AI262" s="841">
        <f>AI216 + AI193 + AI170</f>
        <v>220</v>
      </c>
      <c r="AJ262" s="841">
        <f>AJ216 + AJ193 + AJ170</f>
        <v>215</v>
      </c>
      <c r="AK262" s="841">
        <f>AK216 + AK193 + AK170</f>
        <v>210</v>
      </c>
      <c r="AL262" s="841">
        <f>AL216 + AL193 + AL170</f>
        <v>204</v>
      </c>
      <c r="AM262" s="841">
        <f>AM216 + AM193 + AM170</f>
        <v>203</v>
      </c>
      <c r="AN262" s="841">
        <f>AN216 + AN193 + AN170</f>
        <v>205</v>
      </c>
      <c r="AO262" s="841">
        <f>AO216 + AO193 + AO170</f>
        <v>203</v>
      </c>
      <c r="AP262" s="841">
        <f>AP216 + AP193 + AP170</f>
        <v>195</v>
      </c>
    </row>
    <row r="263" hidden="1">
      <c r="B263" s="842" t="s">
        <v>17</v>
      </c>
      <c r="C263" s="839">
        <f>C217 + C194 + C171</f>
        <v>1</v>
      </c>
      <c r="D263" s="839">
        <f>D217 + D194 + D171</f>
        <v>1</v>
      </c>
      <c r="E263" s="839">
        <f>E217 + E194 + E171</f>
        <v>3</v>
      </c>
      <c r="F263" s="839">
        <f>F217 + F194 + F171</f>
        <v>3</v>
      </c>
      <c r="G263" s="839">
        <f>G217 + G194 + G171</f>
        <v>3</v>
      </c>
      <c r="H263" s="839">
        <f>H217 + H194 + H171</f>
        <v>3</v>
      </c>
      <c r="I263" s="839">
        <f>I217 + I194 + I171</f>
        <v>3</v>
      </c>
      <c r="J263" s="839">
        <f>J217 + J194 + J171</f>
        <v>3</v>
      </c>
      <c r="K263" s="839">
        <f>K217 + K194 + K171</f>
        <v>3</v>
      </c>
      <c r="L263" s="839">
        <f>L217 + L194 + L171</f>
        <v>2</v>
      </c>
      <c r="M263" s="839">
        <f>M217 + M194 + M171</f>
        <v>3</v>
      </c>
      <c r="N263" s="839">
        <f>N217 + N194 + N171</f>
        <v>3</v>
      </c>
      <c r="O263" s="839">
        <f>O217 + O194 + O171</f>
        <v>5</v>
      </c>
      <c r="P263" s="839">
        <f>P217 + P194 + P171</f>
        <v>4</v>
      </c>
      <c r="Q263" s="839">
        <f>Q217 + Q194 + Q171</f>
        <v>5</v>
      </c>
      <c r="R263" s="839">
        <f>R217 + R194 + R171</f>
        <v>5</v>
      </c>
      <c r="S263" s="839">
        <f>S217 + S194 + S171</f>
        <v>6</v>
      </c>
      <c r="T263" s="839">
        <f>T217 + T194 + T171</f>
        <v>6</v>
      </c>
      <c r="U263" s="839">
        <f>U217 + U194 + U171</f>
        <v>5</v>
      </c>
      <c r="V263" s="839">
        <f>V217 + V194 + V171</f>
        <v>7</v>
      </c>
      <c r="W263" s="839">
        <f>W217 + W194 + W171</f>
        <v>7</v>
      </c>
      <c r="X263" s="839">
        <f>X217 + X194 + X171</f>
        <v>6</v>
      </c>
      <c r="Y263" s="839">
        <f>Y217 + Y194 + Y171</f>
        <v>8</v>
      </c>
      <c r="Z263" s="839">
        <f>Z217 + Z194 + Z171</f>
        <v>9</v>
      </c>
      <c r="AA263" s="839">
        <f>AA217 + AA194 + AA171</f>
        <v>10</v>
      </c>
      <c r="AB263" s="839">
        <f>AB217 + AB194 + AB171</f>
        <v>10</v>
      </c>
      <c r="AC263" s="841">
        <f>AC217 + AC194 + AC171</f>
        <v>9</v>
      </c>
      <c r="AD263" s="841">
        <f>AD217 + AD194 + AD171</f>
        <v>8</v>
      </c>
      <c r="AE263" s="841">
        <f>AE217 + AE194 + AE171</f>
        <v>9</v>
      </c>
      <c r="AF263" s="841">
        <f>AF217 + AF194 + AF171</f>
        <v>10</v>
      </c>
      <c r="AG263" s="841">
        <f>AG217 + AG194 + AG171</f>
        <v>6</v>
      </c>
      <c r="AH263" s="841">
        <f>AH217 + AH194 + AH171</f>
        <v>6</v>
      </c>
      <c r="AI263" s="841">
        <f>AI217 + AI194 + AI171</f>
        <v>6</v>
      </c>
      <c r="AJ263" s="841">
        <f>AJ217 + AJ194 + AJ171</f>
        <v>5</v>
      </c>
      <c r="AK263" s="841">
        <f>AK217 + AK194 + AK171</f>
        <v>5</v>
      </c>
      <c r="AL263" s="841">
        <f>AL217 + AL194 + AL171</f>
        <v>5</v>
      </c>
      <c r="AM263" s="841">
        <f>AM217 + AM194 + AM171</f>
        <v>5</v>
      </c>
      <c r="AN263" s="841">
        <f>AN217 + AN194 + AN171</f>
        <v>5</v>
      </c>
      <c r="AO263" s="841">
        <f>AO217 + AO194 + AO171</f>
        <v>4</v>
      </c>
      <c r="AP263" s="841">
        <f>AP217 + AP194 + AP171</f>
        <v>4</v>
      </c>
    </row>
    <row r="264" hidden="1">
      <c r="B264" s="842" t="s">
        <v>18</v>
      </c>
      <c r="C264" s="839">
        <f>C218 + C195 + C172</f>
        <v>68</v>
      </c>
      <c r="D264" s="839">
        <f>D218 + D195 + D172</f>
        <v>119</v>
      </c>
      <c r="E264" s="839">
        <f>E218 + E195 + E172</f>
        <v>115</v>
      </c>
      <c r="F264" s="839">
        <f>F218 + F195 + F172</f>
        <v>114</v>
      </c>
      <c r="G264" s="839">
        <f>G218 + G195 + G172</f>
        <v>114</v>
      </c>
      <c r="H264" s="839">
        <f>H218 + H195 + H172</f>
        <v>110</v>
      </c>
      <c r="I264" s="839">
        <f>I218 + I195 + I172</f>
        <v>107</v>
      </c>
      <c r="J264" s="839">
        <f>J218 + J195 + J172</f>
        <v>110</v>
      </c>
      <c r="K264" s="839">
        <f>K218 + K195 + K172</f>
        <v>110</v>
      </c>
      <c r="L264" s="839">
        <f>L218 + L195 + L172</f>
        <v>106</v>
      </c>
      <c r="M264" s="839">
        <f>M218 + M195 + M172</f>
        <v>111</v>
      </c>
      <c r="N264" s="839">
        <f>N218 + N195 + N172</f>
        <v>109</v>
      </c>
      <c r="O264" s="839">
        <f>O218 + O195 + O172</f>
        <v>117</v>
      </c>
      <c r="P264" s="839">
        <f>P218 + P195 + P172</f>
        <v>120</v>
      </c>
      <c r="Q264" s="839">
        <f>Q218 + Q195 + Q172</f>
        <v>120</v>
      </c>
      <c r="R264" s="839">
        <f>R218 + R195 + R172</f>
        <v>122</v>
      </c>
      <c r="S264" s="839">
        <f>S218 + S195 + S172</f>
        <v>131</v>
      </c>
      <c r="T264" s="839">
        <f>T218 + T195 + T172</f>
        <v>122</v>
      </c>
      <c r="U264" s="839">
        <f>U218 + U195 + U172</f>
        <v>113</v>
      </c>
      <c r="V264" s="839">
        <f>V218 + V195 + V172</f>
        <v>114</v>
      </c>
      <c r="W264" s="839">
        <f>W218 + W195 + W172</f>
        <v>111</v>
      </c>
      <c r="X264" s="839">
        <f>X218 + X195 + X172</f>
        <v>114</v>
      </c>
      <c r="Y264" s="839">
        <f>Y218 + Y195 + Y172</f>
        <v>111</v>
      </c>
      <c r="Z264" s="839">
        <f>Z218 + Z195 + Z172</f>
        <v>116</v>
      </c>
      <c r="AA264" s="839">
        <f>AA218 + AA195 + AA172</f>
        <v>114</v>
      </c>
      <c r="AB264" s="839">
        <f>AB218 + AB195 + AB172</f>
        <v>119</v>
      </c>
      <c r="AC264" s="841">
        <f>AC218 + AC195 + AC172</f>
        <v>117</v>
      </c>
      <c r="AD264" s="841">
        <f>AD218 + AD195 + AD172</f>
        <v>122</v>
      </c>
      <c r="AE264" s="841">
        <f>AE218 + AE195 + AE172</f>
        <v>123</v>
      </c>
      <c r="AF264" s="841">
        <f>AF218 + AF195 + AF172</f>
        <v>120</v>
      </c>
      <c r="AG264" s="841">
        <f>AG218 + AG195 + AG172</f>
        <v>122</v>
      </c>
      <c r="AH264" s="841">
        <f>AH218 + AH195 + AH172</f>
        <v>123</v>
      </c>
      <c r="AI264" s="841">
        <f>AI218 + AI195 + AI172</f>
        <v>113</v>
      </c>
      <c r="AJ264" s="841">
        <f>AJ218 + AJ195 + AJ172</f>
        <v>64</v>
      </c>
      <c r="AK264" s="841">
        <f>AK218 + AK195 + AK172</f>
        <v>63</v>
      </c>
      <c r="AL264" s="841">
        <f>AL218 + AL195 + AL172</f>
        <v>64</v>
      </c>
      <c r="AM264" s="841">
        <f>AM218 + AM195 + AM172</f>
        <v>64</v>
      </c>
      <c r="AN264" s="841">
        <f>AN218 + AN195 + AN172</f>
        <v>64</v>
      </c>
      <c r="AO264" s="841">
        <f>AO218 + AO195 + AO172</f>
        <v>62</v>
      </c>
      <c r="AP264" s="841">
        <f>AP218 + AP195 + AP172</f>
        <v>60</v>
      </c>
    </row>
    <row r="265" hidden="1">
      <c r="B265" s="842" t="s">
        <v>19</v>
      </c>
      <c r="C265" s="839">
        <f>C219 + C196 + C173</f>
        <v>1</v>
      </c>
      <c r="D265" s="839">
        <f>D219 + D196 + D173</f>
        <v>0</v>
      </c>
      <c r="E265" s="839">
        <f>E219 + E196 + E173</f>
        <v>1</v>
      </c>
      <c r="F265" s="839">
        <f>F219 + F196 + F173</f>
        <v>1</v>
      </c>
      <c r="G265" s="839">
        <f>G219 + G196 + G173</f>
        <v>1</v>
      </c>
      <c r="H265" s="839">
        <f>H219 + H196 + H173</f>
        <v>1</v>
      </c>
      <c r="I265" s="839">
        <f>I219 + I196 + I173</f>
        <v>1</v>
      </c>
      <c r="J265" s="839">
        <f>J219 + J196 + J173</f>
        <v>1</v>
      </c>
      <c r="K265" s="839">
        <f>K219 + K196 + K173</f>
        <v>1</v>
      </c>
      <c r="L265" s="839">
        <f>L219 + L196 + L173</f>
        <v>12</v>
      </c>
      <c r="M265" s="839">
        <f>M219 + M196 + M173</f>
        <v>1</v>
      </c>
      <c r="N265" s="839">
        <f>N219 + N196 + N173</f>
        <v>1</v>
      </c>
      <c r="O265" s="839">
        <f>O219 + O196 + O173</f>
        <v>1</v>
      </c>
      <c r="P265" s="839">
        <f>P219 + P196 + P173</f>
        <v>1</v>
      </c>
      <c r="Q265" s="839">
        <f>Q219 + Q196 + Q173</f>
        <v>1</v>
      </c>
      <c r="R265" s="839">
        <f>R219 + R196 + R173</f>
        <v>1</v>
      </c>
      <c r="S265" s="839">
        <f>S219 + S196 + S173</f>
        <v>1</v>
      </c>
      <c r="T265" s="839">
        <f>T219 + T196 + T173</f>
        <v>1</v>
      </c>
      <c r="U265" s="839">
        <f>U219 + U196 + U173</f>
        <v>1</v>
      </c>
      <c r="V265" s="839">
        <f>V219 + V196 + V173</f>
        <v>1</v>
      </c>
      <c r="W265" s="839">
        <f>W219 + W196 + W173</f>
        <v>1</v>
      </c>
      <c r="X265" s="839">
        <f>X219 + X196 + X173</f>
        <v>1</v>
      </c>
      <c r="Y265" s="839">
        <f>Y219 + Y196 + Y173</f>
        <v>1</v>
      </c>
      <c r="Z265" s="839">
        <f>Z219 + Z196 + Z173</f>
        <v>2</v>
      </c>
      <c r="AA265" s="839">
        <f>AA219 + AA196 + AA173</f>
        <v>2</v>
      </c>
      <c r="AB265" s="839">
        <f>AB219 + AB196 + AB173</f>
        <v>2</v>
      </c>
      <c r="AC265" s="841">
        <f>AC219 + AC196 + AC173</f>
        <v>2</v>
      </c>
      <c r="AD265" s="841">
        <f>AD219 + AD196 + AD173</f>
        <v>1</v>
      </c>
      <c r="AE265" s="841">
        <f>AE219 + AE196 + AE173</f>
        <v>1</v>
      </c>
      <c r="AF265" s="841">
        <f>AF219 + AF196 + AF173</f>
        <v>0</v>
      </c>
      <c r="AG265" s="841">
        <f>AG219 + AG196 + AG173</f>
        <v>1</v>
      </c>
      <c r="AH265" s="841">
        <f>AH219 + AH196 + AH173</f>
        <v>1</v>
      </c>
      <c r="AI265" s="841">
        <f>AI219 + AI196 + AI173</f>
        <v>1</v>
      </c>
      <c r="AJ265" s="841">
        <f>AJ219 + AJ196 + AJ173</f>
        <v>1</v>
      </c>
      <c r="AK265" s="841">
        <f>AK219 + AK196 + AK173</f>
        <v>1</v>
      </c>
      <c r="AL265" s="841">
        <f>AL219 + AL196 + AL173</f>
        <v>1</v>
      </c>
      <c r="AM265" s="841">
        <f>AM219 + AM196 + AM173</f>
        <v>1</v>
      </c>
      <c r="AN265" s="841">
        <f>AN219 + AN196 + AN173</f>
        <v>1</v>
      </c>
      <c r="AO265" s="841">
        <f>AO219 + AO196 + AO173</f>
        <v>1</v>
      </c>
      <c r="AP265" s="841">
        <f>AP219 + AP196 + AP173</f>
        <v>1</v>
      </c>
    </row>
    <row r="266" hidden="1">
      <c r="B266" s="842" t="s">
        <v>20</v>
      </c>
      <c r="C266" s="839">
        <f>C220 + C197 + C174</f>
        <v>20</v>
      </c>
      <c r="D266" s="839">
        <f>D220 + D197 + D174</f>
        <v>20</v>
      </c>
      <c r="E266" s="839">
        <f>E220 + E197 + E174</f>
        <v>18</v>
      </c>
      <c r="F266" s="839">
        <f>F220 + F197 + F174</f>
        <v>16</v>
      </c>
      <c r="G266" s="839">
        <f>G220 + G197 + G174</f>
        <v>17</v>
      </c>
      <c r="H266" s="839">
        <f>H220 + H197 + H174</f>
        <v>17</v>
      </c>
      <c r="I266" s="839">
        <f>I220 + I197 + I174</f>
        <v>17</v>
      </c>
      <c r="J266" s="839">
        <f>J220 + J197 + J174</f>
        <v>17</v>
      </c>
      <c r="K266" s="839">
        <f>K220 + K197 + K174</f>
        <v>15</v>
      </c>
      <c r="L266" s="839">
        <f>L220 + L197 + L174</f>
        <v>17</v>
      </c>
      <c r="M266" s="839">
        <f>M220 + M197 + M174</f>
        <v>10</v>
      </c>
      <c r="N266" s="839">
        <f>N220 + N197 + N174</f>
        <v>8</v>
      </c>
      <c r="O266" s="839">
        <f>O220 + O197 + O174</f>
        <v>7</v>
      </c>
      <c r="P266" s="839">
        <f>P220 + P197 + P174</f>
        <v>7</v>
      </c>
      <c r="Q266" s="839">
        <f>Q220 + Q197 + Q174</f>
        <v>8</v>
      </c>
      <c r="R266" s="839">
        <f>R220 + R197 + R174</f>
        <v>8</v>
      </c>
      <c r="S266" s="839">
        <f>S220 + S197 + S174</f>
        <v>7</v>
      </c>
      <c r="T266" s="839">
        <f>T220 + T197 + T174</f>
        <v>7</v>
      </c>
      <c r="U266" s="839">
        <f>U220 + U197 + U174</f>
        <v>7</v>
      </c>
      <c r="V266" s="839">
        <f>V220 + V197 + V174</f>
        <v>7</v>
      </c>
      <c r="W266" s="839">
        <f>W220 + W197 + W174</f>
        <v>7</v>
      </c>
      <c r="X266" s="839">
        <f>X220 + X197 + X174</f>
        <v>7</v>
      </c>
      <c r="Y266" s="839">
        <f>Y220 + Y197 + Y174</f>
        <v>7</v>
      </c>
      <c r="Z266" s="839">
        <f>Z220 + Z197 + Z174</f>
        <v>7</v>
      </c>
      <c r="AA266" s="839">
        <f>AA220 + AA197 + AA174</f>
        <v>9</v>
      </c>
      <c r="AB266" s="839">
        <f>AB220 + AB197 + AB174</f>
        <v>8</v>
      </c>
      <c r="AC266" s="841">
        <f>AC220 + AC197 + AC174</f>
        <v>8</v>
      </c>
      <c r="AD266" s="841">
        <f>AD220 + AD197 + AD174</f>
        <v>6</v>
      </c>
      <c r="AE266" s="841">
        <f>AE220 + AE197 + AE174</f>
        <v>7</v>
      </c>
      <c r="AF266" s="841">
        <f>AF220 + AF197 + AF174</f>
        <v>7</v>
      </c>
      <c r="AG266" s="841">
        <f>AG220 + AG197 + AG174</f>
        <v>5</v>
      </c>
      <c r="AH266" s="841">
        <f>AH220 + AH197 + AH174</f>
        <v>7</v>
      </c>
      <c r="AI266" s="841">
        <f>AI220 + AI197 + AI174</f>
        <v>7</v>
      </c>
      <c r="AJ266" s="841">
        <f>AJ220 + AJ197 + AJ174</f>
        <v>6</v>
      </c>
      <c r="AK266" s="841">
        <f>AK220 + AK197 + AK174</f>
        <v>7</v>
      </c>
      <c r="AL266" s="841">
        <f>AL220 + AL197 + AL174</f>
        <v>9</v>
      </c>
      <c r="AM266" s="841">
        <f>AM220 + AM197 + AM174</f>
        <v>7</v>
      </c>
      <c r="AN266" s="841">
        <f>AN220 + AN197 + AN174</f>
        <v>7</v>
      </c>
      <c r="AO266" s="841">
        <f>AO220 + AO197 + AO174</f>
        <v>7</v>
      </c>
      <c r="AP266" s="841">
        <f>AP220 + AP197 + AP174</f>
        <v>7</v>
      </c>
    </row>
    <row r="267" hidden="1">
      <c r="B267" s="842" t="s">
        <v>21</v>
      </c>
      <c r="C267" s="839">
        <f>C221 + C198 + C175</f>
        <v>14</v>
      </c>
      <c r="D267" s="839">
        <f>D221 + D198 + D175</f>
        <v>14</v>
      </c>
      <c r="E267" s="839">
        <f>E221 + E198 + E175</f>
        <v>15</v>
      </c>
      <c r="F267" s="839">
        <f>F221 + F198 + F175</f>
        <v>15</v>
      </c>
      <c r="G267" s="839">
        <f>G221 + G198 + G175</f>
        <v>17</v>
      </c>
      <c r="H267" s="839">
        <f>H221 + H198 + H175</f>
        <v>18</v>
      </c>
      <c r="I267" s="839">
        <f>I221 + I198 + I175</f>
        <v>18</v>
      </c>
      <c r="J267" s="839">
        <f>J221 + J198 + J175</f>
        <v>16</v>
      </c>
      <c r="K267" s="839">
        <f>K221 + K198 + K175</f>
        <v>17</v>
      </c>
      <c r="L267" s="839">
        <f>L221 + L198 + L175</f>
        <v>15</v>
      </c>
      <c r="M267" s="839">
        <f>M221 + M198 + M175</f>
        <v>17</v>
      </c>
      <c r="N267" s="839">
        <f>N221 + N198 + N175</f>
        <v>17</v>
      </c>
      <c r="O267" s="839">
        <f>O221 + O198 + O175</f>
        <v>18</v>
      </c>
      <c r="P267" s="839">
        <f>P221 + P198 + P175</f>
        <v>18</v>
      </c>
      <c r="Q267" s="839">
        <f>Q221 + Q198 + Q175</f>
        <v>19</v>
      </c>
      <c r="R267" s="839">
        <f>R221 + R198 + R175</f>
        <v>21</v>
      </c>
      <c r="S267" s="839">
        <f>S221 + S198 + S175</f>
        <v>19</v>
      </c>
      <c r="T267" s="839">
        <f>T221 + T198 + T175</f>
        <v>19</v>
      </c>
      <c r="U267" s="839">
        <f>U221 + U198 + U175</f>
        <v>17</v>
      </c>
      <c r="V267" s="839">
        <f>V221 + V198 + V175</f>
        <v>17</v>
      </c>
      <c r="W267" s="839">
        <f>W221 + W198 + W175</f>
        <v>18</v>
      </c>
      <c r="X267" s="839">
        <f>X221 + X198 + X175</f>
        <v>17</v>
      </c>
      <c r="Y267" s="839">
        <f>Y221 + Y198 + Y175</f>
        <v>17</v>
      </c>
      <c r="Z267" s="839">
        <f>Z221 + Z198 + Z175</f>
        <v>17</v>
      </c>
      <c r="AA267" s="839">
        <f>AA221 + AA198 + AA175</f>
        <v>17</v>
      </c>
      <c r="AB267" s="839">
        <f>AB221 + AB198 + AB175</f>
        <v>17</v>
      </c>
      <c r="AC267" s="841">
        <f>AC221 + AC198 + AC175</f>
        <v>17</v>
      </c>
      <c r="AD267" s="841">
        <f>AD221 + AD198 + AD175</f>
        <v>17</v>
      </c>
      <c r="AE267" s="841">
        <f>AE221 + AE198 + AE175</f>
        <v>17</v>
      </c>
      <c r="AF267" s="841">
        <f>AF221 + AF198 + AF175</f>
        <v>19</v>
      </c>
      <c r="AG267" s="841">
        <f>AG221 + AG198 + AG175</f>
        <v>22</v>
      </c>
      <c r="AH267" s="841">
        <f>AH221 + AH198 + AH175</f>
        <v>22</v>
      </c>
      <c r="AI267" s="841">
        <f>AI221 + AI198 + AI175</f>
        <v>20</v>
      </c>
      <c r="AJ267" s="841">
        <f>AJ221 + AJ198 + AJ175</f>
        <v>17</v>
      </c>
      <c r="AK267" s="841">
        <f>AK221 + AK198 + AK175</f>
        <v>18</v>
      </c>
      <c r="AL267" s="841">
        <f>AL221 + AL198 + AL175</f>
        <v>15</v>
      </c>
      <c r="AM267" s="841">
        <f>AM221 + AM198 + AM175</f>
        <v>15</v>
      </c>
      <c r="AN267" s="841">
        <f>AN221 + AN198 + AN175</f>
        <v>16</v>
      </c>
      <c r="AO267" s="841">
        <f>AO221 + AO198 + AO175</f>
        <v>16</v>
      </c>
      <c r="AP267" s="841">
        <f>AP221 + AP198 + AP175</f>
        <v>17</v>
      </c>
    </row>
    <row r="268" hidden="1">
      <c r="B268" s="842" t="s">
        <v>22</v>
      </c>
      <c r="C268" s="839">
        <f>C222 + C199 + C176</f>
        <v>9</v>
      </c>
      <c r="D268" s="839">
        <f>D222 + D199 + D176</f>
        <v>10</v>
      </c>
      <c r="E268" s="839">
        <f>E222 + E199 + E176</f>
        <v>10</v>
      </c>
      <c r="F268" s="839">
        <f>F222 + F199 + F176</f>
        <v>11</v>
      </c>
      <c r="G268" s="839">
        <f>G222 + G199 + G176</f>
        <v>12</v>
      </c>
      <c r="H268" s="839">
        <f>H222 + H199 + H176</f>
        <v>12</v>
      </c>
      <c r="I268" s="839">
        <f>I222 + I199 + I176</f>
        <v>13</v>
      </c>
      <c r="J268" s="839">
        <f>J222 + J199 + J176</f>
        <v>13</v>
      </c>
      <c r="K268" s="839">
        <f>K222 + K199 + K176</f>
        <v>14</v>
      </c>
      <c r="L268" s="839">
        <f>L222 + L199 + L176</f>
        <v>5</v>
      </c>
      <c r="M268" s="839">
        <f>M222 + M199 + M176</f>
        <v>16</v>
      </c>
      <c r="N268" s="839">
        <f>N222 + N199 + N176</f>
        <v>16</v>
      </c>
      <c r="O268" s="839">
        <f>O222 + O199 + O176</f>
        <v>17</v>
      </c>
      <c r="P268" s="839">
        <f>P222 + P199 + P176</f>
        <v>19</v>
      </c>
      <c r="Q268" s="839">
        <f>Q222 + Q199 + Q176</f>
        <v>19</v>
      </c>
      <c r="R268" s="839">
        <f>R222 + R199 + R176</f>
        <v>19</v>
      </c>
      <c r="S268" s="839">
        <f>S222 + S199 + S176</f>
        <v>20</v>
      </c>
      <c r="T268" s="839">
        <f>T222 + T199 + T176</f>
        <v>20</v>
      </c>
      <c r="U268" s="839">
        <f>U222 + U199 + U176</f>
        <v>20</v>
      </c>
      <c r="V268" s="839">
        <f>V222 + V199 + V176</f>
        <v>20</v>
      </c>
      <c r="W268" s="839">
        <f>W222 + W199 + W176</f>
        <v>24</v>
      </c>
      <c r="X268" s="839">
        <f>X222 + X199 + X176</f>
        <v>27</v>
      </c>
      <c r="Y268" s="839">
        <f>Y222 + Y199 + Y176</f>
        <v>25</v>
      </c>
      <c r="Z268" s="839">
        <f>Z222 + Z199 + Z176</f>
        <v>27</v>
      </c>
      <c r="AA268" s="839">
        <f>AA222 + AA199 + AA176</f>
        <v>28</v>
      </c>
      <c r="AB268" s="839">
        <f>AB222 + AB199 + AB176</f>
        <v>28</v>
      </c>
      <c r="AC268" s="841">
        <f>AC222 + AC199 + AC176</f>
        <v>28</v>
      </c>
      <c r="AD268" s="841">
        <f>AD222 + AD199 + AD176</f>
        <v>25</v>
      </c>
      <c r="AE268" s="841">
        <f>AE222 + AE199 + AE176</f>
        <v>23</v>
      </c>
      <c r="AF268" s="841">
        <f>AF222 + AF199 + AF176</f>
        <v>20</v>
      </c>
      <c r="AG268" s="841">
        <f>AG222 + AG199 + AG176</f>
        <v>20</v>
      </c>
      <c r="AH268" s="841">
        <f>AH222 + AH199 + AH176</f>
        <v>19</v>
      </c>
      <c r="AI268" s="841">
        <f>AI222 + AI199 + AI176</f>
        <v>17</v>
      </c>
      <c r="AJ268" s="841">
        <f>AJ222 + AJ199 + AJ176</f>
        <v>13</v>
      </c>
      <c r="AK268" s="841">
        <f>AK222 + AK199 + AK176</f>
        <v>11</v>
      </c>
      <c r="AL268" s="841">
        <f>AL222 + AL199 + AL176</f>
        <v>11</v>
      </c>
      <c r="AM268" s="841">
        <f>AM222 + AM199 + AM176</f>
        <v>10</v>
      </c>
      <c r="AN268" s="841">
        <f>AN222 + AN199 + AN176</f>
        <v>10</v>
      </c>
      <c r="AO268" s="841">
        <f>AO222 + AO199 + AO176</f>
        <v>10</v>
      </c>
      <c r="AP268" s="841">
        <f>AP222 + AP199 + AP176</f>
        <v>10</v>
      </c>
    </row>
    <row r="269" hidden="1">
      <c r="B269" s="842" t="s">
        <v>23</v>
      </c>
      <c r="C269" s="839">
        <f>C223 + C200 + C177</f>
        <v>66</v>
      </c>
      <c r="D269" s="839">
        <f>D223 + D200 + D177</f>
        <v>6</v>
      </c>
      <c r="E269" s="839">
        <f>E223 + E200 + E177</f>
        <v>5</v>
      </c>
      <c r="F269" s="839">
        <f>F223 + F200 + F177</f>
        <v>5</v>
      </c>
      <c r="G269" s="839">
        <f>G223 + G200 + G177</f>
        <v>5</v>
      </c>
      <c r="H269" s="839">
        <f>H223 + H200 + H177</f>
        <v>5</v>
      </c>
      <c r="I269" s="839">
        <f>I223 + I200 + I177</f>
        <v>5</v>
      </c>
      <c r="J269" s="839">
        <f>J223 + J200 + J177</f>
        <v>5</v>
      </c>
      <c r="K269" s="839">
        <f>K223 + K200 + K177</f>
        <v>5</v>
      </c>
      <c r="L269" s="839">
        <f>L223 + L200 + L177</f>
        <v>1</v>
      </c>
      <c r="M269" s="839">
        <f>M223 + M200 + M177</f>
        <v>5</v>
      </c>
      <c r="N269" s="839">
        <f>N223 + N200 + N177</f>
        <v>5</v>
      </c>
      <c r="O269" s="839">
        <f>O223 + O200 + O177</f>
        <v>6</v>
      </c>
      <c r="P269" s="839">
        <f>P223 + P200 + P177</f>
        <v>6</v>
      </c>
      <c r="Q269" s="839">
        <f>Q223 + Q200 + Q177</f>
        <v>6</v>
      </c>
      <c r="R269" s="839">
        <f>R223 + R200 + R177</f>
        <v>6</v>
      </c>
      <c r="S269" s="839">
        <f>S223 + S200 + S177</f>
        <v>6</v>
      </c>
      <c r="T269" s="839">
        <f>T223 + T200 + T177</f>
        <v>6</v>
      </c>
      <c r="U269" s="839">
        <f>U223 + U200 + U177</f>
        <v>6</v>
      </c>
      <c r="V269" s="839">
        <f>V223 + V200 + V177</f>
        <v>6</v>
      </c>
      <c r="W269" s="839">
        <f>W223 + W200 + W177</f>
        <v>6</v>
      </c>
      <c r="X269" s="839">
        <f>X223 + X200 + X177</f>
        <v>6</v>
      </c>
      <c r="Y269" s="839">
        <f>Y223 + Y200 + Y177</f>
        <v>6</v>
      </c>
      <c r="Z269" s="839">
        <f>Z223 + Z200 + Z177</f>
        <v>5</v>
      </c>
      <c r="AA269" s="839">
        <f>AA223 + AA200 + AA177</f>
        <v>3</v>
      </c>
      <c r="AB269" s="839">
        <f>AB223 + AB200 + AB177</f>
        <v>2</v>
      </c>
      <c r="AC269" s="841">
        <f>AC223 + AC200 + AC177</f>
        <v>1</v>
      </c>
      <c r="AD269" s="841">
        <f>AD223 + AD200 + AD177</f>
        <v>1</v>
      </c>
      <c r="AE269" s="841">
        <f>AE223 + AE200 + AE177</f>
        <v>1</v>
      </c>
      <c r="AF269" s="841">
        <f>AF223 + AF200 + AF177</f>
        <v>1</v>
      </c>
      <c r="AG269" s="841">
        <f>AG223 + AG200 + AG177</f>
        <v>1</v>
      </c>
      <c r="AH269" s="841">
        <f>AH223 + AH200 + AH177</f>
        <v>0</v>
      </c>
      <c r="AI269" s="841">
        <f>AI223 + AI200 + AI177</f>
        <v>0</v>
      </c>
      <c r="AJ269" s="841">
        <f>AJ223 + AJ200 + AJ177</f>
        <v>0</v>
      </c>
      <c r="AK269" s="841">
        <f>AK223 + AK200 + AK177</f>
        <v>0</v>
      </c>
      <c r="AL269" s="841">
        <f>AL223 + AL200 + AL177</f>
        <v>0</v>
      </c>
      <c r="AM269" s="841">
        <f>AM223 + AM200 + AM177</f>
        <v>1</v>
      </c>
      <c r="AN269" s="841">
        <f>AN223 + AN200 + AN177</f>
        <v>1</v>
      </c>
      <c r="AO269" s="841">
        <f>AO223 + AO200 + AO177</f>
        <v>1</v>
      </c>
      <c r="AP269" s="841">
        <f>AP223 + AP200 + AP177</f>
        <v>5</v>
      </c>
    </row>
    <row r="270" hidden="1">
      <c r="B270" s="843" t="s">
        <v>24</v>
      </c>
      <c r="C270" s="839">
        <f>C224 + C201 + C178</f>
        <v>30</v>
      </c>
      <c r="D270" s="839">
        <f>D224 + D201 + D178</f>
        <v>29</v>
      </c>
      <c r="E270" s="839">
        <f>E224 + E201 + E178</f>
        <v>28</v>
      </c>
      <c r="F270" s="839">
        <f>F224 + F201 + F178</f>
        <v>27</v>
      </c>
      <c r="G270" s="839">
        <f>G224 + G201 + G178</f>
        <v>27</v>
      </c>
      <c r="H270" s="839">
        <f>H224 + H201 + H178</f>
        <v>28</v>
      </c>
      <c r="I270" s="839">
        <f>I224 + I201 + I178</f>
        <v>29</v>
      </c>
      <c r="J270" s="839">
        <f>J224 + J201 + J178</f>
        <v>31</v>
      </c>
      <c r="K270" s="839">
        <f>K224 + K201 + K178</f>
        <v>28</v>
      </c>
      <c r="L270" s="839">
        <f>L224 + L201 + L178</f>
        <v>26</v>
      </c>
      <c r="M270" s="839">
        <f>M224 + M201 + M178</f>
        <v>28</v>
      </c>
      <c r="N270" s="839">
        <f>N224 + N201 + N178</f>
        <v>28</v>
      </c>
      <c r="O270" s="839">
        <f>O224 + O201 + O178</f>
        <v>24</v>
      </c>
      <c r="P270" s="839">
        <f>P224 + P201 + P178</f>
        <v>23</v>
      </c>
      <c r="Q270" s="839">
        <f>Q224 + Q201 + Q178</f>
        <v>23</v>
      </c>
      <c r="R270" s="839">
        <f>R224 + R201 + R178</f>
        <v>21</v>
      </c>
      <c r="S270" s="839">
        <f>S224 + S201 + S178</f>
        <v>22</v>
      </c>
      <c r="T270" s="839">
        <f>T224 + T201 + T178</f>
        <v>22</v>
      </c>
      <c r="U270" s="839">
        <f>U224 + U201 + U178</f>
        <v>22</v>
      </c>
      <c r="V270" s="839">
        <f>V224 + V201 + V178</f>
        <v>22</v>
      </c>
      <c r="W270" s="839">
        <f>W224 + W201 + W178</f>
        <v>24</v>
      </c>
      <c r="X270" s="839">
        <f>X224 + X201 + X178</f>
        <v>24</v>
      </c>
      <c r="Y270" s="839">
        <f>Y224 + Y201 + Y178</f>
        <v>23</v>
      </c>
      <c r="Z270" s="839">
        <f>Z224 + Z201 + Z178</f>
        <v>23</v>
      </c>
      <c r="AA270" s="839">
        <f>AA224 + AA201 + AA178</f>
        <v>23</v>
      </c>
      <c r="AB270" s="839">
        <f>AB224 + AB201 + AB178</f>
        <v>21</v>
      </c>
      <c r="AC270" s="841">
        <f>AC224 + AC201 + AC178</f>
        <v>21</v>
      </c>
      <c r="AD270" s="841">
        <f>AD224 + AD201 + AD178</f>
        <v>22</v>
      </c>
      <c r="AE270" s="841">
        <f>AE224 + AE201 + AE178</f>
        <v>23</v>
      </c>
      <c r="AF270" s="841">
        <f>AF224 + AF201 + AF178</f>
        <v>24</v>
      </c>
      <c r="AG270" s="841">
        <f>AG224 + AG201 + AG178</f>
        <v>24</v>
      </c>
      <c r="AH270" s="841">
        <f>AH224 + AH201 + AH178</f>
        <v>24</v>
      </c>
      <c r="AI270" s="841">
        <f>AI224 + AI201 + AI178</f>
        <v>24</v>
      </c>
      <c r="AJ270" s="841">
        <f>AJ224 + AJ201 + AJ178</f>
        <v>24</v>
      </c>
      <c r="AK270" s="841">
        <f>AK224 + AK201 + AK178</f>
        <v>23</v>
      </c>
      <c r="AL270" s="841">
        <f>AL224 + AL201 + AL178</f>
        <v>23</v>
      </c>
      <c r="AM270" s="841">
        <f>AM224 + AM201 + AM178</f>
        <v>23</v>
      </c>
      <c r="AN270" s="841">
        <f>AN224 + AN201 + AN178</f>
        <v>23</v>
      </c>
      <c r="AO270" s="841">
        <f>AO224 + AO201 + AO178</f>
        <v>23</v>
      </c>
      <c r="AP270" s="841">
        <f>AP224 + AP201 + AP178</f>
        <v>23</v>
      </c>
    </row>
    <row r="271" hidden="1">
      <c r="B271" s="842" t="s">
        <v>25</v>
      </c>
      <c r="C271" s="839">
        <f>C225 + C202 + C179</f>
        <v>0</v>
      </c>
      <c r="D271" s="839">
        <f>D225 + D202 + D179</f>
        <v>0</v>
      </c>
      <c r="E271" s="839">
        <f>E225 + E202 + E179</f>
        <v>0</v>
      </c>
      <c r="F271" s="839">
        <f>F225 + F202 + F179</f>
        <v>0</v>
      </c>
      <c r="G271" s="839">
        <f>G225 + G202 + G179</f>
        <v>0</v>
      </c>
      <c r="H271" s="839">
        <f>H225 + H202 + H179</f>
        <v>0</v>
      </c>
      <c r="I271" s="839">
        <f>I225 + I202 + I179</f>
        <v>0</v>
      </c>
      <c r="J271" s="839">
        <f>J225 + J202 + J179</f>
        <v>0</v>
      </c>
      <c r="K271" s="839">
        <f>K225 + K202 + K179</f>
        <v>0</v>
      </c>
      <c r="L271" s="839">
        <f>L225 + L202 + L179</f>
        <v>0</v>
      </c>
      <c r="M271" s="839">
        <f>M225 + M202 + M179</f>
        <v>0</v>
      </c>
      <c r="N271" s="839">
        <f>N225 + N202 + N179</f>
        <v>0</v>
      </c>
      <c r="O271" s="839">
        <f>O225 + O202 + O179</f>
        <v>0</v>
      </c>
      <c r="P271" s="839">
        <f>P225 + P202 + P179</f>
        <v>0</v>
      </c>
      <c r="Q271" s="839">
        <f>Q225 + Q202 + Q179</f>
        <v>0</v>
      </c>
      <c r="R271" s="839">
        <f>R225 + R202 + R179</f>
        <v>0</v>
      </c>
      <c r="S271" s="839">
        <f>S225 + S202 + S179</f>
        <v>0</v>
      </c>
      <c r="T271" s="839">
        <f>T225 + T202 + T179</f>
        <v>0</v>
      </c>
      <c r="U271" s="839">
        <f>U225 + U202 + U179</f>
        <v>0</v>
      </c>
      <c r="V271" s="839">
        <f>V225 + V202 + V179</f>
        <v>0</v>
      </c>
      <c r="W271" s="839">
        <f>W225 + W202 + W179</f>
        <v>0</v>
      </c>
      <c r="X271" s="839">
        <f>X225 + X202 + X179</f>
        <v>0</v>
      </c>
      <c r="Y271" s="839">
        <f>Y225 + Y202 + Y179</f>
        <v>0</v>
      </c>
      <c r="Z271" s="839">
        <f>Z225 + Z202 + Z179</f>
        <v>0</v>
      </c>
      <c r="AA271" s="839">
        <f>AA225 + AA202 + AA179</f>
        <v>0</v>
      </c>
      <c r="AB271" s="839">
        <f>AB225 + AB202 + AB179</f>
        <v>0</v>
      </c>
      <c r="AC271" s="841">
        <f>AC225 + AC202 + AC179</f>
        <v>0</v>
      </c>
      <c r="AD271" s="841">
        <f>AD225 + AD202 + AD179</f>
        <v>0</v>
      </c>
      <c r="AE271" s="841">
        <f>AE225 + AE202 + AE179</f>
        <v>0</v>
      </c>
      <c r="AF271" s="841">
        <f>AF225 + AF202 + AF179</f>
        <v>0</v>
      </c>
      <c r="AG271" s="841">
        <f>AG225 + AG202 + AG179</f>
        <v>0</v>
      </c>
      <c r="AH271" s="841">
        <f>AH225 + AH202 + AH179</f>
        <v>0</v>
      </c>
      <c r="AI271" s="841">
        <f>AI225 + AI202 + AI179</f>
        <v>0</v>
      </c>
      <c r="AJ271" s="841">
        <f>AJ225 + AJ202 + AJ179</f>
        <v>0</v>
      </c>
      <c r="AK271" s="841">
        <f>AK225 + AK202 + AK179</f>
        <v>0</v>
      </c>
      <c r="AL271" s="841">
        <f>AL225 + AL202 + AL179</f>
        <v>0</v>
      </c>
      <c r="AM271" s="841">
        <f>AM225 + AM202 + AM179</f>
        <v>0</v>
      </c>
      <c r="AN271" s="841">
        <f>AN225 + AN202 + AN179</f>
        <v>0</v>
      </c>
      <c r="AO271" s="841">
        <f>AO225 + AO202 + AO179</f>
        <v>0</v>
      </c>
      <c r="AP271" s="841">
        <f>AP225 + AP202 + AP179</f>
        <v>0</v>
      </c>
    </row>
    <row r="272" hidden="1" ht="13.5">
      <c r="B272" s="844" t="s">
        <v>26</v>
      </c>
      <c r="C272" s="839">
        <f>C226 + C203 + C180</f>
        <v>0</v>
      </c>
      <c r="D272" s="839">
        <f>D226 + D203 + D180</f>
        <v>0</v>
      </c>
      <c r="E272" s="839">
        <f>E226 + E203 + E180</f>
        <v>0</v>
      </c>
      <c r="F272" s="839">
        <f>F226 + F203 + F180</f>
        <v>0</v>
      </c>
      <c r="G272" s="839">
        <f>G226 + G203 + G180</f>
        <v>0</v>
      </c>
      <c r="H272" s="839">
        <f>H226 + H203 + H180</f>
        <v>0</v>
      </c>
      <c r="I272" s="839">
        <f>I226 + I203 + I180</f>
        <v>0</v>
      </c>
      <c r="J272" s="839">
        <f>J226 + J203 + J180</f>
        <v>0</v>
      </c>
      <c r="K272" s="839">
        <f>K226 + K203 + K180</f>
        <v>0</v>
      </c>
      <c r="L272" s="839">
        <f>L226 + L203 + L180</f>
        <v>0</v>
      </c>
      <c r="M272" s="839">
        <f>M226 + M203 + M180</f>
        <v>0</v>
      </c>
      <c r="N272" s="839">
        <f>N226 + N203 + N180</f>
        <v>0</v>
      </c>
      <c r="O272" s="839">
        <f>O226 + O203 + O180</f>
        <v>0</v>
      </c>
      <c r="P272" s="839">
        <f>P226 + P203 + P180</f>
        <v>0</v>
      </c>
      <c r="Q272" s="839">
        <f>Q226 + Q203 + Q180</f>
        <v>0</v>
      </c>
      <c r="R272" s="839">
        <f>R226 + R203 + R180</f>
        <v>0</v>
      </c>
      <c r="S272" s="839">
        <f>S226 + S203 + S180</f>
        <v>0</v>
      </c>
      <c r="T272" s="839">
        <f>T226 + T203 + T180</f>
        <v>0</v>
      </c>
      <c r="U272" s="839">
        <f>U226 + U203 + U180</f>
        <v>0</v>
      </c>
      <c r="V272" s="839">
        <f>V226 + V203 + V180</f>
        <v>0</v>
      </c>
      <c r="W272" s="839">
        <f>W226 + W203 + W180</f>
        <v>0</v>
      </c>
      <c r="X272" s="839">
        <f>X226 + X203 + X180</f>
        <v>0</v>
      </c>
      <c r="Y272" s="839">
        <f>Y226 + Y203 + Y180</f>
        <v>0</v>
      </c>
      <c r="Z272" s="839">
        <f>Z226 + Z203 + Z180</f>
        <v>0</v>
      </c>
      <c r="AA272" s="839">
        <f>AA226 + AA203 + AA180</f>
        <v>0</v>
      </c>
      <c r="AB272" s="845">
        <f>AB226 + AB203 + AB180</f>
        <v>0</v>
      </c>
      <c r="AC272" s="841">
        <f>AC226 + AC203 + AC180</f>
        <v>0</v>
      </c>
      <c r="AD272" s="841">
        <f>AD226 + AD203 + AD180</f>
        <v>0</v>
      </c>
      <c r="AE272" s="841">
        <f>AE226 + AE203 + AE180</f>
        <v>0</v>
      </c>
      <c r="AF272" s="841">
        <f>AF226 + AF203 + AF180</f>
        <v>0</v>
      </c>
      <c r="AG272" s="841">
        <f>AG226 + AG203 + AG180</f>
        <v>0</v>
      </c>
      <c r="AH272" s="841">
        <f>AH226 + AH203 + AH180</f>
        <v>0</v>
      </c>
      <c r="AI272" s="841">
        <f>AI226 + AI203 + AI180</f>
        <v>0</v>
      </c>
      <c r="AJ272" s="841">
        <f>AJ226 + AJ203 + AJ180</f>
        <v>0</v>
      </c>
      <c r="AK272" s="841">
        <f>AK226 + AK203 + AK180</f>
        <v>0</v>
      </c>
      <c r="AL272" s="841">
        <f>AL226 + AL203 + AL180</f>
        <v>0</v>
      </c>
      <c r="AM272" s="841">
        <f>AM226 + AM203 + AM180</f>
        <v>0</v>
      </c>
      <c r="AN272" s="841">
        <f>AN226 + AN203 + AN180</f>
        <v>0</v>
      </c>
      <c r="AO272" s="841">
        <f>AO226 + AO203 + AO180</f>
        <v>0</v>
      </c>
      <c r="AP272" s="841">
        <f>AP226 + AP203 + AP180</f>
        <v>0</v>
      </c>
    </row>
    <row r="273" hidden="1" ht="13.5">
      <c r="B273" s="128" t="s">
        <v>7</v>
      </c>
      <c r="C273" s="129" t="str">
        <f>IF(SUM(C254:C272)&lt;&gt;0,SUM(C254:C272),"")</f>
      </c>
      <c r="D273" s="129" t="str">
        <f ref="D273:AA273" t="shared" si="20">IF(SUM(D254:D272)&lt;&gt;0,SUM(D254:D272),"")</f>
      </c>
      <c r="E273" s="129" t="str">
        <f t="shared" si="20"/>
      </c>
      <c r="F273" s="129" t="str">
        <f t="shared" si="20"/>
      </c>
      <c r="G273" s="129" t="str">
        <f t="shared" si="20"/>
      </c>
      <c r="H273" s="129" t="str">
        <f t="shared" si="20"/>
      </c>
      <c r="I273" s="129" t="str">
        <f t="shared" si="20"/>
      </c>
      <c r="J273" s="129" t="str">
        <f t="shared" si="20"/>
      </c>
      <c r="K273" s="129" t="str">
        <f t="shared" si="20"/>
      </c>
      <c r="L273" s="129" t="str">
        <f t="shared" si="20"/>
      </c>
      <c r="M273" s="129" t="str">
        <f t="shared" si="20"/>
      </c>
      <c r="N273" s="129" t="str">
        <f t="shared" si="20"/>
      </c>
      <c r="O273" s="129" t="str">
        <f t="shared" si="20"/>
      </c>
      <c r="P273" s="129" t="str">
        <f t="shared" si="20"/>
      </c>
      <c r="Q273" s="129" t="str">
        <f t="shared" si="20"/>
      </c>
      <c r="R273" s="129" t="str">
        <f t="shared" si="20"/>
      </c>
      <c r="S273" s="129" t="str">
        <f t="shared" si="20"/>
      </c>
      <c r="T273" s="129" t="str">
        <f t="shared" si="20"/>
      </c>
      <c r="U273" s="129" t="str">
        <f t="shared" si="20"/>
      </c>
      <c r="V273" s="129" t="str">
        <f t="shared" si="20"/>
      </c>
      <c r="W273" s="129" t="str">
        <f t="shared" si="20"/>
      </c>
      <c r="X273" s="129" t="str">
        <f t="shared" si="20"/>
      </c>
      <c r="Y273" s="129" t="str">
        <f t="shared" si="20"/>
      </c>
      <c r="Z273" s="129" t="str">
        <f t="shared" si="20"/>
      </c>
      <c r="AA273" s="129" t="str">
        <f t="shared" si="20"/>
      </c>
      <c r="AB273" s="130" t="str">
        <f>IF(SUM(AB254:AB272)&lt;&gt;0,SUM(AB254:AB272),"")</f>
      </c>
      <c r="AC273" s="91" t="str">
        <f ref="AC273:CN273" t="shared" si="21">IF(SUM(AC254:AC272)&lt;&gt;0,SUM(AC254:AC272),"")</f>
      </c>
      <c r="AD273" s="91" t="str">
        <f t="shared" si="21"/>
      </c>
      <c r="AE273" s="91" t="str">
        <f t="shared" si="21"/>
      </c>
      <c r="AF273" s="91" t="str">
        <f t="shared" si="21"/>
      </c>
      <c r="AG273" s="91" t="str">
        <f t="shared" si="21"/>
      </c>
      <c r="AH273" s="91" t="str">
        <f t="shared" si="21"/>
      </c>
      <c r="AI273" s="91" t="str">
        <f t="shared" si="21"/>
      </c>
      <c r="AJ273" s="91" t="str">
        <f t="shared" si="21"/>
      </c>
      <c r="AK273" s="91" t="str">
        <f t="shared" si="21"/>
      </c>
      <c r="AL273" s="91" t="str">
        <f t="shared" si="21"/>
      </c>
      <c r="AM273" s="91" t="str">
        <f t="shared" si="21"/>
      </c>
      <c r="AN273" s="91" t="str">
        <f t="shared" si="21"/>
      </c>
      <c r="AO273" s="91" t="str">
        <f t="shared" si="21"/>
      </c>
      <c r="AP273" s="91" t="str">
        <f t="shared" si="21"/>
      </c>
      <c r="AQ273" s="91" t="str">
        <f t="shared" si="21"/>
      </c>
      <c r="AR273" s="91" t="str">
        <f t="shared" si="21"/>
      </c>
      <c r="AS273" s="91" t="str">
        <f t="shared" si="21"/>
      </c>
      <c r="AT273" s="91" t="str">
        <f t="shared" si="21"/>
      </c>
      <c r="AU273" s="91" t="str">
        <f t="shared" si="21"/>
      </c>
      <c r="AV273" s="91" t="str">
        <f t="shared" si="21"/>
      </c>
      <c r="AW273" s="91" t="str">
        <f t="shared" si="21"/>
      </c>
      <c r="AX273" s="91" t="str">
        <f t="shared" si="21"/>
      </c>
      <c r="AY273" s="91" t="str">
        <f t="shared" si="21"/>
      </c>
      <c r="AZ273" s="91" t="str">
        <f t="shared" si="21"/>
      </c>
      <c r="BA273" s="91" t="str">
        <f t="shared" si="21"/>
      </c>
      <c r="BB273" s="91" t="str">
        <f t="shared" si="21"/>
      </c>
      <c r="BC273" s="91" t="str">
        <f t="shared" si="21"/>
      </c>
      <c r="BD273" s="91" t="str">
        <f t="shared" si="21"/>
      </c>
      <c r="BE273" s="91" t="str">
        <f t="shared" si="21"/>
      </c>
      <c r="BF273" s="91" t="str">
        <f t="shared" si="21"/>
      </c>
      <c r="BG273" s="91" t="str">
        <f t="shared" si="21"/>
      </c>
      <c r="BH273" s="91" t="str">
        <f t="shared" si="21"/>
      </c>
      <c r="BI273" s="91" t="str">
        <f t="shared" si="21"/>
      </c>
      <c r="BJ273" s="91" t="str">
        <f t="shared" si="21"/>
      </c>
      <c r="BK273" s="91" t="str">
        <f t="shared" si="21"/>
      </c>
      <c r="BL273" s="91" t="str">
        <f t="shared" si="21"/>
      </c>
      <c r="BM273" s="91" t="str">
        <f t="shared" si="21"/>
      </c>
      <c r="BN273" s="91" t="str">
        <f t="shared" si="21"/>
      </c>
      <c r="BO273" s="91" t="str">
        <f t="shared" si="21"/>
      </c>
      <c r="BP273" s="91" t="str">
        <f t="shared" si="21"/>
      </c>
      <c r="BQ273" s="91" t="str">
        <f t="shared" si="21"/>
      </c>
      <c r="BR273" s="91" t="str">
        <f t="shared" si="21"/>
      </c>
      <c r="BS273" s="91" t="str">
        <f t="shared" si="21"/>
      </c>
      <c r="BT273" s="91" t="str">
        <f t="shared" si="21"/>
      </c>
      <c r="BU273" s="91" t="str">
        <f t="shared" si="21"/>
      </c>
      <c r="BV273" s="91" t="str">
        <f t="shared" si="21"/>
      </c>
      <c r="BW273" s="91" t="str">
        <f t="shared" si="21"/>
      </c>
      <c r="BX273" s="91" t="str">
        <f t="shared" si="21"/>
      </c>
      <c r="BY273" s="91" t="str">
        <f t="shared" si="21"/>
      </c>
      <c r="BZ273" s="91" t="str">
        <f t="shared" si="21"/>
      </c>
      <c r="CA273" s="91" t="str">
        <f t="shared" si="21"/>
      </c>
      <c r="CB273" s="91" t="str">
        <f t="shared" si="21"/>
      </c>
      <c r="CC273" s="91" t="str">
        <f t="shared" si="21"/>
      </c>
      <c r="CD273" s="91" t="str">
        <f t="shared" si="21"/>
      </c>
      <c r="CE273" s="91" t="str">
        <f t="shared" si="21"/>
      </c>
      <c r="CF273" s="91" t="str">
        <f t="shared" si="21"/>
      </c>
      <c r="CG273" s="91" t="str">
        <f t="shared" si="21"/>
      </c>
      <c r="CH273" s="91" t="str">
        <f t="shared" si="21"/>
      </c>
      <c r="CI273" s="91" t="str">
        <f t="shared" si="21"/>
      </c>
      <c r="CJ273" s="91" t="str">
        <f t="shared" si="21"/>
      </c>
      <c r="CK273" s="91" t="str">
        <f t="shared" si="21"/>
      </c>
      <c r="CL273" s="91" t="str">
        <f t="shared" si="21"/>
      </c>
      <c r="CM273" s="91" t="str">
        <f t="shared" si="21"/>
      </c>
      <c r="CN273" s="91" t="str">
        <f t="shared" si="21"/>
      </c>
      <c r="CO273" s="91" t="str">
        <f ref="CO273:EZ273" t="shared" si="22">IF(SUM(CO254:CO272)&lt;&gt;0,SUM(CO254:CO272),"")</f>
      </c>
      <c r="CP273" s="91" t="str">
        <f t="shared" si="22"/>
      </c>
      <c r="CQ273" s="91" t="str">
        <f t="shared" si="22"/>
      </c>
      <c r="CR273" s="91" t="str">
        <f t="shared" si="22"/>
      </c>
      <c r="CS273" s="91" t="str">
        <f t="shared" si="22"/>
      </c>
      <c r="CT273" s="91" t="str">
        <f t="shared" si="22"/>
      </c>
      <c r="CU273" s="91" t="str">
        <f t="shared" si="22"/>
      </c>
      <c r="CV273" s="91" t="str">
        <f t="shared" si="22"/>
      </c>
      <c r="CW273" s="91" t="str">
        <f t="shared" si="22"/>
      </c>
      <c r="CX273" s="91" t="str">
        <f t="shared" si="22"/>
      </c>
      <c r="CY273" s="91" t="str">
        <f t="shared" si="22"/>
      </c>
      <c r="CZ273" s="91" t="str">
        <f t="shared" si="22"/>
      </c>
      <c r="DA273" s="91" t="str">
        <f t="shared" si="22"/>
      </c>
      <c r="DB273" s="91" t="str">
        <f t="shared" si="22"/>
      </c>
      <c r="DC273" s="91" t="str">
        <f t="shared" si="22"/>
      </c>
      <c r="DD273" s="91" t="str">
        <f t="shared" si="22"/>
      </c>
      <c r="DE273" s="91" t="str">
        <f t="shared" si="22"/>
      </c>
      <c r="DF273" s="91" t="str">
        <f t="shared" si="22"/>
      </c>
      <c r="DG273" s="91" t="str">
        <f t="shared" si="22"/>
      </c>
      <c r="DH273" s="91" t="str">
        <f t="shared" si="22"/>
      </c>
      <c r="DI273" s="91" t="str">
        <f t="shared" si="22"/>
      </c>
      <c r="DJ273" s="91" t="str">
        <f t="shared" si="22"/>
      </c>
      <c r="DK273" s="91" t="str">
        <f t="shared" si="22"/>
      </c>
      <c r="DL273" s="91" t="str">
        <f t="shared" si="22"/>
      </c>
      <c r="DM273" s="91" t="str">
        <f t="shared" si="22"/>
      </c>
      <c r="DN273" s="91" t="str">
        <f t="shared" si="22"/>
      </c>
      <c r="DO273" s="91" t="str">
        <f t="shared" si="22"/>
      </c>
      <c r="DP273" s="91" t="str">
        <f t="shared" si="22"/>
      </c>
      <c r="DQ273" s="91" t="str">
        <f t="shared" si="22"/>
      </c>
      <c r="DR273" s="91" t="str">
        <f t="shared" si="22"/>
      </c>
      <c r="DS273" s="91" t="str">
        <f t="shared" si="22"/>
      </c>
      <c r="DT273" s="91" t="str">
        <f t="shared" si="22"/>
      </c>
      <c r="DU273" s="91" t="str">
        <f t="shared" si="22"/>
      </c>
      <c r="DV273" s="91" t="str">
        <f t="shared" si="22"/>
      </c>
      <c r="DW273" s="91" t="str">
        <f t="shared" si="22"/>
      </c>
      <c r="DX273" s="91" t="str">
        <f t="shared" si="22"/>
      </c>
      <c r="DY273" s="91" t="str">
        <f t="shared" si="22"/>
      </c>
      <c r="DZ273" s="91" t="str">
        <f t="shared" si="22"/>
      </c>
      <c r="EA273" s="91" t="str">
        <f t="shared" si="22"/>
      </c>
      <c r="EB273" s="91" t="str">
        <f t="shared" si="22"/>
      </c>
      <c r="EC273" s="91" t="str">
        <f t="shared" si="22"/>
      </c>
      <c r="ED273" s="91" t="str">
        <f t="shared" si="22"/>
      </c>
      <c r="EE273" s="91" t="str">
        <f t="shared" si="22"/>
      </c>
      <c r="EF273" s="91" t="str">
        <f t="shared" si="22"/>
      </c>
      <c r="EG273" s="91" t="str">
        <f t="shared" si="22"/>
      </c>
      <c r="EH273" s="91" t="str">
        <f t="shared" si="22"/>
      </c>
      <c r="EI273" s="91" t="str">
        <f t="shared" si="22"/>
      </c>
      <c r="EJ273" s="91" t="str">
        <f t="shared" si="22"/>
      </c>
      <c r="EK273" s="91" t="str">
        <f t="shared" si="22"/>
      </c>
      <c r="EL273" s="91" t="str">
        <f t="shared" si="22"/>
      </c>
      <c r="EM273" s="91" t="str">
        <f t="shared" si="22"/>
      </c>
      <c r="EN273" s="91" t="str">
        <f t="shared" si="22"/>
      </c>
      <c r="EO273" s="91" t="str">
        <f t="shared" si="22"/>
      </c>
      <c r="EP273" s="91" t="str">
        <f t="shared" si="22"/>
      </c>
      <c r="EQ273" s="91" t="str">
        <f t="shared" si="22"/>
      </c>
      <c r="ER273" s="91" t="str">
        <f t="shared" si="22"/>
      </c>
      <c r="ES273" s="91" t="str">
        <f t="shared" si="22"/>
      </c>
      <c r="ET273" s="91" t="str">
        <f t="shared" si="22"/>
      </c>
      <c r="EU273" s="91" t="str">
        <f t="shared" si="22"/>
      </c>
      <c r="EV273" s="91" t="str">
        <f t="shared" si="22"/>
      </c>
      <c r="EW273" s="91" t="str">
        <f t="shared" si="22"/>
      </c>
      <c r="EX273" s="91" t="str">
        <f t="shared" si="22"/>
      </c>
      <c r="EY273" s="91" t="str">
        <f t="shared" si="22"/>
      </c>
      <c r="EZ273" s="91" t="str">
        <f t="shared" si="22"/>
      </c>
      <c r="FA273" s="91" t="str">
        <f ref="FA273:HL273" t="shared" si="23">IF(SUM(FA254:FA272)&lt;&gt;0,SUM(FA254:FA272),"")</f>
      </c>
      <c r="FB273" s="91" t="str">
        <f t="shared" si="23"/>
      </c>
      <c r="FC273" s="91" t="str">
        <f t="shared" si="23"/>
      </c>
      <c r="FD273" s="91" t="str">
        <f t="shared" si="23"/>
      </c>
      <c r="FE273" s="91" t="str">
        <f t="shared" si="23"/>
      </c>
      <c r="FF273" s="91" t="str">
        <f t="shared" si="23"/>
      </c>
      <c r="FG273" s="91" t="str">
        <f t="shared" si="23"/>
      </c>
      <c r="FH273" s="91" t="str">
        <f t="shared" si="23"/>
      </c>
      <c r="FI273" s="91" t="str">
        <f t="shared" si="23"/>
      </c>
      <c r="FJ273" s="91" t="str">
        <f t="shared" si="23"/>
      </c>
      <c r="FK273" s="91" t="str">
        <f t="shared" si="23"/>
      </c>
      <c r="FL273" s="91" t="str">
        <f t="shared" si="23"/>
      </c>
      <c r="FM273" s="91" t="str">
        <f t="shared" si="23"/>
      </c>
      <c r="FN273" s="91" t="str">
        <f t="shared" si="23"/>
      </c>
      <c r="FO273" s="91" t="str">
        <f t="shared" si="23"/>
      </c>
      <c r="FP273" s="91" t="str">
        <f t="shared" si="23"/>
      </c>
      <c r="FQ273" s="91" t="str">
        <f t="shared" si="23"/>
      </c>
      <c r="FR273" s="91" t="str">
        <f t="shared" si="23"/>
      </c>
      <c r="FS273" s="91" t="str">
        <f t="shared" si="23"/>
      </c>
      <c r="FT273" s="91" t="str">
        <f t="shared" si="23"/>
      </c>
      <c r="FU273" s="91" t="str">
        <f t="shared" si="23"/>
      </c>
      <c r="FV273" s="91" t="str">
        <f t="shared" si="23"/>
      </c>
      <c r="FW273" s="91" t="str">
        <f t="shared" si="23"/>
      </c>
      <c r="FX273" s="91" t="str">
        <f t="shared" si="23"/>
      </c>
      <c r="FY273" s="91" t="str">
        <f t="shared" si="23"/>
      </c>
      <c r="FZ273" s="91" t="str">
        <f t="shared" si="23"/>
      </c>
      <c r="GA273" s="91" t="str">
        <f t="shared" si="23"/>
      </c>
      <c r="GB273" s="91" t="str">
        <f t="shared" si="23"/>
      </c>
      <c r="GC273" s="91" t="str">
        <f t="shared" si="23"/>
      </c>
      <c r="GD273" s="91" t="str">
        <f t="shared" si="23"/>
      </c>
      <c r="GE273" s="91" t="str">
        <f t="shared" si="23"/>
      </c>
      <c r="GF273" s="91" t="str">
        <f t="shared" si="23"/>
      </c>
      <c r="GG273" s="91" t="str">
        <f t="shared" si="23"/>
      </c>
      <c r="GH273" s="91" t="str">
        <f t="shared" si="23"/>
      </c>
      <c r="GI273" s="91" t="str">
        <f t="shared" si="23"/>
      </c>
      <c r="GJ273" s="91" t="str">
        <f t="shared" si="23"/>
      </c>
      <c r="GK273" s="91" t="str">
        <f t="shared" si="23"/>
      </c>
      <c r="GL273" s="91" t="str">
        <f t="shared" si="23"/>
      </c>
      <c r="GM273" s="91" t="str">
        <f t="shared" si="23"/>
      </c>
      <c r="GN273" s="91" t="str">
        <f t="shared" si="23"/>
      </c>
      <c r="GO273" s="91" t="str">
        <f t="shared" si="23"/>
      </c>
      <c r="GP273" s="91" t="str">
        <f t="shared" si="23"/>
      </c>
      <c r="GQ273" s="91" t="str">
        <f t="shared" si="23"/>
      </c>
      <c r="GR273" s="91" t="str">
        <f t="shared" si="23"/>
      </c>
      <c r="GS273" s="91" t="str">
        <f t="shared" si="23"/>
      </c>
      <c r="GT273" s="91" t="str">
        <f t="shared" si="23"/>
      </c>
      <c r="GU273" s="91" t="str">
        <f t="shared" si="23"/>
      </c>
      <c r="GV273" s="91" t="str">
        <f t="shared" si="23"/>
      </c>
      <c r="GW273" s="91" t="str">
        <f t="shared" si="23"/>
      </c>
      <c r="GX273" s="91" t="str">
        <f t="shared" si="23"/>
      </c>
      <c r="GY273" s="91" t="str">
        <f t="shared" si="23"/>
      </c>
      <c r="GZ273" s="91" t="str">
        <f t="shared" si="23"/>
      </c>
      <c r="HA273" s="91" t="str">
        <f t="shared" si="23"/>
      </c>
      <c r="HB273" s="91" t="str">
        <f t="shared" si="23"/>
      </c>
      <c r="HC273" s="91" t="str">
        <f t="shared" si="23"/>
      </c>
      <c r="HD273" s="91" t="str">
        <f t="shared" si="23"/>
      </c>
      <c r="HE273" s="91" t="str">
        <f t="shared" si="23"/>
      </c>
      <c r="HF273" s="91" t="str">
        <f t="shared" si="23"/>
      </c>
      <c r="HG273" s="91" t="str">
        <f t="shared" si="23"/>
      </c>
      <c r="HH273" s="91" t="str">
        <f t="shared" si="23"/>
      </c>
      <c r="HI273" s="91" t="str">
        <f t="shared" si="23"/>
      </c>
      <c r="HJ273" s="91" t="str">
        <f t="shared" si="23"/>
      </c>
      <c r="HK273" s="91" t="str">
        <f t="shared" si="23"/>
      </c>
      <c r="HL273" s="91" t="str">
        <f t="shared" si="23"/>
      </c>
      <c r="HM273" s="91" t="str">
        <f ref="HM273:IV273" t="shared" si="24">IF(SUM(HM254:HM272)&lt;&gt;0,SUM(HM254:HM272),"")</f>
      </c>
      <c r="HN273" s="91" t="str">
        <f t="shared" si="24"/>
      </c>
      <c r="HO273" s="91" t="str">
        <f t="shared" si="24"/>
      </c>
      <c r="HP273" s="91" t="str">
        <f t="shared" si="24"/>
      </c>
      <c r="HQ273" s="91" t="str">
        <f t="shared" si="24"/>
      </c>
      <c r="HR273" s="91" t="str">
        <f t="shared" si="24"/>
      </c>
      <c r="HS273" s="91" t="str">
        <f t="shared" si="24"/>
      </c>
      <c r="HT273" s="91" t="str">
        <f t="shared" si="24"/>
      </c>
      <c r="HU273" s="91" t="str">
        <f t="shared" si="24"/>
      </c>
      <c r="HV273" s="91" t="str">
        <f t="shared" si="24"/>
      </c>
      <c r="HW273" s="91" t="str">
        <f t="shared" si="24"/>
      </c>
      <c r="HX273" s="91" t="str">
        <f t="shared" si="24"/>
      </c>
      <c r="HY273" s="91" t="str">
        <f t="shared" si="24"/>
      </c>
      <c r="HZ273" s="91" t="str">
        <f t="shared" si="24"/>
      </c>
      <c r="IA273" s="91" t="str">
        <f t="shared" si="24"/>
      </c>
      <c r="IB273" s="91" t="str">
        <f t="shared" si="24"/>
      </c>
      <c r="IC273" s="91" t="str">
        <f t="shared" si="24"/>
      </c>
      <c r="ID273" s="91" t="str">
        <f t="shared" si="24"/>
      </c>
      <c r="IE273" s="91" t="str">
        <f t="shared" si="24"/>
      </c>
      <c r="IF273" s="91" t="str">
        <f t="shared" si="24"/>
      </c>
      <c r="IG273" s="91" t="str">
        <f t="shared" si="24"/>
      </c>
      <c r="IH273" s="91" t="str">
        <f t="shared" si="24"/>
      </c>
      <c r="II273" s="91" t="str">
        <f t="shared" si="24"/>
      </c>
      <c r="IJ273" s="91" t="str">
        <f t="shared" si="24"/>
      </c>
      <c r="IK273" s="91" t="str">
        <f t="shared" si="24"/>
      </c>
      <c r="IL273" s="91" t="str">
        <f t="shared" si="24"/>
      </c>
      <c r="IM273" s="91" t="str">
        <f t="shared" si="24"/>
      </c>
      <c r="IN273" s="91" t="str">
        <f t="shared" si="24"/>
      </c>
      <c r="IO273" s="91" t="str">
        <f t="shared" si="24"/>
      </c>
      <c r="IP273" s="91" t="str">
        <f t="shared" si="24"/>
      </c>
      <c r="IQ273" s="91" t="str">
        <f t="shared" si="24"/>
      </c>
      <c r="IR273" s="91" t="str">
        <f t="shared" si="24"/>
      </c>
      <c r="IS273" s="91" t="str">
        <f t="shared" si="24"/>
      </c>
      <c r="IT273" s="91" t="str">
        <f t="shared" si="24"/>
      </c>
      <c r="IU273" s="91" t="str">
        <f t="shared" si="24"/>
      </c>
      <c r="IV273" s="91" t="str">
        <f t="shared" si="24"/>
      </c>
    </row>
    <row r="274" hidden="1" ht="13.5"/>
    <row r="275" hidden="1" ht="13.5">
      <c r="C275" s="686" t="s">
        <v>108</v>
      </c>
      <c r="D275" s="687"/>
      <c r="E275" s="687"/>
      <c r="F275" s="687"/>
      <c r="G275" s="687"/>
      <c r="H275" s="687"/>
      <c r="I275" s="687"/>
      <c r="J275" s="687"/>
      <c r="K275" s="687"/>
      <c r="L275" s="687"/>
      <c r="M275" s="687"/>
      <c r="N275" s="687"/>
      <c r="O275" s="687"/>
      <c r="P275" s="687"/>
      <c r="Q275" s="687"/>
      <c r="R275" s="687"/>
      <c r="S275" s="687"/>
      <c r="T275" s="687"/>
      <c r="U275" s="687"/>
      <c r="V275" s="687"/>
      <c r="W275" s="687"/>
      <c r="X275" s="687"/>
      <c r="Y275" s="687"/>
      <c r="Z275" s="687"/>
      <c r="AA275" s="687"/>
      <c r="AB275" s="688"/>
    </row>
    <row r="276" hidden="1" ht="15" customHeight="1">
      <c r="C276" s="435" t="str">
        <f> IF(C296&lt;&gt;"",TEXT(AUX!G$1,"dd-MMM-aa"),"")</f>
      </c>
      <c r="D276" s="435" t="str">
        <f> IF(D296&lt;&gt;"",TEXT(AUX!H$1,"dd-MMM-aa"),"")</f>
      </c>
      <c r="E276" s="435" t="str">
        <f> IF(E296&lt;&gt;"",TEXT(AUX!I$1,"dd-MMM-aa"),"")</f>
      </c>
      <c r="F276" s="435" t="str">
        <f> IF(F296&lt;&gt;"",TEXT(AUX!J$1,"dd-MMM-aa"),"")</f>
      </c>
      <c r="G276" s="435" t="str">
        <f> IF(G296&lt;&gt;"",TEXT(AUX!K$1,"dd-MMM-aa"),"")</f>
      </c>
      <c r="H276" s="435" t="str">
        <f> IF(H296&lt;&gt;"",TEXT(AUX!L$1,"dd-MMM-aa"),"")</f>
      </c>
      <c r="I276" s="435" t="str">
        <f> IF(I296&lt;&gt;"",TEXT(AUX!M$1,"dd-MMM-aa"),"")</f>
      </c>
      <c r="J276" s="435" t="str">
        <f> IF(J296&lt;&gt;"",TEXT(AUX!N$1,"dd-MMM-aa"),"")</f>
      </c>
      <c r="K276" s="435" t="str">
        <f> IF(K296&lt;&gt;"",TEXT(AUX!O$1,"dd-MMM-aa"),"")</f>
      </c>
      <c r="L276" s="435" t="str">
        <f> IF(L296&lt;&gt;"",TEXT(AUX!P$1,"dd-MMM-aa"),"")</f>
      </c>
      <c r="M276" s="435" t="str">
        <f> IF(M296&lt;&gt;"",TEXT(AUX!Q$1,"dd-MMM-aa"),"")</f>
      </c>
      <c r="N276" s="435" t="str">
        <f> IF(N296&lt;&gt;"",TEXT(AUX!R$1,"dd-MMM-aa"),"")</f>
      </c>
      <c r="O276" s="435" t="str">
        <f> IF(O296&lt;&gt;"",TEXT(AUX!S$1,"dd-MMM-aa"),"")</f>
      </c>
      <c r="P276" s="435" t="str">
        <f> IF(P296&lt;&gt;"",TEXT(AUX!T$1,"dd-MMM-aa"),"")</f>
      </c>
      <c r="Q276" s="435" t="str">
        <f> IF(Q296&lt;&gt;"",TEXT(AUX!U$1,"dd-MMM-aa"),"")</f>
      </c>
      <c r="R276" s="435" t="str">
        <f> IF(R296&lt;&gt;"",TEXT(AUX!V$1,"dd-MMM-aa"),"")</f>
      </c>
      <c r="S276" s="435" t="str">
        <f> IF(S296&lt;&gt;"",TEXT(AUX!W$1,"dd-MMM-aa"),"")</f>
      </c>
      <c r="T276" s="435" t="str">
        <f> IF(T296&lt;&gt;"",TEXT(AUX!X$1,"dd-MMM-aa"),"")</f>
      </c>
      <c r="U276" s="435" t="str">
        <f> IF(U296&lt;&gt;"",TEXT(AUX!Y$1,"dd-MMM-aa"),"")</f>
      </c>
      <c r="V276" s="435" t="str">
        <f> IF(V296&lt;&gt;"",TEXT(AUX!Z$1,"dd-MMM-aa"),"")</f>
      </c>
      <c r="W276" s="435" t="str">
        <f> IF(W296&lt;&gt;"",TEXT(AUX!AA$1,"dd-MMM-aa"),"")</f>
      </c>
      <c r="X276" s="435" t="str">
        <f> IF(X296&lt;&gt;"",TEXT(AUX!AB$1,"dd-MMM-aa"),"")</f>
      </c>
      <c r="Y276" s="435" t="str">
        <f> IF(Y296&lt;&gt;"",TEXT(AUX!AC$1,"dd-MMM-aa"),"")</f>
      </c>
      <c r="Z276" s="435" t="str">
        <f> IF(Z296&lt;&gt;"",TEXT(AUX!AD$1,"dd-MMM-aa"),"")</f>
      </c>
      <c r="AA276" s="435" t="str">
        <f> IF(AA296&lt;&gt;"",TEXT(AUX!AE$1,"dd-MMM-aa"),"")</f>
      </c>
      <c r="AB276" s="497" t="str">
        <f> IF(AB296&lt;&gt;"",TEXT(AUX!AF$1,"dd-MMM-aa"),"")</f>
      </c>
      <c r="AC276" s="496" t="str">
        <f> IF(AC296&lt;&gt;"",TEXT(AUX!AG$1,"dd-MMM-aa"),"")</f>
      </c>
      <c r="AD276" s="496" t="str">
        <f> IF(AD296&lt;&gt;"",TEXT(AUX!AH$1,"dd-MMM-aa"),"")</f>
      </c>
      <c r="AE276" s="496" t="str">
        <f> IF(AE296&lt;&gt;"",TEXT(AUX!AI$1,"dd-MMM-aa"),"")</f>
      </c>
      <c r="AF276" s="496" t="str">
        <f> IF(AF296&lt;&gt;"",TEXT(AUX!AJ$1,"dd-MMM-aa"),"")</f>
      </c>
      <c r="AG276" s="496" t="str">
        <f> IF(AG296&lt;&gt;"",TEXT(AUX!AK$1,"dd-MMM-aa"),"")</f>
      </c>
      <c r="AH276" s="496" t="str">
        <f> IF(AH296&lt;&gt;"",TEXT(AUX!AL$1,"dd-MMM-aa"),"")</f>
      </c>
      <c r="AI276" s="496" t="str">
        <f> IF(AI296&lt;&gt;"",TEXT(AUX!AM$1,"dd-MMM-aa"),"")</f>
      </c>
      <c r="AJ276" s="496" t="str">
        <f> IF(AJ296&lt;&gt;"",TEXT(AUX!AN$1,"dd-MMM-aa"),"")</f>
      </c>
      <c r="AK276" s="496" t="str">
        <f> IF(AK296&lt;&gt;"",TEXT(AUX!AO$1,"dd-MMM-aa"),"")</f>
      </c>
      <c r="AL276" s="496" t="str">
        <f> IF(AL296&lt;&gt;"",TEXT(AUX!AP$1,"dd-MMM-aa"),"")</f>
      </c>
      <c r="AM276" s="496" t="str">
        <f> IF(AM296&lt;&gt;"",TEXT(AUX!AQ$1,"dd-MMM-aa"),"")</f>
      </c>
      <c r="AN276" s="496" t="str">
        <f> IF(AN296&lt;&gt;"",TEXT(AUX!AR$1,"dd-MMM-aa"),"")</f>
      </c>
      <c r="AO276" s="496" t="str">
        <f> IF(AO296&lt;&gt;"",TEXT(AUX!AS$1,"dd-MMM-aa"),"")</f>
      </c>
      <c r="AP276" s="496" t="str">
        <f> IF(AP296&lt;&gt;"",TEXT(AUX!AT$1,"dd-MMM-aa"),"")</f>
      </c>
      <c r="AQ276" s="496" t="str">
        <f> IF(AQ296&lt;&gt;"",TEXT(AUX!AU$1,"dd-MMM-aa"),"")</f>
      </c>
      <c r="AR276" s="496" t="str">
        <f> IF(AR296&lt;&gt;"",TEXT(AUX!AV$1,"dd-MMM-aa"),"")</f>
      </c>
      <c r="AS276" s="496" t="str">
        <f> IF(AS296&lt;&gt;"",TEXT(AUX!AW$1,"dd-MMM-aa"),"")</f>
      </c>
      <c r="AT276" s="496" t="str">
        <f> IF(AT296&lt;&gt;"",TEXT(AUX!AX$1,"dd-MMM-aa"),"")</f>
      </c>
      <c r="AU276" s="496" t="str">
        <f> IF(AU296&lt;&gt;"",TEXT(AUX!AY$1,"dd-MMM-aa"),"")</f>
      </c>
      <c r="AV276" s="496" t="str">
        <f> IF(AV296&lt;&gt;"",TEXT(AUX!AZ$1,"dd-MMM-aa"),"")</f>
      </c>
      <c r="AW276" s="496" t="str">
        <f> IF(AW296&lt;&gt;"",TEXT(AUX!BA$1,"dd-MMM-aa"),"")</f>
      </c>
      <c r="AX276" s="496" t="str">
        <f> IF(AX296&lt;&gt;"",TEXT(AUX!BB$1,"dd-MMM-aa"),"")</f>
      </c>
      <c r="AY276" s="496" t="str">
        <f> IF(AY296&lt;&gt;"",TEXT(AUX!BC$1,"dd-MMM-aa"),"")</f>
      </c>
      <c r="AZ276" s="496" t="str">
        <f> IF(AZ296&lt;&gt;"",TEXT(AUX!BD$1,"dd-MMM-aa"),"")</f>
      </c>
      <c r="BA276" s="496" t="str">
        <f> IF(BA296&lt;&gt;"",TEXT(AUX!BE$1,"dd-MMM-aa"),"")</f>
      </c>
      <c r="BB276" s="496" t="str">
        <f> IF(BB296&lt;&gt;"",TEXT(AUX!BF$1,"dd-MMM-aa"),"")</f>
      </c>
      <c r="BC276" s="496" t="str">
        <f> IF(BC296&lt;&gt;"",TEXT(AUX!BG$1,"dd-MMM-aa"),"")</f>
      </c>
      <c r="BD276" s="496" t="str">
        <f> IF(BD296&lt;&gt;"",TEXT(AUX!BH$1,"dd-MMM-aa"),"")</f>
      </c>
      <c r="BE276" s="496" t="str">
        <f> IF(BE296&lt;&gt;"",TEXT(AUX!BI$1,"dd-MMM-aa"),"")</f>
      </c>
      <c r="BF276" s="496" t="str">
        <f> IF(BF296&lt;&gt;"",TEXT(AUX!BJ$1,"dd-MMM-aa"),"")</f>
      </c>
      <c r="BG276" s="496" t="str">
        <f> IF(BG296&lt;&gt;"",TEXT(AUX!BK$1,"dd-MMM-aa"),"")</f>
      </c>
      <c r="BH276" s="496" t="str">
        <f> IF(BH296&lt;&gt;"",TEXT(AUX!BL$1,"dd-MMM-aa"),"")</f>
      </c>
      <c r="BI276" s="496" t="str">
        <f> IF(BI296&lt;&gt;"",TEXT(AUX!BM$1,"dd-MMM-aa"),"")</f>
      </c>
      <c r="BJ276" s="496" t="str">
        <f> IF(BJ296&lt;&gt;"",TEXT(AUX!BN$1,"dd-MMM-aa"),"")</f>
      </c>
      <c r="BK276" s="496" t="str">
        <f> IF(BK296&lt;&gt;"",TEXT(AUX!BO$1,"dd-MMM-aa"),"")</f>
      </c>
      <c r="BL276" s="496" t="str">
        <f> IF(BL296&lt;&gt;"",TEXT(AUX!BP$1,"dd-MMM-aa"),"")</f>
      </c>
      <c r="BM276" s="496" t="str">
        <f> IF(BM296&lt;&gt;"",TEXT(AUX!BQ$1,"dd-MMM-aa"),"")</f>
      </c>
      <c r="BN276" s="496" t="str">
        <f> IF(BN296&lt;&gt;"",TEXT(AUX!BR$1,"dd-MMM-aa"),"")</f>
      </c>
      <c r="BO276" s="496" t="str">
        <f> IF(BO296&lt;&gt;"",TEXT(AUX!BS$1,"dd-MMM-aa"),"")</f>
      </c>
      <c r="BP276" s="496" t="str">
        <f> IF(BP296&lt;&gt;"",TEXT(AUX!BT$1,"dd-MMM-aa"),"")</f>
      </c>
      <c r="BQ276" s="496" t="str">
        <f> IF(BQ296&lt;&gt;"",TEXT(AUX!BU$1,"dd-MMM-aa"),"")</f>
      </c>
      <c r="BR276" s="496" t="str">
        <f> IF(BR296&lt;&gt;"",TEXT(AUX!BV$1,"dd-MMM-aa"),"")</f>
      </c>
      <c r="BS276" s="496" t="str">
        <f> IF(BS296&lt;&gt;"",TEXT(AUX!BW$1,"dd-MMM-aa"),"")</f>
      </c>
      <c r="BT276" s="496" t="str">
        <f> IF(BT296&lt;&gt;"",TEXT(AUX!BX$1,"dd-MMM-aa"),"")</f>
      </c>
      <c r="BU276" s="496" t="str">
        <f> IF(BU296&lt;&gt;"",TEXT(AUX!BY$1,"dd-MMM-aa"),"")</f>
      </c>
      <c r="BV276" s="496" t="str">
        <f> IF(BV296&lt;&gt;"",TEXT(AUX!BZ$1,"dd-MMM-aa"),"")</f>
      </c>
      <c r="BW276" s="496" t="str">
        <f> IF(BW296&lt;&gt;"",TEXT(AUX!CA$1,"dd-MMM-aa"),"")</f>
      </c>
      <c r="BX276" s="496" t="str">
        <f> IF(BX296&lt;&gt;"",TEXT(AUX!CB$1,"dd-MMM-aa"),"")</f>
      </c>
      <c r="BY276" s="496" t="str">
        <f> IF(BY296&lt;&gt;"",TEXT(AUX!CC$1,"dd-MMM-aa"),"")</f>
      </c>
      <c r="BZ276" s="496" t="str">
        <f> IF(BZ296&lt;&gt;"",TEXT(AUX!CD$1,"dd-MMM-aa"),"")</f>
      </c>
      <c r="CA276" s="496" t="str">
        <f> IF(CA296&lt;&gt;"",TEXT(AUX!CE$1,"dd-MMM-aa"),"")</f>
      </c>
      <c r="CB276" s="496" t="str">
        <f> IF(CB296&lt;&gt;"",TEXT(AUX!CF$1,"dd-MMM-aa"),"")</f>
      </c>
      <c r="CC276" s="496" t="str">
        <f> IF(CC296&lt;&gt;"",TEXT(AUX!CG$1,"dd-MMM-aa"),"")</f>
      </c>
      <c r="CD276" s="496" t="str">
        <f> IF(CD296&lt;&gt;"",TEXT(AUX!CH$1,"dd-MMM-aa"),"")</f>
      </c>
      <c r="CE276" s="496" t="str">
        <f> IF(CE296&lt;&gt;"",TEXT(AUX!CI$1,"dd-MMM-aa"),"")</f>
      </c>
      <c r="CF276" s="496" t="str">
        <f> IF(CF296&lt;&gt;"",TEXT(AUX!CJ$1,"dd-MMM-aa"),"")</f>
      </c>
      <c r="CG276" s="496" t="str">
        <f> IF(CG296&lt;&gt;"",TEXT(AUX!CK$1,"dd-MMM-aa"),"")</f>
      </c>
      <c r="CH276" s="496" t="str">
        <f> IF(CH296&lt;&gt;"",TEXT(AUX!CL$1,"dd-MMM-aa"),"")</f>
      </c>
      <c r="CI276" s="496" t="str">
        <f> IF(CI296&lt;&gt;"",TEXT(AUX!CM$1,"dd-MMM-aa"),"")</f>
      </c>
      <c r="CJ276" s="496" t="str">
        <f> IF(CJ296&lt;&gt;"",TEXT(AUX!CN$1,"dd-MMM-aa"),"")</f>
      </c>
      <c r="CK276" s="496" t="str">
        <f> IF(CK296&lt;&gt;"",TEXT(AUX!CO$1,"dd-MMM-aa"),"")</f>
      </c>
      <c r="CL276" s="496" t="str">
        <f> IF(CL296&lt;&gt;"",TEXT(AUX!CP$1,"dd-MMM-aa"),"")</f>
      </c>
      <c r="CM276" s="496" t="str">
        <f> IF(CM296&lt;&gt;"",TEXT(AUX!CQ$1,"dd-MMM-aa"),"")</f>
      </c>
      <c r="CN276" s="496" t="str">
        <f> IF(CN296&lt;&gt;"",TEXT(AUX!CR$1,"dd-MMM-aa"),"")</f>
      </c>
      <c r="CO276" s="496" t="str">
        <f> IF(CO296&lt;&gt;"",TEXT(AUX!CS$1,"dd-MMM-aa"),"")</f>
      </c>
      <c r="CP276" s="496" t="str">
        <f> IF(CP296&lt;&gt;"",TEXT(AUX!CT$1,"dd-MMM-aa"),"")</f>
      </c>
      <c r="CQ276" s="496" t="str">
        <f> IF(CQ296&lt;&gt;"",TEXT(AUX!CU$1,"dd-MMM-aa"),"")</f>
      </c>
      <c r="CR276" s="496" t="str">
        <f> IF(CR296&lt;&gt;"",TEXT(AUX!CV$1,"dd-MMM-aa"),"")</f>
      </c>
      <c r="CS276" s="496" t="str">
        <f> IF(CS296&lt;&gt;"",TEXT(AUX!CW$1,"dd-MMM-aa"),"")</f>
      </c>
      <c r="CT276" s="496" t="str">
        <f> IF(CT296&lt;&gt;"",TEXT(AUX!CX$1,"dd-MMM-aa"),"")</f>
      </c>
      <c r="CU276" s="496" t="str">
        <f> IF(CU296&lt;&gt;"",TEXT(AUX!CY$1,"dd-MMM-aa"),"")</f>
      </c>
      <c r="CV276" s="496" t="str">
        <f> IF(CV296&lt;&gt;"",TEXT(AUX!CZ$1,"dd-MMM-aa"),"")</f>
      </c>
      <c r="CW276" s="496" t="str">
        <f> IF(CW296&lt;&gt;"",TEXT(AUX!DA$1,"dd-MMM-aa"),"")</f>
      </c>
      <c r="CX276" s="496" t="str">
        <f> IF(CX296&lt;&gt;"",TEXT(AUX!DB$1,"dd-MMM-aa"),"")</f>
      </c>
      <c r="CY276" s="496" t="str">
        <f> IF(CY296&lt;&gt;"",TEXT(AUX!DC$1,"dd-MMM-aa"),"")</f>
      </c>
      <c r="CZ276" s="496" t="str">
        <f> IF(CZ296&lt;&gt;"",TEXT(AUX!DD$1,"dd-MMM-aa"),"")</f>
      </c>
      <c r="DA276" s="496" t="str">
        <f> IF(DA296&lt;&gt;"",TEXT(AUX!DE$1,"dd-MMM-aa"),"")</f>
      </c>
      <c r="DB276" s="496" t="str">
        <f> IF(DB296&lt;&gt;"",TEXT(AUX!DF$1,"dd-MMM-aa"),"")</f>
      </c>
      <c r="DC276" s="496" t="str">
        <f> IF(DC296&lt;&gt;"",TEXT(AUX!DG$1,"dd-MMM-aa"),"")</f>
      </c>
      <c r="DD276" s="496" t="str">
        <f> IF(DD296&lt;&gt;"",TEXT(AUX!DH$1,"dd-MMM-aa"),"")</f>
      </c>
      <c r="DE276" s="496" t="str">
        <f> IF(DE296&lt;&gt;"",TEXT(AUX!DI$1,"dd-MMM-aa"),"")</f>
      </c>
      <c r="DF276" s="496" t="str">
        <f> IF(DF296&lt;&gt;"",TEXT(AUX!DJ$1,"dd-MMM-aa"),"")</f>
      </c>
      <c r="DG276" s="496" t="str">
        <f> IF(DG296&lt;&gt;"",TEXT(AUX!DK$1,"dd-MMM-aa"),"")</f>
      </c>
      <c r="DH276" s="496" t="str">
        <f> IF(DH296&lt;&gt;"",TEXT(AUX!DL$1,"dd-MMM-aa"),"")</f>
      </c>
      <c r="DI276" s="496" t="str">
        <f> IF(DI296&lt;&gt;"",TEXT(AUX!DM$1,"dd-MMM-aa"),"")</f>
      </c>
      <c r="DJ276" s="496" t="str">
        <f> IF(DJ296&lt;&gt;"",TEXT(AUX!DN$1,"dd-MMM-aa"),"")</f>
      </c>
      <c r="DK276" s="496" t="str">
        <f> IF(DK296&lt;&gt;"",TEXT(AUX!DO$1,"dd-MMM-aa"),"")</f>
      </c>
      <c r="DL276" s="496" t="str">
        <f> IF(DL296&lt;&gt;"",TEXT(AUX!DP$1,"dd-MMM-aa"),"")</f>
      </c>
      <c r="DM276" s="496" t="str">
        <f> IF(DM296&lt;&gt;"",TEXT(AUX!DQ$1,"dd-MMM-aa"),"")</f>
      </c>
      <c r="DN276" s="496" t="str">
        <f> IF(DN296&lt;&gt;"",TEXT(AUX!DR$1,"dd-MMM-aa"),"")</f>
      </c>
      <c r="DO276" s="496" t="str">
        <f> IF(DO296&lt;&gt;"",TEXT(AUX!DS$1,"dd-MMM-aa"),"")</f>
      </c>
      <c r="DP276" s="496" t="str">
        <f> IF(DP296&lt;&gt;"",TEXT(AUX!DT$1,"dd-MMM-aa"),"")</f>
      </c>
      <c r="DQ276" s="496" t="str">
        <f> IF(DQ296&lt;&gt;"",TEXT(AUX!DU$1,"dd-MMM-aa"),"")</f>
      </c>
      <c r="DR276" s="496" t="str">
        <f> IF(DR296&lt;&gt;"",TEXT(AUX!DV$1,"dd-MMM-aa"),"")</f>
      </c>
      <c r="DS276" s="496" t="str">
        <f> IF(DS296&lt;&gt;"",TEXT(AUX!DW$1,"dd-MMM-aa"),"")</f>
      </c>
      <c r="DT276" s="496" t="str">
        <f> IF(DT296&lt;&gt;"",TEXT(AUX!DX$1,"dd-MMM-aa"),"")</f>
      </c>
      <c r="DU276" s="496" t="str">
        <f> IF(DU296&lt;&gt;"",TEXT(AUX!DY$1,"dd-MMM-aa"),"")</f>
      </c>
      <c r="DV276" s="496" t="str">
        <f> IF(DV296&lt;&gt;"",TEXT(AUX!DZ$1,"dd-MMM-aa"),"")</f>
      </c>
      <c r="DW276" s="496" t="str">
        <f> IF(DW296&lt;&gt;"",TEXT(AUX!EA$1,"dd-MMM-aa"),"")</f>
      </c>
      <c r="DX276" s="496" t="str">
        <f> IF(DX296&lt;&gt;"",TEXT(AUX!EB$1,"dd-MMM-aa"),"")</f>
      </c>
      <c r="DY276" s="496" t="str">
        <f> IF(DY296&lt;&gt;"",TEXT(AUX!EC$1,"dd-MMM-aa"),"")</f>
      </c>
      <c r="DZ276" s="496" t="str">
        <f> IF(DZ296&lt;&gt;"",TEXT(AUX!ED$1,"dd-MMM-aa"),"")</f>
      </c>
      <c r="EA276" s="496" t="str">
        <f> IF(EA296&lt;&gt;"",TEXT(AUX!EE$1,"dd-MMM-aa"),"")</f>
      </c>
      <c r="EB276" s="496" t="str">
        <f> IF(EB296&lt;&gt;"",TEXT(AUX!EF$1,"dd-MMM-aa"),"")</f>
      </c>
      <c r="EC276" s="496" t="str">
        <f> IF(EC296&lt;&gt;"",TEXT(AUX!EG$1,"dd-MMM-aa"),"")</f>
      </c>
      <c r="ED276" s="496" t="str">
        <f> IF(ED296&lt;&gt;"",TEXT(AUX!EH$1,"dd-MMM-aa"),"")</f>
      </c>
      <c r="EE276" s="496" t="str">
        <f> IF(EE296&lt;&gt;"",TEXT(AUX!EI$1,"dd-MMM-aa"),"")</f>
      </c>
      <c r="EF276" s="496" t="str">
        <f> IF(EF296&lt;&gt;"",TEXT(AUX!EJ$1,"dd-MMM-aa"),"")</f>
      </c>
      <c r="EG276" s="496" t="str">
        <f> IF(EG296&lt;&gt;"",TEXT(AUX!EK$1,"dd-MMM-aa"),"")</f>
      </c>
      <c r="EH276" s="496" t="str">
        <f> IF(EH296&lt;&gt;"",TEXT(AUX!EL$1,"dd-MMM-aa"),"")</f>
      </c>
      <c r="EI276" s="496" t="str">
        <f> IF(EI296&lt;&gt;"",TEXT(AUX!EM$1,"dd-MMM-aa"),"")</f>
      </c>
      <c r="EJ276" s="496" t="str">
        <f> IF(EJ296&lt;&gt;"",TEXT(AUX!EN$1,"dd-MMM-aa"),"")</f>
      </c>
      <c r="EK276" s="496" t="str">
        <f> IF(EK296&lt;&gt;"",TEXT(AUX!EO$1,"dd-MMM-aa"),"")</f>
      </c>
      <c r="EL276" s="496" t="str">
        <f> IF(EL296&lt;&gt;"",TEXT(AUX!EP$1,"dd-MMM-aa"),"")</f>
      </c>
      <c r="EM276" s="496" t="str">
        <f> IF(EM296&lt;&gt;"",TEXT(AUX!EQ$1,"dd-MMM-aa"),"")</f>
      </c>
      <c r="EN276" s="496" t="str">
        <f> IF(EN296&lt;&gt;"",TEXT(AUX!ER$1,"dd-MMM-aa"),"")</f>
      </c>
      <c r="EO276" s="496" t="str">
        <f> IF(EO296&lt;&gt;"",TEXT(AUX!ES$1,"dd-MMM-aa"),"")</f>
      </c>
      <c r="EP276" s="496" t="str">
        <f> IF(EP296&lt;&gt;"",TEXT(AUX!ET$1,"dd-MMM-aa"),"")</f>
      </c>
      <c r="EQ276" s="496" t="str">
        <f> IF(EQ296&lt;&gt;"",TEXT(AUX!EU$1,"dd-MMM-aa"),"")</f>
      </c>
      <c r="ER276" s="496" t="str">
        <f> IF(ER296&lt;&gt;"",TEXT(AUX!EV$1,"dd-MMM-aa"),"")</f>
      </c>
      <c r="ES276" s="496" t="str">
        <f> IF(ES296&lt;&gt;"",TEXT(AUX!EW$1,"dd-MMM-aa"),"")</f>
      </c>
      <c r="ET276" s="496" t="str">
        <f> IF(ET296&lt;&gt;"",TEXT(AUX!EX$1,"dd-MMM-aa"),"")</f>
      </c>
      <c r="EU276" s="496" t="str">
        <f> IF(EU296&lt;&gt;"",TEXT(AUX!EY$1,"dd-MMM-aa"),"")</f>
      </c>
      <c r="EV276" s="496" t="str">
        <f> IF(EV296&lt;&gt;"",TEXT(AUX!EZ$1,"dd-MMM-aa"),"")</f>
      </c>
      <c r="EW276" s="496" t="str">
        <f> IF(EW296&lt;&gt;"",TEXT(AUX!FA$1,"dd-MMM-aa"),"")</f>
      </c>
      <c r="EX276" s="496" t="str">
        <f> IF(EX296&lt;&gt;"",TEXT(AUX!FB$1,"dd-MMM-aa"),"")</f>
      </c>
      <c r="EY276" s="496" t="str">
        <f> IF(EY296&lt;&gt;"",TEXT(AUX!FC$1,"dd-MMM-aa"),"")</f>
      </c>
      <c r="EZ276" s="496" t="str">
        <f> IF(EZ296&lt;&gt;"",TEXT(AUX!FD$1,"dd-MMM-aa"),"")</f>
      </c>
      <c r="FA276" s="496" t="str">
        <f> IF(FA296&lt;&gt;"",TEXT(AUX!FE$1,"dd-MMM-aa"),"")</f>
      </c>
      <c r="FB276" s="496" t="str">
        <f> IF(FB296&lt;&gt;"",TEXT(AUX!FF$1,"dd-MMM-aa"),"")</f>
      </c>
      <c r="FC276" s="496" t="str">
        <f> IF(FC296&lt;&gt;"",TEXT(AUX!FG$1,"dd-MMM-aa"),"")</f>
      </c>
      <c r="FD276" s="496" t="str">
        <f> IF(FD296&lt;&gt;"",TEXT(AUX!FH$1,"dd-MMM-aa"),"")</f>
      </c>
      <c r="FE276" s="496" t="str">
        <f> IF(FE296&lt;&gt;"",TEXT(AUX!FI$1,"dd-MMM-aa"),"")</f>
      </c>
      <c r="FF276" s="496" t="str">
        <f> IF(FF296&lt;&gt;"",TEXT(AUX!FJ$1,"dd-MMM-aa"),"")</f>
      </c>
      <c r="FG276" s="496" t="str">
        <f> IF(FG296&lt;&gt;"",TEXT(AUX!FK$1,"dd-MMM-aa"),"")</f>
      </c>
      <c r="FH276" s="496" t="str">
        <f> IF(FH296&lt;&gt;"",TEXT(AUX!FL$1,"dd-MMM-aa"),"")</f>
      </c>
      <c r="FI276" s="496" t="str">
        <f> IF(FI296&lt;&gt;"",TEXT(AUX!FM$1,"dd-MMM-aa"),"")</f>
      </c>
      <c r="FJ276" s="496" t="str">
        <f> IF(FJ296&lt;&gt;"",TEXT(AUX!FN$1,"dd-MMM-aa"),"")</f>
      </c>
      <c r="FK276" s="496" t="str">
        <f> IF(FK296&lt;&gt;"",TEXT(AUX!FO$1,"dd-MMM-aa"),"")</f>
      </c>
      <c r="FL276" s="496" t="str">
        <f> IF(FL296&lt;&gt;"",TEXT(AUX!FP$1,"dd-MMM-aa"),"")</f>
      </c>
      <c r="FM276" s="496" t="str">
        <f> IF(FM296&lt;&gt;"",TEXT(AUX!FQ$1,"dd-MMM-aa"),"")</f>
      </c>
      <c r="FN276" s="496" t="str">
        <f> IF(FN296&lt;&gt;"",TEXT(AUX!FR$1,"dd-MMM-aa"),"")</f>
      </c>
      <c r="FO276" s="496" t="str">
        <f> IF(FO296&lt;&gt;"",TEXT(AUX!FS$1,"dd-MMM-aa"),"")</f>
      </c>
      <c r="FP276" s="496" t="str">
        <f> IF(FP296&lt;&gt;"",TEXT(AUX!FT$1,"dd-MMM-aa"),"")</f>
      </c>
      <c r="FQ276" s="496" t="str">
        <f> IF(FQ296&lt;&gt;"",TEXT(AUX!FU$1,"dd-MMM-aa"),"")</f>
      </c>
      <c r="FR276" s="496" t="str">
        <f> IF(FR296&lt;&gt;"",TEXT(AUX!FV$1,"dd-MMM-aa"),"")</f>
      </c>
      <c r="FS276" s="496" t="str">
        <f> IF(FS296&lt;&gt;"",TEXT(AUX!FW$1,"dd-MMM-aa"),"")</f>
      </c>
      <c r="FT276" s="496" t="str">
        <f> IF(FT296&lt;&gt;"",TEXT(AUX!FX$1,"dd-MMM-aa"),"")</f>
      </c>
      <c r="FU276" s="496" t="str">
        <f> IF(FU296&lt;&gt;"",TEXT(AUX!FY$1,"dd-MMM-aa"),"")</f>
      </c>
      <c r="FV276" s="496" t="str">
        <f> IF(FV296&lt;&gt;"",TEXT(AUX!FZ$1,"dd-MMM-aa"),"")</f>
      </c>
      <c r="FW276" s="496" t="str">
        <f> IF(FW296&lt;&gt;"",TEXT(AUX!GA$1,"dd-MMM-aa"),"")</f>
      </c>
      <c r="FX276" s="496" t="str">
        <f> IF(FX296&lt;&gt;"",TEXT(AUX!GB$1,"dd-MMM-aa"),"")</f>
      </c>
      <c r="FY276" s="496" t="str">
        <f> IF(FY296&lt;&gt;"",TEXT(AUX!GC$1,"dd-MMM-aa"),"")</f>
      </c>
      <c r="FZ276" s="496" t="str">
        <f> IF(FZ296&lt;&gt;"",TEXT(AUX!GD$1,"dd-MMM-aa"),"")</f>
      </c>
      <c r="GA276" s="496" t="str">
        <f> IF(GA296&lt;&gt;"",TEXT(AUX!GE$1,"dd-MMM-aa"),"")</f>
      </c>
      <c r="GB276" s="496" t="str">
        <f> IF(GB296&lt;&gt;"",TEXT(AUX!GF$1,"dd-MMM-aa"),"")</f>
      </c>
      <c r="GC276" s="496" t="str">
        <f> IF(GC296&lt;&gt;"",TEXT(AUX!GG$1,"dd-MMM-aa"),"")</f>
      </c>
      <c r="GD276" s="496" t="str">
        <f> IF(GD296&lt;&gt;"",TEXT(AUX!GH$1,"dd-MMM-aa"),"")</f>
      </c>
      <c r="GE276" s="496" t="str">
        <f> IF(GE296&lt;&gt;"",TEXT(AUX!GI$1,"dd-MMM-aa"),"")</f>
      </c>
      <c r="GF276" s="496" t="str">
        <f> IF(GF296&lt;&gt;"",TEXT(AUX!GJ$1,"dd-MMM-aa"),"")</f>
      </c>
      <c r="GG276" s="496" t="str">
        <f> IF(GG296&lt;&gt;"",TEXT(AUX!GK$1,"dd-MMM-aa"),"")</f>
      </c>
      <c r="GH276" s="496" t="str">
        <f> IF(GH296&lt;&gt;"",TEXT(AUX!GL$1,"dd-MMM-aa"),"")</f>
      </c>
      <c r="GI276" s="496" t="str">
        <f> IF(GI296&lt;&gt;"",TEXT(AUX!GM$1,"dd-MMM-aa"),"")</f>
      </c>
      <c r="GJ276" s="496" t="str">
        <f> IF(GJ296&lt;&gt;"",TEXT(AUX!GN$1,"dd-MMM-aa"),"")</f>
      </c>
      <c r="GK276" s="496" t="str">
        <f> IF(GK296&lt;&gt;"",TEXT(AUX!GO$1,"dd-MMM-aa"),"")</f>
      </c>
      <c r="GL276" s="496" t="str">
        <f> IF(GL296&lt;&gt;"",TEXT(AUX!GP$1,"dd-MMM-aa"),"")</f>
      </c>
      <c r="GM276" s="496" t="str">
        <f> IF(GM296&lt;&gt;"",TEXT(AUX!GQ$1,"dd-MMM-aa"),"")</f>
      </c>
      <c r="GN276" s="496" t="str">
        <f> IF(GN296&lt;&gt;"",TEXT(AUX!GR$1,"dd-MMM-aa"),"")</f>
      </c>
      <c r="GO276" s="496" t="str">
        <f> IF(GO296&lt;&gt;"",TEXT(AUX!GS$1,"dd-MMM-aa"),"")</f>
      </c>
      <c r="GP276" s="496" t="str">
        <f> IF(GP296&lt;&gt;"",TEXT(AUX!GT$1,"dd-MMM-aa"),"")</f>
      </c>
      <c r="GQ276" s="496" t="str">
        <f> IF(GQ296&lt;&gt;"",TEXT(AUX!GU$1,"dd-MMM-aa"),"")</f>
      </c>
      <c r="GR276" s="496" t="str">
        <f> IF(GR296&lt;&gt;"",TEXT(AUX!GV$1,"dd-MMM-aa"),"")</f>
      </c>
      <c r="GS276" s="496" t="str">
        <f> IF(GS296&lt;&gt;"",TEXT(AUX!GW$1,"dd-MMM-aa"),"")</f>
      </c>
      <c r="GT276" s="496" t="str">
        <f> IF(GT296&lt;&gt;"",TEXT(AUX!GX$1,"dd-MMM-aa"),"")</f>
      </c>
      <c r="GU276" s="496" t="str">
        <f> IF(GU296&lt;&gt;"",TEXT(AUX!GY$1,"dd-MMM-aa"),"")</f>
      </c>
      <c r="GV276" s="496" t="str">
        <f> IF(GV296&lt;&gt;"",TEXT(AUX!GZ$1,"dd-MMM-aa"),"")</f>
      </c>
      <c r="GW276" s="496" t="str">
        <f> IF(GW296&lt;&gt;"",TEXT(AUX!HA$1,"dd-MMM-aa"),"")</f>
      </c>
      <c r="GX276" s="496" t="str">
        <f> IF(GX296&lt;&gt;"",TEXT(AUX!HB$1,"dd-MMM-aa"),"")</f>
      </c>
      <c r="GY276" s="496" t="str">
        <f> IF(GY296&lt;&gt;"",TEXT(AUX!HC$1,"dd-MMM-aa"),"")</f>
      </c>
      <c r="GZ276" s="496" t="str">
        <f> IF(GZ296&lt;&gt;"",TEXT(AUX!HD$1,"dd-MMM-aa"),"")</f>
      </c>
      <c r="HA276" s="496" t="str">
        <f> IF(HA296&lt;&gt;"",TEXT(AUX!HE$1,"dd-MMM-aa"),"")</f>
      </c>
      <c r="HB276" s="496" t="str">
        <f> IF(HB296&lt;&gt;"",TEXT(AUX!HF$1,"dd-MMM-aa"),"")</f>
      </c>
      <c r="HC276" s="496" t="str">
        <f> IF(HC296&lt;&gt;"",TEXT(AUX!HG$1,"dd-MMM-aa"),"")</f>
      </c>
      <c r="HD276" s="496" t="str">
        <f> IF(HD296&lt;&gt;"",TEXT(AUX!HH$1,"dd-MMM-aa"),"")</f>
      </c>
      <c r="HE276" s="496" t="str">
        <f> IF(HE296&lt;&gt;"",TEXT(AUX!HI$1,"dd-MMM-aa"),"")</f>
      </c>
      <c r="HF276" s="496" t="str">
        <f> IF(HF296&lt;&gt;"",TEXT(AUX!HJ$1,"dd-MMM-aa"),"")</f>
      </c>
      <c r="HG276" s="496" t="str">
        <f> IF(HG296&lt;&gt;"",TEXT(AUX!HK$1,"dd-MMM-aa"),"")</f>
      </c>
      <c r="HH276" s="496" t="str">
        <f> IF(HH296&lt;&gt;"",TEXT(AUX!HL$1,"dd-MMM-aa"),"")</f>
      </c>
      <c r="HI276" s="496" t="str">
        <f> IF(HI296&lt;&gt;"",TEXT(AUX!HM$1,"dd-MMM-aa"),"")</f>
      </c>
      <c r="HJ276" s="496" t="str">
        <f> IF(HJ296&lt;&gt;"",TEXT(AUX!HN$1,"dd-MMM-aa"),"")</f>
      </c>
      <c r="HK276" s="496" t="str">
        <f> IF(HK296&lt;&gt;"",TEXT(AUX!HO$1,"dd-MMM-aa"),"")</f>
      </c>
      <c r="HL276" s="496" t="str">
        <f> IF(HL296&lt;&gt;"",TEXT(AUX!HP$1,"dd-MMM-aa"),"")</f>
      </c>
      <c r="HM276" s="496" t="str">
        <f> IF(HM296&lt;&gt;"",TEXT(AUX!HQ$1,"dd-MMM-aa"),"")</f>
      </c>
      <c r="HN276" s="496" t="str">
        <f> IF(HN296&lt;&gt;"",TEXT(AUX!HR$1,"dd-MMM-aa"),"")</f>
      </c>
      <c r="HO276" s="496" t="str">
        <f> IF(HO296&lt;&gt;"",TEXT(AUX!HS$1,"dd-MMM-aa"),"")</f>
      </c>
      <c r="HP276" s="496" t="str">
        <f> IF(HP296&lt;&gt;"",TEXT(AUX!HT$1,"dd-MMM-aa"),"")</f>
      </c>
      <c r="HQ276" s="496" t="str">
        <f> IF(HQ296&lt;&gt;"",TEXT(AUX!HU$1,"dd-MMM-aa"),"")</f>
      </c>
      <c r="HR276" s="496" t="str">
        <f> IF(HR296&lt;&gt;"",TEXT(AUX!HV$1,"dd-MMM-aa"),"")</f>
      </c>
      <c r="HS276" s="496" t="str">
        <f> IF(HS296&lt;&gt;"",TEXT(AUX!HW$1,"dd-MMM-aa"),"")</f>
      </c>
      <c r="HT276" s="496" t="str">
        <f> IF(HT296&lt;&gt;"",TEXT(AUX!HX$1,"dd-MMM-aa"),"")</f>
      </c>
      <c r="HU276" s="496" t="str">
        <f> IF(HU296&lt;&gt;"",TEXT(AUX!HY$1,"dd-MMM-aa"),"")</f>
      </c>
      <c r="HV276" s="496" t="str">
        <f> IF(HV296&lt;&gt;"",TEXT(AUX!HZ$1,"dd-MMM-aa"),"")</f>
      </c>
      <c r="HW276" s="496" t="str">
        <f> IF(HW296&lt;&gt;"",TEXT(AUX!IA$1,"dd-MMM-aa"),"")</f>
      </c>
      <c r="HX276" s="496" t="str">
        <f> IF(HX296&lt;&gt;"",TEXT(AUX!IB$1,"dd-MMM-aa"),"")</f>
      </c>
      <c r="HY276" s="496" t="str">
        <f> IF(HY296&lt;&gt;"",TEXT(AUX!IC$1,"dd-MMM-aa"),"")</f>
      </c>
      <c r="HZ276" s="496" t="str">
        <f> IF(HZ296&lt;&gt;"",TEXT(AUX!ID$1,"dd-MMM-aa"),"")</f>
      </c>
      <c r="IA276" s="496" t="str">
        <f> IF(IA296&lt;&gt;"",TEXT(AUX!IE$1,"dd-MMM-aa"),"")</f>
      </c>
      <c r="IB276" s="496" t="str">
        <f> IF(IB296&lt;&gt;"",TEXT(AUX!IF$1,"dd-MMM-aa"),"")</f>
      </c>
      <c r="IC276" s="496" t="str">
        <f> IF(IC296&lt;&gt;"",TEXT(AUX!IG$1,"dd-MMM-aa"),"")</f>
      </c>
      <c r="ID276" s="496" t="str">
        <f> IF(ID296&lt;&gt;"",TEXT(AUX!IH$1,"dd-MMM-aa"),"")</f>
      </c>
      <c r="IE276" s="496" t="str">
        <f> IF(IE296&lt;&gt;"",TEXT(AUX!II$1,"dd-MMM-aa"),"")</f>
      </c>
      <c r="IF276" s="496" t="str">
        <f> IF(IF296&lt;&gt;"",TEXT(AUX!IJ$1,"dd-MMM-aa"),"")</f>
      </c>
      <c r="IG276" s="496" t="str">
        <f> IF(IG296&lt;&gt;"",TEXT(AUX!IK$1,"dd-MMM-aa"),"")</f>
      </c>
      <c r="IH276" s="496" t="str">
        <f> IF(IH296&lt;&gt;"",TEXT(AUX!IL$1,"dd-MMM-aa"),"")</f>
      </c>
      <c r="II276" s="496" t="str">
        <f> IF(II296&lt;&gt;"",TEXT(AUX!IM$1,"dd-MMM-aa"),"")</f>
      </c>
      <c r="IJ276" s="496" t="str">
        <f> IF(IJ296&lt;&gt;"",TEXT(AUX!IN$1,"dd-MMM-aa"),"")</f>
      </c>
      <c r="IK276" s="496" t="str">
        <f> IF(IK296&lt;&gt;"",TEXT(AUX!IO$1,"dd-MMM-aa"),"")</f>
      </c>
      <c r="IL276" s="496" t="str">
        <f> IF(IL296&lt;&gt;"",TEXT(AUX!IP$1,"dd-MMM-aa"),"")</f>
      </c>
      <c r="IM276" s="496" t="str">
        <f> IF(IM296&lt;&gt;"",TEXT(AUX!IQ$1,"dd-MMM-aa"),"")</f>
      </c>
      <c r="IN276" s="496" t="str">
        <f> IF(IN296&lt;&gt;"",TEXT(AUX!IR$1,"dd-MMM-aa"),"")</f>
      </c>
      <c r="IO276" s="496" t="str">
        <f> IF(IO296&lt;&gt;"",TEXT(AUX!IS$1,"dd-MMM-aa"),"")</f>
      </c>
      <c r="IP276" s="496" t="str">
        <f> IF(IP296&lt;&gt;"",TEXT(AUX!IT$1,"dd-MMM-aa"),"")</f>
      </c>
      <c r="IQ276" s="496" t="str">
        <f> IF(IQ296&lt;&gt;"",TEXT(AUX!IU$1,"dd-MMM-aa"),"")</f>
      </c>
      <c r="IR276" s="496" t="str">
        <f> IF(IR296&lt;&gt;"",TEXT(AUX!IV$1,"dd-MMM-aa"),"")</f>
      </c>
      <c r="IS276" s="496" t="str">
        <f> IF(IS296&lt;&gt;"",TEXT(AUX!#REF!,"dd-MMM-aa"),"")</f>
      </c>
      <c r="IT276" s="496" t="str">
        <f> IF(IT296&lt;&gt;"",TEXT(AUX!#REF!,"dd-MMM-aa"),"")</f>
      </c>
      <c r="IU276" s="496" t="str">
        <f> IF(IU296&lt;&gt;"",TEXT(AUX!#REF!,"dd-MMM-aa"),"")</f>
      </c>
      <c r="IV276" s="496" t="str">
        <f> IF(IV296&lt;&gt;"",TEXT(AUX!#REF!,"dd-MMM-aa"),"")</f>
      </c>
    </row>
    <row r="277" hidden="1">
      <c r="B277" s="833" t="s">
        <v>8</v>
      </c>
      <c r="C277" s="827">
        <v>1328</v>
      </c>
      <c r="D277" s="827">
        <v>1327</v>
      </c>
      <c r="E277" s="827">
        <v>1340</v>
      </c>
      <c r="F277" s="827">
        <v>1352</v>
      </c>
      <c r="G277" s="827">
        <v>1325</v>
      </c>
      <c r="H277" s="827">
        <v>1488</v>
      </c>
      <c r="I277" s="827">
        <v>1491</v>
      </c>
      <c r="J277" s="827">
        <v>1487</v>
      </c>
      <c r="K277" s="827">
        <v>1459</v>
      </c>
      <c r="L277" s="827">
        <v>1199</v>
      </c>
      <c r="M277" s="827">
        <v>957</v>
      </c>
      <c r="N277" s="827">
        <v>1097</v>
      </c>
      <c r="O277" s="827">
        <v>1029</v>
      </c>
      <c r="P277" s="827">
        <v>1026</v>
      </c>
      <c r="Q277" s="827">
        <v>996</v>
      </c>
      <c r="R277" s="827">
        <v>994</v>
      </c>
      <c r="S277" s="827">
        <v>1023</v>
      </c>
      <c r="T277" s="827">
        <v>1021</v>
      </c>
      <c r="U277" s="827">
        <v>966</v>
      </c>
      <c r="V277" s="827">
        <v>971</v>
      </c>
      <c r="W277" s="827">
        <v>966</v>
      </c>
      <c r="X277" s="827">
        <v>951</v>
      </c>
      <c r="Y277" s="827">
        <v>942</v>
      </c>
      <c r="Z277" s="827">
        <v>954</v>
      </c>
      <c r="AA277" s="827">
        <v>956</v>
      </c>
      <c r="AB277" s="834">
        <v>969</v>
      </c>
      <c r="AC277" s="828">
        <v>998</v>
      </c>
      <c r="AD277" s="828">
        <v>1005</v>
      </c>
      <c r="AE277" s="828">
        <v>1011</v>
      </c>
      <c r="AF277" s="828">
        <v>1032</v>
      </c>
      <c r="AG277" s="828">
        <v>1025</v>
      </c>
      <c r="AH277" s="828">
        <v>1016</v>
      </c>
      <c r="AI277" s="828">
        <v>1014</v>
      </c>
      <c r="AJ277" s="828">
        <v>1010</v>
      </c>
      <c r="AK277" s="828">
        <v>1035</v>
      </c>
      <c r="AL277" s="828">
        <v>1027</v>
      </c>
      <c r="AM277" s="828">
        <v>1044</v>
      </c>
      <c r="AN277" s="828">
        <v>1068</v>
      </c>
      <c r="AO277" s="828">
        <v>1105</v>
      </c>
      <c r="AP277" s="828">
        <v>1127</v>
      </c>
    </row>
    <row r="278" hidden="1">
      <c r="B278" s="829" t="s">
        <v>9</v>
      </c>
      <c r="C278" s="823">
        <v>571</v>
      </c>
      <c r="D278" s="823">
        <v>557</v>
      </c>
      <c r="E278" s="823">
        <v>553</v>
      </c>
      <c r="F278" s="823">
        <v>542</v>
      </c>
      <c r="G278" s="823">
        <v>548</v>
      </c>
      <c r="H278" s="823">
        <v>555</v>
      </c>
      <c r="I278" s="823">
        <v>560</v>
      </c>
      <c r="J278" s="823">
        <v>559</v>
      </c>
      <c r="K278" s="823">
        <v>558</v>
      </c>
      <c r="L278" s="823">
        <v>532</v>
      </c>
      <c r="M278" s="823">
        <v>517</v>
      </c>
      <c r="N278" s="823">
        <v>519</v>
      </c>
      <c r="O278" s="823">
        <v>525</v>
      </c>
      <c r="P278" s="823">
        <v>532</v>
      </c>
      <c r="Q278" s="823">
        <v>536</v>
      </c>
      <c r="R278" s="823">
        <v>538</v>
      </c>
      <c r="S278" s="823">
        <v>539</v>
      </c>
      <c r="T278" s="823">
        <v>544</v>
      </c>
      <c r="U278" s="823">
        <v>555</v>
      </c>
      <c r="V278" s="823">
        <v>531</v>
      </c>
      <c r="W278" s="823">
        <v>542</v>
      </c>
      <c r="X278" s="823">
        <v>547</v>
      </c>
      <c r="Y278" s="823">
        <v>545</v>
      </c>
      <c r="Z278" s="823">
        <v>551</v>
      </c>
      <c r="AA278" s="823">
        <v>555</v>
      </c>
      <c r="AB278" s="823">
        <v>561</v>
      </c>
      <c r="AC278" s="825">
        <v>562</v>
      </c>
      <c r="AD278" s="825">
        <v>556</v>
      </c>
      <c r="AE278" s="825">
        <v>551</v>
      </c>
      <c r="AF278" s="825">
        <v>547</v>
      </c>
      <c r="AG278" s="825">
        <v>547</v>
      </c>
      <c r="AH278" s="825">
        <v>544</v>
      </c>
      <c r="AI278" s="825">
        <v>534</v>
      </c>
      <c r="AJ278" s="825">
        <v>528</v>
      </c>
      <c r="AK278" s="825">
        <v>522</v>
      </c>
      <c r="AL278" s="825">
        <v>515</v>
      </c>
      <c r="AM278" s="825">
        <v>497</v>
      </c>
      <c r="AN278" s="825">
        <v>498</v>
      </c>
      <c r="AO278" s="825">
        <v>493</v>
      </c>
      <c r="AP278" s="825">
        <v>496</v>
      </c>
    </row>
    <row r="279" hidden="1">
      <c r="B279" s="826" t="s">
        <v>10</v>
      </c>
      <c r="C279" s="827">
        <v>47</v>
      </c>
      <c r="D279" s="827">
        <v>48</v>
      </c>
      <c r="E279" s="827">
        <v>48</v>
      </c>
      <c r="F279" s="827">
        <v>60</v>
      </c>
      <c r="G279" s="827">
        <v>71</v>
      </c>
      <c r="H279" s="827">
        <v>90</v>
      </c>
      <c r="I279" s="827">
        <v>93</v>
      </c>
      <c r="J279" s="827">
        <v>105</v>
      </c>
      <c r="K279" s="827">
        <v>101</v>
      </c>
      <c r="L279" s="827">
        <v>18</v>
      </c>
      <c r="M279" s="827">
        <v>17</v>
      </c>
      <c r="N279" s="827">
        <v>18</v>
      </c>
      <c r="O279" s="827">
        <v>18</v>
      </c>
      <c r="P279" s="827">
        <v>16</v>
      </c>
      <c r="Q279" s="827">
        <v>18</v>
      </c>
      <c r="R279" s="827">
        <v>20</v>
      </c>
      <c r="S279" s="827">
        <v>22</v>
      </c>
      <c r="T279" s="827">
        <v>23</v>
      </c>
      <c r="U279" s="827">
        <v>25</v>
      </c>
      <c r="V279" s="827">
        <v>29</v>
      </c>
      <c r="W279" s="827">
        <v>33</v>
      </c>
      <c r="X279" s="827">
        <v>35</v>
      </c>
      <c r="Y279" s="827">
        <v>34</v>
      </c>
      <c r="Z279" s="827">
        <v>33</v>
      </c>
      <c r="AA279" s="827">
        <v>33</v>
      </c>
      <c r="AB279" s="827">
        <v>34</v>
      </c>
      <c r="AC279" s="828">
        <v>35</v>
      </c>
      <c r="AD279" s="828">
        <v>36</v>
      </c>
      <c r="AE279" s="828">
        <v>36</v>
      </c>
      <c r="AF279" s="828">
        <v>35</v>
      </c>
      <c r="AG279" s="828">
        <v>36</v>
      </c>
      <c r="AH279" s="828">
        <v>37</v>
      </c>
      <c r="AI279" s="828">
        <v>37</v>
      </c>
      <c r="AJ279" s="828">
        <v>38</v>
      </c>
      <c r="AK279" s="828">
        <v>36</v>
      </c>
      <c r="AL279" s="828">
        <v>36</v>
      </c>
      <c r="AM279" s="828">
        <v>46</v>
      </c>
      <c r="AN279" s="828">
        <v>46</v>
      </c>
      <c r="AO279" s="828">
        <v>53</v>
      </c>
      <c r="AP279" s="828">
        <v>58</v>
      </c>
    </row>
    <row r="280" hidden="1">
      <c r="B280" s="829" t="s">
        <v>11</v>
      </c>
      <c r="C280" s="823">
        <v>128</v>
      </c>
      <c r="D280" s="823">
        <v>147</v>
      </c>
      <c r="E280" s="823">
        <v>196</v>
      </c>
      <c r="F280" s="823">
        <v>207</v>
      </c>
      <c r="G280" s="823">
        <v>74</v>
      </c>
      <c r="H280" s="823">
        <v>85</v>
      </c>
      <c r="I280" s="823">
        <v>109</v>
      </c>
      <c r="J280" s="823">
        <v>65</v>
      </c>
      <c r="K280" s="823">
        <v>71</v>
      </c>
      <c r="L280" s="823">
        <v>41</v>
      </c>
      <c r="M280" s="823">
        <v>40</v>
      </c>
      <c r="N280" s="823">
        <v>38</v>
      </c>
      <c r="O280" s="823">
        <v>37</v>
      </c>
      <c r="P280" s="823">
        <v>37</v>
      </c>
      <c r="Q280" s="823">
        <v>37</v>
      </c>
      <c r="R280" s="823">
        <v>39</v>
      </c>
      <c r="S280" s="823">
        <v>36</v>
      </c>
      <c r="T280" s="823">
        <v>35</v>
      </c>
      <c r="U280" s="823">
        <v>34</v>
      </c>
      <c r="V280" s="823">
        <v>32</v>
      </c>
      <c r="W280" s="823">
        <v>36</v>
      </c>
      <c r="X280" s="823">
        <v>33</v>
      </c>
      <c r="Y280" s="823">
        <v>38</v>
      </c>
      <c r="Z280" s="823">
        <v>36</v>
      </c>
      <c r="AA280" s="823">
        <v>36</v>
      </c>
      <c r="AB280" s="823">
        <v>41</v>
      </c>
      <c r="AC280" s="825">
        <v>42</v>
      </c>
      <c r="AD280" s="825">
        <v>40</v>
      </c>
      <c r="AE280" s="825">
        <v>43</v>
      </c>
      <c r="AF280" s="825">
        <v>47</v>
      </c>
      <c r="AG280" s="825">
        <v>52</v>
      </c>
      <c r="AH280" s="825">
        <v>53</v>
      </c>
      <c r="AI280" s="825">
        <v>63</v>
      </c>
      <c r="AJ280" s="825">
        <v>66</v>
      </c>
      <c r="AK280" s="825">
        <v>68</v>
      </c>
      <c r="AL280" s="825">
        <v>67</v>
      </c>
      <c r="AM280" s="825">
        <v>71</v>
      </c>
      <c r="AN280" s="825">
        <v>150</v>
      </c>
      <c r="AO280" s="825">
        <v>172</v>
      </c>
      <c r="AP280" s="825">
        <v>219</v>
      </c>
    </row>
    <row r="281" hidden="1">
      <c r="B281" s="826" t="s">
        <v>12</v>
      </c>
      <c r="C281" s="827">
        <v>315</v>
      </c>
      <c r="D281" s="827">
        <v>392</v>
      </c>
      <c r="E281" s="827">
        <v>366</v>
      </c>
      <c r="F281" s="827">
        <v>370</v>
      </c>
      <c r="G281" s="827">
        <v>377</v>
      </c>
      <c r="H281" s="827">
        <v>385</v>
      </c>
      <c r="I281" s="827">
        <v>399</v>
      </c>
      <c r="J281" s="827">
        <v>310</v>
      </c>
      <c r="K281" s="827">
        <v>323</v>
      </c>
      <c r="L281" s="827">
        <v>226</v>
      </c>
      <c r="M281" s="827">
        <v>219</v>
      </c>
      <c r="N281" s="827">
        <v>217</v>
      </c>
      <c r="O281" s="827">
        <v>205</v>
      </c>
      <c r="P281" s="827">
        <v>205</v>
      </c>
      <c r="Q281" s="827">
        <v>217</v>
      </c>
      <c r="R281" s="827">
        <v>229</v>
      </c>
      <c r="S281" s="827">
        <v>230</v>
      </c>
      <c r="T281" s="827">
        <v>230</v>
      </c>
      <c r="U281" s="827">
        <v>221</v>
      </c>
      <c r="V281" s="827">
        <v>221</v>
      </c>
      <c r="W281" s="827">
        <v>218</v>
      </c>
      <c r="X281" s="827">
        <v>220</v>
      </c>
      <c r="Y281" s="827">
        <v>230</v>
      </c>
      <c r="Z281" s="827">
        <v>231</v>
      </c>
      <c r="AA281" s="827">
        <v>223</v>
      </c>
      <c r="AB281" s="827">
        <v>212</v>
      </c>
      <c r="AC281" s="828">
        <v>242</v>
      </c>
      <c r="AD281" s="828">
        <v>233</v>
      </c>
      <c r="AE281" s="828">
        <v>234</v>
      </c>
      <c r="AF281" s="828">
        <v>246</v>
      </c>
      <c r="AG281" s="828">
        <v>243</v>
      </c>
      <c r="AH281" s="828">
        <v>241</v>
      </c>
      <c r="AI281" s="828">
        <v>256</v>
      </c>
      <c r="AJ281" s="828">
        <v>257</v>
      </c>
      <c r="AK281" s="828">
        <v>259</v>
      </c>
      <c r="AL281" s="828">
        <v>271</v>
      </c>
      <c r="AM281" s="828">
        <v>264</v>
      </c>
      <c r="AN281" s="828">
        <v>261</v>
      </c>
      <c r="AO281" s="828">
        <v>263</v>
      </c>
      <c r="AP281" s="828">
        <v>265</v>
      </c>
    </row>
    <row r="282" hidden="1">
      <c r="B282" s="829" t="s">
        <v>13</v>
      </c>
      <c r="C282" s="823">
        <v>51</v>
      </c>
      <c r="D282" s="823">
        <v>58</v>
      </c>
      <c r="E282" s="823">
        <v>55</v>
      </c>
      <c r="F282" s="823">
        <v>64</v>
      </c>
      <c r="G282" s="823">
        <v>77</v>
      </c>
      <c r="H282" s="823">
        <v>81</v>
      </c>
      <c r="I282" s="823">
        <v>85</v>
      </c>
      <c r="J282" s="823">
        <v>91</v>
      </c>
      <c r="K282" s="823">
        <v>85</v>
      </c>
      <c r="L282" s="823">
        <v>66</v>
      </c>
      <c r="M282" s="823">
        <v>148</v>
      </c>
      <c r="N282" s="823">
        <v>27</v>
      </c>
      <c r="O282" s="823">
        <v>23</v>
      </c>
      <c r="P282" s="823">
        <v>25</v>
      </c>
      <c r="Q282" s="823">
        <v>29</v>
      </c>
      <c r="R282" s="823">
        <v>28</v>
      </c>
      <c r="S282" s="823">
        <v>33</v>
      </c>
      <c r="T282" s="823">
        <v>33</v>
      </c>
      <c r="U282" s="823">
        <v>25</v>
      </c>
      <c r="V282" s="823">
        <v>27</v>
      </c>
      <c r="W282" s="823">
        <v>26</v>
      </c>
      <c r="X282" s="823">
        <v>29</v>
      </c>
      <c r="Y282" s="823">
        <v>29</v>
      </c>
      <c r="Z282" s="823">
        <v>35</v>
      </c>
      <c r="AA282" s="823">
        <v>37</v>
      </c>
      <c r="AB282" s="823">
        <v>40</v>
      </c>
      <c r="AC282" s="825">
        <v>40</v>
      </c>
      <c r="AD282" s="825">
        <v>42</v>
      </c>
      <c r="AE282" s="825">
        <v>37</v>
      </c>
      <c r="AF282" s="825">
        <v>40</v>
      </c>
      <c r="AG282" s="825">
        <v>38</v>
      </c>
      <c r="AH282" s="825">
        <v>35</v>
      </c>
      <c r="AI282" s="825">
        <v>36</v>
      </c>
      <c r="AJ282" s="825">
        <v>42</v>
      </c>
      <c r="AK282" s="825">
        <v>46</v>
      </c>
      <c r="AL282" s="825">
        <v>40</v>
      </c>
      <c r="AM282" s="825">
        <v>39</v>
      </c>
      <c r="AN282" s="825">
        <v>38</v>
      </c>
      <c r="AO282" s="825">
        <v>39</v>
      </c>
      <c r="AP282" s="825">
        <v>56</v>
      </c>
    </row>
    <row r="283" hidden="1">
      <c r="B283" s="826" t="s">
        <v>109</v>
      </c>
      <c r="C283" s="827">
        <v>617</v>
      </c>
      <c r="D283" s="827">
        <v>616</v>
      </c>
      <c r="E283" s="827">
        <v>616</v>
      </c>
      <c r="F283" s="827">
        <v>587</v>
      </c>
      <c r="G283" s="827">
        <v>582</v>
      </c>
      <c r="H283" s="827">
        <v>586</v>
      </c>
      <c r="I283" s="827">
        <v>599</v>
      </c>
      <c r="J283" s="827">
        <v>595</v>
      </c>
      <c r="K283" s="827">
        <v>592</v>
      </c>
      <c r="L283" s="827">
        <v>493</v>
      </c>
      <c r="M283" s="827">
        <v>493</v>
      </c>
      <c r="N283" s="827">
        <v>491</v>
      </c>
      <c r="O283" s="827">
        <v>469</v>
      </c>
      <c r="P283" s="827">
        <v>480</v>
      </c>
      <c r="Q283" s="827">
        <v>487</v>
      </c>
      <c r="R283" s="827">
        <v>487</v>
      </c>
      <c r="S283" s="827">
        <v>500</v>
      </c>
      <c r="T283" s="827">
        <v>505</v>
      </c>
      <c r="U283" s="827">
        <v>520</v>
      </c>
      <c r="V283" s="827">
        <v>529</v>
      </c>
      <c r="W283" s="827">
        <v>532</v>
      </c>
      <c r="X283" s="827">
        <v>539</v>
      </c>
      <c r="Y283" s="827">
        <v>537</v>
      </c>
      <c r="Z283" s="827">
        <v>545</v>
      </c>
      <c r="AA283" s="827">
        <v>555</v>
      </c>
      <c r="AB283" s="827">
        <v>561</v>
      </c>
      <c r="AC283" s="828">
        <v>571</v>
      </c>
      <c r="AD283" s="828">
        <v>585</v>
      </c>
      <c r="AE283" s="828">
        <v>596</v>
      </c>
      <c r="AF283" s="828">
        <v>599</v>
      </c>
      <c r="AG283" s="828">
        <v>621</v>
      </c>
      <c r="AH283" s="828">
        <v>656</v>
      </c>
      <c r="AI283" s="828">
        <v>585</v>
      </c>
      <c r="AJ283" s="828">
        <v>566</v>
      </c>
      <c r="AK283" s="828">
        <v>566</v>
      </c>
      <c r="AL283" s="828">
        <v>566</v>
      </c>
      <c r="AM283" s="828">
        <v>603</v>
      </c>
      <c r="AN283" s="828">
        <v>623</v>
      </c>
      <c r="AO283" s="828">
        <v>584</v>
      </c>
      <c r="AP283" s="828">
        <v>597</v>
      </c>
    </row>
    <row r="284" hidden="1">
      <c r="B284" s="829" t="s">
        <v>110</v>
      </c>
      <c r="C284" s="823">
        <v>807</v>
      </c>
      <c r="D284" s="823">
        <v>911</v>
      </c>
      <c r="E284" s="823">
        <v>920</v>
      </c>
      <c r="F284" s="823">
        <v>944</v>
      </c>
      <c r="G284" s="823">
        <v>943</v>
      </c>
      <c r="H284" s="823">
        <v>924</v>
      </c>
      <c r="I284" s="823">
        <v>888</v>
      </c>
      <c r="J284" s="823">
        <v>913</v>
      </c>
      <c r="K284" s="823">
        <v>932</v>
      </c>
      <c r="L284" s="823">
        <v>747</v>
      </c>
      <c r="M284" s="823">
        <v>683</v>
      </c>
      <c r="N284" s="823">
        <v>598</v>
      </c>
      <c r="O284" s="823">
        <v>616</v>
      </c>
      <c r="P284" s="823">
        <v>602</v>
      </c>
      <c r="Q284" s="823">
        <v>597</v>
      </c>
      <c r="R284" s="823">
        <v>626</v>
      </c>
      <c r="S284" s="823">
        <v>644</v>
      </c>
      <c r="T284" s="823">
        <v>635</v>
      </c>
      <c r="U284" s="823">
        <v>654</v>
      </c>
      <c r="V284" s="823">
        <v>676</v>
      </c>
      <c r="W284" s="823">
        <v>675</v>
      </c>
      <c r="X284" s="823">
        <v>681</v>
      </c>
      <c r="Y284" s="823">
        <v>685</v>
      </c>
      <c r="Z284" s="823">
        <v>689</v>
      </c>
      <c r="AA284" s="823">
        <v>680</v>
      </c>
      <c r="AB284" s="823">
        <v>675</v>
      </c>
      <c r="AC284" s="825">
        <v>668</v>
      </c>
      <c r="AD284" s="825">
        <v>658</v>
      </c>
      <c r="AE284" s="825">
        <v>655</v>
      </c>
      <c r="AF284" s="825">
        <v>665</v>
      </c>
      <c r="AG284" s="825">
        <v>695</v>
      </c>
      <c r="AH284" s="825">
        <v>691</v>
      </c>
      <c r="AI284" s="825">
        <v>694</v>
      </c>
      <c r="AJ284" s="825">
        <v>706</v>
      </c>
      <c r="AK284" s="825">
        <v>702</v>
      </c>
      <c r="AL284" s="825">
        <v>684</v>
      </c>
      <c r="AM284" s="825">
        <v>681</v>
      </c>
      <c r="AN284" s="825">
        <v>695</v>
      </c>
      <c r="AO284" s="825">
        <v>695</v>
      </c>
      <c r="AP284" s="825">
        <v>701</v>
      </c>
    </row>
    <row r="285" hidden="1">
      <c r="B285" s="826" t="s">
        <v>16</v>
      </c>
      <c r="C285" s="827">
        <v>2861</v>
      </c>
      <c r="D285" s="827">
        <v>2592</v>
      </c>
      <c r="E285" s="827">
        <v>2546</v>
      </c>
      <c r="F285" s="827">
        <v>2362</v>
      </c>
      <c r="G285" s="827">
        <v>2272</v>
      </c>
      <c r="H285" s="827">
        <v>2187</v>
      </c>
      <c r="I285" s="827">
        <v>1975</v>
      </c>
      <c r="J285" s="827">
        <v>1950</v>
      </c>
      <c r="K285" s="827">
        <v>1895</v>
      </c>
      <c r="L285" s="827">
        <v>1656</v>
      </c>
      <c r="M285" s="827">
        <v>1635</v>
      </c>
      <c r="N285" s="827">
        <v>1618</v>
      </c>
      <c r="O285" s="827">
        <v>1569</v>
      </c>
      <c r="P285" s="827">
        <v>1573</v>
      </c>
      <c r="Q285" s="827">
        <v>1544</v>
      </c>
      <c r="R285" s="827">
        <v>1509</v>
      </c>
      <c r="S285" s="827">
        <v>1532</v>
      </c>
      <c r="T285" s="827">
        <v>1519</v>
      </c>
      <c r="U285" s="827">
        <v>1469</v>
      </c>
      <c r="V285" s="827">
        <v>1469</v>
      </c>
      <c r="W285" s="827">
        <v>1475</v>
      </c>
      <c r="X285" s="827">
        <v>1482</v>
      </c>
      <c r="Y285" s="827">
        <v>1493</v>
      </c>
      <c r="Z285" s="827">
        <v>1502</v>
      </c>
      <c r="AA285" s="827">
        <v>1512</v>
      </c>
      <c r="AB285" s="827">
        <v>1517</v>
      </c>
      <c r="AC285" s="828">
        <v>1496</v>
      </c>
      <c r="AD285" s="828">
        <v>1474</v>
      </c>
      <c r="AE285" s="828">
        <v>1458</v>
      </c>
      <c r="AF285" s="828">
        <v>1458</v>
      </c>
      <c r="AG285" s="828">
        <v>1452</v>
      </c>
      <c r="AH285" s="828">
        <v>1421</v>
      </c>
      <c r="AI285" s="828">
        <v>1396</v>
      </c>
      <c r="AJ285" s="828">
        <v>1375</v>
      </c>
      <c r="AK285" s="828">
        <v>1319</v>
      </c>
      <c r="AL285" s="828">
        <v>1275</v>
      </c>
      <c r="AM285" s="828">
        <v>1250</v>
      </c>
      <c r="AN285" s="828">
        <v>1236</v>
      </c>
      <c r="AO285" s="828">
        <v>1232</v>
      </c>
      <c r="AP285" s="828">
        <v>1212</v>
      </c>
    </row>
    <row r="286" hidden="1">
      <c r="B286" s="829" t="s">
        <v>17</v>
      </c>
      <c r="C286" s="823">
        <v>360</v>
      </c>
      <c r="D286" s="823">
        <v>364</v>
      </c>
      <c r="E286" s="823">
        <v>372</v>
      </c>
      <c r="F286" s="823">
        <v>390</v>
      </c>
      <c r="G286" s="823">
        <v>392</v>
      </c>
      <c r="H286" s="823">
        <v>392</v>
      </c>
      <c r="I286" s="823">
        <v>403</v>
      </c>
      <c r="J286" s="823">
        <v>400</v>
      </c>
      <c r="K286" s="823">
        <v>395</v>
      </c>
      <c r="L286" s="823">
        <v>397</v>
      </c>
      <c r="M286" s="823">
        <v>390</v>
      </c>
      <c r="N286" s="823">
        <v>381</v>
      </c>
      <c r="O286" s="823">
        <v>364</v>
      </c>
      <c r="P286" s="823">
        <v>367</v>
      </c>
      <c r="Q286" s="823">
        <v>358</v>
      </c>
      <c r="R286" s="823">
        <v>361</v>
      </c>
      <c r="S286" s="823">
        <v>363</v>
      </c>
      <c r="T286" s="823">
        <v>365</v>
      </c>
      <c r="U286" s="823">
        <v>373</v>
      </c>
      <c r="V286" s="823">
        <v>374</v>
      </c>
      <c r="W286" s="823">
        <v>377</v>
      </c>
      <c r="X286" s="823">
        <v>379</v>
      </c>
      <c r="Y286" s="823">
        <v>382</v>
      </c>
      <c r="Z286" s="823">
        <v>393</v>
      </c>
      <c r="AA286" s="823">
        <v>400</v>
      </c>
      <c r="AB286" s="823">
        <v>404</v>
      </c>
      <c r="AC286" s="825">
        <v>414</v>
      </c>
      <c r="AD286" s="825">
        <v>403</v>
      </c>
      <c r="AE286" s="825">
        <v>409</v>
      </c>
      <c r="AF286" s="825">
        <v>411</v>
      </c>
      <c r="AG286" s="825">
        <v>411</v>
      </c>
      <c r="AH286" s="825">
        <v>413</v>
      </c>
      <c r="AI286" s="825">
        <v>413</v>
      </c>
      <c r="AJ286" s="825">
        <v>410</v>
      </c>
      <c r="AK286" s="825">
        <v>413</v>
      </c>
      <c r="AL286" s="825">
        <v>415</v>
      </c>
      <c r="AM286" s="825">
        <v>410</v>
      </c>
      <c r="AN286" s="825">
        <v>410</v>
      </c>
      <c r="AO286" s="825">
        <v>410</v>
      </c>
      <c r="AP286" s="825">
        <v>405</v>
      </c>
    </row>
    <row r="287" hidden="1">
      <c r="B287" s="826" t="s">
        <v>18</v>
      </c>
      <c r="C287" s="827">
        <v>1667</v>
      </c>
      <c r="D287" s="827">
        <v>1653</v>
      </c>
      <c r="E287" s="827">
        <v>1608</v>
      </c>
      <c r="F287" s="827">
        <v>1604</v>
      </c>
      <c r="G287" s="827">
        <v>1618</v>
      </c>
      <c r="H287" s="827">
        <v>1617</v>
      </c>
      <c r="I287" s="827">
        <v>1608</v>
      </c>
      <c r="J287" s="827">
        <v>1596</v>
      </c>
      <c r="K287" s="827">
        <v>1592</v>
      </c>
      <c r="L287" s="827">
        <v>913</v>
      </c>
      <c r="M287" s="827">
        <v>909</v>
      </c>
      <c r="N287" s="827">
        <v>908</v>
      </c>
      <c r="O287" s="827">
        <v>917</v>
      </c>
      <c r="P287" s="827">
        <v>954</v>
      </c>
      <c r="Q287" s="827">
        <v>988</v>
      </c>
      <c r="R287" s="827">
        <v>1013</v>
      </c>
      <c r="S287" s="827">
        <v>1017</v>
      </c>
      <c r="T287" s="827">
        <v>1022</v>
      </c>
      <c r="U287" s="827">
        <v>1021</v>
      </c>
      <c r="V287" s="827">
        <v>1009</v>
      </c>
      <c r="W287" s="827">
        <v>1011</v>
      </c>
      <c r="X287" s="827">
        <v>1033</v>
      </c>
      <c r="Y287" s="827">
        <v>1033</v>
      </c>
      <c r="Z287" s="827">
        <v>1047</v>
      </c>
      <c r="AA287" s="827">
        <v>1056</v>
      </c>
      <c r="AB287" s="827">
        <v>1060</v>
      </c>
      <c r="AC287" s="828">
        <v>1075</v>
      </c>
      <c r="AD287" s="828">
        <v>1082</v>
      </c>
      <c r="AE287" s="828">
        <v>1096</v>
      </c>
      <c r="AF287" s="828">
        <v>1106</v>
      </c>
      <c r="AG287" s="828">
        <v>1124</v>
      </c>
      <c r="AH287" s="828">
        <v>1143</v>
      </c>
      <c r="AI287" s="828">
        <v>1125</v>
      </c>
      <c r="AJ287" s="828">
        <v>1111</v>
      </c>
      <c r="AK287" s="828">
        <v>1117</v>
      </c>
      <c r="AL287" s="828">
        <v>1108</v>
      </c>
      <c r="AM287" s="828">
        <v>1066</v>
      </c>
      <c r="AN287" s="828">
        <v>1075</v>
      </c>
      <c r="AO287" s="828">
        <v>1038</v>
      </c>
      <c r="AP287" s="828">
        <v>1029</v>
      </c>
    </row>
    <row r="288" hidden="1">
      <c r="B288" s="829" t="s">
        <v>19</v>
      </c>
      <c r="C288" s="823">
        <v>50</v>
      </c>
      <c r="D288" s="823">
        <v>53</v>
      </c>
      <c r="E288" s="823">
        <v>59</v>
      </c>
      <c r="F288" s="823">
        <v>64</v>
      </c>
      <c r="G288" s="823">
        <v>75</v>
      </c>
      <c r="H288" s="823">
        <v>78</v>
      </c>
      <c r="I288" s="823">
        <v>81</v>
      </c>
      <c r="J288" s="823">
        <v>90</v>
      </c>
      <c r="K288" s="823">
        <v>263</v>
      </c>
      <c r="L288" s="823">
        <v>256</v>
      </c>
      <c r="M288" s="823">
        <v>47</v>
      </c>
      <c r="N288" s="823">
        <v>47</v>
      </c>
      <c r="O288" s="823">
        <v>51</v>
      </c>
      <c r="P288" s="823">
        <v>52</v>
      </c>
      <c r="Q288" s="823">
        <v>50</v>
      </c>
      <c r="R288" s="823">
        <v>55</v>
      </c>
      <c r="S288" s="823">
        <v>63</v>
      </c>
      <c r="T288" s="823">
        <v>64</v>
      </c>
      <c r="U288" s="823">
        <v>69</v>
      </c>
      <c r="V288" s="823">
        <v>70</v>
      </c>
      <c r="W288" s="823">
        <v>70</v>
      </c>
      <c r="X288" s="823">
        <v>74</v>
      </c>
      <c r="Y288" s="823">
        <v>99</v>
      </c>
      <c r="Z288" s="823">
        <v>101</v>
      </c>
      <c r="AA288" s="823">
        <v>104</v>
      </c>
      <c r="AB288" s="823">
        <v>105</v>
      </c>
      <c r="AC288" s="825">
        <v>106</v>
      </c>
      <c r="AD288" s="825">
        <v>85</v>
      </c>
      <c r="AE288" s="825">
        <v>86</v>
      </c>
      <c r="AF288" s="825">
        <v>86</v>
      </c>
      <c r="AG288" s="825">
        <v>73</v>
      </c>
      <c r="AH288" s="825">
        <v>77</v>
      </c>
      <c r="AI288" s="825">
        <v>76</v>
      </c>
      <c r="AJ288" s="825">
        <v>78</v>
      </c>
      <c r="AK288" s="825">
        <v>89</v>
      </c>
      <c r="AL288" s="825">
        <v>97</v>
      </c>
      <c r="AM288" s="825">
        <v>114</v>
      </c>
      <c r="AN288" s="825">
        <v>115</v>
      </c>
      <c r="AO288" s="825">
        <v>240</v>
      </c>
      <c r="AP288" s="825">
        <v>255</v>
      </c>
    </row>
    <row r="289" hidden="1">
      <c r="B289" s="826" t="s">
        <v>20</v>
      </c>
      <c r="C289" s="827">
        <v>306</v>
      </c>
      <c r="D289" s="827">
        <v>307</v>
      </c>
      <c r="E289" s="827">
        <v>304</v>
      </c>
      <c r="F289" s="827">
        <v>306</v>
      </c>
      <c r="G289" s="827">
        <v>312</v>
      </c>
      <c r="H289" s="827">
        <v>301</v>
      </c>
      <c r="I289" s="827">
        <v>283</v>
      </c>
      <c r="J289" s="827">
        <v>279</v>
      </c>
      <c r="K289" s="827">
        <v>146</v>
      </c>
      <c r="L289" s="827">
        <v>139</v>
      </c>
      <c r="M289" s="827">
        <v>254</v>
      </c>
      <c r="N289" s="827">
        <v>229</v>
      </c>
      <c r="O289" s="827">
        <v>234</v>
      </c>
      <c r="P289" s="827">
        <v>236</v>
      </c>
      <c r="Q289" s="827">
        <v>248</v>
      </c>
      <c r="R289" s="827">
        <v>248</v>
      </c>
      <c r="S289" s="827">
        <v>246</v>
      </c>
      <c r="T289" s="827">
        <v>244</v>
      </c>
      <c r="U289" s="827">
        <v>247</v>
      </c>
      <c r="V289" s="827">
        <v>248</v>
      </c>
      <c r="W289" s="827">
        <v>251</v>
      </c>
      <c r="X289" s="827">
        <v>254</v>
      </c>
      <c r="Y289" s="827">
        <v>252</v>
      </c>
      <c r="Z289" s="827">
        <v>255</v>
      </c>
      <c r="AA289" s="827">
        <v>256</v>
      </c>
      <c r="AB289" s="827">
        <v>259</v>
      </c>
      <c r="AC289" s="828">
        <v>263</v>
      </c>
      <c r="AD289" s="828">
        <v>265</v>
      </c>
      <c r="AE289" s="828">
        <v>275</v>
      </c>
      <c r="AF289" s="828">
        <v>288</v>
      </c>
      <c r="AG289" s="828">
        <v>272</v>
      </c>
      <c r="AH289" s="828">
        <v>278</v>
      </c>
      <c r="AI289" s="828">
        <v>284</v>
      </c>
      <c r="AJ289" s="828">
        <v>285</v>
      </c>
      <c r="AK289" s="828">
        <v>284</v>
      </c>
      <c r="AL289" s="828">
        <v>286</v>
      </c>
      <c r="AM289" s="828">
        <v>287</v>
      </c>
      <c r="AN289" s="828">
        <v>286</v>
      </c>
      <c r="AO289" s="828">
        <v>286</v>
      </c>
      <c r="AP289" s="828">
        <v>290</v>
      </c>
    </row>
    <row r="290" hidden="1">
      <c r="B290" s="829" t="s">
        <v>21</v>
      </c>
      <c r="C290" s="823">
        <v>168</v>
      </c>
      <c r="D290" s="823">
        <v>160</v>
      </c>
      <c r="E290" s="823">
        <v>153</v>
      </c>
      <c r="F290" s="823">
        <v>153</v>
      </c>
      <c r="G290" s="823">
        <v>153</v>
      </c>
      <c r="H290" s="823">
        <v>148</v>
      </c>
      <c r="I290" s="823">
        <v>145</v>
      </c>
      <c r="J290" s="823">
        <v>145</v>
      </c>
      <c r="K290" s="823">
        <v>116</v>
      </c>
      <c r="L290" s="823">
        <v>134</v>
      </c>
      <c r="M290" s="823">
        <v>144</v>
      </c>
      <c r="N290" s="823">
        <v>151</v>
      </c>
      <c r="O290" s="823">
        <v>157</v>
      </c>
      <c r="P290" s="823">
        <v>166</v>
      </c>
      <c r="Q290" s="823">
        <v>183</v>
      </c>
      <c r="R290" s="823">
        <v>164</v>
      </c>
      <c r="S290" s="823">
        <v>147</v>
      </c>
      <c r="T290" s="823">
        <v>154</v>
      </c>
      <c r="U290" s="823">
        <v>155</v>
      </c>
      <c r="V290" s="823">
        <v>153</v>
      </c>
      <c r="W290" s="823">
        <v>161</v>
      </c>
      <c r="X290" s="823">
        <v>164</v>
      </c>
      <c r="Y290" s="823">
        <v>160</v>
      </c>
      <c r="Z290" s="823">
        <v>169</v>
      </c>
      <c r="AA290" s="823">
        <v>169</v>
      </c>
      <c r="AB290" s="823">
        <v>176</v>
      </c>
      <c r="AC290" s="825">
        <v>170</v>
      </c>
      <c r="AD290" s="825">
        <v>193</v>
      </c>
      <c r="AE290" s="825">
        <v>214</v>
      </c>
      <c r="AF290" s="825">
        <v>200</v>
      </c>
      <c r="AG290" s="825">
        <v>186</v>
      </c>
      <c r="AH290" s="825">
        <v>188</v>
      </c>
      <c r="AI290" s="825">
        <v>199</v>
      </c>
      <c r="AJ290" s="825">
        <v>198</v>
      </c>
      <c r="AK290" s="825">
        <v>198</v>
      </c>
      <c r="AL290" s="825">
        <v>213</v>
      </c>
      <c r="AM290" s="825">
        <v>257</v>
      </c>
      <c r="AN290" s="825">
        <v>183</v>
      </c>
      <c r="AO290" s="825">
        <v>187</v>
      </c>
      <c r="AP290" s="825">
        <v>192</v>
      </c>
    </row>
    <row r="291" hidden="1">
      <c r="B291" s="826" t="s">
        <v>22</v>
      </c>
      <c r="C291" s="827">
        <v>82</v>
      </c>
      <c r="D291" s="827">
        <v>88</v>
      </c>
      <c r="E291" s="827">
        <v>93</v>
      </c>
      <c r="F291" s="827">
        <v>99</v>
      </c>
      <c r="G291" s="827">
        <v>104</v>
      </c>
      <c r="H291" s="827">
        <v>108</v>
      </c>
      <c r="I291" s="827">
        <v>111</v>
      </c>
      <c r="J291" s="827">
        <v>118</v>
      </c>
      <c r="K291" s="827">
        <v>74</v>
      </c>
      <c r="L291" s="827">
        <v>68</v>
      </c>
      <c r="M291" s="827">
        <v>134</v>
      </c>
      <c r="N291" s="827">
        <v>123</v>
      </c>
      <c r="O291" s="827">
        <v>129</v>
      </c>
      <c r="P291" s="827">
        <v>136</v>
      </c>
      <c r="Q291" s="827">
        <v>135</v>
      </c>
      <c r="R291" s="827">
        <v>142</v>
      </c>
      <c r="S291" s="827">
        <v>148</v>
      </c>
      <c r="T291" s="827">
        <v>152</v>
      </c>
      <c r="U291" s="827">
        <v>157</v>
      </c>
      <c r="V291" s="827">
        <v>160</v>
      </c>
      <c r="W291" s="827">
        <v>169</v>
      </c>
      <c r="X291" s="827">
        <v>181</v>
      </c>
      <c r="Y291" s="827">
        <v>175</v>
      </c>
      <c r="Z291" s="827">
        <v>180</v>
      </c>
      <c r="AA291" s="827">
        <v>181</v>
      </c>
      <c r="AB291" s="827">
        <v>186</v>
      </c>
      <c r="AC291" s="828">
        <v>186</v>
      </c>
      <c r="AD291" s="828">
        <v>191</v>
      </c>
      <c r="AE291" s="828">
        <v>178</v>
      </c>
      <c r="AF291" s="828">
        <v>175</v>
      </c>
      <c r="AG291" s="828">
        <v>176</v>
      </c>
      <c r="AH291" s="828">
        <v>177</v>
      </c>
      <c r="AI291" s="828">
        <v>169</v>
      </c>
      <c r="AJ291" s="828">
        <v>165</v>
      </c>
      <c r="AK291" s="828">
        <v>151</v>
      </c>
      <c r="AL291" s="828">
        <v>153</v>
      </c>
      <c r="AM291" s="828">
        <v>154</v>
      </c>
      <c r="AN291" s="828">
        <v>156</v>
      </c>
      <c r="AO291" s="828">
        <v>148</v>
      </c>
      <c r="AP291" s="828">
        <v>147</v>
      </c>
    </row>
    <row r="292" hidden="1">
      <c r="B292" s="829" t="s">
        <v>23</v>
      </c>
      <c r="C292" s="823">
        <v>50</v>
      </c>
      <c r="D292" s="823">
        <v>83</v>
      </c>
      <c r="E292" s="823">
        <v>82</v>
      </c>
      <c r="F292" s="823">
        <v>83</v>
      </c>
      <c r="G292" s="823">
        <v>80</v>
      </c>
      <c r="H292" s="823">
        <v>80</v>
      </c>
      <c r="I292" s="823">
        <v>77</v>
      </c>
      <c r="J292" s="823">
        <v>76</v>
      </c>
      <c r="K292" s="823">
        <v>79</v>
      </c>
      <c r="L292" s="823">
        <v>39</v>
      </c>
      <c r="M292" s="823">
        <v>67</v>
      </c>
      <c r="N292" s="823">
        <v>67</v>
      </c>
      <c r="O292" s="823">
        <v>65</v>
      </c>
      <c r="P292" s="823">
        <v>66</v>
      </c>
      <c r="Q292" s="823">
        <v>68</v>
      </c>
      <c r="R292" s="823">
        <v>68</v>
      </c>
      <c r="S292" s="823">
        <v>69</v>
      </c>
      <c r="T292" s="823">
        <v>69</v>
      </c>
      <c r="U292" s="823">
        <v>68</v>
      </c>
      <c r="V292" s="823">
        <v>69</v>
      </c>
      <c r="W292" s="823">
        <v>69</v>
      </c>
      <c r="X292" s="823">
        <v>68</v>
      </c>
      <c r="Y292" s="823">
        <v>66</v>
      </c>
      <c r="Z292" s="823">
        <v>65</v>
      </c>
      <c r="AA292" s="823">
        <v>65</v>
      </c>
      <c r="AB292" s="823">
        <v>65</v>
      </c>
      <c r="AC292" s="825">
        <v>66</v>
      </c>
      <c r="AD292" s="825">
        <v>64</v>
      </c>
      <c r="AE292" s="825">
        <v>64</v>
      </c>
      <c r="AF292" s="825">
        <v>64</v>
      </c>
      <c r="AG292" s="825">
        <v>63</v>
      </c>
      <c r="AH292" s="825">
        <v>64</v>
      </c>
      <c r="AI292" s="825">
        <v>62</v>
      </c>
      <c r="AJ292" s="825">
        <v>59</v>
      </c>
      <c r="AK292" s="825">
        <v>57</v>
      </c>
      <c r="AL292" s="825">
        <v>54</v>
      </c>
      <c r="AM292" s="825">
        <v>52</v>
      </c>
      <c r="AN292" s="825">
        <v>51</v>
      </c>
      <c r="AO292" s="825">
        <v>52</v>
      </c>
      <c r="AP292" s="825">
        <v>54</v>
      </c>
    </row>
    <row r="293" hidden="1">
      <c r="B293" s="835" t="s">
        <v>24</v>
      </c>
      <c r="C293" s="827">
        <v>702</v>
      </c>
      <c r="D293" s="827">
        <v>678</v>
      </c>
      <c r="E293" s="827">
        <v>661</v>
      </c>
      <c r="F293" s="827">
        <v>660</v>
      </c>
      <c r="G293" s="827">
        <v>658</v>
      </c>
      <c r="H293" s="827">
        <v>650</v>
      </c>
      <c r="I293" s="827">
        <v>643</v>
      </c>
      <c r="J293" s="827">
        <v>635</v>
      </c>
      <c r="K293" s="827">
        <v>632</v>
      </c>
      <c r="L293" s="827">
        <v>594</v>
      </c>
      <c r="M293" s="827">
        <v>592</v>
      </c>
      <c r="N293" s="827">
        <v>588</v>
      </c>
      <c r="O293" s="827">
        <v>576</v>
      </c>
      <c r="P293" s="827">
        <v>574</v>
      </c>
      <c r="Q293" s="827">
        <v>570</v>
      </c>
      <c r="R293" s="827">
        <v>564</v>
      </c>
      <c r="S293" s="827">
        <v>560</v>
      </c>
      <c r="T293" s="827">
        <v>570</v>
      </c>
      <c r="U293" s="827">
        <v>606</v>
      </c>
      <c r="V293" s="827">
        <v>617</v>
      </c>
      <c r="W293" s="827">
        <v>628</v>
      </c>
      <c r="X293" s="827">
        <v>640</v>
      </c>
      <c r="Y293" s="827">
        <v>635</v>
      </c>
      <c r="Z293" s="827">
        <v>640</v>
      </c>
      <c r="AA293" s="827">
        <v>635</v>
      </c>
      <c r="AB293" s="827">
        <v>638</v>
      </c>
      <c r="AC293" s="828">
        <v>635</v>
      </c>
      <c r="AD293" s="828">
        <v>634</v>
      </c>
      <c r="AE293" s="828">
        <v>630</v>
      </c>
      <c r="AF293" s="828">
        <v>627</v>
      </c>
      <c r="AG293" s="828">
        <v>627</v>
      </c>
      <c r="AH293" s="828">
        <v>615</v>
      </c>
      <c r="AI293" s="828">
        <v>614</v>
      </c>
      <c r="AJ293" s="828">
        <v>611</v>
      </c>
      <c r="AK293" s="828">
        <v>612</v>
      </c>
      <c r="AL293" s="828">
        <v>600</v>
      </c>
      <c r="AM293" s="828">
        <v>588</v>
      </c>
      <c r="AN293" s="828">
        <v>593</v>
      </c>
      <c r="AO293" s="828">
        <v>596</v>
      </c>
      <c r="AP293" s="828">
        <v>601</v>
      </c>
    </row>
    <row r="294" hidden="1">
      <c r="B294" s="829" t="s">
        <v>25</v>
      </c>
      <c r="C294" s="823">
        <v>0</v>
      </c>
      <c r="D294" s="823">
        <v>0</v>
      </c>
      <c r="E294" s="823">
        <v>0</v>
      </c>
      <c r="F294" s="823">
        <v>0</v>
      </c>
      <c r="G294" s="823">
        <v>0</v>
      </c>
      <c r="H294" s="823">
        <v>0</v>
      </c>
      <c r="I294" s="823">
        <v>0</v>
      </c>
      <c r="J294" s="823">
        <v>0</v>
      </c>
      <c r="K294" s="823">
        <v>0</v>
      </c>
      <c r="L294" s="823">
        <v>0</v>
      </c>
      <c r="M294" s="823">
        <v>0</v>
      </c>
      <c r="N294" s="823">
        <v>0</v>
      </c>
      <c r="O294" s="823">
        <v>0</v>
      </c>
      <c r="P294" s="823">
        <v>0</v>
      </c>
      <c r="Q294" s="823">
        <v>0</v>
      </c>
      <c r="R294" s="823">
        <v>0</v>
      </c>
      <c r="S294" s="823">
        <v>0</v>
      </c>
      <c r="T294" s="823">
        <v>0</v>
      </c>
      <c r="U294" s="823">
        <v>0</v>
      </c>
      <c r="V294" s="823">
        <v>0</v>
      </c>
      <c r="W294" s="823">
        <v>0</v>
      </c>
      <c r="X294" s="823">
        <v>0</v>
      </c>
      <c r="Y294" s="823">
        <v>0</v>
      </c>
      <c r="Z294" s="823">
        <v>0</v>
      </c>
      <c r="AA294" s="823">
        <v>0</v>
      </c>
      <c r="AB294" s="823">
        <v>0</v>
      </c>
      <c r="AC294" s="825">
        <v>0</v>
      </c>
      <c r="AD294" s="825">
        <v>0</v>
      </c>
      <c r="AE294" s="825">
        <v>0</v>
      </c>
      <c r="AF294" s="825">
        <v>0</v>
      </c>
      <c r="AG294" s="825">
        <v>0</v>
      </c>
      <c r="AH294" s="825">
        <v>0</v>
      </c>
      <c r="AI294" s="825">
        <v>0</v>
      </c>
      <c r="AJ294" s="825">
        <v>0</v>
      </c>
      <c r="AK294" s="825">
        <v>0</v>
      </c>
      <c r="AL294" s="825">
        <v>0</v>
      </c>
      <c r="AM294" s="825">
        <v>0</v>
      </c>
      <c r="AN294" s="825">
        <v>0</v>
      </c>
      <c r="AO294" s="825">
        <v>0</v>
      </c>
      <c r="AP294" s="825">
        <v>0</v>
      </c>
    </row>
    <row r="295" hidden="1" ht="13.5">
      <c r="B295" s="836" t="s">
        <v>26</v>
      </c>
      <c r="C295" s="827">
        <v>0</v>
      </c>
      <c r="D295" s="827">
        <v>0</v>
      </c>
      <c r="E295" s="827">
        <v>0</v>
      </c>
      <c r="F295" s="827">
        <v>0</v>
      </c>
      <c r="G295" s="827">
        <v>0</v>
      </c>
      <c r="H295" s="827">
        <v>0</v>
      </c>
      <c r="I295" s="827">
        <v>0</v>
      </c>
      <c r="J295" s="827">
        <v>0</v>
      </c>
      <c r="K295" s="827">
        <v>0</v>
      </c>
      <c r="L295" s="827">
        <v>0</v>
      </c>
      <c r="M295" s="827">
        <v>0</v>
      </c>
      <c r="N295" s="827">
        <v>0</v>
      </c>
      <c r="O295" s="827">
        <v>0</v>
      </c>
      <c r="P295" s="827">
        <v>0</v>
      </c>
      <c r="Q295" s="827">
        <v>0</v>
      </c>
      <c r="R295" s="827">
        <v>0</v>
      </c>
      <c r="S295" s="827">
        <v>0</v>
      </c>
      <c r="T295" s="827">
        <v>0</v>
      </c>
      <c r="U295" s="827">
        <v>0</v>
      </c>
      <c r="V295" s="827">
        <v>0</v>
      </c>
      <c r="W295" s="827">
        <v>0</v>
      </c>
      <c r="X295" s="827">
        <v>0</v>
      </c>
      <c r="Y295" s="827">
        <v>0</v>
      </c>
      <c r="Z295" s="827">
        <v>0</v>
      </c>
      <c r="AA295" s="827">
        <v>0</v>
      </c>
      <c r="AB295" s="837">
        <v>0</v>
      </c>
      <c r="AC295" s="828">
        <v>0</v>
      </c>
      <c r="AD295" s="828">
        <v>0</v>
      </c>
      <c r="AE295" s="828">
        <v>0</v>
      </c>
      <c r="AF295" s="828">
        <v>0</v>
      </c>
      <c r="AG295" s="828">
        <v>0</v>
      </c>
      <c r="AH295" s="828">
        <v>0</v>
      </c>
      <c r="AI295" s="828">
        <v>0</v>
      </c>
      <c r="AJ295" s="828">
        <v>0</v>
      </c>
      <c r="AK295" s="828">
        <v>0</v>
      </c>
      <c r="AL295" s="828">
        <v>0</v>
      </c>
      <c r="AM295" s="828">
        <v>0</v>
      </c>
      <c r="AN295" s="828">
        <v>0</v>
      </c>
      <c r="AO295" s="828">
        <v>0</v>
      </c>
      <c r="AP295" s="828">
        <v>0</v>
      </c>
    </row>
    <row r="296" hidden="1" ht="13.5">
      <c r="B296" s="128" t="s">
        <v>7</v>
      </c>
      <c r="C296" s="129" t="str">
        <f>IF(SUM(C277:C295)&lt;&gt;0,SUM(C277:C295),"")</f>
      </c>
      <c r="D296" s="129" t="str">
        <f ref="D296:AA296" t="shared" si="25">IF(SUM(D277:D295)&lt;&gt;0,SUM(D277:D295),"")</f>
      </c>
      <c r="E296" s="129" t="str">
        <f t="shared" si="25"/>
      </c>
      <c r="F296" s="129" t="str">
        <f t="shared" si="25"/>
      </c>
      <c r="G296" s="129" t="str">
        <f t="shared" si="25"/>
      </c>
      <c r="H296" s="129" t="str">
        <f t="shared" si="25"/>
      </c>
      <c r="I296" s="129" t="str">
        <f t="shared" si="25"/>
      </c>
      <c r="J296" s="129" t="str">
        <f t="shared" si="25"/>
      </c>
      <c r="K296" s="129" t="str">
        <f t="shared" si="25"/>
      </c>
      <c r="L296" s="129" t="str">
        <f t="shared" si="25"/>
      </c>
      <c r="M296" s="129" t="str">
        <f t="shared" si="25"/>
      </c>
      <c r="N296" s="129" t="str">
        <f t="shared" si="25"/>
      </c>
      <c r="O296" s="129" t="str">
        <f t="shared" si="25"/>
      </c>
      <c r="P296" s="129" t="str">
        <f t="shared" si="25"/>
      </c>
      <c r="Q296" s="129" t="str">
        <f t="shared" si="25"/>
      </c>
      <c r="R296" s="129" t="str">
        <f t="shared" si="25"/>
      </c>
      <c r="S296" s="129" t="str">
        <f t="shared" si="25"/>
      </c>
      <c r="T296" s="129" t="str">
        <f t="shared" si="25"/>
      </c>
      <c r="U296" s="129" t="str">
        <f t="shared" si="25"/>
      </c>
      <c r="V296" s="129" t="str">
        <f t="shared" si="25"/>
      </c>
      <c r="W296" s="129" t="str">
        <f t="shared" si="25"/>
      </c>
      <c r="X296" s="129" t="str">
        <f t="shared" si="25"/>
      </c>
      <c r="Y296" s="129" t="str">
        <f t="shared" si="25"/>
      </c>
      <c r="Z296" s="129" t="str">
        <f t="shared" si="25"/>
      </c>
      <c r="AA296" s="129" t="str">
        <f t="shared" si="25"/>
      </c>
      <c r="AB296" s="130" t="str">
        <f>IF(SUM(AB277:AB295)&lt;&gt;0,SUM(AB277:AB295),"")</f>
      </c>
      <c r="AC296" s="91" t="str">
        <f ref="AC296:CN296" t="shared" si="26">IF(SUM(AC277:AC295)&lt;&gt;0,SUM(AC277:AC295),"")</f>
      </c>
      <c r="AD296" s="91" t="str">
        <f t="shared" si="26"/>
      </c>
      <c r="AE296" s="91" t="str">
        <f t="shared" si="26"/>
      </c>
      <c r="AF296" s="91" t="str">
        <f t="shared" si="26"/>
      </c>
      <c r="AG296" s="91" t="str">
        <f t="shared" si="26"/>
      </c>
      <c r="AH296" s="91" t="str">
        <f t="shared" si="26"/>
      </c>
      <c r="AI296" s="91" t="str">
        <f t="shared" si="26"/>
      </c>
      <c r="AJ296" s="91" t="str">
        <f t="shared" si="26"/>
      </c>
      <c r="AK296" s="91" t="str">
        <f t="shared" si="26"/>
      </c>
      <c r="AL296" s="91" t="str">
        <f t="shared" si="26"/>
      </c>
      <c r="AM296" s="91" t="str">
        <f t="shared" si="26"/>
      </c>
      <c r="AN296" s="91" t="str">
        <f t="shared" si="26"/>
      </c>
      <c r="AO296" s="91" t="str">
        <f t="shared" si="26"/>
      </c>
      <c r="AP296" s="91" t="str">
        <f t="shared" si="26"/>
      </c>
      <c r="AQ296" s="91" t="str">
        <f t="shared" si="26"/>
      </c>
      <c r="AR296" s="91" t="str">
        <f t="shared" si="26"/>
      </c>
      <c r="AS296" s="91" t="str">
        <f t="shared" si="26"/>
      </c>
      <c r="AT296" s="91" t="str">
        <f t="shared" si="26"/>
      </c>
      <c r="AU296" s="91" t="str">
        <f t="shared" si="26"/>
      </c>
      <c r="AV296" s="91" t="str">
        <f t="shared" si="26"/>
      </c>
      <c r="AW296" s="91" t="str">
        <f t="shared" si="26"/>
      </c>
      <c r="AX296" s="91" t="str">
        <f t="shared" si="26"/>
      </c>
      <c r="AY296" s="91" t="str">
        <f t="shared" si="26"/>
      </c>
      <c r="AZ296" s="91" t="str">
        <f t="shared" si="26"/>
      </c>
      <c r="BA296" s="91" t="str">
        <f t="shared" si="26"/>
      </c>
      <c r="BB296" s="91" t="str">
        <f t="shared" si="26"/>
      </c>
      <c r="BC296" s="91" t="str">
        <f t="shared" si="26"/>
      </c>
      <c r="BD296" s="91" t="str">
        <f t="shared" si="26"/>
      </c>
      <c r="BE296" s="91" t="str">
        <f t="shared" si="26"/>
      </c>
      <c r="BF296" s="91" t="str">
        <f t="shared" si="26"/>
      </c>
      <c r="BG296" s="91" t="str">
        <f t="shared" si="26"/>
      </c>
      <c r="BH296" s="91" t="str">
        <f t="shared" si="26"/>
      </c>
      <c r="BI296" s="91" t="str">
        <f t="shared" si="26"/>
      </c>
      <c r="BJ296" s="91" t="str">
        <f t="shared" si="26"/>
      </c>
      <c r="BK296" s="91" t="str">
        <f t="shared" si="26"/>
      </c>
      <c r="BL296" s="91" t="str">
        <f t="shared" si="26"/>
      </c>
      <c r="BM296" s="91" t="str">
        <f t="shared" si="26"/>
      </c>
      <c r="BN296" s="91" t="str">
        <f t="shared" si="26"/>
      </c>
      <c r="BO296" s="91" t="str">
        <f t="shared" si="26"/>
      </c>
      <c r="BP296" s="91" t="str">
        <f t="shared" si="26"/>
      </c>
      <c r="BQ296" s="91" t="str">
        <f t="shared" si="26"/>
      </c>
      <c r="BR296" s="91" t="str">
        <f t="shared" si="26"/>
      </c>
      <c r="BS296" s="91" t="str">
        <f t="shared" si="26"/>
      </c>
      <c r="BT296" s="91" t="str">
        <f t="shared" si="26"/>
      </c>
      <c r="BU296" s="91" t="str">
        <f t="shared" si="26"/>
      </c>
      <c r="BV296" s="91" t="str">
        <f t="shared" si="26"/>
      </c>
      <c r="BW296" s="91" t="str">
        <f t="shared" si="26"/>
      </c>
      <c r="BX296" s="91" t="str">
        <f t="shared" si="26"/>
      </c>
      <c r="BY296" s="91" t="str">
        <f t="shared" si="26"/>
      </c>
      <c r="BZ296" s="91" t="str">
        <f t="shared" si="26"/>
      </c>
      <c r="CA296" s="91" t="str">
        <f t="shared" si="26"/>
      </c>
      <c r="CB296" s="91" t="str">
        <f t="shared" si="26"/>
      </c>
      <c r="CC296" s="91" t="str">
        <f t="shared" si="26"/>
      </c>
      <c r="CD296" s="91" t="str">
        <f t="shared" si="26"/>
      </c>
      <c r="CE296" s="91" t="str">
        <f t="shared" si="26"/>
      </c>
      <c r="CF296" s="91" t="str">
        <f t="shared" si="26"/>
      </c>
      <c r="CG296" s="91" t="str">
        <f t="shared" si="26"/>
      </c>
      <c r="CH296" s="91" t="str">
        <f t="shared" si="26"/>
      </c>
      <c r="CI296" s="91" t="str">
        <f t="shared" si="26"/>
      </c>
      <c r="CJ296" s="91" t="str">
        <f t="shared" si="26"/>
      </c>
      <c r="CK296" s="91" t="str">
        <f t="shared" si="26"/>
      </c>
      <c r="CL296" s="91" t="str">
        <f t="shared" si="26"/>
      </c>
      <c r="CM296" s="91" t="str">
        <f t="shared" si="26"/>
      </c>
      <c r="CN296" s="91" t="str">
        <f t="shared" si="26"/>
      </c>
      <c r="CO296" s="91" t="str">
        <f ref="CO296:EZ296" t="shared" si="27">IF(SUM(CO277:CO295)&lt;&gt;0,SUM(CO277:CO295),"")</f>
      </c>
      <c r="CP296" s="91" t="str">
        <f t="shared" si="27"/>
      </c>
      <c r="CQ296" s="91" t="str">
        <f t="shared" si="27"/>
      </c>
      <c r="CR296" s="91" t="str">
        <f t="shared" si="27"/>
      </c>
      <c r="CS296" s="91" t="str">
        <f t="shared" si="27"/>
      </c>
      <c r="CT296" s="91" t="str">
        <f t="shared" si="27"/>
      </c>
      <c r="CU296" s="91" t="str">
        <f t="shared" si="27"/>
      </c>
      <c r="CV296" s="91" t="str">
        <f t="shared" si="27"/>
      </c>
      <c r="CW296" s="91" t="str">
        <f t="shared" si="27"/>
      </c>
      <c r="CX296" s="91" t="str">
        <f t="shared" si="27"/>
      </c>
      <c r="CY296" s="91" t="str">
        <f t="shared" si="27"/>
      </c>
      <c r="CZ296" s="91" t="str">
        <f t="shared" si="27"/>
      </c>
      <c r="DA296" s="91" t="str">
        <f t="shared" si="27"/>
      </c>
      <c r="DB296" s="91" t="str">
        <f t="shared" si="27"/>
      </c>
      <c r="DC296" s="91" t="str">
        <f t="shared" si="27"/>
      </c>
      <c r="DD296" s="91" t="str">
        <f t="shared" si="27"/>
      </c>
      <c r="DE296" s="91" t="str">
        <f t="shared" si="27"/>
      </c>
      <c r="DF296" s="91" t="str">
        <f t="shared" si="27"/>
      </c>
      <c r="DG296" s="91" t="str">
        <f t="shared" si="27"/>
      </c>
      <c r="DH296" s="91" t="str">
        <f t="shared" si="27"/>
      </c>
      <c r="DI296" s="91" t="str">
        <f t="shared" si="27"/>
      </c>
      <c r="DJ296" s="91" t="str">
        <f t="shared" si="27"/>
      </c>
      <c r="DK296" s="91" t="str">
        <f t="shared" si="27"/>
      </c>
      <c r="DL296" s="91" t="str">
        <f t="shared" si="27"/>
      </c>
      <c r="DM296" s="91" t="str">
        <f t="shared" si="27"/>
      </c>
      <c r="DN296" s="91" t="str">
        <f t="shared" si="27"/>
      </c>
      <c r="DO296" s="91" t="str">
        <f t="shared" si="27"/>
      </c>
      <c r="DP296" s="91" t="str">
        <f t="shared" si="27"/>
      </c>
      <c r="DQ296" s="91" t="str">
        <f t="shared" si="27"/>
      </c>
      <c r="DR296" s="91" t="str">
        <f t="shared" si="27"/>
      </c>
      <c r="DS296" s="91" t="str">
        <f t="shared" si="27"/>
      </c>
      <c r="DT296" s="91" t="str">
        <f t="shared" si="27"/>
      </c>
      <c r="DU296" s="91" t="str">
        <f t="shared" si="27"/>
      </c>
      <c r="DV296" s="91" t="str">
        <f t="shared" si="27"/>
      </c>
      <c r="DW296" s="91" t="str">
        <f t="shared" si="27"/>
      </c>
      <c r="DX296" s="91" t="str">
        <f t="shared" si="27"/>
      </c>
      <c r="DY296" s="91" t="str">
        <f t="shared" si="27"/>
      </c>
      <c r="DZ296" s="91" t="str">
        <f t="shared" si="27"/>
      </c>
      <c r="EA296" s="91" t="str">
        <f t="shared" si="27"/>
      </c>
      <c r="EB296" s="91" t="str">
        <f t="shared" si="27"/>
      </c>
      <c r="EC296" s="91" t="str">
        <f t="shared" si="27"/>
      </c>
      <c r="ED296" s="91" t="str">
        <f t="shared" si="27"/>
      </c>
      <c r="EE296" s="91" t="str">
        <f t="shared" si="27"/>
      </c>
      <c r="EF296" s="91" t="str">
        <f t="shared" si="27"/>
      </c>
      <c r="EG296" s="91" t="str">
        <f t="shared" si="27"/>
      </c>
      <c r="EH296" s="91" t="str">
        <f t="shared" si="27"/>
      </c>
      <c r="EI296" s="91" t="str">
        <f t="shared" si="27"/>
      </c>
      <c r="EJ296" s="91" t="str">
        <f t="shared" si="27"/>
      </c>
      <c r="EK296" s="91" t="str">
        <f t="shared" si="27"/>
      </c>
      <c r="EL296" s="91" t="str">
        <f t="shared" si="27"/>
      </c>
      <c r="EM296" s="91" t="str">
        <f t="shared" si="27"/>
      </c>
      <c r="EN296" s="91" t="str">
        <f t="shared" si="27"/>
      </c>
      <c r="EO296" s="91" t="str">
        <f t="shared" si="27"/>
      </c>
      <c r="EP296" s="91" t="str">
        <f t="shared" si="27"/>
      </c>
      <c r="EQ296" s="91" t="str">
        <f t="shared" si="27"/>
      </c>
      <c r="ER296" s="91" t="str">
        <f t="shared" si="27"/>
      </c>
      <c r="ES296" s="91" t="str">
        <f t="shared" si="27"/>
      </c>
      <c r="ET296" s="91" t="str">
        <f t="shared" si="27"/>
      </c>
      <c r="EU296" s="91" t="str">
        <f t="shared" si="27"/>
      </c>
      <c r="EV296" s="91" t="str">
        <f t="shared" si="27"/>
      </c>
      <c r="EW296" s="91" t="str">
        <f t="shared" si="27"/>
      </c>
      <c r="EX296" s="91" t="str">
        <f t="shared" si="27"/>
      </c>
      <c r="EY296" s="91" t="str">
        <f t="shared" si="27"/>
      </c>
      <c r="EZ296" s="91" t="str">
        <f t="shared" si="27"/>
      </c>
      <c r="FA296" s="91" t="str">
        <f ref="FA296:HL296" t="shared" si="28">IF(SUM(FA277:FA295)&lt;&gt;0,SUM(FA277:FA295),"")</f>
      </c>
      <c r="FB296" s="91" t="str">
        <f t="shared" si="28"/>
      </c>
      <c r="FC296" s="91" t="str">
        <f t="shared" si="28"/>
      </c>
      <c r="FD296" s="91" t="str">
        <f t="shared" si="28"/>
      </c>
      <c r="FE296" s="91" t="str">
        <f t="shared" si="28"/>
      </c>
      <c r="FF296" s="91" t="str">
        <f t="shared" si="28"/>
      </c>
      <c r="FG296" s="91" t="str">
        <f t="shared" si="28"/>
      </c>
      <c r="FH296" s="91" t="str">
        <f t="shared" si="28"/>
      </c>
      <c r="FI296" s="91" t="str">
        <f t="shared" si="28"/>
      </c>
      <c r="FJ296" s="91" t="str">
        <f t="shared" si="28"/>
      </c>
      <c r="FK296" s="91" t="str">
        <f t="shared" si="28"/>
      </c>
      <c r="FL296" s="91" t="str">
        <f t="shared" si="28"/>
      </c>
      <c r="FM296" s="91" t="str">
        <f t="shared" si="28"/>
      </c>
      <c r="FN296" s="91" t="str">
        <f t="shared" si="28"/>
      </c>
      <c r="FO296" s="91" t="str">
        <f t="shared" si="28"/>
      </c>
      <c r="FP296" s="91" t="str">
        <f t="shared" si="28"/>
      </c>
      <c r="FQ296" s="91" t="str">
        <f t="shared" si="28"/>
      </c>
      <c r="FR296" s="91" t="str">
        <f t="shared" si="28"/>
      </c>
      <c r="FS296" s="91" t="str">
        <f t="shared" si="28"/>
      </c>
      <c r="FT296" s="91" t="str">
        <f t="shared" si="28"/>
      </c>
      <c r="FU296" s="91" t="str">
        <f t="shared" si="28"/>
      </c>
      <c r="FV296" s="91" t="str">
        <f t="shared" si="28"/>
      </c>
      <c r="FW296" s="91" t="str">
        <f t="shared" si="28"/>
      </c>
      <c r="FX296" s="91" t="str">
        <f t="shared" si="28"/>
      </c>
      <c r="FY296" s="91" t="str">
        <f t="shared" si="28"/>
      </c>
      <c r="FZ296" s="91" t="str">
        <f t="shared" si="28"/>
      </c>
      <c r="GA296" s="91" t="str">
        <f t="shared" si="28"/>
      </c>
      <c r="GB296" s="91" t="str">
        <f t="shared" si="28"/>
      </c>
      <c r="GC296" s="91" t="str">
        <f t="shared" si="28"/>
      </c>
      <c r="GD296" s="91" t="str">
        <f t="shared" si="28"/>
      </c>
      <c r="GE296" s="91" t="str">
        <f t="shared" si="28"/>
      </c>
      <c r="GF296" s="91" t="str">
        <f t="shared" si="28"/>
      </c>
      <c r="GG296" s="91" t="str">
        <f t="shared" si="28"/>
      </c>
      <c r="GH296" s="91" t="str">
        <f t="shared" si="28"/>
      </c>
      <c r="GI296" s="91" t="str">
        <f t="shared" si="28"/>
      </c>
      <c r="GJ296" s="91" t="str">
        <f t="shared" si="28"/>
      </c>
      <c r="GK296" s="91" t="str">
        <f t="shared" si="28"/>
      </c>
      <c r="GL296" s="91" t="str">
        <f t="shared" si="28"/>
      </c>
      <c r="GM296" s="91" t="str">
        <f t="shared" si="28"/>
      </c>
      <c r="GN296" s="91" t="str">
        <f t="shared" si="28"/>
      </c>
      <c r="GO296" s="91" t="str">
        <f t="shared" si="28"/>
      </c>
      <c r="GP296" s="91" t="str">
        <f t="shared" si="28"/>
      </c>
      <c r="GQ296" s="91" t="str">
        <f t="shared" si="28"/>
      </c>
      <c r="GR296" s="91" t="str">
        <f t="shared" si="28"/>
      </c>
      <c r="GS296" s="91" t="str">
        <f t="shared" si="28"/>
      </c>
      <c r="GT296" s="91" t="str">
        <f t="shared" si="28"/>
      </c>
      <c r="GU296" s="91" t="str">
        <f t="shared" si="28"/>
      </c>
      <c r="GV296" s="91" t="str">
        <f t="shared" si="28"/>
      </c>
      <c r="GW296" s="91" t="str">
        <f t="shared" si="28"/>
      </c>
      <c r="GX296" s="91" t="str">
        <f t="shared" si="28"/>
      </c>
      <c r="GY296" s="91" t="str">
        <f t="shared" si="28"/>
      </c>
      <c r="GZ296" s="91" t="str">
        <f t="shared" si="28"/>
      </c>
      <c r="HA296" s="91" t="str">
        <f t="shared" si="28"/>
      </c>
      <c r="HB296" s="91" t="str">
        <f t="shared" si="28"/>
      </c>
      <c r="HC296" s="91" t="str">
        <f t="shared" si="28"/>
      </c>
      <c r="HD296" s="91" t="str">
        <f t="shared" si="28"/>
      </c>
      <c r="HE296" s="91" t="str">
        <f t="shared" si="28"/>
      </c>
      <c r="HF296" s="91" t="str">
        <f t="shared" si="28"/>
      </c>
      <c r="HG296" s="91" t="str">
        <f t="shared" si="28"/>
      </c>
      <c r="HH296" s="91" t="str">
        <f t="shared" si="28"/>
      </c>
      <c r="HI296" s="91" t="str">
        <f t="shared" si="28"/>
      </c>
      <c r="HJ296" s="91" t="str">
        <f t="shared" si="28"/>
      </c>
      <c r="HK296" s="91" t="str">
        <f t="shared" si="28"/>
      </c>
      <c r="HL296" s="91" t="str">
        <f t="shared" si="28"/>
      </c>
      <c r="HM296" s="91" t="str">
        <f ref="HM296:IV296" t="shared" si="29">IF(SUM(HM277:HM295)&lt;&gt;0,SUM(HM277:HM295),"")</f>
      </c>
      <c r="HN296" s="91" t="str">
        <f t="shared" si="29"/>
      </c>
      <c r="HO296" s="91" t="str">
        <f t="shared" si="29"/>
      </c>
      <c r="HP296" s="91" t="str">
        <f t="shared" si="29"/>
      </c>
      <c r="HQ296" s="91" t="str">
        <f t="shared" si="29"/>
      </c>
      <c r="HR296" s="91" t="str">
        <f t="shared" si="29"/>
      </c>
      <c r="HS296" s="91" t="str">
        <f t="shared" si="29"/>
      </c>
      <c r="HT296" s="91" t="str">
        <f t="shared" si="29"/>
      </c>
      <c r="HU296" s="91" t="str">
        <f t="shared" si="29"/>
      </c>
      <c r="HV296" s="91" t="str">
        <f t="shared" si="29"/>
      </c>
      <c r="HW296" s="91" t="str">
        <f t="shared" si="29"/>
      </c>
      <c r="HX296" s="91" t="str">
        <f t="shared" si="29"/>
      </c>
      <c r="HY296" s="91" t="str">
        <f t="shared" si="29"/>
      </c>
      <c r="HZ296" s="91" t="str">
        <f t="shared" si="29"/>
      </c>
      <c r="IA296" s="91" t="str">
        <f t="shared" si="29"/>
      </c>
      <c r="IB296" s="91" t="str">
        <f t="shared" si="29"/>
      </c>
      <c r="IC296" s="91" t="str">
        <f t="shared" si="29"/>
      </c>
      <c r="ID296" s="91" t="str">
        <f t="shared" si="29"/>
      </c>
      <c r="IE296" s="91" t="str">
        <f t="shared" si="29"/>
      </c>
      <c r="IF296" s="91" t="str">
        <f t="shared" si="29"/>
      </c>
      <c r="IG296" s="91" t="str">
        <f t="shared" si="29"/>
      </c>
      <c r="IH296" s="91" t="str">
        <f t="shared" si="29"/>
      </c>
      <c r="II296" s="91" t="str">
        <f t="shared" si="29"/>
      </c>
      <c r="IJ296" s="91" t="str">
        <f t="shared" si="29"/>
      </c>
      <c r="IK296" s="91" t="str">
        <f t="shared" si="29"/>
      </c>
      <c r="IL296" s="91" t="str">
        <f t="shared" si="29"/>
      </c>
      <c r="IM296" s="91" t="str">
        <f t="shared" si="29"/>
      </c>
      <c r="IN296" s="91" t="str">
        <f t="shared" si="29"/>
      </c>
      <c r="IO296" s="91" t="str">
        <f t="shared" si="29"/>
      </c>
      <c r="IP296" s="91" t="str">
        <f t="shared" si="29"/>
      </c>
      <c r="IQ296" s="91" t="str">
        <f t="shared" si="29"/>
      </c>
      <c r="IR296" s="91" t="str">
        <f t="shared" si="29"/>
      </c>
      <c r="IS296" s="91" t="str">
        <f t="shared" si="29"/>
      </c>
      <c r="IT296" s="91" t="str">
        <f t="shared" si="29"/>
      </c>
      <c r="IU296" s="91" t="str">
        <f t="shared" si="29"/>
      </c>
      <c r="IV296" s="91" t="str">
        <f t="shared" si="29"/>
      </c>
    </row>
    <row r="297" hidden="1"/>
    <row r="298" hidden="1" ht="13.5"/>
    <row r="299" hidden="1" ht="26.25">
      <c r="B299" s="346">
        <v>43466</v>
      </c>
      <c r="C299" s="345" t="s">
        <v>386</v>
      </c>
      <c r="D299" s="345" t="s">
        <v>387</v>
      </c>
      <c r="E299" s="345" t="s">
        <v>388</v>
      </c>
      <c r="F299" s="345" t="s">
        <v>389</v>
      </c>
      <c r="G299" s="345" t="s">
        <v>108</v>
      </c>
      <c r="H299" s="346" t="str">
        <f>INDEX($C$299:$G$299,1,$F$88)</f>
        <v>Repr. Carne</v>
      </c>
      <c r="I299" s="50"/>
      <c r="J299" s="50"/>
      <c r="K299" s="50"/>
      <c r="L299" s="50"/>
    </row>
    <row r="300" hidden="1" ht="15" customHeight="1">
      <c r="B300" s="347" t="s">
        <v>8</v>
      </c>
      <c r="C300" s="68" t="e">
        <f>INDIRECT(ADDRESS(393,MATCH(9000000000+307,393:393,1),1,,))</f>
        <v>#N/A</v>
      </c>
      <c r="D300" s="68" t="e">
        <f>INDIRECT(ADDRESS(231,MATCH(9000000000+307,231:231,1),1,,))</f>
        <v>#N/A</v>
      </c>
      <c r="E300" s="68" t="e">
        <f>INDIRECT(ADDRESS(416,MATCH(9000000000+307,416:416,1),1,,))</f>
        <v>#N/A</v>
      </c>
      <c r="F300" s="68" t="e">
        <f>INDIRECT(ADDRESS(254,MATCH(9000000000+307,254:254,1),1,,))</f>
        <v>#N/A</v>
      </c>
      <c r="G300" s="68" t="e">
        <f>INDIRECT(ADDRESS(277,MATCH(9000000000+307,277:277,1),1,,))</f>
        <v>#N/A</v>
      </c>
      <c r="H300" s="348" t="e">
        <f>INDEX($C$300:$G$319,1,$F$88)</f>
        <v>#N/A</v>
      </c>
      <c r="I300" s="50"/>
      <c r="J300" s="50"/>
      <c r="K300" s="50"/>
      <c r="L300" s="50"/>
    </row>
    <row r="301" hidden="1">
      <c r="B301" s="277" t="s">
        <v>9</v>
      </c>
      <c r="C301" s="115" t="e">
        <f>INDIRECT(ADDRESS(394,MATCH(9000000000+307,394:394,1),1,,))</f>
        <v>#N/A</v>
      </c>
      <c r="D301" s="115" t="e">
        <f>INDIRECT(ADDRESS(232,MATCH(9000000000+307,232:232,1),1,,))</f>
        <v>#N/A</v>
      </c>
      <c r="E301" s="115" t="e">
        <f>INDIRECT(ADDRESS(417,MATCH(9000000000+307,417:417,1),1,,))</f>
        <v>#N/A</v>
      </c>
      <c r="F301" s="115" t="e">
        <f>INDIRECT(ADDRESS(255,MATCH(9000000000+307,255:255,1),1,,))</f>
        <v>#N/A</v>
      </c>
      <c r="G301" s="115" t="e">
        <f>INDIRECT(ADDRESS(278,MATCH(9000000000+307,278:278,1),1,,))</f>
        <v>#N/A</v>
      </c>
      <c r="H301" s="349" t="e">
        <f>INDEX($C$300:$G$319,2,$F$88)</f>
        <v>#N/A</v>
      </c>
      <c r="I301" s="50"/>
      <c r="J301" s="50"/>
      <c r="K301" s="50"/>
      <c r="L301" s="50"/>
    </row>
    <row r="302" hidden="1">
      <c r="B302" s="277" t="s">
        <v>10</v>
      </c>
      <c r="C302" s="115" t="e">
        <f>INDIRECT(ADDRESS(395,MATCH(9000000000+307,395:395,1),1,,))</f>
        <v>#N/A</v>
      </c>
      <c r="D302" s="115" t="e">
        <f>INDIRECT(ADDRESS(233,MATCH(9000000000+307,233:233,1),1,,))</f>
        <v>#N/A</v>
      </c>
      <c r="E302" s="115" t="e">
        <f>INDIRECT(ADDRESS(418,MATCH(9000000000+307,418:418,1),1,,))</f>
        <v>#N/A</v>
      </c>
      <c r="F302" s="115" t="e">
        <f>INDIRECT(ADDRESS(256,MATCH(9000000000+307,256:256,1),1,,))</f>
        <v>#N/A</v>
      </c>
      <c r="G302" s="115" t="e">
        <f>INDIRECT(ADDRESS(279,MATCH(9000000000+307,279:279,1),1,,))</f>
        <v>#N/A</v>
      </c>
      <c r="H302" s="349" t="e">
        <f>INDEX($C$300:$G$319,3,$F$88)</f>
        <v>#N/A</v>
      </c>
      <c r="I302" s="50"/>
      <c r="J302" s="50"/>
      <c r="K302" s="50"/>
      <c r="L302" s="50"/>
    </row>
    <row r="303" hidden="1">
      <c r="B303" s="277" t="s">
        <v>11</v>
      </c>
      <c r="C303" s="115" t="e">
        <f>INDIRECT(ADDRESS(396,MATCH(9000000000+307,396:396,1),1,,))</f>
        <v>#N/A</v>
      </c>
      <c r="D303" s="115" t="e">
        <f>INDIRECT(ADDRESS(234,MATCH(9000000000+307,234:234,1),1,,))</f>
        <v>#N/A</v>
      </c>
      <c r="E303" s="115" t="e">
        <f>INDIRECT(ADDRESS(419,MATCH(9000000000+307,419:419,1),1,,))</f>
        <v>#N/A</v>
      </c>
      <c r="F303" s="115" t="e">
        <f>INDIRECT(ADDRESS(257,MATCH(9000000000+307,257:257,1),1,,))</f>
        <v>#N/A</v>
      </c>
      <c r="G303" s="115" t="e">
        <f>INDIRECT(ADDRESS(280,MATCH(9000000000+307,280:280,1),1,,))</f>
        <v>#N/A</v>
      </c>
      <c r="H303" s="349" t="e">
        <f>INDEX($C$300:$G$319,4,$F$88)</f>
        <v>#N/A</v>
      </c>
      <c r="I303" s="50"/>
      <c r="J303" s="50"/>
      <c r="K303" s="50"/>
      <c r="L303" s="50"/>
    </row>
    <row r="304" hidden="1">
      <c r="B304" s="277" t="s">
        <v>12</v>
      </c>
      <c r="C304" s="115" t="e">
        <f>INDIRECT(ADDRESS(397,MATCH(9000000000+307,397:397,1),1,,))</f>
        <v>#N/A</v>
      </c>
      <c r="D304" s="115" t="e">
        <f>INDIRECT(ADDRESS(235,MATCH(9000000000+307,235:235,1),1,,))</f>
        <v>#N/A</v>
      </c>
      <c r="E304" s="115" t="e">
        <f>INDIRECT(ADDRESS(420,MATCH(9000000000+307,420:420,1),1,,))</f>
        <v>#N/A</v>
      </c>
      <c r="F304" s="115" t="e">
        <f>INDIRECT(ADDRESS(258,MATCH(9000000000+307,258:258,1),1,,))</f>
        <v>#N/A</v>
      </c>
      <c r="G304" s="115" t="e">
        <f>INDIRECT(ADDRESS(281,MATCH(9000000000+307,281:281,1),1,,))</f>
        <v>#N/A</v>
      </c>
      <c r="H304" s="349" t="e">
        <f>INDEX($C$300:$G$319,5,$F$88)</f>
        <v>#N/A</v>
      </c>
      <c r="I304" s="50"/>
      <c r="J304" s="50"/>
      <c r="K304" s="50"/>
      <c r="L304" s="50"/>
    </row>
    <row r="305" hidden="1">
      <c r="B305" s="277" t="s">
        <v>13</v>
      </c>
      <c r="C305" s="115" t="e">
        <f>INDIRECT(ADDRESS(398,MATCH(9000000000+307,398:398,1),1,,))</f>
        <v>#N/A</v>
      </c>
      <c r="D305" s="115" t="e">
        <f>INDIRECT(ADDRESS(236,MATCH(9000000000+307,236:236,1),1,,))</f>
        <v>#N/A</v>
      </c>
      <c r="E305" s="115" t="e">
        <f>INDIRECT(ADDRESS(421,MATCH(9000000000+307,421:421,1),1,,))</f>
        <v>#N/A</v>
      </c>
      <c r="F305" s="115" t="e">
        <f>INDIRECT(ADDRESS(259,MATCH(9000000000+307,259:259,1),1,,))</f>
        <v>#N/A</v>
      </c>
      <c r="G305" s="115" t="e">
        <f>INDIRECT(ADDRESS(282,MATCH(9000000000+307,282:282,1),1,,))</f>
        <v>#N/A</v>
      </c>
      <c r="H305" s="349" t="e">
        <f>INDEX($C$300:$G$319,6,$F$88)</f>
        <v>#N/A</v>
      </c>
      <c r="I305" s="50"/>
      <c r="J305" s="50"/>
      <c r="K305" s="50"/>
      <c r="L305" s="50"/>
    </row>
    <row r="306" hidden="1">
      <c r="B306" s="277" t="s">
        <v>109</v>
      </c>
      <c r="C306" s="115" t="e">
        <f>INDIRECT(ADDRESS(399,MATCH(9000000000+307,399:399,1),1,,))</f>
        <v>#N/A</v>
      </c>
      <c r="D306" s="115" t="e">
        <f>INDIRECT(ADDRESS(237,MATCH(9000000000+307,237:237,1),1,,))</f>
        <v>#N/A</v>
      </c>
      <c r="E306" s="115" t="e">
        <f>INDIRECT(ADDRESS(422,MATCH(9000000000+307,422:422,1),1,,))</f>
        <v>#N/A</v>
      </c>
      <c r="F306" s="115" t="e">
        <f>INDIRECT(ADDRESS(260,MATCH(9000000000+307,260:260,1),1,,))</f>
        <v>#N/A</v>
      </c>
      <c r="G306" s="115" t="e">
        <f>INDIRECT(ADDRESS(283,MATCH(9000000000+307,283:283,1),1,,))</f>
        <v>#N/A</v>
      </c>
      <c r="H306" s="349" t="e">
        <f>INDEX($C$300:$G$319,7,$F$88)</f>
        <v>#N/A</v>
      </c>
      <c r="I306" s="50"/>
      <c r="J306" s="50"/>
      <c r="K306" s="50"/>
      <c r="L306" s="50"/>
    </row>
    <row r="307" hidden="1">
      <c r="B307" s="277" t="s">
        <v>110</v>
      </c>
      <c r="C307" s="115" t="e">
        <f>INDIRECT(ADDRESS(400,MATCH(9000000000+307,400:400,1),1,,))</f>
        <v>#N/A</v>
      </c>
      <c r="D307" s="115" t="e">
        <f>INDIRECT(ADDRESS(238,MATCH(9000000000+307,238:238,1),1,,))</f>
        <v>#N/A</v>
      </c>
      <c r="E307" s="115" t="e">
        <f>INDIRECT(ADDRESS(423,MATCH(9000000000+307,423:423,1),1,,))</f>
        <v>#N/A</v>
      </c>
      <c r="F307" s="115" t="e">
        <f>INDIRECT(ADDRESS(261,MATCH(9000000000+307,261:261,1),1,,))</f>
        <v>#N/A</v>
      </c>
      <c r="G307" s="115" t="e">
        <f>INDIRECT(ADDRESS(284,MATCH(9000000000+307,284:284,1),1,,))</f>
        <v>#N/A</v>
      </c>
      <c r="H307" s="349" t="e">
        <f>INDEX($C$300:$G$319,8,$F$88)</f>
        <v>#N/A</v>
      </c>
      <c r="I307" s="50"/>
      <c r="J307" s="50"/>
      <c r="K307" s="50"/>
      <c r="L307" s="50"/>
    </row>
    <row r="308" hidden="1">
      <c r="B308" s="277" t="s">
        <v>16</v>
      </c>
      <c r="C308" s="115" t="e">
        <f>INDIRECT(ADDRESS(401,MATCH(9000000000+307,401:401,1),1,,))</f>
        <v>#N/A</v>
      </c>
      <c r="D308" s="115" t="e">
        <f>INDIRECT(ADDRESS(239,MATCH(9000000000+307,239:239,1),1,,))</f>
        <v>#N/A</v>
      </c>
      <c r="E308" s="115" t="e">
        <f>INDIRECT(ADDRESS(424,MATCH(9000000000+307,424:424,1),1,,))</f>
        <v>#N/A</v>
      </c>
      <c r="F308" s="115" t="e">
        <f>INDIRECT(ADDRESS(262,MATCH(9000000000+307,262:262,1),1,,))</f>
        <v>#N/A</v>
      </c>
      <c r="G308" s="115" t="e">
        <f>INDIRECT(ADDRESS(285,MATCH(9000000000+307,285:285,1),1,,))</f>
        <v>#N/A</v>
      </c>
      <c r="H308" s="349" t="e">
        <f>INDEX($C$300:$G$319,9,$F$88)</f>
        <v>#N/A</v>
      </c>
      <c r="I308" s="50"/>
      <c r="J308" s="50"/>
      <c r="K308" s="50"/>
      <c r="L308" s="50"/>
    </row>
    <row r="309" hidden="1">
      <c r="B309" s="277" t="s">
        <v>17</v>
      </c>
      <c r="C309" s="115" t="e">
        <f>INDIRECT(ADDRESS(402,MATCH(9000000000+307,402:402,1),1,,))</f>
        <v>#N/A</v>
      </c>
      <c r="D309" s="115" t="e">
        <f>INDIRECT(ADDRESS(240,MATCH(9000000000+307,240:240,1),1,,))</f>
        <v>#N/A</v>
      </c>
      <c r="E309" s="115" t="e">
        <f>INDIRECT(ADDRESS(425,MATCH(9000000000+307,425:425,1),1,,))</f>
        <v>#N/A</v>
      </c>
      <c r="F309" s="115" t="e">
        <f>INDIRECT(ADDRESS(263,MATCH(9000000000+307,263:263,1),1,,))</f>
        <v>#N/A</v>
      </c>
      <c r="G309" s="115" t="e">
        <f>INDIRECT(ADDRESS(286,MATCH(9000000000+307,286:286,1),1,,))</f>
        <v>#N/A</v>
      </c>
      <c r="H309" s="349" t="e">
        <f>INDEX($C$300:$G$319,10,$F$88)</f>
        <v>#N/A</v>
      </c>
      <c r="I309" s="50"/>
      <c r="J309" s="50"/>
      <c r="K309" s="50"/>
      <c r="L309" s="50"/>
    </row>
    <row r="310" hidden="1">
      <c r="B310" s="277" t="s">
        <v>18</v>
      </c>
      <c r="C310" s="115" t="e">
        <f>INDIRECT(ADDRESS(403,MATCH(9000000000+307,403:403,1),1,,))</f>
        <v>#N/A</v>
      </c>
      <c r="D310" s="115" t="e">
        <f>INDIRECT(ADDRESS(241,MATCH(9000000000+307,241:241,1),1,,))</f>
        <v>#N/A</v>
      </c>
      <c r="E310" s="115" t="e">
        <f>INDIRECT(ADDRESS(426,MATCH(9000000000+307,426:426,1),1,,))</f>
        <v>#N/A</v>
      </c>
      <c r="F310" s="115" t="e">
        <f>INDIRECT(ADDRESS(264,MATCH(9000000000+307,264:264,1),1,,))</f>
        <v>#N/A</v>
      </c>
      <c r="G310" s="115" t="e">
        <f>INDIRECT(ADDRESS(287,MATCH(9000000000+307,287:287,1),1,,))</f>
        <v>#N/A</v>
      </c>
      <c r="H310" s="349" t="e">
        <f>INDEX($C$300:$G$319,11,$F$88)</f>
        <v>#N/A</v>
      </c>
      <c r="I310" s="50"/>
      <c r="J310" s="50"/>
      <c r="K310" s="50"/>
      <c r="L310" s="50"/>
    </row>
    <row r="311" hidden="1">
      <c r="B311" s="277" t="s">
        <v>19</v>
      </c>
      <c r="C311" s="115" t="e">
        <f>INDIRECT(ADDRESS(404,MATCH(9000000000+307,404:404,1),1,,))</f>
        <v>#N/A</v>
      </c>
      <c r="D311" s="115" t="e">
        <f>INDIRECT(ADDRESS(242,MATCH(9000000000+307,242:242,1),1,,))</f>
        <v>#N/A</v>
      </c>
      <c r="E311" s="115" t="e">
        <f>INDIRECT(ADDRESS(427,MATCH(9000000000+307,427:427,1),1,,))</f>
        <v>#N/A</v>
      </c>
      <c r="F311" s="115" t="e">
        <f>INDIRECT(ADDRESS(265,MATCH(9000000000+307,265:265,1),1,,))</f>
        <v>#N/A</v>
      </c>
      <c r="G311" s="115" t="e">
        <f>INDIRECT(ADDRESS(288,MATCH(9000000000+307,288:288,1),1,,))</f>
        <v>#N/A</v>
      </c>
      <c r="H311" s="349" t="e">
        <f>INDEX($C$300:$G$319,12,$F$88)</f>
        <v>#N/A</v>
      </c>
      <c r="I311" s="50"/>
      <c r="J311" s="50"/>
      <c r="K311" s="50"/>
      <c r="L311" s="50"/>
    </row>
    <row r="312" hidden="1">
      <c r="B312" s="277" t="s">
        <v>20</v>
      </c>
      <c r="C312" s="115" t="e">
        <f>INDIRECT(ADDRESS(405,MATCH(9000000000+307,405:405,1),1,,))</f>
        <v>#N/A</v>
      </c>
      <c r="D312" s="115" t="e">
        <f>INDIRECT(ADDRESS(243,MATCH(9000000000+307,243:243,1),1,,))</f>
        <v>#N/A</v>
      </c>
      <c r="E312" s="115" t="e">
        <f>INDIRECT(ADDRESS(428,MATCH(9000000000+307,428:428,1),1,,))</f>
        <v>#N/A</v>
      </c>
      <c r="F312" s="115" t="e">
        <f>INDIRECT(ADDRESS(266,MATCH(9000000000+307,266:266,1),1,,))</f>
        <v>#N/A</v>
      </c>
      <c r="G312" s="115" t="e">
        <f>INDIRECT(ADDRESS(289,MATCH(9000000000+307,289:289,1),1,,))</f>
        <v>#N/A</v>
      </c>
      <c r="H312" s="349" t="e">
        <f>INDEX($C$300:$G$319,13,$F$88)</f>
        <v>#N/A</v>
      </c>
      <c r="I312" s="50"/>
      <c r="J312" s="50"/>
      <c r="K312" s="50"/>
      <c r="L312" s="50"/>
    </row>
    <row r="313" hidden="1">
      <c r="B313" s="277" t="s">
        <v>21</v>
      </c>
      <c r="C313" s="115" t="e">
        <f>INDIRECT(ADDRESS(406,MATCH(9000000000+307,406:406,1),1,,))</f>
        <v>#N/A</v>
      </c>
      <c r="D313" s="115" t="e">
        <f>INDIRECT(ADDRESS(244,MATCH(9000000000+307,244:244,1),1,,))</f>
        <v>#N/A</v>
      </c>
      <c r="E313" s="115" t="e">
        <f>INDIRECT(ADDRESS(429,MATCH(9000000000+307,429:429,1),1,,))</f>
        <v>#N/A</v>
      </c>
      <c r="F313" s="115" t="e">
        <f>INDIRECT(ADDRESS(267,MATCH(9000000000+307,267:267,1),1,,))</f>
        <v>#N/A</v>
      </c>
      <c r="G313" s="115" t="e">
        <f>INDIRECT(ADDRESS(290,MATCH(9000000000+307,290:290,1),1,,))</f>
        <v>#N/A</v>
      </c>
      <c r="H313" s="349" t="e">
        <f>INDEX($C$300:$G$319,14,$F$88)</f>
        <v>#N/A</v>
      </c>
      <c r="I313" s="50"/>
      <c r="J313" s="50"/>
      <c r="K313" s="50"/>
      <c r="L313" s="50"/>
    </row>
    <row r="314" hidden="1">
      <c r="B314" s="277" t="s">
        <v>22</v>
      </c>
      <c r="C314" s="115" t="e">
        <f>INDIRECT(ADDRESS(407,MATCH(9000000000+307,407:407,1),1,,))</f>
        <v>#N/A</v>
      </c>
      <c r="D314" s="115" t="e">
        <f>INDIRECT(ADDRESS(245,MATCH(9000000000+307,245:245,1),1,,))</f>
        <v>#N/A</v>
      </c>
      <c r="E314" s="115" t="e">
        <f>INDIRECT(ADDRESS(430,MATCH(9000000000+307,430:430,1),1,,))</f>
        <v>#N/A</v>
      </c>
      <c r="F314" s="115" t="e">
        <f>INDIRECT(ADDRESS(268,MATCH(9000000000+307,268:268,1),1,,))</f>
        <v>#N/A</v>
      </c>
      <c r="G314" s="115" t="e">
        <f>INDIRECT(ADDRESS(291,MATCH(9000000000+307,291:291,1),1,,))</f>
        <v>#N/A</v>
      </c>
      <c r="H314" s="349" t="e">
        <f>INDEX($C$300:$G$319,15,$F$88)</f>
        <v>#N/A</v>
      </c>
      <c r="I314" s="50"/>
      <c r="J314" s="50"/>
      <c r="K314" s="50"/>
      <c r="L314" s="50"/>
    </row>
    <row r="315" hidden="1">
      <c r="B315" s="277" t="s">
        <v>23</v>
      </c>
      <c r="C315" s="115" t="e">
        <f>INDIRECT(ADDRESS(408,MATCH(9000000000+307,408:408,1),1,,))</f>
        <v>#N/A</v>
      </c>
      <c r="D315" s="115" t="e">
        <f>INDIRECT(ADDRESS(246,MATCH(9000000000+307,246:246,1),1,,))</f>
        <v>#N/A</v>
      </c>
      <c r="E315" s="115" t="e">
        <f>INDIRECT(ADDRESS(431,MATCH(9000000000+307,431:431,1),1,,))</f>
        <v>#N/A</v>
      </c>
      <c r="F315" s="115" t="e">
        <f>INDIRECT(ADDRESS(269,MATCH(9000000000+307,269:269,1),1,,))</f>
        <v>#N/A</v>
      </c>
      <c r="G315" s="115" t="e">
        <f>INDIRECT(ADDRESS(292,MATCH(9000000000+307,292:292,1),1,,))</f>
        <v>#N/A</v>
      </c>
      <c r="H315" s="349" t="e">
        <f>INDEX($C$300:$G$319,16,$F$88)</f>
        <v>#N/A</v>
      </c>
      <c r="I315" s="50"/>
      <c r="J315" s="50"/>
      <c r="K315" s="50"/>
      <c r="L315" s="50"/>
    </row>
    <row r="316" hidden="1">
      <c r="B316" s="277" t="s">
        <v>24</v>
      </c>
      <c r="C316" s="115" t="e">
        <f>INDIRECT(ADDRESS(409,MATCH(9000000000+307,409:409,1),1,,))</f>
        <v>#N/A</v>
      </c>
      <c r="D316" s="115" t="e">
        <f>INDIRECT(ADDRESS(247,MATCH(9000000000+307,247:247,1),1,,))</f>
        <v>#N/A</v>
      </c>
      <c r="E316" s="115" t="e">
        <f>INDIRECT(ADDRESS(432,MATCH(9000000000+307,432:432,1),1,,))</f>
        <v>#N/A</v>
      </c>
      <c r="F316" s="115" t="e">
        <f>INDIRECT(ADDRESS(270,MATCH(9000000000+307,270:270,1),1,,))</f>
        <v>#N/A</v>
      </c>
      <c r="G316" s="115" t="e">
        <f>INDIRECT(ADDRESS(293,MATCH(9000000000+307,293:293,1),1,,))</f>
        <v>#N/A</v>
      </c>
      <c r="H316" s="349" t="e">
        <f>INDEX($C$300:$G$319,17,$F$88)</f>
        <v>#N/A</v>
      </c>
      <c r="I316" s="50"/>
      <c r="J316" s="50"/>
      <c r="K316" s="50"/>
      <c r="L316" s="50"/>
    </row>
    <row r="317" hidden="1">
      <c r="B317" s="277" t="s">
        <v>25</v>
      </c>
      <c r="C317" s="115" t="e">
        <f>INDIRECT(ADDRESS(410,MATCH(9000000000+307,410:410,1),1,,))</f>
        <v>#N/A</v>
      </c>
      <c r="D317" s="115" t="e">
        <f>INDIRECT(ADDRESS(248,MATCH(9000000000+307,248:248,1),1,,))</f>
        <v>#N/A</v>
      </c>
      <c r="E317" s="115" t="e">
        <f>INDIRECT(ADDRESS(433,MATCH(9000000000+307,433:433,1),1,,))</f>
        <v>#N/A</v>
      </c>
      <c r="F317" s="115" t="e">
        <f>INDIRECT(ADDRESS(271,MATCH(9000000000+307,271:271,1),1,,))</f>
        <v>#N/A</v>
      </c>
      <c r="G317" s="115" t="e">
        <f>INDIRECT(ADDRESS(294,MATCH(9000000000+307,294:294,1),1,,))</f>
        <v>#N/A</v>
      </c>
      <c r="H317" s="349" t="e">
        <f>INDEX($C$300:$G$319,18,$F$88)</f>
        <v>#N/A</v>
      </c>
      <c r="I317" s="50"/>
      <c r="J317" s="50"/>
      <c r="K317" s="50"/>
      <c r="L317" s="50"/>
    </row>
    <row r="318" hidden="1" ht="13.5">
      <c r="B318" s="342" t="s">
        <v>26</v>
      </c>
      <c r="C318" s="115" t="e">
        <f>INDIRECT(ADDRESS(411,MATCH(9000000000+307,411:411,1),1,,))</f>
        <v>#N/A</v>
      </c>
      <c r="D318" s="115" t="e">
        <f>INDIRECT(ADDRESS(249,MATCH(9000000000+307,249:249,1),1,,))</f>
        <v>#N/A</v>
      </c>
      <c r="E318" s="115" t="e">
        <f>INDIRECT(ADDRESS(434,MATCH(9000000000+307,434:434,1),1,,))</f>
        <v>#N/A</v>
      </c>
      <c r="F318" s="115" t="e">
        <f>INDIRECT(ADDRESS(272,MATCH(9000000000+307,272:272,1),1,,))</f>
        <v>#N/A</v>
      </c>
      <c r="G318" s="115" t="e">
        <f>INDIRECT(ADDRESS(295,MATCH(9000000000+307,295:295,1),1,,))</f>
        <v>#N/A</v>
      </c>
      <c r="H318" s="349" t="e">
        <f>INDEX($C$300:$G$319,19,$F$88)</f>
        <v>#N/A</v>
      </c>
      <c r="I318" s="50"/>
      <c r="J318" s="50"/>
      <c r="K318" s="50"/>
      <c r="L318" s="50"/>
    </row>
    <row r="319" hidden="1" ht="13.5">
      <c r="B319" s="343" t="s">
        <v>7</v>
      </c>
      <c r="C319" s="350" t="str">
        <f>AB412</f>
      </c>
      <c r="D319" s="170" t="str">
        <f>AB250</f>
      </c>
      <c r="E319" s="170" t="str">
        <f>AB435</f>
      </c>
      <c r="F319" s="170" t="str">
        <f>AB273</f>
      </c>
      <c r="G319" s="129" t="str">
        <f>AB296</f>
      </c>
      <c r="H319" s="351" t="e">
        <f>SUM(H300:H318)</f>
        <v>#N/A</v>
      </c>
      <c r="I319" s="50"/>
      <c r="J319" s="50"/>
      <c r="K319" s="50"/>
      <c r="L319" s="50"/>
    </row>
    <row r="320" hidden="1"/>
    <row r="321" hidden="1" ht="13.5"/>
    <row r="322" hidden="1" ht="15" customHeight="1">
      <c r="C322" s="686" t="s">
        <v>390</v>
      </c>
      <c r="D322" s="687"/>
      <c r="E322" s="687"/>
      <c r="F322" s="687"/>
      <c r="G322" s="687"/>
      <c r="H322" s="687"/>
      <c r="I322" s="687"/>
      <c r="J322" s="687"/>
      <c r="K322" s="687"/>
      <c r="L322" s="687"/>
      <c r="M322" s="687"/>
      <c r="N322" s="687"/>
      <c r="O322" s="687"/>
      <c r="P322" s="687"/>
      <c r="Q322" s="687"/>
      <c r="R322" s="687"/>
      <c r="S322" s="687"/>
      <c r="T322" s="687"/>
      <c r="U322" s="687"/>
      <c r="V322" s="687"/>
      <c r="W322" s="687"/>
      <c r="X322" s="687"/>
      <c r="Y322" s="687"/>
      <c r="Z322" s="687"/>
      <c r="AA322" s="687"/>
      <c r="AB322" s="688"/>
    </row>
    <row r="323" hidden="1" ht="13.5">
      <c r="C323" s="435" t="str">
        <f> IF(C343&lt;&gt;"",TEXT(AUX!G$1,"dd-MMM-aa"),"")</f>
      </c>
      <c r="D323" s="435" t="str">
        <f> IF(D343&lt;&gt;"",TEXT(AUX!H$1,"dd-MMM-aa"),"")</f>
      </c>
      <c r="E323" s="435" t="str">
        <f> IF(E343&lt;&gt;"",TEXT(AUX!I$1,"dd-MMM-aa"),"")</f>
      </c>
      <c r="F323" s="435" t="str">
        <f> IF(F343&lt;&gt;"",TEXT(AUX!J$1,"dd-MMM-aa"),"")</f>
      </c>
      <c r="G323" s="435" t="str">
        <f> IF(G343&lt;&gt;"",TEXT(AUX!K$1,"dd-MMM-aa"),"")</f>
      </c>
      <c r="H323" s="435" t="str">
        <f> IF(H343&lt;&gt;"",TEXT(AUX!L$1,"dd-MMM-aa"),"")</f>
      </c>
      <c r="I323" s="435" t="str">
        <f> IF(I343&lt;&gt;"",TEXT(AUX!M$1,"dd-MMM-aa"),"")</f>
      </c>
      <c r="J323" s="435" t="str">
        <f> IF(J343&lt;&gt;"",TEXT(AUX!N$1,"dd-MMM-aa"),"")</f>
      </c>
      <c r="K323" s="435" t="str">
        <f> IF(K343&lt;&gt;"",TEXT(AUX!O$1,"dd-MMM-aa"),"")</f>
      </c>
      <c r="L323" s="435" t="str">
        <f> IF(L343&lt;&gt;"",TEXT(AUX!P$1,"dd-MMM-aa"),"")</f>
      </c>
      <c r="M323" s="435" t="str">
        <f> IF(M343&lt;&gt;"",TEXT(AUX!Q$1,"dd-MMM-aa"),"")</f>
      </c>
      <c r="N323" s="435" t="str">
        <f> IF(N343&lt;&gt;"",TEXT(AUX!R$1,"dd-MMM-aa"),"")</f>
      </c>
      <c r="O323" s="435" t="str">
        <f> IF(O343&lt;&gt;"",TEXT(AUX!S$1,"dd-MMM-aa"),"")</f>
      </c>
      <c r="P323" s="435" t="str">
        <f> IF(P343&lt;&gt;"",TEXT(AUX!T$1,"dd-MMM-aa"),"")</f>
      </c>
      <c r="Q323" s="435" t="str">
        <f> IF(Q343&lt;&gt;"",TEXT(AUX!U$1,"dd-MMM-aa"),"")</f>
      </c>
      <c r="R323" s="435" t="str">
        <f> IF(R343&lt;&gt;"",TEXT(AUX!V$1,"dd-MMM-aa"),"")</f>
      </c>
      <c r="S323" s="435" t="str">
        <f> IF(S343&lt;&gt;"",TEXT(AUX!W$1,"dd-MMM-aa"),"")</f>
      </c>
      <c r="T323" s="435" t="str">
        <f> IF(T343&lt;&gt;"",TEXT(AUX!X$1,"dd-MMM-aa"),"")</f>
      </c>
      <c r="U323" s="435" t="str">
        <f> IF(U343&lt;&gt;"",TEXT(AUX!Y$1,"dd-MMM-aa"),"")</f>
      </c>
      <c r="V323" s="435" t="str">
        <f> IF(V343&lt;&gt;"",TEXT(AUX!Z$1,"dd-MMM-aa"),"")</f>
      </c>
      <c r="W323" s="435" t="str">
        <f> IF(W343&lt;&gt;"",TEXT(AUX!AA$1,"dd-MMM-aa"),"")</f>
      </c>
      <c r="X323" s="435" t="str">
        <f> IF(X343&lt;&gt;"",TEXT(AUX!AB$1,"dd-MMM-aa"),"")</f>
      </c>
      <c r="Y323" s="435" t="str">
        <f> IF(Y343&lt;&gt;"",TEXT(AUX!AC$1,"dd-MMM-aa"),"")</f>
      </c>
      <c r="Z323" s="435" t="str">
        <f> IF(Z343&lt;&gt;"",TEXT(AUX!AD$1,"dd-MMM-aa"),"")</f>
      </c>
      <c r="AA323" s="435" t="str">
        <f> IF(AA343&lt;&gt;"",TEXT(AUX!AE$1,"dd-MMM-aa"),"")</f>
      </c>
      <c r="AB323" s="497" t="str">
        <f> IF(AB343&lt;&gt;"",TEXT(AUX!AF$1,"dd-MMM-aa"),"")</f>
      </c>
      <c r="AC323" s="496" t="str">
        <f> IF(AC343&lt;&gt;"",TEXT(AUX!AG$1,"dd-MMM-aa"),"")</f>
      </c>
      <c r="AD323" s="496" t="str">
        <f> IF(AD343&lt;&gt;"",TEXT(AUX!AH$1,"dd-MMM-aa"),"")</f>
      </c>
      <c r="AE323" s="496" t="str">
        <f> IF(AE343&lt;&gt;"",TEXT(AUX!AI$1,"dd-MMM-aa"),"")</f>
      </c>
      <c r="AF323" s="496" t="str">
        <f> IF(AF343&lt;&gt;"",TEXT(AUX!AJ$1,"dd-MMM-aa"),"")</f>
      </c>
      <c r="AG323" s="496" t="str">
        <f> IF(AG343&lt;&gt;"",TEXT(AUX!AK$1,"dd-MMM-aa"),"")</f>
      </c>
      <c r="AH323" s="496" t="str">
        <f> IF(AH343&lt;&gt;"",TEXT(AUX!AL$1,"dd-MMM-aa"),"")</f>
      </c>
      <c r="AI323" s="496" t="str">
        <f> IF(AI343&lt;&gt;"",TEXT(AUX!AM$1,"dd-MMM-aa"),"")</f>
      </c>
      <c r="AJ323" s="496" t="str">
        <f> IF(AJ343&lt;&gt;"",TEXT(AUX!AN$1,"dd-MMM-aa"),"")</f>
      </c>
      <c r="AK323" s="496" t="str">
        <f> IF(AK343&lt;&gt;"",TEXT(AUX!AO$1,"dd-MMM-aa"),"")</f>
      </c>
      <c r="AL323" s="496" t="str">
        <f> IF(AL343&lt;&gt;"",TEXT(AUX!AP$1,"dd-MMM-aa"),"")</f>
      </c>
      <c r="AM323" s="496" t="str">
        <f> IF(AM343&lt;&gt;"",TEXT(AUX!AQ$1,"dd-MMM-aa"),"")</f>
      </c>
      <c r="AN323" s="496" t="str">
        <f> IF(AN343&lt;&gt;"",TEXT(AUX!AR$1,"dd-MMM-aa"),"")</f>
      </c>
      <c r="AO323" s="496" t="str">
        <f> IF(AO343&lt;&gt;"",TEXT(AUX!AS$1,"dd-MMM-aa"),"")</f>
      </c>
      <c r="AP323" s="496" t="str">
        <f> IF(AP343&lt;&gt;"",TEXT(AUX!AT$1,"dd-MMM-aa"),"")</f>
      </c>
      <c r="AQ323" s="496" t="str">
        <f> IF(AQ343&lt;&gt;"",TEXT(AUX!AU$1,"dd-MMM-aa"),"")</f>
      </c>
      <c r="AR323" s="496" t="str">
        <f> IF(AR343&lt;&gt;"",TEXT(AUX!AV$1,"dd-MMM-aa"),"")</f>
      </c>
      <c r="AS323" s="496" t="str">
        <f> IF(AS343&lt;&gt;"",TEXT(AUX!AW$1,"dd-MMM-aa"),"")</f>
      </c>
      <c r="AT323" s="496" t="str">
        <f> IF(AT343&lt;&gt;"",TEXT(AUX!AX$1,"dd-MMM-aa"),"")</f>
      </c>
      <c r="AU323" s="496" t="str">
        <f> IF(AU343&lt;&gt;"",TEXT(AUX!AY$1,"dd-MMM-aa"),"")</f>
      </c>
      <c r="AV323" s="496" t="str">
        <f> IF(AV343&lt;&gt;"",TEXT(AUX!AZ$1,"dd-MMM-aa"),"")</f>
      </c>
      <c r="AW323" s="496" t="str">
        <f> IF(AW343&lt;&gt;"",TEXT(AUX!BA$1,"dd-MMM-aa"),"")</f>
      </c>
      <c r="AX323" s="496" t="str">
        <f> IF(AX343&lt;&gt;"",TEXT(AUX!BB$1,"dd-MMM-aa"),"")</f>
      </c>
      <c r="AY323" s="496" t="str">
        <f> IF(AY343&lt;&gt;"",TEXT(AUX!BC$1,"dd-MMM-aa"),"")</f>
      </c>
      <c r="AZ323" s="496" t="str">
        <f> IF(AZ343&lt;&gt;"",TEXT(AUX!BD$1,"dd-MMM-aa"),"")</f>
      </c>
      <c r="BA323" s="496" t="str">
        <f> IF(BA343&lt;&gt;"",TEXT(AUX!BE$1,"dd-MMM-aa"),"")</f>
      </c>
      <c r="BB323" s="496" t="str">
        <f> IF(BB343&lt;&gt;"",TEXT(AUX!BF$1,"dd-MMM-aa"),"")</f>
      </c>
      <c r="BC323" s="496" t="str">
        <f> IF(BC343&lt;&gt;"",TEXT(AUX!BG$1,"dd-MMM-aa"),"")</f>
      </c>
      <c r="BD323" s="496" t="str">
        <f> IF(BD343&lt;&gt;"",TEXT(AUX!BH$1,"dd-MMM-aa"),"")</f>
      </c>
      <c r="BE323" s="496" t="str">
        <f> IF(BE343&lt;&gt;"",TEXT(AUX!BI$1,"dd-MMM-aa"),"")</f>
      </c>
      <c r="BF323" s="496" t="str">
        <f> IF(BF343&lt;&gt;"",TEXT(AUX!BJ$1,"dd-MMM-aa"),"")</f>
      </c>
      <c r="BG323" s="496" t="str">
        <f> IF(BG343&lt;&gt;"",TEXT(AUX!BK$1,"dd-MMM-aa"),"")</f>
      </c>
      <c r="BH323" s="496" t="str">
        <f> IF(BH343&lt;&gt;"",TEXT(AUX!BL$1,"dd-MMM-aa"),"")</f>
      </c>
      <c r="BI323" s="496" t="str">
        <f> IF(BI343&lt;&gt;"",TEXT(AUX!BM$1,"dd-MMM-aa"),"")</f>
      </c>
      <c r="BJ323" s="496" t="str">
        <f> IF(BJ343&lt;&gt;"",TEXT(AUX!BN$1,"dd-MMM-aa"),"")</f>
      </c>
      <c r="BK323" s="496" t="str">
        <f> IF(BK343&lt;&gt;"",TEXT(AUX!BO$1,"dd-MMM-aa"),"")</f>
      </c>
      <c r="BL323" s="496" t="str">
        <f> IF(BL343&lt;&gt;"",TEXT(AUX!BP$1,"dd-MMM-aa"),"")</f>
      </c>
      <c r="BM323" s="496" t="str">
        <f> IF(BM343&lt;&gt;"",TEXT(AUX!BQ$1,"dd-MMM-aa"),"")</f>
      </c>
      <c r="BN323" s="496" t="str">
        <f> IF(BN343&lt;&gt;"",TEXT(AUX!BR$1,"dd-MMM-aa"),"")</f>
      </c>
      <c r="BO323" s="496" t="str">
        <f> IF(BO343&lt;&gt;"",TEXT(AUX!BS$1,"dd-MMM-aa"),"")</f>
      </c>
      <c r="BP323" s="496" t="str">
        <f> IF(BP343&lt;&gt;"",TEXT(AUX!BT$1,"dd-MMM-aa"),"")</f>
      </c>
      <c r="BQ323" s="496" t="str">
        <f> IF(BQ343&lt;&gt;"",TEXT(AUX!BU$1,"dd-MMM-aa"),"")</f>
      </c>
      <c r="BR323" s="496" t="str">
        <f> IF(BR343&lt;&gt;"",TEXT(AUX!BV$1,"dd-MMM-aa"),"")</f>
      </c>
      <c r="BS323" s="496" t="str">
        <f> IF(BS343&lt;&gt;"",TEXT(AUX!BW$1,"dd-MMM-aa"),"")</f>
      </c>
      <c r="BT323" s="496" t="str">
        <f> IF(BT343&lt;&gt;"",TEXT(AUX!BX$1,"dd-MMM-aa"),"")</f>
      </c>
      <c r="BU323" s="496" t="str">
        <f> IF(BU343&lt;&gt;"",TEXT(AUX!BY$1,"dd-MMM-aa"),"")</f>
      </c>
      <c r="BV323" s="496" t="str">
        <f> IF(BV343&lt;&gt;"",TEXT(AUX!BZ$1,"dd-MMM-aa"),"")</f>
      </c>
      <c r="BW323" s="496" t="str">
        <f> IF(BW343&lt;&gt;"",TEXT(AUX!CA$1,"dd-MMM-aa"),"")</f>
      </c>
      <c r="BX323" s="496" t="str">
        <f> IF(BX343&lt;&gt;"",TEXT(AUX!CB$1,"dd-MMM-aa"),"")</f>
      </c>
      <c r="BY323" s="496" t="str">
        <f> IF(BY343&lt;&gt;"",TEXT(AUX!CC$1,"dd-MMM-aa"),"")</f>
      </c>
      <c r="BZ323" s="496" t="str">
        <f> IF(BZ343&lt;&gt;"",TEXT(AUX!CD$1,"dd-MMM-aa"),"")</f>
      </c>
      <c r="CA323" s="496" t="str">
        <f> IF(CA343&lt;&gt;"",TEXT(AUX!CE$1,"dd-MMM-aa"),"")</f>
      </c>
      <c r="CB323" s="496" t="str">
        <f> IF(CB343&lt;&gt;"",TEXT(AUX!CF$1,"dd-MMM-aa"),"")</f>
      </c>
      <c r="CC323" s="496" t="str">
        <f> IF(CC343&lt;&gt;"",TEXT(AUX!CG$1,"dd-MMM-aa"),"")</f>
      </c>
      <c r="CD323" s="496" t="str">
        <f> IF(CD343&lt;&gt;"",TEXT(AUX!CH$1,"dd-MMM-aa"),"")</f>
      </c>
      <c r="CE323" s="496" t="str">
        <f> IF(CE343&lt;&gt;"",TEXT(AUX!CI$1,"dd-MMM-aa"),"")</f>
      </c>
      <c r="CF323" s="496" t="str">
        <f> IF(CF343&lt;&gt;"",TEXT(AUX!CJ$1,"dd-MMM-aa"),"")</f>
      </c>
      <c r="CG323" s="496" t="str">
        <f> IF(CG343&lt;&gt;"",TEXT(AUX!CK$1,"dd-MMM-aa"),"")</f>
      </c>
      <c r="CH323" s="496" t="str">
        <f> IF(CH343&lt;&gt;"",TEXT(AUX!CL$1,"dd-MMM-aa"),"")</f>
      </c>
      <c r="CI323" s="496" t="str">
        <f> IF(CI343&lt;&gt;"",TEXT(AUX!CM$1,"dd-MMM-aa"),"")</f>
      </c>
      <c r="CJ323" s="496" t="str">
        <f> IF(CJ343&lt;&gt;"",TEXT(AUX!CN$1,"dd-MMM-aa"),"")</f>
      </c>
      <c r="CK323" s="496" t="str">
        <f> IF(CK343&lt;&gt;"",TEXT(AUX!CO$1,"dd-MMM-aa"),"")</f>
      </c>
      <c r="CL323" s="496" t="str">
        <f> IF(CL343&lt;&gt;"",TEXT(AUX!CP$1,"dd-MMM-aa"),"")</f>
      </c>
      <c r="CM323" s="496" t="str">
        <f> IF(CM343&lt;&gt;"",TEXT(AUX!CQ$1,"dd-MMM-aa"),"")</f>
      </c>
      <c r="CN323" s="496" t="str">
        <f> IF(CN343&lt;&gt;"",TEXT(AUX!CR$1,"dd-MMM-aa"),"")</f>
      </c>
      <c r="CO323" s="496" t="str">
        <f> IF(CO343&lt;&gt;"",TEXT(AUX!CS$1,"dd-MMM-aa"),"")</f>
      </c>
      <c r="CP323" s="496" t="str">
        <f> IF(CP343&lt;&gt;"",TEXT(AUX!CT$1,"dd-MMM-aa"),"")</f>
      </c>
      <c r="CQ323" s="496" t="str">
        <f> IF(CQ343&lt;&gt;"",TEXT(AUX!CU$1,"dd-MMM-aa"),"")</f>
      </c>
      <c r="CR323" s="496" t="str">
        <f> IF(CR343&lt;&gt;"",TEXT(AUX!CV$1,"dd-MMM-aa"),"")</f>
      </c>
      <c r="CS323" s="496" t="str">
        <f> IF(CS343&lt;&gt;"",TEXT(AUX!CW$1,"dd-MMM-aa"),"")</f>
      </c>
      <c r="CT323" s="496" t="str">
        <f> IF(CT343&lt;&gt;"",TEXT(AUX!CX$1,"dd-MMM-aa"),"")</f>
      </c>
      <c r="CU323" s="496" t="str">
        <f> IF(CU343&lt;&gt;"",TEXT(AUX!CY$1,"dd-MMM-aa"),"")</f>
      </c>
      <c r="CV323" s="496" t="str">
        <f> IF(CV343&lt;&gt;"",TEXT(AUX!CZ$1,"dd-MMM-aa"),"")</f>
      </c>
      <c r="CW323" s="496" t="str">
        <f> IF(CW343&lt;&gt;"",TEXT(AUX!DA$1,"dd-MMM-aa"),"")</f>
      </c>
      <c r="CX323" s="496" t="str">
        <f> IF(CX343&lt;&gt;"",TEXT(AUX!DB$1,"dd-MMM-aa"),"")</f>
      </c>
      <c r="CY323" s="496" t="str">
        <f> IF(CY343&lt;&gt;"",TEXT(AUX!DC$1,"dd-MMM-aa"),"")</f>
      </c>
      <c r="CZ323" s="496" t="str">
        <f> IF(CZ343&lt;&gt;"",TEXT(AUX!DD$1,"dd-MMM-aa"),"")</f>
      </c>
      <c r="DA323" s="496" t="str">
        <f> IF(DA343&lt;&gt;"",TEXT(AUX!DE$1,"dd-MMM-aa"),"")</f>
      </c>
      <c r="DB323" s="496" t="str">
        <f> IF(DB343&lt;&gt;"",TEXT(AUX!DF$1,"dd-MMM-aa"),"")</f>
      </c>
      <c r="DC323" s="496" t="str">
        <f> IF(DC343&lt;&gt;"",TEXT(AUX!DG$1,"dd-MMM-aa"),"")</f>
      </c>
      <c r="DD323" s="496" t="str">
        <f> IF(DD343&lt;&gt;"",TEXT(AUX!DH$1,"dd-MMM-aa"),"")</f>
      </c>
      <c r="DE323" s="496" t="str">
        <f> IF(DE343&lt;&gt;"",TEXT(AUX!DI$1,"dd-MMM-aa"),"")</f>
      </c>
      <c r="DF323" s="496" t="str">
        <f> IF(DF343&lt;&gt;"",TEXT(AUX!DJ$1,"dd-MMM-aa"),"")</f>
      </c>
      <c r="DG323" s="496" t="str">
        <f> IF(DG343&lt;&gt;"",TEXT(AUX!DK$1,"dd-MMM-aa"),"")</f>
      </c>
      <c r="DH323" s="496" t="str">
        <f> IF(DH343&lt;&gt;"",TEXT(AUX!DL$1,"dd-MMM-aa"),"")</f>
      </c>
      <c r="DI323" s="496" t="str">
        <f> IF(DI343&lt;&gt;"",TEXT(AUX!DM$1,"dd-MMM-aa"),"")</f>
      </c>
      <c r="DJ323" s="496" t="str">
        <f> IF(DJ343&lt;&gt;"",TEXT(AUX!DN$1,"dd-MMM-aa"),"")</f>
      </c>
      <c r="DK323" s="496" t="str">
        <f> IF(DK343&lt;&gt;"",TEXT(AUX!DO$1,"dd-MMM-aa"),"")</f>
      </c>
      <c r="DL323" s="496" t="str">
        <f> IF(DL343&lt;&gt;"",TEXT(AUX!DP$1,"dd-MMM-aa"),"")</f>
      </c>
      <c r="DM323" s="496" t="str">
        <f> IF(DM343&lt;&gt;"",TEXT(AUX!DQ$1,"dd-MMM-aa"),"")</f>
      </c>
      <c r="DN323" s="496" t="str">
        <f> IF(DN343&lt;&gt;"",TEXT(AUX!DR$1,"dd-MMM-aa"),"")</f>
      </c>
      <c r="DO323" s="496" t="str">
        <f> IF(DO343&lt;&gt;"",TEXT(AUX!DS$1,"dd-MMM-aa"),"")</f>
      </c>
      <c r="DP323" s="496" t="str">
        <f> IF(DP343&lt;&gt;"",TEXT(AUX!DT$1,"dd-MMM-aa"),"")</f>
      </c>
      <c r="DQ323" s="496" t="str">
        <f> IF(DQ343&lt;&gt;"",TEXT(AUX!DU$1,"dd-MMM-aa"),"")</f>
      </c>
      <c r="DR323" s="496" t="str">
        <f> IF(DR343&lt;&gt;"",TEXT(AUX!DV$1,"dd-MMM-aa"),"")</f>
      </c>
      <c r="DS323" s="496" t="str">
        <f> IF(DS343&lt;&gt;"",TEXT(AUX!DW$1,"dd-MMM-aa"),"")</f>
      </c>
      <c r="DT323" s="496" t="str">
        <f> IF(DT343&lt;&gt;"",TEXT(AUX!DX$1,"dd-MMM-aa"),"")</f>
      </c>
      <c r="DU323" s="496" t="str">
        <f> IF(DU343&lt;&gt;"",TEXT(AUX!DY$1,"dd-MMM-aa"),"")</f>
      </c>
      <c r="DV323" s="496" t="str">
        <f> IF(DV343&lt;&gt;"",TEXT(AUX!DZ$1,"dd-MMM-aa"),"")</f>
      </c>
      <c r="DW323" s="496" t="str">
        <f> IF(DW343&lt;&gt;"",TEXT(AUX!EA$1,"dd-MMM-aa"),"")</f>
      </c>
      <c r="DX323" s="496" t="str">
        <f> IF(DX343&lt;&gt;"",TEXT(AUX!EB$1,"dd-MMM-aa"),"")</f>
      </c>
      <c r="DY323" s="496" t="str">
        <f> IF(DY343&lt;&gt;"",TEXT(AUX!EC$1,"dd-MMM-aa"),"")</f>
      </c>
      <c r="DZ323" s="496" t="str">
        <f> IF(DZ343&lt;&gt;"",TEXT(AUX!ED$1,"dd-MMM-aa"),"")</f>
      </c>
      <c r="EA323" s="496" t="str">
        <f> IF(EA343&lt;&gt;"",TEXT(AUX!EE$1,"dd-MMM-aa"),"")</f>
      </c>
      <c r="EB323" s="496" t="str">
        <f> IF(EB343&lt;&gt;"",TEXT(AUX!EF$1,"dd-MMM-aa"),"")</f>
      </c>
      <c r="EC323" s="496" t="str">
        <f> IF(EC343&lt;&gt;"",TEXT(AUX!EG$1,"dd-MMM-aa"),"")</f>
      </c>
      <c r="ED323" s="496" t="str">
        <f> IF(ED343&lt;&gt;"",TEXT(AUX!EH$1,"dd-MMM-aa"),"")</f>
      </c>
      <c r="EE323" s="496" t="str">
        <f> IF(EE343&lt;&gt;"",TEXT(AUX!EI$1,"dd-MMM-aa"),"")</f>
      </c>
      <c r="EF323" s="496" t="str">
        <f> IF(EF343&lt;&gt;"",TEXT(AUX!EJ$1,"dd-MMM-aa"),"")</f>
      </c>
      <c r="EG323" s="496" t="str">
        <f> IF(EG343&lt;&gt;"",TEXT(AUX!EK$1,"dd-MMM-aa"),"")</f>
      </c>
      <c r="EH323" s="496" t="str">
        <f> IF(EH343&lt;&gt;"",TEXT(AUX!EL$1,"dd-MMM-aa"),"")</f>
      </c>
      <c r="EI323" s="496" t="str">
        <f> IF(EI343&lt;&gt;"",TEXT(AUX!EM$1,"dd-MMM-aa"),"")</f>
      </c>
      <c r="EJ323" s="496" t="str">
        <f> IF(EJ343&lt;&gt;"",TEXT(AUX!EN$1,"dd-MMM-aa"),"")</f>
      </c>
      <c r="EK323" s="496" t="str">
        <f> IF(EK343&lt;&gt;"",TEXT(AUX!EO$1,"dd-MMM-aa"),"")</f>
      </c>
      <c r="EL323" s="496" t="str">
        <f> IF(EL343&lt;&gt;"",TEXT(AUX!EP$1,"dd-MMM-aa"),"")</f>
      </c>
      <c r="EM323" s="496" t="str">
        <f> IF(EM343&lt;&gt;"",TEXT(AUX!EQ$1,"dd-MMM-aa"),"")</f>
      </c>
      <c r="EN323" s="496" t="str">
        <f> IF(EN343&lt;&gt;"",TEXT(AUX!ER$1,"dd-MMM-aa"),"")</f>
      </c>
      <c r="EO323" s="496" t="str">
        <f> IF(EO343&lt;&gt;"",TEXT(AUX!ES$1,"dd-MMM-aa"),"")</f>
      </c>
      <c r="EP323" s="496" t="str">
        <f> IF(EP343&lt;&gt;"",TEXT(AUX!ET$1,"dd-MMM-aa"),"")</f>
      </c>
      <c r="EQ323" s="496" t="str">
        <f> IF(EQ343&lt;&gt;"",TEXT(AUX!EU$1,"dd-MMM-aa"),"")</f>
      </c>
      <c r="ER323" s="496" t="str">
        <f> IF(ER343&lt;&gt;"",TEXT(AUX!EV$1,"dd-MMM-aa"),"")</f>
      </c>
      <c r="ES323" s="496" t="str">
        <f> IF(ES343&lt;&gt;"",TEXT(AUX!EW$1,"dd-MMM-aa"),"")</f>
      </c>
      <c r="ET323" s="496" t="str">
        <f> IF(ET343&lt;&gt;"",TEXT(AUX!EX$1,"dd-MMM-aa"),"")</f>
      </c>
      <c r="EU323" s="496" t="str">
        <f> IF(EU343&lt;&gt;"",TEXT(AUX!EY$1,"dd-MMM-aa"),"")</f>
      </c>
      <c r="EV323" s="496" t="str">
        <f> IF(EV343&lt;&gt;"",TEXT(AUX!EZ$1,"dd-MMM-aa"),"")</f>
      </c>
      <c r="EW323" s="496" t="str">
        <f> IF(EW343&lt;&gt;"",TEXT(AUX!FA$1,"dd-MMM-aa"),"")</f>
      </c>
      <c r="EX323" s="496" t="str">
        <f> IF(EX343&lt;&gt;"",TEXT(AUX!FB$1,"dd-MMM-aa"),"")</f>
      </c>
      <c r="EY323" s="496" t="str">
        <f> IF(EY343&lt;&gt;"",TEXT(AUX!FC$1,"dd-MMM-aa"),"")</f>
      </c>
      <c r="EZ323" s="496" t="str">
        <f> IF(EZ343&lt;&gt;"",TEXT(AUX!FD$1,"dd-MMM-aa"),"")</f>
      </c>
      <c r="FA323" s="496" t="str">
        <f> IF(FA343&lt;&gt;"",TEXT(AUX!FE$1,"dd-MMM-aa"),"")</f>
      </c>
      <c r="FB323" s="496" t="str">
        <f> IF(FB343&lt;&gt;"",TEXT(AUX!FF$1,"dd-MMM-aa"),"")</f>
      </c>
      <c r="FC323" s="496" t="str">
        <f> IF(FC343&lt;&gt;"",TEXT(AUX!FG$1,"dd-MMM-aa"),"")</f>
      </c>
      <c r="FD323" s="496" t="str">
        <f> IF(FD343&lt;&gt;"",TEXT(AUX!FH$1,"dd-MMM-aa"),"")</f>
      </c>
      <c r="FE323" s="496" t="str">
        <f> IF(FE343&lt;&gt;"",TEXT(AUX!FI$1,"dd-MMM-aa"),"")</f>
      </c>
      <c r="FF323" s="496" t="str">
        <f> IF(FF343&lt;&gt;"",TEXT(AUX!FJ$1,"dd-MMM-aa"),"")</f>
      </c>
      <c r="FG323" s="496" t="str">
        <f> IF(FG343&lt;&gt;"",TEXT(AUX!FK$1,"dd-MMM-aa"),"")</f>
      </c>
      <c r="FH323" s="496" t="str">
        <f> IF(FH343&lt;&gt;"",TEXT(AUX!FL$1,"dd-MMM-aa"),"")</f>
      </c>
      <c r="FI323" s="496" t="str">
        <f> IF(FI343&lt;&gt;"",TEXT(AUX!FM$1,"dd-MMM-aa"),"")</f>
      </c>
      <c r="FJ323" s="496" t="str">
        <f> IF(FJ343&lt;&gt;"",TEXT(AUX!FN$1,"dd-MMM-aa"),"")</f>
      </c>
      <c r="FK323" s="496" t="str">
        <f> IF(FK343&lt;&gt;"",TEXT(AUX!FO$1,"dd-MMM-aa"),"")</f>
      </c>
      <c r="FL323" s="496" t="str">
        <f> IF(FL343&lt;&gt;"",TEXT(AUX!FP$1,"dd-MMM-aa"),"")</f>
      </c>
      <c r="FM323" s="496" t="str">
        <f> IF(FM343&lt;&gt;"",TEXT(AUX!FQ$1,"dd-MMM-aa"),"")</f>
      </c>
      <c r="FN323" s="496" t="str">
        <f> IF(FN343&lt;&gt;"",TEXT(AUX!FR$1,"dd-MMM-aa"),"")</f>
      </c>
      <c r="FO323" s="496" t="str">
        <f> IF(FO343&lt;&gt;"",TEXT(AUX!FS$1,"dd-MMM-aa"),"")</f>
      </c>
      <c r="FP323" s="496" t="str">
        <f> IF(FP343&lt;&gt;"",TEXT(AUX!FT$1,"dd-MMM-aa"),"")</f>
      </c>
      <c r="FQ323" s="496" t="str">
        <f> IF(FQ343&lt;&gt;"",TEXT(AUX!FU$1,"dd-MMM-aa"),"")</f>
      </c>
      <c r="FR323" s="496" t="str">
        <f> IF(FR343&lt;&gt;"",TEXT(AUX!FV$1,"dd-MMM-aa"),"")</f>
      </c>
      <c r="FS323" s="496" t="str">
        <f> IF(FS343&lt;&gt;"",TEXT(AUX!FW$1,"dd-MMM-aa"),"")</f>
      </c>
      <c r="FT323" s="496" t="str">
        <f> IF(FT343&lt;&gt;"",TEXT(AUX!FX$1,"dd-MMM-aa"),"")</f>
      </c>
      <c r="FU323" s="496" t="str">
        <f> IF(FU343&lt;&gt;"",TEXT(AUX!FY$1,"dd-MMM-aa"),"")</f>
      </c>
      <c r="FV323" s="496" t="str">
        <f> IF(FV343&lt;&gt;"",TEXT(AUX!FZ$1,"dd-MMM-aa"),"")</f>
      </c>
      <c r="FW323" s="496" t="str">
        <f> IF(FW343&lt;&gt;"",TEXT(AUX!GA$1,"dd-MMM-aa"),"")</f>
      </c>
      <c r="FX323" s="496" t="str">
        <f> IF(FX343&lt;&gt;"",TEXT(AUX!GB$1,"dd-MMM-aa"),"")</f>
      </c>
      <c r="FY323" s="496" t="str">
        <f> IF(FY343&lt;&gt;"",TEXT(AUX!GC$1,"dd-MMM-aa"),"")</f>
      </c>
      <c r="FZ323" s="496" t="str">
        <f> IF(FZ343&lt;&gt;"",TEXT(AUX!GD$1,"dd-MMM-aa"),"")</f>
      </c>
      <c r="GA323" s="496" t="str">
        <f> IF(GA343&lt;&gt;"",TEXT(AUX!GE$1,"dd-MMM-aa"),"")</f>
      </c>
      <c r="GB323" s="496" t="str">
        <f> IF(GB343&lt;&gt;"",TEXT(AUX!GF$1,"dd-MMM-aa"),"")</f>
      </c>
      <c r="GC323" s="496" t="str">
        <f> IF(GC343&lt;&gt;"",TEXT(AUX!GG$1,"dd-MMM-aa"),"")</f>
      </c>
      <c r="GD323" s="496" t="str">
        <f> IF(GD343&lt;&gt;"",TEXT(AUX!GH$1,"dd-MMM-aa"),"")</f>
      </c>
      <c r="GE323" s="496" t="str">
        <f> IF(GE343&lt;&gt;"",TEXT(AUX!GI$1,"dd-MMM-aa"),"")</f>
      </c>
      <c r="GF323" s="496" t="str">
        <f> IF(GF343&lt;&gt;"",TEXT(AUX!GJ$1,"dd-MMM-aa"),"")</f>
      </c>
      <c r="GG323" s="496" t="str">
        <f> IF(GG343&lt;&gt;"",TEXT(AUX!GK$1,"dd-MMM-aa"),"")</f>
      </c>
      <c r="GH323" s="496" t="str">
        <f> IF(GH343&lt;&gt;"",TEXT(AUX!GL$1,"dd-MMM-aa"),"")</f>
      </c>
      <c r="GI323" s="496" t="str">
        <f> IF(GI343&lt;&gt;"",TEXT(AUX!GM$1,"dd-MMM-aa"),"")</f>
      </c>
      <c r="GJ323" s="496" t="str">
        <f> IF(GJ343&lt;&gt;"",TEXT(AUX!GN$1,"dd-MMM-aa"),"")</f>
      </c>
      <c r="GK323" s="496" t="str">
        <f> IF(GK343&lt;&gt;"",TEXT(AUX!GO$1,"dd-MMM-aa"),"")</f>
      </c>
      <c r="GL323" s="496" t="str">
        <f> IF(GL343&lt;&gt;"",TEXT(AUX!GP$1,"dd-MMM-aa"),"")</f>
      </c>
      <c r="GM323" s="496" t="str">
        <f> IF(GM343&lt;&gt;"",TEXT(AUX!GQ$1,"dd-MMM-aa"),"")</f>
      </c>
      <c r="GN323" s="496" t="str">
        <f> IF(GN343&lt;&gt;"",TEXT(AUX!GR$1,"dd-MMM-aa"),"")</f>
      </c>
      <c r="GO323" s="496" t="str">
        <f> IF(GO343&lt;&gt;"",TEXT(AUX!GS$1,"dd-MMM-aa"),"")</f>
      </c>
      <c r="GP323" s="496" t="str">
        <f> IF(GP343&lt;&gt;"",TEXT(AUX!GT$1,"dd-MMM-aa"),"")</f>
      </c>
      <c r="GQ323" s="496" t="str">
        <f> IF(GQ343&lt;&gt;"",TEXT(AUX!GU$1,"dd-MMM-aa"),"")</f>
      </c>
      <c r="GR323" s="496" t="str">
        <f> IF(GR343&lt;&gt;"",TEXT(AUX!GV$1,"dd-MMM-aa"),"")</f>
      </c>
      <c r="GS323" s="496" t="str">
        <f> IF(GS343&lt;&gt;"",TEXT(AUX!GW$1,"dd-MMM-aa"),"")</f>
      </c>
      <c r="GT323" s="496" t="str">
        <f> IF(GT343&lt;&gt;"",TEXT(AUX!GX$1,"dd-MMM-aa"),"")</f>
      </c>
      <c r="GU323" s="496" t="str">
        <f> IF(GU343&lt;&gt;"",TEXT(AUX!GY$1,"dd-MMM-aa"),"")</f>
      </c>
      <c r="GV323" s="496" t="str">
        <f> IF(GV343&lt;&gt;"",TEXT(AUX!GZ$1,"dd-MMM-aa"),"")</f>
      </c>
      <c r="GW323" s="496" t="str">
        <f> IF(GW343&lt;&gt;"",TEXT(AUX!HA$1,"dd-MMM-aa"),"")</f>
      </c>
      <c r="GX323" s="496" t="str">
        <f> IF(GX343&lt;&gt;"",TEXT(AUX!HB$1,"dd-MMM-aa"),"")</f>
      </c>
      <c r="GY323" s="496" t="str">
        <f> IF(GY343&lt;&gt;"",TEXT(AUX!HC$1,"dd-MMM-aa"),"")</f>
      </c>
      <c r="GZ323" s="496" t="str">
        <f> IF(GZ343&lt;&gt;"",TEXT(AUX!HD$1,"dd-MMM-aa"),"")</f>
      </c>
      <c r="HA323" s="496" t="str">
        <f> IF(HA343&lt;&gt;"",TEXT(AUX!HE$1,"dd-MMM-aa"),"")</f>
      </c>
      <c r="HB323" s="496" t="str">
        <f> IF(HB343&lt;&gt;"",TEXT(AUX!HF$1,"dd-MMM-aa"),"")</f>
      </c>
      <c r="HC323" s="496" t="str">
        <f> IF(HC343&lt;&gt;"",TEXT(AUX!HG$1,"dd-MMM-aa"),"")</f>
      </c>
      <c r="HD323" s="496" t="str">
        <f> IF(HD343&lt;&gt;"",TEXT(AUX!HH$1,"dd-MMM-aa"),"")</f>
      </c>
      <c r="HE323" s="496" t="str">
        <f> IF(HE343&lt;&gt;"",TEXT(AUX!HI$1,"dd-MMM-aa"),"")</f>
      </c>
      <c r="HF323" s="496" t="str">
        <f> IF(HF343&lt;&gt;"",TEXT(AUX!HJ$1,"dd-MMM-aa"),"")</f>
      </c>
      <c r="HG323" s="496" t="str">
        <f> IF(HG343&lt;&gt;"",TEXT(AUX!HK$1,"dd-MMM-aa"),"")</f>
      </c>
      <c r="HH323" s="496" t="str">
        <f> IF(HH343&lt;&gt;"",TEXT(AUX!HL$1,"dd-MMM-aa"),"")</f>
      </c>
      <c r="HI323" s="496" t="str">
        <f> IF(HI343&lt;&gt;"",TEXT(AUX!HM$1,"dd-MMM-aa"),"")</f>
      </c>
      <c r="HJ323" s="496" t="str">
        <f> IF(HJ343&lt;&gt;"",TEXT(AUX!HN$1,"dd-MMM-aa"),"")</f>
      </c>
      <c r="HK323" s="496" t="str">
        <f> IF(HK343&lt;&gt;"",TEXT(AUX!HO$1,"dd-MMM-aa"),"")</f>
      </c>
      <c r="HL323" s="496" t="str">
        <f> IF(HL343&lt;&gt;"",TEXT(AUX!HP$1,"dd-MMM-aa"),"")</f>
      </c>
      <c r="HM323" s="496" t="str">
        <f> IF(HM343&lt;&gt;"",TEXT(AUX!HQ$1,"dd-MMM-aa"),"")</f>
      </c>
      <c r="HN323" s="496" t="str">
        <f> IF(HN343&lt;&gt;"",TEXT(AUX!HR$1,"dd-MMM-aa"),"")</f>
      </c>
      <c r="HO323" s="496" t="str">
        <f> IF(HO343&lt;&gt;"",TEXT(AUX!HS$1,"dd-MMM-aa"),"")</f>
      </c>
      <c r="HP323" s="496" t="str">
        <f> IF(HP343&lt;&gt;"",TEXT(AUX!HT$1,"dd-MMM-aa"),"")</f>
      </c>
      <c r="HQ323" s="496" t="str">
        <f> IF(HQ343&lt;&gt;"",TEXT(AUX!HU$1,"dd-MMM-aa"),"")</f>
      </c>
      <c r="HR323" s="496" t="str">
        <f> IF(HR343&lt;&gt;"",TEXT(AUX!HV$1,"dd-MMM-aa"),"")</f>
      </c>
      <c r="HS323" s="496" t="str">
        <f> IF(HS343&lt;&gt;"",TEXT(AUX!HW$1,"dd-MMM-aa"),"")</f>
      </c>
      <c r="HT323" s="496" t="str">
        <f> IF(HT343&lt;&gt;"",TEXT(AUX!HX$1,"dd-MMM-aa"),"")</f>
      </c>
      <c r="HU323" s="496" t="str">
        <f> IF(HU343&lt;&gt;"",TEXT(AUX!HY$1,"dd-MMM-aa"),"")</f>
      </c>
      <c r="HV323" s="496" t="str">
        <f> IF(HV343&lt;&gt;"",TEXT(AUX!HZ$1,"dd-MMM-aa"),"")</f>
      </c>
      <c r="HW323" s="496" t="str">
        <f> IF(HW343&lt;&gt;"",TEXT(AUX!IA$1,"dd-MMM-aa"),"")</f>
      </c>
      <c r="HX323" s="496" t="str">
        <f> IF(HX343&lt;&gt;"",TEXT(AUX!IB$1,"dd-MMM-aa"),"")</f>
      </c>
      <c r="HY323" s="496" t="str">
        <f> IF(HY343&lt;&gt;"",TEXT(AUX!IC$1,"dd-MMM-aa"),"")</f>
      </c>
      <c r="HZ323" s="496" t="str">
        <f> IF(HZ343&lt;&gt;"",TEXT(AUX!ID$1,"dd-MMM-aa"),"")</f>
      </c>
      <c r="IA323" s="496" t="str">
        <f> IF(IA343&lt;&gt;"",TEXT(AUX!IE$1,"dd-MMM-aa"),"")</f>
      </c>
      <c r="IB323" s="496" t="str">
        <f> IF(IB343&lt;&gt;"",TEXT(AUX!IF$1,"dd-MMM-aa"),"")</f>
      </c>
      <c r="IC323" s="496" t="str">
        <f> IF(IC343&lt;&gt;"",TEXT(AUX!IG$1,"dd-MMM-aa"),"")</f>
      </c>
      <c r="ID323" s="496" t="str">
        <f> IF(ID343&lt;&gt;"",TEXT(AUX!IH$1,"dd-MMM-aa"),"")</f>
      </c>
      <c r="IE323" s="496" t="str">
        <f> IF(IE343&lt;&gt;"",TEXT(AUX!II$1,"dd-MMM-aa"),"")</f>
      </c>
      <c r="IF323" s="496" t="str">
        <f> IF(IF343&lt;&gt;"",TEXT(AUX!IJ$1,"dd-MMM-aa"),"")</f>
      </c>
      <c r="IG323" s="496" t="str">
        <f> IF(IG343&lt;&gt;"",TEXT(AUX!IK$1,"dd-MMM-aa"),"")</f>
      </c>
      <c r="IH323" s="496" t="str">
        <f> IF(IH343&lt;&gt;"",TEXT(AUX!IL$1,"dd-MMM-aa"),"")</f>
      </c>
      <c r="II323" s="496" t="str">
        <f> IF(II343&lt;&gt;"",TEXT(AUX!IM$1,"dd-MMM-aa"),"")</f>
      </c>
      <c r="IJ323" s="496" t="str">
        <f> IF(IJ343&lt;&gt;"",TEXT(AUX!IN$1,"dd-MMM-aa"),"")</f>
      </c>
      <c r="IK323" s="496" t="str">
        <f> IF(IK343&lt;&gt;"",TEXT(AUX!IO$1,"dd-MMM-aa"),"")</f>
      </c>
      <c r="IL323" s="496" t="str">
        <f> IF(IL343&lt;&gt;"",TEXT(AUX!IP$1,"dd-MMM-aa"),"")</f>
      </c>
      <c r="IM323" s="496" t="str">
        <f> IF(IM343&lt;&gt;"",TEXT(AUX!IQ$1,"dd-MMM-aa"),"")</f>
      </c>
      <c r="IN323" s="496" t="str">
        <f> IF(IN343&lt;&gt;"",TEXT(AUX!IR$1,"dd-MMM-aa"),"")</f>
      </c>
      <c r="IO323" s="496" t="str">
        <f> IF(IO343&lt;&gt;"",TEXT(AUX!IS$1,"dd-MMM-aa"),"")</f>
      </c>
      <c r="IP323" s="496" t="str">
        <f> IF(IP343&lt;&gt;"",TEXT(AUX!IT$1,"dd-MMM-aa"),"")</f>
      </c>
      <c r="IQ323" s="496" t="str">
        <f> IF(IQ343&lt;&gt;"",TEXT(AUX!IU$1,"dd-MMM-aa"),"")</f>
      </c>
      <c r="IR323" s="496" t="str">
        <f> IF(IR343&lt;&gt;"",TEXT(AUX!IV$1,"dd-MMM-aa"),"")</f>
      </c>
      <c r="IS323" s="496" t="str">
        <f> IF(IS343&lt;&gt;"",TEXT(AUX!#REF!,"dd-MMM-aa"),"")</f>
      </c>
      <c r="IT323" s="496" t="str">
        <f> IF(IT343&lt;&gt;"",TEXT(AUX!#REF!,"dd-MMM-aa"),"")</f>
      </c>
      <c r="IU323" s="496" t="str">
        <f> IF(IU343&lt;&gt;"",TEXT(AUX!#REF!,"dd-MMM-aa"),"")</f>
      </c>
      <c r="IV323" s="496" t="str">
        <f> IF(IV343&lt;&gt;"",TEXT(AUX!#REF!,"dd-MMM-aa"),"")</f>
      </c>
    </row>
    <row r="324" hidden="1">
      <c r="B324" s="822" t="s">
        <v>8</v>
      </c>
      <c r="C324" s="823">
        <v>4</v>
      </c>
      <c r="D324" s="823">
        <v>4</v>
      </c>
      <c r="E324" s="823">
        <v>7</v>
      </c>
      <c r="F324" s="823">
        <v>7</v>
      </c>
      <c r="G324" s="823">
        <v>7</v>
      </c>
      <c r="H324" s="823">
        <v>7</v>
      </c>
      <c r="I324" s="823">
        <v>7</v>
      </c>
      <c r="J324" s="823">
        <v>9</v>
      </c>
      <c r="K324" s="823">
        <v>10</v>
      </c>
      <c r="L324" s="823">
        <v>10</v>
      </c>
      <c r="M324" s="823">
        <v>6</v>
      </c>
      <c r="N324" s="823">
        <v>6</v>
      </c>
      <c r="O324" s="823">
        <v>5</v>
      </c>
      <c r="P324" s="823">
        <v>2</v>
      </c>
      <c r="Q324" s="823">
        <v>2</v>
      </c>
      <c r="R324" s="823">
        <v>2</v>
      </c>
      <c r="S324" s="823">
        <v>2</v>
      </c>
      <c r="T324" s="823">
        <v>2</v>
      </c>
      <c r="U324" s="823">
        <v>2</v>
      </c>
      <c r="V324" s="823">
        <v>2</v>
      </c>
      <c r="W324" s="823">
        <v>2</v>
      </c>
      <c r="X324" s="823">
        <v>2</v>
      </c>
      <c r="Y324" s="823">
        <v>2</v>
      </c>
      <c r="Z324" s="823">
        <v>2</v>
      </c>
      <c r="AA324" s="823">
        <v>2</v>
      </c>
      <c r="AB324" s="824">
        <v>2</v>
      </c>
      <c r="AC324" s="825">
        <v>2</v>
      </c>
      <c r="AD324" s="825">
        <v>2</v>
      </c>
      <c r="AE324" s="825">
        <v>2</v>
      </c>
      <c r="AF324" s="825">
        <v>2</v>
      </c>
      <c r="AG324" s="825">
        <v>2</v>
      </c>
      <c r="AH324" s="825">
        <v>2</v>
      </c>
      <c r="AI324" s="825">
        <v>2</v>
      </c>
      <c r="AJ324" s="825">
        <v>2</v>
      </c>
      <c r="AK324" s="825">
        <v>0</v>
      </c>
      <c r="AL324" s="825">
        <v>0</v>
      </c>
      <c r="AM324" s="825">
        <v>0</v>
      </c>
      <c r="AN324" s="825">
        <v>0</v>
      </c>
      <c r="AO324" s="825">
        <v>0</v>
      </c>
      <c r="AP324" s="825">
        <v>0</v>
      </c>
    </row>
    <row r="325" hidden="1">
      <c r="B325" s="826" t="s">
        <v>9</v>
      </c>
      <c r="C325" s="827">
        <v>0</v>
      </c>
      <c r="D325" s="827">
        <v>0</v>
      </c>
      <c r="E325" s="827">
        <v>0</v>
      </c>
      <c r="F325" s="827">
        <v>0</v>
      </c>
      <c r="G325" s="827">
        <v>0</v>
      </c>
      <c r="H325" s="827">
        <v>0</v>
      </c>
      <c r="I325" s="827">
        <v>0</v>
      </c>
      <c r="J325" s="827">
        <v>0</v>
      </c>
      <c r="K325" s="827">
        <v>0</v>
      </c>
      <c r="L325" s="827">
        <v>0</v>
      </c>
      <c r="M325" s="827">
        <v>0</v>
      </c>
      <c r="N325" s="827">
        <v>0</v>
      </c>
      <c r="O325" s="827">
        <v>0</v>
      </c>
      <c r="P325" s="827">
        <v>0</v>
      </c>
      <c r="Q325" s="827">
        <v>0</v>
      </c>
      <c r="R325" s="827">
        <v>0</v>
      </c>
      <c r="S325" s="827">
        <v>0</v>
      </c>
      <c r="T325" s="827">
        <v>0</v>
      </c>
      <c r="U325" s="827">
        <v>0</v>
      </c>
      <c r="V325" s="827">
        <v>0</v>
      </c>
      <c r="W325" s="827">
        <v>0</v>
      </c>
      <c r="X325" s="827">
        <v>0</v>
      </c>
      <c r="Y325" s="827">
        <v>0</v>
      </c>
      <c r="Z325" s="827">
        <v>0</v>
      </c>
      <c r="AA325" s="827">
        <v>0</v>
      </c>
      <c r="AB325" s="827">
        <v>0</v>
      </c>
      <c r="AC325" s="828">
        <v>0</v>
      </c>
      <c r="AD325" s="828">
        <v>0</v>
      </c>
      <c r="AE325" s="828">
        <v>0</v>
      </c>
      <c r="AF325" s="828">
        <v>0</v>
      </c>
      <c r="AG325" s="828">
        <v>0</v>
      </c>
      <c r="AH325" s="828">
        <v>0</v>
      </c>
      <c r="AI325" s="828">
        <v>0</v>
      </c>
      <c r="AJ325" s="828">
        <v>0</v>
      </c>
      <c r="AK325" s="828">
        <v>0</v>
      </c>
      <c r="AL325" s="828">
        <v>0</v>
      </c>
      <c r="AM325" s="828">
        <v>0</v>
      </c>
      <c r="AN325" s="828">
        <v>0</v>
      </c>
      <c r="AO325" s="828">
        <v>0</v>
      </c>
      <c r="AP325" s="828">
        <v>0</v>
      </c>
    </row>
    <row r="326" hidden="1">
      <c r="B326" s="829" t="s">
        <v>10</v>
      </c>
      <c r="C326" s="823">
        <v>0</v>
      </c>
      <c r="D326" s="823">
        <v>0</v>
      </c>
      <c r="E326" s="823">
        <v>0</v>
      </c>
      <c r="F326" s="823">
        <v>0</v>
      </c>
      <c r="G326" s="823">
        <v>0</v>
      </c>
      <c r="H326" s="823">
        <v>0</v>
      </c>
      <c r="I326" s="823">
        <v>0</v>
      </c>
      <c r="J326" s="823">
        <v>0</v>
      </c>
      <c r="K326" s="823">
        <v>0</v>
      </c>
      <c r="L326" s="823">
        <v>0</v>
      </c>
      <c r="M326" s="823">
        <v>0</v>
      </c>
      <c r="N326" s="823">
        <v>0</v>
      </c>
      <c r="O326" s="823">
        <v>0</v>
      </c>
      <c r="P326" s="823">
        <v>0</v>
      </c>
      <c r="Q326" s="823">
        <v>0</v>
      </c>
      <c r="R326" s="823">
        <v>0</v>
      </c>
      <c r="S326" s="823">
        <v>0</v>
      </c>
      <c r="T326" s="823">
        <v>0</v>
      </c>
      <c r="U326" s="823">
        <v>0</v>
      </c>
      <c r="V326" s="823">
        <v>0</v>
      </c>
      <c r="W326" s="823">
        <v>0</v>
      </c>
      <c r="X326" s="823">
        <v>0</v>
      </c>
      <c r="Y326" s="823">
        <v>0</v>
      </c>
      <c r="Z326" s="823">
        <v>0</v>
      </c>
      <c r="AA326" s="823">
        <v>0</v>
      </c>
      <c r="AB326" s="823">
        <v>0</v>
      </c>
      <c r="AC326" s="825">
        <v>0</v>
      </c>
      <c r="AD326" s="825">
        <v>0</v>
      </c>
      <c r="AE326" s="825">
        <v>0</v>
      </c>
      <c r="AF326" s="825">
        <v>0</v>
      </c>
      <c r="AG326" s="825">
        <v>0</v>
      </c>
      <c r="AH326" s="825">
        <v>0</v>
      </c>
      <c r="AI326" s="825">
        <v>0</v>
      </c>
      <c r="AJ326" s="825">
        <v>0</v>
      </c>
      <c r="AK326" s="825">
        <v>0</v>
      </c>
      <c r="AL326" s="825">
        <v>0</v>
      </c>
      <c r="AM326" s="825">
        <v>0</v>
      </c>
      <c r="AN326" s="825">
        <v>0</v>
      </c>
      <c r="AO326" s="825">
        <v>0</v>
      </c>
      <c r="AP326" s="825">
        <v>0</v>
      </c>
    </row>
    <row r="327" hidden="1">
      <c r="B327" s="826" t="s">
        <v>11</v>
      </c>
      <c r="C327" s="827">
        <v>0</v>
      </c>
      <c r="D327" s="827">
        <v>0</v>
      </c>
      <c r="E327" s="827">
        <v>0</v>
      </c>
      <c r="F327" s="827">
        <v>0</v>
      </c>
      <c r="G327" s="827">
        <v>0</v>
      </c>
      <c r="H327" s="827">
        <v>0</v>
      </c>
      <c r="I327" s="827">
        <v>0</v>
      </c>
      <c r="J327" s="827">
        <v>0</v>
      </c>
      <c r="K327" s="827">
        <v>0</v>
      </c>
      <c r="L327" s="827">
        <v>0</v>
      </c>
      <c r="M327" s="827">
        <v>0</v>
      </c>
      <c r="N327" s="827">
        <v>0</v>
      </c>
      <c r="O327" s="827">
        <v>1</v>
      </c>
      <c r="P327" s="827">
        <v>1</v>
      </c>
      <c r="Q327" s="827">
        <v>1</v>
      </c>
      <c r="R327" s="827">
        <v>1</v>
      </c>
      <c r="S327" s="827">
        <v>1</v>
      </c>
      <c r="T327" s="827">
        <v>1</v>
      </c>
      <c r="U327" s="827">
        <v>1</v>
      </c>
      <c r="V327" s="827">
        <v>1</v>
      </c>
      <c r="W327" s="827">
        <v>1</v>
      </c>
      <c r="X327" s="827">
        <v>1</v>
      </c>
      <c r="Y327" s="827">
        <v>1</v>
      </c>
      <c r="Z327" s="827">
        <v>1</v>
      </c>
      <c r="AA327" s="827">
        <v>1</v>
      </c>
      <c r="AB327" s="827">
        <v>1</v>
      </c>
      <c r="AC327" s="828">
        <v>0</v>
      </c>
      <c r="AD327" s="828">
        <v>0</v>
      </c>
      <c r="AE327" s="828">
        <v>0</v>
      </c>
      <c r="AF327" s="828">
        <v>0</v>
      </c>
      <c r="AG327" s="828">
        <v>0</v>
      </c>
      <c r="AH327" s="828">
        <v>0</v>
      </c>
      <c r="AI327" s="828">
        <v>0</v>
      </c>
      <c r="AJ327" s="828">
        <v>0</v>
      </c>
      <c r="AK327" s="828">
        <v>0</v>
      </c>
      <c r="AL327" s="828">
        <v>0</v>
      </c>
      <c r="AM327" s="828">
        <v>0</v>
      </c>
      <c r="AN327" s="828">
        <v>0</v>
      </c>
      <c r="AO327" s="828">
        <v>0</v>
      </c>
      <c r="AP327" s="828">
        <v>0</v>
      </c>
    </row>
    <row r="328" hidden="1">
      <c r="B328" s="829" t="s">
        <v>12</v>
      </c>
      <c r="C328" s="823">
        <v>1</v>
      </c>
      <c r="D328" s="823">
        <v>2</v>
      </c>
      <c r="E328" s="823">
        <v>2</v>
      </c>
      <c r="F328" s="823">
        <v>2</v>
      </c>
      <c r="G328" s="823">
        <v>1</v>
      </c>
      <c r="H328" s="823">
        <v>1</v>
      </c>
      <c r="I328" s="823">
        <v>1</v>
      </c>
      <c r="J328" s="823">
        <v>1</v>
      </c>
      <c r="K328" s="823">
        <v>1</v>
      </c>
      <c r="L328" s="823">
        <v>1</v>
      </c>
      <c r="M328" s="823">
        <v>1</v>
      </c>
      <c r="N328" s="823">
        <v>0</v>
      </c>
      <c r="O328" s="823">
        <v>0</v>
      </c>
      <c r="P328" s="823">
        <v>0</v>
      </c>
      <c r="Q328" s="823">
        <v>1</v>
      </c>
      <c r="R328" s="823">
        <v>1</v>
      </c>
      <c r="S328" s="823">
        <v>1</v>
      </c>
      <c r="T328" s="823">
        <v>1</v>
      </c>
      <c r="U328" s="823">
        <v>0</v>
      </c>
      <c r="V328" s="823">
        <v>0</v>
      </c>
      <c r="W328" s="823">
        <v>0</v>
      </c>
      <c r="X328" s="823">
        <v>0</v>
      </c>
      <c r="Y328" s="823">
        <v>0</v>
      </c>
      <c r="Z328" s="823">
        <v>0</v>
      </c>
      <c r="AA328" s="823">
        <v>0</v>
      </c>
      <c r="AB328" s="823">
        <v>0</v>
      </c>
      <c r="AC328" s="825">
        <v>0</v>
      </c>
      <c r="AD328" s="825">
        <v>0</v>
      </c>
      <c r="AE328" s="825">
        <v>0</v>
      </c>
      <c r="AF328" s="825">
        <v>0</v>
      </c>
      <c r="AG328" s="825">
        <v>0</v>
      </c>
      <c r="AH328" s="825">
        <v>0</v>
      </c>
      <c r="AI328" s="825">
        <v>0</v>
      </c>
      <c r="AJ328" s="825">
        <v>0</v>
      </c>
      <c r="AK328" s="825">
        <v>1</v>
      </c>
      <c r="AL328" s="825">
        <v>1</v>
      </c>
      <c r="AM328" s="825">
        <v>1</v>
      </c>
      <c r="AN328" s="825">
        <v>1</v>
      </c>
      <c r="AO328" s="825">
        <v>2</v>
      </c>
      <c r="AP328" s="825">
        <v>2</v>
      </c>
    </row>
    <row r="329" hidden="1">
      <c r="B329" s="826" t="s">
        <v>13</v>
      </c>
      <c r="C329" s="827">
        <v>0</v>
      </c>
      <c r="D329" s="827">
        <v>0</v>
      </c>
      <c r="E329" s="827">
        <v>0</v>
      </c>
      <c r="F329" s="827">
        <v>0</v>
      </c>
      <c r="G329" s="827">
        <v>0</v>
      </c>
      <c r="H329" s="827">
        <v>0</v>
      </c>
      <c r="I329" s="827">
        <v>0</v>
      </c>
      <c r="J329" s="827">
        <v>0</v>
      </c>
      <c r="K329" s="827">
        <v>0</v>
      </c>
      <c r="L329" s="827">
        <v>0</v>
      </c>
      <c r="M329" s="827">
        <v>0</v>
      </c>
      <c r="N329" s="827">
        <v>0</v>
      </c>
      <c r="O329" s="827">
        <v>0</v>
      </c>
      <c r="P329" s="827">
        <v>0</v>
      </c>
      <c r="Q329" s="827">
        <v>0</v>
      </c>
      <c r="R329" s="827">
        <v>0</v>
      </c>
      <c r="S329" s="827">
        <v>0</v>
      </c>
      <c r="T329" s="827">
        <v>0</v>
      </c>
      <c r="U329" s="827">
        <v>0</v>
      </c>
      <c r="V329" s="827">
        <v>0</v>
      </c>
      <c r="W329" s="827">
        <v>0</v>
      </c>
      <c r="X329" s="827">
        <v>0</v>
      </c>
      <c r="Y329" s="827">
        <v>0</v>
      </c>
      <c r="Z329" s="827">
        <v>0</v>
      </c>
      <c r="AA329" s="827">
        <v>0</v>
      </c>
      <c r="AB329" s="827">
        <v>0</v>
      </c>
      <c r="AC329" s="828">
        <v>0</v>
      </c>
      <c r="AD329" s="828">
        <v>0</v>
      </c>
      <c r="AE329" s="828">
        <v>0</v>
      </c>
      <c r="AF329" s="828">
        <v>0</v>
      </c>
      <c r="AG329" s="828">
        <v>0</v>
      </c>
      <c r="AH329" s="828">
        <v>0</v>
      </c>
      <c r="AI329" s="828">
        <v>0</v>
      </c>
      <c r="AJ329" s="828">
        <v>0</v>
      </c>
      <c r="AK329" s="828">
        <v>1</v>
      </c>
      <c r="AL329" s="828">
        <v>1</v>
      </c>
      <c r="AM329" s="828">
        <v>1</v>
      </c>
      <c r="AN329" s="828">
        <v>1</v>
      </c>
      <c r="AO329" s="828">
        <v>1</v>
      </c>
      <c r="AP329" s="828">
        <v>1</v>
      </c>
    </row>
    <row r="330" hidden="1">
      <c r="B330" s="829" t="s">
        <v>109</v>
      </c>
      <c r="C330" s="823">
        <v>5</v>
      </c>
      <c r="D330" s="823">
        <v>0</v>
      </c>
      <c r="E330" s="823">
        <v>0</v>
      </c>
      <c r="F330" s="823">
        <v>0</v>
      </c>
      <c r="G330" s="823">
        <v>0</v>
      </c>
      <c r="H330" s="823">
        <v>0</v>
      </c>
      <c r="I330" s="823">
        <v>0</v>
      </c>
      <c r="J330" s="823">
        <v>0</v>
      </c>
      <c r="K330" s="823">
        <v>0</v>
      </c>
      <c r="L330" s="823">
        <v>0</v>
      </c>
      <c r="M330" s="823">
        <v>0</v>
      </c>
      <c r="N330" s="823">
        <v>0</v>
      </c>
      <c r="O330" s="823">
        <v>0</v>
      </c>
      <c r="P330" s="823">
        <v>0</v>
      </c>
      <c r="Q330" s="823">
        <v>0</v>
      </c>
      <c r="R330" s="823">
        <v>0</v>
      </c>
      <c r="S330" s="823">
        <v>0</v>
      </c>
      <c r="T330" s="823">
        <v>0</v>
      </c>
      <c r="U330" s="823">
        <v>0</v>
      </c>
      <c r="V330" s="823">
        <v>0</v>
      </c>
      <c r="W330" s="823">
        <v>0</v>
      </c>
      <c r="X330" s="823">
        <v>0</v>
      </c>
      <c r="Y330" s="823">
        <v>0</v>
      </c>
      <c r="Z330" s="823">
        <v>0</v>
      </c>
      <c r="AA330" s="823">
        <v>0</v>
      </c>
      <c r="AB330" s="823">
        <v>0</v>
      </c>
      <c r="AC330" s="825">
        <v>0</v>
      </c>
      <c r="AD330" s="825">
        <v>0</v>
      </c>
      <c r="AE330" s="825">
        <v>0</v>
      </c>
      <c r="AF330" s="825">
        <v>0</v>
      </c>
      <c r="AG330" s="825">
        <v>0</v>
      </c>
      <c r="AH330" s="825">
        <v>0</v>
      </c>
      <c r="AI330" s="825">
        <v>0</v>
      </c>
      <c r="AJ330" s="825">
        <v>0</v>
      </c>
      <c r="AK330" s="825">
        <v>0</v>
      </c>
      <c r="AL330" s="825">
        <v>0</v>
      </c>
      <c r="AM330" s="825">
        <v>0</v>
      </c>
      <c r="AN330" s="825">
        <v>0</v>
      </c>
      <c r="AO330" s="825">
        <v>0</v>
      </c>
      <c r="AP330" s="825">
        <v>0</v>
      </c>
    </row>
    <row r="331" hidden="1">
      <c r="B331" s="826" t="s">
        <v>110</v>
      </c>
      <c r="C331" s="827">
        <v>3</v>
      </c>
      <c r="D331" s="827">
        <v>3</v>
      </c>
      <c r="E331" s="827">
        <v>4</v>
      </c>
      <c r="F331" s="827">
        <v>5</v>
      </c>
      <c r="G331" s="827">
        <v>1</v>
      </c>
      <c r="H331" s="827">
        <v>1</v>
      </c>
      <c r="I331" s="827">
        <v>1</v>
      </c>
      <c r="J331" s="827">
        <v>1</v>
      </c>
      <c r="K331" s="827">
        <v>1</v>
      </c>
      <c r="L331" s="827">
        <v>1</v>
      </c>
      <c r="M331" s="827">
        <v>1</v>
      </c>
      <c r="N331" s="827">
        <v>0</v>
      </c>
      <c r="O331" s="827">
        <v>0</v>
      </c>
      <c r="P331" s="827">
        <v>0</v>
      </c>
      <c r="Q331" s="827">
        <v>0</v>
      </c>
      <c r="R331" s="827">
        <v>0</v>
      </c>
      <c r="S331" s="827">
        <v>0</v>
      </c>
      <c r="T331" s="827">
        <v>0</v>
      </c>
      <c r="U331" s="827">
        <v>0</v>
      </c>
      <c r="V331" s="827">
        <v>0</v>
      </c>
      <c r="W331" s="827">
        <v>3</v>
      </c>
      <c r="X331" s="827">
        <v>3</v>
      </c>
      <c r="Y331" s="827">
        <v>4</v>
      </c>
      <c r="Z331" s="827">
        <v>4</v>
      </c>
      <c r="AA331" s="827">
        <v>6</v>
      </c>
      <c r="AB331" s="827">
        <v>6</v>
      </c>
      <c r="AC331" s="828">
        <v>6</v>
      </c>
      <c r="AD331" s="828">
        <v>6</v>
      </c>
      <c r="AE331" s="828">
        <v>6</v>
      </c>
      <c r="AF331" s="828">
        <v>6</v>
      </c>
      <c r="AG331" s="828">
        <v>6</v>
      </c>
      <c r="AH331" s="828">
        <v>6</v>
      </c>
      <c r="AI331" s="828">
        <v>6</v>
      </c>
      <c r="AJ331" s="828">
        <v>6</v>
      </c>
      <c r="AK331" s="828">
        <v>7</v>
      </c>
      <c r="AL331" s="828">
        <v>6</v>
      </c>
      <c r="AM331" s="828">
        <v>6</v>
      </c>
      <c r="AN331" s="828">
        <v>6</v>
      </c>
      <c r="AO331" s="828">
        <v>6</v>
      </c>
      <c r="AP331" s="828">
        <v>7</v>
      </c>
    </row>
    <row r="332" hidden="1">
      <c r="B332" s="829" t="s">
        <v>16</v>
      </c>
      <c r="C332" s="823">
        <v>28</v>
      </c>
      <c r="D332" s="823">
        <v>29</v>
      </c>
      <c r="E332" s="823">
        <v>33</v>
      </c>
      <c r="F332" s="823">
        <v>3</v>
      </c>
      <c r="G332" s="823">
        <v>0</v>
      </c>
      <c r="H332" s="823">
        <v>0</v>
      </c>
      <c r="I332" s="823">
        <v>0</v>
      </c>
      <c r="J332" s="823">
        <v>0</v>
      </c>
      <c r="K332" s="823">
        <v>0</v>
      </c>
      <c r="L332" s="823">
        <v>0</v>
      </c>
      <c r="M332" s="823">
        <v>0</v>
      </c>
      <c r="N332" s="823">
        <v>0</v>
      </c>
      <c r="O332" s="823">
        <v>1</v>
      </c>
      <c r="P332" s="823">
        <v>1</v>
      </c>
      <c r="Q332" s="823">
        <v>2</v>
      </c>
      <c r="R332" s="823">
        <v>1</v>
      </c>
      <c r="S332" s="823">
        <v>1</v>
      </c>
      <c r="T332" s="823">
        <v>1</v>
      </c>
      <c r="U332" s="823">
        <v>1</v>
      </c>
      <c r="V332" s="823">
        <v>1</v>
      </c>
      <c r="W332" s="823">
        <v>1</v>
      </c>
      <c r="X332" s="823">
        <v>1</v>
      </c>
      <c r="Y332" s="823">
        <v>0</v>
      </c>
      <c r="Z332" s="823">
        <v>0</v>
      </c>
      <c r="AA332" s="823">
        <v>1</v>
      </c>
      <c r="AB332" s="823">
        <v>0</v>
      </c>
      <c r="AC332" s="825">
        <v>1</v>
      </c>
      <c r="AD332" s="825">
        <v>1</v>
      </c>
      <c r="AE332" s="825">
        <v>2</v>
      </c>
      <c r="AF332" s="825">
        <v>2</v>
      </c>
      <c r="AG332" s="825">
        <v>2</v>
      </c>
      <c r="AH332" s="825">
        <v>2</v>
      </c>
      <c r="AI332" s="825">
        <v>2</v>
      </c>
      <c r="AJ332" s="825">
        <v>2</v>
      </c>
      <c r="AK332" s="825">
        <v>2</v>
      </c>
      <c r="AL332" s="825">
        <v>2</v>
      </c>
      <c r="AM332" s="825">
        <v>2</v>
      </c>
      <c r="AN332" s="825">
        <v>2</v>
      </c>
      <c r="AO332" s="825">
        <v>2</v>
      </c>
      <c r="AP332" s="825">
        <v>2</v>
      </c>
    </row>
    <row r="333" hidden="1">
      <c r="B333" s="826" t="s">
        <v>17</v>
      </c>
      <c r="C333" s="827">
        <v>0</v>
      </c>
      <c r="D333" s="827">
        <v>0</v>
      </c>
      <c r="E333" s="827">
        <v>2</v>
      </c>
      <c r="F333" s="827">
        <v>2</v>
      </c>
      <c r="G333" s="827">
        <v>2</v>
      </c>
      <c r="H333" s="827">
        <v>2</v>
      </c>
      <c r="I333" s="827">
        <v>2</v>
      </c>
      <c r="J333" s="827">
        <v>2</v>
      </c>
      <c r="K333" s="827">
        <v>2</v>
      </c>
      <c r="L333" s="827">
        <v>2</v>
      </c>
      <c r="M333" s="827">
        <v>2</v>
      </c>
      <c r="N333" s="827">
        <v>2</v>
      </c>
      <c r="O333" s="827">
        <v>2</v>
      </c>
      <c r="P333" s="827">
        <v>1</v>
      </c>
      <c r="Q333" s="827">
        <v>1</v>
      </c>
      <c r="R333" s="827">
        <v>1</v>
      </c>
      <c r="S333" s="827">
        <v>2</v>
      </c>
      <c r="T333" s="827">
        <v>2</v>
      </c>
      <c r="U333" s="827">
        <v>2</v>
      </c>
      <c r="V333" s="827">
        <v>2</v>
      </c>
      <c r="W333" s="827">
        <v>1</v>
      </c>
      <c r="X333" s="827">
        <v>1</v>
      </c>
      <c r="Y333" s="827">
        <v>1</v>
      </c>
      <c r="Z333" s="827">
        <v>1</v>
      </c>
      <c r="AA333" s="827">
        <v>1</v>
      </c>
      <c r="AB333" s="827">
        <v>1</v>
      </c>
      <c r="AC333" s="828">
        <v>1</v>
      </c>
      <c r="AD333" s="828">
        <v>1</v>
      </c>
      <c r="AE333" s="828">
        <v>1</v>
      </c>
      <c r="AF333" s="828">
        <v>1</v>
      </c>
      <c r="AG333" s="828">
        <v>0</v>
      </c>
      <c r="AH333" s="828">
        <v>0</v>
      </c>
      <c r="AI333" s="828">
        <v>0</v>
      </c>
      <c r="AJ333" s="828">
        <v>0</v>
      </c>
      <c r="AK333" s="828">
        <v>0</v>
      </c>
      <c r="AL333" s="828">
        <v>0</v>
      </c>
      <c r="AM333" s="828">
        <v>0</v>
      </c>
      <c r="AN333" s="828">
        <v>0</v>
      </c>
      <c r="AO333" s="828">
        <v>0</v>
      </c>
      <c r="AP333" s="828">
        <v>0</v>
      </c>
    </row>
    <row r="334" hidden="1">
      <c r="B334" s="829" t="s">
        <v>18</v>
      </c>
      <c r="C334" s="823">
        <v>1</v>
      </c>
      <c r="D334" s="823">
        <v>1</v>
      </c>
      <c r="E334" s="823">
        <v>0</v>
      </c>
      <c r="F334" s="823">
        <v>0</v>
      </c>
      <c r="G334" s="823">
        <v>0</v>
      </c>
      <c r="H334" s="823">
        <v>0</v>
      </c>
      <c r="I334" s="823">
        <v>0</v>
      </c>
      <c r="J334" s="823">
        <v>0</v>
      </c>
      <c r="K334" s="823">
        <v>0</v>
      </c>
      <c r="L334" s="823">
        <v>0</v>
      </c>
      <c r="M334" s="823">
        <v>0</v>
      </c>
      <c r="N334" s="823">
        <v>0</v>
      </c>
      <c r="O334" s="823">
        <v>0</v>
      </c>
      <c r="P334" s="823">
        <v>0</v>
      </c>
      <c r="Q334" s="823">
        <v>0</v>
      </c>
      <c r="R334" s="823">
        <v>0</v>
      </c>
      <c r="S334" s="823">
        <v>0</v>
      </c>
      <c r="T334" s="823">
        <v>0</v>
      </c>
      <c r="U334" s="823">
        <v>0</v>
      </c>
      <c r="V334" s="823">
        <v>0</v>
      </c>
      <c r="W334" s="823">
        <v>0</v>
      </c>
      <c r="X334" s="823">
        <v>0</v>
      </c>
      <c r="Y334" s="823">
        <v>0</v>
      </c>
      <c r="Z334" s="823">
        <v>0</v>
      </c>
      <c r="AA334" s="823">
        <v>0</v>
      </c>
      <c r="AB334" s="823">
        <v>0</v>
      </c>
      <c r="AC334" s="825">
        <v>0</v>
      </c>
      <c r="AD334" s="825">
        <v>0</v>
      </c>
      <c r="AE334" s="825">
        <v>0</v>
      </c>
      <c r="AF334" s="825">
        <v>1</v>
      </c>
      <c r="AG334" s="825">
        <v>3</v>
      </c>
      <c r="AH334" s="825">
        <v>3</v>
      </c>
      <c r="AI334" s="825">
        <v>3</v>
      </c>
      <c r="AJ334" s="825">
        <v>3</v>
      </c>
      <c r="AK334" s="825">
        <v>3</v>
      </c>
      <c r="AL334" s="825">
        <v>3</v>
      </c>
      <c r="AM334" s="825">
        <v>3</v>
      </c>
      <c r="AN334" s="825">
        <v>3</v>
      </c>
      <c r="AO334" s="825">
        <v>3</v>
      </c>
      <c r="AP334" s="825">
        <v>3</v>
      </c>
    </row>
    <row r="335" hidden="1">
      <c r="B335" s="826" t="s">
        <v>19</v>
      </c>
      <c r="C335" s="827">
        <v>0</v>
      </c>
      <c r="D335" s="827">
        <v>0</v>
      </c>
      <c r="E335" s="827">
        <v>0</v>
      </c>
      <c r="F335" s="827">
        <v>0</v>
      </c>
      <c r="G335" s="827">
        <v>0</v>
      </c>
      <c r="H335" s="827">
        <v>0</v>
      </c>
      <c r="I335" s="827">
        <v>0</v>
      </c>
      <c r="J335" s="827">
        <v>1</v>
      </c>
      <c r="K335" s="827">
        <v>1</v>
      </c>
      <c r="L335" s="827">
        <v>0</v>
      </c>
      <c r="M335" s="827">
        <v>1</v>
      </c>
      <c r="N335" s="827">
        <v>1</v>
      </c>
      <c r="O335" s="827">
        <v>1</v>
      </c>
      <c r="P335" s="827">
        <v>1</v>
      </c>
      <c r="Q335" s="827">
        <v>1</v>
      </c>
      <c r="R335" s="827">
        <v>1</v>
      </c>
      <c r="S335" s="827">
        <v>1</v>
      </c>
      <c r="T335" s="827">
        <v>1</v>
      </c>
      <c r="U335" s="827">
        <v>2</v>
      </c>
      <c r="V335" s="827">
        <v>2</v>
      </c>
      <c r="W335" s="827">
        <v>2</v>
      </c>
      <c r="X335" s="827">
        <v>2</v>
      </c>
      <c r="Y335" s="827">
        <v>2</v>
      </c>
      <c r="Z335" s="827">
        <v>2</v>
      </c>
      <c r="AA335" s="827">
        <v>2</v>
      </c>
      <c r="AB335" s="827">
        <v>2</v>
      </c>
      <c r="AC335" s="828">
        <v>2</v>
      </c>
      <c r="AD335" s="828">
        <v>2</v>
      </c>
      <c r="AE335" s="828">
        <v>2</v>
      </c>
      <c r="AF335" s="828">
        <v>2</v>
      </c>
      <c r="AG335" s="828">
        <v>0</v>
      </c>
      <c r="AH335" s="828">
        <v>0</v>
      </c>
      <c r="AI335" s="828">
        <v>0</v>
      </c>
      <c r="AJ335" s="828">
        <v>0</v>
      </c>
      <c r="AK335" s="828">
        <v>0</v>
      </c>
      <c r="AL335" s="828">
        <v>0</v>
      </c>
      <c r="AM335" s="828">
        <v>0</v>
      </c>
      <c r="AN335" s="828">
        <v>0</v>
      </c>
      <c r="AO335" s="828">
        <v>0</v>
      </c>
      <c r="AP335" s="828">
        <v>0</v>
      </c>
    </row>
    <row r="336" hidden="1">
      <c r="B336" s="829" t="s">
        <v>20</v>
      </c>
      <c r="C336" s="823">
        <v>0</v>
      </c>
      <c r="D336" s="823">
        <v>0</v>
      </c>
      <c r="E336" s="823">
        <v>0</v>
      </c>
      <c r="F336" s="823">
        <v>0</v>
      </c>
      <c r="G336" s="823">
        <v>0</v>
      </c>
      <c r="H336" s="823">
        <v>0</v>
      </c>
      <c r="I336" s="823">
        <v>0</v>
      </c>
      <c r="J336" s="823">
        <v>0</v>
      </c>
      <c r="K336" s="823">
        <v>0</v>
      </c>
      <c r="L336" s="823">
        <v>0</v>
      </c>
      <c r="M336" s="823">
        <v>0</v>
      </c>
      <c r="N336" s="823">
        <v>0</v>
      </c>
      <c r="O336" s="823">
        <v>0</v>
      </c>
      <c r="P336" s="823">
        <v>0</v>
      </c>
      <c r="Q336" s="823">
        <v>0</v>
      </c>
      <c r="R336" s="823">
        <v>0</v>
      </c>
      <c r="S336" s="823">
        <v>0</v>
      </c>
      <c r="T336" s="823">
        <v>0</v>
      </c>
      <c r="U336" s="823">
        <v>0</v>
      </c>
      <c r="V336" s="823">
        <v>0</v>
      </c>
      <c r="W336" s="823">
        <v>0</v>
      </c>
      <c r="X336" s="823">
        <v>0</v>
      </c>
      <c r="Y336" s="823">
        <v>0</v>
      </c>
      <c r="Z336" s="823">
        <v>0</v>
      </c>
      <c r="AA336" s="823">
        <v>0</v>
      </c>
      <c r="AB336" s="823">
        <v>0</v>
      </c>
      <c r="AC336" s="825">
        <v>0</v>
      </c>
      <c r="AD336" s="825">
        <v>0</v>
      </c>
      <c r="AE336" s="825">
        <v>0</v>
      </c>
      <c r="AF336" s="825">
        <v>0</v>
      </c>
      <c r="AG336" s="825">
        <v>0</v>
      </c>
      <c r="AH336" s="825">
        <v>0</v>
      </c>
      <c r="AI336" s="825">
        <v>0</v>
      </c>
      <c r="AJ336" s="825">
        <v>0</v>
      </c>
      <c r="AK336" s="825">
        <v>0</v>
      </c>
      <c r="AL336" s="825">
        <v>0</v>
      </c>
      <c r="AM336" s="825">
        <v>0</v>
      </c>
      <c r="AN336" s="825">
        <v>0</v>
      </c>
      <c r="AO336" s="825">
        <v>0</v>
      </c>
      <c r="AP336" s="825">
        <v>0</v>
      </c>
    </row>
    <row r="337" hidden="1">
      <c r="B337" s="826" t="s">
        <v>21</v>
      </c>
      <c r="C337" s="827">
        <v>0</v>
      </c>
      <c r="D337" s="827">
        <v>0</v>
      </c>
      <c r="E337" s="827">
        <v>0</v>
      </c>
      <c r="F337" s="827">
        <v>0</v>
      </c>
      <c r="G337" s="827">
        <v>0</v>
      </c>
      <c r="H337" s="827">
        <v>0</v>
      </c>
      <c r="I337" s="827">
        <v>0</v>
      </c>
      <c r="J337" s="827">
        <v>0</v>
      </c>
      <c r="K337" s="827">
        <v>0</v>
      </c>
      <c r="L337" s="827">
        <v>6</v>
      </c>
      <c r="M337" s="827">
        <v>0</v>
      </c>
      <c r="N337" s="827">
        <v>0</v>
      </c>
      <c r="O337" s="827">
        <v>1</v>
      </c>
      <c r="P337" s="827">
        <v>1</v>
      </c>
      <c r="Q337" s="827">
        <v>1</v>
      </c>
      <c r="R337" s="827">
        <v>1</v>
      </c>
      <c r="S337" s="827">
        <v>0</v>
      </c>
      <c r="T337" s="827">
        <v>1</v>
      </c>
      <c r="U337" s="827">
        <v>0</v>
      </c>
      <c r="V337" s="827">
        <v>0</v>
      </c>
      <c r="W337" s="827">
        <v>0</v>
      </c>
      <c r="X337" s="827">
        <v>0</v>
      </c>
      <c r="Y337" s="827">
        <v>0</v>
      </c>
      <c r="Z337" s="827">
        <v>0</v>
      </c>
      <c r="AA337" s="827">
        <v>0</v>
      </c>
      <c r="AB337" s="827">
        <v>0</v>
      </c>
      <c r="AC337" s="828">
        <v>0</v>
      </c>
      <c r="AD337" s="828">
        <v>0</v>
      </c>
      <c r="AE337" s="828">
        <v>0</v>
      </c>
      <c r="AF337" s="828">
        <v>0</v>
      </c>
      <c r="AG337" s="828">
        <v>0</v>
      </c>
      <c r="AH337" s="828">
        <v>0</v>
      </c>
      <c r="AI337" s="828">
        <v>0</v>
      </c>
      <c r="AJ337" s="828">
        <v>0</v>
      </c>
      <c r="AK337" s="828">
        <v>8</v>
      </c>
      <c r="AL337" s="828">
        <v>0</v>
      </c>
      <c r="AM337" s="828">
        <v>0</v>
      </c>
      <c r="AN337" s="828">
        <v>0</v>
      </c>
      <c r="AO337" s="828">
        <v>0</v>
      </c>
      <c r="AP337" s="828">
        <v>0</v>
      </c>
    </row>
    <row r="338" hidden="1">
      <c r="B338" s="829" t="s">
        <v>22</v>
      </c>
      <c r="C338" s="823">
        <v>2</v>
      </c>
      <c r="D338" s="823">
        <v>2</v>
      </c>
      <c r="E338" s="823">
        <v>3</v>
      </c>
      <c r="F338" s="823">
        <v>3</v>
      </c>
      <c r="G338" s="823">
        <v>3</v>
      </c>
      <c r="H338" s="823">
        <v>3</v>
      </c>
      <c r="I338" s="823">
        <v>4</v>
      </c>
      <c r="J338" s="823">
        <v>4</v>
      </c>
      <c r="K338" s="823">
        <v>5</v>
      </c>
      <c r="L338" s="823">
        <v>0</v>
      </c>
      <c r="M338" s="823">
        <v>4</v>
      </c>
      <c r="N338" s="823">
        <v>3</v>
      </c>
      <c r="O338" s="823">
        <v>3</v>
      </c>
      <c r="P338" s="823">
        <v>3</v>
      </c>
      <c r="Q338" s="823">
        <v>1</v>
      </c>
      <c r="R338" s="823">
        <v>1</v>
      </c>
      <c r="S338" s="823">
        <v>1</v>
      </c>
      <c r="T338" s="823">
        <v>1</v>
      </c>
      <c r="U338" s="823">
        <v>1</v>
      </c>
      <c r="V338" s="823">
        <v>2</v>
      </c>
      <c r="W338" s="823">
        <v>2</v>
      </c>
      <c r="X338" s="823">
        <v>3</v>
      </c>
      <c r="Y338" s="823">
        <v>4</v>
      </c>
      <c r="Z338" s="823">
        <v>4</v>
      </c>
      <c r="AA338" s="823">
        <v>4</v>
      </c>
      <c r="AB338" s="823">
        <v>5</v>
      </c>
      <c r="AC338" s="825">
        <v>4</v>
      </c>
      <c r="AD338" s="825">
        <v>3</v>
      </c>
      <c r="AE338" s="825">
        <v>3</v>
      </c>
      <c r="AF338" s="825">
        <v>3</v>
      </c>
      <c r="AG338" s="825">
        <v>3</v>
      </c>
      <c r="AH338" s="825">
        <v>3</v>
      </c>
      <c r="AI338" s="825">
        <v>1</v>
      </c>
      <c r="AJ338" s="825">
        <v>1</v>
      </c>
      <c r="AK338" s="825">
        <v>0</v>
      </c>
      <c r="AL338" s="825">
        <v>0</v>
      </c>
      <c r="AM338" s="825">
        <v>0</v>
      </c>
      <c r="AN338" s="825">
        <v>0</v>
      </c>
      <c r="AO338" s="825">
        <v>0</v>
      </c>
      <c r="AP338" s="825">
        <v>0</v>
      </c>
    </row>
    <row r="339" hidden="1">
      <c r="B339" s="826" t="s">
        <v>23</v>
      </c>
      <c r="C339" s="827">
        <v>0</v>
      </c>
      <c r="D339" s="827">
        <v>0</v>
      </c>
      <c r="E339" s="827">
        <v>0</v>
      </c>
      <c r="F339" s="827">
        <v>0</v>
      </c>
      <c r="G339" s="827">
        <v>0</v>
      </c>
      <c r="H339" s="827">
        <v>0</v>
      </c>
      <c r="I339" s="827">
        <v>0</v>
      </c>
      <c r="J339" s="827">
        <v>0</v>
      </c>
      <c r="K339" s="827">
        <v>0</v>
      </c>
      <c r="L339" s="827">
        <v>1</v>
      </c>
      <c r="M339" s="827">
        <v>0</v>
      </c>
      <c r="N339" s="827">
        <v>0</v>
      </c>
      <c r="O339" s="827">
        <v>0</v>
      </c>
      <c r="P339" s="827">
        <v>0</v>
      </c>
      <c r="Q339" s="827">
        <v>0</v>
      </c>
      <c r="R339" s="827">
        <v>0</v>
      </c>
      <c r="S339" s="827">
        <v>0</v>
      </c>
      <c r="T339" s="827">
        <v>0</v>
      </c>
      <c r="U339" s="827">
        <v>0</v>
      </c>
      <c r="V339" s="827">
        <v>0</v>
      </c>
      <c r="W339" s="827">
        <v>0</v>
      </c>
      <c r="X339" s="827">
        <v>0</v>
      </c>
      <c r="Y339" s="827">
        <v>0</v>
      </c>
      <c r="Z339" s="827">
        <v>0</v>
      </c>
      <c r="AA339" s="827">
        <v>0</v>
      </c>
      <c r="AB339" s="827">
        <v>0</v>
      </c>
      <c r="AC339" s="828">
        <v>0</v>
      </c>
      <c r="AD339" s="828">
        <v>1</v>
      </c>
      <c r="AE339" s="828">
        <v>1</v>
      </c>
      <c r="AF339" s="828">
        <v>1</v>
      </c>
      <c r="AG339" s="828">
        <v>1</v>
      </c>
      <c r="AH339" s="828">
        <v>1</v>
      </c>
      <c r="AI339" s="828">
        <v>1</v>
      </c>
      <c r="AJ339" s="828">
        <v>1</v>
      </c>
      <c r="AK339" s="828">
        <v>1</v>
      </c>
      <c r="AL339" s="828">
        <v>1</v>
      </c>
      <c r="AM339" s="828">
        <v>1</v>
      </c>
      <c r="AN339" s="828">
        <v>1</v>
      </c>
      <c r="AO339" s="828">
        <v>1</v>
      </c>
      <c r="AP339" s="828">
        <v>0</v>
      </c>
    </row>
    <row r="340" hidden="1">
      <c r="B340" s="830" t="s">
        <v>24</v>
      </c>
      <c r="C340" s="823">
        <v>0</v>
      </c>
      <c r="D340" s="823">
        <v>0</v>
      </c>
      <c r="E340" s="823">
        <v>0</v>
      </c>
      <c r="F340" s="823">
        <v>0</v>
      </c>
      <c r="G340" s="823">
        <v>0</v>
      </c>
      <c r="H340" s="823">
        <v>0</v>
      </c>
      <c r="I340" s="823">
        <v>0</v>
      </c>
      <c r="J340" s="823">
        <v>0</v>
      </c>
      <c r="K340" s="823">
        <v>0</v>
      </c>
      <c r="L340" s="823">
        <v>0</v>
      </c>
      <c r="M340" s="823">
        <v>0</v>
      </c>
      <c r="N340" s="823">
        <v>0</v>
      </c>
      <c r="O340" s="823">
        <v>0</v>
      </c>
      <c r="P340" s="823">
        <v>0</v>
      </c>
      <c r="Q340" s="823">
        <v>0</v>
      </c>
      <c r="R340" s="823">
        <v>0</v>
      </c>
      <c r="S340" s="823">
        <v>0</v>
      </c>
      <c r="T340" s="823">
        <v>0</v>
      </c>
      <c r="U340" s="823">
        <v>0</v>
      </c>
      <c r="V340" s="823">
        <v>0</v>
      </c>
      <c r="W340" s="823">
        <v>0</v>
      </c>
      <c r="X340" s="823">
        <v>0</v>
      </c>
      <c r="Y340" s="823">
        <v>0</v>
      </c>
      <c r="Z340" s="823">
        <v>0</v>
      </c>
      <c r="AA340" s="823">
        <v>0</v>
      </c>
      <c r="AB340" s="823">
        <v>0</v>
      </c>
      <c r="AC340" s="825">
        <v>0</v>
      </c>
      <c r="AD340" s="825">
        <v>0</v>
      </c>
      <c r="AE340" s="825">
        <v>0</v>
      </c>
      <c r="AF340" s="825">
        <v>0</v>
      </c>
      <c r="AG340" s="825">
        <v>0</v>
      </c>
      <c r="AH340" s="825">
        <v>1</v>
      </c>
      <c r="AI340" s="825">
        <v>2</v>
      </c>
      <c r="AJ340" s="825">
        <v>2</v>
      </c>
      <c r="AK340" s="825">
        <v>1</v>
      </c>
      <c r="AL340" s="825">
        <v>1</v>
      </c>
      <c r="AM340" s="825">
        <v>1</v>
      </c>
      <c r="AN340" s="825">
        <v>2</v>
      </c>
      <c r="AO340" s="825">
        <v>2</v>
      </c>
      <c r="AP340" s="825">
        <v>2</v>
      </c>
    </row>
    <row r="341" hidden="1">
      <c r="B341" s="826" t="s">
        <v>25</v>
      </c>
      <c r="C341" s="827">
        <v>0</v>
      </c>
      <c r="D341" s="827">
        <v>0</v>
      </c>
      <c r="E341" s="827">
        <v>0</v>
      </c>
      <c r="F341" s="827">
        <v>0</v>
      </c>
      <c r="G341" s="827">
        <v>0</v>
      </c>
      <c r="H341" s="827">
        <v>0</v>
      </c>
      <c r="I341" s="827">
        <v>0</v>
      </c>
      <c r="J341" s="827">
        <v>0</v>
      </c>
      <c r="K341" s="827">
        <v>0</v>
      </c>
      <c r="L341" s="827">
        <v>0</v>
      </c>
      <c r="M341" s="827">
        <v>0</v>
      </c>
      <c r="N341" s="827">
        <v>0</v>
      </c>
      <c r="O341" s="827">
        <v>0</v>
      </c>
      <c r="P341" s="827">
        <v>0</v>
      </c>
      <c r="Q341" s="827">
        <v>0</v>
      </c>
      <c r="R341" s="827">
        <v>0</v>
      </c>
      <c r="S341" s="827">
        <v>0</v>
      </c>
      <c r="T341" s="827">
        <v>0</v>
      </c>
      <c r="U341" s="827">
        <v>0</v>
      </c>
      <c r="V341" s="827">
        <v>0</v>
      </c>
      <c r="W341" s="827">
        <v>0</v>
      </c>
      <c r="X341" s="827">
        <v>0</v>
      </c>
      <c r="Y341" s="827">
        <v>0</v>
      </c>
      <c r="Z341" s="827">
        <v>0</v>
      </c>
      <c r="AA341" s="827">
        <v>0</v>
      </c>
      <c r="AB341" s="827">
        <v>0</v>
      </c>
      <c r="AC341" s="828">
        <v>0</v>
      </c>
      <c r="AD341" s="828">
        <v>0</v>
      </c>
      <c r="AE341" s="828">
        <v>0</v>
      </c>
      <c r="AF341" s="828">
        <v>0</v>
      </c>
      <c r="AG341" s="828">
        <v>0</v>
      </c>
      <c r="AH341" s="828">
        <v>0</v>
      </c>
      <c r="AI341" s="828">
        <v>0</v>
      </c>
      <c r="AJ341" s="828">
        <v>0</v>
      </c>
      <c r="AK341" s="828">
        <v>0</v>
      </c>
      <c r="AL341" s="828">
        <v>0</v>
      </c>
      <c r="AM341" s="828">
        <v>0</v>
      </c>
      <c r="AN341" s="828">
        <v>0</v>
      </c>
      <c r="AO341" s="828">
        <v>0</v>
      </c>
      <c r="AP341" s="828">
        <v>0</v>
      </c>
    </row>
    <row r="342" hidden="1" ht="13.5">
      <c r="B342" s="831" t="s">
        <v>26</v>
      </c>
      <c r="C342" s="823">
        <v>0</v>
      </c>
      <c r="D342" s="823">
        <v>0</v>
      </c>
      <c r="E342" s="823">
        <v>0</v>
      </c>
      <c r="F342" s="823">
        <v>0</v>
      </c>
      <c r="G342" s="823">
        <v>0</v>
      </c>
      <c r="H342" s="823">
        <v>0</v>
      </c>
      <c r="I342" s="823">
        <v>0</v>
      </c>
      <c r="J342" s="823">
        <v>0</v>
      </c>
      <c r="K342" s="823">
        <v>0</v>
      </c>
      <c r="L342" s="823">
        <v>0</v>
      </c>
      <c r="M342" s="823">
        <v>0</v>
      </c>
      <c r="N342" s="823">
        <v>0</v>
      </c>
      <c r="O342" s="823">
        <v>0</v>
      </c>
      <c r="P342" s="823">
        <v>0</v>
      </c>
      <c r="Q342" s="823">
        <v>0</v>
      </c>
      <c r="R342" s="823">
        <v>0</v>
      </c>
      <c r="S342" s="823">
        <v>0</v>
      </c>
      <c r="T342" s="823">
        <v>0</v>
      </c>
      <c r="U342" s="823">
        <v>0</v>
      </c>
      <c r="V342" s="823">
        <v>0</v>
      </c>
      <c r="W342" s="823">
        <v>0</v>
      </c>
      <c r="X342" s="823">
        <v>0</v>
      </c>
      <c r="Y342" s="823">
        <v>0</v>
      </c>
      <c r="Z342" s="823">
        <v>0</v>
      </c>
      <c r="AA342" s="823">
        <v>0</v>
      </c>
      <c r="AB342" s="832">
        <v>0</v>
      </c>
      <c r="AC342" s="825">
        <v>0</v>
      </c>
      <c r="AD342" s="825">
        <v>0</v>
      </c>
      <c r="AE342" s="825">
        <v>0</v>
      </c>
      <c r="AF342" s="825">
        <v>0</v>
      </c>
      <c r="AG342" s="825">
        <v>0</v>
      </c>
      <c r="AH342" s="825">
        <v>0</v>
      </c>
      <c r="AI342" s="825">
        <v>0</v>
      </c>
      <c r="AJ342" s="825">
        <v>0</v>
      </c>
      <c r="AK342" s="825">
        <v>0</v>
      </c>
      <c r="AL342" s="825">
        <v>0</v>
      </c>
      <c r="AM342" s="825">
        <v>0</v>
      </c>
      <c r="AN342" s="825">
        <v>0</v>
      </c>
      <c r="AO342" s="825">
        <v>0</v>
      </c>
      <c r="AP342" s="825">
        <v>0</v>
      </c>
    </row>
    <row r="343" hidden="1" ht="13.5">
      <c r="B343" s="128" t="s">
        <v>7</v>
      </c>
      <c r="C343" s="129" t="str">
        <f>IF(SUM(C324:C342)&lt;&gt;0,SUM(C324:C342),"")</f>
      </c>
      <c r="D343" s="129" t="str">
        <f ref="D343:AA343" t="shared" si="30">IF(SUM(D324:D342)&lt;&gt;0,SUM(D324:D342),"")</f>
      </c>
      <c r="E343" s="129" t="str">
        <f t="shared" si="30"/>
      </c>
      <c r="F343" s="129" t="str">
        <f t="shared" si="30"/>
      </c>
      <c r="G343" s="129" t="str">
        <f t="shared" si="30"/>
      </c>
      <c r="H343" s="129" t="str">
        <f t="shared" si="30"/>
      </c>
      <c r="I343" s="129" t="str">
        <f t="shared" si="30"/>
      </c>
      <c r="J343" s="129" t="str">
        <f t="shared" si="30"/>
      </c>
      <c r="K343" s="129" t="str">
        <f t="shared" si="30"/>
      </c>
      <c r="L343" s="129" t="str">
        <f t="shared" si="30"/>
      </c>
      <c r="M343" s="129" t="str">
        <f t="shared" si="30"/>
      </c>
      <c r="N343" s="129" t="str">
        <f t="shared" si="30"/>
      </c>
      <c r="O343" s="129" t="str">
        <f t="shared" si="30"/>
      </c>
      <c r="P343" s="129" t="str">
        <f t="shared" si="30"/>
      </c>
      <c r="Q343" s="129" t="str">
        <f t="shared" si="30"/>
      </c>
      <c r="R343" s="129" t="str">
        <f t="shared" si="30"/>
      </c>
      <c r="S343" s="129" t="str">
        <f t="shared" si="30"/>
      </c>
      <c r="T343" s="129" t="str">
        <f t="shared" si="30"/>
      </c>
      <c r="U343" s="129" t="str">
        <f t="shared" si="30"/>
      </c>
      <c r="V343" s="129" t="str">
        <f t="shared" si="30"/>
      </c>
      <c r="W343" s="129" t="str">
        <f t="shared" si="30"/>
      </c>
      <c r="X343" s="129" t="str">
        <f t="shared" si="30"/>
      </c>
      <c r="Y343" s="129" t="str">
        <f t="shared" si="30"/>
      </c>
      <c r="Z343" s="129" t="str">
        <f t="shared" si="30"/>
      </c>
      <c r="AA343" s="129" t="str">
        <f t="shared" si="30"/>
      </c>
      <c r="AB343" s="130" t="str">
        <f>IF(SUM(AB324:AB342)&lt;&gt;0,SUM(AB324:AB342),"")</f>
      </c>
      <c r="AC343" s="91" t="str">
        <f ref="AC343:CN343" t="shared" si="31">IF(SUM(AC324:AC342)&lt;&gt;0,SUM(AC324:AC342),"")</f>
      </c>
      <c r="AD343" s="91" t="str">
        <f t="shared" si="31"/>
      </c>
      <c r="AE343" s="91" t="str">
        <f t="shared" si="31"/>
      </c>
      <c r="AF343" s="91" t="str">
        <f t="shared" si="31"/>
      </c>
      <c r="AG343" s="91" t="str">
        <f t="shared" si="31"/>
      </c>
      <c r="AH343" s="91" t="str">
        <f t="shared" si="31"/>
      </c>
      <c r="AI343" s="91" t="str">
        <f t="shared" si="31"/>
      </c>
      <c r="AJ343" s="91" t="str">
        <f t="shared" si="31"/>
      </c>
      <c r="AK343" s="91" t="str">
        <f t="shared" si="31"/>
      </c>
      <c r="AL343" s="91" t="str">
        <f t="shared" si="31"/>
      </c>
      <c r="AM343" s="91" t="str">
        <f t="shared" si="31"/>
      </c>
      <c r="AN343" s="91" t="str">
        <f t="shared" si="31"/>
      </c>
      <c r="AO343" s="91" t="str">
        <f t="shared" si="31"/>
      </c>
      <c r="AP343" s="91" t="str">
        <f t="shared" si="31"/>
      </c>
      <c r="AQ343" s="91" t="str">
        <f t="shared" si="31"/>
      </c>
      <c r="AR343" s="91" t="str">
        <f t="shared" si="31"/>
      </c>
      <c r="AS343" s="91" t="str">
        <f t="shared" si="31"/>
      </c>
      <c r="AT343" s="91" t="str">
        <f t="shared" si="31"/>
      </c>
      <c r="AU343" s="91" t="str">
        <f t="shared" si="31"/>
      </c>
      <c r="AV343" s="91" t="str">
        <f t="shared" si="31"/>
      </c>
      <c r="AW343" s="91" t="str">
        <f t="shared" si="31"/>
      </c>
      <c r="AX343" s="91" t="str">
        <f t="shared" si="31"/>
      </c>
      <c r="AY343" s="91" t="str">
        <f t="shared" si="31"/>
      </c>
      <c r="AZ343" s="91" t="str">
        <f t="shared" si="31"/>
      </c>
      <c r="BA343" s="91" t="str">
        <f t="shared" si="31"/>
      </c>
      <c r="BB343" s="91" t="str">
        <f t="shared" si="31"/>
      </c>
      <c r="BC343" s="91" t="str">
        <f t="shared" si="31"/>
      </c>
      <c r="BD343" s="91" t="str">
        <f t="shared" si="31"/>
      </c>
      <c r="BE343" s="91" t="str">
        <f t="shared" si="31"/>
      </c>
      <c r="BF343" s="91" t="str">
        <f t="shared" si="31"/>
      </c>
      <c r="BG343" s="91" t="str">
        <f t="shared" si="31"/>
      </c>
      <c r="BH343" s="91" t="str">
        <f t="shared" si="31"/>
      </c>
      <c r="BI343" s="91" t="str">
        <f t="shared" si="31"/>
      </c>
      <c r="BJ343" s="91" t="str">
        <f t="shared" si="31"/>
      </c>
      <c r="BK343" s="91" t="str">
        <f t="shared" si="31"/>
      </c>
      <c r="BL343" s="91" t="str">
        <f t="shared" si="31"/>
      </c>
      <c r="BM343" s="91" t="str">
        <f t="shared" si="31"/>
      </c>
      <c r="BN343" s="91" t="str">
        <f t="shared" si="31"/>
      </c>
      <c r="BO343" s="91" t="str">
        <f t="shared" si="31"/>
      </c>
      <c r="BP343" s="91" t="str">
        <f t="shared" si="31"/>
      </c>
      <c r="BQ343" s="91" t="str">
        <f t="shared" si="31"/>
      </c>
      <c r="BR343" s="91" t="str">
        <f t="shared" si="31"/>
      </c>
      <c r="BS343" s="91" t="str">
        <f t="shared" si="31"/>
      </c>
      <c r="BT343" s="91" t="str">
        <f t="shared" si="31"/>
      </c>
      <c r="BU343" s="91" t="str">
        <f t="shared" si="31"/>
      </c>
      <c r="BV343" s="91" t="str">
        <f t="shared" si="31"/>
      </c>
      <c r="BW343" s="91" t="str">
        <f t="shared" si="31"/>
      </c>
      <c r="BX343" s="91" t="str">
        <f t="shared" si="31"/>
      </c>
      <c r="BY343" s="91" t="str">
        <f t="shared" si="31"/>
      </c>
      <c r="BZ343" s="91" t="str">
        <f t="shared" si="31"/>
      </c>
      <c r="CA343" s="91" t="str">
        <f t="shared" si="31"/>
      </c>
      <c r="CB343" s="91" t="str">
        <f t="shared" si="31"/>
      </c>
      <c r="CC343" s="91" t="str">
        <f t="shared" si="31"/>
      </c>
      <c r="CD343" s="91" t="str">
        <f t="shared" si="31"/>
      </c>
      <c r="CE343" s="91" t="str">
        <f t="shared" si="31"/>
      </c>
      <c r="CF343" s="91" t="str">
        <f t="shared" si="31"/>
      </c>
      <c r="CG343" s="91" t="str">
        <f t="shared" si="31"/>
      </c>
      <c r="CH343" s="91" t="str">
        <f t="shared" si="31"/>
      </c>
      <c r="CI343" s="91" t="str">
        <f t="shared" si="31"/>
      </c>
      <c r="CJ343" s="91" t="str">
        <f t="shared" si="31"/>
      </c>
      <c r="CK343" s="91" t="str">
        <f t="shared" si="31"/>
      </c>
      <c r="CL343" s="91" t="str">
        <f t="shared" si="31"/>
      </c>
      <c r="CM343" s="91" t="str">
        <f t="shared" si="31"/>
      </c>
      <c r="CN343" s="91" t="str">
        <f t="shared" si="31"/>
      </c>
      <c r="CO343" s="91" t="str">
        <f ref="CO343:EZ343" t="shared" si="32">IF(SUM(CO324:CO342)&lt;&gt;0,SUM(CO324:CO342),"")</f>
      </c>
      <c r="CP343" s="91" t="str">
        <f t="shared" si="32"/>
      </c>
      <c r="CQ343" s="91" t="str">
        <f t="shared" si="32"/>
      </c>
      <c r="CR343" s="91" t="str">
        <f t="shared" si="32"/>
      </c>
      <c r="CS343" s="91" t="str">
        <f t="shared" si="32"/>
      </c>
      <c r="CT343" s="91" t="str">
        <f t="shared" si="32"/>
      </c>
      <c r="CU343" s="91" t="str">
        <f t="shared" si="32"/>
      </c>
      <c r="CV343" s="91" t="str">
        <f t="shared" si="32"/>
      </c>
      <c r="CW343" s="91" t="str">
        <f t="shared" si="32"/>
      </c>
      <c r="CX343" s="91" t="str">
        <f t="shared" si="32"/>
      </c>
      <c r="CY343" s="91" t="str">
        <f t="shared" si="32"/>
      </c>
      <c r="CZ343" s="91" t="str">
        <f t="shared" si="32"/>
      </c>
      <c r="DA343" s="91" t="str">
        <f t="shared" si="32"/>
      </c>
      <c r="DB343" s="91" t="str">
        <f t="shared" si="32"/>
      </c>
      <c r="DC343" s="91" t="str">
        <f t="shared" si="32"/>
      </c>
      <c r="DD343" s="91" t="str">
        <f t="shared" si="32"/>
      </c>
      <c r="DE343" s="91" t="str">
        <f t="shared" si="32"/>
      </c>
      <c r="DF343" s="91" t="str">
        <f t="shared" si="32"/>
      </c>
      <c r="DG343" s="91" t="str">
        <f t="shared" si="32"/>
      </c>
      <c r="DH343" s="91" t="str">
        <f t="shared" si="32"/>
      </c>
      <c r="DI343" s="91" t="str">
        <f t="shared" si="32"/>
      </c>
      <c r="DJ343" s="91" t="str">
        <f t="shared" si="32"/>
      </c>
      <c r="DK343" s="91" t="str">
        <f t="shared" si="32"/>
      </c>
      <c r="DL343" s="91" t="str">
        <f t="shared" si="32"/>
      </c>
      <c r="DM343" s="91" t="str">
        <f t="shared" si="32"/>
      </c>
      <c r="DN343" s="91" t="str">
        <f t="shared" si="32"/>
      </c>
      <c r="DO343" s="91" t="str">
        <f t="shared" si="32"/>
      </c>
      <c r="DP343" s="91" t="str">
        <f t="shared" si="32"/>
      </c>
      <c r="DQ343" s="91" t="str">
        <f t="shared" si="32"/>
      </c>
      <c r="DR343" s="91" t="str">
        <f t="shared" si="32"/>
      </c>
      <c r="DS343" s="91" t="str">
        <f t="shared" si="32"/>
      </c>
      <c r="DT343" s="91" t="str">
        <f t="shared" si="32"/>
      </c>
      <c r="DU343" s="91" t="str">
        <f t="shared" si="32"/>
      </c>
      <c r="DV343" s="91" t="str">
        <f t="shared" si="32"/>
      </c>
      <c r="DW343" s="91" t="str">
        <f t="shared" si="32"/>
      </c>
      <c r="DX343" s="91" t="str">
        <f t="shared" si="32"/>
      </c>
      <c r="DY343" s="91" t="str">
        <f t="shared" si="32"/>
      </c>
      <c r="DZ343" s="91" t="str">
        <f t="shared" si="32"/>
      </c>
      <c r="EA343" s="91" t="str">
        <f t="shared" si="32"/>
      </c>
      <c r="EB343" s="91" t="str">
        <f t="shared" si="32"/>
      </c>
      <c r="EC343" s="91" t="str">
        <f t="shared" si="32"/>
      </c>
      <c r="ED343" s="91" t="str">
        <f t="shared" si="32"/>
      </c>
      <c r="EE343" s="91" t="str">
        <f t="shared" si="32"/>
      </c>
      <c r="EF343" s="91" t="str">
        <f t="shared" si="32"/>
      </c>
      <c r="EG343" s="91" t="str">
        <f t="shared" si="32"/>
      </c>
      <c r="EH343" s="91" t="str">
        <f t="shared" si="32"/>
      </c>
      <c r="EI343" s="91" t="str">
        <f t="shared" si="32"/>
      </c>
      <c r="EJ343" s="91" t="str">
        <f t="shared" si="32"/>
      </c>
      <c r="EK343" s="91" t="str">
        <f t="shared" si="32"/>
      </c>
      <c r="EL343" s="91" t="str">
        <f t="shared" si="32"/>
      </c>
      <c r="EM343" s="91" t="str">
        <f t="shared" si="32"/>
      </c>
      <c r="EN343" s="91" t="str">
        <f t="shared" si="32"/>
      </c>
      <c r="EO343" s="91" t="str">
        <f t="shared" si="32"/>
      </c>
      <c r="EP343" s="91" t="str">
        <f t="shared" si="32"/>
      </c>
      <c r="EQ343" s="91" t="str">
        <f t="shared" si="32"/>
      </c>
      <c r="ER343" s="91" t="str">
        <f t="shared" si="32"/>
      </c>
      <c r="ES343" s="91" t="str">
        <f t="shared" si="32"/>
      </c>
      <c r="ET343" s="91" t="str">
        <f t="shared" si="32"/>
      </c>
      <c r="EU343" s="91" t="str">
        <f t="shared" si="32"/>
      </c>
      <c r="EV343" s="91" t="str">
        <f t="shared" si="32"/>
      </c>
      <c r="EW343" s="91" t="str">
        <f t="shared" si="32"/>
      </c>
      <c r="EX343" s="91" t="str">
        <f t="shared" si="32"/>
      </c>
      <c r="EY343" s="91" t="str">
        <f t="shared" si="32"/>
      </c>
      <c r="EZ343" s="91" t="str">
        <f t="shared" si="32"/>
      </c>
      <c r="FA343" s="91" t="str">
        <f ref="FA343:HL343" t="shared" si="33">IF(SUM(FA324:FA342)&lt;&gt;0,SUM(FA324:FA342),"")</f>
      </c>
      <c r="FB343" s="91" t="str">
        <f t="shared" si="33"/>
      </c>
      <c r="FC343" s="91" t="str">
        <f t="shared" si="33"/>
      </c>
      <c r="FD343" s="91" t="str">
        <f t="shared" si="33"/>
      </c>
      <c r="FE343" s="91" t="str">
        <f t="shared" si="33"/>
      </c>
      <c r="FF343" s="91" t="str">
        <f t="shared" si="33"/>
      </c>
      <c r="FG343" s="91" t="str">
        <f t="shared" si="33"/>
      </c>
      <c r="FH343" s="91" t="str">
        <f t="shared" si="33"/>
      </c>
      <c r="FI343" s="91" t="str">
        <f t="shared" si="33"/>
      </c>
      <c r="FJ343" s="91" t="str">
        <f t="shared" si="33"/>
      </c>
      <c r="FK343" s="91" t="str">
        <f t="shared" si="33"/>
      </c>
      <c r="FL343" s="91" t="str">
        <f t="shared" si="33"/>
      </c>
      <c r="FM343" s="91" t="str">
        <f t="shared" si="33"/>
      </c>
      <c r="FN343" s="91" t="str">
        <f t="shared" si="33"/>
      </c>
      <c r="FO343" s="91" t="str">
        <f t="shared" si="33"/>
      </c>
      <c r="FP343" s="91" t="str">
        <f t="shared" si="33"/>
      </c>
      <c r="FQ343" s="91" t="str">
        <f t="shared" si="33"/>
      </c>
      <c r="FR343" s="91" t="str">
        <f t="shared" si="33"/>
      </c>
      <c r="FS343" s="91" t="str">
        <f t="shared" si="33"/>
      </c>
      <c r="FT343" s="91" t="str">
        <f t="shared" si="33"/>
      </c>
      <c r="FU343" s="91" t="str">
        <f t="shared" si="33"/>
      </c>
      <c r="FV343" s="91" t="str">
        <f t="shared" si="33"/>
      </c>
      <c r="FW343" s="91" t="str">
        <f t="shared" si="33"/>
      </c>
      <c r="FX343" s="91" t="str">
        <f t="shared" si="33"/>
      </c>
      <c r="FY343" s="91" t="str">
        <f t="shared" si="33"/>
      </c>
      <c r="FZ343" s="91" t="str">
        <f t="shared" si="33"/>
      </c>
      <c r="GA343" s="91" t="str">
        <f t="shared" si="33"/>
      </c>
      <c r="GB343" s="91" t="str">
        <f t="shared" si="33"/>
      </c>
      <c r="GC343" s="91" t="str">
        <f t="shared" si="33"/>
      </c>
      <c r="GD343" s="91" t="str">
        <f t="shared" si="33"/>
      </c>
      <c r="GE343" s="91" t="str">
        <f t="shared" si="33"/>
      </c>
      <c r="GF343" s="91" t="str">
        <f t="shared" si="33"/>
      </c>
      <c r="GG343" s="91" t="str">
        <f t="shared" si="33"/>
      </c>
      <c r="GH343" s="91" t="str">
        <f t="shared" si="33"/>
      </c>
      <c r="GI343" s="91" t="str">
        <f t="shared" si="33"/>
      </c>
      <c r="GJ343" s="91" t="str">
        <f t="shared" si="33"/>
      </c>
      <c r="GK343" s="91" t="str">
        <f t="shared" si="33"/>
      </c>
      <c r="GL343" s="91" t="str">
        <f t="shared" si="33"/>
      </c>
      <c r="GM343" s="91" t="str">
        <f t="shared" si="33"/>
      </c>
      <c r="GN343" s="91" t="str">
        <f t="shared" si="33"/>
      </c>
      <c r="GO343" s="91" t="str">
        <f t="shared" si="33"/>
      </c>
      <c r="GP343" s="91" t="str">
        <f t="shared" si="33"/>
      </c>
      <c r="GQ343" s="91" t="str">
        <f t="shared" si="33"/>
      </c>
      <c r="GR343" s="91" t="str">
        <f t="shared" si="33"/>
      </c>
      <c r="GS343" s="91" t="str">
        <f t="shared" si="33"/>
      </c>
      <c r="GT343" s="91" t="str">
        <f t="shared" si="33"/>
      </c>
      <c r="GU343" s="91" t="str">
        <f t="shared" si="33"/>
      </c>
      <c r="GV343" s="91" t="str">
        <f t="shared" si="33"/>
      </c>
      <c r="GW343" s="91" t="str">
        <f t="shared" si="33"/>
      </c>
      <c r="GX343" s="91" t="str">
        <f t="shared" si="33"/>
      </c>
      <c r="GY343" s="91" t="str">
        <f t="shared" si="33"/>
      </c>
      <c r="GZ343" s="91" t="str">
        <f t="shared" si="33"/>
      </c>
      <c r="HA343" s="91" t="str">
        <f t="shared" si="33"/>
      </c>
      <c r="HB343" s="91" t="str">
        <f t="shared" si="33"/>
      </c>
      <c r="HC343" s="91" t="str">
        <f t="shared" si="33"/>
      </c>
      <c r="HD343" s="91" t="str">
        <f t="shared" si="33"/>
      </c>
      <c r="HE343" s="91" t="str">
        <f t="shared" si="33"/>
      </c>
      <c r="HF343" s="91" t="str">
        <f t="shared" si="33"/>
      </c>
      <c r="HG343" s="91" t="str">
        <f t="shared" si="33"/>
      </c>
      <c r="HH343" s="91" t="str">
        <f t="shared" si="33"/>
      </c>
      <c r="HI343" s="91" t="str">
        <f t="shared" si="33"/>
      </c>
      <c r="HJ343" s="91" t="str">
        <f t="shared" si="33"/>
      </c>
      <c r="HK343" s="91" t="str">
        <f t="shared" si="33"/>
      </c>
      <c r="HL343" s="91" t="str">
        <f t="shared" si="33"/>
      </c>
      <c r="HM343" s="91" t="str">
        <f ref="HM343:IV343" t="shared" si="34">IF(SUM(HM324:HM342)&lt;&gt;0,SUM(HM324:HM342),"")</f>
      </c>
      <c r="HN343" s="91" t="str">
        <f t="shared" si="34"/>
      </c>
      <c r="HO343" s="91" t="str">
        <f t="shared" si="34"/>
      </c>
      <c r="HP343" s="91" t="str">
        <f t="shared" si="34"/>
      </c>
      <c r="HQ343" s="91" t="str">
        <f t="shared" si="34"/>
      </c>
      <c r="HR343" s="91" t="str">
        <f t="shared" si="34"/>
      </c>
      <c r="HS343" s="91" t="str">
        <f t="shared" si="34"/>
      </c>
      <c r="HT343" s="91" t="str">
        <f t="shared" si="34"/>
      </c>
      <c r="HU343" s="91" t="str">
        <f t="shared" si="34"/>
      </c>
      <c r="HV343" s="91" t="str">
        <f t="shared" si="34"/>
      </c>
      <c r="HW343" s="91" t="str">
        <f t="shared" si="34"/>
      </c>
      <c r="HX343" s="91" t="str">
        <f t="shared" si="34"/>
      </c>
      <c r="HY343" s="91" t="str">
        <f t="shared" si="34"/>
      </c>
      <c r="HZ343" s="91" t="str">
        <f t="shared" si="34"/>
      </c>
      <c r="IA343" s="91" t="str">
        <f t="shared" si="34"/>
      </c>
      <c r="IB343" s="91" t="str">
        <f t="shared" si="34"/>
      </c>
      <c r="IC343" s="91" t="str">
        <f t="shared" si="34"/>
      </c>
      <c r="ID343" s="91" t="str">
        <f t="shared" si="34"/>
      </c>
      <c r="IE343" s="91" t="str">
        <f t="shared" si="34"/>
      </c>
      <c r="IF343" s="91" t="str">
        <f t="shared" si="34"/>
      </c>
      <c r="IG343" s="91" t="str">
        <f t="shared" si="34"/>
      </c>
      <c r="IH343" s="91" t="str">
        <f t="shared" si="34"/>
      </c>
      <c r="II343" s="91" t="str">
        <f t="shared" si="34"/>
      </c>
      <c r="IJ343" s="91" t="str">
        <f t="shared" si="34"/>
      </c>
      <c r="IK343" s="91" t="str">
        <f t="shared" si="34"/>
      </c>
      <c r="IL343" s="91" t="str">
        <f t="shared" si="34"/>
      </c>
      <c r="IM343" s="91" t="str">
        <f t="shared" si="34"/>
      </c>
      <c r="IN343" s="91" t="str">
        <f t="shared" si="34"/>
      </c>
      <c r="IO343" s="91" t="str">
        <f t="shared" si="34"/>
      </c>
      <c r="IP343" s="91" t="str">
        <f t="shared" si="34"/>
      </c>
      <c r="IQ343" s="91" t="str">
        <f t="shared" si="34"/>
      </c>
      <c r="IR343" s="91" t="str">
        <f t="shared" si="34"/>
      </c>
      <c r="IS343" s="91" t="str">
        <f t="shared" si="34"/>
      </c>
      <c r="IT343" s="91" t="str">
        <f t="shared" si="34"/>
      </c>
      <c r="IU343" s="91" t="str">
        <f t="shared" si="34"/>
      </c>
      <c r="IV343" s="91" t="str">
        <f t="shared" si="34"/>
      </c>
    </row>
    <row r="344" hidden="1" ht="13.5"/>
    <row r="345" hidden="1" ht="15" customHeight="1">
      <c r="C345" s="686" t="s">
        <v>391</v>
      </c>
      <c r="D345" s="687"/>
      <c r="E345" s="687"/>
      <c r="F345" s="687"/>
      <c r="G345" s="687"/>
      <c r="H345" s="687"/>
      <c r="I345" s="687"/>
      <c r="J345" s="687"/>
      <c r="K345" s="687"/>
      <c r="L345" s="687"/>
      <c r="M345" s="687"/>
      <c r="N345" s="687"/>
      <c r="O345" s="687"/>
      <c r="P345" s="687"/>
      <c r="Q345" s="687"/>
      <c r="R345" s="687"/>
      <c r="S345" s="687"/>
      <c r="T345" s="687"/>
      <c r="U345" s="687"/>
      <c r="V345" s="687"/>
      <c r="W345" s="687"/>
      <c r="X345" s="687"/>
      <c r="Y345" s="687"/>
      <c r="Z345" s="687"/>
      <c r="AA345" s="687"/>
      <c r="AB345" s="688"/>
    </row>
    <row r="346" hidden="1" ht="13.5">
      <c r="C346" s="435" t="str">
        <f> IF(C366&lt;&gt;"",TEXT(AUX!G$1,"dd-MMM-aa"),"")</f>
      </c>
      <c r="D346" s="435" t="str">
        <f> IF(D366&lt;&gt;"",TEXT(AUX!H$1,"dd-MMM-aa"),"")</f>
      </c>
      <c r="E346" s="435" t="str">
        <f> IF(E366&lt;&gt;"",TEXT(AUX!I$1,"dd-MMM-aa"),"")</f>
      </c>
      <c r="F346" s="435" t="str">
        <f> IF(F366&lt;&gt;"",TEXT(AUX!J$1,"dd-MMM-aa"),"")</f>
      </c>
      <c r="G346" s="435" t="str">
        <f> IF(G366&lt;&gt;"",TEXT(AUX!K$1,"dd-MMM-aa"),"")</f>
      </c>
      <c r="H346" s="435" t="str">
        <f> IF(H366&lt;&gt;"",TEXT(AUX!L$1,"dd-MMM-aa"),"")</f>
      </c>
      <c r="I346" s="435" t="str">
        <f> IF(I366&lt;&gt;"",TEXT(AUX!M$1,"dd-MMM-aa"),"")</f>
      </c>
      <c r="J346" s="435" t="str">
        <f> IF(J366&lt;&gt;"",TEXT(AUX!N$1,"dd-MMM-aa"),"")</f>
      </c>
      <c r="K346" s="435" t="str">
        <f> IF(K366&lt;&gt;"",TEXT(AUX!O$1,"dd-MMM-aa"),"")</f>
      </c>
      <c r="L346" s="435" t="str">
        <f> IF(L366&lt;&gt;"",TEXT(AUX!P$1,"dd-MMM-aa"),"")</f>
      </c>
      <c r="M346" s="435" t="str">
        <f> IF(M366&lt;&gt;"",TEXT(AUX!Q$1,"dd-MMM-aa"),"")</f>
      </c>
      <c r="N346" s="435" t="str">
        <f> IF(N366&lt;&gt;"",TEXT(AUX!R$1,"dd-MMM-aa"),"")</f>
      </c>
      <c r="O346" s="435" t="str">
        <f> IF(O366&lt;&gt;"",TEXT(AUX!S$1,"dd-MMM-aa"),"")</f>
      </c>
      <c r="P346" s="435" t="str">
        <f> IF(P366&lt;&gt;"",TEXT(AUX!T$1,"dd-MMM-aa"),"")</f>
      </c>
      <c r="Q346" s="435" t="str">
        <f> IF(Q366&lt;&gt;"",TEXT(AUX!U$1,"dd-MMM-aa"),"")</f>
      </c>
      <c r="R346" s="435" t="str">
        <f> IF(R366&lt;&gt;"",TEXT(AUX!V$1,"dd-MMM-aa"),"")</f>
      </c>
      <c r="S346" s="435" t="str">
        <f> IF(S366&lt;&gt;"",TEXT(AUX!W$1,"dd-MMM-aa"),"")</f>
      </c>
      <c r="T346" s="435" t="str">
        <f> IF(T366&lt;&gt;"",TEXT(AUX!X$1,"dd-MMM-aa"),"")</f>
      </c>
      <c r="U346" s="435" t="str">
        <f> IF(U366&lt;&gt;"",TEXT(AUX!Y$1,"dd-MMM-aa"),"")</f>
      </c>
      <c r="V346" s="435" t="str">
        <f> IF(V366&lt;&gt;"",TEXT(AUX!Z$1,"dd-MMM-aa"),"")</f>
      </c>
      <c r="W346" s="435" t="str">
        <f> IF(W366&lt;&gt;"",TEXT(AUX!AA$1,"dd-MMM-aa"),"")</f>
      </c>
      <c r="X346" s="435" t="str">
        <f> IF(X366&lt;&gt;"",TEXT(AUX!AB$1,"dd-MMM-aa"),"")</f>
      </c>
      <c r="Y346" s="435" t="str">
        <f> IF(Y366&lt;&gt;"",TEXT(AUX!AC$1,"dd-MMM-aa"),"")</f>
      </c>
      <c r="Z346" s="435" t="str">
        <f> IF(Z366&lt;&gt;"",TEXT(AUX!AD$1,"dd-MMM-aa"),"")</f>
      </c>
      <c r="AA346" s="435" t="str">
        <f> IF(AA366&lt;&gt;"",TEXT(AUX!AE$1,"dd-MMM-aa"),"")</f>
      </c>
      <c r="AB346" s="497" t="str">
        <f> IF(AB366&lt;&gt;"",TEXT(AUX!AF$1,"dd-MMM-aa"),"")</f>
      </c>
      <c r="AC346" s="496" t="str">
        <f> IF(AC366&lt;&gt;"",TEXT(AUX!AG$1,"dd-MMM-aa"),"")</f>
      </c>
      <c r="AD346" s="496" t="str">
        <f> IF(AD366&lt;&gt;"",TEXT(AUX!AH$1,"dd-MMM-aa"),"")</f>
      </c>
      <c r="AE346" s="496" t="str">
        <f> IF(AE366&lt;&gt;"",TEXT(AUX!AI$1,"dd-MMM-aa"),"")</f>
      </c>
      <c r="AF346" s="496" t="str">
        <f> IF(AF366&lt;&gt;"",TEXT(AUX!AJ$1,"dd-MMM-aa"),"")</f>
      </c>
      <c r="AG346" s="496" t="str">
        <f> IF(AG366&lt;&gt;"",TEXT(AUX!AK$1,"dd-MMM-aa"),"")</f>
      </c>
      <c r="AH346" s="496" t="str">
        <f> IF(AH366&lt;&gt;"",TEXT(AUX!AL$1,"dd-MMM-aa"),"")</f>
      </c>
      <c r="AI346" s="496" t="str">
        <f> IF(AI366&lt;&gt;"",TEXT(AUX!AM$1,"dd-MMM-aa"),"")</f>
      </c>
      <c r="AJ346" s="496" t="str">
        <f> IF(AJ366&lt;&gt;"",TEXT(AUX!AN$1,"dd-MMM-aa"),"")</f>
      </c>
      <c r="AK346" s="496" t="str">
        <f> IF(AK366&lt;&gt;"",TEXT(AUX!AO$1,"dd-MMM-aa"),"")</f>
      </c>
      <c r="AL346" s="496" t="str">
        <f> IF(AL366&lt;&gt;"",TEXT(AUX!AP$1,"dd-MMM-aa"),"")</f>
      </c>
      <c r="AM346" s="496" t="str">
        <f> IF(AM366&lt;&gt;"",TEXT(AUX!AQ$1,"dd-MMM-aa"),"")</f>
      </c>
      <c r="AN346" s="496" t="str">
        <f> IF(AN366&lt;&gt;"",TEXT(AUX!AR$1,"dd-MMM-aa"),"")</f>
      </c>
      <c r="AO346" s="496" t="str">
        <f> IF(AO366&lt;&gt;"",TEXT(AUX!AS$1,"dd-MMM-aa"),"")</f>
      </c>
      <c r="AP346" s="496" t="str">
        <f> IF(AP366&lt;&gt;"",TEXT(AUX!AT$1,"dd-MMM-aa"),"")</f>
      </c>
      <c r="AQ346" s="496" t="str">
        <f> IF(AQ366&lt;&gt;"",TEXT(AUX!AU$1,"dd-MMM-aa"),"")</f>
      </c>
      <c r="AR346" s="496" t="str">
        <f> IF(AR366&lt;&gt;"",TEXT(AUX!AV$1,"dd-MMM-aa"),"")</f>
      </c>
      <c r="AS346" s="496" t="str">
        <f> IF(AS366&lt;&gt;"",TEXT(AUX!AW$1,"dd-MMM-aa"),"")</f>
      </c>
      <c r="AT346" s="496" t="str">
        <f> IF(AT366&lt;&gt;"",TEXT(AUX!AX$1,"dd-MMM-aa"),"")</f>
      </c>
      <c r="AU346" s="496" t="str">
        <f> IF(AU366&lt;&gt;"",TEXT(AUX!AY$1,"dd-MMM-aa"),"")</f>
      </c>
      <c r="AV346" s="496" t="str">
        <f> IF(AV366&lt;&gt;"",TEXT(AUX!AZ$1,"dd-MMM-aa"),"")</f>
      </c>
      <c r="AW346" s="496" t="str">
        <f> IF(AW366&lt;&gt;"",TEXT(AUX!BA$1,"dd-MMM-aa"),"")</f>
      </c>
      <c r="AX346" s="496" t="str">
        <f> IF(AX366&lt;&gt;"",TEXT(AUX!BB$1,"dd-MMM-aa"),"")</f>
      </c>
      <c r="AY346" s="496" t="str">
        <f> IF(AY366&lt;&gt;"",TEXT(AUX!BC$1,"dd-MMM-aa"),"")</f>
      </c>
      <c r="AZ346" s="496" t="str">
        <f> IF(AZ366&lt;&gt;"",TEXT(AUX!BD$1,"dd-MMM-aa"),"")</f>
      </c>
      <c r="BA346" s="496" t="str">
        <f> IF(BA366&lt;&gt;"",TEXT(AUX!BE$1,"dd-MMM-aa"),"")</f>
      </c>
      <c r="BB346" s="496" t="str">
        <f> IF(BB366&lt;&gt;"",TEXT(AUX!BF$1,"dd-MMM-aa"),"")</f>
      </c>
      <c r="BC346" s="496" t="str">
        <f> IF(BC366&lt;&gt;"",TEXT(AUX!BG$1,"dd-MMM-aa"),"")</f>
      </c>
      <c r="BD346" s="496" t="str">
        <f> IF(BD366&lt;&gt;"",TEXT(AUX!BH$1,"dd-MMM-aa"),"")</f>
      </c>
      <c r="BE346" s="496" t="str">
        <f> IF(BE366&lt;&gt;"",TEXT(AUX!BI$1,"dd-MMM-aa"),"")</f>
      </c>
      <c r="BF346" s="496" t="str">
        <f> IF(BF366&lt;&gt;"",TEXT(AUX!BJ$1,"dd-MMM-aa"),"")</f>
      </c>
      <c r="BG346" s="496" t="str">
        <f> IF(BG366&lt;&gt;"",TEXT(AUX!BK$1,"dd-MMM-aa"),"")</f>
      </c>
      <c r="BH346" s="496" t="str">
        <f> IF(BH366&lt;&gt;"",TEXT(AUX!BL$1,"dd-MMM-aa"),"")</f>
      </c>
      <c r="BI346" s="496" t="str">
        <f> IF(BI366&lt;&gt;"",TEXT(AUX!BM$1,"dd-MMM-aa"),"")</f>
      </c>
      <c r="BJ346" s="496" t="str">
        <f> IF(BJ366&lt;&gt;"",TEXT(AUX!BN$1,"dd-MMM-aa"),"")</f>
      </c>
      <c r="BK346" s="496" t="str">
        <f> IF(BK366&lt;&gt;"",TEXT(AUX!BO$1,"dd-MMM-aa"),"")</f>
      </c>
      <c r="BL346" s="496" t="str">
        <f> IF(BL366&lt;&gt;"",TEXT(AUX!BP$1,"dd-MMM-aa"),"")</f>
      </c>
      <c r="BM346" s="496" t="str">
        <f> IF(BM366&lt;&gt;"",TEXT(AUX!BQ$1,"dd-MMM-aa"),"")</f>
      </c>
      <c r="BN346" s="496" t="str">
        <f> IF(BN366&lt;&gt;"",TEXT(AUX!BR$1,"dd-MMM-aa"),"")</f>
      </c>
      <c r="BO346" s="496" t="str">
        <f> IF(BO366&lt;&gt;"",TEXT(AUX!BS$1,"dd-MMM-aa"),"")</f>
      </c>
      <c r="BP346" s="496" t="str">
        <f> IF(BP366&lt;&gt;"",TEXT(AUX!BT$1,"dd-MMM-aa"),"")</f>
      </c>
      <c r="BQ346" s="496" t="str">
        <f> IF(BQ366&lt;&gt;"",TEXT(AUX!BU$1,"dd-MMM-aa"),"")</f>
      </c>
      <c r="BR346" s="496" t="str">
        <f> IF(BR366&lt;&gt;"",TEXT(AUX!BV$1,"dd-MMM-aa"),"")</f>
      </c>
      <c r="BS346" s="496" t="str">
        <f> IF(BS366&lt;&gt;"",TEXT(AUX!BW$1,"dd-MMM-aa"),"")</f>
      </c>
      <c r="BT346" s="496" t="str">
        <f> IF(BT366&lt;&gt;"",TEXT(AUX!BX$1,"dd-MMM-aa"),"")</f>
      </c>
      <c r="BU346" s="496" t="str">
        <f> IF(BU366&lt;&gt;"",TEXT(AUX!BY$1,"dd-MMM-aa"),"")</f>
      </c>
      <c r="BV346" s="496" t="str">
        <f> IF(BV366&lt;&gt;"",TEXT(AUX!BZ$1,"dd-MMM-aa"),"")</f>
      </c>
      <c r="BW346" s="496" t="str">
        <f> IF(BW366&lt;&gt;"",TEXT(AUX!CA$1,"dd-MMM-aa"),"")</f>
      </c>
      <c r="BX346" s="496" t="str">
        <f> IF(BX366&lt;&gt;"",TEXT(AUX!CB$1,"dd-MMM-aa"),"")</f>
      </c>
      <c r="BY346" s="496" t="str">
        <f> IF(BY366&lt;&gt;"",TEXT(AUX!CC$1,"dd-MMM-aa"),"")</f>
      </c>
      <c r="BZ346" s="496" t="str">
        <f> IF(BZ366&lt;&gt;"",TEXT(AUX!CD$1,"dd-MMM-aa"),"")</f>
      </c>
      <c r="CA346" s="496" t="str">
        <f> IF(CA366&lt;&gt;"",TEXT(AUX!CE$1,"dd-MMM-aa"),"")</f>
      </c>
      <c r="CB346" s="496" t="str">
        <f> IF(CB366&lt;&gt;"",TEXT(AUX!CF$1,"dd-MMM-aa"),"")</f>
      </c>
      <c r="CC346" s="496" t="str">
        <f> IF(CC366&lt;&gt;"",TEXT(AUX!CG$1,"dd-MMM-aa"),"")</f>
      </c>
      <c r="CD346" s="496" t="str">
        <f> IF(CD366&lt;&gt;"",TEXT(AUX!CH$1,"dd-MMM-aa"),"")</f>
      </c>
      <c r="CE346" s="496" t="str">
        <f> IF(CE366&lt;&gt;"",TEXT(AUX!CI$1,"dd-MMM-aa"),"")</f>
      </c>
      <c r="CF346" s="496" t="str">
        <f> IF(CF366&lt;&gt;"",TEXT(AUX!CJ$1,"dd-MMM-aa"),"")</f>
      </c>
      <c r="CG346" s="496" t="str">
        <f> IF(CG366&lt;&gt;"",TEXT(AUX!CK$1,"dd-MMM-aa"),"")</f>
      </c>
      <c r="CH346" s="496" t="str">
        <f> IF(CH366&lt;&gt;"",TEXT(AUX!CL$1,"dd-MMM-aa"),"")</f>
      </c>
      <c r="CI346" s="496" t="str">
        <f> IF(CI366&lt;&gt;"",TEXT(AUX!CM$1,"dd-MMM-aa"),"")</f>
      </c>
      <c r="CJ346" s="496" t="str">
        <f> IF(CJ366&lt;&gt;"",TEXT(AUX!CN$1,"dd-MMM-aa"),"")</f>
      </c>
      <c r="CK346" s="496" t="str">
        <f> IF(CK366&lt;&gt;"",TEXT(AUX!CO$1,"dd-MMM-aa"),"")</f>
      </c>
      <c r="CL346" s="496" t="str">
        <f> IF(CL366&lt;&gt;"",TEXT(AUX!CP$1,"dd-MMM-aa"),"")</f>
      </c>
      <c r="CM346" s="496" t="str">
        <f> IF(CM366&lt;&gt;"",TEXT(AUX!CQ$1,"dd-MMM-aa"),"")</f>
      </c>
      <c r="CN346" s="496" t="str">
        <f> IF(CN366&lt;&gt;"",TEXT(AUX!CR$1,"dd-MMM-aa"),"")</f>
      </c>
      <c r="CO346" s="496" t="str">
        <f> IF(CO366&lt;&gt;"",TEXT(AUX!CS$1,"dd-MMM-aa"),"")</f>
      </c>
      <c r="CP346" s="496" t="str">
        <f> IF(CP366&lt;&gt;"",TEXT(AUX!CT$1,"dd-MMM-aa"),"")</f>
      </c>
      <c r="CQ346" s="496" t="str">
        <f> IF(CQ366&lt;&gt;"",TEXT(AUX!CU$1,"dd-MMM-aa"),"")</f>
      </c>
      <c r="CR346" s="496" t="str">
        <f> IF(CR366&lt;&gt;"",TEXT(AUX!CV$1,"dd-MMM-aa"),"")</f>
      </c>
      <c r="CS346" s="496" t="str">
        <f> IF(CS366&lt;&gt;"",TEXT(AUX!CW$1,"dd-MMM-aa"),"")</f>
      </c>
      <c r="CT346" s="496" t="str">
        <f> IF(CT366&lt;&gt;"",TEXT(AUX!CX$1,"dd-MMM-aa"),"")</f>
      </c>
      <c r="CU346" s="496" t="str">
        <f> IF(CU366&lt;&gt;"",TEXT(AUX!CY$1,"dd-MMM-aa"),"")</f>
      </c>
      <c r="CV346" s="496" t="str">
        <f> IF(CV366&lt;&gt;"",TEXT(AUX!CZ$1,"dd-MMM-aa"),"")</f>
      </c>
      <c r="CW346" s="496" t="str">
        <f> IF(CW366&lt;&gt;"",TEXT(AUX!DA$1,"dd-MMM-aa"),"")</f>
      </c>
      <c r="CX346" s="496" t="str">
        <f> IF(CX366&lt;&gt;"",TEXT(AUX!DB$1,"dd-MMM-aa"),"")</f>
      </c>
      <c r="CY346" s="496" t="str">
        <f> IF(CY366&lt;&gt;"",TEXT(AUX!DC$1,"dd-MMM-aa"),"")</f>
      </c>
      <c r="CZ346" s="496" t="str">
        <f> IF(CZ366&lt;&gt;"",TEXT(AUX!DD$1,"dd-MMM-aa"),"")</f>
      </c>
      <c r="DA346" s="496" t="str">
        <f> IF(DA366&lt;&gt;"",TEXT(AUX!DE$1,"dd-MMM-aa"),"")</f>
      </c>
      <c r="DB346" s="496" t="str">
        <f> IF(DB366&lt;&gt;"",TEXT(AUX!DF$1,"dd-MMM-aa"),"")</f>
      </c>
      <c r="DC346" s="496" t="str">
        <f> IF(DC366&lt;&gt;"",TEXT(AUX!DG$1,"dd-MMM-aa"),"")</f>
      </c>
      <c r="DD346" s="496" t="str">
        <f> IF(DD366&lt;&gt;"",TEXT(AUX!DH$1,"dd-MMM-aa"),"")</f>
      </c>
      <c r="DE346" s="496" t="str">
        <f> IF(DE366&lt;&gt;"",TEXT(AUX!DI$1,"dd-MMM-aa"),"")</f>
      </c>
      <c r="DF346" s="496" t="str">
        <f> IF(DF366&lt;&gt;"",TEXT(AUX!DJ$1,"dd-MMM-aa"),"")</f>
      </c>
      <c r="DG346" s="496" t="str">
        <f> IF(DG366&lt;&gt;"",TEXT(AUX!DK$1,"dd-MMM-aa"),"")</f>
      </c>
      <c r="DH346" s="496" t="str">
        <f> IF(DH366&lt;&gt;"",TEXT(AUX!DL$1,"dd-MMM-aa"),"")</f>
      </c>
      <c r="DI346" s="496" t="str">
        <f> IF(DI366&lt;&gt;"",TEXT(AUX!DM$1,"dd-MMM-aa"),"")</f>
      </c>
      <c r="DJ346" s="496" t="str">
        <f> IF(DJ366&lt;&gt;"",TEXT(AUX!DN$1,"dd-MMM-aa"),"")</f>
      </c>
      <c r="DK346" s="496" t="str">
        <f> IF(DK366&lt;&gt;"",TEXT(AUX!DO$1,"dd-MMM-aa"),"")</f>
      </c>
      <c r="DL346" s="496" t="str">
        <f> IF(DL366&lt;&gt;"",TEXT(AUX!DP$1,"dd-MMM-aa"),"")</f>
      </c>
      <c r="DM346" s="496" t="str">
        <f> IF(DM366&lt;&gt;"",TEXT(AUX!DQ$1,"dd-MMM-aa"),"")</f>
      </c>
      <c r="DN346" s="496" t="str">
        <f> IF(DN366&lt;&gt;"",TEXT(AUX!DR$1,"dd-MMM-aa"),"")</f>
      </c>
      <c r="DO346" s="496" t="str">
        <f> IF(DO366&lt;&gt;"",TEXT(AUX!DS$1,"dd-MMM-aa"),"")</f>
      </c>
      <c r="DP346" s="496" t="str">
        <f> IF(DP366&lt;&gt;"",TEXT(AUX!DT$1,"dd-MMM-aa"),"")</f>
      </c>
      <c r="DQ346" s="496" t="str">
        <f> IF(DQ366&lt;&gt;"",TEXT(AUX!DU$1,"dd-MMM-aa"),"")</f>
      </c>
      <c r="DR346" s="496" t="str">
        <f> IF(DR366&lt;&gt;"",TEXT(AUX!DV$1,"dd-MMM-aa"),"")</f>
      </c>
      <c r="DS346" s="496" t="str">
        <f> IF(DS366&lt;&gt;"",TEXT(AUX!DW$1,"dd-MMM-aa"),"")</f>
      </c>
      <c r="DT346" s="496" t="str">
        <f> IF(DT366&lt;&gt;"",TEXT(AUX!DX$1,"dd-MMM-aa"),"")</f>
      </c>
      <c r="DU346" s="496" t="str">
        <f> IF(DU366&lt;&gt;"",TEXT(AUX!DY$1,"dd-MMM-aa"),"")</f>
      </c>
      <c r="DV346" s="496" t="str">
        <f> IF(DV366&lt;&gt;"",TEXT(AUX!DZ$1,"dd-MMM-aa"),"")</f>
      </c>
      <c r="DW346" s="496" t="str">
        <f> IF(DW366&lt;&gt;"",TEXT(AUX!EA$1,"dd-MMM-aa"),"")</f>
      </c>
      <c r="DX346" s="496" t="str">
        <f> IF(DX366&lt;&gt;"",TEXT(AUX!EB$1,"dd-MMM-aa"),"")</f>
      </c>
      <c r="DY346" s="496" t="str">
        <f> IF(DY366&lt;&gt;"",TEXT(AUX!EC$1,"dd-MMM-aa"),"")</f>
      </c>
      <c r="DZ346" s="496" t="str">
        <f> IF(DZ366&lt;&gt;"",TEXT(AUX!ED$1,"dd-MMM-aa"),"")</f>
      </c>
      <c r="EA346" s="496" t="str">
        <f> IF(EA366&lt;&gt;"",TEXT(AUX!EE$1,"dd-MMM-aa"),"")</f>
      </c>
      <c r="EB346" s="496" t="str">
        <f> IF(EB366&lt;&gt;"",TEXT(AUX!EF$1,"dd-MMM-aa"),"")</f>
      </c>
      <c r="EC346" s="496" t="str">
        <f> IF(EC366&lt;&gt;"",TEXT(AUX!EG$1,"dd-MMM-aa"),"")</f>
      </c>
      <c r="ED346" s="496" t="str">
        <f> IF(ED366&lt;&gt;"",TEXT(AUX!EH$1,"dd-MMM-aa"),"")</f>
      </c>
      <c r="EE346" s="496" t="str">
        <f> IF(EE366&lt;&gt;"",TEXT(AUX!EI$1,"dd-MMM-aa"),"")</f>
      </c>
      <c r="EF346" s="496" t="str">
        <f> IF(EF366&lt;&gt;"",TEXT(AUX!EJ$1,"dd-MMM-aa"),"")</f>
      </c>
      <c r="EG346" s="496" t="str">
        <f> IF(EG366&lt;&gt;"",TEXT(AUX!EK$1,"dd-MMM-aa"),"")</f>
      </c>
      <c r="EH346" s="496" t="str">
        <f> IF(EH366&lt;&gt;"",TEXT(AUX!EL$1,"dd-MMM-aa"),"")</f>
      </c>
      <c r="EI346" s="496" t="str">
        <f> IF(EI366&lt;&gt;"",TEXT(AUX!EM$1,"dd-MMM-aa"),"")</f>
      </c>
      <c r="EJ346" s="496" t="str">
        <f> IF(EJ366&lt;&gt;"",TEXT(AUX!EN$1,"dd-MMM-aa"),"")</f>
      </c>
      <c r="EK346" s="496" t="str">
        <f> IF(EK366&lt;&gt;"",TEXT(AUX!EO$1,"dd-MMM-aa"),"")</f>
      </c>
      <c r="EL346" s="496" t="str">
        <f> IF(EL366&lt;&gt;"",TEXT(AUX!EP$1,"dd-MMM-aa"),"")</f>
      </c>
      <c r="EM346" s="496" t="str">
        <f> IF(EM366&lt;&gt;"",TEXT(AUX!EQ$1,"dd-MMM-aa"),"")</f>
      </c>
      <c r="EN346" s="496" t="str">
        <f> IF(EN366&lt;&gt;"",TEXT(AUX!ER$1,"dd-MMM-aa"),"")</f>
      </c>
      <c r="EO346" s="496" t="str">
        <f> IF(EO366&lt;&gt;"",TEXT(AUX!ES$1,"dd-MMM-aa"),"")</f>
      </c>
      <c r="EP346" s="496" t="str">
        <f> IF(EP366&lt;&gt;"",TEXT(AUX!ET$1,"dd-MMM-aa"),"")</f>
      </c>
      <c r="EQ346" s="496" t="str">
        <f> IF(EQ366&lt;&gt;"",TEXT(AUX!EU$1,"dd-MMM-aa"),"")</f>
      </c>
      <c r="ER346" s="496" t="str">
        <f> IF(ER366&lt;&gt;"",TEXT(AUX!EV$1,"dd-MMM-aa"),"")</f>
      </c>
      <c r="ES346" s="496" t="str">
        <f> IF(ES366&lt;&gt;"",TEXT(AUX!EW$1,"dd-MMM-aa"),"")</f>
      </c>
      <c r="ET346" s="496" t="str">
        <f> IF(ET366&lt;&gt;"",TEXT(AUX!EX$1,"dd-MMM-aa"),"")</f>
      </c>
      <c r="EU346" s="496" t="str">
        <f> IF(EU366&lt;&gt;"",TEXT(AUX!EY$1,"dd-MMM-aa"),"")</f>
      </c>
      <c r="EV346" s="496" t="str">
        <f> IF(EV366&lt;&gt;"",TEXT(AUX!EZ$1,"dd-MMM-aa"),"")</f>
      </c>
      <c r="EW346" s="496" t="str">
        <f> IF(EW366&lt;&gt;"",TEXT(AUX!FA$1,"dd-MMM-aa"),"")</f>
      </c>
      <c r="EX346" s="496" t="str">
        <f> IF(EX366&lt;&gt;"",TEXT(AUX!FB$1,"dd-MMM-aa"),"")</f>
      </c>
      <c r="EY346" s="496" t="str">
        <f> IF(EY366&lt;&gt;"",TEXT(AUX!FC$1,"dd-MMM-aa"),"")</f>
      </c>
      <c r="EZ346" s="496" t="str">
        <f> IF(EZ366&lt;&gt;"",TEXT(AUX!FD$1,"dd-MMM-aa"),"")</f>
      </c>
      <c r="FA346" s="496" t="str">
        <f> IF(FA366&lt;&gt;"",TEXT(AUX!FE$1,"dd-MMM-aa"),"")</f>
      </c>
      <c r="FB346" s="496" t="str">
        <f> IF(FB366&lt;&gt;"",TEXT(AUX!FF$1,"dd-MMM-aa"),"")</f>
      </c>
      <c r="FC346" s="496" t="str">
        <f> IF(FC366&lt;&gt;"",TEXT(AUX!FG$1,"dd-MMM-aa"),"")</f>
      </c>
      <c r="FD346" s="496" t="str">
        <f> IF(FD366&lt;&gt;"",TEXT(AUX!FH$1,"dd-MMM-aa"),"")</f>
      </c>
      <c r="FE346" s="496" t="str">
        <f> IF(FE366&lt;&gt;"",TEXT(AUX!FI$1,"dd-MMM-aa"),"")</f>
      </c>
      <c r="FF346" s="496" t="str">
        <f> IF(FF366&lt;&gt;"",TEXT(AUX!FJ$1,"dd-MMM-aa"),"")</f>
      </c>
      <c r="FG346" s="496" t="str">
        <f> IF(FG366&lt;&gt;"",TEXT(AUX!FK$1,"dd-MMM-aa"),"")</f>
      </c>
      <c r="FH346" s="496" t="str">
        <f> IF(FH366&lt;&gt;"",TEXT(AUX!FL$1,"dd-MMM-aa"),"")</f>
      </c>
      <c r="FI346" s="496" t="str">
        <f> IF(FI366&lt;&gt;"",TEXT(AUX!FM$1,"dd-MMM-aa"),"")</f>
      </c>
      <c r="FJ346" s="496" t="str">
        <f> IF(FJ366&lt;&gt;"",TEXT(AUX!FN$1,"dd-MMM-aa"),"")</f>
      </c>
      <c r="FK346" s="496" t="str">
        <f> IF(FK366&lt;&gt;"",TEXT(AUX!FO$1,"dd-MMM-aa"),"")</f>
      </c>
      <c r="FL346" s="496" t="str">
        <f> IF(FL366&lt;&gt;"",TEXT(AUX!FP$1,"dd-MMM-aa"),"")</f>
      </c>
      <c r="FM346" s="496" t="str">
        <f> IF(FM366&lt;&gt;"",TEXT(AUX!FQ$1,"dd-MMM-aa"),"")</f>
      </c>
      <c r="FN346" s="496" t="str">
        <f> IF(FN366&lt;&gt;"",TEXT(AUX!FR$1,"dd-MMM-aa"),"")</f>
      </c>
      <c r="FO346" s="496" t="str">
        <f> IF(FO366&lt;&gt;"",TEXT(AUX!FS$1,"dd-MMM-aa"),"")</f>
      </c>
      <c r="FP346" s="496" t="str">
        <f> IF(FP366&lt;&gt;"",TEXT(AUX!FT$1,"dd-MMM-aa"),"")</f>
      </c>
      <c r="FQ346" s="496" t="str">
        <f> IF(FQ366&lt;&gt;"",TEXT(AUX!FU$1,"dd-MMM-aa"),"")</f>
      </c>
      <c r="FR346" s="496" t="str">
        <f> IF(FR366&lt;&gt;"",TEXT(AUX!FV$1,"dd-MMM-aa"),"")</f>
      </c>
      <c r="FS346" s="496" t="str">
        <f> IF(FS366&lt;&gt;"",TEXT(AUX!FW$1,"dd-MMM-aa"),"")</f>
      </c>
      <c r="FT346" s="496" t="str">
        <f> IF(FT366&lt;&gt;"",TEXT(AUX!FX$1,"dd-MMM-aa"),"")</f>
      </c>
      <c r="FU346" s="496" t="str">
        <f> IF(FU366&lt;&gt;"",TEXT(AUX!FY$1,"dd-MMM-aa"),"")</f>
      </c>
      <c r="FV346" s="496" t="str">
        <f> IF(FV366&lt;&gt;"",TEXT(AUX!FZ$1,"dd-MMM-aa"),"")</f>
      </c>
      <c r="FW346" s="496" t="str">
        <f> IF(FW366&lt;&gt;"",TEXT(AUX!GA$1,"dd-MMM-aa"),"")</f>
      </c>
      <c r="FX346" s="496" t="str">
        <f> IF(FX366&lt;&gt;"",TEXT(AUX!GB$1,"dd-MMM-aa"),"")</f>
      </c>
      <c r="FY346" s="496" t="str">
        <f> IF(FY366&lt;&gt;"",TEXT(AUX!GC$1,"dd-MMM-aa"),"")</f>
      </c>
      <c r="FZ346" s="496" t="str">
        <f> IF(FZ366&lt;&gt;"",TEXT(AUX!GD$1,"dd-MMM-aa"),"")</f>
      </c>
      <c r="GA346" s="496" t="str">
        <f> IF(GA366&lt;&gt;"",TEXT(AUX!GE$1,"dd-MMM-aa"),"")</f>
      </c>
      <c r="GB346" s="496" t="str">
        <f> IF(GB366&lt;&gt;"",TEXT(AUX!GF$1,"dd-MMM-aa"),"")</f>
      </c>
      <c r="GC346" s="496" t="str">
        <f> IF(GC366&lt;&gt;"",TEXT(AUX!GG$1,"dd-MMM-aa"),"")</f>
      </c>
      <c r="GD346" s="496" t="str">
        <f> IF(GD366&lt;&gt;"",TEXT(AUX!GH$1,"dd-MMM-aa"),"")</f>
      </c>
      <c r="GE346" s="496" t="str">
        <f> IF(GE366&lt;&gt;"",TEXT(AUX!GI$1,"dd-MMM-aa"),"")</f>
      </c>
      <c r="GF346" s="496" t="str">
        <f> IF(GF366&lt;&gt;"",TEXT(AUX!GJ$1,"dd-MMM-aa"),"")</f>
      </c>
      <c r="GG346" s="496" t="str">
        <f> IF(GG366&lt;&gt;"",TEXT(AUX!GK$1,"dd-MMM-aa"),"")</f>
      </c>
      <c r="GH346" s="496" t="str">
        <f> IF(GH366&lt;&gt;"",TEXT(AUX!GL$1,"dd-MMM-aa"),"")</f>
      </c>
      <c r="GI346" s="496" t="str">
        <f> IF(GI366&lt;&gt;"",TEXT(AUX!GM$1,"dd-MMM-aa"),"")</f>
      </c>
      <c r="GJ346" s="496" t="str">
        <f> IF(GJ366&lt;&gt;"",TEXT(AUX!GN$1,"dd-MMM-aa"),"")</f>
      </c>
      <c r="GK346" s="496" t="str">
        <f> IF(GK366&lt;&gt;"",TEXT(AUX!GO$1,"dd-MMM-aa"),"")</f>
      </c>
      <c r="GL346" s="496" t="str">
        <f> IF(GL366&lt;&gt;"",TEXT(AUX!GP$1,"dd-MMM-aa"),"")</f>
      </c>
      <c r="GM346" s="496" t="str">
        <f> IF(GM366&lt;&gt;"",TEXT(AUX!GQ$1,"dd-MMM-aa"),"")</f>
      </c>
      <c r="GN346" s="496" t="str">
        <f> IF(GN366&lt;&gt;"",TEXT(AUX!GR$1,"dd-MMM-aa"),"")</f>
      </c>
      <c r="GO346" s="496" t="str">
        <f> IF(GO366&lt;&gt;"",TEXT(AUX!GS$1,"dd-MMM-aa"),"")</f>
      </c>
      <c r="GP346" s="496" t="str">
        <f> IF(GP366&lt;&gt;"",TEXT(AUX!GT$1,"dd-MMM-aa"),"")</f>
      </c>
      <c r="GQ346" s="496" t="str">
        <f> IF(GQ366&lt;&gt;"",TEXT(AUX!GU$1,"dd-MMM-aa"),"")</f>
      </c>
      <c r="GR346" s="496" t="str">
        <f> IF(GR366&lt;&gt;"",TEXT(AUX!GV$1,"dd-MMM-aa"),"")</f>
      </c>
      <c r="GS346" s="496" t="str">
        <f> IF(GS366&lt;&gt;"",TEXT(AUX!GW$1,"dd-MMM-aa"),"")</f>
      </c>
      <c r="GT346" s="496" t="str">
        <f> IF(GT366&lt;&gt;"",TEXT(AUX!GX$1,"dd-MMM-aa"),"")</f>
      </c>
      <c r="GU346" s="496" t="str">
        <f> IF(GU366&lt;&gt;"",TEXT(AUX!GY$1,"dd-MMM-aa"),"")</f>
      </c>
      <c r="GV346" s="496" t="str">
        <f> IF(GV366&lt;&gt;"",TEXT(AUX!GZ$1,"dd-MMM-aa"),"")</f>
      </c>
      <c r="GW346" s="496" t="str">
        <f> IF(GW366&lt;&gt;"",TEXT(AUX!HA$1,"dd-MMM-aa"),"")</f>
      </c>
      <c r="GX346" s="496" t="str">
        <f> IF(GX366&lt;&gt;"",TEXT(AUX!HB$1,"dd-MMM-aa"),"")</f>
      </c>
      <c r="GY346" s="496" t="str">
        <f> IF(GY366&lt;&gt;"",TEXT(AUX!HC$1,"dd-MMM-aa"),"")</f>
      </c>
      <c r="GZ346" s="496" t="str">
        <f> IF(GZ366&lt;&gt;"",TEXT(AUX!HD$1,"dd-MMM-aa"),"")</f>
      </c>
      <c r="HA346" s="496" t="str">
        <f> IF(HA366&lt;&gt;"",TEXT(AUX!HE$1,"dd-MMM-aa"),"")</f>
      </c>
      <c r="HB346" s="496" t="str">
        <f> IF(HB366&lt;&gt;"",TEXT(AUX!HF$1,"dd-MMM-aa"),"")</f>
      </c>
      <c r="HC346" s="496" t="str">
        <f> IF(HC366&lt;&gt;"",TEXT(AUX!HG$1,"dd-MMM-aa"),"")</f>
      </c>
      <c r="HD346" s="496" t="str">
        <f> IF(HD366&lt;&gt;"",TEXT(AUX!HH$1,"dd-MMM-aa"),"")</f>
      </c>
      <c r="HE346" s="496" t="str">
        <f> IF(HE366&lt;&gt;"",TEXT(AUX!HI$1,"dd-MMM-aa"),"")</f>
      </c>
      <c r="HF346" s="496" t="str">
        <f> IF(HF366&lt;&gt;"",TEXT(AUX!HJ$1,"dd-MMM-aa"),"")</f>
      </c>
      <c r="HG346" s="496" t="str">
        <f> IF(HG366&lt;&gt;"",TEXT(AUX!HK$1,"dd-MMM-aa"),"")</f>
      </c>
      <c r="HH346" s="496" t="str">
        <f> IF(HH366&lt;&gt;"",TEXT(AUX!HL$1,"dd-MMM-aa"),"")</f>
      </c>
      <c r="HI346" s="496" t="str">
        <f> IF(HI366&lt;&gt;"",TEXT(AUX!HM$1,"dd-MMM-aa"),"")</f>
      </c>
      <c r="HJ346" s="496" t="str">
        <f> IF(HJ366&lt;&gt;"",TEXT(AUX!HN$1,"dd-MMM-aa"),"")</f>
      </c>
      <c r="HK346" s="496" t="str">
        <f> IF(HK366&lt;&gt;"",TEXT(AUX!HO$1,"dd-MMM-aa"),"")</f>
      </c>
      <c r="HL346" s="496" t="str">
        <f> IF(HL366&lt;&gt;"",TEXT(AUX!HP$1,"dd-MMM-aa"),"")</f>
      </c>
      <c r="HM346" s="496" t="str">
        <f> IF(HM366&lt;&gt;"",TEXT(AUX!HQ$1,"dd-MMM-aa"),"")</f>
      </c>
      <c r="HN346" s="496" t="str">
        <f> IF(HN366&lt;&gt;"",TEXT(AUX!HR$1,"dd-MMM-aa"),"")</f>
      </c>
      <c r="HO346" s="496" t="str">
        <f> IF(HO366&lt;&gt;"",TEXT(AUX!HS$1,"dd-MMM-aa"),"")</f>
      </c>
      <c r="HP346" s="496" t="str">
        <f> IF(HP366&lt;&gt;"",TEXT(AUX!HT$1,"dd-MMM-aa"),"")</f>
      </c>
      <c r="HQ346" s="496" t="str">
        <f> IF(HQ366&lt;&gt;"",TEXT(AUX!HU$1,"dd-MMM-aa"),"")</f>
      </c>
      <c r="HR346" s="496" t="str">
        <f> IF(HR366&lt;&gt;"",TEXT(AUX!HV$1,"dd-MMM-aa"),"")</f>
      </c>
      <c r="HS346" s="496" t="str">
        <f> IF(HS366&lt;&gt;"",TEXT(AUX!HW$1,"dd-MMM-aa"),"")</f>
      </c>
      <c r="HT346" s="496" t="str">
        <f> IF(HT366&lt;&gt;"",TEXT(AUX!HX$1,"dd-MMM-aa"),"")</f>
      </c>
      <c r="HU346" s="496" t="str">
        <f> IF(HU366&lt;&gt;"",TEXT(AUX!HY$1,"dd-MMM-aa"),"")</f>
      </c>
      <c r="HV346" s="496" t="str">
        <f> IF(HV366&lt;&gt;"",TEXT(AUX!HZ$1,"dd-MMM-aa"),"")</f>
      </c>
      <c r="HW346" s="496" t="str">
        <f> IF(HW366&lt;&gt;"",TEXT(AUX!IA$1,"dd-MMM-aa"),"")</f>
      </c>
      <c r="HX346" s="496" t="str">
        <f> IF(HX366&lt;&gt;"",TEXT(AUX!IB$1,"dd-MMM-aa"),"")</f>
      </c>
      <c r="HY346" s="496" t="str">
        <f> IF(HY366&lt;&gt;"",TEXT(AUX!IC$1,"dd-MMM-aa"),"")</f>
      </c>
      <c r="HZ346" s="496" t="str">
        <f> IF(HZ366&lt;&gt;"",TEXT(AUX!ID$1,"dd-MMM-aa"),"")</f>
      </c>
      <c r="IA346" s="496" t="str">
        <f> IF(IA366&lt;&gt;"",TEXT(AUX!IE$1,"dd-MMM-aa"),"")</f>
      </c>
      <c r="IB346" s="496" t="str">
        <f> IF(IB366&lt;&gt;"",TEXT(AUX!IF$1,"dd-MMM-aa"),"")</f>
      </c>
      <c r="IC346" s="496" t="str">
        <f> IF(IC366&lt;&gt;"",TEXT(AUX!IG$1,"dd-MMM-aa"),"")</f>
      </c>
      <c r="ID346" s="496" t="str">
        <f> IF(ID366&lt;&gt;"",TEXT(AUX!IH$1,"dd-MMM-aa"),"")</f>
      </c>
      <c r="IE346" s="496" t="str">
        <f> IF(IE366&lt;&gt;"",TEXT(AUX!II$1,"dd-MMM-aa"),"")</f>
      </c>
      <c r="IF346" s="496" t="str">
        <f> IF(IF366&lt;&gt;"",TEXT(AUX!IJ$1,"dd-MMM-aa"),"")</f>
      </c>
      <c r="IG346" s="496" t="str">
        <f> IF(IG366&lt;&gt;"",TEXT(AUX!IK$1,"dd-MMM-aa"),"")</f>
      </c>
      <c r="IH346" s="496" t="str">
        <f> IF(IH366&lt;&gt;"",TEXT(AUX!IL$1,"dd-MMM-aa"),"")</f>
      </c>
      <c r="II346" s="496" t="str">
        <f> IF(II366&lt;&gt;"",TEXT(AUX!IM$1,"dd-MMM-aa"),"")</f>
      </c>
      <c r="IJ346" s="496" t="str">
        <f> IF(IJ366&lt;&gt;"",TEXT(AUX!IN$1,"dd-MMM-aa"),"")</f>
      </c>
      <c r="IK346" s="496" t="str">
        <f> IF(IK366&lt;&gt;"",TEXT(AUX!IO$1,"dd-MMM-aa"),"")</f>
      </c>
      <c r="IL346" s="496" t="str">
        <f> IF(IL366&lt;&gt;"",TEXT(AUX!IP$1,"dd-MMM-aa"),"")</f>
      </c>
      <c r="IM346" s="496" t="str">
        <f> IF(IM366&lt;&gt;"",TEXT(AUX!IQ$1,"dd-MMM-aa"),"")</f>
      </c>
      <c r="IN346" s="496" t="str">
        <f> IF(IN366&lt;&gt;"",TEXT(AUX!IR$1,"dd-MMM-aa"),"")</f>
      </c>
      <c r="IO346" s="496" t="str">
        <f> IF(IO366&lt;&gt;"",TEXT(AUX!IS$1,"dd-MMM-aa"),"")</f>
      </c>
      <c r="IP346" s="496" t="str">
        <f> IF(IP366&lt;&gt;"",TEXT(AUX!IT$1,"dd-MMM-aa"),"")</f>
      </c>
      <c r="IQ346" s="496" t="str">
        <f> IF(IQ366&lt;&gt;"",TEXT(AUX!IU$1,"dd-MMM-aa"),"")</f>
      </c>
      <c r="IR346" s="496" t="str">
        <f> IF(IR366&lt;&gt;"",TEXT(AUX!IV$1,"dd-MMM-aa"),"")</f>
      </c>
      <c r="IS346" s="496" t="str">
        <f> IF(IS366&lt;&gt;"",TEXT(AUX!#REF!,"dd-MMM-aa"),"")</f>
      </c>
      <c r="IT346" s="496" t="str">
        <f> IF(IT366&lt;&gt;"",TEXT(AUX!#REF!,"dd-MMM-aa"),"")</f>
      </c>
      <c r="IU346" s="496" t="str">
        <f> IF(IU366&lt;&gt;"",TEXT(AUX!#REF!,"dd-MMM-aa"),"")</f>
      </c>
      <c r="IV346" s="496" t="str">
        <f> IF(IV366&lt;&gt;"",TEXT(AUX!#REF!,"dd-MMM-aa"),"")</f>
      </c>
    </row>
    <row r="347" hidden="1">
      <c r="B347" s="833" t="s">
        <v>8</v>
      </c>
      <c r="C347" s="827">
        <v>8</v>
      </c>
      <c r="D347" s="827">
        <v>8</v>
      </c>
      <c r="E347" s="827">
        <v>9</v>
      </c>
      <c r="F347" s="827">
        <v>9</v>
      </c>
      <c r="G347" s="827">
        <v>7</v>
      </c>
      <c r="H347" s="827">
        <v>4</v>
      </c>
      <c r="I347" s="827">
        <v>4</v>
      </c>
      <c r="J347" s="827">
        <v>5</v>
      </c>
      <c r="K347" s="827">
        <v>5</v>
      </c>
      <c r="L347" s="827">
        <v>4</v>
      </c>
      <c r="M347" s="827">
        <v>2</v>
      </c>
      <c r="N347" s="827">
        <v>2</v>
      </c>
      <c r="O347" s="827">
        <v>1</v>
      </c>
      <c r="P347" s="827">
        <v>1</v>
      </c>
      <c r="Q347" s="827">
        <v>1</v>
      </c>
      <c r="R347" s="827">
        <v>1</v>
      </c>
      <c r="S347" s="827">
        <v>1</v>
      </c>
      <c r="T347" s="827">
        <v>1</v>
      </c>
      <c r="U347" s="827">
        <v>2</v>
      </c>
      <c r="V347" s="827">
        <v>2</v>
      </c>
      <c r="W347" s="827">
        <v>1</v>
      </c>
      <c r="X347" s="827">
        <v>1</v>
      </c>
      <c r="Y347" s="827">
        <v>1</v>
      </c>
      <c r="Z347" s="827">
        <v>1</v>
      </c>
      <c r="AA347" s="827">
        <v>1</v>
      </c>
      <c r="AB347" s="834">
        <v>1</v>
      </c>
      <c r="AC347" s="828">
        <v>1</v>
      </c>
      <c r="AD347" s="828">
        <v>1</v>
      </c>
      <c r="AE347" s="828">
        <v>1</v>
      </c>
      <c r="AF347" s="828">
        <v>1</v>
      </c>
      <c r="AG347" s="828">
        <v>1</v>
      </c>
      <c r="AH347" s="828">
        <v>1</v>
      </c>
      <c r="AI347" s="828">
        <v>1</v>
      </c>
      <c r="AJ347" s="828">
        <v>1</v>
      </c>
      <c r="AK347" s="828">
        <v>1</v>
      </c>
      <c r="AL347" s="828">
        <v>0</v>
      </c>
      <c r="AM347" s="828">
        <v>0</v>
      </c>
      <c r="AN347" s="828">
        <v>0</v>
      </c>
      <c r="AO347" s="828">
        <v>0</v>
      </c>
      <c r="AP347" s="828">
        <v>0</v>
      </c>
    </row>
    <row r="348" hidden="1">
      <c r="B348" s="829" t="s">
        <v>9</v>
      </c>
      <c r="C348" s="823">
        <v>1</v>
      </c>
      <c r="D348" s="823">
        <v>0</v>
      </c>
      <c r="E348" s="823">
        <v>0</v>
      </c>
      <c r="F348" s="823">
        <v>0</v>
      </c>
      <c r="G348" s="823">
        <v>0</v>
      </c>
      <c r="H348" s="823">
        <v>0</v>
      </c>
      <c r="I348" s="823">
        <v>0</v>
      </c>
      <c r="J348" s="823">
        <v>0</v>
      </c>
      <c r="K348" s="823">
        <v>0</v>
      </c>
      <c r="L348" s="823">
        <v>0</v>
      </c>
      <c r="M348" s="823">
        <v>0</v>
      </c>
      <c r="N348" s="823">
        <v>0</v>
      </c>
      <c r="O348" s="823">
        <v>0</v>
      </c>
      <c r="P348" s="823">
        <v>0</v>
      </c>
      <c r="Q348" s="823">
        <v>0</v>
      </c>
      <c r="R348" s="823">
        <v>0</v>
      </c>
      <c r="S348" s="823">
        <v>0</v>
      </c>
      <c r="T348" s="823">
        <v>0</v>
      </c>
      <c r="U348" s="823">
        <v>0</v>
      </c>
      <c r="V348" s="823">
        <v>0</v>
      </c>
      <c r="W348" s="823">
        <v>0</v>
      </c>
      <c r="X348" s="823">
        <v>0</v>
      </c>
      <c r="Y348" s="823">
        <v>0</v>
      </c>
      <c r="Z348" s="823">
        <v>0</v>
      </c>
      <c r="AA348" s="823">
        <v>0</v>
      </c>
      <c r="AB348" s="823">
        <v>0</v>
      </c>
      <c r="AC348" s="825">
        <v>0</v>
      </c>
      <c r="AD348" s="825">
        <v>0</v>
      </c>
      <c r="AE348" s="825">
        <v>0</v>
      </c>
      <c r="AF348" s="825">
        <v>0</v>
      </c>
      <c r="AG348" s="825">
        <v>0</v>
      </c>
      <c r="AH348" s="825">
        <v>0</v>
      </c>
      <c r="AI348" s="825">
        <v>0</v>
      </c>
      <c r="AJ348" s="825">
        <v>0</v>
      </c>
      <c r="AK348" s="825">
        <v>0</v>
      </c>
      <c r="AL348" s="825">
        <v>0</v>
      </c>
      <c r="AM348" s="825">
        <v>0</v>
      </c>
      <c r="AN348" s="825">
        <v>0</v>
      </c>
      <c r="AO348" s="825">
        <v>0</v>
      </c>
      <c r="AP348" s="825">
        <v>0</v>
      </c>
    </row>
    <row r="349" hidden="1">
      <c r="B349" s="826" t="s">
        <v>10</v>
      </c>
      <c r="C349" s="827">
        <v>0</v>
      </c>
      <c r="D349" s="827">
        <v>0</v>
      </c>
      <c r="E349" s="827">
        <v>0</v>
      </c>
      <c r="F349" s="827">
        <v>0</v>
      </c>
      <c r="G349" s="827">
        <v>0</v>
      </c>
      <c r="H349" s="827">
        <v>0</v>
      </c>
      <c r="I349" s="827">
        <v>0</v>
      </c>
      <c r="J349" s="827">
        <v>0</v>
      </c>
      <c r="K349" s="827">
        <v>0</v>
      </c>
      <c r="L349" s="827">
        <v>0</v>
      </c>
      <c r="M349" s="827">
        <v>0</v>
      </c>
      <c r="N349" s="827">
        <v>0</v>
      </c>
      <c r="O349" s="827">
        <v>0</v>
      </c>
      <c r="P349" s="827">
        <v>0</v>
      </c>
      <c r="Q349" s="827">
        <v>0</v>
      </c>
      <c r="R349" s="827">
        <v>0</v>
      </c>
      <c r="S349" s="827">
        <v>0</v>
      </c>
      <c r="T349" s="827">
        <v>0</v>
      </c>
      <c r="U349" s="827">
        <v>0</v>
      </c>
      <c r="V349" s="827">
        <v>0</v>
      </c>
      <c r="W349" s="827">
        <v>1</v>
      </c>
      <c r="X349" s="827">
        <v>1</v>
      </c>
      <c r="Y349" s="827">
        <v>1</v>
      </c>
      <c r="Z349" s="827">
        <v>1</v>
      </c>
      <c r="AA349" s="827">
        <v>1</v>
      </c>
      <c r="AB349" s="827">
        <v>1</v>
      </c>
      <c r="AC349" s="828">
        <v>1</v>
      </c>
      <c r="AD349" s="828">
        <v>2</v>
      </c>
      <c r="AE349" s="828">
        <v>2</v>
      </c>
      <c r="AF349" s="828">
        <v>2</v>
      </c>
      <c r="AG349" s="828">
        <v>2</v>
      </c>
      <c r="AH349" s="828">
        <v>2</v>
      </c>
      <c r="AI349" s="828">
        <v>2</v>
      </c>
      <c r="AJ349" s="828">
        <v>2</v>
      </c>
      <c r="AK349" s="828">
        <v>2</v>
      </c>
      <c r="AL349" s="828">
        <v>2</v>
      </c>
      <c r="AM349" s="828">
        <v>2</v>
      </c>
      <c r="AN349" s="828">
        <v>1</v>
      </c>
      <c r="AO349" s="828">
        <v>1</v>
      </c>
      <c r="AP349" s="828">
        <v>0</v>
      </c>
    </row>
    <row r="350" hidden="1">
      <c r="B350" s="829" t="s">
        <v>11</v>
      </c>
      <c r="C350" s="823">
        <v>1</v>
      </c>
      <c r="D350" s="823">
        <v>1</v>
      </c>
      <c r="E350" s="823">
        <v>1</v>
      </c>
      <c r="F350" s="823">
        <v>1</v>
      </c>
      <c r="G350" s="823">
        <v>0</v>
      </c>
      <c r="H350" s="823">
        <v>0</v>
      </c>
      <c r="I350" s="823">
        <v>0</v>
      </c>
      <c r="J350" s="823">
        <v>0</v>
      </c>
      <c r="K350" s="823">
        <v>0</v>
      </c>
      <c r="L350" s="823">
        <v>0</v>
      </c>
      <c r="M350" s="823">
        <v>1</v>
      </c>
      <c r="N350" s="823">
        <v>1</v>
      </c>
      <c r="O350" s="823">
        <v>1</v>
      </c>
      <c r="P350" s="823">
        <v>1</v>
      </c>
      <c r="Q350" s="823">
        <v>1</v>
      </c>
      <c r="R350" s="823">
        <v>1</v>
      </c>
      <c r="S350" s="823">
        <v>1</v>
      </c>
      <c r="T350" s="823">
        <v>1</v>
      </c>
      <c r="U350" s="823">
        <v>1</v>
      </c>
      <c r="V350" s="823">
        <v>1</v>
      </c>
      <c r="W350" s="823">
        <v>1</v>
      </c>
      <c r="X350" s="823">
        <v>1</v>
      </c>
      <c r="Y350" s="823">
        <v>1</v>
      </c>
      <c r="Z350" s="823">
        <v>1</v>
      </c>
      <c r="AA350" s="823">
        <v>1</v>
      </c>
      <c r="AB350" s="823">
        <v>1</v>
      </c>
      <c r="AC350" s="825">
        <v>1</v>
      </c>
      <c r="AD350" s="825">
        <v>0</v>
      </c>
      <c r="AE350" s="825">
        <v>0</v>
      </c>
      <c r="AF350" s="825">
        <v>0</v>
      </c>
      <c r="AG350" s="825">
        <v>0</v>
      </c>
      <c r="AH350" s="825">
        <v>0</v>
      </c>
      <c r="AI350" s="825">
        <v>0</v>
      </c>
      <c r="AJ350" s="825">
        <v>0</v>
      </c>
      <c r="AK350" s="825">
        <v>0</v>
      </c>
      <c r="AL350" s="825">
        <v>0</v>
      </c>
      <c r="AM350" s="825">
        <v>0</v>
      </c>
      <c r="AN350" s="825">
        <v>0</v>
      </c>
      <c r="AO350" s="825">
        <v>0</v>
      </c>
      <c r="AP350" s="825">
        <v>0</v>
      </c>
    </row>
    <row r="351" hidden="1">
      <c r="B351" s="826" t="s">
        <v>12</v>
      </c>
      <c r="C351" s="827">
        <v>0</v>
      </c>
      <c r="D351" s="827">
        <v>0</v>
      </c>
      <c r="E351" s="827">
        <v>0</v>
      </c>
      <c r="F351" s="827">
        <v>1</v>
      </c>
      <c r="G351" s="827">
        <v>1</v>
      </c>
      <c r="H351" s="827">
        <v>1</v>
      </c>
      <c r="I351" s="827">
        <v>2</v>
      </c>
      <c r="J351" s="827">
        <v>2</v>
      </c>
      <c r="K351" s="827">
        <v>2</v>
      </c>
      <c r="L351" s="827">
        <v>2</v>
      </c>
      <c r="M351" s="827">
        <v>1</v>
      </c>
      <c r="N351" s="827">
        <v>2</v>
      </c>
      <c r="O351" s="827">
        <v>1</v>
      </c>
      <c r="P351" s="827">
        <v>1</v>
      </c>
      <c r="Q351" s="827">
        <v>1</v>
      </c>
      <c r="R351" s="827">
        <v>1</v>
      </c>
      <c r="S351" s="827">
        <v>1</v>
      </c>
      <c r="T351" s="827">
        <v>1</v>
      </c>
      <c r="U351" s="827">
        <v>1</v>
      </c>
      <c r="V351" s="827">
        <v>1</v>
      </c>
      <c r="W351" s="827">
        <v>1</v>
      </c>
      <c r="X351" s="827">
        <v>1</v>
      </c>
      <c r="Y351" s="827">
        <v>1</v>
      </c>
      <c r="Z351" s="827">
        <v>1</v>
      </c>
      <c r="AA351" s="827">
        <v>0</v>
      </c>
      <c r="AB351" s="827">
        <v>0</v>
      </c>
      <c r="AC351" s="828">
        <v>1</v>
      </c>
      <c r="AD351" s="828">
        <v>2</v>
      </c>
      <c r="AE351" s="828">
        <v>2</v>
      </c>
      <c r="AF351" s="828">
        <v>2</v>
      </c>
      <c r="AG351" s="828">
        <v>3</v>
      </c>
      <c r="AH351" s="828">
        <v>2</v>
      </c>
      <c r="AI351" s="828">
        <v>2</v>
      </c>
      <c r="AJ351" s="828">
        <v>1</v>
      </c>
      <c r="AK351" s="828">
        <v>1</v>
      </c>
      <c r="AL351" s="828">
        <v>1</v>
      </c>
      <c r="AM351" s="828">
        <v>1</v>
      </c>
      <c r="AN351" s="828">
        <v>1</v>
      </c>
      <c r="AO351" s="828">
        <v>1</v>
      </c>
      <c r="AP351" s="828">
        <v>1</v>
      </c>
    </row>
    <row r="352" hidden="1">
      <c r="B352" s="829" t="s">
        <v>13</v>
      </c>
      <c r="C352" s="823">
        <v>23</v>
      </c>
      <c r="D352" s="823">
        <v>23</v>
      </c>
      <c r="E352" s="823">
        <v>2</v>
      </c>
      <c r="F352" s="823">
        <v>2</v>
      </c>
      <c r="G352" s="823">
        <v>2</v>
      </c>
      <c r="H352" s="823">
        <v>2</v>
      </c>
      <c r="I352" s="823">
        <v>2</v>
      </c>
      <c r="J352" s="823">
        <v>1</v>
      </c>
      <c r="K352" s="823">
        <v>1</v>
      </c>
      <c r="L352" s="823">
        <v>1</v>
      </c>
      <c r="M352" s="823">
        <v>0</v>
      </c>
      <c r="N352" s="823">
        <v>0</v>
      </c>
      <c r="O352" s="823">
        <v>0</v>
      </c>
      <c r="P352" s="823">
        <v>0</v>
      </c>
      <c r="Q352" s="823">
        <v>0</v>
      </c>
      <c r="R352" s="823">
        <v>1</v>
      </c>
      <c r="S352" s="823">
        <v>1</v>
      </c>
      <c r="T352" s="823">
        <v>0</v>
      </c>
      <c r="U352" s="823">
        <v>0</v>
      </c>
      <c r="V352" s="823">
        <v>0</v>
      </c>
      <c r="W352" s="823">
        <v>1</v>
      </c>
      <c r="X352" s="823">
        <v>1</v>
      </c>
      <c r="Y352" s="823">
        <v>1</v>
      </c>
      <c r="Z352" s="823">
        <v>1</v>
      </c>
      <c r="AA352" s="823">
        <v>1</v>
      </c>
      <c r="AB352" s="823">
        <v>0</v>
      </c>
      <c r="AC352" s="825">
        <v>0</v>
      </c>
      <c r="AD352" s="825">
        <v>0</v>
      </c>
      <c r="AE352" s="825">
        <v>0</v>
      </c>
      <c r="AF352" s="825">
        <v>0</v>
      </c>
      <c r="AG352" s="825">
        <v>0</v>
      </c>
      <c r="AH352" s="825">
        <v>0</v>
      </c>
      <c r="AI352" s="825">
        <v>0</v>
      </c>
      <c r="AJ352" s="825">
        <v>1</v>
      </c>
      <c r="AK352" s="825">
        <v>2</v>
      </c>
      <c r="AL352" s="825">
        <v>3</v>
      </c>
      <c r="AM352" s="825">
        <v>2</v>
      </c>
      <c r="AN352" s="825">
        <v>3</v>
      </c>
      <c r="AO352" s="825">
        <v>3</v>
      </c>
      <c r="AP352" s="825">
        <v>3</v>
      </c>
    </row>
    <row r="353" hidden="1">
      <c r="B353" s="826" t="s">
        <v>109</v>
      </c>
      <c r="C353" s="827">
        <v>8</v>
      </c>
      <c r="D353" s="827">
        <v>8</v>
      </c>
      <c r="E353" s="827">
        <v>8</v>
      </c>
      <c r="F353" s="827">
        <v>8</v>
      </c>
      <c r="G353" s="827">
        <v>8</v>
      </c>
      <c r="H353" s="827">
        <v>8</v>
      </c>
      <c r="I353" s="827">
        <v>8</v>
      </c>
      <c r="J353" s="827">
        <v>7</v>
      </c>
      <c r="K353" s="827">
        <v>8</v>
      </c>
      <c r="L353" s="827">
        <v>8</v>
      </c>
      <c r="M353" s="827">
        <v>8</v>
      </c>
      <c r="N353" s="827">
        <v>8</v>
      </c>
      <c r="O353" s="827">
        <v>0</v>
      </c>
      <c r="P353" s="827">
        <v>0</v>
      </c>
      <c r="Q353" s="827">
        <v>1</v>
      </c>
      <c r="R353" s="827">
        <v>1</v>
      </c>
      <c r="S353" s="827">
        <v>2</v>
      </c>
      <c r="T353" s="827">
        <v>2</v>
      </c>
      <c r="U353" s="827">
        <v>2</v>
      </c>
      <c r="V353" s="827">
        <v>2</v>
      </c>
      <c r="W353" s="827">
        <v>2</v>
      </c>
      <c r="X353" s="827">
        <v>1</v>
      </c>
      <c r="Y353" s="827">
        <v>1</v>
      </c>
      <c r="Z353" s="827">
        <v>1</v>
      </c>
      <c r="AA353" s="827">
        <v>1</v>
      </c>
      <c r="AB353" s="827">
        <v>1</v>
      </c>
      <c r="AC353" s="828">
        <v>1</v>
      </c>
      <c r="AD353" s="828">
        <v>1</v>
      </c>
      <c r="AE353" s="828">
        <v>1</v>
      </c>
      <c r="AF353" s="828">
        <v>1</v>
      </c>
      <c r="AG353" s="828">
        <v>0</v>
      </c>
      <c r="AH353" s="828">
        <v>0</v>
      </c>
      <c r="AI353" s="828">
        <v>0</v>
      </c>
      <c r="AJ353" s="828">
        <v>0</v>
      </c>
      <c r="AK353" s="828">
        <v>0</v>
      </c>
      <c r="AL353" s="828">
        <v>0</v>
      </c>
      <c r="AM353" s="828">
        <v>0</v>
      </c>
      <c r="AN353" s="828">
        <v>0</v>
      </c>
      <c r="AO353" s="828">
        <v>0</v>
      </c>
      <c r="AP353" s="828">
        <v>1</v>
      </c>
    </row>
    <row r="354" hidden="1">
      <c r="B354" s="829" t="s">
        <v>110</v>
      </c>
      <c r="C354" s="823">
        <v>20</v>
      </c>
      <c r="D354" s="823">
        <v>21</v>
      </c>
      <c r="E354" s="823">
        <v>23</v>
      </c>
      <c r="F354" s="823">
        <v>21</v>
      </c>
      <c r="G354" s="823">
        <v>21</v>
      </c>
      <c r="H354" s="823">
        <v>22</v>
      </c>
      <c r="I354" s="823">
        <v>21</v>
      </c>
      <c r="J354" s="823">
        <v>21</v>
      </c>
      <c r="K354" s="823">
        <v>21</v>
      </c>
      <c r="L354" s="823">
        <v>21</v>
      </c>
      <c r="M354" s="823">
        <v>20</v>
      </c>
      <c r="N354" s="823">
        <v>17</v>
      </c>
      <c r="O354" s="823">
        <v>14</v>
      </c>
      <c r="P354" s="823">
        <v>14</v>
      </c>
      <c r="Q354" s="823">
        <v>14</v>
      </c>
      <c r="R354" s="823">
        <v>14</v>
      </c>
      <c r="S354" s="823">
        <v>13</v>
      </c>
      <c r="T354" s="823">
        <v>13</v>
      </c>
      <c r="U354" s="823">
        <v>13</v>
      </c>
      <c r="V354" s="823">
        <v>13</v>
      </c>
      <c r="W354" s="823">
        <v>10</v>
      </c>
      <c r="X354" s="823">
        <v>10</v>
      </c>
      <c r="Y354" s="823">
        <v>9</v>
      </c>
      <c r="Z354" s="823">
        <v>9</v>
      </c>
      <c r="AA354" s="823">
        <v>9</v>
      </c>
      <c r="AB354" s="823">
        <v>9</v>
      </c>
      <c r="AC354" s="825">
        <v>7</v>
      </c>
      <c r="AD354" s="825">
        <v>7</v>
      </c>
      <c r="AE354" s="825">
        <v>7</v>
      </c>
      <c r="AF354" s="825">
        <v>7</v>
      </c>
      <c r="AG354" s="825">
        <v>7</v>
      </c>
      <c r="AH354" s="825">
        <v>7</v>
      </c>
      <c r="AI354" s="825">
        <v>7</v>
      </c>
      <c r="AJ354" s="825">
        <v>7</v>
      </c>
      <c r="AK354" s="825">
        <v>7</v>
      </c>
      <c r="AL354" s="825">
        <v>8</v>
      </c>
      <c r="AM354" s="825">
        <v>8</v>
      </c>
      <c r="AN354" s="825">
        <v>8</v>
      </c>
      <c r="AO354" s="825">
        <v>8</v>
      </c>
      <c r="AP354" s="825">
        <v>8</v>
      </c>
    </row>
    <row r="355" hidden="1">
      <c r="B355" s="826" t="s">
        <v>16</v>
      </c>
      <c r="C355" s="827">
        <v>46</v>
      </c>
      <c r="D355" s="827">
        <v>42</v>
      </c>
      <c r="E355" s="827">
        <v>47</v>
      </c>
      <c r="F355" s="827">
        <v>40</v>
      </c>
      <c r="G355" s="827">
        <v>35</v>
      </c>
      <c r="H355" s="827">
        <v>37</v>
      </c>
      <c r="I355" s="827">
        <v>37</v>
      </c>
      <c r="J355" s="827">
        <v>36</v>
      </c>
      <c r="K355" s="827">
        <v>33</v>
      </c>
      <c r="L355" s="827">
        <v>32</v>
      </c>
      <c r="M355" s="827">
        <v>31</v>
      </c>
      <c r="N355" s="827">
        <v>31</v>
      </c>
      <c r="O355" s="827">
        <v>29</v>
      </c>
      <c r="P355" s="827">
        <v>29</v>
      </c>
      <c r="Q355" s="827">
        <v>28</v>
      </c>
      <c r="R355" s="827">
        <v>28</v>
      </c>
      <c r="S355" s="827">
        <v>29</v>
      </c>
      <c r="T355" s="827">
        <v>29</v>
      </c>
      <c r="U355" s="827">
        <v>29</v>
      </c>
      <c r="V355" s="827">
        <v>29</v>
      </c>
      <c r="W355" s="827">
        <v>28</v>
      </c>
      <c r="X355" s="827">
        <v>28</v>
      </c>
      <c r="Y355" s="827">
        <v>29</v>
      </c>
      <c r="Z355" s="827">
        <v>30</v>
      </c>
      <c r="AA355" s="827">
        <v>30</v>
      </c>
      <c r="AB355" s="827">
        <v>29</v>
      </c>
      <c r="AC355" s="828">
        <v>30</v>
      </c>
      <c r="AD355" s="828">
        <v>27</v>
      </c>
      <c r="AE355" s="828">
        <v>26</v>
      </c>
      <c r="AF355" s="828">
        <v>26</v>
      </c>
      <c r="AG355" s="828">
        <v>26</v>
      </c>
      <c r="AH355" s="828">
        <v>26</v>
      </c>
      <c r="AI355" s="828">
        <v>26</v>
      </c>
      <c r="AJ355" s="828">
        <v>26</v>
      </c>
      <c r="AK355" s="828">
        <v>25</v>
      </c>
      <c r="AL355" s="828">
        <v>21</v>
      </c>
      <c r="AM355" s="828">
        <v>20</v>
      </c>
      <c r="AN355" s="828">
        <v>20</v>
      </c>
      <c r="AO355" s="828">
        <v>20</v>
      </c>
      <c r="AP355" s="828">
        <v>15</v>
      </c>
    </row>
    <row r="356" hidden="1">
      <c r="B356" s="829" t="s">
        <v>17</v>
      </c>
      <c r="C356" s="823">
        <v>0</v>
      </c>
      <c r="D356" s="823">
        <v>0</v>
      </c>
      <c r="E356" s="823">
        <v>0</v>
      </c>
      <c r="F356" s="823">
        <v>0</v>
      </c>
      <c r="G356" s="823">
        <v>0</v>
      </c>
      <c r="H356" s="823">
        <v>0</v>
      </c>
      <c r="I356" s="823">
        <v>0</v>
      </c>
      <c r="J356" s="823">
        <v>0</v>
      </c>
      <c r="K356" s="823">
        <v>0</v>
      </c>
      <c r="L356" s="823">
        <v>0</v>
      </c>
      <c r="M356" s="823">
        <v>0</v>
      </c>
      <c r="N356" s="823">
        <v>0</v>
      </c>
      <c r="O356" s="823">
        <v>0</v>
      </c>
      <c r="P356" s="823">
        <v>0</v>
      </c>
      <c r="Q356" s="823">
        <v>0</v>
      </c>
      <c r="R356" s="823">
        <v>0</v>
      </c>
      <c r="S356" s="823">
        <v>0</v>
      </c>
      <c r="T356" s="823">
        <v>0</v>
      </c>
      <c r="U356" s="823">
        <v>0</v>
      </c>
      <c r="V356" s="823">
        <v>0</v>
      </c>
      <c r="W356" s="823">
        <v>0</v>
      </c>
      <c r="X356" s="823">
        <v>0</v>
      </c>
      <c r="Y356" s="823">
        <v>0</v>
      </c>
      <c r="Z356" s="823">
        <v>0</v>
      </c>
      <c r="AA356" s="823">
        <v>0</v>
      </c>
      <c r="AB356" s="823">
        <v>0</v>
      </c>
      <c r="AC356" s="825">
        <v>2</v>
      </c>
      <c r="AD356" s="825">
        <v>2</v>
      </c>
      <c r="AE356" s="825">
        <v>2</v>
      </c>
      <c r="AF356" s="825">
        <v>2</v>
      </c>
      <c r="AG356" s="825">
        <v>2</v>
      </c>
      <c r="AH356" s="825">
        <v>2</v>
      </c>
      <c r="AI356" s="825">
        <v>2</v>
      </c>
      <c r="AJ356" s="825">
        <v>2</v>
      </c>
      <c r="AK356" s="825">
        <v>2</v>
      </c>
      <c r="AL356" s="825">
        <v>0</v>
      </c>
      <c r="AM356" s="825">
        <v>0</v>
      </c>
      <c r="AN356" s="825">
        <v>0</v>
      </c>
      <c r="AO356" s="825">
        <v>0</v>
      </c>
      <c r="AP356" s="825">
        <v>0</v>
      </c>
    </row>
    <row r="357" hidden="1">
      <c r="B357" s="826" t="s">
        <v>18</v>
      </c>
      <c r="C357" s="827">
        <v>4</v>
      </c>
      <c r="D357" s="827">
        <v>5</v>
      </c>
      <c r="E357" s="827">
        <v>4</v>
      </c>
      <c r="F357" s="827">
        <v>5</v>
      </c>
      <c r="G357" s="827">
        <v>5</v>
      </c>
      <c r="H357" s="827">
        <v>5</v>
      </c>
      <c r="I357" s="827">
        <v>5</v>
      </c>
      <c r="J357" s="827">
        <v>5</v>
      </c>
      <c r="K357" s="827">
        <v>5</v>
      </c>
      <c r="L357" s="827">
        <v>5</v>
      </c>
      <c r="M357" s="827">
        <v>5</v>
      </c>
      <c r="N357" s="827">
        <v>5</v>
      </c>
      <c r="O357" s="827">
        <v>5</v>
      </c>
      <c r="P357" s="827">
        <v>7</v>
      </c>
      <c r="Q357" s="827">
        <v>7</v>
      </c>
      <c r="R357" s="827">
        <v>6</v>
      </c>
      <c r="S357" s="827">
        <v>6</v>
      </c>
      <c r="T357" s="827">
        <v>6</v>
      </c>
      <c r="U357" s="827">
        <v>6</v>
      </c>
      <c r="V357" s="827">
        <v>6</v>
      </c>
      <c r="W357" s="827">
        <v>7</v>
      </c>
      <c r="X357" s="827">
        <v>7</v>
      </c>
      <c r="Y357" s="827">
        <v>6</v>
      </c>
      <c r="Z357" s="827">
        <v>6</v>
      </c>
      <c r="AA357" s="827">
        <v>6</v>
      </c>
      <c r="AB357" s="827">
        <v>6</v>
      </c>
      <c r="AC357" s="828">
        <v>6</v>
      </c>
      <c r="AD357" s="828">
        <v>8</v>
      </c>
      <c r="AE357" s="828">
        <v>8</v>
      </c>
      <c r="AF357" s="828">
        <v>8</v>
      </c>
      <c r="AG357" s="828">
        <v>7</v>
      </c>
      <c r="AH357" s="828">
        <v>6</v>
      </c>
      <c r="AI357" s="828">
        <v>6</v>
      </c>
      <c r="AJ357" s="828">
        <v>6</v>
      </c>
      <c r="AK357" s="828">
        <v>6</v>
      </c>
      <c r="AL357" s="828">
        <v>6</v>
      </c>
      <c r="AM357" s="828">
        <v>6</v>
      </c>
      <c r="AN357" s="828">
        <v>6</v>
      </c>
      <c r="AO357" s="828">
        <v>6</v>
      </c>
      <c r="AP357" s="828">
        <v>6</v>
      </c>
    </row>
    <row r="358" hidden="1">
      <c r="B358" s="829" t="s">
        <v>19</v>
      </c>
      <c r="C358" s="823">
        <v>0</v>
      </c>
      <c r="D358" s="823">
        <v>0</v>
      </c>
      <c r="E358" s="823">
        <v>0</v>
      </c>
      <c r="F358" s="823">
        <v>0</v>
      </c>
      <c r="G358" s="823">
        <v>0</v>
      </c>
      <c r="H358" s="823">
        <v>0</v>
      </c>
      <c r="I358" s="823">
        <v>0</v>
      </c>
      <c r="J358" s="823">
        <v>0</v>
      </c>
      <c r="K358" s="823">
        <v>0</v>
      </c>
      <c r="L358" s="823">
        <v>0</v>
      </c>
      <c r="M358" s="823">
        <v>0</v>
      </c>
      <c r="N358" s="823">
        <v>0</v>
      </c>
      <c r="O358" s="823">
        <v>0</v>
      </c>
      <c r="P358" s="823">
        <v>0</v>
      </c>
      <c r="Q358" s="823">
        <v>0</v>
      </c>
      <c r="R358" s="823">
        <v>1</v>
      </c>
      <c r="S358" s="823">
        <v>0</v>
      </c>
      <c r="T358" s="823">
        <v>0</v>
      </c>
      <c r="U358" s="823">
        <v>0</v>
      </c>
      <c r="V358" s="823">
        <v>0</v>
      </c>
      <c r="W358" s="823">
        <v>0</v>
      </c>
      <c r="X358" s="823">
        <v>0</v>
      </c>
      <c r="Y358" s="823">
        <v>0</v>
      </c>
      <c r="Z358" s="823">
        <v>0</v>
      </c>
      <c r="AA358" s="823">
        <v>0</v>
      </c>
      <c r="AB358" s="823">
        <v>0</v>
      </c>
      <c r="AC358" s="825">
        <v>0</v>
      </c>
      <c r="AD358" s="825">
        <v>0</v>
      </c>
      <c r="AE358" s="825">
        <v>0</v>
      </c>
      <c r="AF358" s="825">
        <v>0</v>
      </c>
      <c r="AG358" s="825">
        <v>0</v>
      </c>
      <c r="AH358" s="825">
        <v>0</v>
      </c>
      <c r="AI358" s="825">
        <v>0</v>
      </c>
      <c r="AJ358" s="825">
        <v>0</v>
      </c>
      <c r="AK358" s="825">
        <v>0</v>
      </c>
      <c r="AL358" s="825">
        <v>0</v>
      </c>
      <c r="AM358" s="825">
        <v>0</v>
      </c>
      <c r="AN358" s="825">
        <v>0</v>
      </c>
      <c r="AO358" s="825">
        <v>0</v>
      </c>
      <c r="AP358" s="825">
        <v>0</v>
      </c>
    </row>
    <row r="359" hidden="1">
      <c r="B359" s="826" t="s">
        <v>20</v>
      </c>
      <c r="C359" s="827">
        <v>0</v>
      </c>
      <c r="D359" s="827">
        <v>1</v>
      </c>
      <c r="E359" s="827">
        <v>1</v>
      </c>
      <c r="F359" s="827">
        <v>1</v>
      </c>
      <c r="G359" s="827">
        <v>1</v>
      </c>
      <c r="H359" s="827">
        <v>1</v>
      </c>
      <c r="I359" s="827">
        <v>1</v>
      </c>
      <c r="J359" s="827">
        <v>1</v>
      </c>
      <c r="K359" s="827">
        <v>0</v>
      </c>
      <c r="L359" s="827">
        <v>0</v>
      </c>
      <c r="M359" s="827">
        <v>0</v>
      </c>
      <c r="N359" s="827">
        <v>0</v>
      </c>
      <c r="O359" s="827">
        <v>1</v>
      </c>
      <c r="P359" s="827">
        <v>1</v>
      </c>
      <c r="Q359" s="827">
        <v>1</v>
      </c>
      <c r="R359" s="827">
        <v>1</v>
      </c>
      <c r="S359" s="827">
        <v>1</v>
      </c>
      <c r="T359" s="827">
        <v>1</v>
      </c>
      <c r="U359" s="827">
        <v>1</v>
      </c>
      <c r="V359" s="827">
        <v>1</v>
      </c>
      <c r="W359" s="827">
        <v>1</v>
      </c>
      <c r="X359" s="827">
        <v>1</v>
      </c>
      <c r="Y359" s="827">
        <v>1</v>
      </c>
      <c r="Z359" s="827">
        <v>1</v>
      </c>
      <c r="AA359" s="827">
        <v>1</v>
      </c>
      <c r="AB359" s="827">
        <v>1</v>
      </c>
      <c r="AC359" s="828">
        <v>1</v>
      </c>
      <c r="AD359" s="828">
        <v>1</v>
      </c>
      <c r="AE359" s="828">
        <v>1</v>
      </c>
      <c r="AF359" s="828">
        <v>1</v>
      </c>
      <c r="AG359" s="828">
        <v>1</v>
      </c>
      <c r="AH359" s="828">
        <v>1</v>
      </c>
      <c r="AI359" s="828">
        <v>1</v>
      </c>
      <c r="AJ359" s="828">
        <v>1</v>
      </c>
      <c r="AK359" s="828">
        <v>1</v>
      </c>
      <c r="AL359" s="828">
        <v>1</v>
      </c>
      <c r="AM359" s="828">
        <v>1</v>
      </c>
      <c r="AN359" s="828">
        <v>1</v>
      </c>
      <c r="AO359" s="828">
        <v>1</v>
      </c>
      <c r="AP359" s="828">
        <v>1</v>
      </c>
    </row>
    <row r="360" hidden="1">
      <c r="B360" s="829" t="s">
        <v>21</v>
      </c>
      <c r="C360" s="823">
        <v>0</v>
      </c>
      <c r="D360" s="823">
        <v>0</v>
      </c>
      <c r="E360" s="823">
        <v>0</v>
      </c>
      <c r="F360" s="823">
        <v>0</v>
      </c>
      <c r="G360" s="823">
        <v>0</v>
      </c>
      <c r="H360" s="823">
        <v>0</v>
      </c>
      <c r="I360" s="823">
        <v>0</v>
      </c>
      <c r="J360" s="823">
        <v>0</v>
      </c>
      <c r="K360" s="823">
        <v>0</v>
      </c>
      <c r="L360" s="823">
        <v>1</v>
      </c>
      <c r="M360" s="823">
        <v>0</v>
      </c>
      <c r="N360" s="823">
        <v>0</v>
      </c>
      <c r="O360" s="823">
        <v>1</v>
      </c>
      <c r="P360" s="823">
        <v>1</v>
      </c>
      <c r="Q360" s="823">
        <v>1</v>
      </c>
      <c r="R360" s="823">
        <v>1</v>
      </c>
      <c r="S360" s="823">
        <v>0</v>
      </c>
      <c r="T360" s="823">
        <v>1</v>
      </c>
      <c r="U360" s="823">
        <v>1</v>
      </c>
      <c r="V360" s="823">
        <v>1</v>
      </c>
      <c r="W360" s="823">
        <v>1</v>
      </c>
      <c r="X360" s="823">
        <v>1</v>
      </c>
      <c r="Y360" s="823">
        <v>0</v>
      </c>
      <c r="Z360" s="823">
        <v>0</v>
      </c>
      <c r="AA360" s="823">
        <v>1</v>
      </c>
      <c r="AB360" s="823">
        <v>0</v>
      </c>
      <c r="AC360" s="825">
        <v>0</v>
      </c>
      <c r="AD360" s="825">
        <v>0</v>
      </c>
      <c r="AE360" s="825">
        <v>1</v>
      </c>
      <c r="AF360" s="825">
        <v>0</v>
      </c>
      <c r="AG360" s="825">
        <v>0</v>
      </c>
      <c r="AH360" s="825">
        <v>0</v>
      </c>
      <c r="AI360" s="825">
        <v>0</v>
      </c>
      <c r="AJ360" s="825">
        <v>0</v>
      </c>
      <c r="AK360" s="825">
        <v>0</v>
      </c>
      <c r="AL360" s="825">
        <v>1</v>
      </c>
      <c r="AM360" s="825">
        <v>0</v>
      </c>
      <c r="AN360" s="825">
        <v>1</v>
      </c>
      <c r="AO360" s="825">
        <v>1</v>
      </c>
      <c r="AP360" s="825">
        <v>0</v>
      </c>
    </row>
    <row r="361" hidden="1">
      <c r="B361" s="826" t="s">
        <v>22</v>
      </c>
      <c r="C361" s="827">
        <v>1</v>
      </c>
      <c r="D361" s="827">
        <v>1</v>
      </c>
      <c r="E361" s="827">
        <v>1</v>
      </c>
      <c r="F361" s="827">
        <v>1</v>
      </c>
      <c r="G361" s="827">
        <v>1</v>
      </c>
      <c r="H361" s="827">
        <v>1</v>
      </c>
      <c r="I361" s="827">
        <v>1</v>
      </c>
      <c r="J361" s="827">
        <v>1</v>
      </c>
      <c r="K361" s="827">
        <v>1</v>
      </c>
      <c r="L361" s="827">
        <v>0</v>
      </c>
      <c r="M361" s="827">
        <v>0</v>
      </c>
      <c r="N361" s="827">
        <v>0</v>
      </c>
      <c r="O361" s="827">
        <v>0</v>
      </c>
      <c r="P361" s="827">
        <v>0</v>
      </c>
      <c r="Q361" s="827">
        <v>0</v>
      </c>
      <c r="R361" s="827">
        <v>0</v>
      </c>
      <c r="S361" s="827">
        <v>0</v>
      </c>
      <c r="T361" s="827">
        <v>0</v>
      </c>
      <c r="U361" s="827">
        <v>0</v>
      </c>
      <c r="V361" s="827">
        <v>0</v>
      </c>
      <c r="W361" s="827">
        <v>0</v>
      </c>
      <c r="X361" s="827">
        <v>0</v>
      </c>
      <c r="Y361" s="827">
        <v>0</v>
      </c>
      <c r="Z361" s="827">
        <v>0</v>
      </c>
      <c r="AA361" s="827">
        <v>0</v>
      </c>
      <c r="AB361" s="827">
        <v>0</v>
      </c>
      <c r="AC361" s="828">
        <v>0</v>
      </c>
      <c r="AD361" s="828">
        <v>0</v>
      </c>
      <c r="AE361" s="828">
        <v>0</v>
      </c>
      <c r="AF361" s="828">
        <v>0</v>
      </c>
      <c r="AG361" s="828">
        <v>0</v>
      </c>
      <c r="AH361" s="828">
        <v>0</v>
      </c>
      <c r="AI361" s="828">
        <v>0</v>
      </c>
      <c r="AJ361" s="828">
        <v>0</v>
      </c>
      <c r="AK361" s="828">
        <v>0</v>
      </c>
      <c r="AL361" s="828">
        <v>0</v>
      </c>
      <c r="AM361" s="828">
        <v>0</v>
      </c>
      <c r="AN361" s="828">
        <v>0</v>
      </c>
      <c r="AO361" s="828">
        <v>0</v>
      </c>
      <c r="AP361" s="828">
        <v>0</v>
      </c>
    </row>
    <row r="362" hidden="1">
      <c r="B362" s="829" t="s">
        <v>23</v>
      </c>
      <c r="C362" s="823">
        <v>1</v>
      </c>
      <c r="D362" s="823">
        <v>1</v>
      </c>
      <c r="E362" s="823">
        <v>1</v>
      </c>
      <c r="F362" s="823">
        <v>1</v>
      </c>
      <c r="G362" s="823">
        <v>0</v>
      </c>
      <c r="H362" s="823">
        <v>0</v>
      </c>
      <c r="I362" s="823">
        <v>0</v>
      </c>
      <c r="J362" s="823">
        <v>0</v>
      </c>
      <c r="K362" s="823">
        <v>0</v>
      </c>
      <c r="L362" s="823">
        <v>0</v>
      </c>
      <c r="M362" s="823">
        <v>0</v>
      </c>
      <c r="N362" s="823">
        <v>0</v>
      </c>
      <c r="O362" s="823">
        <v>0</v>
      </c>
      <c r="P362" s="823">
        <v>0</v>
      </c>
      <c r="Q362" s="823">
        <v>0</v>
      </c>
      <c r="R362" s="823">
        <v>0</v>
      </c>
      <c r="S362" s="823">
        <v>0</v>
      </c>
      <c r="T362" s="823">
        <v>0</v>
      </c>
      <c r="U362" s="823">
        <v>0</v>
      </c>
      <c r="V362" s="823">
        <v>0</v>
      </c>
      <c r="W362" s="823">
        <v>0</v>
      </c>
      <c r="X362" s="823">
        <v>0</v>
      </c>
      <c r="Y362" s="823">
        <v>0</v>
      </c>
      <c r="Z362" s="823">
        <v>0</v>
      </c>
      <c r="AA362" s="823">
        <v>1</v>
      </c>
      <c r="AB362" s="823">
        <v>1</v>
      </c>
      <c r="AC362" s="825">
        <v>1</v>
      </c>
      <c r="AD362" s="825">
        <v>1</v>
      </c>
      <c r="AE362" s="825">
        <v>1</v>
      </c>
      <c r="AF362" s="825">
        <v>1</v>
      </c>
      <c r="AG362" s="825">
        <v>1</v>
      </c>
      <c r="AH362" s="825">
        <v>2</v>
      </c>
      <c r="AI362" s="825">
        <v>2</v>
      </c>
      <c r="AJ362" s="825">
        <v>2</v>
      </c>
      <c r="AK362" s="825">
        <v>2</v>
      </c>
      <c r="AL362" s="825">
        <v>2</v>
      </c>
      <c r="AM362" s="825">
        <v>1</v>
      </c>
      <c r="AN362" s="825">
        <v>1</v>
      </c>
      <c r="AO362" s="825">
        <v>1</v>
      </c>
      <c r="AP362" s="825">
        <v>0</v>
      </c>
    </row>
    <row r="363" hidden="1">
      <c r="B363" s="835" t="s">
        <v>24</v>
      </c>
      <c r="C363" s="827">
        <v>0</v>
      </c>
      <c r="D363" s="827">
        <v>0</v>
      </c>
      <c r="E363" s="827">
        <v>0</v>
      </c>
      <c r="F363" s="827">
        <v>0</v>
      </c>
      <c r="G363" s="827">
        <v>0</v>
      </c>
      <c r="H363" s="827">
        <v>0</v>
      </c>
      <c r="I363" s="827">
        <v>0</v>
      </c>
      <c r="J363" s="827">
        <v>0</v>
      </c>
      <c r="K363" s="827">
        <v>0</v>
      </c>
      <c r="L363" s="827">
        <v>0</v>
      </c>
      <c r="M363" s="827">
        <v>1</v>
      </c>
      <c r="N363" s="827">
        <v>0</v>
      </c>
      <c r="O363" s="827">
        <v>0</v>
      </c>
      <c r="P363" s="827">
        <v>0</v>
      </c>
      <c r="Q363" s="827">
        <v>0</v>
      </c>
      <c r="R363" s="827">
        <v>0</v>
      </c>
      <c r="S363" s="827">
        <v>0</v>
      </c>
      <c r="T363" s="827">
        <v>0</v>
      </c>
      <c r="U363" s="827">
        <v>0</v>
      </c>
      <c r="V363" s="827">
        <v>2</v>
      </c>
      <c r="W363" s="827">
        <v>2</v>
      </c>
      <c r="X363" s="827">
        <v>2</v>
      </c>
      <c r="Y363" s="827">
        <v>2</v>
      </c>
      <c r="Z363" s="827">
        <v>2</v>
      </c>
      <c r="AA363" s="827">
        <v>2</v>
      </c>
      <c r="AB363" s="827">
        <v>3</v>
      </c>
      <c r="AC363" s="828">
        <v>2</v>
      </c>
      <c r="AD363" s="828">
        <v>2</v>
      </c>
      <c r="AE363" s="828">
        <v>2</v>
      </c>
      <c r="AF363" s="828">
        <v>2</v>
      </c>
      <c r="AG363" s="828">
        <v>2</v>
      </c>
      <c r="AH363" s="828">
        <v>2</v>
      </c>
      <c r="AI363" s="828">
        <v>2</v>
      </c>
      <c r="AJ363" s="828">
        <v>2</v>
      </c>
      <c r="AK363" s="828">
        <v>2</v>
      </c>
      <c r="AL363" s="828">
        <v>2</v>
      </c>
      <c r="AM363" s="828">
        <v>1</v>
      </c>
      <c r="AN363" s="828">
        <v>1</v>
      </c>
      <c r="AO363" s="828">
        <v>1</v>
      </c>
      <c r="AP363" s="828">
        <v>1</v>
      </c>
    </row>
    <row r="364" hidden="1">
      <c r="B364" s="829" t="s">
        <v>25</v>
      </c>
      <c r="C364" s="823">
        <v>0</v>
      </c>
      <c r="D364" s="823">
        <v>0</v>
      </c>
      <c r="E364" s="823">
        <v>0</v>
      </c>
      <c r="F364" s="823">
        <v>0</v>
      </c>
      <c r="G364" s="823">
        <v>0</v>
      </c>
      <c r="H364" s="823">
        <v>0</v>
      </c>
      <c r="I364" s="823">
        <v>0</v>
      </c>
      <c r="J364" s="823">
        <v>0</v>
      </c>
      <c r="K364" s="823">
        <v>0</v>
      </c>
      <c r="L364" s="823">
        <v>0</v>
      </c>
      <c r="M364" s="823">
        <v>0</v>
      </c>
      <c r="N364" s="823">
        <v>0</v>
      </c>
      <c r="O364" s="823">
        <v>0</v>
      </c>
      <c r="P364" s="823">
        <v>0</v>
      </c>
      <c r="Q364" s="823">
        <v>0</v>
      </c>
      <c r="R364" s="823">
        <v>0</v>
      </c>
      <c r="S364" s="823">
        <v>0</v>
      </c>
      <c r="T364" s="823">
        <v>0</v>
      </c>
      <c r="U364" s="823">
        <v>0</v>
      </c>
      <c r="V364" s="823">
        <v>0</v>
      </c>
      <c r="W364" s="823">
        <v>0</v>
      </c>
      <c r="X364" s="823">
        <v>0</v>
      </c>
      <c r="Y364" s="823">
        <v>0</v>
      </c>
      <c r="Z364" s="823">
        <v>0</v>
      </c>
      <c r="AA364" s="823">
        <v>0</v>
      </c>
      <c r="AB364" s="823">
        <v>0</v>
      </c>
      <c r="AC364" s="825">
        <v>0</v>
      </c>
      <c r="AD364" s="825">
        <v>0</v>
      </c>
      <c r="AE364" s="825">
        <v>0</v>
      </c>
      <c r="AF364" s="825">
        <v>0</v>
      </c>
      <c r="AG364" s="825">
        <v>0</v>
      </c>
      <c r="AH364" s="825">
        <v>0</v>
      </c>
      <c r="AI364" s="825">
        <v>0</v>
      </c>
      <c r="AJ364" s="825">
        <v>0</v>
      </c>
      <c r="AK364" s="825">
        <v>0</v>
      </c>
      <c r="AL364" s="825">
        <v>0</v>
      </c>
      <c r="AM364" s="825">
        <v>0</v>
      </c>
      <c r="AN364" s="825">
        <v>0</v>
      </c>
      <c r="AO364" s="825">
        <v>0</v>
      </c>
      <c r="AP364" s="825">
        <v>0</v>
      </c>
    </row>
    <row r="365" hidden="1" ht="13.5">
      <c r="B365" s="836" t="s">
        <v>26</v>
      </c>
      <c r="C365" s="827">
        <v>0</v>
      </c>
      <c r="D365" s="827">
        <v>0</v>
      </c>
      <c r="E365" s="827">
        <v>0</v>
      </c>
      <c r="F365" s="827">
        <v>0</v>
      </c>
      <c r="G365" s="827">
        <v>0</v>
      </c>
      <c r="H365" s="827">
        <v>0</v>
      </c>
      <c r="I365" s="827">
        <v>0</v>
      </c>
      <c r="J365" s="827">
        <v>0</v>
      </c>
      <c r="K365" s="827">
        <v>0</v>
      </c>
      <c r="L365" s="827">
        <v>0</v>
      </c>
      <c r="M365" s="827">
        <v>0</v>
      </c>
      <c r="N365" s="827">
        <v>0</v>
      </c>
      <c r="O365" s="827">
        <v>0</v>
      </c>
      <c r="P365" s="827">
        <v>0</v>
      </c>
      <c r="Q365" s="827">
        <v>0</v>
      </c>
      <c r="R365" s="827">
        <v>0</v>
      </c>
      <c r="S365" s="827">
        <v>0</v>
      </c>
      <c r="T365" s="827">
        <v>0</v>
      </c>
      <c r="U365" s="827">
        <v>0</v>
      </c>
      <c r="V365" s="827">
        <v>0</v>
      </c>
      <c r="W365" s="827">
        <v>0</v>
      </c>
      <c r="X365" s="827">
        <v>0</v>
      </c>
      <c r="Y365" s="827">
        <v>0</v>
      </c>
      <c r="Z365" s="827">
        <v>0</v>
      </c>
      <c r="AA365" s="827">
        <v>0</v>
      </c>
      <c r="AB365" s="837">
        <v>0</v>
      </c>
      <c r="AC365" s="828">
        <v>0</v>
      </c>
      <c r="AD365" s="828">
        <v>0</v>
      </c>
      <c r="AE365" s="828">
        <v>0</v>
      </c>
      <c r="AF365" s="828">
        <v>0</v>
      </c>
      <c r="AG365" s="828">
        <v>0</v>
      </c>
      <c r="AH365" s="828">
        <v>0</v>
      </c>
      <c r="AI365" s="828">
        <v>0</v>
      </c>
      <c r="AJ365" s="828">
        <v>0</v>
      </c>
      <c r="AK365" s="828">
        <v>0</v>
      </c>
      <c r="AL365" s="828">
        <v>0</v>
      </c>
      <c r="AM365" s="828">
        <v>0</v>
      </c>
      <c r="AN365" s="828">
        <v>0</v>
      </c>
      <c r="AO365" s="828">
        <v>0</v>
      </c>
      <c r="AP365" s="828">
        <v>0</v>
      </c>
    </row>
    <row r="366" hidden="1" ht="13.5">
      <c r="B366" s="128" t="s">
        <v>7</v>
      </c>
      <c r="C366" s="129" t="str">
        <f>IF(SUM(C347:C365)&lt;&gt;0,SUM(C347:C365),"")</f>
      </c>
      <c r="D366" s="129" t="str">
        <f ref="D366:AA366" t="shared" si="35">IF(SUM(D347:D365)&lt;&gt;0,SUM(D347:D365),"")</f>
      </c>
      <c r="E366" s="129" t="str">
        <f t="shared" si="35"/>
      </c>
      <c r="F366" s="129" t="str">
        <f t="shared" si="35"/>
      </c>
      <c r="G366" s="129" t="str">
        <f t="shared" si="35"/>
      </c>
      <c r="H366" s="129" t="str">
        <f t="shared" si="35"/>
      </c>
      <c r="I366" s="129" t="str">
        <f t="shared" si="35"/>
      </c>
      <c r="J366" s="129" t="str">
        <f t="shared" si="35"/>
      </c>
      <c r="K366" s="129" t="str">
        <f t="shared" si="35"/>
      </c>
      <c r="L366" s="129" t="str">
        <f t="shared" si="35"/>
      </c>
      <c r="M366" s="129" t="str">
        <f t="shared" si="35"/>
      </c>
      <c r="N366" s="129" t="str">
        <f t="shared" si="35"/>
      </c>
      <c r="O366" s="129" t="str">
        <f t="shared" si="35"/>
      </c>
      <c r="P366" s="129" t="str">
        <f t="shared" si="35"/>
      </c>
      <c r="Q366" s="129" t="str">
        <f t="shared" si="35"/>
      </c>
      <c r="R366" s="129" t="str">
        <f t="shared" si="35"/>
      </c>
      <c r="S366" s="129" t="str">
        <f t="shared" si="35"/>
      </c>
      <c r="T366" s="129" t="str">
        <f t="shared" si="35"/>
      </c>
      <c r="U366" s="129" t="str">
        <f t="shared" si="35"/>
      </c>
      <c r="V366" s="129" t="str">
        <f t="shared" si="35"/>
      </c>
      <c r="W366" s="129" t="str">
        <f t="shared" si="35"/>
      </c>
      <c r="X366" s="129" t="str">
        <f t="shared" si="35"/>
      </c>
      <c r="Y366" s="129" t="str">
        <f t="shared" si="35"/>
      </c>
      <c r="Z366" s="129" t="str">
        <f t="shared" si="35"/>
      </c>
      <c r="AA366" s="129" t="str">
        <f t="shared" si="35"/>
      </c>
      <c r="AB366" s="130" t="str">
        <f>IF(SUM(AB347:AB365)&lt;&gt;0,SUM(AB347:AB365),"")</f>
      </c>
      <c r="AC366" s="91" t="str">
        <f ref="AC366:CN366" t="shared" si="36">IF(SUM(AC347:AC365)&lt;&gt;0,SUM(AC347:AC365),"")</f>
      </c>
      <c r="AD366" s="91" t="str">
        <f t="shared" si="36"/>
      </c>
      <c r="AE366" s="91" t="str">
        <f t="shared" si="36"/>
      </c>
      <c r="AF366" s="91" t="str">
        <f t="shared" si="36"/>
      </c>
      <c r="AG366" s="91" t="str">
        <f t="shared" si="36"/>
      </c>
      <c r="AH366" s="91" t="str">
        <f t="shared" si="36"/>
      </c>
      <c r="AI366" s="91" t="str">
        <f t="shared" si="36"/>
      </c>
      <c r="AJ366" s="91" t="str">
        <f t="shared" si="36"/>
      </c>
      <c r="AK366" s="91" t="str">
        <f t="shared" si="36"/>
      </c>
      <c r="AL366" s="91" t="str">
        <f t="shared" si="36"/>
      </c>
      <c r="AM366" s="91" t="str">
        <f t="shared" si="36"/>
      </c>
      <c r="AN366" s="91" t="str">
        <f t="shared" si="36"/>
      </c>
      <c r="AO366" s="91" t="str">
        <f t="shared" si="36"/>
      </c>
      <c r="AP366" s="91" t="str">
        <f t="shared" si="36"/>
      </c>
      <c r="AQ366" s="91" t="str">
        <f t="shared" si="36"/>
      </c>
      <c r="AR366" s="91" t="str">
        <f t="shared" si="36"/>
      </c>
      <c r="AS366" s="91" t="str">
        <f t="shared" si="36"/>
      </c>
      <c r="AT366" s="91" t="str">
        <f t="shared" si="36"/>
      </c>
      <c r="AU366" s="91" t="str">
        <f t="shared" si="36"/>
      </c>
      <c r="AV366" s="91" t="str">
        <f t="shared" si="36"/>
      </c>
      <c r="AW366" s="91" t="str">
        <f t="shared" si="36"/>
      </c>
      <c r="AX366" s="91" t="str">
        <f t="shared" si="36"/>
      </c>
      <c r="AY366" s="91" t="str">
        <f t="shared" si="36"/>
      </c>
      <c r="AZ366" s="91" t="str">
        <f t="shared" si="36"/>
      </c>
      <c r="BA366" s="91" t="str">
        <f t="shared" si="36"/>
      </c>
      <c r="BB366" s="91" t="str">
        <f t="shared" si="36"/>
      </c>
      <c r="BC366" s="91" t="str">
        <f t="shared" si="36"/>
      </c>
      <c r="BD366" s="91" t="str">
        <f t="shared" si="36"/>
      </c>
      <c r="BE366" s="91" t="str">
        <f t="shared" si="36"/>
      </c>
      <c r="BF366" s="91" t="str">
        <f t="shared" si="36"/>
      </c>
      <c r="BG366" s="91" t="str">
        <f t="shared" si="36"/>
      </c>
      <c r="BH366" s="91" t="str">
        <f t="shared" si="36"/>
      </c>
      <c r="BI366" s="91" t="str">
        <f t="shared" si="36"/>
      </c>
      <c r="BJ366" s="91" t="str">
        <f t="shared" si="36"/>
      </c>
      <c r="BK366" s="91" t="str">
        <f t="shared" si="36"/>
      </c>
      <c r="BL366" s="91" t="str">
        <f t="shared" si="36"/>
      </c>
      <c r="BM366" s="91" t="str">
        <f t="shared" si="36"/>
      </c>
      <c r="BN366" s="91" t="str">
        <f t="shared" si="36"/>
      </c>
      <c r="BO366" s="91" t="str">
        <f t="shared" si="36"/>
      </c>
      <c r="BP366" s="91" t="str">
        <f t="shared" si="36"/>
      </c>
      <c r="BQ366" s="91" t="str">
        <f t="shared" si="36"/>
      </c>
      <c r="BR366" s="91" t="str">
        <f t="shared" si="36"/>
      </c>
      <c r="BS366" s="91" t="str">
        <f t="shared" si="36"/>
      </c>
      <c r="BT366" s="91" t="str">
        <f t="shared" si="36"/>
      </c>
      <c r="BU366" s="91" t="str">
        <f t="shared" si="36"/>
      </c>
      <c r="BV366" s="91" t="str">
        <f t="shared" si="36"/>
      </c>
      <c r="BW366" s="91" t="str">
        <f t="shared" si="36"/>
      </c>
      <c r="BX366" s="91" t="str">
        <f t="shared" si="36"/>
      </c>
      <c r="BY366" s="91" t="str">
        <f t="shared" si="36"/>
      </c>
      <c r="BZ366" s="91" t="str">
        <f t="shared" si="36"/>
      </c>
      <c r="CA366" s="91" t="str">
        <f t="shared" si="36"/>
      </c>
      <c r="CB366" s="91" t="str">
        <f t="shared" si="36"/>
      </c>
      <c r="CC366" s="91" t="str">
        <f t="shared" si="36"/>
      </c>
      <c r="CD366" s="91" t="str">
        <f t="shared" si="36"/>
      </c>
      <c r="CE366" s="91" t="str">
        <f t="shared" si="36"/>
      </c>
      <c r="CF366" s="91" t="str">
        <f t="shared" si="36"/>
      </c>
      <c r="CG366" s="91" t="str">
        <f t="shared" si="36"/>
      </c>
      <c r="CH366" s="91" t="str">
        <f t="shared" si="36"/>
      </c>
      <c r="CI366" s="91" t="str">
        <f t="shared" si="36"/>
      </c>
      <c r="CJ366" s="91" t="str">
        <f t="shared" si="36"/>
      </c>
      <c r="CK366" s="91" t="str">
        <f t="shared" si="36"/>
      </c>
      <c r="CL366" s="91" t="str">
        <f t="shared" si="36"/>
      </c>
      <c r="CM366" s="91" t="str">
        <f t="shared" si="36"/>
      </c>
      <c r="CN366" s="91" t="str">
        <f t="shared" si="36"/>
      </c>
      <c r="CO366" s="91" t="str">
        <f ref="CO366:EZ366" t="shared" si="37">IF(SUM(CO347:CO365)&lt;&gt;0,SUM(CO347:CO365),"")</f>
      </c>
      <c r="CP366" s="91" t="str">
        <f t="shared" si="37"/>
      </c>
      <c r="CQ366" s="91" t="str">
        <f t="shared" si="37"/>
      </c>
      <c r="CR366" s="91" t="str">
        <f t="shared" si="37"/>
      </c>
      <c r="CS366" s="91" t="str">
        <f t="shared" si="37"/>
      </c>
      <c r="CT366" s="91" t="str">
        <f t="shared" si="37"/>
      </c>
      <c r="CU366" s="91" t="str">
        <f t="shared" si="37"/>
      </c>
      <c r="CV366" s="91" t="str">
        <f t="shared" si="37"/>
      </c>
      <c r="CW366" s="91" t="str">
        <f t="shared" si="37"/>
      </c>
      <c r="CX366" s="91" t="str">
        <f t="shared" si="37"/>
      </c>
      <c r="CY366" s="91" t="str">
        <f t="shared" si="37"/>
      </c>
      <c r="CZ366" s="91" t="str">
        <f t="shared" si="37"/>
      </c>
      <c r="DA366" s="91" t="str">
        <f t="shared" si="37"/>
      </c>
      <c r="DB366" s="91" t="str">
        <f t="shared" si="37"/>
      </c>
      <c r="DC366" s="91" t="str">
        <f t="shared" si="37"/>
      </c>
      <c r="DD366" s="91" t="str">
        <f t="shared" si="37"/>
      </c>
      <c r="DE366" s="91" t="str">
        <f t="shared" si="37"/>
      </c>
      <c r="DF366" s="91" t="str">
        <f t="shared" si="37"/>
      </c>
      <c r="DG366" s="91" t="str">
        <f t="shared" si="37"/>
      </c>
      <c r="DH366" s="91" t="str">
        <f t="shared" si="37"/>
      </c>
      <c r="DI366" s="91" t="str">
        <f t="shared" si="37"/>
      </c>
      <c r="DJ366" s="91" t="str">
        <f t="shared" si="37"/>
      </c>
      <c r="DK366" s="91" t="str">
        <f t="shared" si="37"/>
      </c>
      <c r="DL366" s="91" t="str">
        <f t="shared" si="37"/>
      </c>
      <c r="DM366" s="91" t="str">
        <f t="shared" si="37"/>
      </c>
      <c r="DN366" s="91" t="str">
        <f t="shared" si="37"/>
      </c>
      <c r="DO366" s="91" t="str">
        <f t="shared" si="37"/>
      </c>
      <c r="DP366" s="91" t="str">
        <f t="shared" si="37"/>
      </c>
      <c r="DQ366" s="91" t="str">
        <f t="shared" si="37"/>
      </c>
      <c r="DR366" s="91" t="str">
        <f t="shared" si="37"/>
      </c>
      <c r="DS366" s="91" t="str">
        <f t="shared" si="37"/>
      </c>
      <c r="DT366" s="91" t="str">
        <f t="shared" si="37"/>
      </c>
      <c r="DU366" s="91" t="str">
        <f t="shared" si="37"/>
      </c>
      <c r="DV366" s="91" t="str">
        <f t="shared" si="37"/>
      </c>
      <c r="DW366" s="91" t="str">
        <f t="shared" si="37"/>
      </c>
      <c r="DX366" s="91" t="str">
        <f t="shared" si="37"/>
      </c>
      <c r="DY366" s="91" t="str">
        <f t="shared" si="37"/>
      </c>
      <c r="DZ366" s="91" t="str">
        <f t="shared" si="37"/>
      </c>
      <c r="EA366" s="91" t="str">
        <f t="shared" si="37"/>
      </c>
      <c r="EB366" s="91" t="str">
        <f t="shared" si="37"/>
      </c>
      <c r="EC366" s="91" t="str">
        <f t="shared" si="37"/>
      </c>
      <c r="ED366" s="91" t="str">
        <f t="shared" si="37"/>
      </c>
      <c r="EE366" s="91" t="str">
        <f t="shared" si="37"/>
      </c>
      <c r="EF366" s="91" t="str">
        <f t="shared" si="37"/>
      </c>
      <c r="EG366" s="91" t="str">
        <f t="shared" si="37"/>
      </c>
      <c r="EH366" s="91" t="str">
        <f t="shared" si="37"/>
      </c>
      <c r="EI366" s="91" t="str">
        <f t="shared" si="37"/>
      </c>
      <c r="EJ366" s="91" t="str">
        <f t="shared" si="37"/>
      </c>
      <c r="EK366" s="91" t="str">
        <f t="shared" si="37"/>
      </c>
      <c r="EL366" s="91" t="str">
        <f t="shared" si="37"/>
      </c>
      <c r="EM366" s="91" t="str">
        <f t="shared" si="37"/>
      </c>
      <c r="EN366" s="91" t="str">
        <f t="shared" si="37"/>
      </c>
      <c r="EO366" s="91" t="str">
        <f t="shared" si="37"/>
      </c>
      <c r="EP366" s="91" t="str">
        <f t="shared" si="37"/>
      </c>
      <c r="EQ366" s="91" t="str">
        <f t="shared" si="37"/>
      </c>
      <c r="ER366" s="91" t="str">
        <f t="shared" si="37"/>
      </c>
      <c r="ES366" s="91" t="str">
        <f t="shared" si="37"/>
      </c>
      <c r="ET366" s="91" t="str">
        <f t="shared" si="37"/>
      </c>
      <c r="EU366" s="91" t="str">
        <f t="shared" si="37"/>
      </c>
      <c r="EV366" s="91" t="str">
        <f t="shared" si="37"/>
      </c>
      <c r="EW366" s="91" t="str">
        <f t="shared" si="37"/>
      </c>
      <c r="EX366" s="91" t="str">
        <f t="shared" si="37"/>
      </c>
      <c r="EY366" s="91" t="str">
        <f t="shared" si="37"/>
      </c>
      <c r="EZ366" s="91" t="str">
        <f t="shared" si="37"/>
      </c>
      <c r="FA366" s="91" t="str">
        <f ref="FA366:HL366" t="shared" si="38">IF(SUM(FA347:FA365)&lt;&gt;0,SUM(FA347:FA365),"")</f>
      </c>
      <c r="FB366" s="91" t="str">
        <f t="shared" si="38"/>
      </c>
      <c r="FC366" s="91" t="str">
        <f t="shared" si="38"/>
      </c>
      <c r="FD366" s="91" t="str">
        <f t="shared" si="38"/>
      </c>
      <c r="FE366" s="91" t="str">
        <f t="shared" si="38"/>
      </c>
      <c r="FF366" s="91" t="str">
        <f t="shared" si="38"/>
      </c>
      <c r="FG366" s="91" t="str">
        <f t="shared" si="38"/>
      </c>
      <c r="FH366" s="91" t="str">
        <f t="shared" si="38"/>
      </c>
      <c r="FI366" s="91" t="str">
        <f t="shared" si="38"/>
      </c>
      <c r="FJ366" s="91" t="str">
        <f t="shared" si="38"/>
      </c>
      <c r="FK366" s="91" t="str">
        <f t="shared" si="38"/>
      </c>
      <c r="FL366" s="91" t="str">
        <f t="shared" si="38"/>
      </c>
      <c r="FM366" s="91" t="str">
        <f t="shared" si="38"/>
      </c>
      <c r="FN366" s="91" t="str">
        <f t="shared" si="38"/>
      </c>
      <c r="FO366" s="91" t="str">
        <f t="shared" si="38"/>
      </c>
      <c r="FP366" s="91" t="str">
        <f t="shared" si="38"/>
      </c>
      <c r="FQ366" s="91" t="str">
        <f t="shared" si="38"/>
      </c>
      <c r="FR366" s="91" t="str">
        <f t="shared" si="38"/>
      </c>
      <c r="FS366" s="91" t="str">
        <f t="shared" si="38"/>
      </c>
      <c r="FT366" s="91" t="str">
        <f t="shared" si="38"/>
      </c>
      <c r="FU366" s="91" t="str">
        <f t="shared" si="38"/>
      </c>
      <c r="FV366" s="91" t="str">
        <f t="shared" si="38"/>
      </c>
      <c r="FW366" s="91" t="str">
        <f t="shared" si="38"/>
      </c>
      <c r="FX366" s="91" t="str">
        <f t="shared" si="38"/>
      </c>
      <c r="FY366" s="91" t="str">
        <f t="shared" si="38"/>
      </c>
      <c r="FZ366" s="91" t="str">
        <f t="shared" si="38"/>
      </c>
      <c r="GA366" s="91" t="str">
        <f t="shared" si="38"/>
      </c>
      <c r="GB366" s="91" t="str">
        <f t="shared" si="38"/>
      </c>
      <c r="GC366" s="91" t="str">
        <f t="shared" si="38"/>
      </c>
      <c r="GD366" s="91" t="str">
        <f t="shared" si="38"/>
      </c>
      <c r="GE366" s="91" t="str">
        <f t="shared" si="38"/>
      </c>
      <c r="GF366" s="91" t="str">
        <f t="shared" si="38"/>
      </c>
      <c r="GG366" s="91" t="str">
        <f t="shared" si="38"/>
      </c>
      <c r="GH366" s="91" t="str">
        <f t="shared" si="38"/>
      </c>
      <c r="GI366" s="91" t="str">
        <f t="shared" si="38"/>
      </c>
      <c r="GJ366" s="91" t="str">
        <f t="shared" si="38"/>
      </c>
      <c r="GK366" s="91" t="str">
        <f t="shared" si="38"/>
      </c>
      <c r="GL366" s="91" t="str">
        <f t="shared" si="38"/>
      </c>
      <c r="GM366" s="91" t="str">
        <f t="shared" si="38"/>
      </c>
      <c r="GN366" s="91" t="str">
        <f t="shared" si="38"/>
      </c>
      <c r="GO366" s="91" t="str">
        <f t="shared" si="38"/>
      </c>
      <c r="GP366" s="91" t="str">
        <f t="shared" si="38"/>
      </c>
      <c r="GQ366" s="91" t="str">
        <f t="shared" si="38"/>
      </c>
      <c r="GR366" s="91" t="str">
        <f t="shared" si="38"/>
      </c>
      <c r="GS366" s="91" t="str">
        <f t="shared" si="38"/>
      </c>
      <c r="GT366" s="91" t="str">
        <f t="shared" si="38"/>
      </c>
      <c r="GU366" s="91" t="str">
        <f t="shared" si="38"/>
      </c>
      <c r="GV366" s="91" t="str">
        <f t="shared" si="38"/>
      </c>
      <c r="GW366" s="91" t="str">
        <f t="shared" si="38"/>
      </c>
      <c r="GX366" s="91" t="str">
        <f t="shared" si="38"/>
      </c>
      <c r="GY366" s="91" t="str">
        <f t="shared" si="38"/>
      </c>
      <c r="GZ366" s="91" t="str">
        <f t="shared" si="38"/>
      </c>
      <c r="HA366" s="91" t="str">
        <f t="shared" si="38"/>
      </c>
      <c r="HB366" s="91" t="str">
        <f t="shared" si="38"/>
      </c>
      <c r="HC366" s="91" t="str">
        <f t="shared" si="38"/>
      </c>
      <c r="HD366" s="91" t="str">
        <f t="shared" si="38"/>
      </c>
      <c r="HE366" s="91" t="str">
        <f t="shared" si="38"/>
      </c>
      <c r="HF366" s="91" t="str">
        <f t="shared" si="38"/>
      </c>
      <c r="HG366" s="91" t="str">
        <f t="shared" si="38"/>
      </c>
      <c r="HH366" s="91" t="str">
        <f t="shared" si="38"/>
      </c>
      <c r="HI366" s="91" t="str">
        <f t="shared" si="38"/>
      </c>
      <c r="HJ366" s="91" t="str">
        <f t="shared" si="38"/>
      </c>
      <c r="HK366" s="91" t="str">
        <f t="shared" si="38"/>
      </c>
      <c r="HL366" s="91" t="str">
        <f t="shared" si="38"/>
      </c>
      <c r="HM366" s="91" t="str">
        <f ref="HM366:IV366" t="shared" si="39">IF(SUM(HM347:HM365)&lt;&gt;0,SUM(HM347:HM365),"")</f>
      </c>
      <c r="HN366" s="91" t="str">
        <f t="shared" si="39"/>
      </c>
      <c r="HO366" s="91" t="str">
        <f t="shared" si="39"/>
      </c>
      <c r="HP366" s="91" t="str">
        <f t="shared" si="39"/>
      </c>
      <c r="HQ366" s="91" t="str">
        <f t="shared" si="39"/>
      </c>
      <c r="HR366" s="91" t="str">
        <f t="shared" si="39"/>
      </c>
      <c r="HS366" s="91" t="str">
        <f t="shared" si="39"/>
      </c>
      <c r="HT366" s="91" t="str">
        <f t="shared" si="39"/>
      </c>
      <c r="HU366" s="91" t="str">
        <f t="shared" si="39"/>
      </c>
      <c r="HV366" s="91" t="str">
        <f t="shared" si="39"/>
      </c>
      <c r="HW366" s="91" t="str">
        <f t="shared" si="39"/>
      </c>
      <c r="HX366" s="91" t="str">
        <f t="shared" si="39"/>
      </c>
      <c r="HY366" s="91" t="str">
        <f t="shared" si="39"/>
      </c>
      <c r="HZ366" s="91" t="str">
        <f t="shared" si="39"/>
      </c>
      <c r="IA366" s="91" t="str">
        <f t="shared" si="39"/>
      </c>
      <c r="IB366" s="91" t="str">
        <f t="shared" si="39"/>
      </c>
      <c r="IC366" s="91" t="str">
        <f t="shared" si="39"/>
      </c>
      <c r="ID366" s="91" t="str">
        <f t="shared" si="39"/>
      </c>
      <c r="IE366" s="91" t="str">
        <f t="shared" si="39"/>
      </c>
      <c r="IF366" s="91" t="str">
        <f t="shared" si="39"/>
      </c>
      <c r="IG366" s="91" t="str">
        <f t="shared" si="39"/>
      </c>
      <c r="IH366" s="91" t="str">
        <f t="shared" si="39"/>
      </c>
      <c r="II366" s="91" t="str">
        <f t="shared" si="39"/>
      </c>
      <c r="IJ366" s="91" t="str">
        <f t="shared" si="39"/>
      </c>
      <c r="IK366" s="91" t="str">
        <f t="shared" si="39"/>
      </c>
      <c r="IL366" s="91" t="str">
        <f t="shared" si="39"/>
      </c>
      <c r="IM366" s="91" t="str">
        <f t="shared" si="39"/>
      </c>
      <c r="IN366" s="91" t="str">
        <f t="shared" si="39"/>
      </c>
      <c r="IO366" s="91" t="str">
        <f t="shared" si="39"/>
      </c>
      <c r="IP366" s="91" t="str">
        <f t="shared" si="39"/>
      </c>
      <c r="IQ366" s="91" t="str">
        <f t="shared" si="39"/>
      </c>
      <c r="IR366" s="91" t="str">
        <f t="shared" si="39"/>
      </c>
      <c r="IS366" s="91" t="str">
        <f t="shared" si="39"/>
      </c>
      <c r="IT366" s="91" t="str">
        <f t="shared" si="39"/>
      </c>
      <c r="IU366" s="91" t="str">
        <f t="shared" si="39"/>
      </c>
      <c r="IV366" s="91" t="str">
        <f t="shared" si="39"/>
      </c>
    </row>
    <row r="367" hidden="1" ht="15.75">
      <c r="B367" s="337"/>
    </row>
    <row r="368" hidden="1" ht="15" customHeight="1">
      <c r="C368" s="686" t="s">
        <v>393</v>
      </c>
      <c r="D368" s="687"/>
      <c r="E368" s="687"/>
      <c r="F368" s="687"/>
      <c r="G368" s="687"/>
      <c r="H368" s="687"/>
      <c r="I368" s="687"/>
      <c r="J368" s="687"/>
      <c r="K368" s="687"/>
      <c r="L368" s="687"/>
      <c r="M368" s="687"/>
      <c r="N368" s="687"/>
      <c r="O368" s="687"/>
      <c r="P368" s="687"/>
      <c r="Q368" s="687"/>
      <c r="R368" s="687"/>
      <c r="S368" s="687"/>
      <c r="T368" s="687"/>
      <c r="U368" s="687"/>
      <c r="V368" s="687"/>
      <c r="W368" s="687"/>
      <c r="X368" s="687"/>
      <c r="Y368" s="687"/>
      <c r="Z368" s="687"/>
      <c r="AA368" s="687"/>
      <c r="AB368" s="688"/>
    </row>
    <row r="369" hidden="1" ht="13.5">
      <c r="C369" s="435" t="str">
        <f> IF(C389&lt;&gt;"",TEXT(AUX!G$1,"dd-MMM-aa"),"")</f>
      </c>
      <c r="D369" s="435" t="str">
        <f> IF(D389&lt;&gt;"",TEXT(AUX!H$1,"dd-MMM-aa"),"")</f>
      </c>
      <c r="E369" s="435" t="str">
        <f> IF(E389&lt;&gt;"",TEXT(AUX!I$1,"dd-MMM-aa"),"")</f>
      </c>
      <c r="F369" s="435" t="str">
        <f> IF(F389&lt;&gt;"",TEXT(AUX!J$1,"dd-MMM-aa"),"")</f>
      </c>
      <c r="G369" s="435" t="str">
        <f> IF(G389&lt;&gt;"",TEXT(AUX!K$1,"dd-MMM-aa"),"")</f>
      </c>
      <c r="H369" s="435" t="str">
        <f> IF(H389&lt;&gt;"",TEXT(AUX!L$1,"dd-MMM-aa"),"")</f>
      </c>
      <c r="I369" s="435" t="str">
        <f> IF(I389&lt;&gt;"",TEXT(AUX!M$1,"dd-MMM-aa"),"")</f>
      </c>
      <c r="J369" s="435" t="str">
        <f> IF(J389&lt;&gt;"",TEXT(AUX!N$1,"dd-MMM-aa"),"")</f>
      </c>
      <c r="K369" s="435" t="str">
        <f> IF(K389&lt;&gt;"",TEXT(AUX!O$1,"dd-MMM-aa"),"")</f>
      </c>
      <c r="L369" s="435" t="str">
        <f> IF(L389&lt;&gt;"",TEXT(AUX!P$1,"dd-MMM-aa"),"")</f>
      </c>
      <c r="M369" s="435" t="str">
        <f> IF(M389&lt;&gt;"",TEXT(AUX!Q$1,"dd-MMM-aa"),"")</f>
      </c>
      <c r="N369" s="435" t="str">
        <f> IF(N389&lt;&gt;"",TEXT(AUX!R$1,"dd-MMM-aa"),"")</f>
      </c>
      <c r="O369" s="435" t="str">
        <f> IF(O389&lt;&gt;"",TEXT(AUX!S$1,"dd-MMM-aa"),"")</f>
      </c>
      <c r="P369" s="435" t="str">
        <f> IF(P389&lt;&gt;"",TEXT(AUX!T$1,"dd-MMM-aa"),"")</f>
      </c>
      <c r="Q369" s="435" t="str">
        <f> IF(Q389&lt;&gt;"",TEXT(AUX!U$1,"dd-MMM-aa"),"")</f>
      </c>
      <c r="R369" s="435" t="str">
        <f> IF(R389&lt;&gt;"",TEXT(AUX!V$1,"dd-MMM-aa"),"")</f>
      </c>
      <c r="S369" s="435" t="str">
        <f> IF(S389&lt;&gt;"",TEXT(AUX!W$1,"dd-MMM-aa"),"")</f>
      </c>
      <c r="T369" s="435" t="str">
        <f> IF(T389&lt;&gt;"",TEXT(AUX!X$1,"dd-MMM-aa"),"")</f>
      </c>
      <c r="U369" s="435" t="str">
        <f> IF(U389&lt;&gt;"",TEXT(AUX!Y$1,"dd-MMM-aa"),"")</f>
      </c>
      <c r="V369" s="435" t="str">
        <f> IF(V389&lt;&gt;"",TEXT(AUX!Z$1,"dd-MMM-aa"),"")</f>
      </c>
      <c r="W369" s="435" t="str">
        <f> IF(W389&lt;&gt;"",TEXT(AUX!AA$1,"dd-MMM-aa"),"")</f>
      </c>
      <c r="X369" s="435" t="str">
        <f> IF(X389&lt;&gt;"",TEXT(AUX!AB$1,"dd-MMM-aa"),"")</f>
      </c>
      <c r="Y369" s="435" t="str">
        <f> IF(Y389&lt;&gt;"",TEXT(AUX!AC$1,"dd-MMM-aa"),"")</f>
      </c>
      <c r="Z369" s="435" t="str">
        <f> IF(Z389&lt;&gt;"",TEXT(AUX!AD$1,"dd-MMM-aa"),"")</f>
      </c>
      <c r="AA369" s="435" t="str">
        <f> IF(AA389&lt;&gt;"",TEXT(AUX!AE$1,"dd-MMM-aa"),"")</f>
      </c>
      <c r="AB369" s="497" t="str">
        <f> IF(AB389&lt;&gt;"",TEXT(AUX!AF$1,"dd-MMM-aa"),"")</f>
      </c>
      <c r="AC369" s="496" t="str">
        <f> IF(AC389&lt;&gt;"",TEXT(AUX!AG$1,"dd-MMM-aa"),"")</f>
      </c>
      <c r="AD369" s="496" t="str">
        <f> IF(AD389&lt;&gt;"",TEXT(AUX!AH$1,"dd-MMM-aa"),"")</f>
      </c>
      <c r="AE369" s="496" t="str">
        <f> IF(AE389&lt;&gt;"",TEXT(AUX!AI$1,"dd-MMM-aa"),"")</f>
      </c>
      <c r="AF369" s="496" t="str">
        <f> IF(AF389&lt;&gt;"",TEXT(AUX!AJ$1,"dd-MMM-aa"),"")</f>
      </c>
      <c r="AG369" s="496" t="str">
        <f> IF(AG389&lt;&gt;"",TEXT(AUX!AK$1,"dd-MMM-aa"),"")</f>
      </c>
      <c r="AH369" s="496" t="str">
        <f> IF(AH389&lt;&gt;"",TEXT(AUX!AL$1,"dd-MMM-aa"),"")</f>
      </c>
      <c r="AI369" s="496" t="str">
        <f> IF(AI389&lt;&gt;"",TEXT(AUX!AM$1,"dd-MMM-aa"),"")</f>
      </c>
      <c r="AJ369" s="496" t="str">
        <f> IF(AJ389&lt;&gt;"",TEXT(AUX!AN$1,"dd-MMM-aa"),"")</f>
      </c>
      <c r="AK369" s="496" t="str">
        <f> IF(AK389&lt;&gt;"",TEXT(AUX!AO$1,"dd-MMM-aa"),"")</f>
      </c>
      <c r="AL369" s="496" t="str">
        <f> IF(AL389&lt;&gt;"",TEXT(AUX!AP$1,"dd-MMM-aa"),"")</f>
      </c>
      <c r="AM369" s="496" t="str">
        <f> IF(AM389&lt;&gt;"",TEXT(AUX!AQ$1,"dd-MMM-aa"),"")</f>
      </c>
      <c r="AN369" s="496" t="str">
        <f> IF(AN389&lt;&gt;"",TEXT(AUX!AR$1,"dd-MMM-aa"),"")</f>
      </c>
      <c r="AO369" s="496" t="str">
        <f> IF(AO389&lt;&gt;"",TEXT(AUX!AS$1,"dd-MMM-aa"),"")</f>
      </c>
      <c r="AP369" s="496" t="str">
        <f> IF(AP389&lt;&gt;"",TEXT(AUX!AT$1,"dd-MMM-aa"),"")</f>
      </c>
      <c r="AQ369" s="496" t="str">
        <f> IF(AQ389&lt;&gt;"",TEXT(AUX!AU$1,"dd-MMM-aa"),"")</f>
      </c>
      <c r="AR369" s="496" t="str">
        <f> IF(AR389&lt;&gt;"",TEXT(AUX!AV$1,"dd-MMM-aa"),"")</f>
      </c>
      <c r="AS369" s="496" t="str">
        <f> IF(AS389&lt;&gt;"",TEXT(AUX!AW$1,"dd-MMM-aa"),"")</f>
      </c>
      <c r="AT369" s="496" t="str">
        <f> IF(AT389&lt;&gt;"",TEXT(AUX!AX$1,"dd-MMM-aa"),"")</f>
      </c>
      <c r="AU369" s="496" t="str">
        <f> IF(AU389&lt;&gt;"",TEXT(AUX!AY$1,"dd-MMM-aa"),"")</f>
      </c>
      <c r="AV369" s="496" t="str">
        <f> IF(AV389&lt;&gt;"",TEXT(AUX!AZ$1,"dd-MMM-aa"),"")</f>
      </c>
      <c r="AW369" s="496" t="str">
        <f> IF(AW389&lt;&gt;"",TEXT(AUX!BA$1,"dd-MMM-aa"),"")</f>
      </c>
      <c r="AX369" s="496" t="str">
        <f> IF(AX389&lt;&gt;"",TEXT(AUX!BB$1,"dd-MMM-aa"),"")</f>
      </c>
      <c r="AY369" s="496" t="str">
        <f> IF(AY389&lt;&gt;"",TEXT(AUX!BC$1,"dd-MMM-aa"),"")</f>
      </c>
      <c r="AZ369" s="496" t="str">
        <f> IF(AZ389&lt;&gt;"",TEXT(AUX!BD$1,"dd-MMM-aa"),"")</f>
      </c>
      <c r="BA369" s="496" t="str">
        <f> IF(BA389&lt;&gt;"",TEXT(AUX!BE$1,"dd-MMM-aa"),"")</f>
      </c>
      <c r="BB369" s="496" t="str">
        <f> IF(BB389&lt;&gt;"",TEXT(AUX!BF$1,"dd-MMM-aa"),"")</f>
      </c>
      <c r="BC369" s="496" t="str">
        <f> IF(BC389&lt;&gt;"",TEXT(AUX!BG$1,"dd-MMM-aa"),"")</f>
      </c>
      <c r="BD369" s="496" t="str">
        <f> IF(BD389&lt;&gt;"",TEXT(AUX!BH$1,"dd-MMM-aa"),"")</f>
      </c>
      <c r="BE369" s="496" t="str">
        <f> IF(BE389&lt;&gt;"",TEXT(AUX!BI$1,"dd-MMM-aa"),"")</f>
      </c>
      <c r="BF369" s="496" t="str">
        <f> IF(BF389&lt;&gt;"",TEXT(AUX!BJ$1,"dd-MMM-aa"),"")</f>
      </c>
      <c r="BG369" s="496" t="str">
        <f> IF(BG389&lt;&gt;"",TEXT(AUX!BK$1,"dd-MMM-aa"),"")</f>
      </c>
      <c r="BH369" s="496" t="str">
        <f> IF(BH389&lt;&gt;"",TEXT(AUX!BL$1,"dd-MMM-aa"),"")</f>
      </c>
      <c r="BI369" s="496" t="str">
        <f> IF(BI389&lt;&gt;"",TEXT(AUX!BM$1,"dd-MMM-aa"),"")</f>
      </c>
      <c r="BJ369" s="496" t="str">
        <f> IF(BJ389&lt;&gt;"",TEXT(AUX!BN$1,"dd-MMM-aa"),"")</f>
      </c>
      <c r="BK369" s="496" t="str">
        <f> IF(BK389&lt;&gt;"",TEXT(AUX!BO$1,"dd-MMM-aa"),"")</f>
      </c>
      <c r="BL369" s="496" t="str">
        <f> IF(BL389&lt;&gt;"",TEXT(AUX!BP$1,"dd-MMM-aa"),"")</f>
      </c>
      <c r="BM369" s="496" t="str">
        <f> IF(BM389&lt;&gt;"",TEXT(AUX!BQ$1,"dd-MMM-aa"),"")</f>
      </c>
      <c r="BN369" s="496" t="str">
        <f> IF(BN389&lt;&gt;"",TEXT(AUX!BR$1,"dd-MMM-aa"),"")</f>
      </c>
      <c r="BO369" s="496" t="str">
        <f> IF(BO389&lt;&gt;"",TEXT(AUX!BS$1,"dd-MMM-aa"),"")</f>
      </c>
      <c r="BP369" s="496" t="str">
        <f> IF(BP389&lt;&gt;"",TEXT(AUX!BT$1,"dd-MMM-aa"),"")</f>
      </c>
      <c r="BQ369" s="496" t="str">
        <f> IF(BQ389&lt;&gt;"",TEXT(AUX!BU$1,"dd-MMM-aa"),"")</f>
      </c>
      <c r="BR369" s="496" t="str">
        <f> IF(BR389&lt;&gt;"",TEXT(AUX!BV$1,"dd-MMM-aa"),"")</f>
      </c>
      <c r="BS369" s="496" t="str">
        <f> IF(BS389&lt;&gt;"",TEXT(AUX!BW$1,"dd-MMM-aa"),"")</f>
      </c>
      <c r="BT369" s="496" t="str">
        <f> IF(BT389&lt;&gt;"",TEXT(AUX!BX$1,"dd-MMM-aa"),"")</f>
      </c>
      <c r="BU369" s="496" t="str">
        <f> IF(BU389&lt;&gt;"",TEXT(AUX!BY$1,"dd-MMM-aa"),"")</f>
      </c>
      <c r="BV369" s="496" t="str">
        <f> IF(BV389&lt;&gt;"",TEXT(AUX!BZ$1,"dd-MMM-aa"),"")</f>
      </c>
      <c r="BW369" s="496" t="str">
        <f> IF(BW389&lt;&gt;"",TEXT(AUX!CA$1,"dd-MMM-aa"),"")</f>
      </c>
      <c r="BX369" s="496" t="str">
        <f> IF(BX389&lt;&gt;"",TEXT(AUX!CB$1,"dd-MMM-aa"),"")</f>
      </c>
      <c r="BY369" s="496" t="str">
        <f> IF(BY389&lt;&gt;"",TEXT(AUX!CC$1,"dd-MMM-aa"),"")</f>
      </c>
      <c r="BZ369" s="496" t="str">
        <f> IF(BZ389&lt;&gt;"",TEXT(AUX!CD$1,"dd-MMM-aa"),"")</f>
      </c>
      <c r="CA369" s="496" t="str">
        <f> IF(CA389&lt;&gt;"",TEXT(AUX!CE$1,"dd-MMM-aa"),"")</f>
      </c>
      <c r="CB369" s="496" t="str">
        <f> IF(CB389&lt;&gt;"",TEXT(AUX!CF$1,"dd-MMM-aa"),"")</f>
      </c>
      <c r="CC369" s="496" t="str">
        <f> IF(CC389&lt;&gt;"",TEXT(AUX!CG$1,"dd-MMM-aa"),"")</f>
      </c>
      <c r="CD369" s="496" t="str">
        <f> IF(CD389&lt;&gt;"",TEXT(AUX!CH$1,"dd-MMM-aa"),"")</f>
      </c>
      <c r="CE369" s="496" t="str">
        <f> IF(CE389&lt;&gt;"",TEXT(AUX!CI$1,"dd-MMM-aa"),"")</f>
      </c>
      <c r="CF369" s="496" t="str">
        <f> IF(CF389&lt;&gt;"",TEXT(AUX!CJ$1,"dd-MMM-aa"),"")</f>
      </c>
      <c r="CG369" s="496" t="str">
        <f> IF(CG389&lt;&gt;"",TEXT(AUX!CK$1,"dd-MMM-aa"),"")</f>
      </c>
      <c r="CH369" s="496" t="str">
        <f> IF(CH389&lt;&gt;"",TEXT(AUX!CL$1,"dd-MMM-aa"),"")</f>
      </c>
      <c r="CI369" s="496" t="str">
        <f> IF(CI389&lt;&gt;"",TEXT(AUX!CM$1,"dd-MMM-aa"),"")</f>
      </c>
      <c r="CJ369" s="496" t="str">
        <f> IF(CJ389&lt;&gt;"",TEXT(AUX!CN$1,"dd-MMM-aa"),"")</f>
      </c>
      <c r="CK369" s="496" t="str">
        <f> IF(CK389&lt;&gt;"",TEXT(AUX!CO$1,"dd-MMM-aa"),"")</f>
      </c>
      <c r="CL369" s="496" t="str">
        <f> IF(CL389&lt;&gt;"",TEXT(AUX!CP$1,"dd-MMM-aa"),"")</f>
      </c>
      <c r="CM369" s="496" t="str">
        <f> IF(CM389&lt;&gt;"",TEXT(AUX!CQ$1,"dd-MMM-aa"),"")</f>
      </c>
      <c r="CN369" s="496" t="str">
        <f> IF(CN389&lt;&gt;"",TEXT(AUX!CR$1,"dd-MMM-aa"),"")</f>
      </c>
      <c r="CO369" s="496" t="str">
        <f> IF(CO389&lt;&gt;"",TEXT(AUX!CS$1,"dd-MMM-aa"),"")</f>
      </c>
      <c r="CP369" s="496" t="str">
        <f> IF(CP389&lt;&gt;"",TEXT(AUX!CT$1,"dd-MMM-aa"),"")</f>
      </c>
      <c r="CQ369" s="496" t="str">
        <f> IF(CQ389&lt;&gt;"",TEXT(AUX!CU$1,"dd-MMM-aa"),"")</f>
      </c>
      <c r="CR369" s="496" t="str">
        <f> IF(CR389&lt;&gt;"",TEXT(AUX!CV$1,"dd-MMM-aa"),"")</f>
      </c>
      <c r="CS369" s="496" t="str">
        <f> IF(CS389&lt;&gt;"",TEXT(AUX!CW$1,"dd-MMM-aa"),"")</f>
      </c>
      <c r="CT369" s="496" t="str">
        <f> IF(CT389&lt;&gt;"",TEXT(AUX!CX$1,"dd-MMM-aa"),"")</f>
      </c>
      <c r="CU369" s="496" t="str">
        <f> IF(CU389&lt;&gt;"",TEXT(AUX!CY$1,"dd-MMM-aa"),"")</f>
      </c>
      <c r="CV369" s="496" t="str">
        <f> IF(CV389&lt;&gt;"",TEXT(AUX!CZ$1,"dd-MMM-aa"),"")</f>
      </c>
      <c r="CW369" s="496" t="str">
        <f> IF(CW389&lt;&gt;"",TEXT(AUX!DA$1,"dd-MMM-aa"),"")</f>
      </c>
      <c r="CX369" s="496" t="str">
        <f> IF(CX389&lt;&gt;"",TEXT(AUX!DB$1,"dd-MMM-aa"),"")</f>
      </c>
      <c r="CY369" s="496" t="str">
        <f> IF(CY389&lt;&gt;"",TEXT(AUX!DC$1,"dd-MMM-aa"),"")</f>
      </c>
      <c r="CZ369" s="496" t="str">
        <f> IF(CZ389&lt;&gt;"",TEXT(AUX!DD$1,"dd-MMM-aa"),"")</f>
      </c>
      <c r="DA369" s="496" t="str">
        <f> IF(DA389&lt;&gt;"",TEXT(AUX!DE$1,"dd-MMM-aa"),"")</f>
      </c>
      <c r="DB369" s="496" t="str">
        <f> IF(DB389&lt;&gt;"",TEXT(AUX!DF$1,"dd-MMM-aa"),"")</f>
      </c>
      <c r="DC369" s="496" t="str">
        <f> IF(DC389&lt;&gt;"",TEXT(AUX!DG$1,"dd-MMM-aa"),"")</f>
      </c>
      <c r="DD369" s="496" t="str">
        <f> IF(DD389&lt;&gt;"",TEXT(AUX!DH$1,"dd-MMM-aa"),"")</f>
      </c>
      <c r="DE369" s="496" t="str">
        <f> IF(DE389&lt;&gt;"",TEXT(AUX!DI$1,"dd-MMM-aa"),"")</f>
      </c>
      <c r="DF369" s="496" t="str">
        <f> IF(DF389&lt;&gt;"",TEXT(AUX!DJ$1,"dd-MMM-aa"),"")</f>
      </c>
      <c r="DG369" s="496" t="str">
        <f> IF(DG389&lt;&gt;"",TEXT(AUX!DK$1,"dd-MMM-aa"),"")</f>
      </c>
      <c r="DH369" s="496" t="str">
        <f> IF(DH389&lt;&gt;"",TEXT(AUX!DL$1,"dd-MMM-aa"),"")</f>
      </c>
      <c r="DI369" s="496" t="str">
        <f> IF(DI389&lt;&gt;"",TEXT(AUX!DM$1,"dd-MMM-aa"),"")</f>
      </c>
      <c r="DJ369" s="496" t="str">
        <f> IF(DJ389&lt;&gt;"",TEXT(AUX!DN$1,"dd-MMM-aa"),"")</f>
      </c>
      <c r="DK369" s="496" t="str">
        <f> IF(DK389&lt;&gt;"",TEXT(AUX!DO$1,"dd-MMM-aa"),"")</f>
      </c>
      <c r="DL369" s="496" t="str">
        <f> IF(DL389&lt;&gt;"",TEXT(AUX!DP$1,"dd-MMM-aa"),"")</f>
      </c>
      <c r="DM369" s="496" t="str">
        <f> IF(DM389&lt;&gt;"",TEXT(AUX!DQ$1,"dd-MMM-aa"),"")</f>
      </c>
      <c r="DN369" s="496" t="str">
        <f> IF(DN389&lt;&gt;"",TEXT(AUX!DR$1,"dd-MMM-aa"),"")</f>
      </c>
      <c r="DO369" s="496" t="str">
        <f> IF(DO389&lt;&gt;"",TEXT(AUX!DS$1,"dd-MMM-aa"),"")</f>
      </c>
      <c r="DP369" s="496" t="str">
        <f> IF(DP389&lt;&gt;"",TEXT(AUX!DT$1,"dd-MMM-aa"),"")</f>
      </c>
      <c r="DQ369" s="496" t="str">
        <f> IF(DQ389&lt;&gt;"",TEXT(AUX!DU$1,"dd-MMM-aa"),"")</f>
      </c>
      <c r="DR369" s="496" t="str">
        <f> IF(DR389&lt;&gt;"",TEXT(AUX!DV$1,"dd-MMM-aa"),"")</f>
      </c>
      <c r="DS369" s="496" t="str">
        <f> IF(DS389&lt;&gt;"",TEXT(AUX!DW$1,"dd-MMM-aa"),"")</f>
      </c>
      <c r="DT369" s="496" t="str">
        <f> IF(DT389&lt;&gt;"",TEXT(AUX!DX$1,"dd-MMM-aa"),"")</f>
      </c>
      <c r="DU369" s="496" t="str">
        <f> IF(DU389&lt;&gt;"",TEXT(AUX!DY$1,"dd-MMM-aa"),"")</f>
      </c>
      <c r="DV369" s="496" t="str">
        <f> IF(DV389&lt;&gt;"",TEXT(AUX!DZ$1,"dd-MMM-aa"),"")</f>
      </c>
      <c r="DW369" s="496" t="str">
        <f> IF(DW389&lt;&gt;"",TEXT(AUX!EA$1,"dd-MMM-aa"),"")</f>
      </c>
      <c r="DX369" s="496" t="str">
        <f> IF(DX389&lt;&gt;"",TEXT(AUX!EB$1,"dd-MMM-aa"),"")</f>
      </c>
      <c r="DY369" s="496" t="str">
        <f> IF(DY389&lt;&gt;"",TEXT(AUX!EC$1,"dd-MMM-aa"),"")</f>
      </c>
      <c r="DZ369" s="496" t="str">
        <f> IF(DZ389&lt;&gt;"",TEXT(AUX!ED$1,"dd-MMM-aa"),"")</f>
      </c>
      <c r="EA369" s="496" t="str">
        <f> IF(EA389&lt;&gt;"",TEXT(AUX!EE$1,"dd-MMM-aa"),"")</f>
      </c>
      <c r="EB369" s="496" t="str">
        <f> IF(EB389&lt;&gt;"",TEXT(AUX!EF$1,"dd-MMM-aa"),"")</f>
      </c>
      <c r="EC369" s="496" t="str">
        <f> IF(EC389&lt;&gt;"",TEXT(AUX!EG$1,"dd-MMM-aa"),"")</f>
      </c>
      <c r="ED369" s="496" t="str">
        <f> IF(ED389&lt;&gt;"",TEXT(AUX!EH$1,"dd-MMM-aa"),"")</f>
      </c>
      <c r="EE369" s="496" t="str">
        <f> IF(EE389&lt;&gt;"",TEXT(AUX!EI$1,"dd-MMM-aa"),"")</f>
      </c>
      <c r="EF369" s="496" t="str">
        <f> IF(EF389&lt;&gt;"",TEXT(AUX!EJ$1,"dd-MMM-aa"),"")</f>
      </c>
      <c r="EG369" s="496" t="str">
        <f> IF(EG389&lt;&gt;"",TEXT(AUX!EK$1,"dd-MMM-aa"),"")</f>
      </c>
      <c r="EH369" s="496" t="str">
        <f> IF(EH389&lt;&gt;"",TEXT(AUX!EL$1,"dd-MMM-aa"),"")</f>
      </c>
      <c r="EI369" s="496" t="str">
        <f> IF(EI389&lt;&gt;"",TEXT(AUX!EM$1,"dd-MMM-aa"),"")</f>
      </c>
      <c r="EJ369" s="496" t="str">
        <f> IF(EJ389&lt;&gt;"",TEXT(AUX!EN$1,"dd-MMM-aa"),"")</f>
      </c>
      <c r="EK369" s="496" t="str">
        <f> IF(EK389&lt;&gt;"",TEXT(AUX!EO$1,"dd-MMM-aa"),"")</f>
      </c>
      <c r="EL369" s="496" t="str">
        <f> IF(EL389&lt;&gt;"",TEXT(AUX!EP$1,"dd-MMM-aa"),"")</f>
      </c>
      <c r="EM369" s="496" t="str">
        <f> IF(EM389&lt;&gt;"",TEXT(AUX!EQ$1,"dd-MMM-aa"),"")</f>
      </c>
      <c r="EN369" s="496" t="str">
        <f> IF(EN389&lt;&gt;"",TEXT(AUX!ER$1,"dd-MMM-aa"),"")</f>
      </c>
      <c r="EO369" s="496" t="str">
        <f> IF(EO389&lt;&gt;"",TEXT(AUX!ES$1,"dd-MMM-aa"),"")</f>
      </c>
      <c r="EP369" s="496" t="str">
        <f> IF(EP389&lt;&gt;"",TEXT(AUX!ET$1,"dd-MMM-aa"),"")</f>
      </c>
      <c r="EQ369" s="496" t="str">
        <f> IF(EQ389&lt;&gt;"",TEXT(AUX!EU$1,"dd-MMM-aa"),"")</f>
      </c>
      <c r="ER369" s="496" t="str">
        <f> IF(ER389&lt;&gt;"",TEXT(AUX!EV$1,"dd-MMM-aa"),"")</f>
      </c>
      <c r="ES369" s="496" t="str">
        <f> IF(ES389&lt;&gt;"",TEXT(AUX!EW$1,"dd-MMM-aa"),"")</f>
      </c>
      <c r="ET369" s="496" t="str">
        <f> IF(ET389&lt;&gt;"",TEXT(AUX!EX$1,"dd-MMM-aa"),"")</f>
      </c>
      <c r="EU369" s="496" t="str">
        <f> IF(EU389&lt;&gt;"",TEXT(AUX!EY$1,"dd-MMM-aa"),"")</f>
      </c>
      <c r="EV369" s="496" t="str">
        <f> IF(EV389&lt;&gt;"",TEXT(AUX!EZ$1,"dd-MMM-aa"),"")</f>
      </c>
      <c r="EW369" s="496" t="str">
        <f> IF(EW389&lt;&gt;"",TEXT(AUX!FA$1,"dd-MMM-aa"),"")</f>
      </c>
      <c r="EX369" s="496" t="str">
        <f> IF(EX389&lt;&gt;"",TEXT(AUX!FB$1,"dd-MMM-aa"),"")</f>
      </c>
      <c r="EY369" s="496" t="str">
        <f> IF(EY389&lt;&gt;"",TEXT(AUX!FC$1,"dd-MMM-aa"),"")</f>
      </c>
      <c r="EZ369" s="496" t="str">
        <f> IF(EZ389&lt;&gt;"",TEXT(AUX!FD$1,"dd-MMM-aa"),"")</f>
      </c>
      <c r="FA369" s="496" t="str">
        <f> IF(FA389&lt;&gt;"",TEXT(AUX!FE$1,"dd-MMM-aa"),"")</f>
      </c>
      <c r="FB369" s="496" t="str">
        <f> IF(FB389&lt;&gt;"",TEXT(AUX!FF$1,"dd-MMM-aa"),"")</f>
      </c>
      <c r="FC369" s="496" t="str">
        <f> IF(FC389&lt;&gt;"",TEXT(AUX!FG$1,"dd-MMM-aa"),"")</f>
      </c>
      <c r="FD369" s="496" t="str">
        <f> IF(FD389&lt;&gt;"",TEXT(AUX!FH$1,"dd-MMM-aa"),"")</f>
      </c>
      <c r="FE369" s="496" t="str">
        <f> IF(FE389&lt;&gt;"",TEXT(AUX!FI$1,"dd-MMM-aa"),"")</f>
      </c>
      <c r="FF369" s="496" t="str">
        <f> IF(FF389&lt;&gt;"",TEXT(AUX!FJ$1,"dd-MMM-aa"),"")</f>
      </c>
      <c r="FG369" s="496" t="str">
        <f> IF(FG389&lt;&gt;"",TEXT(AUX!FK$1,"dd-MMM-aa"),"")</f>
      </c>
      <c r="FH369" s="496" t="str">
        <f> IF(FH389&lt;&gt;"",TEXT(AUX!FL$1,"dd-MMM-aa"),"")</f>
      </c>
      <c r="FI369" s="496" t="str">
        <f> IF(FI389&lt;&gt;"",TEXT(AUX!FM$1,"dd-MMM-aa"),"")</f>
      </c>
      <c r="FJ369" s="496" t="str">
        <f> IF(FJ389&lt;&gt;"",TEXT(AUX!FN$1,"dd-MMM-aa"),"")</f>
      </c>
      <c r="FK369" s="496" t="str">
        <f> IF(FK389&lt;&gt;"",TEXT(AUX!FO$1,"dd-MMM-aa"),"")</f>
      </c>
      <c r="FL369" s="496" t="str">
        <f> IF(FL389&lt;&gt;"",TEXT(AUX!FP$1,"dd-MMM-aa"),"")</f>
      </c>
      <c r="FM369" s="496" t="str">
        <f> IF(FM389&lt;&gt;"",TEXT(AUX!FQ$1,"dd-MMM-aa"),"")</f>
      </c>
      <c r="FN369" s="496" t="str">
        <f> IF(FN389&lt;&gt;"",TEXT(AUX!FR$1,"dd-MMM-aa"),"")</f>
      </c>
      <c r="FO369" s="496" t="str">
        <f> IF(FO389&lt;&gt;"",TEXT(AUX!FS$1,"dd-MMM-aa"),"")</f>
      </c>
      <c r="FP369" s="496" t="str">
        <f> IF(FP389&lt;&gt;"",TEXT(AUX!FT$1,"dd-MMM-aa"),"")</f>
      </c>
      <c r="FQ369" s="496" t="str">
        <f> IF(FQ389&lt;&gt;"",TEXT(AUX!FU$1,"dd-MMM-aa"),"")</f>
      </c>
      <c r="FR369" s="496" t="str">
        <f> IF(FR389&lt;&gt;"",TEXT(AUX!FV$1,"dd-MMM-aa"),"")</f>
      </c>
      <c r="FS369" s="496" t="str">
        <f> IF(FS389&lt;&gt;"",TEXT(AUX!FW$1,"dd-MMM-aa"),"")</f>
      </c>
      <c r="FT369" s="496" t="str">
        <f> IF(FT389&lt;&gt;"",TEXT(AUX!FX$1,"dd-MMM-aa"),"")</f>
      </c>
      <c r="FU369" s="496" t="str">
        <f> IF(FU389&lt;&gt;"",TEXT(AUX!FY$1,"dd-MMM-aa"),"")</f>
      </c>
      <c r="FV369" s="496" t="str">
        <f> IF(FV389&lt;&gt;"",TEXT(AUX!FZ$1,"dd-MMM-aa"),"")</f>
      </c>
      <c r="FW369" s="496" t="str">
        <f> IF(FW389&lt;&gt;"",TEXT(AUX!GA$1,"dd-MMM-aa"),"")</f>
      </c>
      <c r="FX369" s="496" t="str">
        <f> IF(FX389&lt;&gt;"",TEXT(AUX!GB$1,"dd-MMM-aa"),"")</f>
      </c>
      <c r="FY369" s="496" t="str">
        <f> IF(FY389&lt;&gt;"",TEXT(AUX!GC$1,"dd-MMM-aa"),"")</f>
      </c>
      <c r="FZ369" s="496" t="str">
        <f> IF(FZ389&lt;&gt;"",TEXT(AUX!GD$1,"dd-MMM-aa"),"")</f>
      </c>
      <c r="GA369" s="496" t="str">
        <f> IF(GA389&lt;&gt;"",TEXT(AUX!GE$1,"dd-MMM-aa"),"")</f>
      </c>
      <c r="GB369" s="496" t="str">
        <f> IF(GB389&lt;&gt;"",TEXT(AUX!GF$1,"dd-MMM-aa"),"")</f>
      </c>
      <c r="GC369" s="496" t="str">
        <f> IF(GC389&lt;&gt;"",TEXT(AUX!GG$1,"dd-MMM-aa"),"")</f>
      </c>
      <c r="GD369" s="496" t="str">
        <f> IF(GD389&lt;&gt;"",TEXT(AUX!GH$1,"dd-MMM-aa"),"")</f>
      </c>
      <c r="GE369" s="496" t="str">
        <f> IF(GE389&lt;&gt;"",TEXT(AUX!GI$1,"dd-MMM-aa"),"")</f>
      </c>
      <c r="GF369" s="496" t="str">
        <f> IF(GF389&lt;&gt;"",TEXT(AUX!GJ$1,"dd-MMM-aa"),"")</f>
      </c>
      <c r="GG369" s="496" t="str">
        <f> IF(GG389&lt;&gt;"",TEXT(AUX!GK$1,"dd-MMM-aa"),"")</f>
      </c>
      <c r="GH369" s="496" t="str">
        <f> IF(GH389&lt;&gt;"",TEXT(AUX!GL$1,"dd-MMM-aa"),"")</f>
      </c>
      <c r="GI369" s="496" t="str">
        <f> IF(GI389&lt;&gt;"",TEXT(AUX!GM$1,"dd-MMM-aa"),"")</f>
      </c>
      <c r="GJ369" s="496" t="str">
        <f> IF(GJ389&lt;&gt;"",TEXT(AUX!GN$1,"dd-MMM-aa"),"")</f>
      </c>
      <c r="GK369" s="496" t="str">
        <f> IF(GK389&lt;&gt;"",TEXT(AUX!GO$1,"dd-MMM-aa"),"")</f>
      </c>
      <c r="GL369" s="496" t="str">
        <f> IF(GL389&lt;&gt;"",TEXT(AUX!GP$1,"dd-MMM-aa"),"")</f>
      </c>
      <c r="GM369" s="496" t="str">
        <f> IF(GM389&lt;&gt;"",TEXT(AUX!GQ$1,"dd-MMM-aa"),"")</f>
      </c>
      <c r="GN369" s="496" t="str">
        <f> IF(GN389&lt;&gt;"",TEXT(AUX!GR$1,"dd-MMM-aa"),"")</f>
      </c>
      <c r="GO369" s="496" t="str">
        <f> IF(GO389&lt;&gt;"",TEXT(AUX!GS$1,"dd-MMM-aa"),"")</f>
      </c>
      <c r="GP369" s="496" t="str">
        <f> IF(GP389&lt;&gt;"",TEXT(AUX!GT$1,"dd-MMM-aa"),"")</f>
      </c>
      <c r="GQ369" s="496" t="str">
        <f> IF(GQ389&lt;&gt;"",TEXT(AUX!GU$1,"dd-MMM-aa"),"")</f>
      </c>
      <c r="GR369" s="496" t="str">
        <f> IF(GR389&lt;&gt;"",TEXT(AUX!GV$1,"dd-MMM-aa"),"")</f>
      </c>
      <c r="GS369" s="496" t="str">
        <f> IF(GS389&lt;&gt;"",TEXT(AUX!GW$1,"dd-MMM-aa"),"")</f>
      </c>
      <c r="GT369" s="496" t="str">
        <f> IF(GT389&lt;&gt;"",TEXT(AUX!GX$1,"dd-MMM-aa"),"")</f>
      </c>
      <c r="GU369" s="496" t="str">
        <f> IF(GU389&lt;&gt;"",TEXT(AUX!GY$1,"dd-MMM-aa"),"")</f>
      </c>
      <c r="GV369" s="496" t="str">
        <f> IF(GV389&lt;&gt;"",TEXT(AUX!GZ$1,"dd-MMM-aa"),"")</f>
      </c>
      <c r="GW369" s="496" t="str">
        <f> IF(GW389&lt;&gt;"",TEXT(AUX!HA$1,"dd-MMM-aa"),"")</f>
      </c>
      <c r="GX369" s="496" t="str">
        <f> IF(GX389&lt;&gt;"",TEXT(AUX!HB$1,"dd-MMM-aa"),"")</f>
      </c>
      <c r="GY369" s="496" t="str">
        <f> IF(GY389&lt;&gt;"",TEXT(AUX!HC$1,"dd-MMM-aa"),"")</f>
      </c>
      <c r="GZ369" s="496" t="str">
        <f> IF(GZ389&lt;&gt;"",TEXT(AUX!HD$1,"dd-MMM-aa"),"")</f>
      </c>
      <c r="HA369" s="496" t="str">
        <f> IF(HA389&lt;&gt;"",TEXT(AUX!HE$1,"dd-MMM-aa"),"")</f>
      </c>
      <c r="HB369" s="496" t="str">
        <f> IF(HB389&lt;&gt;"",TEXT(AUX!HF$1,"dd-MMM-aa"),"")</f>
      </c>
      <c r="HC369" s="496" t="str">
        <f> IF(HC389&lt;&gt;"",TEXT(AUX!HG$1,"dd-MMM-aa"),"")</f>
      </c>
      <c r="HD369" s="496" t="str">
        <f> IF(HD389&lt;&gt;"",TEXT(AUX!HH$1,"dd-MMM-aa"),"")</f>
      </c>
      <c r="HE369" s="496" t="str">
        <f> IF(HE389&lt;&gt;"",TEXT(AUX!HI$1,"dd-MMM-aa"),"")</f>
      </c>
      <c r="HF369" s="496" t="str">
        <f> IF(HF389&lt;&gt;"",TEXT(AUX!HJ$1,"dd-MMM-aa"),"")</f>
      </c>
      <c r="HG369" s="496" t="str">
        <f> IF(HG389&lt;&gt;"",TEXT(AUX!HK$1,"dd-MMM-aa"),"")</f>
      </c>
      <c r="HH369" s="496" t="str">
        <f> IF(HH389&lt;&gt;"",TEXT(AUX!HL$1,"dd-MMM-aa"),"")</f>
      </c>
      <c r="HI369" s="496" t="str">
        <f> IF(HI389&lt;&gt;"",TEXT(AUX!HM$1,"dd-MMM-aa"),"")</f>
      </c>
      <c r="HJ369" s="496" t="str">
        <f> IF(HJ389&lt;&gt;"",TEXT(AUX!HN$1,"dd-MMM-aa"),"")</f>
      </c>
      <c r="HK369" s="496" t="str">
        <f> IF(HK389&lt;&gt;"",TEXT(AUX!HO$1,"dd-MMM-aa"),"")</f>
      </c>
      <c r="HL369" s="496" t="str">
        <f> IF(HL389&lt;&gt;"",TEXT(AUX!HP$1,"dd-MMM-aa"),"")</f>
      </c>
      <c r="HM369" s="496" t="str">
        <f> IF(HM389&lt;&gt;"",TEXT(AUX!HQ$1,"dd-MMM-aa"),"")</f>
      </c>
      <c r="HN369" s="496" t="str">
        <f> IF(HN389&lt;&gt;"",TEXT(AUX!HR$1,"dd-MMM-aa"),"")</f>
      </c>
      <c r="HO369" s="496" t="str">
        <f> IF(HO389&lt;&gt;"",TEXT(AUX!HS$1,"dd-MMM-aa"),"")</f>
      </c>
      <c r="HP369" s="496" t="str">
        <f> IF(HP389&lt;&gt;"",TEXT(AUX!HT$1,"dd-MMM-aa"),"")</f>
      </c>
      <c r="HQ369" s="496" t="str">
        <f> IF(HQ389&lt;&gt;"",TEXT(AUX!HU$1,"dd-MMM-aa"),"")</f>
      </c>
      <c r="HR369" s="496" t="str">
        <f> IF(HR389&lt;&gt;"",TEXT(AUX!HV$1,"dd-MMM-aa"),"")</f>
      </c>
      <c r="HS369" s="496" t="str">
        <f> IF(HS389&lt;&gt;"",TEXT(AUX!HW$1,"dd-MMM-aa"),"")</f>
      </c>
      <c r="HT369" s="496" t="str">
        <f> IF(HT389&lt;&gt;"",TEXT(AUX!HX$1,"dd-MMM-aa"),"")</f>
      </c>
      <c r="HU369" s="496" t="str">
        <f> IF(HU389&lt;&gt;"",TEXT(AUX!HY$1,"dd-MMM-aa"),"")</f>
      </c>
      <c r="HV369" s="496" t="str">
        <f> IF(HV389&lt;&gt;"",TEXT(AUX!HZ$1,"dd-MMM-aa"),"")</f>
      </c>
      <c r="HW369" s="496" t="str">
        <f> IF(HW389&lt;&gt;"",TEXT(AUX!IA$1,"dd-MMM-aa"),"")</f>
      </c>
      <c r="HX369" s="496" t="str">
        <f> IF(HX389&lt;&gt;"",TEXT(AUX!IB$1,"dd-MMM-aa"),"")</f>
      </c>
      <c r="HY369" s="496" t="str">
        <f> IF(HY389&lt;&gt;"",TEXT(AUX!IC$1,"dd-MMM-aa"),"")</f>
      </c>
      <c r="HZ369" s="496" t="str">
        <f> IF(HZ389&lt;&gt;"",TEXT(AUX!ID$1,"dd-MMM-aa"),"")</f>
      </c>
      <c r="IA369" s="496" t="str">
        <f> IF(IA389&lt;&gt;"",TEXT(AUX!IE$1,"dd-MMM-aa"),"")</f>
      </c>
      <c r="IB369" s="496" t="str">
        <f> IF(IB389&lt;&gt;"",TEXT(AUX!IF$1,"dd-MMM-aa"),"")</f>
      </c>
      <c r="IC369" s="496" t="str">
        <f> IF(IC389&lt;&gt;"",TEXT(AUX!IG$1,"dd-MMM-aa"),"")</f>
      </c>
      <c r="ID369" s="496" t="str">
        <f> IF(ID389&lt;&gt;"",TEXT(AUX!IH$1,"dd-MMM-aa"),"")</f>
      </c>
      <c r="IE369" s="496" t="str">
        <f> IF(IE389&lt;&gt;"",TEXT(AUX!II$1,"dd-MMM-aa"),"")</f>
      </c>
      <c r="IF369" s="496" t="str">
        <f> IF(IF389&lt;&gt;"",TEXT(AUX!IJ$1,"dd-MMM-aa"),"")</f>
      </c>
      <c r="IG369" s="496" t="str">
        <f> IF(IG389&lt;&gt;"",TEXT(AUX!IK$1,"dd-MMM-aa"),"")</f>
      </c>
      <c r="IH369" s="496" t="str">
        <f> IF(IH389&lt;&gt;"",TEXT(AUX!IL$1,"dd-MMM-aa"),"")</f>
      </c>
      <c r="II369" s="496" t="str">
        <f> IF(II389&lt;&gt;"",TEXT(AUX!IM$1,"dd-MMM-aa"),"")</f>
      </c>
      <c r="IJ369" s="496" t="str">
        <f> IF(IJ389&lt;&gt;"",TEXT(AUX!IN$1,"dd-MMM-aa"),"")</f>
      </c>
      <c r="IK369" s="496" t="str">
        <f> IF(IK389&lt;&gt;"",TEXT(AUX!IO$1,"dd-MMM-aa"),"")</f>
      </c>
      <c r="IL369" s="496" t="str">
        <f> IF(IL389&lt;&gt;"",TEXT(AUX!IP$1,"dd-MMM-aa"),"")</f>
      </c>
      <c r="IM369" s="496" t="str">
        <f> IF(IM389&lt;&gt;"",TEXT(AUX!IQ$1,"dd-MMM-aa"),"")</f>
      </c>
      <c r="IN369" s="496" t="str">
        <f> IF(IN389&lt;&gt;"",TEXT(AUX!IR$1,"dd-MMM-aa"),"")</f>
      </c>
      <c r="IO369" s="496" t="str">
        <f> IF(IO389&lt;&gt;"",TEXT(AUX!IS$1,"dd-MMM-aa"),"")</f>
      </c>
      <c r="IP369" s="496" t="str">
        <f> IF(IP389&lt;&gt;"",TEXT(AUX!IT$1,"dd-MMM-aa"),"")</f>
      </c>
      <c r="IQ369" s="496" t="str">
        <f> IF(IQ389&lt;&gt;"",TEXT(AUX!IU$1,"dd-MMM-aa"),"")</f>
      </c>
      <c r="IR369" s="496" t="str">
        <f> IF(IR389&lt;&gt;"",TEXT(AUX!IV$1,"dd-MMM-aa"),"")</f>
      </c>
      <c r="IS369" s="496" t="str">
        <f> IF(IS389&lt;&gt;"",TEXT(AUX!#REF!,"dd-MMM-aa"),"")</f>
      </c>
      <c r="IT369" s="496" t="str">
        <f> IF(IT389&lt;&gt;"",TEXT(AUX!#REF!,"dd-MMM-aa"),"")</f>
      </c>
      <c r="IU369" s="496" t="str">
        <f> IF(IU389&lt;&gt;"",TEXT(AUX!#REF!,"dd-MMM-aa"),"")</f>
      </c>
      <c r="IV369" s="496" t="str">
        <f> IF(IV389&lt;&gt;"",TEXT(AUX!#REF!,"dd-MMM-aa"),"")</f>
      </c>
    </row>
    <row r="370" hidden="1">
      <c r="B370" s="822" t="s">
        <v>8</v>
      </c>
      <c r="C370" s="823">
        <v>0</v>
      </c>
      <c r="D370" s="823">
        <v>0</v>
      </c>
      <c r="E370" s="823">
        <v>0</v>
      </c>
      <c r="F370" s="823">
        <v>0</v>
      </c>
      <c r="G370" s="823">
        <v>0</v>
      </c>
      <c r="H370" s="823">
        <v>0</v>
      </c>
      <c r="I370" s="823">
        <v>0</v>
      </c>
      <c r="J370" s="823">
        <v>0</v>
      </c>
      <c r="K370" s="823">
        <v>0</v>
      </c>
      <c r="L370" s="823">
        <v>0</v>
      </c>
      <c r="M370" s="823">
        <v>0</v>
      </c>
      <c r="N370" s="823">
        <v>0</v>
      </c>
      <c r="O370" s="823">
        <v>0</v>
      </c>
      <c r="P370" s="823">
        <v>0</v>
      </c>
      <c r="Q370" s="823">
        <v>0</v>
      </c>
      <c r="R370" s="823">
        <v>0</v>
      </c>
      <c r="S370" s="823">
        <v>0</v>
      </c>
      <c r="T370" s="823">
        <v>0</v>
      </c>
      <c r="U370" s="823">
        <v>0</v>
      </c>
      <c r="V370" s="823">
        <v>0</v>
      </c>
      <c r="W370" s="823">
        <v>0</v>
      </c>
      <c r="X370" s="823">
        <v>0</v>
      </c>
      <c r="Y370" s="823">
        <v>0</v>
      </c>
      <c r="Z370" s="823">
        <v>0</v>
      </c>
      <c r="AA370" s="823">
        <v>0</v>
      </c>
      <c r="AB370" s="824">
        <v>0</v>
      </c>
      <c r="AC370" s="825">
        <v>0</v>
      </c>
      <c r="AD370" s="825">
        <v>0</v>
      </c>
      <c r="AE370" s="825">
        <v>0</v>
      </c>
      <c r="AF370" s="825">
        <v>0</v>
      </c>
      <c r="AG370" s="825">
        <v>0</v>
      </c>
      <c r="AH370" s="825">
        <v>0</v>
      </c>
      <c r="AI370" s="825">
        <v>0</v>
      </c>
      <c r="AJ370" s="825">
        <v>0</v>
      </c>
      <c r="AK370" s="825">
        <v>1</v>
      </c>
      <c r="AL370" s="825">
        <v>1</v>
      </c>
      <c r="AM370" s="825">
        <v>0</v>
      </c>
      <c r="AN370" s="825">
        <v>0</v>
      </c>
      <c r="AO370" s="825">
        <v>1</v>
      </c>
      <c r="AP370" s="825">
        <v>1</v>
      </c>
    </row>
    <row r="371" hidden="1">
      <c r="B371" s="826" t="s">
        <v>9</v>
      </c>
      <c r="C371" s="827">
        <v>16</v>
      </c>
      <c r="D371" s="827">
        <v>34</v>
      </c>
      <c r="E371" s="827">
        <v>34</v>
      </c>
      <c r="F371" s="827">
        <v>35</v>
      </c>
      <c r="G371" s="827">
        <v>39</v>
      </c>
      <c r="H371" s="827">
        <v>39</v>
      </c>
      <c r="I371" s="827">
        <v>39</v>
      </c>
      <c r="J371" s="827">
        <v>39</v>
      </c>
      <c r="K371" s="827">
        <v>40</v>
      </c>
      <c r="L371" s="827">
        <v>40</v>
      </c>
      <c r="M371" s="827">
        <v>41</v>
      </c>
      <c r="N371" s="827">
        <v>40</v>
      </c>
      <c r="O371" s="827">
        <v>42</v>
      </c>
      <c r="P371" s="827">
        <v>43</v>
      </c>
      <c r="Q371" s="827">
        <v>44</v>
      </c>
      <c r="R371" s="827">
        <v>44</v>
      </c>
      <c r="S371" s="827">
        <v>43</v>
      </c>
      <c r="T371" s="827">
        <v>43</v>
      </c>
      <c r="U371" s="827">
        <v>40</v>
      </c>
      <c r="V371" s="827">
        <v>38</v>
      </c>
      <c r="W371" s="827">
        <v>37</v>
      </c>
      <c r="X371" s="827">
        <v>35</v>
      </c>
      <c r="Y371" s="827">
        <v>37</v>
      </c>
      <c r="Z371" s="827">
        <v>38</v>
      </c>
      <c r="AA371" s="827">
        <v>39</v>
      </c>
      <c r="AB371" s="827">
        <v>39</v>
      </c>
      <c r="AC371" s="828">
        <v>16</v>
      </c>
      <c r="AD371" s="828">
        <v>16</v>
      </c>
      <c r="AE371" s="828">
        <v>16</v>
      </c>
      <c r="AF371" s="828">
        <v>16</v>
      </c>
      <c r="AG371" s="828">
        <v>16</v>
      </c>
      <c r="AH371" s="828">
        <v>16</v>
      </c>
      <c r="AI371" s="828">
        <v>16</v>
      </c>
      <c r="AJ371" s="828">
        <v>16</v>
      </c>
      <c r="AK371" s="828">
        <v>18</v>
      </c>
      <c r="AL371" s="828">
        <v>18</v>
      </c>
      <c r="AM371" s="828">
        <v>17</v>
      </c>
      <c r="AN371" s="828">
        <v>18</v>
      </c>
      <c r="AO371" s="828">
        <v>16</v>
      </c>
      <c r="AP371" s="828">
        <v>13</v>
      </c>
    </row>
    <row r="372" hidden="1">
      <c r="B372" s="829" t="s">
        <v>10</v>
      </c>
      <c r="C372" s="823">
        <v>2</v>
      </c>
      <c r="D372" s="823">
        <v>2</v>
      </c>
      <c r="E372" s="823">
        <v>2</v>
      </c>
      <c r="F372" s="823">
        <v>2</v>
      </c>
      <c r="G372" s="823">
        <v>0</v>
      </c>
      <c r="H372" s="823">
        <v>0</v>
      </c>
      <c r="I372" s="823">
        <v>0</v>
      </c>
      <c r="J372" s="823">
        <v>0</v>
      </c>
      <c r="K372" s="823">
        <v>0</v>
      </c>
      <c r="L372" s="823">
        <v>0</v>
      </c>
      <c r="M372" s="823">
        <v>0</v>
      </c>
      <c r="N372" s="823">
        <v>0</v>
      </c>
      <c r="O372" s="823">
        <v>0</v>
      </c>
      <c r="P372" s="823">
        <v>0</v>
      </c>
      <c r="Q372" s="823">
        <v>0</v>
      </c>
      <c r="R372" s="823">
        <v>0</v>
      </c>
      <c r="S372" s="823">
        <v>0</v>
      </c>
      <c r="T372" s="823">
        <v>0</v>
      </c>
      <c r="U372" s="823">
        <v>0</v>
      </c>
      <c r="V372" s="823">
        <v>0</v>
      </c>
      <c r="W372" s="823">
        <v>0</v>
      </c>
      <c r="X372" s="823">
        <v>0</v>
      </c>
      <c r="Y372" s="823">
        <v>0</v>
      </c>
      <c r="Z372" s="823">
        <v>0</v>
      </c>
      <c r="AA372" s="823">
        <v>0</v>
      </c>
      <c r="AB372" s="823">
        <v>0</v>
      </c>
      <c r="AC372" s="825">
        <v>0</v>
      </c>
      <c r="AD372" s="825">
        <v>0</v>
      </c>
      <c r="AE372" s="825">
        <v>0</v>
      </c>
      <c r="AF372" s="825">
        <v>0</v>
      </c>
      <c r="AG372" s="825">
        <v>0</v>
      </c>
      <c r="AH372" s="825">
        <v>0</v>
      </c>
      <c r="AI372" s="825">
        <v>0</v>
      </c>
      <c r="AJ372" s="825">
        <v>0</v>
      </c>
      <c r="AK372" s="825">
        <v>0</v>
      </c>
      <c r="AL372" s="825">
        <v>0</v>
      </c>
      <c r="AM372" s="825">
        <v>0</v>
      </c>
      <c r="AN372" s="825">
        <v>0</v>
      </c>
      <c r="AO372" s="825">
        <v>0</v>
      </c>
      <c r="AP372" s="825">
        <v>0</v>
      </c>
    </row>
    <row r="373" hidden="1">
      <c r="B373" s="826" t="s">
        <v>11</v>
      </c>
      <c r="C373" s="827">
        <v>13</v>
      </c>
      <c r="D373" s="827">
        <v>18</v>
      </c>
      <c r="E373" s="827">
        <v>23</v>
      </c>
      <c r="F373" s="827">
        <v>23</v>
      </c>
      <c r="G373" s="827">
        <v>1</v>
      </c>
      <c r="H373" s="827">
        <v>4</v>
      </c>
      <c r="I373" s="827">
        <v>7</v>
      </c>
      <c r="J373" s="827">
        <v>4</v>
      </c>
      <c r="K373" s="827">
        <v>5</v>
      </c>
      <c r="L373" s="827">
        <v>6</v>
      </c>
      <c r="M373" s="827">
        <v>5</v>
      </c>
      <c r="N373" s="827">
        <v>6</v>
      </c>
      <c r="O373" s="827">
        <v>4</v>
      </c>
      <c r="P373" s="827">
        <v>3</v>
      </c>
      <c r="Q373" s="827">
        <v>4</v>
      </c>
      <c r="R373" s="827">
        <v>4</v>
      </c>
      <c r="S373" s="827">
        <v>5</v>
      </c>
      <c r="T373" s="827">
        <v>5</v>
      </c>
      <c r="U373" s="827">
        <v>5</v>
      </c>
      <c r="V373" s="827">
        <v>5</v>
      </c>
      <c r="W373" s="827">
        <v>5</v>
      </c>
      <c r="X373" s="827">
        <v>5</v>
      </c>
      <c r="Y373" s="827">
        <v>5</v>
      </c>
      <c r="Z373" s="827">
        <v>6</v>
      </c>
      <c r="AA373" s="827">
        <v>6</v>
      </c>
      <c r="AB373" s="827">
        <v>6</v>
      </c>
      <c r="AC373" s="828">
        <v>5</v>
      </c>
      <c r="AD373" s="828">
        <v>4</v>
      </c>
      <c r="AE373" s="828">
        <v>5</v>
      </c>
      <c r="AF373" s="828">
        <v>5</v>
      </c>
      <c r="AG373" s="828">
        <v>5</v>
      </c>
      <c r="AH373" s="828">
        <v>5</v>
      </c>
      <c r="AI373" s="828">
        <v>5</v>
      </c>
      <c r="AJ373" s="828">
        <v>5</v>
      </c>
      <c r="AK373" s="828">
        <v>4</v>
      </c>
      <c r="AL373" s="828">
        <v>4</v>
      </c>
      <c r="AM373" s="828">
        <v>4</v>
      </c>
      <c r="AN373" s="828">
        <v>4</v>
      </c>
      <c r="AO373" s="828">
        <v>4</v>
      </c>
      <c r="AP373" s="828">
        <v>3</v>
      </c>
    </row>
    <row r="374" hidden="1">
      <c r="B374" s="829" t="s">
        <v>12</v>
      </c>
      <c r="C374" s="823">
        <v>48</v>
      </c>
      <c r="D374" s="823">
        <v>60</v>
      </c>
      <c r="E374" s="823">
        <v>57</v>
      </c>
      <c r="F374" s="823">
        <v>57</v>
      </c>
      <c r="G374" s="823">
        <v>58</v>
      </c>
      <c r="H374" s="823">
        <v>58</v>
      </c>
      <c r="I374" s="823">
        <v>61</v>
      </c>
      <c r="J374" s="823">
        <v>59</v>
      </c>
      <c r="K374" s="823">
        <v>60</v>
      </c>
      <c r="L374" s="823">
        <v>61</v>
      </c>
      <c r="M374" s="823">
        <v>56</v>
      </c>
      <c r="N374" s="823">
        <v>56</v>
      </c>
      <c r="O374" s="823">
        <v>55</v>
      </c>
      <c r="P374" s="823">
        <v>54</v>
      </c>
      <c r="Q374" s="823">
        <v>54</v>
      </c>
      <c r="R374" s="823">
        <v>57</v>
      </c>
      <c r="S374" s="823">
        <v>59</v>
      </c>
      <c r="T374" s="823">
        <v>58</v>
      </c>
      <c r="U374" s="823">
        <v>55</v>
      </c>
      <c r="V374" s="823">
        <v>55</v>
      </c>
      <c r="W374" s="823">
        <v>54</v>
      </c>
      <c r="X374" s="823">
        <v>53</v>
      </c>
      <c r="Y374" s="823">
        <v>51</v>
      </c>
      <c r="Z374" s="823">
        <v>52</v>
      </c>
      <c r="AA374" s="823">
        <v>52</v>
      </c>
      <c r="AB374" s="823">
        <v>52</v>
      </c>
      <c r="AC374" s="825">
        <v>56</v>
      </c>
      <c r="AD374" s="825">
        <v>13</v>
      </c>
      <c r="AE374" s="825">
        <v>41</v>
      </c>
      <c r="AF374" s="825">
        <v>42</v>
      </c>
      <c r="AG374" s="825">
        <v>45</v>
      </c>
      <c r="AH374" s="825">
        <v>44</v>
      </c>
      <c r="AI374" s="825">
        <v>47</v>
      </c>
      <c r="AJ374" s="825">
        <v>48</v>
      </c>
      <c r="AK374" s="825">
        <v>49</v>
      </c>
      <c r="AL374" s="825">
        <v>49</v>
      </c>
      <c r="AM374" s="825">
        <v>49</v>
      </c>
      <c r="AN374" s="825">
        <v>46</v>
      </c>
      <c r="AO374" s="825">
        <v>47</v>
      </c>
      <c r="AP374" s="825">
        <v>50</v>
      </c>
    </row>
    <row r="375" hidden="1">
      <c r="B375" s="826" t="s">
        <v>13</v>
      </c>
      <c r="C375" s="827">
        <v>0</v>
      </c>
      <c r="D375" s="827">
        <v>0</v>
      </c>
      <c r="E375" s="827">
        <v>0</v>
      </c>
      <c r="F375" s="827">
        <v>1</v>
      </c>
      <c r="G375" s="827">
        <v>6</v>
      </c>
      <c r="H375" s="827">
        <v>7</v>
      </c>
      <c r="I375" s="827">
        <v>9</v>
      </c>
      <c r="J375" s="827">
        <v>11</v>
      </c>
      <c r="K375" s="827">
        <v>8</v>
      </c>
      <c r="L375" s="827">
        <v>10</v>
      </c>
      <c r="M375" s="827">
        <v>2</v>
      </c>
      <c r="N375" s="827">
        <v>0</v>
      </c>
      <c r="O375" s="827">
        <v>1</v>
      </c>
      <c r="P375" s="827">
        <v>1</v>
      </c>
      <c r="Q375" s="827">
        <v>3</v>
      </c>
      <c r="R375" s="827">
        <v>2</v>
      </c>
      <c r="S375" s="827">
        <v>2</v>
      </c>
      <c r="T375" s="827">
        <v>2</v>
      </c>
      <c r="U375" s="827">
        <v>2</v>
      </c>
      <c r="V375" s="827">
        <v>2</v>
      </c>
      <c r="W375" s="827">
        <v>2</v>
      </c>
      <c r="X375" s="827">
        <v>2</v>
      </c>
      <c r="Y375" s="827">
        <v>2</v>
      </c>
      <c r="Z375" s="827">
        <v>1</v>
      </c>
      <c r="AA375" s="827">
        <v>2</v>
      </c>
      <c r="AB375" s="827">
        <v>2</v>
      </c>
      <c r="AC375" s="828">
        <v>0</v>
      </c>
      <c r="AD375" s="828">
        <v>1</v>
      </c>
      <c r="AE375" s="828">
        <v>1</v>
      </c>
      <c r="AF375" s="828">
        <v>1</v>
      </c>
      <c r="AG375" s="828">
        <v>1</v>
      </c>
      <c r="AH375" s="828">
        <v>1</v>
      </c>
      <c r="AI375" s="828">
        <v>1</v>
      </c>
      <c r="AJ375" s="828">
        <v>1</v>
      </c>
      <c r="AK375" s="828">
        <v>1</v>
      </c>
      <c r="AL375" s="828">
        <v>1</v>
      </c>
      <c r="AM375" s="828">
        <v>2</v>
      </c>
      <c r="AN375" s="828">
        <v>2</v>
      </c>
      <c r="AO375" s="828">
        <v>2</v>
      </c>
      <c r="AP375" s="828">
        <v>2</v>
      </c>
    </row>
    <row r="376" hidden="1">
      <c r="B376" s="829" t="s">
        <v>109</v>
      </c>
      <c r="C376" s="823">
        <v>61</v>
      </c>
      <c r="D376" s="823">
        <v>62</v>
      </c>
      <c r="E376" s="823">
        <v>59</v>
      </c>
      <c r="F376" s="823">
        <v>53</v>
      </c>
      <c r="G376" s="823">
        <v>51</v>
      </c>
      <c r="H376" s="823">
        <v>51</v>
      </c>
      <c r="I376" s="823">
        <v>52</v>
      </c>
      <c r="J376" s="823">
        <v>52</v>
      </c>
      <c r="K376" s="823">
        <v>45</v>
      </c>
      <c r="L376" s="823">
        <v>46</v>
      </c>
      <c r="M376" s="823">
        <v>45</v>
      </c>
      <c r="N376" s="823">
        <v>44</v>
      </c>
      <c r="O376" s="823">
        <v>42</v>
      </c>
      <c r="P376" s="823">
        <v>45</v>
      </c>
      <c r="Q376" s="823">
        <v>49</v>
      </c>
      <c r="R376" s="823">
        <v>51</v>
      </c>
      <c r="S376" s="823">
        <v>52</v>
      </c>
      <c r="T376" s="823">
        <v>52</v>
      </c>
      <c r="U376" s="823">
        <v>52</v>
      </c>
      <c r="V376" s="823">
        <v>51</v>
      </c>
      <c r="W376" s="823">
        <v>51</v>
      </c>
      <c r="X376" s="823">
        <v>50</v>
      </c>
      <c r="Y376" s="823">
        <v>48</v>
      </c>
      <c r="Z376" s="823">
        <v>49</v>
      </c>
      <c r="AA376" s="823">
        <v>49</v>
      </c>
      <c r="AB376" s="823">
        <v>49</v>
      </c>
      <c r="AC376" s="825">
        <v>49</v>
      </c>
      <c r="AD376" s="825">
        <v>0</v>
      </c>
      <c r="AE376" s="825">
        <v>0</v>
      </c>
      <c r="AF376" s="825">
        <v>0</v>
      </c>
      <c r="AG376" s="825">
        <v>0</v>
      </c>
      <c r="AH376" s="825">
        <v>0</v>
      </c>
      <c r="AI376" s="825">
        <v>0</v>
      </c>
      <c r="AJ376" s="825">
        <v>0</v>
      </c>
      <c r="AK376" s="825">
        <v>0</v>
      </c>
      <c r="AL376" s="825">
        <v>0</v>
      </c>
      <c r="AM376" s="825">
        <v>0</v>
      </c>
      <c r="AN376" s="825">
        <v>0</v>
      </c>
      <c r="AO376" s="825">
        <v>0</v>
      </c>
      <c r="AP376" s="825">
        <v>0</v>
      </c>
    </row>
    <row r="377" hidden="1">
      <c r="B377" s="826" t="s">
        <v>110</v>
      </c>
      <c r="C377" s="827">
        <v>25</v>
      </c>
      <c r="D377" s="827">
        <v>24</v>
      </c>
      <c r="E377" s="827">
        <v>23</v>
      </c>
      <c r="F377" s="827">
        <v>24</v>
      </c>
      <c r="G377" s="827">
        <v>21</v>
      </c>
      <c r="H377" s="827">
        <v>21</v>
      </c>
      <c r="I377" s="827">
        <v>21</v>
      </c>
      <c r="J377" s="827">
        <v>23</v>
      </c>
      <c r="K377" s="827">
        <v>24</v>
      </c>
      <c r="L377" s="827">
        <v>22</v>
      </c>
      <c r="M377" s="827">
        <v>22</v>
      </c>
      <c r="N377" s="827">
        <v>22</v>
      </c>
      <c r="O377" s="827">
        <v>21</v>
      </c>
      <c r="P377" s="827">
        <v>20</v>
      </c>
      <c r="Q377" s="827">
        <v>20</v>
      </c>
      <c r="R377" s="827">
        <v>19</v>
      </c>
      <c r="S377" s="827">
        <v>25</v>
      </c>
      <c r="T377" s="827">
        <v>26</v>
      </c>
      <c r="U377" s="827">
        <v>26</v>
      </c>
      <c r="V377" s="827">
        <v>24</v>
      </c>
      <c r="W377" s="827">
        <v>23</v>
      </c>
      <c r="X377" s="827">
        <v>24</v>
      </c>
      <c r="Y377" s="827">
        <v>24</v>
      </c>
      <c r="Z377" s="827">
        <v>25</v>
      </c>
      <c r="AA377" s="827">
        <v>22</v>
      </c>
      <c r="AB377" s="827">
        <v>23</v>
      </c>
      <c r="AC377" s="828">
        <v>24</v>
      </c>
      <c r="AD377" s="828">
        <v>24</v>
      </c>
      <c r="AE377" s="828">
        <v>24</v>
      </c>
      <c r="AF377" s="828">
        <v>25</v>
      </c>
      <c r="AG377" s="828">
        <v>25</v>
      </c>
      <c r="AH377" s="828">
        <v>27</v>
      </c>
      <c r="AI377" s="828">
        <v>26</v>
      </c>
      <c r="AJ377" s="828">
        <v>26</v>
      </c>
      <c r="AK377" s="828">
        <v>2</v>
      </c>
      <c r="AL377" s="828">
        <v>2</v>
      </c>
      <c r="AM377" s="828">
        <v>2</v>
      </c>
      <c r="AN377" s="828">
        <v>2</v>
      </c>
      <c r="AO377" s="828">
        <v>3</v>
      </c>
      <c r="AP377" s="828">
        <v>3</v>
      </c>
    </row>
    <row r="378" hidden="1">
      <c r="B378" s="829" t="s">
        <v>16</v>
      </c>
      <c r="C378" s="823">
        <v>105</v>
      </c>
      <c r="D378" s="823">
        <v>109</v>
      </c>
      <c r="E378" s="823">
        <v>104</v>
      </c>
      <c r="F378" s="823">
        <v>106</v>
      </c>
      <c r="G378" s="823">
        <v>96</v>
      </c>
      <c r="H378" s="823">
        <v>89</v>
      </c>
      <c r="I378" s="823">
        <v>89</v>
      </c>
      <c r="J378" s="823">
        <v>87</v>
      </c>
      <c r="K378" s="823">
        <v>86</v>
      </c>
      <c r="L378" s="823">
        <v>86</v>
      </c>
      <c r="M378" s="823">
        <v>83</v>
      </c>
      <c r="N378" s="823">
        <v>89</v>
      </c>
      <c r="O378" s="823">
        <v>86</v>
      </c>
      <c r="P378" s="823">
        <v>89</v>
      </c>
      <c r="Q378" s="823">
        <v>88</v>
      </c>
      <c r="R378" s="823">
        <v>88</v>
      </c>
      <c r="S378" s="823">
        <v>86</v>
      </c>
      <c r="T378" s="823">
        <v>83</v>
      </c>
      <c r="U378" s="823">
        <v>74</v>
      </c>
      <c r="V378" s="823">
        <v>79</v>
      </c>
      <c r="W378" s="823">
        <v>79</v>
      </c>
      <c r="X378" s="823">
        <v>71</v>
      </c>
      <c r="Y378" s="823">
        <v>69</v>
      </c>
      <c r="Z378" s="823">
        <v>68</v>
      </c>
      <c r="AA378" s="823">
        <v>70</v>
      </c>
      <c r="AB378" s="823">
        <v>70</v>
      </c>
      <c r="AC378" s="825">
        <v>68</v>
      </c>
      <c r="AD378" s="825">
        <v>62</v>
      </c>
      <c r="AE378" s="825">
        <v>62</v>
      </c>
      <c r="AF378" s="825">
        <v>62</v>
      </c>
      <c r="AG378" s="825">
        <v>62</v>
      </c>
      <c r="AH378" s="825">
        <v>61</v>
      </c>
      <c r="AI378" s="825">
        <v>60</v>
      </c>
      <c r="AJ378" s="825">
        <v>60</v>
      </c>
      <c r="AK378" s="825">
        <v>58</v>
      </c>
      <c r="AL378" s="825">
        <v>58</v>
      </c>
      <c r="AM378" s="825">
        <v>57</v>
      </c>
      <c r="AN378" s="825">
        <v>57</v>
      </c>
      <c r="AO378" s="825">
        <v>56</v>
      </c>
      <c r="AP378" s="825">
        <v>55</v>
      </c>
    </row>
    <row r="379" hidden="1">
      <c r="B379" s="826" t="s">
        <v>17</v>
      </c>
      <c r="C379" s="827">
        <v>0</v>
      </c>
      <c r="D379" s="827">
        <v>0</v>
      </c>
      <c r="E379" s="827">
        <v>0</v>
      </c>
      <c r="F379" s="827">
        <v>0</v>
      </c>
      <c r="G379" s="827">
        <v>0</v>
      </c>
      <c r="H379" s="827">
        <v>0</v>
      </c>
      <c r="I379" s="827">
        <v>0</v>
      </c>
      <c r="J379" s="827">
        <v>1</v>
      </c>
      <c r="K379" s="827">
        <v>1</v>
      </c>
      <c r="L379" s="827">
        <v>1</v>
      </c>
      <c r="M379" s="827">
        <v>1</v>
      </c>
      <c r="N379" s="827">
        <v>1</v>
      </c>
      <c r="O379" s="827">
        <v>1</v>
      </c>
      <c r="P379" s="827">
        <v>0</v>
      </c>
      <c r="Q379" s="827">
        <v>0</v>
      </c>
      <c r="R379" s="827">
        <v>0</v>
      </c>
      <c r="S379" s="827">
        <v>0</v>
      </c>
      <c r="T379" s="827">
        <v>0</v>
      </c>
      <c r="U379" s="827">
        <v>0</v>
      </c>
      <c r="V379" s="827">
        <v>0</v>
      </c>
      <c r="W379" s="827">
        <v>1</v>
      </c>
      <c r="X379" s="827">
        <v>1</v>
      </c>
      <c r="Y379" s="827">
        <v>1</v>
      </c>
      <c r="Z379" s="827">
        <v>0</v>
      </c>
      <c r="AA379" s="827">
        <v>1</v>
      </c>
      <c r="AB379" s="827">
        <v>1</v>
      </c>
      <c r="AC379" s="828">
        <v>1</v>
      </c>
      <c r="AD379" s="828">
        <v>1</v>
      </c>
      <c r="AE379" s="828">
        <v>1</v>
      </c>
      <c r="AF379" s="828">
        <v>1</v>
      </c>
      <c r="AG379" s="828">
        <v>1</v>
      </c>
      <c r="AH379" s="828">
        <v>1</v>
      </c>
      <c r="AI379" s="828">
        <v>1</v>
      </c>
      <c r="AJ379" s="828">
        <v>1</v>
      </c>
      <c r="AK379" s="828">
        <v>1</v>
      </c>
      <c r="AL379" s="828">
        <v>1</v>
      </c>
      <c r="AM379" s="828">
        <v>1</v>
      </c>
      <c r="AN379" s="828">
        <v>1</v>
      </c>
      <c r="AO379" s="828">
        <v>1</v>
      </c>
      <c r="AP379" s="828">
        <v>1</v>
      </c>
    </row>
    <row r="380" hidden="1">
      <c r="B380" s="829" t="s">
        <v>18</v>
      </c>
      <c r="C380" s="823">
        <v>60</v>
      </c>
      <c r="D380" s="823">
        <v>46</v>
      </c>
      <c r="E380" s="823">
        <v>43</v>
      </c>
      <c r="F380" s="823">
        <v>43</v>
      </c>
      <c r="G380" s="823">
        <v>46</v>
      </c>
      <c r="H380" s="823">
        <v>47</v>
      </c>
      <c r="I380" s="823">
        <v>48</v>
      </c>
      <c r="J380" s="823">
        <v>47</v>
      </c>
      <c r="K380" s="823">
        <v>48</v>
      </c>
      <c r="L380" s="823">
        <v>48</v>
      </c>
      <c r="M380" s="823">
        <v>46</v>
      </c>
      <c r="N380" s="823">
        <v>1</v>
      </c>
      <c r="O380" s="823">
        <v>0</v>
      </c>
      <c r="P380" s="823">
        <v>0</v>
      </c>
      <c r="Q380" s="823">
        <v>0</v>
      </c>
      <c r="R380" s="823">
        <v>0</v>
      </c>
      <c r="S380" s="823">
        <v>0</v>
      </c>
      <c r="T380" s="823">
        <v>0</v>
      </c>
      <c r="U380" s="823">
        <v>0</v>
      </c>
      <c r="V380" s="823">
        <v>0</v>
      </c>
      <c r="W380" s="823">
        <v>1</v>
      </c>
      <c r="X380" s="823">
        <v>1</v>
      </c>
      <c r="Y380" s="823">
        <v>1</v>
      </c>
      <c r="Z380" s="823">
        <v>1</v>
      </c>
      <c r="AA380" s="823">
        <v>1</v>
      </c>
      <c r="AB380" s="823">
        <v>1</v>
      </c>
      <c r="AC380" s="825">
        <v>1</v>
      </c>
      <c r="AD380" s="825">
        <v>2</v>
      </c>
      <c r="AE380" s="825">
        <v>1</v>
      </c>
      <c r="AF380" s="825">
        <v>2</v>
      </c>
      <c r="AG380" s="825">
        <v>2</v>
      </c>
      <c r="AH380" s="825">
        <v>4</v>
      </c>
      <c r="AI380" s="825">
        <v>3</v>
      </c>
      <c r="AJ380" s="825">
        <v>4</v>
      </c>
      <c r="AK380" s="825">
        <v>4</v>
      </c>
      <c r="AL380" s="825">
        <v>4</v>
      </c>
      <c r="AM380" s="825">
        <v>4</v>
      </c>
      <c r="AN380" s="825">
        <v>3</v>
      </c>
      <c r="AO380" s="825">
        <v>2</v>
      </c>
      <c r="AP380" s="825">
        <v>2</v>
      </c>
    </row>
    <row r="381" hidden="1">
      <c r="B381" s="826" t="s">
        <v>19</v>
      </c>
      <c r="C381" s="827">
        <v>7</v>
      </c>
      <c r="D381" s="827">
        <v>6</v>
      </c>
      <c r="E381" s="827">
        <v>8</v>
      </c>
      <c r="F381" s="827">
        <v>8</v>
      </c>
      <c r="G381" s="827">
        <v>8</v>
      </c>
      <c r="H381" s="827">
        <v>8</v>
      </c>
      <c r="I381" s="827">
        <v>8</v>
      </c>
      <c r="J381" s="827">
        <v>9</v>
      </c>
      <c r="K381" s="827">
        <v>6</v>
      </c>
      <c r="L381" s="827">
        <v>1</v>
      </c>
      <c r="M381" s="827">
        <v>8</v>
      </c>
      <c r="N381" s="827">
        <v>8</v>
      </c>
      <c r="O381" s="827">
        <v>11</v>
      </c>
      <c r="P381" s="827">
        <v>12</v>
      </c>
      <c r="Q381" s="827">
        <v>12</v>
      </c>
      <c r="R381" s="827">
        <v>12</v>
      </c>
      <c r="S381" s="827">
        <v>12</v>
      </c>
      <c r="T381" s="827">
        <v>12</v>
      </c>
      <c r="U381" s="827">
        <v>12</v>
      </c>
      <c r="V381" s="827">
        <v>12</v>
      </c>
      <c r="W381" s="827">
        <v>12</v>
      </c>
      <c r="X381" s="827">
        <v>11</v>
      </c>
      <c r="Y381" s="827">
        <v>12</v>
      </c>
      <c r="Z381" s="827">
        <v>12</v>
      </c>
      <c r="AA381" s="827">
        <v>12</v>
      </c>
      <c r="AB381" s="827">
        <v>12</v>
      </c>
      <c r="AC381" s="828">
        <v>12</v>
      </c>
      <c r="AD381" s="828">
        <v>3</v>
      </c>
      <c r="AE381" s="828">
        <v>3</v>
      </c>
      <c r="AF381" s="828">
        <v>3</v>
      </c>
      <c r="AG381" s="828">
        <v>2</v>
      </c>
      <c r="AH381" s="828">
        <v>3</v>
      </c>
      <c r="AI381" s="828">
        <v>2</v>
      </c>
      <c r="AJ381" s="828">
        <v>3</v>
      </c>
      <c r="AK381" s="828">
        <v>3</v>
      </c>
      <c r="AL381" s="828">
        <v>3</v>
      </c>
      <c r="AM381" s="828">
        <v>3</v>
      </c>
      <c r="AN381" s="828">
        <v>3</v>
      </c>
      <c r="AO381" s="828">
        <v>4</v>
      </c>
      <c r="AP381" s="828">
        <v>4</v>
      </c>
    </row>
    <row r="382" hidden="1">
      <c r="B382" s="829" t="s">
        <v>20</v>
      </c>
      <c r="C382" s="823">
        <v>1</v>
      </c>
      <c r="D382" s="823">
        <v>1</v>
      </c>
      <c r="E382" s="823">
        <v>1</v>
      </c>
      <c r="F382" s="823">
        <v>1</v>
      </c>
      <c r="G382" s="823">
        <v>1</v>
      </c>
      <c r="H382" s="823">
        <v>1</v>
      </c>
      <c r="I382" s="823">
        <v>1</v>
      </c>
      <c r="J382" s="823">
        <v>1</v>
      </c>
      <c r="K382" s="823">
        <v>1</v>
      </c>
      <c r="L382" s="823">
        <v>10</v>
      </c>
      <c r="M382" s="823">
        <v>1</v>
      </c>
      <c r="N382" s="823">
        <v>1</v>
      </c>
      <c r="O382" s="823">
        <v>2</v>
      </c>
      <c r="P382" s="823">
        <v>2</v>
      </c>
      <c r="Q382" s="823">
        <v>2</v>
      </c>
      <c r="R382" s="823">
        <v>2</v>
      </c>
      <c r="S382" s="823">
        <v>3</v>
      </c>
      <c r="T382" s="823">
        <v>3</v>
      </c>
      <c r="U382" s="823">
        <v>3</v>
      </c>
      <c r="V382" s="823">
        <v>3</v>
      </c>
      <c r="W382" s="823">
        <v>3</v>
      </c>
      <c r="X382" s="823">
        <v>3</v>
      </c>
      <c r="Y382" s="823">
        <v>3</v>
      </c>
      <c r="Z382" s="823">
        <v>3</v>
      </c>
      <c r="AA382" s="823">
        <v>3</v>
      </c>
      <c r="AB382" s="823">
        <v>3</v>
      </c>
      <c r="AC382" s="825">
        <v>3</v>
      </c>
      <c r="AD382" s="825">
        <v>2</v>
      </c>
      <c r="AE382" s="825">
        <v>2</v>
      </c>
      <c r="AF382" s="825">
        <v>2</v>
      </c>
      <c r="AG382" s="825">
        <v>0</v>
      </c>
      <c r="AH382" s="825">
        <v>0</v>
      </c>
      <c r="AI382" s="825">
        <v>0</v>
      </c>
      <c r="AJ382" s="825">
        <v>0</v>
      </c>
      <c r="AK382" s="825">
        <v>0</v>
      </c>
      <c r="AL382" s="825">
        <v>0</v>
      </c>
      <c r="AM382" s="825">
        <v>0</v>
      </c>
      <c r="AN382" s="825">
        <v>0</v>
      </c>
      <c r="AO382" s="825">
        <v>0</v>
      </c>
      <c r="AP382" s="825">
        <v>0</v>
      </c>
    </row>
    <row r="383" hidden="1">
      <c r="B383" s="826" t="s">
        <v>21</v>
      </c>
      <c r="C383" s="827">
        <v>12</v>
      </c>
      <c r="D383" s="827">
        <v>13</v>
      </c>
      <c r="E383" s="827">
        <v>9</v>
      </c>
      <c r="F383" s="827">
        <v>9</v>
      </c>
      <c r="G383" s="827">
        <v>10</v>
      </c>
      <c r="H383" s="827">
        <v>8</v>
      </c>
      <c r="I383" s="827">
        <v>8</v>
      </c>
      <c r="J383" s="827">
        <v>10</v>
      </c>
      <c r="K383" s="827">
        <v>10</v>
      </c>
      <c r="L383" s="827">
        <v>4</v>
      </c>
      <c r="M383" s="827">
        <v>10</v>
      </c>
      <c r="N383" s="827">
        <v>10</v>
      </c>
      <c r="O383" s="827">
        <v>10</v>
      </c>
      <c r="P383" s="827">
        <v>10</v>
      </c>
      <c r="Q383" s="827">
        <v>10</v>
      </c>
      <c r="R383" s="827">
        <v>10</v>
      </c>
      <c r="S383" s="827">
        <v>10</v>
      </c>
      <c r="T383" s="827">
        <v>10</v>
      </c>
      <c r="U383" s="827">
        <v>10</v>
      </c>
      <c r="V383" s="827">
        <v>11</v>
      </c>
      <c r="W383" s="827">
        <v>10</v>
      </c>
      <c r="X383" s="827">
        <v>10</v>
      </c>
      <c r="Y383" s="827">
        <v>9</v>
      </c>
      <c r="Z383" s="827">
        <v>9</v>
      </c>
      <c r="AA383" s="827">
        <v>8</v>
      </c>
      <c r="AB383" s="827">
        <v>8</v>
      </c>
      <c r="AC383" s="828">
        <v>8</v>
      </c>
      <c r="AD383" s="828">
        <v>0</v>
      </c>
      <c r="AE383" s="828">
        <v>0</v>
      </c>
      <c r="AF383" s="828">
        <v>0</v>
      </c>
      <c r="AG383" s="828">
        <v>0</v>
      </c>
      <c r="AH383" s="828">
        <v>0</v>
      </c>
      <c r="AI383" s="828">
        <v>0</v>
      </c>
      <c r="AJ383" s="828">
        <v>0</v>
      </c>
      <c r="AK383" s="828">
        <v>0</v>
      </c>
      <c r="AL383" s="828">
        <v>0</v>
      </c>
      <c r="AM383" s="828">
        <v>0</v>
      </c>
      <c r="AN383" s="828">
        <v>0</v>
      </c>
      <c r="AO383" s="828">
        <v>0</v>
      </c>
      <c r="AP383" s="828">
        <v>0</v>
      </c>
    </row>
    <row r="384" hidden="1">
      <c r="B384" s="829" t="s">
        <v>22</v>
      </c>
      <c r="C384" s="823">
        <v>0</v>
      </c>
      <c r="D384" s="823">
        <v>0</v>
      </c>
      <c r="E384" s="823">
        <v>1</v>
      </c>
      <c r="F384" s="823">
        <v>1</v>
      </c>
      <c r="G384" s="823">
        <v>1</v>
      </c>
      <c r="H384" s="823">
        <v>1</v>
      </c>
      <c r="I384" s="823">
        <v>1</v>
      </c>
      <c r="J384" s="823">
        <v>2</v>
      </c>
      <c r="K384" s="823">
        <v>3</v>
      </c>
      <c r="L384" s="823">
        <v>2</v>
      </c>
      <c r="M384" s="823">
        <v>4</v>
      </c>
      <c r="N384" s="823">
        <v>4</v>
      </c>
      <c r="O384" s="823">
        <v>3</v>
      </c>
      <c r="P384" s="823">
        <v>3</v>
      </c>
      <c r="Q384" s="823">
        <v>7</v>
      </c>
      <c r="R384" s="823">
        <v>7</v>
      </c>
      <c r="S384" s="823">
        <v>7</v>
      </c>
      <c r="T384" s="823">
        <v>8</v>
      </c>
      <c r="U384" s="823">
        <v>6</v>
      </c>
      <c r="V384" s="823">
        <v>6</v>
      </c>
      <c r="W384" s="823">
        <v>5</v>
      </c>
      <c r="X384" s="823">
        <v>5</v>
      </c>
      <c r="Y384" s="823">
        <v>5</v>
      </c>
      <c r="Z384" s="823">
        <v>5</v>
      </c>
      <c r="AA384" s="823">
        <v>5</v>
      </c>
      <c r="AB384" s="823">
        <v>5</v>
      </c>
      <c r="AC384" s="825">
        <v>5</v>
      </c>
      <c r="AD384" s="825">
        <v>4</v>
      </c>
      <c r="AE384" s="825">
        <v>3</v>
      </c>
      <c r="AF384" s="825">
        <v>3</v>
      </c>
      <c r="AG384" s="825">
        <v>3</v>
      </c>
      <c r="AH384" s="825">
        <v>3</v>
      </c>
      <c r="AI384" s="825">
        <v>3</v>
      </c>
      <c r="AJ384" s="825">
        <v>3</v>
      </c>
      <c r="AK384" s="825">
        <v>3</v>
      </c>
      <c r="AL384" s="825">
        <v>3</v>
      </c>
      <c r="AM384" s="825">
        <v>2</v>
      </c>
      <c r="AN384" s="825">
        <v>2</v>
      </c>
      <c r="AO384" s="825">
        <v>2</v>
      </c>
      <c r="AP384" s="825">
        <v>2</v>
      </c>
    </row>
    <row r="385" hidden="1">
      <c r="B385" s="826" t="s">
        <v>23</v>
      </c>
      <c r="C385" s="827">
        <v>2</v>
      </c>
      <c r="D385" s="827">
        <v>2</v>
      </c>
      <c r="E385" s="827">
        <v>3</v>
      </c>
      <c r="F385" s="827">
        <v>3</v>
      </c>
      <c r="G385" s="827">
        <v>3</v>
      </c>
      <c r="H385" s="827">
        <v>3</v>
      </c>
      <c r="I385" s="827">
        <v>3</v>
      </c>
      <c r="J385" s="827">
        <v>3</v>
      </c>
      <c r="K385" s="827">
        <v>2</v>
      </c>
      <c r="L385" s="827">
        <v>7</v>
      </c>
      <c r="M385" s="827">
        <v>2</v>
      </c>
      <c r="N385" s="827">
        <v>1</v>
      </c>
      <c r="O385" s="827">
        <v>1</v>
      </c>
      <c r="P385" s="827">
        <v>1</v>
      </c>
      <c r="Q385" s="827">
        <v>1</v>
      </c>
      <c r="R385" s="827">
        <v>1</v>
      </c>
      <c r="S385" s="827">
        <v>1</v>
      </c>
      <c r="T385" s="827">
        <v>1</v>
      </c>
      <c r="U385" s="827">
        <v>1</v>
      </c>
      <c r="V385" s="827">
        <v>2</v>
      </c>
      <c r="W385" s="827">
        <v>2</v>
      </c>
      <c r="X385" s="827">
        <v>3</v>
      </c>
      <c r="Y385" s="827">
        <v>3</v>
      </c>
      <c r="Z385" s="827">
        <v>3</v>
      </c>
      <c r="AA385" s="827">
        <v>4</v>
      </c>
      <c r="AB385" s="827">
        <v>4</v>
      </c>
      <c r="AC385" s="828">
        <v>4</v>
      </c>
      <c r="AD385" s="828">
        <v>1</v>
      </c>
      <c r="AE385" s="828">
        <v>1</v>
      </c>
      <c r="AF385" s="828">
        <v>1</v>
      </c>
      <c r="AG385" s="828">
        <v>1</v>
      </c>
      <c r="AH385" s="828">
        <v>1</v>
      </c>
      <c r="AI385" s="828">
        <v>1</v>
      </c>
      <c r="AJ385" s="828">
        <v>1</v>
      </c>
      <c r="AK385" s="828">
        <v>1</v>
      </c>
      <c r="AL385" s="828">
        <v>1</v>
      </c>
      <c r="AM385" s="828">
        <v>1</v>
      </c>
      <c r="AN385" s="828">
        <v>1</v>
      </c>
      <c r="AO385" s="828">
        <v>1</v>
      </c>
      <c r="AP385" s="828">
        <v>0</v>
      </c>
    </row>
    <row r="386" hidden="1">
      <c r="B386" s="830" t="s">
        <v>24</v>
      </c>
      <c r="C386" s="823">
        <v>21</v>
      </c>
      <c r="D386" s="823">
        <v>22</v>
      </c>
      <c r="E386" s="823">
        <v>23</v>
      </c>
      <c r="F386" s="823">
        <v>25</v>
      </c>
      <c r="G386" s="823">
        <v>24</v>
      </c>
      <c r="H386" s="823">
        <v>25</v>
      </c>
      <c r="I386" s="823">
        <v>25</v>
      </c>
      <c r="J386" s="823">
        <v>24</v>
      </c>
      <c r="K386" s="823">
        <v>24</v>
      </c>
      <c r="L386" s="823">
        <v>24</v>
      </c>
      <c r="M386" s="823">
        <v>24</v>
      </c>
      <c r="N386" s="823">
        <v>25</v>
      </c>
      <c r="O386" s="823">
        <v>22</v>
      </c>
      <c r="P386" s="823">
        <v>21</v>
      </c>
      <c r="Q386" s="823">
        <v>21</v>
      </c>
      <c r="R386" s="823">
        <v>21</v>
      </c>
      <c r="S386" s="823">
        <v>20</v>
      </c>
      <c r="T386" s="823">
        <v>18</v>
      </c>
      <c r="U386" s="823">
        <v>19</v>
      </c>
      <c r="V386" s="823">
        <v>17</v>
      </c>
      <c r="W386" s="823">
        <v>16</v>
      </c>
      <c r="X386" s="823">
        <v>15</v>
      </c>
      <c r="Y386" s="823">
        <v>16</v>
      </c>
      <c r="Z386" s="823">
        <v>18</v>
      </c>
      <c r="AA386" s="823">
        <v>19</v>
      </c>
      <c r="AB386" s="823">
        <v>5</v>
      </c>
      <c r="AC386" s="825">
        <v>4</v>
      </c>
      <c r="AD386" s="825">
        <v>0</v>
      </c>
      <c r="AE386" s="825">
        <v>0</v>
      </c>
      <c r="AF386" s="825">
        <v>0</v>
      </c>
      <c r="AG386" s="825">
        <v>0</v>
      </c>
      <c r="AH386" s="825">
        <v>1</v>
      </c>
      <c r="AI386" s="825">
        <v>1</v>
      </c>
      <c r="AJ386" s="825">
        <v>1</v>
      </c>
      <c r="AK386" s="825">
        <v>2</v>
      </c>
      <c r="AL386" s="825">
        <v>2</v>
      </c>
      <c r="AM386" s="825">
        <v>2</v>
      </c>
      <c r="AN386" s="825">
        <v>2</v>
      </c>
      <c r="AO386" s="825">
        <v>2</v>
      </c>
      <c r="AP386" s="825">
        <v>1</v>
      </c>
    </row>
    <row r="387" hidden="1">
      <c r="B387" s="826" t="s">
        <v>25</v>
      </c>
      <c r="C387" s="827">
        <v>0</v>
      </c>
      <c r="D387" s="827">
        <v>0</v>
      </c>
      <c r="E387" s="827">
        <v>0</v>
      </c>
      <c r="F387" s="827">
        <v>0</v>
      </c>
      <c r="G387" s="827">
        <v>0</v>
      </c>
      <c r="H387" s="827">
        <v>0</v>
      </c>
      <c r="I387" s="827">
        <v>0</v>
      </c>
      <c r="J387" s="827">
        <v>0</v>
      </c>
      <c r="K387" s="827">
        <v>0</v>
      </c>
      <c r="L387" s="827">
        <v>0</v>
      </c>
      <c r="M387" s="827">
        <v>0</v>
      </c>
      <c r="N387" s="827">
        <v>0</v>
      </c>
      <c r="O387" s="827">
        <v>0</v>
      </c>
      <c r="P387" s="827">
        <v>0</v>
      </c>
      <c r="Q387" s="827">
        <v>0</v>
      </c>
      <c r="R387" s="827">
        <v>0</v>
      </c>
      <c r="S387" s="827">
        <v>0</v>
      </c>
      <c r="T387" s="827">
        <v>0</v>
      </c>
      <c r="U387" s="827">
        <v>0</v>
      </c>
      <c r="V387" s="827">
        <v>0</v>
      </c>
      <c r="W387" s="827">
        <v>0</v>
      </c>
      <c r="X387" s="827">
        <v>0</v>
      </c>
      <c r="Y387" s="827">
        <v>0</v>
      </c>
      <c r="Z387" s="827">
        <v>0</v>
      </c>
      <c r="AA387" s="827">
        <v>0</v>
      </c>
      <c r="AB387" s="827">
        <v>0</v>
      </c>
      <c r="AC387" s="828">
        <v>0</v>
      </c>
      <c r="AD387" s="828">
        <v>0</v>
      </c>
      <c r="AE387" s="828">
        <v>0</v>
      </c>
      <c r="AF387" s="828">
        <v>0</v>
      </c>
      <c r="AG387" s="828">
        <v>0</v>
      </c>
      <c r="AH387" s="828">
        <v>0</v>
      </c>
      <c r="AI387" s="828">
        <v>0</v>
      </c>
      <c r="AJ387" s="828">
        <v>0</v>
      </c>
      <c r="AK387" s="828">
        <v>0</v>
      </c>
      <c r="AL387" s="828">
        <v>0</v>
      </c>
      <c r="AM387" s="828">
        <v>0</v>
      </c>
      <c r="AN387" s="828">
        <v>0</v>
      </c>
      <c r="AO387" s="828">
        <v>0</v>
      </c>
      <c r="AP387" s="828">
        <v>0</v>
      </c>
    </row>
    <row r="388" hidden="1" ht="13.5">
      <c r="B388" s="831" t="s">
        <v>26</v>
      </c>
      <c r="C388" s="823">
        <v>0</v>
      </c>
      <c r="D388" s="823">
        <v>0</v>
      </c>
      <c r="E388" s="823">
        <v>0</v>
      </c>
      <c r="F388" s="823">
        <v>0</v>
      </c>
      <c r="G388" s="823">
        <v>0</v>
      </c>
      <c r="H388" s="823">
        <v>0</v>
      </c>
      <c r="I388" s="823">
        <v>0</v>
      </c>
      <c r="J388" s="823">
        <v>0</v>
      </c>
      <c r="K388" s="823">
        <v>0</v>
      </c>
      <c r="L388" s="823">
        <v>0</v>
      </c>
      <c r="M388" s="823">
        <v>0</v>
      </c>
      <c r="N388" s="823">
        <v>0</v>
      </c>
      <c r="O388" s="823">
        <v>0</v>
      </c>
      <c r="P388" s="823">
        <v>0</v>
      </c>
      <c r="Q388" s="823">
        <v>0</v>
      </c>
      <c r="R388" s="823">
        <v>0</v>
      </c>
      <c r="S388" s="823">
        <v>0</v>
      </c>
      <c r="T388" s="823">
        <v>0</v>
      </c>
      <c r="U388" s="823">
        <v>0</v>
      </c>
      <c r="V388" s="823">
        <v>0</v>
      </c>
      <c r="W388" s="823">
        <v>0</v>
      </c>
      <c r="X388" s="823">
        <v>0</v>
      </c>
      <c r="Y388" s="823">
        <v>0</v>
      </c>
      <c r="Z388" s="823">
        <v>0</v>
      </c>
      <c r="AA388" s="823">
        <v>0</v>
      </c>
      <c r="AB388" s="832">
        <v>0</v>
      </c>
      <c r="AC388" s="825">
        <v>0</v>
      </c>
      <c r="AD388" s="825">
        <v>0</v>
      </c>
      <c r="AE388" s="825">
        <v>0</v>
      </c>
      <c r="AF388" s="825">
        <v>0</v>
      </c>
      <c r="AG388" s="825">
        <v>0</v>
      </c>
      <c r="AH388" s="825">
        <v>0</v>
      </c>
      <c r="AI388" s="825">
        <v>0</v>
      </c>
      <c r="AJ388" s="825">
        <v>0</v>
      </c>
      <c r="AK388" s="825">
        <v>0</v>
      </c>
      <c r="AL388" s="825">
        <v>0</v>
      </c>
      <c r="AM388" s="825">
        <v>0</v>
      </c>
      <c r="AN388" s="825">
        <v>0</v>
      </c>
      <c r="AO388" s="825">
        <v>0</v>
      </c>
      <c r="AP388" s="825">
        <v>0</v>
      </c>
    </row>
    <row r="389" hidden="1" ht="13.5">
      <c r="B389" s="128" t="s">
        <v>7</v>
      </c>
      <c r="C389" s="129" t="str">
        <f>IF(SUM(C370:C388)&lt;&gt;0,SUM(C370:C388),"")</f>
      </c>
      <c r="D389" s="129" t="str">
        <f ref="D389:AA389" t="shared" si="40">IF(SUM(D370:D388)&lt;&gt;0,SUM(D370:D388),"")</f>
      </c>
      <c r="E389" s="129" t="str">
        <f t="shared" si="40"/>
      </c>
      <c r="F389" s="129" t="str">
        <f t="shared" si="40"/>
      </c>
      <c r="G389" s="129" t="str">
        <f t="shared" si="40"/>
      </c>
      <c r="H389" s="129" t="str">
        <f t="shared" si="40"/>
      </c>
      <c r="I389" s="129" t="str">
        <f t="shared" si="40"/>
      </c>
      <c r="J389" s="129" t="str">
        <f t="shared" si="40"/>
      </c>
      <c r="K389" s="129" t="str">
        <f t="shared" si="40"/>
      </c>
      <c r="L389" s="129" t="str">
        <f t="shared" si="40"/>
      </c>
      <c r="M389" s="129" t="str">
        <f t="shared" si="40"/>
      </c>
      <c r="N389" s="129" t="str">
        <f t="shared" si="40"/>
      </c>
      <c r="O389" s="129" t="str">
        <f t="shared" si="40"/>
      </c>
      <c r="P389" s="129" t="str">
        <f t="shared" si="40"/>
      </c>
      <c r="Q389" s="129" t="str">
        <f t="shared" si="40"/>
      </c>
      <c r="R389" s="129" t="str">
        <f t="shared" si="40"/>
      </c>
      <c r="S389" s="129" t="str">
        <f t="shared" si="40"/>
      </c>
      <c r="T389" s="129" t="str">
        <f t="shared" si="40"/>
      </c>
      <c r="U389" s="129" t="str">
        <f t="shared" si="40"/>
      </c>
      <c r="V389" s="129" t="str">
        <f t="shared" si="40"/>
      </c>
      <c r="W389" s="129" t="str">
        <f t="shared" si="40"/>
      </c>
      <c r="X389" s="129" t="str">
        <f t="shared" si="40"/>
      </c>
      <c r="Y389" s="129" t="str">
        <f t="shared" si="40"/>
      </c>
      <c r="Z389" s="129" t="str">
        <f t="shared" si="40"/>
      </c>
      <c r="AA389" s="129" t="str">
        <f t="shared" si="40"/>
      </c>
      <c r="AB389" s="130" t="str">
        <f>IF(SUM(AB370:AB388)&lt;&gt;0,SUM(AB370:AB388),"")</f>
      </c>
      <c r="AC389" s="91" t="str">
        <f ref="AC389:CN389" t="shared" si="41">IF(SUM(AC370:AC388)&lt;&gt;0,SUM(AC370:AC388),"")</f>
      </c>
      <c r="AD389" s="91" t="str">
        <f t="shared" si="41"/>
      </c>
      <c r="AE389" s="91" t="str">
        <f t="shared" si="41"/>
      </c>
      <c r="AF389" s="91" t="str">
        <f t="shared" si="41"/>
      </c>
      <c r="AG389" s="91" t="str">
        <f t="shared" si="41"/>
      </c>
      <c r="AH389" s="91" t="str">
        <f t="shared" si="41"/>
      </c>
      <c r="AI389" s="91" t="str">
        <f t="shared" si="41"/>
      </c>
      <c r="AJ389" s="91" t="str">
        <f t="shared" si="41"/>
      </c>
      <c r="AK389" s="91" t="str">
        <f t="shared" si="41"/>
      </c>
      <c r="AL389" s="91" t="str">
        <f t="shared" si="41"/>
      </c>
      <c r="AM389" s="91" t="str">
        <f t="shared" si="41"/>
      </c>
      <c r="AN389" s="91" t="str">
        <f t="shared" si="41"/>
      </c>
      <c r="AO389" s="91" t="str">
        <f t="shared" si="41"/>
      </c>
      <c r="AP389" s="91" t="str">
        <f t="shared" si="41"/>
      </c>
      <c r="AQ389" s="91" t="str">
        <f t="shared" si="41"/>
      </c>
      <c r="AR389" s="91" t="str">
        <f t="shared" si="41"/>
      </c>
      <c r="AS389" s="91" t="str">
        <f t="shared" si="41"/>
      </c>
      <c r="AT389" s="91" t="str">
        <f t="shared" si="41"/>
      </c>
      <c r="AU389" s="91" t="str">
        <f t="shared" si="41"/>
      </c>
      <c r="AV389" s="91" t="str">
        <f t="shared" si="41"/>
      </c>
      <c r="AW389" s="91" t="str">
        <f t="shared" si="41"/>
      </c>
      <c r="AX389" s="91" t="str">
        <f t="shared" si="41"/>
      </c>
      <c r="AY389" s="91" t="str">
        <f t="shared" si="41"/>
      </c>
      <c r="AZ389" s="91" t="str">
        <f t="shared" si="41"/>
      </c>
      <c r="BA389" s="91" t="str">
        <f t="shared" si="41"/>
      </c>
      <c r="BB389" s="91" t="str">
        <f t="shared" si="41"/>
      </c>
      <c r="BC389" s="91" t="str">
        <f t="shared" si="41"/>
      </c>
      <c r="BD389" s="91" t="str">
        <f t="shared" si="41"/>
      </c>
      <c r="BE389" s="91" t="str">
        <f t="shared" si="41"/>
      </c>
      <c r="BF389" s="91" t="str">
        <f t="shared" si="41"/>
      </c>
      <c r="BG389" s="91" t="str">
        <f t="shared" si="41"/>
      </c>
      <c r="BH389" s="91" t="str">
        <f t="shared" si="41"/>
      </c>
      <c r="BI389" s="91" t="str">
        <f t="shared" si="41"/>
      </c>
      <c r="BJ389" s="91" t="str">
        <f t="shared" si="41"/>
      </c>
      <c r="BK389" s="91" t="str">
        <f t="shared" si="41"/>
      </c>
      <c r="BL389" s="91" t="str">
        <f t="shared" si="41"/>
      </c>
      <c r="BM389" s="91" t="str">
        <f t="shared" si="41"/>
      </c>
      <c r="BN389" s="91" t="str">
        <f t="shared" si="41"/>
      </c>
      <c r="BO389" s="91" t="str">
        <f t="shared" si="41"/>
      </c>
      <c r="BP389" s="91" t="str">
        <f t="shared" si="41"/>
      </c>
      <c r="BQ389" s="91" t="str">
        <f t="shared" si="41"/>
      </c>
      <c r="BR389" s="91" t="str">
        <f t="shared" si="41"/>
      </c>
      <c r="BS389" s="91" t="str">
        <f t="shared" si="41"/>
      </c>
      <c r="BT389" s="91" t="str">
        <f t="shared" si="41"/>
      </c>
      <c r="BU389" s="91" t="str">
        <f t="shared" si="41"/>
      </c>
      <c r="BV389" s="91" t="str">
        <f t="shared" si="41"/>
      </c>
      <c r="BW389" s="91" t="str">
        <f t="shared" si="41"/>
      </c>
      <c r="BX389" s="91" t="str">
        <f t="shared" si="41"/>
      </c>
      <c r="BY389" s="91" t="str">
        <f t="shared" si="41"/>
      </c>
      <c r="BZ389" s="91" t="str">
        <f t="shared" si="41"/>
      </c>
      <c r="CA389" s="91" t="str">
        <f t="shared" si="41"/>
      </c>
      <c r="CB389" s="91" t="str">
        <f t="shared" si="41"/>
      </c>
      <c r="CC389" s="91" t="str">
        <f t="shared" si="41"/>
      </c>
      <c r="CD389" s="91" t="str">
        <f t="shared" si="41"/>
      </c>
      <c r="CE389" s="91" t="str">
        <f t="shared" si="41"/>
      </c>
      <c r="CF389" s="91" t="str">
        <f t="shared" si="41"/>
      </c>
      <c r="CG389" s="91" t="str">
        <f t="shared" si="41"/>
      </c>
      <c r="CH389" s="91" t="str">
        <f t="shared" si="41"/>
      </c>
      <c r="CI389" s="91" t="str">
        <f t="shared" si="41"/>
      </c>
      <c r="CJ389" s="91" t="str">
        <f t="shared" si="41"/>
      </c>
      <c r="CK389" s="91" t="str">
        <f t="shared" si="41"/>
      </c>
      <c r="CL389" s="91" t="str">
        <f t="shared" si="41"/>
      </c>
      <c r="CM389" s="91" t="str">
        <f t="shared" si="41"/>
      </c>
      <c r="CN389" s="91" t="str">
        <f t="shared" si="41"/>
      </c>
      <c r="CO389" s="91" t="str">
        <f ref="CO389:EZ389" t="shared" si="42">IF(SUM(CO370:CO388)&lt;&gt;0,SUM(CO370:CO388),"")</f>
      </c>
      <c r="CP389" s="91" t="str">
        <f t="shared" si="42"/>
      </c>
      <c r="CQ389" s="91" t="str">
        <f t="shared" si="42"/>
      </c>
      <c r="CR389" s="91" t="str">
        <f t="shared" si="42"/>
      </c>
      <c r="CS389" s="91" t="str">
        <f t="shared" si="42"/>
      </c>
      <c r="CT389" s="91" t="str">
        <f t="shared" si="42"/>
      </c>
      <c r="CU389" s="91" t="str">
        <f t="shared" si="42"/>
      </c>
      <c r="CV389" s="91" t="str">
        <f t="shared" si="42"/>
      </c>
      <c r="CW389" s="91" t="str">
        <f t="shared" si="42"/>
      </c>
      <c r="CX389" s="91" t="str">
        <f t="shared" si="42"/>
      </c>
      <c r="CY389" s="91" t="str">
        <f t="shared" si="42"/>
      </c>
      <c r="CZ389" s="91" t="str">
        <f t="shared" si="42"/>
      </c>
      <c r="DA389" s="91" t="str">
        <f t="shared" si="42"/>
      </c>
      <c r="DB389" s="91" t="str">
        <f t="shared" si="42"/>
      </c>
      <c r="DC389" s="91" t="str">
        <f t="shared" si="42"/>
      </c>
      <c r="DD389" s="91" t="str">
        <f t="shared" si="42"/>
      </c>
      <c r="DE389" s="91" t="str">
        <f t="shared" si="42"/>
      </c>
      <c r="DF389" s="91" t="str">
        <f t="shared" si="42"/>
      </c>
      <c r="DG389" s="91" t="str">
        <f t="shared" si="42"/>
      </c>
      <c r="DH389" s="91" t="str">
        <f t="shared" si="42"/>
      </c>
      <c r="DI389" s="91" t="str">
        <f t="shared" si="42"/>
      </c>
      <c r="DJ389" s="91" t="str">
        <f t="shared" si="42"/>
      </c>
      <c r="DK389" s="91" t="str">
        <f t="shared" si="42"/>
      </c>
      <c r="DL389" s="91" t="str">
        <f t="shared" si="42"/>
      </c>
      <c r="DM389" s="91" t="str">
        <f t="shared" si="42"/>
      </c>
      <c r="DN389" s="91" t="str">
        <f t="shared" si="42"/>
      </c>
      <c r="DO389" s="91" t="str">
        <f t="shared" si="42"/>
      </c>
      <c r="DP389" s="91" t="str">
        <f t="shared" si="42"/>
      </c>
      <c r="DQ389" s="91" t="str">
        <f t="shared" si="42"/>
      </c>
      <c r="DR389" s="91" t="str">
        <f t="shared" si="42"/>
      </c>
      <c r="DS389" s="91" t="str">
        <f t="shared" si="42"/>
      </c>
      <c r="DT389" s="91" t="str">
        <f t="shared" si="42"/>
      </c>
      <c r="DU389" s="91" t="str">
        <f t="shared" si="42"/>
      </c>
      <c r="DV389" s="91" t="str">
        <f t="shared" si="42"/>
      </c>
      <c r="DW389" s="91" t="str">
        <f t="shared" si="42"/>
      </c>
      <c r="DX389" s="91" t="str">
        <f t="shared" si="42"/>
      </c>
      <c r="DY389" s="91" t="str">
        <f t="shared" si="42"/>
      </c>
      <c r="DZ389" s="91" t="str">
        <f t="shared" si="42"/>
      </c>
      <c r="EA389" s="91" t="str">
        <f t="shared" si="42"/>
      </c>
      <c r="EB389" s="91" t="str">
        <f t="shared" si="42"/>
      </c>
      <c r="EC389" s="91" t="str">
        <f t="shared" si="42"/>
      </c>
      <c r="ED389" s="91" t="str">
        <f t="shared" si="42"/>
      </c>
      <c r="EE389" s="91" t="str">
        <f t="shared" si="42"/>
      </c>
      <c r="EF389" s="91" t="str">
        <f t="shared" si="42"/>
      </c>
      <c r="EG389" s="91" t="str">
        <f t="shared" si="42"/>
      </c>
      <c r="EH389" s="91" t="str">
        <f t="shared" si="42"/>
      </c>
      <c r="EI389" s="91" t="str">
        <f t="shared" si="42"/>
      </c>
      <c r="EJ389" s="91" t="str">
        <f t="shared" si="42"/>
      </c>
      <c r="EK389" s="91" t="str">
        <f t="shared" si="42"/>
      </c>
      <c r="EL389" s="91" t="str">
        <f t="shared" si="42"/>
      </c>
      <c r="EM389" s="91" t="str">
        <f t="shared" si="42"/>
      </c>
      <c r="EN389" s="91" t="str">
        <f t="shared" si="42"/>
      </c>
      <c r="EO389" s="91" t="str">
        <f t="shared" si="42"/>
      </c>
      <c r="EP389" s="91" t="str">
        <f t="shared" si="42"/>
      </c>
      <c r="EQ389" s="91" t="str">
        <f t="shared" si="42"/>
      </c>
      <c r="ER389" s="91" t="str">
        <f t="shared" si="42"/>
      </c>
      <c r="ES389" s="91" t="str">
        <f t="shared" si="42"/>
      </c>
      <c r="ET389" s="91" t="str">
        <f t="shared" si="42"/>
      </c>
      <c r="EU389" s="91" t="str">
        <f t="shared" si="42"/>
      </c>
      <c r="EV389" s="91" t="str">
        <f t="shared" si="42"/>
      </c>
      <c r="EW389" s="91" t="str">
        <f t="shared" si="42"/>
      </c>
      <c r="EX389" s="91" t="str">
        <f t="shared" si="42"/>
      </c>
      <c r="EY389" s="91" t="str">
        <f t="shared" si="42"/>
      </c>
      <c r="EZ389" s="91" t="str">
        <f t="shared" si="42"/>
      </c>
      <c r="FA389" s="91" t="str">
        <f ref="FA389:HL389" t="shared" si="43">IF(SUM(FA370:FA388)&lt;&gt;0,SUM(FA370:FA388),"")</f>
      </c>
      <c r="FB389" s="91" t="str">
        <f t="shared" si="43"/>
      </c>
      <c r="FC389" s="91" t="str">
        <f t="shared" si="43"/>
      </c>
      <c r="FD389" s="91" t="str">
        <f t="shared" si="43"/>
      </c>
      <c r="FE389" s="91" t="str">
        <f t="shared" si="43"/>
      </c>
      <c r="FF389" s="91" t="str">
        <f t="shared" si="43"/>
      </c>
      <c r="FG389" s="91" t="str">
        <f t="shared" si="43"/>
      </c>
      <c r="FH389" s="91" t="str">
        <f t="shared" si="43"/>
      </c>
      <c r="FI389" s="91" t="str">
        <f t="shared" si="43"/>
      </c>
      <c r="FJ389" s="91" t="str">
        <f t="shared" si="43"/>
      </c>
      <c r="FK389" s="91" t="str">
        <f t="shared" si="43"/>
      </c>
      <c r="FL389" s="91" t="str">
        <f t="shared" si="43"/>
      </c>
      <c r="FM389" s="91" t="str">
        <f t="shared" si="43"/>
      </c>
      <c r="FN389" s="91" t="str">
        <f t="shared" si="43"/>
      </c>
      <c r="FO389" s="91" t="str">
        <f t="shared" si="43"/>
      </c>
      <c r="FP389" s="91" t="str">
        <f t="shared" si="43"/>
      </c>
      <c r="FQ389" s="91" t="str">
        <f t="shared" si="43"/>
      </c>
      <c r="FR389" s="91" t="str">
        <f t="shared" si="43"/>
      </c>
      <c r="FS389" s="91" t="str">
        <f t="shared" si="43"/>
      </c>
      <c r="FT389" s="91" t="str">
        <f t="shared" si="43"/>
      </c>
      <c r="FU389" s="91" t="str">
        <f t="shared" si="43"/>
      </c>
      <c r="FV389" s="91" t="str">
        <f t="shared" si="43"/>
      </c>
      <c r="FW389" s="91" t="str">
        <f t="shared" si="43"/>
      </c>
      <c r="FX389" s="91" t="str">
        <f t="shared" si="43"/>
      </c>
      <c r="FY389" s="91" t="str">
        <f t="shared" si="43"/>
      </c>
      <c r="FZ389" s="91" t="str">
        <f t="shared" si="43"/>
      </c>
      <c r="GA389" s="91" t="str">
        <f t="shared" si="43"/>
      </c>
      <c r="GB389" s="91" t="str">
        <f t="shared" si="43"/>
      </c>
      <c r="GC389" s="91" t="str">
        <f t="shared" si="43"/>
      </c>
      <c r="GD389" s="91" t="str">
        <f t="shared" si="43"/>
      </c>
      <c r="GE389" s="91" t="str">
        <f t="shared" si="43"/>
      </c>
      <c r="GF389" s="91" t="str">
        <f t="shared" si="43"/>
      </c>
      <c r="GG389" s="91" t="str">
        <f t="shared" si="43"/>
      </c>
      <c r="GH389" s="91" t="str">
        <f t="shared" si="43"/>
      </c>
      <c r="GI389" s="91" t="str">
        <f t="shared" si="43"/>
      </c>
      <c r="GJ389" s="91" t="str">
        <f t="shared" si="43"/>
      </c>
      <c r="GK389" s="91" t="str">
        <f t="shared" si="43"/>
      </c>
      <c r="GL389" s="91" t="str">
        <f t="shared" si="43"/>
      </c>
      <c r="GM389" s="91" t="str">
        <f t="shared" si="43"/>
      </c>
      <c r="GN389" s="91" t="str">
        <f t="shared" si="43"/>
      </c>
      <c r="GO389" s="91" t="str">
        <f t="shared" si="43"/>
      </c>
      <c r="GP389" s="91" t="str">
        <f t="shared" si="43"/>
      </c>
      <c r="GQ389" s="91" t="str">
        <f t="shared" si="43"/>
      </c>
      <c r="GR389" s="91" t="str">
        <f t="shared" si="43"/>
      </c>
      <c r="GS389" s="91" t="str">
        <f t="shared" si="43"/>
      </c>
      <c r="GT389" s="91" t="str">
        <f t="shared" si="43"/>
      </c>
      <c r="GU389" s="91" t="str">
        <f t="shared" si="43"/>
      </c>
      <c r="GV389" s="91" t="str">
        <f t="shared" si="43"/>
      </c>
      <c r="GW389" s="91" t="str">
        <f t="shared" si="43"/>
      </c>
      <c r="GX389" s="91" t="str">
        <f t="shared" si="43"/>
      </c>
      <c r="GY389" s="91" t="str">
        <f t="shared" si="43"/>
      </c>
      <c r="GZ389" s="91" t="str">
        <f t="shared" si="43"/>
      </c>
      <c r="HA389" s="91" t="str">
        <f t="shared" si="43"/>
      </c>
      <c r="HB389" s="91" t="str">
        <f t="shared" si="43"/>
      </c>
      <c r="HC389" s="91" t="str">
        <f t="shared" si="43"/>
      </c>
      <c r="HD389" s="91" t="str">
        <f t="shared" si="43"/>
      </c>
      <c r="HE389" s="91" t="str">
        <f t="shared" si="43"/>
      </c>
      <c r="HF389" s="91" t="str">
        <f t="shared" si="43"/>
      </c>
      <c r="HG389" s="91" t="str">
        <f t="shared" si="43"/>
      </c>
      <c r="HH389" s="91" t="str">
        <f t="shared" si="43"/>
      </c>
      <c r="HI389" s="91" t="str">
        <f t="shared" si="43"/>
      </c>
      <c r="HJ389" s="91" t="str">
        <f t="shared" si="43"/>
      </c>
      <c r="HK389" s="91" t="str">
        <f t="shared" si="43"/>
      </c>
      <c r="HL389" s="91" t="str">
        <f t="shared" si="43"/>
      </c>
      <c r="HM389" s="91" t="str">
        <f ref="HM389:IV389" t="shared" si="44">IF(SUM(HM370:HM388)&lt;&gt;0,SUM(HM370:HM388),"")</f>
      </c>
      <c r="HN389" s="91" t="str">
        <f t="shared" si="44"/>
      </c>
      <c r="HO389" s="91" t="str">
        <f t="shared" si="44"/>
      </c>
      <c r="HP389" s="91" t="str">
        <f t="shared" si="44"/>
      </c>
      <c r="HQ389" s="91" t="str">
        <f t="shared" si="44"/>
      </c>
      <c r="HR389" s="91" t="str">
        <f t="shared" si="44"/>
      </c>
      <c r="HS389" s="91" t="str">
        <f t="shared" si="44"/>
      </c>
      <c r="HT389" s="91" t="str">
        <f t="shared" si="44"/>
      </c>
      <c r="HU389" s="91" t="str">
        <f t="shared" si="44"/>
      </c>
      <c r="HV389" s="91" t="str">
        <f t="shared" si="44"/>
      </c>
      <c r="HW389" s="91" t="str">
        <f t="shared" si="44"/>
      </c>
      <c r="HX389" s="91" t="str">
        <f t="shared" si="44"/>
      </c>
      <c r="HY389" s="91" t="str">
        <f t="shared" si="44"/>
      </c>
      <c r="HZ389" s="91" t="str">
        <f t="shared" si="44"/>
      </c>
      <c r="IA389" s="91" t="str">
        <f t="shared" si="44"/>
      </c>
      <c r="IB389" s="91" t="str">
        <f t="shared" si="44"/>
      </c>
      <c r="IC389" s="91" t="str">
        <f t="shared" si="44"/>
      </c>
      <c r="ID389" s="91" t="str">
        <f t="shared" si="44"/>
      </c>
      <c r="IE389" s="91" t="str">
        <f t="shared" si="44"/>
      </c>
      <c r="IF389" s="91" t="str">
        <f t="shared" si="44"/>
      </c>
      <c r="IG389" s="91" t="str">
        <f t="shared" si="44"/>
      </c>
      <c r="IH389" s="91" t="str">
        <f t="shared" si="44"/>
      </c>
      <c r="II389" s="91" t="str">
        <f t="shared" si="44"/>
      </c>
      <c r="IJ389" s="91" t="str">
        <f t="shared" si="44"/>
      </c>
      <c r="IK389" s="91" t="str">
        <f t="shared" si="44"/>
      </c>
      <c r="IL389" s="91" t="str">
        <f t="shared" si="44"/>
      </c>
      <c r="IM389" s="91" t="str">
        <f t="shared" si="44"/>
      </c>
      <c r="IN389" s="91" t="str">
        <f t="shared" si="44"/>
      </c>
      <c r="IO389" s="91" t="str">
        <f t="shared" si="44"/>
      </c>
      <c r="IP389" s="91" t="str">
        <f t="shared" si="44"/>
      </c>
      <c r="IQ389" s="91" t="str">
        <f t="shared" si="44"/>
      </c>
      <c r="IR389" s="91" t="str">
        <f t="shared" si="44"/>
      </c>
      <c r="IS389" s="91" t="str">
        <f t="shared" si="44"/>
      </c>
      <c r="IT389" s="91" t="str">
        <f t="shared" si="44"/>
      </c>
      <c r="IU389" s="91" t="str">
        <f t="shared" si="44"/>
      </c>
      <c r="IV389" s="91" t="str">
        <f t="shared" si="44"/>
      </c>
    </row>
    <row r="390" hidden="1" ht="13.5"/>
    <row r="391" hidden="1" ht="15" customHeight="1">
      <c r="C391" s="686" t="s">
        <v>392</v>
      </c>
      <c r="D391" s="687"/>
      <c r="E391" s="687"/>
      <c r="F391" s="687"/>
      <c r="G391" s="687"/>
      <c r="H391" s="687"/>
      <c r="I391" s="687"/>
      <c r="J391" s="687"/>
      <c r="K391" s="687"/>
      <c r="L391" s="687"/>
      <c r="M391" s="687"/>
      <c r="N391" s="687"/>
      <c r="O391" s="687"/>
      <c r="P391" s="687"/>
      <c r="Q391" s="687"/>
      <c r="R391" s="687"/>
      <c r="S391" s="687"/>
      <c r="T391" s="687"/>
      <c r="U391" s="687"/>
      <c r="V391" s="687"/>
      <c r="W391" s="687"/>
      <c r="X391" s="687"/>
      <c r="Y391" s="687"/>
      <c r="Z391" s="687"/>
      <c r="AA391" s="687"/>
      <c r="AB391" s="688"/>
    </row>
    <row r="392" hidden="1" ht="13.5">
      <c r="C392" s="435" t="str">
        <f> IF(C412&lt;&gt;"",TEXT(AUX!G$1,"dd-MMM-aa"),"")</f>
      </c>
      <c r="D392" s="435" t="str">
        <f> IF(D412&lt;&gt;"",TEXT(AUX!H$1,"dd-MMM-aa"),"")</f>
      </c>
      <c r="E392" s="435" t="str">
        <f> IF(E412&lt;&gt;"",TEXT(AUX!I$1,"dd-MMM-aa"),"")</f>
      </c>
      <c r="F392" s="435" t="str">
        <f> IF(F412&lt;&gt;"",TEXT(AUX!J$1,"dd-MMM-aa"),"")</f>
      </c>
      <c r="G392" s="435" t="str">
        <f> IF(G412&lt;&gt;"",TEXT(AUX!K$1,"dd-MMM-aa"),"")</f>
      </c>
      <c r="H392" s="435" t="str">
        <f> IF(H412&lt;&gt;"",TEXT(AUX!L$1,"dd-MMM-aa"),"")</f>
      </c>
      <c r="I392" s="435" t="str">
        <f> IF(I412&lt;&gt;"",TEXT(AUX!M$1,"dd-MMM-aa"),"")</f>
      </c>
      <c r="J392" s="435" t="str">
        <f> IF(J412&lt;&gt;"",TEXT(AUX!N$1,"dd-MMM-aa"),"")</f>
      </c>
      <c r="K392" s="435" t="str">
        <f> IF(K412&lt;&gt;"",TEXT(AUX!O$1,"dd-MMM-aa"),"")</f>
      </c>
      <c r="L392" s="435" t="str">
        <f> IF(L412&lt;&gt;"",TEXT(AUX!P$1,"dd-MMM-aa"),"")</f>
      </c>
      <c r="M392" s="435" t="str">
        <f> IF(M412&lt;&gt;"",TEXT(AUX!Q$1,"dd-MMM-aa"),"")</f>
      </c>
      <c r="N392" s="435" t="str">
        <f> IF(N412&lt;&gt;"",TEXT(AUX!R$1,"dd-MMM-aa"),"")</f>
      </c>
      <c r="O392" s="435" t="str">
        <f> IF(O412&lt;&gt;"",TEXT(AUX!S$1,"dd-MMM-aa"),"")</f>
      </c>
      <c r="P392" s="435" t="str">
        <f> IF(P412&lt;&gt;"",TEXT(AUX!T$1,"dd-MMM-aa"),"")</f>
      </c>
      <c r="Q392" s="435" t="str">
        <f> IF(Q412&lt;&gt;"",TEXT(AUX!U$1,"dd-MMM-aa"),"")</f>
      </c>
      <c r="R392" s="435" t="str">
        <f> IF(R412&lt;&gt;"",TEXT(AUX!V$1,"dd-MMM-aa"),"")</f>
      </c>
      <c r="S392" s="435" t="str">
        <f> IF(S412&lt;&gt;"",TEXT(AUX!W$1,"dd-MMM-aa"),"")</f>
      </c>
      <c r="T392" s="435" t="str">
        <f> IF(T412&lt;&gt;"",TEXT(AUX!X$1,"dd-MMM-aa"),"")</f>
      </c>
      <c r="U392" s="435" t="str">
        <f> IF(U412&lt;&gt;"",TEXT(AUX!Y$1,"dd-MMM-aa"),"")</f>
      </c>
      <c r="V392" s="435" t="str">
        <f> IF(V412&lt;&gt;"",TEXT(AUX!Z$1,"dd-MMM-aa"),"")</f>
      </c>
      <c r="W392" s="435" t="str">
        <f> IF(W412&lt;&gt;"",TEXT(AUX!AA$1,"dd-MMM-aa"),"")</f>
      </c>
      <c r="X392" s="435" t="str">
        <f> IF(X412&lt;&gt;"",TEXT(AUX!AB$1,"dd-MMM-aa"),"")</f>
      </c>
      <c r="Y392" s="435" t="str">
        <f> IF(Y412&lt;&gt;"",TEXT(AUX!AC$1,"dd-MMM-aa"),"")</f>
      </c>
      <c r="Z392" s="435" t="str">
        <f> IF(Z412&lt;&gt;"",TEXT(AUX!AD$1,"dd-MMM-aa"),"")</f>
      </c>
      <c r="AA392" s="435" t="str">
        <f> IF(AA412&lt;&gt;"",TEXT(AUX!AE$1,"dd-MMM-aa"),"")</f>
      </c>
      <c r="AB392" s="497" t="str">
        <f> IF(AB412&lt;&gt;"",TEXT(AUX!AF$1,"dd-MMM-aa"),"")</f>
      </c>
      <c r="AC392" s="496" t="str">
        <f> IF(AC412&lt;&gt;"",TEXT(AUX!AG$1,"dd-MMM-aa"),"")</f>
      </c>
      <c r="AD392" s="496" t="str">
        <f> IF(AD412&lt;&gt;"",TEXT(AUX!AH$1,"dd-MMM-aa"),"")</f>
      </c>
      <c r="AE392" s="496" t="str">
        <f> IF(AE412&lt;&gt;"",TEXT(AUX!AI$1,"dd-MMM-aa"),"")</f>
      </c>
      <c r="AF392" s="496" t="str">
        <f> IF(AF412&lt;&gt;"",TEXT(AUX!AJ$1,"dd-MMM-aa"),"")</f>
      </c>
      <c r="AG392" s="496" t="str">
        <f> IF(AG412&lt;&gt;"",TEXT(AUX!AK$1,"dd-MMM-aa"),"")</f>
      </c>
      <c r="AH392" s="496" t="str">
        <f> IF(AH412&lt;&gt;"",TEXT(AUX!AL$1,"dd-MMM-aa"),"")</f>
      </c>
      <c r="AI392" s="496" t="str">
        <f> IF(AI412&lt;&gt;"",TEXT(AUX!AM$1,"dd-MMM-aa"),"")</f>
      </c>
      <c r="AJ392" s="496" t="str">
        <f> IF(AJ412&lt;&gt;"",TEXT(AUX!AN$1,"dd-MMM-aa"),"")</f>
      </c>
      <c r="AK392" s="496" t="str">
        <f> IF(AK412&lt;&gt;"",TEXT(AUX!AO$1,"dd-MMM-aa"),"")</f>
      </c>
      <c r="AL392" s="496" t="str">
        <f> IF(AL412&lt;&gt;"",TEXT(AUX!AP$1,"dd-MMM-aa"),"")</f>
      </c>
      <c r="AM392" s="496" t="str">
        <f> IF(AM412&lt;&gt;"",TEXT(AUX!AQ$1,"dd-MMM-aa"),"")</f>
      </c>
      <c r="AN392" s="496" t="str">
        <f> IF(AN412&lt;&gt;"",TEXT(AUX!AR$1,"dd-MMM-aa"),"")</f>
      </c>
      <c r="AO392" s="496" t="str">
        <f> IF(AO412&lt;&gt;"",TEXT(AUX!AS$1,"dd-MMM-aa"),"")</f>
      </c>
      <c r="AP392" s="496" t="str">
        <f> IF(AP412&lt;&gt;"",TEXT(AUX!AT$1,"dd-MMM-aa"),"")</f>
      </c>
      <c r="AQ392" s="496" t="str">
        <f> IF(AQ412&lt;&gt;"",TEXT(AUX!AU$1,"dd-MMM-aa"),"")</f>
      </c>
      <c r="AR392" s="496" t="str">
        <f> IF(AR412&lt;&gt;"",TEXT(AUX!AV$1,"dd-MMM-aa"),"")</f>
      </c>
      <c r="AS392" s="496" t="str">
        <f> IF(AS412&lt;&gt;"",TEXT(AUX!AW$1,"dd-MMM-aa"),"")</f>
      </c>
      <c r="AT392" s="496" t="str">
        <f> IF(AT412&lt;&gt;"",TEXT(AUX!AX$1,"dd-MMM-aa"),"")</f>
      </c>
      <c r="AU392" s="496" t="str">
        <f> IF(AU412&lt;&gt;"",TEXT(AUX!AY$1,"dd-MMM-aa"),"")</f>
      </c>
      <c r="AV392" s="496" t="str">
        <f> IF(AV412&lt;&gt;"",TEXT(AUX!AZ$1,"dd-MMM-aa"),"")</f>
      </c>
      <c r="AW392" s="496" t="str">
        <f> IF(AW412&lt;&gt;"",TEXT(AUX!BA$1,"dd-MMM-aa"),"")</f>
      </c>
      <c r="AX392" s="496" t="str">
        <f> IF(AX412&lt;&gt;"",TEXT(AUX!BB$1,"dd-MMM-aa"),"")</f>
      </c>
      <c r="AY392" s="496" t="str">
        <f> IF(AY412&lt;&gt;"",TEXT(AUX!BC$1,"dd-MMM-aa"),"")</f>
      </c>
      <c r="AZ392" s="496" t="str">
        <f> IF(AZ412&lt;&gt;"",TEXT(AUX!BD$1,"dd-MMM-aa"),"")</f>
      </c>
      <c r="BA392" s="496" t="str">
        <f> IF(BA412&lt;&gt;"",TEXT(AUX!BE$1,"dd-MMM-aa"),"")</f>
      </c>
      <c r="BB392" s="496" t="str">
        <f> IF(BB412&lt;&gt;"",TEXT(AUX!BF$1,"dd-MMM-aa"),"")</f>
      </c>
      <c r="BC392" s="496" t="str">
        <f> IF(BC412&lt;&gt;"",TEXT(AUX!BG$1,"dd-MMM-aa"),"")</f>
      </c>
      <c r="BD392" s="496" t="str">
        <f> IF(BD412&lt;&gt;"",TEXT(AUX!BH$1,"dd-MMM-aa"),"")</f>
      </c>
      <c r="BE392" s="496" t="str">
        <f> IF(BE412&lt;&gt;"",TEXT(AUX!BI$1,"dd-MMM-aa"),"")</f>
      </c>
      <c r="BF392" s="496" t="str">
        <f> IF(BF412&lt;&gt;"",TEXT(AUX!BJ$1,"dd-MMM-aa"),"")</f>
      </c>
      <c r="BG392" s="496" t="str">
        <f> IF(BG412&lt;&gt;"",TEXT(AUX!BK$1,"dd-MMM-aa"),"")</f>
      </c>
      <c r="BH392" s="496" t="str">
        <f> IF(BH412&lt;&gt;"",TEXT(AUX!BL$1,"dd-MMM-aa"),"")</f>
      </c>
      <c r="BI392" s="496" t="str">
        <f> IF(BI412&lt;&gt;"",TEXT(AUX!BM$1,"dd-MMM-aa"),"")</f>
      </c>
      <c r="BJ392" s="496" t="str">
        <f> IF(BJ412&lt;&gt;"",TEXT(AUX!BN$1,"dd-MMM-aa"),"")</f>
      </c>
      <c r="BK392" s="496" t="str">
        <f> IF(BK412&lt;&gt;"",TEXT(AUX!BO$1,"dd-MMM-aa"),"")</f>
      </c>
      <c r="BL392" s="496" t="str">
        <f> IF(BL412&lt;&gt;"",TEXT(AUX!BP$1,"dd-MMM-aa"),"")</f>
      </c>
      <c r="BM392" s="496" t="str">
        <f> IF(BM412&lt;&gt;"",TEXT(AUX!BQ$1,"dd-MMM-aa"),"")</f>
      </c>
      <c r="BN392" s="496" t="str">
        <f> IF(BN412&lt;&gt;"",TEXT(AUX!BR$1,"dd-MMM-aa"),"")</f>
      </c>
      <c r="BO392" s="496" t="str">
        <f> IF(BO412&lt;&gt;"",TEXT(AUX!BS$1,"dd-MMM-aa"),"")</f>
      </c>
      <c r="BP392" s="496" t="str">
        <f> IF(BP412&lt;&gt;"",TEXT(AUX!BT$1,"dd-MMM-aa"),"")</f>
      </c>
      <c r="BQ392" s="496" t="str">
        <f> IF(BQ412&lt;&gt;"",TEXT(AUX!BU$1,"dd-MMM-aa"),"")</f>
      </c>
      <c r="BR392" s="496" t="str">
        <f> IF(BR412&lt;&gt;"",TEXT(AUX!BV$1,"dd-MMM-aa"),"")</f>
      </c>
      <c r="BS392" s="496" t="str">
        <f> IF(BS412&lt;&gt;"",TEXT(AUX!BW$1,"dd-MMM-aa"),"")</f>
      </c>
      <c r="BT392" s="496" t="str">
        <f> IF(BT412&lt;&gt;"",TEXT(AUX!BX$1,"dd-MMM-aa"),"")</f>
      </c>
      <c r="BU392" s="496" t="str">
        <f> IF(BU412&lt;&gt;"",TEXT(AUX!BY$1,"dd-MMM-aa"),"")</f>
      </c>
      <c r="BV392" s="496" t="str">
        <f> IF(BV412&lt;&gt;"",TEXT(AUX!BZ$1,"dd-MMM-aa"),"")</f>
      </c>
      <c r="BW392" s="496" t="str">
        <f> IF(BW412&lt;&gt;"",TEXT(AUX!CA$1,"dd-MMM-aa"),"")</f>
      </c>
      <c r="BX392" s="496" t="str">
        <f> IF(BX412&lt;&gt;"",TEXT(AUX!CB$1,"dd-MMM-aa"),"")</f>
      </c>
      <c r="BY392" s="496" t="str">
        <f> IF(BY412&lt;&gt;"",TEXT(AUX!CC$1,"dd-MMM-aa"),"")</f>
      </c>
      <c r="BZ392" s="496" t="str">
        <f> IF(BZ412&lt;&gt;"",TEXT(AUX!CD$1,"dd-MMM-aa"),"")</f>
      </c>
      <c r="CA392" s="496" t="str">
        <f> IF(CA412&lt;&gt;"",TEXT(AUX!CE$1,"dd-MMM-aa"),"")</f>
      </c>
      <c r="CB392" s="496" t="str">
        <f> IF(CB412&lt;&gt;"",TEXT(AUX!CF$1,"dd-MMM-aa"),"")</f>
      </c>
      <c r="CC392" s="496" t="str">
        <f> IF(CC412&lt;&gt;"",TEXT(AUX!CG$1,"dd-MMM-aa"),"")</f>
      </c>
      <c r="CD392" s="496" t="str">
        <f> IF(CD412&lt;&gt;"",TEXT(AUX!CH$1,"dd-MMM-aa"),"")</f>
      </c>
      <c r="CE392" s="496" t="str">
        <f> IF(CE412&lt;&gt;"",TEXT(AUX!CI$1,"dd-MMM-aa"),"")</f>
      </c>
      <c r="CF392" s="496" t="str">
        <f> IF(CF412&lt;&gt;"",TEXT(AUX!CJ$1,"dd-MMM-aa"),"")</f>
      </c>
      <c r="CG392" s="496" t="str">
        <f> IF(CG412&lt;&gt;"",TEXT(AUX!CK$1,"dd-MMM-aa"),"")</f>
      </c>
      <c r="CH392" s="496" t="str">
        <f> IF(CH412&lt;&gt;"",TEXT(AUX!CL$1,"dd-MMM-aa"),"")</f>
      </c>
      <c r="CI392" s="496" t="str">
        <f> IF(CI412&lt;&gt;"",TEXT(AUX!CM$1,"dd-MMM-aa"),"")</f>
      </c>
      <c r="CJ392" s="496" t="str">
        <f> IF(CJ412&lt;&gt;"",TEXT(AUX!CN$1,"dd-MMM-aa"),"")</f>
      </c>
      <c r="CK392" s="496" t="str">
        <f> IF(CK412&lt;&gt;"",TEXT(AUX!CO$1,"dd-MMM-aa"),"")</f>
      </c>
      <c r="CL392" s="496" t="str">
        <f> IF(CL412&lt;&gt;"",TEXT(AUX!CP$1,"dd-MMM-aa"),"")</f>
      </c>
      <c r="CM392" s="496" t="str">
        <f> IF(CM412&lt;&gt;"",TEXT(AUX!CQ$1,"dd-MMM-aa"),"")</f>
      </c>
      <c r="CN392" s="496" t="str">
        <f> IF(CN412&lt;&gt;"",TEXT(AUX!CR$1,"dd-MMM-aa"),"")</f>
      </c>
      <c r="CO392" s="496" t="str">
        <f> IF(CO412&lt;&gt;"",TEXT(AUX!CS$1,"dd-MMM-aa"),"")</f>
      </c>
      <c r="CP392" s="496" t="str">
        <f> IF(CP412&lt;&gt;"",TEXT(AUX!CT$1,"dd-MMM-aa"),"")</f>
      </c>
      <c r="CQ392" s="496" t="str">
        <f> IF(CQ412&lt;&gt;"",TEXT(AUX!CU$1,"dd-MMM-aa"),"")</f>
      </c>
      <c r="CR392" s="496" t="str">
        <f> IF(CR412&lt;&gt;"",TEXT(AUX!CV$1,"dd-MMM-aa"),"")</f>
      </c>
      <c r="CS392" s="496" t="str">
        <f> IF(CS412&lt;&gt;"",TEXT(AUX!CW$1,"dd-MMM-aa"),"")</f>
      </c>
      <c r="CT392" s="496" t="str">
        <f> IF(CT412&lt;&gt;"",TEXT(AUX!CX$1,"dd-MMM-aa"),"")</f>
      </c>
      <c r="CU392" s="496" t="str">
        <f> IF(CU412&lt;&gt;"",TEXT(AUX!CY$1,"dd-MMM-aa"),"")</f>
      </c>
      <c r="CV392" s="496" t="str">
        <f> IF(CV412&lt;&gt;"",TEXT(AUX!CZ$1,"dd-MMM-aa"),"")</f>
      </c>
      <c r="CW392" s="496" t="str">
        <f> IF(CW412&lt;&gt;"",TEXT(AUX!DA$1,"dd-MMM-aa"),"")</f>
      </c>
      <c r="CX392" s="496" t="str">
        <f> IF(CX412&lt;&gt;"",TEXT(AUX!DB$1,"dd-MMM-aa"),"")</f>
      </c>
      <c r="CY392" s="496" t="str">
        <f> IF(CY412&lt;&gt;"",TEXT(AUX!DC$1,"dd-MMM-aa"),"")</f>
      </c>
      <c r="CZ392" s="496" t="str">
        <f> IF(CZ412&lt;&gt;"",TEXT(AUX!DD$1,"dd-MMM-aa"),"")</f>
      </c>
      <c r="DA392" s="496" t="str">
        <f> IF(DA412&lt;&gt;"",TEXT(AUX!DE$1,"dd-MMM-aa"),"")</f>
      </c>
      <c r="DB392" s="496" t="str">
        <f> IF(DB412&lt;&gt;"",TEXT(AUX!DF$1,"dd-MMM-aa"),"")</f>
      </c>
      <c r="DC392" s="496" t="str">
        <f> IF(DC412&lt;&gt;"",TEXT(AUX!DG$1,"dd-MMM-aa"),"")</f>
      </c>
      <c r="DD392" s="496" t="str">
        <f> IF(DD412&lt;&gt;"",TEXT(AUX!DH$1,"dd-MMM-aa"),"")</f>
      </c>
      <c r="DE392" s="496" t="str">
        <f> IF(DE412&lt;&gt;"",TEXT(AUX!DI$1,"dd-MMM-aa"),"")</f>
      </c>
      <c r="DF392" s="496" t="str">
        <f> IF(DF412&lt;&gt;"",TEXT(AUX!DJ$1,"dd-MMM-aa"),"")</f>
      </c>
      <c r="DG392" s="496" t="str">
        <f> IF(DG412&lt;&gt;"",TEXT(AUX!DK$1,"dd-MMM-aa"),"")</f>
      </c>
      <c r="DH392" s="496" t="str">
        <f> IF(DH412&lt;&gt;"",TEXT(AUX!DL$1,"dd-MMM-aa"),"")</f>
      </c>
      <c r="DI392" s="496" t="str">
        <f> IF(DI412&lt;&gt;"",TEXT(AUX!DM$1,"dd-MMM-aa"),"")</f>
      </c>
      <c r="DJ392" s="496" t="str">
        <f> IF(DJ412&lt;&gt;"",TEXT(AUX!DN$1,"dd-MMM-aa"),"")</f>
      </c>
      <c r="DK392" s="496" t="str">
        <f> IF(DK412&lt;&gt;"",TEXT(AUX!DO$1,"dd-MMM-aa"),"")</f>
      </c>
      <c r="DL392" s="496" t="str">
        <f> IF(DL412&lt;&gt;"",TEXT(AUX!DP$1,"dd-MMM-aa"),"")</f>
      </c>
      <c r="DM392" s="496" t="str">
        <f> IF(DM412&lt;&gt;"",TEXT(AUX!DQ$1,"dd-MMM-aa"),"")</f>
      </c>
      <c r="DN392" s="496" t="str">
        <f> IF(DN412&lt;&gt;"",TEXT(AUX!DR$1,"dd-MMM-aa"),"")</f>
      </c>
      <c r="DO392" s="496" t="str">
        <f> IF(DO412&lt;&gt;"",TEXT(AUX!DS$1,"dd-MMM-aa"),"")</f>
      </c>
      <c r="DP392" s="496" t="str">
        <f> IF(DP412&lt;&gt;"",TEXT(AUX!DT$1,"dd-MMM-aa"),"")</f>
      </c>
      <c r="DQ392" s="496" t="str">
        <f> IF(DQ412&lt;&gt;"",TEXT(AUX!DU$1,"dd-MMM-aa"),"")</f>
      </c>
      <c r="DR392" s="496" t="str">
        <f> IF(DR412&lt;&gt;"",TEXT(AUX!DV$1,"dd-MMM-aa"),"")</f>
      </c>
      <c r="DS392" s="496" t="str">
        <f> IF(DS412&lt;&gt;"",TEXT(AUX!DW$1,"dd-MMM-aa"),"")</f>
      </c>
      <c r="DT392" s="496" t="str">
        <f> IF(DT412&lt;&gt;"",TEXT(AUX!DX$1,"dd-MMM-aa"),"")</f>
      </c>
      <c r="DU392" s="496" t="str">
        <f> IF(DU412&lt;&gt;"",TEXT(AUX!DY$1,"dd-MMM-aa"),"")</f>
      </c>
      <c r="DV392" s="496" t="str">
        <f> IF(DV412&lt;&gt;"",TEXT(AUX!DZ$1,"dd-MMM-aa"),"")</f>
      </c>
      <c r="DW392" s="496" t="str">
        <f> IF(DW412&lt;&gt;"",TEXT(AUX!EA$1,"dd-MMM-aa"),"")</f>
      </c>
      <c r="DX392" s="496" t="str">
        <f> IF(DX412&lt;&gt;"",TEXT(AUX!EB$1,"dd-MMM-aa"),"")</f>
      </c>
      <c r="DY392" s="496" t="str">
        <f> IF(DY412&lt;&gt;"",TEXT(AUX!EC$1,"dd-MMM-aa"),"")</f>
      </c>
      <c r="DZ392" s="496" t="str">
        <f> IF(DZ412&lt;&gt;"",TEXT(AUX!ED$1,"dd-MMM-aa"),"")</f>
      </c>
      <c r="EA392" s="496" t="str">
        <f> IF(EA412&lt;&gt;"",TEXT(AUX!EE$1,"dd-MMM-aa"),"")</f>
      </c>
      <c r="EB392" s="496" t="str">
        <f> IF(EB412&lt;&gt;"",TEXT(AUX!EF$1,"dd-MMM-aa"),"")</f>
      </c>
      <c r="EC392" s="496" t="str">
        <f> IF(EC412&lt;&gt;"",TEXT(AUX!EG$1,"dd-MMM-aa"),"")</f>
      </c>
      <c r="ED392" s="496" t="str">
        <f> IF(ED412&lt;&gt;"",TEXT(AUX!EH$1,"dd-MMM-aa"),"")</f>
      </c>
      <c r="EE392" s="496" t="str">
        <f> IF(EE412&lt;&gt;"",TEXT(AUX!EI$1,"dd-MMM-aa"),"")</f>
      </c>
      <c r="EF392" s="496" t="str">
        <f> IF(EF412&lt;&gt;"",TEXT(AUX!EJ$1,"dd-MMM-aa"),"")</f>
      </c>
      <c r="EG392" s="496" t="str">
        <f> IF(EG412&lt;&gt;"",TEXT(AUX!EK$1,"dd-MMM-aa"),"")</f>
      </c>
      <c r="EH392" s="496" t="str">
        <f> IF(EH412&lt;&gt;"",TEXT(AUX!EL$1,"dd-MMM-aa"),"")</f>
      </c>
      <c r="EI392" s="496" t="str">
        <f> IF(EI412&lt;&gt;"",TEXT(AUX!EM$1,"dd-MMM-aa"),"")</f>
      </c>
      <c r="EJ392" s="496" t="str">
        <f> IF(EJ412&lt;&gt;"",TEXT(AUX!EN$1,"dd-MMM-aa"),"")</f>
      </c>
      <c r="EK392" s="496" t="str">
        <f> IF(EK412&lt;&gt;"",TEXT(AUX!EO$1,"dd-MMM-aa"),"")</f>
      </c>
      <c r="EL392" s="496" t="str">
        <f> IF(EL412&lt;&gt;"",TEXT(AUX!EP$1,"dd-MMM-aa"),"")</f>
      </c>
      <c r="EM392" s="496" t="str">
        <f> IF(EM412&lt;&gt;"",TEXT(AUX!EQ$1,"dd-MMM-aa"),"")</f>
      </c>
      <c r="EN392" s="496" t="str">
        <f> IF(EN412&lt;&gt;"",TEXT(AUX!ER$1,"dd-MMM-aa"),"")</f>
      </c>
      <c r="EO392" s="496" t="str">
        <f> IF(EO412&lt;&gt;"",TEXT(AUX!ES$1,"dd-MMM-aa"),"")</f>
      </c>
      <c r="EP392" s="496" t="str">
        <f> IF(EP412&lt;&gt;"",TEXT(AUX!ET$1,"dd-MMM-aa"),"")</f>
      </c>
      <c r="EQ392" s="496" t="str">
        <f> IF(EQ412&lt;&gt;"",TEXT(AUX!EU$1,"dd-MMM-aa"),"")</f>
      </c>
      <c r="ER392" s="496" t="str">
        <f> IF(ER412&lt;&gt;"",TEXT(AUX!EV$1,"dd-MMM-aa"),"")</f>
      </c>
      <c r="ES392" s="496" t="str">
        <f> IF(ES412&lt;&gt;"",TEXT(AUX!EW$1,"dd-MMM-aa"),"")</f>
      </c>
      <c r="ET392" s="496" t="str">
        <f> IF(ET412&lt;&gt;"",TEXT(AUX!EX$1,"dd-MMM-aa"),"")</f>
      </c>
      <c r="EU392" s="496" t="str">
        <f> IF(EU412&lt;&gt;"",TEXT(AUX!EY$1,"dd-MMM-aa"),"")</f>
      </c>
      <c r="EV392" s="496" t="str">
        <f> IF(EV412&lt;&gt;"",TEXT(AUX!EZ$1,"dd-MMM-aa"),"")</f>
      </c>
      <c r="EW392" s="496" t="str">
        <f> IF(EW412&lt;&gt;"",TEXT(AUX!FA$1,"dd-MMM-aa"),"")</f>
      </c>
      <c r="EX392" s="496" t="str">
        <f> IF(EX412&lt;&gt;"",TEXT(AUX!FB$1,"dd-MMM-aa"),"")</f>
      </c>
      <c r="EY392" s="496" t="str">
        <f> IF(EY412&lt;&gt;"",TEXT(AUX!FC$1,"dd-MMM-aa"),"")</f>
      </c>
      <c r="EZ392" s="496" t="str">
        <f> IF(EZ412&lt;&gt;"",TEXT(AUX!FD$1,"dd-MMM-aa"),"")</f>
      </c>
      <c r="FA392" s="496" t="str">
        <f> IF(FA412&lt;&gt;"",TEXT(AUX!FE$1,"dd-MMM-aa"),"")</f>
      </c>
      <c r="FB392" s="496" t="str">
        <f> IF(FB412&lt;&gt;"",TEXT(AUX!FF$1,"dd-MMM-aa"),"")</f>
      </c>
      <c r="FC392" s="496" t="str">
        <f> IF(FC412&lt;&gt;"",TEXT(AUX!FG$1,"dd-MMM-aa"),"")</f>
      </c>
      <c r="FD392" s="496" t="str">
        <f> IF(FD412&lt;&gt;"",TEXT(AUX!FH$1,"dd-MMM-aa"),"")</f>
      </c>
      <c r="FE392" s="496" t="str">
        <f> IF(FE412&lt;&gt;"",TEXT(AUX!FI$1,"dd-MMM-aa"),"")</f>
      </c>
      <c r="FF392" s="496" t="str">
        <f> IF(FF412&lt;&gt;"",TEXT(AUX!FJ$1,"dd-MMM-aa"),"")</f>
      </c>
      <c r="FG392" s="496" t="str">
        <f> IF(FG412&lt;&gt;"",TEXT(AUX!FK$1,"dd-MMM-aa"),"")</f>
      </c>
      <c r="FH392" s="496" t="str">
        <f> IF(FH412&lt;&gt;"",TEXT(AUX!FL$1,"dd-MMM-aa"),"")</f>
      </c>
      <c r="FI392" s="496" t="str">
        <f> IF(FI412&lt;&gt;"",TEXT(AUX!FM$1,"dd-MMM-aa"),"")</f>
      </c>
      <c r="FJ392" s="496" t="str">
        <f> IF(FJ412&lt;&gt;"",TEXT(AUX!FN$1,"dd-MMM-aa"),"")</f>
      </c>
      <c r="FK392" s="496" t="str">
        <f> IF(FK412&lt;&gt;"",TEXT(AUX!FO$1,"dd-MMM-aa"),"")</f>
      </c>
      <c r="FL392" s="496" t="str">
        <f> IF(FL412&lt;&gt;"",TEXT(AUX!FP$1,"dd-MMM-aa"),"")</f>
      </c>
      <c r="FM392" s="496" t="str">
        <f> IF(FM412&lt;&gt;"",TEXT(AUX!FQ$1,"dd-MMM-aa"),"")</f>
      </c>
      <c r="FN392" s="496" t="str">
        <f> IF(FN412&lt;&gt;"",TEXT(AUX!FR$1,"dd-MMM-aa"),"")</f>
      </c>
      <c r="FO392" s="496" t="str">
        <f> IF(FO412&lt;&gt;"",TEXT(AUX!FS$1,"dd-MMM-aa"),"")</f>
      </c>
      <c r="FP392" s="496" t="str">
        <f> IF(FP412&lt;&gt;"",TEXT(AUX!FT$1,"dd-MMM-aa"),"")</f>
      </c>
      <c r="FQ392" s="496" t="str">
        <f> IF(FQ412&lt;&gt;"",TEXT(AUX!FU$1,"dd-MMM-aa"),"")</f>
      </c>
      <c r="FR392" s="496" t="str">
        <f> IF(FR412&lt;&gt;"",TEXT(AUX!FV$1,"dd-MMM-aa"),"")</f>
      </c>
      <c r="FS392" s="496" t="str">
        <f> IF(FS412&lt;&gt;"",TEXT(AUX!FW$1,"dd-MMM-aa"),"")</f>
      </c>
      <c r="FT392" s="496" t="str">
        <f> IF(FT412&lt;&gt;"",TEXT(AUX!FX$1,"dd-MMM-aa"),"")</f>
      </c>
      <c r="FU392" s="496" t="str">
        <f> IF(FU412&lt;&gt;"",TEXT(AUX!FY$1,"dd-MMM-aa"),"")</f>
      </c>
      <c r="FV392" s="496" t="str">
        <f> IF(FV412&lt;&gt;"",TEXT(AUX!FZ$1,"dd-MMM-aa"),"")</f>
      </c>
      <c r="FW392" s="496" t="str">
        <f> IF(FW412&lt;&gt;"",TEXT(AUX!GA$1,"dd-MMM-aa"),"")</f>
      </c>
      <c r="FX392" s="496" t="str">
        <f> IF(FX412&lt;&gt;"",TEXT(AUX!GB$1,"dd-MMM-aa"),"")</f>
      </c>
      <c r="FY392" s="496" t="str">
        <f> IF(FY412&lt;&gt;"",TEXT(AUX!GC$1,"dd-MMM-aa"),"")</f>
      </c>
      <c r="FZ392" s="496" t="str">
        <f> IF(FZ412&lt;&gt;"",TEXT(AUX!GD$1,"dd-MMM-aa"),"")</f>
      </c>
      <c r="GA392" s="496" t="str">
        <f> IF(GA412&lt;&gt;"",TEXT(AUX!GE$1,"dd-MMM-aa"),"")</f>
      </c>
      <c r="GB392" s="496" t="str">
        <f> IF(GB412&lt;&gt;"",TEXT(AUX!GF$1,"dd-MMM-aa"),"")</f>
      </c>
      <c r="GC392" s="496" t="str">
        <f> IF(GC412&lt;&gt;"",TEXT(AUX!GG$1,"dd-MMM-aa"),"")</f>
      </c>
      <c r="GD392" s="496" t="str">
        <f> IF(GD412&lt;&gt;"",TEXT(AUX!GH$1,"dd-MMM-aa"),"")</f>
      </c>
      <c r="GE392" s="496" t="str">
        <f> IF(GE412&lt;&gt;"",TEXT(AUX!GI$1,"dd-MMM-aa"),"")</f>
      </c>
      <c r="GF392" s="496" t="str">
        <f> IF(GF412&lt;&gt;"",TEXT(AUX!GJ$1,"dd-MMM-aa"),"")</f>
      </c>
      <c r="GG392" s="496" t="str">
        <f> IF(GG412&lt;&gt;"",TEXT(AUX!GK$1,"dd-MMM-aa"),"")</f>
      </c>
      <c r="GH392" s="496" t="str">
        <f> IF(GH412&lt;&gt;"",TEXT(AUX!GL$1,"dd-MMM-aa"),"")</f>
      </c>
      <c r="GI392" s="496" t="str">
        <f> IF(GI412&lt;&gt;"",TEXT(AUX!GM$1,"dd-MMM-aa"),"")</f>
      </c>
      <c r="GJ392" s="496" t="str">
        <f> IF(GJ412&lt;&gt;"",TEXT(AUX!GN$1,"dd-MMM-aa"),"")</f>
      </c>
      <c r="GK392" s="496" t="str">
        <f> IF(GK412&lt;&gt;"",TEXT(AUX!GO$1,"dd-MMM-aa"),"")</f>
      </c>
      <c r="GL392" s="496" t="str">
        <f> IF(GL412&lt;&gt;"",TEXT(AUX!GP$1,"dd-MMM-aa"),"")</f>
      </c>
      <c r="GM392" s="496" t="str">
        <f> IF(GM412&lt;&gt;"",TEXT(AUX!GQ$1,"dd-MMM-aa"),"")</f>
      </c>
      <c r="GN392" s="496" t="str">
        <f> IF(GN412&lt;&gt;"",TEXT(AUX!GR$1,"dd-MMM-aa"),"")</f>
      </c>
      <c r="GO392" s="496" t="str">
        <f> IF(GO412&lt;&gt;"",TEXT(AUX!GS$1,"dd-MMM-aa"),"")</f>
      </c>
      <c r="GP392" s="496" t="str">
        <f> IF(GP412&lt;&gt;"",TEXT(AUX!GT$1,"dd-MMM-aa"),"")</f>
      </c>
      <c r="GQ392" s="496" t="str">
        <f> IF(GQ412&lt;&gt;"",TEXT(AUX!GU$1,"dd-MMM-aa"),"")</f>
      </c>
      <c r="GR392" s="496" t="str">
        <f> IF(GR412&lt;&gt;"",TEXT(AUX!GV$1,"dd-MMM-aa"),"")</f>
      </c>
      <c r="GS392" s="496" t="str">
        <f> IF(GS412&lt;&gt;"",TEXT(AUX!GW$1,"dd-MMM-aa"),"")</f>
      </c>
      <c r="GT392" s="496" t="str">
        <f> IF(GT412&lt;&gt;"",TEXT(AUX!GX$1,"dd-MMM-aa"),"")</f>
      </c>
      <c r="GU392" s="496" t="str">
        <f> IF(GU412&lt;&gt;"",TEXT(AUX!GY$1,"dd-MMM-aa"),"")</f>
      </c>
      <c r="GV392" s="496" t="str">
        <f> IF(GV412&lt;&gt;"",TEXT(AUX!GZ$1,"dd-MMM-aa"),"")</f>
      </c>
      <c r="GW392" s="496" t="str">
        <f> IF(GW412&lt;&gt;"",TEXT(AUX!HA$1,"dd-MMM-aa"),"")</f>
      </c>
      <c r="GX392" s="496" t="str">
        <f> IF(GX412&lt;&gt;"",TEXT(AUX!HB$1,"dd-MMM-aa"),"")</f>
      </c>
      <c r="GY392" s="496" t="str">
        <f> IF(GY412&lt;&gt;"",TEXT(AUX!HC$1,"dd-MMM-aa"),"")</f>
      </c>
      <c r="GZ392" s="496" t="str">
        <f> IF(GZ412&lt;&gt;"",TEXT(AUX!HD$1,"dd-MMM-aa"),"")</f>
      </c>
      <c r="HA392" s="496" t="str">
        <f> IF(HA412&lt;&gt;"",TEXT(AUX!HE$1,"dd-MMM-aa"),"")</f>
      </c>
      <c r="HB392" s="496" t="str">
        <f> IF(HB412&lt;&gt;"",TEXT(AUX!HF$1,"dd-MMM-aa"),"")</f>
      </c>
      <c r="HC392" s="496" t="str">
        <f> IF(HC412&lt;&gt;"",TEXT(AUX!HG$1,"dd-MMM-aa"),"")</f>
      </c>
      <c r="HD392" s="496" t="str">
        <f> IF(HD412&lt;&gt;"",TEXT(AUX!HH$1,"dd-MMM-aa"),"")</f>
      </c>
      <c r="HE392" s="496" t="str">
        <f> IF(HE412&lt;&gt;"",TEXT(AUX!HI$1,"dd-MMM-aa"),"")</f>
      </c>
      <c r="HF392" s="496" t="str">
        <f> IF(HF412&lt;&gt;"",TEXT(AUX!HJ$1,"dd-MMM-aa"),"")</f>
      </c>
      <c r="HG392" s="496" t="str">
        <f> IF(HG412&lt;&gt;"",TEXT(AUX!HK$1,"dd-MMM-aa"),"")</f>
      </c>
      <c r="HH392" s="496" t="str">
        <f> IF(HH412&lt;&gt;"",TEXT(AUX!HL$1,"dd-MMM-aa"),"")</f>
      </c>
      <c r="HI392" s="496" t="str">
        <f> IF(HI412&lt;&gt;"",TEXT(AUX!HM$1,"dd-MMM-aa"),"")</f>
      </c>
      <c r="HJ392" s="496" t="str">
        <f> IF(HJ412&lt;&gt;"",TEXT(AUX!HN$1,"dd-MMM-aa"),"")</f>
      </c>
      <c r="HK392" s="496" t="str">
        <f> IF(HK412&lt;&gt;"",TEXT(AUX!HO$1,"dd-MMM-aa"),"")</f>
      </c>
      <c r="HL392" s="496" t="str">
        <f> IF(HL412&lt;&gt;"",TEXT(AUX!HP$1,"dd-MMM-aa"),"")</f>
      </c>
      <c r="HM392" s="496" t="str">
        <f> IF(HM412&lt;&gt;"",TEXT(AUX!HQ$1,"dd-MMM-aa"),"")</f>
      </c>
      <c r="HN392" s="496" t="str">
        <f> IF(HN412&lt;&gt;"",TEXT(AUX!HR$1,"dd-MMM-aa"),"")</f>
      </c>
      <c r="HO392" s="496" t="str">
        <f> IF(HO412&lt;&gt;"",TEXT(AUX!HS$1,"dd-MMM-aa"),"")</f>
      </c>
      <c r="HP392" s="496" t="str">
        <f> IF(HP412&lt;&gt;"",TEXT(AUX!HT$1,"dd-MMM-aa"),"")</f>
      </c>
      <c r="HQ392" s="496" t="str">
        <f> IF(HQ412&lt;&gt;"",TEXT(AUX!HU$1,"dd-MMM-aa"),"")</f>
      </c>
      <c r="HR392" s="496" t="str">
        <f> IF(HR412&lt;&gt;"",TEXT(AUX!HV$1,"dd-MMM-aa"),"")</f>
      </c>
      <c r="HS392" s="496" t="str">
        <f> IF(HS412&lt;&gt;"",TEXT(AUX!HW$1,"dd-MMM-aa"),"")</f>
      </c>
      <c r="HT392" s="496" t="str">
        <f> IF(HT412&lt;&gt;"",TEXT(AUX!HX$1,"dd-MMM-aa"),"")</f>
      </c>
      <c r="HU392" s="496" t="str">
        <f> IF(HU412&lt;&gt;"",TEXT(AUX!HY$1,"dd-MMM-aa"),"")</f>
      </c>
      <c r="HV392" s="496" t="str">
        <f> IF(HV412&lt;&gt;"",TEXT(AUX!HZ$1,"dd-MMM-aa"),"")</f>
      </c>
      <c r="HW392" s="496" t="str">
        <f> IF(HW412&lt;&gt;"",TEXT(AUX!IA$1,"dd-MMM-aa"),"")</f>
      </c>
      <c r="HX392" s="496" t="str">
        <f> IF(HX412&lt;&gt;"",TEXT(AUX!IB$1,"dd-MMM-aa"),"")</f>
      </c>
      <c r="HY392" s="496" t="str">
        <f> IF(HY412&lt;&gt;"",TEXT(AUX!IC$1,"dd-MMM-aa"),"")</f>
      </c>
      <c r="HZ392" s="496" t="str">
        <f> IF(HZ412&lt;&gt;"",TEXT(AUX!ID$1,"dd-MMM-aa"),"")</f>
      </c>
      <c r="IA392" s="496" t="str">
        <f> IF(IA412&lt;&gt;"",TEXT(AUX!IE$1,"dd-MMM-aa"),"")</f>
      </c>
      <c r="IB392" s="496" t="str">
        <f> IF(IB412&lt;&gt;"",TEXT(AUX!IF$1,"dd-MMM-aa"),"")</f>
      </c>
      <c r="IC392" s="496" t="str">
        <f> IF(IC412&lt;&gt;"",TEXT(AUX!IG$1,"dd-MMM-aa"),"")</f>
      </c>
      <c r="ID392" s="496" t="str">
        <f> IF(ID412&lt;&gt;"",TEXT(AUX!IH$1,"dd-MMM-aa"),"")</f>
      </c>
      <c r="IE392" s="496" t="str">
        <f> IF(IE412&lt;&gt;"",TEXT(AUX!II$1,"dd-MMM-aa"),"")</f>
      </c>
      <c r="IF392" s="496" t="str">
        <f> IF(IF412&lt;&gt;"",TEXT(AUX!IJ$1,"dd-MMM-aa"),"")</f>
      </c>
      <c r="IG392" s="496" t="str">
        <f> IF(IG412&lt;&gt;"",TEXT(AUX!IK$1,"dd-MMM-aa"),"")</f>
      </c>
      <c r="IH392" s="496" t="str">
        <f> IF(IH412&lt;&gt;"",TEXT(AUX!IL$1,"dd-MMM-aa"),"")</f>
      </c>
      <c r="II392" s="496" t="str">
        <f> IF(II412&lt;&gt;"",TEXT(AUX!IM$1,"dd-MMM-aa"),"")</f>
      </c>
      <c r="IJ392" s="496" t="str">
        <f> IF(IJ412&lt;&gt;"",TEXT(AUX!IN$1,"dd-MMM-aa"),"")</f>
      </c>
      <c r="IK392" s="496" t="str">
        <f> IF(IK412&lt;&gt;"",TEXT(AUX!IO$1,"dd-MMM-aa"),"")</f>
      </c>
      <c r="IL392" s="496" t="str">
        <f> IF(IL412&lt;&gt;"",TEXT(AUX!IP$1,"dd-MMM-aa"),"")</f>
      </c>
      <c r="IM392" s="496" t="str">
        <f> IF(IM412&lt;&gt;"",TEXT(AUX!IQ$1,"dd-MMM-aa"),"")</f>
      </c>
      <c r="IN392" s="496" t="str">
        <f> IF(IN412&lt;&gt;"",TEXT(AUX!IR$1,"dd-MMM-aa"),"")</f>
      </c>
      <c r="IO392" s="496" t="str">
        <f> IF(IO412&lt;&gt;"",TEXT(AUX!IS$1,"dd-MMM-aa"),"")</f>
      </c>
      <c r="IP392" s="496" t="str">
        <f> IF(IP412&lt;&gt;"",TEXT(AUX!IT$1,"dd-MMM-aa"),"")</f>
      </c>
      <c r="IQ392" s="496" t="str">
        <f> IF(IQ412&lt;&gt;"",TEXT(AUX!IU$1,"dd-MMM-aa"),"")</f>
      </c>
      <c r="IR392" s="496" t="str">
        <f> IF(IR412&lt;&gt;"",TEXT(AUX!IV$1,"dd-MMM-aa"),"")</f>
      </c>
      <c r="IS392" s="496" t="str">
        <f> IF(IS412&lt;&gt;"",TEXT(AUX!#REF!,"dd-MMM-aa"),"")</f>
      </c>
      <c r="IT392" s="496" t="str">
        <f> IF(IT412&lt;&gt;"",TEXT(AUX!#REF!,"dd-MMM-aa"),"")</f>
      </c>
      <c r="IU392" s="496" t="str">
        <f> IF(IU412&lt;&gt;"",TEXT(AUX!#REF!,"dd-MMM-aa"),"")</f>
      </c>
      <c r="IV392" s="496" t="str">
        <f> IF(IV412&lt;&gt;"",TEXT(AUX!#REF!,"dd-MMM-aa"),"")</f>
      </c>
    </row>
    <row r="393" hidden="1">
      <c r="B393" s="833" t="s">
        <v>8</v>
      </c>
      <c r="C393" s="827">
        <v>214</v>
      </c>
      <c r="D393" s="827">
        <v>206</v>
      </c>
      <c r="E393" s="827">
        <v>206</v>
      </c>
      <c r="F393" s="827">
        <v>204</v>
      </c>
      <c r="G393" s="827">
        <v>194</v>
      </c>
      <c r="H393" s="827">
        <v>189</v>
      </c>
      <c r="I393" s="827">
        <v>182</v>
      </c>
      <c r="J393" s="827">
        <v>178</v>
      </c>
      <c r="K393" s="827">
        <v>172</v>
      </c>
      <c r="L393" s="827">
        <v>162</v>
      </c>
      <c r="M393" s="827">
        <v>156</v>
      </c>
      <c r="N393" s="827">
        <v>152</v>
      </c>
      <c r="O393" s="827">
        <v>132</v>
      </c>
      <c r="P393" s="827">
        <v>132</v>
      </c>
      <c r="Q393" s="827">
        <v>136</v>
      </c>
      <c r="R393" s="827">
        <v>148</v>
      </c>
      <c r="S393" s="827">
        <v>158</v>
      </c>
      <c r="T393" s="827">
        <v>158</v>
      </c>
      <c r="U393" s="827">
        <v>160</v>
      </c>
      <c r="V393" s="827">
        <v>163</v>
      </c>
      <c r="W393" s="827">
        <v>161</v>
      </c>
      <c r="X393" s="827">
        <v>161</v>
      </c>
      <c r="Y393" s="827">
        <v>158</v>
      </c>
      <c r="Z393" s="827">
        <v>161</v>
      </c>
      <c r="AA393" s="827">
        <v>160</v>
      </c>
      <c r="AB393" s="834">
        <v>156</v>
      </c>
      <c r="AC393" s="828">
        <v>160</v>
      </c>
      <c r="AD393" s="828">
        <v>165</v>
      </c>
      <c r="AE393" s="828">
        <v>167</v>
      </c>
      <c r="AF393" s="828">
        <v>172</v>
      </c>
      <c r="AG393" s="828">
        <v>177</v>
      </c>
      <c r="AH393" s="828">
        <v>176</v>
      </c>
      <c r="AI393" s="828">
        <v>174</v>
      </c>
      <c r="AJ393" s="828">
        <v>175</v>
      </c>
      <c r="AK393" s="828">
        <v>200</v>
      </c>
      <c r="AL393" s="828">
        <v>180</v>
      </c>
      <c r="AM393" s="828">
        <v>182</v>
      </c>
      <c r="AN393" s="828">
        <v>185</v>
      </c>
      <c r="AO393" s="828">
        <v>190</v>
      </c>
      <c r="AP393" s="828">
        <v>194</v>
      </c>
    </row>
    <row r="394" hidden="1">
      <c r="B394" s="829" t="s">
        <v>9</v>
      </c>
      <c r="C394" s="823">
        <v>41</v>
      </c>
      <c r="D394" s="823">
        <v>34</v>
      </c>
      <c r="E394" s="823">
        <v>33</v>
      </c>
      <c r="F394" s="823">
        <v>34</v>
      </c>
      <c r="G394" s="823">
        <v>33</v>
      </c>
      <c r="H394" s="823">
        <v>34</v>
      </c>
      <c r="I394" s="823">
        <v>33</v>
      </c>
      <c r="J394" s="823">
        <v>31</v>
      </c>
      <c r="K394" s="823">
        <v>32</v>
      </c>
      <c r="L394" s="823">
        <v>34</v>
      </c>
      <c r="M394" s="823">
        <v>34</v>
      </c>
      <c r="N394" s="823">
        <v>34</v>
      </c>
      <c r="O394" s="823">
        <v>34</v>
      </c>
      <c r="P394" s="823">
        <v>36</v>
      </c>
      <c r="Q394" s="823">
        <v>38</v>
      </c>
      <c r="R394" s="823">
        <v>37</v>
      </c>
      <c r="S394" s="823">
        <v>38</v>
      </c>
      <c r="T394" s="823">
        <v>37</v>
      </c>
      <c r="U394" s="823">
        <v>39</v>
      </c>
      <c r="V394" s="823">
        <v>42</v>
      </c>
      <c r="W394" s="823">
        <v>45</v>
      </c>
      <c r="X394" s="823">
        <v>49</v>
      </c>
      <c r="Y394" s="823">
        <v>46</v>
      </c>
      <c r="Z394" s="823">
        <v>45</v>
      </c>
      <c r="AA394" s="823">
        <v>49</v>
      </c>
      <c r="AB394" s="823">
        <v>51</v>
      </c>
      <c r="AC394" s="825">
        <v>54</v>
      </c>
      <c r="AD394" s="825">
        <v>55</v>
      </c>
      <c r="AE394" s="825">
        <v>57</v>
      </c>
      <c r="AF394" s="825">
        <v>58</v>
      </c>
      <c r="AG394" s="825">
        <v>61</v>
      </c>
      <c r="AH394" s="825">
        <v>67</v>
      </c>
      <c r="AI394" s="825">
        <v>72</v>
      </c>
      <c r="AJ394" s="825">
        <v>97</v>
      </c>
      <c r="AK394" s="825">
        <v>98</v>
      </c>
      <c r="AL394" s="825">
        <v>101</v>
      </c>
      <c r="AM394" s="825">
        <v>98</v>
      </c>
      <c r="AN394" s="825">
        <v>100</v>
      </c>
      <c r="AO394" s="825">
        <v>101</v>
      </c>
      <c r="AP394" s="825">
        <v>105</v>
      </c>
    </row>
    <row r="395" hidden="1">
      <c r="B395" s="826" t="s">
        <v>10</v>
      </c>
      <c r="C395" s="827">
        <v>31</v>
      </c>
      <c r="D395" s="827">
        <v>31</v>
      </c>
      <c r="E395" s="827">
        <v>30</v>
      </c>
      <c r="F395" s="827">
        <v>31</v>
      </c>
      <c r="G395" s="827">
        <v>18</v>
      </c>
      <c r="H395" s="827">
        <v>18</v>
      </c>
      <c r="I395" s="827">
        <v>17</v>
      </c>
      <c r="J395" s="827">
        <v>17</v>
      </c>
      <c r="K395" s="827">
        <v>10</v>
      </c>
      <c r="L395" s="827">
        <v>10</v>
      </c>
      <c r="M395" s="827">
        <v>9</v>
      </c>
      <c r="N395" s="827">
        <v>9</v>
      </c>
      <c r="O395" s="827">
        <v>9</v>
      </c>
      <c r="P395" s="827">
        <v>10</v>
      </c>
      <c r="Q395" s="827">
        <v>11</v>
      </c>
      <c r="R395" s="827">
        <v>13</v>
      </c>
      <c r="S395" s="827">
        <v>15</v>
      </c>
      <c r="T395" s="827">
        <v>16</v>
      </c>
      <c r="U395" s="827">
        <v>16</v>
      </c>
      <c r="V395" s="827">
        <v>18</v>
      </c>
      <c r="W395" s="827">
        <v>19</v>
      </c>
      <c r="X395" s="827">
        <v>20</v>
      </c>
      <c r="Y395" s="827">
        <v>20</v>
      </c>
      <c r="Z395" s="827">
        <v>19</v>
      </c>
      <c r="AA395" s="827">
        <v>18</v>
      </c>
      <c r="AB395" s="827">
        <v>19</v>
      </c>
      <c r="AC395" s="828">
        <v>20</v>
      </c>
      <c r="AD395" s="828">
        <v>20</v>
      </c>
      <c r="AE395" s="828">
        <v>20</v>
      </c>
      <c r="AF395" s="828">
        <v>19</v>
      </c>
      <c r="AG395" s="828">
        <v>19</v>
      </c>
      <c r="AH395" s="828">
        <v>19</v>
      </c>
      <c r="AI395" s="828">
        <v>19</v>
      </c>
      <c r="AJ395" s="828">
        <v>19</v>
      </c>
      <c r="AK395" s="828">
        <v>18</v>
      </c>
      <c r="AL395" s="828">
        <v>18</v>
      </c>
      <c r="AM395" s="828">
        <v>18</v>
      </c>
      <c r="AN395" s="828">
        <v>17</v>
      </c>
      <c r="AO395" s="828">
        <v>19</v>
      </c>
      <c r="AP395" s="828">
        <v>19</v>
      </c>
    </row>
    <row r="396" hidden="1">
      <c r="B396" s="829" t="s">
        <v>11</v>
      </c>
      <c r="C396" s="823">
        <v>13</v>
      </c>
      <c r="D396" s="823">
        <v>20</v>
      </c>
      <c r="E396" s="823">
        <v>30</v>
      </c>
      <c r="F396" s="823">
        <v>35</v>
      </c>
      <c r="G396" s="823">
        <v>21</v>
      </c>
      <c r="H396" s="823">
        <v>22</v>
      </c>
      <c r="I396" s="823">
        <v>25</v>
      </c>
      <c r="J396" s="823">
        <v>20</v>
      </c>
      <c r="K396" s="823">
        <v>13</v>
      </c>
      <c r="L396" s="823">
        <v>14</v>
      </c>
      <c r="M396" s="823">
        <v>14</v>
      </c>
      <c r="N396" s="823">
        <v>13</v>
      </c>
      <c r="O396" s="823">
        <v>11</v>
      </c>
      <c r="P396" s="823">
        <v>11</v>
      </c>
      <c r="Q396" s="823">
        <v>10</v>
      </c>
      <c r="R396" s="823">
        <v>11</v>
      </c>
      <c r="S396" s="823">
        <v>10</v>
      </c>
      <c r="T396" s="823">
        <v>9</v>
      </c>
      <c r="U396" s="823">
        <v>10</v>
      </c>
      <c r="V396" s="823">
        <v>10</v>
      </c>
      <c r="W396" s="823">
        <v>13</v>
      </c>
      <c r="X396" s="823">
        <v>13</v>
      </c>
      <c r="Y396" s="823">
        <v>16</v>
      </c>
      <c r="Z396" s="823">
        <v>19</v>
      </c>
      <c r="AA396" s="823">
        <v>19</v>
      </c>
      <c r="AB396" s="823">
        <v>23</v>
      </c>
      <c r="AC396" s="825">
        <v>25</v>
      </c>
      <c r="AD396" s="825">
        <v>25</v>
      </c>
      <c r="AE396" s="825">
        <v>26</v>
      </c>
      <c r="AF396" s="825">
        <v>28</v>
      </c>
      <c r="AG396" s="825">
        <v>31</v>
      </c>
      <c r="AH396" s="825">
        <v>31</v>
      </c>
      <c r="AI396" s="825">
        <v>40</v>
      </c>
      <c r="AJ396" s="825">
        <v>43</v>
      </c>
      <c r="AK396" s="825">
        <v>46</v>
      </c>
      <c r="AL396" s="825">
        <v>45</v>
      </c>
      <c r="AM396" s="825">
        <v>47</v>
      </c>
      <c r="AN396" s="825">
        <v>48</v>
      </c>
      <c r="AO396" s="825">
        <v>51</v>
      </c>
      <c r="AP396" s="825">
        <v>50</v>
      </c>
    </row>
    <row r="397" hidden="1">
      <c r="B397" s="826" t="s">
        <v>12</v>
      </c>
      <c r="C397" s="827">
        <v>190</v>
      </c>
      <c r="D397" s="827">
        <v>248</v>
      </c>
      <c r="E397" s="827">
        <v>221</v>
      </c>
      <c r="F397" s="827">
        <v>220</v>
      </c>
      <c r="G397" s="827">
        <v>219</v>
      </c>
      <c r="H397" s="827">
        <v>225</v>
      </c>
      <c r="I397" s="827">
        <v>219</v>
      </c>
      <c r="J397" s="827">
        <v>149</v>
      </c>
      <c r="K397" s="827">
        <v>157</v>
      </c>
      <c r="L397" s="827">
        <v>158</v>
      </c>
      <c r="M397" s="827">
        <v>150</v>
      </c>
      <c r="N397" s="827">
        <v>148</v>
      </c>
      <c r="O397" s="827">
        <v>141</v>
      </c>
      <c r="P397" s="827">
        <v>142</v>
      </c>
      <c r="Q397" s="827">
        <v>151</v>
      </c>
      <c r="R397" s="827">
        <v>163</v>
      </c>
      <c r="S397" s="827">
        <v>169</v>
      </c>
      <c r="T397" s="827">
        <v>171</v>
      </c>
      <c r="U397" s="827">
        <v>165</v>
      </c>
      <c r="V397" s="827">
        <v>163</v>
      </c>
      <c r="W397" s="827">
        <v>159</v>
      </c>
      <c r="X397" s="827">
        <v>163</v>
      </c>
      <c r="Y397" s="827">
        <v>169</v>
      </c>
      <c r="Z397" s="827">
        <v>168</v>
      </c>
      <c r="AA397" s="827">
        <v>163</v>
      </c>
      <c r="AB397" s="827">
        <v>151</v>
      </c>
      <c r="AC397" s="828">
        <v>176</v>
      </c>
      <c r="AD397" s="828">
        <v>159</v>
      </c>
      <c r="AE397" s="828">
        <v>162</v>
      </c>
      <c r="AF397" s="828">
        <v>172</v>
      </c>
      <c r="AG397" s="828">
        <v>167</v>
      </c>
      <c r="AH397" s="828">
        <v>166</v>
      </c>
      <c r="AI397" s="828">
        <v>178</v>
      </c>
      <c r="AJ397" s="828">
        <v>184</v>
      </c>
      <c r="AK397" s="828">
        <v>185</v>
      </c>
      <c r="AL397" s="828">
        <v>198</v>
      </c>
      <c r="AM397" s="828">
        <v>190</v>
      </c>
      <c r="AN397" s="828">
        <v>193</v>
      </c>
      <c r="AO397" s="828">
        <v>195</v>
      </c>
      <c r="AP397" s="828">
        <v>195</v>
      </c>
    </row>
    <row r="398" hidden="1">
      <c r="B398" s="829" t="s">
        <v>13</v>
      </c>
      <c r="C398" s="823">
        <v>25</v>
      </c>
      <c r="D398" s="823">
        <v>29</v>
      </c>
      <c r="E398" s="823">
        <v>48</v>
      </c>
      <c r="F398" s="823">
        <v>49</v>
      </c>
      <c r="G398" s="823">
        <v>50</v>
      </c>
      <c r="H398" s="823">
        <v>51</v>
      </c>
      <c r="I398" s="823">
        <v>50</v>
      </c>
      <c r="J398" s="823">
        <v>50</v>
      </c>
      <c r="K398" s="823">
        <v>42</v>
      </c>
      <c r="L398" s="823">
        <v>40</v>
      </c>
      <c r="M398" s="823">
        <v>130</v>
      </c>
      <c r="N398" s="823">
        <v>14</v>
      </c>
      <c r="O398" s="823">
        <v>11</v>
      </c>
      <c r="P398" s="823">
        <v>13</v>
      </c>
      <c r="Q398" s="823">
        <v>14</v>
      </c>
      <c r="R398" s="823">
        <v>12</v>
      </c>
      <c r="S398" s="823">
        <v>15</v>
      </c>
      <c r="T398" s="823">
        <v>16</v>
      </c>
      <c r="U398" s="823">
        <v>13</v>
      </c>
      <c r="V398" s="823">
        <v>17</v>
      </c>
      <c r="W398" s="823">
        <v>14</v>
      </c>
      <c r="X398" s="823">
        <v>16</v>
      </c>
      <c r="Y398" s="823">
        <v>14</v>
      </c>
      <c r="Z398" s="823">
        <v>20</v>
      </c>
      <c r="AA398" s="823">
        <v>23</v>
      </c>
      <c r="AB398" s="823">
        <v>24</v>
      </c>
      <c r="AC398" s="825">
        <v>25</v>
      </c>
      <c r="AD398" s="825">
        <v>26</v>
      </c>
      <c r="AE398" s="825">
        <v>24</v>
      </c>
      <c r="AF398" s="825">
        <v>26</v>
      </c>
      <c r="AG398" s="825">
        <v>24</v>
      </c>
      <c r="AH398" s="825">
        <v>26</v>
      </c>
      <c r="AI398" s="825">
        <v>29</v>
      </c>
      <c r="AJ398" s="825">
        <v>32</v>
      </c>
      <c r="AK398" s="825">
        <v>36</v>
      </c>
      <c r="AL398" s="825">
        <v>30</v>
      </c>
      <c r="AM398" s="825">
        <v>31</v>
      </c>
      <c r="AN398" s="825">
        <v>29</v>
      </c>
      <c r="AO398" s="825">
        <v>27</v>
      </c>
      <c r="AP398" s="825">
        <v>45</v>
      </c>
    </row>
    <row r="399" hidden="1">
      <c r="B399" s="826" t="s">
        <v>109</v>
      </c>
      <c r="C399" s="827">
        <v>116</v>
      </c>
      <c r="D399" s="827">
        <v>106</v>
      </c>
      <c r="E399" s="827">
        <v>102</v>
      </c>
      <c r="F399" s="827">
        <v>97</v>
      </c>
      <c r="G399" s="827">
        <v>91</v>
      </c>
      <c r="H399" s="827">
        <v>89</v>
      </c>
      <c r="I399" s="827">
        <v>90</v>
      </c>
      <c r="J399" s="827">
        <v>87</v>
      </c>
      <c r="K399" s="827">
        <v>90</v>
      </c>
      <c r="L399" s="827">
        <v>86</v>
      </c>
      <c r="M399" s="827">
        <v>85</v>
      </c>
      <c r="N399" s="827">
        <v>83</v>
      </c>
      <c r="O399" s="827">
        <v>77</v>
      </c>
      <c r="P399" s="827">
        <v>83</v>
      </c>
      <c r="Q399" s="827">
        <v>87</v>
      </c>
      <c r="R399" s="827">
        <v>89</v>
      </c>
      <c r="S399" s="827">
        <v>90</v>
      </c>
      <c r="T399" s="827">
        <v>94</v>
      </c>
      <c r="U399" s="827">
        <v>99</v>
      </c>
      <c r="V399" s="827">
        <v>101</v>
      </c>
      <c r="W399" s="827">
        <v>103</v>
      </c>
      <c r="X399" s="827">
        <v>107</v>
      </c>
      <c r="Y399" s="827">
        <v>107</v>
      </c>
      <c r="Z399" s="827">
        <v>110</v>
      </c>
      <c r="AA399" s="827">
        <v>113</v>
      </c>
      <c r="AB399" s="827">
        <v>116</v>
      </c>
      <c r="AC399" s="828">
        <v>126</v>
      </c>
      <c r="AD399" s="828">
        <v>128</v>
      </c>
      <c r="AE399" s="828">
        <v>131</v>
      </c>
      <c r="AF399" s="828">
        <v>133</v>
      </c>
      <c r="AG399" s="828">
        <v>151</v>
      </c>
      <c r="AH399" s="828">
        <v>167</v>
      </c>
      <c r="AI399" s="828">
        <v>120</v>
      </c>
      <c r="AJ399" s="828">
        <v>160</v>
      </c>
      <c r="AK399" s="828">
        <v>170</v>
      </c>
      <c r="AL399" s="828">
        <v>171</v>
      </c>
      <c r="AM399" s="828">
        <v>165</v>
      </c>
      <c r="AN399" s="828">
        <v>173</v>
      </c>
      <c r="AO399" s="828">
        <v>185</v>
      </c>
      <c r="AP399" s="828">
        <v>184</v>
      </c>
    </row>
    <row r="400" hidden="1">
      <c r="B400" s="829" t="s">
        <v>110</v>
      </c>
      <c r="C400" s="823">
        <v>205</v>
      </c>
      <c r="D400" s="823">
        <v>267</v>
      </c>
      <c r="E400" s="823">
        <v>242</v>
      </c>
      <c r="F400" s="823">
        <v>249</v>
      </c>
      <c r="G400" s="823">
        <v>250</v>
      </c>
      <c r="H400" s="823">
        <v>244</v>
      </c>
      <c r="I400" s="823">
        <v>240</v>
      </c>
      <c r="J400" s="823">
        <v>247</v>
      </c>
      <c r="K400" s="823">
        <v>246</v>
      </c>
      <c r="L400" s="823">
        <v>185</v>
      </c>
      <c r="M400" s="823">
        <v>123</v>
      </c>
      <c r="N400" s="823">
        <v>96</v>
      </c>
      <c r="O400" s="823">
        <v>97</v>
      </c>
      <c r="P400" s="823">
        <v>88</v>
      </c>
      <c r="Q400" s="823">
        <v>81</v>
      </c>
      <c r="R400" s="823">
        <v>86</v>
      </c>
      <c r="S400" s="823">
        <v>88</v>
      </c>
      <c r="T400" s="823">
        <v>88</v>
      </c>
      <c r="U400" s="823">
        <v>97</v>
      </c>
      <c r="V400" s="823">
        <v>105</v>
      </c>
      <c r="W400" s="823">
        <v>112</v>
      </c>
      <c r="X400" s="823">
        <v>118</v>
      </c>
      <c r="Y400" s="823">
        <v>127</v>
      </c>
      <c r="Z400" s="823">
        <v>128</v>
      </c>
      <c r="AA400" s="823">
        <v>128</v>
      </c>
      <c r="AB400" s="823">
        <v>129</v>
      </c>
      <c r="AC400" s="825">
        <v>137</v>
      </c>
      <c r="AD400" s="825">
        <v>132</v>
      </c>
      <c r="AE400" s="825">
        <v>135</v>
      </c>
      <c r="AF400" s="825">
        <v>135</v>
      </c>
      <c r="AG400" s="825">
        <v>148</v>
      </c>
      <c r="AH400" s="825">
        <v>145</v>
      </c>
      <c r="AI400" s="825">
        <v>151</v>
      </c>
      <c r="AJ400" s="825">
        <v>157</v>
      </c>
      <c r="AK400" s="825">
        <v>178</v>
      </c>
      <c r="AL400" s="825">
        <v>180</v>
      </c>
      <c r="AM400" s="825">
        <v>179</v>
      </c>
      <c r="AN400" s="825">
        <v>181</v>
      </c>
      <c r="AO400" s="825">
        <v>183</v>
      </c>
      <c r="AP400" s="825">
        <v>182</v>
      </c>
    </row>
    <row r="401" hidden="1">
      <c r="B401" s="826" t="s">
        <v>16</v>
      </c>
      <c r="C401" s="827">
        <v>591</v>
      </c>
      <c r="D401" s="827">
        <v>568</v>
      </c>
      <c r="E401" s="827">
        <v>559</v>
      </c>
      <c r="F401" s="827">
        <v>499</v>
      </c>
      <c r="G401" s="827">
        <v>464</v>
      </c>
      <c r="H401" s="827">
        <v>443</v>
      </c>
      <c r="I401" s="827">
        <v>341</v>
      </c>
      <c r="J401" s="827">
        <v>328</v>
      </c>
      <c r="K401" s="827">
        <v>289</v>
      </c>
      <c r="L401" s="827">
        <v>290</v>
      </c>
      <c r="M401" s="827">
        <v>288</v>
      </c>
      <c r="N401" s="827">
        <v>282</v>
      </c>
      <c r="O401" s="827">
        <v>251</v>
      </c>
      <c r="P401" s="827">
        <v>256</v>
      </c>
      <c r="Q401" s="827">
        <v>220</v>
      </c>
      <c r="R401" s="827">
        <v>207</v>
      </c>
      <c r="S401" s="827">
        <v>221</v>
      </c>
      <c r="T401" s="827">
        <v>223</v>
      </c>
      <c r="U401" s="827">
        <v>208</v>
      </c>
      <c r="V401" s="827">
        <v>209</v>
      </c>
      <c r="W401" s="827">
        <v>226</v>
      </c>
      <c r="X401" s="827">
        <v>252</v>
      </c>
      <c r="Y401" s="827">
        <v>264</v>
      </c>
      <c r="Z401" s="827">
        <v>268</v>
      </c>
      <c r="AA401" s="827">
        <v>285</v>
      </c>
      <c r="AB401" s="827">
        <v>291</v>
      </c>
      <c r="AC401" s="828">
        <v>278</v>
      </c>
      <c r="AD401" s="828">
        <v>265</v>
      </c>
      <c r="AE401" s="828">
        <v>262</v>
      </c>
      <c r="AF401" s="828">
        <v>262</v>
      </c>
      <c r="AG401" s="828">
        <v>261</v>
      </c>
      <c r="AH401" s="828">
        <v>252</v>
      </c>
      <c r="AI401" s="828">
        <v>246</v>
      </c>
      <c r="AJ401" s="828">
        <v>241</v>
      </c>
      <c r="AK401" s="828">
        <v>236</v>
      </c>
      <c r="AL401" s="828">
        <v>221</v>
      </c>
      <c r="AM401" s="828">
        <v>212</v>
      </c>
      <c r="AN401" s="828">
        <v>206</v>
      </c>
      <c r="AO401" s="828">
        <v>206</v>
      </c>
      <c r="AP401" s="828">
        <v>203</v>
      </c>
    </row>
    <row r="402" hidden="1">
      <c r="B402" s="829" t="s">
        <v>17</v>
      </c>
      <c r="C402" s="823">
        <v>34</v>
      </c>
      <c r="D402" s="823">
        <v>37</v>
      </c>
      <c r="E402" s="823">
        <v>43</v>
      </c>
      <c r="F402" s="823">
        <v>54</v>
      </c>
      <c r="G402" s="823">
        <v>60</v>
      </c>
      <c r="H402" s="823">
        <v>63</v>
      </c>
      <c r="I402" s="823">
        <v>70</v>
      </c>
      <c r="J402" s="823">
        <v>70</v>
      </c>
      <c r="K402" s="823">
        <v>71</v>
      </c>
      <c r="L402" s="823">
        <v>74</v>
      </c>
      <c r="M402" s="823">
        <v>70</v>
      </c>
      <c r="N402" s="823">
        <v>70</v>
      </c>
      <c r="O402" s="823">
        <v>45</v>
      </c>
      <c r="P402" s="823">
        <v>48</v>
      </c>
      <c r="Q402" s="823">
        <v>50</v>
      </c>
      <c r="R402" s="823">
        <v>50</v>
      </c>
      <c r="S402" s="823">
        <v>48</v>
      </c>
      <c r="T402" s="823">
        <v>49</v>
      </c>
      <c r="U402" s="823">
        <v>54</v>
      </c>
      <c r="V402" s="823">
        <v>53</v>
      </c>
      <c r="W402" s="823">
        <v>53</v>
      </c>
      <c r="X402" s="823">
        <v>57</v>
      </c>
      <c r="Y402" s="823">
        <v>56</v>
      </c>
      <c r="Z402" s="823">
        <v>60</v>
      </c>
      <c r="AA402" s="823">
        <v>64</v>
      </c>
      <c r="AB402" s="823">
        <v>64</v>
      </c>
      <c r="AC402" s="825">
        <v>68</v>
      </c>
      <c r="AD402" s="825">
        <v>53</v>
      </c>
      <c r="AE402" s="825">
        <v>57</v>
      </c>
      <c r="AF402" s="825">
        <v>56</v>
      </c>
      <c r="AG402" s="825">
        <v>54</v>
      </c>
      <c r="AH402" s="825">
        <v>55</v>
      </c>
      <c r="AI402" s="825">
        <v>56</v>
      </c>
      <c r="AJ402" s="825">
        <v>57</v>
      </c>
      <c r="AK402" s="825">
        <v>59</v>
      </c>
      <c r="AL402" s="825">
        <v>62</v>
      </c>
      <c r="AM402" s="825">
        <v>63</v>
      </c>
      <c r="AN402" s="825">
        <v>62</v>
      </c>
      <c r="AO402" s="825">
        <v>63</v>
      </c>
      <c r="AP402" s="825">
        <v>62</v>
      </c>
    </row>
    <row r="403" hidden="1">
      <c r="B403" s="826" t="s">
        <v>18</v>
      </c>
      <c r="C403" s="827">
        <v>101</v>
      </c>
      <c r="D403" s="827">
        <v>76</v>
      </c>
      <c r="E403" s="827">
        <v>71</v>
      </c>
      <c r="F403" s="827">
        <v>68</v>
      </c>
      <c r="G403" s="827">
        <v>65</v>
      </c>
      <c r="H403" s="827">
        <v>60</v>
      </c>
      <c r="I403" s="827">
        <v>64</v>
      </c>
      <c r="J403" s="827">
        <v>62</v>
      </c>
      <c r="K403" s="827">
        <v>61</v>
      </c>
      <c r="L403" s="827">
        <v>61</v>
      </c>
      <c r="M403" s="827">
        <v>65</v>
      </c>
      <c r="N403" s="827">
        <v>64</v>
      </c>
      <c r="O403" s="827">
        <v>53</v>
      </c>
      <c r="P403" s="827">
        <v>61</v>
      </c>
      <c r="Q403" s="827">
        <v>74</v>
      </c>
      <c r="R403" s="827">
        <v>89</v>
      </c>
      <c r="S403" s="827">
        <v>98</v>
      </c>
      <c r="T403" s="827">
        <v>104</v>
      </c>
      <c r="U403" s="827">
        <v>111</v>
      </c>
      <c r="V403" s="827">
        <v>111</v>
      </c>
      <c r="W403" s="827">
        <v>76</v>
      </c>
      <c r="X403" s="827">
        <v>75</v>
      </c>
      <c r="Y403" s="827">
        <v>65</v>
      </c>
      <c r="Z403" s="827">
        <v>66</v>
      </c>
      <c r="AA403" s="827">
        <v>67</v>
      </c>
      <c r="AB403" s="827">
        <v>69</v>
      </c>
      <c r="AC403" s="828">
        <v>74</v>
      </c>
      <c r="AD403" s="828">
        <v>77</v>
      </c>
      <c r="AE403" s="828">
        <v>80</v>
      </c>
      <c r="AF403" s="828">
        <v>83</v>
      </c>
      <c r="AG403" s="828">
        <v>87</v>
      </c>
      <c r="AH403" s="828">
        <v>88</v>
      </c>
      <c r="AI403" s="828">
        <v>92</v>
      </c>
      <c r="AJ403" s="828">
        <v>286</v>
      </c>
      <c r="AK403" s="828">
        <v>337</v>
      </c>
      <c r="AL403" s="828">
        <v>340</v>
      </c>
      <c r="AM403" s="828">
        <v>333</v>
      </c>
      <c r="AN403" s="828">
        <v>339</v>
      </c>
      <c r="AO403" s="828">
        <v>331</v>
      </c>
      <c r="AP403" s="828">
        <v>331</v>
      </c>
    </row>
    <row r="404" hidden="1">
      <c r="B404" s="829" t="s">
        <v>19</v>
      </c>
      <c r="C404" s="823">
        <v>23</v>
      </c>
      <c r="D404" s="823">
        <v>24</v>
      </c>
      <c r="E404" s="823">
        <v>25</v>
      </c>
      <c r="F404" s="823">
        <v>26</v>
      </c>
      <c r="G404" s="823">
        <v>30</v>
      </c>
      <c r="H404" s="823">
        <v>31</v>
      </c>
      <c r="I404" s="823">
        <v>31</v>
      </c>
      <c r="J404" s="823">
        <v>37</v>
      </c>
      <c r="K404" s="823">
        <v>29</v>
      </c>
      <c r="L404" s="823">
        <v>19</v>
      </c>
      <c r="M404" s="823">
        <v>31</v>
      </c>
      <c r="N404" s="823">
        <v>31</v>
      </c>
      <c r="O404" s="823">
        <v>31</v>
      </c>
      <c r="P404" s="823">
        <v>32</v>
      </c>
      <c r="Q404" s="823">
        <v>31</v>
      </c>
      <c r="R404" s="823">
        <v>35</v>
      </c>
      <c r="S404" s="823">
        <v>39</v>
      </c>
      <c r="T404" s="823">
        <v>40</v>
      </c>
      <c r="U404" s="823">
        <v>42</v>
      </c>
      <c r="V404" s="823">
        <v>43</v>
      </c>
      <c r="W404" s="823">
        <v>44</v>
      </c>
      <c r="X404" s="823">
        <v>47</v>
      </c>
      <c r="Y404" s="823">
        <v>49</v>
      </c>
      <c r="Z404" s="823">
        <v>51</v>
      </c>
      <c r="AA404" s="823">
        <v>52</v>
      </c>
      <c r="AB404" s="823">
        <v>52</v>
      </c>
      <c r="AC404" s="825">
        <v>52</v>
      </c>
      <c r="AD404" s="825">
        <v>37</v>
      </c>
      <c r="AE404" s="825">
        <v>37</v>
      </c>
      <c r="AF404" s="825">
        <v>36</v>
      </c>
      <c r="AG404" s="825">
        <v>28</v>
      </c>
      <c r="AH404" s="825">
        <v>32</v>
      </c>
      <c r="AI404" s="825">
        <v>16</v>
      </c>
      <c r="AJ404" s="825">
        <v>20</v>
      </c>
      <c r="AK404" s="825">
        <v>17</v>
      </c>
      <c r="AL404" s="825">
        <v>18</v>
      </c>
      <c r="AM404" s="825">
        <v>15</v>
      </c>
      <c r="AN404" s="825">
        <v>13</v>
      </c>
      <c r="AO404" s="825">
        <v>13</v>
      </c>
      <c r="AP404" s="825">
        <v>12</v>
      </c>
    </row>
    <row r="405" hidden="1">
      <c r="B405" s="826" t="s">
        <v>20</v>
      </c>
      <c r="C405" s="827">
        <v>29</v>
      </c>
      <c r="D405" s="827">
        <v>28</v>
      </c>
      <c r="E405" s="827">
        <v>26</v>
      </c>
      <c r="F405" s="827">
        <v>27</v>
      </c>
      <c r="G405" s="827">
        <v>26</v>
      </c>
      <c r="H405" s="827">
        <v>23</v>
      </c>
      <c r="I405" s="827">
        <v>22</v>
      </c>
      <c r="J405" s="827">
        <v>22</v>
      </c>
      <c r="K405" s="827">
        <v>21</v>
      </c>
      <c r="L405" s="827">
        <v>21</v>
      </c>
      <c r="M405" s="827">
        <v>19</v>
      </c>
      <c r="N405" s="827">
        <v>12</v>
      </c>
      <c r="O405" s="827">
        <v>13</v>
      </c>
      <c r="P405" s="827">
        <v>13</v>
      </c>
      <c r="Q405" s="827">
        <v>18</v>
      </c>
      <c r="R405" s="827">
        <v>18</v>
      </c>
      <c r="S405" s="827">
        <v>21</v>
      </c>
      <c r="T405" s="827">
        <v>21</v>
      </c>
      <c r="U405" s="827">
        <v>23</v>
      </c>
      <c r="V405" s="827">
        <v>23</v>
      </c>
      <c r="W405" s="827">
        <v>24</v>
      </c>
      <c r="X405" s="827">
        <v>25</v>
      </c>
      <c r="Y405" s="827">
        <v>27</v>
      </c>
      <c r="Z405" s="827">
        <v>29</v>
      </c>
      <c r="AA405" s="827">
        <v>27</v>
      </c>
      <c r="AB405" s="827">
        <v>25</v>
      </c>
      <c r="AC405" s="828">
        <v>27</v>
      </c>
      <c r="AD405" s="828">
        <v>28</v>
      </c>
      <c r="AE405" s="828">
        <v>29</v>
      </c>
      <c r="AF405" s="828">
        <v>32</v>
      </c>
      <c r="AG405" s="828">
        <v>24</v>
      </c>
      <c r="AH405" s="828">
        <v>24</v>
      </c>
      <c r="AI405" s="828">
        <v>24</v>
      </c>
      <c r="AJ405" s="828">
        <v>28</v>
      </c>
      <c r="AK405" s="828">
        <v>27</v>
      </c>
      <c r="AL405" s="828">
        <v>27</v>
      </c>
      <c r="AM405" s="828">
        <v>27</v>
      </c>
      <c r="AN405" s="828">
        <v>26</v>
      </c>
      <c r="AO405" s="828">
        <v>25</v>
      </c>
      <c r="AP405" s="828">
        <v>25</v>
      </c>
    </row>
    <row r="406" hidden="1">
      <c r="B406" s="829" t="s">
        <v>21</v>
      </c>
      <c r="C406" s="823">
        <v>32</v>
      </c>
      <c r="D406" s="823">
        <v>26</v>
      </c>
      <c r="E406" s="823">
        <v>26</v>
      </c>
      <c r="F406" s="823">
        <v>26</v>
      </c>
      <c r="G406" s="823">
        <v>24</v>
      </c>
      <c r="H406" s="823">
        <v>24</v>
      </c>
      <c r="I406" s="823">
        <v>22</v>
      </c>
      <c r="J406" s="823">
        <v>21</v>
      </c>
      <c r="K406" s="823">
        <v>21</v>
      </c>
      <c r="L406" s="823">
        <v>49</v>
      </c>
      <c r="M406" s="823">
        <v>21</v>
      </c>
      <c r="N406" s="823">
        <v>27</v>
      </c>
      <c r="O406" s="823">
        <v>32</v>
      </c>
      <c r="P406" s="823">
        <v>42</v>
      </c>
      <c r="Q406" s="823">
        <v>60</v>
      </c>
      <c r="R406" s="823">
        <v>36</v>
      </c>
      <c r="S406" s="823">
        <v>26</v>
      </c>
      <c r="T406" s="823">
        <v>30</v>
      </c>
      <c r="U406" s="823">
        <v>31</v>
      </c>
      <c r="V406" s="823">
        <v>23</v>
      </c>
      <c r="W406" s="823">
        <v>29</v>
      </c>
      <c r="X406" s="823">
        <v>31</v>
      </c>
      <c r="Y406" s="823">
        <v>32</v>
      </c>
      <c r="Z406" s="823">
        <v>38</v>
      </c>
      <c r="AA406" s="823">
        <v>38</v>
      </c>
      <c r="AB406" s="823">
        <v>41</v>
      </c>
      <c r="AC406" s="825">
        <v>35</v>
      </c>
      <c r="AD406" s="825">
        <v>53</v>
      </c>
      <c r="AE406" s="825">
        <v>72</v>
      </c>
      <c r="AF406" s="825">
        <v>55</v>
      </c>
      <c r="AG406" s="825">
        <v>43</v>
      </c>
      <c r="AH406" s="825">
        <v>39</v>
      </c>
      <c r="AI406" s="825">
        <v>54</v>
      </c>
      <c r="AJ406" s="825">
        <v>61</v>
      </c>
      <c r="AK406" s="825">
        <v>56</v>
      </c>
      <c r="AL406" s="825">
        <v>82</v>
      </c>
      <c r="AM406" s="825">
        <v>125</v>
      </c>
      <c r="AN406" s="825">
        <v>55</v>
      </c>
      <c r="AO406" s="825">
        <v>59</v>
      </c>
      <c r="AP406" s="825">
        <v>64</v>
      </c>
    </row>
    <row r="407" hidden="1">
      <c r="B407" s="826" t="s">
        <v>22</v>
      </c>
      <c r="C407" s="827">
        <v>42</v>
      </c>
      <c r="D407" s="827">
        <v>46</v>
      </c>
      <c r="E407" s="827">
        <v>38</v>
      </c>
      <c r="F407" s="827">
        <v>38</v>
      </c>
      <c r="G407" s="827">
        <v>38</v>
      </c>
      <c r="H407" s="827">
        <v>38</v>
      </c>
      <c r="I407" s="827">
        <v>37</v>
      </c>
      <c r="J407" s="827">
        <v>38</v>
      </c>
      <c r="K407" s="827">
        <v>33</v>
      </c>
      <c r="L407" s="827">
        <v>12</v>
      </c>
      <c r="M407" s="827">
        <v>51</v>
      </c>
      <c r="N407" s="827">
        <v>43</v>
      </c>
      <c r="O407" s="827">
        <v>46</v>
      </c>
      <c r="P407" s="827">
        <v>46</v>
      </c>
      <c r="Q407" s="827">
        <v>46</v>
      </c>
      <c r="R407" s="827">
        <v>53</v>
      </c>
      <c r="S407" s="827">
        <v>59</v>
      </c>
      <c r="T407" s="827">
        <v>61</v>
      </c>
      <c r="U407" s="827">
        <v>66</v>
      </c>
      <c r="V407" s="827">
        <v>65</v>
      </c>
      <c r="W407" s="827">
        <v>68</v>
      </c>
      <c r="X407" s="827">
        <v>71</v>
      </c>
      <c r="Y407" s="827">
        <v>68</v>
      </c>
      <c r="Z407" s="827">
        <v>71</v>
      </c>
      <c r="AA407" s="827">
        <v>71</v>
      </c>
      <c r="AB407" s="827">
        <v>72</v>
      </c>
      <c r="AC407" s="828">
        <v>77</v>
      </c>
      <c r="AD407" s="828">
        <v>83</v>
      </c>
      <c r="AE407" s="828">
        <v>82</v>
      </c>
      <c r="AF407" s="828">
        <v>90</v>
      </c>
      <c r="AG407" s="828">
        <v>94</v>
      </c>
      <c r="AH407" s="828">
        <v>96</v>
      </c>
      <c r="AI407" s="828">
        <v>94</v>
      </c>
      <c r="AJ407" s="828">
        <v>97</v>
      </c>
      <c r="AK407" s="828">
        <v>94</v>
      </c>
      <c r="AL407" s="828">
        <v>95</v>
      </c>
      <c r="AM407" s="828">
        <v>98</v>
      </c>
      <c r="AN407" s="828">
        <v>98</v>
      </c>
      <c r="AO407" s="828">
        <v>97</v>
      </c>
      <c r="AP407" s="828">
        <v>94</v>
      </c>
    </row>
    <row r="408" hidden="1">
      <c r="B408" s="829" t="s">
        <v>23</v>
      </c>
      <c r="C408" s="823">
        <v>14</v>
      </c>
      <c r="D408" s="823">
        <v>14</v>
      </c>
      <c r="E408" s="823">
        <v>14</v>
      </c>
      <c r="F408" s="823">
        <v>15</v>
      </c>
      <c r="G408" s="823">
        <v>15</v>
      </c>
      <c r="H408" s="823">
        <v>15</v>
      </c>
      <c r="I408" s="823">
        <v>14</v>
      </c>
      <c r="J408" s="823">
        <v>14</v>
      </c>
      <c r="K408" s="823">
        <v>12</v>
      </c>
      <c r="L408" s="823">
        <v>25</v>
      </c>
      <c r="M408" s="823">
        <v>10</v>
      </c>
      <c r="N408" s="823">
        <v>10</v>
      </c>
      <c r="O408" s="823">
        <v>7</v>
      </c>
      <c r="P408" s="823">
        <v>7</v>
      </c>
      <c r="Q408" s="823">
        <v>9</v>
      </c>
      <c r="R408" s="823">
        <v>9</v>
      </c>
      <c r="S408" s="823">
        <v>9</v>
      </c>
      <c r="T408" s="823">
        <v>9</v>
      </c>
      <c r="U408" s="823">
        <v>10</v>
      </c>
      <c r="V408" s="823">
        <v>11</v>
      </c>
      <c r="W408" s="823">
        <v>11</v>
      </c>
      <c r="X408" s="823">
        <v>10</v>
      </c>
      <c r="Y408" s="823">
        <v>10</v>
      </c>
      <c r="Z408" s="823">
        <v>12</v>
      </c>
      <c r="AA408" s="823">
        <v>12</v>
      </c>
      <c r="AB408" s="823">
        <v>11</v>
      </c>
      <c r="AC408" s="825">
        <v>13</v>
      </c>
      <c r="AD408" s="825">
        <v>14</v>
      </c>
      <c r="AE408" s="825">
        <v>14</v>
      </c>
      <c r="AF408" s="825">
        <v>14</v>
      </c>
      <c r="AG408" s="825">
        <v>13</v>
      </c>
      <c r="AH408" s="825">
        <v>13</v>
      </c>
      <c r="AI408" s="825">
        <v>14</v>
      </c>
      <c r="AJ408" s="825">
        <v>16</v>
      </c>
      <c r="AK408" s="825">
        <v>14</v>
      </c>
      <c r="AL408" s="825">
        <v>12</v>
      </c>
      <c r="AM408" s="825">
        <v>11</v>
      </c>
      <c r="AN408" s="825">
        <v>10</v>
      </c>
      <c r="AO408" s="825">
        <v>11</v>
      </c>
      <c r="AP408" s="825">
        <v>12</v>
      </c>
    </row>
    <row r="409" hidden="1">
      <c r="B409" s="835" t="s">
        <v>24</v>
      </c>
      <c r="C409" s="827">
        <v>91</v>
      </c>
      <c r="D409" s="827">
        <v>87</v>
      </c>
      <c r="E409" s="827">
        <v>83</v>
      </c>
      <c r="F409" s="827">
        <v>83</v>
      </c>
      <c r="G409" s="827">
        <v>82</v>
      </c>
      <c r="H409" s="827">
        <v>76</v>
      </c>
      <c r="I409" s="827">
        <v>75</v>
      </c>
      <c r="J409" s="827">
        <v>75</v>
      </c>
      <c r="K409" s="827">
        <v>74</v>
      </c>
      <c r="L409" s="827">
        <v>69</v>
      </c>
      <c r="M409" s="827">
        <v>69</v>
      </c>
      <c r="N409" s="827">
        <v>69</v>
      </c>
      <c r="O409" s="827">
        <v>66</v>
      </c>
      <c r="P409" s="827">
        <v>67</v>
      </c>
      <c r="Q409" s="827">
        <v>66</v>
      </c>
      <c r="R409" s="827">
        <v>63</v>
      </c>
      <c r="S409" s="827">
        <v>61</v>
      </c>
      <c r="T409" s="827">
        <v>63</v>
      </c>
      <c r="U409" s="827">
        <v>65</v>
      </c>
      <c r="V409" s="827">
        <v>68</v>
      </c>
      <c r="W409" s="827">
        <v>70</v>
      </c>
      <c r="X409" s="827">
        <v>76</v>
      </c>
      <c r="Y409" s="827">
        <v>75</v>
      </c>
      <c r="Z409" s="827">
        <v>76</v>
      </c>
      <c r="AA409" s="827">
        <v>76</v>
      </c>
      <c r="AB409" s="827">
        <v>76</v>
      </c>
      <c r="AC409" s="828">
        <v>76</v>
      </c>
      <c r="AD409" s="828">
        <v>72</v>
      </c>
      <c r="AE409" s="828">
        <v>71</v>
      </c>
      <c r="AF409" s="828">
        <v>70</v>
      </c>
      <c r="AG409" s="828">
        <v>77</v>
      </c>
      <c r="AH409" s="828">
        <v>77</v>
      </c>
      <c r="AI409" s="828">
        <v>82</v>
      </c>
      <c r="AJ409" s="828">
        <v>102</v>
      </c>
      <c r="AK409" s="828">
        <v>104</v>
      </c>
      <c r="AL409" s="828">
        <v>100</v>
      </c>
      <c r="AM409" s="828">
        <v>97</v>
      </c>
      <c r="AN409" s="828">
        <v>97</v>
      </c>
      <c r="AO409" s="828">
        <v>101</v>
      </c>
      <c r="AP409" s="828">
        <v>110</v>
      </c>
    </row>
    <row r="410" hidden="1">
      <c r="B410" s="829" t="s">
        <v>25</v>
      </c>
      <c r="C410" s="823">
        <v>0</v>
      </c>
      <c r="D410" s="823">
        <v>0</v>
      </c>
      <c r="E410" s="823">
        <v>0</v>
      </c>
      <c r="F410" s="823">
        <v>0</v>
      </c>
      <c r="G410" s="823">
        <v>0</v>
      </c>
      <c r="H410" s="823">
        <v>0</v>
      </c>
      <c r="I410" s="823">
        <v>0</v>
      </c>
      <c r="J410" s="823">
        <v>0</v>
      </c>
      <c r="K410" s="823">
        <v>0</v>
      </c>
      <c r="L410" s="823">
        <v>0</v>
      </c>
      <c r="M410" s="823">
        <v>0</v>
      </c>
      <c r="N410" s="823">
        <v>0</v>
      </c>
      <c r="O410" s="823">
        <v>0</v>
      </c>
      <c r="P410" s="823">
        <v>0</v>
      </c>
      <c r="Q410" s="823">
        <v>0</v>
      </c>
      <c r="R410" s="823">
        <v>0</v>
      </c>
      <c r="S410" s="823">
        <v>0</v>
      </c>
      <c r="T410" s="823">
        <v>0</v>
      </c>
      <c r="U410" s="823">
        <v>0</v>
      </c>
      <c r="V410" s="823">
        <v>0</v>
      </c>
      <c r="W410" s="823">
        <v>0</v>
      </c>
      <c r="X410" s="823">
        <v>0</v>
      </c>
      <c r="Y410" s="823">
        <v>0</v>
      </c>
      <c r="Z410" s="823">
        <v>0</v>
      </c>
      <c r="AA410" s="823">
        <v>0</v>
      </c>
      <c r="AB410" s="823">
        <v>0</v>
      </c>
      <c r="AC410" s="825">
        <v>0</v>
      </c>
      <c r="AD410" s="825">
        <v>0</v>
      </c>
      <c r="AE410" s="825">
        <v>0</v>
      </c>
      <c r="AF410" s="825">
        <v>0</v>
      </c>
      <c r="AG410" s="825">
        <v>0</v>
      </c>
      <c r="AH410" s="825">
        <v>0</v>
      </c>
      <c r="AI410" s="825">
        <v>0</v>
      </c>
      <c r="AJ410" s="825">
        <v>0</v>
      </c>
      <c r="AK410" s="825">
        <v>0</v>
      </c>
      <c r="AL410" s="825">
        <v>0</v>
      </c>
      <c r="AM410" s="825">
        <v>0</v>
      </c>
      <c r="AN410" s="825">
        <v>0</v>
      </c>
      <c r="AO410" s="825">
        <v>0</v>
      </c>
      <c r="AP410" s="825">
        <v>0</v>
      </c>
    </row>
    <row r="411" hidden="1" ht="13.5">
      <c r="B411" s="836" t="s">
        <v>26</v>
      </c>
      <c r="C411" s="827">
        <v>0</v>
      </c>
      <c r="D411" s="827">
        <v>0</v>
      </c>
      <c r="E411" s="827">
        <v>0</v>
      </c>
      <c r="F411" s="827">
        <v>0</v>
      </c>
      <c r="G411" s="827">
        <v>0</v>
      </c>
      <c r="H411" s="827">
        <v>0</v>
      </c>
      <c r="I411" s="827">
        <v>0</v>
      </c>
      <c r="J411" s="827">
        <v>0</v>
      </c>
      <c r="K411" s="827">
        <v>0</v>
      </c>
      <c r="L411" s="827">
        <v>0</v>
      </c>
      <c r="M411" s="827">
        <v>0</v>
      </c>
      <c r="N411" s="827">
        <v>0</v>
      </c>
      <c r="O411" s="827">
        <v>0</v>
      </c>
      <c r="P411" s="827">
        <v>0</v>
      </c>
      <c r="Q411" s="827">
        <v>0</v>
      </c>
      <c r="R411" s="827">
        <v>0</v>
      </c>
      <c r="S411" s="827">
        <v>0</v>
      </c>
      <c r="T411" s="827">
        <v>0</v>
      </c>
      <c r="U411" s="827">
        <v>0</v>
      </c>
      <c r="V411" s="827">
        <v>0</v>
      </c>
      <c r="W411" s="827">
        <v>0</v>
      </c>
      <c r="X411" s="827">
        <v>0</v>
      </c>
      <c r="Y411" s="827">
        <v>0</v>
      </c>
      <c r="Z411" s="827">
        <v>0</v>
      </c>
      <c r="AA411" s="827">
        <v>0</v>
      </c>
      <c r="AB411" s="837">
        <v>0</v>
      </c>
      <c r="AC411" s="828">
        <v>0</v>
      </c>
      <c r="AD411" s="828">
        <v>0</v>
      </c>
      <c r="AE411" s="828">
        <v>0</v>
      </c>
      <c r="AF411" s="828">
        <v>0</v>
      </c>
      <c r="AG411" s="828">
        <v>0</v>
      </c>
      <c r="AH411" s="828">
        <v>0</v>
      </c>
      <c r="AI411" s="828">
        <v>0</v>
      </c>
      <c r="AJ411" s="828">
        <v>0</v>
      </c>
      <c r="AK411" s="828">
        <v>0</v>
      </c>
      <c r="AL411" s="828">
        <v>0</v>
      </c>
      <c r="AM411" s="828">
        <v>0</v>
      </c>
      <c r="AN411" s="828">
        <v>0</v>
      </c>
      <c r="AO411" s="828">
        <v>0</v>
      </c>
      <c r="AP411" s="828">
        <v>0</v>
      </c>
    </row>
    <row r="412" hidden="1" ht="13.5">
      <c r="B412" s="128" t="s">
        <v>7</v>
      </c>
      <c r="C412" s="129" t="str">
        <f>IF(SUM(C393:C411)&lt;&gt;0,SUM(C393:C411),"")</f>
      </c>
      <c r="D412" s="129" t="str">
        <f ref="D412:AA412" t="shared" si="45">IF(SUM(D393:D411)&lt;&gt;0,SUM(D393:D411),"")</f>
      </c>
      <c r="E412" s="129" t="str">
        <f t="shared" si="45"/>
      </c>
      <c r="F412" s="129" t="str">
        <f t="shared" si="45"/>
      </c>
      <c r="G412" s="129" t="str">
        <f t="shared" si="45"/>
      </c>
      <c r="H412" s="129" t="str">
        <f t="shared" si="45"/>
      </c>
      <c r="I412" s="129" t="str">
        <f t="shared" si="45"/>
      </c>
      <c r="J412" s="129" t="str">
        <f t="shared" si="45"/>
      </c>
      <c r="K412" s="129" t="str">
        <f t="shared" si="45"/>
      </c>
      <c r="L412" s="129" t="str">
        <f t="shared" si="45"/>
      </c>
      <c r="M412" s="129" t="str">
        <f t="shared" si="45"/>
      </c>
      <c r="N412" s="129" t="str">
        <f t="shared" si="45"/>
      </c>
      <c r="O412" s="129" t="str">
        <f t="shared" si="45"/>
      </c>
      <c r="P412" s="129" t="str">
        <f t="shared" si="45"/>
      </c>
      <c r="Q412" s="129" t="str">
        <f t="shared" si="45"/>
      </c>
      <c r="R412" s="129" t="str">
        <f t="shared" si="45"/>
      </c>
      <c r="S412" s="129" t="str">
        <f t="shared" si="45"/>
      </c>
      <c r="T412" s="129" t="str">
        <f t="shared" si="45"/>
      </c>
      <c r="U412" s="129" t="str">
        <f t="shared" si="45"/>
      </c>
      <c r="V412" s="129" t="str">
        <f t="shared" si="45"/>
      </c>
      <c r="W412" s="129" t="str">
        <f t="shared" si="45"/>
      </c>
      <c r="X412" s="129" t="str">
        <f t="shared" si="45"/>
      </c>
      <c r="Y412" s="129" t="str">
        <f t="shared" si="45"/>
      </c>
      <c r="Z412" s="129" t="str">
        <f t="shared" si="45"/>
      </c>
      <c r="AA412" s="129" t="str">
        <f t="shared" si="45"/>
      </c>
      <c r="AB412" s="130" t="str">
        <f>IF(SUM(AB393:AB411)&lt;&gt;0,SUM(AB393:AB411),"")</f>
      </c>
      <c r="AC412" s="91" t="str">
        <f ref="AC412:CN412" t="shared" si="46">IF(SUM(AC393:AC411)&lt;&gt;0,SUM(AC393:AC411),"")</f>
      </c>
      <c r="AD412" s="91" t="str">
        <f t="shared" si="46"/>
      </c>
      <c r="AE412" s="91" t="str">
        <f t="shared" si="46"/>
      </c>
      <c r="AF412" s="91" t="str">
        <f t="shared" si="46"/>
      </c>
      <c r="AG412" s="91" t="str">
        <f t="shared" si="46"/>
      </c>
      <c r="AH412" s="91" t="str">
        <f t="shared" si="46"/>
      </c>
      <c r="AI412" s="91" t="str">
        <f t="shared" si="46"/>
      </c>
      <c r="AJ412" s="91" t="str">
        <f t="shared" si="46"/>
      </c>
      <c r="AK412" s="91" t="str">
        <f t="shared" si="46"/>
      </c>
      <c r="AL412" s="91" t="str">
        <f t="shared" si="46"/>
      </c>
      <c r="AM412" s="91" t="str">
        <f t="shared" si="46"/>
      </c>
      <c r="AN412" s="91" t="str">
        <f t="shared" si="46"/>
      </c>
      <c r="AO412" s="91" t="str">
        <f t="shared" si="46"/>
      </c>
      <c r="AP412" s="91" t="str">
        <f t="shared" si="46"/>
      </c>
      <c r="AQ412" s="91" t="str">
        <f t="shared" si="46"/>
      </c>
      <c r="AR412" s="91" t="str">
        <f t="shared" si="46"/>
      </c>
      <c r="AS412" s="91" t="str">
        <f t="shared" si="46"/>
      </c>
      <c r="AT412" s="91" t="str">
        <f t="shared" si="46"/>
      </c>
      <c r="AU412" s="91" t="str">
        <f t="shared" si="46"/>
      </c>
      <c r="AV412" s="91" t="str">
        <f t="shared" si="46"/>
      </c>
      <c r="AW412" s="91" t="str">
        <f t="shared" si="46"/>
      </c>
      <c r="AX412" s="91" t="str">
        <f t="shared" si="46"/>
      </c>
      <c r="AY412" s="91" t="str">
        <f t="shared" si="46"/>
      </c>
      <c r="AZ412" s="91" t="str">
        <f t="shared" si="46"/>
      </c>
      <c r="BA412" s="91" t="str">
        <f t="shared" si="46"/>
      </c>
      <c r="BB412" s="91" t="str">
        <f t="shared" si="46"/>
      </c>
      <c r="BC412" s="91" t="str">
        <f t="shared" si="46"/>
      </c>
      <c r="BD412" s="91" t="str">
        <f t="shared" si="46"/>
      </c>
      <c r="BE412" s="91" t="str">
        <f t="shared" si="46"/>
      </c>
      <c r="BF412" s="91" t="str">
        <f t="shared" si="46"/>
      </c>
      <c r="BG412" s="91" t="str">
        <f t="shared" si="46"/>
      </c>
      <c r="BH412" s="91" t="str">
        <f t="shared" si="46"/>
      </c>
      <c r="BI412" s="91" t="str">
        <f t="shared" si="46"/>
      </c>
      <c r="BJ412" s="91" t="str">
        <f t="shared" si="46"/>
      </c>
      <c r="BK412" s="91" t="str">
        <f t="shared" si="46"/>
      </c>
      <c r="BL412" s="91" t="str">
        <f t="shared" si="46"/>
      </c>
      <c r="BM412" s="91" t="str">
        <f t="shared" si="46"/>
      </c>
      <c r="BN412" s="91" t="str">
        <f t="shared" si="46"/>
      </c>
      <c r="BO412" s="91" t="str">
        <f t="shared" si="46"/>
      </c>
      <c r="BP412" s="91" t="str">
        <f t="shared" si="46"/>
      </c>
      <c r="BQ412" s="91" t="str">
        <f t="shared" si="46"/>
      </c>
      <c r="BR412" s="91" t="str">
        <f t="shared" si="46"/>
      </c>
      <c r="BS412" s="91" t="str">
        <f t="shared" si="46"/>
      </c>
      <c r="BT412" s="91" t="str">
        <f t="shared" si="46"/>
      </c>
      <c r="BU412" s="91" t="str">
        <f t="shared" si="46"/>
      </c>
      <c r="BV412" s="91" t="str">
        <f t="shared" si="46"/>
      </c>
      <c r="BW412" s="91" t="str">
        <f t="shared" si="46"/>
      </c>
      <c r="BX412" s="91" t="str">
        <f t="shared" si="46"/>
      </c>
      <c r="BY412" s="91" t="str">
        <f t="shared" si="46"/>
      </c>
      <c r="BZ412" s="91" t="str">
        <f t="shared" si="46"/>
      </c>
      <c r="CA412" s="91" t="str">
        <f t="shared" si="46"/>
      </c>
      <c r="CB412" s="91" t="str">
        <f t="shared" si="46"/>
      </c>
      <c r="CC412" s="91" t="str">
        <f t="shared" si="46"/>
      </c>
      <c r="CD412" s="91" t="str">
        <f t="shared" si="46"/>
      </c>
      <c r="CE412" s="91" t="str">
        <f t="shared" si="46"/>
      </c>
      <c r="CF412" s="91" t="str">
        <f t="shared" si="46"/>
      </c>
      <c r="CG412" s="91" t="str">
        <f t="shared" si="46"/>
      </c>
      <c r="CH412" s="91" t="str">
        <f t="shared" si="46"/>
      </c>
      <c r="CI412" s="91" t="str">
        <f t="shared" si="46"/>
      </c>
      <c r="CJ412" s="91" t="str">
        <f t="shared" si="46"/>
      </c>
      <c r="CK412" s="91" t="str">
        <f t="shared" si="46"/>
      </c>
      <c r="CL412" s="91" t="str">
        <f t="shared" si="46"/>
      </c>
      <c r="CM412" s="91" t="str">
        <f t="shared" si="46"/>
      </c>
      <c r="CN412" s="91" t="str">
        <f t="shared" si="46"/>
      </c>
      <c r="CO412" s="91" t="str">
        <f ref="CO412:EZ412" t="shared" si="47">IF(SUM(CO393:CO411)&lt;&gt;0,SUM(CO393:CO411),"")</f>
      </c>
      <c r="CP412" s="91" t="str">
        <f t="shared" si="47"/>
      </c>
      <c r="CQ412" s="91" t="str">
        <f t="shared" si="47"/>
      </c>
      <c r="CR412" s="91" t="str">
        <f t="shared" si="47"/>
      </c>
      <c r="CS412" s="91" t="str">
        <f t="shared" si="47"/>
      </c>
      <c r="CT412" s="91" t="str">
        <f t="shared" si="47"/>
      </c>
      <c r="CU412" s="91" t="str">
        <f t="shared" si="47"/>
      </c>
      <c r="CV412" s="91" t="str">
        <f t="shared" si="47"/>
      </c>
      <c r="CW412" s="91" t="str">
        <f t="shared" si="47"/>
      </c>
      <c r="CX412" s="91" t="str">
        <f t="shared" si="47"/>
      </c>
      <c r="CY412" s="91" t="str">
        <f t="shared" si="47"/>
      </c>
      <c r="CZ412" s="91" t="str">
        <f t="shared" si="47"/>
      </c>
      <c r="DA412" s="91" t="str">
        <f t="shared" si="47"/>
      </c>
      <c r="DB412" s="91" t="str">
        <f t="shared" si="47"/>
      </c>
      <c r="DC412" s="91" t="str">
        <f t="shared" si="47"/>
      </c>
      <c r="DD412" s="91" t="str">
        <f t="shared" si="47"/>
      </c>
      <c r="DE412" s="91" t="str">
        <f t="shared" si="47"/>
      </c>
      <c r="DF412" s="91" t="str">
        <f t="shared" si="47"/>
      </c>
      <c r="DG412" s="91" t="str">
        <f t="shared" si="47"/>
      </c>
      <c r="DH412" s="91" t="str">
        <f t="shared" si="47"/>
      </c>
      <c r="DI412" s="91" t="str">
        <f t="shared" si="47"/>
      </c>
      <c r="DJ412" s="91" t="str">
        <f t="shared" si="47"/>
      </c>
      <c r="DK412" s="91" t="str">
        <f t="shared" si="47"/>
      </c>
      <c r="DL412" s="91" t="str">
        <f t="shared" si="47"/>
      </c>
      <c r="DM412" s="91" t="str">
        <f t="shared" si="47"/>
      </c>
      <c r="DN412" s="91" t="str">
        <f t="shared" si="47"/>
      </c>
      <c r="DO412" s="91" t="str">
        <f t="shared" si="47"/>
      </c>
      <c r="DP412" s="91" t="str">
        <f t="shared" si="47"/>
      </c>
      <c r="DQ412" s="91" t="str">
        <f t="shared" si="47"/>
      </c>
      <c r="DR412" s="91" t="str">
        <f t="shared" si="47"/>
      </c>
      <c r="DS412" s="91" t="str">
        <f t="shared" si="47"/>
      </c>
      <c r="DT412" s="91" t="str">
        <f t="shared" si="47"/>
      </c>
      <c r="DU412" s="91" t="str">
        <f t="shared" si="47"/>
      </c>
      <c r="DV412" s="91" t="str">
        <f t="shared" si="47"/>
      </c>
      <c r="DW412" s="91" t="str">
        <f t="shared" si="47"/>
      </c>
      <c r="DX412" s="91" t="str">
        <f t="shared" si="47"/>
      </c>
      <c r="DY412" s="91" t="str">
        <f t="shared" si="47"/>
      </c>
      <c r="DZ412" s="91" t="str">
        <f t="shared" si="47"/>
      </c>
      <c r="EA412" s="91" t="str">
        <f t="shared" si="47"/>
      </c>
      <c r="EB412" s="91" t="str">
        <f t="shared" si="47"/>
      </c>
      <c r="EC412" s="91" t="str">
        <f t="shared" si="47"/>
      </c>
      <c r="ED412" s="91" t="str">
        <f t="shared" si="47"/>
      </c>
      <c r="EE412" s="91" t="str">
        <f t="shared" si="47"/>
      </c>
      <c r="EF412" s="91" t="str">
        <f t="shared" si="47"/>
      </c>
      <c r="EG412" s="91" t="str">
        <f t="shared" si="47"/>
      </c>
      <c r="EH412" s="91" t="str">
        <f t="shared" si="47"/>
      </c>
      <c r="EI412" s="91" t="str">
        <f t="shared" si="47"/>
      </c>
      <c r="EJ412" s="91" t="str">
        <f t="shared" si="47"/>
      </c>
      <c r="EK412" s="91" t="str">
        <f t="shared" si="47"/>
      </c>
      <c r="EL412" s="91" t="str">
        <f t="shared" si="47"/>
      </c>
      <c r="EM412" s="91" t="str">
        <f t="shared" si="47"/>
      </c>
      <c r="EN412" s="91" t="str">
        <f t="shared" si="47"/>
      </c>
      <c r="EO412" s="91" t="str">
        <f t="shared" si="47"/>
      </c>
      <c r="EP412" s="91" t="str">
        <f t="shared" si="47"/>
      </c>
      <c r="EQ412" s="91" t="str">
        <f t="shared" si="47"/>
      </c>
      <c r="ER412" s="91" t="str">
        <f t="shared" si="47"/>
      </c>
      <c r="ES412" s="91" t="str">
        <f t="shared" si="47"/>
      </c>
      <c r="ET412" s="91" t="str">
        <f t="shared" si="47"/>
      </c>
      <c r="EU412" s="91" t="str">
        <f t="shared" si="47"/>
      </c>
      <c r="EV412" s="91" t="str">
        <f t="shared" si="47"/>
      </c>
      <c r="EW412" s="91" t="str">
        <f t="shared" si="47"/>
      </c>
      <c r="EX412" s="91" t="str">
        <f t="shared" si="47"/>
      </c>
      <c r="EY412" s="91" t="str">
        <f t="shared" si="47"/>
      </c>
      <c r="EZ412" s="91" t="str">
        <f t="shared" si="47"/>
      </c>
      <c r="FA412" s="91" t="str">
        <f ref="FA412:HL412" t="shared" si="48">IF(SUM(FA393:FA411)&lt;&gt;0,SUM(FA393:FA411),"")</f>
      </c>
      <c r="FB412" s="91" t="str">
        <f t="shared" si="48"/>
      </c>
      <c r="FC412" s="91" t="str">
        <f t="shared" si="48"/>
      </c>
      <c r="FD412" s="91" t="str">
        <f t="shared" si="48"/>
      </c>
      <c r="FE412" s="91" t="str">
        <f t="shared" si="48"/>
      </c>
      <c r="FF412" s="91" t="str">
        <f t="shared" si="48"/>
      </c>
      <c r="FG412" s="91" t="str">
        <f t="shared" si="48"/>
      </c>
      <c r="FH412" s="91" t="str">
        <f t="shared" si="48"/>
      </c>
      <c r="FI412" s="91" t="str">
        <f t="shared" si="48"/>
      </c>
      <c r="FJ412" s="91" t="str">
        <f t="shared" si="48"/>
      </c>
      <c r="FK412" s="91" t="str">
        <f t="shared" si="48"/>
      </c>
      <c r="FL412" s="91" t="str">
        <f t="shared" si="48"/>
      </c>
      <c r="FM412" s="91" t="str">
        <f t="shared" si="48"/>
      </c>
      <c r="FN412" s="91" t="str">
        <f t="shared" si="48"/>
      </c>
      <c r="FO412" s="91" t="str">
        <f t="shared" si="48"/>
      </c>
      <c r="FP412" s="91" t="str">
        <f t="shared" si="48"/>
      </c>
      <c r="FQ412" s="91" t="str">
        <f t="shared" si="48"/>
      </c>
      <c r="FR412" s="91" t="str">
        <f t="shared" si="48"/>
      </c>
      <c r="FS412" s="91" t="str">
        <f t="shared" si="48"/>
      </c>
      <c r="FT412" s="91" t="str">
        <f t="shared" si="48"/>
      </c>
      <c r="FU412" s="91" t="str">
        <f t="shared" si="48"/>
      </c>
      <c r="FV412" s="91" t="str">
        <f t="shared" si="48"/>
      </c>
      <c r="FW412" s="91" t="str">
        <f t="shared" si="48"/>
      </c>
      <c r="FX412" s="91" t="str">
        <f t="shared" si="48"/>
      </c>
      <c r="FY412" s="91" t="str">
        <f t="shared" si="48"/>
      </c>
      <c r="FZ412" s="91" t="str">
        <f t="shared" si="48"/>
      </c>
      <c r="GA412" s="91" t="str">
        <f t="shared" si="48"/>
      </c>
      <c r="GB412" s="91" t="str">
        <f t="shared" si="48"/>
      </c>
      <c r="GC412" s="91" t="str">
        <f t="shared" si="48"/>
      </c>
      <c r="GD412" s="91" t="str">
        <f t="shared" si="48"/>
      </c>
      <c r="GE412" s="91" t="str">
        <f t="shared" si="48"/>
      </c>
      <c r="GF412" s="91" t="str">
        <f t="shared" si="48"/>
      </c>
      <c r="GG412" s="91" t="str">
        <f t="shared" si="48"/>
      </c>
      <c r="GH412" s="91" t="str">
        <f t="shared" si="48"/>
      </c>
      <c r="GI412" s="91" t="str">
        <f t="shared" si="48"/>
      </c>
      <c r="GJ412" s="91" t="str">
        <f t="shared" si="48"/>
      </c>
      <c r="GK412" s="91" t="str">
        <f t="shared" si="48"/>
      </c>
      <c r="GL412" s="91" t="str">
        <f t="shared" si="48"/>
      </c>
      <c r="GM412" s="91" t="str">
        <f t="shared" si="48"/>
      </c>
      <c r="GN412" s="91" t="str">
        <f t="shared" si="48"/>
      </c>
      <c r="GO412" s="91" t="str">
        <f t="shared" si="48"/>
      </c>
      <c r="GP412" s="91" t="str">
        <f t="shared" si="48"/>
      </c>
      <c r="GQ412" s="91" t="str">
        <f t="shared" si="48"/>
      </c>
      <c r="GR412" s="91" t="str">
        <f t="shared" si="48"/>
      </c>
      <c r="GS412" s="91" t="str">
        <f t="shared" si="48"/>
      </c>
      <c r="GT412" s="91" t="str">
        <f t="shared" si="48"/>
      </c>
      <c r="GU412" s="91" t="str">
        <f t="shared" si="48"/>
      </c>
      <c r="GV412" s="91" t="str">
        <f t="shared" si="48"/>
      </c>
      <c r="GW412" s="91" t="str">
        <f t="shared" si="48"/>
      </c>
      <c r="GX412" s="91" t="str">
        <f t="shared" si="48"/>
      </c>
      <c r="GY412" s="91" t="str">
        <f t="shared" si="48"/>
      </c>
      <c r="GZ412" s="91" t="str">
        <f t="shared" si="48"/>
      </c>
      <c r="HA412" s="91" t="str">
        <f t="shared" si="48"/>
      </c>
      <c r="HB412" s="91" t="str">
        <f t="shared" si="48"/>
      </c>
      <c r="HC412" s="91" t="str">
        <f t="shared" si="48"/>
      </c>
      <c r="HD412" s="91" t="str">
        <f t="shared" si="48"/>
      </c>
      <c r="HE412" s="91" t="str">
        <f t="shared" si="48"/>
      </c>
      <c r="HF412" s="91" t="str">
        <f t="shared" si="48"/>
      </c>
      <c r="HG412" s="91" t="str">
        <f t="shared" si="48"/>
      </c>
      <c r="HH412" s="91" t="str">
        <f t="shared" si="48"/>
      </c>
      <c r="HI412" s="91" t="str">
        <f t="shared" si="48"/>
      </c>
      <c r="HJ412" s="91" t="str">
        <f t="shared" si="48"/>
      </c>
      <c r="HK412" s="91" t="str">
        <f t="shared" si="48"/>
      </c>
      <c r="HL412" s="91" t="str">
        <f t="shared" si="48"/>
      </c>
      <c r="HM412" s="91" t="str">
        <f ref="HM412:IV412" t="shared" si="49">IF(SUM(HM393:HM411)&lt;&gt;0,SUM(HM393:HM411),"")</f>
      </c>
      <c r="HN412" s="91" t="str">
        <f t="shared" si="49"/>
      </c>
      <c r="HO412" s="91" t="str">
        <f t="shared" si="49"/>
      </c>
      <c r="HP412" s="91" t="str">
        <f t="shared" si="49"/>
      </c>
      <c r="HQ412" s="91" t="str">
        <f t="shared" si="49"/>
      </c>
      <c r="HR412" s="91" t="str">
        <f t="shared" si="49"/>
      </c>
      <c r="HS412" s="91" t="str">
        <f t="shared" si="49"/>
      </c>
      <c r="HT412" s="91" t="str">
        <f t="shared" si="49"/>
      </c>
      <c r="HU412" s="91" t="str">
        <f t="shared" si="49"/>
      </c>
      <c r="HV412" s="91" t="str">
        <f t="shared" si="49"/>
      </c>
      <c r="HW412" s="91" t="str">
        <f t="shared" si="49"/>
      </c>
      <c r="HX412" s="91" t="str">
        <f t="shared" si="49"/>
      </c>
      <c r="HY412" s="91" t="str">
        <f t="shared" si="49"/>
      </c>
      <c r="HZ412" s="91" t="str">
        <f t="shared" si="49"/>
      </c>
      <c r="IA412" s="91" t="str">
        <f t="shared" si="49"/>
      </c>
      <c r="IB412" s="91" t="str">
        <f t="shared" si="49"/>
      </c>
      <c r="IC412" s="91" t="str">
        <f t="shared" si="49"/>
      </c>
      <c r="ID412" s="91" t="str">
        <f t="shared" si="49"/>
      </c>
      <c r="IE412" s="91" t="str">
        <f t="shared" si="49"/>
      </c>
      <c r="IF412" s="91" t="str">
        <f t="shared" si="49"/>
      </c>
      <c r="IG412" s="91" t="str">
        <f t="shared" si="49"/>
      </c>
      <c r="IH412" s="91" t="str">
        <f t="shared" si="49"/>
      </c>
      <c r="II412" s="91" t="str">
        <f t="shared" si="49"/>
      </c>
      <c r="IJ412" s="91" t="str">
        <f t="shared" si="49"/>
      </c>
      <c r="IK412" s="91" t="str">
        <f t="shared" si="49"/>
      </c>
      <c r="IL412" s="91" t="str">
        <f t="shared" si="49"/>
      </c>
      <c r="IM412" s="91" t="str">
        <f t="shared" si="49"/>
      </c>
      <c r="IN412" s="91" t="str">
        <f t="shared" si="49"/>
      </c>
      <c r="IO412" s="91" t="str">
        <f t="shared" si="49"/>
      </c>
      <c r="IP412" s="91" t="str">
        <f t="shared" si="49"/>
      </c>
      <c r="IQ412" s="91" t="str">
        <f t="shared" si="49"/>
      </c>
      <c r="IR412" s="91" t="str">
        <f t="shared" si="49"/>
      </c>
      <c r="IS412" s="91" t="str">
        <f t="shared" si="49"/>
      </c>
      <c r="IT412" s="91" t="str">
        <f t="shared" si="49"/>
      </c>
      <c r="IU412" s="91" t="str">
        <f t="shared" si="49"/>
      </c>
      <c r="IV412" s="91" t="str">
        <f t="shared" si="49"/>
      </c>
    </row>
    <row r="413" hidden="1" ht="13.5"/>
    <row r="414" hidden="1" ht="15" customHeight="1">
      <c r="C414" s="686" t="s">
        <v>406</v>
      </c>
      <c r="D414" s="687"/>
      <c r="E414" s="687"/>
      <c r="F414" s="687"/>
      <c r="G414" s="687"/>
      <c r="H414" s="687"/>
      <c r="I414" s="687"/>
      <c r="J414" s="687"/>
      <c r="K414" s="687"/>
      <c r="L414" s="687"/>
      <c r="M414" s="687"/>
      <c r="N414" s="687"/>
      <c r="O414" s="687"/>
      <c r="P414" s="687"/>
      <c r="Q414" s="687"/>
      <c r="R414" s="687"/>
      <c r="S414" s="687"/>
      <c r="T414" s="687"/>
      <c r="U414" s="687"/>
      <c r="V414" s="687"/>
      <c r="W414" s="687"/>
      <c r="X414" s="687"/>
      <c r="Y414" s="687"/>
      <c r="Z414" s="687"/>
      <c r="AA414" s="687"/>
      <c r="AB414" s="688"/>
    </row>
    <row r="415" hidden="1" ht="13.5">
      <c r="C415" s="435" t="str">
        <f> IF(C435&lt;&gt;"",TEXT(AUX!G$1,"dd-MMM-aa"),"")</f>
      </c>
      <c r="D415" s="435" t="str">
        <f> IF(D435&lt;&gt;"",TEXT(AUX!H$1,"dd-MMM-aa"),"")</f>
      </c>
      <c r="E415" s="435" t="str">
        <f> IF(E435&lt;&gt;"",TEXT(AUX!I$1,"dd-MMM-aa"),"")</f>
      </c>
      <c r="F415" s="435" t="str">
        <f> IF(F435&lt;&gt;"",TEXT(AUX!J$1,"dd-MMM-aa"),"")</f>
      </c>
      <c r="G415" s="435" t="str">
        <f> IF(G435&lt;&gt;"",TEXT(AUX!K$1,"dd-MMM-aa"),"")</f>
      </c>
      <c r="H415" s="435" t="str">
        <f> IF(H435&lt;&gt;"",TEXT(AUX!L$1,"dd-MMM-aa"),"")</f>
      </c>
      <c r="I415" s="435" t="str">
        <f> IF(I435&lt;&gt;"",TEXT(AUX!M$1,"dd-MMM-aa"),"")</f>
      </c>
      <c r="J415" s="435" t="str">
        <f> IF(J435&lt;&gt;"",TEXT(AUX!N$1,"dd-MMM-aa"),"")</f>
      </c>
      <c r="K415" s="435" t="str">
        <f> IF(K435&lt;&gt;"",TEXT(AUX!O$1,"dd-MMM-aa"),"")</f>
      </c>
      <c r="L415" s="435" t="str">
        <f> IF(L435&lt;&gt;"",TEXT(AUX!P$1,"dd-MMM-aa"),"")</f>
      </c>
      <c r="M415" s="435" t="str">
        <f> IF(M435&lt;&gt;"",TEXT(AUX!Q$1,"dd-MMM-aa"),"")</f>
      </c>
      <c r="N415" s="435" t="str">
        <f> IF(N435&lt;&gt;"",TEXT(AUX!R$1,"dd-MMM-aa"),"")</f>
      </c>
      <c r="O415" s="435" t="str">
        <f> IF(O435&lt;&gt;"",TEXT(AUX!S$1,"dd-MMM-aa"),"")</f>
      </c>
      <c r="P415" s="435" t="str">
        <f> IF(P435&lt;&gt;"",TEXT(AUX!T$1,"dd-MMM-aa"),"")</f>
      </c>
      <c r="Q415" s="435" t="str">
        <f> IF(Q435&lt;&gt;"",TEXT(AUX!U$1,"dd-MMM-aa"),"")</f>
      </c>
      <c r="R415" s="435" t="str">
        <f> IF(R435&lt;&gt;"",TEXT(AUX!V$1,"dd-MMM-aa"),"")</f>
      </c>
      <c r="S415" s="435" t="str">
        <f> IF(S435&lt;&gt;"",TEXT(AUX!W$1,"dd-MMM-aa"),"")</f>
      </c>
      <c r="T415" s="435" t="str">
        <f> IF(T435&lt;&gt;"",TEXT(AUX!X$1,"dd-MMM-aa"),"")</f>
      </c>
      <c r="U415" s="435" t="str">
        <f> IF(U435&lt;&gt;"",TEXT(AUX!Y$1,"dd-MMM-aa"),"")</f>
      </c>
      <c r="V415" s="435" t="str">
        <f> IF(V435&lt;&gt;"",TEXT(AUX!Z$1,"dd-MMM-aa"),"")</f>
      </c>
      <c r="W415" s="435" t="str">
        <f> IF(W435&lt;&gt;"",TEXT(AUX!AA$1,"dd-MMM-aa"),"")</f>
      </c>
      <c r="X415" s="435" t="str">
        <f> IF(X435&lt;&gt;"",TEXT(AUX!AB$1,"dd-MMM-aa"),"")</f>
      </c>
      <c r="Y415" s="435" t="str">
        <f> IF(Y435&lt;&gt;"",TEXT(AUX!AC$1,"dd-MMM-aa"),"")</f>
      </c>
      <c r="Z415" s="435" t="str">
        <f> IF(Z435&lt;&gt;"",TEXT(AUX!AD$1,"dd-MMM-aa"),"")</f>
      </c>
      <c r="AA415" s="435" t="str">
        <f> IF(AA435&lt;&gt;"",TEXT(AUX!AE$1,"dd-MMM-aa"),"")</f>
      </c>
      <c r="AB415" s="497" t="str">
        <f> IF(AB435&lt;&gt;"",TEXT(AUX!AF$1,"dd-MMM-aa"),"")</f>
      </c>
      <c r="AC415" s="496" t="str">
        <f> IF(AC435&lt;&gt;"",TEXT(AUX!AG$1,"dd-MMM-aa"),"")</f>
      </c>
      <c r="AD415" s="496" t="str">
        <f> IF(AD435&lt;&gt;"",TEXT(AUX!AH$1,"dd-MMM-aa"),"")</f>
      </c>
      <c r="AE415" s="496" t="str">
        <f> IF(AE435&lt;&gt;"",TEXT(AUX!AI$1,"dd-MMM-aa"),"")</f>
      </c>
      <c r="AF415" s="496" t="str">
        <f> IF(AF435&lt;&gt;"",TEXT(AUX!AJ$1,"dd-MMM-aa"),"")</f>
      </c>
      <c r="AG415" s="496" t="str">
        <f> IF(AG435&lt;&gt;"",TEXT(AUX!AK$1,"dd-MMM-aa"),"")</f>
      </c>
      <c r="AH415" s="496" t="str">
        <f> IF(AH435&lt;&gt;"",TEXT(AUX!AL$1,"dd-MMM-aa"),"")</f>
      </c>
      <c r="AI415" s="496" t="str">
        <f> IF(AI435&lt;&gt;"",TEXT(AUX!AM$1,"dd-MMM-aa"),"")</f>
      </c>
      <c r="AJ415" s="496" t="str">
        <f> IF(AJ435&lt;&gt;"",TEXT(AUX!AN$1,"dd-MMM-aa"),"")</f>
      </c>
      <c r="AK415" s="496" t="str">
        <f> IF(AK435&lt;&gt;"",TEXT(AUX!AO$1,"dd-MMM-aa"),"")</f>
      </c>
      <c r="AL415" s="496" t="str">
        <f> IF(AL435&lt;&gt;"",TEXT(AUX!AP$1,"dd-MMM-aa"),"")</f>
      </c>
      <c r="AM415" s="496" t="str">
        <f> IF(AM435&lt;&gt;"",TEXT(AUX!AQ$1,"dd-MMM-aa"),"")</f>
      </c>
      <c r="AN415" s="496" t="str">
        <f> IF(AN435&lt;&gt;"",TEXT(AUX!AR$1,"dd-MMM-aa"),"")</f>
      </c>
      <c r="AO415" s="496" t="str">
        <f> IF(AO435&lt;&gt;"",TEXT(AUX!AS$1,"dd-MMM-aa"),"")</f>
      </c>
      <c r="AP415" s="496" t="str">
        <f> IF(AP435&lt;&gt;"",TEXT(AUX!AT$1,"dd-MMM-aa"),"")</f>
      </c>
      <c r="AQ415" s="496" t="str">
        <f> IF(AQ435&lt;&gt;"",TEXT(AUX!AU$1,"dd-MMM-aa"),"")</f>
      </c>
      <c r="AR415" s="496" t="str">
        <f> IF(AR435&lt;&gt;"",TEXT(AUX!AV$1,"dd-MMM-aa"),"")</f>
      </c>
      <c r="AS415" s="496" t="str">
        <f> IF(AS435&lt;&gt;"",TEXT(AUX!AW$1,"dd-MMM-aa"),"")</f>
      </c>
      <c r="AT415" s="496" t="str">
        <f> IF(AT435&lt;&gt;"",TEXT(AUX!AX$1,"dd-MMM-aa"),"")</f>
      </c>
      <c r="AU415" s="496" t="str">
        <f> IF(AU435&lt;&gt;"",TEXT(AUX!AY$1,"dd-MMM-aa"),"")</f>
      </c>
      <c r="AV415" s="496" t="str">
        <f> IF(AV435&lt;&gt;"",TEXT(AUX!AZ$1,"dd-MMM-aa"),"")</f>
      </c>
      <c r="AW415" s="496" t="str">
        <f> IF(AW435&lt;&gt;"",TEXT(AUX!BA$1,"dd-MMM-aa"),"")</f>
      </c>
      <c r="AX415" s="496" t="str">
        <f> IF(AX435&lt;&gt;"",TEXT(AUX!BB$1,"dd-MMM-aa"),"")</f>
      </c>
      <c r="AY415" s="496" t="str">
        <f> IF(AY435&lt;&gt;"",TEXT(AUX!BC$1,"dd-MMM-aa"),"")</f>
      </c>
      <c r="AZ415" s="496" t="str">
        <f> IF(AZ435&lt;&gt;"",TEXT(AUX!BD$1,"dd-MMM-aa"),"")</f>
      </c>
      <c r="BA415" s="496" t="str">
        <f> IF(BA435&lt;&gt;"",TEXT(AUX!BE$1,"dd-MMM-aa"),"")</f>
      </c>
      <c r="BB415" s="496" t="str">
        <f> IF(BB435&lt;&gt;"",TEXT(AUX!BF$1,"dd-MMM-aa"),"")</f>
      </c>
      <c r="BC415" s="496" t="str">
        <f> IF(BC435&lt;&gt;"",TEXT(AUX!BG$1,"dd-MMM-aa"),"")</f>
      </c>
      <c r="BD415" s="496" t="str">
        <f> IF(BD435&lt;&gt;"",TEXT(AUX!BH$1,"dd-MMM-aa"),"")</f>
      </c>
      <c r="BE415" s="496" t="str">
        <f> IF(BE435&lt;&gt;"",TEXT(AUX!BI$1,"dd-MMM-aa"),"")</f>
      </c>
      <c r="BF415" s="496" t="str">
        <f> IF(BF435&lt;&gt;"",TEXT(AUX!BJ$1,"dd-MMM-aa"),"")</f>
      </c>
      <c r="BG415" s="496" t="str">
        <f> IF(BG435&lt;&gt;"",TEXT(AUX!BK$1,"dd-MMM-aa"),"")</f>
      </c>
      <c r="BH415" s="496" t="str">
        <f> IF(BH435&lt;&gt;"",TEXT(AUX!BL$1,"dd-MMM-aa"),"")</f>
      </c>
      <c r="BI415" s="496" t="str">
        <f> IF(BI435&lt;&gt;"",TEXT(AUX!BM$1,"dd-MMM-aa"),"")</f>
      </c>
      <c r="BJ415" s="496" t="str">
        <f> IF(BJ435&lt;&gt;"",TEXT(AUX!BN$1,"dd-MMM-aa"),"")</f>
      </c>
      <c r="BK415" s="496" t="str">
        <f> IF(BK435&lt;&gt;"",TEXT(AUX!BO$1,"dd-MMM-aa"),"")</f>
      </c>
      <c r="BL415" s="496" t="str">
        <f> IF(BL435&lt;&gt;"",TEXT(AUX!BP$1,"dd-MMM-aa"),"")</f>
      </c>
      <c r="BM415" s="496" t="str">
        <f> IF(BM435&lt;&gt;"",TEXT(AUX!BQ$1,"dd-MMM-aa"),"")</f>
      </c>
      <c r="BN415" s="496" t="str">
        <f> IF(BN435&lt;&gt;"",TEXT(AUX!BR$1,"dd-MMM-aa"),"")</f>
      </c>
      <c r="BO415" s="496" t="str">
        <f> IF(BO435&lt;&gt;"",TEXT(AUX!BS$1,"dd-MMM-aa"),"")</f>
      </c>
      <c r="BP415" s="496" t="str">
        <f> IF(BP435&lt;&gt;"",TEXT(AUX!BT$1,"dd-MMM-aa"),"")</f>
      </c>
      <c r="BQ415" s="496" t="str">
        <f> IF(BQ435&lt;&gt;"",TEXT(AUX!BU$1,"dd-MMM-aa"),"")</f>
      </c>
      <c r="BR415" s="496" t="str">
        <f> IF(BR435&lt;&gt;"",TEXT(AUX!BV$1,"dd-MMM-aa"),"")</f>
      </c>
      <c r="BS415" s="496" t="str">
        <f> IF(BS435&lt;&gt;"",TEXT(AUX!BW$1,"dd-MMM-aa"),"")</f>
      </c>
      <c r="BT415" s="496" t="str">
        <f> IF(BT435&lt;&gt;"",TEXT(AUX!BX$1,"dd-MMM-aa"),"")</f>
      </c>
      <c r="BU415" s="496" t="str">
        <f> IF(BU435&lt;&gt;"",TEXT(AUX!BY$1,"dd-MMM-aa"),"")</f>
      </c>
      <c r="BV415" s="496" t="str">
        <f> IF(BV435&lt;&gt;"",TEXT(AUX!BZ$1,"dd-MMM-aa"),"")</f>
      </c>
      <c r="BW415" s="496" t="str">
        <f> IF(BW435&lt;&gt;"",TEXT(AUX!CA$1,"dd-MMM-aa"),"")</f>
      </c>
      <c r="BX415" s="496" t="str">
        <f> IF(BX435&lt;&gt;"",TEXT(AUX!CB$1,"dd-MMM-aa"),"")</f>
      </c>
      <c r="BY415" s="496" t="str">
        <f> IF(BY435&lt;&gt;"",TEXT(AUX!CC$1,"dd-MMM-aa"),"")</f>
      </c>
      <c r="BZ415" s="496" t="str">
        <f> IF(BZ435&lt;&gt;"",TEXT(AUX!CD$1,"dd-MMM-aa"),"")</f>
      </c>
      <c r="CA415" s="496" t="str">
        <f> IF(CA435&lt;&gt;"",TEXT(AUX!CE$1,"dd-MMM-aa"),"")</f>
      </c>
      <c r="CB415" s="496" t="str">
        <f> IF(CB435&lt;&gt;"",TEXT(AUX!CF$1,"dd-MMM-aa"),"")</f>
      </c>
      <c r="CC415" s="496" t="str">
        <f> IF(CC435&lt;&gt;"",TEXT(AUX!CG$1,"dd-MMM-aa"),"")</f>
      </c>
      <c r="CD415" s="496" t="str">
        <f> IF(CD435&lt;&gt;"",TEXT(AUX!CH$1,"dd-MMM-aa"),"")</f>
      </c>
      <c r="CE415" s="496" t="str">
        <f> IF(CE435&lt;&gt;"",TEXT(AUX!CI$1,"dd-MMM-aa"),"")</f>
      </c>
      <c r="CF415" s="496" t="str">
        <f> IF(CF435&lt;&gt;"",TEXT(AUX!CJ$1,"dd-MMM-aa"),"")</f>
      </c>
      <c r="CG415" s="496" t="str">
        <f> IF(CG435&lt;&gt;"",TEXT(AUX!CK$1,"dd-MMM-aa"),"")</f>
      </c>
      <c r="CH415" s="496" t="str">
        <f> IF(CH435&lt;&gt;"",TEXT(AUX!CL$1,"dd-MMM-aa"),"")</f>
      </c>
      <c r="CI415" s="496" t="str">
        <f> IF(CI435&lt;&gt;"",TEXT(AUX!CM$1,"dd-MMM-aa"),"")</f>
      </c>
      <c r="CJ415" s="496" t="str">
        <f> IF(CJ435&lt;&gt;"",TEXT(AUX!CN$1,"dd-MMM-aa"),"")</f>
      </c>
      <c r="CK415" s="496" t="str">
        <f> IF(CK435&lt;&gt;"",TEXT(AUX!CO$1,"dd-MMM-aa"),"")</f>
      </c>
      <c r="CL415" s="496" t="str">
        <f> IF(CL435&lt;&gt;"",TEXT(AUX!CP$1,"dd-MMM-aa"),"")</f>
      </c>
      <c r="CM415" s="496" t="str">
        <f> IF(CM435&lt;&gt;"",TEXT(AUX!CQ$1,"dd-MMM-aa"),"")</f>
      </c>
      <c r="CN415" s="496" t="str">
        <f> IF(CN435&lt;&gt;"",TEXT(AUX!CR$1,"dd-MMM-aa"),"")</f>
      </c>
      <c r="CO415" s="496" t="str">
        <f> IF(CO435&lt;&gt;"",TEXT(AUX!CS$1,"dd-MMM-aa"),"")</f>
      </c>
      <c r="CP415" s="496" t="str">
        <f> IF(CP435&lt;&gt;"",TEXT(AUX!CT$1,"dd-MMM-aa"),"")</f>
      </c>
      <c r="CQ415" s="496" t="str">
        <f> IF(CQ435&lt;&gt;"",TEXT(AUX!CU$1,"dd-MMM-aa"),"")</f>
      </c>
      <c r="CR415" s="496" t="str">
        <f> IF(CR435&lt;&gt;"",TEXT(AUX!CV$1,"dd-MMM-aa"),"")</f>
      </c>
      <c r="CS415" s="496" t="str">
        <f> IF(CS435&lt;&gt;"",TEXT(AUX!CW$1,"dd-MMM-aa"),"")</f>
      </c>
      <c r="CT415" s="496" t="str">
        <f> IF(CT435&lt;&gt;"",TEXT(AUX!CX$1,"dd-MMM-aa"),"")</f>
      </c>
      <c r="CU415" s="496" t="str">
        <f> IF(CU435&lt;&gt;"",TEXT(AUX!CY$1,"dd-MMM-aa"),"")</f>
      </c>
      <c r="CV415" s="496" t="str">
        <f> IF(CV435&lt;&gt;"",TEXT(AUX!CZ$1,"dd-MMM-aa"),"")</f>
      </c>
      <c r="CW415" s="496" t="str">
        <f> IF(CW435&lt;&gt;"",TEXT(AUX!DA$1,"dd-MMM-aa"),"")</f>
      </c>
      <c r="CX415" s="496" t="str">
        <f> IF(CX435&lt;&gt;"",TEXT(AUX!DB$1,"dd-MMM-aa"),"")</f>
      </c>
      <c r="CY415" s="496" t="str">
        <f> IF(CY435&lt;&gt;"",TEXT(AUX!DC$1,"dd-MMM-aa"),"")</f>
      </c>
      <c r="CZ415" s="496" t="str">
        <f> IF(CZ435&lt;&gt;"",TEXT(AUX!DD$1,"dd-MMM-aa"),"")</f>
      </c>
      <c r="DA415" s="496" t="str">
        <f> IF(DA435&lt;&gt;"",TEXT(AUX!DE$1,"dd-MMM-aa"),"")</f>
      </c>
      <c r="DB415" s="496" t="str">
        <f> IF(DB435&lt;&gt;"",TEXT(AUX!DF$1,"dd-MMM-aa"),"")</f>
      </c>
      <c r="DC415" s="496" t="str">
        <f> IF(DC435&lt;&gt;"",TEXT(AUX!DG$1,"dd-MMM-aa"),"")</f>
      </c>
      <c r="DD415" s="496" t="str">
        <f> IF(DD435&lt;&gt;"",TEXT(AUX!DH$1,"dd-MMM-aa"),"")</f>
      </c>
      <c r="DE415" s="496" t="str">
        <f> IF(DE435&lt;&gt;"",TEXT(AUX!DI$1,"dd-MMM-aa"),"")</f>
      </c>
      <c r="DF415" s="496" t="str">
        <f> IF(DF435&lt;&gt;"",TEXT(AUX!DJ$1,"dd-MMM-aa"),"")</f>
      </c>
      <c r="DG415" s="496" t="str">
        <f> IF(DG435&lt;&gt;"",TEXT(AUX!DK$1,"dd-MMM-aa"),"")</f>
      </c>
      <c r="DH415" s="496" t="str">
        <f> IF(DH435&lt;&gt;"",TEXT(AUX!DL$1,"dd-MMM-aa"),"")</f>
      </c>
      <c r="DI415" s="496" t="str">
        <f> IF(DI435&lt;&gt;"",TEXT(AUX!DM$1,"dd-MMM-aa"),"")</f>
      </c>
      <c r="DJ415" s="496" t="str">
        <f> IF(DJ435&lt;&gt;"",TEXT(AUX!DN$1,"dd-MMM-aa"),"")</f>
      </c>
      <c r="DK415" s="496" t="str">
        <f> IF(DK435&lt;&gt;"",TEXT(AUX!DO$1,"dd-MMM-aa"),"")</f>
      </c>
      <c r="DL415" s="496" t="str">
        <f> IF(DL435&lt;&gt;"",TEXT(AUX!DP$1,"dd-MMM-aa"),"")</f>
      </c>
      <c r="DM415" s="496" t="str">
        <f> IF(DM435&lt;&gt;"",TEXT(AUX!DQ$1,"dd-MMM-aa"),"")</f>
      </c>
      <c r="DN415" s="496" t="str">
        <f> IF(DN435&lt;&gt;"",TEXT(AUX!DR$1,"dd-MMM-aa"),"")</f>
      </c>
      <c r="DO415" s="496" t="str">
        <f> IF(DO435&lt;&gt;"",TEXT(AUX!DS$1,"dd-MMM-aa"),"")</f>
      </c>
      <c r="DP415" s="496" t="str">
        <f> IF(DP435&lt;&gt;"",TEXT(AUX!DT$1,"dd-MMM-aa"),"")</f>
      </c>
      <c r="DQ415" s="496" t="str">
        <f> IF(DQ435&lt;&gt;"",TEXT(AUX!DU$1,"dd-MMM-aa"),"")</f>
      </c>
      <c r="DR415" s="496" t="str">
        <f> IF(DR435&lt;&gt;"",TEXT(AUX!DV$1,"dd-MMM-aa"),"")</f>
      </c>
      <c r="DS415" s="496" t="str">
        <f> IF(DS435&lt;&gt;"",TEXT(AUX!DW$1,"dd-MMM-aa"),"")</f>
      </c>
      <c r="DT415" s="496" t="str">
        <f> IF(DT435&lt;&gt;"",TEXT(AUX!DX$1,"dd-MMM-aa"),"")</f>
      </c>
      <c r="DU415" s="496" t="str">
        <f> IF(DU435&lt;&gt;"",TEXT(AUX!DY$1,"dd-MMM-aa"),"")</f>
      </c>
      <c r="DV415" s="496" t="str">
        <f> IF(DV435&lt;&gt;"",TEXT(AUX!DZ$1,"dd-MMM-aa"),"")</f>
      </c>
      <c r="DW415" s="496" t="str">
        <f> IF(DW435&lt;&gt;"",TEXT(AUX!EA$1,"dd-MMM-aa"),"")</f>
      </c>
      <c r="DX415" s="496" t="str">
        <f> IF(DX435&lt;&gt;"",TEXT(AUX!EB$1,"dd-MMM-aa"),"")</f>
      </c>
      <c r="DY415" s="496" t="str">
        <f> IF(DY435&lt;&gt;"",TEXT(AUX!EC$1,"dd-MMM-aa"),"")</f>
      </c>
      <c r="DZ415" s="496" t="str">
        <f> IF(DZ435&lt;&gt;"",TEXT(AUX!ED$1,"dd-MMM-aa"),"")</f>
      </c>
      <c r="EA415" s="496" t="str">
        <f> IF(EA435&lt;&gt;"",TEXT(AUX!EE$1,"dd-MMM-aa"),"")</f>
      </c>
      <c r="EB415" s="496" t="str">
        <f> IF(EB435&lt;&gt;"",TEXT(AUX!EF$1,"dd-MMM-aa"),"")</f>
      </c>
      <c r="EC415" s="496" t="str">
        <f> IF(EC435&lt;&gt;"",TEXT(AUX!EG$1,"dd-MMM-aa"),"")</f>
      </c>
      <c r="ED415" s="496" t="str">
        <f> IF(ED435&lt;&gt;"",TEXT(AUX!EH$1,"dd-MMM-aa"),"")</f>
      </c>
      <c r="EE415" s="496" t="str">
        <f> IF(EE435&lt;&gt;"",TEXT(AUX!EI$1,"dd-MMM-aa"),"")</f>
      </c>
      <c r="EF415" s="496" t="str">
        <f> IF(EF435&lt;&gt;"",TEXT(AUX!EJ$1,"dd-MMM-aa"),"")</f>
      </c>
      <c r="EG415" s="496" t="str">
        <f> IF(EG435&lt;&gt;"",TEXT(AUX!EK$1,"dd-MMM-aa"),"")</f>
      </c>
      <c r="EH415" s="496" t="str">
        <f> IF(EH435&lt;&gt;"",TEXT(AUX!EL$1,"dd-MMM-aa"),"")</f>
      </c>
      <c r="EI415" s="496" t="str">
        <f> IF(EI435&lt;&gt;"",TEXT(AUX!EM$1,"dd-MMM-aa"),"")</f>
      </c>
      <c r="EJ415" s="496" t="str">
        <f> IF(EJ435&lt;&gt;"",TEXT(AUX!EN$1,"dd-MMM-aa"),"")</f>
      </c>
      <c r="EK415" s="496" t="str">
        <f> IF(EK435&lt;&gt;"",TEXT(AUX!EO$1,"dd-MMM-aa"),"")</f>
      </c>
      <c r="EL415" s="496" t="str">
        <f> IF(EL435&lt;&gt;"",TEXT(AUX!EP$1,"dd-MMM-aa"),"")</f>
      </c>
      <c r="EM415" s="496" t="str">
        <f> IF(EM435&lt;&gt;"",TEXT(AUX!EQ$1,"dd-MMM-aa"),"")</f>
      </c>
      <c r="EN415" s="496" t="str">
        <f> IF(EN435&lt;&gt;"",TEXT(AUX!ER$1,"dd-MMM-aa"),"")</f>
      </c>
      <c r="EO415" s="496" t="str">
        <f> IF(EO435&lt;&gt;"",TEXT(AUX!ES$1,"dd-MMM-aa"),"")</f>
      </c>
      <c r="EP415" s="496" t="str">
        <f> IF(EP435&lt;&gt;"",TEXT(AUX!ET$1,"dd-MMM-aa"),"")</f>
      </c>
      <c r="EQ415" s="496" t="str">
        <f> IF(EQ435&lt;&gt;"",TEXT(AUX!EU$1,"dd-MMM-aa"),"")</f>
      </c>
      <c r="ER415" s="496" t="str">
        <f> IF(ER435&lt;&gt;"",TEXT(AUX!EV$1,"dd-MMM-aa"),"")</f>
      </c>
      <c r="ES415" s="496" t="str">
        <f> IF(ES435&lt;&gt;"",TEXT(AUX!EW$1,"dd-MMM-aa"),"")</f>
      </c>
      <c r="ET415" s="496" t="str">
        <f> IF(ET435&lt;&gt;"",TEXT(AUX!EX$1,"dd-MMM-aa"),"")</f>
      </c>
      <c r="EU415" s="496" t="str">
        <f> IF(EU435&lt;&gt;"",TEXT(AUX!EY$1,"dd-MMM-aa"),"")</f>
      </c>
      <c r="EV415" s="496" t="str">
        <f> IF(EV435&lt;&gt;"",TEXT(AUX!EZ$1,"dd-MMM-aa"),"")</f>
      </c>
      <c r="EW415" s="496" t="str">
        <f> IF(EW435&lt;&gt;"",TEXT(AUX!FA$1,"dd-MMM-aa"),"")</f>
      </c>
      <c r="EX415" s="496" t="str">
        <f> IF(EX435&lt;&gt;"",TEXT(AUX!FB$1,"dd-MMM-aa"),"")</f>
      </c>
      <c r="EY415" s="496" t="str">
        <f> IF(EY435&lt;&gt;"",TEXT(AUX!FC$1,"dd-MMM-aa"),"")</f>
      </c>
      <c r="EZ415" s="496" t="str">
        <f> IF(EZ435&lt;&gt;"",TEXT(AUX!FD$1,"dd-MMM-aa"),"")</f>
      </c>
      <c r="FA415" s="496" t="str">
        <f> IF(FA435&lt;&gt;"",TEXT(AUX!FE$1,"dd-MMM-aa"),"")</f>
      </c>
      <c r="FB415" s="496" t="str">
        <f> IF(FB435&lt;&gt;"",TEXT(AUX!FF$1,"dd-MMM-aa"),"")</f>
      </c>
      <c r="FC415" s="496" t="str">
        <f> IF(FC435&lt;&gt;"",TEXT(AUX!FG$1,"dd-MMM-aa"),"")</f>
      </c>
      <c r="FD415" s="496" t="str">
        <f> IF(FD435&lt;&gt;"",TEXT(AUX!FH$1,"dd-MMM-aa"),"")</f>
      </c>
      <c r="FE415" s="496" t="str">
        <f> IF(FE435&lt;&gt;"",TEXT(AUX!FI$1,"dd-MMM-aa"),"")</f>
      </c>
      <c r="FF415" s="496" t="str">
        <f> IF(FF435&lt;&gt;"",TEXT(AUX!FJ$1,"dd-MMM-aa"),"")</f>
      </c>
      <c r="FG415" s="496" t="str">
        <f> IF(FG435&lt;&gt;"",TEXT(AUX!FK$1,"dd-MMM-aa"),"")</f>
      </c>
      <c r="FH415" s="496" t="str">
        <f> IF(FH435&lt;&gt;"",TEXT(AUX!FL$1,"dd-MMM-aa"),"")</f>
      </c>
      <c r="FI415" s="496" t="str">
        <f> IF(FI435&lt;&gt;"",TEXT(AUX!FM$1,"dd-MMM-aa"),"")</f>
      </c>
      <c r="FJ415" s="496" t="str">
        <f> IF(FJ435&lt;&gt;"",TEXT(AUX!FN$1,"dd-MMM-aa"),"")</f>
      </c>
      <c r="FK415" s="496" t="str">
        <f> IF(FK435&lt;&gt;"",TEXT(AUX!FO$1,"dd-MMM-aa"),"")</f>
      </c>
      <c r="FL415" s="496" t="str">
        <f> IF(FL435&lt;&gt;"",TEXT(AUX!FP$1,"dd-MMM-aa"),"")</f>
      </c>
      <c r="FM415" s="496" t="str">
        <f> IF(FM435&lt;&gt;"",TEXT(AUX!FQ$1,"dd-MMM-aa"),"")</f>
      </c>
      <c r="FN415" s="496" t="str">
        <f> IF(FN435&lt;&gt;"",TEXT(AUX!FR$1,"dd-MMM-aa"),"")</f>
      </c>
      <c r="FO415" s="496" t="str">
        <f> IF(FO435&lt;&gt;"",TEXT(AUX!FS$1,"dd-MMM-aa"),"")</f>
      </c>
      <c r="FP415" s="496" t="str">
        <f> IF(FP435&lt;&gt;"",TEXT(AUX!FT$1,"dd-MMM-aa"),"")</f>
      </c>
      <c r="FQ415" s="496" t="str">
        <f> IF(FQ435&lt;&gt;"",TEXT(AUX!FU$1,"dd-MMM-aa"),"")</f>
      </c>
      <c r="FR415" s="496" t="str">
        <f> IF(FR435&lt;&gt;"",TEXT(AUX!FV$1,"dd-MMM-aa"),"")</f>
      </c>
      <c r="FS415" s="496" t="str">
        <f> IF(FS435&lt;&gt;"",TEXT(AUX!FW$1,"dd-MMM-aa"),"")</f>
      </c>
      <c r="FT415" s="496" t="str">
        <f> IF(FT435&lt;&gt;"",TEXT(AUX!FX$1,"dd-MMM-aa"),"")</f>
      </c>
      <c r="FU415" s="496" t="str">
        <f> IF(FU435&lt;&gt;"",TEXT(AUX!FY$1,"dd-MMM-aa"),"")</f>
      </c>
      <c r="FV415" s="496" t="str">
        <f> IF(FV435&lt;&gt;"",TEXT(AUX!FZ$1,"dd-MMM-aa"),"")</f>
      </c>
      <c r="FW415" s="496" t="str">
        <f> IF(FW435&lt;&gt;"",TEXT(AUX!GA$1,"dd-MMM-aa"),"")</f>
      </c>
      <c r="FX415" s="496" t="str">
        <f> IF(FX435&lt;&gt;"",TEXT(AUX!GB$1,"dd-MMM-aa"),"")</f>
      </c>
      <c r="FY415" s="496" t="str">
        <f> IF(FY435&lt;&gt;"",TEXT(AUX!GC$1,"dd-MMM-aa"),"")</f>
      </c>
      <c r="FZ415" s="496" t="str">
        <f> IF(FZ435&lt;&gt;"",TEXT(AUX!GD$1,"dd-MMM-aa"),"")</f>
      </c>
      <c r="GA415" s="496" t="str">
        <f> IF(GA435&lt;&gt;"",TEXT(AUX!GE$1,"dd-MMM-aa"),"")</f>
      </c>
      <c r="GB415" s="496" t="str">
        <f> IF(GB435&lt;&gt;"",TEXT(AUX!GF$1,"dd-MMM-aa"),"")</f>
      </c>
      <c r="GC415" s="496" t="str">
        <f> IF(GC435&lt;&gt;"",TEXT(AUX!GG$1,"dd-MMM-aa"),"")</f>
      </c>
      <c r="GD415" s="496" t="str">
        <f> IF(GD435&lt;&gt;"",TEXT(AUX!GH$1,"dd-MMM-aa"),"")</f>
      </c>
      <c r="GE415" s="496" t="str">
        <f> IF(GE435&lt;&gt;"",TEXT(AUX!GI$1,"dd-MMM-aa"),"")</f>
      </c>
      <c r="GF415" s="496" t="str">
        <f> IF(GF435&lt;&gt;"",TEXT(AUX!GJ$1,"dd-MMM-aa"),"")</f>
      </c>
      <c r="GG415" s="496" t="str">
        <f> IF(GG435&lt;&gt;"",TEXT(AUX!GK$1,"dd-MMM-aa"),"")</f>
      </c>
      <c r="GH415" s="496" t="str">
        <f> IF(GH435&lt;&gt;"",TEXT(AUX!GL$1,"dd-MMM-aa"),"")</f>
      </c>
      <c r="GI415" s="496" t="str">
        <f> IF(GI435&lt;&gt;"",TEXT(AUX!GM$1,"dd-MMM-aa"),"")</f>
      </c>
      <c r="GJ415" s="496" t="str">
        <f> IF(GJ435&lt;&gt;"",TEXT(AUX!GN$1,"dd-MMM-aa"),"")</f>
      </c>
      <c r="GK415" s="496" t="str">
        <f> IF(GK435&lt;&gt;"",TEXT(AUX!GO$1,"dd-MMM-aa"),"")</f>
      </c>
      <c r="GL415" s="496" t="str">
        <f> IF(GL435&lt;&gt;"",TEXT(AUX!GP$1,"dd-MMM-aa"),"")</f>
      </c>
      <c r="GM415" s="496" t="str">
        <f> IF(GM435&lt;&gt;"",TEXT(AUX!GQ$1,"dd-MMM-aa"),"")</f>
      </c>
      <c r="GN415" s="496" t="str">
        <f> IF(GN435&lt;&gt;"",TEXT(AUX!GR$1,"dd-MMM-aa"),"")</f>
      </c>
      <c r="GO415" s="496" t="str">
        <f> IF(GO435&lt;&gt;"",TEXT(AUX!GS$1,"dd-MMM-aa"),"")</f>
      </c>
      <c r="GP415" s="496" t="str">
        <f> IF(GP435&lt;&gt;"",TEXT(AUX!GT$1,"dd-MMM-aa"),"")</f>
      </c>
      <c r="GQ415" s="496" t="str">
        <f> IF(GQ435&lt;&gt;"",TEXT(AUX!GU$1,"dd-MMM-aa"),"")</f>
      </c>
      <c r="GR415" s="496" t="str">
        <f> IF(GR435&lt;&gt;"",TEXT(AUX!GV$1,"dd-MMM-aa"),"")</f>
      </c>
      <c r="GS415" s="496" t="str">
        <f> IF(GS435&lt;&gt;"",TEXT(AUX!GW$1,"dd-MMM-aa"),"")</f>
      </c>
      <c r="GT415" s="496" t="str">
        <f> IF(GT435&lt;&gt;"",TEXT(AUX!GX$1,"dd-MMM-aa"),"")</f>
      </c>
      <c r="GU415" s="496" t="str">
        <f> IF(GU435&lt;&gt;"",TEXT(AUX!GY$1,"dd-MMM-aa"),"")</f>
      </c>
      <c r="GV415" s="496" t="str">
        <f> IF(GV435&lt;&gt;"",TEXT(AUX!GZ$1,"dd-MMM-aa"),"")</f>
      </c>
      <c r="GW415" s="496" t="str">
        <f> IF(GW435&lt;&gt;"",TEXT(AUX!HA$1,"dd-MMM-aa"),"")</f>
      </c>
      <c r="GX415" s="496" t="str">
        <f> IF(GX435&lt;&gt;"",TEXT(AUX!HB$1,"dd-MMM-aa"),"")</f>
      </c>
      <c r="GY415" s="496" t="str">
        <f> IF(GY435&lt;&gt;"",TEXT(AUX!HC$1,"dd-MMM-aa"),"")</f>
      </c>
      <c r="GZ415" s="496" t="str">
        <f> IF(GZ435&lt;&gt;"",TEXT(AUX!HD$1,"dd-MMM-aa"),"")</f>
      </c>
      <c r="HA415" s="496" t="str">
        <f> IF(HA435&lt;&gt;"",TEXT(AUX!HE$1,"dd-MMM-aa"),"")</f>
      </c>
      <c r="HB415" s="496" t="str">
        <f> IF(HB435&lt;&gt;"",TEXT(AUX!HF$1,"dd-MMM-aa"),"")</f>
      </c>
      <c r="HC415" s="496" t="str">
        <f> IF(HC435&lt;&gt;"",TEXT(AUX!HG$1,"dd-MMM-aa"),"")</f>
      </c>
      <c r="HD415" s="496" t="str">
        <f> IF(HD435&lt;&gt;"",TEXT(AUX!HH$1,"dd-MMM-aa"),"")</f>
      </c>
      <c r="HE415" s="496" t="str">
        <f> IF(HE435&lt;&gt;"",TEXT(AUX!HI$1,"dd-MMM-aa"),"")</f>
      </c>
      <c r="HF415" s="496" t="str">
        <f> IF(HF435&lt;&gt;"",TEXT(AUX!HJ$1,"dd-MMM-aa"),"")</f>
      </c>
      <c r="HG415" s="496" t="str">
        <f> IF(HG435&lt;&gt;"",TEXT(AUX!HK$1,"dd-MMM-aa"),"")</f>
      </c>
      <c r="HH415" s="496" t="str">
        <f> IF(HH435&lt;&gt;"",TEXT(AUX!HL$1,"dd-MMM-aa"),"")</f>
      </c>
      <c r="HI415" s="496" t="str">
        <f> IF(HI435&lt;&gt;"",TEXT(AUX!HM$1,"dd-MMM-aa"),"")</f>
      </c>
      <c r="HJ415" s="496" t="str">
        <f> IF(HJ435&lt;&gt;"",TEXT(AUX!HN$1,"dd-MMM-aa"),"")</f>
      </c>
      <c r="HK415" s="496" t="str">
        <f> IF(HK435&lt;&gt;"",TEXT(AUX!HO$1,"dd-MMM-aa"),"")</f>
      </c>
      <c r="HL415" s="496" t="str">
        <f> IF(HL435&lt;&gt;"",TEXT(AUX!HP$1,"dd-MMM-aa"),"")</f>
      </c>
      <c r="HM415" s="496" t="str">
        <f> IF(HM435&lt;&gt;"",TEXT(AUX!HQ$1,"dd-MMM-aa"),"")</f>
      </c>
      <c r="HN415" s="496" t="str">
        <f> IF(HN435&lt;&gt;"",TEXT(AUX!HR$1,"dd-MMM-aa"),"")</f>
      </c>
      <c r="HO415" s="496" t="str">
        <f> IF(HO435&lt;&gt;"",TEXT(AUX!HS$1,"dd-MMM-aa"),"")</f>
      </c>
      <c r="HP415" s="496" t="str">
        <f> IF(HP435&lt;&gt;"",TEXT(AUX!HT$1,"dd-MMM-aa"),"")</f>
      </c>
      <c r="HQ415" s="496" t="str">
        <f> IF(HQ435&lt;&gt;"",TEXT(AUX!HU$1,"dd-MMM-aa"),"")</f>
      </c>
      <c r="HR415" s="496" t="str">
        <f> IF(HR435&lt;&gt;"",TEXT(AUX!HV$1,"dd-MMM-aa"),"")</f>
      </c>
      <c r="HS415" s="496" t="str">
        <f> IF(HS435&lt;&gt;"",TEXT(AUX!HW$1,"dd-MMM-aa"),"")</f>
      </c>
      <c r="HT415" s="496" t="str">
        <f> IF(HT435&lt;&gt;"",TEXT(AUX!HX$1,"dd-MMM-aa"),"")</f>
      </c>
      <c r="HU415" s="496" t="str">
        <f> IF(HU435&lt;&gt;"",TEXT(AUX!HY$1,"dd-MMM-aa"),"")</f>
      </c>
      <c r="HV415" s="496" t="str">
        <f> IF(HV435&lt;&gt;"",TEXT(AUX!HZ$1,"dd-MMM-aa"),"")</f>
      </c>
      <c r="HW415" s="496" t="str">
        <f> IF(HW435&lt;&gt;"",TEXT(AUX!IA$1,"dd-MMM-aa"),"")</f>
      </c>
      <c r="HX415" s="496" t="str">
        <f> IF(HX435&lt;&gt;"",TEXT(AUX!IB$1,"dd-MMM-aa"),"")</f>
      </c>
      <c r="HY415" s="496" t="str">
        <f> IF(HY435&lt;&gt;"",TEXT(AUX!IC$1,"dd-MMM-aa"),"")</f>
      </c>
      <c r="HZ415" s="496" t="str">
        <f> IF(HZ435&lt;&gt;"",TEXT(AUX!ID$1,"dd-MMM-aa"),"")</f>
      </c>
      <c r="IA415" s="496" t="str">
        <f> IF(IA435&lt;&gt;"",TEXT(AUX!IE$1,"dd-MMM-aa"),"")</f>
      </c>
      <c r="IB415" s="496" t="str">
        <f> IF(IB435&lt;&gt;"",TEXT(AUX!IF$1,"dd-MMM-aa"),"")</f>
      </c>
      <c r="IC415" s="496" t="str">
        <f> IF(IC435&lt;&gt;"",TEXT(AUX!IG$1,"dd-MMM-aa"),"")</f>
      </c>
      <c r="ID415" s="496" t="str">
        <f> IF(ID435&lt;&gt;"",TEXT(AUX!IH$1,"dd-MMM-aa"),"")</f>
      </c>
      <c r="IE415" s="496" t="str">
        <f> IF(IE435&lt;&gt;"",TEXT(AUX!II$1,"dd-MMM-aa"),"")</f>
      </c>
      <c r="IF415" s="496" t="str">
        <f> IF(IF435&lt;&gt;"",TEXT(AUX!IJ$1,"dd-MMM-aa"),"")</f>
      </c>
      <c r="IG415" s="496" t="str">
        <f> IF(IG435&lt;&gt;"",TEXT(AUX!IK$1,"dd-MMM-aa"),"")</f>
      </c>
      <c r="IH415" s="496" t="str">
        <f> IF(IH435&lt;&gt;"",TEXT(AUX!IL$1,"dd-MMM-aa"),"")</f>
      </c>
      <c r="II415" s="496" t="str">
        <f> IF(II435&lt;&gt;"",TEXT(AUX!IM$1,"dd-MMM-aa"),"")</f>
      </c>
      <c r="IJ415" s="496" t="str">
        <f> IF(IJ435&lt;&gt;"",TEXT(AUX!IN$1,"dd-MMM-aa"),"")</f>
      </c>
      <c r="IK415" s="496" t="str">
        <f> IF(IK435&lt;&gt;"",TEXT(AUX!IO$1,"dd-MMM-aa"),"")</f>
      </c>
      <c r="IL415" s="496" t="str">
        <f> IF(IL435&lt;&gt;"",TEXT(AUX!IP$1,"dd-MMM-aa"),"")</f>
      </c>
      <c r="IM415" s="496" t="str">
        <f> IF(IM435&lt;&gt;"",TEXT(AUX!IQ$1,"dd-MMM-aa"),"")</f>
      </c>
      <c r="IN415" s="496" t="str">
        <f> IF(IN435&lt;&gt;"",TEXT(AUX!IR$1,"dd-MMM-aa"),"")</f>
      </c>
      <c r="IO415" s="496" t="str">
        <f> IF(IO435&lt;&gt;"",TEXT(AUX!IS$1,"dd-MMM-aa"),"")</f>
      </c>
      <c r="IP415" s="496" t="str">
        <f> IF(IP435&lt;&gt;"",TEXT(AUX!IT$1,"dd-MMM-aa"),"")</f>
      </c>
      <c r="IQ415" s="496" t="str">
        <f> IF(IQ435&lt;&gt;"",TEXT(AUX!IU$1,"dd-MMM-aa"),"")</f>
      </c>
      <c r="IR415" s="496" t="str">
        <f> IF(IR435&lt;&gt;"",TEXT(AUX!IV$1,"dd-MMM-aa"),"")</f>
      </c>
      <c r="IS415" s="496" t="str">
        <f> IF(IS435&lt;&gt;"",TEXT(AUX!#REF!,"dd-MMM-aa"),"")</f>
      </c>
      <c r="IT415" s="496" t="str">
        <f> IF(IT435&lt;&gt;"",TEXT(AUX!#REF!,"dd-MMM-aa"),"")</f>
      </c>
      <c r="IU415" s="496" t="str">
        <f> IF(IU435&lt;&gt;"",TEXT(AUX!#REF!,"dd-MMM-aa"),"")</f>
      </c>
      <c r="IV415" s="496" t="str">
        <f> IF(IV435&lt;&gt;"",TEXT(AUX!#REF!,"dd-MMM-aa"),"")</f>
      </c>
    </row>
    <row r="416" hidden="1">
      <c r="B416" s="838" t="s">
        <v>8</v>
      </c>
      <c r="C416" s="839">
        <f>C370 + C347 + C324</f>
        <v>12</v>
      </c>
      <c r="D416" s="839">
        <f>D370 + D347 + D324</f>
        <v>12</v>
      </c>
      <c r="E416" s="839">
        <f>E370 + E347 + E324</f>
        <v>16</v>
      </c>
      <c r="F416" s="839">
        <f>F370 + F347 + F324</f>
        <v>16</v>
      </c>
      <c r="G416" s="839">
        <f>G370 + G347 + G324</f>
        <v>14</v>
      </c>
      <c r="H416" s="839">
        <f>H370 + H347 + H324</f>
        <v>11</v>
      </c>
      <c r="I416" s="839">
        <f>I370 + I347 + I324</f>
        <v>11</v>
      </c>
      <c r="J416" s="839">
        <f>J370 + J347 + J324</f>
        <v>14</v>
      </c>
      <c r="K416" s="839">
        <f>K370 + K347 + K324</f>
        <v>15</v>
      </c>
      <c r="L416" s="839">
        <f>L370 + L347 + L324</f>
        <v>14</v>
      </c>
      <c r="M416" s="839">
        <f>M370 + M347 + M324</f>
        <v>8</v>
      </c>
      <c r="N416" s="839">
        <f>N370 + N347 + N324</f>
        <v>8</v>
      </c>
      <c r="O416" s="839">
        <f>O370 + O347 + O324</f>
        <v>6</v>
      </c>
      <c r="P416" s="839">
        <f>P370 + P347 + P324</f>
        <v>3</v>
      </c>
      <c r="Q416" s="839">
        <f>Q370 + Q347 + Q324</f>
        <v>3</v>
      </c>
      <c r="R416" s="839">
        <f>R370 + R347 + R324</f>
        <v>3</v>
      </c>
      <c r="S416" s="839">
        <f>S370 + S347 + S324</f>
        <v>3</v>
      </c>
      <c r="T416" s="839">
        <f>T370 + T347 + T324</f>
        <v>3</v>
      </c>
      <c r="U416" s="839">
        <f>U370 + U347 + U324</f>
        <v>4</v>
      </c>
      <c r="V416" s="839">
        <f>V370 + V347 + V324</f>
        <v>4</v>
      </c>
      <c r="W416" s="839">
        <f>W370 + W347 + W324</f>
        <v>3</v>
      </c>
      <c r="X416" s="839">
        <f>X370 + X347 + X324</f>
        <v>3</v>
      </c>
      <c r="Y416" s="839">
        <f>Y370 + Y347 + Y324</f>
        <v>3</v>
      </c>
      <c r="Z416" s="839">
        <f>Z370 + Z347 + Z324</f>
        <v>3</v>
      </c>
      <c r="AA416" s="839">
        <f>AA370 + AA347 + AA324</f>
        <v>3</v>
      </c>
      <c r="AB416" s="840">
        <f>AB370 + AB347 + AB324</f>
        <v>3</v>
      </c>
      <c r="AC416" s="841">
        <f>AC370 + AC347 + AC324</f>
        <v>3</v>
      </c>
      <c r="AD416" s="841">
        <f>AD370 + AD347 + AD324</f>
        <v>3</v>
      </c>
      <c r="AE416" s="841">
        <f>AE370 + AE347 + AE324</f>
        <v>3</v>
      </c>
      <c r="AF416" s="841">
        <f>AF370 + AF347 + AF324</f>
        <v>3</v>
      </c>
      <c r="AG416" s="841">
        <f>AG370 + AG347 + AG324</f>
        <v>3</v>
      </c>
      <c r="AH416" s="841">
        <f>AH370 + AH347 + AH324</f>
        <v>3</v>
      </c>
      <c r="AI416" s="841">
        <f>AI370 + AI347 + AI324</f>
        <v>3</v>
      </c>
      <c r="AJ416" s="841">
        <f>AJ370 + AJ347 + AJ324</f>
        <v>3</v>
      </c>
      <c r="AK416" s="841">
        <f>AK370 + AK347 + AK324</f>
        <v>2</v>
      </c>
      <c r="AL416" s="841">
        <f>AL370 + AL347 + AL324</f>
        <v>1</v>
      </c>
      <c r="AM416" s="841">
        <f>AM370 + AM347 + AM324</f>
        <v>0</v>
      </c>
      <c r="AN416" s="841">
        <f>AN370 + AN347 + AN324</f>
        <v>0</v>
      </c>
      <c r="AO416" s="841">
        <f>AO370 + AO347 + AO324</f>
        <v>1</v>
      </c>
      <c r="AP416" s="841">
        <f>AP370 + AP347 + AP324</f>
        <v>1</v>
      </c>
    </row>
    <row r="417" hidden="1">
      <c r="B417" s="842" t="s">
        <v>9</v>
      </c>
      <c r="C417" s="839">
        <f>C371 + C348 + C325</f>
        <v>17</v>
      </c>
      <c r="D417" s="839">
        <f>D371 + D348 + D325</f>
        <v>34</v>
      </c>
      <c r="E417" s="839">
        <f>E371 + E348 + E325</f>
        <v>34</v>
      </c>
      <c r="F417" s="839">
        <f>F371 + F348 + F325</f>
        <v>35</v>
      </c>
      <c r="G417" s="839">
        <f>G371 + G348 + G325</f>
        <v>39</v>
      </c>
      <c r="H417" s="839">
        <f>H371 + H348 + H325</f>
        <v>39</v>
      </c>
      <c r="I417" s="839">
        <f>I371 + I348 + I325</f>
        <v>39</v>
      </c>
      <c r="J417" s="839">
        <f>J371 + J348 + J325</f>
        <v>39</v>
      </c>
      <c r="K417" s="839">
        <f>K371 + K348 + K325</f>
        <v>40</v>
      </c>
      <c r="L417" s="839">
        <f>L371 + L348 + L325</f>
        <v>40</v>
      </c>
      <c r="M417" s="839">
        <f>M371 + M348 + M325</f>
        <v>41</v>
      </c>
      <c r="N417" s="839">
        <f>N371 + N348 + N325</f>
        <v>40</v>
      </c>
      <c r="O417" s="839">
        <f>O371 + O348 + O325</f>
        <v>42</v>
      </c>
      <c r="P417" s="839">
        <f>P371 + P348 + P325</f>
        <v>43</v>
      </c>
      <c r="Q417" s="839">
        <f>Q371 + Q348 + Q325</f>
        <v>44</v>
      </c>
      <c r="R417" s="839">
        <f>R371 + R348 + R325</f>
        <v>44</v>
      </c>
      <c r="S417" s="839">
        <f>S371 + S348 + S325</f>
        <v>43</v>
      </c>
      <c r="T417" s="839">
        <f>T371 + T348 + T325</f>
        <v>43</v>
      </c>
      <c r="U417" s="839">
        <f>U371 + U348 + U325</f>
        <v>40</v>
      </c>
      <c r="V417" s="839">
        <f>V371 + V348 + V325</f>
        <v>38</v>
      </c>
      <c r="W417" s="839">
        <f>W371 + W348 + W325</f>
        <v>37</v>
      </c>
      <c r="X417" s="839">
        <f>X371 + X348 + X325</f>
        <v>35</v>
      </c>
      <c r="Y417" s="839">
        <f>Y371 + Y348 + Y325</f>
        <v>37</v>
      </c>
      <c r="Z417" s="839">
        <f>Z371 + Z348 + Z325</f>
        <v>38</v>
      </c>
      <c r="AA417" s="839">
        <f>AA371 + AA348 + AA325</f>
        <v>39</v>
      </c>
      <c r="AB417" s="839">
        <f>AB371 + AB348 + AB325</f>
        <v>39</v>
      </c>
      <c r="AC417" s="841">
        <f>AC371 + AC348 + AC325</f>
        <v>16</v>
      </c>
      <c r="AD417" s="841">
        <f>AD371 + AD348 + AD325</f>
        <v>16</v>
      </c>
      <c r="AE417" s="841">
        <f>AE371 + AE348 + AE325</f>
        <v>16</v>
      </c>
      <c r="AF417" s="841">
        <f>AF371 + AF348 + AF325</f>
        <v>16</v>
      </c>
      <c r="AG417" s="841">
        <f>AG371 + AG348 + AG325</f>
        <v>16</v>
      </c>
      <c r="AH417" s="841">
        <f>AH371 + AH348 + AH325</f>
        <v>16</v>
      </c>
      <c r="AI417" s="841">
        <f>AI371 + AI348 + AI325</f>
        <v>16</v>
      </c>
      <c r="AJ417" s="841">
        <f>AJ371 + AJ348 + AJ325</f>
        <v>16</v>
      </c>
      <c r="AK417" s="841">
        <f>AK371 + AK348 + AK325</f>
        <v>18</v>
      </c>
      <c r="AL417" s="841">
        <f>AL371 + AL348 + AL325</f>
        <v>18</v>
      </c>
      <c r="AM417" s="841">
        <f>AM371 + AM348 + AM325</f>
        <v>17</v>
      </c>
      <c r="AN417" s="841">
        <f>AN371 + AN348 + AN325</f>
        <v>18</v>
      </c>
      <c r="AO417" s="841">
        <f>AO371 + AO348 + AO325</f>
        <v>16</v>
      </c>
      <c r="AP417" s="841">
        <f>AP371 + AP348 + AP325</f>
        <v>13</v>
      </c>
    </row>
    <row r="418" hidden="1">
      <c r="B418" s="842" t="s">
        <v>10</v>
      </c>
      <c r="C418" s="839">
        <f>C372 + C349 + C326</f>
        <v>2</v>
      </c>
      <c r="D418" s="839">
        <f>D372 + D349 + D326</f>
        <v>2</v>
      </c>
      <c r="E418" s="839">
        <f>E372 + E349 + E326</f>
        <v>2</v>
      </c>
      <c r="F418" s="839">
        <f>F372 + F349 + F326</f>
        <v>2</v>
      </c>
      <c r="G418" s="839">
        <f>G372 + G349 + G326</f>
        <v>0</v>
      </c>
      <c r="H418" s="839">
        <f>H372 + H349 + H326</f>
        <v>0</v>
      </c>
      <c r="I418" s="839">
        <f>I372 + I349 + I326</f>
        <v>0</v>
      </c>
      <c r="J418" s="839">
        <f>J372 + J349 + J326</f>
        <v>0</v>
      </c>
      <c r="K418" s="839">
        <f>K372 + K349 + K326</f>
        <v>0</v>
      </c>
      <c r="L418" s="839">
        <f>L372 + L349 + L326</f>
        <v>0</v>
      </c>
      <c r="M418" s="839">
        <f>M372 + M349 + M326</f>
        <v>0</v>
      </c>
      <c r="N418" s="839">
        <f>N372 + N349 + N326</f>
        <v>0</v>
      </c>
      <c r="O418" s="839">
        <f>O372 + O349 + O326</f>
        <v>0</v>
      </c>
      <c r="P418" s="839">
        <f>P372 + P349 + P326</f>
        <v>0</v>
      </c>
      <c r="Q418" s="839">
        <f>Q372 + Q349 + Q326</f>
        <v>0</v>
      </c>
      <c r="R418" s="839">
        <f>R372 + R349 + R326</f>
        <v>0</v>
      </c>
      <c r="S418" s="839">
        <f>S372 + S349 + S326</f>
        <v>0</v>
      </c>
      <c r="T418" s="839">
        <f>T372 + T349 + T326</f>
        <v>0</v>
      </c>
      <c r="U418" s="839">
        <f>U372 + U349 + U326</f>
        <v>0</v>
      </c>
      <c r="V418" s="839">
        <f>V372 + V349 + V326</f>
        <v>0</v>
      </c>
      <c r="W418" s="839">
        <f>W372 + W349 + W326</f>
        <v>1</v>
      </c>
      <c r="X418" s="839">
        <f>X372 + X349 + X326</f>
        <v>1</v>
      </c>
      <c r="Y418" s="839">
        <f>Y372 + Y349 + Y326</f>
        <v>1</v>
      </c>
      <c r="Z418" s="839">
        <f>Z372 + Z349 + Z326</f>
        <v>1</v>
      </c>
      <c r="AA418" s="839">
        <f>AA372 + AA349 + AA326</f>
        <v>1</v>
      </c>
      <c r="AB418" s="839">
        <f>AB372 + AB349 + AB326</f>
        <v>1</v>
      </c>
      <c r="AC418" s="841">
        <f>AC372 + AC349 + AC326</f>
        <v>1</v>
      </c>
      <c r="AD418" s="841">
        <f>AD372 + AD349 + AD326</f>
        <v>2</v>
      </c>
      <c r="AE418" s="841">
        <f>AE372 + AE349 + AE326</f>
        <v>2</v>
      </c>
      <c r="AF418" s="841">
        <f>AF372 + AF349 + AF326</f>
        <v>2</v>
      </c>
      <c r="AG418" s="841">
        <f>AG372 + AG349 + AG326</f>
        <v>2</v>
      </c>
      <c r="AH418" s="841">
        <f>AH372 + AH349 + AH326</f>
        <v>2</v>
      </c>
      <c r="AI418" s="841">
        <f>AI372 + AI349 + AI326</f>
        <v>2</v>
      </c>
      <c r="AJ418" s="841">
        <f>AJ372 + AJ349 + AJ326</f>
        <v>2</v>
      </c>
      <c r="AK418" s="841">
        <f>AK372 + AK349 + AK326</f>
        <v>2</v>
      </c>
      <c r="AL418" s="841">
        <f>AL372 + AL349 + AL326</f>
        <v>2</v>
      </c>
      <c r="AM418" s="841">
        <f>AM372 + AM349 + AM326</f>
        <v>2</v>
      </c>
      <c r="AN418" s="841">
        <f>AN372 + AN349 + AN326</f>
        <v>1</v>
      </c>
      <c r="AO418" s="841">
        <f>AO372 + AO349 + AO326</f>
        <v>1</v>
      </c>
      <c r="AP418" s="841">
        <f>AP372 + AP349 + AP326</f>
        <v>0</v>
      </c>
    </row>
    <row r="419" hidden="1">
      <c r="B419" s="842" t="s">
        <v>11</v>
      </c>
      <c r="C419" s="839">
        <f>C373 + C350 + C327</f>
        <v>14</v>
      </c>
      <c r="D419" s="839">
        <f>D373 + D350 + D327</f>
        <v>19</v>
      </c>
      <c r="E419" s="839">
        <f>E373 + E350 + E327</f>
        <v>24</v>
      </c>
      <c r="F419" s="839">
        <f>F373 + F350 + F327</f>
        <v>24</v>
      </c>
      <c r="G419" s="839">
        <f>G373 + G350 + G327</f>
        <v>1</v>
      </c>
      <c r="H419" s="839">
        <f>H373 + H350 + H327</f>
        <v>4</v>
      </c>
      <c r="I419" s="839">
        <f>I373 + I350 + I327</f>
        <v>7</v>
      </c>
      <c r="J419" s="839">
        <f>J373 + J350 + J327</f>
        <v>4</v>
      </c>
      <c r="K419" s="839">
        <f>K373 + K350 + K327</f>
        <v>5</v>
      </c>
      <c r="L419" s="839">
        <f>L373 + L350 + L327</f>
        <v>6</v>
      </c>
      <c r="M419" s="839">
        <f>M373 + M350 + M327</f>
        <v>6</v>
      </c>
      <c r="N419" s="839">
        <f>N373 + N350 + N327</f>
        <v>7</v>
      </c>
      <c r="O419" s="839">
        <f>O373 + O350 + O327</f>
        <v>6</v>
      </c>
      <c r="P419" s="839">
        <f>P373 + P350 + P327</f>
        <v>5</v>
      </c>
      <c r="Q419" s="839">
        <f>Q373 + Q350 + Q327</f>
        <v>6</v>
      </c>
      <c r="R419" s="839">
        <f>R373 + R350 + R327</f>
        <v>6</v>
      </c>
      <c r="S419" s="839">
        <f>S373 + S350 + S327</f>
        <v>7</v>
      </c>
      <c r="T419" s="839">
        <f>T373 + T350 + T327</f>
        <v>7</v>
      </c>
      <c r="U419" s="839">
        <f>U373 + U350 + U327</f>
        <v>7</v>
      </c>
      <c r="V419" s="839">
        <f>V373 + V350 + V327</f>
        <v>7</v>
      </c>
      <c r="W419" s="839">
        <f>W373 + W350 + W327</f>
        <v>7</v>
      </c>
      <c r="X419" s="839">
        <f>X373 + X350 + X327</f>
        <v>7</v>
      </c>
      <c r="Y419" s="839">
        <f>Y373 + Y350 + Y327</f>
        <v>7</v>
      </c>
      <c r="Z419" s="839">
        <f>Z373 + Z350 + Z327</f>
        <v>8</v>
      </c>
      <c r="AA419" s="839">
        <f>AA373 + AA350 + AA327</f>
        <v>8</v>
      </c>
      <c r="AB419" s="839">
        <f>AB373 + AB350 + AB327</f>
        <v>8</v>
      </c>
      <c r="AC419" s="841">
        <f>AC373 + AC350 + AC327</f>
        <v>6</v>
      </c>
      <c r="AD419" s="841">
        <f>AD373 + AD350 + AD327</f>
        <v>4</v>
      </c>
      <c r="AE419" s="841">
        <f>AE373 + AE350 + AE327</f>
        <v>5</v>
      </c>
      <c r="AF419" s="841">
        <f>AF373 + AF350 + AF327</f>
        <v>5</v>
      </c>
      <c r="AG419" s="841">
        <f>AG373 + AG350 + AG327</f>
        <v>5</v>
      </c>
      <c r="AH419" s="841">
        <f>AH373 + AH350 + AH327</f>
        <v>5</v>
      </c>
      <c r="AI419" s="841">
        <f>AI373 + AI350 + AI327</f>
        <v>5</v>
      </c>
      <c r="AJ419" s="841">
        <f>AJ373 + AJ350 + AJ327</f>
        <v>5</v>
      </c>
      <c r="AK419" s="841">
        <f>AK373 + AK350 + AK327</f>
        <v>4</v>
      </c>
      <c r="AL419" s="841">
        <f>AL373 + AL350 + AL327</f>
        <v>4</v>
      </c>
      <c r="AM419" s="841">
        <f>AM373 + AM350 + AM327</f>
        <v>4</v>
      </c>
      <c r="AN419" s="841">
        <f>AN373 + AN350 + AN327</f>
        <v>4</v>
      </c>
      <c r="AO419" s="841">
        <f>AO373 + AO350 + AO327</f>
        <v>4</v>
      </c>
      <c r="AP419" s="841">
        <f>AP373 + AP350 + AP327</f>
        <v>3</v>
      </c>
    </row>
    <row r="420" hidden="1">
      <c r="B420" s="842" t="s">
        <v>12</v>
      </c>
      <c r="C420" s="839">
        <f>C374 + C351 + C328</f>
        <v>49</v>
      </c>
      <c r="D420" s="839">
        <f>D374 + D351 + D328</f>
        <v>62</v>
      </c>
      <c r="E420" s="839">
        <f>E374 + E351 + E328</f>
        <v>59</v>
      </c>
      <c r="F420" s="839">
        <f>F374 + F351 + F328</f>
        <v>60</v>
      </c>
      <c r="G420" s="839">
        <f>G374 + G351 + G328</f>
        <v>60</v>
      </c>
      <c r="H420" s="839">
        <f>H374 + H351 + H328</f>
        <v>60</v>
      </c>
      <c r="I420" s="839">
        <f>I374 + I351 + I328</f>
        <v>64</v>
      </c>
      <c r="J420" s="839">
        <f>J374 + J351 + J328</f>
        <v>62</v>
      </c>
      <c r="K420" s="839">
        <f>K374 + K351 + K328</f>
        <v>63</v>
      </c>
      <c r="L420" s="839">
        <f>L374 + L351 + L328</f>
        <v>64</v>
      </c>
      <c r="M420" s="839">
        <f>M374 + M351 + M328</f>
        <v>58</v>
      </c>
      <c r="N420" s="839">
        <f>N374 + N351 + N328</f>
        <v>58</v>
      </c>
      <c r="O420" s="839">
        <f>O374 + O351 + O328</f>
        <v>56</v>
      </c>
      <c r="P420" s="839">
        <f>P374 + P351 + P328</f>
        <v>55</v>
      </c>
      <c r="Q420" s="839">
        <f>Q374 + Q351 + Q328</f>
        <v>56</v>
      </c>
      <c r="R420" s="839">
        <f>R374 + R351 + R328</f>
        <v>59</v>
      </c>
      <c r="S420" s="839">
        <f>S374 + S351 + S328</f>
        <v>61</v>
      </c>
      <c r="T420" s="839">
        <f>T374 + T351 + T328</f>
        <v>60</v>
      </c>
      <c r="U420" s="839">
        <f>U374 + U351 + U328</f>
        <v>56</v>
      </c>
      <c r="V420" s="839">
        <f>V374 + V351 + V328</f>
        <v>56</v>
      </c>
      <c r="W420" s="839">
        <f>W374 + W351 + W328</f>
        <v>55</v>
      </c>
      <c r="X420" s="839">
        <f>X374 + X351 + X328</f>
        <v>54</v>
      </c>
      <c r="Y420" s="839">
        <f>Y374 + Y351 + Y328</f>
        <v>52</v>
      </c>
      <c r="Z420" s="839">
        <f>Z374 + Z351 + Z328</f>
        <v>53</v>
      </c>
      <c r="AA420" s="839">
        <f>AA374 + AA351 + AA328</f>
        <v>52</v>
      </c>
      <c r="AB420" s="839">
        <f>AB374 + AB351 + AB328</f>
        <v>52</v>
      </c>
      <c r="AC420" s="841">
        <f>AC374 + AC351 + AC328</f>
        <v>57</v>
      </c>
      <c r="AD420" s="841">
        <f>AD374 + AD351 + AD328</f>
        <v>15</v>
      </c>
      <c r="AE420" s="841">
        <f>AE374 + AE351 + AE328</f>
        <v>43</v>
      </c>
      <c r="AF420" s="841">
        <f>AF374 + AF351 + AF328</f>
        <v>44</v>
      </c>
      <c r="AG420" s="841">
        <f>AG374 + AG351 + AG328</f>
        <v>48</v>
      </c>
      <c r="AH420" s="841">
        <f>AH374 + AH351 + AH328</f>
        <v>46</v>
      </c>
      <c r="AI420" s="841">
        <f>AI374 + AI351 + AI328</f>
        <v>49</v>
      </c>
      <c r="AJ420" s="841">
        <f>AJ374 + AJ351 + AJ328</f>
        <v>49</v>
      </c>
      <c r="AK420" s="841">
        <f>AK374 + AK351 + AK328</f>
        <v>51</v>
      </c>
      <c r="AL420" s="841">
        <f>AL374 + AL351 + AL328</f>
        <v>51</v>
      </c>
      <c r="AM420" s="841">
        <f>AM374 + AM351 + AM328</f>
        <v>51</v>
      </c>
      <c r="AN420" s="841">
        <f>AN374 + AN351 + AN328</f>
        <v>48</v>
      </c>
      <c r="AO420" s="841">
        <f>AO374 + AO351 + AO328</f>
        <v>50</v>
      </c>
      <c r="AP420" s="841">
        <f>AP374 + AP351 + AP328</f>
        <v>53</v>
      </c>
    </row>
    <row r="421" hidden="1">
      <c r="B421" s="842" t="s">
        <v>13</v>
      </c>
      <c r="C421" s="839">
        <f>C375 + C352 + C329</f>
        <v>23</v>
      </c>
      <c r="D421" s="839">
        <f>D375 + D352 + D329</f>
        <v>23</v>
      </c>
      <c r="E421" s="839">
        <f>E375 + E352 + E329</f>
        <v>2</v>
      </c>
      <c r="F421" s="839">
        <f>F375 + F352 + F329</f>
        <v>3</v>
      </c>
      <c r="G421" s="839">
        <f>G375 + G352 + G329</f>
        <v>8</v>
      </c>
      <c r="H421" s="839">
        <f>H375 + H352 + H329</f>
        <v>9</v>
      </c>
      <c r="I421" s="839">
        <f>I375 + I352 + I329</f>
        <v>11</v>
      </c>
      <c r="J421" s="839">
        <f>J375 + J352 + J329</f>
        <v>12</v>
      </c>
      <c r="K421" s="839">
        <f>K375 + K352 + K329</f>
        <v>9</v>
      </c>
      <c r="L421" s="839">
        <f>L375 + L352 + L329</f>
        <v>11</v>
      </c>
      <c r="M421" s="839">
        <f>M375 + M352 + M329</f>
        <v>2</v>
      </c>
      <c r="N421" s="839">
        <f>N375 + N352 + N329</f>
        <v>0</v>
      </c>
      <c r="O421" s="839">
        <f>O375 + O352 + O329</f>
        <v>1</v>
      </c>
      <c r="P421" s="839">
        <f>P375 + P352 + P329</f>
        <v>1</v>
      </c>
      <c r="Q421" s="839">
        <f>Q375 + Q352 + Q329</f>
        <v>3</v>
      </c>
      <c r="R421" s="839">
        <f>R375 + R352 + R329</f>
        <v>3</v>
      </c>
      <c r="S421" s="839">
        <f>S375 + S352 + S329</f>
        <v>3</v>
      </c>
      <c r="T421" s="839">
        <f>T375 + T352 + T329</f>
        <v>2</v>
      </c>
      <c r="U421" s="839">
        <f>U375 + U352 + U329</f>
        <v>2</v>
      </c>
      <c r="V421" s="839">
        <f>V375 + V352 + V329</f>
        <v>2</v>
      </c>
      <c r="W421" s="839">
        <f>W375 + W352 + W329</f>
        <v>3</v>
      </c>
      <c r="X421" s="839">
        <f>X375 + X352 + X329</f>
        <v>3</v>
      </c>
      <c r="Y421" s="839">
        <f>Y375 + Y352 + Y329</f>
        <v>3</v>
      </c>
      <c r="Z421" s="839">
        <f>Z375 + Z352 + Z329</f>
        <v>2</v>
      </c>
      <c r="AA421" s="839">
        <f>AA375 + AA352 + AA329</f>
        <v>3</v>
      </c>
      <c r="AB421" s="839">
        <f>AB375 + AB352 + AB329</f>
        <v>2</v>
      </c>
      <c r="AC421" s="841">
        <f>AC375 + AC352 + AC329</f>
        <v>0</v>
      </c>
      <c r="AD421" s="841">
        <f>AD375 + AD352 + AD329</f>
        <v>1</v>
      </c>
      <c r="AE421" s="841">
        <f>AE375 + AE352 + AE329</f>
        <v>1</v>
      </c>
      <c r="AF421" s="841">
        <f>AF375 + AF352 + AF329</f>
        <v>1</v>
      </c>
      <c r="AG421" s="841">
        <f>AG375 + AG352 + AG329</f>
        <v>1</v>
      </c>
      <c r="AH421" s="841">
        <f>AH375 + AH352 + AH329</f>
        <v>1</v>
      </c>
      <c r="AI421" s="841">
        <f>AI375 + AI352 + AI329</f>
        <v>1</v>
      </c>
      <c r="AJ421" s="841">
        <f>AJ375 + AJ352 + AJ329</f>
        <v>2</v>
      </c>
      <c r="AK421" s="841">
        <f>AK375 + AK352 + AK329</f>
        <v>4</v>
      </c>
      <c r="AL421" s="841">
        <f>AL375 + AL352 + AL329</f>
        <v>5</v>
      </c>
      <c r="AM421" s="841">
        <f>AM375 + AM352 + AM329</f>
        <v>5</v>
      </c>
      <c r="AN421" s="841">
        <f>AN375 + AN352 + AN329</f>
        <v>6</v>
      </c>
      <c r="AO421" s="841">
        <f>AO375 + AO352 + AO329</f>
        <v>6</v>
      </c>
      <c r="AP421" s="841">
        <f>AP375 + AP352 + AP329</f>
        <v>6</v>
      </c>
    </row>
    <row r="422" hidden="1">
      <c r="B422" s="842" t="s">
        <v>109</v>
      </c>
      <c r="C422" s="839">
        <f>C376 + C353 + C330</f>
        <v>74</v>
      </c>
      <c r="D422" s="839">
        <f>D376 + D353 + D330</f>
        <v>70</v>
      </c>
      <c r="E422" s="839">
        <f>E376 + E353 + E330</f>
        <v>67</v>
      </c>
      <c r="F422" s="839">
        <f>F376 + F353 + F330</f>
        <v>61</v>
      </c>
      <c r="G422" s="839">
        <f>G376 + G353 + G330</f>
        <v>59</v>
      </c>
      <c r="H422" s="839">
        <f>H376 + H353 + H330</f>
        <v>59</v>
      </c>
      <c r="I422" s="839">
        <f>I376 + I353 + I330</f>
        <v>60</v>
      </c>
      <c r="J422" s="839">
        <f>J376 + J353 + J330</f>
        <v>59</v>
      </c>
      <c r="K422" s="839">
        <f>K376 + K353 + K330</f>
        <v>53</v>
      </c>
      <c r="L422" s="839">
        <f>L376 + L353 + L330</f>
        <v>54</v>
      </c>
      <c r="M422" s="839">
        <f>M376 + M353 + M330</f>
        <v>53</v>
      </c>
      <c r="N422" s="839">
        <f>N376 + N353 + N330</f>
        <v>52</v>
      </c>
      <c r="O422" s="839">
        <f>O376 + O353 + O330</f>
        <v>42</v>
      </c>
      <c r="P422" s="839">
        <f>P376 + P353 + P330</f>
        <v>45</v>
      </c>
      <c r="Q422" s="839">
        <f>Q376 + Q353 + Q330</f>
        <v>50</v>
      </c>
      <c r="R422" s="839">
        <f>R376 + R353 + R330</f>
        <v>52</v>
      </c>
      <c r="S422" s="839">
        <f>S376 + S353 + S330</f>
        <v>54</v>
      </c>
      <c r="T422" s="839">
        <f>T376 + T353 + T330</f>
        <v>54</v>
      </c>
      <c r="U422" s="839">
        <f>U376 + U353 + U330</f>
        <v>54</v>
      </c>
      <c r="V422" s="839">
        <f>V376 + V353 + V330</f>
        <v>53</v>
      </c>
      <c r="W422" s="839">
        <f>W376 + W353 + W330</f>
        <v>53</v>
      </c>
      <c r="X422" s="839">
        <f>X376 + X353 + X330</f>
        <v>51</v>
      </c>
      <c r="Y422" s="839">
        <f>Y376 + Y353 + Y330</f>
        <v>49</v>
      </c>
      <c r="Z422" s="839">
        <f>Z376 + Z353 + Z330</f>
        <v>50</v>
      </c>
      <c r="AA422" s="839">
        <f>AA376 + AA353 + AA330</f>
        <v>50</v>
      </c>
      <c r="AB422" s="839">
        <f>AB376 + AB353 + AB330</f>
        <v>50</v>
      </c>
      <c r="AC422" s="841">
        <f>AC376 + AC353 + AC330</f>
        <v>50</v>
      </c>
      <c r="AD422" s="841">
        <f>AD376 + AD353 + AD330</f>
        <v>1</v>
      </c>
      <c r="AE422" s="841">
        <f>AE376 + AE353 + AE330</f>
        <v>1</v>
      </c>
      <c r="AF422" s="841">
        <f>AF376 + AF353 + AF330</f>
        <v>1</v>
      </c>
      <c r="AG422" s="841">
        <f>AG376 + AG353 + AG330</f>
        <v>0</v>
      </c>
      <c r="AH422" s="841">
        <f>AH376 + AH353 + AH330</f>
        <v>0</v>
      </c>
      <c r="AI422" s="841">
        <f>AI376 + AI353 + AI330</f>
        <v>0</v>
      </c>
      <c r="AJ422" s="841">
        <f>AJ376 + AJ353 + AJ330</f>
        <v>0</v>
      </c>
      <c r="AK422" s="841">
        <f>AK376 + AK353 + AK330</f>
        <v>0</v>
      </c>
      <c r="AL422" s="841">
        <f>AL376 + AL353 + AL330</f>
        <v>0</v>
      </c>
      <c r="AM422" s="841">
        <f>AM376 + AM353 + AM330</f>
        <v>0</v>
      </c>
      <c r="AN422" s="841">
        <f>AN376 + AN353 + AN330</f>
        <v>0</v>
      </c>
      <c r="AO422" s="841">
        <f>AO376 + AO353 + AO330</f>
        <v>0</v>
      </c>
      <c r="AP422" s="841">
        <f>AP376 + AP353 + AP330</f>
        <v>1</v>
      </c>
    </row>
    <row r="423" hidden="1">
      <c r="B423" s="842" t="s">
        <v>110</v>
      </c>
      <c r="C423" s="839">
        <f>C377 + C354 + C331</f>
        <v>48</v>
      </c>
      <c r="D423" s="839">
        <f>D377 + D354 + D331</f>
        <v>48</v>
      </c>
      <c r="E423" s="839">
        <f>E377 + E354 + E331</f>
        <v>50</v>
      </c>
      <c r="F423" s="839">
        <f>F377 + F354 + F331</f>
        <v>50</v>
      </c>
      <c r="G423" s="839">
        <f>G377 + G354 + G331</f>
        <v>43</v>
      </c>
      <c r="H423" s="839">
        <f>H377 + H354 + H331</f>
        <v>44</v>
      </c>
      <c r="I423" s="839">
        <f>I377 + I354 + I331</f>
        <v>43</v>
      </c>
      <c r="J423" s="839">
        <f>J377 + J354 + J331</f>
        <v>45</v>
      </c>
      <c r="K423" s="839">
        <f>K377 + K354 + K331</f>
        <v>46</v>
      </c>
      <c r="L423" s="839">
        <f>L377 + L354 + L331</f>
        <v>44</v>
      </c>
      <c r="M423" s="839">
        <f>M377 + M354 + M331</f>
        <v>43</v>
      </c>
      <c r="N423" s="839">
        <f>N377 + N354 + N331</f>
        <v>39</v>
      </c>
      <c r="O423" s="839">
        <f>O377 + O354 + O331</f>
        <v>35</v>
      </c>
      <c r="P423" s="839">
        <f>P377 + P354 + P331</f>
        <v>34</v>
      </c>
      <c r="Q423" s="839">
        <f>Q377 + Q354 + Q331</f>
        <v>34</v>
      </c>
      <c r="R423" s="839">
        <f>R377 + R354 + R331</f>
        <v>33</v>
      </c>
      <c r="S423" s="839">
        <f>S377 + S354 + S331</f>
        <v>38</v>
      </c>
      <c r="T423" s="839">
        <f>T377 + T354 + T331</f>
        <v>39</v>
      </c>
      <c r="U423" s="839">
        <f>U377 + U354 + U331</f>
        <v>39</v>
      </c>
      <c r="V423" s="839">
        <f>V377 + V354 + V331</f>
        <v>37</v>
      </c>
      <c r="W423" s="839">
        <f>W377 + W354 + W331</f>
        <v>36</v>
      </c>
      <c r="X423" s="839">
        <f>X377 + X354 + X331</f>
        <v>37</v>
      </c>
      <c r="Y423" s="839">
        <f>Y377 + Y354 + Y331</f>
        <v>37</v>
      </c>
      <c r="Z423" s="839">
        <f>Z377 + Z354 + Z331</f>
        <v>38</v>
      </c>
      <c r="AA423" s="839">
        <f>AA377 + AA354 + AA331</f>
        <v>37</v>
      </c>
      <c r="AB423" s="839">
        <f>AB377 + AB354 + AB331</f>
        <v>38</v>
      </c>
      <c r="AC423" s="841">
        <f>AC377 + AC354 + AC331</f>
        <v>37</v>
      </c>
      <c r="AD423" s="841">
        <f>AD377 + AD354 + AD331</f>
        <v>37</v>
      </c>
      <c r="AE423" s="841">
        <f>AE377 + AE354 + AE331</f>
        <v>37</v>
      </c>
      <c r="AF423" s="841">
        <f>AF377 + AF354 + AF331</f>
        <v>38</v>
      </c>
      <c r="AG423" s="841">
        <f>AG377 + AG354 + AG331</f>
        <v>38</v>
      </c>
      <c r="AH423" s="841">
        <f>AH377 + AH354 + AH331</f>
        <v>40</v>
      </c>
      <c r="AI423" s="841">
        <f>AI377 + AI354 + AI331</f>
        <v>39</v>
      </c>
      <c r="AJ423" s="841">
        <f>AJ377 + AJ354 + AJ331</f>
        <v>39</v>
      </c>
      <c r="AK423" s="841">
        <f>AK377 + AK354 + AK331</f>
        <v>16</v>
      </c>
      <c r="AL423" s="841">
        <f>AL377 + AL354 + AL331</f>
        <v>16</v>
      </c>
      <c r="AM423" s="841">
        <f>AM377 + AM354 + AM331</f>
        <v>16</v>
      </c>
      <c r="AN423" s="841">
        <f>AN377 + AN354 + AN331</f>
        <v>16</v>
      </c>
      <c r="AO423" s="841">
        <f>AO377 + AO354 + AO331</f>
        <v>17</v>
      </c>
      <c r="AP423" s="841">
        <f>AP377 + AP354 + AP331</f>
        <v>18</v>
      </c>
    </row>
    <row r="424" hidden="1">
      <c r="B424" s="842" t="s">
        <v>16</v>
      </c>
      <c r="C424" s="839">
        <f>C378 + C355 + C332</f>
        <v>179</v>
      </c>
      <c r="D424" s="839">
        <f>D378 + D355 + D332</f>
        <v>180</v>
      </c>
      <c r="E424" s="839">
        <f>E378 + E355 + E332</f>
        <v>184</v>
      </c>
      <c r="F424" s="839">
        <f>F378 + F355 + F332</f>
        <v>149</v>
      </c>
      <c r="G424" s="839">
        <f>G378 + G355 + G332</f>
        <v>131</v>
      </c>
      <c r="H424" s="839">
        <f>H378 + H355 + H332</f>
        <v>126</v>
      </c>
      <c r="I424" s="839">
        <f>I378 + I355 + I332</f>
        <v>126</v>
      </c>
      <c r="J424" s="839">
        <f>J378 + J355 + J332</f>
        <v>123</v>
      </c>
      <c r="K424" s="839">
        <f>K378 + K355 + K332</f>
        <v>119</v>
      </c>
      <c r="L424" s="839">
        <f>L378 + L355 + L332</f>
        <v>118</v>
      </c>
      <c r="M424" s="839">
        <f>M378 + M355 + M332</f>
        <v>114</v>
      </c>
      <c r="N424" s="839">
        <f>N378 + N355 + N332</f>
        <v>120</v>
      </c>
      <c r="O424" s="839">
        <f>O378 + O355 + O332</f>
        <v>116</v>
      </c>
      <c r="P424" s="839">
        <f>P378 + P355 + P332</f>
        <v>119</v>
      </c>
      <c r="Q424" s="839">
        <f>Q378 + Q355 + Q332</f>
        <v>118</v>
      </c>
      <c r="R424" s="839">
        <f>R378 + R355 + R332</f>
        <v>117</v>
      </c>
      <c r="S424" s="839">
        <f>S378 + S355 + S332</f>
        <v>116</v>
      </c>
      <c r="T424" s="839">
        <f>T378 + T355 + T332</f>
        <v>113</v>
      </c>
      <c r="U424" s="839">
        <f>U378 + U355 + U332</f>
        <v>104</v>
      </c>
      <c r="V424" s="839">
        <f>V378 + V355 + V332</f>
        <v>109</v>
      </c>
      <c r="W424" s="839">
        <f>W378 + W355 + W332</f>
        <v>108</v>
      </c>
      <c r="X424" s="839">
        <f>X378 + X355 + X332</f>
        <v>100</v>
      </c>
      <c r="Y424" s="839">
        <f>Y378 + Y355 + Y332</f>
        <v>98</v>
      </c>
      <c r="Z424" s="839">
        <f>Z378 + Z355 + Z332</f>
        <v>98</v>
      </c>
      <c r="AA424" s="839">
        <f>AA378 + AA355 + AA332</f>
        <v>101</v>
      </c>
      <c r="AB424" s="839">
        <f>AB378 + AB355 + AB332</f>
        <v>99</v>
      </c>
      <c r="AC424" s="841">
        <f>AC378 + AC355 + AC332</f>
        <v>99</v>
      </c>
      <c r="AD424" s="841">
        <f>AD378 + AD355 + AD332</f>
        <v>90</v>
      </c>
      <c r="AE424" s="841">
        <f>AE378 + AE355 + AE332</f>
        <v>90</v>
      </c>
      <c r="AF424" s="841">
        <f>AF378 + AF355 + AF332</f>
        <v>90</v>
      </c>
      <c r="AG424" s="841">
        <f>AG378 + AG355 + AG332</f>
        <v>90</v>
      </c>
      <c r="AH424" s="841">
        <f>AH378 + AH355 + AH332</f>
        <v>89</v>
      </c>
      <c r="AI424" s="841">
        <f>AI378 + AI355 + AI332</f>
        <v>88</v>
      </c>
      <c r="AJ424" s="841">
        <f>AJ378 + AJ355 + AJ332</f>
        <v>88</v>
      </c>
      <c r="AK424" s="841">
        <f>AK378 + AK355 + AK332</f>
        <v>85</v>
      </c>
      <c r="AL424" s="841">
        <f>AL378 + AL355 + AL332</f>
        <v>81</v>
      </c>
      <c r="AM424" s="841">
        <f>AM378 + AM355 + AM332</f>
        <v>79</v>
      </c>
      <c r="AN424" s="841">
        <f>AN378 + AN355 + AN332</f>
        <v>79</v>
      </c>
      <c r="AO424" s="841">
        <f>AO378 + AO355 + AO332</f>
        <v>78</v>
      </c>
      <c r="AP424" s="841">
        <f>AP378 + AP355 + AP332</f>
        <v>72</v>
      </c>
    </row>
    <row r="425" hidden="1">
      <c r="B425" s="842" t="s">
        <v>17</v>
      </c>
      <c r="C425" s="839">
        <f>C379 + C356 + C333</f>
        <v>0</v>
      </c>
      <c r="D425" s="839">
        <f>D379 + D356 + D333</f>
        <v>0</v>
      </c>
      <c r="E425" s="839">
        <f>E379 + E356 + E333</f>
        <v>2</v>
      </c>
      <c r="F425" s="839">
        <f>F379 + F356 + F333</f>
        <v>2</v>
      </c>
      <c r="G425" s="839">
        <f>G379 + G356 + G333</f>
        <v>2</v>
      </c>
      <c r="H425" s="839">
        <f>H379 + H356 + H333</f>
        <v>2</v>
      </c>
      <c r="I425" s="839">
        <f>I379 + I356 + I333</f>
        <v>2</v>
      </c>
      <c r="J425" s="839">
        <f>J379 + J356 + J333</f>
        <v>3</v>
      </c>
      <c r="K425" s="839">
        <f>K379 + K356 + K333</f>
        <v>3</v>
      </c>
      <c r="L425" s="839">
        <f>L379 + L356 + L333</f>
        <v>3</v>
      </c>
      <c r="M425" s="839">
        <f>M379 + M356 + M333</f>
        <v>3</v>
      </c>
      <c r="N425" s="839">
        <f>N379 + N356 + N333</f>
        <v>3</v>
      </c>
      <c r="O425" s="839">
        <f>O379 + O356 + O333</f>
        <v>3</v>
      </c>
      <c r="P425" s="839">
        <f>P379 + P356 + P333</f>
        <v>1</v>
      </c>
      <c r="Q425" s="839">
        <f>Q379 + Q356 + Q333</f>
        <v>1</v>
      </c>
      <c r="R425" s="839">
        <f>R379 + R356 + R333</f>
        <v>1</v>
      </c>
      <c r="S425" s="839">
        <f>S379 + S356 + S333</f>
        <v>2</v>
      </c>
      <c r="T425" s="839">
        <f>T379 + T356 + T333</f>
        <v>2</v>
      </c>
      <c r="U425" s="839">
        <f>U379 + U356 + U333</f>
        <v>2</v>
      </c>
      <c r="V425" s="839">
        <f>V379 + V356 + V333</f>
        <v>2</v>
      </c>
      <c r="W425" s="839">
        <f>W379 + W356 + W333</f>
        <v>2</v>
      </c>
      <c r="X425" s="839">
        <f>X379 + X356 + X333</f>
        <v>2</v>
      </c>
      <c r="Y425" s="839">
        <f>Y379 + Y356 + Y333</f>
        <v>2</v>
      </c>
      <c r="Z425" s="839">
        <f>Z379 + Z356 + Z333</f>
        <v>1</v>
      </c>
      <c r="AA425" s="839">
        <f>AA379 + AA356 + AA333</f>
        <v>2</v>
      </c>
      <c r="AB425" s="839">
        <f>AB379 + AB356 + AB333</f>
        <v>2</v>
      </c>
      <c r="AC425" s="841">
        <f>AC379 + AC356 + AC333</f>
        <v>4</v>
      </c>
      <c r="AD425" s="841">
        <f>AD379 + AD356 + AD333</f>
        <v>4</v>
      </c>
      <c r="AE425" s="841">
        <f>AE379 + AE356 + AE333</f>
        <v>4</v>
      </c>
      <c r="AF425" s="841">
        <f>AF379 + AF356 + AF333</f>
        <v>4</v>
      </c>
      <c r="AG425" s="841">
        <f>AG379 + AG356 + AG333</f>
        <v>3</v>
      </c>
      <c r="AH425" s="841">
        <f>AH379 + AH356 + AH333</f>
        <v>3</v>
      </c>
      <c r="AI425" s="841">
        <f>AI379 + AI356 + AI333</f>
        <v>3</v>
      </c>
      <c r="AJ425" s="841">
        <f>AJ379 + AJ356 + AJ333</f>
        <v>3</v>
      </c>
      <c r="AK425" s="841">
        <f>AK379 + AK356 + AK333</f>
        <v>3</v>
      </c>
      <c r="AL425" s="841">
        <f>AL379 + AL356 + AL333</f>
        <v>1</v>
      </c>
      <c r="AM425" s="841">
        <f>AM379 + AM356 + AM333</f>
        <v>1</v>
      </c>
      <c r="AN425" s="841">
        <f>AN379 + AN356 + AN333</f>
        <v>1</v>
      </c>
      <c r="AO425" s="841">
        <f>AO379 + AO356 + AO333</f>
        <v>1</v>
      </c>
      <c r="AP425" s="841">
        <f>AP379 + AP356 + AP333</f>
        <v>1</v>
      </c>
    </row>
    <row r="426" hidden="1">
      <c r="B426" s="842" t="s">
        <v>18</v>
      </c>
      <c r="C426" s="839">
        <f>C380 + C357 + C334</f>
        <v>65</v>
      </c>
      <c r="D426" s="839">
        <f>D380 + D357 + D334</f>
        <v>52</v>
      </c>
      <c r="E426" s="839">
        <f>E380 + E357 + E334</f>
        <v>47</v>
      </c>
      <c r="F426" s="839">
        <f>F380 + F357 + F334</f>
        <v>48</v>
      </c>
      <c r="G426" s="839">
        <f>G380 + G357 + G334</f>
        <v>51</v>
      </c>
      <c r="H426" s="839">
        <f>H380 + H357 + H334</f>
        <v>52</v>
      </c>
      <c r="I426" s="839">
        <f>I380 + I357 + I334</f>
        <v>53</v>
      </c>
      <c r="J426" s="839">
        <f>J380 + J357 + J334</f>
        <v>52</v>
      </c>
      <c r="K426" s="839">
        <f>K380 + K357 + K334</f>
        <v>53</v>
      </c>
      <c r="L426" s="839">
        <f>L380 + L357 + L334</f>
        <v>53</v>
      </c>
      <c r="M426" s="839">
        <f>M380 + M357 + M334</f>
        <v>51</v>
      </c>
      <c r="N426" s="839">
        <f>N380 + N357 + N334</f>
        <v>6</v>
      </c>
      <c r="O426" s="839">
        <f>O380 + O357 + O334</f>
        <v>5</v>
      </c>
      <c r="P426" s="839">
        <f>P380 + P357 + P334</f>
        <v>7</v>
      </c>
      <c r="Q426" s="839">
        <f>Q380 + Q357 + Q334</f>
        <v>7</v>
      </c>
      <c r="R426" s="839">
        <f>R380 + R357 + R334</f>
        <v>6</v>
      </c>
      <c r="S426" s="839">
        <f>S380 + S357 + S334</f>
        <v>6</v>
      </c>
      <c r="T426" s="839">
        <f>T380 + T357 + T334</f>
        <v>6</v>
      </c>
      <c r="U426" s="839">
        <f>U380 + U357 + U334</f>
        <v>6</v>
      </c>
      <c r="V426" s="839">
        <f>V380 + V357 + V334</f>
        <v>6</v>
      </c>
      <c r="W426" s="839">
        <f>W380 + W357 + W334</f>
        <v>8</v>
      </c>
      <c r="X426" s="839">
        <f>X380 + X357 + X334</f>
        <v>8</v>
      </c>
      <c r="Y426" s="839">
        <f>Y380 + Y357 + Y334</f>
        <v>7</v>
      </c>
      <c r="Z426" s="839">
        <f>Z380 + Z357 + Z334</f>
        <v>7</v>
      </c>
      <c r="AA426" s="839">
        <f>AA380 + AA357 + AA334</f>
        <v>7</v>
      </c>
      <c r="AB426" s="839">
        <f>AB380 + AB357 + AB334</f>
        <v>7</v>
      </c>
      <c r="AC426" s="841">
        <f>AC380 + AC357 + AC334</f>
        <v>7</v>
      </c>
      <c r="AD426" s="841">
        <f>AD380 + AD357 + AD334</f>
        <v>10</v>
      </c>
      <c r="AE426" s="841">
        <f>AE380 + AE357 + AE334</f>
        <v>9</v>
      </c>
      <c r="AF426" s="841">
        <f>AF380 + AF357 + AF334</f>
        <v>11</v>
      </c>
      <c r="AG426" s="841">
        <f>AG380 + AG357 + AG334</f>
        <v>12</v>
      </c>
      <c r="AH426" s="841">
        <f>AH380 + AH357 + AH334</f>
        <v>13</v>
      </c>
      <c r="AI426" s="841">
        <f>AI380 + AI357 + AI334</f>
        <v>12</v>
      </c>
      <c r="AJ426" s="841">
        <f>AJ380 + AJ357 + AJ334</f>
        <v>13</v>
      </c>
      <c r="AK426" s="841">
        <f>AK380 + AK357 + AK334</f>
        <v>13</v>
      </c>
      <c r="AL426" s="841">
        <f>AL380 + AL357 + AL334</f>
        <v>13</v>
      </c>
      <c r="AM426" s="841">
        <f>AM380 + AM357 + AM334</f>
        <v>13</v>
      </c>
      <c r="AN426" s="841">
        <f>AN380 + AN357 + AN334</f>
        <v>12</v>
      </c>
      <c r="AO426" s="841">
        <f>AO380 + AO357 + AO334</f>
        <v>11</v>
      </c>
      <c r="AP426" s="841">
        <f>AP380 + AP357 + AP334</f>
        <v>11</v>
      </c>
    </row>
    <row r="427" hidden="1">
      <c r="B427" s="842" t="s">
        <v>19</v>
      </c>
      <c r="C427" s="839">
        <f>C381 + C358 + C335</f>
        <v>7</v>
      </c>
      <c r="D427" s="839">
        <f>D381 + D358 + D335</f>
        <v>6</v>
      </c>
      <c r="E427" s="839">
        <f>E381 + E358 + E335</f>
        <v>8</v>
      </c>
      <c r="F427" s="839">
        <f>F381 + F358 + F335</f>
        <v>8</v>
      </c>
      <c r="G427" s="839">
        <f>G381 + G358 + G335</f>
        <v>8</v>
      </c>
      <c r="H427" s="839">
        <f>H381 + H358 + H335</f>
        <v>8</v>
      </c>
      <c r="I427" s="839">
        <f>I381 + I358 + I335</f>
        <v>8</v>
      </c>
      <c r="J427" s="839">
        <f>J381 + J358 + J335</f>
        <v>10</v>
      </c>
      <c r="K427" s="839">
        <f>K381 + K358 + K335</f>
        <v>7</v>
      </c>
      <c r="L427" s="839">
        <f>L381 + L358 + L335</f>
        <v>1</v>
      </c>
      <c r="M427" s="839">
        <f>M381 + M358 + M335</f>
        <v>9</v>
      </c>
      <c r="N427" s="839">
        <f>N381 + N358 + N335</f>
        <v>9</v>
      </c>
      <c r="O427" s="839">
        <f>O381 + O358 + O335</f>
        <v>12</v>
      </c>
      <c r="P427" s="839">
        <f>P381 + P358 + P335</f>
        <v>13</v>
      </c>
      <c r="Q427" s="839">
        <f>Q381 + Q358 + Q335</f>
        <v>13</v>
      </c>
      <c r="R427" s="839">
        <f>R381 + R358 + R335</f>
        <v>14</v>
      </c>
      <c r="S427" s="839">
        <f>S381 + S358 + S335</f>
        <v>13</v>
      </c>
      <c r="T427" s="839">
        <f>T381 + T358 + T335</f>
        <v>13</v>
      </c>
      <c r="U427" s="839">
        <f>U381 + U358 + U335</f>
        <v>14</v>
      </c>
      <c r="V427" s="839">
        <f>V381 + V358 + V335</f>
        <v>14</v>
      </c>
      <c r="W427" s="839">
        <f>W381 + W358 + W335</f>
        <v>14</v>
      </c>
      <c r="X427" s="839">
        <f>X381 + X358 + X335</f>
        <v>13</v>
      </c>
      <c r="Y427" s="839">
        <f>Y381 + Y358 + Y335</f>
        <v>14</v>
      </c>
      <c r="Z427" s="839">
        <f>Z381 + Z358 + Z335</f>
        <v>14</v>
      </c>
      <c r="AA427" s="839">
        <f>AA381 + AA358 + AA335</f>
        <v>14</v>
      </c>
      <c r="AB427" s="839">
        <f>AB381 + AB358 + AB335</f>
        <v>14</v>
      </c>
      <c r="AC427" s="841">
        <f>AC381 + AC358 + AC335</f>
        <v>14</v>
      </c>
      <c r="AD427" s="841">
        <f>AD381 + AD358 + AD335</f>
        <v>5</v>
      </c>
      <c r="AE427" s="841">
        <f>AE381 + AE358 + AE335</f>
        <v>5</v>
      </c>
      <c r="AF427" s="841">
        <f>AF381 + AF358 + AF335</f>
        <v>5</v>
      </c>
      <c r="AG427" s="841">
        <f>AG381 + AG358 + AG335</f>
        <v>2</v>
      </c>
      <c r="AH427" s="841">
        <f>AH381 + AH358 + AH335</f>
        <v>3</v>
      </c>
      <c r="AI427" s="841">
        <f>AI381 + AI358 + AI335</f>
        <v>2</v>
      </c>
      <c r="AJ427" s="841">
        <f>AJ381 + AJ358 + AJ335</f>
        <v>3</v>
      </c>
      <c r="AK427" s="841">
        <f>AK381 + AK358 + AK335</f>
        <v>3</v>
      </c>
      <c r="AL427" s="841">
        <f>AL381 + AL358 + AL335</f>
        <v>3</v>
      </c>
      <c r="AM427" s="841">
        <f>AM381 + AM358 + AM335</f>
        <v>3</v>
      </c>
      <c r="AN427" s="841">
        <f>AN381 + AN358 + AN335</f>
        <v>3</v>
      </c>
      <c r="AO427" s="841">
        <f>AO381 + AO358 + AO335</f>
        <v>4</v>
      </c>
      <c r="AP427" s="841">
        <f>AP381 + AP358 + AP335</f>
        <v>4</v>
      </c>
    </row>
    <row r="428" hidden="1">
      <c r="B428" s="842" t="s">
        <v>20</v>
      </c>
      <c r="C428" s="839">
        <f>C382 + C359 + C336</f>
        <v>1</v>
      </c>
      <c r="D428" s="839">
        <f>D382 + D359 + D336</f>
        <v>2</v>
      </c>
      <c r="E428" s="839">
        <f>E382 + E359 + E336</f>
        <v>2</v>
      </c>
      <c r="F428" s="839">
        <f>F382 + F359 + F336</f>
        <v>2</v>
      </c>
      <c r="G428" s="839">
        <f>G382 + G359 + G336</f>
        <v>2</v>
      </c>
      <c r="H428" s="839">
        <f>H382 + H359 + H336</f>
        <v>2</v>
      </c>
      <c r="I428" s="839">
        <f>I382 + I359 + I336</f>
        <v>2</v>
      </c>
      <c r="J428" s="839">
        <f>J382 + J359 + J336</f>
        <v>2</v>
      </c>
      <c r="K428" s="839">
        <f>K382 + K359 + K336</f>
        <v>1</v>
      </c>
      <c r="L428" s="839">
        <f>L382 + L359 + L336</f>
        <v>10</v>
      </c>
      <c r="M428" s="839">
        <f>M382 + M359 + M336</f>
        <v>1</v>
      </c>
      <c r="N428" s="839">
        <f>N382 + N359 + N336</f>
        <v>1</v>
      </c>
      <c r="O428" s="839">
        <f>O382 + O359 + O336</f>
        <v>3</v>
      </c>
      <c r="P428" s="839">
        <f>P382 + P359 + P336</f>
        <v>3</v>
      </c>
      <c r="Q428" s="839">
        <f>Q382 + Q359 + Q336</f>
        <v>3</v>
      </c>
      <c r="R428" s="839">
        <f>R382 + R359 + R336</f>
        <v>3</v>
      </c>
      <c r="S428" s="839">
        <f>S382 + S359 + S336</f>
        <v>4</v>
      </c>
      <c r="T428" s="839">
        <f>T382 + T359 + T336</f>
        <v>4</v>
      </c>
      <c r="U428" s="839">
        <f>U382 + U359 + U336</f>
        <v>4</v>
      </c>
      <c r="V428" s="839">
        <f>V382 + V359 + V336</f>
        <v>4</v>
      </c>
      <c r="W428" s="839">
        <f>W382 + W359 + W336</f>
        <v>4</v>
      </c>
      <c r="X428" s="839">
        <f>X382 + X359 + X336</f>
        <v>4</v>
      </c>
      <c r="Y428" s="839">
        <f>Y382 + Y359 + Y336</f>
        <v>4</v>
      </c>
      <c r="Z428" s="839">
        <f>Z382 + Z359 + Z336</f>
        <v>4</v>
      </c>
      <c r="AA428" s="839">
        <f>AA382 + AA359 + AA336</f>
        <v>4</v>
      </c>
      <c r="AB428" s="839">
        <f>AB382 + AB359 + AB336</f>
        <v>4</v>
      </c>
      <c r="AC428" s="841">
        <f>AC382 + AC359 + AC336</f>
        <v>4</v>
      </c>
      <c r="AD428" s="841">
        <f>AD382 + AD359 + AD336</f>
        <v>3</v>
      </c>
      <c r="AE428" s="841">
        <f>AE382 + AE359 + AE336</f>
        <v>3</v>
      </c>
      <c r="AF428" s="841">
        <f>AF382 + AF359 + AF336</f>
        <v>3</v>
      </c>
      <c r="AG428" s="841">
        <f>AG382 + AG359 + AG336</f>
        <v>1</v>
      </c>
      <c r="AH428" s="841">
        <f>AH382 + AH359 + AH336</f>
        <v>1</v>
      </c>
      <c r="AI428" s="841">
        <f>AI382 + AI359 + AI336</f>
        <v>1</v>
      </c>
      <c r="AJ428" s="841">
        <f>AJ382 + AJ359 + AJ336</f>
        <v>1</v>
      </c>
      <c r="AK428" s="841">
        <f>AK382 + AK359 + AK336</f>
        <v>1</v>
      </c>
      <c r="AL428" s="841">
        <f>AL382 + AL359 + AL336</f>
        <v>1</v>
      </c>
      <c r="AM428" s="841">
        <f>AM382 + AM359 + AM336</f>
        <v>1</v>
      </c>
      <c r="AN428" s="841">
        <f>AN382 + AN359 + AN336</f>
        <v>1</v>
      </c>
      <c r="AO428" s="841">
        <f>AO382 + AO359 + AO336</f>
        <v>1</v>
      </c>
      <c r="AP428" s="841">
        <f>AP382 + AP359 + AP336</f>
        <v>1</v>
      </c>
    </row>
    <row r="429" hidden="1">
      <c r="B429" s="842" t="s">
        <v>21</v>
      </c>
      <c r="C429" s="839">
        <f>C383 + C360 + C337</f>
        <v>12</v>
      </c>
      <c r="D429" s="839">
        <f>D383 + D360 + D337</f>
        <v>13</v>
      </c>
      <c r="E429" s="839">
        <f>E383 + E360 + E337</f>
        <v>9</v>
      </c>
      <c r="F429" s="839">
        <f>F383 + F360 + F337</f>
        <v>9</v>
      </c>
      <c r="G429" s="839">
        <f>G383 + G360 + G337</f>
        <v>10</v>
      </c>
      <c r="H429" s="839">
        <f>H383 + H360 + H337</f>
        <v>8</v>
      </c>
      <c r="I429" s="839">
        <f>I383 + I360 + I337</f>
        <v>8</v>
      </c>
      <c r="J429" s="839">
        <f>J383 + J360 + J337</f>
        <v>10</v>
      </c>
      <c r="K429" s="839">
        <f>K383 + K360 + K337</f>
        <v>10</v>
      </c>
      <c r="L429" s="839">
        <f>L383 + L360 + L337</f>
        <v>11</v>
      </c>
      <c r="M429" s="839">
        <f>M383 + M360 + M337</f>
        <v>10</v>
      </c>
      <c r="N429" s="839">
        <f>N383 + N360 + N337</f>
        <v>10</v>
      </c>
      <c r="O429" s="839">
        <f>O383 + O360 + O337</f>
        <v>12</v>
      </c>
      <c r="P429" s="839">
        <f>P383 + P360 + P337</f>
        <v>12</v>
      </c>
      <c r="Q429" s="839">
        <f>Q383 + Q360 + Q337</f>
        <v>12</v>
      </c>
      <c r="R429" s="839">
        <f>R383 + R360 + R337</f>
        <v>12</v>
      </c>
      <c r="S429" s="839">
        <f>S383 + S360 + S337</f>
        <v>10</v>
      </c>
      <c r="T429" s="839">
        <f>T383 + T360 + T337</f>
        <v>12</v>
      </c>
      <c r="U429" s="839">
        <f>U383 + U360 + U337</f>
        <v>11</v>
      </c>
      <c r="V429" s="839">
        <f>V383 + V360 + V337</f>
        <v>12</v>
      </c>
      <c r="W429" s="839">
        <f>W383 + W360 + W337</f>
        <v>11</v>
      </c>
      <c r="X429" s="839">
        <f>X383 + X360 + X337</f>
        <v>11</v>
      </c>
      <c r="Y429" s="839">
        <f>Y383 + Y360 + Y337</f>
        <v>9</v>
      </c>
      <c r="Z429" s="839">
        <f>Z383 + Z360 + Z337</f>
        <v>9</v>
      </c>
      <c r="AA429" s="839">
        <f>AA383 + AA360 + AA337</f>
        <v>9</v>
      </c>
      <c r="AB429" s="839">
        <f>AB383 + AB360 + AB337</f>
        <v>8</v>
      </c>
      <c r="AC429" s="841">
        <f>AC383 + AC360 + AC337</f>
        <v>8</v>
      </c>
      <c r="AD429" s="841">
        <f>AD383 + AD360 + AD337</f>
        <v>0</v>
      </c>
      <c r="AE429" s="841">
        <f>AE383 + AE360 + AE337</f>
        <v>1</v>
      </c>
      <c r="AF429" s="841">
        <f>AF383 + AF360 + AF337</f>
        <v>0</v>
      </c>
      <c r="AG429" s="841">
        <f>AG383 + AG360 + AG337</f>
        <v>0</v>
      </c>
      <c r="AH429" s="841">
        <f>AH383 + AH360 + AH337</f>
        <v>0</v>
      </c>
      <c r="AI429" s="841">
        <f>AI383 + AI360 + AI337</f>
        <v>0</v>
      </c>
      <c r="AJ429" s="841">
        <f>AJ383 + AJ360 + AJ337</f>
        <v>0</v>
      </c>
      <c r="AK429" s="841">
        <f>AK383 + AK360 + AK337</f>
        <v>8</v>
      </c>
      <c r="AL429" s="841">
        <f>AL383 + AL360 + AL337</f>
        <v>1</v>
      </c>
      <c r="AM429" s="841">
        <f>AM383 + AM360 + AM337</f>
        <v>0</v>
      </c>
      <c r="AN429" s="841">
        <f>AN383 + AN360 + AN337</f>
        <v>1</v>
      </c>
      <c r="AO429" s="841">
        <f>AO383 + AO360 + AO337</f>
        <v>1</v>
      </c>
      <c r="AP429" s="841">
        <f>AP383 + AP360 + AP337</f>
        <v>0</v>
      </c>
    </row>
    <row r="430" hidden="1">
      <c r="B430" s="842" t="s">
        <v>22</v>
      </c>
      <c r="C430" s="839">
        <f>C384 + C361 + C338</f>
        <v>3</v>
      </c>
      <c r="D430" s="839">
        <f>D384 + D361 + D338</f>
        <v>3</v>
      </c>
      <c r="E430" s="839">
        <f>E384 + E361 + E338</f>
        <v>5</v>
      </c>
      <c r="F430" s="839">
        <f>F384 + F361 + F338</f>
        <v>5</v>
      </c>
      <c r="G430" s="839">
        <f>G384 + G361 + G338</f>
        <v>5</v>
      </c>
      <c r="H430" s="839">
        <f>H384 + H361 + H338</f>
        <v>5</v>
      </c>
      <c r="I430" s="839">
        <f>I384 + I361 + I338</f>
        <v>6</v>
      </c>
      <c r="J430" s="839">
        <f>J384 + J361 + J338</f>
        <v>7</v>
      </c>
      <c r="K430" s="839">
        <f>K384 + K361 + K338</f>
        <v>9</v>
      </c>
      <c r="L430" s="839">
        <f>L384 + L361 + L338</f>
        <v>2</v>
      </c>
      <c r="M430" s="839">
        <f>M384 + M361 + M338</f>
        <v>8</v>
      </c>
      <c r="N430" s="839">
        <f>N384 + N361 + N338</f>
        <v>7</v>
      </c>
      <c r="O430" s="839">
        <f>O384 + O361 + O338</f>
        <v>6</v>
      </c>
      <c r="P430" s="839">
        <f>P384 + P361 + P338</f>
        <v>6</v>
      </c>
      <c r="Q430" s="839">
        <f>Q384 + Q361 + Q338</f>
        <v>8</v>
      </c>
      <c r="R430" s="839">
        <f>R384 + R361 + R338</f>
        <v>8</v>
      </c>
      <c r="S430" s="839">
        <f>S384 + S361 + S338</f>
        <v>8</v>
      </c>
      <c r="T430" s="839">
        <f>T384 + T361 + T338</f>
        <v>9</v>
      </c>
      <c r="U430" s="839">
        <f>U384 + U361 + U338</f>
        <v>7</v>
      </c>
      <c r="V430" s="839">
        <f>V384 + V361 + V338</f>
        <v>8</v>
      </c>
      <c r="W430" s="839">
        <f>W384 + W361 + W338</f>
        <v>7</v>
      </c>
      <c r="X430" s="839">
        <f>X384 + X361 + X338</f>
        <v>8</v>
      </c>
      <c r="Y430" s="839">
        <f>Y384 + Y361 + Y338</f>
        <v>9</v>
      </c>
      <c r="Z430" s="839">
        <f>Z384 + Z361 + Z338</f>
        <v>9</v>
      </c>
      <c r="AA430" s="839">
        <f>AA384 + AA361 + AA338</f>
        <v>9</v>
      </c>
      <c r="AB430" s="839">
        <f>AB384 + AB361 + AB338</f>
        <v>10</v>
      </c>
      <c r="AC430" s="841">
        <f>AC384 + AC361 + AC338</f>
        <v>9</v>
      </c>
      <c r="AD430" s="841">
        <f>AD384 + AD361 + AD338</f>
        <v>7</v>
      </c>
      <c r="AE430" s="841">
        <f>AE384 + AE361 + AE338</f>
        <v>6</v>
      </c>
      <c r="AF430" s="841">
        <f>AF384 + AF361 + AF338</f>
        <v>6</v>
      </c>
      <c r="AG430" s="841">
        <f>AG384 + AG361 + AG338</f>
        <v>6</v>
      </c>
      <c r="AH430" s="841">
        <f>AH384 + AH361 + AH338</f>
        <v>6</v>
      </c>
      <c r="AI430" s="841">
        <f>AI384 + AI361 + AI338</f>
        <v>4</v>
      </c>
      <c r="AJ430" s="841">
        <f>AJ384 + AJ361 + AJ338</f>
        <v>4</v>
      </c>
      <c r="AK430" s="841">
        <f>AK384 + AK361 + AK338</f>
        <v>3</v>
      </c>
      <c r="AL430" s="841">
        <f>AL384 + AL361 + AL338</f>
        <v>3</v>
      </c>
      <c r="AM430" s="841">
        <f>AM384 + AM361 + AM338</f>
        <v>2</v>
      </c>
      <c r="AN430" s="841">
        <f>AN384 + AN361 + AN338</f>
        <v>2</v>
      </c>
      <c r="AO430" s="841">
        <f>AO384 + AO361 + AO338</f>
        <v>2</v>
      </c>
      <c r="AP430" s="841">
        <f>AP384 + AP361 + AP338</f>
        <v>2</v>
      </c>
    </row>
    <row r="431" hidden="1">
      <c r="B431" s="842" t="s">
        <v>23</v>
      </c>
      <c r="C431" s="839">
        <f>C385 + C362 + C339</f>
        <v>3</v>
      </c>
      <c r="D431" s="839">
        <f>D385 + D362 + D339</f>
        <v>3</v>
      </c>
      <c r="E431" s="839">
        <f>E385 + E362 + E339</f>
        <v>4</v>
      </c>
      <c r="F431" s="839">
        <f>F385 + F362 + F339</f>
        <v>4</v>
      </c>
      <c r="G431" s="839">
        <f>G385 + G362 + G339</f>
        <v>3</v>
      </c>
      <c r="H431" s="839">
        <f>H385 + H362 + H339</f>
        <v>3</v>
      </c>
      <c r="I431" s="839">
        <f>I385 + I362 + I339</f>
        <v>3</v>
      </c>
      <c r="J431" s="839">
        <f>J385 + J362 + J339</f>
        <v>3</v>
      </c>
      <c r="K431" s="839">
        <f>K385 + K362 + K339</f>
        <v>2</v>
      </c>
      <c r="L431" s="839">
        <f>L385 + L362 + L339</f>
        <v>8</v>
      </c>
      <c r="M431" s="839">
        <f>M385 + M362 + M339</f>
        <v>2</v>
      </c>
      <c r="N431" s="839">
        <f>N385 + N362 + N339</f>
        <v>1</v>
      </c>
      <c r="O431" s="839">
        <f>O385 + O362 + O339</f>
        <v>1</v>
      </c>
      <c r="P431" s="839">
        <f>P385 + P362 + P339</f>
        <v>1</v>
      </c>
      <c r="Q431" s="839">
        <f>Q385 + Q362 + Q339</f>
        <v>1</v>
      </c>
      <c r="R431" s="839">
        <f>R385 + R362 + R339</f>
        <v>1</v>
      </c>
      <c r="S431" s="839">
        <f>S385 + S362 + S339</f>
        <v>1</v>
      </c>
      <c r="T431" s="839">
        <f>T385 + T362 + T339</f>
        <v>1</v>
      </c>
      <c r="U431" s="839">
        <f>U385 + U362 + U339</f>
        <v>1</v>
      </c>
      <c r="V431" s="839">
        <f>V385 + V362 + V339</f>
        <v>2</v>
      </c>
      <c r="W431" s="839">
        <f>W385 + W362 + W339</f>
        <v>2</v>
      </c>
      <c r="X431" s="839">
        <f>X385 + X362 + X339</f>
        <v>3</v>
      </c>
      <c r="Y431" s="839">
        <f>Y385 + Y362 + Y339</f>
        <v>3</v>
      </c>
      <c r="Z431" s="839">
        <f>Z385 + Z362 + Z339</f>
        <v>3</v>
      </c>
      <c r="AA431" s="839">
        <f>AA385 + AA362 + AA339</f>
        <v>5</v>
      </c>
      <c r="AB431" s="839">
        <f>AB385 + AB362 + AB339</f>
        <v>5</v>
      </c>
      <c r="AC431" s="841">
        <f>AC385 + AC362 + AC339</f>
        <v>5</v>
      </c>
      <c r="AD431" s="841">
        <f>AD385 + AD362 + AD339</f>
        <v>3</v>
      </c>
      <c r="AE431" s="841">
        <f>AE385 + AE362 + AE339</f>
        <v>3</v>
      </c>
      <c r="AF431" s="841">
        <f>AF385 + AF362 + AF339</f>
        <v>3</v>
      </c>
      <c r="AG431" s="841">
        <f>AG385 + AG362 + AG339</f>
        <v>3</v>
      </c>
      <c r="AH431" s="841">
        <f>AH385 + AH362 + AH339</f>
        <v>4</v>
      </c>
      <c r="AI431" s="841">
        <f>AI385 + AI362 + AI339</f>
        <v>4</v>
      </c>
      <c r="AJ431" s="841">
        <f>AJ385 + AJ362 + AJ339</f>
        <v>4</v>
      </c>
      <c r="AK431" s="841">
        <f>AK385 + AK362 + AK339</f>
        <v>4</v>
      </c>
      <c r="AL431" s="841">
        <f>AL385 + AL362 + AL339</f>
        <v>4</v>
      </c>
      <c r="AM431" s="841">
        <f>AM385 + AM362 + AM339</f>
        <v>3</v>
      </c>
      <c r="AN431" s="841">
        <f>AN385 + AN362 + AN339</f>
        <v>3</v>
      </c>
      <c r="AO431" s="841">
        <f>AO385 + AO362 + AO339</f>
        <v>3</v>
      </c>
      <c r="AP431" s="841">
        <f>AP385 + AP362 + AP339</f>
        <v>0</v>
      </c>
    </row>
    <row r="432" hidden="1">
      <c r="B432" s="843" t="s">
        <v>24</v>
      </c>
      <c r="C432" s="839">
        <f>C386 + C363 + C340</f>
        <v>21</v>
      </c>
      <c r="D432" s="839">
        <f>D386 + D363 + D340</f>
        <v>22</v>
      </c>
      <c r="E432" s="839">
        <f>E386 + E363 + E340</f>
        <v>23</v>
      </c>
      <c r="F432" s="839">
        <f>F386 + F363 + F340</f>
        <v>25</v>
      </c>
      <c r="G432" s="839">
        <f>G386 + G363 + G340</f>
        <v>24</v>
      </c>
      <c r="H432" s="839">
        <f>H386 + H363 + H340</f>
        <v>25</v>
      </c>
      <c r="I432" s="839">
        <f>I386 + I363 + I340</f>
        <v>25</v>
      </c>
      <c r="J432" s="839">
        <f>J386 + J363 + J340</f>
        <v>24</v>
      </c>
      <c r="K432" s="839">
        <f>K386 + K363 + K340</f>
        <v>24</v>
      </c>
      <c r="L432" s="839">
        <f>L386 + L363 + L340</f>
        <v>24</v>
      </c>
      <c r="M432" s="839">
        <f>M386 + M363 + M340</f>
        <v>25</v>
      </c>
      <c r="N432" s="839">
        <f>N386 + N363 + N340</f>
        <v>25</v>
      </c>
      <c r="O432" s="839">
        <f>O386 + O363 + O340</f>
        <v>22</v>
      </c>
      <c r="P432" s="839">
        <f>P386 + P363 + P340</f>
        <v>21</v>
      </c>
      <c r="Q432" s="839">
        <f>Q386 + Q363 + Q340</f>
        <v>21</v>
      </c>
      <c r="R432" s="839">
        <f>R386 + R363 + R340</f>
        <v>21</v>
      </c>
      <c r="S432" s="839">
        <f>S386 + S363 + S340</f>
        <v>20</v>
      </c>
      <c r="T432" s="839">
        <f>T386 + T363 + T340</f>
        <v>18</v>
      </c>
      <c r="U432" s="839">
        <f>U386 + U363 + U340</f>
        <v>19</v>
      </c>
      <c r="V432" s="839">
        <f>V386 + V363 + V340</f>
        <v>19</v>
      </c>
      <c r="W432" s="839">
        <f>W386 + W363 + W340</f>
        <v>18</v>
      </c>
      <c r="X432" s="839">
        <f>X386 + X363 + X340</f>
        <v>17</v>
      </c>
      <c r="Y432" s="839">
        <f>Y386 + Y363 + Y340</f>
        <v>18</v>
      </c>
      <c r="Z432" s="839">
        <f>Z386 + Z363 + Z340</f>
        <v>20</v>
      </c>
      <c r="AA432" s="839">
        <f>AA386 + AA363 + AA340</f>
        <v>21</v>
      </c>
      <c r="AB432" s="839">
        <f>AB386 + AB363 + AB340</f>
        <v>8</v>
      </c>
      <c r="AC432" s="841">
        <f>AC386 + AC363 + AC340</f>
        <v>6</v>
      </c>
      <c r="AD432" s="841">
        <f>AD386 + AD363 + AD340</f>
        <v>2</v>
      </c>
      <c r="AE432" s="841">
        <f>AE386 + AE363 + AE340</f>
        <v>2</v>
      </c>
      <c r="AF432" s="841">
        <f>AF386 + AF363 + AF340</f>
        <v>2</v>
      </c>
      <c r="AG432" s="841">
        <f>AG386 + AG363 + AG340</f>
        <v>2</v>
      </c>
      <c r="AH432" s="841">
        <f>AH386 + AH363 + AH340</f>
        <v>4</v>
      </c>
      <c r="AI432" s="841">
        <f>AI386 + AI363 + AI340</f>
        <v>5</v>
      </c>
      <c r="AJ432" s="841">
        <f>AJ386 + AJ363 + AJ340</f>
        <v>5</v>
      </c>
      <c r="AK432" s="841">
        <f>AK386 + AK363 + AK340</f>
        <v>5</v>
      </c>
      <c r="AL432" s="841">
        <f>AL386 + AL363 + AL340</f>
        <v>5</v>
      </c>
      <c r="AM432" s="841">
        <f>AM386 + AM363 + AM340</f>
        <v>4</v>
      </c>
      <c r="AN432" s="841">
        <f>AN386 + AN363 + AN340</f>
        <v>5</v>
      </c>
      <c r="AO432" s="841">
        <f>AO386 + AO363 + AO340</f>
        <v>5</v>
      </c>
      <c r="AP432" s="841">
        <f>AP386 + AP363 + AP340</f>
        <v>4</v>
      </c>
    </row>
    <row r="433" hidden="1">
      <c r="B433" s="842" t="s">
        <v>25</v>
      </c>
      <c r="C433" s="839">
        <f>C387 + C364 + C341</f>
        <v>0</v>
      </c>
      <c r="D433" s="839">
        <f>D387 + D364 + D341</f>
        <v>0</v>
      </c>
      <c r="E433" s="839">
        <f>E387 + E364 + E341</f>
        <v>0</v>
      </c>
      <c r="F433" s="839">
        <f>F387 + F364 + F341</f>
        <v>0</v>
      </c>
      <c r="G433" s="839">
        <f>G387 + G364 + G341</f>
        <v>0</v>
      </c>
      <c r="H433" s="839">
        <f>H387 + H364 + H341</f>
        <v>0</v>
      </c>
      <c r="I433" s="839">
        <f>I387 + I364 + I341</f>
        <v>0</v>
      </c>
      <c r="J433" s="839">
        <f>J387 + J364 + J341</f>
        <v>0</v>
      </c>
      <c r="K433" s="839">
        <f>K387 + K364 + K341</f>
        <v>0</v>
      </c>
      <c r="L433" s="839">
        <f>L387 + L364 + L341</f>
        <v>0</v>
      </c>
      <c r="M433" s="839">
        <f>M387 + M364 + M341</f>
        <v>0</v>
      </c>
      <c r="N433" s="839">
        <f>N387 + N364 + N341</f>
        <v>0</v>
      </c>
      <c r="O433" s="839">
        <f>O387 + O364 + O341</f>
        <v>0</v>
      </c>
      <c r="P433" s="839">
        <f>P387 + P364 + P341</f>
        <v>0</v>
      </c>
      <c r="Q433" s="839">
        <f>Q387 + Q364 + Q341</f>
        <v>0</v>
      </c>
      <c r="R433" s="839">
        <f>R387 + R364 + R341</f>
        <v>0</v>
      </c>
      <c r="S433" s="839">
        <f>S387 + S364 + S341</f>
        <v>0</v>
      </c>
      <c r="T433" s="839">
        <f>T387 + T364 + T341</f>
        <v>0</v>
      </c>
      <c r="U433" s="839">
        <f>U387 + U364 + U341</f>
        <v>0</v>
      </c>
      <c r="V433" s="839">
        <f>V387 + V364 + V341</f>
        <v>0</v>
      </c>
      <c r="W433" s="839">
        <f>W387 + W364 + W341</f>
        <v>0</v>
      </c>
      <c r="X433" s="839">
        <f>X387 + X364 + X341</f>
        <v>0</v>
      </c>
      <c r="Y433" s="839">
        <f>Y387 + Y364 + Y341</f>
        <v>0</v>
      </c>
      <c r="Z433" s="839">
        <f>Z387 + Z364 + Z341</f>
        <v>0</v>
      </c>
      <c r="AA433" s="839">
        <f>AA387 + AA364 + AA341</f>
        <v>0</v>
      </c>
      <c r="AB433" s="839">
        <f>AB387 + AB364 + AB341</f>
        <v>0</v>
      </c>
      <c r="AC433" s="841">
        <f>AC387 + AC364 + AC341</f>
        <v>0</v>
      </c>
      <c r="AD433" s="841">
        <f>AD387 + AD364 + AD341</f>
        <v>0</v>
      </c>
      <c r="AE433" s="841">
        <f>AE387 + AE364 + AE341</f>
        <v>0</v>
      </c>
      <c r="AF433" s="841">
        <f>AF387 + AF364 + AF341</f>
        <v>0</v>
      </c>
      <c r="AG433" s="841">
        <f>AG387 + AG364 + AG341</f>
        <v>0</v>
      </c>
      <c r="AH433" s="841">
        <f>AH387 + AH364 + AH341</f>
        <v>0</v>
      </c>
      <c r="AI433" s="841">
        <f>AI387 + AI364 + AI341</f>
        <v>0</v>
      </c>
      <c r="AJ433" s="841">
        <f>AJ387 + AJ364 + AJ341</f>
        <v>0</v>
      </c>
      <c r="AK433" s="841">
        <f>AK387 + AK364 + AK341</f>
        <v>0</v>
      </c>
      <c r="AL433" s="841">
        <f>AL387 + AL364 + AL341</f>
        <v>0</v>
      </c>
      <c r="AM433" s="841">
        <f>AM387 + AM364 + AM341</f>
        <v>0</v>
      </c>
      <c r="AN433" s="841">
        <f>AN387 + AN364 + AN341</f>
        <v>0</v>
      </c>
      <c r="AO433" s="841">
        <f>AO387 + AO364 + AO341</f>
        <v>0</v>
      </c>
      <c r="AP433" s="841">
        <f>AP387 + AP364 + AP341</f>
        <v>0</v>
      </c>
    </row>
    <row r="434" hidden="1" ht="13.5">
      <c r="B434" s="844" t="s">
        <v>26</v>
      </c>
      <c r="C434" s="839">
        <f>C388 + C365 + C342</f>
        <v>0</v>
      </c>
      <c r="D434" s="839">
        <f>D388 + D365 + D342</f>
        <v>0</v>
      </c>
      <c r="E434" s="839">
        <f>E388 + E365 + E342</f>
        <v>0</v>
      </c>
      <c r="F434" s="839">
        <f>F388 + F365 + F342</f>
        <v>0</v>
      </c>
      <c r="G434" s="839">
        <f>G388 + G365 + G342</f>
        <v>0</v>
      </c>
      <c r="H434" s="839">
        <f>H388 + H365 + H342</f>
        <v>0</v>
      </c>
      <c r="I434" s="839">
        <f>I388 + I365 + I342</f>
        <v>0</v>
      </c>
      <c r="J434" s="839">
        <f>J388 + J365 + J342</f>
        <v>0</v>
      </c>
      <c r="K434" s="839">
        <f>K388 + K365 + K342</f>
        <v>0</v>
      </c>
      <c r="L434" s="839">
        <f>L388 + L365 + L342</f>
        <v>0</v>
      </c>
      <c r="M434" s="839">
        <f>M388 + M365 + M342</f>
        <v>0</v>
      </c>
      <c r="N434" s="839">
        <f>N388 + N365 + N342</f>
        <v>0</v>
      </c>
      <c r="O434" s="839">
        <f>O388 + O365 + O342</f>
        <v>0</v>
      </c>
      <c r="P434" s="839">
        <f>P388 + P365 + P342</f>
        <v>0</v>
      </c>
      <c r="Q434" s="839">
        <f>Q388 + Q365 + Q342</f>
        <v>0</v>
      </c>
      <c r="R434" s="839">
        <f>R388 + R365 + R342</f>
        <v>0</v>
      </c>
      <c r="S434" s="839">
        <f>S388 + S365 + S342</f>
        <v>0</v>
      </c>
      <c r="T434" s="839">
        <f>T388 + T365 + T342</f>
        <v>0</v>
      </c>
      <c r="U434" s="839">
        <f>U388 + U365 + U342</f>
        <v>0</v>
      </c>
      <c r="V434" s="839">
        <f>V388 + V365 + V342</f>
        <v>0</v>
      </c>
      <c r="W434" s="839">
        <f>W388 + W365 + W342</f>
        <v>0</v>
      </c>
      <c r="X434" s="839">
        <f>X388 + X365 + X342</f>
        <v>0</v>
      </c>
      <c r="Y434" s="839">
        <f>Y388 + Y365 + Y342</f>
        <v>0</v>
      </c>
      <c r="Z434" s="839">
        <f>Z388 + Z365 + Z342</f>
        <v>0</v>
      </c>
      <c r="AA434" s="839">
        <f>AA388 + AA365 + AA342</f>
        <v>0</v>
      </c>
      <c r="AB434" s="845">
        <f>AB388 + AB365 + AB342</f>
        <v>0</v>
      </c>
      <c r="AC434" s="841">
        <f>AC388 + AC365 + AC342</f>
        <v>0</v>
      </c>
      <c r="AD434" s="841">
        <f>AD388 + AD365 + AD342</f>
        <v>0</v>
      </c>
      <c r="AE434" s="841">
        <f>AE388 + AE365 + AE342</f>
        <v>0</v>
      </c>
      <c r="AF434" s="841">
        <f>AF388 + AF365 + AF342</f>
        <v>0</v>
      </c>
      <c r="AG434" s="841">
        <f>AG388 + AG365 + AG342</f>
        <v>0</v>
      </c>
      <c r="AH434" s="841">
        <f>AH388 + AH365 + AH342</f>
        <v>0</v>
      </c>
      <c r="AI434" s="841">
        <f>AI388 + AI365 + AI342</f>
        <v>0</v>
      </c>
      <c r="AJ434" s="841">
        <f>AJ388 + AJ365 + AJ342</f>
        <v>0</v>
      </c>
      <c r="AK434" s="841">
        <f>AK388 + AK365 + AK342</f>
        <v>0</v>
      </c>
      <c r="AL434" s="841">
        <f>AL388 + AL365 + AL342</f>
        <v>0</v>
      </c>
      <c r="AM434" s="841">
        <f>AM388 + AM365 + AM342</f>
        <v>0</v>
      </c>
      <c r="AN434" s="841">
        <f>AN388 + AN365 + AN342</f>
        <v>0</v>
      </c>
      <c r="AO434" s="841">
        <f>AO388 + AO365 + AO342</f>
        <v>0</v>
      </c>
      <c r="AP434" s="841">
        <f>AP388 + AP365 + AP342</f>
        <v>0</v>
      </c>
    </row>
    <row r="435" hidden="1" ht="13.5">
      <c r="B435" s="128" t="s">
        <v>7</v>
      </c>
      <c r="C435" s="129" t="str">
        <f>IF(SUM(C416:C434)&lt;&gt;0,SUM(C416:C434),"")</f>
      </c>
      <c r="D435" s="129" t="str">
        <f ref="D435:AA435" t="shared" si="50">IF(SUM(D416:D434)&lt;&gt;0,SUM(D416:D434),"")</f>
      </c>
      <c r="E435" s="129" t="str">
        <f t="shared" si="50"/>
      </c>
      <c r="F435" s="129" t="str">
        <f t="shared" si="50"/>
      </c>
      <c r="G435" s="129" t="str">
        <f t="shared" si="50"/>
      </c>
      <c r="H435" s="129" t="str">
        <f t="shared" si="50"/>
      </c>
      <c r="I435" s="129" t="str">
        <f t="shared" si="50"/>
      </c>
      <c r="J435" s="129" t="str">
        <f t="shared" si="50"/>
      </c>
      <c r="K435" s="129" t="str">
        <f t="shared" si="50"/>
      </c>
      <c r="L435" s="129" t="str">
        <f t="shared" si="50"/>
      </c>
      <c r="M435" s="129" t="str">
        <f t="shared" si="50"/>
      </c>
      <c r="N435" s="129" t="str">
        <f t="shared" si="50"/>
      </c>
      <c r="O435" s="129" t="str">
        <f t="shared" si="50"/>
      </c>
      <c r="P435" s="129" t="str">
        <f t="shared" si="50"/>
      </c>
      <c r="Q435" s="129" t="str">
        <f t="shared" si="50"/>
      </c>
      <c r="R435" s="129" t="str">
        <f t="shared" si="50"/>
      </c>
      <c r="S435" s="129" t="str">
        <f t="shared" si="50"/>
      </c>
      <c r="T435" s="129" t="str">
        <f t="shared" si="50"/>
      </c>
      <c r="U435" s="129" t="str">
        <f t="shared" si="50"/>
      </c>
      <c r="V435" s="129" t="str">
        <f t="shared" si="50"/>
      </c>
      <c r="W435" s="129" t="str">
        <f t="shared" si="50"/>
      </c>
      <c r="X435" s="129" t="str">
        <f t="shared" si="50"/>
      </c>
      <c r="Y435" s="129" t="str">
        <f t="shared" si="50"/>
      </c>
      <c r="Z435" s="129" t="str">
        <f t="shared" si="50"/>
      </c>
      <c r="AA435" s="129" t="str">
        <f t="shared" si="50"/>
      </c>
      <c r="AB435" s="130" t="str">
        <f>IF(SUM(AB416:AB434)&lt;&gt;0,SUM(AB416:AB434),"")</f>
      </c>
      <c r="AC435" s="91" t="str">
        <f ref="AC435:CN435" t="shared" si="51">IF(SUM(AC416:AC434)&lt;&gt;0,SUM(AC416:AC434),"")</f>
      </c>
      <c r="AD435" s="91" t="str">
        <f t="shared" si="51"/>
      </c>
      <c r="AE435" s="91" t="str">
        <f t="shared" si="51"/>
      </c>
      <c r="AF435" s="91" t="str">
        <f t="shared" si="51"/>
      </c>
      <c r="AG435" s="91" t="str">
        <f t="shared" si="51"/>
      </c>
      <c r="AH435" s="91" t="str">
        <f t="shared" si="51"/>
      </c>
      <c r="AI435" s="91" t="str">
        <f t="shared" si="51"/>
      </c>
      <c r="AJ435" s="91" t="str">
        <f t="shared" si="51"/>
      </c>
      <c r="AK435" s="91" t="str">
        <f t="shared" si="51"/>
      </c>
      <c r="AL435" s="91" t="str">
        <f t="shared" si="51"/>
      </c>
      <c r="AM435" s="91" t="str">
        <f t="shared" si="51"/>
      </c>
      <c r="AN435" s="91" t="str">
        <f t="shared" si="51"/>
      </c>
      <c r="AO435" s="91" t="str">
        <f t="shared" si="51"/>
      </c>
      <c r="AP435" s="91" t="str">
        <f t="shared" si="51"/>
      </c>
      <c r="AQ435" s="91" t="str">
        <f t="shared" si="51"/>
      </c>
      <c r="AR435" s="91" t="str">
        <f t="shared" si="51"/>
      </c>
      <c r="AS435" s="91" t="str">
        <f t="shared" si="51"/>
      </c>
      <c r="AT435" s="91" t="str">
        <f t="shared" si="51"/>
      </c>
      <c r="AU435" s="91" t="str">
        <f t="shared" si="51"/>
      </c>
      <c r="AV435" s="91" t="str">
        <f t="shared" si="51"/>
      </c>
      <c r="AW435" s="91" t="str">
        <f t="shared" si="51"/>
      </c>
      <c r="AX435" s="91" t="str">
        <f t="shared" si="51"/>
      </c>
      <c r="AY435" s="91" t="str">
        <f t="shared" si="51"/>
      </c>
      <c r="AZ435" s="91" t="str">
        <f t="shared" si="51"/>
      </c>
      <c r="BA435" s="91" t="str">
        <f t="shared" si="51"/>
      </c>
      <c r="BB435" s="91" t="str">
        <f t="shared" si="51"/>
      </c>
      <c r="BC435" s="91" t="str">
        <f t="shared" si="51"/>
      </c>
      <c r="BD435" s="91" t="str">
        <f t="shared" si="51"/>
      </c>
      <c r="BE435" s="91" t="str">
        <f t="shared" si="51"/>
      </c>
      <c r="BF435" s="91" t="str">
        <f t="shared" si="51"/>
      </c>
      <c r="BG435" s="91" t="str">
        <f t="shared" si="51"/>
      </c>
      <c r="BH435" s="91" t="str">
        <f t="shared" si="51"/>
      </c>
      <c r="BI435" s="91" t="str">
        <f t="shared" si="51"/>
      </c>
      <c r="BJ435" s="91" t="str">
        <f t="shared" si="51"/>
      </c>
      <c r="BK435" s="91" t="str">
        <f t="shared" si="51"/>
      </c>
      <c r="BL435" s="91" t="str">
        <f t="shared" si="51"/>
      </c>
      <c r="BM435" s="91" t="str">
        <f t="shared" si="51"/>
      </c>
      <c r="BN435" s="91" t="str">
        <f t="shared" si="51"/>
      </c>
      <c r="BO435" s="91" t="str">
        <f t="shared" si="51"/>
      </c>
      <c r="BP435" s="91" t="str">
        <f t="shared" si="51"/>
      </c>
      <c r="BQ435" s="91" t="str">
        <f t="shared" si="51"/>
      </c>
      <c r="BR435" s="91" t="str">
        <f t="shared" si="51"/>
      </c>
      <c r="BS435" s="91" t="str">
        <f t="shared" si="51"/>
      </c>
      <c r="BT435" s="91" t="str">
        <f t="shared" si="51"/>
      </c>
      <c r="BU435" s="91" t="str">
        <f t="shared" si="51"/>
      </c>
      <c r="BV435" s="91" t="str">
        <f t="shared" si="51"/>
      </c>
      <c r="BW435" s="91" t="str">
        <f t="shared" si="51"/>
      </c>
      <c r="BX435" s="91" t="str">
        <f t="shared" si="51"/>
      </c>
      <c r="BY435" s="91" t="str">
        <f t="shared" si="51"/>
      </c>
      <c r="BZ435" s="91" t="str">
        <f t="shared" si="51"/>
      </c>
      <c r="CA435" s="91" t="str">
        <f t="shared" si="51"/>
      </c>
      <c r="CB435" s="91" t="str">
        <f t="shared" si="51"/>
      </c>
      <c r="CC435" s="91" t="str">
        <f t="shared" si="51"/>
      </c>
      <c r="CD435" s="91" t="str">
        <f t="shared" si="51"/>
      </c>
      <c r="CE435" s="91" t="str">
        <f t="shared" si="51"/>
      </c>
      <c r="CF435" s="91" t="str">
        <f t="shared" si="51"/>
      </c>
      <c r="CG435" s="91" t="str">
        <f t="shared" si="51"/>
      </c>
      <c r="CH435" s="91" t="str">
        <f t="shared" si="51"/>
      </c>
      <c r="CI435" s="91" t="str">
        <f t="shared" si="51"/>
      </c>
      <c r="CJ435" s="91" t="str">
        <f t="shared" si="51"/>
      </c>
      <c r="CK435" s="91" t="str">
        <f t="shared" si="51"/>
      </c>
      <c r="CL435" s="91" t="str">
        <f t="shared" si="51"/>
      </c>
      <c r="CM435" s="91" t="str">
        <f t="shared" si="51"/>
      </c>
      <c r="CN435" s="91" t="str">
        <f t="shared" si="51"/>
      </c>
      <c r="CO435" s="91" t="str">
        <f ref="CO435:EZ435" t="shared" si="52">IF(SUM(CO416:CO434)&lt;&gt;0,SUM(CO416:CO434),"")</f>
      </c>
      <c r="CP435" s="91" t="str">
        <f t="shared" si="52"/>
      </c>
      <c r="CQ435" s="91" t="str">
        <f t="shared" si="52"/>
      </c>
      <c r="CR435" s="91" t="str">
        <f t="shared" si="52"/>
      </c>
      <c r="CS435" s="91" t="str">
        <f t="shared" si="52"/>
      </c>
      <c r="CT435" s="91" t="str">
        <f t="shared" si="52"/>
      </c>
      <c r="CU435" s="91" t="str">
        <f t="shared" si="52"/>
      </c>
      <c r="CV435" s="91" t="str">
        <f t="shared" si="52"/>
      </c>
      <c r="CW435" s="91" t="str">
        <f t="shared" si="52"/>
      </c>
      <c r="CX435" s="91" t="str">
        <f t="shared" si="52"/>
      </c>
      <c r="CY435" s="91" t="str">
        <f t="shared" si="52"/>
      </c>
      <c r="CZ435" s="91" t="str">
        <f t="shared" si="52"/>
      </c>
      <c r="DA435" s="91" t="str">
        <f t="shared" si="52"/>
      </c>
      <c r="DB435" s="91" t="str">
        <f t="shared" si="52"/>
      </c>
      <c r="DC435" s="91" t="str">
        <f t="shared" si="52"/>
      </c>
      <c r="DD435" s="91" t="str">
        <f t="shared" si="52"/>
      </c>
      <c r="DE435" s="91" t="str">
        <f t="shared" si="52"/>
      </c>
      <c r="DF435" s="91" t="str">
        <f t="shared" si="52"/>
      </c>
      <c r="DG435" s="91" t="str">
        <f t="shared" si="52"/>
      </c>
      <c r="DH435" s="91" t="str">
        <f t="shared" si="52"/>
      </c>
      <c r="DI435" s="91" t="str">
        <f t="shared" si="52"/>
      </c>
      <c r="DJ435" s="91" t="str">
        <f t="shared" si="52"/>
      </c>
      <c r="DK435" s="91" t="str">
        <f t="shared" si="52"/>
      </c>
      <c r="DL435" s="91" t="str">
        <f t="shared" si="52"/>
      </c>
      <c r="DM435" s="91" t="str">
        <f t="shared" si="52"/>
      </c>
      <c r="DN435" s="91" t="str">
        <f t="shared" si="52"/>
      </c>
      <c r="DO435" s="91" t="str">
        <f t="shared" si="52"/>
      </c>
      <c r="DP435" s="91" t="str">
        <f t="shared" si="52"/>
      </c>
      <c r="DQ435" s="91" t="str">
        <f t="shared" si="52"/>
      </c>
      <c r="DR435" s="91" t="str">
        <f t="shared" si="52"/>
      </c>
      <c r="DS435" s="91" t="str">
        <f t="shared" si="52"/>
      </c>
      <c r="DT435" s="91" t="str">
        <f t="shared" si="52"/>
      </c>
      <c r="DU435" s="91" t="str">
        <f t="shared" si="52"/>
      </c>
      <c r="DV435" s="91" t="str">
        <f t="shared" si="52"/>
      </c>
      <c r="DW435" s="91" t="str">
        <f t="shared" si="52"/>
      </c>
      <c r="DX435" s="91" t="str">
        <f t="shared" si="52"/>
      </c>
      <c r="DY435" s="91" t="str">
        <f t="shared" si="52"/>
      </c>
      <c r="DZ435" s="91" t="str">
        <f t="shared" si="52"/>
      </c>
      <c r="EA435" s="91" t="str">
        <f t="shared" si="52"/>
      </c>
      <c r="EB435" s="91" t="str">
        <f t="shared" si="52"/>
      </c>
      <c r="EC435" s="91" t="str">
        <f t="shared" si="52"/>
      </c>
      <c r="ED435" s="91" t="str">
        <f t="shared" si="52"/>
      </c>
      <c r="EE435" s="91" t="str">
        <f t="shared" si="52"/>
      </c>
      <c r="EF435" s="91" t="str">
        <f t="shared" si="52"/>
      </c>
      <c r="EG435" s="91" t="str">
        <f t="shared" si="52"/>
      </c>
      <c r="EH435" s="91" t="str">
        <f t="shared" si="52"/>
      </c>
      <c r="EI435" s="91" t="str">
        <f t="shared" si="52"/>
      </c>
      <c r="EJ435" s="91" t="str">
        <f t="shared" si="52"/>
      </c>
      <c r="EK435" s="91" t="str">
        <f t="shared" si="52"/>
      </c>
      <c r="EL435" s="91" t="str">
        <f t="shared" si="52"/>
      </c>
      <c r="EM435" s="91" t="str">
        <f t="shared" si="52"/>
      </c>
      <c r="EN435" s="91" t="str">
        <f t="shared" si="52"/>
      </c>
      <c r="EO435" s="91" t="str">
        <f t="shared" si="52"/>
      </c>
      <c r="EP435" s="91" t="str">
        <f t="shared" si="52"/>
      </c>
      <c r="EQ435" s="91" t="str">
        <f t="shared" si="52"/>
      </c>
      <c r="ER435" s="91" t="str">
        <f t="shared" si="52"/>
      </c>
      <c r="ES435" s="91" t="str">
        <f t="shared" si="52"/>
      </c>
      <c r="ET435" s="91" t="str">
        <f t="shared" si="52"/>
      </c>
      <c r="EU435" s="91" t="str">
        <f t="shared" si="52"/>
      </c>
      <c r="EV435" s="91" t="str">
        <f t="shared" si="52"/>
      </c>
      <c r="EW435" s="91" t="str">
        <f t="shared" si="52"/>
      </c>
      <c r="EX435" s="91" t="str">
        <f t="shared" si="52"/>
      </c>
      <c r="EY435" s="91" t="str">
        <f t="shared" si="52"/>
      </c>
      <c r="EZ435" s="91" t="str">
        <f t="shared" si="52"/>
      </c>
      <c r="FA435" s="91" t="str">
        <f ref="FA435:HL435" t="shared" si="53">IF(SUM(FA416:FA434)&lt;&gt;0,SUM(FA416:FA434),"")</f>
      </c>
      <c r="FB435" s="91" t="str">
        <f t="shared" si="53"/>
      </c>
      <c r="FC435" s="91" t="str">
        <f t="shared" si="53"/>
      </c>
      <c r="FD435" s="91" t="str">
        <f t="shared" si="53"/>
      </c>
      <c r="FE435" s="91" t="str">
        <f t="shared" si="53"/>
      </c>
      <c r="FF435" s="91" t="str">
        <f t="shared" si="53"/>
      </c>
      <c r="FG435" s="91" t="str">
        <f t="shared" si="53"/>
      </c>
      <c r="FH435" s="91" t="str">
        <f t="shared" si="53"/>
      </c>
      <c r="FI435" s="91" t="str">
        <f t="shared" si="53"/>
      </c>
      <c r="FJ435" s="91" t="str">
        <f t="shared" si="53"/>
      </c>
      <c r="FK435" s="91" t="str">
        <f t="shared" si="53"/>
      </c>
      <c r="FL435" s="91" t="str">
        <f t="shared" si="53"/>
      </c>
      <c r="FM435" s="91" t="str">
        <f t="shared" si="53"/>
      </c>
      <c r="FN435" s="91" t="str">
        <f t="shared" si="53"/>
      </c>
      <c r="FO435" s="91" t="str">
        <f t="shared" si="53"/>
      </c>
      <c r="FP435" s="91" t="str">
        <f t="shared" si="53"/>
      </c>
      <c r="FQ435" s="91" t="str">
        <f t="shared" si="53"/>
      </c>
      <c r="FR435" s="91" t="str">
        <f t="shared" si="53"/>
      </c>
      <c r="FS435" s="91" t="str">
        <f t="shared" si="53"/>
      </c>
      <c r="FT435" s="91" t="str">
        <f t="shared" si="53"/>
      </c>
      <c r="FU435" s="91" t="str">
        <f t="shared" si="53"/>
      </c>
      <c r="FV435" s="91" t="str">
        <f t="shared" si="53"/>
      </c>
      <c r="FW435" s="91" t="str">
        <f t="shared" si="53"/>
      </c>
      <c r="FX435" s="91" t="str">
        <f t="shared" si="53"/>
      </c>
      <c r="FY435" s="91" t="str">
        <f t="shared" si="53"/>
      </c>
      <c r="FZ435" s="91" t="str">
        <f t="shared" si="53"/>
      </c>
      <c r="GA435" s="91" t="str">
        <f t="shared" si="53"/>
      </c>
      <c r="GB435" s="91" t="str">
        <f t="shared" si="53"/>
      </c>
      <c r="GC435" s="91" t="str">
        <f t="shared" si="53"/>
      </c>
      <c r="GD435" s="91" t="str">
        <f t="shared" si="53"/>
      </c>
      <c r="GE435" s="91" t="str">
        <f t="shared" si="53"/>
      </c>
      <c r="GF435" s="91" t="str">
        <f t="shared" si="53"/>
      </c>
      <c r="GG435" s="91" t="str">
        <f t="shared" si="53"/>
      </c>
      <c r="GH435" s="91" t="str">
        <f t="shared" si="53"/>
      </c>
      <c r="GI435" s="91" t="str">
        <f t="shared" si="53"/>
      </c>
      <c r="GJ435" s="91" t="str">
        <f t="shared" si="53"/>
      </c>
      <c r="GK435" s="91" t="str">
        <f t="shared" si="53"/>
      </c>
      <c r="GL435" s="91" t="str">
        <f t="shared" si="53"/>
      </c>
      <c r="GM435" s="91" t="str">
        <f t="shared" si="53"/>
      </c>
      <c r="GN435" s="91" t="str">
        <f t="shared" si="53"/>
      </c>
      <c r="GO435" s="91" t="str">
        <f t="shared" si="53"/>
      </c>
      <c r="GP435" s="91" t="str">
        <f t="shared" si="53"/>
      </c>
      <c r="GQ435" s="91" t="str">
        <f t="shared" si="53"/>
      </c>
      <c r="GR435" s="91" t="str">
        <f t="shared" si="53"/>
      </c>
      <c r="GS435" s="91" t="str">
        <f t="shared" si="53"/>
      </c>
      <c r="GT435" s="91" t="str">
        <f t="shared" si="53"/>
      </c>
      <c r="GU435" s="91" t="str">
        <f t="shared" si="53"/>
      </c>
      <c r="GV435" s="91" t="str">
        <f t="shared" si="53"/>
      </c>
      <c r="GW435" s="91" t="str">
        <f t="shared" si="53"/>
      </c>
      <c r="GX435" s="91" t="str">
        <f t="shared" si="53"/>
      </c>
      <c r="GY435" s="91" t="str">
        <f t="shared" si="53"/>
      </c>
      <c r="GZ435" s="91" t="str">
        <f t="shared" si="53"/>
      </c>
      <c r="HA435" s="91" t="str">
        <f t="shared" si="53"/>
      </c>
      <c r="HB435" s="91" t="str">
        <f t="shared" si="53"/>
      </c>
      <c r="HC435" s="91" t="str">
        <f t="shared" si="53"/>
      </c>
      <c r="HD435" s="91" t="str">
        <f t="shared" si="53"/>
      </c>
      <c r="HE435" s="91" t="str">
        <f t="shared" si="53"/>
      </c>
      <c r="HF435" s="91" t="str">
        <f t="shared" si="53"/>
      </c>
      <c r="HG435" s="91" t="str">
        <f t="shared" si="53"/>
      </c>
      <c r="HH435" s="91" t="str">
        <f t="shared" si="53"/>
      </c>
      <c r="HI435" s="91" t="str">
        <f t="shared" si="53"/>
      </c>
      <c r="HJ435" s="91" t="str">
        <f t="shared" si="53"/>
      </c>
      <c r="HK435" s="91" t="str">
        <f t="shared" si="53"/>
      </c>
      <c r="HL435" s="91" t="str">
        <f t="shared" si="53"/>
      </c>
      <c r="HM435" s="91" t="str">
        <f ref="HM435:IV435" t="shared" si="54">IF(SUM(HM416:HM434)&lt;&gt;0,SUM(HM416:HM434),"")</f>
      </c>
      <c r="HN435" s="91" t="str">
        <f t="shared" si="54"/>
      </c>
      <c r="HO435" s="91" t="str">
        <f t="shared" si="54"/>
      </c>
      <c r="HP435" s="91" t="str">
        <f t="shared" si="54"/>
      </c>
      <c r="HQ435" s="91" t="str">
        <f t="shared" si="54"/>
      </c>
      <c r="HR435" s="91" t="str">
        <f t="shared" si="54"/>
      </c>
      <c r="HS435" s="91" t="str">
        <f t="shared" si="54"/>
      </c>
      <c r="HT435" s="91" t="str">
        <f t="shared" si="54"/>
      </c>
      <c r="HU435" s="91" t="str">
        <f t="shared" si="54"/>
      </c>
      <c r="HV435" s="91" t="str">
        <f t="shared" si="54"/>
      </c>
      <c r="HW435" s="91" t="str">
        <f t="shared" si="54"/>
      </c>
      <c r="HX435" s="91" t="str">
        <f t="shared" si="54"/>
      </c>
      <c r="HY435" s="91" t="str">
        <f t="shared" si="54"/>
      </c>
      <c r="HZ435" s="91" t="str">
        <f t="shared" si="54"/>
      </c>
      <c r="IA435" s="91" t="str">
        <f t="shared" si="54"/>
      </c>
      <c r="IB435" s="91" t="str">
        <f t="shared" si="54"/>
      </c>
      <c r="IC435" s="91" t="str">
        <f t="shared" si="54"/>
      </c>
      <c r="ID435" s="91" t="str">
        <f t="shared" si="54"/>
      </c>
      <c r="IE435" s="91" t="str">
        <f t="shared" si="54"/>
      </c>
      <c r="IF435" s="91" t="str">
        <f t="shared" si="54"/>
      </c>
      <c r="IG435" s="91" t="str">
        <f t="shared" si="54"/>
      </c>
      <c r="IH435" s="91" t="str">
        <f t="shared" si="54"/>
      </c>
      <c r="II435" s="91" t="str">
        <f t="shared" si="54"/>
      </c>
      <c r="IJ435" s="91" t="str">
        <f t="shared" si="54"/>
      </c>
      <c r="IK435" s="91" t="str">
        <f t="shared" si="54"/>
      </c>
      <c r="IL435" s="91" t="str">
        <f t="shared" si="54"/>
      </c>
      <c r="IM435" s="91" t="str">
        <f t="shared" si="54"/>
      </c>
      <c r="IN435" s="91" t="str">
        <f t="shared" si="54"/>
      </c>
      <c r="IO435" s="91" t="str">
        <f t="shared" si="54"/>
      </c>
      <c r="IP435" s="91" t="str">
        <f t="shared" si="54"/>
      </c>
      <c r="IQ435" s="91" t="str">
        <f t="shared" si="54"/>
      </c>
      <c r="IR435" s="91" t="str">
        <f t="shared" si="54"/>
      </c>
      <c r="IS435" s="91" t="str">
        <f t="shared" si="54"/>
      </c>
      <c r="IT435" s="91" t="str">
        <f t="shared" si="54"/>
      </c>
      <c r="IU435" s="91" t="str">
        <f t="shared" si="54"/>
      </c>
      <c r="IV435" s="91" t="str">
        <f t="shared" si="54"/>
      </c>
    </row>
    <row r="436" hidden="1"/>
    <row r="437" hidden="1"/>
    <row r="438" hidden="1"/>
    <row r="439" hidden="1"/>
    <row r="440" hidden="1"/>
  </sheetData>
  <sheetProtection sheet="1" autoFilter="0" objects="1" scenarios="1" sort="0" password="ed66"/>
  <mergeCells>
    <mergeCell ref="B9:E9"/>
    <mergeCell ref="C89:D89"/>
    <mergeCell ref="C27:M27"/>
    <mergeCell ref="C29:M30"/>
    <mergeCell ref="C13:M13"/>
    <mergeCell ref="C23:M23"/>
    <mergeCell ref="C25:M25"/>
    <mergeCell ref="C14:M14"/>
    <mergeCell ref="C21:M21"/>
    <mergeCell ref="C160:AB160"/>
    <mergeCell ref="C17:M17"/>
    <mergeCell ref="C19:M19"/>
    <mergeCell ref="C414:AB414"/>
    <mergeCell ref="C252:AB252"/>
    <mergeCell ref="C275:AB275"/>
    <mergeCell ref="C322:AB322"/>
    <mergeCell ref="C345:AB345"/>
    <mergeCell ref="C183:AB183"/>
    <mergeCell ref="C368:AB368"/>
    <mergeCell ref="C391:AB391"/>
    <mergeCell ref="C206:AB206"/>
    <mergeCell ref="C229:AB229"/>
  </mergeCells>
  <phoneticPr fontId="2" type="noConversion"/>
  <printOptions horizontalCentered="1"/>
  <pageMargins left="0.78740157480314965" right="0.78740157480314965" top="0.98425196850393704" bottom="0.98425196850393704" header="0" footer="0"/>
  <pageSetup paperSize="9" scale="46" orientation="portrait"/>
  <headerFooter alignWithMargins="0"/>
  <rowBreaks count="1" manualBreakCount="1">
    <brk id="86" max="1048575" man="1"/>
  </rowBreaks>
  <drawing r:id="rId2"/>
  <legacyDrawing r:id="rId3"/>
  <mc:AlternateContent xmlns:mc="http://schemas.openxmlformats.org/markup-compatibility/2006">
    <mc:Choice Requires="x14">
      <controls>
        <mc:AlternateContent xmlns:mc="http://schemas.openxmlformats.org/markup-compatibility/2006">
          <mc:Choice Requires="x14">
            <control shapeId="89089" r:id="rId4" name="Drop Down 1">
              <controlPr defaultSize="0" autoLine="0" autoPict="0">
                <anchor moveWithCells="1">
                  <from>
                    <xdr:col>4</xdr:col>
                    <xdr:colOff>676275</xdr:colOff>
                    <xdr:row>7</xdr:row>
                    <xdr:rowOff>38100</xdr:rowOff>
                  </from>
                  <to>
                    <xdr:col>7</xdr:col>
                    <xdr:colOff>95250</xdr:colOff>
                    <xdr:row>9</xdr:row>
                    <xdr:rowOff>0</xdr:rowOff>
                  </to>
                </anchor>
              </controlPr>
            </control>
          </mc:Choice>
        </mc:AlternateContent>
        <mc:AlternateContent xmlns:mc="http://schemas.openxmlformats.org/markup-compatibility/2006">
          <mc:Choice Requires="x14">
            <control shapeId="89095" r:id="rId5" name="Drop Down 7">
              <controlPr locked="0" defaultSize="0" autoLine="0" autoPict="0">
                <anchor moveWithCells="1">
                  <from>
                    <xdr:col>4</xdr:col>
                    <xdr:colOff>180975</xdr:colOff>
                    <xdr:row>87</xdr:row>
                    <xdr:rowOff>38100</xdr:rowOff>
                  </from>
                  <to>
                    <xdr:col>6</xdr:col>
                    <xdr:colOff>638175</xdr:colOff>
                    <xdr:row>89</xdr:row>
                    <xdr:rowOff>85725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ontainsText" priority="44" operator="containsText" id="{066811CA-B902-4B6D-8AB6-551333DC2D2C}">
            <xm:f>NOT(ISERROR(SEARCH("",AC435)))</xm:f>
            <xm:f>""</xm:f>
            <x14:dxf>
              <numFmt numFmtId="3" formatCode="#,##0"/>
              <border>
                <left style="thin">
                  <color auto="1"/>
                </left>
                <right style="thin">
                  <color auto="1"/>
                </right>
                <top style="thin">
                  <color auto="1"/>
                </top>
                <bottom style="thin">
                  <color auto="1"/>
                </bottom>
                <vertical/>
                <horizontal/>
              </border>
            </x14:dxf>
          </x14:cfRule>
          <xm:sqref>AC435:IV435</xm:sqref>
        </x14:conditionalFormatting>
        <x14:conditionalFormatting xmlns:xm="http://schemas.microsoft.com/office/excel/2006/main">
          <x14:cfRule type="containsText" priority="43" operator="containsText" id="{CBBB74DB-D766-4054-B2BD-7751822836A7}">
            <xm:f>NOT(ISERROR(SEARCH("",C416)))</xm:f>
            <xm:f>""</xm:f>
            <x14:dxf>
              <numFmt numFmtId="3" formatCode="#,##0"/>
              <border>
                <right style="thin">
                  <color auto="1"/>
                </right>
                <top style="thin">
                  <color auto="1"/>
                </top>
                <bottom style="thin">
                  <color auto="1"/>
                </bottom>
                <vertical/>
                <horizontal/>
              </border>
            </x14:dxf>
          </x14:cfRule>
          <xm:sqref>C416:IV434</xm:sqref>
        </x14:conditionalFormatting>
        <x14:conditionalFormatting xmlns:xm="http://schemas.microsoft.com/office/excel/2006/main">
          <x14:cfRule type="containsText" priority="38" operator="containsText" id="{E2F96065-CA4D-4648-B9C6-D5F84B47013D}">
            <xm:f>NOT(ISERROR(SEARCH("",AD392)))</xm:f>
            <xm:f>""</xm:f>
            <x14:dxf>
              <numFmt numFmtId="3" formatCode="#,##0"/>
              <border>
                <left style="thin">
                  <color auto="1"/>
                </left>
                <right style="thin">
                  <color auto="1"/>
                </right>
                <top style="thin">
                  <color auto="1"/>
                </top>
                <bottom style="thin">
                  <color auto="1"/>
                </bottom>
                <vertical/>
                <horizontal/>
              </border>
            </x14:dxf>
          </x14:cfRule>
          <xm:sqref>AD392:AG392 AI392:AL392 AN392:AQ392 AS392:AV392 AX392:BA392 BC392:BF392 BH392:BK392 BM392:BP392 BR392:BU392 BW392:BZ392 CB392:CE392 CG392:CJ392 CL392:CO392 CQ392:CT392 CV392:CY392 DA392:DD392 DF392:DI392 DK392:DN392 DP392:DS392 DU392:DX392 DZ392:EC392 EE392:EH392 EJ392:EM392 EO392:ER392 ET392:EW392 EY392:FB392 FD392:FG392 FI392:FL392 FN392:FQ392 FS392:FV392 FX392:GA392 GC392:GF392 GH392:GK392 GM392:GP392 GR392:GU392 GW392:GZ392 HB392:HE392 HG392:HJ392 HL392:HO392 HQ392:HT392 HV392:HY392 IA392:ID392 IF392:II392 IK392:IN392 IP392:IS392 IU392:IV392</xm:sqref>
        </x14:conditionalFormatting>
        <x14:conditionalFormatting xmlns:xm="http://schemas.microsoft.com/office/excel/2006/main">
          <x14:cfRule type="containsText" priority="32" operator="containsText" id="{EF26795E-6A8C-45AD-B673-AA56ACAE3764}">
            <xm:f>NOT(ISERROR(SEARCH("",AC366)))</xm:f>
            <xm:f>""</xm:f>
            <x14:dxf>
              <numFmt numFmtId="3" formatCode="#,##0"/>
              <border>
                <left style="thin">
                  <color auto="1"/>
                </left>
                <right style="thin">
                  <color auto="1"/>
                </right>
                <top style="thin">
                  <color auto="1"/>
                </top>
                <bottom style="thin">
                  <color auto="1"/>
                </bottom>
                <vertical/>
                <horizontal/>
              </border>
            </x14:dxf>
          </x14:cfRule>
          <xm:sqref>AC366:IV366</xm:sqref>
        </x14:conditionalFormatting>
        <x14:conditionalFormatting xmlns:xm="http://schemas.microsoft.com/office/excel/2006/main">
          <x14:cfRule type="containsText" priority="31" operator="containsText" id="{8ECDA94B-F9DE-4FF7-8AD1-E8E3655034F8}">
            <xm:f>NOT(ISERROR(SEARCH("",C347)))</xm:f>
            <xm:f>""</xm:f>
            <x14:dxf>
              <numFmt numFmtId="3" formatCode="#,##0"/>
              <border>
                <right style="thin">
                  <color auto="1"/>
                </right>
                <top style="thin">
                  <color auto="1"/>
                </top>
                <bottom style="thin">
                  <color auto="1"/>
                </bottom>
                <vertical/>
                <horizontal/>
              </border>
            </x14:dxf>
          </x14:cfRule>
          <xm:sqref>C347:IV365</xm:sqref>
        </x14:conditionalFormatting>
        <x14:conditionalFormatting xmlns:xm="http://schemas.microsoft.com/office/excel/2006/main">
          <x14:cfRule type="containsText" priority="26" operator="containsText" id="{9655401F-0DC7-4F5F-8674-4A0120E91410}">
            <xm:f>NOT(ISERROR(SEARCH("",AD323)))</xm:f>
            <xm:f>""</xm:f>
            <x14:dxf>
              <numFmt numFmtId="3" formatCode="#,##0"/>
              <border>
                <left style="thin">
                  <color auto="1"/>
                </left>
                <right style="thin">
                  <color auto="1"/>
                </right>
                <top style="thin">
                  <color auto="1"/>
                </top>
                <bottom style="thin">
                  <color auto="1"/>
                </bottom>
                <vertical/>
                <horizontal/>
              </border>
            </x14:dxf>
          </x14:cfRule>
          <xm:sqref>AD323:AG323 AI323:AL323 AN323:AQ323 AS323:AV323 AX323:BA323 BC323:BF323 BH323:BK323 BM323:BP323 BR323:BU323 BW323:BZ323 CB323:CE323 CG323:CJ323 CL323:CO323 CQ323:CT323 CV323:CY323 DA323:DD323 DF323:DI323 DK323:DN323 DP323:DS323 DU323:DX323 DZ323:EC323 EE323:EH323 EJ323:EM323 EO323:ER323 ET323:EW323 EY323:FB323 FD323:FG323 FI323:FL323 FN323:FQ323 FS323:FV323 FX323:GA323 GC323:GF323 GH323:GK323 GM323:GP323 GR323:GU323 GW323:GZ323 HB323:HE323 HG323:HJ323 HL323:HO323 HQ323:HT323 HV323:HY323 IA323:ID323 IF323:II323 IK323:IN323 IP323:IS323 IU323:IV323</xm:sqref>
        </x14:conditionalFormatting>
        <x14:conditionalFormatting xmlns:xm="http://schemas.microsoft.com/office/excel/2006/main">
          <x14:cfRule type="containsText" priority="20" operator="containsText" id="{9300789A-42B9-49D0-BB1A-948962EB3BC2}">
            <xm:f>NOT(ISERROR(SEARCH("",AC273)))</xm:f>
            <xm:f>""</xm:f>
            <x14:dxf>
              <numFmt numFmtId="3" formatCode="#,##0"/>
              <border>
                <left style="thin">
                  <color auto="1"/>
                </left>
                <right style="thin">
                  <color auto="1"/>
                </right>
                <top style="thin">
                  <color auto="1"/>
                </top>
                <bottom style="thin">
                  <color auto="1"/>
                </bottom>
                <vertical/>
                <horizontal/>
              </border>
            </x14:dxf>
          </x14:cfRule>
          <xm:sqref>AC273:IV273</xm:sqref>
        </x14:conditionalFormatting>
        <x14:conditionalFormatting xmlns:xm="http://schemas.microsoft.com/office/excel/2006/main">
          <x14:cfRule type="containsText" priority="19" operator="containsText" id="{1ACF9779-AFDA-4B7A-927B-7C6E6B27F10F}">
            <xm:f>NOT(ISERROR(SEARCH("",C254)))</xm:f>
            <xm:f>""</xm:f>
            <x14:dxf>
              <numFmt numFmtId="3" formatCode="#,##0"/>
              <border>
                <right style="thin">
                  <color auto="1"/>
                </right>
                <top style="thin">
                  <color auto="1"/>
                </top>
                <bottom style="thin">
                  <color auto="1"/>
                </bottom>
                <vertical/>
                <horizontal/>
              </border>
            </x14:dxf>
          </x14:cfRule>
          <xm:sqref>C254:IV272</xm:sqref>
        </x14:conditionalFormatting>
        <x14:conditionalFormatting xmlns:xm="http://schemas.microsoft.com/office/excel/2006/main">
          <x14:cfRule type="containsText" priority="14" operator="containsText" id="{E1F16682-3FB2-496F-B6FD-101D3014C188}">
            <xm:f>NOT(ISERROR(SEARCH("",AD230)))</xm:f>
            <xm:f>""</xm:f>
            <x14:dxf>
              <numFmt numFmtId="3" formatCode="#,##0"/>
              <border>
                <left style="thin">
                  <color auto="1"/>
                </left>
                <right style="thin">
                  <color auto="1"/>
                </right>
                <top style="thin">
                  <color auto="1"/>
                </top>
                <bottom style="thin">
                  <color auto="1"/>
                </bottom>
                <vertical/>
                <horizontal/>
              </border>
            </x14:dxf>
          </x14:cfRule>
          <xm:sqref>AD230:AG230 AI230:AL230 AN230:AQ230 AS230:AV230 AX230:BA230 BC230:BF230 BH230:BK230 BM230:BP230 BR230:BU230 BW230:BZ230 CB230:CE230 CG230:CJ230 CL230:CO230 CQ230:CT230 CV230:CY230 DA230:DD230 DF230:DI230 DK230:DN230 DP230:DS230 DU230:DX230 DZ230:EC230 EE230:EH230 EJ230:EM230 EO230:ER230 ET230:EW230 EY230:FB230 FD230:FG230 FI230:FL230 FN230:FQ230 FS230:FV230 FX230:GA230 GC230:GF230 GH230:GK230 GM230:GP230 GR230:GU230 GW230:GZ230 HB230:HE230 HG230:HJ230 HL230:HO230 HQ230:HT230 HV230:HY230 IA230:ID230 IF230:II230 IK230:IN230 IP230:IS230 IU230:IV230</xm:sqref>
        </x14:conditionalFormatting>
        <x14:conditionalFormatting xmlns:xm="http://schemas.microsoft.com/office/excel/2006/main">
          <x14:cfRule type="containsText" priority="8" operator="containsText" id="{6A191F0C-556A-4C0A-A4E8-9DE6473FB62D}">
            <xm:f>NOT(ISERROR(SEARCH("",AC204)))</xm:f>
            <xm:f>""</xm:f>
            <x14:dxf>
              <numFmt numFmtId="3" formatCode="#,##0"/>
              <border>
                <left style="thin">
                  <color auto="1"/>
                </left>
                <right style="thin">
                  <color auto="1"/>
                </right>
                <top style="thin">
                  <color auto="1"/>
                </top>
                <bottom style="thin">
                  <color auto="1"/>
                </bottom>
                <vertical/>
                <horizontal/>
              </border>
            </x14:dxf>
          </x14:cfRule>
          <xm:sqref>AC204:IV204</xm:sqref>
        </x14:conditionalFormatting>
        <x14:conditionalFormatting xmlns:xm="http://schemas.microsoft.com/office/excel/2006/main">
          <x14:cfRule type="containsText" priority="7" operator="containsText" id="{099C85B0-1571-4B5E-BA58-AA9AFFBE7A2B}">
            <xm:f>NOT(ISERROR(SEARCH("",C185)))</xm:f>
            <xm:f>""</xm:f>
            <x14:dxf>
              <numFmt numFmtId="3" formatCode="#,##0"/>
              <border>
                <right style="thin">
                  <color auto="1"/>
                </right>
                <top style="thin">
                  <color auto="1"/>
                </top>
                <bottom style="thin">
                  <color auto="1"/>
                </bottom>
                <vertical/>
                <horizontal/>
              </border>
            </x14:dxf>
          </x14:cfRule>
          <xm:sqref>C185:IV203</xm:sqref>
        </x14:conditionalFormatting>
        <x14:conditionalFormatting xmlns:xm="http://schemas.microsoft.com/office/excel/2006/main">
          <x14:cfRule type="containsText" priority="2" operator="containsText" id="{2D803ED9-5D87-4358-BB89-27BFF050ADBE}">
            <xm:f>NOT(ISERROR(SEARCH("",AD161)))</xm:f>
            <xm:f>""</xm:f>
            <x14:dxf>
              <numFmt numFmtId="3" formatCode="#,##0"/>
              <border>
                <left style="thin">
                  <color auto="1"/>
                </left>
                <right style="thin">
                  <color auto="1"/>
                </right>
                <top style="thin">
                  <color auto="1"/>
                </top>
                <bottom style="thin">
                  <color auto="1"/>
                </bottom>
                <vertical/>
                <horizontal/>
              </border>
            </x14:dxf>
          </x14:cfRule>
          <xm:sqref>AD161:AG161 AI161:AL161 AN161:AQ161 AS161:AV161 AX161:BA161 BC161:BF161 BH161:BK161 BM161:BP161 BR161:BU161 BW161:BZ161 CB161:CE161 CG161:CJ161 CL161:CO161 CQ161:CT161 CV161:CY161 DA161:DD161 DF161:DI161 DK161:DN161 DP161:DS161 DU161:DX161 DZ161:EC161 EE161:EH161 EJ161:EM161 EO161:ER161 ET161:EW161 EY161:FB161 FD161:FG161 FI161:FL161 FN161:FQ161 FS161:FV161 FX161:GA161 GC161:GF161 GH161:GK161 GM161:GP161 GR161:GU161 GW161:GZ161 HB161:HE161 HG161:HJ161 HL161:HO161 HQ161:HT161 HV161:HY161 IA161:ID161 IF161:II161 IK161:IN161 IP161:IS161 IU161:IV161</xm:sqref>
        </x14:conditionalFormatting>
        <x14:conditionalFormatting xmlns:xm="http://schemas.microsoft.com/office/excel/2006/main">
          <x14:cfRule type="containsText" priority="42" operator="containsText" id="{EA3BAE84-74D5-496E-B684-39D04E9F8A35}">
            <xm:f>NOT(ISERROR(SEARCH("",AD415)))</xm:f>
            <xm:f>""</xm:f>
            <x14:dxf>
              <numFmt numFmtId="3" formatCode="#,##0"/>
              <border>
                <left style="thin">
                  <color auto="1"/>
                </left>
                <right style="thin">
                  <color auto="1"/>
                </right>
                <top style="thin">
                  <color auto="1"/>
                </top>
                <bottom style="thin">
                  <color auto="1"/>
                </bottom>
                <vertical/>
                <horizontal/>
              </border>
            </x14:dxf>
          </x14:cfRule>
          <xm:sqref>AD415:AG415 AI415:AL415 AN415:AQ415 AS415:AV415 AX415:BA415 BC415:BF415 BH415:BK415 BM415:BP415 BR415:BU415 BW415:BZ415 CB415:CE415 CG415:CJ415 CL415:CO415 CQ415:CT415 CV415:CY415 DA415:DD415 DF415:DI415 DK415:DN415 DP415:DS415 DU415:DX415 DZ415:EC415 EE415:EH415 EJ415:EM415 EO415:ER415 ET415:EW415 EY415:FB415 FD415:FG415 FI415:FL415 FN415:FQ415 FS415:FV415 FX415:GA415 GC415:GF415 GH415:GK415 GM415:GP415 GR415:GU415 GW415:GZ415 HB415:HE415 HG415:HJ415 HL415:HO415 HQ415:HT415 HV415:HY415 IA415:ID415 IF415:II415 IK415:IN415 IP415:IS415 IU415:IV415</xm:sqref>
        </x14:conditionalFormatting>
        <x14:conditionalFormatting xmlns:xm="http://schemas.microsoft.com/office/excel/2006/main">
          <x14:cfRule type="containsText" priority="41" operator="containsText" id="{E92D25DE-361B-4451-88A8-711CC025D73C}">
            <xm:f>NOT(ISERROR(SEARCH("",AC415)))</xm:f>
            <xm:f>""</xm:f>
            <x14:dxf>
              <numFmt numFmtId="3" formatCode="#,##0"/>
              <border>
                <left style="thin">
                  <color auto="1"/>
                </left>
                <right style="thin">
                  <color auto="1"/>
                </right>
                <top style="thin">
                  <color auto="1"/>
                </top>
                <bottom style="thin">
                  <color auto="1"/>
                </bottom>
                <vertical/>
                <horizontal/>
              </border>
            </x14:dxf>
          </x14:cfRule>
          <xm:sqref>AC415 AH415 AM415 AR415 AW415 BB415 BG415 BL415 BQ415 BV415 CA415 CF415 CK415 CP415 CU415 CZ415 DE415 DJ415 DO415 DT415 DY415 ED415 EI415 EN415 ES415 EX415 FC415 FH415 FM415 FR415 FW415 GB415 GG415 GL415 GQ415 GV415 HA415 HF415 HK415 HP415 HU415 HZ415 IE415 IJ415 IO415 IT415</xm:sqref>
        </x14:conditionalFormatting>
        <x14:conditionalFormatting xmlns:xm="http://schemas.microsoft.com/office/excel/2006/main">
          <x14:cfRule type="containsText" priority="40" operator="containsText" id="{033EFC74-ECA0-41BA-AC90-758978764478}">
            <xm:f>NOT(ISERROR(SEARCH("",AC412)))</xm:f>
            <xm:f>""</xm:f>
            <x14:dxf>
              <numFmt numFmtId="3" formatCode="#,##0"/>
              <border>
                <left style="thin">
                  <color auto="1"/>
                </left>
                <right style="thin">
                  <color auto="1"/>
                </right>
                <top style="thin">
                  <color auto="1"/>
                </top>
                <bottom style="thin">
                  <color auto="1"/>
                </bottom>
                <vertical/>
                <horizontal/>
              </border>
            </x14:dxf>
          </x14:cfRule>
          <xm:sqref>AC412:IV412</xm:sqref>
        </x14:conditionalFormatting>
        <x14:conditionalFormatting xmlns:xm="http://schemas.microsoft.com/office/excel/2006/main">
          <x14:cfRule type="containsText" priority="39" operator="containsText" id="{507AC43E-4D84-4358-BF16-C40D10EE06C3}">
            <xm:f>NOT(ISERROR(SEARCH("",C393)))</xm:f>
            <xm:f>""</xm:f>
            <x14:dxf>
              <numFmt numFmtId="3" formatCode="#,##0"/>
              <border>
                <right style="thin">
                  <color auto="1"/>
                </right>
                <top style="thin">
                  <color auto="1"/>
                </top>
                <bottom style="thin">
                  <color auto="1"/>
                </bottom>
                <vertical/>
                <horizontal/>
              </border>
            </x14:dxf>
          </x14:cfRule>
          <xm:sqref>C393:IV411</xm:sqref>
        </x14:conditionalFormatting>
        <x14:conditionalFormatting xmlns:xm="http://schemas.microsoft.com/office/excel/2006/main">
          <x14:cfRule type="containsText" priority="37" operator="containsText" id="{41EB008A-96FC-49A4-BE7B-C9AF1297D057}">
            <xm:f>NOT(ISERROR(SEARCH("",AC392)))</xm:f>
            <xm:f>""</xm:f>
            <x14:dxf>
              <numFmt numFmtId="3" formatCode="#,##0"/>
              <border>
                <left style="thin">
                  <color auto="1"/>
                </left>
                <right style="thin">
                  <color auto="1"/>
                </right>
                <top style="thin">
                  <color auto="1"/>
                </top>
                <bottom style="thin">
                  <color auto="1"/>
                </bottom>
                <vertical/>
                <horizontal/>
              </border>
            </x14:dxf>
          </x14:cfRule>
          <xm:sqref>AC392 AH392 AM392 AR392 AW392 BB392 BG392 BL392 BQ392 BV392 CA392 CF392 CK392 CP392 CU392 CZ392 DE392 DJ392 DO392 DT392 DY392 ED392 EI392 EN392 ES392 EX392 FC392 FH392 FM392 FR392 FW392 GB392 GG392 GL392 GQ392 GV392 HA392 HF392 HK392 HP392 HU392 HZ392 IE392 IJ392 IO392 IT392</xm:sqref>
        </x14:conditionalFormatting>
        <x14:conditionalFormatting xmlns:xm="http://schemas.microsoft.com/office/excel/2006/main">
          <x14:cfRule type="containsText" priority="36" operator="containsText" id="{90A6E517-3E31-446F-9078-042B1EB7A774}">
            <xm:f>NOT(ISERROR(SEARCH("",AC389)))</xm:f>
            <xm:f>""</xm:f>
            <x14:dxf>
              <numFmt numFmtId="3" formatCode="#,##0"/>
              <border>
                <left style="thin">
                  <color auto="1"/>
                </left>
                <right style="thin">
                  <color auto="1"/>
                </right>
                <top style="thin">
                  <color auto="1"/>
                </top>
                <bottom style="thin">
                  <color auto="1"/>
                </bottom>
                <vertical/>
                <horizontal/>
              </border>
            </x14:dxf>
          </x14:cfRule>
          <xm:sqref>AC389:IV389</xm:sqref>
        </x14:conditionalFormatting>
        <x14:conditionalFormatting xmlns:xm="http://schemas.microsoft.com/office/excel/2006/main">
          <x14:cfRule type="containsText" priority="35" operator="containsText" id="{92E19EBE-0BAB-4277-A4E5-197855B38580}">
            <xm:f>NOT(ISERROR(SEARCH("",C370)))</xm:f>
            <xm:f>""</xm:f>
            <x14:dxf>
              <numFmt numFmtId="3" formatCode="#,##0"/>
              <border>
                <right style="thin">
                  <color auto="1"/>
                </right>
                <top style="thin">
                  <color auto="1"/>
                </top>
                <bottom style="thin">
                  <color auto="1"/>
                </bottom>
                <vertical/>
                <horizontal/>
              </border>
            </x14:dxf>
          </x14:cfRule>
          <xm:sqref>C370:IV388</xm:sqref>
        </x14:conditionalFormatting>
        <x14:conditionalFormatting xmlns:xm="http://schemas.microsoft.com/office/excel/2006/main">
          <x14:cfRule type="containsText" priority="34" operator="containsText" id="{48430A64-17EF-43BE-A314-26245458CA14}">
            <xm:f>NOT(ISERROR(SEARCH("",AD369)))</xm:f>
            <xm:f>""</xm:f>
            <x14:dxf>
              <numFmt numFmtId="3" formatCode="#,##0"/>
              <border>
                <left style="thin">
                  <color auto="1"/>
                </left>
                <right style="thin">
                  <color auto="1"/>
                </right>
                <top style="thin">
                  <color auto="1"/>
                </top>
                <bottom style="thin">
                  <color auto="1"/>
                </bottom>
                <vertical/>
                <horizontal/>
              </border>
            </x14:dxf>
          </x14:cfRule>
          <xm:sqref>AD369:AG369 AI369:AL369 AN369:AQ369 AS369:AV369 AX369:BA369 BC369:BF369 BH369:BK369 BM369:BP369 BR369:BU369 BW369:BZ369 CB369:CE369 CG369:CJ369 CL369:CO369 CQ369:CT369 CV369:CY369 DA369:DD369 DF369:DI369 DK369:DN369 DP369:DS369 DU369:DX369 DZ369:EC369 EE369:EH369 EJ369:EM369 EO369:ER369 ET369:EW369 EY369:FB369 FD369:FG369 FI369:FL369 FN369:FQ369 FS369:FV369 FX369:GA369 GC369:GF369 GH369:GK369 GM369:GP369 GR369:GU369 GW369:GZ369 HB369:HE369 HG369:HJ369 HL369:HO369 HQ369:HT369 HV369:HY369 IA369:ID369 IF369:II369 IK369:IN369 IP369:IS369 IU369:IV369</xm:sqref>
        </x14:conditionalFormatting>
        <x14:conditionalFormatting xmlns:xm="http://schemas.microsoft.com/office/excel/2006/main">
          <x14:cfRule type="containsText" priority="33" operator="containsText" id="{E9D866CE-EEA0-4110-B86B-AE586B45B1BE}">
            <xm:f>NOT(ISERROR(SEARCH("",AC369)))</xm:f>
            <xm:f>""</xm:f>
            <x14:dxf>
              <numFmt numFmtId="3" formatCode="#,##0"/>
              <border>
                <left style="thin">
                  <color auto="1"/>
                </left>
                <right style="thin">
                  <color auto="1"/>
                </right>
                <top style="thin">
                  <color auto="1"/>
                </top>
                <bottom style="thin">
                  <color auto="1"/>
                </bottom>
                <vertical/>
                <horizontal/>
              </border>
            </x14:dxf>
          </x14:cfRule>
          <xm:sqref>AC369 AH369 AM369 AR369 AW369 BB369 BG369 BL369 BQ369 BV369 CA369 CF369 CK369 CP369 CU369 CZ369 DE369 DJ369 DO369 DT369 DY369 ED369 EI369 EN369 ES369 EX369 FC369 FH369 FM369 FR369 FW369 GB369 GG369 GL369 GQ369 GV369 HA369 HF369 HK369 HP369 HU369 HZ369 IE369 IJ369 IO369 IT369</xm:sqref>
        </x14:conditionalFormatting>
        <x14:conditionalFormatting xmlns:xm="http://schemas.microsoft.com/office/excel/2006/main">
          <x14:cfRule type="containsText" priority="30" operator="containsText" id="{18A02CE8-7294-4422-88A1-C3376CED0A5C}">
            <xm:f>NOT(ISERROR(SEARCH("",AD346)))</xm:f>
            <xm:f>""</xm:f>
            <x14:dxf>
              <numFmt numFmtId="3" formatCode="#,##0"/>
              <border>
                <left style="thin">
                  <color auto="1"/>
                </left>
                <right style="thin">
                  <color auto="1"/>
                </right>
                <top style="thin">
                  <color auto="1"/>
                </top>
                <bottom style="thin">
                  <color auto="1"/>
                </bottom>
                <vertical/>
                <horizontal/>
              </border>
            </x14:dxf>
          </x14:cfRule>
          <xm:sqref>AD346:AG346 AI346:AL346 AN346:AQ346 AS346:AV346 AX346:BA346 BC346:BF346 BH346:BK346 BM346:BP346 BR346:BU346 BW346:BZ346 CB346:CE346 CG346:CJ346 CL346:CO346 CQ346:CT346 CV346:CY346 DA346:DD346 DF346:DI346 DK346:DN346 DP346:DS346 DU346:DX346 DZ346:EC346 EE346:EH346 EJ346:EM346 EO346:ER346 ET346:EW346 EY346:FB346 FD346:FG346 FI346:FL346 FN346:FQ346 FS346:FV346 FX346:GA346 GC346:GF346 GH346:GK346 GM346:GP346 GR346:GU346 GW346:GZ346 HB346:HE346 HG346:HJ346 HL346:HO346 HQ346:HT346 HV346:HY346 IA346:ID346 IF346:II346 IK346:IN346 IP346:IS346 IU346:IV346</xm:sqref>
        </x14:conditionalFormatting>
        <x14:conditionalFormatting xmlns:xm="http://schemas.microsoft.com/office/excel/2006/main">
          <x14:cfRule type="containsText" priority="29" operator="containsText" id="{2FF9EC1B-0BC4-4E7E-99AA-8A463F4C6F35}">
            <xm:f>NOT(ISERROR(SEARCH("",AC346)))</xm:f>
            <xm:f>""</xm:f>
            <x14:dxf>
              <numFmt numFmtId="3" formatCode="#,##0"/>
              <border>
                <left style="thin">
                  <color auto="1"/>
                </left>
                <right style="thin">
                  <color auto="1"/>
                </right>
                <top style="thin">
                  <color auto="1"/>
                </top>
                <bottom style="thin">
                  <color auto="1"/>
                </bottom>
                <vertical/>
                <horizontal/>
              </border>
            </x14:dxf>
          </x14:cfRule>
          <xm:sqref>AC346 AH346 AM346 AR346 AW346 BB346 BG346 BL346 BQ346 BV346 CA346 CF346 CK346 CP346 CU346 CZ346 DE346 DJ346 DO346 DT346 DY346 ED346 EI346 EN346 ES346 EX346 FC346 FH346 FM346 FR346 FW346 GB346 GG346 GL346 GQ346 GV346 HA346 HF346 HK346 HP346 HU346 HZ346 IE346 IJ346 IO346 IT346</xm:sqref>
        </x14:conditionalFormatting>
        <x14:conditionalFormatting xmlns:xm="http://schemas.microsoft.com/office/excel/2006/main">
          <x14:cfRule type="containsText" priority="28" operator="containsText" id="{FBE40153-B481-4B7A-BF99-2823CE8C768C}">
            <xm:f>NOT(ISERROR(SEARCH("",AC343)))</xm:f>
            <xm:f>""</xm:f>
            <x14:dxf>
              <numFmt numFmtId="3" formatCode="#,##0"/>
              <border>
                <left style="thin">
                  <color auto="1"/>
                </left>
                <right style="thin">
                  <color auto="1"/>
                </right>
                <top style="thin">
                  <color auto="1"/>
                </top>
                <bottom style="thin">
                  <color auto="1"/>
                </bottom>
                <vertical/>
                <horizontal/>
              </border>
            </x14:dxf>
          </x14:cfRule>
          <xm:sqref>AC343:IV343</xm:sqref>
        </x14:conditionalFormatting>
        <x14:conditionalFormatting xmlns:xm="http://schemas.microsoft.com/office/excel/2006/main">
          <x14:cfRule type="containsText" priority="27" operator="containsText" id="{DEC2E9FA-12A4-4423-BB31-0579FEE9A386}">
            <xm:f>NOT(ISERROR(SEARCH("",C324)))</xm:f>
            <xm:f>""</xm:f>
            <x14:dxf>
              <numFmt numFmtId="3" formatCode="#,##0"/>
              <border>
                <right style="thin">
                  <color auto="1"/>
                </right>
                <top style="thin">
                  <color auto="1"/>
                </top>
                <bottom style="thin">
                  <color auto="1"/>
                </bottom>
                <vertical/>
                <horizontal/>
              </border>
            </x14:dxf>
          </x14:cfRule>
          <xm:sqref>C324:IV342</xm:sqref>
        </x14:conditionalFormatting>
        <x14:conditionalFormatting xmlns:xm="http://schemas.microsoft.com/office/excel/2006/main">
          <x14:cfRule type="containsText" priority="25" operator="containsText" id="{B5A18B15-178E-48E2-8D4B-A489E73BDB22}">
            <xm:f>NOT(ISERROR(SEARCH("",AC323)))</xm:f>
            <xm:f>""</xm:f>
            <x14:dxf>
              <numFmt numFmtId="3" formatCode="#,##0"/>
              <border>
                <left style="thin">
                  <color auto="1"/>
                </left>
                <right style="thin">
                  <color auto="1"/>
                </right>
                <top style="thin">
                  <color auto="1"/>
                </top>
                <bottom style="thin">
                  <color auto="1"/>
                </bottom>
                <vertical/>
                <horizontal/>
              </border>
            </x14:dxf>
          </x14:cfRule>
          <xm:sqref>AC323 AH323 AM323 AR323 AW323 BB323 BG323 BL323 BQ323 BV323 CA323 CF323 CK323 CP323 CU323 CZ323 DE323 DJ323 DO323 DT323 DY323 ED323 EI323 EN323 ES323 EX323 FC323 FH323 FM323 FR323 FW323 GB323 GG323 GL323 GQ323 GV323 HA323 HF323 HK323 HP323 HU323 HZ323 IE323 IJ323 IO323 IT323</xm:sqref>
        </x14:conditionalFormatting>
        <x14:conditionalFormatting xmlns:xm="http://schemas.microsoft.com/office/excel/2006/main">
          <x14:cfRule type="containsText" priority="24" operator="containsText" id="{600E758A-9128-4B7F-A938-C615FCCC459E}">
            <xm:f>NOT(ISERROR(SEARCH("",AC296)))</xm:f>
            <xm:f>""</xm:f>
            <x14:dxf>
              <numFmt numFmtId="3" formatCode="#,##0"/>
              <border>
                <left style="thin">
                  <color auto="1"/>
                </left>
                <right style="thin">
                  <color auto="1"/>
                </right>
                <top style="thin">
                  <color auto="1"/>
                </top>
                <bottom style="thin">
                  <color auto="1"/>
                </bottom>
                <vertical/>
                <horizontal/>
              </border>
            </x14:dxf>
          </x14:cfRule>
          <xm:sqref>AC296:IV296</xm:sqref>
        </x14:conditionalFormatting>
        <x14:conditionalFormatting xmlns:xm="http://schemas.microsoft.com/office/excel/2006/main">
          <x14:cfRule type="containsText" priority="23" operator="containsText" id="{A610747D-7325-4057-AECD-A287CD37EB60}">
            <xm:f>NOT(ISERROR(SEARCH("",C277)))</xm:f>
            <xm:f>""</xm:f>
            <x14:dxf>
              <numFmt numFmtId="3" formatCode="#,##0"/>
              <border>
                <right style="thin">
                  <color auto="1"/>
                </right>
                <top style="thin">
                  <color auto="1"/>
                </top>
                <bottom style="thin">
                  <color auto="1"/>
                </bottom>
                <vertical/>
                <horizontal/>
              </border>
            </x14:dxf>
          </x14:cfRule>
          <xm:sqref>C277:IV295</xm:sqref>
        </x14:conditionalFormatting>
        <x14:conditionalFormatting xmlns:xm="http://schemas.microsoft.com/office/excel/2006/main">
          <x14:cfRule type="containsText" priority="22" operator="containsText" id="{8A8CBFB4-75A4-4517-BC02-84AE6DE9A7C1}">
            <xm:f>NOT(ISERROR(SEARCH("",AD276)))</xm:f>
            <xm:f>""</xm:f>
            <x14:dxf>
              <numFmt numFmtId="3" formatCode="#,##0"/>
              <border>
                <left style="thin">
                  <color auto="1"/>
                </left>
                <right style="thin">
                  <color auto="1"/>
                </right>
                <top style="thin">
                  <color auto="1"/>
                </top>
                <bottom style="thin">
                  <color auto="1"/>
                </bottom>
                <vertical/>
                <horizontal/>
              </border>
            </x14:dxf>
          </x14:cfRule>
          <xm:sqref>AD276:AG276 AI276:AL276 AN276:AQ276 AS276:AV276 AX276:BA276 BC276:BF276 BH276:BK276 BM276:BP276 BR276:BU276 BW276:BZ276 CB276:CE276 CG276:CJ276 CL276:CO276 CQ276:CT276 CV276:CY276 DA276:DD276 DF276:DI276 DK276:DN276 DP276:DS276 DU276:DX276 DZ276:EC276 EE276:EH276 EJ276:EM276 EO276:ER276 ET276:EW276 EY276:FB276 FD276:FG276 FI276:FL276 FN276:FQ276 FS276:FV276 FX276:GA276 GC276:GF276 GH276:GK276 GM276:GP276 GR276:GU276 GW276:GZ276 HB276:HE276 HG276:HJ276 HL276:HO276 HQ276:HT276 HV276:HY276 IA276:ID276 IF276:II276 IK276:IN276 IP276:IS276 IU276:IV276</xm:sqref>
        </x14:conditionalFormatting>
        <x14:conditionalFormatting xmlns:xm="http://schemas.microsoft.com/office/excel/2006/main">
          <x14:cfRule type="containsText" priority="21" operator="containsText" id="{13ADCADA-4746-4158-85AF-F04D16E3BE37}">
            <xm:f>NOT(ISERROR(SEARCH("",AC276)))</xm:f>
            <xm:f>""</xm:f>
            <x14:dxf>
              <numFmt numFmtId="3" formatCode="#,##0"/>
              <border>
                <left style="thin">
                  <color auto="1"/>
                </left>
                <right style="thin">
                  <color auto="1"/>
                </right>
                <top style="thin">
                  <color auto="1"/>
                </top>
                <bottom style="thin">
                  <color auto="1"/>
                </bottom>
                <vertical/>
                <horizontal/>
              </border>
            </x14:dxf>
          </x14:cfRule>
          <xm:sqref>AC276 AH276 AM276 AR276 AW276 BB276 BG276 BL276 BQ276 BV276 CA276 CF276 CK276 CP276 CU276 CZ276 DE276 DJ276 DO276 DT276 DY276 ED276 EI276 EN276 ES276 EX276 FC276 FH276 FM276 FR276 FW276 GB276 GG276 GL276 GQ276 GV276 HA276 HF276 HK276 HP276 HU276 HZ276 IE276 IJ276 IO276 IT276</xm:sqref>
        </x14:conditionalFormatting>
        <x14:conditionalFormatting xmlns:xm="http://schemas.microsoft.com/office/excel/2006/main">
          <x14:cfRule type="containsText" priority="18" operator="containsText" id="{D1572484-5B5C-474A-92A9-E413C8CDD229}">
            <xm:f>NOT(ISERROR(SEARCH("",AD253)))</xm:f>
            <xm:f>""</xm:f>
            <x14:dxf>
              <numFmt numFmtId="3" formatCode="#,##0"/>
              <border>
                <left style="thin">
                  <color auto="1"/>
                </left>
                <right style="thin">
                  <color auto="1"/>
                </right>
                <top style="thin">
                  <color auto="1"/>
                </top>
                <bottom style="thin">
                  <color auto="1"/>
                </bottom>
                <vertical/>
                <horizontal/>
              </border>
            </x14:dxf>
          </x14:cfRule>
          <xm:sqref>AD253:AG253 AI253:AL253 AN253:AQ253 AS253:AV253 AX253:BA253 BC253:BF253 BH253:BK253 BM253:BP253 BR253:BU253 BW253:BZ253 CB253:CE253 CG253:CJ253 CL253:CO253 CQ253:CT253 CV253:CY253 DA253:DD253 DF253:DI253 DK253:DN253 DP253:DS253 DU253:DX253 DZ253:EC253 EE253:EH253 EJ253:EM253 EO253:ER253 ET253:EW253 EY253:FB253 FD253:FG253 FI253:FL253 FN253:FQ253 FS253:FV253 FX253:GA253 GC253:GF253 GH253:GK253 GM253:GP253 GR253:GU253 GW253:GZ253 HB253:HE253 HG253:HJ253 HL253:HO253 HQ253:HT253 HV253:HY253 IA253:ID253 IF253:II253 IK253:IN253 IP253:IS253 IU253:IV253</xm:sqref>
        </x14:conditionalFormatting>
        <x14:conditionalFormatting xmlns:xm="http://schemas.microsoft.com/office/excel/2006/main">
          <x14:cfRule type="containsText" priority="17" operator="containsText" id="{1D42212B-E1E6-4981-9743-07CE0BFE3C84}">
            <xm:f>NOT(ISERROR(SEARCH("",AC253)))</xm:f>
            <xm:f>""</xm:f>
            <x14:dxf>
              <numFmt numFmtId="3" formatCode="#,##0"/>
              <border>
                <left style="thin">
                  <color auto="1"/>
                </left>
                <right style="thin">
                  <color auto="1"/>
                </right>
                <top style="thin">
                  <color auto="1"/>
                </top>
                <bottom style="thin">
                  <color auto="1"/>
                </bottom>
                <vertical/>
                <horizontal/>
              </border>
            </x14:dxf>
          </x14:cfRule>
          <xm:sqref>AC253 AH253 AM253 AR253 AW253 BB253 BG253 BL253 BQ253 BV253 CA253 CF253 CK253 CP253 CU253 CZ253 DE253 DJ253 DO253 DT253 DY253 ED253 EI253 EN253 ES253 EX253 FC253 FH253 FM253 FR253 FW253 GB253 GG253 GL253 GQ253 GV253 HA253 HF253 HK253 HP253 HU253 HZ253 IE253 IJ253 IO253 IT253</xm:sqref>
        </x14:conditionalFormatting>
        <x14:conditionalFormatting xmlns:xm="http://schemas.microsoft.com/office/excel/2006/main">
          <x14:cfRule type="containsText" priority="16" operator="containsText" id="{AEC59769-291C-4E1E-8FAF-26DBBFD1DA73}">
            <xm:f>NOT(ISERROR(SEARCH("",AC250)))</xm:f>
            <xm:f>""</xm:f>
            <x14:dxf>
              <numFmt numFmtId="3" formatCode="#,##0"/>
              <border>
                <left style="thin">
                  <color auto="1"/>
                </left>
                <right style="thin">
                  <color auto="1"/>
                </right>
                <top style="thin">
                  <color auto="1"/>
                </top>
                <bottom style="thin">
                  <color auto="1"/>
                </bottom>
                <vertical/>
                <horizontal/>
              </border>
            </x14:dxf>
          </x14:cfRule>
          <xm:sqref>AC250:IV250</xm:sqref>
        </x14:conditionalFormatting>
        <x14:conditionalFormatting xmlns:xm="http://schemas.microsoft.com/office/excel/2006/main">
          <x14:cfRule type="containsText" priority="15" operator="containsText" id="{533FE365-7E31-4866-B436-5CA5A53F5D88}">
            <xm:f>NOT(ISERROR(SEARCH("",C231)))</xm:f>
            <xm:f>""</xm:f>
            <x14:dxf>
              <numFmt numFmtId="3" formatCode="#,##0"/>
              <border>
                <right style="thin">
                  <color auto="1"/>
                </right>
                <top style="thin">
                  <color auto="1"/>
                </top>
                <bottom style="thin">
                  <color auto="1"/>
                </bottom>
                <vertical/>
                <horizontal/>
              </border>
            </x14:dxf>
          </x14:cfRule>
          <xm:sqref>C231:IV249</xm:sqref>
        </x14:conditionalFormatting>
        <x14:conditionalFormatting xmlns:xm="http://schemas.microsoft.com/office/excel/2006/main">
          <x14:cfRule type="containsText" priority="13" operator="containsText" id="{56EECC69-2675-432B-B1B3-DD3D5C0AF7D4}">
            <xm:f>NOT(ISERROR(SEARCH("",AC230)))</xm:f>
            <xm:f>""</xm:f>
            <x14:dxf>
              <numFmt numFmtId="3" formatCode="#,##0"/>
              <border>
                <left style="thin">
                  <color auto="1"/>
                </left>
                <right style="thin">
                  <color auto="1"/>
                </right>
                <top style="thin">
                  <color auto="1"/>
                </top>
                <bottom style="thin">
                  <color auto="1"/>
                </bottom>
                <vertical/>
                <horizontal/>
              </border>
            </x14:dxf>
          </x14:cfRule>
          <xm:sqref>AC230 AH230 AM230 AR230 AW230 BB230 BG230 BL230 BQ230 BV230 CA230 CF230 CK230 CP230 CU230 CZ230 DE230 DJ230 DO230 DT230 DY230 ED230 EI230 EN230 ES230 EX230 FC230 FH230 FM230 FR230 FW230 GB230 GG230 GL230 GQ230 GV230 HA230 HF230 HK230 HP230 HU230 HZ230 IE230 IJ230 IO230 IT230</xm:sqref>
        </x14:conditionalFormatting>
        <x14:conditionalFormatting xmlns:xm="http://schemas.microsoft.com/office/excel/2006/main">
          <x14:cfRule type="containsText" priority="12" operator="containsText" id="{6AE18721-EE41-495A-AB5D-404E4AE8AADE}">
            <xm:f>NOT(ISERROR(SEARCH("",AC227)))</xm:f>
            <xm:f>""</xm:f>
            <x14:dxf>
              <numFmt numFmtId="3" formatCode="#,##0"/>
              <border>
                <left style="thin">
                  <color auto="1"/>
                </left>
                <right style="thin">
                  <color auto="1"/>
                </right>
                <top style="thin">
                  <color auto="1"/>
                </top>
                <bottom style="thin">
                  <color auto="1"/>
                </bottom>
                <vertical/>
                <horizontal/>
              </border>
            </x14:dxf>
          </x14:cfRule>
          <xm:sqref>AC227:IV227</xm:sqref>
        </x14:conditionalFormatting>
        <x14:conditionalFormatting xmlns:xm="http://schemas.microsoft.com/office/excel/2006/main">
          <x14:cfRule type="containsText" priority="11" operator="containsText" id="{795A2E9E-3C92-42D3-A675-7E84A8E56569}">
            <xm:f>NOT(ISERROR(SEARCH("",C208)))</xm:f>
            <xm:f>""</xm:f>
            <x14:dxf>
              <numFmt numFmtId="3" formatCode="#,##0"/>
              <border>
                <right style="thin">
                  <color auto="1"/>
                </right>
                <top style="thin">
                  <color auto="1"/>
                </top>
                <bottom style="thin">
                  <color auto="1"/>
                </bottom>
                <vertical/>
                <horizontal/>
              </border>
            </x14:dxf>
          </x14:cfRule>
          <xm:sqref>C208:IV226</xm:sqref>
        </x14:conditionalFormatting>
        <x14:conditionalFormatting xmlns:xm="http://schemas.microsoft.com/office/excel/2006/main">
          <x14:cfRule type="containsText" priority="10" operator="containsText" id="{C35BF540-1526-42B6-8EC5-D255C5C9331B}">
            <xm:f>NOT(ISERROR(SEARCH("",AD207)))</xm:f>
            <xm:f>""</xm:f>
            <x14:dxf>
              <numFmt numFmtId="3" formatCode="#,##0"/>
              <border>
                <left style="thin">
                  <color auto="1"/>
                </left>
                <right style="thin">
                  <color auto="1"/>
                </right>
                <top style="thin">
                  <color auto="1"/>
                </top>
                <bottom style="thin">
                  <color auto="1"/>
                </bottom>
                <vertical/>
                <horizontal/>
              </border>
            </x14:dxf>
          </x14:cfRule>
          <xm:sqref>AD207:AG207 AI207:AL207 AN207:AQ207 AS207:AV207 AX207:BA207 BC207:BF207 BH207:BK207 BM207:BP207 BR207:BU207 BW207:BZ207 CB207:CE207 CG207:CJ207 CL207:CO207 CQ207:CT207 CV207:CY207 DA207:DD207 DF207:DI207 DK207:DN207 DP207:DS207 DU207:DX207 DZ207:EC207 EE207:EH207 EJ207:EM207 EO207:ER207 ET207:EW207 EY207:FB207 FD207:FG207 FI207:FL207 FN207:FQ207 FS207:FV207 FX207:GA207 GC207:GF207 GH207:GK207 GM207:GP207 GR207:GU207 GW207:GZ207 HB207:HE207 HG207:HJ207 HL207:HO207 HQ207:HT207 HV207:HY207 IA207:ID207 IF207:II207 IK207:IN207 IP207:IS207 IU207:IV207</xm:sqref>
        </x14:conditionalFormatting>
        <x14:conditionalFormatting xmlns:xm="http://schemas.microsoft.com/office/excel/2006/main">
          <x14:cfRule type="containsText" priority="9" operator="containsText" id="{21B62769-4A30-435A-97B9-A321D28A34CD}">
            <xm:f>NOT(ISERROR(SEARCH("",AC207)))</xm:f>
            <xm:f>""</xm:f>
            <x14:dxf>
              <numFmt numFmtId="3" formatCode="#,##0"/>
              <border>
                <left style="thin">
                  <color auto="1"/>
                </left>
                <right style="thin">
                  <color auto="1"/>
                </right>
                <top style="thin">
                  <color auto="1"/>
                </top>
                <bottom style="thin">
                  <color auto="1"/>
                </bottom>
                <vertical/>
                <horizontal/>
              </border>
            </x14:dxf>
          </x14:cfRule>
          <xm:sqref>AC207 AH207 AM207 AR207 AW207 BB207 BG207 BL207 BQ207 BV207 CA207 CF207 CK207 CP207 CU207 CZ207 DE207 DJ207 DO207 DT207 DY207 ED207 EI207 EN207 ES207 EX207 FC207 FH207 FM207 FR207 FW207 GB207 GG207 GL207 GQ207 GV207 HA207 HF207 HK207 HP207 HU207 HZ207 IE207 IJ207 IO207 IT207</xm:sqref>
        </x14:conditionalFormatting>
        <x14:conditionalFormatting xmlns:xm="http://schemas.microsoft.com/office/excel/2006/main">
          <x14:cfRule type="containsText" priority="6" operator="containsText" id="{E92423BB-D7A0-44B8-BEBE-4B79D89D9202}">
            <xm:f>NOT(ISERROR(SEARCH("",AD184)))</xm:f>
            <xm:f>""</xm:f>
            <x14:dxf>
              <numFmt numFmtId="3" formatCode="#,##0"/>
              <border>
                <left style="thin">
                  <color auto="1"/>
                </left>
                <right style="thin">
                  <color auto="1"/>
                </right>
                <top style="thin">
                  <color auto="1"/>
                </top>
                <bottom style="thin">
                  <color auto="1"/>
                </bottom>
                <vertical/>
                <horizontal/>
              </border>
            </x14:dxf>
          </x14:cfRule>
          <xm:sqref>AD184:AG184 AI184:AL184 AN184:AQ184 AS184:AV184 AX184:BA184 BC184:BF184 BH184:BK184 BM184:BP184 BR184:BU184 BW184:BZ184 CB184:CE184 CG184:CJ184 CL184:CO184 CQ184:CT184 CV184:CY184 DA184:DD184 DF184:DI184 DK184:DN184 DP184:DS184 DU184:DX184 DZ184:EC184 EE184:EH184 EJ184:EM184 EO184:ER184 ET184:EW184 EY184:FB184 FD184:FG184 FI184:FL184 FN184:FQ184 FS184:FV184 FX184:GA184 GC184:GF184 GH184:GK184 GM184:GP184 GR184:GU184 GW184:GZ184 HB184:HE184 HG184:HJ184 HL184:HO184 HQ184:HT184 HV184:HY184 IA184:ID184 IF184:II184 IK184:IN184 IP184:IS184 IU184:IV184</xm:sqref>
        </x14:conditionalFormatting>
        <x14:conditionalFormatting xmlns:xm="http://schemas.microsoft.com/office/excel/2006/main">
          <x14:cfRule type="containsText" priority="5" operator="containsText" id="{94A23CA4-34ED-4E8B-A988-093BF58C55BB}">
            <xm:f>NOT(ISERROR(SEARCH("",AC184)))</xm:f>
            <xm:f>""</xm:f>
            <x14:dxf>
              <numFmt numFmtId="3" formatCode="#,##0"/>
              <border>
                <left style="thin">
                  <color auto="1"/>
                </left>
                <right style="thin">
                  <color auto="1"/>
                </right>
                <top style="thin">
                  <color auto="1"/>
                </top>
                <bottom style="thin">
                  <color auto="1"/>
                </bottom>
                <vertical/>
                <horizontal/>
              </border>
            </x14:dxf>
          </x14:cfRule>
          <xm:sqref>AC184 AH184 AM184 AR184 AW184 BB184 BG184 BL184 BQ184 BV184 CA184 CF184 CK184 CP184 CU184 CZ184 DE184 DJ184 DO184 DT184 DY184 ED184 EI184 EN184 ES184 EX184 FC184 FH184 FM184 FR184 FW184 GB184 GG184 GL184 GQ184 GV184 HA184 HF184 HK184 HP184 HU184 HZ184 IE184 IJ184 IO184 IT184</xm:sqref>
        </x14:conditionalFormatting>
        <x14:conditionalFormatting xmlns:xm="http://schemas.microsoft.com/office/excel/2006/main">
          <x14:cfRule type="containsText" priority="4" operator="containsText" id="{0BD66117-E38F-488D-9F32-9E1C488D7D79}">
            <xm:f>NOT(ISERROR(SEARCH("",AC181)))</xm:f>
            <xm:f>""</xm:f>
            <x14:dxf>
              <numFmt numFmtId="3" formatCode="#,##0"/>
              <border>
                <left style="thin">
                  <color auto="1"/>
                </left>
                <right style="thin">
                  <color auto="1"/>
                </right>
                <top style="thin">
                  <color auto="1"/>
                </top>
                <bottom style="thin">
                  <color auto="1"/>
                </bottom>
                <vertical/>
                <horizontal/>
              </border>
            </x14:dxf>
          </x14:cfRule>
          <xm:sqref>AC181:IV181</xm:sqref>
        </x14:conditionalFormatting>
        <x14:conditionalFormatting xmlns:xm="http://schemas.microsoft.com/office/excel/2006/main">
          <x14:cfRule type="containsText" priority="3" operator="containsText" id="{B5F1BA87-A144-4368-90EB-6C18E5A08CE7}">
            <xm:f>NOT(ISERROR(SEARCH("",C162)))</xm:f>
            <xm:f>""</xm:f>
            <x14:dxf>
              <numFmt numFmtId="3" formatCode="#,##0"/>
              <border>
                <right style="thin">
                  <color auto="1"/>
                </right>
                <top style="thin">
                  <color auto="1"/>
                </top>
                <bottom style="thin">
                  <color auto="1"/>
                </bottom>
                <vertical/>
                <horizontal/>
              </border>
            </x14:dxf>
          </x14:cfRule>
          <xm:sqref>C162:IV180</xm:sqref>
        </x14:conditionalFormatting>
        <x14:conditionalFormatting xmlns:xm="http://schemas.microsoft.com/office/excel/2006/main">
          <x14:cfRule type="containsText" priority="1" operator="containsText" id="{29933CFE-CCED-4AF0-8FBF-16062F9F8DA1}">
            <xm:f>NOT(ISERROR(SEARCH("",AC161)))</xm:f>
            <xm:f>""</xm:f>
            <x14:dxf>
              <numFmt numFmtId="3" formatCode="#,##0"/>
              <border>
                <left style="thin">
                  <color auto="1"/>
                </left>
                <right style="thin">
                  <color auto="1"/>
                </right>
                <top style="thin">
                  <color auto="1"/>
                </top>
                <bottom style="thin">
                  <color auto="1"/>
                </bottom>
                <vertical/>
                <horizontal/>
              </border>
            </x14:dxf>
          </x14:cfRule>
          <xm:sqref>AC161 AH161 AM161 AR161 AW161 BB161 BG161 BL161 BQ161 BV161 CA161 CF161 CK161 CP161 CU161 CZ161 DE161 DJ161 DO161 DT161 DY161 ED161 EI161 EN161 ES161 EX161 FC161 FH161 FM161 FR161 FW161 GB161 GG161 GL161 GQ161 GV161 HA161 HF161 HK161 HP161 HU161 HZ161 IE161 IJ161 IO161 IT161</xm:sqref>
        </x14:conditionalFormatting>
      </x14:conditionalFormattings>
    </ext>
  </extLs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mc:Ignorable="x14ac xr">
  <sheetPr codeName="Hoja22">
    <tabColor indexed="60"/>
  </sheetPr>
  <dimension ref="A1:IV171"/>
  <sheetViews>
    <sheetView showGridLines="0" view="pageBreakPreview" zoomScaleNormal="100" workbookViewId="0">
      <pane ySplit="9" topLeftCell="A10" activePane="bottomLeft" state="frozen"/>
      <selection activeCell="F11" sqref="F11"/>
      <selection pane="bottomLeft" activeCell="A10" sqref="A10"/>
    </sheetView>
  </sheetViews>
  <sheetFormatPr baseColWidth="10" defaultRowHeight="12.75"/>
  <cols>
    <col min="1" max="1" width="11.42578125" customWidth="1" style="51"/>
    <col min="2" max="2" bestFit="1" width="19.5703125" customWidth="1" style="51"/>
    <col min="3" max="11" width="11.7109375" customWidth="1" style="51"/>
    <col min="12" max="16384" width="11.42578125" customWidth="1" style="51"/>
  </cols>
  <sheetData>
    <row r="1">
      <c r="A1" s="46"/>
      <c r="B1" s="47"/>
      <c r="C1" s="47"/>
      <c r="D1" s="47"/>
      <c r="E1" s="47"/>
      <c r="F1" s="47"/>
      <c r="G1" s="47"/>
      <c r="H1" s="47"/>
      <c r="I1" s="47"/>
      <c r="J1" s="47"/>
      <c r="K1" s="47"/>
      <c r="L1" s="47"/>
      <c r="M1" s="47"/>
      <c r="N1" s="48"/>
      <c r="O1" s="49"/>
      <c r="P1" s="50"/>
      <c r="Q1" s="50"/>
    </row>
    <row r="2">
      <c r="A2" s="52"/>
      <c r="B2" s="49"/>
      <c r="C2" s="49"/>
      <c r="D2" s="49"/>
      <c r="E2" s="49"/>
      <c r="F2" s="49"/>
      <c r="G2" s="49"/>
      <c r="H2" s="49"/>
      <c r="I2" s="49"/>
      <c r="J2" s="49"/>
      <c r="K2" s="49"/>
      <c r="L2" s="49"/>
      <c r="M2" s="49"/>
      <c r="N2" s="53"/>
      <c r="O2" s="49"/>
      <c r="P2" s="50"/>
      <c r="Q2" s="50"/>
    </row>
    <row r="3">
      <c r="A3" s="52"/>
      <c r="B3" s="49"/>
      <c r="C3" s="49"/>
      <c r="D3" s="49"/>
      <c r="E3" s="49"/>
      <c r="F3" s="49"/>
      <c r="G3" s="49"/>
      <c r="H3" s="49"/>
      <c r="I3" s="49"/>
      <c r="J3" s="49"/>
      <c r="K3" s="49"/>
      <c r="L3" s="49"/>
      <c r="M3" s="49"/>
      <c r="N3" s="53"/>
      <c r="O3" s="49"/>
      <c r="P3" s="50"/>
      <c r="Q3" s="50"/>
    </row>
    <row r="4">
      <c r="A4" s="52"/>
      <c r="B4" s="49"/>
      <c r="C4" s="49"/>
      <c r="D4" s="49"/>
      <c r="E4" s="49"/>
      <c r="F4" s="49"/>
      <c r="G4" s="49"/>
      <c r="H4" s="49"/>
      <c r="I4" s="49"/>
      <c r="J4" s="49"/>
      <c r="K4" s="49"/>
      <c r="L4" s="49"/>
      <c r="M4" s="49"/>
      <c r="N4" s="53"/>
      <c r="O4" s="49"/>
      <c r="P4" s="50"/>
      <c r="Q4" s="50"/>
    </row>
    <row r="5">
      <c r="A5" s="52"/>
      <c r="B5" s="49"/>
      <c r="C5" s="49"/>
      <c r="D5" s="49"/>
      <c r="E5" s="49"/>
      <c r="F5" s="49"/>
      <c r="G5" s="49"/>
      <c r="H5" s="49"/>
      <c r="I5" s="49"/>
      <c r="J5" s="49"/>
      <c r="K5" s="49"/>
      <c r="L5" s="49"/>
      <c r="M5" s="49"/>
      <c r="N5" s="53"/>
      <c r="O5" s="49"/>
      <c r="P5" s="50"/>
      <c r="Q5" s="50"/>
    </row>
    <row r="6" ht="13.5">
      <c r="A6" s="54"/>
      <c r="B6" s="55"/>
      <c r="C6" s="55"/>
      <c r="D6" s="55"/>
      <c r="E6" s="55"/>
      <c r="F6" s="55"/>
      <c r="G6" s="55"/>
      <c r="H6" s="55"/>
      <c r="I6" s="55"/>
      <c r="J6" s="55"/>
      <c r="K6" s="55"/>
      <c r="L6" s="55"/>
      <c r="M6" s="55"/>
      <c r="N6" s="56"/>
      <c r="O6" s="49"/>
      <c r="P6" s="50"/>
      <c r="Q6" s="50"/>
    </row>
    <row r="7" s="57" customFormat="1">
      <c r="O7" s="58"/>
      <c r="P7" s="58"/>
      <c r="Q7" s="58"/>
    </row>
    <row r="8">
      <c r="F8" s="131">
        <v>20</v>
      </c>
      <c r="I8" s="51" t="s">
        <v>100</v>
      </c>
      <c r="J8" s="51" t="e">
        <f>LOOKUP(AUX!$E$10,AUX!$B:$B,AUX!$A:$A)</f>
        <v>#N/A</v>
      </c>
      <c r="O8" s="50"/>
      <c r="P8" s="50"/>
      <c r="Q8" s="50"/>
    </row>
    <row r="9">
      <c r="B9" s="597" t="s">
        <v>101</v>
      </c>
      <c r="C9" s="597"/>
      <c r="D9" s="597"/>
      <c r="E9" s="597"/>
      <c r="I9" s="51" t="s">
        <v>1</v>
      </c>
      <c r="J9" s="51" t="str">
        <f>LOOKUP(AUX!$E$11,AUX!$E1:$E5,AUX!$D1:$D5)</f>
        <v>6 meses</v>
      </c>
      <c r="O9" s="50"/>
      <c r="P9" s="50"/>
      <c r="Q9" s="50"/>
    </row>
    <row r="10">
      <c r="O10" s="50"/>
      <c r="P10" s="50"/>
      <c r="Q10" s="50"/>
    </row>
    <row r="11">
      <c r="O11" s="50"/>
      <c r="P11" s="50"/>
      <c r="Q11" s="50"/>
    </row>
    <row r="12">
      <c r="O12" s="50"/>
      <c r="P12" s="50"/>
      <c r="Q12" s="50"/>
    </row>
    <row r="13" ht="13.5">
      <c r="O13" s="50"/>
      <c r="P13" s="50"/>
      <c r="Q13" s="50"/>
    </row>
    <row r="14" ht="16.5" customHeight="1">
      <c r="C14" s="779" t="s">
        <v>407</v>
      </c>
      <c r="D14" s="780"/>
      <c r="E14" s="780"/>
      <c r="F14" s="780"/>
      <c r="G14" s="780"/>
      <c r="H14" s="780"/>
      <c r="I14" s="780"/>
      <c r="J14" s="780"/>
      <c r="K14" s="780"/>
      <c r="L14" s="780"/>
      <c r="M14" s="781"/>
      <c r="O14" s="50"/>
      <c r="P14" s="50"/>
      <c r="Q14" s="50"/>
    </row>
    <row r="15" ht="15.75">
      <c r="B15" s="164"/>
      <c r="C15" s="782" t="s">
        <v>408</v>
      </c>
      <c r="D15" s="783"/>
      <c r="E15" s="783"/>
      <c r="F15" s="783"/>
      <c r="G15" s="783"/>
      <c r="H15" s="783"/>
      <c r="I15" s="783"/>
      <c r="J15" s="783"/>
      <c r="K15" s="783"/>
      <c r="L15" s="783"/>
      <c r="M15" s="784"/>
      <c r="N15" s="164"/>
      <c r="O15" s="344"/>
      <c r="P15" s="50"/>
      <c r="Q15" s="50"/>
    </row>
    <row r="16">
      <c r="C16" s="141"/>
      <c r="D16" s="142"/>
      <c r="E16" s="142"/>
      <c r="F16" s="142"/>
      <c r="G16" s="142"/>
      <c r="H16" s="142"/>
      <c r="I16" s="142"/>
      <c r="J16" s="142"/>
      <c r="K16" s="142"/>
      <c r="L16" s="352"/>
      <c r="M16" s="143"/>
      <c r="O16" s="50"/>
      <c r="P16" s="50"/>
      <c r="Q16" s="50"/>
    </row>
    <row r="17" ht="16.5" customHeight="1">
      <c r="B17" s="209"/>
      <c r="C17" s="145" t="e">
        <f>INDEX(AUX!$G$1:$IV$1,1,AUX!$E$10+(AUX!$E$11*AUX!G$2))</f>
        <v>#VALUE!</v>
      </c>
      <c r="D17" s="146">
        <f>INDEX(AUX!$G$1:$IV$1,1,AUX!$E$10+(AUX!$E$11*AUX!H$2))</f>
        <v>38899</v>
      </c>
      <c r="E17" s="146">
        <f>INDEX(AUX!$G$1:$IV$1,1,AUX!$E$10+(AUX!$E$11*AUX!I$2))</f>
        <v>39083</v>
      </c>
      <c r="F17" s="146">
        <f>INDEX(AUX!$G$1:$IV$1,1,AUX!$E$10+(AUX!$E$11*AUX!J$2))</f>
        <v>39264</v>
      </c>
      <c r="G17" s="146">
        <f>INDEX(AUX!$G$1:$IV$1,1,AUX!$E$10+(AUX!$E$11*AUX!K$2))</f>
        <v>39448</v>
      </c>
      <c r="H17" s="146">
        <f>INDEX(AUX!$G$1:$IV$1,1,AUX!$E$10+(AUX!$E$11*AUX!L$2))</f>
        <v>39630</v>
      </c>
      <c r="I17" s="146">
        <f>INDEX(AUX!$G$1:$IV$1,1,AUX!$E$10+(AUX!$E$11*AUX!M$2))</f>
        <v>39814</v>
      </c>
      <c r="J17" s="146">
        <f>INDEX(AUX!$G$1:$IV$1,1,AUX!$E$10+(AUX!$E$11*AUX!N$2))</f>
        <v>39995</v>
      </c>
      <c r="K17" s="146">
        <f>INDEX(AUX!$G$1:$IV$1,1,AUX!$E$10+(AUX!$E$11*AUX!O$2))</f>
        <v>40179</v>
      </c>
      <c r="L17" s="146">
        <f>INDEX(AUX!$G$1:$IV$1,1,AUX!$E$10+(AUX!$E$11*AUX!P$2))</f>
        <v>40360</v>
      </c>
      <c r="M17" s="147">
        <f>INDEX(AUX!$G$1:$IV$1,1,AUX!$E$10+(AUX!$E$11*AUX!Q$2))</f>
        <v>40544</v>
      </c>
      <c r="N17" s="202"/>
      <c r="O17" s="50"/>
      <c r="P17" s="50"/>
    </row>
    <row r="18" ht="16.5" customHeight="1">
      <c r="B18" s="288"/>
      <c r="C18" s="785" t="s">
        <v>377</v>
      </c>
      <c r="D18" s="786"/>
      <c r="E18" s="786"/>
      <c r="F18" s="786"/>
      <c r="G18" s="786"/>
      <c r="H18" s="786"/>
      <c r="I18" s="786"/>
      <c r="J18" s="786"/>
      <c r="K18" s="786"/>
      <c r="L18" s="786"/>
      <c r="M18" s="787"/>
      <c r="N18" s="201"/>
      <c r="O18" s="202"/>
      <c r="P18" s="50"/>
      <c r="Q18" s="50"/>
    </row>
    <row r="19" ht="16.5" customHeight="1">
      <c r="B19" s="353" t="str">
        <f>INDEX($B$109:$H$128,$F$8,1)</f>
        <v>Total</v>
      </c>
      <c r="C19" s="289" t="str">
        <f>IF(INDEX($C$109:$II$128,$F$8,AUX!$E$10+(AUX!$E$11*AUX!G$2))="","--",IF(INDEX($C$109:$II$128,$F$8,AUX!$E$10+(AUX!$E$11*AUX!G$2))=0,"-",INDEX($C$109:$II$128,$F$8,AUX!$E$10+(AUX!$E$11*AUX!G$2))))</f>
        <v>--</v>
      </c>
      <c r="D19" s="290" t="str">
        <f>IF(INDEX($C$109:$II$128,$F$8,AUX!$E$10+(AUX!$E$11*AUX!H$2))="","--",IF(INDEX($C$109:$II$128,$F$8,AUX!$E$10+(AUX!$E$11*AUX!H$2))=0,"-",INDEX($C$109:$II$128,$F$8,AUX!$E$10+(AUX!$E$11*AUX!H$2))))</f>
        <v>--</v>
      </c>
      <c r="E19" s="290" t="str">
        <f>IF(INDEX($C$109:$II$128,$F$8,AUX!$E$10+(AUX!$E$11*AUX!I$2))="","--",IF(INDEX($C$109:$II$128,$F$8,AUX!$E$10+(AUX!$E$11*AUX!I$2))=0,"-",INDEX($C$109:$II$128,$F$8,AUX!$E$10+(AUX!$E$11*AUX!I$2))))</f>
        <v>--</v>
      </c>
      <c r="F19" s="290" t="str">
        <f>IF(INDEX($C$109:$II$128,$F$8,AUX!$E$10+(AUX!$E$11*AUX!J$2))="","--",IF(INDEX($C$109:$II$128,$F$8,AUX!$E$10+(AUX!$E$11*AUX!J$2))=0,"--",INDEX($C$109:$II$128,$F$8,AUX!$E$10+(AUX!$E$11*AUX!J$2))))</f>
        <v>--</v>
      </c>
      <c r="G19" s="290" t="str">
        <f>IF(INDEX($C$109:$II$128,$F$8,AUX!$E$10+(AUX!$E$11*AUX!K$2))="","--",IF(INDEX($C$109:$II$128,$F$8,AUX!$E$10+(AUX!$E$11*AUX!K$2))=0,"-",INDEX($C$109:$II$128,$F$8,AUX!$E$10+(AUX!$E$11*AUX!K$2))))</f>
        <v>--</v>
      </c>
      <c r="H19" s="290" t="str">
        <f>IF(INDEX($C$109:$II$128,$F$8,AUX!$E$10+(AUX!$E$11*AUX!L$2))="","--",IF(INDEX($C$109:$II$128,$F$8,AUX!$E$10+(AUX!$E$11*AUX!L$2))=0,"-",INDEX($C$109:$II$128,$F$8,AUX!$E$10+(AUX!$E$11*AUX!L$2))))</f>
        <v>--</v>
      </c>
      <c r="I19" s="290" t="str">
        <f>IF(INDEX($C$109:$II$128,$F$8,AUX!$E$10+(AUX!$E$11*AUX!M$2))="","--",IF(INDEX($C$109:$II$128,$F$8,AUX!$E$10+(AUX!$E$11*AUX!M$2))=0,"-",INDEX($C$109:$II$128,$F$8,AUX!$E$10+(AUX!$E$11*AUX!M$2))))</f>
        <v>--</v>
      </c>
      <c r="J19" s="290" t="str">
        <f>IF(INDEX($C$109:$II$128,$F$8,AUX!$E$10+(AUX!$E$11*AUX!N$2))="","--",IF(INDEX($C$109:$II$128,$F$8,AUX!$E$10+(AUX!$E$11*AUX!N$2))=0,"-",INDEX($C$109:$II$128,$F$8,AUX!$E$10+(AUX!$E$11*AUX!N$2))))</f>
        <v>--</v>
      </c>
      <c r="K19" s="290" t="str">
        <f>IF(INDEX($C$109:$II$128,$F$8,AUX!$E$10+(AUX!$E$11*AUX!O$2))="","--",IF(INDEX($C$109:$II$128,$F$8,AUX!$E$10+(AUX!$E$11*AUX!O$2))=0,"-",INDEX($C$109:$II$128,$F$8,AUX!$E$10+(AUX!$E$11*AUX!O$2))))</f>
        <v>--</v>
      </c>
      <c r="L19" s="290" t="str">
        <f>IF(INDEX($C$109:$II$128,$F$8,AUX!$E$10+(AUX!$E$11*AUX!P$2))="","--",IF(INDEX($C$109:$II$128,$F$8,AUX!$E$10+(AUX!$E$11*AUX!P$2))=0,"-",INDEX($C$109:$II$128,$F$8,AUX!$E$10+(AUX!$E$11*AUX!P$2))))</f>
        <v>--</v>
      </c>
      <c r="M19" s="291" t="str">
        <f>IF(INDEX($C$109:$II$128,$F$8,AUX!$E$10+(AUX!$E$11*AUX!Q$2))="","--",IF(INDEX($C$109:$II$128,$F$8,AUX!$E$10+(AUX!$E$11*AUX!Q$2))=0,"-",INDEX($C$109:$II$128,$F$8,AUX!$E$10+(AUX!$E$11*AUX!Q$2))))</f>
        <v>--</v>
      </c>
      <c r="N19" s="202"/>
      <c r="O19" s="50"/>
      <c r="P19" s="50"/>
    </row>
    <row r="20" ht="16.5" customHeight="1">
      <c r="B20" s="209"/>
      <c r="C20" s="785" t="s">
        <v>106</v>
      </c>
      <c r="D20" s="786"/>
      <c r="E20" s="786"/>
      <c r="F20" s="786"/>
      <c r="G20" s="786"/>
      <c r="H20" s="786"/>
      <c r="I20" s="786"/>
      <c r="J20" s="786"/>
      <c r="K20" s="786"/>
      <c r="L20" s="786"/>
      <c r="M20" s="787"/>
      <c r="N20" s="201"/>
      <c r="O20" s="202"/>
      <c r="P20" s="50"/>
      <c r="Q20" s="50"/>
    </row>
    <row r="21" ht="16.5" customHeight="1">
      <c r="B21" s="209"/>
      <c r="C21" s="292" t="str">
        <f>IF(INDEX($C$132:$II$151,$F$8,AUX!$E$10+(AUX!$E$11*AUX!G$2))="","--",IF(INDEX($C$132:$II$151,$F$8,AUX!$E$10+(AUX!$E$11*AUX!G$2))=0,"-",INDEX($C$132:$II$151,$F$8,AUX!$E$10+(AUX!$E$11*AUX!G$2))))</f>
        <v>--</v>
      </c>
      <c r="D21" s="293" t="str">
        <f>IF(INDEX($C$132:$II$151,$F$8,AUX!$E$10+(AUX!$E$11*AUX!H$2))="","--",IF(INDEX($C$132:$II$151,$F$8,AUX!$E$10+(AUX!$E$11*AUX!H$2))=0,"-",INDEX($C$132:$II$151,$F$8,AUX!$E$10+(AUX!$E$11*AUX!H$2))))</f>
        <v>--</v>
      </c>
      <c r="E21" s="293" t="str">
        <f>IF(INDEX($C$132:$II$151,$F$8,AUX!$E$10+(AUX!$E$11*AUX!I$2))="","--",IF(INDEX($C$132:$II$151,$F$8,AUX!$E$10+(AUX!$E$11*AUX!I$2))=0,"-",INDEX($C$132:$II$151,$F$8,AUX!$E$10+(AUX!$E$11*AUX!I$2))))</f>
        <v>--</v>
      </c>
      <c r="F21" s="293" t="str">
        <f>IF(INDEX($C$132:$II$151,$F$8,AUX!$E$10+(AUX!$E$11*AUX!J$2))="","--",IF(INDEX($C$132:$II$151,$F$8,AUX!$E$10+(AUX!$E$11*AUX!J$2))=0,"-",INDEX($C$132:$II$151,$F$8,AUX!$E$10+(AUX!$E$11*AUX!J$2))))</f>
        <v>--</v>
      </c>
      <c r="G21" s="293" t="str">
        <f>IF(INDEX($C$132:$II$151,$F$8,AUX!$E$10+(AUX!$E$11*AUX!K$2))="","--",IF(INDEX($C$132:$II$151,$F$8,AUX!$E$10+(AUX!$E$11*AUX!K$2))=0,"-",INDEX($C$132:$II$151,$F$8,AUX!$E$10+(AUX!$E$11*AUX!K$2))))</f>
        <v>--</v>
      </c>
      <c r="H21" s="293" t="str">
        <f>IF(INDEX($C$132:$II$151,$F$8,AUX!$E$10+(AUX!$E$11*AUX!L$2))="","--",IF(INDEX($C$132:$II$151,$F$8,AUX!$E$10+(AUX!$E$11*AUX!L$2))=0,"-",INDEX($C$132:$II$151,$F$8,AUX!$E$10+(AUX!$E$11*AUX!L$2))))</f>
        <v>--</v>
      </c>
      <c r="I21" s="293" t="str">
        <f>IF(INDEX($C$132:$II$151,$F$8,AUX!$E$10+(AUX!$E$11*AUX!M$2))="","--",IF(INDEX($C$132:$II$151,$F$8,AUX!$E$10+(AUX!$E$11*AUX!M$2))=0,"-",INDEX($C$132:$II$151,$F$8,AUX!$E$10+(AUX!$E$11*AUX!M$2))))</f>
        <v>--</v>
      </c>
      <c r="J21" s="293" t="str">
        <f>IF(INDEX($C$132:$II$151,$F$8,AUX!$E$10+(AUX!$E$11*AUX!N$2))="","--",IF(INDEX($C$132:$II$151,$F$8,AUX!$E$10+(AUX!$E$11*AUX!N$2))=0,"-",INDEX($C$132:$II$151,$F$8,AUX!$E$10+(AUX!$E$11*AUX!N$2))))</f>
        <v>--</v>
      </c>
      <c r="K21" s="293" t="str">
        <f>IF(INDEX($C$132:$II$151,$F$8,AUX!$E$10+(AUX!$E$11*AUX!O$2))="","--",IF(INDEX($C$132:$II$151,$F$8,AUX!$E$10+(AUX!$E$11*AUX!O$2))=0,"-",INDEX($C$132:$II$151,$F$8,AUX!$E$10+(AUX!$E$11*AUX!O$2))))</f>
        <v>--</v>
      </c>
      <c r="L21" s="293" t="str">
        <f>IF(INDEX($C$132:$II$151,$F$8,AUX!$E$10+(AUX!$E$11*AUX!P$2))="","--",IF(INDEX($C$132:$II$151,$F$8,AUX!$E$10+(AUX!$E$11*AUX!P$2))=0,"-",INDEX($C$132:$II$151,$F$8,AUX!$E$10+(AUX!$E$11*AUX!P$2))))</f>
        <v>--</v>
      </c>
      <c r="M21" s="294" t="str">
        <f>IF(INDEX($C$132:$II$151,$F$8,AUX!$E$10+(AUX!$E$11*AUX!Q$2))="","--",IF(INDEX($C$132:$II$151,$F$8,AUX!$E$10+(AUX!$E$11*AUX!Q$2))=0,"-",INDEX($C$132:$II$151,$F$8,AUX!$E$10+(AUX!$E$11*AUX!Q$2))))</f>
        <v>--</v>
      </c>
      <c r="N21" s="202"/>
      <c r="O21" s="50"/>
      <c r="P21" s="50"/>
    </row>
    <row r="22" ht="13.5">
      <c r="C22" s="354"/>
      <c r="D22" s="354"/>
      <c r="E22" s="354"/>
      <c r="F22" s="354"/>
      <c r="G22" s="354"/>
      <c r="H22" s="354"/>
      <c r="I22" s="354"/>
      <c r="J22" s="354"/>
      <c r="K22" s="354"/>
      <c r="O22" s="50"/>
      <c r="P22" s="50"/>
      <c r="Q22" s="50"/>
    </row>
    <row r="23" ht="15" customHeight="1">
      <c r="C23" s="748" t="s">
        <v>409</v>
      </c>
      <c r="D23" s="774"/>
      <c r="E23" s="774"/>
      <c r="F23" s="774"/>
      <c r="G23" s="774"/>
      <c r="H23" s="774"/>
      <c r="I23" s="774"/>
      <c r="J23" s="774"/>
      <c r="K23" s="774"/>
      <c r="L23" s="774"/>
      <c r="M23" s="775"/>
      <c r="O23" s="50"/>
      <c r="P23" s="50"/>
      <c r="Q23" s="50"/>
    </row>
    <row r="24" ht="13.5">
      <c r="C24" s="776"/>
      <c r="D24" s="777"/>
      <c r="E24" s="777"/>
      <c r="F24" s="777"/>
      <c r="G24" s="777"/>
      <c r="H24" s="777"/>
      <c r="I24" s="777"/>
      <c r="J24" s="777"/>
      <c r="K24" s="777"/>
      <c r="L24" s="777"/>
      <c r="M24" s="778"/>
      <c r="O24" s="50"/>
      <c r="P24" s="50"/>
      <c r="Q24" s="50"/>
    </row>
    <row r="25">
      <c r="O25" s="50"/>
      <c r="P25" s="50"/>
      <c r="Q25" s="50"/>
    </row>
    <row r="26">
      <c r="O26" s="50"/>
      <c r="P26" s="50"/>
      <c r="Q26" s="50"/>
    </row>
    <row r="70">
      <c r="D70" s="51" t="s">
        <v>186</v>
      </c>
      <c r="F70" s="51" t="e">
        <f>IF(INDEX(#REF!,$F$8,7)=0, "-", INDEX(#REF!,$F$8,7))</f>
        <v>#REF!</v>
      </c>
    </row>
    <row r="71">
      <c r="D71" s="51" t="s">
        <v>187</v>
      </c>
      <c r="F71" s="51" t="e">
        <f>IF(INDEX(#REF!,$F$8,7)=0, "-", INDEX(#REF!,$F$8,7))</f>
        <v>#REF!</v>
      </c>
    </row>
    <row r="72">
      <c r="D72" s="51" t="s">
        <v>188</v>
      </c>
      <c r="F72" s="51" t="e">
        <f>IF(INDEX(#REF!,$F$8,7)=0, "-", INDEX(#REF!,$F$8,7))</f>
        <v>#REF!</v>
      </c>
    </row>
    <row r="73">
      <c r="D73" s="51" t="s">
        <v>189</v>
      </c>
      <c r="F73" s="51" t="str">
        <f>IF(INDEX($B$109:$H$128,$F$8,7)=0, "-", INDEX($B$109:$H$128,$F$8,7))</f>
      </c>
    </row>
    <row r="74">
      <c r="D74" s="51" t="s">
        <v>190</v>
      </c>
      <c r="F74" s="51" t="e">
        <f>IF(INDEX(#REF!,$F$8,7)=0, "-", INDEX(#REF!,$F$8,7))</f>
        <v>#REF!</v>
      </c>
    </row>
    <row r="75">
      <c r="D75" s="51" t="s">
        <v>191</v>
      </c>
      <c r="F75" s="51" t="e">
        <f>IF(INDEX(#REF!,$F$8,7)=0, "-", INDEX(#REF!,$F$8,7))</f>
        <v>#REF!</v>
      </c>
    </row>
    <row r="107" hidden="1" ht="15.75" customHeight="1">
      <c r="C107" s="686" t="s">
        <v>410</v>
      </c>
      <c r="D107" s="687"/>
      <c r="E107" s="687"/>
      <c r="F107" s="687"/>
      <c r="G107" s="687"/>
      <c r="H107" s="687"/>
      <c r="I107" s="687"/>
      <c r="J107" s="687"/>
      <c r="K107" s="687"/>
      <c r="L107" s="687"/>
      <c r="M107" s="687"/>
      <c r="N107" s="687"/>
      <c r="O107" s="687"/>
      <c r="P107" s="687"/>
      <c r="Q107" s="687"/>
      <c r="R107" s="687"/>
      <c r="S107" s="687"/>
      <c r="T107" s="687"/>
      <c r="U107" s="687"/>
      <c r="V107" s="687"/>
      <c r="W107" s="687"/>
      <c r="X107" s="687"/>
      <c r="Y107" s="687"/>
      <c r="Z107" s="687"/>
      <c r="AA107" s="687"/>
      <c r="AB107" s="688"/>
    </row>
    <row r="108" hidden="1" ht="15" customHeight="1">
      <c r="C108" s="435" t="str">
        <f> IF(C128&lt;&gt;"",TEXT(AUX!G$1,"dd-MMM-aa"),"")</f>
      </c>
      <c r="D108" s="435" t="str">
        <f> IF(D128&lt;&gt;"",TEXT(AUX!H$1,"dd-MMM-aa"),"")</f>
      </c>
      <c r="E108" s="435" t="str">
        <f> IF(E128&lt;&gt;"",TEXT(AUX!I$1,"dd-MMM-aa"),"")</f>
      </c>
      <c r="F108" s="435" t="str">
        <f> IF(F128&lt;&gt;"",TEXT(AUX!J$1,"dd-MMM-aa"),"")</f>
      </c>
      <c r="G108" s="435" t="str">
        <f> IF(G128&lt;&gt;"",TEXT(AUX!K$1,"dd-MMM-aa"),"")</f>
      </c>
      <c r="H108" s="435" t="str">
        <f> IF(H128&lt;&gt;"",TEXT(AUX!L$1,"dd-MMM-aa"),"")</f>
      </c>
      <c r="I108" s="435" t="str">
        <f> IF(I128&lt;&gt;"",TEXT(AUX!M$1,"dd-MMM-aa"),"")</f>
      </c>
      <c r="J108" s="435" t="str">
        <f> IF(J128&lt;&gt;"",TEXT(AUX!N$1,"dd-MMM-aa"),"")</f>
      </c>
      <c r="K108" s="435" t="str">
        <f> IF(K128&lt;&gt;"",TEXT(AUX!O$1,"dd-MMM-aa"),"")</f>
      </c>
      <c r="L108" s="435" t="str">
        <f> IF(L128&lt;&gt;"",TEXT(AUX!P$1,"dd-MMM-aa"),"")</f>
      </c>
      <c r="M108" s="435" t="str">
        <f> IF(M128&lt;&gt;"",TEXT(AUX!Q$1,"dd-MMM-aa"),"")</f>
      </c>
      <c r="N108" s="435" t="str">
        <f> IF(N128&lt;&gt;"",TEXT(AUX!R$1,"dd-MMM-aa"),"")</f>
      </c>
      <c r="O108" s="435" t="str">
        <f> IF(O128&lt;&gt;"",TEXT(AUX!S$1,"dd-MMM-aa"),"")</f>
      </c>
      <c r="P108" s="435" t="str">
        <f> IF(P128&lt;&gt;"",TEXT(AUX!T$1,"dd-MMM-aa"),"")</f>
      </c>
      <c r="Q108" s="435" t="str">
        <f> IF(Q128&lt;&gt;"",TEXT(AUX!U$1,"dd-MMM-aa"),"")</f>
      </c>
      <c r="R108" s="435" t="str">
        <f> IF(R128&lt;&gt;"",TEXT(AUX!V$1,"dd-MMM-aa"),"")</f>
      </c>
      <c r="S108" s="435" t="str">
        <f> IF(S128&lt;&gt;"",TEXT(AUX!W$1,"dd-MMM-aa"),"")</f>
      </c>
      <c r="T108" s="435" t="str">
        <f> IF(T128&lt;&gt;"",TEXT(AUX!X$1,"dd-MMM-aa"),"")</f>
      </c>
      <c r="U108" s="435" t="str">
        <f> IF(U128&lt;&gt;"",TEXT(AUX!Y$1,"dd-MMM-aa"),"")</f>
      </c>
      <c r="V108" s="435" t="str">
        <f> IF(V128&lt;&gt;"",TEXT(AUX!Z$1,"dd-MMM-aa"),"")</f>
      </c>
      <c r="W108" s="435" t="str">
        <f> IF(W128&lt;&gt;"",TEXT(AUX!AA$1,"dd-MMM-aa"),"")</f>
      </c>
      <c r="X108" s="435" t="str">
        <f> IF(X128&lt;&gt;"",TEXT(AUX!AB$1,"dd-MMM-aa"),"")</f>
      </c>
      <c r="Y108" s="435" t="str">
        <f> IF(Y128&lt;&gt;"",TEXT(AUX!AC$1,"dd-MMM-aa"),"")</f>
      </c>
      <c r="Z108" s="435" t="str">
        <f> IF(Z128&lt;&gt;"",TEXT(AUX!AD$1,"dd-MMM-aa"),"")</f>
      </c>
      <c r="AA108" s="435" t="str">
        <f> IF(AA128&lt;&gt;"",TEXT(AUX!AE$1,"dd-MMM-aa"),"")</f>
      </c>
      <c r="AB108" s="497" t="str">
        <f> IF(AB128&lt;&gt;"",TEXT(AUX!AF$1,"dd-MMM-aa"),"")</f>
      </c>
      <c r="AC108" s="496" t="str">
        <f> IF(AC128&lt;&gt;"",TEXT(AUX!AG$1,"dd-MMM-aa"),"")</f>
      </c>
      <c r="AD108" s="496" t="str">
        <f> IF(AD128&lt;&gt;"",TEXT(AUX!AH$1,"dd-MMM-aa"),"")</f>
      </c>
      <c r="AE108" s="496" t="str">
        <f> IF(AE128&lt;&gt;"",TEXT(AUX!AI$1,"dd-MMM-aa"),"")</f>
      </c>
      <c r="AF108" s="496" t="str">
        <f> IF(AF128&lt;&gt;"",TEXT(AUX!AJ$1,"dd-MMM-aa"),"")</f>
      </c>
      <c r="AG108" s="496" t="str">
        <f> IF(AG128&lt;&gt;"",TEXT(AUX!AK$1,"dd-MMM-aa"),"")</f>
      </c>
      <c r="AH108" s="496" t="str">
        <f> IF(AH128&lt;&gt;"",TEXT(AUX!AL$1,"dd-MMM-aa"),"")</f>
      </c>
      <c r="AI108" s="496" t="str">
        <f> IF(AI128&lt;&gt;"",TEXT(AUX!AM$1,"dd-MMM-aa"),"")</f>
      </c>
      <c r="AJ108" s="496" t="str">
        <f> IF(AJ128&lt;&gt;"",TEXT(AUX!AN$1,"dd-MMM-aa"),"")</f>
      </c>
      <c r="AK108" s="496" t="str">
        <f> IF(AK128&lt;&gt;"",TEXT(AUX!AO$1,"dd-MMM-aa"),"")</f>
      </c>
      <c r="AL108" s="496" t="str">
        <f> IF(AL128&lt;&gt;"",TEXT(AUX!AP$1,"dd-MMM-aa"),"")</f>
      </c>
      <c r="AM108" s="496" t="str">
        <f> IF(AM128&lt;&gt;"",TEXT(AUX!AQ$1,"dd-MMM-aa"),"")</f>
      </c>
      <c r="AN108" s="496" t="str">
        <f> IF(AN128&lt;&gt;"",TEXT(AUX!AR$1,"dd-MMM-aa"),"")</f>
      </c>
      <c r="AO108" s="496" t="str">
        <f> IF(AO128&lt;&gt;"",TEXT(AUX!AS$1,"dd-MMM-aa"),"")</f>
      </c>
      <c r="AP108" s="496" t="str">
        <f> IF(AP128&lt;&gt;"",TEXT(AUX!AT$1,"dd-MMM-aa"),"")</f>
      </c>
      <c r="AQ108" s="496" t="str">
        <f> IF(AQ128&lt;&gt;"",TEXT(AUX!AU$1,"dd-MMM-aa"),"")</f>
      </c>
      <c r="AR108" s="496" t="str">
        <f> IF(AR128&lt;&gt;"",TEXT(AUX!AV$1,"dd-MMM-aa"),"")</f>
      </c>
      <c r="AS108" s="496" t="str">
        <f> IF(AS128&lt;&gt;"",TEXT(AUX!AW$1,"dd-MMM-aa"),"")</f>
      </c>
      <c r="AT108" s="496" t="str">
        <f> IF(AT128&lt;&gt;"",TEXT(AUX!AX$1,"dd-MMM-aa"),"")</f>
      </c>
      <c r="AU108" s="496" t="str">
        <f> IF(AU128&lt;&gt;"",TEXT(AUX!AY$1,"dd-MMM-aa"),"")</f>
      </c>
      <c r="AV108" s="496" t="str">
        <f> IF(AV128&lt;&gt;"",TEXT(AUX!AZ$1,"dd-MMM-aa"),"")</f>
      </c>
      <c r="AW108" s="496" t="str">
        <f> IF(AW128&lt;&gt;"",TEXT(AUX!BA$1,"dd-MMM-aa"),"")</f>
      </c>
      <c r="AX108" s="496" t="str">
        <f> IF(AX128&lt;&gt;"",TEXT(AUX!BB$1,"dd-MMM-aa"),"")</f>
      </c>
      <c r="AY108" s="496" t="str">
        <f> IF(AY128&lt;&gt;"",TEXT(AUX!BC$1,"dd-MMM-aa"),"")</f>
      </c>
      <c r="AZ108" s="496" t="str">
        <f> IF(AZ128&lt;&gt;"",TEXT(AUX!BD$1,"dd-MMM-aa"),"")</f>
      </c>
      <c r="BA108" s="496" t="str">
        <f> IF(BA128&lt;&gt;"",TEXT(AUX!BE$1,"dd-MMM-aa"),"")</f>
      </c>
      <c r="BB108" s="496" t="str">
        <f> IF(BB128&lt;&gt;"",TEXT(AUX!BF$1,"dd-MMM-aa"),"")</f>
      </c>
      <c r="BC108" s="496" t="str">
        <f> IF(BC128&lt;&gt;"",TEXT(AUX!BG$1,"dd-MMM-aa"),"")</f>
      </c>
      <c r="BD108" s="496" t="str">
        <f> IF(BD128&lt;&gt;"",TEXT(AUX!BH$1,"dd-MMM-aa"),"")</f>
      </c>
      <c r="BE108" s="496" t="str">
        <f> IF(BE128&lt;&gt;"",TEXT(AUX!BI$1,"dd-MMM-aa"),"")</f>
      </c>
      <c r="BF108" s="496" t="str">
        <f> IF(BF128&lt;&gt;"",TEXT(AUX!BJ$1,"dd-MMM-aa"),"")</f>
      </c>
      <c r="BG108" s="496" t="str">
        <f> IF(BG128&lt;&gt;"",TEXT(AUX!BK$1,"dd-MMM-aa"),"")</f>
      </c>
      <c r="BH108" s="496" t="str">
        <f> IF(BH128&lt;&gt;"",TEXT(AUX!BL$1,"dd-MMM-aa"),"")</f>
      </c>
      <c r="BI108" s="496" t="str">
        <f> IF(BI128&lt;&gt;"",TEXT(AUX!BM$1,"dd-MMM-aa"),"")</f>
      </c>
      <c r="BJ108" s="496" t="str">
        <f> IF(BJ128&lt;&gt;"",TEXT(AUX!BN$1,"dd-MMM-aa"),"")</f>
      </c>
      <c r="BK108" s="496" t="str">
        <f> IF(BK128&lt;&gt;"",TEXT(AUX!BO$1,"dd-MMM-aa"),"")</f>
      </c>
      <c r="BL108" s="496" t="str">
        <f> IF(BL128&lt;&gt;"",TEXT(AUX!BP$1,"dd-MMM-aa"),"")</f>
      </c>
      <c r="BM108" s="496" t="str">
        <f> IF(BM128&lt;&gt;"",TEXT(AUX!BQ$1,"dd-MMM-aa"),"")</f>
      </c>
      <c r="BN108" s="496" t="str">
        <f> IF(BN128&lt;&gt;"",TEXT(AUX!BR$1,"dd-MMM-aa"),"")</f>
      </c>
      <c r="BO108" s="496" t="str">
        <f> IF(BO128&lt;&gt;"",TEXT(AUX!BS$1,"dd-MMM-aa"),"")</f>
      </c>
      <c r="BP108" s="496" t="str">
        <f> IF(BP128&lt;&gt;"",TEXT(AUX!BT$1,"dd-MMM-aa"),"")</f>
      </c>
      <c r="BQ108" s="496" t="str">
        <f> IF(BQ128&lt;&gt;"",TEXT(AUX!BU$1,"dd-MMM-aa"),"")</f>
      </c>
      <c r="BR108" s="496" t="str">
        <f> IF(BR128&lt;&gt;"",TEXT(AUX!BV$1,"dd-MMM-aa"),"")</f>
      </c>
      <c r="BS108" s="496" t="str">
        <f> IF(BS128&lt;&gt;"",TEXT(AUX!BW$1,"dd-MMM-aa"),"")</f>
      </c>
      <c r="BT108" s="496" t="str">
        <f> IF(BT128&lt;&gt;"",TEXT(AUX!BX$1,"dd-MMM-aa"),"")</f>
      </c>
      <c r="BU108" s="496" t="str">
        <f> IF(BU128&lt;&gt;"",TEXT(AUX!BY$1,"dd-MMM-aa"),"")</f>
      </c>
      <c r="BV108" s="496" t="str">
        <f> IF(BV128&lt;&gt;"",TEXT(AUX!BZ$1,"dd-MMM-aa"),"")</f>
      </c>
      <c r="BW108" s="496" t="str">
        <f> IF(BW128&lt;&gt;"",TEXT(AUX!CA$1,"dd-MMM-aa"),"")</f>
      </c>
      <c r="BX108" s="496" t="str">
        <f> IF(BX128&lt;&gt;"",TEXT(AUX!CB$1,"dd-MMM-aa"),"")</f>
      </c>
      <c r="BY108" s="496" t="str">
        <f> IF(BY128&lt;&gt;"",TEXT(AUX!CC$1,"dd-MMM-aa"),"")</f>
      </c>
      <c r="BZ108" s="496" t="str">
        <f> IF(BZ128&lt;&gt;"",TEXT(AUX!CD$1,"dd-MMM-aa"),"")</f>
      </c>
      <c r="CA108" s="496" t="str">
        <f> IF(CA128&lt;&gt;"",TEXT(AUX!CE$1,"dd-MMM-aa"),"")</f>
      </c>
      <c r="CB108" s="496" t="str">
        <f> IF(CB128&lt;&gt;"",TEXT(AUX!CF$1,"dd-MMM-aa"),"")</f>
      </c>
      <c r="CC108" s="496" t="str">
        <f> IF(CC128&lt;&gt;"",TEXT(AUX!CG$1,"dd-MMM-aa"),"")</f>
      </c>
      <c r="CD108" s="496" t="str">
        <f> IF(CD128&lt;&gt;"",TEXT(AUX!CH$1,"dd-MMM-aa"),"")</f>
      </c>
      <c r="CE108" s="496" t="str">
        <f> IF(CE128&lt;&gt;"",TEXT(AUX!CI$1,"dd-MMM-aa"),"")</f>
      </c>
      <c r="CF108" s="496" t="str">
        <f> IF(CF128&lt;&gt;"",TEXT(AUX!CJ$1,"dd-MMM-aa"),"")</f>
      </c>
      <c r="CG108" s="496" t="str">
        <f> IF(CG128&lt;&gt;"",TEXT(AUX!CK$1,"dd-MMM-aa"),"")</f>
      </c>
      <c r="CH108" s="496" t="str">
        <f> IF(CH128&lt;&gt;"",TEXT(AUX!CL$1,"dd-MMM-aa"),"")</f>
      </c>
      <c r="CI108" s="496" t="str">
        <f> IF(CI128&lt;&gt;"",TEXT(AUX!CM$1,"dd-MMM-aa"),"")</f>
      </c>
      <c r="CJ108" s="496" t="str">
        <f> IF(CJ128&lt;&gt;"",TEXT(AUX!CN$1,"dd-MMM-aa"),"")</f>
      </c>
      <c r="CK108" s="496" t="str">
        <f> IF(CK128&lt;&gt;"",TEXT(AUX!CO$1,"dd-MMM-aa"),"")</f>
      </c>
      <c r="CL108" s="496" t="str">
        <f> IF(CL128&lt;&gt;"",TEXT(AUX!CP$1,"dd-MMM-aa"),"")</f>
      </c>
      <c r="CM108" s="496" t="str">
        <f> IF(CM128&lt;&gt;"",TEXT(AUX!CQ$1,"dd-MMM-aa"),"")</f>
      </c>
      <c r="CN108" s="496" t="str">
        <f> IF(CN128&lt;&gt;"",TEXT(AUX!CR$1,"dd-MMM-aa"),"")</f>
      </c>
      <c r="CO108" s="496" t="str">
        <f> IF(CO128&lt;&gt;"",TEXT(AUX!CS$1,"dd-MMM-aa"),"")</f>
      </c>
      <c r="CP108" s="496" t="str">
        <f> IF(CP128&lt;&gt;"",TEXT(AUX!CT$1,"dd-MMM-aa"),"")</f>
      </c>
      <c r="CQ108" s="496" t="str">
        <f> IF(CQ128&lt;&gt;"",TEXT(AUX!CU$1,"dd-MMM-aa"),"")</f>
      </c>
      <c r="CR108" s="496" t="str">
        <f> IF(CR128&lt;&gt;"",TEXT(AUX!CV$1,"dd-MMM-aa"),"")</f>
      </c>
      <c r="CS108" s="496" t="str">
        <f> IF(CS128&lt;&gt;"",TEXT(AUX!CW$1,"dd-MMM-aa"),"")</f>
      </c>
      <c r="CT108" s="496" t="str">
        <f> IF(CT128&lt;&gt;"",TEXT(AUX!CX$1,"dd-MMM-aa"),"")</f>
      </c>
      <c r="CU108" s="496" t="str">
        <f> IF(CU128&lt;&gt;"",TEXT(AUX!CY$1,"dd-MMM-aa"),"")</f>
      </c>
      <c r="CV108" s="496" t="str">
        <f> IF(CV128&lt;&gt;"",TEXT(AUX!CZ$1,"dd-MMM-aa"),"")</f>
      </c>
      <c r="CW108" s="496" t="str">
        <f> IF(CW128&lt;&gt;"",TEXT(AUX!DA$1,"dd-MMM-aa"),"")</f>
      </c>
      <c r="CX108" s="496" t="str">
        <f> IF(CX128&lt;&gt;"",TEXT(AUX!DB$1,"dd-MMM-aa"),"")</f>
      </c>
      <c r="CY108" s="496" t="str">
        <f> IF(CY128&lt;&gt;"",TEXT(AUX!DC$1,"dd-MMM-aa"),"")</f>
      </c>
      <c r="CZ108" s="496" t="str">
        <f> IF(CZ128&lt;&gt;"",TEXT(AUX!DD$1,"dd-MMM-aa"),"")</f>
      </c>
      <c r="DA108" s="496" t="str">
        <f> IF(DA128&lt;&gt;"",TEXT(AUX!DE$1,"dd-MMM-aa"),"")</f>
      </c>
      <c r="DB108" s="496" t="str">
        <f> IF(DB128&lt;&gt;"",TEXT(AUX!DF$1,"dd-MMM-aa"),"")</f>
      </c>
      <c r="DC108" s="496" t="str">
        <f> IF(DC128&lt;&gt;"",TEXT(AUX!DG$1,"dd-MMM-aa"),"")</f>
      </c>
      <c r="DD108" s="496" t="str">
        <f> IF(DD128&lt;&gt;"",TEXT(AUX!DH$1,"dd-MMM-aa"),"")</f>
      </c>
      <c r="DE108" s="496" t="str">
        <f> IF(DE128&lt;&gt;"",TEXT(AUX!DI$1,"dd-MMM-aa"),"")</f>
      </c>
      <c r="DF108" s="496" t="str">
        <f> IF(DF128&lt;&gt;"",TEXT(AUX!DJ$1,"dd-MMM-aa"),"")</f>
      </c>
      <c r="DG108" s="496" t="str">
        <f> IF(DG128&lt;&gt;"",TEXT(AUX!DK$1,"dd-MMM-aa"),"")</f>
      </c>
      <c r="DH108" s="496" t="str">
        <f> IF(DH128&lt;&gt;"",TEXT(AUX!DL$1,"dd-MMM-aa"),"")</f>
      </c>
      <c r="DI108" s="496" t="str">
        <f> IF(DI128&lt;&gt;"",TEXT(AUX!DM$1,"dd-MMM-aa"),"")</f>
      </c>
      <c r="DJ108" s="496" t="str">
        <f> IF(DJ128&lt;&gt;"",TEXT(AUX!DN$1,"dd-MMM-aa"),"")</f>
      </c>
      <c r="DK108" s="496" t="str">
        <f> IF(DK128&lt;&gt;"",TEXT(AUX!DO$1,"dd-MMM-aa"),"")</f>
      </c>
      <c r="DL108" s="496" t="str">
        <f> IF(DL128&lt;&gt;"",TEXT(AUX!DP$1,"dd-MMM-aa"),"")</f>
      </c>
      <c r="DM108" s="496" t="str">
        <f> IF(DM128&lt;&gt;"",TEXT(AUX!DQ$1,"dd-MMM-aa"),"")</f>
      </c>
      <c r="DN108" s="496" t="str">
        <f> IF(DN128&lt;&gt;"",TEXT(AUX!DR$1,"dd-MMM-aa"),"")</f>
      </c>
      <c r="DO108" s="496" t="str">
        <f> IF(DO128&lt;&gt;"",TEXT(AUX!DS$1,"dd-MMM-aa"),"")</f>
      </c>
      <c r="DP108" s="496" t="str">
        <f> IF(DP128&lt;&gt;"",TEXT(AUX!DT$1,"dd-MMM-aa"),"")</f>
      </c>
      <c r="DQ108" s="496" t="str">
        <f> IF(DQ128&lt;&gt;"",TEXT(AUX!DU$1,"dd-MMM-aa"),"")</f>
      </c>
      <c r="DR108" s="496" t="str">
        <f> IF(DR128&lt;&gt;"",TEXT(AUX!DV$1,"dd-MMM-aa"),"")</f>
      </c>
      <c r="DS108" s="496" t="str">
        <f> IF(DS128&lt;&gt;"",TEXT(AUX!DW$1,"dd-MMM-aa"),"")</f>
      </c>
      <c r="DT108" s="496" t="str">
        <f> IF(DT128&lt;&gt;"",TEXT(AUX!DX$1,"dd-MMM-aa"),"")</f>
      </c>
      <c r="DU108" s="496" t="str">
        <f> IF(DU128&lt;&gt;"",TEXT(AUX!DY$1,"dd-MMM-aa"),"")</f>
      </c>
      <c r="DV108" s="496" t="str">
        <f> IF(DV128&lt;&gt;"",TEXT(AUX!DZ$1,"dd-MMM-aa"),"")</f>
      </c>
      <c r="DW108" s="496" t="str">
        <f> IF(DW128&lt;&gt;"",TEXT(AUX!EA$1,"dd-MMM-aa"),"")</f>
      </c>
      <c r="DX108" s="496" t="str">
        <f> IF(DX128&lt;&gt;"",TEXT(AUX!EB$1,"dd-MMM-aa"),"")</f>
      </c>
      <c r="DY108" s="496" t="str">
        <f> IF(DY128&lt;&gt;"",TEXT(AUX!EC$1,"dd-MMM-aa"),"")</f>
      </c>
      <c r="DZ108" s="496" t="str">
        <f> IF(DZ128&lt;&gt;"",TEXT(AUX!ED$1,"dd-MMM-aa"),"")</f>
      </c>
      <c r="EA108" s="496" t="str">
        <f> IF(EA128&lt;&gt;"",TEXT(AUX!EE$1,"dd-MMM-aa"),"")</f>
      </c>
      <c r="EB108" s="496" t="str">
        <f> IF(EB128&lt;&gt;"",TEXT(AUX!EF$1,"dd-MMM-aa"),"")</f>
      </c>
      <c r="EC108" s="496" t="str">
        <f> IF(EC128&lt;&gt;"",TEXT(AUX!EG$1,"dd-MMM-aa"),"")</f>
      </c>
      <c r="ED108" s="496" t="str">
        <f> IF(ED128&lt;&gt;"",TEXT(AUX!EH$1,"dd-MMM-aa"),"")</f>
      </c>
      <c r="EE108" s="496" t="str">
        <f> IF(EE128&lt;&gt;"",TEXT(AUX!EI$1,"dd-MMM-aa"),"")</f>
      </c>
      <c r="EF108" s="496" t="str">
        <f> IF(EF128&lt;&gt;"",TEXT(AUX!EJ$1,"dd-MMM-aa"),"")</f>
      </c>
      <c r="EG108" s="496" t="str">
        <f> IF(EG128&lt;&gt;"",TEXT(AUX!EK$1,"dd-MMM-aa"),"")</f>
      </c>
      <c r="EH108" s="496" t="str">
        <f> IF(EH128&lt;&gt;"",TEXT(AUX!EL$1,"dd-MMM-aa"),"")</f>
      </c>
      <c r="EI108" s="496" t="str">
        <f> IF(EI128&lt;&gt;"",TEXT(AUX!EM$1,"dd-MMM-aa"),"")</f>
      </c>
      <c r="EJ108" s="496" t="str">
        <f> IF(EJ128&lt;&gt;"",TEXT(AUX!EN$1,"dd-MMM-aa"),"")</f>
      </c>
      <c r="EK108" s="496" t="str">
        <f> IF(EK128&lt;&gt;"",TEXT(AUX!EO$1,"dd-MMM-aa"),"")</f>
      </c>
      <c r="EL108" s="496" t="str">
        <f> IF(EL128&lt;&gt;"",TEXT(AUX!EP$1,"dd-MMM-aa"),"")</f>
      </c>
      <c r="EM108" s="496" t="str">
        <f> IF(EM128&lt;&gt;"",TEXT(AUX!EQ$1,"dd-MMM-aa"),"")</f>
      </c>
      <c r="EN108" s="496" t="str">
        <f> IF(EN128&lt;&gt;"",TEXT(AUX!ER$1,"dd-MMM-aa"),"")</f>
      </c>
      <c r="EO108" s="496" t="str">
        <f> IF(EO128&lt;&gt;"",TEXT(AUX!ES$1,"dd-MMM-aa"),"")</f>
      </c>
      <c r="EP108" s="496" t="str">
        <f> IF(EP128&lt;&gt;"",TEXT(AUX!ET$1,"dd-MMM-aa"),"")</f>
      </c>
      <c r="EQ108" s="496" t="str">
        <f> IF(EQ128&lt;&gt;"",TEXT(AUX!EU$1,"dd-MMM-aa"),"")</f>
      </c>
      <c r="ER108" s="496" t="str">
        <f> IF(ER128&lt;&gt;"",TEXT(AUX!EV$1,"dd-MMM-aa"),"")</f>
      </c>
      <c r="ES108" s="496" t="str">
        <f> IF(ES128&lt;&gt;"",TEXT(AUX!EW$1,"dd-MMM-aa"),"")</f>
      </c>
      <c r="ET108" s="496" t="str">
        <f> IF(ET128&lt;&gt;"",TEXT(AUX!EX$1,"dd-MMM-aa"),"")</f>
      </c>
      <c r="EU108" s="496" t="str">
        <f> IF(EU128&lt;&gt;"",TEXT(AUX!EY$1,"dd-MMM-aa"),"")</f>
      </c>
      <c r="EV108" s="496" t="str">
        <f> IF(EV128&lt;&gt;"",TEXT(AUX!EZ$1,"dd-MMM-aa"),"")</f>
      </c>
      <c r="EW108" s="496" t="str">
        <f> IF(EW128&lt;&gt;"",TEXT(AUX!FA$1,"dd-MMM-aa"),"")</f>
      </c>
      <c r="EX108" s="496" t="str">
        <f> IF(EX128&lt;&gt;"",TEXT(AUX!FB$1,"dd-MMM-aa"),"")</f>
      </c>
      <c r="EY108" s="496" t="str">
        <f> IF(EY128&lt;&gt;"",TEXT(AUX!FC$1,"dd-MMM-aa"),"")</f>
      </c>
      <c r="EZ108" s="496" t="str">
        <f> IF(EZ128&lt;&gt;"",TEXT(AUX!FD$1,"dd-MMM-aa"),"")</f>
      </c>
      <c r="FA108" s="496" t="str">
        <f> IF(FA128&lt;&gt;"",TEXT(AUX!FE$1,"dd-MMM-aa"),"")</f>
      </c>
      <c r="FB108" s="496" t="str">
        <f> IF(FB128&lt;&gt;"",TEXT(AUX!FF$1,"dd-MMM-aa"),"")</f>
      </c>
      <c r="FC108" s="496" t="str">
        <f> IF(FC128&lt;&gt;"",TEXT(AUX!FG$1,"dd-MMM-aa"),"")</f>
      </c>
      <c r="FD108" s="496" t="str">
        <f> IF(FD128&lt;&gt;"",TEXT(AUX!FH$1,"dd-MMM-aa"),"")</f>
      </c>
      <c r="FE108" s="496" t="str">
        <f> IF(FE128&lt;&gt;"",TEXT(AUX!FI$1,"dd-MMM-aa"),"")</f>
      </c>
      <c r="FF108" s="496" t="str">
        <f> IF(FF128&lt;&gt;"",TEXT(AUX!FJ$1,"dd-MMM-aa"),"")</f>
      </c>
      <c r="FG108" s="496" t="str">
        <f> IF(FG128&lt;&gt;"",TEXT(AUX!FK$1,"dd-MMM-aa"),"")</f>
      </c>
      <c r="FH108" s="496" t="str">
        <f> IF(FH128&lt;&gt;"",TEXT(AUX!FL$1,"dd-MMM-aa"),"")</f>
      </c>
      <c r="FI108" s="496" t="str">
        <f> IF(FI128&lt;&gt;"",TEXT(AUX!FM$1,"dd-MMM-aa"),"")</f>
      </c>
      <c r="FJ108" s="496" t="str">
        <f> IF(FJ128&lt;&gt;"",TEXT(AUX!FN$1,"dd-MMM-aa"),"")</f>
      </c>
      <c r="FK108" s="496" t="str">
        <f> IF(FK128&lt;&gt;"",TEXT(AUX!FO$1,"dd-MMM-aa"),"")</f>
      </c>
      <c r="FL108" s="496" t="str">
        <f> IF(FL128&lt;&gt;"",TEXT(AUX!FP$1,"dd-MMM-aa"),"")</f>
      </c>
      <c r="FM108" s="496" t="str">
        <f> IF(FM128&lt;&gt;"",TEXT(AUX!FQ$1,"dd-MMM-aa"),"")</f>
      </c>
      <c r="FN108" s="496" t="str">
        <f> IF(FN128&lt;&gt;"",TEXT(AUX!FR$1,"dd-MMM-aa"),"")</f>
      </c>
      <c r="FO108" s="496" t="str">
        <f> IF(FO128&lt;&gt;"",TEXT(AUX!FS$1,"dd-MMM-aa"),"")</f>
      </c>
      <c r="FP108" s="496" t="str">
        <f> IF(FP128&lt;&gt;"",TEXT(AUX!FT$1,"dd-MMM-aa"),"")</f>
      </c>
      <c r="FQ108" s="496" t="str">
        <f> IF(FQ128&lt;&gt;"",TEXT(AUX!FU$1,"dd-MMM-aa"),"")</f>
      </c>
      <c r="FR108" s="496" t="str">
        <f> IF(FR128&lt;&gt;"",TEXT(AUX!FV$1,"dd-MMM-aa"),"")</f>
      </c>
      <c r="FS108" s="496" t="str">
        <f> IF(FS128&lt;&gt;"",TEXT(AUX!FW$1,"dd-MMM-aa"),"")</f>
      </c>
      <c r="FT108" s="496" t="str">
        <f> IF(FT128&lt;&gt;"",TEXT(AUX!FX$1,"dd-MMM-aa"),"")</f>
      </c>
      <c r="FU108" s="496" t="str">
        <f> IF(FU128&lt;&gt;"",TEXT(AUX!FY$1,"dd-MMM-aa"),"")</f>
      </c>
      <c r="FV108" s="496" t="str">
        <f> IF(FV128&lt;&gt;"",TEXT(AUX!FZ$1,"dd-MMM-aa"),"")</f>
      </c>
      <c r="FW108" s="496" t="str">
        <f> IF(FW128&lt;&gt;"",TEXT(AUX!GA$1,"dd-MMM-aa"),"")</f>
      </c>
      <c r="FX108" s="496" t="str">
        <f> IF(FX128&lt;&gt;"",TEXT(AUX!GB$1,"dd-MMM-aa"),"")</f>
      </c>
      <c r="FY108" s="496" t="str">
        <f> IF(FY128&lt;&gt;"",TEXT(AUX!GC$1,"dd-MMM-aa"),"")</f>
      </c>
      <c r="FZ108" s="496" t="str">
        <f> IF(FZ128&lt;&gt;"",TEXT(AUX!GD$1,"dd-MMM-aa"),"")</f>
      </c>
      <c r="GA108" s="496" t="str">
        <f> IF(GA128&lt;&gt;"",TEXT(AUX!GE$1,"dd-MMM-aa"),"")</f>
      </c>
      <c r="GB108" s="496" t="str">
        <f> IF(GB128&lt;&gt;"",TEXT(AUX!GF$1,"dd-MMM-aa"),"")</f>
      </c>
      <c r="GC108" s="496" t="str">
        <f> IF(GC128&lt;&gt;"",TEXT(AUX!GG$1,"dd-MMM-aa"),"")</f>
      </c>
      <c r="GD108" s="496" t="str">
        <f> IF(GD128&lt;&gt;"",TEXT(AUX!GH$1,"dd-MMM-aa"),"")</f>
      </c>
      <c r="GE108" s="496" t="str">
        <f> IF(GE128&lt;&gt;"",TEXT(AUX!GI$1,"dd-MMM-aa"),"")</f>
      </c>
      <c r="GF108" s="496" t="str">
        <f> IF(GF128&lt;&gt;"",TEXT(AUX!GJ$1,"dd-MMM-aa"),"")</f>
      </c>
      <c r="GG108" s="496" t="str">
        <f> IF(GG128&lt;&gt;"",TEXT(AUX!GK$1,"dd-MMM-aa"),"")</f>
      </c>
      <c r="GH108" s="496" t="str">
        <f> IF(GH128&lt;&gt;"",TEXT(AUX!GL$1,"dd-MMM-aa"),"")</f>
      </c>
      <c r="GI108" s="496" t="str">
        <f> IF(GI128&lt;&gt;"",TEXT(AUX!GM$1,"dd-MMM-aa"),"")</f>
      </c>
      <c r="GJ108" s="496" t="str">
        <f> IF(GJ128&lt;&gt;"",TEXT(AUX!GN$1,"dd-MMM-aa"),"")</f>
      </c>
      <c r="GK108" s="496" t="str">
        <f> IF(GK128&lt;&gt;"",TEXT(AUX!GO$1,"dd-MMM-aa"),"")</f>
      </c>
      <c r="GL108" s="496" t="str">
        <f> IF(GL128&lt;&gt;"",TEXT(AUX!GP$1,"dd-MMM-aa"),"")</f>
      </c>
      <c r="GM108" s="496" t="str">
        <f> IF(GM128&lt;&gt;"",TEXT(AUX!GQ$1,"dd-MMM-aa"),"")</f>
      </c>
      <c r="GN108" s="496" t="str">
        <f> IF(GN128&lt;&gt;"",TEXT(AUX!GR$1,"dd-MMM-aa"),"")</f>
      </c>
      <c r="GO108" s="496" t="str">
        <f> IF(GO128&lt;&gt;"",TEXT(AUX!GS$1,"dd-MMM-aa"),"")</f>
      </c>
      <c r="GP108" s="496" t="str">
        <f> IF(GP128&lt;&gt;"",TEXT(AUX!GT$1,"dd-MMM-aa"),"")</f>
      </c>
      <c r="GQ108" s="496" t="str">
        <f> IF(GQ128&lt;&gt;"",TEXT(AUX!GU$1,"dd-MMM-aa"),"")</f>
      </c>
      <c r="GR108" s="496" t="str">
        <f> IF(GR128&lt;&gt;"",TEXT(AUX!GV$1,"dd-MMM-aa"),"")</f>
      </c>
      <c r="GS108" s="496" t="str">
        <f> IF(GS128&lt;&gt;"",TEXT(AUX!GW$1,"dd-MMM-aa"),"")</f>
      </c>
      <c r="GT108" s="496" t="str">
        <f> IF(GT128&lt;&gt;"",TEXT(AUX!GX$1,"dd-MMM-aa"),"")</f>
      </c>
      <c r="GU108" s="496" t="str">
        <f> IF(GU128&lt;&gt;"",TEXT(AUX!GY$1,"dd-MMM-aa"),"")</f>
      </c>
      <c r="GV108" s="496" t="str">
        <f> IF(GV128&lt;&gt;"",TEXT(AUX!GZ$1,"dd-MMM-aa"),"")</f>
      </c>
      <c r="GW108" s="496" t="str">
        <f> IF(GW128&lt;&gt;"",TEXT(AUX!HA$1,"dd-MMM-aa"),"")</f>
      </c>
      <c r="GX108" s="496" t="str">
        <f> IF(GX128&lt;&gt;"",TEXT(AUX!HB$1,"dd-MMM-aa"),"")</f>
      </c>
      <c r="GY108" s="496" t="str">
        <f> IF(GY128&lt;&gt;"",TEXT(AUX!HC$1,"dd-MMM-aa"),"")</f>
      </c>
      <c r="GZ108" s="496" t="str">
        <f> IF(GZ128&lt;&gt;"",TEXT(AUX!HD$1,"dd-MMM-aa"),"")</f>
      </c>
      <c r="HA108" s="496" t="str">
        <f> IF(HA128&lt;&gt;"",TEXT(AUX!HE$1,"dd-MMM-aa"),"")</f>
      </c>
      <c r="HB108" s="496" t="str">
        <f> IF(HB128&lt;&gt;"",TEXT(AUX!HF$1,"dd-MMM-aa"),"")</f>
      </c>
      <c r="HC108" s="496" t="str">
        <f> IF(HC128&lt;&gt;"",TEXT(AUX!HG$1,"dd-MMM-aa"),"")</f>
      </c>
      <c r="HD108" s="496" t="str">
        <f> IF(HD128&lt;&gt;"",TEXT(AUX!HH$1,"dd-MMM-aa"),"")</f>
      </c>
      <c r="HE108" s="496" t="str">
        <f> IF(HE128&lt;&gt;"",TEXT(AUX!HI$1,"dd-MMM-aa"),"")</f>
      </c>
      <c r="HF108" s="496" t="str">
        <f> IF(HF128&lt;&gt;"",TEXT(AUX!HJ$1,"dd-MMM-aa"),"")</f>
      </c>
      <c r="HG108" s="496" t="str">
        <f> IF(HG128&lt;&gt;"",TEXT(AUX!HK$1,"dd-MMM-aa"),"")</f>
      </c>
      <c r="HH108" s="496" t="str">
        <f> IF(HH128&lt;&gt;"",TEXT(AUX!HL$1,"dd-MMM-aa"),"")</f>
      </c>
      <c r="HI108" s="496" t="str">
        <f> IF(HI128&lt;&gt;"",TEXT(AUX!HM$1,"dd-MMM-aa"),"")</f>
      </c>
      <c r="HJ108" s="496" t="str">
        <f> IF(HJ128&lt;&gt;"",TEXT(AUX!HN$1,"dd-MMM-aa"),"")</f>
      </c>
      <c r="HK108" s="496" t="str">
        <f> IF(HK128&lt;&gt;"",TEXT(AUX!HO$1,"dd-MMM-aa"),"")</f>
      </c>
      <c r="HL108" s="496" t="str">
        <f> IF(HL128&lt;&gt;"",TEXT(AUX!HP$1,"dd-MMM-aa"),"")</f>
      </c>
      <c r="HM108" s="496" t="str">
        <f> IF(HM128&lt;&gt;"",TEXT(AUX!HQ$1,"dd-MMM-aa"),"")</f>
      </c>
      <c r="HN108" s="496" t="str">
        <f> IF(HN128&lt;&gt;"",TEXT(AUX!HR$1,"dd-MMM-aa"),"")</f>
      </c>
      <c r="HO108" s="496" t="str">
        <f> IF(HO128&lt;&gt;"",TEXT(AUX!HS$1,"dd-MMM-aa"),"")</f>
      </c>
      <c r="HP108" s="496" t="str">
        <f> IF(HP128&lt;&gt;"",TEXT(AUX!HT$1,"dd-MMM-aa"),"")</f>
      </c>
      <c r="HQ108" s="496" t="str">
        <f> IF(HQ128&lt;&gt;"",TEXT(AUX!HU$1,"dd-MMM-aa"),"")</f>
      </c>
      <c r="HR108" s="496" t="str">
        <f> IF(HR128&lt;&gt;"",TEXT(AUX!HV$1,"dd-MMM-aa"),"")</f>
      </c>
      <c r="HS108" s="496" t="str">
        <f> IF(HS128&lt;&gt;"",TEXT(AUX!HW$1,"dd-MMM-aa"),"")</f>
      </c>
      <c r="HT108" s="496" t="str">
        <f> IF(HT128&lt;&gt;"",TEXT(AUX!HX$1,"dd-MMM-aa"),"")</f>
      </c>
      <c r="HU108" s="496" t="str">
        <f> IF(HU128&lt;&gt;"",TEXT(AUX!HY$1,"dd-MMM-aa"),"")</f>
      </c>
      <c r="HV108" s="496" t="str">
        <f> IF(HV128&lt;&gt;"",TEXT(AUX!HZ$1,"dd-MMM-aa"),"")</f>
      </c>
      <c r="HW108" s="496" t="str">
        <f> IF(HW128&lt;&gt;"",TEXT(AUX!IA$1,"dd-MMM-aa"),"")</f>
      </c>
      <c r="HX108" s="496" t="str">
        <f> IF(HX128&lt;&gt;"",TEXT(AUX!IB$1,"dd-MMM-aa"),"")</f>
      </c>
      <c r="HY108" s="496" t="str">
        <f> IF(HY128&lt;&gt;"",TEXT(AUX!IC$1,"dd-MMM-aa"),"")</f>
      </c>
      <c r="HZ108" s="496" t="str">
        <f> IF(HZ128&lt;&gt;"",TEXT(AUX!ID$1,"dd-MMM-aa"),"")</f>
      </c>
      <c r="IA108" s="496" t="str">
        <f> IF(IA128&lt;&gt;"",TEXT(AUX!IE$1,"dd-MMM-aa"),"")</f>
      </c>
      <c r="IB108" s="496" t="str">
        <f> IF(IB128&lt;&gt;"",TEXT(AUX!IF$1,"dd-MMM-aa"),"")</f>
      </c>
      <c r="IC108" s="496" t="str">
        <f> IF(IC128&lt;&gt;"",TEXT(AUX!IG$1,"dd-MMM-aa"),"")</f>
      </c>
      <c r="ID108" s="496" t="str">
        <f> IF(ID128&lt;&gt;"",TEXT(AUX!IH$1,"dd-MMM-aa"),"")</f>
      </c>
      <c r="IE108" s="496" t="str">
        <f> IF(IE128&lt;&gt;"",TEXT(AUX!II$1,"dd-MMM-aa"),"")</f>
      </c>
      <c r="IF108" s="496" t="str">
        <f> IF(IF128&lt;&gt;"",TEXT(AUX!IJ$1,"dd-MMM-aa"),"")</f>
      </c>
      <c r="IG108" s="496" t="str">
        <f> IF(IG128&lt;&gt;"",TEXT(AUX!IK$1,"dd-MMM-aa"),"")</f>
      </c>
      <c r="IH108" s="496" t="str">
        <f> IF(IH128&lt;&gt;"",TEXT(AUX!IL$1,"dd-MMM-aa"),"")</f>
      </c>
      <c r="II108" s="496" t="str">
        <f> IF(II128&lt;&gt;"",TEXT(AUX!IM$1,"dd-MMM-aa"),"")</f>
      </c>
      <c r="IJ108" s="496" t="str">
        <f> IF(IJ128&lt;&gt;"",TEXT(AUX!IN$1,"dd-MMM-aa"),"")</f>
      </c>
      <c r="IK108" s="496" t="str">
        <f> IF(IK128&lt;&gt;"",TEXT(AUX!IO$1,"dd-MMM-aa"),"")</f>
      </c>
      <c r="IL108" s="496" t="str">
        <f> IF(IL128&lt;&gt;"",TEXT(AUX!IP$1,"dd-MMM-aa"),"")</f>
      </c>
      <c r="IM108" s="496" t="str">
        <f> IF(IM128&lt;&gt;"",TEXT(AUX!IQ$1,"dd-MMM-aa"),"")</f>
      </c>
      <c r="IN108" s="496" t="str">
        <f> IF(IN128&lt;&gt;"",TEXT(AUX!IR$1,"dd-MMM-aa"),"")</f>
      </c>
      <c r="IO108" s="496" t="str">
        <f> IF(IO128&lt;&gt;"",TEXT(AUX!IS$1,"dd-MMM-aa"),"")</f>
      </c>
      <c r="IP108" s="496" t="str">
        <f> IF(IP128&lt;&gt;"",TEXT(AUX!IT$1,"dd-MMM-aa"),"")</f>
      </c>
      <c r="IQ108" s="496" t="str">
        <f> IF(IQ128&lt;&gt;"",TEXT(AUX!IU$1,"dd-MMM-aa"),"")</f>
      </c>
      <c r="IR108" s="496" t="str">
        <f> IF(IR128&lt;&gt;"",TEXT(AUX!IV$1,"dd-MMM-aa"),"")</f>
      </c>
      <c r="IS108" s="496" t="str">
        <f> IF(IS128&lt;&gt;"",TEXT(AUX!#REF!,"dd-MMM-aa"),"")</f>
      </c>
      <c r="IT108" s="496" t="str">
        <f> IF(IT128&lt;&gt;"",TEXT(AUX!#REF!,"dd-MMM-aa"),"")</f>
      </c>
      <c r="IU108" s="496" t="str">
        <f> IF(IU128&lt;&gt;"",TEXT(AUX!#REF!,"dd-MMM-aa"),"")</f>
      </c>
      <c r="IV108" s="496" t="str">
        <f> IF(IV128&lt;&gt;"",TEXT(AUX!#REF!,"dd-MMM-aa"),"")</f>
      </c>
    </row>
    <row r="109" hidden="1" ht="12.75" customHeight="1">
      <c r="B109" s="833" t="s">
        <v>8</v>
      </c>
      <c r="C109" s="827">
        <v>1731638</v>
      </c>
      <c r="D109" s="827">
        <v>1894111</v>
      </c>
      <c r="E109" s="827">
        <v>1681364</v>
      </c>
      <c r="F109" s="827">
        <v>1817356</v>
      </c>
      <c r="G109" s="827">
        <v>1485363</v>
      </c>
      <c r="H109" s="827">
        <v>1450570</v>
      </c>
      <c r="I109" s="827">
        <v>1622851</v>
      </c>
      <c r="J109" s="827">
        <v>1623544</v>
      </c>
      <c r="K109" s="827">
        <v>1732838</v>
      </c>
      <c r="L109" s="827">
        <v>1584771</v>
      </c>
      <c r="M109" s="827">
        <v>1434843</v>
      </c>
      <c r="N109" s="827">
        <v>1986916</v>
      </c>
      <c r="O109" s="827">
        <v>2349969</v>
      </c>
      <c r="P109" s="827">
        <v>2535438</v>
      </c>
      <c r="Q109" s="827">
        <v>2779738</v>
      </c>
      <c r="R109" s="827">
        <v>2522580</v>
      </c>
      <c r="S109" s="827">
        <v>2995651</v>
      </c>
      <c r="T109" s="827">
        <v>2814590</v>
      </c>
      <c r="U109" s="827">
        <v>3069000</v>
      </c>
      <c r="V109" s="827">
        <v>3231648</v>
      </c>
      <c r="W109" s="827">
        <v>3563047</v>
      </c>
      <c r="X109" s="827">
        <v>3577393</v>
      </c>
      <c r="Y109" s="827">
        <v>3082484</v>
      </c>
      <c r="Z109" s="827">
        <v>3016359</v>
      </c>
      <c r="AA109" s="827">
        <v>2954681</v>
      </c>
      <c r="AB109" s="834">
        <v>2863411</v>
      </c>
      <c r="AC109" s="828">
        <v>2901347</v>
      </c>
      <c r="AD109" s="828">
        <v>3078242</v>
      </c>
      <c r="AE109" s="828">
        <v>3129346</v>
      </c>
      <c r="AF109" s="828">
        <v>3200437</v>
      </c>
      <c r="AG109" s="828">
        <v>3432277</v>
      </c>
      <c r="AH109" s="828">
        <v>3439973</v>
      </c>
      <c r="AI109" s="828">
        <v>2469011</v>
      </c>
      <c r="AJ109" s="828">
        <v>3327523</v>
      </c>
      <c r="AK109" s="828">
        <v>0</v>
      </c>
      <c r="AL109" s="828">
        <v>0</v>
      </c>
      <c r="AM109" s="828">
        <v>0</v>
      </c>
      <c r="AN109" s="828">
        <v>0</v>
      </c>
      <c r="AO109" s="828">
        <v>2844006</v>
      </c>
      <c r="AP109" s="828">
        <v>2469846</v>
      </c>
    </row>
    <row r="110" hidden="1" ht="12.75" customHeight="1">
      <c r="B110" s="829" t="s">
        <v>9</v>
      </c>
      <c r="C110" s="823">
        <v>50000</v>
      </c>
      <c r="D110" s="823">
        <v>58000</v>
      </c>
      <c r="E110" s="823">
        <v>58000</v>
      </c>
      <c r="F110" s="823">
        <v>58000</v>
      </c>
      <c r="G110" s="823">
        <v>58000</v>
      </c>
      <c r="H110" s="823">
        <v>58000</v>
      </c>
      <c r="I110" s="823">
        <v>58000</v>
      </c>
      <c r="J110" s="823">
        <v>58000</v>
      </c>
      <c r="K110" s="823">
        <v>46000</v>
      </c>
      <c r="L110" s="823">
        <v>58000</v>
      </c>
      <c r="M110" s="823">
        <v>58000</v>
      </c>
      <c r="N110" s="823">
        <v>58000</v>
      </c>
      <c r="O110" s="823">
        <v>58000</v>
      </c>
      <c r="P110" s="823">
        <v>131434</v>
      </c>
      <c r="Q110" s="823">
        <v>154374</v>
      </c>
      <c r="R110" s="823">
        <v>154974</v>
      </c>
      <c r="S110" s="823">
        <v>156429</v>
      </c>
      <c r="T110" s="823">
        <v>162853</v>
      </c>
      <c r="U110" s="823">
        <v>118831</v>
      </c>
      <c r="V110" s="823">
        <v>97315</v>
      </c>
      <c r="W110" s="823">
        <v>97315</v>
      </c>
      <c r="X110" s="823">
        <v>143117</v>
      </c>
      <c r="Y110" s="823">
        <v>127535</v>
      </c>
      <c r="Z110" s="823">
        <v>97317</v>
      </c>
      <c r="AA110" s="823">
        <v>421873</v>
      </c>
      <c r="AB110" s="823">
        <v>451716</v>
      </c>
      <c r="AC110" s="825">
        <v>630509</v>
      </c>
      <c r="AD110" s="825">
        <v>593880</v>
      </c>
      <c r="AE110" s="825">
        <v>605245</v>
      </c>
      <c r="AF110" s="825">
        <v>628745</v>
      </c>
      <c r="AG110" s="825">
        <v>692303</v>
      </c>
      <c r="AH110" s="825">
        <v>654725</v>
      </c>
      <c r="AI110" s="825">
        <v>560017</v>
      </c>
      <c r="AJ110" s="825">
        <v>578245</v>
      </c>
      <c r="AK110" s="825">
        <v>582201</v>
      </c>
      <c r="AL110" s="825">
        <v>585901</v>
      </c>
      <c r="AM110" s="825">
        <v>549777</v>
      </c>
      <c r="AN110" s="825">
        <v>522704</v>
      </c>
      <c r="AO110" s="825">
        <v>521147</v>
      </c>
      <c r="AP110" s="825">
        <v>521147</v>
      </c>
    </row>
    <row r="111" hidden="1" ht="12.75" customHeight="1">
      <c r="B111" s="826" t="s">
        <v>10</v>
      </c>
      <c r="C111" s="827">
        <v>0</v>
      </c>
      <c r="D111" s="827">
        <v>0</v>
      </c>
      <c r="E111" s="827">
        <v>0</v>
      </c>
      <c r="F111" s="827">
        <v>0</v>
      </c>
      <c r="G111" s="827">
        <v>0</v>
      </c>
      <c r="H111" s="827">
        <v>0</v>
      </c>
      <c r="I111" s="827">
        <v>0</v>
      </c>
      <c r="J111" s="827">
        <v>0</v>
      </c>
      <c r="K111" s="827">
        <v>0</v>
      </c>
      <c r="L111" s="827">
        <v>0</v>
      </c>
      <c r="M111" s="827">
        <v>0</v>
      </c>
      <c r="N111" s="827">
        <v>0</v>
      </c>
      <c r="O111" s="827">
        <v>0</v>
      </c>
      <c r="P111" s="827">
        <v>0</v>
      </c>
      <c r="Q111" s="827">
        <v>0</v>
      </c>
      <c r="R111" s="827">
        <v>0</v>
      </c>
      <c r="S111" s="827">
        <v>0</v>
      </c>
      <c r="T111" s="827">
        <v>0</v>
      </c>
      <c r="U111" s="827">
        <v>0</v>
      </c>
      <c r="V111" s="827">
        <v>0</v>
      </c>
      <c r="W111" s="827">
        <v>0</v>
      </c>
      <c r="X111" s="827">
        <v>0</v>
      </c>
      <c r="Y111" s="827">
        <v>0</v>
      </c>
      <c r="Z111" s="827">
        <v>0</v>
      </c>
      <c r="AA111" s="827">
        <v>0</v>
      </c>
      <c r="AB111" s="827">
        <v>0</v>
      </c>
      <c r="AC111" s="828">
        <v>0</v>
      </c>
      <c r="AD111" s="828">
        <v>0</v>
      </c>
      <c r="AE111" s="828">
        <v>0</v>
      </c>
      <c r="AF111" s="828">
        <v>0</v>
      </c>
      <c r="AG111" s="828">
        <v>0</v>
      </c>
      <c r="AH111" s="828">
        <v>0</v>
      </c>
      <c r="AI111" s="828">
        <v>0</v>
      </c>
      <c r="AJ111" s="828">
        <v>0</v>
      </c>
      <c r="AK111" s="828">
        <v>0</v>
      </c>
      <c r="AL111" s="828">
        <v>0</v>
      </c>
      <c r="AM111" s="828">
        <v>0</v>
      </c>
      <c r="AN111" s="828">
        <v>0</v>
      </c>
      <c r="AO111" s="828">
        <v>0</v>
      </c>
      <c r="AP111" s="828">
        <v>0</v>
      </c>
    </row>
    <row r="112" hidden="1" ht="12.75" customHeight="1">
      <c r="B112" s="829" t="s">
        <v>11</v>
      </c>
      <c r="C112" s="823">
        <v>4199</v>
      </c>
      <c r="D112" s="823">
        <v>5052</v>
      </c>
      <c r="E112" s="823">
        <v>4272</v>
      </c>
      <c r="F112" s="823">
        <v>4284</v>
      </c>
      <c r="G112" s="823">
        <v>4012</v>
      </c>
      <c r="H112" s="823">
        <v>3905</v>
      </c>
      <c r="I112" s="823">
        <v>3562</v>
      </c>
      <c r="J112" s="823">
        <v>3555</v>
      </c>
      <c r="K112" s="823">
        <v>3404</v>
      </c>
      <c r="L112" s="823">
        <v>3361</v>
      </c>
      <c r="M112" s="823">
        <v>1462</v>
      </c>
      <c r="N112" s="823">
        <v>1447</v>
      </c>
      <c r="O112" s="823">
        <v>1331</v>
      </c>
      <c r="P112" s="823">
        <v>1328</v>
      </c>
      <c r="Q112" s="823">
        <v>1379</v>
      </c>
      <c r="R112" s="823">
        <v>1382</v>
      </c>
      <c r="S112" s="823">
        <v>3686</v>
      </c>
      <c r="T112" s="823">
        <v>3688</v>
      </c>
      <c r="U112" s="823">
        <v>3694</v>
      </c>
      <c r="V112" s="823">
        <v>3702</v>
      </c>
      <c r="W112" s="823">
        <v>3657</v>
      </c>
      <c r="X112" s="823">
        <v>3655</v>
      </c>
      <c r="Y112" s="823">
        <v>3595</v>
      </c>
      <c r="Z112" s="823">
        <v>3589</v>
      </c>
      <c r="AA112" s="823">
        <v>3125</v>
      </c>
      <c r="AB112" s="823">
        <v>3122</v>
      </c>
      <c r="AC112" s="825">
        <v>2264</v>
      </c>
      <c r="AD112" s="825">
        <v>1958</v>
      </c>
      <c r="AE112" s="825">
        <v>1875</v>
      </c>
      <c r="AF112" s="825">
        <v>1875</v>
      </c>
      <c r="AG112" s="825">
        <v>2644</v>
      </c>
      <c r="AH112" s="825">
        <v>2653</v>
      </c>
      <c r="AI112" s="825">
        <v>1856</v>
      </c>
      <c r="AJ112" s="825">
        <v>1852</v>
      </c>
      <c r="AK112" s="825">
        <v>1853</v>
      </c>
      <c r="AL112" s="825">
        <v>1653</v>
      </c>
      <c r="AM112" s="825">
        <v>1641</v>
      </c>
      <c r="AN112" s="825">
        <v>1612</v>
      </c>
      <c r="AO112" s="825">
        <v>0</v>
      </c>
      <c r="AP112" s="825">
        <v>31</v>
      </c>
    </row>
    <row r="113" hidden="1" ht="12.75" customHeight="1">
      <c r="B113" s="826" t="s">
        <v>12</v>
      </c>
      <c r="C113" s="827">
        <v>415</v>
      </c>
      <c r="D113" s="827">
        <v>492</v>
      </c>
      <c r="E113" s="827">
        <v>504</v>
      </c>
      <c r="F113" s="827">
        <v>563</v>
      </c>
      <c r="G113" s="827">
        <v>670</v>
      </c>
      <c r="H113" s="827">
        <v>670</v>
      </c>
      <c r="I113" s="827">
        <v>540</v>
      </c>
      <c r="J113" s="827">
        <v>261</v>
      </c>
      <c r="K113" s="827">
        <v>270</v>
      </c>
      <c r="L113" s="827">
        <v>266</v>
      </c>
      <c r="M113" s="827">
        <v>274</v>
      </c>
      <c r="N113" s="827">
        <v>280</v>
      </c>
      <c r="O113" s="827">
        <v>228</v>
      </c>
      <c r="P113" s="827">
        <v>228</v>
      </c>
      <c r="Q113" s="827">
        <v>239</v>
      </c>
      <c r="R113" s="827">
        <v>244</v>
      </c>
      <c r="S113" s="827">
        <v>248</v>
      </c>
      <c r="T113" s="827">
        <v>226</v>
      </c>
      <c r="U113" s="827">
        <v>218</v>
      </c>
      <c r="V113" s="827">
        <v>212</v>
      </c>
      <c r="W113" s="827">
        <v>194</v>
      </c>
      <c r="X113" s="827">
        <v>198</v>
      </c>
      <c r="Y113" s="827">
        <v>173</v>
      </c>
      <c r="Z113" s="827">
        <v>181</v>
      </c>
      <c r="AA113" s="827">
        <v>169</v>
      </c>
      <c r="AB113" s="827">
        <v>185</v>
      </c>
      <c r="AC113" s="828">
        <v>134</v>
      </c>
      <c r="AD113" s="828">
        <v>130</v>
      </c>
      <c r="AE113" s="828">
        <v>92</v>
      </c>
      <c r="AF113" s="828">
        <v>75</v>
      </c>
      <c r="AG113" s="828">
        <v>79</v>
      </c>
      <c r="AH113" s="828">
        <v>95</v>
      </c>
      <c r="AI113" s="828">
        <v>83</v>
      </c>
      <c r="AJ113" s="828">
        <v>98</v>
      </c>
      <c r="AK113" s="828">
        <v>93</v>
      </c>
      <c r="AL113" s="828">
        <v>107</v>
      </c>
      <c r="AM113" s="828">
        <v>111</v>
      </c>
      <c r="AN113" s="828">
        <v>124</v>
      </c>
      <c r="AO113" s="828">
        <v>46</v>
      </c>
      <c r="AP113" s="828">
        <v>46</v>
      </c>
    </row>
    <row r="114" hidden="1" ht="12.75" customHeight="1">
      <c r="B114" s="829" t="s">
        <v>13</v>
      </c>
      <c r="C114" s="823">
        <v>0</v>
      </c>
      <c r="D114" s="823">
        <v>350</v>
      </c>
      <c r="E114" s="823">
        <v>358</v>
      </c>
      <c r="F114" s="823">
        <v>358</v>
      </c>
      <c r="G114" s="823">
        <v>352</v>
      </c>
      <c r="H114" s="823">
        <v>352</v>
      </c>
      <c r="I114" s="823">
        <v>352</v>
      </c>
      <c r="J114" s="823">
        <v>352</v>
      </c>
      <c r="K114" s="823">
        <v>9</v>
      </c>
      <c r="L114" s="823">
        <v>9</v>
      </c>
      <c r="M114" s="823">
        <v>11</v>
      </c>
      <c r="N114" s="823">
        <v>5</v>
      </c>
      <c r="O114" s="823">
        <v>26</v>
      </c>
      <c r="P114" s="823">
        <v>26</v>
      </c>
      <c r="Q114" s="823">
        <v>11</v>
      </c>
      <c r="R114" s="823">
        <v>11</v>
      </c>
      <c r="S114" s="823">
        <v>6</v>
      </c>
      <c r="T114" s="823">
        <v>6</v>
      </c>
      <c r="U114" s="823">
        <v>14</v>
      </c>
      <c r="V114" s="823">
        <v>14</v>
      </c>
      <c r="W114" s="823">
        <v>9</v>
      </c>
      <c r="X114" s="823">
        <v>9</v>
      </c>
      <c r="Y114" s="823">
        <v>29</v>
      </c>
      <c r="Z114" s="823">
        <v>29</v>
      </c>
      <c r="AA114" s="823">
        <v>23</v>
      </c>
      <c r="AB114" s="823">
        <v>23</v>
      </c>
      <c r="AC114" s="825">
        <v>17</v>
      </c>
      <c r="AD114" s="825">
        <v>15</v>
      </c>
      <c r="AE114" s="825">
        <v>33</v>
      </c>
      <c r="AF114" s="825">
        <v>43</v>
      </c>
      <c r="AG114" s="825">
        <v>30</v>
      </c>
      <c r="AH114" s="825">
        <v>30</v>
      </c>
      <c r="AI114" s="825">
        <v>19</v>
      </c>
      <c r="AJ114" s="825">
        <v>25</v>
      </c>
      <c r="AK114" s="825">
        <v>27</v>
      </c>
      <c r="AL114" s="825">
        <v>17</v>
      </c>
      <c r="AM114" s="825">
        <v>0</v>
      </c>
      <c r="AN114" s="825">
        <v>0</v>
      </c>
      <c r="AO114" s="825">
        <v>0</v>
      </c>
      <c r="AP114" s="825">
        <v>0</v>
      </c>
    </row>
    <row r="115" hidden="1" ht="12.75" customHeight="1">
      <c r="B115" s="826" t="s">
        <v>109</v>
      </c>
      <c r="C115" s="827">
        <v>5000</v>
      </c>
      <c r="D115" s="827">
        <v>5000</v>
      </c>
      <c r="E115" s="827">
        <v>5000</v>
      </c>
      <c r="F115" s="827">
        <v>5000</v>
      </c>
      <c r="G115" s="827">
        <v>2000</v>
      </c>
      <c r="H115" s="827">
        <v>2000</v>
      </c>
      <c r="I115" s="827">
        <v>2500</v>
      </c>
      <c r="J115" s="827">
        <v>2501</v>
      </c>
      <c r="K115" s="827">
        <v>3500</v>
      </c>
      <c r="L115" s="827">
        <v>3500</v>
      </c>
      <c r="M115" s="827">
        <v>2450</v>
      </c>
      <c r="N115" s="827">
        <v>2450</v>
      </c>
      <c r="O115" s="827">
        <v>1350</v>
      </c>
      <c r="P115" s="827">
        <v>1350</v>
      </c>
      <c r="Q115" s="827">
        <v>1300</v>
      </c>
      <c r="R115" s="827">
        <v>1300</v>
      </c>
      <c r="S115" s="827">
        <v>719</v>
      </c>
      <c r="T115" s="827">
        <v>719</v>
      </c>
      <c r="U115" s="827">
        <v>19</v>
      </c>
      <c r="V115" s="827">
        <v>19</v>
      </c>
      <c r="W115" s="827">
        <v>13</v>
      </c>
      <c r="X115" s="827">
        <v>13</v>
      </c>
      <c r="Y115" s="827">
        <v>15</v>
      </c>
      <c r="Z115" s="827">
        <v>15</v>
      </c>
      <c r="AA115" s="827">
        <v>31</v>
      </c>
      <c r="AB115" s="827">
        <v>31</v>
      </c>
      <c r="AC115" s="828">
        <v>20579</v>
      </c>
      <c r="AD115" s="828">
        <v>20579</v>
      </c>
      <c r="AE115" s="828">
        <v>33</v>
      </c>
      <c r="AF115" s="828">
        <v>33</v>
      </c>
      <c r="AG115" s="828">
        <v>14995</v>
      </c>
      <c r="AH115" s="828">
        <v>14995</v>
      </c>
      <c r="AI115" s="828">
        <v>7103</v>
      </c>
      <c r="AJ115" s="828">
        <v>7103</v>
      </c>
      <c r="AK115" s="828">
        <v>127322</v>
      </c>
      <c r="AL115" s="828">
        <v>127322</v>
      </c>
      <c r="AM115" s="828">
        <v>109049</v>
      </c>
      <c r="AN115" s="828">
        <v>95049</v>
      </c>
      <c r="AO115" s="828">
        <v>109242</v>
      </c>
      <c r="AP115" s="828">
        <v>109242</v>
      </c>
    </row>
    <row r="116" hidden="1" ht="12.75" customHeight="1">
      <c r="B116" s="829" t="s">
        <v>110</v>
      </c>
      <c r="C116" s="823">
        <v>148</v>
      </c>
      <c r="D116" s="823">
        <v>172</v>
      </c>
      <c r="E116" s="823">
        <v>187</v>
      </c>
      <c r="F116" s="823">
        <v>196</v>
      </c>
      <c r="G116" s="823">
        <v>215</v>
      </c>
      <c r="H116" s="823">
        <v>212</v>
      </c>
      <c r="I116" s="823">
        <v>219</v>
      </c>
      <c r="J116" s="823">
        <v>224</v>
      </c>
      <c r="K116" s="823">
        <v>243</v>
      </c>
      <c r="L116" s="823">
        <v>255</v>
      </c>
      <c r="M116" s="823">
        <v>260</v>
      </c>
      <c r="N116" s="823">
        <v>238</v>
      </c>
      <c r="O116" s="823">
        <v>183</v>
      </c>
      <c r="P116" s="823">
        <v>194</v>
      </c>
      <c r="Q116" s="823">
        <v>197</v>
      </c>
      <c r="R116" s="823">
        <v>202</v>
      </c>
      <c r="S116" s="823">
        <v>205</v>
      </c>
      <c r="T116" s="823">
        <v>7643</v>
      </c>
      <c r="U116" s="823">
        <v>222</v>
      </c>
      <c r="V116" s="823">
        <v>9557</v>
      </c>
      <c r="W116" s="823">
        <v>17925</v>
      </c>
      <c r="X116" s="823">
        <v>17933</v>
      </c>
      <c r="Y116" s="823">
        <v>141762</v>
      </c>
      <c r="Z116" s="823">
        <v>99281</v>
      </c>
      <c r="AA116" s="823">
        <v>356132</v>
      </c>
      <c r="AB116" s="823">
        <v>364038</v>
      </c>
      <c r="AC116" s="825">
        <v>575006</v>
      </c>
      <c r="AD116" s="825">
        <v>589997</v>
      </c>
      <c r="AE116" s="825">
        <v>638004</v>
      </c>
      <c r="AF116" s="825">
        <v>656720</v>
      </c>
      <c r="AG116" s="825">
        <v>801204</v>
      </c>
      <c r="AH116" s="825">
        <v>847317</v>
      </c>
      <c r="AI116" s="825">
        <v>790319</v>
      </c>
      <c r="AJ116" s="825">
        <v>726676</v>
      </c>
      <c r="AK116" s="825">
        <v>597070</v>
      </c>
      <c r="AL116" s="825">
        <v>597056</v>
      </c>
      <c r="AM116" s="825">
        <v>39403</v>
      </c>
      <c r="AN116" s="825">
        <v>39393</v>
      </c>
      <c r="AO116" s="825">
        <v>36099</v>
      </c>
      <c r="AP116" s="825">
        <v>36096</v>
      </c>
    </row>
    <row r="117" hidden="1" ht="12.75" customHeight="1">
      <c r="B117" s="826" t="s">
        <v>16</v>
      </c>
      <c r="C117" s="827">
        <v>0</v>
      </c>
      <c r="D117" s="827">
        <v>0</v>
      </c>
      <c r="E117" s="827">
        <v>0</v>
      </c>
      <c r="F117" s="827">
        <v>0</v>
      </c>
      <c r="G117" s="827">
        <v>0</v>
      </c>
      <c r="H117" s="827">
        <v>0</v>
      </c>
      <c r="I117" s="827">
        <v>0</v>
      </c>
      <c r="J117" s="827">
        <v>0</v>
      </c>
      <c r="K117" s="827">
        <v>0</v>
      </c>
      <c r="L117" s="827">
        <v>0</v>
      </c>
      <c r="M117" s="827">
        <v>0</v>
      </c>
      <c r="N117" s="827">
        <v>0</v>
      </c>
      <c r="O117" s="827">
        <v>0</v>
      </c>
      <c r="P117" s="827">
        <v>0</v>
      </c>
      <c r="Q117" s="827">
        <v>0</v>
      </c>
      <c r="R117" s="827">
        <v>0</v>
      </c>
      <c r="S117" s="827">
        <v>0</v>
      </c>
      <c r="T117" s="827">
        <v>0</v>
      </c>
      <c r="U117" s="827">
        <v>0</v>
      </c>
      <c r="V117" s="827">
        <v>0</v>
      </c>
      <c r="W117" s="827">
        <v>0</v>
      </c>
      <c r="X117" s="827">
        <v>0</v>
      </c>
      <c r="Y117" s="827">
        <v>0</v>
      </c>
      <c r="Z117" s="827">
        <v>0</v>
      </c>
      <c r="AA117" s="827">
        <v>0</v>
      </c>
      <c r="AB117" s="827">
        <v>0</v>
      </c>
      <c r="AC117" s="828">
        <v>0</v>
      </c>
      <c r="AD117" s="828">
        <v>0</v>
      </c>
      <c r="AE117" s="828">
        <v>0</v>
      </c>
      <c r="AF117" s="828">
        <v>278167</v>
      </c>
      <c r="AG117" s="828">
        <v>1917475</v>
      </c>
      <c r="AH117" s="828">
        <v>1996401</v>
      </c>
      <c r="AI117" s="828">
        <v>2008400</v>
      </c>
      <c r="AJ117" s="828">
        <v>1933986</v>
      </c>
      <c r="AK117" s="828">
        <v>1987336</v>
      </c>
      <c r="AL117" s="828">
        <v>1964858</v>
      </c>
      <c r="AM117" s="828">
        <v>957184</v>
      </c>
      <c r="AN117" s="828">
        <v>920467</v>
      </c>
      <c r="AO117" s="828">
        <v>1951453</v>
      </c>
      <c r="AP117" s="828">
        <v>1904821</v>
      </c>
    </row>
    <row r="118" hidden="1" ht="12.75" customHeight="1">
      <c r="B118" s="829" t="s">
        <v>17</v>
      </c>
      <c r="C118" s="823">
        <v>3</v>
      </c>
      <c r="D118" s="823">
        <v>17</v>
      </c>
      <c r="E118" s="823">
        <v>2</v>
      </c>
      <c r="F118" s="823">
        <v>0</v>
      </c>
      <c r="G118" s="823">
        <v>25</v>
      </c>
      <c r="H118" s="823">
        <v>83</v>
      </c>
      <c r="I118" s="823">
        <v>25</v>
      </c>
      <c r="J118" s="823">
        <v>29</v>
      </c>
      <c r="K118" s="823">
        <v>3865</v>
      </c>
      <c r="L118" s="823">
        <v>3865</v>
      </c>
      <c r="M118" s="823">
        <v>3870</v>
      </c>
      <c r="N118" s="823">
        <v>3870</v>
      </c>
      <c r="O118" s="823">
        <v>3870</v>
      </c>
      <c r="P118" s="823">
        <v>3884</v>
      </c>
      <c r="Q118" s="823">
        <v>3854</v>
      </c>
      <c r="R118" s="823">
        <v>3862</v>
      </c>
      <c r="S118" s="823">
        <v>22</v>
      </c>
      <c r="T118" s="823">
        <v>22</v>
      </c>
      <c r="U118" s="823">
        <v>26</v>
      </c>
      <c r="V118" s="823">
        <v>26</v>
      </c>
      <c r="W118" s="823">
        <v>37925</v>
      </c>
      <c r="X118" s="823">
        <v>35625</v>
      </c>
      <c r="Y118" s="823">
        <v>58570</v>
      </c>
      <c r="Z118" s="823">
        <v>67320</v>
      </c>
      <c r="AA118" s="823">
        <v>219278</v>
      </c>
      <c r="AB118" s="823">
        <v>219278</v>
      </c>
      <c r="AC118" s="825">
        <v>89205</v>
      </c>
      <c r="AD118" s="825">
        <v>89205</v>
      </c>
      <c r="AE118" s="825">
        <v>189409</v>
      </c>
      <c r="AF118" s="825">
        <v>197411</v>
      </c>
      <c r="AG118" s="825">
        <v>210443</v>
      </c>
      <c r="AH118" s="825">
        <v>210443</v>
      </c>
      <c r="AI118" s="825">
        <v>128631</v>
      </c>
      <c r="AJ118" s="825">
        <v>128631</v>
      </c>
      <c r="AK118" s="825">
        <v>270313</v>
      </c>
      <c r="AL118" s="825">
        <v>270313</v>
      </c>
      <c r="AM118" s="825">
        <v>324194</v>
      </c>
      <c r="AN118" s="825">
        <v>324198</v>
      </c>
      <c r="AO118" s="825">
        <v>167611</v>
      </c>
      <c r="AP118" s="825">
        <v>167611</v>
      </c>
    </row>
    <row r="119" hidden="1" ht="12.75" customHeight="1">
      <c r="B119" s="826" t="s">
        <v>18</v>
      </c>
      <c r="C119" s="827">
        <v>0</v>
      </c>
      <c r="D119" s="827">
        <v>27198</v>
      </c>
      <c r="E119" s="827">
        <v>46258</v>
      </c>
      <c r="F119" s="827">
        <v>104084</v>
      </c>
      <c r="G119" s="827">
        <v>422494</v>
      </c>
      <c r="H119" s="827">
        <v>650656</v>
      </c>
      <c r="I119" s="827">
        <v>2609330</v>
      </c>
      <c r="J119" s="827">
        <v>2689781</v>
      </c>
      <c r="K119" s="827">
        <v>2051397</v>
      </c>
      <c r="L119" s="827">
        <v>2110292</v>
      </c>
      <c r="M119" s="827">
        <v>2419866</v>
      </c>
      <c r="N119" s="827">
        <v>2270325</v>
      </c>
      <c r="O119" s="827">
        <v>1713674</v>
      </c>
      <c r="P119" s="827">
        <v>1559430</v>
      </c>
      <c r="Q119" s="827">
        <v>1274344</v>
      </c>
      <c r="R119" s="827">
        <v>1223989</v>
      </c>
      <c r="S119" s="827">
        <v>2061969</v>
      </c>
      <c r="T119" s="827">
        <v>1971597</v>
      </c>
      <c r="U119" s="827">
        <v>2090030</v>
      </c>
      <c r="V119" s="827">
        <v>1999868</v>
      </c>
      <c r="W119" s="827">
        <v>2298447</v>
      </c>
      <c r="X119" s="827">
        <v>2080204</v>
      </c>
      <c r="Y119" s="827">
        <v>2239417</v>
      </c>
      <c r="Z119" s="827">
        <v>2125572</v>
      </c>
      <c r="AA119" s="827">
        <v>3165921</v>
      </c>
      <c r="AB119" s="827">
        <v>3112947</v>
      </c>
      <c r="AC119" s="828">
        <v>2761179</v>
      </c>
      <c r="AD119" s="828">
        <v>2726123</v>
      </c>
      <c r="AE119" s="828">
        <v>2220726</v>
      </c>
      <c r="AF119" s="828">
        <v>2189053</v>
      </c>
      <c r="AG119" s="828">
        <v>1639046</v>
      </c>
      <c r="AH119" s="828">
        <v>1488509</v>
      </c>
      <c r="AI119" s="828">
        <v>0</v>
      </c>
      <c r="AJ119" s="828">
        <v>0</v>
      </c>
      <c r="AK119" s="828">
        <v>0</v>
      </c>
      <c r="AL119" s="828">
        <v>0</v>
      </c>
      <c r="AM119" s="828">
        <v>0</v>
      </c>
      <c r="AN119" s="828">
        <v>0</v>
      </c>
      <c r="AO119" s="828">
        <v>1273447</v>
      </c>
      <c r="AP119" s="828">
        <v>1273447</v>
      </c>
    </row>
    <row r="120" hidden="1" ht="12.75" customHeight="1">
      <c r="B120" s="829" t="s">
        <v>19</v>
      </c>
      <c r="C120" s="823">
        <v>0</v>
      </c>
      <c r="D120" s="823">
        <v>0</v>
      </c>
      <c r="E120" s="823">
        <v>0</v>
      </c>
      <c r="F120" s="823">
        <v>0</v>
      </c>
      <c r="G120" s="823">
        <v>0</v>
      </c>
      <c r="H120" s="823">
        <v>0</v>
      </c>
      <c r="I120" s="823">
        <v>0</v>
      </c>
      <c r="J120" s="823">
        <v>0</v>
      </c>
      <c r="K120" s="823">
        <v>0</v>
      </c>
      <c r="L120" s="823">
        <v>0</v>
      </c>
      <c r="M120" s="823">
        <v>0</v>
      </c>
      <c r="N120" s="823">
        <v>0</v>
      </c>
      <c r="O120" s="823">
        <v>0</v>
      </c>
      <c r="P120" s="823">
        <v>0</v>
      </c>
      <c r="Q120" s="823">
        <v>0</v>
      </c>
      <c r="R120" s="823">
        <v>0</v>
      </c>
      <c r="S120" s="823">
        <v>0</v>
      </c>
      <c r="T120" s="823">
        <v>0</v>
      </c>
      <c r="U120" s="823">
        <v>0</v>
      </c>
      <c r="V120" s="823">
        <v>0</v>
      </c>
      <c r="W120" s="823">
        <v>0</v>
      </c>
      <c r="X120" s="823">
        <v>0</v>
      </c>
      <c r="Y120" s="823">
        <v>0</v>
      </c>
      <c r="Z120" s="823">
        <v>0</v>
      </c>
      <c r="AA120" s="823">
        <v>0</v>
      </c>
      <c r="AB120" s="823">
        <v>0</v>
      </c>
      <c r="AC120" s="825">
        <v>1</v>
      </c>
      <c r="AD120" s="825">
        <v>1</v>
      </c>
      <c r="AE120" s="825">
        <v>1</v>
      </c>
      <c r="AF120" s="825">
        <v>4</v>
      </c>
      <c r="AG120" s="825">
        <v>4</v>
      </c>
      <c r="AH120" s="825">
        <v>4</v>
      </c>
      <c r="AI120" s="825">
        <v>4</v>
      </c>
      <c r="AJ120" s="825">
        <v>4</v>
      </c>
      <c r="AK120" s="825">
        <v>4</v>
      </c>
      <c r="AL120" s="825">
        <v>4</v>
      </c>
      <c r="AM120" s="825">
        <v>4</v>
      </c>
      <c r="AN120" s="825">
        <v>3</v>
      </c>
      <c r="AO120" s="825">
        <v>3</v>
      </c>
      <c r="AP120" s="825">
        <v>3</v>
      </c>
    </row>
    <row r="121" hidden="1" ht="12.75" customHeight="1">
      <c r="B121" s="826" t="s">
        <v>20</v>
      </c>
      <c r="C121" s="827">
        <v>8000</v>
      </c>
      <c r="D121" s="827">
        <v>8000</v>
      </c>
      <c r="E121" s="827">
        <v>8000</v>
      </c>
      <c r="F121" s="827">
        <v>18500</v>
      </c>
      <c r="G121" s="827">
        <v>36100</v>
      </c>
      <c r="H121" s="827">
        <v>36100</v>
      </c>
      <c r="I121" s="827">
        <v>18500</v>
      </c>
      <c r="J121" s="827">
        <v>18500</v>
      </c>
      <c r="K121" s="827">
        <v>244178</v>
      </c>
      <c r="L121" s="827">
        <v>244673</v>
      </c>
      <c r="M121" s="827">
        <v>334240</v>
      </c>
      <c r="N121" s="827">
        <v>325025</v>
      </c>
      <c r="O121" s="827">
        <v>249964</v>
      </c>
      <c r="P121" s="827">
        <v>251453</v>
      </c>
      <c r="Q121" s="827">
        <v>300509</v>
      </c>
      <c r="R121" s="827">
        <v>293430</v>
      </c>
      <c r="S121" s="827">
        <v>242595</v>
      </c>
      <c r="T121" s="827">
        <v>247978</v>
      </c>
      <c r="U121" s="827">
        <v>227371</v>
      </c>
      <c r="V121" s="827">
        <v>227908</v>
      </c>
      <c r="W121" s="827">
        <v>326896</v>
      </c>
      <c r="X121" s="827">
        <v>326927</v>
      </c>
      <c r="Y121" s="827">
        <v>354287</v>
      </c>
      <c r="Z121" s="827">
        <v>354284</v>
      </c>
      <c r="AA121" s="827">
        <v>436060</v>
      </c>
      <c r="AB121" s="827">
        <v>413730</v>
      </c>
      <c r="AC121" s="828">
        <v>418914</v>
      </c>
      <c r="AD121" s="828">
        <v>425620</v>
      </c>
      <c r="AE121" s="828">
        <v>353695</v>
      </c>
      <c r="AF121" s="828">
        <v>343699</v>
      </c>
      <c r="AG121" s="828">
        <v>203159</v>
      </c>
      <c r="AH121" s="828">
        <v>203848</v>
      </c>
      <c r="AI121" s="828">
        <v>219880</v>
      </c>
      <c r="AJ121" s="828">
        <v>214880</v>
      </c>
      <c r="AK121" s="828">
        <v>271008</v>
      </c>
      <c r="AL121" s="828">
        <v>280508</v>
      </c>
      <c r="AM121" s="828">
        <v>251179</v>
      </c>
      <c r="AN121" s="828">
        <v>256479</v>
      </c>
      <c r="AO121" s="828">
        <v>220596</v>
      </c>
      <c r="AP121" s="828">
        <v>220596</v>
      </c>
    </row>
    <row r="122" hidden="1" ht="12.75" customHeight="1">
      <c r="B122" s="829" t="s">
        <v>21</v>
      </c>
      <c r="C122" s="823">
        <v>10</v>
      </c>
      <c r="D122" s="823">
        <v>10</v>
      </c>
      <c r="E122" s="823">
        <v>11</v>
      </c>
      <c r="F122" s="823">
        <v>11</v>
      </c>
      <c r="G122" s="823">
        <v>11</v>
      </c>
      <c r="H122" s="823">
        <v>11</v>
      </c>
      <c r="I122" s="823">
        <v>19</v>
      </c>
      <c r="J122" s="823">
        <v>20</v>
      </c>
      <c r="K122" s="823">
        <v>16</v>
      </c>
      <c r="L122" s="823">
        <v>18</v>
      </c>
      <c r="M122" s="823">
        <v>31</v>
      </c>
      <c r="N122" s="823">
        <v>40</v>
      </c>
      <c r="O122" s="823">
        <v>46</v>
      </c>
      <c r="P122" s="823">
        <v>51</v>
      </c>
      <c r="Q122" s="823">
        <v>63</v>
      </c>
      <c r="R122" s="823">
        <v>58</v>
      </c>
      <c r="S122" s="823">
        <v>64</v>
      </c>
      <c r="T122" s="823">
        <v>64</v>
      </c>
      <c r="U122" s="823">
        <v>51</v>
      </c>
      <c r="V122" s="823">
        <v>51</v>
      </c>
      <c r="W122" s="823">
        <v>55</v>
      </c>
      <c r="X122" s="823">
        <v>55</v>
      </c>
      <c r="Y122" s="823">
        <v>74</v>
      </c>
      <c r="Z122" s="823">
        <v>74</v>
      </c>
      <c r="AA122" s="823">
        <v>63</v>
      </c>
      <c r="AB122" s="823">
        <v>64</v>
      </c>
      <c r="AC122" s="825">
        <v>50</v>
      </c>
      <c r="AD122" s="825">
        <v>56</v>
      </c>
      <c r="AE122" s="825">
        <v>75</v>
      </c>
      <c r="AF122" s="825">
        <v>79</v>
      </c>
      <c r="AG122" s="825">
        <v>106</v>
      </c>
      <c r="AH122" s="825">
        <v>106</v>
      </c>
      <c r="AI122" s="825">
        <v>0</v>
      </c>
      <c r="AJ122" s="825">
        <v>0</v>
      </c>
      <c r="AK122" s="825">
        <v>0</v>
      </c>
      <c r="AL122" s="825">
        <v>0</v>
      </c>
      <c r="AM122" s="825">
        <v>0</v>
      </c>
      <c r="AN122" s="825">
        <v>0</v>
      </c>
      <c r="AO122" s="825">
        <v>10</v>
      </c>
      <c r="AP122" s="825">
        <v>10</v>
      </c>
    </row>
    <row r="123" hidden="1" ht="12.75" customHeight="1">
      <c r="B123" s="826" t="s">
        <v>22</v>
      </c>
      <c r="C123" s="827">
        <v>0</v>
      </c>
      <c r="D123" s="827">
        <v>0</v>
      </c>
      <c r="E123" s="827">
        <v>0</v>
      </c>
      <c r="F123" s="827">
        <v>0</v>
      </c>
      <c r="G123" s="827">
        <v>0</v>
      </c>
      <c r="H123" s="827">
        <v>0</v>
      </c>
      <c r="I123" s="827">
        <v>0</v>
      </c>
      <c r="J123" s="827">
        <v>0</v>
      </c>
      <c r="K123" s="827">
        <v>0</v>
      </c>
      <c r="L123" s="827">
        <v>0</v>
      </c>
      <c r="M123" s="827">
        <v>0</v>
      </c>
      <c r="N123" s="827">
        <v>0</v>
      </c>
      <c r="O123" s="827">
        <v>0</v>
      </c>
      <c r="P123" s="827">
        <v>0</v>
      </c>
      <c r="Q123" s="827">
        <v>0</v>
      </c>
      <c r="R123" s="827">
        <v>0</v>
      </c>
      <c r="S123" s="827">
        <v>0</v>
      </c>
      <c r="T123" s="827">
        <v>0</v>
      </c>
      <c r="U123" s="827">
        <v>0</v>
      </c>
      <c r="V123" s="827">
        <v>0</v>
      </c>
      <c r="W123" s="827">
        <v>0</v>
      </c>
      <c r="X123" s="827">
        <v>0</v>
      </c>
      <c r="Y123" s="827">
        <v>0</v>
      </c>
      <c r="Z123" s="827">
        <v>0</v>
      </c>
      <c r="AA123" s="827">
        <v>0</v>
      </c>
      <c r="AB123" s="827">
        <v>0</v>
      </c>
      <c r="AC123" s="828">
        <v>5</v>
      </c>
      <c r="AD123" s="828">
        <v>5</v>
      </c>
      <c r="AE123" s="828">
        <v>4</v>
      </c>
      <c r="AF123" s="828">
        <v>4</v>
      </c>
      <c r="AG123" s="828">
        <v>0</v>
      </c>
      <c r="AH123" s="828">
        <v>0</v>
      </c>
      <c r="AI123" s="828">
        <v>0</v>
      </c>
      <c r="AJ123" s="828">
        <v>0</v>
      </c>
      <c r="AK123" s="828">
        <v>0</v>
      </c>
      <c r="AL123" s="828">
        <v>0</v>
      </c>
      <c r="AM123" s="828">
        <v>0</v>
      </c>
      <c r="AN123" s="828">
        <v>0</v>
      </c>
      <c r="AO123" s="828">
        <v>0</v>
      </c>
      <c r="AP123" s="828">
        <v>0</v>
      </c>
    </row>
    <row r="124" hidden="1" ht="12.75" customHeight="1">
      <c r="B124" s="829" t="s">
        <v>23</v>
      </c>
      <c r="C124" s="823">
        <v>21</v>
      </c>
      <c r="D124" s="823">
        <v>21</v>
      </c>
      <c r="E124" s="823">
        <v>27</v>
      </c>
      <c r="F124" s="823">
        <v>27</v>
      </c>
      <c r="G124" s="823">
        <v>17</v>
      </c>
      <c r="H124" s="823">
        <v>17</v>
      </c>
      <c r="I124" s="823">
        <v>10</v>
      </c>
      <c r="J124" s="823">
        <v>10</v>
      </c>
      <c r="K124" s="823">
        <v>1</v>
      </c>
      <c r="L124" s="823">
        <v>1</v>
      </c>
      <c r="M124" s="823">
        <v>2</v>
      </c>
      <c r="N124" s="823">
        <v>2</v>
      </c>
      <c r="O124" s="823">
        <v>0</v>
      </c>
      <c r="P124" s="823">
        <v>0</v>
      </c>
      <c r="Q124" s="823">
        <v>0</v>
      </c>
      <c r="R124" s="823">
        <v>0</v>
      </c>
      <c r="S124" s="823">
        <v>0</v>
      </c>
      <c r="T124" s="823">
        <v>0</v>
      </c>
      <c r="U124" s="823">
        <v>0</v>
      </c>
      <c r="V124" s="823">
        <v>0</v>
      </c>
      <c r="W124" s="823">
        <v>0</v>
      </c>
      <c r="X124" s="823">
        <v>0</v>
      </c>
      <c r="Y124" s="823">
        <v>0</v>
      </c>
      <c r="Z124" s="823">
        <v>0</v>
      </c>
      <c r="AA124" s="823">
        <v>0</v>
      </c>
      <c r="AB124" s="823">
        <v>0</v>
      </c>
      <c r="AC124" s="825">
        <v>0</v>
      </c>
      <c r="AD124" s="825">
        <v>0</v>
      </c>
      <c r="AE124" s="825">
        <v>0</v>
      </c>
      <c r="AF124" s="825">
        <v>0</v>
      </c>
      <c r="AG124" s="825">
        <v>0</v>
      </c>
      <c r="AH124" s="825">
        <v>0</v>
      </c>
      <c r="AI124" s="825">
        <v>0</v>
      </c>
      <c r="AJ124" s="825">
        <v>0</v>
      </c>
      <c r="AK124" s="825">
        <v>0</v>
      </c>
      <c r="AL124" s="825">
        <v>0</v>
      </c>
      <c r="AM124" s="825">
        <v>0</v>
      </c>
      <c r="AN124" s="825">
        <v>0</v>
      </c>
      <c r="AO124" s="825">
        <v>0</v>
      </c>
      <c r="AP124" s="825">
        <v>0</v>
      </c>
    </row>
    <row r="125" hidden="1" ht="12.75" customHeight="1">
      <c r="B125" s="835" t="s">
        <v>24</v>
      </c>
      <c r="C125" s="827">
        <v>696809</v>
      </c>
      <c r="D125" s="827">
        <v>738876</v>
      </c>
      <c r="E125" s="827">
        <v>776274</v>
      </c>
      <c r="F125" s="827">
        <v>813774</v>
      </c>
      <c r="G125" s="827">
        <v>864915</v>
      </c>
      <c r="H125" s="827">
        <v>874115</v>
      </c>
      <c r="I125" s="827">
        <v>908315</v>
      </c>
      <c r="J125" s="827">
        <v>927575</v>
      </c>
      <c r="K125" s="827">
        <v>1025230</v>
      </c>
      <c r="L125" s="827">
        <v>1028130</v>
      </c>
      <c r="M125" s="827">
        <v>923168</v>
      </c>
      <c r="N125" s="827">
        <v>945168</v>
      </c>
      <c r="O125" s="827">
        <v>986585</v>
      </c>
      <c r="P125" s="827">
        <v>998585</v>
      </c>
      <c r="Q125" s="827">
        <v>1014723</v>
      </c>
      <c r="R125" s="827">
        <v>987423</v>
      </c>
      <c r="S125" s="827">
        <v>993883</v>
      </c>
      <c r="T125" s="827">
        <v>994933</v>
      </c>
      <c r="U125" s="827">
        <v>1108841</v>
      </c>
      <c r="V125" s="827">
        <v>1115753</v>
      </c>
      <c r="W125" s="827">
        <v>1171459</v>
      </c>
      <c r="X125" s="827">
        <v>1148953</v>
      </c>
      <c r="Y125" s="827">
        <v>1210120</v>
      </c>
      <c r="Z125" s="827">
        <v>1182592</v>
      </c>
      <c r="AA125" s="827">
        <v>1198723</v>
      </c>
      <c r="AB125" s="827">
        <v>1198086</v>
      </c>
      <c r="AC125" s="828">
        <v>1189132</v>
      </c>
      <c r="AD125" s="828">
        <v>1184138</v>
      </c>
      <c r="AE125" s="828">
        <v>1236291</v>
      </c>
      <c r="AF125" s="828">
        <v>1233810</v>
      </c>
      <c r="AG125" s="828">
        <v>1231891</v>
      </c>
      <c r="AH125" s="828">
        <v>1220131</v>
      </c>
      <c r="AI125" s="828">
        <v>1255924</v>
      </c>
      <c r="AJ125" s="828">
        <v>1248428</v>
      </c>
      <c r="AK125" s="828">
        <v>1291490</v>
      </c>
      <c r="AL125" s="828">
        <v>0</v>
      </c>
      <c r="AM125" s="828">
        <v>0</v>
      </c>
      <c r="AN125" s="828">
        <v>0</v>
      </c>
      <c r="AO125" s="828">
        <v>1106588</v>
      </c>
      <c r="AP125" s="828">
        <v>1106588</v>
      </c>
    </row>
    <row r="126" hidden="1" ht="12.75" customHeight="1">
      <c r="B126" s="829" t="s">
        <v>25</v>
      </c>
      <c r="C126" s="823">
        <v>0</v>
      </c>
      <c r="D126" s="823">
        <v>0</v>
      </c>
      <c r="E126" s="823">
        <v>0</v>
      </c>
      <c r="F126" s="823">
        <v>0</v>
      </c>
      <c r="G126" s="823">
        <v>0</v>
      </c>
      <c r="H126" s="823">
        <v>0</v>
      </c>
      <c r="I126" s="823">
        <v>0</v>
      </c>
      <c r="J126" s="823">
        <v>0</v>
      </c>
      <c r="K126" s="823">
        <v>0</v>
      </c>
      <c r="L126" s="823">
        <v>0</v>
      </c>
      <c r="M126" s="823">
        <v>0</v>
      </c>
      <c r="N126" s="823">
        <v>0</v>
      </c>
      <c r="O126" s="823">
        <v>0</v>
      </c>
      <c r="P126" s="823">
        <v>0</v>
      </c>
      <c r="Q126" s="823">
        <v>0</v>
      </c>
      <c r="R126" s="823">
        <v>0</v>
      </c>
      <c r="S126" s="823">
        <v>0</v>
      </c>
      <c r="T126" s="823">
        <v>0</v>
      </c>
      <c r="U126" s="823">
        <v>0</v>
      </c>
      <c r="V126" s="823">
        <v>0</v>
      </c>
      <c r="W126" s="823">
        <v>0</v>
      </c>
      <c r="X126" s="823">
        <v>0</v>
      </c>
      <c r="Y126" s="823">
        <v>0</v>
      </c>
      <c r="Z126" s="823">
        <v>0</v>
      </c>
      <c r="AA126" s="823">
        <v>0</v>
      </c>
      <c r="AB126" s="823">
        <v>0</v>
      </c>
      <c r="AC126" s="825">
        <v>0</v>
      </c>
      <c r="AD126" s="825">
        <v>0</v>
      </c>
      <c r="AE126" s="825">
        <v>0</v>
      </c>
      <c r="AF126" s="825">
        <v>0</v>
      </c>
      <c r="AG126" s="825">
        <v>0</v>
      </c>
      <c r="AH126" s="825">
        <v>0</v>
      </c>
      <c r="AI126" s="825">
        <v>0</v>
      </c>
      <c r="AJ126" s="825">
        <v>0</v>
      </c>
      <c r="AK126" s="825">
        <v>0</v>
      </c>
      <c r="AL126" s="825">
        <v>0</v>
      </c>
      <c r="AM126" s="825">
        <v>0</v>
      </c>
      <c r="AN126" s="825">
        <v>0</v>
      </c>
      <c r="AO126" s="825">
        <v>0</v>
      </c>
      <c r="AP126" s="825">
        <v>0</v>
      </c>
    </row>
    <row r="127" hidden="1" ht="12.75" customHeight="1">
      <c r="B127" s="836" t="s">
        <v>26</v>
      </c>
      <c r="C127" s="827">
        <v>0</v>
      </c>
      <c r="D127" s="827">
        <v>0</v>
      </c>
      <c r="E127" s="827">
        <v>0</v>
      </c>
      <c r="F127" s="827">
        <v>0</v>
      </c>
      <c r="G127" s="827">
        <v>0</v>
      </c>
      <c r="H127" s="827">
        <v>0</v>
      </c>
      <c r="I127" s="827">
        <v>0</v>
      </c>
      <c r="J127" s="827">
        <v>0</v>
      </c>
      <c r="K127" s="827">
        <v>0</v>
      </c>
      <c r="L127" s="827">
        <v>0</v>
      </c>
      <c r="M127" s="827">
        <v>0</v>
      </c>
      <c r="N127" s="827">
        <v>0</v>
      </c>
      <c r="O127" s="827">
        <v>0</v>
      </c>
      <c r="P127" s="827">
        <v>0</v>
      </c>
      <c r="Q127" s="827">
        <v>0</v>
      </c>
      <c r="R127" s="827">
        <v>0</v>
      </c>
      <c r="S127" s="827">
        <v>0</v>
      </c>
      <c r="T127" s="827">
        <v>0</v>
      </c>
      <c r="U127" s="827">
        <v>0</v>
      </c>
      <c r="V127" s="827">
        <v>0</v>
      </c>
      <c r="W127" s="827">
        <v>0</v>
      </c>
      <c r="X127" s="827">
        <v>0</v>
      </c>
      <c r="Y127" s="827">
        <v>0</v>
      </c>
      <c r="Z127" s="827">
        <v>0</v>
      </c>
      <c r="AA127" s="827">
        <v>0</v>
      </c>
      <c r="AB127" s="837">
        <v>0</v>
      </c>
      <c r="AC127" s="828">
        <v>0</v>
      </c>
      <c r="AD127" s="828">
        <v>0</v>
      </c>
      <c r="AE127" s="828">
        <v>0</v>
      </c>
      <c r="AF127" s="828">
        <v>0</v>
      </c>
      <c r="AG127" s="828">
        <v>0</v>
      </c>
      <c r="AH127" s="828">
        <v>0</v>
      </c>
      <c r="AI127" s="828">
        <v>0</v>
      </c>
      <c r="AJ127" s="828">
        <v>0</v>
      </c>
      <c r="AK127" s="828">
        <v>0</v>
      </c>
      <c r="AL127" s="828">
        <v>0</v>
      </c>
      <c r="AM127" s="828">
        <v>0</v>
      </c>
      <c r="AN127" s="828">
        <v>0</v>
      </c>
      <c r="AO127" s="828">
        <v>0</v>
      </c>
      <c r="AP127" s="828">
        <v>0</v>
      </c>
    </row>
    <row r="128" hidden="1" ht="12.75" customHeight="1">
      <c r="B128" s="128" t="s">
        <v>7</v>
      </c>
      <c r="C128" s="129" t="str">
        <f>IF(SUM(C109:C127)&lt;&gt;0,SUM(C109:C127),"")</f>
      </c>
      <c r="D128" s="129" t="str">
        <f ref="D128:AA128" t="shared" si="0">IF(SUM(D109:D127)&lt;&gt;0,SUM(D109:D127),"")</f>
      </c>
      <c r="E128" s="129" t="str">
        <f t="shared" si="0"/>
      </c>
      <c r="F128" s="129" t="str">
        <f t="shared" si="0"/>
      </c>
      <c r="G128" s="129" t="str">
        <f t="shared" si="0"/>
      </c>
      <c r="H128" s="129" t="str">
        <f t="shared" si="0"/>
      </c>
      <c r="I128" s="129" t="str">
        <f t="shared" si="0"/>
      </c>
      <c r="J128" s="129" t="str">
        <f t="shared" si="0"/>
      </c>
      <c r="K128" s="129" t="str">
        <f t="shared" si="0"/>
      </c>
      <c r="L128" s="129" t="str">
        <f t="shared" si="0"/>
      </c>
      <c r="M128" s="129" t="str">
        <f t="shared" si="0"/>
      </c>
      <c r="N128" s="129" t="str">
        <f t="shared" si="0"/>
      </c>
      <c r="O128" s="129" t="str">
        <f t="shared" si="0"/>
      </c>
      <c r="P128" s="129" t="str">
        <f t="shared" si="0"/>
      </c>
      <c r="Q128" s="129" t="str">
        <f t="shared" si="0"/>
      </c>
      <c r="R128" s="129" t="str">
        <f t="shared" si="0"/>
      </c>
      <c r="S128" s="129" t="str">
        <f t="shared" si="0"/>
      </c>
      <c r="T128" s="129" t="str">
        <f t="shared" si="0"/>
      </c>
      <c r="U128" s="129" t="str">
        <f t="shared" si="0"/>
      </c>
      <c r="V128" s="129" t="str">
        <f t="shared" si="0"/>
      </c>
      <c r="W128" s="129" t="str">
        <f t="shared" si="0"/>
      </c>
      <c r="X128" s="129" t="str">
        <f t="shared" si="0"/>
      </c>
      <c r="Y128" s="129" t="str">
        <f t="shared" si="0"/>
      </c>
      <c r="Z128" s="129" t="str">
        <f t="shared" si="0"/>
      </c>
      <c r="AA128" s="129" t="str">
        <f t="shared" si="0"/>
      </c>
      <c r="AB128" s="130" t="str">
        <f>IF(SUM(AB109:AB127)&lt;&gt;0,SUM(AB109:AB127),"")</f>
      </c>
      <c r="AC128" s="91" t="str">
        <f ref="AC128:CN128" t="shared" si="1">IF(SUM(AC109:AC127)&lt;&gt;0,SUM(AC109:AC127),"")</f>
      </c>
      <c r="AD128" s="91" t="str">
        <f t="shared" si="1"/>
      </c>
      <c r="AE128" s="91" t="str">
        <f t="shared" si="1"/>
      </c>
      <c r="AF128" s="91" t="str">
        <f t="shared" si="1"/>
      </c>
      <c r="AG128" s="91" t="str">
        <f t="shared" si="1"/>
      </c>
      <c r="AH128" s="91" t="str">
        <f t="shared" si="1"/>
      </c>
      <c r="AI128" s="91" t="str">
        <f t="shared" si="1"/>
      </c>
      <c r="AJ128" s="91" t="str">
        <f t="shared" si="1"/>
      </c>
      <c r="AK128" s="91" t="str">
        <f t="shared" si="1"/>
      </c>
      <c r="AL128" s="91" t="str">
        <f t="shared" si="1"/>
      </c>
      <c r="AM128" s="91" t="str">
        <f t="shared" si="1"/>
      </c>
      <c r="AN128" s="91" t="str">
        <f t="shared" si="1"/>
      </c>
      <c r="AO128" s="91" t="str">
        <f t="shared" si="1"/>
      </c>
      <c r="AP128" s="91" t="str">
        <f t="shared" si="1"/>
      </c>
      <c r="AQ128" s="91" t="str">
        <f t="shared" si="1"/>
      </c>
      <c r="AR128" s="91" t="str">
        <f t="shared" si="1"/>
      </c>
      <c r="AS128" s="91" t="str">
        <f t="shared" si="1"/>
      </c>
      <c r="AT128" s="91" t="str">
        <f t="shared" si="1"/>
      </c>
      <c r="AU128" s="91" t="str">
        <f t="shared" si="1"/>
      </c>
      <c r="AV128" s="91" t="str">
        <f t="shared" si="1"/>
      </c>
      <c r="AW128" s="91" t="str">
        <f t="shared" si="1"/>
      </c>
      <c r="AX128" s="91" t="str">
        <f t="shared" si="1"/>
      </c>
      <c r="AY128" s="91" t="str">
        <f t="shared" si="1"/>
      </c>
      <c r="AZ128" s="91" t="str">
        <f t="shared" si="1"/>
      </c>
      <c r="BA128" s="91" t="str">
        <f t="shared" si="1"/>
      </c>
      <c r="BB128" s="91" t="str">
        <f t="shared" si="1"/>
      </c>
      <c r="BC128" s="91" t="str">
        <f t="shared" si="1"/>
      </c>
      <c r="BD128" s="91" t="str">
        <f t="shared" si="1"/>
      </c>
      <c r="BE128" s="91" t="str">
        <f t="shared" si="1"/>
      </c>
      <c r="BF128" s="91" t="str">
        <f t="shared" si="1"/>
      </c>
      <c r="BG128" s="91" t="str">
        <f t="shared" si="1"/>
      </c>
      <c r="BH128" s="91" t="str">
        <f t="shared" si="1"/>
      </c>
      <c r="BI128" s="91" t="str">
        <f t="shared" si="1"/>
      </c>
      <c r="BJ128" s="91" t="str">
        <f t="shared" si="1"/>
      </c>
      <c r="BK128" s="91" t="str">
        <f t="shared" si="1"/>
      </c>
      <c r="BL128" s="91" t="str">
        <f t="shared" si="1"/>
      </c>
      <c r="BM128" s="91" t="str">
        <f t="shared" si="1"/>
      </c>
      <c r="BN128" s="91" t="str">
        <f t="shared" si="1"/>
      </c>
      <c r="BO128" s="91" t="str">
        <f t="shared" si="1"/>
      </c>
      <c r="BP128" s="91" t="str">
        <f t="shared" si="1"/>
      </c>
      <c r="BQ128" s="91" t="str">
        <f t="shared" si="1"/>
      </c>
      <c r="BR128" s="91" t="str">
        <f t="shared" si="1"/>
      </c>
      <c r="BS128" s="91" t="str">
        <f t="shared" si="1"/>
      </c>
      <c r="BT128" s="91" t="str">
        <f t="shared" si="1"/>
      </c>
      <c r="BU128" s="91" t="str">
        <f t="shared" si="1"/>
      </c>
      <c r="BV128" s="91" t="str">
        <f t="shared" si="1"/>
      </c>
      <c r="BW128" s="91" t="str">
        <f t="shared" si="1"/>
      </c>
      <c r="BX128" s="91" t="str">
        <f t="shared" si="1"/>
      </c>
      <c r="BY128" s="91" t="str">
        <f t="shared" si="1"/>
      </c>
      <c r="BZ128" s="91" t="str">
        <f t="shared" si="1"/>
      </c>
      <c r="CA128" s="91" t="str">
        <f t="shared" si="1"/>
      </c>
      <c r="CB128" s="91" t="str">
        <f t="shared" si="1"/>
      </c>
      <c r="CC128" s="91" t="str">
        <f t="shared" si="1"/>
      </c>
      <c r="CD128" s="91" t="str">
        <f t="shared" si="1"/>
      </c>
      <c r="CE128" s="91" t="str">
        <f t="shared" si="1"/>
      </c>
      <c r="CF128" s="91" t="str">
        <f t="shared" si="1"/>
      </c>
      <c r="CG128" s="91" t="str">
        <f t="shared" si="1"/>
      </c>
      <c r="CH128" s="91" t="str">
        <f t="shared" si="1"/>
      </c>
      <c r="CI128" s="91" t="str">
        <f t="shared" si="1"/>
      </c>
      <c r="CJ128" s="91" t="str">
        <f t="shared" si="1"/>
      </c>
      <c r="CK128" s="91" t="str">
        <f t="shared" si="1"/>
      </c>
      <c r="CL128" s="91" t="str">
        <f t="shared" si="1"/>
      </c>
      <c r="CM128" s="91" t="str">
        <f t="shared" si="1"/>
      </c>
      <c r="CN128" s="91" t="str">
        <f t="shared" si="1"/>
      </c>
      <c r="CO128" s="91" t="str">
        <f ref="CO128:EZ128" t="shared" si="2">IF(SUM(CO109:CO127)&lt;&gt;0,SUM(CO109:CO127),"")</f>
      </c>
      <c r="CP128" s="91" t="str">
        <f t="shared" si="2"/>
      </c>
      <c r="CQ128" s="91" t="str">
        <f t="shared" si="2"/>
      </c>
      <c r="CR128" s="91" t="str">
        <f t="shared" si="2"/>
      </c>
      <c r="CS128" s="91" t="str">
        <f t="shared" si="2"/>
      </c>
      <c r="CT128" s="91" t="str">
        <f t="shared" si="2"/>
      </c>
      <c r="CU128" s="91" t="str">
        <f t="shared" si="2"/>
      </c>
      <c r="CV128" s="91" t="str">
        <f t="shared" si="2"/>
      </c>
      <c r="CW128" s="91" t="str">
        <f t="shared" si="2"/>
      </c>
      <c r="CX128" s="91" t="str">
        <f t="shared" si="2"/>
      </c>
      <c r="CY128" s="91" t="str">
        <f t="shared" si="2"/>
      </c>
      <c r="CZ128" s="91" t="str">
        <f t="shared" si="2"/>
      </c>
      <c r="DA128" s="91" t="str">
        <f t="shared" si="2"/>
      </c>
      <c r="DB128" s="91" t="str">
        <f t="shared" si="2"/>
      </c>
      <c r="DC128" s="91" t="str">
        <f t="shared" si="2"/>
      </c>
      <c r="DD128" s="91" t="str">
        <f t="shared" si="2"/>
      </c>
      <c r="DE128" s="91" t="str">
        <f t="shared" si="2"/>
      </c>
      <c r="DF128" s="91" t="str">
        <f t="shared" si="2"/>
      </c>
      <c r="DG128" s="91" t="str">
        <f t="shared" si="2"/>
      </c>
      <c r="DH128" s="91" t="str">
        <f t="shared" si="2"/>
      </c>
      <c r="DI128" s="91" t="str">
        <f t="shared" si="2"/>
      </c>
      <c r="DJ128" s="91" t="str">
        <f t="shared" si="2"/>
      </c>
      <c r="DK128" s="91" t="str">
        <f t="shared" si="2"/>
      </c>
      <c r="DL128" s="91" t="str">
        <f t="shared" si="2"/>
      </c>
      <c r="DM128" s="91" t="str">
        <f t="shared" si="2"/>
      </c>
      <c r="DN128" s="91" t="str">
        <f t="shared" si="2"/>
      </c>
      <c r="DO128" s="91" t="str">
        <f t="shared" si="2"/>
      </c>
      <c r="DP128" s="91" t="str">
        <f t="shared" si="2"/>
      </c>
      <c r="DQ128" s="91" t="str">
        <f t="shared" si="2"/>
      </c>
      <c r="DR128" s="91" t="str">
        <f t="shared" si="2"/>
      </c>
      <c r="DS128" s="91" t="str">
        <f t="shared" si="2"/>
      </c>
      <c r="DT128" s="91" t="str">
        <f t="shared" si="2"/>
      </c>
      <c r="DU128" s="91" t="str">
        <f t="shared" si="2"/>
      </c>
      <c r="DV128" s="91" t="str">
        <f t="shared" si="2"/>
      </c>
      <c r="DW128" s="91" t="str">
        <f t="shared" si="2"/>
      </c>
      <c r="DX128" s="91" t="str">
        <f t="shared" si="2"/>
      </c>
      <c r="DY128" s="91" t="str">
        <f t="shared" si="2"/>
      </c>
      <c r="DZ128" s="91" t="str">
        <f t="shared" si="2"/>
      </c>
      <c r="EA128" s="91" t="str">
        <f t="shared" si="2"/>
      </c>
      <c r="EB128" s="91" t="str">
        <f t="shared" si="2"/>
      </c>
      <c r="EC128" s="91" t="str">
        <f t="shared" si="2"/>
      </c>
      <c r="ED128" s="91" t="str">
        <f t="shared" si="2"/>
      </c>
      <c r="EE128" s="91" t="str">
        <f t="shared" si="2"/>
      </c>
      <c r="EF128" s="91" t="str">
        <f t="shared" si="2"/>
      </c>
      <c r="EG128" s="91" t="str">
        <f t="shared" si="2"/>
      </c>
      <c r="EH128" s="91" t="str">
        <f t="shared" si="2"/>
      </c>
      <c r="EI128" s="91" t="str">
        <f t="shared" si="2"/>
      </c>
      <c r="EJ128" s="91" t="str">
        <f t="shared" si="2"/>
      </c>
      <c r="EK128" s="91" t="str">
        <f t="shared" si="2"/>
      </c>
      <c r="EL128" s="91" t="str">
        <f t="shared" si="2"/>
      </c>
      <c r="EM128" s="91" t="str">
        <f t="shared" si="2"/>
      </c>
      <c r="EN128" s="91" t="str">
        <f t="shared" si="2"/>
      </c>
      <c r="EO128" s="91" t="str">
        <f t="shared" si="2"/>
      </c>
      <c r="EP128" s="91" t="str">
        <f t="shared" si="2"/>
      </c>
      <c r="EQ128" s="91" t="str">
        <f t="shared" si="2"/>
      </c>
      <c r="ER128" s="91" t="str">
        <f t="shared" si="2"/>
      </c>
      <c r="ES128" s="91" t="str">
        <f t="shared" si="2"/>
      </c>
      <c r="ET128" s="91" t="str">
        <f t="shared" si="2"/>
      </c>
      <c r="EU128" s="91" t="str">
        <f t="shared" si="2"/>
      </c>
      <c r="EV128" s="91" t="str">
        <f t="shared" si="2"/>
      </c>
      <c r="EW128" s="91" t="str">
        <f t="shared" si="2"/>
      </c>
      <c r="EX128" s="91" t="str">
        <f t="shared" si="2"/>
      </c>
      <c r="EY128" s="91" t="str">
        <f t="shared" si="2"/>
      </c>
      <c r="EZ128" s="91" t="str">
        <f t="shared" si="2"/>
      </c>
      <c r="FA128" s="91" t="str">
        <f ref="FA128:HL128" t="shared" si="3">IF(SUM(FA109:FA127)&lt;&gt;0,SUM(FA109:FA127),"")</f>
      </c>
      <c r="FB128" s="91" t="str">
        <f t="shared" si="3"/>
      </c>
      <c r="FC128" s="91" t="str">
        <f t="shared" si="3"/>
      </c>
      <c r="FD128" s="91" t="str">
        <f t="shared" si="3"/>
      </c>
      <c r="FE128" s="91" t="str">
        <f t="shared" si="3"/>
      </c>
      <c r="FF128" s="91" t="str">
        <f t="shared" si="3"/>
      </c>
      <c r="FG128" s="91" t="str">
        <f t="shared" si="3"/>
      </c>
      <c r="FH128" s="91" t="str">
        <f t="shared" si="3"/>
      </c>
      <c r="FI128" s="91" t="str">
        <f t="shared" si="3"/>
      </c>
      <c r="FJ128" s="91" t="str">
        <f t="shared" si="3"/>
      </c>
      <c r="FK128" s="91" t="str">
        <f t="shared" si="3"/>
      </c>
      <c r="FL128" s="91" t="str">
        <f t="shared" si="3"/>
      </c>
      <c r="FM128" s="91" t="str">
        <f t="shared" si="3"/>
      </c>
      <c r="FN128" s="91" t="str">
        <f t="shared" si="3"/>
      </c>
      <c r="FO128" s="91" t="str">
        <f t="shared" si="3"/>
      </c>
      <c r="FP128" s="91" t="str">
        <f t="shared" si="3"/>
      </c>
      <c r="FQ128" s="91" t="str">
        <f t="shared" si="3"/>
      </c>
      <c r="FR128" s="91" t="str">
        <f t="shared" si="3"/>
      </c>
      <c r="FS128" s="91" t="str">
        <f t="shared" si="3"/>
      </c>
      <c r="FT128" s="91" t="str">
        <f t="shared" si="3"/>
      </c>
      <c r="FU128" s="91" t="str">
        <f t="shared" si="3"/>
      </c>
      <c r="FV128" s="91" t="str">
        <f t="shared" si="3"/>
      </c>
      <c r="FW128" s="91" t="str">
        <f t="shared" si="3"/>
      </c>
      <c r="FX128" s="91" t="str">
        <f t="shared" si="3"/>
      </c>
      <c r="FY128" s="91" t="str">
        <f t="shared" si="3"/>
      </c>
      <c r="FZ128" s="91" t="str">
        <f t="shared" si="3"/>
      </c>
      <c r="GA128" s="91" t="str">
        <f t="shared" si="3"/>
      </c>
      <c r="GB128" s="91" t="str">
        <f t="shared" si="3"/>
      </c>
      <c r="GC128" s="91" t="str">
        <f t="shared" si="3"/>
      </c>
      <c r="GD128" s="91" t="str">
        <f t="shared" si="3"/>
      </c>
      <c r="GE128" s="91" t="str">
        <f t="shared" si="3"/>
      </c>
      <c r="GF128" s="91" t="str">
        <f t="shared" si="3"/>
      </c>
      <c r="GG128" s="91" t="str">
        <f t="shared" si="3"/>
      </c>
      <c r="GH128" s="91" t="str">
        <f t="shared" si="3"/>
      </c>
      <c r="GI128" s="91" t="str">
        <f t="shared" si="3"/>
      </c>
      <c r="GJ128" s="91" t="str">
        <f t="shared" si="3"/>
      </c>
      <c r="GK128" s="91" t="str">
        <f t="shared" si="3"/>
      </c>
      <c r="GL128" s="91" t="str">
        <f t="shared" si="3"/>
      </c>
      <c r="GM128" s="91" t="str">
        <f t="shared" si="3"/>
      </c>
      <c r="GN128" s="91" t="str">
        <f t="shared" si="3"/>
      </c>
      <c r="GO128" s="91" t="str">
        <f t="shared" si="3"/>
      </c>
      <c r="GP128" s="91" t="str">
        <f t="shared" si="3"/>
      </c>
      <c r="GQ128" s="91" t="str">
        <f t="shared" si="3"/>
      </c>
      <c r="GR128" s="91" t="str">
        <f t="shared" si="3"/>
      </c>
      <c r="GS128" s="91" t="str">
        <f t="shared" si="3"/>
      </c>
      <c r="GT128" s="91" t="str">
        <f t="shared" si="3"/>
      </c>
      <c r="GU128" s="91" t="str">
        <f t="shared" si="3"/>
      </c>
      <c r="GV128" s="91" t="str">
        <f t="shared" si="3"/>
      </c>
      <c r="GW128" s="91" t="str">
        <f t="shared" si="3"/>
      </c>
      <c r="GX128" s="91" t="str">
        <f t="shared" si="3"/>
      </c>
      <c r="GY128" s="91" t="str">
        <f t="shared" si="3"/>
      </c>
      <c r="GZ128" s="91" t="str">
        <f t="shared" si="3"/>
      </c>
      <c r="HA128" s="91" t="str">
        <f t="shared" si="3"/>
      </c>
      <c r="HB128" s="91" t="str">
        <f t="shared" si="3"/>
      </c>
      <c r="HC128" s="91" t="str">
        <f t="shared" si="3"/>
      </c>
      <c r="HD128" s="91" t="str">
        <f t="shared" si="3"/>
      </c>
      <c r="HE128" s="91" t="str">
        <f t="shared" si="3"/>
      </c>
      <c r="HF128" s="91" t="str">
        <f t="shared" si="3"/>
      </c>
      <c r="HG128" s="91" t="str">
        <f t="shared" si="3"/>
      </c>
      <c r="HH128" s="91" t="str">
        <f t="shared" si="3"/>
      </c>
      <c r="HI128" s="91" t="str">
        <f t="shared" si="3"/>
      </c>
      <c r="HJ128" s="91" t="str">
        <f t="shared" si="3"/>
      </c>
      <c r="HK128" s="91" t="str">
        <f t="shared" si="3"/>
      </c>
      <c r="HL128" s="91" t="str">
        <f t="shared" si="3"/>
      </c>
      <c r="HM128" s="91" t="str">
        <f ref="HM128:IV128" t="shared" si="4">IF(SUM(HM109:HM127)&lt;&gt;0,SUM(HM109:HM127),"")</f>
      </c>
      <c r="HN128" s="91" t="str">
        <f t="shared" si="4"/>
      </c>
      <c r="HO128" s="91" t="str">
        <f t="shared" si="4"/>
      </c>
      <c r="HP128" s="91" t="str">
        <f t="shared" si="4"/>
      </c>
      <c r="HQ128" s="91" t="str">
        <f t="shared" si="4"/>
      </c>
      <c r="HR128" s="91" t="str">
        <f t="shared" si="4"/>
      </c>
      <c r="HS128" s="91" t="str">
        <f t="shared" si="4"/>
      </c>
      <c r="HT128" s="91" t="str">
        <f t="shared" si="4"/>
      </c>
      <c r="HU128" s="91" t="str">
        <f t="shared" si="4"/>
      </c>
      <c r="HV128" s="91" t="str">
        <f t="shared" si="4"/>
      </c>
      <c r="HW128" s="91" t="str">
        <f t="shared" si="4"/>
      </c>
      <c r="HX128" s="91" t="str">
        <f t="shared" si="4"/>
      </c>
      <c r="HY128" s="91" t="str">
        <f t="shared" si="4"/>
      </c>
      <c r="HZ128" s="91" t="str">
        <f t="shared" si="4"/>
      </c>
      <c r="IA128" s="91" t="str">
        <f t="shared" si="4"/>
      </c>
      <c r="IB128" s="91" t="str">
        <f t="shared" si="4"/>
      </c>
      <c r="IC128" s="91" t="str">
        <f t="shared" si="4"/>
      </c>
      <c r="ID128" s="91" t="str">
        <f t="shared" si="4"/>
      </c>
      <c r="IE128" s="91" t="str">
        <f t="shared" si="4"/>
      </c>
      <c r="IF128" s="91" t="str">
        <f t="shared" si="4"/>
      </c>
      <c r="IG128" s="91" t="str">
        <f t="shared" si="4"/>
      </c>
      <c r="IH128" s="91" t="str">
        <f t="shared" si="4"/>
      </c>
      <c r="II128" s="91" t="str">
        <f t="shared" si="4"/>
      </c>
      <c r="IJ128" s="91" t="str">
        <f t="shared" si="4"/>
      </c>
      <c r="IK128" s="91" t="str">
        <f t="shared" si="4"/>
      </c>
      <c r="IL128" s="91" t="str">
        <f t="shared" si="4"/>
      </c>
      <c r="IM128" s="91" t="str">
        <f t="shared" si="4"/>
      </c>
      <c r="IN128" s="91" t="str">
        <f t="shared" si="4"/>
      </c>
      <c r="IO128" s="91" t="str">
        <f t="shared" si="4"/>
      </c>
      <c r="IP128" s="91" t="str">
        <f t="shared" si="4"/>
      </c>
      <c r="IQ128" s="91" t="str">
        <f t="shared" si="4"/>
      </c>
      <c r="IR128" s="91" t="str">
        <f t="shared" si="4"/>
      </c>
      <c r="IS128" s="91" t="str">
        <f t="shared" si="4"/>
      </c>
      <c r="IT128" s="91" t="str">
        <f t="shared" si="4"/>
      </c>
      <c r="IU128" s="91" t="str">
        <f t="shared" si="4"/>
      </c>
      <c r="IV128" s="91" t="str">
        <f t="shared" si="4"/>
      </c>
    </row>
    <row r="129" hidden="1" ht="13.5">
      <c r="M129" s="355"/>
    </row>
    <row r="130" hidden="1" ht="13.5">
      <c r="C130" s="686" t="s">
        <v>108</v>
      </c>
      <c r="D130" s="687"/>
      <c r="E130" s="687"/>
      <c r="F130" s="687"/>
      <c r="G130" s="687"/>
      <c r="H130" s="687"/>
      <c r="I130" s="687"/>
      <c r="J130" s="687"/>
      <c r="K130" s="687"/>
      <c r="L130" s="687"/>
      <c r="M130" s="687"/>
      <c r="N130" s="687"/>
      <c r="O130" s="687"/>
      <c r="P130" s="687"/>
      <c r="Q130" s="687"/>
      <c r="R130" s="687"/>
      <c r="S130" s="687"/>
      <c r="T130" s="687"/>
      <c r="U130" s="687"/>
      <c r="V130" s="687"/>
      <c r="W130" s="687"/>
      <c r="X130" s="687"/>
      <c r="Y130" s="687"/>
      <c r="Z130" s="687"/>
      <c r="AA130" s="687"/>
      <c r="AB130" s="688"/>
    </row>
    <row r="131" hidden="1" ht="15" customHeight="1">
      <c r="C131" s="435" t="str">
        <f> IF(C151&lt;&gt;"",TEXT(AUX!G$1,"dd-MMM-aa"),"")</f>
      </c>
      <c r="D131" s="435" t="str">
        <f> IF(D151&lt;&gt;"",TEXT(AUX!H$1,"dd-MMM-aa"),"")</f>
      </c>
      <c r="E131" s="435" t="str">
        <f> IF(E151&lt;&gt;"",TEXT(AUX!I$1,"dd-MMM-aa"),"")</f>
      </c>
      <c r="F131" s="435" t="str">
        <f> IF(F151&lt;&gt;"",TEXT(AUX!J$1,"dd-MMM-aa"),"")</f>
      </c>
      <c r="G131" s="435" t="str">
        <f> IF(G151&lt;&gt;"",TEXT(AUX!K$1,"dd-MMM-aa"),"")</f>
      </c>
      <c r="H131" s="435" t="str">
        <f> IF(H151&lt;&gt;"",TEXT(AUX!L$1,"dd-MMM-aa"),"")</f>
      </c>
      <c r="I131" s="435" t="str">
        <f> IF(I151&lt;&gt;"",TEXT(AUX!M$1,"dd-MMM-aa"),"")</f>
      </c>
      <c r="J131" s="435" t="str">
        <f> IF(J151&lt;&gt;"",TEXT(AUX!N$1,"dd-MMM-aa"),"")</f>
      </c>
      <c r="K131" s="435" t="str">
        <f> IF(K151&lt;&gt;"",TEXT(AUX!O$1,"dd-MMM-aa"),"")</f>
      </c>
      <c r="L131" s="435" t="str">
        <f> IF(L151&lt;&gt;"",TEXT(AUX!P$1,"dd-MMM-aa"),"")</f>
      </c>
      <c r="M131" s="435" t="str">
        <f> IF(M151&lt;&gt;"",TEXT(AUX!Q$1,"dd-MMM-aa"),"")</f>
      </c>
      <c r="N131" s="435" t="str">
        <f> IF(N151&lt;&gt;"",TEXT(AUX!R$1,"dd-MMM-aa"),"")</f>
      </c>
      <c r="O131" s="435" t="str">
        <f> IF(O151&lt;&gt;"",TEXT(AUX!S$1,"dd-MMM-aa"),"")</f>
      </c>
      <c r="P131" s="435" t="str">
        <f> IF(P151&lt;&gt;"",TEXT(AUX!T$1,"dd-MMM-aa"),"")</f>
      </c>
      <c r="Q131" s="435" t="str">
        <f> IF(Q151&lt;&gt;"",TEXT(AUX!U$1,"dd-MMM-aa"),"")</f>
      </c>
      <c r="R131" s="435" t="str">
        <f> IF(R151&lt;&gt;"",TEXT(AUX!V$1,"dd-MMM-aa"),"")</f>
      </c>
      <c r="S131" s="435" t="str">
        <f> IF(S151&lt;&gt;"",TEXT(AUX!W$1,"dd-MMM-aa"),"")</f>
      </c>
      <c r="T131" s="435" t="str">
        <f> IF(T151&lt;&gt;"",TEXT(AUX!X$1,"dd-MMM-aa"),"")</f>
      </c>
      <c r="U131" s="435" t="str">
        <f> IF(U151&lt;&gt;"",TEXT(AUX!Y$1,"dd-MMM-aa"),"")</f>
      </c>
      <c r="V131" s="435" t="str">
        <f> IF(V151&lt;&gt;"",TEXT(AUX!Z$1,"dd-MMM-aa"),"")</f>
      </c>
      <c r="W131" s="435" t="str">
        <f> IF(W151&lt;&gt;"",TEXT(AUX!AA$1,"dd-MMM-aa"),"")</f>
      </c>
      <c r="X131" s="435" t="str">
        <f> IF(X151&lt;&gt;"",TEXT(AUX!AB$1,"dd-MMM-aa"),"")</f>
      </c>
      <c r="Y131" s="435" t="str">
        <f> IF(Y151&lt;&gt;"",TEXT(AUX!AC$1,"dd-MMM-aa"),"")</f>
      </c>
      <c r="Z131" s="435" t="str">
        <f> IF(Z151&lt;&gt;"",TEXT(AUX!AD$1,"dd-MMM-aa"),"")</f>
      </c>
      <c r="AA131" s="435" t="str">
        <f> IF(AA151&lt;&gt;"",TEXT(AUX!AE$1,"dd-MMM-aa"),"")</f>
      </c>
      <c r="AB131" s="497" t="str">
        <f> IF(AB151&lt;&gt;"",TEXT(AUX!AF$1,"dd-MMM-aa"),"")</f>
      </c>
      <c r="AC131" s="496" t="str">
        <f> IF(AC151&lt;&gt;"",TEXT(AUX!AG$1,"dd-MMM-aa"),"")</f>
      </c>
      <c r="AD131" s="496" t="str">
        <f> IF(AD151&lt;&gt;"",TEXT(AUX!AH$1,"dd-MMM-aa"),"")</f>
      </c>
      <c r="AE131" s="496" t="str">
        <f> IF(AE151&lt;&gt;"",TEXT(AUX!AI$1,"dd-MMM-aa"),"")</f>
      </c>
      <c r="AF131" s="496" t="str">
        <f> IF(AF151&lt;&gt;"",TEXT(AUX!AJ$1,"dd-MMM-aa"),"")</f>
      </c>
      <c r="AG131" s="496" t="str">
        <f> IF(AG151&lt;&gt;"",TEXT(AUX!AK$1,"dd-MMM-aa"),"")</f>
      </c>
      <c r="AH131" s="496" t="str">
        <f> IF(AH151&lt;&gt;"",TEXT(AUX!AL$1,"dd-MMM-aa"),"")</f>
      </c>
      <c r="AI131" s="496" t="str">
        <f> IF(AI151&lt;&gt;"",TEXT(AUX!AM$1,"dd-MMM-aa"),"")</f>
      </c>
      <c r="AJ131" s="496" t="str">
        <f> IF(AJ151&lt;&gt;"",TEXT(AUX!AN$1,"dd-MMM-aa"),"")</f>
      </c>
      <c r="AK131" s="496" t="str">
        <f> IF(AK151&lt;&gt;"",TEXT(AUX!AO$1,"dd-MMM-aa"),"")</f>
      </c>
      <c r="AL131" s="496" t="str">
        <f> IF(AL151&lt;&gt;"",TEXT(AUX!AP$1,"dd-MMM-aa"),"")</f>
      </c>
      <c r="AM131" s="496" t="str">
        <f> IF(AM151&lt;&gt;"",TEXT(AUX!AQ$1,"dd-MMM-aa"),"")</f>
      </c>
      <c r="AN131" s="496" t="str">
        <f> IF(AN151&lt;&gt;"",TEXT(AUX!AR$1,"dd-MMM-aa"),"")</f>
      </c>
      <c r="AO131" s="496" t="str">
        <f> IF(AO151&lt;&gt;"",TEXT(AUX!AS$1,"dd-MMM-aa"),"")</f>
      </c>
      <c r="AP131" s="496" t="str">
        <f> IF(AP151&lt;&gt;"",TEXT(AUX!AT$1,"dd-MMM-aa"),"")</f>
      </c>
      <c r="AQ131" s="496" t="str">
        <f> IF(AQ151&lt;&gt;"",TEXT(AUX!AU$1,"dd-MMM-aa"),"")</f>
      </c>
      <c r="AR131" s="496" t="str">
        <f> IF(AR151&lt;&gt;"",TEXT(AUX!AV$1,"dd-MMM-aa"),"")</f>
      </c>
      <c r="AS131" s="496" t="str">
        <f> IF(AS151&lt;&gt;"",TEXT(AUX!AW$1,"dd-MMM-aa"),"")</f>
      </c>
      <c r="AT131" s="496" t="str">
        <f> IF(AT151&lt;&gt;"",TEXT(AUX!AX$1,"dd-MMM-aa"),"")</f>
      </c>
      <c r="AU131" s="496" t="str">
        <f> IF(AU151&lt;&gt;"",TEXT(AUX!AY$1,"dd-MMM-aa"),"")</f>
      </c>
      <c r="AV131" s="496" t="str">
        <f> IF(AV151&lt;&gt;"",TEXT(AUX!AZ$1,"dd-MMM-aa"),"")</f>
      </c>
      <c r="AW131" s="496" t="str">
        <f> IF(AW151&lt;&gt;"",TEXT(AUX!BA$1,"dd-MMM-aa"),"")</f>
      </c>
      <c r="AX131" s="496" t="str">
        <f> IF(AX151&lt;&gt;"",TEXT(AUX!BB$1,"dd-MMM-aa"),"")</f>
      </c>
      <c r="AY131" s="496" t="str">
        <f> IF(AY151&lt;&gt;"",TEXT(AUX!BC$1,"dd-MMM-aa"),"")</f>
      </c>
      <c r="AZ131" s="496" t="str">
        <f> IF(AZ151&lt;&gt;"",TEXT(AUX!BD$1,"dd-MMM-aa"),"")</f>
      </c>
      <c r="BA131" s="496" t="str">
        <f> IF(BA151&lt;&gt;"",TEXT(AUX!BE$1,"dd-MMM-aa"),"")</f>
      </c>
      <c r="BB131" s="496" t="str">
        <f> IF(BB151&lt;&gt;"",TEXT(AUX!BF$1,"dd-MMM-aa"),"")</f>
      </c>
      <c r="BC131" s="496" t="str">
        <f> IF(BC151&lt;&gt;"",TEXT(AUX!BG$1,"dd-MMM-aa"),"")</f>
      </c>
      <c r="BD131" s="496" t="str">
        <f> IF(BD151&lt;&gt;"",TEXT(AUX!BH$1,"dd-MMM-aa"),"")</f>
      </c>
      <c r="BE131" s="496" t="str">
        <f> IF(BE151&lt;&gt;"",TEXT(AUX!BI$1,"dd-MMM-aa"),"")</f>
      </c>
      <c r="BF131" s="496" t="str">
        <f> IF(BF151&lt;&gt;"",TEXT(AUX!BJ$1,"dd-MMM-aa"),"")</f>
      </c>
      <c r="BG131" s="496" t="str">
        <f> IF(BG151&lt;&gt;"",TEXT(AUX!BK$1,"dd-MMM-aa"),"")</f>
      </c>
      <c r="BH131" s="496" t="str">
        <f> IF(BH151&lt;&gt;"",TEXT(AUX!BL$1,"dd-MMM-aa"),"")</f>
      </c>
      <c r="BI131" s="496" t="str">
        <f> IF(BI151&lt;&gt;"",TEXT(AUX!BM$1,"dd-MMM-aa"),"")</f>
      </c>
      <c r="BJ131" s="496" t="str">
        <f> IF(BJ151&lt;&gt;"",TEXT(AUX!BN$1,"dd-MMM-aa"),"")</f>
      </c>
      <c r="BK131" s="496" t="str">
        <f> IF(BK151&lt;&gt;"",TEXT(AUX!BO$1,"dd-MMM-aa"),"")</f>
      </c>
      <c r="BL131" s="496" t="str">
        <f> IF(BL151&lt;&gt;"",TEXT(AUX!BP$1,"dd-MMM-aa"),"")</f>
      </c>
      <c r="BM131" s="496" t="str">
        <f> IF(BM151&lt;&gt;"",TEXT(AUX!BQ$1,"dd-MMM-aa"),"")</f>
      </c>
      <c r="BN131" s="496" t="str">
        <f> IF(BN151&lt;&gt;"",TEXT(AUX!BR$1,"dd-MMM-aa"),"")</f>
      </c>
      <c r="BO131" s="496" t="str">
        <f> IF(BO151&lt;&gt;"",TEXT(AUX!BS$1,"dd-MMM-aa"),"")</f>
      </c>
      <c r="BP131" s="496" t="str">
        <f> IF(BP151&lt;&gt;"",TEXT(AUX!BT$1,"dd-MMM-aa"),"")</f>
      </c>
      <c r="BQ131" s="496" t="str">
        <f> IF(BQ151&lt;&gt;"",TEXT(AUX!BU$1,"dd-MMM-aa"),"")</f>
      </c>
      <c r="BR131" s="496" t="str">
        <f> IF(BR151&lt;&gt;"",TEXT(AUX!BV$1,"dd-MMM-aa"),"")</f>
      </c>
      <c r="BS131" s="496" t="str">
        <f> IF(BS151&lt;&gt;"",TEXT(AUX!BW$1,"dd-MMM-aa"),"")</f>
      </c>
      <c r="BT131" s="496" t="str">
        <f> IF(BT151&lt;&gt;"",TEXT(AUX!BX$1,"dd-MMM-aa"),"")</f>
      </c>
      <c r="BU131" s="496" t="str">
        <f> IF(BU151&lt;&gt;"",TEXT(AUX!BY$1,"dd-MMM-aa"),"")</f>
      </c>
      <c r="BV131" s="496" t="str">
        <f> IF(BV151&lt;&gt;"",TEXT(AUX!BZ$1,"dd-MMM-aa"),"")</f>
      </c>
      <c r="BW131" s="496" t="str">
        <f> IF(BW151&lt;&gt;"",TEXT(AUX!CA$1,"dd-MMM-aa"),"")</f>
      </c>
      <c r="BX131" s="496" t="str">
        <f> IF(BX151&lt;&gt;"",TEXT(AUX!CB$1,"dd-MMM-aa"),"")</f>
      </c>
      <c r="BY131" s="496" t="str">
        <f> IF(BY151&lt;&gt;"",TEXT(AUX!CC$1,"dd-MMM-aa"),"")</f>
      </c>
      <c r="BZ131" s="496" t="str">
        <f> IF(BZ151&lt;&gt;"",TEXT(AUX!CD$1,"dd-MMM-aa"),"")</f>
      </c>
      <c r="CA131" s="496" t="str">
        <f> IF(CA151&lt;&gt;"",TEXT(AUX!CE$1,"dd-MMM-aa"),"")</f>
      </c>
      <c r="CB131" s="496" t="str">
        <f> IF(CB151&lt;&gt;"",TEXT(AUX!CF$1,"dd-MMM-aa"),"")</f>
      </c>
      <c r="CC131" s="496" t="str">
        <f> IF(CC151&lt;&gt;"",TEXT(AUX!CG$1,"dd-MMM-aa"),"")</f>
      </c>
      <c r="CD131" s="496" t="str">
        <f> IF(CD151&lt;&gt;"",TEXT(AUX!CH$1,"dd-MMM-aa"),"")</f>
      </c>
      <c r="CE131" s="496" t="str">
        <f> IF(CE151&lt;&gt;"",TEXT(AUX!CI$1,"dd-MMM-aa"),"")</f>
      </c>
      <c r="CF131" s="496" t="str">
        <f> IF(CF151&lt;&gt;"",TEXT(AUX!CJ$1,"dd-MMM-aa"),"")</f>
      </c>
      <c r="CG131" s="496" t="str">
        <f> IF(CG151&lt;&gt;"",TEXT(AUX!CK$1,"dd-MMM-aa"),"")</f>
      </c>
      <c r="CH131" s="496" t="str">
        <f> IF(CH151&lt;&gt;"",TEXT(AUX!CL$1,"dd-MMM-aa"),"")</f>
      </c>
      <c r="CI131" s="496" t="str">
        <f> IF(CI151&lt;&gt;"",TEXT(AUX!CM$1,"dd-MMM-aa"),"")</f>
      </c>
      <c r="CJ131" s="496" t="str">
        <f> IF(CJ151&lt;&gt;"",TEXT(AUX!CN$1,"dd-MMM-aa"),"")</f>
      </c>
      <c r="CK131" s="496" t="str">
        <f> IF(CK151&lt;&gt;"",TEXT(AUX!CO$1,"dd-MMM-aa"),"")</f>
      </c>
      <c r="CL131" s="496" t="str">
        <f> IF(CL151&lt;&gt;"",TEXT(AUX!CP$1,"dd-MMM-aa"),"")</f>
      </c>
      <c r="CM131" s="496" t="str">
        <f> IF(CM151&lt;&gt;"",TEXT(AUX!CQ$1,"dd-MMM-aa"),"")</f>
      </c>
      <c r="CN131" s="496" t="str">
        <f> IF(CN151&lt;&gt;"",TEXT(AUX!CR$1,"dd-MMM-aa"),"")</f>
      </c>
      <c r="CO131" s="496" t="str">
        <f> IF(CO151&lt;&gt;"",TEXT(AUX!CS$1,"dd-MMM-aa"),"")</f>
      </c>
      <c r="CP131" s="496" t="str">
        <f> IF(CP151&lt;&gt;"",TEXT(AUX!CT$1,"dd-MMM-aa"),"")</f>
      </c>
      <c r="CQ131" s="496" t="str">
        <f> IF(CQ151&lt;&gt;"",TEXT(AUX!CU$1,"dd-MMM-aa"),"")</f>
      </c>
      <c r="CR131" s="496" t="str">
        <f> IF(CR151&lt;&gt;"",TEXT(AUX!CV$1,"dd-MMM-aa"),"")</f>
      </c>
      <c r="CS131" s="496" t="str">
        <f> IF(CS151&lt;&gt;"",TEXT(AUX!CW$1,"dd-MMM-aa"),"")</f>
      </c>
      <c r="CT131" s="496" t="str">
        <f> IF(CT151&lt;&gt;"",TEXT(AUX!CX$1,"dd-MMM-aa"),"")</f>
      </c>
      <c r="CU131" s="496" t="str">
        <f> IF(CU151&lt;&gt;"",TEXT(AUX!CY$1,"dd-MMM-aa"),"")</f>
      </c>
      <c r="CV131" s="496" t="str">
        <f> IF(CV151&lt;&gt;"",TEXT(AUX!CZ$1,"dd-MMM-aa"),"")</f>
      </c>
      <c r="CW131" s="496" t="str">
        <f> IF(CW151&lt;&gt;"",TEXT(AUX!DA$1,"dd-MMM-aa"),"")</f>
      </c>
      <c r="CX131" s="496" t="str">
        <f> IF(CX151&lt;&gt;"",TEXT(AUX!DB$1,"dd-MMM-aa"),"")</f>
      </c>
      <c r="CY131" s="496" t="str">
        <f> IF(CY151&lt;&gt;"",TEXT(AUX!DC$1,"dd-MMM-aa"),"")</f>
      </c>
      <c r="CZ131" s="496" t="str">
        <f> IF(CZ151&lt;&gt;"",TEXT(AUX!DD$1,"dd-MMM-aa"),"")</f>
      </c>
      <c r="DA131" s="496" t="str">
        <f> IF(DA151&lt;&gt;"",TEXT(AUX!DE$1,"dd-MMM-aa"),"")</f>
      </c>
      <c r="DB131" s="496" t="str">
        <f> IF(DB151&lt;&gt;"",TEXT(AUX!DF$1,"dd-MMM-aa"),"")</f>
      </c>
      <c r="DC131" s="496" t="str">
        <f> IF(DC151&lt;&gt;"",TEXT(AUX!DG$1,"dd-MMM-aa"),"")</f>
      </c>
      <c r="DD131" s="496" t="str">
        <f> IF(DD151&lt;&gt;"",TEXT(AUX!DH$1,"dd-MMM-aa"),"")</f>
      </c>
      <c r="DE131" s="496" t="str">
        <f> IF(DE151&lt;&gt;"",TEXT(AUX!DI$1,"dd-MMM-aa"),"")</f>
      </c>
      <c r="DF131" s="496" t="str">
        <f> IF(DF151&lt;&gt;"",TEXT(AUX!DJ$1,"dd-MMM-aa"),"")</f>
      </c>
      <c r="DG131" s="496" t="str">
        <f> IF(DG151&lt;&gt;"",TEXT(AUX!DK$1,"dd-MMM-aa"),"")</f>
      </c>
      <c r="DH131" s="496" t="str">
        <f> IF(DH151&lt;&gt;"",TEXT(AUX!DL$1,"dd-MMM-aa"),"")</f>
      </c>
      <c r="DI131" s="496" t="str">
        <f> IF(DI151&lt;&gt;"",TEXT(AUX!DM$1,"dd-MMM-aa"),"")</f>
      </c>
      <c r="DJ131" s="496" t="str">
        <f> IF(DJ151&lt;&gt;"",TEXT(AUX!DN$1,"dd-MMM-aa"),"")</f>
      </c>
      <c r="DK131" s="496" t="str">
        <f> IF(DK151&lt;&gt;"",TEXT(AUX!DO$1,"dd-MMM-aa"),"")</f>
      </c>
      <c r="DL131" s="496" t="str">
        <f> IF(DL151&lt;&gt;"",TEXT(AUX!DP$1,"dd-MMM-aa"),"")</f>
      </c>
      <c r="DM131" s="496" t="str">
        <f> IF(DM151&lt;&gt;"",TEXT(AUX!DQ$1,"dd-MMM-aa"),"")</f>
      </c>
      <c r="DN131" s="496" t="str">
        <f> IF(DN151&lt;&gt;"",TEXT(AUX!DR$1,"dd-MMM-aa"),"")</f>
      </c>
      <c r="DO131" s="496" t="str">
        <f> IF(DO151&lt;&gt;"",TEXT(AUX!DS$1,"dd-MMM-aa"),"")</f>
      </c>
      <c r="DP131" s="496" t="str">
        <f> IF(DP151&lt;&gt;"",TEXT(AUX!DT$1,"dd-MMM-aa"),"")</f>
      </c>
      <c r="DQ131" s="496" t="str">
        <f> IF(DQ151&lt;&gt;"",TEXT(AUX!DU$1,"dd-MMM-aa"),"")</f>
      </c>
      <c r="DR131" s="496" t="str">
        <f> IF(DR151&lt;&gt;"",TEXT(AUX!DV$1,"dd-MMM-aa"),"")</f>
      </c>
      <c r="DS131" s="496" t="str">
        <f> IF(DS151&lt;&gt;"",TEXT(AUX!DW$1,"dd-MMM-aa"),"")</f>
      </c>
      <c r="DT131" s="496" t="str">
        <f> IF(DT151&lt;&gt;"",TEXT(AUX!DX$1,"dd-MMM-aa"),"")</f>
      </c>
      <c r="DU131" s="496" t="str">
        <f> IF(DU151&lt;&gt;"",TEXT(AUX!DY$1,"dd-MMM-aa"),"")</f>
      </c>
      <c r="DV131" s="496" t="str">
        <f> IF(DV151&lt;&gt;"",TEXT(AUX!DZ$1,"dd-MMM-aa"),"")</f>
      </c>
      <c r="DW131" s="496" t="str">
        <f> IF(DW151&lt;&gt;"",TEXT(AUX!EA$1,"dd-MMM-aa"),"")</f>
      </c>
      <c r="DX131" s="496" t="str">
        <f> IF(DX151&lt;&gt;"",TEXT(AUX!EB$1,"dd-MMM-aa"),"")</f>
      </c>
      <c r="DY131" s="496" t="str">
        <f> IF(DY151&lt;&gt;"",TEXT(AUX!EC$1,"dd-MMM-aa"),"")</f>
      </c>
      <c r="DZ131" s="496" t="str">
        <f> IF(DZ151&lt;&gt;"",TEXT(AUX!ED$1,"dd-MMM-aa"),"")</f>
      </c>
      <c r="EA131" s="496" t="str">
        <f> IF(EA151&lt;&gt;"",TEXT(AUX!EE$1,"dd-MMM-aa"),"")</f>
      </c>
      <c r="EB131" s="496" t="str">
        <f> IF(EB151&lt;&gt;"",TEXT(AUX!EF$1,"dd-MMM-aa"),"")</f>
      </c>
      <c r="EC131" s="496" t="str">
        <f> IF(EC151&lt;&gt;"",TEXT(AUX!EG$1,"dd-MMM-aa"),"")</f>
      </c>
      <c r="ED131" s="496" t="str">
        <f> IF(ED151&lt;&gt;"",TEXT(AUX!EH$1,"dd-MMM-aa"),"")</f>
      </c>
      <c r="EE131" s="496" t="str">
        <f> IF(EE151&lt;&gt;"",TEXT(AUX!EI$1,"dd-MMM-aa"),"")</f>
      </c>
      <c r="EF131" s="496" t="str">
        <f> IF(EF151&lt;&gt;"",TEXT(AUX!EJ$1,"dd-MMM-aa"),"")</f>
      </c>
      <c r="EG131" s="496" t="str">
        <f> IF(EG151&lt;&gt;"",TEXT(AUX!EK$1,"dd-MMM-aa"),"")</f>
      </c>
      <c r="EH131" s="496" t="str">
        <f> IF(EH151&lt;&gt;"",TEXT(AUX!EL$1,"dd-MMM-aa"),"")</f>
      </c>
      <c r="EI131" s="496" t="str">
        <f> IF(EI151&lt;&gt;"",TEXT(AUX!EM$1,"dd-MMM-aa"),"")</f>
      </c>
      <c r="EJ131" s="496" t="str">
        <f> IF(EJ151&lt;&gt;"",TEXT(AUX!EN$1,"dd-MMM-aa"),"")</f>
      </c>
      <c r="EK131" s="496" t="str">
        <f> IF(EK151&lt;&gt;"",TEXT(AUX!EO$1,"dd-MMM-aa"),"")</f>
      </c>
      <c r="EL131" s="496" t="str">
        <f> IF(EL151&lt;&gt;"",TEXT(AUX!EP$1,"dd-MMM-aa"),"")</f>
      </c>
      <c r="EM131" s="496" t="str">
        <f> IF(EM151&lt;&gt;"",TEXT(AUX!EQ$1,"dd-MMM-aa"),"")</f>
      </c>
      <c r="EN131" s="496" t="str">
        <f> IF(EN151&lt;&gt;"",TEXT(AUX!ER$1,"dd-MMM-aa"),"")</f>
      </c>
      <c r="EO131" s="496" t="str">
        <f> IF(EO151&lt;&gt;"",TEXT(AUX!ES$1,"dd-MMM-aa"),"")</f>
      </c>
      <c r="EP131" s="496" t="str">
        <f> IF(EP151&lt;&gt;"",TEXT(AUX!ET$1,"dd-MMM-aa"),"")</f>
      </c>
      <c r="EQ131" s="496" t="str">
        <f> IF(EQ151&lt;&gt;"",TEXT(AUX!EU$1,"dd-MMM-aa"),"")</f>
      </c>
      <c r="ER131" s="496" t="str">
        <f> IF(ER151&lt;&gt;"",TEXT(AUX!EV$1,"dd-MMM-aa"),"")</f>
      </c>
      <c r="ES131" s="496" t="str">
        <f> IF(ES151&lt;&gt;"",TEXT(AUX!EW$1,"dd-MMM-aa"),"")</f>
      </c>
      <c r="ET131" s="496" t="str">
        <f> IF(ET151&lt;&gt;"",TEXT(AUX!EX$1,"dd-MMM-aa"),"")</f>
      </c>
      <c r="EU131" s="496" t="str">
        <f> IF(EU151&lt;&gt;"",TEXT(AUX!EY$1,"dd-MMM-aa"),"")</f>
      </c>
      <c r="EV131" s="496" t="str">
        <f> IF(EV151&lt;&gt;"",TEXT(AUX!EZ$1,"dd-MMM-aa"),"")</f>
      </c>
      <c r="EW131" s="496" t="str">
        <f> IF(EW151&lt;&gt;"",TEXT(AUX!FA$1,"dd-MMM-aa"),"")</f>
      </c>
      <c r="EX131" s="496" t="str">
        <f> IF(EX151&lt;&gt;"",TEXT(AUX!FB$1,"dd-MMM-aa"),"")</f>
      </c>
      <c r="EY131" s="496" t="str">
        <f> IF(EY151&lt;&gt;"",TEXT(AUX!FC$1,"dd-MMM-aa"),"")</f>
      </c>
      <c r="EZ131" s="496" t="str">
        <f> IF(EZ151&lt;&gt;"",TEXT(AUX!FD$1,"dd-MMM-aa"),"")</f>
      </c>
      <c r="FA131" s="496" t="str">
        <f> IF(FA151&lt;&gt;"",TEXT(AUX!FE$1,"dd-MMM-aa"),"")</f>
      </c>
      <c r="FB131" s="496" t="str">
        <f> IF(FB151&lt;&gt;"",TEXT(AUX!FF$1,"dd-MMM-aa"),"")</f>
      </c>
      <c r="FC131" s="496" t="str">
        <f> IF(FC151&lt;&gt;"",TEXT(AUX!FG$1,"dd-MMM-aa"),"")</f>
      </c>
      <c r="FD131" s="496" t="str">
        <f> IF(FD151&lt;&gt;"",TEXT(AUX!FH$1,"dd-MMM-aa"),"")</f>
      </c>
      <c r="FE131" s="496" t="str">
        <f> IF(FE151&lt;&gt;"",TEXT(AUX!FI$1,"dd-MMM-aa"),"")</f>
      </c>
      <c r="FF131" s="496" t="str">
        <f> IF(FF151&lt;&gt;"",TEXT(AUX!FJ$1,"dd-MMM-aa"),"")</f>
      </c>
      <c r="FG131" s="496" t="str">
        <f> IF(FG151&lt;&gt;"",TEXT(AUX!FK$1,"dd-MMM-aa"),"")</f>
      </c>
      <c r="FH131" s="496" t="str">
        <f> IF(FH151&lt;&gt;"",TEXT(AUX!FL$1,"dd-MMM-aa"),"")</f>
      </c>
      <c r="FI131" s="496" t="str">
        <f> IF(FI151&lt;&gt;"",TEXT(AUX!FM$1,"dd-MMM-aa"),"")</f>
      </c>
      <c r="FJ131" s="496" t="str">
        <f> IF(FJ151&lt;&gt;"",TEXT(AUX!FN$1,"dd-MMM-aa"),"")</f>
      </c>
      <c r="FK131" s="496" t="str">
        <f> IF(FK151&lt;&gt;"",TEXT(AUX!FO$1,"dd-MMM-aa"),"")</f>
      </c>
      <c r="FL131" s="496" t="str">
        <f> IF(FL151&lt;&gt;"",TEXT(AUX!FP$1,"dd-MMM-aa"),"")</f>
      </c>
      <c r="FM131" s="496" t="str">
        <f> IF(FM151&lt;&gt;"",TEXT(AUX!FQ$1,"dd-MMM-aa"),"")</f>
      </c>
      <c r="FN131" s="496" t="str">
        <f> IF(FN151&lt;&gt;"",TEXT(AUX!FR$1,"dd-MMM-aa"),"")</f>
      </c>
      <c r="FO131" s="496" t="str">
        <f> IF(FO151&lt;&gt;"",TEXT(AUX!FS$1,"dd-MMM-aa"),"")</f>
      </c>
      <c r="FP131" s="496" t="str">
        <f> IF(FP151&lt;&gt;"",TEXT(AUX!FT$1,"dd-MMM-aa"),"")</f>
      </c>
      <c r="FQ131" s="496" t="str">
        <f> IF(FQ151&lt;&gt;"",TEXT(AUX!FU$1,"dd-MMM-aa"),"")</f>
      </c>
      <c r="FR131" s="496" t="str">
        <f> IF(FR151&lt;&gt;"",TEXT(AUX!FV$1,"dd-MMM-aa"),"")</f>
      </c>
      <c r="FS131" s="496" t="str">
        <f> IF(FS151&lt;&gt;"",TEXT(AUX!FW$1,"dd-MMM-aa"),"")</f>
      </c>
      <c r="FT131" s="496" t="str">
        <f> IF(FT151&lt;&gt;"",TEXT(AUX!FX$1,"dd-MMM-aa"),"")</f>
      </c>
      <c r="FU131" s="496" t="str">
        <f> IF(FU151&lt;&gt;"",TEXT(AUX!FY$1,"dd-MMM-aa"),"")</f>
      </c>
      <c r="FV131" s="496" t="str">
        <f> IF(FV151&lt;&gt;"",TEXT(AUX!FZ$1,"dd-MMM-aa"),"")</f>
      </c>
      <c r="FW131" s="496" t="str">
        <f> IF(FW151&lt;&gt;"",TEXT(AUX!GA$1,"dd-MMM-aa"),"")</f>
      </c>
      <c r="FX131" s="496" t="str">
        <f> IF(FX151&lt;&gt;"",TEXT(AUX!GB$1,"dd-MMM-aa"),"")</f>
      </c>
      <c r="FY131" s="496" t="str">
        <f> IF(FY151&lt;&gt;"",TEXT(AUX!GC$1,"dd-MMM-aa"),"")</f>
      </c>
      <c r="FZ131" s="496" t="str">
        <f> IF(FZ151&lt;&gt;"",TEXT(AUX!GD$1,"dd-MMM-aa"),"")</f>
      </c>
      <c r="GA131" s="496" t="str">
        <f> IF(GA151&lt;&gt;"",TEXT(AUX!GE$1,"dd-MMM-aa"),"")</f>
      </c>
      <c r="GB131" s="496" t="str">
        <f> IF(GB151&lt;&gt;"",TEXT(AUX!GF$1,"dd-MMM-aa"),"")</f>
      </c>
      <c r="GC131" s="496" t="str">
        <f> IF(GC151&lt;&gt;"",TEXT(AUX!GG$1,"dd-MMM-aa"),"")</f>
      </c>
      <c r="GD131" s="496" t="str">
        <f> IF(GD151&lt;&gt;"",TEXT(AUX!GH$1,"dd-MMM-aa"),"")</f>
      </c>
      <c r="GE131" s="496" t="str">
        <f> IF(GE151&lt;&gt;"",TEXT(AUX!GI$1,"dd-MMM-aa"),"")</f>
      </c>
      <c r="GF131" s="496" t="str">
        <f> IF(GF151&lt;&gt;"",TEXT(AUX!GJ$1,"dd-MMM-aa"),"")</f>
      </c>
      <c r="GG131" s="496" t="str">
        <f> IF(GG151&lt;&gt;"",TEXT(AUX!GK$1,"dd-MMM-aa"),"")</f>
      </c>
      <c r="GH131" s="496" t="str">
        <f> IF(GH151&lt;&gt;"",TEXT(AUX!GL$1,"dd-MMM-aa"),"")</f>
      </c>
      <c r="GI131" s="496" t="str">
        <f> IF(GI151&lt;&gt;"",TEXT(AUX!GM$1,"dd-MMM-aa"),"")</f>
      </c>
      <c r="GJ131" s="496" t="str">
        <f> IF(GJ151&lt;&gt;"",TEXT(AUX!GN$1,"dd-MMM-aa"),"")</f>
      </c>
      <c r="GK131" s="496" t="str">
        <f> IF(GK151&lt;&gt;"",TEXT(AUX!GO$1,"dd-MMM-aa"),"")</f>
      </c>
      <c r="GL131" s="496" t="str">
        <f> IF(GL151&lt;&gt;"",TEXT(AUX!GP$1,"dd-MMM-aa"),"")</f>
      </c>
      <c r="GM131" s="496" t="str">
        <f> IF(GM151&lt;&gt;"",TEXT(AUX!GQ$1,"dd-MMM-aa"),"")</f>
      </c>
      <c r="GN131" s="496" t="str">
        <f> IF(GN151&lt;&gt;"",TEXT(AUX!GR$1,"dd-MMM-aa"),"")</f>
      </c>
      <c r="GO131" s="496" t="str">
        <f> IF(GO151&lt;&gt;"",TEXT(AUX!GS$1,"dd-MMM-aa"),"")</f>
      </c>
      <c r="GP131" s="496" t="str">
        <f> IF(GP151&lt;&gt;"",TEXT(AUX!GT$1,"dd-MMM-aa"),"")</f>
      </c>
      <c r="GQ131" s="496" t="str">
        <f> IF(GQ151&lt;&gt;"",TEXT(AUX!GU$1,"dd-MMM-aa"),"")</f>
      </c>
      <c r="GR131" s="496" t="str">
        <f> IF(GR151&lt;&gt;"",TEXT(AUX!GV$1,"dd-MMM-aa"),"")</f>
      </c>
      <c r="GS131" s="496" t="str">
        <f> IF(GS151&lt;&gt;"",TEXT(AUX!GW$1,"dd-MMM-aa"),"")</f>
      </c>
      <c r="GT131" s="496" t="str">
        <f> IF(GT151&lt;&gt;"",TEXT(AUX!GX$1,"dd-MMM-aa"),"")</f>
      </c>
      <c r="GU131" s="496" t="str">
        <f> IF(GU151&lt;&gt;"",TEXT(AUX!GY$1,"dd-MMM-aa"),"")</f>
      </c>
      <c r="GV131" s="496" t="str">
        <f> IF(GV151&lt;&gt;"",TEXT(AUX!GZ$1,"dd-MMM-aa"),"")</f>
      </c>
      <c r="GW131" s="496" t="str">
        <f> IF(GW151&lt;&gt;"",TEXT(AUX!HA$1,"dd-MMM-aa"),"")</f>
      </c>
      <c r="GX131" s="496" t="str">
        <f> IF(GX151&lt;&gt;"",TEXT(AUX!HB$1,"dd-MMM-aa"),"")</f>
      </c>
      <c r="GY131" s="496" t="str">
        <f> IF(GY151&lt;&gt;"",TEXT(AUX!HC$1,"dd-MMM-aa"),"")</f>
      </c>
      <c r="GZ131" s="496" t="str">
        <f> IF(GZ151&lt;&gt;"",TEXT(AUX!HD$1,"dd-MMM-aa"),"")</f>
      </c>
      <c r="HA131" s="496" t="str">
        <f> IF(HA151&lt;&gt;"",TEXT(AUX!HE$1,"dd-MMM-aa"),"")</f>
      </c>
      <c r="HB131" s="496" t="str">
        <f> IF(HB151&lt;&gt;"",TEXT(AUX!HF$1,"dd-MMM-aa"),"")</f>
      </c>
      <c r="HC131" s="496" t="str">
        <f> IF(HC151&lt;&gt;"",TEXT(AUX!HG$1,"dd-MMM-aa"),"")</f>
      </c>
      <c r="HD131" s="496" t="str">
        <f> IF(HD151&lt;&gt;"",TEXT(AUX!HH$1,"dd-MMM-aa"),"")</f>
      </c>
      <c r="HE131" s="496" t="str">
        <f> IF(HE151&lt;&gt;"",TEXT(AUX!HI$1,"dd-MMM-aa"),"")</f>
      </c>
      <c r="HF131" s="496" t="str">
        <f> IF(HF151&lt;&gt;"",TEXT(AUX!HJ$1,"dd-MMM-aa"),"")</f>
      </c>
      <c r="HG131" s="496" t="str">
        <f> IF(HG151&lt;&gt;"",TEXT(AUX!HK$1,"dd-MMM-aa"),"")</f>
      </c>
      <c r="HH131" s="496" t="str">
        <f> IF(HH151&lt;&gt;"",TEXT(AUX!HL$1,"dd-MMM-aa"),"")</f>
      </c>
      <c r="HI131" s="496" t="str">
        <f> IF(HI151&lt;&gt;"",TEXT(AUX!HM$1,"dd-MMM-aa"),"")</f>
      </c>
      <c r="HJ131" s="496" t="str">
        <f> IF(HJ151&lt;&gt;"",TEXT(AUX!HN$1,"dd-MMM-aa"),"")</f>
      </c>
      <c r="HK131" s="496" t="str">
        <f> IF(HK151&lt;&gt;"",TEXT(AUX!HO$1,"dd-MMM-aa"),"")</f>
      </c>
      <c r="HL131" s="496" t="str">
        <f> IF(HL151&lt;&gt;"",TEXT(AUX!HP$1,"dd-MMM-aa"),"")</f>
      </c>
      <c r="HM131" s="496" t="str">
        <f> IF(HM151&lt;&gt;"",TEXT(AUX!HQ$1,"dd-MMM-aa"),"")</f>
      </c>
      <c r="HN131" s="496" t="str">
        <f> IF(HN151&lt;&gt;"",TEXT(AUX!HR$1,"dd-MMM-aa"),"")</f>
      </c>
      <c r="HO131" s="496" t="str">
        <f> IF(HO151&lt;&gt;"",TEXT(AUX!HS$1,"dd-MMM-aa"),"")</f>
      </c>
      <c r="HP131" s="496" t="str">
        <f> IF(HP151&lt;&gt;"",TEXT(AUX!HT$1,"dd-MMM-aa"),"")</f>
      </c>
      <c r="HQ131" s="496" t="str">
        <f> IF(HQ151&lt;&gt;"",TEXT(AUX!HU$1,"dd-MMM-aa"),"")</f>
      </c>
      <c r="HR131" s="496" t="str">
        <f> IF(HR151&lt;&gt;"",TEXT(AUX!HV$1,"dd-MMM-aa"),"")</f>
      </c>
      <c r="HS131" s="496" t="str">
        <f> IF(HS151&lt;&gt;"",TEXT(AUX!HW$1,"dd-MMM-aa"),"")</f>
      </c>
      <c r="HT131" s="496" t="str">
        <f> IF(HT151&lt;&gt;"",TEXT(AUX!HX$1,"dd-MMM-aa"),"")</f>
      </c>
      <c r="HU131" s="496" t="str">
        <f> IF(HU151&lt;&gt;"",TEXT(AUX!HY$1,"dd-MMM-aa"),"")</f>
      </c>
      <c r="HV131" s="496" t="str">
        <f> IF(HV151&lt;&gt;"",TEXT(AUX!HZ$1,"dd-MMM-aa"),"")</f>
      </c>
      <c r="HW131" s="496" t="str">
        <f> IF(HW151&lt;&gt;"",TEXT(AUX!IA$1,"dd-MMM-aa"),"")</f>
      </c>
      <c r="HX131" s="496" t="str">
        <f> IF(HX151&lt;&gt;"",TEXT(AUX!IB$1,"dd-MMM-aa"),"")</f>
      </c>
      <c r="HY131" s="496" t="str">
        <f> IF(HY151&lt;&gt;"",TEXT(AUX!IC$1,"dd-MMM-aa"),"")</f>
      </c>
      <c r="HZ131" s="496" t="str">
        <f> IF(HZ151&lt;&gt;"",TEXT(AUX!ID$1,"dd-MMM-aa"),"")</f>
      </c>
      <c r="IA131" s="496" t="str">
        <f> IF(IA151&lt;&gt;"",TEXT(AUX!IE$1,"dd-MMM-aa"),"")</f>
      </c>
      <c r="IB131" s="496" t="str">
        <f> IF(IB151&lt;&gt;"",TEXT(AUX!IF$1,"dd-MMM-aa"),"")</f>
      </c>
      <c r="IC131" s="496" t="str">
        <f> IF(IC151&lt;&gt;"",TEXT(AUX!IG$1,"dd-MMM-aa"),"")</f>
      </c>
      <c r="ID131" s="496" t="str">
        <f> IF(ID151&lt;&gt;"",TEXT(AUX!IH$1,"dd-MMM-aa"),"")</f>
      </c>
      <c r="IE131" s="496" t="str">
        <f> IF(IE151&lt;&gt;"",TEXT(AUX!II$1,"dd-MMM-aa"),"")</f>
      </c>
      <c r="IF131" s="496" t="str">
        <f> IF(IF151&lt;&gt;"",TEXT(AUX!IJ$1,"dd-MMM-aa"),"")</f>
      </c>
      <c r="IG131" s="496" t="str">
        <f> IF(IG151&lt;&gt;"",TEXT(AUX!IK$1,"dd-MMM-aa"),"")</f>
      </c>
      <c r="IH131" s="496" t="str">
        <f> IF(IH151&lt;&gt;"",TEXT(AUX!IL$1,"dd-MMM-aa"),"")</f>
      </c>
      <c r="II131" s="496" t="str">
        <f> IF(II151&lt;&gt;"",TEXT(AUX!IM$1,"dd-MMM-aa"),"")</f>
      </c>
      <c r="IJ131" s="496" t="str">
        <f> IF(IJ151&lt;&gt;"",TEXT(AUX!IN$1,"dd-MMM-aa"),"")</f>
      </c>
      <c r="IK131" s="496" t="str">
        <f> IF(IK151&lt;&gt;"",TEXT(AUX!IO$1,"dd-MMM-aa"),"")</f>
      </c>
      <c r="IL131" s="496" t="str">
        <f> IF(IL151&lt;&gt;"",TEXT(AUX!IP$1,"dd-MMM-aa"),"")</f>
      </c>
      <c r="IM131" s="496" t="str">
        <f> IF(IM151&lt;&gt;"",TEXT(AUX!IQ$1,"dd-MMM-aa"),"")</f>
      </c>
      <c r="IN131" s="496" t="str">
        <f> IF(IN151&lt;&gt;"",TEXT(AUX!IR$1,"dd-MMM-aa"),"")</f>
      </c>
      <c r="IO131" s="496" t="str">
        <f> IF(IO151&lt;&gt;"",TEXT(AUX!IS$1,"dd-MMM-aa"),"")</f>
      </c>
      <c r="IP131" s="496" t="str">
        <f> IF(IP151&lt;&gt;"",TEXT(AUX!IT$1,"dd-MMM-aa"),"")</f>
      </c>
      <c r="IQ131" s="496" t="str">
        <f> IF(IQ151&lt;&gt;"",TEXT(AUX!IU$1,"dd-MMM-aa"),"")</f>
      </c>
      <c r="IR131" s="496" t="str">
        <f> IF(IR151&lt;&gt;"",TEXT(AUX!IV$1,"dd-MMM-aa"),"")</f>
      </c>
      <c r="IS131" s="496" t="str">
        <f> IF(IS151&lt;&gt;"",TEXT(AUX!#REF!,"dd-MMM-aa"),"")</f>
      </c>
      <c r="IT131" s="496" t="str">
        <f> IF(IT151&lt;&gt;"",TEXT(AUX!#REF!,"dd-MMM-aa"),"")</f>
      </c>
      <c r="IU131" s="496" t="str">
        <f> IF(IU151&lt;&gt;"",TEXT(AUX!#REF!,"dd-MMM-aa"),"")</f>
      </c>
      <c r="IV131" s="496" t="str">
        <f> IF(IV151&lt;&gt;"",TEXT(AUX!#REF!,"dd-MMM-aa"),"")</f>
      </c>
    </row>
    <row r="132" hidden="1">
      <c r="B132" s="822" t="s">
        <v>8</v>
      </c>
      <c r="C132" s="823">
        <v>1827848</v>
      </c>
      <c r="D132" s="823">
        <v>1946831</v>
      </c>
      <c r="E132" s="823">
        <v>1742184</v>
      </c>
      <c r="F132" s="823">
        <v>1847866</v>
      </c>
      <c r="G132" s="823">
        <v>1720553</v>
      </c>
      <c r="H132" s="823">
        <v>1683640</v>
      </c>
      <c r="I132" s="823">
        <v>1813507</v>
      </c>
      <c r="J132" s="823">
        <v>1825770</v>
      </c>
      <c r="K132" s="823">
        <v>1870789</v>
      </c>
      <c r="L132" s="823">
        <v>1818340</v>
      </c>
      <c r="M132" s="823">
        <v>1506708</v>
      </c>
      <c r="N132" s="823">
        <v>2110493</v>
      </c>
      <c r="O132" s="823">
        <v>2679576</v>
      </c>
      <c r="P132" s="823">
        <v>2821048</v>
      </c>
      <c r="Q132" s="823">
        <v>3125774</v>
      </c>
      <c r="R132" s="823">
        <v>2949294</v>
      </c>
      <c r="S132" s="823">
        <v>3281481</v>
      </c>
      <c r="T132" s="823">
        <v>3232052</v>
      </c>
      <c r="U132" s="823">
        <v>3658813</v>
      </c>
      <c r="V132" s="823">
        <v>3878789</v>
      </c>
      <c r="W132" s="823">
        <v>4124567</v>
      </c>
      <c r="X132" s="823">
        <v>4132171</v>
      </c>
      <c r="Y132" s="823">
        <v>4139859</v>
      </c>
      <c r="Z132" s="823">
        <v>4220719</v>
      </c>
      <c r="AA132" s="823">
        <v>4251459</v>
      </c>
      <c r="AB132" s="824">
        <v>4261239</v>
      </c>
      <c r="AC132" s="825">
        <v>4180613</v>
      </c>
      <c r="AD132" s="825">
        <v>4352167</v>
      </c>
      <c r="AE132" s="825">
        <v>4403735</v>
      </c>
      <c r="AF132" s="825">
        <v>4445001</v>
      </c>
      <c r="AG132" s="825">
        <v>4927530</v>
      </c>
      <c r="AH132" s="825">
        <v>4885376</v>
      </c>
      <c r="AI132" s="825">
        <v>3794271</v>
      </c>
      <c r="AJ132" s="825">
        <v>4827762</v>
      </c>
      <c r="AK132" s="825">
        <v>5774462</v>
      </c>
      <c r="AL132" s="825">
        <v>5441498</v>
      </c>
      <c r="AM132" s="825">
        <v>5613519</v>
      </c>
      <c r="AN132" s="825">
        <v>5719568</v>
      </c>
      <c r="AO132" s="825">
        <v>4752174</v>
      </c>
      <c r="AP132" s="825">
        <v>4338775</v>
      </c>
    </row>
    <row r="133" hidden="1">
      <c r="B133" s="826" t="s">
        <v>9</v>
      </c>
      <c r="C133" s="827">
        <v>50000</v>
      </c>
      <c r="D133" s="827">
        <v>58000</v>
      </c>
      <c r="E133" s="827">
        <v>58000</v>
      </c>
      <c r="F133" s="827">
        <v>58000</v>
      </c>
      <c r="G133" s="827">
        <v>58000</v>
      </c>
      <c r="H133" s="827">
        <v>58000</v>
      </c>
      <c r="I133" s="827">
        <v>58000</v>
      </c>
      <c r="J133" s="827">
        <v>58000</v>
      </c>
      <c r="K133" s="827">
        <v>46001</v>
      </c>
      <c r="L133" s="827">
        <v>58001</v>
      </c>
      <c r="M133" s="827">
        <v>58003</v>
      </c>
      <c r="N133" s="827">
        <v>58002</v>
      </c>
      <c r="O133" s="827">
        <v>58002</v>
      </c>
      <c r="P133" s="827">
        <v>157160</v>
      </c>
      <c r="Q133" s="827">
        <v>179656</v>
      </c>
      <c r="R133" s="827">
        <v>180265</v>
      </c>
      <c r="S133" s="827">
        <v>181733</v>
      </c>
      <c r="T133" s="827">
        <v>188158</v>
      </c>
      <c r="U133" s="827">
        <v>144134</v>
      </c>
      <c r="V133" s="827">
        <v>122619</v>
      </c>
      <c r="W133" s="827">
        <v>122623</v>
      </c>
      <c r="X133" s="827">
        <v>168428</v>
      </c>
      <c r="Y133" s="827">
        <v>177848</v>
      </c>
      <c r="Z133" s="827">
        <v>147633</v>
      </c>
      <c r="AA133" s="827">
        <v>431734</v>
      </c>
      <c r="AB133" s="827">
        <v>461581</v>
      </c>
      <c r="AC133" s="828">
        <v>640388</v>
      </c>
      <c r="AD133" s="828">
        <v>621718</v>
      </c>
      <c r="AE133" s="828">
        <v>615093</v>
      </c>
      <c r="AF133" s="828">
        <v>638581</v>
      </c>
      <c r="AG133" s="828">
        <v>699137</v>
      </c>
      <c r="AH133" s="828">
        <v>661609</v>
      </c>
      <c r="AI133" s="828">
        <v>594326</v>
      </c>
      <c r="AJ133" s="828">
        <v>612554</v>
      </c>
      <c r="AK133" s="828">
        <v>808842</v>
      </c>
      <c r="AL133" s="828">
        <v>812542</v>
      </c>
      <c r="AM133" s="828">
        <v>633785</v>
      </c>
      <c r="AN133" s="828">
        <v>606712</v>
      </c>
      <c r="AO133" s="828">
        <v>575059</v>
      </c>
      <c r="AP133" s="828">
        <v>575059</v>
      </c>
    </row>
    <row r="134" hidden="1">
      <c r="B134" s="829" t="s">
        <v>10</v>
      </c>
      <c r="C134" s="823">
        <v>0</v>
      </c>
      <c r="D134" s="823">
        <v>0</v>
      </c>
      <c r="E134" s="823">
        <v>0</v>
      </c>
      <c r="F134" s="823">
        <v>0</v>
      </c>
      <c r="G134" s="823">
        <v>0</v>
      </c>
      <c r="H134" s="823">
        <v>0</v>
      </c>
      <c r="I134" s="823">
        <v>42</v>
      </c>
      <c r="J134" s="823">
        <v>42</v>
      </c>
      <c r="K134" s="823">
        <v>57</v>
      </c>
      <c r="L134" s="823">
        <v>57</v>
      </c>
      <c r="M134" s="823">
        <v>97</v>
      </c>
      <c r="N134" s="823">
        <v>97</v>
      </c>
      <c r="O134" s="823">
        <v>113</v>
      </c>
      <c r="P134" s="823">
        <v>117</v>
      </c>
      <c r="Q134" s="823">
        <v>96</v>
      </c>
      <c r="R134" s="823">
        <v>96</v>
      </c>
      <c r="S134" s="823">
        <v>115</v>
      </c>
      <c r="T134" s="823">
        <v>117</v>
      </c>
      <c r="U134" s="823">
        <v>121</v>
      </c>
      <c r="V134" s="823">
        <v>121</v>
      </c>
      <c r="W134" s="823">
        <v>127</v>
      </c>
      <c r="X134" s="823">
        <v>127</v>
      </c>
      <c r="Y134" s="823">
        <v>4351</v>
      </c>
      <c r="Z134" s="823">
        <v>4351</v>
      </c>
      <c r="AA134" s="823">
        <v>4424</v>
      </c>
      <c r="AB134" s="823">
        <v>4424</v>
      </c>
      <c r="AC134" s="825">
        <v>224</v>
      </c>
      <c r="AD134" s="825">
        <v>224</v>
      </c>
      <c r="AE134" s="825">
        <v>122</v>
      </c>
      <c r="AF134" s="825">
        <v>122</v>
      </c>
      <c r="AG134" s="825">
        <v>151</v>
      </c>
      <c r="AH134" s="825">
        <v>151</v>
      </c>
      <c r="AI134" s="825">
        <v>154</v>
      </c>
      <c r="AJ134" s="825">
        <v>154</v>
      </c>
      <c r="AK134" s="825">
        <v>152</v>
      </c>
      <c r="AL134" s="825">
        <v>152</v>
      </c>
      <c r="AM134" s="825">
        <v>157</v>
      </c>
      <c r="AN134" s="825">
        <v>157</v>
      </c>
      <c r="AO134" s="825">
        <v>164</v>
      </c>
      <c r="AP134" s="825">
        <v>164</v>
      </c>
    </row>
    <row r="135" hidden="1">
      <c r="B135" s="826" t="s">
        <v>11</v>
      </c>
      <c r="C135" s="827">
        <v>9559</v>
      </c>
      <c r="D135" s="827">
        <v>11992</v>
      </c>
      <c r="E135" s="827">
        <v>10509</v>
      </c>
      <c r="F135" s="827">
        <v>10594</v>
      </c>
      <c r="G135" s="827">
        <v>9972</v>
      </c>
      <c r="H135" s="827">
        <v>9688</v>
      </c>
      <c r="I135" s="827">
        <v>8954</v>
      </c>
      <c r="J135" s="827">
        <v>8778</v>
      </c>
      <c r="K135" s="827">
        <v>8435</v>
      </c>
      <c r="L135" s="827">
        <v>8912</v>
      </c>
      <c r="M135" s="827">
        <v>6478</v>
      </c>
      <c r="N135" s="827">
        <v>6694</v>
      </c>
      <c r="O135" s="827">
        <v>5825</v>
      </c>
      <c r="P135" s="827">
        <v>5946</v>
      </c>
      <c r="Q135" s="827">
        <v>5955</v>
      </c>
      <c r="R135" s="827">
        <v>6120</v>
      </c>
      <c r="S135" s="827">
        <v>4092</v>
      </c>
      <c r="T135" s="827">
        <v>4100</v>
      </c>
      <c r="U135" s="827">
        <v>4103</v>
      </c>
      <c r="V135" s="827">
        <v>4111</v>
      </c>
      <c r="W135" s="827">
        <v>3988</v>
      </c>
      <c r="X135" s="827">
        <v>3978</v>
      </c>
      <c r="Y135" s="827">
        <v>3890</v>
      </c>
      <c r="Z135" s="827">
        <v>3892</v>
      </c>
      <c r="AA135" s="827">
        <v>3620</v>
      </c>
      <c r="AB135" s="827">
        <v>3617</v>
      </c>
      <c r="AC135" s="828">
        <v>2579</v>
      </c>
      <c r="AD135" s="828">
        <v>2443</v>
      </c>
      <c r="AE135" s="828">
        <v>2357</v>
      </c>
      <c r="AF135" s="828">
        <v>2357</v>
      </c>
      <c r="AG135" s="828">
        <v>2980</v>
      </c>
      <c r="AH135" s="828">
        <v>2990</v>
      </c>
      <c r="AI135" s="828">
        <v>2127</v>
      </c>
      <c r="AJ135" s="828">
        <v>2123</v>
      </c>
      <c r="AK135" s="828">
        <v>2178</v>
      </c>
      <c r="AL135" s="828">
        <v>1978</v>
      </c>
      <c r="AM135" s="828">
        <v>1985</v>
      </c>
      <c r="AN135" s="828">
        <v>1957</v>
      </c>
      <c r="AO135" s="828">
        <v>248</v>
      </c>
      <c r="AP135" s="828">
        <v>380</v>
      </c>
    </row>
    <row r="136" hidden="1">
      <c r="B136" s="829" t="s">
        <v>12</v>
      </c>
      <c r="C136" s="823">
        <v>566</v>
      </c>
      <c r="D136" s="823">
        <v>636</v>
      </c>
      <c r="E136" s="823">
        <v>675</v>
      </c>
      <c r="F136" s="823">
        <v>742</v>
      </c>
      <c r="G136" s="823">
        <v>794</v>
      </c>
      <c r="H136" s="823">
        <v>780</v>
      </c>
      <c r="I136" s="823">
        <v>679</v>
      </c>
      <c r="J136" s="823">
        <v>322</v>
      </c>
      <c r="K136" s="823">
        <v>327</v>
      </c>
      <c r="L136" s="823">
        <v>318</v>
      </c>
      <c r="M136" s="823">
        <v>331</v>
      </c>
      <c r="N136" s="823">
        <v>365</v>
      </c>
      <c r="O136" s="823">
        <v>314</v>
      </c>
      <c r="P136" s="823">
        <v>319</v>
      </c>
      <c r="Q136" s="823">
        <v>347</v>
      </c>
      <c r="R136" s="823">
        <v>347</v>
      </c>
      <c r="S136" s="823">
        <v>346</v>
      </c>
      <c r="T136" s="823">
        <v>335</v>
      </c>
      <c r="U136" s="823">
        <v>339</v>
      </c>
      <c r="V136" s="823">
        <v>354</v>
      </c>
      <c r="W136" s="823">
        <v>331</v>
      </c>
      <c r="X136" s="823">
        <v>333</v>
      </c>
      <c r="Y136" s="823">
        <v>292</v>
      </c>
      <c r="Z136" s="823">
        <v>305</v>
      </c>
      <c r="AA136" s="823">
        <v>282</v>
      </c>
      <c r="AB136" s="823">
        <v>308</v>
      </c>
      <c r="AC136" s="825">
        <v>222</v>
      </c>
      <c r="AD136" s="825">
        <v>213</v>
      </c>
      <c r="AE136" s="825">
        <v>157</v>
      </c>
      <c r="AF136" s="825">
        <v>148</v>
      </c>
      <c r="AG136" s="825">
        <v>168</v>
      </c>
      <c r="AH136" s="825">
        <v>213</v>
      </c>
      <c r="AI136" s="825">
        <v>192</v>
      </c>
      <c r="AJ136" s="825">
        <v>210</v>
      </c>
      <c r="AK136" s="825">
        <v>207</v>
      </c>
      <c r="AL136" s="825">
        <v>225</v>
      </c>
      <c r="AM136" s="825">
        <v>271</v>
      </c>
      <c r="AN136" s="825">
        <v>359</v>
      </c>
      <c r="AO136" s="825">
        <v>110</v>
      </c>
      <c r="AP136" s="825">
        <v>110</v>
      </c>
    </row>
    <row r="137" hidden="1">
      <c r="B137" s="826" t="s">
        <v>13</v>
      </c>
      <c r="C137" s="827">
        <v>0</v>
      </c>
      <c r="D137" s="827">
        <v>380</v>
      </c>
      <c r="E137" s="827">
        <v>388</v>
      </c>
      <c r="F137" s="827">
        <v>1468</v>
      </c>
      <c r="G137" s="827">
        <v>1530</v>
      </c>
      <c r="H137" s="827">
        <v>1522</v>
      </c>
      <c r="I137" s="827">
        <v>1481</v>
      </c>
      <c r="J137" s="827">
        <v>1471</v>
      </c>
      <c r="K137" s="827">
        <v>349</v>
      </c>
      <c r="L137" s="827">
        <v>669</v>
      </c>
      <c r="M137" s="827">
        <v>603</v>
      </c>
      <c r="N137" s="827">
        <v>1078</v>
      </c>
      <c r="O137" s="827">
        <v>1108</v>
      </c>
      <c r="P137" s="827">
        <v>1112</v>
      </c>
      <c r="Q137" s="827">
        <v>1112</v>
      </c>
      <c r="R137" s="827">
        <v>1116</v>
      </c>
      <c r="S137" s="827">
        <v>1116</v>
      </c>
      <c r="T137" s="827">
        <v>1111</v>
      </c>
      <c r="U137" s="827">
        <v>1130</v>
      </c>
      <c r="V137" s="827">
        <v>1116</v>
      </c>
      <c r="W137" s="827">
        <v>61</v>
      </c>
      <c r="X137" s="827">
        <v>68</v>
      </c>
      <c r="Y137" s="827">
        <v>87</v>
      </c>
      <c r="Z137" s="827">
        <v>76</v>
      </c>
      <c r="AA137" s="827">
        <v>100</v>
      </c>
      <c r="AB137" s="827">
        <v>88</v>
      </c>
      <c r="AC137" s="828">
        <v>71</v>
      </c>
      <c r="AD137" s="828">
        <v>76</v>
      </c>
      <c r="AE137" s="828">
        <v>125</v>
      </c>
      <c r="AF137" s="828">
        <v>121</v>
      </c>
      <c r="AG137" s="828">
        <v>140</v>
      </c>
      <c r="AH137" s="828">
        <v>129</v>
      </c>
      <c r="AI137" s="828">
        <v>136</v>
      </c>
      <c r="AJ137" s="828">
        <v>142</v>
      </c>
      <c r="AK137" s="828">
        <v>138</v>
      </c>
      <c r="AL137" s="828">
        <v>122</v>
      </c>
      <c r="AM137" s="828">
        <v>100</v>
      </c>
      <c r="AN137" s="828">
        <v>97</v>
      </c>
      <c r="AO137" s="828">
        <v>27</v>
      </c>
      <c r="AP137" s="828">
        <v>27</v>
      </c>
    </row>
    <row r="138" hidden="1">
      <c r="B138" s="829" t="s">
        <v>109</v>
      </c>
      <c r="C138" s="823">
        <v>5450</v>
      </c>
      <c r="D138" s="823">
        <v>5450</v>
      </c>
      <c r="E138" s="823">
        <v>5453</v>
      </c>
      <c r="F138" s="823">
        <v>5270</v>
      </c>
      <c r="G138" s="823">
        <v>2251</v>
      </c>
      <c r="H138" s="823">
        <v>2243</v>
      </c>
      <c r="I138" s="823">
        <v>2689</v>
      </c>
      <c r="J138" s="823">
        <v>2690</v>
      </c>
      <c r="K138" s="823">
        <v>5328</v>
      </c>
      <c r="L138" s="823">
        <v>5328</v>
      </c>
      <c r="M138" s="823">
        <v>3423</v>
      </c>
      <c r="N138" s="823">
        <v>3423</v>
      </c>
      <c r="O138" s="823">
        <v>3949</v>
      </c>
      <c r="P138" s="823">
        <v>3979</v>
      </c>
      <c r="Q138" s="823">
        <v>6875</v>
      </c>
      <c r="R138" s="823">
        <v>6879</v>
      </c>
      <c r="S138" s="823">
        <v>6205</v>
      </c>
      <c r="T138" s="823">
        <v>6204</v>
      </c>
      <c r="U138" s="823">
        <v>6210</v>
      </c>
      <c r="V138" s="823">
        <v>6294</v>
      </c>
      <c r="W138" s="823">
        <v>6217</v>
      </c>
      <c r="X138" s="823">
        <v>6217</v>
      </c>
      <c r="Y138" s="823">
        <v>15054</v>
      </c>
      <c r="Z138" s="823">
        <v>15080</v>
      </c>
      <c r="AA138" s="823">
        <v>14619</v>
      </c>
      <c r="AB138" s="823">
        <v>14619</v>
      </c>
      <c r="AC138" s="825">
        <v>35133</v>
      </c>
      <c r="AD138" s="825">
        <v>35133</v>
      </c>
      <c r="AE138" s="825">
        <v>17144</v>
      </c>
      <c r="AF138" s="825">
        <v>17161</v>
      </c>
      <c r="AG138" s="825">
        <v>17369</v>
      </c>
      <c r="AH138" s="825">
        <v>17369</v>
      </c>
      <c r="AI138" s="825">
        <v>12310</v>
      </c>
      <c r="AJ138" s="825">
        <v>12315</v>
      </c>
      <c r="AK138" s="825">
        <v>128586</v>
      </c>
      <c r="AL138" s="825">
        <v>128586</v>
      </c>
      <c r="AM138" s="825">
        <v>110238</v>
      </c>
      <c r="AN138" s="825">
        <v>96238</v>
      </c>
      <c r="AO138" s="825">
        <v>111157</v>
      </c>
      <c r="AP138" s="825">
        <v>111158</v>
      </c>
    </row>
    <row r="139" hidden="1">
      <c r="B139" s="826" t="s">
        <v>110</v>
      </c>
      <c r="C139" s="827">
        <v>322</v>
      </c>
      <c r="D139" s="827">
        <v>205</v>
      </c>
      <c r="E139" s="827">
        <v>220</v>
      </c>
      <c r="F139" s="827">
        <v>229</v>
      </c>
      <c r="G139" s="827">
        <v>244</v>
      </c>
      <c r="H139" s="827">
        <v>221</v>
      </c>
      <c r="I139" s="827">
        <v>228</v>
      </c>
      <c r="J139" s="827">
        <v>233</v>
      </c>
      <c r="K139" s="827">
        <v>252</v>
      </c>
      <c r="L139" s="827">
        <v>264</v>
      </c>
      <c r="M139" s="827">
        <v>260</v>
      </c>
      <c r="N139" s="827">
        <v>238</v>
      </c>
      <c r="O139" s="827">
        <v>183</v>
      </c>
      <c r="P139" s="827">
        <v>194</v>
      </c>
      <c r="Q139" s="827">
        <v>197</v>
      </c>
      <c r="R139" s="827">
        <v>202</v>
      </c>
      <c r="S139" s="827">
        <v>205</v>
      </c>
      <c r="T139" s="827">
        <v>7643</v>
      </c>
      <c r="U139" s="827">
        <v>222</v>
      </c>
      <c r="V139" s="827">
        <v>9557</v>
      </c>
      <c r="W139" s="827">
        <v>17925</v>
      </c>
      <c r="X139" s="827">
        <v>17933</v>
      </c>
      <c r="Y139" s="827">
        <v>141762</v>
      </c>
      <c r="Z139" s="827">
        <v>99281</v>
      </c>
      <c r="AA139" s="827">
        <v>356132</v>
      </c>
      <c r="AB139" s="827">
        <v>364038</v>
      </c>
      <c r="AC139" s="828">
        <v>575006</v>
      </c>
      <c r="AD139" s="828">
        <v>589997</v>
      </c>
      <c r="AE139" s="828">
        <v>638004</v>
      </c>
      <c r="AF139" s="828">
        <v>656720</v>
      </c>
      <c r="AG139" s="828">
        <v>801207</v>
      </c>
      <c r="AH139" s="828">
        <v>847320</v>
      </c>
      <c r="AI139" s="828">
        <v>790322</v>
      </c>
      <c r="AJ139" s="828">
        <v>726679</v>
      </c>
      <c r="AK139" s="828">
        <v>620677</v>
      </c>
      <c r="AL139" s="828">
        <v>620690</v>
      </c>
      <c r="AM139" s="828">
        <v>445561</v>
      </c>
      <c r="AN139" s="828">
        <v>96387</v>
      </c>
      <c r="AO139" s="828">
        <v>36627</v>
      </c>
      <c r="AP139" s="828">
        <v>36631</v>
      </c>
    </row>
    <row r="140" hidden="1">
      <c r="B140" s="829" t="s">
        <v>16</v>
      </c>
      <c r="C140" s="823">
        <v>1490122</v>
      </c>
      <c r="D140" s="823">
        <v>150902</v>
      </c>
      <c r="E140" s="823">
        <v>1560</v>
      </c>
      <c r="F140" s="823">
        <v>1555643</v>
      </c>
      <c r="G140" s="823">
        <v>1604829</v>
      </c>
      <c r="H140" s="823">
        <v>1611109</v>
      </c>
      <c r="I140" s="823">
        <v>1707168</v>
      </c>
      <c r="J140" s="823">
        <v>1700162</v>
      </c>
      <c r="K140" s="823">
        <v>1979344</v>
      </c>
      <c r="L140" s="823">
        <v>1994366</v>
      </c>
      <c r="M140" s="823">
        <v>2097198</v>
      </c>
      <c r="N140" s="823">
        <v>2045693</v>
      </c>
      <c r="O140" s="823">
        <v>2016976</v>
      </c>
      <c r="P140" s="823">
        <v>1872154</v>
      </c>
      <c r="Q140" s="823">
        <v>1945300</v>
      </c>
      <c r="R140" s="823">
        <v>1968468</v>
      </c>
      <c r="S140" s="823">
        <v>2123098</v>
      </c>
      <c r="T140" s="823">
        <v>2100219</v>
      </c>
      <c r="U140" s="823">
        <v>2644346</v>
      </c>
      <c r="V140" s="823">
        <v>2646247</v>
      </c>
      <c r="W140" s="823">
        <v>2646247</v>
      </c>
      <c r="X140" s="823">
        <v>2646247</v>
      </c>
      <c r="Y140" s="823">
        <v>2646247</v>
      </c>
      <c r="Z140" s="823">
        <v>2646247</v>
      </c>
      <c r="AA140" s="823">
        <v>3093443</v>
      </c>
      <c r="AB140" s="823">
        <v>3124062</v>
      </c>
      <c r="AC140" s="825">
        <v>3183192</v>
      </c>
      <c r="AD140" s="825">
        <v>3240825</v>
      </c>
      <c r="AE140" s="825">
        <v>3236210</v>
      </c>
      <c r="AF140" s="825">
        <v>3476861</v>
      </c>
      <c r="AG140" s="825">
        <v>2821771</v>
      </c>
      <c r="AH140" s="825">
        <v>2810297</v>
      </c>
      <c r="AI140" s="825">
        <v>3260345</v>
      </c>
      <c r="AJ140" s="825">
        <v>3175394</v>
      </c>
      <c r="AK140" s="825">
        <v>3132575</v>
      </c>
      <c r="AL140" s="825">
        <v>3085201</v>
      </c>
      <c r="AM140" s="825">
        <v>6039766</v>
      </c>
      <c r="AN140" s="825">
        <v>6201940</v>
      </c>
      <c r="AO140" s="825">
        <v>2347353</v>
      </c>
      <c r="AP140" s="825">
        <v>2143167</v>
      </c>
    </row>
    <row r="141" hidden="1">
      <c r="B141" s="826" t="s">
        <v>17</v>
      </c>
      <c r="C141" s="827">
        <v>8602</v>
      </c>
      <c r="D141" s="827">
        <v>8638</v>
      </c>
      <c r="E141" s="827">
        <v>8710</v>
      </c>
      <c r="F141" s="827">
        <v>8767</v>
      </c>
      <c r="G141" s="827">
        <v>8779</v>
      </c>
      <c r="H141" s="827">
        <v>377</v>
      </c>
      <c r="I141" s="827">
        <v>393</v>
      </c>
      <c r="J141" s="827">
        <v>3302</v>
      </c>
      <c r="K141" s="827">
        <v>12224</v>
      </c>
      <c r="L141" s="827">
        <v>4192</v>
      </c>
      <c r="M141" s="827">
        <v>4192</v>
      </c>
      <c r="N141" s="827">
        <v>4235</v>
      </c>
      <c r="O141" s="827">
        <v>4187</v>
      </c>
      <c r="P141" s="827">
        <v>4189</v>
      </c>
      <c r="Q141" s="827">
        <v>4112</v>
      </c>
      <c r="R141" s="827">
        <v>8112</v>
      </c>
      <c r="S141" s="827">
        <v>270</v>
      </c>
      <c r="T141" s="827">
        <v>272</v>
      </c>
      <c r="U141" s="827">
        <v>13573</v>
      </c>
      <c r="V141" s="827">
        <v>13593</v>
      </c>
      <c r="W141" s="827">
        <v>67543</v>
      </c>
      <c r="X141" s="827">
        <v>65254</v>
      </c>
      <c r="Y141" s="827">
        <v>219905</v>
      </c>
      <c r="Z141" s="827">
        <v>228665</v>
      </c>
      <c r="AA141" s="827">
        <v>243642</v>
      </c>
      <c r="AB141" s="827">
        <v>243635</v>
      </c>
      <c r="AC141" s="828">
        <v>187801</v>
      </c>
      <c r="AD141" s="828">
        <v>187800</v>
      </c>
      <c r="AE141" s="828">
        <v>254857</v>
      </c>
      <c r="AF141" s="828">
        <v>234734</v>
      </c>
      <c r="AG141" s="828">
        <v>265830</v>
      </c>
      <c r="AH141" s="828">
        <v>265845</v>
      </c>
      <c r="AI141" s="828">
        <v>231839</v>
      </c>
      <c r="AJ141" s="828">
        <v>231881</v>
      </c>
      <c r="AK141" s="828">
        <v>336069</v>
      </c>
      <c r="AL141" s="828">
        <v>345067</v>
      </c>
      <c r="AM141" s="828">
        <v>389208</v>
      </c>
      <c r="AN141" s="828">
        <v>389229</v>
      </c>
      <c r="AO141" s="828">
        <v>220583</v>
      </c>
      <c r="AP141" s="828">
        <v>236963</v>
      </c>
    </row>
    <row r="142" hidden="1">
      <c r="B142" s="829" t="s">
        <v>18</v>
      </c>
      <c r="C142" s="823">
        <v>0</v>
      </c>
      <c r="D142" s="823">
        <v>27198</v>
      </c>
      <c r="E142" s="823">
        <v>46258</v>
      </c>
      <c r="F142" s="823">
        <v>104084</v>
      </c>
      <c r="G142" s="823">
        <v>422494</v>
      </c>
      <c r="H142" s="823">
        <v>650656</v>
      </c>
      <c r="I142" s="823">
        <v>2676330</v>
      </c>
      <c r="J142" s="823">
        <v>2756781</v>
      </c>
      <c r="K142" s="823">
        <v>2051397</v>
      </c>
      <c r="L142" s="823">
        <v>2110292</v>
      </c>
      <c r="M142" s="823">
        <v>2486866</v>
      </c>
      <c r="N142" s="823">
        <v>2337733</v>
      </c>
      <c r="O142" s="823">
        <v>1789643</v>
      </c>
      <c r="P142" s="823">
        <v>1635399</v>
      </c>
      <c r="Q142" s="823">
        <v>1349461</v>
      </c>
      <c r="R142" s="823">
        <v>1299106</v>
      </c>
      <c r="S142" s="823">
        <v>2137366</v>
      </c>
      <c r="T142" s="823">
        <v>2046994</v>
      </c>
      <c r="U142" s="823">
        <v>2164863</v>
      </c>
      <c r="V142" s="823">
        <v>2074701</v>
      </c>
      <c r="W142" s="823">
        <v>3393105</v>
      </c>
      <c r="X142" s="823">
        <v>3042282</v>
      </c>
      <c r="Y142" s="823">
        <v>4797416</v>
      </c>
      <c r="Z142" s="823">
        <v>2324514</v>
      </c>
      <c r="AA142" s="823">
        <v>3366092</v>
      </c>
      <c r="AB142" s="823">
        <v>3313118</v>
      </c>
      <c r="AC142" s="825">
        <v>3117990</v>
      </c>
      <c r="AD142" s="825">
        <v>3093334</v>
      </c>
      <c r="AE142" s="825">
        <v>3047243</v>
      </c>
      <c r="AF142" s="825">
        <v>3015604</v>
      </c>
      <c r="AG142" s="825">
        <v>5114460</v>
      </c>
      <c r="AH142" s="825">
        <v>5044698</v>
      </c>
      <c r="AI142" s="825">
        <v>5434458</v>
      </c>
      <c r="AJ142" s="825">
        <v>5414740</v>
      </c>
      <c r="AK142" s="825">
        <v>5441484</v>
      </c>
      <c r="AL142" s="825">
        <v>5429128</v>
      </c>
      <c r="AM142" s="825">
        <v>4957076</v>
      </c>
      <c r="AN142" s="825">
        <v>4957076</v>
      </c>
      <c r="AO142" s="825">
        <v>1291330</v>
      </c>
      <c r="AP142" s="825">
        <v>1291330</v>
      </c>
    </row>
    <row r="143" hidden="1">
      <c r="B143" s="826" t="s">
        <v>19</v>
      </c>
      <c r="C143" s="827">
        <v>35</v>
      </c>
      <c r="D143" s="827">
        <v>29</v>
      </c>
      <c r="E143" s="827">
        <v>41</v>
      </c>
      <c r="F143" s="827">
        <v>41</v>
      </c>
      <c r="G143" s="827">
        <v>25</v>
      </c>
      <c r="H143" s="827">
        <v>31</v>
      </c>
      <c r="I143" s="827">
        <v>36</v>
      </c>
      <c r="J143" s="827">
        <v>48</v>
      </c>
      <c r="K143" s="827">
        <v>58</v>
      </c>
      <c r="L143" s="827">
        <v>61</v>
      </c>
      <c r="M143" s="827">
        <v>70</v>
      </c>
      <c r="N143" s="827">
        <v>70</v>
      </c>
      <c r="O143" s="827">
        <v>85</v>
      </c>
      <c r="P143" s="827">
        <v>83</v>
      </c>
      <c r="Q143" s="827">
        <v>83</v>
      </c>
      <c r="R143" s="827">
        <v>85</v>
      </c>
      <c r="S143" s="827">
        <v>93</v>
      </c>
      <c r="T143" s="827">
        <v>93</v>
      </c>
      <c r="U143" s="827">
        <v>88</v>
      </c>
      <c r="V143" s="827">
        <v>118</v>
      </c>
      <c r="W143" s="827">
        <v>114</v>
      </c>
      <c r="X143" s="827">
        <v>118</v>
      </c>
      <c r="Y143" s="827">
        <v>107</v>
      </c>
      <c r="Z143" s="827">
        <v>114</v>
      </c>
      <c r="AA143" s="827">
        <v>119</v>
      </c>
      <c r="AB143" s="827">
        <v>119</v>
      </c>
      <c r="AC143" s="828">
        <v>128</v>
      </c>
      <c r="AD143" s="828">
        <v>128</v>
      </c>
      <c r="AE143" s="828">
        <v>131</v>
      </c>
      <c r="AF143" s="828">
        <v>110</v>
      </c>
      <c r="AG143" s="828">
        <v>106</v>
      </c>
      <c r="AH143" s="828">
        <v>106</v>
      </c>
      <c r="AI143" s="828">
        <v>117</v>
      </c>
      <c r="AJ143" s="828">
        <v>132</v>
      </c>
      <c r="AK143" s="828">
        <v>110</v>
      </c>
      <c r="AL143" s="828">
        <v>109</v>
      </c>
      <c r="AM143" s="828">
        <v>127</v>
      </c>
      <c r="AN143" s="828">
        <v>127</v>
      </c>
      <c r="AO143" s="828">
        <v>170</v>
      </c>
      <c r="AP143" s="828">
        <v>186</v>
      </c>
    </row>
    <row r="144" hidden="1">
      <c r="B144" s="829" t="s">
        <v>20</v>
      </c>
      <c r="C144" s="823">
        <v>89250</v>
      </c>
      <c r="D144" s="823">
        <v>89250</v>
      </c>
      <c r="E144" s="823">
        <v>77250</v>
      </c>
      <c r="F144" s="823">
        <v>83550</v>
      </c>
      <c r="G144" s="823">
        <v>133150</v>
      </c>
      <c r="H144" s="823">
        <v>133152</v>
      </c>
      <c r="I144" s="823">
        <v>208145</v>
      </c>
      <c r="J144" s="823">
        <v>227945</v>
      </c>
      <c r="K144" s="823">
        <v>244185</v>
      </c>
      <c r="L144" s="823">
        <v>244687</v>
      </c>
      <c r="M144" s="823">
        <v>334247</v>
      </c>
      <c r="N144" s="823">
        <v>325032</v>
      </c>
      <c r="O144" s="823">
        <v>249971</v>
      </c>
      <c r="P144" s="823">
        <v>251460</v>
      </c>
      <c r="Q144" s="823">
        <v>300516</v>
      </c>
      <c r="R144" s="823">
        <v>293437</v>
      </c>
      <c r="S144" s="823">
        <v>242602</v>
      </c>
      <c r="T144" s="823">
        <v>247985</v>
      </c>
      <c r="U144" s="823">
        <v>227378</v>
      </c>
      <c r="V144" s="823">
        <v>227915</v>
      </c>
      <c r="W144" s="823">
        <v>326903</v>
      </c>
      <c r="X144" s="823">
        <v>326934</v>
      </c>
      <c r="Y144" s="823">
        <v>354294</v>
      </c>
      <c r="Z144" s="823">
        <v>354291</v>
      </c>
      <c r="AA144" s="823">
        <v>436067</v>
      </c>
      <c r="AB144" s="823">
        <v>413737</v>
      </c>
      <c r="AC144" s="825">
        <v>418921</v>
      </c>
      <c r="AD144" s="825">
        <v>425627</v>
      </c>
      <c r="AE144" s="825">
        <v>353702</v>
      </c>
      <c r="AF144" s="825">
        <v>343706</v>
      </c>
      <c r="AG144" s="825">
        <v>203166</v>
      </c>
      <c r="AH144" s="825">
        <v>203855</v>
      </c>
      <c r="AI144" s="825">
        <v>219887</v>
      </c>
      <c r="AJ144" s="825">
        <v>214887</v>
      </c>
      <c r="AK144" s="825">
        <v>271015</v>
      </c>
      <c r="AL144" s="825">
        <v>280515</v>
      </c>
      <c r="AM144" s="825">
        <v>251186</v>
      </c>
      <c r="AN144" s="825">
        <v>256486</v>
      </c>
      <c r="AO144" s="825">
        <v>220603</v>
      </c>
      <c r="AP144" s="825">
        <v>220603</v>
      </c>
    </row>
    <row r="145" hidden="1">
      <c r="B145" s="826" t="s">
        <v>21</v>
      </c>
      <c r="C145" s="827">
        <v>10</v>
      </c>
      <c r="D145" s="827">
        <v>10</v>
      </c>
      <c r="E145" s="827">
        <v>11</v>
      </c>
      <c r="F145" s="827">
        <v>11</v>
      </c>
      <c r="G145" s="827">
        <v>11</v>
      </c>
      <c r="H145" s="827">
        <v>11</v>
      </c>
      <c r="I145" s="827">
        <v>19</v>
      </c>
      <c r="J145" s="827">
        <v>20</v>
      </c>
      <c r="K145" s="827">
        <v>16</v>
      </c>
      <c r="L145" s="827">
        <v>18</v>
      </c>
      <c r="M145" s="827">
        <v>31</v>
      </c>
      <c r="N145" s="827">
        <v>40</v>
      </c>
      <c r="O145" s="827">
        <v>46</v>
      </c>
      <c r="P145" s="827">
        <v>51</v>
      </c>
      <c r="Q145" s="827">
        <v>63</v>
      </c>
      <c r="R145" s="827">
        <v>58</v>
      </c>
      <c r="S145" s="827">
        <v>64</v>
      </c>
      <c r="T145" s="827">
        <v>64</v>
      </c>
      <c r="U145" s="827">
        <v>51</v>
      </c>
      <c r="V145" s="827">
        <v>51</v>
      </c>
      <c r="W145" s="827">
        <v>55</v>
      </c>
      <c r="X145" s="827">
        <v>55</v>
      </c>
      <c r="Y145" s="827">
        <v>74</v>
      </c>
      <c r="Z145" s="827">
        <v>74</v>
      </c>
      <c r="AA145" s="827">
        <v>63</v>
      </c>
      <c r="AB145" s="827">
        <v>64</v>
      </c>
      <c r="AC145" s="828">
        <v>50</v>
      </c>
      <c r="AD145" s="828">
        <v>56</v>
      </c>
      <c r="AE145" s="828">
        <v>75</v>
      </c>
      <c r="AF145" s="828">
        <v>79</v>
      </c>
      <c r="AG145" s="828">
        <v>106</v>
      </c>
      <c r="AH145" s="828">
        <v>106</v>
      </c>
      <c r="AI145" s="828">
        <v>52</v>
      </c>
      <c r="AJ145" s="828">
        <v>52</v>
      </c>
      <c r="AK145" s="828">
        <v>33</v>
      </c>
      <c r="AL145" s="828">
        <v>28</v>
      </c>
      <c r="AM145" s="828">
        <v>24</v>
      </c>
      <c r="AN145" s="828">
        <v>24</v>
      </c>
      <c r="AO145" s="828">
        <v>39</v>
      </c>
      <c r="AP145" s="828">
        <v>37</v>
      </c>
    </row>
    <row r="146" hidden="1">
      <c r="B146" s="829" t="s">
        <v>22</v>
      </c>
      <c r="C146" s="823">
        <v>0</v>
      </c>
      <c r="D146" s="823">
        <v>0</v>
      </c>
      <c r="E146" s="823">
        <v>0</v>
      </c>
      <c r="F146" s="823">
        <v>0</v>
      </c>
      <c r="G146" s="823">
        <v>0</v>
      </c>
      <c r="H146" s="823">
        <v>0</v>
      </c>
      <c r="I146" s="823">
        <v>0</v>
      </c>
      <c r="J146" s="823">
        <v>0</v>
      </c>
      <c r="K146" s="823">
        <v>0</v>
      </c>
      <c r="L146" s="823">
        <v>0</v>
      </c>
      <c r="M146" s="823">
        <v>0</v>
      </c>
      <c r="N146" s="823">
        <v>0</v>
      </c>
      <c r="O146" s="823">
        <v>0</v>
      </c>
      <c r="P146" s="823">
        <v>0</v>
      </c>
      <c r="Q146" s="823">
        <v>0</v>
      </c>
      <c r="R146" s="823">
        <v>0</v>
      </c>
      <c r="S146" s="823">
        <v>0</v>
      </c>
      <c r="T146" s="823">
        <v>0</v>
      </c>
      <c r="U146" s="823">
        <v>0</v>
      </c>
      <c r="V146" s="823">
        <v>0</v>
      </c>
      <c r="W146" s="823">
        <v>30</v>
      </c>
      <c r="X146" s="823">
        <v>30</v>
      </c>
      <c r="Y146" s="823">
        <v>37</v>
      </c>
      <c r="Z146" s="823">
        <v>37</v>
      </c>
      <c r="AA146" s="823">
        <v>36</v>
      </c>
      <c r="AB146" s="823">
        <v>36</v>
      </c>
      <c r="AC146" s="825">
        <v>34</v>
      </c>
      <c r="AD146" s="825">
        <v>34</v>
      </c>
      <c r="AE146" s="825">
        <v>73</v>
      </c>
      <c r="AF146" s="825">
        <v>73</v>
      </c>
      <c r="AG146" s="825">
        <v>80</v>
      </c>
      <c r="AH146" s="825">
        <v>80</v>
      </c>
      <c r="AI146" s="825">
        <v>85</v>
      </c>
      <c r="AJ146" s="825">
        <v>85</v>
      </c>
      <c r="AK146" s="825">
        <v>163</v>
      </c>
      <c r="AL146" s="825">
        <v>163</v>
      </c>
      <c r="AM146" s="825">
        <v>348</v>
      </c>
      <c r="AN146" s="825">
        <v>348</v>
      </c>
      <c r="AO146" s="825">
        <v>20</v>
      </c>
      <c r="AP146" s="825">
        <v>20</v>
      </c>
    </row>
    <row r="147" hidden="1">
      <c r="B147" s="826" t="s">
        <v>23</v>
      </c>
      <c r="C147" s="827">
        <v>35</v>
      </c>
      <c r="D147" s="827">
        <v>21</v>
      </c>
      <c r="E147" s="827">
        <v>27</v>
      </c>
      <c r="F147" s="827">
        <v>27</v>
      </c>
      <c r="G147" s="827">
        <v>17</v>
      </c>
      <c r="H147" s="827">
        <v>17</v>
      </c>
      <c r="I147" s="827">
        <v>10</v>
      </c>
      <c r="J147" s="827">
        <v>10</v>
      </c>
      <c r="K147" s="827">
        <v>1</v>
      </c>
      <c r="L147" s="827">
        <v>1</v>
      </c>
      <c r="M147" s="827">
        <v>2</v>
      </c>
      <c r="N147" s="827">
        <v>2</v>
      </c>
      <c r="O147" s="827">
        <v>0</v>
      </c>
      <c r="P147" s="827">
        <v>0</v>
      </c>
      <c r="Q147" s="827">
        <v>2</v>
      </c>
      <c r="R147" s="827">
        <v>2</v>
      </c>
      <c r="S147" s="827">
        <v>15</v>
      </c>
      <c r="T147" s="827">
        <v>15</v>
      </c>
      <c r="U147" s="827">
        <v>15</v>
      </c>
      <c r="V147" s="827">
        <v>15</v>
      </c>
      <c r="W147" s="827">
        <v>54</v>
      </c>
      <c r="X147" s="827">
        <v>54</v>
      </c>
      <c r="Y147" s="827">
        <v>120</v>
      </c>
      <c r="Z147" s="827">
        <v>120</v>
      </c>
      <c r="AA147" s="827">
        <v>57</v>
      </c>
      <c r="AB147" s="827">
        <v>54</v>
      </c>
      <c r="AC147" s="828">
        <v>19</v>
      </c>
      <c r="AD147" s="828">
        <v>19</v>
      </c>
      <c r="AE147" s="828">
        <v>51</v>
      </c>
      <c r="AF147" s="828">
        <v>51</v>
      </c>
      <c r="AG147" s="828">
        <v>37</v>
      </c>
      <c r="AH147" s="828">
        <v>37</v>
      </c>
      <c r="AI147" s="828">
        <v>22</v>
      </c>
      <c r="AJ147" s="828">
        <v>22</v>
      </c>
      <c r="AK147" s="828">
        <v>25</v>
      </c>
      <c r="AL147" s="828">
        <v>25</v>
      </c>
      <c r="AM147" s="828">
        <v>30</v>
      </c>
      <c r="AN147" s="828">
        <v>30</v>
      </c>
      <c r="AO147" s="828">
        <v>14</v>
      </c>
      <c r="AP147" s="828">
        <v>14</v>
      </c>
    </row>
    <row r="148" hidden="1">
      <c r="B148" s="830" t="s">
        <v>24</v>
      </c>
      <c r="C148" s="823">
        <v>696809</v>
      </c>
      <c r="D148" s="823">
        <v>738876</v>
      </c>
      <c r="E148" s="823">
        <v>776280</v>
      </c>
      <c r="F148" s="823">
        <v>813780</v>
      </c>
      <c r="G148" s="823">
        <v>864921</v>
      </c>
      <c r="H148" s="823">
        <v>874121</v>
      </c>
      <c r="I148" s="823">
        <v>908321</v>
      </c>
      <c r="J148" s="823">
        <v>927581</v>
      </c>
      <c r="K148" s="823">
        <v>1032636</v>
      </c>
      <c r="L148" s="823">
        <v>1035536</v>
      </c>
      <c r="M148" s="823">
        <v>943676</v>
      </c>
      <c r="N148" s="823">
        <v>965676</v>
      </c>
      <c r="O148" s="823">
        <v>1141292</v>
      </c>
      <c r="P148" s="823">
        <v>1153290</v>
      </c>
      <c r="Q148" s="823">
        <v>1148325</v>
      </c>
      <c r="R148" s="823">
        <v>1121025</v>
      </c>
      <c r="S148" s="823">
        <v>1119398</v>
      </c>
      <c r="T148" s="823">
        <v>1120448</v>
      </c>
      <c r="U148" s="823">
        <v>1108852</v>
      </c>
      <c r="V148" s="823">
        <v>1115767</v>
      </c>
      <c r="W148" s="823">
        <v>1171488</v>
      </c>
      <c r="X148" s="823">
        <v>1148982</v>
      </c>
      <c r="Y148" s="823">
        <v>1210148</v>
      </c>
      <c r="Z148" s="823">
        <v>1182620</v>
      </c>
      <c r="AA148" s="823">
        <v>1198786</v>
      </c>
      <c r="AB148" s="823">
        <v>1198151</v>
      </c>
      <c r="AC148" s="825">
        <v>1189205</v>
      </c>
      <c r="AD148" s="825">
        <v>1184211</v>
      </c>
      <c r="AE148" s="825">
        <v>1236422</v>
      </c>
      <c r="AF148" s="825">
        <v>1233953</v>
      </c>
      <c r="AG148" s="825">
        <v>1232045</v>
      </c>
      <c r="AH148" s="825">
        <v>1220289</v>
      </c>
      <c r="AI148" s="825">
        <v>1256071</v>
      </c>
      <c r="AJ148" s="825">
        <v>1248579</v>
      </c>
      <c r="AK148" s="825">
        <v>1302299</v>
      </c>
      <c r="AL148" s="825">
        <v>1176874</v>
      </c>
      <c r="AM148" s="825">
        <v>1125559</v>
      </c>
      <c r="AN148" s="825">
        <v>1079920</v>
      </c>
      <c r="AO148" s="825">
        <v>1130389</v>
      </c>
      <c r="AP148" s="825">
        <v>1130399</v>
      </c>
    </row>
    <row r="149" hidden="1">
      <c r="B149" s="826" t="s">
        <v>25</v>
      </c>
      <c r="C149" s="827">
        <v>0</v>
      </c>
      <c r="D149" s="827">
        <v>0</v>
      </c>
      <c r="E149" s="827">
        <v>0</v>
      </c>
      <c r="F149" s="827">
        <v>0</v>
      </c>
      <c r="G149" s="827">
        <v>0</v>
      </c>
      <c r="H149" s="827">
        <v>0</v>
      </c>
      <c r="I149" s="827">
        <v>0</v>
      </c>
      <c r="J149" s="827">
        <v>0</v>
      </c>
      <c r="K149" s="827">
        <v>0</v>
      </c>
      <c r="L149" s="827">
        <v>0</v>
      </c>
      <c r="M149" s="827">
        <v>0</v>
      </c>
      <c r="N149" s="827">
        <v>0</v>
      </c>
      <c r="O149" s="827">
        <v>0</v>
      </c>
      <c r="P149" s="827">
        <v>0</v>
      </c>
      <c r="Q149" s="827">
        <v>0</v>
      </c>
      <c r="R149" s="827">
        <v>0</v>
      </c>
      <c r="S149" s="827">
        <v>0</v>
      </c>
      <c r="T149" s="827">
        <v>0</v>
      </c>
      <c r="U149" s="827">
        <v>0</v>
      </c>
      <c r="V149" s="827">
        <v>0</v>
      </c>
      <c r="W149" s="827">
        <v>0</v>
      </c>
      <c r="X149" s="827">
        <v>0</v>
      </c>
      <c r="Y149" s="827">
        <v>0</v>
      </c>
      <c r="Z149" s="827">
        <v>0</v>
      </c>
      <c r="AA149" s="827">
        <v>0</v>
      </c>
      <c r="AB149" s="827">
        <v>0</v>
      </c>
      <c r="AC149" s="828">
        <v>0</v>
      </c>
      <c r="AD149" s="828">
        <v>0</v>
      </c>
      <c r="AE149" s="828">
        <v>0</v>
      </c>
      <c r="AF149" s="828">
        <v>0</v>
      </c>
      <c r="AG149" s="828">
        <v>0</v>
      </c>
      <c r="AH149" s="828">
        <v>0</v>
      </c>
      <c r="AI149" s="828">
        <v>0</v>
      </c>
      <c r="AJ149" s="828">
        <v>0</v>
      </c>
      <c r="AK149" s="828">
        <v>0</v>
      </c>
      <c r="AL149" s="828">
        <v>0</v>
      </c>
      <c r="AM149" s="828">
        <v>0</v>
      </c>
      <c r="AN149" s="828">
        <v>0</v>
      </c>
      <c r="AO149" s="828">
        <v>0</v>
      </c>
      <c r="AP149" s="828">
        <v>0</v>
      </c>
    </row>
    <row r="150" hidden="1" ht="13.5">
      <c r="B150" s="831" t="s">
        <v>26</v>
      </c>
      <c r="C150" s="823">
        <v>0</v>
      </c>
      <c r="D150" s="823">
        <v>0</v>
      </c>
      <c r="E150" s="823">
        <v>0</v>
      </c>
      <c r="F150" s="823">
        <v>0</v>
      </c>
      <c r="G150" s="823">
        <v>0</v>
      </c>
      <c r="H150" s="823">
        <v>0</v>
      </c>
      <c r="I150" s="823">
        <v>0</v>
      </c>
      <c r="J150" s="823">
        <v>0</v>
      </c>
      <c r="K150" s="823">
        <v>0</v>
      </c>
      <c r="L150" s="823">
        <v>0</v>
      </c>
      <c r="M150" s="823">
        <v>0</v>
      </c>
      <c r="N150" s="823">
        <v>0</v>
      </c>
      <c r="O150" s="823">
        <v>0</v>
      </c>
      <c r="P150" s="823">
        <v>0</v>
      </c>
      <c r="Q150" s="823">
        <v>0</v>
      </c>
      <c r="R150" s="823">
        <v>0</v>
      </c>
      <c r="S150" s="823">
        <v>0</v>
      </c>
      <c r="T150" s="823">
        <v>0</v>
      </c>
      <c r="U150" s="823">
        <v>0</v>
      </c>
      <c r="V150" s="823">
        <v>0</v>
      </c>
      <c r="W150" s="823">
        <v>0</v>
      </c>
      <c r="X150" s="823">
        <v>0</v>
      </c>
      <c r="Y150" s="823">
        <v>0</v>
      </c>
      <c r="Z150" s="823">
        <v>0</v>
      </c>
      <c r="AA150" s="823">
        <v>0</v>
      </c>
      <c r="AB150" s="832">
        <v>0</v>
      </c>
      <c r="AC150" s="825">
        <v>0</v>
      </c>
      <c r="AD150" s="825">
        <v>0</v>
      </c>
      <c r="AE150" s="825">
        <v>0</v>
      </c>
      <c r="AF150" s="825">
        <v>0</v>
      </c>
      <c r="AG150" s="825">
        <v>0</v>
      </c>
      <c r="AH150" s="825">
        <v>0</v>
      </c>
      <c r="AI150" s="825">
        <v>0</v>
      </c>
      <c r="AJ150" s="825">
        <v>0</v>
      </c>
      <c r="AK150" s="825">
        <v>0</v>
      </c>
      <c r="AL150" s="825">
        <v>0</v>
      </c>
      <c r="AM150" s="825">
        <v>0</v>
      </c>
      <c r="AN150" s="825">
        <v>0</v>
      </c>
      <c r="AO150" s="825">
        <v>0</v>
      </c>
      <c r="AP150" s="825">
        <v>0</v>
      </c>
    </row>
    <row r="151" hidden="1" ht="13.5">
      <c r="B151" s="128" t="s">
        <v>7</v>
      </c>
      <c r="C151" s="129" t="str">
        <f>IF(SUM(C132:C150)&lt;&gt;0,SUM(C132:C150),"")</f>
      </c>
      <c r="D151" s="129" t="str">
        <f ref="D151:AA151" t="shared" si="5">IF(SUM(D132:D150)&lt;&gt;0,SUM(D132:D150),"")</f>
      </c>
      <c r="E151" s="129" t="str">
        <f t="shared" si="5"/>
      </c>
      <c r="F151" s="129" t="str">
        <f t="shared" si="5"/>
      </c>
      <c r="G151" s="129" t="str">
        <f t="shared" si="5"/>
      </c>
      <c r="H151" s="129" t="str">
        <f t="shared" si="5"/>
      </c>
      <c r="I151" s="129" t="str">
        <f t="shared" si="5"/>
      </c>
      <c r="J151" s="129" t="str">
        <f t="shared" si="5"/>
      </c>
      <c r="K151" s="129" t="str">
        <f t="shared" si="5"/>
      </c>
      <c r="L151" s="129" t="str">
        <f t="shared" si="5"/>
      </c>
      <c r="M151" s="129" t="str">
        <f t="shared" si="5"/>
      </c>
      <c r="N151" s="129" t="str">
        <f t="shared" si="5"/>
      </c>
      <c r="O151" s="129" t="str">
        <f t="shared" si="5"/>
      </c>
      <c r="P151" s="129" t="str">
        <f t="shared" si="5"/>
      </c>
      <c r="Q151" s="129" t="str">
        <f t="shared" si="5"/>
      </c>
      <c r="R151" s="129" t="str">
        <f t="shared" si="5"/>
      </c>
      <c r="S151" s="129" t="str">
        <f t="shared" si="5"/>
      </c>
      <c r="T151" s="129" t="str">
        <f t="shared" si="5"/>
      </c>
      <c r="U151" s="129" t="str">
        <f t="shared" si="5"/>
      </c>
      <c r="V151" s="129" t="str">
        <f t="shared" si="5"/>
      </c>
      <c r="W151" s="129" t="str">
        <f t="shared" si="5"/>
      </c>
      <c r="X151" s="129" t="str">
        <f t="shared" si="5"/>
      </c>
      <c r="Y151" s="129" t="str">
        <f t="shared" si="5"/>
      </c>
      <c r="Z151" s="129" t="str">
        <f t="shared" si="5"/>
      </c>
      <c r="AA151" s="129" t="str">
        <f t="shared" si="5"/>
      </c>
      <c r="AB151" s="130" t="str">
        <f>IF(SUM(AB132:AB150)&lt;&gt;0,SUM(AB132:AB150),"")</f>
      </c>
      <c r="AC151" s="91" t="str">
        <f ref="AC151:CN151" t="shared" si="6">IF(SUM(AC132:AC150)&lt;&gt;0,SUM(AC132:AC150),"")</f>
      </c>
      <c r="AD151" s="91" t="str">
        <f t="shared" si="6"/>
      </c>
      <c r="AE151" s="91" t="str">
        <f t="shared" si="6"/>
      </c>
      <c r="AF151" s="91" t="str">
        <f t="shared" si="6"/>
      </c>
      <c r="AG151" s="91" t="str">
        <f t="shared" si="6"/>
      </c>
      <c r="AH151" s="91" t="str">
        <f t="shared" si="6"/>
      </c>
      <c r="AI151" s="91" t="str">
        <f t="shared" si="6"/>
      </c>
      <c r="AJ151" s="91" t="str">
        <f t="shared" si="6"/>
      </c>
      <c r="AK151" s="91" t="str">
        <f t="shared" si="6"/>
      </c>
      <c r="AL151" s="91" t="str">
        <f t="shared" si="6"/>
      </c>
      <c r="AM151" s="91" t="str">
        <f t="shared" si="6"/>
      </c>
      <c r="AN151" s="91" t="str">
        <f t="shared" si="6"/>
      </c>
      <c r="AO151" s="91" t="str">
        <f t="shared" si="6"/>
      </c>
      <c r="AP151" s="91" t="str">
        <f t="shared" si="6"/>
      </c>
      <c r="AQ151" s="91" t="str">
        <f t="shared" si="6"/>
      </c>
      <c r="AR151" s="91" t="str">
        <f t="shared" si="6"/>
      </c>
      <c r="AS151" s="91" t="str">
        <f t="shared" si="6"/>
      </c>
      <c r="AT151" s="91" t="str">
        <f t="shared" si="6"/>
      </c>
      <c r="AU151" s="91" t="str">
        <f t="shared" si="6"/>
      </c>
      <c r="AV151" s="91" t="str">
        <f t="shared" si="6"/>
      </c>
      <c r="AW151" s="91" t="str">
        <f t="shared" si="6"/>
      </c>
      <c r="AX151" s="91" t="str">
        <f t="shared" si="6"/>
      </c>
      <c r="AY151" s="91" t="str">
        <f t="shared" si="6"/>
      </c>
      <c r="AZ151" s="91" t="str">
        <f t="shared" si="6"/>
      </c>
      <c r="BA151" s="91" t="str">
        <f t="shared" si="6"/>
      </c>
      <c r="BB151" s="91" t="str">
        <f t="shared" si="6"/>
      </c>
      <c r="BC151" s="91" t="str">
        <f t="shared" si="6"/>
      </c>
      <c r="BD151" s="91" t="str">
        <f t="shared" si="6"/>
      </c>
      <c r="BE151" s="91" t="str">
        <f t="shared" si="6"/>
      </c>
      <c r="BF151" s="91" t="str">
        <f t="shared" si="6"/>
      </c>
      <c r="BG151" s="91" t="str">
        <f t="shared" si="6"/>
      </c>
      <c r="BH151" s="91" t="str">
        <f t="shared" si="6"/>
      </c>
      <c r="BI151" s="91" t="str">
        <f t="shared" si="6"/>
      </c>
      <c r="BJ151" s="91" t="str">
        <f t="shared" si="6"/>
      </c>
      <c r="BK151" s="91" t="str">
        <f t="shared" si="6"/>
      </c>
      <c r="BL151" s="91" t="str">
        <f t="shared" si="6"/>
      </c>
      <c r="BM151" s="91" t="str">
        <f t="shared" si="6"/>
      </c>
      <c r="BN151" s="91" t="str">
        <f t="shared" si="6"/>
      </c>
      <c r="BO151" s="91" t="str">
        <f t="shared" si="6"/>
      </c>
      <c r="BP151" s="91" t="str">
        <f t="shared" si="6"/>
      </c>
      <c r="BQ151" s="91" t="str">
        <f t="shared" si="6"/>
      </c>
      <c r="BR151" s="91" t="str">
        <f t="shared" si="6"/>
      </c>
      <c r="BS151" s="91" t="str">
        <f t="shared" si="6"/>
      </c>
      <c r="BT151" s="91" t="str">
        <f t="shared" si="6"/>
      </c>
      <c r="BU151" s="91" t="str">
        <f t="shared" si="6"/>
      </c>
      <c r="BV151" s="91" t="str">
        <f t="shared" si="6"/>
      </c>
      <c r="BW151" s="91" t="str">
        <f t="shared" si="6"/>
      </c>
      <c r="BX151" s="91" t="str">
        <f t="shared" si="6"/>
      </c>
      <c r="BY151" s="91" t="str">
        <f t="shared" si="6"/>
      </c>
      <c r="BZ151" s="91" t="str">
        <f t="shared" si="6"/>
      </c>
      <c r="CA151" s="91" t="str">
        <f t="shared" si="6"/>
      </c>
      <c r="CB151" s="91" t="str">
        <f t="shared" si="6"/>
      </c>
      <c r="CC151" s="91" t="str">
        <f t="shared" si="6"/>
      </c>
      <c r="CD151" s="91" t="str">
        <f t="shared" si="6"/>
      </c>
      <c r="CE151" s="91" t="str">
        <f t="shared" si="6"/>
      </c>
      <c r="CF151" s="91" t="str">
        <f t="shared" si="6"/>
      </c>
      <c r="CG151" s="91" t="str">
        <f t="shared" si="6"/>
      </c>
      <c r="CH151" s="91" t="str">
        <f t="shared" si="6"/>
      </c>
      <c r="CI151" s="91" t="str">
        <f t="shared" si="6"/>
      </c>
      <c r="CJ151" s="91" t="str">
        <f t="shared" si="6"/>
      </c>
      <c r="CK151" s="91" t="str">
        <f t="shared" si="6"/>
      </c>
      <c r="CL151" s="91" t="str">
        <f t="shared" si="6"/>
      </c>
      <c r="CM151" s="91" t="str">
        <f t="shared" si="6"/>
      </c>
      <c r="CN151" s="91" t="str">
        <f t="shared" si="6"/>
      </c>
      <c r="CO151" s="91" t="str">
        <f ref="CO151:EZ151" t="shared" si="7">IF(SUM(CO132:CO150)&lt;&gt;0,SUM(CO132:CO150),"")</f>
      </c>
      <c r="CP151" s="91" t="str">
        <f t="shared" si="7"/>
      </c>
      <c r="CQ151" s="91" t="str">
        <f t="shared" si="7"/>
      </c>
      <c r="CR151" s="91" t="str">
        <f t="shared" si="7"/>
      </c>
      <c r="CS151" s="91" t="str">
        <f t="shared" si="7"/>
      </c>
      <c r="CT151" s="91" t="str">
        <f t="shared" si="7"/>
      </c>
      <c r="CU151" s="91" t="str">
        <f t="shared" si="7"/>
      </c>
      <c r="CV151" s="91" t="str">
        <f t="shared" si="7"/>
      </c>
      <c r="CW151" s="91" t="str">
        <f t="shared" si="7"/>
      </c>
      <c r="CX151" s="91" t="str">
        <f t="shared" si="7"/>
      </c>
      <c r="CY151" s="91" t="str">
        <f t="shared" si="7"/>
      </c>
      <c r="CZ151" s="91" t="str">
        <f t="shared" si="7"/>
      </c>
      <c r="DA151" s="91" t="str">
        <f t="shared" si="7"/>
      </c>
      <c r="DB151" s="91" t="str">
        <f t="shared" si="7"/>
      </c>
      <c r="DC151" s="91" t="str">
        <f t="shared" si="7"/>
      </c>
      <c r="DD151" s="91" t="str">
        <f t="shared" si="7"/>
      </c>
      <c r="DE151" s="91" t="str">
        <f t="shared" si="7"/>
      </c>
      <c r="DF151" s="91" t="str">
        <f t="shared" si="7"/>
      </c>
      <c r="DG151" s="91" t="str">
        <f t="shared" si="7"/>
      </c>
      <c r="DH151" s="91" t="str">
        <f t="shared" si="7"/>
      </c>
      <c r="DI151" s="91" t="str">
        <f t="shared" si="7"/>
      </c>
      <c r="DJ151" s="91" t="str">
        <f t="shared" si="7"/>
      </c>
      <c r="DK151" s="91" t="str">
        <f t="shared" si="7"/>
      </c>
      <c r="DL151" s="91" t="str">
        <f t="shared" si="7"/>
      </c>
      <c r="DM151" s="91" t="str">
        <f t="shared" si="7"/>
      </c>
      <c r="DN151" s="91" t="str">
        <f t="shared" si="7"/>
      </c>
      <c r="DO151" s="91" t="str">
        <f t="shared" si="7"/>
      </c>
      <c r="DP151" s="91" t="str">
        <f t="shared" si="7"/>
      </c>
      <c r="DQ151" s="91" t="str">
        <f t="shared" si="7"/>
      </c>
      <c r="DR151" s="91" t="str">
        <f t="shared" si="7"/>
      </c>
      <c r="DS151" s="91" t="str">
        <f t="shared" si="7"/>
      </c>
      <c r="DT151" s="91" t="str">
        <f t="shared" si="7"/>
      </c>
      <c r="DU151" s="91" t="str">
        <f t="shared" si="7"/>
      </c>
      <c r="DV151" s="91" t="str">
        <f t="shared" si="7"/>
      </c>
      <c r="DW151" s="91" t="str">
        <f t="shared" si="7"/>
      </c>
      <c r="DX151" s="91" t="str">
        <f t="shared" si="7"/>
      </c>
      <c r="DY151" s="91" t="str">
        <f t="shared" si="7"/>
      </c>
      <c r="DZ151" s="91" t="str">
        <f t="shared" si="7"/>
      </c>
      <c r="EA151" s="91" t="str">
        <f t="shared" si="7"/>
      </c>
      <c r="EB151" s="91" t="str">
        <f t="shared" si="7"/>
      </c>
      <c r="EC151" s="91" t="str">
        <f t="shared" si="7"/>
      </c>
      <c r="ED151" s="91" t="str">
        <f t="shared" si="7"/>
      </c>
      <c r="EE151" s="91" t="str">
        <f t="shared" si="7"/>
      </c>
      <c r="EF151" s="91" t="str">
        <f t="shared" si="7"/>
      </c>
      <c r="EG151" s="91" t="str">
        <f t="shared" si="7"/>
      </c>
      <c r="EH151" s="91" t="str">
        <f t="shared" si="7"/>
      </c>
      <c r="EI151" s="91" t="str">
        <f t="shared" si="7"/>
      </c>
      <c r="EJ151" s="91" t="str">
        <f t="shared" si="7"/>
      </c>
      <c r="EK151" s="91" t="str">
        <f t="shared" si="7"/>
      </c>
      <c r="EL151" s="91" t="str">
        <f t="shared" si="7"/>
      </c>
      <c r="EM151" s="91" t="str">
        <f t="shared" si="7"/>
      </c>
      <c r="EN151" s="91" t="str">
        <f t="shared" si="7"/>
      </c>
      <c r="EO151" s="91" t="str">
        <f t="shared" si="7"/>
      </c>
      <c r="EP151" s="91" t="str">
        <f t="shared" si="7"/>
      </c>
      <c r="EQ151" s="91" t="str">
        <f t="shared" si="7"/>
      </c>
      <c r="ER151" s="91" t="str">
        <f t="shared" si="7"/>
      </c>
      <c r="ES151" s="91" t="str">
        <f t="shared" si="7"/>
      </c>
      <c r="ET151" s="91" t="str">
        <f t="shared" si="7"/>
      </c>
      <c r="EU151" s="91" t="str">
        <f t="shared" si="7"/>
      </c>
      <c r="EV151" s="91" t="str">
        <f t="shared" si="7"/>
      </c>
      <c r="EW151" s="91" t="str">
        <f t="shared" si="7"/>
      </c>
      <c r="EX151" s="91" t="str">
        <f t="shared" si="7"/>
      </c>
      <c r="EY151" s="91" t="str">
        <f t="shared" si="7"/>
      </c>
      <c r="EZ151" s="91" t="str">
        <f t="shared" si="7"/>
      </c>
      <c r="FA151" s="91" t="str">
        <f ref="FA151:HL151" t="shared" si="8">IF(SUM(FA132:FA150)&lt;&gt;0,SUM(FA132:FA150),"")</f>
      </c>
      <c r="FB151" s="91" t="str">
        <f t="shared" si="8"/>
      </c>
      <c r="FC151" s="91" t="str">
        <f t="shared" si="8"/>
      </c>
      <c r="FD151" s="91" t="str">
        <f t="shared" si="8"/>
      </c>
      <c r="FE151" s="91" t="str">
        <f t="shared" si="8"/>
      </c>
      <c r="FF151" s="91" t="str">
        <f t="shared" si="8"/>
      </c>
      <c r="FG151" s="91" t="str">
        <f t="shared" si="8"/>
      </c>
      <c r="FH151" s="91" t="str">
        <f t="shared" si="8"/>
      </c>
      <c r="FI151" s="91" t="str">
        <f t="shared" si="8"/>
      </c>
      <c r="FJ151" s="91" t="str">
        <f t="shared" si="8"/>
      </c>
      <c r="FK151" s="91" t="str">
        <f t="shared" si="8"/>
      </c>
      <c r="FL151" s="91" t="str">
        <f t="shared" si="8"/>
      </c>
      <c r="FM151" s="91" t="str">
        <f t="shared" si="8"/>
      </c>
      <c r="FN151" s="91" t="str">
        <f t="shared" si="8"/>
      </c>
      <c r="FO151" s="91" t="str">
        <f t="shared" si="8"/>
      </c>
      <c r="FP151" s="91" t="str">
        <f t="shared" si="8"/>
      </c>
      <c r="FQ151" s="91" t="str">
        <f t="shared" si="8"/>
      </c>
      <c r="FR151" s="91" t="str">
        <f t="shared" si="8"/>
      </c>
      <c r="FS151" s="91" t="str">
        <f t="shared" si="8"/>
      </c>
      <c r="FT151" s="91" t="str">
        <f t="shared" si="8"/>
      </c>
      <c r="FU151" s="91" t="str">
        <f t="shared" si="8"/>
      </c>
      <c r="FV151" s="91" t="str">
        <f t="shared" si="8"/>
      </c>
      <c r="FW151" s="91" t="str">
        <f t="shared" si="8"/>
      </c>
      <c r="FX151" s="91" t="str">
        <f t="shared" si="8"/>
      </c>
      <c r="FY151" s="91" t="str">
        <f t="shared" si="8"/>
      </c>
      <c r="FZ151" s="91" t="str">
        <f t="shared" si="8"/>
      </c>
      <c r="GA151" s="91" t="str">
        <f t="shared" si="8"/>
      </c>
      <c r="GB151" s="91" t="str">
        <f t="shared" si="8"/>
      </c>
      <c r="GC151" s="91" t="str">
        <f t="shared" si="8"/>
      </c>
      <c r="GD151" s="91" t="str">
        <f t="shared" si="8"/>
      </c>
      <c r="GE151" s="91" t="str">
        <f t="shared" si="8"/>
      </c>
      <c r="GF151" s="91" t="str">
        <f t="shared" si="8"/>
      </c>
      <c r="GG151" s="91" t="str">
        <f t="shared" si="8"/>
      </c>
      <c r="GH151" s="91" t="str">
        <f t="shared" si="8"/>
      </c>
      <c r="GI151" s="91" t="str">
        <f t="shared" si="8"/>
      </c>
      <c r="GJ151" s="91" t="str">
        <f t="shared" si="8"/>
      </c>
      <c r="GK151" s="91" t="str">
        <f t="shared" si="8"/>
      </c>
      <c r="GL151" s="91" t="str">
        <f t="shared" si="8"/>
      </c>
      <c r="GM151" s="91" t="str">
        <f t="shared" si="8"/>
      </c>
      <c r="GN151" s="91" t="str">
        <f t="shared" si="8"/>
      </c>
      <c r="GO151" s="91" t="str">
        <f t="shared" si="8"/>
      </c>
      <c r="GP151" s="91" t="str">
        <f t="shared" si="8"/>
      </c>
      <c r="GQ151" s="91" t="str">
        <f t="shared" si="8"/>
      </c>
      <c r="GR151" s="91" t="str">
        <f t="shared" si="8"/>
      </c>
      <c r="GS151" s="91" t="str">
        <f t="shared" si="8"/>
      </c>
      <c r="GT151" s="91" t="str">
        <f t="shared" si="8"/>
      </c>
      <c r="GU151" s="91" t="str">
        <f t="shared" si="8"/>
      </c>
      <c r="GV151" s="91" t="str">
        <f t="shared" si="8"/>
      </c>
      <c r="GW151" s="91" t="str">
        <f t="shared" si="8"/>
      </c>
      <c r="GX151" s="91" t="str">
        <f t="shared" si="8"/>
      </c>
      <c r="GY151" s="91" t="str">
        <f t="shared" si="8"/>
      </c>
      <c r="GZ151" s="91" t="str">
        <f t="shared" si="8"/>
      </c>
      <c r="HA151" s="91" t="str">
        <f t="shared" si="8"/>
      </c>
      <c r="HB151" s="91" t="str">
        <f t="shared" si="8"/>
      </c>
      <c r="HC151" s="91" t="str">
        <f t="shared" si="8"/>
      </c>
      <c r="HD151" s="91" t="str">
        <f t="shared" si="8"/>
      </c>
      <c r="HE151" s="91" t="str">
        <f t="shared" si="8"/>
      </c>
      <c r="HF151" s="91" t="str">
        <f t="shared" si="8"/>
      </c>
      <c r="HG151" s="91" t="str">
        <f t="shared" si="8"/>
      </c>
      <c r="HH151" s="91" t="str">
        <f t="shared" si="8"/>
      </c>
      <c r="HI151" s="91" t="str">
        <f t="shared" si="8"/>
      </c>
      <c r="HJ151" s="91" t="str">
        <f t="shared" si="8"/>
      </c>
      <c r="HK151" s="91" t="str">
        <f t="shared" si="8"/>
      </c>
      <c r="HL151" s="91" t="str">
        <f t="shared" si="8"/>
      </c>
      <c r="HM151" s="91" t="str">
        <f ref="HM151:IV151" t="shared" si="9">IF(SUM(HM132:HM150)&lt;&gt;0,SUM(HM132:HM150),"")</f>
      </c>
      <c r="HN151" s="91" t="str">
        <f t="shared" si="9"/>
      </c>
      <c r="HO151" s="91" t="str">
        <f t="shared" si="9"/>
      </c>
      <c r="HP151" s="91" t="str">
        <f t="shared" si="9"/>
      </c>
      <c r="HQ151" s="91" t="str">
        <f t="shared" si="9"/>
      </c>
      <c r="HR151" s="91" t="str">
        <f t="shared" si="9"/>
      </c>
      <c r="HS151" s="91" t="str">
        <f t="shared" si="9"/>
      </c>
      <c r="HT151" s="91" t="str">
        <f t="shared" si="9"/>
      </c>
      <c r="HU151" s="91" t="str">
        <f t="shared" si="9"/>
      </c>
      <c r="HV151" s="91" t="str">
        <f t="shared" si="9"/>
      </c>
      <c r="HW151" s="91" t="str">
        <f t="shared" si="9"/>
      </c>
      <c r="HX151" s="91" t="str">
        <f t="shared" si="9"/>
      </c>
      <c r="HY151" s="91" t="str">
        <f t="shared" si="9"/>
      </c>
      <c r="HZ151" s="91" t="str">
        <f t="shared" si="9"/>
      </c>
      <c r="IA151" s="91" t="str">
        <f t="shared" si="9"/>
      </c>
      <c r="IB151" s="91" t="str">
        <f t="shared" si="9"/>
      </c>
      <c r="IC151" s="91" t="str">
        <f t="shared" si="9"/>
      </c>
      <c r="ID151" s="91" t="str">
        <f t="shared" si="9"/>
      </c>
      <c r="IE151" s="91" t="str">
        <f t="shared" si="9"/>
      </c>
      <c r="IF151" s="91" t="str">
        <f t="shared" si="9"/>
      </c>
      <c r="IG151" s="91" t="str">
        <f t="shared" si="9"/>
      </c>
      <c r="IH151" s="91" t="str">
        <f t="shared" si="9"/>
      </c>
      <c r="II151" s="91" t="str">
        <f t="shared" si="9"/>
      </c>
      <c r="IJ151" s="91" t="str">
        <f t="shared" si="9"/>
      </c>
      <c r="IK151" s="91" t="str">
        <f t="shared" si="9"/>
      </c>
      <c r="IL151" s="91" t="str">
        <f t="shared" si="9"/>
      </c>
      <c r="IM151" s="91" t="str">
        <f t="shared" si="9"/>
      </c>
      <c r="IN151" s="91" t="str">
        <f t="shared" si="9"/>
      </c>
      <c r="IO151" s="91" t="str">
        <f t="shared" si="9"/>
      </c>
      <c r="IP151" s="91" t="str">
        <f t="shared" si="9"/>
      </c>
      <c r="IQ151" s="91" t="str">
        <f t="shared" si="9"/>
      </c>
      <c r="IR151" s="91" t="str">
        <f t="shared" si="9"/>
      </c>
      <c r="IS151" s="91" t="str">
        <f t="shared" si="9"/>
      </c>
      <c r="IT151" s="91" t="str">
        <f t="shared" si="9"/>
      </c>
      <c r="IU151" s="91" t="str">
        <f t="shared" si="9"/>
      </c>
      <c r="IV151" s="91" t="str">
        <f t="shared" si="9"/>
      </c>
    </row>
    <row r="152" hidden="1" ht="13.5">
      <c r="L152" s="284"/>
      <c r="M152" s="355"/>
    </row>
    <row r="153" hidden="1">
      <c r="B153" s="509" t="s">
        <v>8</v>
      </c>
      <c r="C153" s="505" t="e">
        <f>INDIRECT(ADDRESS(132,MATCH(9000000000+307,'12.1- PAVOS (CENSO)'!132:132,1),1,,"12.1- PAVOS (CENSO)"))</f>
        <v>#N/A</v>
      </c>
      <c r="L153" s="283"/>
      <c r="M153" s="356"/>
    </row>
    <row r="154" hidden="1">
      <c r="B154" s="507" t="s">
        <v>9</v>
      </c>
      <c r="C154" s="505" t="e">
        <f>INDIRECT(ADDRESS(133,MATCH(9000000000+307,'12.1- PAVOS (CENSO)'!133:133,1),1,,"12.1- PAVOS (CENSO)"))</f>
        <v>#N/A</v>
      </c>
      <c r="L154" s="50"/>
      <c r="M154" s="50"/>
    </row>
    <row r="155" hidden="1" ht="15" customHeight="1">
      <c r="B155" s="507" t="s">
        <v>10</v>
      </c>
      <c r="C155" s="505" t="e">
        <f>INDIRECT(ADDRESS(134,MATCH(9000000000+307,'12.1- PAVOS (CENSO)'!134:134,1),1,,"12.1- PAVOS (CENSO)"))</f>
        <v>#N/A</v>
      </c>
      <c r="L155" s="50"/>
      <c r="M155" s="50"/>
    </row>
    <row r="156" hidden="1">
      <c r="B156" s="507" t="s">
        <v>11</v>
      </c>
      <c r="C156" s="505" t="e">
        <f>INDIRECT(ADDRESS(135,MATCH(9000000000+307,'12.1- PAVOS (CENSO)'!135:135,1),1,,"12.1- PAVOS (CENSO)"))</f>
        <v>#N/A</v>
      </c>
      <c r="L156" s="50"/>
      <c r="M156" s="50"/>
    </row>
    <row r="157" hidden="1">
      <c r="B157" s="507" t="s">
        <v>12</v>
      </c>
      <c r="C157" s="505" t="e">
        <f>INDIRECT(ADDRESS(136,MATCH(9000000000+307,'12.1- PAVOS (CENSO)'!136:136,1),1,,"12.1- PAVOS (CENSO)"))</f>
        <v>#N/A</v>
      </c>
      <c r="M157" s="50"/>
    </row>
    <row r="158" hidden="1">
      <c r="B158" s="507" t="s">
        <v>13</v>
      </c>
      <c r="C158" s="505" t="e">
        <f>INDIRECT(ADDRESS(137,MATCH(9000000000+307,'12.1- PAVOS (CENSO)'!137:137,1),1,,"12.1- PAVOS (CENSO)"))</f>
        <v>#N/A</v>
      </c>
      <c r="M158" s="50"/>
    </row>
    <row r="159" hidden="1">
      <c r="B159" s="507" t="s">
        <v>109</v>
      </c>
      <c r="C159" s="505" t="e">
        <f>INDIRECT(ADDRESS(138,MATCH(9000000000+307,'12.1- PAVOS (CENSO)'!138:138,1),1,,"12.1- PAVOS (CENSO)"))</f>
        <v>#N/A</v>
      </c>
      <c r="M159" s="50"/>
    </row>
    <row r="160" hidden="1">
      <c r="B160" s="507" t="s">
        <v>110</v>
      </c>
      <c r="C160" s="505" t="e">
        <f>INDIRECT(ADDRESS(139,MATCH(9000000000+307,'12.1- PAVOS (CENSO)'!139:139,1),1,,"12.1- PAVOS (CENSO)"))</f>
        <v>#N/A</v>
      </c>
    </row>
    <row r="161" hidden="1">
      <c r="B161" s="507" t="s">
        <v>16</v>
      </c>
      <c r="C161" s="505" t="e">
        <f>INDIRECT(ADDRESS(140,MATCH(9000000000+307,'12.1- PAVOS (CENSO)'!140:140,1),1,,"12.1- PAVOS (CENSO)"))</f>
        <v>#N/A</v>
      </c>
    </row>
    <row r="162" hidden="1">
      <c r="B162" s="507" t="s">
        <v>17</v>
      </c>
      <c r="C162" s="505" t="e">
        <f>INDIRECT(ADDRESS(141,MATCH(9000000000+307,'12.1- PAVOS (CENSO)'!141:141,1),1,,"12.1- PAVOS (CENSO)"))</f>
        <v>#N/A</v>
      </c>
    </row>
    <row r="163" hidden="1">
      <c r="B163" s="507" t="s">
        <v>18</v>
      </c>
      <c r="C163" s="505" t="e">
        <f>INDIRECT(ADDRESS(142,MATCH(9000000000+307,'12.1- PAVOS (CENSO)'!142:142,1),1,,"12.1- PAVOS (CENSO)"))</f>
        <v>#N/A</v>
      </c>
    </row>
    <row r="164" hidden="1">
      <c r="B164" s="507" t="s">
        <v>19</v>
      </c>
      <c r="C164" s="505" t="e">
        <f>INDIRECT(ADDRESS(143,MATCH(9000000000+307,'12.1- PAVOS (CENSO)'!143:143,1),1,,"12.1- PAVOS (CENSO)"))</f>
        <v>#N/A</v>
      </c>
    </row>
    <row r="165" hidden="1">
      <c r="B165" s="507" t="s">
        <v>20</v>
      </c>
      <c r="C165" s="505" t="e">
        <f>INDIRECT(ADDRESS(144,MATCH(9000000000+307,'12.1- PAVOS (CENSO)'!144:144,1),1,,"12.1- PAVOS (CENSO)"))</f>
        <v>#N/A</v>
      </c>
    </row>
    <row r="166" hidden="1">
      <c r="B166" s="507" t="s">
        <v>21</v>
      </c>
      <c r="C166" s="505" t="e">
        <f>INDIRECT(ADDRESS(145,MATCH(9000000000+307,'12.1- PAVOS (CENSO)'!145:145,1),1,,"12.1- PAVOS (CENSO)"))</f>
        <v>#N/A</v>
      </c>
    </row>
    <row r="167" hidden="1">
      <c r="B167" s="507" t="s">
        <v>22</v>
      </c>
      <c r="C167" s="505" t="e">
        <f>INDIRECT(ADDRESS(146,MATCH(9000000000+307,'12.1- PAVOS (CENSO)'!146:146,1),1,,"12.1- PAVOS (CENSO)"))</f>
        <v>#N/A</v>
      </c>
    </row>
    <row r="168" hidden="1">
      <c r="B168" s="507" t="s">
        <v>23</v>
      </c>
      <c r="C168" s="505" t="e">
        <f>INDIRECT(ADDRESS(147,MATCH(9000000000+307,'12.1- PAVOS (CENSO)'!147:147,1),1,,"12.1- PAVOS (CENSO)"))</f>
        <v>#N/A</v>
      </c>
    </row>
    <row r="169" hidden="1">
      <c r="B169" s="508" t="s">
        <v>24</v>
      </c>
      <c r="C169" s="505" t="e">
        <f>INDIRECT(ADDRESS(148,MATCH(9000000000+307,'12.1- PAVOS (CENSO)'!148:148,1),1,,"12.1- PAVOS (CENSO)"))</f>
        <v>#N/A</v>
      </c>
    </row>
    <row r="170" hidden="1">
      <c r="B170" s="507" t="s">
        <v>25</v>
      </c>
      <c r="C170" s="505" t="e">
        <f>INDIRECT(ADDRESS(149,MATCH(9000000000+307,'12.1- PAVOS (CENSO)'!149:149,1),1,,"12.1- PAVOS (CENSO)"))</f>
        <v>#N/A</v>
      </c>
    </row>
    <row r="171" hidden="1" ht="13.5">
      <c r="B171" s="506" t="s">
        <v>26</v>
      </c>
      <c r="C171" s="505" t="e">
        <f>INDIRECT(ADDRESS(150,MATCH(9000000000+307,'12.1- PAVOS (CENSO)'!150:150,1),1,,"12.1- PAVOS (CENSO)"))</f>
        <v>#N/A</v>
      </c>
    </row>
    <row r="176" ht="15" customHeight="1"/>
  </sheetData>
  <sheetProtection sheet="1" autoFilter="0" objects="1" scenarios="1" sort="0" password="ed66"/>
  <mergeCells>
    <mergeCell ref="C107:AB107"/>
    <mergeCell ref="C130:AB130"/>
    <mergeCell ref="B9:E9"/>
    <mergeCell ref="C23:M24"/>
    <mergeCell ref="C14:M14"/>
    <mergeCell ref="C15:M15"/>
    <mergeCell ref="C18:M18"/>
    <mergeCell ref="C20:M20"/>
  </mergeCells>
  <phoneticPr fontId="44" type="noConversion"/>
  <printOptions horizontalCentered="1"/>
  <pageMargins left="0.78740157480314965" right="0.78740157480314965" top="0.98425196850393704" bottom="0.98425196850393704" header="0" footer="0"/>
  <pageSetup paperSize="9" scale="47" orientation="portrait"/>
  <headerFooter alignWithMargins="0"/>
  <rowBreaks count="1" manualBreakCount="1">
    <brk id="108" max="1048575" man="1"/>
  </rowBreaks>
  <drawing r:id="rId2"/>
  <legacyDrawing r:id="rId3"/>
  <mc:AlternateContent xmlns:mc="http://schemas.openxmlformats.org/markup-compatibility/2006">
    <mc:Choice Requires="x14">
      <controls>
        <mc:AlternateContent xmlns:mc="http://schemas.openxmlformats.org/markup-compatibility/2006">
          <mc:Choice Requires="x14">
            <control shapeId="94209" r:id="rId4" name="Drop Down 1">
              <controlPr defaultSize="0" autoLine="0" autoPict="0">
                <anchor moveWithCells="1">
                  <from>
                    <xdr:col>5</xdr:col>
                    <xdr:colOff>9525</xdr:colOff>
                    <xdr:row>7</xdr:row>
                    <xdr:rowOff>9525</xdr:rowOff>
                  </from>
                  <to>
                    <xdr:col>7</xdr:col>
                    <xdr:colOff>209550</xdr:colOff>
                    <xdr:row>9</xdr:row>
                    <xdr:rowOff>9525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ontainsText" priority="9" operator="containsText" id="{6D1904BB-50F4-4985-9CB5-C3EC4B196F60}">
            <xm:f>NOT(ISERROR(SEARCH("",AC151)))</xm:f>
            <xm:f>""</xm:f>
            <x14:dxf>
              <numFmt numFmtId="3" formatCode="#,##0"/>
              <border>
                <left style="thin">
                  <color auto="1"/>
                </left>
                <right style="thin">
                  <color auto="1"/>
                </right>
                <top style="thin">
                  <color auto="1"/>
                </top>
                <bottom style="thin">
                  <color auto="1"/>
                </bottom>
                <vertical/>
                <horizontal/>
              </border>
            </x14:dxf>
          </x14:cfRule>
          <xm:sqref>AC151:IV151</xm:sqref>
        </x14:conditionalFormatting>
        <x14:conditionalFormatting xmlns:xm="http://schemas.microsoft.com/office/excel/2006/main">
          <x14:cfRule type="containsText" priority="8" operator="containsText" id="{841FB91A-97EB-40CA-AC6D-55B2CC0F1F99}">
            <xm:f>NOT(ISERROR(SEARCH("",C132)))</xm:f>
            <xm:f>""</xm:f>
            <x14:dxf>
              <numFmt numFmtId="3" formatCode="#,##0"/>
              <border>
                <right style="thin">
                  <color auto="1"/>
                </right>
                <top style="thin">
                  <color auto="1"/>
                </top>
                <bottom style="thin">
                  <color auto="1"/>
                </bottom>
                <vertical/>
                <horizontal/>
              </border>
            </x14:dxf>
          </x14:cfRule>
          <xm:sqref>C132:IV150</xm:sqref>
        </x14:conditionalFormatting>
        <x14:conditionalFormatting xmlns:xm="http://schemas.microsoft.com/office/excel/2006/main">
          <x14:cfRule type="containsText" priority="3" operator="containsText" id="{B2BFF514-EE0B-43A2-98A1-C22D79E11DB8}">
            <xm:f>NOT(ISERROR(SEARCH("",AD108)))</xm:f>
            <xm:f>""</xm:f>
            <x14:dxf>
              <numFmt numFmtId="3" formatCode="#,##0"/>
              <border>
                <left style="thin">
                  <color auto="1"/>
                </left>
                <right style="thin">
                  <color auto="1"/>
                </right>
                <top style="thin">
                  <color auto="1"/>
                </top>
                <bottom style="thin">
                  <color auto="1"/>
                </bottom>
                <vertical/>
                <horizontal/>
              </border>
            </x14:dxf>
          </x14:cfRule>
          <xm:sqref>AD108:AG108 AI108:AL108 AN108:AQ108 AS108:AV108 AX108:BA108 BC108:BF108 BH108:BK108 BM108:BP108 BR108:BU108 BW108:BZ108 CB108:CE108 CG108:CJ108 CL108:CO108 CQ108:CT108 CV108:CY108 DA108:DD108 DF108:DI108 DK108:DN108 DP108:DS108 DU108:DX108 DZ108:EC108 EE108:EH108 EJ108:EM108 EO108:ER108 ET108:EW108 EY108:FB108 FD108:FG108 FI108:FL108 FN108:FQ108 FS108:FV108 FX108:GA108 GC108:GF108 GH108:GK108 GM108:GP108 GR108:GU108 GW108:GZ108 HB108:HE108 HG108:HJ108 HL108:HO108 HQ108:HT108 HV108:HY108 IA108:ID108 IF108:II108 IK108:IN108 IP108:IS108 IU108:IV108</xm:sqref>
        </x14:conditionalFormatting>
        <x14:conditionalFormatting xmlns:xm="http://schemas.microsoft.com/office/excel/2006/main">
          <x14:cfRule type="containsText" priority="7" operator="containsText" id="{B2B17170-BB07-491B-A7FE-5194CF12581A}">
            <xm:f>NOT(ISERROR(SEARCH("",AD131)))</xm:f>
            <xm:f>""</xm:f>
            <x14:dxf>
              <numFmt numFmtId="3" formatCode="#,##0"/>
              <border>
                <left style="thin">
                  <color auto="1"/>
                </left>
                <right style="thin">
                  <color auto="1"/>
                </right>
                <top style="thin">
                  <color auto="1"/>
                </top>
                <bottom style="thin">
                  <color auto="1"/>
                </bottom>
                <vertical/>
                <horizontal/>
              </border>
            </x14:dxf>
          </x14:cfRule>
          <xm:sqref>AD131:AG131 AI131:AL131 AN131:AQ131 AS131:AV131 AX131:BA131 BC131:BF131 BH131:BK131 BM131:BP131 BR131:BU131 BW131:BZ131 CB131:CE131 CG131:CJ131 CL131:CO131 CQ131:CT131 CV131:CY131 DA131:DD131 DF131:DI131 DK131:DN131 DP131:DS131 DU131:DX131 DZ131:EC131 EE131:EH131 EJ131:EM131 EO131:ER131 ET131:EW131 EY131:FB131 FD131:FG131 FI131:FL131 FN131:FQ131 FS131:FV131 FX131:GA131 GC131:GF131 GH131:GK131 GM131:GP131 GR131:GU131 GW131:GZ131 HB131:HE131 HG131:HJ131 HL131:HO131 HQ131:HT131 HV131:HY131 IA131:ID131 IF131:II131 IK131:IN131 IP131:IS131 IU131:IV131</xm:sqref>
        </x14:conditionalFormatting>
        <x14:conditionalFormatting xmlns:xm="http://schemas.microsoft.com/office/excel/2006/main">
          <x14:cfRule type="containsText" priority="6" operator="containsText" id="{90B470A9-BEAC-41BD-8D23-D2C325B2D1DC}">
            <xm:f>NOT(ISERROR(SEARCH("",AC131)))</xm:f>
            <xm:f>""</xm:f>
            <x14:dxf>
              <numFmt numFmtId="3" formatCode="#,##0"/>
              <border>
                <left style="thin">
                  <color auto="1"/>
                </left>
                <right style="thin">
                  <color auto="1"/>
                </right>
                <top style="thin">
                  <color auto="1"/>
                </top>
                <bottom style="thin">
                  <color auto="1"/>
                </bottom>
                <vertical/>
                <horizontal/>
              </border>
            </x14:dxf>
          </x14:cfRule>
          <xm:sqref>AC131 AH131 AM131 AR131 AW131 BB131 BG131 BL131 BQ131 BV131 CA131 CF131 CK131 CP131 CU131 CZ131 DE131 DJ131 DO131 DT131 DY131 ED131 EI131 EN131 ES131 EX131 FC131 FH131 FM131 FR131 FW131 GB131 GG131 GL131 GQ131 GV131 HA131 HF131 HK131 HP131 HU131 HZ131 IE131 IJ131 IO131 IT131</xm:sqref>
        </x14:conditionalFormatting>
        <x14:conditionalFormatting xmlns:xm="http://schemas.microsoft.com/office/excel/2006/main">
          <x14:cfRule type="containsText" priority="5" operator="containsText" id="{66A362DF-88C9-49E8-8845-40C9660646C8}">
            <xm:f>NOT(ISERROR(SEARCH("",AC128)))</xm:f>
            <xm:f>""</xm:f>
            <x14:dxf>
              <numFmt numFmtId="3" formatCode="#,##0"/>
              <border>
                <left style="thin">
                  <color auto="1"/>
                </left>
                <right style="thin">
                  <color auto="1"/>
                </right>
                <top style="thin">
                  <color auto="1"/>
                </top>
                <bottom style="thin">
                  <color auto="1"/>
                </bottom>
                <vertical/>
                <horizontal/>
              </border>
            </x14:dxf>
          </x14:cfRule>
          <xm:sqref>AC128:IV128</xm:sqref>
        </x14:conditionalFormatting>
        <x14:conditionalFormatting xmlns:xm="http://schemas.microsoft.com/office/excel/2006/main">
          <x14:cfRule type="containsText" priority="4" operator="containsText" id="{2CB37406-BA80-47EA-B0F6-D29DB0DD9E1D}">
            <xm:f>NOT(ISERROR(SEARCH("",C109)))</xm:f>
            <xm:f>""</xm:f>
            <x14:dxf>
              <numFmt numFmtId="3" formatCode="#,##0"/>
              <border>
                <right style="thin">
                  <color auto="1"/>
                </right>
                <top style="thin">
                  <color auto="1"/>
                </top>
                <bottom style="thin">
                  <color auto="1"/>
                </bottom>
                <vertical/>
                <horizontal/>
              </border>
            </x14:dxf>
          </x14:cfRule>
          <xm:sqref>C109:IV127</xm:sqref>
        </x14:conditionalFormatting>
        <x14:conditionalFormatting xmlns:xm="http://schemas.microsoft.com/office/excel/2006/main">
          <x14:cfRule type="containsText" priority="2" operator="containsText" id="{B72B2A3C-9BC8-4AEB-97E1-0BCB65092F1A}">
            <xm:f>NOT(ISERROR(SEARCH("",AC108)))</xm:f>
            <xm:f>""</xm:f>
            <x14:dxf>
              <numFmt numFmtId="3" formatCode="#,##0"/>
              <border>
                <left style="thin">
                  <color auto="1"/>
                </left>
                <right style="thin">
                  <color auto="1"/>
                </right>
                <top style="thin">
                  <color auto="1"/>
                </top>
                <bottom style="thin">
                  <color auto="1"/>
                </bottom>
                <vertical/>
                <horizontal/>
              </border>
            </x14:dxf>
          </x14:cfRule>
          <xm:sqref>AC108 AH108 AM108 AR108 AW108 BB108 BG108 BL108 BQ108 BV108 CA108 CF108 CK108 CP108 CU108 CZ108 DE108 DJ108 DO108 DT108 DY108 ED108 EI108 EN108 ES108 EX108 FC108 FH108 FM108 FR108 FW108 GB108 GG108 GL108 GQ108 GV108 HA108 HF108 HK108 HP108 HU108 HZ108 IE108 IJ108 IO108 IT108</xm:sqref>
        </x14:conditionalFormatting>
        <x14:conditionalFormatting xmlns:xm="http://schemas.microsoft.com/office/excel/2006/main">
          <x14:cfRule type="containsText" priority="1" operator="containsText" id="{7DA45994-F6A0-405D-82F8-4555BB399B35}">
            <xm:f>NOT(ISERROR(SEARCH("",C153)))</xm:f>
            <xm:f>""</xm:f>
            <x14:dxf>
              <numFmt numFmtId="3" formatCode="#,##0"/>
              <border>
                <right style="thin">
                  <color auto="1"/>
                </right>
                <top style="thin">
                  <color auto="1"/>
                </top>
                <bottom style="thin">
                  <color auto="1"/>
                </bottom>
                <vertical/>
                <horizontal/>
              </border>
            </x14:dxf>
          </x14:cfRule>
          <xm:sqref>C153:C171</xm:sqref>
        </x14:conditionalFormatting>
      </x14:conditionalFormattings>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mc:Ignorable="x14ac xr">
  <sheetPr codeName="Hoja23">
    <tabColor indexed="60"/>
  </sheetPr>
  <dimension ref="A1:IV170"/>
  <sheetViews>
    <sheetView showGridLines="0" view="pageBreakPreview" zoomScaleNormal="100" workbookViewId="0">
      <pane ySplit="9" topLeftCell="A10" activePane="bottomLeft" state="frozen"/>
      <selection pane="bottomLeft" activeCell="A10" sqref="A10"/>
    </sheetView>
  </sheetViews>
  <sheetFormatPr baseColWidth="10" defaultRowHeight="12.75"/>
  <cols>
    <col min="1" max="1" width="11.42578125" customWidth="1" style="51"/>
    <col min="2" max="2" bestFit="1" width="19.5703125" customWidth="1" style="51"/>
    <col min="3" max="11" width="11.7109375" customWidth="1" style="51"/>
    <col min="12" max="16384" width="11.42578125" customWidth="1" style="51"/>
  </cols>
  <sheetData>
    <row r="1">
      <c r="A1" s="46"/>
      <c r="B1" s="47"/>
      <c r="C1" s="47"/>
      <c r="D1" s="47"/>
      <c r="E1" s="47"/>
      <c r="F1" s="47"/>
      <c r="G1" s="47"/>
      <c r="H1" s="47"/>
      <c r="I1" s="47"/>
      <c r="J1" s="47"/>
      <c r="K1" s="47"/>
      <c r="L1" s="47"/>
      <c r="M1" s="47"/>
      <c r="N1" s="48"/>
      <c r="O1" s="49"/>
      <c r="P1" s="50"/>
    </row>
    <row r="2">
      <c r="A2" s="52"/>
      <c r="B2" s="49"/>
      <c r="C2" s="49"/>
      <c r="D2" s="49"/>
      <c r="E2" s="49"/>
      <c r="F2" s="49"/>
      <c r="G2" s="49"/>
      <c r="H2" s="49"/>
      <c r="I2" s="49"/>
      <c r="J2" s="49"/>
      <c r="K2" s="49"/>
      <c r="L2" s="49"/>
      <c r="M2" s="49"/>
      <c r="N2" s="53"/>
      <c r="O2" s="49"/>
      <c r="P2" s="50"/>
    </row>
    <row r="3">
      <c r="A3" s="52"/>
      <c r="B3" s="49"/>
      <c r="C3" s="49"/>
      <c r="D3" s="49"/>
      <c r="E3" s="49"/>
      <c r="F3" s="49"/>
      <c r="G3" s="49"/>
      <c r="H3" s="49"/>
      <c r="I3" s="49"/>
      <c r="J3" s="49"/>
      <c r="K3" s="49"/>
      <c r="L3" s="49"/>
      <c r="M3" s="49"/>
      <c r="N3" s="53"/>
      <c r="O3" s="49"/>
      <c r="P3" s="50"/>
    </row>
    <row r="4">
      <c r="A4" s="52"/>
      <c r="B4" s="49"/>
      <c r="C4" s="49"/>
      <c r="D4" s="49"/>
      <c r="E4" s="49"/>
      <c r="F4" s="49"/>
      <c r="G4" s="49"/>
      <c r="H4" s="49"/>
      <c r="I4" s="49"/>
      <c r="J4" s="49"/>
      <c r="K4" s="49"/>
      <c r="L4" s="49"/>
      <c r="M4" s="49"/>
      <c r="N4" s="53"/>
      <c r="O4" s="49"/>
      <c r="P4" s="50"/>
    </row>
    <row r="5">
      <c r="A5" s="52"/>
      <c r="B5" s="49"/>
      <c r="C5" s="49"/>
      <c r="D5" s="49"/>
      <c r="E5" s="49"/>
      <c r="F5" s="49"/>
      <c r="G5" s="49"/>
      <c r="H5" s="49"/>
      <c r="I5" s="49"/>
      <c r="J5" s="49"/>
      <c r="K5" s="49"/>
      <c r="L5" s="49"/>
      <c r="M5" s="49"/>
      <c r="N5" s="53"/>
      <c r="O5" s="49"/>
      <c r="P5" s="50"/>
    </row>
    <row r="6" ht="13.5">
      <c r="A6" s="54"/>
      <c r="B6" s="55"/>
      <c r="C6" s="55"/>
      <c r="D6" s="55"/>
      <c r="E6" s="55"/>
      <c r="F6" s="55"/>
      <c r="G6" s="55"/>
      <c r="H6" s="55"/>
      <c r="I6" s="55"/>
      <c r="J6" s="55"/>
      <c r="K6" s="55"/>
      <c r="L6" s="55"/>
      <c r="M6" s="55"/>
      <c r="N6" s="56"/>
      <c r="O6" s="49"/>
      <c r="P6" s="50"/>
    </row>
    <row r="7" s="57" customFormat="1">
      <c r="O7" s="58"/>
      <c r="P7" s="58"/>
    </row>
    <row r="8">
      <c r="F8" s="131">
        <v>20</v>
      </c>
      <c r="I8" s="51" t="s">
        <v>100</v>
      </c>
      <c r="J8" s="51" t="e">
        <f>LOOKUP(AUX!$E$10,AUX!$B:$B,AUX!$A:$A)</f>
        <v>#N/A</v>
      </c>
      <c r="O8" s="50"/>
      <c r="P8" s="50"/>
    </row>
    <row r="9">
      <c r="B9" s="597" t="s">
        <v>101</v>
      </c>
      <c r="C9" s="597"/>
      <c r="D9" s="597"/>
      <c r="E9" s="597"/>
      <c r="I9" s="51" t="s">
        <v>1</v>
      </c>
      <c r="J9" s="51" t="str">
        <f>LOOKUP(AUX!$E$11,AUX!$E1:$E5,AUX!$D1:$D5)</f>
        <v>6 meses</v>
      </c>
      <c r="O9" s="50"/>
      <c r="P9" s="50"/>
    </row>
    <row r="10">
      <c r="O10" s="50"/>
      <c r="P10" s="50"/>
    </row>
    <row r="11">
      <c r="O11" s="50"/>
      <c r="P11" s="50"/>
    </row>
    <row r="12">
      <c r="O12" s="50"/>
      <c r="P12" s="50"/>
    </row>
    <row r="13" ht="13.5">
      <c r="O13" s="50"/>
      <c r="P13" s="50"/>
    </row>
    <row r="14" ht="16.5" customHeight="1">
      <c r="C14" s="779" t="s">
        <v>414</v>
      </c>
      <c r="D14" s="780"/>
      <c r="E14" s="780"/>
      <c r="F14" s="780"/>
      <c r="G14" s="780"/>
      <c r="H14" s="780"/>
      <c r="I14" s="780"/>
      <c r="J14" s="780"/>
      <c r="K14" s="780"/>
      <c r="L14" s="780"/>
      <c r="M14" s="781"/>
      <c r="O14" s="50"/>
      <c r="P14" s="50"/>
    </row>
    <row r="15" ht="16.5" customHeight="1">
      <c r="B15" s="164"/>
      <c r="C15" s="782" t="s">
        <v>182</v>
      </c>
      <c r="D15" s="783"/>
      <c r="E15" s="783"/>
      <c r="F15" s="783"/>
      <c r="G15" s="783"/>
      <c r="H15" s="783"/>
      <c r="I15" s="783"/>
      <c r="J15" s="783"/>
      <c r="K15" s="783"/>
      <c r="L15" s="783"/>
      <c r="M15" s="784"/>
      <c r="N15" s="164"/>
      <c r="O15" s="344"/>
      <c r="P15" s="50"/>
    </row>
    <row r="16">
      <c r="C16" s="141"/>
      <c r="D16" s="142"/>
      <c r="E16" s="142"/>
      <c r="F16" s="142"/>
      <c r="G16" s="142"/>
      <c r="H16" s="142"/>
      <c r="I16" s="142"/>
      <c r="J16" s="142"/>
      <c r="K16" s="142"/>
      <c r="L16" s="142"/>
      <c r="M16" s="143"/>
      <c r="O16" s="50"/>
      <c r="P16" s="50"/>
    </row>
    <row r="17" ht="15.75" customHeight="1">
      <c r="B17" s="209"/>
      <c r="C17" s="145" t="e">
        <f>INDEX(AUX!$G$1:$IV$1,1,AUX!$E$10+(AUX!$E$11*AUX!G$2))</f>
        <v>#VALUE!</v>
      </c>
      <c r="D17" s="146">
        <f>INDEX(AUX!$G$1:$IV$1,1,AUX!$E$10+(AUX!$E$11*AUX!H$2))</f>
        <v>38899</v>
      </c>
      <c r="E17" s="146">
        <f>INDEX(AUX!$G$1:$IV$1,1,AUX!$E$10+(AUX!$E$11*AUX!I$2))</f>
        <v>39083</v>
      </c>
      <c r="F17" s="146">
        <f>INDEX(AUX!$G$1:$IV$1,1,AUX!$E$10+(AUX!$E$11*AUX!J$2))</f>
        <v>39264</v>
      </c>
      <c r="G17" s="146">
        <f>INDEX(AUX!$G$1:$IV$1,1,AUX!$E$10+(AUX!$E$11*AUX!K$2))</f>
        <v>39448</v>
      </c>
      <c r="H17" s="146">
        <f>INDEX(AUX!$G$1:$IV$1,1,AUX!$E$10+(AUX!$E$11*AUX!L$2))</f>
        <v>39630</v>
      </c>
      <c r="I17" s="146">
        <f>INDEX(AUX!$G$1:$IV$1,1,AUX!$E$10+(AUX!$E$11*AUX!M$2))</f>
        <v>39814</v>
      </c>
      <c r="J17" s="146">
        <f>INDEX(AUX!$G$1:$IV$1,1,AUX!$E$10+(AUX!$E$11*AUX!N$2))</f>
        <v>39995</v>
      </c>
      <c r="K17" s="146">
        <f>INDEX(AUX!$G$1:$IV$1,1,AUX!$E$10+(AUX!$E$11*AUX!O$2))</f>
        <v>40179</v>
      </c>
      <c r="L17" s="146">
        <f>INDEX(AUX!$G$1:$IV$1,1,AUX!$E$10+(AUX!$E$11*AUX!P$2))</f>
        <v>40360</v>
      </c>
      <c r="M17" s="147">
        <f>INDEX(AUX!$G$1:$IV$1,1,AUX!$E$10+(AUX!$E$11*AUX!Q$2))</f>
        <v>40544</v>
      </c>
      <c r="N17" s="202"/>
      <c r="O17" s="50"/>
    </row>
    <row r="18" ht="15.75" customHeight="1">
      <c r="B18" s="288"/>
      <c r="C18" s="785" t="s">
        <v>183</v>
      </c>
      <c r="D18" s="786"/>
      <c r="E18" s="786"/>
      <c r="F18" s="786"/>
      <c r="G18" s="786"/>
      <c r="H18" s="786"/>
      <c r="I18" s="786"/>
      <c r="J18" s="786"/>
      <c r="K18" s="786"/>
      <c r="L18" s="786"/>
      <c r="M18" s="787"/>
      <c r="N18" s="357"/>
      <c r="O18" s="202"/>
      <c r="P18" s="50"/>
    </row>
    <row r="19" ht="15.75" customHeight="1">
      <c r="B19" s="353" t="str">
        <f>INDEX($B$108:$H$127,$F$8,1)</f>
        <v>Total</v>
      </c>
      <c r="C19" s="289" t="str">
        <f>IF(INDEX($C$108:$II$127,$F$8,AUX!$E$10+(AUX!$E$11*AUX!G$2))="","--",INDEX($C$108:$II$127,$F$8,AUX!$E$10+(AUX!$E$11*AUX!G$2)))</f>
        <v>--</v>
      </c>
      <c r="D19" s="290" t="str">
        <f>IF(INDEX($C$108:$II$127,$F$8,AUX!$E$10+(AUX!$E$11*AUX!H$2))="","--",INDEX($C$108:$II$127,$F$8,AUX!$E$10+(AUX!$E$11*AUX!H$2)))</f>
        <v>--</v>
      </c>
      <c r="E19" s="290" t="str">
        <f>IF(INDEX($C$108:$II$127,$F$8,AUX!$E$10+(AUX!$E$11*AUX!I$2))="","--",INDEX($C$108:$II$127,$F$8,AUX!$E$10+(AUX!$E$11*AUX!I$2)))</f>
        <v>--</v>
      </c>
      <c r="F19" s="290" t="str">
        <f>IF(INDEX($C$108:$II$127,$F$8,AUX!$E$10+(AUX!$E$11*AUX!J$2))="","--",INDEX($C$108:$II$127,$F$8,AUX!$E$10+(AUX!$E$11*AUX!J$2)))</f>
        <v>--</v>
      </c>
      <c r="G19" s="290" t="str">
        <f>IF(INDEX($C$108:$II$127,$F$8,AUX!$E$10+(AUX!$E$11*AUX!K$2))="","--",INDEX($C$108:$II$127,$F$8,AUX!$E$10+(AUX!$E$11*AUX!K$2)))</f>
        <v>--</v>
      </c>
      <c r="H19" s="290" t="str">
        <f>IF(INDEX($C$108:$II$127,$F$8,AUX!$E$10+(AUX!$E$11*AUX!L$2))="","--",INDEX($C$108:$II$127,$F$8,AUX!$E$10+(AUX!$E$11*AUX!L$2)))</f>
        <v>--</v>
      </c>
      <c r="I19" s="290" t="str">
        <f>IF(INDEX($C$108:$II$127,$F$8,AUX!$E$10+(AUX!$E$11*AUX!M$2))="","--",INDEX($C$108:$II$127,$F$8,AUX!$E$10+(AUX!$E$11*AUX!M$2)))</f>
        <v>--</v>
      </c>
      <c r="J19" s="290" t="str">
        <f>IF(INDEX($C$108:$II$127,$F$8,AUX!$E$10+(AUX!$E$11*AUX!N$2))="","--",INDEX($C$108:$II$127,$F$8,AUX!$E$10+(AUX!$E$11*AUX!N$2)))</f>
        <v>--</v>
      </c>
      <c r="K19" s="290" t="str">
        <f>IF(INDEX($C$108:$II$127,$F$8,AUX!$E$10+(AUX!$E$11*AUX!O$2))="","--",INDEX($C$108:$II$127,$F$8,AUX!$E$10+(AUX!$E$11*AUX!O$2)))</f>
        <v>--</v>
      </c>
      <c r="L19" s="290" t="str">
        <f>IF(INDEX($C$108:$II$127,$F$8,AUX!$E$10+(AUX!$E$11*AUX!P$2))="","--",INDEX($C$108:$II$127,$F$8,AUX!$E$10+(AUX!$E$11*AUX!P$2)))</f>
        <v>--</v>
      </c>
      <c r="M19" s="291" t="str">
        <f>IF(INDEX($C$108:$II$127,$F$8,AUX!$E$10+(AUX!$E$11*AUX!Q$2))="","--",INDEX($C$108:$II$127,$F$8,AUX!$E$10+(AUX!$E$11*AUX!Q$2)))</f>
        <v>--</v>
      </c>
      <c r="N19" s="202"/>
      <c r="O19" s="50"/>
    </row>
    <row r="20" ht="15.75" customHeight="1">
      <c r="B20" s="209"/>
      <c r="C20" s="785" t="s">
        <v>106</v>
      </c>
      <c r="D20" s="786"/>
      <c r="E20" s="786"/>
      <c r="F20" s="786"/>
      <c r="G20" s="786"/>
      <c r="H20" s="786"/>
      <c r="I20" s="786"/>
      <c r="J20" s="786"/>
      <c r="K20" s="786"/>
      <c r="L20" s="786"/>
      <c r="M20" s="787"/>
      <c r="N20" s="357"/>
      <c r="O20" s="202"/>
      <c r="P20" s="50"/>
    </row>
    <row r="21" ht="15.75" customHeight="1">
      <c r="B21" s="209"/>
      <c r="C21" s="292" t="str">
        <f>IF(INDEX($C$131:$II$150,$F$8,AUX!$E$10+(AUX!$E$11*AUX!G$2))="","--",INDEX($C$131:$II$150,$F$8,AUX!$E$10+(AUX!$E$11*AUX!G$2)))</f>
        <v>--</v>
      </c>
      <c r="D21" s="293" t="str">
        <f>IF(INDEX($C$131:$II$150,$F$8,AUX!$E$10+(AUX!$E$11*AUX!H$2))="","--",INDEX($C$131:$II$150,$F$8,AUX!$E$10+(AUX!$E$11*AUX!H$2)))</f>
        <v>--</v>
      </c>
      <c r="E21" s="293" t="str">
        <f>IF(INDEX($C$131:$II$150,$F$8,AUX!$E$10+(AUX!$E$11*AUX!I$2))="","--",INDEX($C$131:$II$150,$F$8,AUX!$E$10+(AUX!$E$11*AUX!I$2)))</f>
        <v>--</v>
      </c>
      <c r="F21" s="293" t="str">
        <f>IF(INDEX($C$131:$II$150,$F$8,AUX!$E$10+(AUX!$E$11*AUX!J$2))="","--",INDEX($C$131:$II$150,$F$8,AUX!$E$10+(AUX!$E$11*AUX!J$2)))</f>
        <v>--</v>
      </c>
      <c r="G21" s="293" t="str">
        <f>IF(INDEX($C$131:$II$150,$F$8,AUX!$E$10+(AUX!$E$11*AUX!K$2))="","--",INDEX($C$131:$II$150,$F$8,AUX!$E$10+(AUX!$E$11*AUX!K$2)))</f>
        <v>--</v>
      </c>
      <c r="H21" s="293" t="str">
        <f>IF(INDEX($C$131:$II$150,$F$8,AUX!$E$10+(AUX!$E$11*AUX!L$2))="","--",INDEX($C$131:$II$150,$F$8,AUX!$E$10+(AUX!$E$11*AUX!L$2)))</f>
        <v>--</v>
      </c>
      <c r="I21" s="293" t="str">
        <f>IF(INDEX($C$131:$II$150,$F$8,AUX!$E$10+(AUX!$E$11*AUX!M$2))="","--",INDEX($C$131:$II$150,$F$8,AUX!$E$10+(AUX!$E$11*AUX!M$2)))</f>
        <v>--</v>
      </c>
      <c r="J21" s="293" t="str">
        <f>IF(INDEX($C$131:$II$150,$F$8,AUX!$E$10+(AUX!$E$11*AUX!N$2))="","--",INDEX($C$131:$II$150,$F$8,AUX!$E$10+(AUX!$E$11*AUX!N$2)))</f>
        <v>--</v>
      </c>
      <c r="K21" s="293" t="str">
        <f>IF(INDEX($C$131:$II$150,$F$8,AUX!$E$10+(AUX!$E$11*AUX!O$2))="","--",INDEX($C$131:$II$150,$F$8,AUX!$E$10+(AUX!$E$11*AUX!O$2)))</f>
        <v>--</v>
      </c>
      <c r="L21" s="293" t="str">
        <f>IF(INDEX($C$131:$II$150,$F$8,AUX!$E$10+(AUX!$E$11*AUX!P$2))="","--",INDEX($C$131:$II$150,$F$8,AUX!$E$10+(AUX!$E$11*AUX!P$2)))</f>
        <v>--</v>
      </c>
      <c r="M21" s="294" t="str">
        <f>IF(INDEX($C$131:$II$150,$F$8,AUX!$E$10+(AUX!$E$11*AUX!Q$2))="","--",INDEX($C$131:$II$150,$F$8,AUX!$E$10+(AUX!$E$11*AUX!Q$2)))</f>
        <v>--</v>
      </c>
      <c r="N21" s="202"/>
      <c r="O21" s="50"/>
    </row>
    <row r="22" ht="15.75" customHeight="1">
      <c r="B22" s="209"/>
      <c r="C22" s="358"/>
      <c r="D22" s="358"/>
      <c r="E22" s="358"/>
      <c r="F22" s="358"/>
      <c r="G22" s="358"/>
      <c r="H22" s="358"/>
      <c r="I22" s="358"/>
      <c r="J22" s="358"/>
      <c r="K22" s="358"/>
      <c r="M22" s="202"/>
      <c r="N22" s="202"/>
      <c r="O22" s="202"/>
      <c r="P22" s="50"/>
    </row>
    <row r="23" ht="15.75" customHeight="1">
      <c r="B23" s="209"/>
      <c r="C23" s="788" t="s">
        <v>185</v>
      </c>
      <c r="D23" s="789"/>
      <c r="E23" s="789"/>
      <c r="F23" s="789"/>
      <c r="G23" s="789"/>
      <c r="H23" s="789"/>
      <c r="I23" s="789"/>
      <c r="J23" s="789"/>
      <c r="K23" s="789"/>
      <c r="L23" s="789"/>
      <c r="M23" s="790"/>
      <c r="N23" s="202"/>
      <c r="O23" s="202"/>
      <c r="P23" s="50"/>
    </row>
    <row r="24" ht="13.5" customHeight="1">
      <c r="C24" s="791"/>
      <c r="D24" s="792"/>
      <c r="E24" s="792"/>
      <c r="F24" s="792"/>
      <c r="G24" s="792"/>
      <c r="H24" s="792"/>
      <c r="I24" s="792"/>
      <c r="J24" s="792"/>
      <c r="K24" s="792"/>
      <c r="L24" s="792"/>
      <c r="M24" s="793"/>
      <c r="O24" s="50"/>
      <c r="P24" s="50"/>
    </row>
    <row r="25">
      <c r="C25" s="336"/>
      <c r="D25" s="336"/>
      <c r="E25" s="336"/>
      <c r="F25" s="336"/>
      <c r="G25" s="336"/>
      <c r="H25" s="336"/>
      <c r="I25" s="336"/>
      <c r="J25" s="336"/>
      <c r="K25" s="336"/>
    </row>
    <row r="26">
      <c r="C26" s="354"/>
      <c r="D26" s="354"/>
      <c r="E26" s="354"/>
      <c r="F26" s="354"/>
      <c r="G26" s="354"/>
      <c r="H26" s="354"/>
      <c r="I26" s="354"/>
      <c r="J26" s="354"/>
      <c r="K26" s="354"/>
    </row>
    <row r="27">
      <c r="C27" s="336"/>
      <c r="D27" s="336"/>
      <c r="E27" s="336"/>
      <c r="F27" s="336"/>
      <c r="G27" s="336"/>
      <c r="H27" s="336"/>
      <c r="I27" s="336"/>
      <c r="J27" s="336"/>
      <c r="K27" s="336"/>
    </row>
    <row r="72">
      <c r="D72" s="51" t="s">
        <v>186</v>
      </c>
      <c r="F72" s="51" t="e">
        <f>IF(INDEX(#REF!,$F$8,7)=0, "-", INDEX(#REF!,$F$8,7))</f>
        <v>#REF!</v>
      </c>
    </row>
    <row r="73">
      <c r="D73" s="51" t="s">
        <v>187</v>
      </c>
      <c r="F73" s="51" t="e">
        <f>IF(INDEX(#REF!,$F$8,7)=0, "-", INDEX(#REF!,$F$8,7))</f>
        <v>#REF!</v>
      </c>
    </row>
    <row r="74">
      <c r="D74" s="51" t="s">
        <v>188</v>
      </c>
      <c r="F74" s="51" t="e">
        <f>IF(INDEX(#REF!,$F$8,7)=0, "-", INDEX(#REF!,$F$8,7))</f>
        <v>#REF!</v>
      </c>
    </row>
    <row r="75">
      <c r="D75" s="51" t="s">
        <v>189</v>
      </c>
      <c r="F75" s="51" t="str">
        <f>IF(INDEX($B$108:$H$127,$F$8,7)=0, "-", INDEX($B$108:$H$127,$F$8,7))</f>
      </c>
    </row>
    <row r="76">
      <c r="D76" s="51" t="s">
        <v>190</v>
      </c>
      <c r="F76" s="51" t="e">
        <f>IF(INDEX(#REF!,$F$8,7)=0, "-", INDEX(#REF!,$F$8,7))</f>
        <v>#REF!</v>
      </c>
    </row>
    <row r="77">
      <c r="D77" s="51" t="s">
        <v>191</v>
      </c>
      <c r="F77" s="51" t="e">
        <f>IF(INDEX(#REF!,$F$8,7)=0, "-", INDEX(#REF!,$F$8,7))</f>
        <v>#REF!</v>
      </c>
    </row>
    <row r="106" hidden="1" ht="15" customHeight="1">
      <c r="C106" s="686" t="s">
        <v>183</v>
      </c>
      <c r="D106" s="687"/>
      <c r="E106" s="687"/>
      <c r="F106" s="687"/>
      <c r="G106" s="687"/>
      <c r="H106" s="687"/>
      <c r="I106" s="687"/>
      <c r="J106" s="687"/>
      <c r="K106" s="687"/>
      <c r="L106" s="687"/>
      <c r="M106" s="687"/>
      <c r="N106" s="687"/>
      <c r="O106" s="687"/>
      <c r="P106" s="687"/>
      <c r="Q106" s="687"/>
      <c r="R106" s="687"/>
      <c r="S106" s="687"/>
      <c r="T106" s="687"/>
      <c r="U106" s="687"/>
      <c r="V106" s="687"/>
      <c r="W106" s="687"/>
      <c r="X106" s="687"/>
      <c r="Y106" s="687"/>
      <c r="Z106" s="687"/>
      <c r="AA106" s="687"/>
      <c r="AB106" s="688"/>
    </row>
    <row r="107" hidden="1" ht="15" customHeight="1">
      <c r="C107" s="435" t="str">
        <f> IF(C127&lt;&gt;"",TEXT(AUX!G$1,"dd-MMM-aa"),"")</f>
      </c>
      <c r="D107" s="435" t="str">
        <f> IF(D127&lt;&gt;"",TEXT(AUX!H$1,"dd-MMM-aa"),"")</f>
      </c>
      <c r="E107" s="435" t="str">
        <f> IF(E127&lt;&gt;"",TEXT(AUX!I$1,"dd-MMM-aa"),"")</f>
      </c>
      <c r="F107" s="435" t="str">
        <f> IF(F127&lt;&gt;"",TEXT(AUX!J$1,"dd-MMM-aa"),"")</f>
      </c>
      <c r="G107" s="435" t="str">
        <f> IF(G127&lt;&gt;"",TEXT(AUX!K$1,"dd-MMM-aa"),"")</f>
      </c>
      <c r="H107" s="435" t="str">
        <f> IF(H127&lt;&gt;"",TEXT(AUX!L$1,"dd-MMM-aa"),"")</f>
      </c>
      <c r="I107" s="435" t="str">
        <f> IF(I127&lt;&gt;"",TEXT(AUX!M$1,"dd-MMM-aa"),"")</f>
      </c>
      <c r="J107" s="435" t="str">
        <f> IF(J127&lt;&gt;"",TEXT(AUX!N$1,"dd-MMM-aa"),"")</f>
      </c>
      <c r="K107" s="435" t="str">
        <f> IF(K127&lt;&gt;"",TEXT(AUX!O$1,"dd-MMM-aa"),"")</f>
      </c>
      <c r="L107" s="435" t="str">
        <f> IF(L127&lt;&gt;"",TEXT(AUX!P$1,"dd-MMM-aa"),"")</f>
      </c>
      <c r="M107" s="435" t="str">
        <f> IF(M127&lt;&gt;"",TEXT(AUX!Q$1,"dd-MMM-aa"),"")</f>
      </c>
      <c r="N107" s="435" t="str">
        <f> IF(N127&lt;&gt;"",TEXT(AUX!R$1,"dd-MMM-aa"),"")</f>
      </c>
      <c r="O107" s="435" t="str">
        <f> IF(O127&lt;&gt;"",TEXT(AUX!S$1,"dd-MMM-aa"),"")</f>
      </c>
      <c r="P107" s="435" t="str">
        <f> IF(P127&lt;&gt;"",TEXT(AUX!T$1,"dd-MMM-aa"),"")</f>
      </c>
      <c r="Q107" s="435" t="str">
        <f> IF(Q127&lt;&gt;"",TEXT(AUX!U$1,"dd-MMM-aa"),"")</f>
      </c>
      <c r="R107" s="435" t="str">
        <f> IF(R127&lt;&gt;"",TEXT(AUX!V$1,"dd-MMM-aa"),"")</f>
      </c>
      <c r="S107" s="435" t="str">
        <f> IF(S127&lt;&gt;"",TEXT(AUX!W$1,"dd-MMM-aa"),"")</f>
      </c>
      <c r="T107" s="435" t="str">
        <f> IF(T127&lt;&gt;"",TEXT(AUX!X$1,"dd-MMM-aa"),"")</f>
      </c>
      <c r="U107" s="435" t="str">
        <f> IF(U127&lt;&gt;"",TEXT(AUX!Y$1,"dd-MMM-aa"),"")</f>
      </c>
      <c r="V107" s="435" t="str">
        <f> IF(V127&lt;&gt;"",TEXT(AUX!Z$1,"dd-MMM-aa"),"")</f>
      </c>
      <c r="W107" s="435" t="str">
        <f> IF(W127&lt;&gt;"",TEXT(AUX!AA$1,"dd-MMM-aa"),"")</f>
      </c>
      <c r="X107" s="435" t="str">
        <f> IF(X127&lt;&gt;"",TEXT(AUX!AB$1,"dd-MMM-aa"),"")</f>
      </c>
      <c r="Y107" s="435" t="str">
        <f> IF(Y127&lt;&gt;"",TEXT(AUX!AC$1,"dd-MMM-aa"),"")</f>
      </c>
      <c r="Z107" s="435" t="str">
        <f> IF(Z127&lt;&gt;"",TEXT(AUX!AD$1,"dd-MMM-aa"),"")</f>
      </c>
      <c r="AA107" s="435" t="str">
        <f> IF(AA127&lt;&gt;"",TEXT(AUX!AE$1,"dd-MMM-aa"),"")</f>
      </c>
      <c r="AB107" s="497" t="str">
        <f> IF(AB127&lt;&gt;"",TEXT(AUX!AF$1,"dd-MMM-aa"),"")</f>
      </c>
      <c r="AC107" s="496" t="str">
        <f> IF(AC127&lt;&gt;"",TEXT(AUX!AG$1,"dd-MMM-aa"),"")</f>
      </c>
      <c r="AD107" s="496" t="str">
        <f> IF(AD127&lt;&gt;"",TEXT(AUX!AH$1,"dd-MMM-aa"),"")</f>
      </c>
      <c r="AE107" s="496" t="str">
        <f> IF(AE127&lt;&gt;"",TEXT(AUX!AI$1,"dd-MMM-aa"),"")</f>
      </c>
      <c r="AF107" s="496" t="str">
        <f> IF(AF127&lt;&gt;"",TEXT(AUX!AJ$1,"dd-MMM-aa"),"")</f>
      </c>
      <c r="AG107" s="496" t="str">
        <f> IF(AG127&lt;&gt;"",TEXT(AUX!AK$1,"dd-MMM-aa"),"")</f>
      </c>
      <c r="AH107" s="496" t="str">
        <f> IF(AH127&lt;&gt;"",TEXT(AUX!AL$1,"dd-MMM-aa"),"")</f>
      </c>
      <c r="AI107" s="496" t="str">
        <f> IF(AI127&lt;&gt;"",TEXT(AUX!AM$1,"dd-MMM-aa"),"")</f>
      </c>
      <c r="AJ107" s="496" t="str">
        <f> IF(AJ127&lt;&gt;"",TEXT(AUX!AN$1,"dd-MMM-aa"),"")</f>
      </c>
      <c r="AK107" s="496" t="str">
        <f> IF(AK127&lt;&gt;"",TEXT(AUX!AO$1,"dd-MMM-aa"),"")</f>
      </c>
      <c r="AL107" s="496" t="str">
        <f> IF(AL127&lt;&gt;"",TEXT(AUX!AP$1,"dd-MMM-aa"),"")</f>
      </c>
      <c r="AM107" s="496" t="str">
        <f> IF(AM127&lt;&gt;"",TEXT(AUX!AQ$1,"dd-MMM-aa"),"")</f>
      </c>
      <c r="AN107" s="496" t="str">
        <f> IF(AN127&lt;&gt;"",TEXT(AUX!AR$1,"dd-MMM-aa"),"")</f>
      </c>
      <c r="AO107" s="496" t="str">
        <f> IF(AO127&lt;&gt;"",TEXT(AUX!AS$1,"dd-MMM-aa"),"")</f>
      </c>
      <c r="AP107" s="496" t="str">
        <f> IF(AP127&lt;&gt;"",TEXT(AUX!AT$1,"dd-MMM-aa"),"")</f>
      </c>
      <c r="AQ107" s="496" t="str">
        <f> IF(AQ127&lt;&gt;"",TEXT(AUX!AU$1,"dd-MMM-aa"),"")</f>
      </c>
      <c r="AR107" s="496" t="str">
        <f> IF(AR127&lt;&gt;"",TEXT(AUX!AV$1,"dd-MMM-aa"),"")</f>
      </c>
      <c r="AS107" s="496" t="str">
        <f> IF(AS127&lt;&gt;"",TEXT(AUX!AW$1,"dd-MMM-aa"),"")</f>
      </c>
      <c r="AT107" s="496" t="str">
        <f> IF(AT127&lt;&gt;"",TEXT(AUX!AX$1,"dd-MMM-aa"),"")</f>
      </c>
      <c r="AU107" s="496" t="str">
        <f> IF(AU127&lt;&gt;"",TEXT(AUX!AY$1,"dd-MMM-aa"),"")</f>
      </c>
      <c r="AV107" s="496" t="str">
        <f> IF(AV127&lt;&gt;"",TEXT(AUX!AZ$1,"dd-MMM-aa"),"")</f>
      </c>
      <c r="AW107" s="496" t="str">
        <f> IF(AW127&lt;&gt;"",TEXT(AUX!BA$1,"dd-MMM-aa"),"")</f>
      </c>
      <c r="AX107" s="496" t="str">
        <f> IF(AX127&lt;&gt;"",TEXT(AUX!BB$1,"dd-MMM-aa"),"")</f>
      </c>
      <c r="AY107" s="496" t="str">
        <f> IF(AY127&lt;&gt;"",TEXT(AUX!BC$1,"dd-MMM-aa"),"")</f>
      </c>
      <c r="AZ107" s="496" t="str">
        <f> IF(AZ127&lt;&gt;"",TEXT(AUX!BD$1,"dd-MMM-aa"),"")</f>
      </c>
      <c r="BA107" s="496" t="str">
        <f> IF(BA127&lt;&gt;"",TEXT(AUX!BE$1,"dd-MMM-aa"),"")</f>
      </c>
      <c r="BB107" s="496" t="str">
        <f> IF(BB127&lt;&gt;"",TEXT(AUX!BF$1,"dd-MMM-aa"),"")</f>
      </c>
      <c r="BC107" s="496" t="str">
        <f> IF(BC127&lt;&gt;"",TEXT(AUX!BG$1,"dd-MMM-aa"),"")</f>
      </c>
      <c r="BD107" s="496" t="str">
        <f> IF(BD127&lt;&gt;"",TEXT(AUX!BH$1,"dd-MMM-aa"),"")</f>
      </c>
      <c r="BE107" s="496" t="str">
        <f> IF(BE127&lt;&gt;"",TEXT(AUX!BI$1,"dd-MMM-aa"),"")</f>
      </c>
      <c r="BF107" s="496" t="str">
        <f> IF(BF127&lt;&gt;"",TEXT(AUX!BJ$1,"dd-MMM-aa"),"")</f>
      </c>
      <c r="BG107" s="496" t="str">
        <f> IF(BG127&lt;&gt;"",TEXT(AUX!BK$1,"dd-MMM-aa"),"")</f>
      </c>
      <c r="BH107" s="496" t="str">
        <f> IF(BH127&lt;&gt;"",TEXT(AUX!BL$1,"dd-MMM-aa"),"")</f>
      </c>
      <c r="BI107" s="496" t="str">
        <f> IF(BI127&lt;&gt;"",TEXT(AUX!BM$1,"dd-MMM-aa"),"")</f>
      </c>
      <c r="BJ107" s="496" t="str">
        <f> IF(BJ127&lt;&gt;"",TEXT(AUX!BN$1,"dd-MMM-aa"),"")</f>
      </c>
      <c r="BK107" s="496" t="str">
        <f> IF(BK127&lt;&gt;"",TEXT(AUX!BO$1,"dd-MMM-aa"),"")</f>
      </c>
      <c r="BL107" s="496" t="str">
        <f> IF(BL127&lt;&gt;"",TEXT(AUX!BP$1,"dd-MMM-aa"),"")</f>
      </c>
      <c r="BM107" s="496" t="str">
        <f> IF(BM127&lt;&gt;"",TEXT(AUX!BQ$1,"dd-MMM-aa"),"")</f>
      </c>
      <c r="BN107" s="496" t="str">
        <f> IF(BN127&lt;&gt;"",TEXT(AUX!BR$1,"dd-MMM-aa"),"")</f>
      </c>
      <c r="BO107" s="496" t="str">
        <f> IF(BO127&lt;&gt;"",TEXT(AUX!BS$1,"dd-MMM-aa"),"")</f>
      </c>
      <c r="BP107" s="496" t="str">
        <f> IF(BP127&lt;&gt;"",TEXT(AUX!BT$1,"dd-MMM-aa"),"")</f>
      </c>
      <c r="BQ107" s="496" t="str">
        <f> IF(BQ127&lt;&gt;"",TEXT(AUX!BU$1,"dd-MMM-aa"),"")</f>
      </c>
      <c r="BR107" s="496" t="str">
        <f> IF(BR127&lt;&gt;"",TEXT(AUX!BV$1,"dd-MMM-aa"),"")</f>
      </c>
      <c r="BS107" s="496" t="str">
        <f> IF(BS127&lt;&gt;"",TEXT(AUX!BW$1,"dd-MMM-aa"),"")</f>
      </c>
      <c r="BT107" s="496" t="str">
        <f> IF(BT127&lt;&gt;"",TEXT(AUX!BX$1,"dd-MMM-aa"),"")</f>
      </c>
      <c r="BU107" s="496" t="str">
        <f> IF(BU127&lt;&gt;"",TEXT(AUX!BY$1,"dd-MMM-aa"),"")</f>
      </c>
      <c r="BV107" s="496" t="str">
        <f> IF(BV127&lt;&gt;"",TEXT(AUX!BZ$1,"dd-MMM-aa"),"")</f>
      </c>
      <c r="BW107" s="496" t="str">
        <f> IF(BW127&lt;&gt;"",TEXT(AUX!CA$1,"dd-MMM-aa"),"")</f>
      </c>
      <c r="BX107" s="496" t="str">
        <f> IF(BX127&lt;&gt;"",TEXT(AUX!CB$1,"dd-MMM-aa"),"")</f>
      </c>
      <c r="BY107" s="496" t="str">
        <f> IF(BY127&lt;&gt;"",TEXT(AUX!CC$1,"dd-MMM-aa"),"")</f>
      </c>
      <c r="BZ107" s="496" t="str">
        <f> IF(BZ127&lt;&gt;"",TEXT(AUX!CD$1,"dd-MMM-aa"),"")</f>
      </c>
      <c r="CA107" s="496" t="str">
        <f> IF(CA127&lt;&gt;"",TEXT(AUX!CE$1,"dd-MMM-aa"),"")</f>
      </c>
      <c r="CB107" s="496" t="str">
        <f> IF(CB127&lt;&gt;"",TEXT(AUX!CF$1,"dd-MMM-aa"),"")</f>
      </c>
      <c r="CC107" s="496" t="str">
        <f> IF(CC127&lt;&gt;"",TEXT(AUX!CG$1,"dd-MMM-aa"),"")</f>
      </c>
      <c r="CD107" s="496" t="str">
        <f> IF(CD127&lt;&gt;"",TEXT(AUX!CH$1,"dd-MMM-aa"),"")</f>
      </c>
      <c r="CE107" s="496" t="str">
        <f> IF(CE127&lt;&gt;"",TEXT(AUX!CI$1,"dd-MMM-aa"),"")</f>
      </c>
      <c r="CF107" s="496" t="str">
        <f> IF(CF127&lt;&gt;"",TEXT(AUX!CJ$1,"dd-MMM-aa"),"")</f>
      </c>
      <c r="CG107" s="496" t="str">
        <f> IF(CG127&lt;&gt;"",TEXT(AUX!CK$1,"dd-MMM-aa"),"")</f>
      </c>
      <c r="CH107" s="496" t="str">
        <f> IF(CH127&lt;&gt;"",TEXT(AUX!CL$1,"dd-MMM-aa"),"")</f>
      </c>
      <c r="CI107" s="496" t="str">
        <f> IF(CI127&lt;&gt;"",TEXT(AUX!CM$1,"dd-MMM-aa"),"")</f>
      </c>
      <c r="CJ107" s="496" t="str">
        <f> IF(CJ127&lt;&gt;"",TEXT(AUX!CN$1,"dd-MMM-aa"),"")</f>
      </c>
      <c r="CK107" s="496" t="str">
        <f> IF(CK127&lt;&gt;"",TEXT(AUX!CO$1,"dd-MMM-aa"),"")</f>
      </c>
      <c r="CL107" s="496" t="str">
        <f> IF(CL127&lt;&gt;"",TEXT(AUX!CP$1,"dd-MMM-aa"),"")</f>
      </c>
      <c r="CM107" s="496" t="str">
        <f> IF(CM127&lt;&gt;"",TEXT(AUX!CQ$1,"dd-MMM-aa"),"")</f>
      </c>
      <c r="CN107" s="496" t="str">
        <f> IF(CN127&lt;&gt;"",TEXT(AUX!CR$1,"dd-MMM-aa"),"")</f>
      </c>
      <c r="CO107" s="496" t="str">
        <f> IF(CO127&lt;&gt;"",TEXT(AUX!CS$1,"dd-MMM-aa"),"")</f>
      </c>
      <c r="CP107" s="496" t="str">
        <f> IF(CP127&lt;&gt;"",TEXT(AUX!CT$1,"dd-MMM-aa"),"")</f>
      </c>
      <c r="CQ107" s="496" t="str">
        <f> IF(CQ127&lt;&gt;"",TEXT(AUX!CU$1,"dd-MMM-aa"),"")</f>
      </c>
      <c r="CR107" s="496" t="str">
        <f> IF(CR127&lt;&gt;"",TEXT(AUX!CV$1,"dd-MMM-aa"),"")</f>
      </c>
      <c r="CS107" s="496" t="str">
        <f> IF(CS127&lt;&gt;"",TEXT(AUX!CW$1,"dd-MMM-aa"),"")</f>
      </c>
      <c r="CT107" s="496" t="str">
        <f> IF(CT127&lt;&gt;"",TEXT(AUX!CX$1,"dd-MMM-aa"),"")</f>
      </c>
      <c r="CU107" s="496" t="str">
        <f> IF(CU127&lt;&gt;"",TEXT(AUX!CY$1,"dd-MMM-aa"),"")</f>
      </c>
      <c r="CV107" s="496" t="str">
        <f> IF(CV127&lt;&gt;"",TEXT(AUX!CZ$1,"dd-MMM-aa"),"")</f>
      </c>
      <c r="CW107" s="496" t="str">
        <f> IF(CW127&lt;&gt;"",TEXT(AUX!DA$1,"dd-MMM-aa"),"")</f>
      </c>
      <c r="CX107" s="496" t="str">
        <f> IF(CX127&lt;&gt;"",TEXT(AUX!DB$1,"dd-MMM-aa"),"")</f>
      </c>
      <c r="CY107" s="496" t="str">
        <f> IF(CY127&lt;&gt;"",TEXT(AUX!DC$1,"dd-MMM-aa"),"")</f>
      </c>
      <c r="CZ107" s="496" t="str">
        <f> IF(CZ127&lt;&gt;"",TEXT(AUX!DD$1,"dd-MMM-aa"),"")</f>
      </c>
      <c r="DA107" s="496" t="str">
        <f> IF(DA127&lt;&gt;"",TEXT(AUX!DE$1,"dd-MMM-aa"),"")</f>
      </c>
      <c r="DB107" s="496" t="str">
        <f> IF(DB127&lt;&gt;"",TEXT(AUX!DF$1,"dd-MMM-aa"),"")</f>
      </c>
      <c r="DC107" s="496" t="str">
        <f> IF(DC127&lt;&gt;"",TEXT(AUX!DG$1,"dd-MMM-aa"),"")</f>
      </c>
      <c r="DD107" s="496" t="str">
        <f> IF(DD127&lt;&gt;"",TEXT(AUX!DH$1,"dd-MMM-aa"),"")</f>
      </c>
      <c r="DE107" s="496" t="str">
        <f> IF(DE127&lt;&gt;"",TEXT(AUX!DI$1,"dd-MMM-aa"),"")</f>
      </c>
      <c r="DF107" s="496" t="str">
        <f> IF(DF127&lt;&gt;"",TEXT(AUX!DJ$1,"dd-MMM-aa"),"")</f>
      </c>
      <c r="DG107" s="496" t="str">
        <f> IF(DG127&lt;&gt;"",TEXT(AUX!DK$1,"dd-MMM-aa"),"")</f>
      </c>
      <c r="DH107" s="496" t="str">
        <f> IF(DH127&lt;&gt;"",TEXT(AUX!DL$1,"dd-MMM-aa"),"")</f>
      </c>
      <c r="DI107" s="496" t="str">
        <f> IF(DI127&lt;&gt;"",TEXT(AUX!DM$1,"dd-MMM-aa"),"")</f>
      </c>
      <c r="DJ107" s="496" t="str">
        <f> IF(DJ127&lt;&gt;"",TEXT(AUX!DN$1,"dd-MMM-aa"),"")</f>
      </c>
      <c r="DK107" s="496" t="str">
        <f> IF(DK127&lt;&gt;"",TEXT(AUX!DO$1,"dd-MMM-aa"),"")</f>
      </c>
      <c r="DL107" s="496" t="str">
        <f> IF(DL127&lt;&gt;"",TEXT(AUX!DP$1,"dd-MMM-aa"),"")</f>
      </c>
      <c r="DM107" s="496" t="str">
        <f> IF(DM127&lt;&gt;"",TEXT(AUX!DQ$1,"dd-MMM-aa"),"")</f>
      </c>
      <c r="DN107" s="496" t="str">
        <f> IF(DN127&lt;&gt;"",TEXT(AUX!DR$1,"dd-MMM-aa"),"")</f>
      </c>
      <c r="DO107" s="496" t="str">
        <f> IF(DO127&lt;&gt;"",TEXT(AUX!DS$1,"dd-MMM-aa"),"")</f>
      </c>
      <c r="DP107" s="496" t="str">
        <f> IF(DP127&lt;&gt;"",TEXT(AUX!DT$1,"dd-MMM-aa"),"")</f>
      </c>
      <c r="DQ107" s="496" t="str">
        <f> IF(DQ127&lt;&gt;"",TEXT(AUX!DU$1,"dd-MMM-aa"),"")</f>
      </c>
      <c r="DR107" s="496" t="str">
        <f> IF(DR127&lt;&gt;"",TEXT(AUX!DV$1,"dd-MMM-aa"),"")</f>
      </c>
      <c r="DS107" s="496" t="str">
        <f> IF(DS127&lt;&gt;"",TEXT(AUX!DW$1,"dd-MMM-aa"),"")</f>
      </c>
      <c r="DT107" s="496" t="str">
        <f> IF(DT127&lt;&gt;"",TEXT(AUX!DX$1,"dd-MMM-aa"),"")</f>
      </c>
      <c r="DU107" s="496" t="str">
        <f> IF(DU127&lt;&gt;"",TEXT(AUX!DY$1,"dd-MMM-aa"),"")</f>
      </c>
      <c r="DV107" s="496" t="str">
        <f> IF(DV127&lt;&gt;"",TEXT(AUX!DZ$1,"dd-MMM-aa"),"")</f>
      </c>
      <c r="DW107" s="496" t="str">
        <f> IF(DW127&lt;&gt;"",TEXT(AUX!EA$1,"dd-MMM-aa"),"")</f>
      </c>
      <c r="DX107" s="496" t="str">
        <f> IF(DX127&lt;&gt;"",TEXT(AUX!EB$1,"dd-MMM-aa"),"")</f>
      </c>
      <c r="DY107" s="496" t="str">
        <f> IF(DY127&lt;&gt;"",TEXT(AUX!EC$1,"dd-MMM-aa"),"")</f>
      </c>
      <c r="DZ107" s="496" t="str">
        <f> IF(DZ127&lt;&gt;"",TEXT(AUX!ED$1,"dd-MMM-aa"),"")</f>
      </c>
      <c r="EA107" s="496" t="str">
        <f> IF(EA127&lt;&gt;"",TEXT(AUX!EE$1,"dd-MMM-aa"),"")</f>
      </c>
      <c r="EB107" s="496" t="str">
        <f> IF(EB127&lt;&gt;"",TEXT(AUX!EF$1,"dd-MMM-aa"),"")</f>
      </c>
      <c r="EC107" s="496" t="str">
        <f> IF(EC127&lt;&gt;"",TEXT(AUX!EG$1,"dd-MMM-aa"),"")</f>
      </c>
      <c r="ED107" s="496" t="str">
        <f> IF(ED127&lt;&gt;"",TEXT(AUX!EH$1,"dd-MMM-aa"),"")</f>
      </c>
      <c r="EE107" s="496" t="str">
        <f> IF(EE127&lt;&gt;"",TEXT(AUX!EI$1,"dd-MMM-aa"),"")</f>
      </c>
      <c r="EF107" s="496" t="str">
        <f> IF(EF127&lt;&gt;"",TEXT(AUX!EJ$1,"dd-MMM-aa"),"")</f>
      </c>
      <c r="EG107" s="496" t="str">
        <f> IF(EG127&lt;&gt;"",TEXT(AUX!EK$1,"dd-MMM-aa"),"")</f>
      </c>
      <c r="EH107" s="496" t="str">
        <f> IF(EH127&lt;&gt;"",TEXT(AUX!EL$1,"dd-MMM-aa"),"")</f>
      </c>
      <c r="EI107" s="496" t="str">
        <f> IF(EI127&lt;&gt;"",TEXT(AUX!EM$1,"dd-MMM-aa"),"")</f>
      </c>
      <c r="EJ107" s="496" t="str">
        <f> IF(EJ127&lt;&gt;"",TEXT(AUX!EN$1,"dd-MMM-aa"),"")</f>
      </c>
      <c r="EK107" s="496" t="str">
        <f> IF(EK127&lt;&gt;"",TEXT(AUX!EO$1,"dd-MMM-aa"),"")</f>
      </c>
      <c r="EL107" s="496" t="str">
        <f> IF(EL127&lt;&gt;"",TEXT(AUX!EP$1,"dd-MMM-aa"),"")</f>
      </c>
      <c r="EM107" s="496" t="str">
        <f> IF(EM127&lt;&gt;"",TEXT(AUX!EQ$1,"dd-MMM-aa"),"")</f>
      </c>
      <c r="EN107" s="496" t="str">
        <f> IF(EN127&lt;&gt;"",TEXT(AUX!ER$1,"dd-MMM-aa"),"")</f>
      </c>
      <c r="EO107" s="496" t="str">
        <f> IF(EO127&lt;&gt;"",TEXT(AUX!ES$1,"dd-MMM-aa"),"")</f>
      </c>
      <c r="EP107" s="496" t="str">
        <f> IF(EP127&lt;&gt;"",TEXT(AUX!ET$1,"dd-MMM-aa"),"")</f>
      </c>
      <c r="EQ107" s="496" t="str">
        <f> IF(EQ127&lt;&gt;"",TEXT(AUX!EU$1,"dd-MMM-aa"),"")</f>
      </c>
      <c r="ER107" s="496" t="str">
        <f> IF(ER127&lt;&gt;"",TEXT(AUX!EV$1,"dd-MMM-aa"),"")</f>
      </c>
      <c r="ES107" s="496" t="str">
        <f> IF(ES127&lt;&gt;"",TEXT(AUX!EW$1,"dd-MMM-aa"),"")</f>
      </c>
      <c r="ET107" s="496" t="str">
        <f> IF(ET127&lt;&gt;"",TEXT(AUX!EX$1,"dd-MMM-aa"),"")</f>
      </c>
      <c r="EU107" s="496" t="str">
        <f> IF(EU127&lt;&gt;"",TEXT(AUX!EY$1,"dd-MMM-aa"),"")</f>
      </c>
      <c r="EV107" s="496" t="str">
        <f> IF(EV127&lt;&gt;"",TEXT(AUX!EZ$1,"dd-MMM-aa"),"")</f>
      </c>
      <c r="EW107" s="496" t="str">
        <f> IF(EW127&lt;&gt;"",TEXT(AUX!FA$1,"dd-MMM-aa"),"")</f>
      </c>
      <c r="EX107" s="496" t="str">
        <f> IF(EX127&lt;&gt;"",TEXT(AUX!FB$1,"dd-MMM-aa"),"")</f>
      </c>
      <c r="EY107" s="496" t="str">
        <f> IF(EY127&lt;&gt;"",TEXT(AUX!FC$1,"dd-MMM-aa"),"")</f>
      </c>
      <c r="EZ107" s="496" t="str">
        <f> IF(EZ127&lt;&gt;"",TEXT(AUX!FD$1,"dd-MMM-aa"),"")</f>
      </c>
      <c r="FA107" s="496" t="str">
        <f> IF(FA127&lt;&gt;"",TEXT(AUX!FE$1,"dd-MMM-aa"),"")</f>
      </c>
      <c r="FB107" s="496" t="str">
        <f> IF(FB127&lt;&gt;"",TEXT(AUX!FF$1,"dd-MMM-aa"),"")</f>
      </c>
      <c r="FC107" s="496" t="str">
        <f> IF(FC127&lt;&gt;"",TEXT(AUX!FG$1,"dd-MMM-aa"),"")</f>
      </c>
      <c r="FD107" s="496" t="str">
        <f> IF(FD127&lt;&gt;"",TEXT(AUX!FH$1,"dd-MMM-aa"),"")</f>
      </c>
      <c r="FE107" s="496" t="str">
        <f> IF(FE127&lt;&gt;"",TEXT(AUX!FI$1,"dd-MMM-aa"),"")</f>
      </c>
      <c r="FF107" s="496" t="str">
        <f> IF(FF127&lt;&gt;"",TEXT(AUX!FJ$1,"dd-MMM-aa"),"")</f>
      </c>
      <c r="FG107" s="496" t="str">
        <f> IF(FG127&lt;&gt;"",TEXT(AUX!FK$1,"dd-MMM-aa"),"")</f>
      </c>
      <c r="FH107" s="496" t="str">
        <f> IF(FH127&lt;&gt;"",TEXT(AUX!FL$1,"dd-MMM-aa"),"")</f>
      </c>
      <c r="FI107" s="496" t="str">
        <f> IF(FI127&lt;&gt;"",TEXT(AUX!FM$1,"dd-MMM-aa"),"")</f>
      </c>
      <c r="FJ107" s="496" t="str">
        <f> IF(FJ127&lt;&gt;"",TEXT(AUX!FN$1,"dd-MMM-aa"),"")</f>
      </c>
      <c r="FK107" s="496" t="str">
        <f> IF(FK127&lt;&gt;"",TEXT(AUX!FO$1,"dd-MMM-aa"),"")</f>
      </c>
      <c r="FL107" s="496" t="str">
        <f> IF(FL127&lt;&gt;"",TEXT(AUX!FP$1,"dd-MMM-aa"),"")</f>
      </c>
      <c r="FM107" s="496" t="str">
        <f> IF(FM127&lt;&gt;"",TEXT(AUX!FQ$1,"dd-MMM-aa"),"")</f>
      </c>
      <c r="FN107" s="496" t="str">
        <f> IF(FN127&lt;&gt;"",TEXT(AUX!FR$1,"dd-MMM-aa"),"")</f>
      </c>
      <c r="FO107" s="496" t="str">
        <f> IF(FO127&lt;&gt;"",TEXT(AUX!FS$1,"dd-MMM-aa"),"")</f>
      </c>
      <c r="FP107" s="496" t="str">
        <f> IF(FP127&lt;&gt;"",TEXT(AUX!FT$1,"dd-MMM-aa"),"")</f>
      </c>
      <c r="FQ107" s="496" t="str">
        <f> IF(FQ127&lt;&gt;"",TEXT(AUX!FU$1,"dd-MMM-aa"),"")</f>
      </c>
      <c r="FR107" s="496" t="str">
        <f> IF(FR127&lt;&gt;"",TEXT(AUX!FV$1,"dd-MMM-aa"),"")</f>
      </c>
      <c r="FS107" s="496" t="str">
        <f> IF(FS127&lt;&gt;"",TEXT(AUX!FW$1,"dd-MMM-aa"),"")</f>
      </c>
      <c r="FT107" s="496" t="str">
        <f> IF(FT127&lt;&gt;"",TEXT(AUX!FX$1,"dd-MMM-aa"),"")</f>
      </c>
      <c r="FU107" s="496" t="str">
        <f> IF(FU127&lt;&gt;"",TEXT(AUX!FY$1,"dd-MMM-aa"),"")</f>
      </c>
      <c r="FV107" s="496" t="str">
        <f> IF(FV127&lt;&gt;"",TEXT(AUX!FZ$1,"dd-MMM-aa"),"")</f>
      </c>
      <c r="FW107" s="496" t="str">
        <f> IF(FW127&lt;&gt;"",TEXT(AUX!GA$1,"dd-MMM-aa"),"")</f>
      </c>
      <c r="FX107" s="496" t="str">
        <f> IF(FX127&lt;&gt;"",TEXT(AUX!GB$1,"dd-MMM-aa"),"")</f>
      </c>
      <c r="FY107" s="496" t="str">
        <f> IF(FY127&lt;&gt;"",TEXT(AUX!GC$1,"dd-MMM-aa"),"")</f>
      </c>
      <c r="FZ107" s="496" t="str">
        <f> IF(FZ127&lt;&gt;"",TEXT(AUX!GD$1,"dd-MMM-aa"),"")</f>
      </c>
      <c r="GA107" s="496" t="str">
        <f> IF(GA127&lt;&gt;"",TEXT(AUX!GE$1,"dd-MMM-aa"),"")</f>
      </c>
      <c r="GB107" s="496" t="str">
        <f> IF(GB127&lt;&gt;"",TEXT(AUX!GF$1,"dd-MMM-aa"),"")</f>
      </c>
      <c r="GC107" s="496" t="str">
        <f> IF(GC127&lt;&gt;"",TEXT(AUX!GG$1,"dd-MMM-aa"),"")</f>
      </c>
      <c r="GD107" s="496" t="str">
        <f> IF(GD127&lt;&gt;"",TEXT(AUX!GH$1,"dd-MMM-aa"),"")</f>
      </c>
      <c r="GE107" s="496" t="str">
        <f> IF(GE127&lt;&gt;"",TEXT(AUX!GI$1,"dd-MMM-aa"),"")</f>
      </c>
      <c r="GF107" s="496" t="str">
        <f> IF(GF127&lt;&gt;"",TEXT(AUX!GJ$1,"dd-MMM-aa"),"")</f>
      </c>
      <c r="GG107" s="496" t="str">
        <f> IF(GG127&lt;&gt;"",TEXT(AUX!GK$1,"dd-MMM-aa"),"")</f>
      </c>
      <c r="GH107" s="496" t="str">
        <f> IF(GH127&lt;&gt;"",TEXT(AUX!GL$1,"dd-MMM-aa"),"")</f>
      </c>
      <c r="GI107" s="496" t="str">
        <f> IF(GI127&lt;&gt;"",TEXT(AUX!GM$1,"dd-MMM-aa"),"")</f>
      </c>
      <c r="GJ107" s="496" t="str">
        <f> IF(GJ127&lt;&gt;"",TEXT(AUX!GN$1,"dd-MMM-aa"),"")</f>
      </c>
      <c r="GK107" s="496" t="str">
        <f> IF(GK127&lt;&gt;"",TEXT(AUX!GO$1,"dd-MMM-aa"),"")</f>
      </c>
      <c r="GL107" s="496" t="str">
        <f> IF(GL127&lt;&gt;"",TEXT(AUX!GP$1,"dd-MMM-aa"),"")</f>
      </c>
      <c r="GM107" s="496" t="str">
        <f> IF(GM127&lt;&gt;"",TEXT(AUX!GQ$1,"dd-MMM-aa"),"")</f>
      </c>
      <c r="GN107" s="496" t="str">
        <f> IF(GN127&lt;&gt;"",TEXT(AUX!GR$1,"dd-MMM-aa"),"")</f>
      </c>
      <c r="GO107" s="496" t="str">
        <f> IF(GO127&lt;&gt;"",TEXT(AUX!GS$1,"dd-MMM-aa"),"")</f>
      </c>
      <c r="GP107" s="496" t="str">
        <f> IF(GP127&lt;&gt;"",TEXT(AUX!GT$1,"dd-MMM-aa"),"")</f>
      </c>
      <c r="GQ107" s="496" t="str">
        <f> IF(GQ127&lt;&gt;"",TEXT(AUX!GU$1,"dd-MMM-aa"),"")</f>
      </c>
      <c r="GR107" s="496" t="str">
        <f> IF(GR127&lt;&gt;"",TEXT(AUX!GV$1,"dd-MMM-aa"),"")</f>
      </c>
      <c r="GS107" s="496" t="str">
        <f> IF(GS127&lt;&gt;"",TEXT(AUX!GW$1,"dd-MMM-aa"),"")</f>
      </c>
      <c r="GT107" s="496" t="str">
        <f> IF(GT127&lt;&gt;"",TEXT(AUX!GX$1,"dd-MMM-aa"),"")</f>
      </c>
      <c r="GU107" s="496" t="str">
        <f> IF(GU127&lt;&gt;"",TEXT(AUX!GY$1,"dd-MMM-aa"),"")</f>
      </c>
      <c r="GV107" s="496" t="str">
        <f> IF(GV127&lt;&gt;"",TEXT(AUX!GZ$1,"dd-MMM-aa"),"")</f>
      </c>
      <c r="GW107" s="496" t="str">
        <f> IF(GW127&lt;&gt;"",TEXT(AUX!HA$1,"dd-MMM-aa"),"")</f>
      </c>
      <c r="GX107" s="496" t="str">
        <f> IF(GX127&lt;&gt;"",TEXT(AUX!HB$1,"dd-MMM-aa"),"")</f>
      </c>
      <c r="GY107" s="496" t="str">
        <f> IF(GY127&lt;&gt;"",TEXT(AUX!HC$1,"dd-MMM-aa"),"")</f>
      </c>
      <c r="GZ107" s="496" t="str">
        <f> IF(GZ127&lt;&gt;"",TEXT(AUX!HD$1,"dd-MMM-aa"),"")</f>
      </c>
      <c r="HA107" s="496" t="str">
        <f> IF(HA127&lt;&gt;"",TEXT(AUX!HE$1,"dd-MMM-aa"),"")</f>
      </c>
      <c r="HB107" s="496" t="str">
        <f> IF(HB127&lt;&gt;"",TEXT(AUX!HF$1,"dd-MMM-aa"),"")</f>
      </c>
      <c r="HC107" s="496" t="str">
        <f> IF(HC127&lt;&gt;"",TEXT(AUX!HG$1,"dd-MMM-aa"),"")</f>
      </c>
      <c r="HD107" s="496" t="str">
        <f> IF(HD127&lt;&gt;"",TEXT(AUX!HH$1,"dd-MMM-aa"),"")</f>
      </c>
      <c r="HE107" s="496" t="str">
        <f> IF(HE127&lt;&gt;"",TEXT(AUX!HI$1,"dd-MMM-aa"),"")</f>
      </c>
      <c r="HF107" s="496" t="str">
        <f> IF(HF127&lt;&gt;"",TEXT(AUX!HJ$1,"dd-MMM-aa"),"")</f>
      </c>
      <c r="HG107" s="496" t="str">
        <f> IF(HG127&lt;&gt;"",TEXT(AUX!HK$1,"dd-MMM-aa"),"")</f>
      </c>
      <c r="HH107" s="496" t="str">
        <f> IF(HH127&lt;&gt;"",TEXT(AUX!HL$1,"dd-MMM-aa"),"")</f>
      </c>
      <c r="HI107" s="496" t="str">
        <f> IF(HI127&lt;&gt;"",TEXT(AUX!HM$1,"dd-MMM-aa"),"")</f>
      </c>
      <c r="HJ107" s="496" t="str">
        <f> IF(HJ127&lt;&gt;"",TEXT(AUX!HN$1,"dd-MMM-aa"),"")</f>
      </c>
      <c r="HK107" s="496" t="str">
        <f> IF(HK127&lt;&gt;"",TEXT(AUX!HO$1,"dd-MMM-aa"),"")</f>
      </c>
      <c r="HL107" s="496" t="str">
        <f> IF(HL127&lt;&gt;"",TEXT(AUX!HP$1,"dd-MMM-aa"),"")</f>
      </c>
      <c r="HM107" s="496" t="str">
        <f> IF(HM127&lt;&gt;"",TEXT(AUX!HQ$1,"dd-MMM-aa"),"")</f>
      </c>
      <c r="HN107" s="496" t="str">
        <f> IF(HN127&lt;&gt;"",TEXT(AUX!HR$1,"dd-MMM-aa"),"")</f>
      </c>
      <c r="HO107" s="496" t="str">
        <f> IF(HO127&lt;&gt;"",TEXT(AUX!HS$1,"dd-MMM-aa"),"")</f>
      </c>
      <c r="HP107" s="496" t="str">
        <f> IF(HP127&lt;&gt;"",TEXT(AUX!HT$1,"dd-MMM-aa"),"")</f>
      </c>
      <c r="HQ107" s="496" t="str">
        <f> IF(HQ127&lt;&gt;"",TEXT(AUX!HU$1,"dd-MMM-aa"),"")</f>
      </c>
      <c r="HR107" s="496" t="str">
        <f> IF(HR127&lt;&gt;"",TEXT(AUX!HV$1,"dd-MMM-aa"),"")</f>
      </c>
      <c r="HS107" s="496" t="str">
        <f> IF(HS127&lt;&gt;"",TEXT(AUX!HW$1,"dd-MMM-aa"),"")</f>
      </c>
      <c r="HT107" s="496" t="str">
        <f> IF(HT127&lt;&gt;"",TEXT(AUX!HX$1,"dd-MMM-aa"),"")</f>
      </c>
      <c r="HU107" s="496" t="str">
        <f> IF(HU127&lt;&gt;"",TEXT(AUX!HY$1,"dd-MMM-aa"),"")</f>
      </c>
      <c r="HV107" s="496" t="str">
        <f> IF(HV127&lt;&gt;"",TEXT(AUX!HZ$1,"dd-MMM-aa"),"")</f>
      </c>
      <c r="HW107" s="496" t="str">
        <f> IF(HW127&lt;&gt;"",TEXT(AUX!IA$1,"dd-MMM-aa"),"")</f>
      </c>
      <c r="HX107" s="496" t="str">
        <f> IF(HX127&lt;&gt;"",TEXT(AUX!IB$1,"dd-MMM-aa"),"")</f>
      </c>
      <c r="HY107" s="496" t="str">
        <f> IF(HY127&lt;&gt;"",TEXT(AUX!IC$1,"dd-MMM-aa"),"")</f>
      </c>
      <c r="HZ107" s="496" t="str">
        <f> IF(HZ127&lt;&gt;"",TEXT(AUX!ID$1,"dd-MMM-aa"),"")</f>
      </c>
      <c r="IA107" s="496" t="str">
        <f> IF(IA127&lt;&gt;"",TEXT(AUX!IE$1,"dd-MMM-aa"),"")</f>
      </c>
      <c r="IB107" s="496" t="str">
        <f> IF(IB127&lt;&gt;"",TEXT(AUX!IF$1,"dd-MMM-aa"),"")</f>
      </c>
      <c r="IC107" s="496" t="str">
        <f> IF(IC127&lt;&gt;"",TEXT(AUX!IG$1,"dd-MMM-aa"),"")</f>
      </c>
      <c r="ID107" s="496" t="str">
        <f> IF(ID127&lt;&gt;"",TEXT(AUX!IH$1,"dd-MMM-aa"),"")</f>
      </c>
      <c r="IE107" s="496" t="str">
        <f> IF(IE127&lt;&gt;"",TEXT(AUX!II$1,"dd-MMM-aa"),"")</f>
      </c>
      <c r="IF107" s="496" t="str">
        <f> IF(IF127&lt;&gt;"",TEXT(AUX!IJ$1,"dd-MMM-aa"),"")</f>
      </c>
      <c r="IG107" s="496" t="str">
        <f> IF(IG127&lt;&gt;"",TEXT(AUX!IK$1,"dd-MMM-aa"),"")</f>
      </c>
      <c r="IH107" s="496" t="str">
        <f> IF(IH127&lt;&gt;"",TEXT(AUX!IL$1,"dd-MMM-aa"),"")</f>
      </c>
      <c r="II107" s="496" t="str">
        <f> IF(II127&lt;&gt;"",TEXT(AUX!IM$1,"dd-MMM-aa"),"")</f>
      </c>
      <c r="IJ107" s="496" t="str">
        <f> IF(IJ127&lt;&gt;"",TEXT(AUX!IN$1,"dd-MMM-aa"),"")</f>
      </c>
      <c r="IK107" s="496" t="str">
        <f> IF(IK127&lt;&gt;"",TEXT(AUX!IO$1,"dd-MMM-aa"),"")</f>
      </c>
      <c r="IL107" s="496" t="str">
        <f> IF(IL127&lt;&gt;"",TEXT(AUX!IP$1,"dd-MMM-aa"),"")</f>
      </c>
      <c r="IM107" s="496" t="str">
        <f> IF(IM127&lt;&gt;"",TEXT(AUX!IQ$1,"dd-MMM-aa"),"")</f>
      </c>
      <c r="IN107" s="496" t="str">
        <f> IF(IN127&lt;&gt;"",TEXT(AUX!IR$1,"dd-MMM-aa"),"")</f>
      </c>
      <c r="IO107" s="496" t="str">
        <f> IF(IO127&lt;&gt;"",TEXT(AUX!IS$1,"dd-MMM-aa"),"")</f>
      </c>
      <c r="IP107" s="496" t="str">
        <f> IF(IP127&lt;&gt;"",TEXT(AUX!IT$1,"dd-MMM-aa"),"")</f>
      </c>
      <c r="IQ107" s="496" t="str">
        <f> IF(IQ127&lt;&gt;"",TEXT(AUX!IU$1,"dd-MMM-aa"),"")</f>
      </c>
      <c r="IR107" s="496" t="str">
        <f> IF(IR127&lt;&gt;"",TEXT(AUX!IV$1,"dd-MMM-aa"),"")</f>
      </c>
      <c r="IS107" s="496" t="str">
        <f> IF(IS127&lt;&gt;"",TEXT(AUX!#REF!,"dd-MMM-aa"),"")</f>
      </c>
      <c r="IT107" s="496" t="str">
        <f> IF(IT127&lt;&gt;"",TEXT(AUX!#REF!,"dd-MMM-aa"),"")</f>
      </c>
      <c r="IU107" s="496" t="str">
        <f> IF(IU127&lt;&gt;"",TEXT(AUX!#REF!,"dd-MMM-aa"),"")</f>
      </c>
      <c r="IV107" s="496" t="str">
        <f> IF(IV127&lt;&gt;"",TEXT(AUX!#REF!,"dd-MMM-aa"),"")</f>
      </c>
    </row>
    <row r="108" hidden="1" ht="12.75" customHeight="1">
      <c r="B108" s="822" t="s">
        <v>8</v>
      </c>
      <c r="C108" s="823">
        <v>246</v>
      </c>
      <c r="D108" s="823">
        <v>253</v>
      </c>
      <c r="E108" s="823">
        <v>259</v>
      </c>
      <c r="F108" s="823">
        <v>264</v>
      </c>
      <c r="G108" s="823">
        <v>262</v>
      </c>
      <c r="H108" s="823">
        <v>264</v>
      </c>
      <c r="I108" s="823">
        <v>262</v>
      </c>
      <c r="J108" s="823">
        <v>266</v>
      </c>
      <c r="K108" s="823">
        <v>269</v>
      </c>
      <c r="L108" s="823">
        <v>272</v>
      </c>
      <c r="M108" s="823">
        <v>270</v>
      </c>
      <c r="N108" s="823">
        <v>270</v>
      </c>
      <c r="O108" s="823">
        <v>287</v>
      </c>
      <c r="P108" s="823">
        <v>302</v>
      </c>
      <c r="Q108" s="823">
        <v>312</v>
      </c>
      <c r="R108" s="823">
        <v>320</v>
      </c>
      <c r="S108" s="823">
        <v>321</v>
      </c>
      <c r="T108" s="823">
        <v>335</v>
      </c>
      <c r="U108" s="823">
        <v>324</v>
      </c>
      <c r="V108" s="823">
        <v>336</v>
      </c>
      <c r="W108" s="823">
        <v>342</v>
      </c>
      <c r="X108" s="823">
        <v>296</v>
      </c>
      <c r="Y108" s="823">
        <v>355</v>
      </c>
      <c r="Z108" s="823">
        <v>359</v>
      </c>
      <c r="AA108" s="823">
        <v>357</v>
      </c>
      <c r="AB108" s="824">
        <v>355</v>
      </c>
      <c r="AC108" s="825">
        <v>348</v>
      </c>
      <c r="AD108" s="825">
        <v>345</v>
      </c>
      <c r="AE108" s="825">
        <v>345</v>
      </c>
      <c r="AF108" s="825">
        <v>343</v>
      </c>
      <c r="AG108" s="825">
        <v>352</v>
      </c>
      <c r="AH108" s="825">
        <v>358</v>
      </c>
      <c r="AI108" s="825">
        <v>365</v>
      </c>
      <c r="AJ108" s="825">
        <v>370</v>
      </c>
      <c r="AK108" s="825">
        <v>371</v>
      </c>
      <c r="AL108" s="825">
        <v>374</v>
      </c>
      <c r="AM108" s="825">
        <v>349</v>
      </c>
      <c r="AN108" s="825">
        <v>351</v>
      </c>
      <c r="AO108" s="825">
        <v>346</v>
      </c>
      <c r="AP108" s="825">
        <v>342</v>
      </c>
    </row>
    <row r="109" hidden="1" ht="12.75" customHeight="1">
      <c r="B109" s="826" t="s">
        <v>9</v>
      </c>
      <c r="C109" s="827">
        <v>4</v>
      </c>
      <c r="D109" s="827">
        <v>5</v>
      </c>
      <c r="E109" s="827">
        <v>5</v>
      </c>
      <c r="F109" s="827">
        <v>5</v>
      </c>
      <c r="G109" s="827">
        <v>5</v>
      </c>
      <c r="H109" s="827">
        <v>4</v>
      </c>
      <c r="I109" s="827">
        <v>4</v>
      </c>
      <c r="J109" s="827">
        <v>4</v>
      </c>
      <c r="K109" s="827">
        <v>3</v>
      </c>
      <c r="L109" s="827">
        <v>5</v>
      </c>
      <c r="M109" s="827">
        <v>6</v>
      </c>
      <c r="N109" s="827">
        <v>8</v>
      </c>
      <c r="O109" s="827">
        <v>10</v>
      </c>
      <c r="P109" s="827">
        <v>12</v>
      </c>
      <c r="Q109" s="827">
        <v>13</v>
      </c>
      <c r="R109" s="827">
        <v>14</v>
      </c>
      <c r="S109" s="827">
        <v>13</v>
      </c>
      <c r="T109" s="827">
        <v>14</v>
      </c>
      <c r="U109" s="827">
        <v>14</v>
      </c>
      <c r="V109" s="827">
        <v>13</v>
      </c>
      <c r="W109" s="827">
        <v>14</v>
      </c>
      <c r="X109" s="827">
        <v>13</v>
      </c>
      <c r="Y109" s="827">
        <v>12</v>
      </c>
      <c r="Z109" s="827">
        <v>14</v>
      </c>
      <c r="AA109" s="827">
        <v>15</v>
      </c>
      <c r="AB109" s="827">
        <v>18</v>
      </c>
      <c r="AC109" s="828">
        <v>19</v>
      </c>
      <c r="AD109" s="828">
        <v>21</v>
      </c>
      <c r="AE109" s="828">
        <v>25</v>
      </c>
      <c r="AF109" s="828">
        <v>25</v>
      </c>
      <c r="AG109" s="828">
        <v>27</v>
      </c>
      <c r="AH109" s="828">
        <v>28</v>
      </c>
      <c r="AI109" s="828">
        <v>31</v>
      </c>
      <c r="AJ109" s="828">
        <v>30</v>
      </c>
      <c r="AK109" s="828">
        <v>29</v>
      </c>
      <c r="AL109" s="828">
        <v>30</v>
      </c>
      <c r="AM109" s="828">
        <v>28</v>
      </c>
      <c r="AN109" s="828">
        <v>27</v>
      </c>
      <c r="AO109" s="828">
        <v>28</v>
      </c>
      <c r="AP109" s="828">
        <v>27</v>
      </c>
    </row>
    <row r="110" hidden="1" ht="12.75" customHeight="1">
      <c r="B110" s="829" t="s">
        <v>10</v>
      </c>
      <c r="C110" s="823">
        <v>0</v>
      </c>
      <c r="D110" s="823">
        <v>0</v>
      </c>
      <c r="E110" s="823">
        <v>0</v>
      </c>
      <c r="F110" s="823">
        <v>0</v>
      </c>
      <c r="G110" s="823">
        <v>0</v>
      </c>
      <c r="H110" s="823">
        <v>0</v>
      </c>
      <c r="I110" s="823">
        <v>0</v>
      </c>
      <c r="J110" s="823">
        <v>0</v>
      </c>
      <c r="K110" s="823">
        <v>0</v>
      </c>
      <c r="L110" s="823">
        <v>0</v>
      </c>
      <c r="M110" s="823">
        <v>0</v>
      </c>
      <c r="N110" s="823">
        <v>0</v>
      </c>
      <c r="O110" s="823">
        <v>0</v>
      </c>
      <c r="P110" s="823">
        <v>0</v>
      </c>
      <c r="Q110" s="823">
        <v>0</v>
      </c>
      <c r="R110" s="823">
        <v>0</v>
      </c>
      <c r="S110" s="823">
        <v>0</v>
      </c>
      <c r="T110" s="823">
        <v>0</v>
      </c>
      <c r="U110" s="823">
        <v>0</v>
      </c>
      <c r="V110" s="823">
        <v>0</v>
      </c>
      <c r="W110" s="823">
        <v>0</v>
      </c>
      <c r="X110" s="823">
        <v>0</v>
      </c>
      <c r="Y110" s="823">
        <v>0</v>
      </c>
      <c r="Z110" s="823">
        <v>0</v>
      </c>
      <c r="AA110" s="823">
        <v>0</v>
      </c>
      <c r="AB110" s="823">
        <v>0</v>
      </c>
      <c r="AC110" s="825">
        <v>0</v>
      </c>
      <c r="AD110" s="825">
        <v>0</v>
      </c>
      <c r="AE110" s="825">
        <v>0</v>
      </c>
      <c r="AF110" s="825">
        <v>0</v>
      </c>
      <c r="AG110" s="825">
        <v>0</v>
      </c>
      <c r="AH110" s="825">
        <v>0</v>
      </c>
      <c r="AI110" s="825">
        <v>0</v>
      </c>
      <c r="AJ110" s="825">
        <v>0</v>
      </c>
      <c r="AK110" s="825">
        <v>0</v>
      </c>
      <c r="AL110" s="825">
        <v>0</v>
      </c>
      <c r="AM110" s="825">
        <v>0</v>
      </c>
      <c r="AN110" s="825">
        <v>0</v>
      </c>
      <c r="AO110" s="825">
        <v>0</v>
      </c>
      <c r="AP110" s="825">
        <v>0</v>
      </c>
    </row>
    <row r="111" hidden="1" ht="12.75" customHeight="1">
      <c r="B111" s="826" t="s">
        <v>11</v>
      </c>
      <c r="C111" s="827">
        <v>8</v>
      </c>
      <c r="D111" s="827">
        <v>8</v>
      </c>
      <c r="E111" s="827">
        <v>9</v>
      </c>
      <c r="F111" s="827">
        <v>10</v>
      </c>
      <c r="G111" s="827">
        <v>16</v>
      </c>
      <c r="H111" s="827">
        <v>16</v>
      </c>
      <c r="I111" s="827">
        <v>14</v>
      </c>
      <c r="J111" s="827">
        <v>14</v>
      </c>
      <c r="K111" s="827">
        <v>4</v>
      </c>
      <c r="L111" s="827">
        <v>4</v>
      </c>
      <c r="M111" s="827">
        <v>4</v>
      </c>
      <c r="N111" s="827">
        <v>4</v>
      </c>
      <c r="O111" s="827">
        <v>4</v>
      </c>
      <c r="P111" s="827">
        <v>4</v>
      </c>
      <c r="Q111" s="827">
        <v>4</v>
      </c>
      <c r="R111" s="827">
        <v>5</v>
      </c>
      <c r="S111" s="827">
        <v>6</v>
      </c>
      <c r="T111" s="827">
        <v>6</v>
      </c>
      <c r="U111" s="827">
        <v>6</v>
      </c>
      <c r="V111" s="827">
        <v>6</v>
      </c>
      <c r="W111" s="827">
        <v>4</v>
      </c>
      <c r="X111" s="827">
        <v>4</v>
      </c>
      <c r="Y111" s="827">
        <v>4</v>
      </c>
      <c r="Z111" s="827">
        <v>1</v>
      </c>
      <c r="AA111" s="827">
        <v>2</v>
      </c>
      <c r="AB111" s="827">
        <v>2</v>
      </c>
      <c r="AC111" s="828">
        <v>2</v>
      </c>
      <c r="AD111" s="828">
        <v>2</v>
      </c>
      <c r="AE111" s="828">
        <v>2</v>
      </c>
      <c r="AF111" s="828">
        <v>3</v>
      </c>
      <c r="AG111" s="828">
        <v>3</v>
      </c>
      <c r="AH111" s="828">
        <v>3</v>
      </c>
      <c r="AI111" s="828">
        <v>2</v>
      </c>
      <c r="AJ111" s="828">
        <v>2</v>
      </c>
      <c r="AK111" s="828">
        <v>2</v>
      </c>
      <c r="AL111" s="828">
        <v>2</v>
      </c>
      <c r="AM111" s="828">
        <v>1</v>
      </c>
      <c r="AN111" s="828">
        <v>1</v>
      </c>
      <c r="AO111" s="828">
        <v>1</v>
      </c>
      <c r="AP111" s="828">
        <v>1</v>
      </c>
    </row>
    <row r="112" hidden="1" ht="12.75" customHeight="1">
      <c r="B112" s="829" t="s">
        <v>12</v>
      </c>
      <c r="C112" s="823">
        <v>7</v>
      </c>
      <c r="D112" s="823">
        <v>7</v>
      </c>
      <c r="E112" s="823">
        <v>4</v>
      </c>
      <c r="F112" s="823">
        <v>4</v>
      </c>
      <c r="G112" s="823">
        <v>4</v>
      </c>
      <c r="H112" s="823">
        <v>4</v>
      </c>
      <c r="I112" s="823">
        <v>0</v>
      </c>
      <c r="J112" s="823">
        <v>0</v>
      </c>
      <c r="K112" s="823">
        <v>1</v>
      </c>
      <c r="L112" s="823">
        <v>1</v>
      </c>
      <c r="M112" s="823">
        <v>2</v>
      </c>
      <c r="N112" s="823">
        <v>2</v>
      </c>
      <c r="O112" s="823">
        <v>2</v>
      </c>
      <c r="P112" s="823">
        <v>3</v>
      </c>
      <c r="Q112" s="823">
        <v>3</v>
      </c>
      <c r="R112" s="823">
        <v>3</v>
      </c>
      <c r="S112" s="823">
        <v>4</v>
      </c>
      <c r="T112" s="823">
        <v>3</v>
      </c>
      <c r="U112" s="823">
        <v>3</v>
      </c>
      <c r="V112" s="823">
        <v>3</v>
      </c>
      <c r="W112" s="823">
        <v>4</v>
      </c>
      <c r="X112" s="823">
        <v>4</v>
      </c>
      <c r="Y112" s="823">
        <v>4</v>
      </c>
      <c r="Z112" s="823">
        <v>4</v>
      </c>
      <c r="AA112" s="823">
        <v>3</v>
      </c>
      <c r="AB112" s="823">
        <v>5</v>
      </c>
      <c r="AC112" s="825">
        <v>4</v>
      </c>
      <c r="AD112" s="825">
        <v>4</v>
      </c>
      <c r="AE112" s="825">
        <v>4</v>
      </c>
      <c r="AF112" s="825">
        <v>3</v>
      </c>
      <c r="AG112" s="825">
        <v>3</v>
      </c>
      <c r="AH112" s="825">
        <v>3</v>
      </c>
      <c r="AI112" s="825">
        <v>3</v>
      </c>
      <c r="AJ112" s="825">
        <v>3</v>
      </c>
      <c r="AK112" s="825">
        <v>2</v>
      </c>
      <c r="AL112" s="825">
        <v>3</v>
      </c>
      <c r="AM112" s="825">
        <v>4</v>
      </c>
      <c r="AN112" s="825">
        <v>5</v>
      </c>
      <c r="AO112" s="825">
        <v>5</v>
      </c>
      <c r="AP112" s="825">
        <v>5</v>
      </c>
    </row>
    <row r="113" hidden="1" ht="12.75" customHeight="1">
      <c r="B113" s="826" t="s">
        <v>13</v>
      </c>
      <c r="C113" s="827">
        <v>1</v>
      </c>
      <c r="D113" s="827">
        <v>2</v>
      </c>
      <c r="E113" s="827">
        <v>2</v>
      </c>
      <c r="F113" s="827">
        <v>2</v>
      </c>
      <c r="G113" s="827">
        <v>1</v>
      </c>
      <c r="H113" s="827">
        <v>1</v>
      </c>
      <c r="I113" s="827">
        <v>0</v>
      </c>
      <c r="J113" s="827">
        <v>0</v>
      </c>
      <c r="K113" s="827">
        <v>0</v>
      </c>
      <c r="L113" s="827">
        <v>0</v>
      </c>
      <c r="M113" s="827">
        <v>0</v>
      </c>
      <c r="N113" s="827">
        <v>0</v>
      </c>
      <c r="O113" s="827">
        <v>0</v>
      </c>
      <c r="P113" s="827">
        <v>0</v>
      </c>
      <c r="Q113" s="827">
        <v>0</v>
      </c>
      <c r="R113" s="827">
        <v>0</v>
      </c>
      <c r="S113" s="827">
        <v>0</v>
      </c>
      <c r="T113" s="827">
        <v>0</v>
      </c>
      <c r="U113" s="827">
        <v>0</v>
      </c>
      <c r="V113" s="827">
        <v>0</v>
      </c>
      <c r="W113" s="827">
        <v>0</v>
      </c>
      <c r="X113" s="827">
        <v>0</v>
      </c>
      <c r="Y113" s="827">
        <v>0</v>
      </c>
      <c r="Z113" s="827">
        <v>0</v>
      </c>
      <c r="AA113" s="827">
        <v>0</v>
      </c>
      <c r="AB113" s="827">
        <v>1</v>
      </c>
      <c r="AC113" s="828">
        <v>1</v>
      </c>
      <c r="AD113" s="828">
        <v>1</v>
      </c>
      <c r="AE113" s="828">
        <v>1</v>
      </c>
      <c r="AF113" s="828">
        <v>1</v>
      </c>
      <c r="AG113" s="828">
        <v>1</v>
      </c>
      <c r="AH113" s="828">
        <v>0</v>
      </c>
      <c r="AI113" s="828">
        <v>0</v>
      </c>
      <c r="AJ113" s="828">
        <v>0</v>
      </c>
      <c r="AK113" s="828">
        <v>0</v>
      </c>
      <c r="AL113" s="828">
        <v>0</v>
      </c>
      <c r="AM113" s="828">
        <v>0</v>
      </c>
      <c r="AN113" s="828">
        <v>0</v>
      </c>
      <c r="AO113" s="828">
        <v>0</v>
      </c>
      <c r="AP113" s="828">
        <v>0</v>
      </c>
    </row>
    <row r="114" hidden="1" ht="12.75" customHeight="1">
      <c r="B114" s="829" t="s">
        <v>109</v>
      </c>
      <c r="C114" s="823">
        <v>4</v>
      </c>
      <c r="D114" s="823">
        <v>4</v>
      </c>
      <c r="E114" s="823">
        <v>4</v>
      </c>
      <c r="F114" s="823">
        <v>5</v>
      </c>
      <c r="G114" s="823">
        <v>5</v>
      </c>
      <c r="H114" s="823">
        <v>5</v>
      </c>
      <c r="I114" s="823">
        <v>5</v>
      </c>
      <c r="J114" s="823">
        <v>5</v>
      </c>
      <c r="K114" s="823">
        <v>2</v>
      </c>
      <c r="L114" s="823">
        <v>3</v>
      </c>
      <c r="M114" s="823">
        <v>3</v>
      </c>
      <c r="N114" s="823">
        <v>2</v>
      </c>
      <c r="O114" s="823">
        <v>1</v>
      </c>
      <c r="P114" s="823">
        <v>1</v>
      </c>
      <c r="Q114" s="823">
        <v>1</v>
      </c>
      <c r="R114" s="823">
        <v>1</v>
      </c>
      <c r="S114" s="823">
        <v>1</v>
      </c>
      <c r="T114" s="823">
        <v>1</v>
      </c>
      <c r="U114" s="823">
        <v>0</v>
      </c>
      <c r="V114" s="823">
        <v>0</v>
      </c>
      <c r="W114" s="823">
        <v>0</v>
      </c>
      <c r="X114" s="823">
        <v>0</v>
      </c>
      <c r="Y114" s="823">
        <v>0</v>
      </c>
      <c r="Z114" s="823">
        <v>1</v>
      </c>
      <c r="AA114" s="823">
        <v>3</v>
      </c>
      <c r="AB114" s="823">
        <v>3</v>
      </c>
      <c r="AC114" s="825">
        <v>3</v>
      </c>
      <c r="AD114" s="825">
        <v>5</v>
      </c>
      <c r="AE114" s="825">
        <v>4</v>
      </c>
      <c r="AF114" s="825">
        <v>4</v>
      </c>
      <c r="AG114" s="825">
        <v>4</v>
      </c>
      <c r="AH114" s="825">
        <v>4</v>
      </c>
      <c r="AI114" s="825">
        <v>8</v>
      </c>
      <c r="AJ114" s="825">
        <v>12</v>
      </c>
      <c r="AK114" s="825">
        <v>15</v>
      </c>
      <c r="AL114" s="825">
        <v>16</v>
      </c>
      <c r="AM114" s="825">
        <v>16</v>
      </c>
      <c r="AN114" s="825">
        <v>15</v>
      </c>
      <c r="AO114" s="825">
        <v>15</v>
      </c>
      <c r="AP114" s="825">
        <v>15</v>
      </c>
    </row>
    <row r="115" hidden="1" ht="12.75" customHeight="1">
      <c r="B115" s="826" t="s">
        <v>110</v>
      </c>
      <c r="C115" s="827">
        <v>3</v>
      </c>
      <c r="D115" s="827">
        <v>3</v>
      </c>
      <c r="E115" s="827">
        <v>3</v>
      </c>
      <c r="F115" s="827">
        <v>3</v>
      </c>
      <c r="G115" s="827">
        <v>1</v>
      </c>
      <c r="H115" s="827">
        <v>1</v>
      </c>
      <c r="I115" s="827">
        <v>1</v>
      </c>
      <c r="J115" s="827">
        <v>1</v>
      </c>
      <c r="K115" s="827">
        <v>2</v>
      </c>
      <c r="L115" s="827">
        <v>3</v>
      </c>
      <c r="M115" s="827">
        <v>2</v>
      </c>
      <c r="N115" s="827">
        <v>2</v>
      </c>
      <c r="O115" s="827">
        <v>3</v>
      </c>
      <c r="P115" s="827">
        <v>4</v>
      </c>
      <c r="Q115" s="827">
        <v>4</v>
      </c>
      <c r="R115" s="827">
        <v>3</v>
      </c>
      <c r="S115" s="827">
        <v>3</v>
      </c>
      <c r="T115" s="827">
        <v>2</v>
      </c>
      <c r="U115" s="827">
        <v>3</v>
      </c>
      <c r="V115" s="827">
        <v>5</v>
      </c>
      <c r="W115" s="827">
        <v>8</v>
      </c>
      <c r="X115" s="827">
        <v>8</v>
      </c>
      <c r="Y115" s="827">
        <v>11</v>
      </c>
      <c r="Z115" s="827">
        <v>21</v>
      </c>
      <c r="AA115" s="827">
        <v>27</v>
      </c>
      <c r="AB115" s="827">
        <v>28</v>
      </c>
      <c r="AC115" s="828">
        <v>30</v>
      </c>
      <c r="AD115" s="828">
        <v>34</v>
      </c>
      <c r="AE115" s="828">
        <v>37</v>
      </c>
      <c r="AF115" s="828">
        <v>36</v>
      </c>
      <c r="AG115" s="828">
        <v>37</v>
      </c>
      <c r="AH115" s="828">
        <v>37</v>
      </c>
      <c r="AI115" s="828">
        <v>36</v>
      </c>
      <c r="AJ115" s="828">
        <v>38</v>
      </c>
      <c r="AK115" s="828">
        <v>38</v>
      </c>
      <c r="AL115" s="828">
        <v>36</v>
      </c>
      <c r="AM115" s="828">
        <v>25</v>
      </c>
      <c r="AN115" s="828">
        <v>12</v>
      </c>
      <c r="AO115" s="828">
        <v>7</v>
      </c>
      <c r="AP115" s="828">
        <v>6</v>
      </c>
    </row>
    <row r="116" hidden="1" ht="12.75" customHeight="1">
      <c r="B116" s="829" t="s">
        <v>16</v>
      </c>
      <c r="C116" s="823">
        <v>112</v>
      </c>
      <c r="D116" s="823">
        <v>112</v>
      </c>
      <c r="E116" s="823">
        <v>109</v>
      </c>
      <c r="F116" s="823">
        <v>109</v>
      </c>
      <c r="G116" s="823">
        <v>106</v>
      </c>
      <c r="H116" s="823">
        <v>105</v>
      </c>
      <c r="I116" s="823">
        <v>92</v>
      </c>
      <c r="J116" s="823">
        <v>94</v>
      </c>
      <c r="K116" s="823">
        <v>100</v>
      </c>
      <c r="L116" s="823">
        <v>97</v>
      </c>
      <c r="M116" s="823">
        <v>100</v>
      </c>
      <c r="N116" s="823">
        <v>99</v>
      </c>
      <c r="O116" s="823">
        <v>97</v>
      </c>
      <c r="P116" s="823">
        <v>101</v>
      </c>
      <c r="Q116" s="823">
        <v>107</v>
      </c>
      <c r="R116" s="823">
        <v>114</v>
      </c>
      <c r="S116" s="823">
        <v>115</v>
      </c>
      <c r="T116" s="823">
        <v>119</v>
      </c>
      <c r="U116" s="823">
        <v>124</v>
      </c>
      <c r="V116" s="823">
        <v>133</v>
      </c>
      <c r="W116" s="823">
        <v>136</v>
      </c>
      <c r="X116" s="823">
        <v>135</v>
      </c>
      <c r="Y116" s="823">
        <v>149</v>
      </c>
      <c r="Z116" s="823">
        <v>147</v>
      </c>
      <c r="AA116" s="823">
        <v>149</v>
      </c>
      <c r="AB116" s="823">
        <v>152</v>
      </c>
      <c r="AC116" s="825">
        <v>158</v>
      </c>
      <c r="AD116" s="825">
        <v>165</v>
      </c>
      <c r="AE116" s="825">
        <v>162</v>
      </c>
      <c r="AF116" s="825">
        <v>161</v>
      </c>
      <c r="AG116" s="825">
        <v>157</v>
      </c>
      <c r="AH116" s="825">
        <v>157</v>
      </c>
      <c r="AI116" s="825">
        <v>157</v>
      </c>
      <c r="AJ116" s="825">
        <v>157</v>
      </c>
      <c r="AK116" s="825">
        <v>153</v>
      </c>
      <c r="AL116" s="825">
        <v>151</v>
      </c>
      <c r="AM116" s="825">
        <v>144</v>
      </c>
      <c r="AN116" s="825">
        <v>143</v>
      </c>
      <c r="AO116" s="825">
        <v>142</v>
      </c>
      <c r="AP116" s="825">
        <v>136</v>
      </c>
    </row>
    <row r="117" hidden="1" ht="12.75" customHeight="1">
      <c r="B117" s="826" t="s">
        <v>17</v>
      </c>
      <c r="C117" s="827">
        <v>4</v>
      </c>
      <c r="D117" s="827">
        <v>5</v>
      </c>
      <c r="E117" s="827">
        <v>5</v>
      </c>
      <c r="F117" s="827">
        <v>7</v>
      </c>
      <c r="G117" s="827">
        <v>8</v>
      </c>
      <c r="H117" s="827">
        <v>7</v>
      </c>
      <c r="I117" s="827">
        <v>9</v>
      </c>
      <c r="J117" s="827">
        <v>11</v>
      </c>
      <c r="K117" s="827">
        <v>13</v>
      </c>
      <c r="L117" s="827">
        <v>11</v>
      </c>
      <c r="M117" s="827">
        <v>12</v>
      </c>
      <c r="N117" s="827">
        <v>12</v>
      </c>
      <c r="O117" s="827">
        <v>12</v>
      </c>
      <c r="P117" s="827">
        <v>12</v>
      </c>
      <c r="Q117" s="827">
        <v>13</v>
      </c>
      <c r="R117" s="827">
        <v>14</v>
      </c>
      <c r="S117" s="827">
        <v>13</v>
      </c>
      <c r="T117" s="827">
        <v>15</v>
      </c>
      <c r="U117" s="827">
        <v>16</v>
      </c>
      <c r="V117" s="827">
        <v>16</v>
      </c>
      <c r="W117" s="827">
        <v>18</v>
      </c>
      <c r="X117" s="827">
        <v>20</v>
      </c>
      <c r="Y117" s="827">
        <v>23</v>
      </c>
      <c r="Z117" s="827">
        <v>26</v>
      </c>
      <c r="AA117" s="827">
        <v>26</v>
      </c>
      <c r="AB117" s="827">
        <v>27</v>
      </c>
      <c r="AC117" s="828">
        <v>28</v>
      </c>
      <c r="AD117" s="828">
        <v>29</v>
      </c>
      <c r="AE117" s="828">
        <v>31</v>
      </c>
      <c r="AF117" s="828">
        <v>32</v>
      </c>
      <c r="AG117" s="828">
        <v>37</v>
      </c>
      <c r="AH117" s="828">
        <v>39</v>
      </c>
      <c r="AI117" s="828">
        <v>45</v>
      </c>
      <c r="AJ117" s="828">
        <v>48</v>
      </c>
      <c r="AK117" s="828">
        <v>50</v>
      </c>
      <c r="AL117" s="828">
        <v>52</v>
      </c>
      <c r="AM117" s="828">
        <v>51</v>
      </c>
      <c r="AN117" s="828">
        <v>50</v>
      </c>
      <c r="AO117" s="828">
        <v>49</v>
      </c>
      <c r="AP117" s="828">
        <v>52</v>
      </c>
    </row>
    <row r="118" hidden="1" ht="12.75" customHeight="1">
      <c r="B118" s="829" t="s">
        <v>18</v>
      </c>
      <c r="C118" s="823">
        <v>84</v>
      </c>
      <c r="D118" s="823">
        <v>87</v>
      </c>
      <c r="E118" s="823">
        <v>88</v>
      </c>
      <c r="F118" s="823">
        <v>90</v>
      </c>
      <c r="G118" s="823">
        <v>88</v>
      </c>
      <c r="H118" s="823">
        <v>90</v>
      </c>
      <c r="I118" s="823">
        <v>81</v>
      </c>
      <c r="J118" s="823">
        <v>86</v>
      </c>
      <c r="K118" s="823">
        <v>83</v>
      </c>
      <c r="L118" s="823">
        <v>88</v>
      </c>
      <c r="M118" s="823">
        <v>81</v>
      </c>
      <c r="N118" s="823">
        <v>80</v>
      </c>
      <c r="O118" s="823">
        <v>77</v>
      </c>
      <c r="P118" s="823">
        <v>77</v>
      </c>
      <c r="Q118" s="823">
        <v>69</v>
      </c>
      <c r="R118" s="823">
        <v>73</v>
      </c>
      <c r="S118" s="823">
        <v>72</v>
      </c>
      <c r="T118" s="823">
        <v>75</v>
      </c>
      <c r="U118" s="823">
        <v>69</v>
      </c>
      <c r="V118" s="823">
        <v>74</v>
      </c>
      <c r="W118" s="823">
        <v>69</v>
      </c>
      <c r="X118" s="823">
        <v>72</v>
      </c>
      <c r="Y118" s="823">
        <v>70</v>
      </c>
      <c r="Z118" s="823">
        <v>71</v>
      </c>
      <c r="AA118" s="823">
        <v>72</v>
      </c>
      <c r="AB118" s="823">
        <v>74</v>
      </c>
      <c r="AC118" s="825">
        <v>73</v>
      </c>
      <c r="AD118" s="825">
        <v>75</v>
      </c>
      <c r="AE118" s="825">
        <v>75</v>
      </c>
      <c r="AF118" s="825">
        <v>73</v>
      </c>
      <c r="AG118" s="825">
        <v>70</v>
      </c>
      <c r="AH118" s="825">
        <v>68</v>
      </c>
      <c r="AI118" s="825">
        <v>66</v>
      </c>
      <c r="AJ118" s="825">
        <v>63</v>
      </c>
      <c r="AK118" s="825">
        <v>62</v>
      </c>
      <c r="AL118" s="825">
        <v>62</v>
      </c>
      <c r="AM118" s="825">
        <v>62</v>
      </c>
      <c r="AN118" s="825">
        <v>62</v>
      </c>
      <c r="AO118" s="825">
        <v>62</v>
      </c>
      <c r="AP118" s="825">
        <v>65</v>
      </c>
    </row>
    <row r="119" hidden="1" ht="12.75" customHeight="1">
      <c r="B119" s="826" t="s">
        <v>19</v>
      </c>
      <c r="C119" s="827">
        <v>0</v>
      </c>
      <c r="D119" s="827">
        <v>0</v>
      </c>
      <c r="E119" s="827">
        <v>0</v>
      </c>
      <c r="F119" s="827">
        <v>0</v>
      </c>
      <c r="G119" s="827">
        <v>0</v>
      </c>
      <c r="H119" s="827">
        <v>0</v>
      </c>
      <c r="I119" s="827">
        <v>0</v>
      </c>
      <c r="J119" s="827">
        <v>0</v>
      </c>
      <c r="K119" s="827">
        <v>0</v>
      </c>
      <c r="L119" s="827">
        <v>0</v>
      </c>
      <c r="M119" s="827">
        <v>0</v>
      </c>
      <c r="N119" s="827">
        <v>0</v>
      </c>
      <c r="O119" s="827">
        <v>0</v>
      </c>
      <c r="P119" s="827">
        <v>0</v>
      </c>
      <c r="Q119" s="827">
        <v>0</v>
      </c>
      <c r="R119" s="827">
        <v>0</v>
      </c>
      <c r="S119" s="827">
        <v>1</v>
      </c>
      <c r="T119" s="827">
        <v>1</v>
      </c>
      <c r="U119" s="827">
        <v>1</v>
      </c>
      <c r="V119" s="827">
        <v>1</v>
      </c>
      <c r="W119" s="827">
        <v>1</v>
      </c>
      <c r="X119" s="827">
        <v>1</v>
      </c>
      <c r="Y119" s="827">
        <v>1</v>
      </c>
      <c r="Z119" s="827">
        <v>2</v>
      </c>
      <c r="AA119" s="827">
        <v>2</v>
      </c>
      <c r="AB119" s="827">
        <v>2</v>
      </c>
      <c r="AC119" s="828">
        <v>2</v>
      </c>
      <c r="AD119" s="828">
        <v>2</v>
      </c>
      <c r="AE119" s="828">
        <v>2</v>
      </c>
      <c r="AF119" s="828">
        <v>2</v>
      </c>
      <c r="AG119" s="828">
        <v>2</v>
      </c>
      <c r="AH119" s="828">
        <v>2</v>
      </c>
      <c r="AI119" s="828">
        <v>2</v>
      </c>
      <c r="AJ119" s="828">
        <v>2</v>
      </c>
      <c r="AK119" s="828">
        <v>2</v>
      </c>
      <c r="AL119" s="828">
        <v>2</v>
      </c>
      <c r="AM119" s="828">
        <v>2</v>
      </c>
      <c r="AN119" s="828">
        <v>2</v>
      </c>
      <c r="AO119" s="828">
        <v>2</v>
      </c>
      <c r="AP119" s="828">
        <v>2</v>
      </c>
    </row>
    <row r="120" hidden="1" ht="12.75" customHeight="1">
      <c r="B120" s="829" t="s">
        <v>20</v>
      </c>
      <c r="C120" s="823">
        <v>13</v>
      </c>
      <c r="D120" s="823">
        <v>13</v>
      </c>
      <c r="E120" s="823">
        <v>13</v>
      </c>
      <c r="F120" s="823">
        <v>13</v>
      </c>
      <c r="G120" s="823">
        <v>16</v>
      </c>
      <c r="H120" s="823">
        <v>16</v>
      </c>
      <c r="I120" s="823">
        <v>26</v>
      </c>
      <c r="J120" s="823">
        <v>27</v>
      </c>
      <c r="K120" s="823">
        <v>28</v>
      </c>
      <c r="L120" s="823">
        <v>28</v>
      </c>
      <c r="M120" s="823">
        <v>32</v>
      </c>
      <c r="N120" s="823">
        <v>36</v>
      </c>
      <c r="O120" s="823">
        <v>38</v>
      </c>
      <c r="P120" s="823">
        <v>40</v>
      </c>
      <c r="Q120" s="823">
        <v>40</v>
      </c>
      <c r="R120" s="823">
        <v>43</v>
      </c>
      <c r="S120" s="823">
        <v>41</v>
      </c>
      <c r="T120" s="823">
        <v>42</v>
      </c>
      <c r="U120" s="823">
        <v>44</v>
      </c>
      <c r="V120" s="823">
        <v>47</v>
      </c>
      <c r="W120" s="823">
        <v>48</v>
      </c>
      <c r="X120" s="823">
        <v>48</v>
      </c>
      <c r="Y120" s="823">
        <v>49</v>
      </c>
      <c r="Z120" s="823">
        <v>50</v>
      </c>
      <c r="AA120" s="823">
        <v>53</v>
      </c>
      <c r="AB120" s="823">
        <v>52</v>
      </c>
      <c r="AC120" s="825">
        <v>52</v>
      </c>
      <c r="AD120" s="825">
        <v>53</v>
      </c>
      <c r="AE120" s="825">
        <v>55</v>
      </c>
      <c r="AF120" s="825">
        <v>56</v>
      </c>
      <c r="AG120" s="825">
        <v>26</v>
      </c>
      <c r="AH120" s="825">
        <v>28</v>
      </c>
      <c r="AI120" s="825">
        <v>31</v>
      </c>
      <c r="AJ120" s="825">
        <v>31</v>
      </c>
      <c r="AK120" s="825">
        <v>30</v>
      </c>
      <c r="AL120" s="825">
        <v>32</v>
      </c>
      <c r="AM120" s="825">
        <v>31</v>
      </c>
      <c r="AN120" s="825">
        <v>32</v>
      </c>
      <c r="AO120" s="825">
        <v>32</v>
      </c>
      <c r="AP120" s="825">
        <v>32</v>
      </c>
    </row>
    <row r="121" hidden="1" ht="12.75" customHeight="1">
      <c r="B121" s="826" t="s">
        <v>21</v>
      </c>
      <c r="C121" s="827">
        <v>2</v>
      </c>
      <c r="D121" s="827">
        <v>2</v>
      </c>
      <c r="E121" s="827">
        <v>2</v>
      </c>
      <c r="F121" s="827">
        <v>2</v>
      </c>
      <c r="G121" s="827">
        <v>2</v>
      </c>
      <c r="H121" s="827">
        <v>2</v>
      </c>
      <c r="I121" s="827">
        <v>2</v>
      </c>
      <c r="J121" s="827">
        <v>2</v>
      </c>
      <c r="K121" s="827">
        <v>1</v>
      </c>
      <c r="L121" s="827">
        <v>2</v>
      </c>
      <c r="M121" s="827">
        <v>4</v>
      </c>
      <c r="N121" s="827">
        <v>6</v>
      </c>
      <c r="O121" s="827">
        <v>6</v>
      </c>
      <c r="P121" s="827">
        <v>7</v>
      </c>
      <c r="Q121" s="827">
        <v>10</v>
      </c>
      <c r="R121" s="827">
        <v>9</v>
      </c>
      <c r="S121" s="827">
        <v>4</v>
      </c>
      <c r="T121" s="827">
        <v>5</v>
      </c>
      <c r="U121" s="827">
        <v>4</v>
      </c>
      <c r="V121" s="827">
        <v>4</v>
      </c>
      <c r="W121" s="827">
        <v>5</v>
      </c>
      <c r="X121" s="827">
        <v>6</v>
      </c>
      <c r="Y121" s="827">
        <v>7</v>
      </c>
      <c r="Z121" s="827">
        <v>6</v>
      </c>
      <c r="AA121" s="827">
        <v>6</v>
      </c>
      <c r="AB121" s="827">
        <v>6</v>
      </c>
      <c r="AC121" s="828">
        <v>5</v>
      </c>
      <c r="AD121" s="828">
        <v>6</v>
      </c>
      <c r="AE121" s="828">
        <v>8</v>
      </c>
      <c r="AF121" s="828">
        <v>10</v>
      </c>
      <c r="AG121" s="828">
        <v>9</v>
      </c>
      <c r="AH121" s="828">
        <v>9</v>
      </c>
      <c r="AI121" s="828">
        <v>8</v>
      </c>
      <c r="AJ121" s="828">
        <v>9</v>
      </c>
      <c r="AK121" s="828">
        <v>7</v>
      </c>
      <c r="AL121" s="828">
        <v>6</v>
      </c>
      <c r="AM121" s="828">
        <v>7</v>
      </c>
      <c r="AN121" s="828">
        <v>7</v>
      </c>
      <c r="AO121" s="828">
        <v>6</v>
      </c>
      <c r="AP121" s="828">
        <v>1</v>
      </c>
    </row>
    <row r="122" hidden="1" ht="12.75" customHeight="1">
      <c r="B122" s="829" t="s">
        <v>22</v>
      </c>
      <c r="C122" s="823">
        <v>0</v>
      </c>
      <c r="D122" s="823">
        <v>0</v>
      </c>
      <c r="E122" s="823">
        <v>0</v>
      </c>
      <c r="F122" s="823">
        <v>1</v>
      </c>
      <c r="G122" s="823">
        <v>1</v>
      </c>
      <c r="H122" s="823">
        <v>1</v>
      </c>
      <c r="I122" s="823">
        <v>1</v>
      </c>
      <c r="J122" s="823">
        <v>1</v>
      </c>
      <c r="K122" s="823">
        <v>1</v>
      </c>
      <c r="L122" s="823">
        <v>1</v>
      </c>
      <c r="M122" s="823">
        <v>1</v>
      </c>
      <c r="N122" s="823">
        <v>1</v>
      </c>
      <c r="O122" s="823">
        <v>1</v>
      </c>
      <c r="P122" s="823">
        <v>1</v>
      </c>
      <c r="Q122" s="823">
        <v>0</v>
      </c>
      <c r="R122" s="823">
        <v>1</v>
      </c>
      <c r="S122" s="823">
        <v>1</v>
      </c>
      <c r="T122" s="823">
        <v>1</v>
      </c>
      <c r="U122" s="823">
        <v>1</v>
      </c>
      <c r="V122" s="823">
        <v>1</v>
      </c>
      <c r="W122" s="823">
        <v>1</v>
      </c>
      <c r="X122" s="823">
        <v>1</v>
      </c>
      <c r="Y122" s="823">
        <v>1</v>
      </c>
      <c r="Z122" s="823">
        <v>1</v>
      </c>
      <c r="AA122" s="823">
        <v>2</v>
      </c>
      <c r="AB122" s="823">
        <v>2</v>
      </c>
      <c r="AC122" s="825">
        <v>2</v>
      </c>
      <c r="AD122" s="825">
        <v>0</v>
      </c>
      <c r="AE122" s="825">
        <v>0</v>
      </c>
      <c r="AF122" s="825">
        <v>0</v>
      </c>
      <c r="AG122" s="825">
        <v>0</v>
      </c>
      <c r="AH122" s="825">
        <v>0</v>
      </c>
      <c r="AI122" s="825">
        <v>0</v>
      </c>
      <c r="AJ122" s="825">
        <v>0</v>
      </c>
      <c r="AK122" s="825">
        <v>0</v>
      </c>
      <c r="AL122" s="825">
        <v>0</v>
      </c>
      <c r="AM122" s="825">
        <v>1</v>
      </c>
      <c r="AN122" s="825">
        <v>1</v>
      </c>
      <c r="AO122" s="825">
        <v>1</v>
      </c>
      <c r="AP122" s="825">
        <v>1</v>
      </c>
    </row>
    <row r="123" hidden="1" ht="12.75" customHeight="1">
      <c r="B123" s="826" t="s">
        <v>23</v>
      </c>
      <c r="C123" s="827">
        <v>0</v>
      </c>
      <c r="D123" s="827">
        <v>0</v>
      </c>
      <c r="E123" s="827">
        <v>0</v>
      </c>
      <c r="F123" s="827">
        <v>0</v>
      </c>
      <c r="G123" s="827">
        <v>0</v>
      </c>
      <c r="H123" s="827">
        <v>0</v>
      </c>
      <c r="I123" s="827">
        <v>0</v>
      </c>
      <c r="J123" s="827">
        <v>0</v>
      </c>
      <c r="K123" s="827">
        <v>0</v>
      </c>
      <c r="L123" s="827">
        <v>0</v>
      </c>
      <c r="M123" s="827">
        <v>0</v>
      </c>
      <c r="N123" s="827">
        <v>0</v>
      </c>
      <c r="O123" s="827">
        <v>0</v>
      </c>
      <c r="P123" s="827">
        <v>0</v>
      </c>
      <c r="Q123" s="827">
        <v>0</v>
      </c>
      <c r="R123" s="827">
        <v>0</v>
      </c>
      <c r="S123" s="827">
        <v>0</v>
      </c>
      <c r="T123" s="827">
        <v>0</v>
      </c>
      <c r="U123" s="827">
        <v>0</v>
      </c>
      <c r="V123" s="827">
        <v>0</v>
      </c>
      <c r="W123" s="827">
        <v>0</v>
      </c>
      <c r="X123" s="827">
        <v>0</v>
      </c>
      <c r="Y123" s="827">
        <v>0</v>
      </c>
      <c r="Z123" s="827">
        <v>0</v>
      </c>
      <c r="AA123" s="827">
        <v>0</v>
      </c>
      <c r="AB123" s="827">
        <v>0</v>
      </c>
      <c r="AC123" s="828">
        <v>0</v>
      </c>
      <c r="AD123" s="828">
        <v>0</v>
      </c>
      <c r="AE123" s="828">
        <v>0</v>
      </c>
      <c r="AF123" s="828">
        <v>0</v>
      </c>
      <c r="AG123" s="828">
        <v>0</v>
      </c>
      <c r="AH123" s="828">
        <v>0</v>
      </c>
      <c r="AI123" s="828">
        <v>0</v>
      </c>
      <c r="AJ123" s="828">
        <v>0</v>
      </c>
      <c r="AK123" s="828">
        <v>0</v>
      </c>
      <c r="AL123" s="828">
        <v>0</v>
      </c>
      <c r="AM123" s="828">
        <v>0</v>
      </c>
      <c r="AN123" s="828">
        <v>0</v>
      </c>
      <c r="AO123" s="828">
        <v>0</v>
      </c>
      <c r="AP123" s="828">
        <v>0</v>
      </c>
    </row>
    <row r="124" hidden="1" ht="12.75" customHeight="1">
      <c r="B124" s="830" t="s">
        <v>24</v>
      </c>
      <c r="C124" s="823">
        <v>63</v>
      </c>
      <c r="D124" s="823">
        <v>61</v>
      </c>
      <c r="E124" s="823">
        <v>57</v>
      </c>
      <c r="F124" s="823">
        <v>58</v>
      </c>
      <c r="G124" s="823">
        <v>58</v>
      </c>
      <c r="H124" s="823">
        <v>57</v>
      </c>
      <c r="I124" s="823">
        <v>61</v>
      </c>
      <c r="J124" s="823">
        <v>66</v>
      </c>
      <c r="K124" s="823">
        <v>65</v>
      </c>
      <c r="L124" s="823">
        <v>65</v>
      </c>
      <c r="M124" s="823">
        <v>64</v>
      </c>
      <c r="N124" s="823">
        <v>66</v>
      </c>
      <c r="O124" s="823">
        <v>66</v>
      </c>
      <c r="P124" s="823">
        <v>67</v>
      </c>
      <c r="Q124" s="823">
        <v>68</v>
      </c>
      <c r="R124" s="823">
        <v>67</v>
      </c>
      <c r="S124" s="823">
        <v>63</v>
      </c>
      <c r="T124" s="823">
        <v>63</v>
      </c>
      <c r="U124" s="823">
        <v>61</v>
      </c>
      <c r="V124" s="823">
        <v>63</v>
      </c>
      <c r="W124" s="823">
        <v>65</v>
      </c>
      <c r="X124" s="823">
        <v>68</v>
      </c>
      <c r="Y124" s="823">
        <v>69</v>
      </c>
      <c r="Z124" s="823">
        <v>67</v>
      </c>
      <c r="AA124" s="823">
        <v>66</v>
      </c>
      <c r="AB124" s="823">
        <v>68</v>
      </c>
      <c r="AC124" s="825">
        <v>69</v>
      </c>
      <c r="AD124" s="825">
        <v>72</v>
      </c>
      <c r="AE124" s="825">
        <v>73</v>
      </c>
      <c r="AF124" s="825">
        <v>75</v>
      </c>
      <c r="AG124" s="825">
        <v>76</v>
      </c>
      <c r="AH124" s="825">
        <v>81</v>
      </c>
      <c r="AI124" s="825">
        <v>81</v>
      </c>
      <c r="AJ124" s="825">
        <v>80</v>
      </c>
      <c r="AK124" s="825">
        <v>78</v>
      </c>
      <c r="AL124" s="825">
        <v>75</v>
      </c>
      <c r="AM124" s="825">
        <v>72</v>
      </c>
      <c r="AN124" s="825">
        <v>70</v>
      </c>
      <c r="AO124" s="825">
        <v>68</v>
      </c>
      <c r="AP124" s="825">
        <v>69</v>
      </c>
    </row>
    <row r="125" hidden="1" ht="12.75" customHeight="1">
      <c r="B125" s="826" t="s">
        <v>25</v>
      </c>
      <c r="C125" s="827">
        <v>0</v>
      </c>
      <c r="D125" s="827">
        <v>0</v>
      </c>
      <c r="E125" s="827">
        <v>0</v>
      </c>
      <c r="F125" s="827">
        <v>0</v>
      </c>
      <c r="G125" s="827">
        <v>0</v>
      </c>
      <c r="H125" s="827">
        <v>0</v>
      </c>
      <c r="I125" s="827">
        <v>0</v>
      </c>
      <c r="J125" s="827">
        <v>0</v>
      </c>
      <c r="K125" s="827">
        <v>0</v>
      </c>
      <c r="L125" s="827">
        <v>0</v>
      </c>
      <c r="M125" s="827">
        <v>0</v>
      </c>
      <c r="N125" s="827">
        <v>0</v>
      </c>
      <c r="O125" s="827">
        <v>0</v>
      </c>
      <c r="P125" s="827">
        <v>0</v>
      </c>
      <c r="Q125" s="827">
        <v>0</v>
      </c>
      <c r="R125" s="827">
        <v>0</v>
      </c>
      <c r="S125" s="827">
        <v>0</v>
      </c>
      <c r="T125" s="827">
        <v>0</v>
      </c>
      <c r="U125" s="827">
        <v>0</v>
      </c>
      <c r="V125" s="827">
        <v>0</v>
      </c>
      <c r="W125" s="827">
        <v>0</v>
      </c>
      <c r="X125" s="827">
        <v>0</v>
      </c>
      <c r="Y125" s="827">
        <v>0</v>
      </c>
      <c r="Z125" s="827">
        <v>0</v>
      </c>
      <c r="AA125" s="827">
        <v>0</v>
      </c>
      <c r="AB125" s="827">
        <v>0</v>
      </c>
      <c r="AC125" s="828">
        <v>0</v>
      </c>
      <c r="AD125" s="828">
        <v>0</v>
      </c>
      <c r="AE125" s="828">
        <v>0</v>
      </c>
      <c r="AF125" s="828">
        <v>0</v>
      </c>
      <c r="AG125" s="828">
        <v>0</v>
      </c>
      <c r="AH125" s="828">
        <v>0</v>
      </c>
      <c r="AI125" s="828">
        <v>0</v>
      </c>
      <c r="AJ125" s="828">
        <v>0</v>
      </c>
      <c r="AK125" s="828">
        <v>0</v>
      </c>
      <c r="AL125" s="828">
        <v>0</v>
      </c>
      <c r="AM125" s="828">
        <v>0</v>
      </c>
      <c r="AN125" s="828">
        <v>0</v>
      </c>
      <c r="AO125" s="828">
        <v>0</v>
      </c>
      <c r="AP125" s="828">
        <v>0</v>
      </c>
    </row>
    <row r="126" hidden="1" ht="12.75" customHeight="1">
      <c r="B126" s="831" t="s">
        <v>26</v>
      </c>
      <c r="C126" s="823">
        <v>0</v>
      </c>
      <c r="D126" s="823">
        <v>0</v>
      </c>
      <c r="E126" s="823">
        <v>0</v>
      </c>
      <c r="F126" s="823">
        <v>0</v>
      </c>
      <c r="G126" s="823">
        <v>0</v>
      </c>
      <c r="H126" s="823">
        <v>0</v>
      </c>
      <c r="I126" s="823">
        <v>0</v>
      </c>
      <c r="J126" s="823">
        <v>0</v>
      </c>
      <c r="K126" s="823">
        <v>0</v>
      </c>
      <c r="L126" s="823">
        <v>0</v>
      </c>
      <c r="M126" s="823">
        <v>0</v>
      </c>
      <c r="N126" s="823">
        <v>0</v>
      </c>
      <c r="O126" s="823">
        <v>0</v>
      </c>
      <c r="P126" s="823">
        <v>0</v>
      </c>
      <c r="Q126" s="823">
        <v>0</v>
      </c>
      <c r="R126" s="823">
        <v>0</v>
      </c>
      <c r="S126" s="823">
        <v>0</v>
      </c>
      <c r="T126" s="823">
        <v>0</v>
      </c>
      <c r="U126" s="823">
        <v>0</v>
      </c>
      <c r="V126" s="823">
        <v>0</v>
      </c>
      <c r="W126" s="823">
        <v>0</v>
      </c>
      <c r="X126" s="823">
        <v>0</v>
      </c>
      <c r="Y126" s="823">
        <v>0</v>
      </c>
      <c r="Z126" s="823">
        <v>0</v>
      </c>
      <c r="AA126" s="823">
        <v>0</v>
      </c>
      <c r="AB126" s="832">
        <v>0</v>
      </c>
      <c r="AC126" s="825">
        <v>0</v>
      </c>
      <c r="AD126" s="825">
        <v>0</v>
      </c>
      <c r="AE126" s="825">
        <v>0</v>
      </c>
      <c r="AF126" s="825">
        <v>0</v>
      </c>
      <c r="AG126" s="825">
        <v>0</v>
      </c>
      <c r="AH126" s="825">
        <v>0</v>
      </c>
      <c r="AI126" s="825">
        <v>0</v>
      </c>
      <c r="AJ126" s="825">
        <v>0</v>
      </c>
      <c r="AK126" s="825">
        <v>0</v>
      </c>
      <c r="AL126" s="825">
        <v>0</v>
      </c>
      <c r="AM126" s="825">
        <v>0</v>
      </c>
      <c r="AN126" s="825">
        <v>0</v>
      </c>
      <c r="AO126" s="825">
        <v>0</v>
      </c>
      <c r="AP126" s="825">
        <v>0</v>
      </c>
    </row>
    <row r="127" hidden="1" ht="12.75" customHeight="1">
      <c r="B127" s="128" t="s">
        <v>7</v>
      </c>
      <c r="C127" s="129" t="str">
        <f>IF(SUM(C108:C126)&lt;&gt;0,SUM(C108:C126),"")</f>
      </c>
      <c r="D127" s="129" t="str">
        <f ref="D127:AA127" t="shared" si="0">IF(SUM(D108:D126)&lt;&gt;0,SUM(D108:D126),"")</f>
      </c>
      <c r="E127" s="129" t="str">
        <f t="shared" si="0"/>
      </c>
      <c r="F127" s="129" t="str">
        <f t="shared" si="0"/>
      </c>
      <c r="G127" s="129" t="str">
        <f t="shared" si="0"/>
      </c>
      <c r="H127" s="129" t="str">
        <f t="shared" si="0"/>
      </c>
      <c r="I127" s="129" t="str">
        <f t="shared" si="0"/>
      </c>
      <c r="J127" s="129" t="str">
        <f t="shared" si="0"/>
      </c>
      <c r="K127" s="129" t="str">
        <f t="shared" si="0"/>
      </c>
      <c r="L127" s="129" t="str">
        <f t="shared" si="0"/>
      </c>
      <c r="M127" s="129" t="str">
        <f t="shared" si="0"/>
      </c>
      <c r="N127" s="129" t="str">
        <f t="shared" si="0"/>
      </c>
      <c r="O127" s="129" t="str">
        <f t="shared" si="0"/>
      </c>
      <c r="P127" s="129" t="str">
        <f t="shared" si="0"/>
      </c>
      <c r="Q127" s="129" t="str">
        <f t="shared" si="0"/>
      </c>
      <c r="R127" s="129" t="str">
        <f t="shared" si="0"/>
      </c>
      <c r="S127" s="129" t="str">
        <f t="shared" si="0"/>
      </c>
      <c r="T127" s="129" t="str">
        <f t="shared" si="0"/>
      </c>
      <c r="U127" s="129" t="str">
        <f t="shared" si="0"/>
      </c>
      <c r="V127" s="129" t="str">
        <f t="shared" si="0"/>
      </c>
      <c r="W127" s="129" t="str">
        <f t="shared" si="0"/>
      </c>
      <c r="X127" s="129" t="str">
        <f t="shared" si="0"/>
      </c>
      <c r="Y127" s="129" t="str">
        <f t="shared" si="0"/>
      </c>
      <c r="Z127" s="129" t="str">
        <f t="shared" si="0"/>
      </c>
      <c r="AA127" s="129" t="str">
        <f t="shared" si="0"/>
      </c>
      <c r="AB127" s="130" t="str">
        <f>IF(SUM(AB108:AB126)&lt;&gt;0,SUM(AB108:AB126),"")</f>
      </c>
      <c r="AC127" s="91" t="str">
        <f ref="AC127:CN127" t="shared" si="1">IF(SUM(AC108:AC126)&lt;&gt;0,SUM(AC108:AC126),"")</f>
      </c>
      <c r="AD127" s="91" t="str">
        <f t="shared" si="1"/>
      </c>
      <c r="AE127" s="91" t="str">
        <f t="shared" si="1"/>
      </c>
      <c r="AF127" s="91" t="str">
        <f t="shared" si="1"/>
      </c>
      <c r="AG127" s="91" t="str">
        <f t="shared" si="1"/>
      </c>
      <c r="AH127" s="91" t="str">
        <f t="shared" si="1"/>
      </c>
      <c r="AI127" s="91" t="str">
        <f t="shared" si="1"/>
      </c>
      <c r="AJ127" s="91" t="str">
        <f t="shared" si="1"/>
      </c>
      <c r="AK127" s="91" t="str">
        <f t="shared" si="1"/>
      </c>
      <c r="AL127" s="91" t="str">
        <f t="shared" si="1"/>
      </c>
      <c r="AM127" s="91" t="str">
        <f t="shared" si="1"/>
      </c>
      <c r="AN127" s="91" t="str">
        <f t="shared" si="1"/>
      </c>
      <c r="AO127" s="91" t="str">
        <f t="shared" si="1"/>
      </c>
      <c r="AP127" s="91" t="str">
        <f t="shared" si="1"/>
      </c>
      <c r="AQ127" s="91" t="str">
        <f t="shared" si="1"/>
      </c>
      <c r="AR127" s="91" t="str">
        <f t="shared" si="1"/>
      </c>
      <c r="AS127" s="91" t="str">
        <f t="shared" si="1"/>
      </c>
      <c r="AT127" s="91" t="str">
        <f t="shared" si="1"/>
      </c>
      <c r="AU127" s="91" t="str">
        <f t="shared" si="1"/>
      </c>
      <c r="AV127" s="91" t="str">
        <f t="shared" si="1"/>
      </c>
      <c r="AW127" s="91" t="str">
        <f t="shared" si="1"/>
      </c>
      <c r="AX127" s="91" t="str">
        <f t="shared" si="1"/>
      </c>
      <c r="AY127" s="91" t="str">
        <f t="shared" si="1"/>
      </c>
      <c r="AZ127" s="91" t="str">
        <f t="shared" si="1"/>
      </c>
      <c r="BA127" s="91" t="str">
        <f t="shared" si="1"/>
      </c>
      <c r="BB127" s="91" t="str">
        <f t="shared" si="1"/>
      </c>
      <c r="BC127" s="91" t="str">
        <f t="shared" si="1"/>
      </c>
      <c r="BD127" s="91" t="str">
        <f t="shared" si="1"/>
      </c>
      <c r="BE127" s="91" t="str">
        <f t="shared" si="1"/>
      </c>
      <c r="BF127" s="91" t="str">
        <f t="shared" si="1"/>
      </c>
      <c r="BG127" s="91" t="str">
        <f t="shared" si="1"/>
      </c>
      <c r="BH127" s="91" t="str">
        <f t="shared" si="1"/>
      </c>
      <c r="BI127" s="91" t="str">
        <f t="shared" si="1"/>
      </c>
      <c r="BJ127" s="91" t="str">
        <f t="shared" si="1"/>
      </c>
      <c r="BK127" s="91" t="str">
        <f t="shared" si="1"/>
      </c>
      <c r="BL127" s="91" t="str">
        <f t="shared" si="1"/>
      </c>
      <c r="BM127" s="91" t="str">
        <f t="shared" si="1"/>
      </c>
      <c r="BN127" s="91" t="str">
        <f t="shared" si="1"/>
      </c>
      <c r="BO127" s="91" t="str">
        <f t="shared" si="1"/>
      </c>
      <c r="BP127" s="91" t="str">
        <f t="shared" si="1"/>
      </c>
      <c r="BQ127" s="91" t="str">
        <f t="shared" si="1"/>
      </c>
      <c r="BR127" s="91" t="str">
        <f t="shared" si="1"/>
      </c>
      <c r="BS127" s="91" t="str">
        <f t="shared" si="1"/>
      </c>
      <c r="BT127" s="91" t="str">
        <f t="shared" si="1"/>
      </c>
      <c r="BU127" s="91" t="str">
        <f t="shared" si="1"/>
      </c>
      <c r="BV127" s="91" t="str">
        <f t="shared" si="1"/>
      </c>
      <c r="BW127" s="91" t="str">
        <f t="shared" si="1"/>
      </c>
      <c r="BX127" s="91" t="str">
        <f t="shared" si="1"/>
      </c>
      <c r="BY127" s="91" t="str">
        <f t="shared" si="1"/>
      </c>
      <c r="BZ127" s="91" t="str">
        <f t="shared" si="1"/>
      </c>
      <c r="CA127" s="91" t="str">
        <f t="shared" si="1"/>
      </c>
      <c r="CB127" s="91" t="str">
        <f t="shared" si="1"/>
      </c>
      <c r="CC127" s="91" t="str">
        <f t="shared" si="1"/>
      </c>
      <c r="CD127" s="91" t="str">
        <f t="shared" si="1"/>
      </c>
      <c r="CE127" s="91" t="str">
        <f t="shared" si="1"/>
      </c>
      <c r="CF127" s="91" t="str">
        <f t="shared" si="1"/>
      </c>
      <c r="CG127" s="91" t="str">
        <f t="shared" si="1"/>
      </c>
      <c r="CH127" s="91" t="str">
        <f t="shared" si="1"/>
      </c>
      <c r="CI127" s="91" t="str">
        <f t="shared" si="1"/>
      </c>
      <c r="CJ127" s="91" t="str">
        <f t="shared" si="1"/>
      </c>
      <c r="CK127" s="91" t="str">
        <f t="shared" si="1"/>
      </c>
      <c r="CL127" s="91" t="str">
        <f t="shared" si="1"/>
      </c>
      <c r="CM127" s="91" t="str">
        <f t="shared" si="1"/>
      </c>
      <c r="CN127" s="91" t="str">
        <f t="shared" si="1"/>
      </c>
      <c r="CO127" s="91" t="str">
        <f ref="CO127:EZ127" t="shared" si="2">IF(SUM(CO108:CO126)&lt;&gt;0,SUM(CO108:CO126),"")</f>
      </c>
      <c r="CP127" s="91" t="str">
        <f t="shared" si="2"/>
      </c>
      <c r="CQ127" s="91" t="str">
        <f t="shared" si="2"/>
      </c>
      <c r="CR127" s="91" t="str">
        <f t="shared" si="2"/>
      </c>
      <c r="CS127" s="91" t="str">
        <f t="shared" si="2"/>
      </c>
      <c r="CT127" s="91" t="str">
        <f t="shared" si="2"/>
      </c>
      <c r="CU127" s="91" t="str">
        <f t="shared" si="2"/>
      </c>
      <c r="CV127" s="91" t="str">
        <f t="shared" si="2"/>
      </c>
      <c r="CW127" s="91" t="str">
        <f t="shared" si="2"/>
      </c>
      <c r="CX127" s="91" t="str">
        <f t="shared" si="2"/>
      </c>
      <c r="CY127" s="91" t="str">
        <f t="shared" si="2"/>
      </c>
      <c r="CZ127" s="91" t="str">
        <f t="shared" si="2"/>
      </c>
      <c r="DA127" s="91" t="str">
        <f t="shared" si="2"/>
      </c>
      <c r="DB127" s="91" t="str">
        <f t="shared" si="2"/>
      </c>
      <c r="DC127" s="91" t="str">
        <f t="shared" si="2"/>
      </c>
      <c r="DD127" s="91" t="str">
        <f t="shared" si="2"/>
      </c>
      <c r="DE127" s="91" t="str">
        <f t="shared" si="2"/>
      </c>
      <c r="DF127" s="91" t="str">
        <f t="shared" si="2"/>
      </c>
      <c r="DG127" s="91" t="str">
        <f t="shared" si="2"/>
      </c>
      <c r="DH127" s="91" t="str">
        <f t="shared" si="2"/>
      </c>
      <c r="DI127" s="91" t="str">
        <f t="shared" si="2"/>
      </c>
      <c r="DJ127" s="91" t="str">
        <f t="shared" si="2"/>
      </c>
      <c r="DK127" s="91" t="str">
        <f t="shared" si="2"/>
      </c>
      <c r="DL127" s="91" t="str">
        <f t="shared" si="2"/>
      </c>
      <c r="DM127" s="91" t="str">
        <f t="shared" si="2"/>
      </c>
      <c r="DN127" s="91" t="str">
        <f t="shared" si="2"/>
      </c>
      <c r="DO127" s="91" t="str">
        <f t="shared" si="2"/>
      </c>
      <c r="DP127" s="91" t="str">
        <f t="shared" si="2"/>
      </c>
      <c r="DQ127" s="91" t="str">
        <f t="shared" si="2"/>
      </c>
      <c r="DR127" s="91" t="str">
        <f t="shared" si="2"/>
      </c>
      <c r="DS127" s="91" t="str">
        <f t="shared" si="2"/>
      </c>
      <c r="DT127" s="91" t="str">
        <f t="shared" si="2"/>
      </c>
      <c r="DU127" s="91" t="str">
        <f t="shared" si="2"/>
      </c>
      <c r="DV127" s="91" t="str">
        <f t="shared" si="2"/>
      </c>
      <c r="DW127" s="91" t="str">
        <f t="shared" si="2"/>
      </c>
      <c r="DX127" s="91" t="str">
        <f t="shared" si="2"/>
      </c>
      <c r="DY127" s="91" t="str">
        <f t="shared" si="2"/>
      </c>
      <c r="DZ127" s="91" t="str">
        <f t="shared" si="2"/>
      </c>
      <c r="EA127" s="91" t="str">
        <f t="shared" si="2"/>
      </c>
      <c r="EB127" s="91" t="str">
        <f t="shared" si="2"/>
      </c>
      <c r="EC127" s="91" t="str">
        <f t="shared" si="2"/>
      </c>
      <c r="ED127" s="91" t="str">
        <f t="shared" si="2"/>
      </c>
      <c r="EE127" s="91" t="str">
        <f t="shared" si="2"/>
      </c>
      <c r="EF127" s="91" t="str">
        <f t="shared" si="2"/>
      </c>
      <c r="EG127" s="91" t="str">
        <f t="shared" si="2"/>
      </c>
      <c r="EH127" s="91" t="str">
        <f t="shared" si="2"/>
      </c>
      <c r="EI127" s="91" t="str">
        <f t="shared" si="2"/>
      </c>
      <c r="EJ127" s="91" t="str">
        <f t="shared" si="2"/>
      </c>
      <c r="EK127" s="91" t="str">
        <f t="shared" si="2"/>
      </c>
      <c r="EL127" s="91" t="str">
        <f t="shared" si="2"/>
      </c>
      <c r="EM127" s="91" t="str">
        <f t="shared" si="2"/>
      </c>
      <c r="EN127" s="91" t="str">
        <f t="shared" si="2"/>
      </c>
      <c r="EO127" s="91" t="str">
        <f t="shared" si="2"/>
      </c>
      <c r="EP127" s="91" t="str">
        <f t="shared" si="2"/>
      </c>
      <c r="EQ127" s="91" t="str">
        <f t="shared" si="2"/>
      </c>
      <c r="ER127" s="91" t="str">
        <f t="shared" si="2"/>
      </c>
      <c r="ES127" s="91" t="str">
        <f t="shared" si="2"/>
      </c>
      <c r="ET127" s="91" t="str">
        <f t="shared" si="2"/>
      </c>
      <c r="EU127" s="91" t="str">
        <f t="shared" si="2"/>
      </c>
      <c r="EV127" s="91" t="str">
        <f t="shared" si="2"/>
      </c>
      <c r="EW127" s="91" t="str">
        <f t="shared" si="2"/>
      </c>
      <c r="EX127" s="91" t="str">
        <f t="shared" si="2"/>
      </c>
      <c r="EY127" s="91" t="str">
        <f t="shared" si="2"/>
      </c>
      <c r="EZ127" s="91" t="str">
        <f t="shared" si="2"/>
      </c>
      <c r="FA127" s="91" t="str">
        <f ref="FA127:HL127" t="shared" si="3">IF(SUM(FA108:FA126)&lt;&gt;0,SUM(FA108:FA126),"")</f>
      </c>
      <c r="FB127" s="91" t="str">
        <f t="shared" si="3"/>
      </c>
      <c r="FC127" s="91" t="str">
        <f t="shared" si="3"/>
      </c>
      <c r="FD127" s="91" t="str">
        <f t="shared" si="3"/>
      </c>
      <c r="FE127" s="91" t="str">
        <f t="shared" si="3"/>
      </c>
      <c r="FF127" s="91" t="str">
        <f t="shared" si="3"/>
      </c>
      <c r="FG127" s="91" t="str">
        <f t="shared" si="3"/>
      </c>
      <c r="FH127" s="91" t="str">
        <f t="shared" si="3"/>
      </c>
      <c r="FI127" s="91" t="str">
        <f t="shared" si="3"/>
      </c>
      <c r="FJ127" s="91" t="str">
        <f t="shared" si="3"/>
      </c>
      <c r="FK127" s="91" t="str">
        <f t="shared" si="3"/>
      </c>
      <c r="FL127" s="91" t="str">
        <f t="shared" si="3"/>
      </c>
      <c r="FM127" s="91" t="str">
        <f t="shared" si="3"/>
      </c>
      <c r="FN127" s="91" t="str">
        <f t="shared" si="3"/>
      </c>
      <c r="FO127" s="91" t="str">
        <f t="shared" si="3"/>
      </c>
      <c r="FP127" s="91" t="str">
        <f t="shared" si="3"/>
      </c>
      <c r="FQ127" s="91" t="str">
        <f t="shared" si="3"/>
      </c>
      <c r="FR127" s="91" t="str">
        <f t="shared" si="3"/>
      </c>
      <c r="FS127" s="91" t="str">
        <f t="shared" si="3"/>
      </c>
      <c r="FT127" s="91" t="str">
        <f t="shared" si="3"/>
      </c>
      <c r="FU127" s="91" t="str">
        <f t="shared" si="3"/>
      </c>
      <c r="FV127" s="91" t="str">
        <f t="shared" si="3"/>
      </c>
      <c r="FW127" s="91" t="str">
        <f t="shared" si="3"/>
      </c>
      <c r="FX127" s="91" t="str">
        <f t="shared" si="3"/>
      </c>
      <c r="FY127" s="91" t="str">
        <f t="shared" si="3"/>
      </c>
      <c r="FZ127" s="91" t="str">
        <f t="shared" si="3"/>
      </c>
      <c r="GA127" s="91" t="str">
        <f t="shared" si="3"/>
      </c>
      <c r="GB127" s="91" t="str">
        <f t="shared" si="3"/>
      </c>
      <c r="GC127" s="91" t="str">
        <f t="shared" si="3"/>
      </c>
      <c r="GD127" s="91" t="str">
        <f t="shared" si="3"/>
      </c>
      <c r="GE127" s="91" t="str">
        <f t="shared" si="3"/>
      </c>
      <c r="GF127" s="91" t="str">
        <f t="shared" si="3"/>
      </c>
      <c r="GG127" s="91" t="str">
        <f t="shared" si="3"/>
      </c>
      <c r="GH127" s="91" t="str">
        <f t="shared" si="3"/>
      </c>
      <c r="GI127" s="91" t="str">
        <f t="shared" si="3"/>
      </c>
      <c r="GJ127" s="91" t="str">
        <f t="shared" si="3"/>
      </c>
      <c r="GK127" s="91" t="str">
        <f t="shared" si="3"/>
      </c>
      <c r="GL127" s="91" t="str">
        <f t="shared" si="3"/>
      </c>
      <c r="GM127" s="91" t="str">
        <f t="shared" si="3"/>
      </c>
      <c r="GN127" s="91" t="str">
        <f t="shared" si="3"/>
      </c>
      <c r="GO127" s="91" t="str">
        <f t="shared" si="3"/>
      </c>
      <c r="GP127" s="91" t="str">
        <f t="shared" si="3"/>
      </c>
      <c r="GQ127" s="91" t="str">
        <f t="shared" si="3"/>
      </c>
      <c r="GR127" s="91" t="str">
        <f t="shared" si="3"/>
      </c>
      <c r="GS127" s="91" t="str">
        <f t="shared" si="3"/>
      </c>
      <c r="GT127" s="91" t="str">
        <f t="shared" si="3"/>
      </c>
      <c r="GU127" s="91" t="str">
        <f t="shared" si="3"/>
      </c>
      <c r="GV127" s="91" t="str">
        <f t="shared" si="3"/>
      </c>
      <c r="GW127" s="91" t="str">
        <f t="shared" si="3"/>
      </c>
      <c r="GX127" s="91" t="str">
        <f t="shared" si="3"/>
      </c>
      <c r="GY127" s="91" t="str">
        <f t="shared" si="3"/>
      </c>
      <c r="GZ127" s="91" t="str">
        <f t="shared" si="3"/>
      </c>
      <c r="HA127" s="91" t="str">
        <f t="shared" si="3"/>
      </c>
      <c r="HB127" s="91" t="str">
        <f t="shared" si="3"/>
      </c>
      <c r="HC127" s="91" t="str">
        <f t="shared" si="3"/>
      </c>
      <c r="HD127" s="91" t="str">
        <f t="shared" si="3"/>
      </c>
      <c r="HE127" s="91" t="str">
        <f t="shared" si="3"/>
      </c>
      <c r="HF127" s="91" t="str">
        <f t="shared" si="3"/>
      </c>
      <c r="HG127" s="91" t="str">
        <f t="shared" si="3"/>
      </c>
      <c r="HH127" s="91" t="str">
        <f t="shared" si="3"/>
      </c>
      <c r="HI127" s="91" t="str">
        <f t="shared" si="3"/>
      </c>
      <c r="HJ127" s="91" t="str">
        <f t="shared" si="3"/>
      </c>
      <c r="HK127" s="91" t="str">
        <f t="shared" si="3"/>
      </c>
      <c r="HL127" s="91" t="str">
        <f t="shared" si="3"/>
      </c>
      <c r="HM127" s="91" t="str">
        <f ref="HM127:IV127" t="shared" si="4">IF(SUM(HM108:HM126)&lt;&gt;0,SUM(HM108:HM126),"")</f>
      </c>
      <c r="HN127" s="91" t="str">
        <f t="shared" si="4"/>
      </c>
      <c r="HO127" s="91" t="str">
        <f t="shared" si="4"/>
      </c>
      <c r="HP127" s="91" t="str">
        <f t="shared" si="4"/>
      </c>
      <c r="HQ127" s="91" t="str">
        <f t="shared" si="4"/>
      </c>
      <c r="HR127" s="91" t="str">
        <f t="shared" si="4"/>
      </c>
      <c r="HS127" s="91" t="str">
        <f t="shared" si="4"/>
      </c>
      <c r="HT127" s="91" t="str">
        <f t="shared" si="4"/>
      </c>
      <c r="HU127" s="91" t="str">
        <f t="shared" si="4"/>
      </c>
      <c r="HV127" s="91" t="str">
        <f t="shared" si="4"/>
      </c>
      <c r="HW127" s="91" t="str">
        <f t="shared" si="4"/>
      </c>
      <c r="HX127" s="91" t="str">
        <f t="shared" si="4"/>
      </c>
      <c r="HY127" s="91" t="str">
        <f t="shared" si="4"/>
      </c>
      <c r="HZ127" s="91" t="str">
        <f t="shared" si="4"/>
      </c>
      <c r="IA127" s="91" t="str">
        <f t="shared" si="4"/>
      </c>
      <c r="IB127" s="91" t="str">
        <f t="shared" si="4"/>
      </c>
      <c r="IC127" s="91" t="str">
        <f t="shared" si="4"/>
      </c>
      <c r="ID127" s="91" t="str">
        <f t="shared" si="4"/>
      </c>
      <c r="IE127" s="91" t="str">
        <f t="shared" si="4"/>
      </c>
      <c r="IF127" s="91" t="str">
        <f t="shared" si="4"/>
      </c>
      <c r="IG127" s="91" t="str">
        <f t="shared" si="4"/>
      </c>
      <c r="IH127" s="91" t="str">
        <f t="shared" si="4"/>
      </c>
      <c r="II127" s="91" t="str">
        <f t="shared" si="4"/>
      </c>
      <c r="IJ127" s="91" t="str">
        <f t="shared" si="4"/>
      </c>
      <c r="IK127" s="91" t="str">
        <f t="shared" si="4"/>
      </c>
      <c r="IL127" s="91" t="str">
        <f t="shared" si="4"/>
      </c>
      <c r="IM127" s="91" t="str">
        <f t="shared" si="4"/>
      </c>
      <c r="IN127" s="91" t="str">
        <f t="shared" si="4"/>
      </c>
      <c r="IO127" s="91" t="str">
        <f t="shared" si="4"/>
      </c>
      <c r="IP127" s="91" t="str">
        <f t="shared" si="4"/>
      </c>
      <c r="IQ127" s="91" t="str">
        <f t="shared" si="4"/>
      </c>
      <c r="IR127" s="91" t="str">
        <f t="shared" si="4"/>
      </c>
      <c r="IS127" s="91" t="str">
        <f t="shared" si="4"/>
      </c>
      <c r="IT127" s="91" t="str">
        <f t="shared" si="4"/>
      </c>
      <c r="IU127" s="91" t="str">
        <f t="shared" si="4"/>
      </c>
      <c r="IV127" s="91" t="str">
        <f t="shared" si="4"/>
      </c>
    </row>
    <row r="128" hidden="1" ht="13.5">
      <c r="M128" s="50"/>
    </row>
    <row r="129" hidden="1" ht="13.5">
      <c r="C129" s="686" t="s">
        <v>108</v>
      </c>
      <c r="D129" s="687"/>
      <c r="E129" s="687"/>
      <c r="F129" s="687"/>
      <c r="G129" s="687"/>
      <c r="H129" s="687"/>
      <c r="I129" s="687"/>
      <c r="J129" s="687"/>
      <c r="K129" s="687"/>
      <c r="L129" s="687"/>
      <c r="M129" s="687"/>
      <c r="N129" s="687"/>
      <c r="O129" s="687"/>
      <c r="P129" s="687"/>
      <c r="Q129" s="687"/>
      <c r="R129" s="687"/>
      <c r="S129" s="687"/>
      <c r="T129" s="687"/>
      <c r="U129" s="687"/>
      <c r="V129" s="687"/>
      <c r="W129" s="687"/>
      <c r="X129" s="687"/>
      <c r="Y129" s="687"/>
      <c r="Z129" s="687"/>
      <c r="AA129" s="687"/>
      <c r="AB129" s="688"/>
    </row>
    <row r="130" hidden="1" ht="15" customHeight="1">
      <c r="C130" s="435" t="str">
        <f> IF(C150&lt;&gt;"",TEXT(AUX!G$1,"dd-MMM-aa"),"")</f>
      </c>
      <c r="D130" s="435" t="str">
        <f> IF(D150&lt;&gt;"",TEXT(AUX!H$1,"dd-MMM-aa"),"")</f>
      </c>
      <c r="E130" s="435" t="str">
        <f> IF(E150&lt;&gt;"",TEXT(AUX!I$1,"dd-MMM-aa"),"")</f>
      </c>
      <c r="F130" s="435" t="str">
        <f> IF(F150&lt;&gt;"",TEXT(AUX!J$1,"dd-MMM-aa"),"")</f>
      </c>
      <c r="G130" s="435" t="str">
        <f> IF(G150&lt;&gt;"",TEXT(AUX!K$1,"dd-MMM-aa"),"")</f>
      </c>
      <c r="H130" s="435" t="str">
        <f> IF(H150&lt;&gt;"",TEXT(AUX!L$1,"dd-MMM-aa"),"")</f>
      </c>
      <c r="I130" s="435" t="str">
        <f> IF(I150&lt;&gt;"",TEXT(AUX!M$1,"dd-MMM-aa"),"")</f>
      </c>
      <c r="J130" s="435" t="str">
        <f> IF(J150&lt;&gt;"",TEXT(AUX!N$1,"dd-MMM-aa"),"")</f>
      </c>
      <c r="K130" s="435" t="str">
        <f> IF(K150&lt;&gt;"",TEXT(AUX!O$1,"dd-MMM-aa"),"")</f>
      </c>
      <c r="L130" s="435" t="str">
        <f> IF(L150&lt;&gt;"",TEXT(AUX!P$1,"dd-MMM-aa"),"")</f>
      </c>
      <c r="M130" s="435" t="str">
        <f> IF(M150&lt;&gt;"",TEXT(AUX!Q$1,"dd-MMM-aa"),"")</f>
      </c>
      <c r="N130" s="435" t="str">
        <f> IF(N150&lt;&gt;"",TEXT(AUX!R$1,"dd-MMM-aa"),"")</f>
      </c>
      <c r="O130" s="435" t="str">
        <f> IF(O150&lt;&gt;"",TEXT(AUX!S$1,"dd-MMM-aa"),"")</f>
      </c>
      <c r="P130" s="435" t="str">
        <f> IF(P150&lt;&gt;"",TEXT(AUX!T$1,"dd-MMM-aa"),"")</f>
      </c>
      <c r="Q130" s="435" t="str">
        <f> IF(Q150&lt;&gt;"",TEXT(AUX!U$1,"dd-MMM-aa"),"")</f>
      </c>
      <c r="R130" s="435" t="str">
        <f> IF(R150&lt;&gt;"",TEXT(AUX!V$1,"dd-MMM-aa"),"")</f>
      </c>
      <c r="S130" s="435" t="str">
        <f> IF(S150&lt;&gt;"",TEXT(AUX!W$1,"dd-MMM-aa"),"")</f>
      </c>
      <c r="T130" s="435" t="str">
        <f> IF(T150&lt;&gt;"",TEXT(AUX!X$1,"dd-MMM-aa"),"")</f>
      </c>
      <c r="U130" s="435" t="str">
        <f> IF(U150&lt;&gt;"",TEXT(AUX!Y$1,"dd-MMM-aa"),"")</f>
      </c>
      <c r="V130" s="435" t="str">
        <f> IF(V150&lt;&gt;"",TEXT(AUX!Z$1,"dd-MMM-aa"),"")</f>
      </c>
      <c r="W130" s="435" t="str">
        <f> IF(W150&lt;&gt;"",TEXT(AUX!AA$1,"dd-MMM-aa"),"")</f>
      </c>
      <c r="X130" s="435" t="str">
        <f> IF(X150&lt;&gt;"",TEXT(AUX!AB$1,"dd-MMM-aa"),"")</f>
      </c>
      <c r="Y130" s="435" t="str">
        <f> IF(Y150&lt;&gt;"",TEXT(AUX!AC$1,"dd-MMM-aa"),"")</f>
      </c>
      <c r="Z130" s="435" t="str">
        <f> IF(Z150&lt;&gt;"",TEXT(AUX!AD$1,"dd-MMM-aa"),"")</f>
      </c>
      <c r="AA130" s="435" t="str">
        <f> IF(AA150&lt;&gt;"",TEXT(AUX!AE$1,"dd-MMM-aa"),"")</f>
      </c>
      <c r="AB130" s="497" t="str">
        <f> IF(AB150&lt;&gt;"",TEXT(AUX!AF$1,"dd-MMM-aa"),"")</f>
      </c>
      <c r="AC130" s="496" t="str">
        <f> IF(AC150&lt;&gt;"",TEXT(AUX!AG$1,"dd-MMM-aa"),"")</f>
      </c>
      <c r="AD130" s="496" t="str">
        <f> IF(AD150&lt;&gt;"",TEXT(AUX!AH$1,"dd-MMM-aa"),"")</f>
      </c>
      <c r="AE130" s="496" t="str">
        <f> IF(AE150&lt;&gt;"",TEXT(AUX!AI$1,"dd-MMM-aa"),"")</f>
      </c>
      <c r="AF130" s="496" t="str">
        <f> IF(AF150&lt;&gt;"",TEXT(AUX!AJ$1,"dd-MMM-aa"),"")</f>
      </c>
      <c r="AG130" s="496" t="str">
        <f> IF(AG150&lt;&gt;"",TEXT(AUX!AK$1,"dd-MMM-aa"),"")</f>
      </c>
      <c r="AH130" s="496" t="str">
        <f> IF(AH150&lt;&gt;"",TEXT(AUX!AL$1,"dd-MMM-aa"),"")</f>
      </c>
      <c r="AI130" s="496" t="str">
        <f> IF(AI150&lt;&gt;"",TEXT(AUX!AM$1,"dd-MMM-aa"),"")</f>
      </c>
      <c r="AJ130" s="496" t="str">
        <f> IF(AJ150&lt;&gt;"",TEXT(AUX!AN$1,"dd-MMM-aa"),"")</f>
      </c>
      <c r="AK130" s="496" t="str">
        <f> IF(AK150&lt;&gt;"",TEXT(AUX!AO$1,"dd-MMM-aa"),"")</f>
      </c>
      <c r="AL130" s="496" t="str">
        <f> IF(AL150&lt;&gt;"",TEXT(AUX!AP$1,"dd-MMM-aa"),"")</f>
      </c>
      <c r="AM130" s="496" t="str">
        <f> IF(AM150&lt;&gt;"",TEXT(AUX!AQ$1,"dd-MMM-aa"),"")</f>
      </c>
      <c r="AN130" s="496" t="str">
        <f> IF(AN150&lt;&gt;"",TEXT(AUX!AR$1,"dd-MMM-aa"),"")</f>
      </c>
      <c r="AO130" s="496" t="str">
        <f> IF(AO150&lt;&gt;"",TEXT(AUX!AS$1,"dd-MMM-aa"),"")</f>
      </c>
      <c r="AP130" s="496" t="str">
        <f> IF(AP150&lt;&gt;"",TEXT(AUX!AT$1,"dd-MMM-aa"),"")</f>
      </c>
      <c r="AQ130" s="496" t="str">
        <f> IF(AQ150&lt;&gt;"",TEXT(AUX!AU$1,"dd-MMM-aa"),"")</f>
      </c>
      <c r="AR130" s="496" t="str">
        <f> IF(AR150&lt;&gt;"",TEXT(AUX!AV$1,"dd-MMM-aa"),"")</f>
      </c>
      <c r="AS130" s="496" t="str">
        <f> IF(AS150&lt;&gt;"",TEXT(AUX!AW$1,"dd-MMM-aa"),"")</f>
      </c>
      <c r="AT130" s="496" t="str">
        <f> IF(AT150&lt;&gt;"",TEXT(AUX!AX$1,"dd-MMM-aa"),"")</f>
      </c>
      <c r="AU130" s="496" t="str">
        <f> IF(AU150&lt;&gt;"",TEXT(AUX!AY$1,"dd-MMM-aa"),"")</f>
      </c>
      <c r="AV130" s="496" t="str">
        <f> IF(AV150&lt;&gt;"",TEXT(AUX!AZ$1,"dd-MMM-aa"),"")</f>
      </c>
      <c r="AW130" s="496" t="str">
        <f> IF(AW150&lt;&gt;"",TEXT(AUX!BA$1,"dd-MMM-aa"),"")</f>
      </c>
      <c r="AX130" s="496" t="str">
        <f> IF(AX150&lt;&gt;"",TEXT(AUX!BB$1,"dd-MMM-aa"),"")</f>
      </c>
      <c r="AY130" s="496" t="str">
        <f> IF(AY150&lt;&gt;"",TEXT(AUX!BC$1,"dd-MMM-aa"),"")</f>
      </c>
      <c r="AZ130" s="496" t="str">
        <f> IF(AZ150&lt;&gt;"",TEXT(AUX!BD$1,"dd-MMM-aa"),"")</f>
      </c>
      <c r="BA130" s="496" t="str">
        <f> IF(BA150&lt;&gt;"",TEXT(AUX!BE$1,"dd-MMM-aa"),"")</f>
      </c>
      <c r="BB130" s="496" t="str">
        <f> IF(BB150&lt;&gt;"",TEXT(AUX!BF$1,"dd-MMM-aa"),"")</f>
      </c>
      <c r="BC130" s="496" t="str">
        <f> IF(BC150&lt;&gt;"",TEXT(AUX!BG$1,"dd-MMM-aa"),"")</f>
      </c>
      <c r="BD130" s="496" t="str">
        <f> IF(BD150&lt;&gt;"",TEXT(AUX!BH$1,"dd-MMM-aa"),"")</f>
      </c>
      <c r="BE130" s="496" t="str">
        <f> IF(BE150&lt;&gt;"",TEXT(AUX!BI$1,"dd-MMM-aa"),"")</f>
      </c>
      <c r="BF130" s="496" t="str">
        <f> IF(BF150&lt;&gt;"",TEXT(AUX!BJ$1,"dd-MMM-aa"),"")</f>
      </c>
      <c r="BG130" s="496" t="str">
        <f> IF(BG150&lt;&gt;"",TEXT(AUX!BK$1,"dd-MMM-aa"),"")</f>
      </c>
      <c r="BH130" s="496" t="str">
        <f> IF(BH150&lt;&gt;"",TEXT(AUX!BL$1,"dd-MMM-aa"),"")</f>
      </c>
      <c r="BI130" s="496" t="str">
        <f> IF(BI150&lt;&gt;"",TEXT(AUX!BM$1,"dd-MMM-aa"),"")</f>
      </c>
      <c r="BJ130" s="496" t="str">
        <f> IF(BJ150&lt;&gt;"",TEXT(AUX!BN$1,"dd-MMM-aa"),"")</f>
      </c>
      <c r="BK130" s="496" t="str">
        <f> IF(BK150&lt;&gt;"",TEXT(AUX!BO$1,"dd-MMM-aa"),"")</f>
      </c>
      <c r="BL130" s="496" t="str">
        <f> IF(BL150&lt;&gt;"",TEXT(AUX!BP$1,"dd-MMM-aa"),"")</f>
      </c>
      <c r="BM130" s="496" t="str">
        <f> IF(BM150&lt;&gt;"",TEXT(AUX!BQ$1,"dd-MMM-aa"),"")</f>
      </c>
      <c r="BN130" s="496" t="str">
        <f> IF(BN150&lt;&gt;"",TEXT(AUX!BR$1,"dd-MMM-aa"),"")</f>
      </c>
      <c r="BO130" s="496" t="str">
        <f> IF(BO150&lt;&gt;"",TEXT(AUX!BS$1,"dd-MMM-aa"),"")</f>
      </c>
      <c r="BP130" s="496" t="str">
        <f> IF(BP150&lt;&gt;"",TEXT(AUX!BT$1,"dd-MMM-aa"),"")</f>
      </c>
      <c r="BQ130" s="496" t="str">
        <f> IF(BQ150&lt;&gt;"",TEXT(AUX!BU$1,"dd-MMM-aa"),"")</f>
      </c>
      <c r="BR130" s="496" t="str">
        <f> IF(BR150&lt;&gt;"",TEXT(AUX!BV$1,"dd-MMM-aa"),"")</f>
      </c>
      <c r="BS130" s="496" t="str">
        <f> IF(BS150&lt;&gt;"",TEXT(AUX!BW$1,"dd-MMM-aa"),"")</f>
      </c>
      <c r="BT130" s="496" t="str">
        <f> IF(BT150&lt;&gt;"",TEXT(AUX!BX$1,"dd-MMM-aa"),"")</f>
      </c>
      <c r="BU130" s="496" t="str">
        <f> IF(BU150&lt;&gt;"",TEXT(AUX!BY$1,"dd-MMM-aa"),"")</f>
      </c>
      <c r="BV130" s="496" t="str">
        <f> IF(BV150&lt;&gt;"",TEXT(AUX!BZ$1,"dd-MMM-aa"),"")</f>
      </c>
      <c r="BW130" s="496" t="str">
        <f> IF(BW150&lt;&gt;"",TEXT(AUX!CA$1,"dd-MMM-aa"),"")</f>
      </c>
      <c r="BX130" s="496" t="str">
        <f> IF(BX150&lt;&gt;"",TEXT(AUX!CB$1,"dd-MMM-aa"),"")</f>
      </c>
      <c r="BY130" s="496" t="str">
        <f> IF(BY150&lt;&gt;"",TEXT(AUX!CC$1,"dd-MMM-aa"),"")</f>
      </c>
      <c r="BZ130" s="496" t="str">
        <f> IF(BZ150&lt;&gt;"",TEXT(AUX!CD$1,"dd-MMM-aa"),"")</f>
      </c>
      <c r="CA130" s="496" t="str">
        <f> IF(CA150&lt;&gt;"",TEXT(AUX!CE$1,"dd-MMM-aa"),"")</f>
      </c>
      <c r="CB130" s="496" t="str">
        <f> IF(CB150&lt;&gt;"",TEXT(AUX!CF$1,"dd-MMM-aa"),"")</f>
      </c>
      <c r="CC130" s="496" t="str">
        <f> IF(CC150&lt;&gt;"",TEXT(AUX!CG$1,"dd-MMM-aa"),"")</f>
      </c>
      <c r="CD130" s="496" t="str">
        <f> IF(CD150&lt;&gt;"",TEXT(AUX!CH$1,"dd-MMM-aa"),"")</f>
      </c>
      <c r="CE130" s="496" t="str">
        <f> IF(CE150&lt;&gt;"",TEXT(AUX!CI$1,"dd-MMM-aa"),"")</f>
      </c>
      <c r="CF130" s="496" t="str">
        <f> IF(CF150&lt;&gt;"",TEXT(AUX!CJ$1,"dd-MMM-aa"),"")</f>
      </c>
      <c r="CG130" s="496" t="str">
        <f> IF(CG150&lt;&gt;"",TEXT(AUX!CK$1,"dd-MMM-aa"),"")</f>
      </c>
      <c r="CH130" s="496" t="str">
        <f> IF(CH150&lt;&gt;"",TEXT(AUX!CL$1,"dd-MMM-aa"),"")</f>
      </c>
      <c r="CI130" s="496" t="str">
        <f> IF(CI150&lt;&gt;"",TEXT(AUX!CM$1,"dd-MMM-aa"),"")</f>
      </c>
      <c r="CJ130" s="496" t="str">
        <f> IF(CJ150&lt;&gt;"",TEXT(AUX!CN$1,"dd-MMM-aa"),"")</f>
      </c>
      <c r="CK130" s="496" t="str">
        <f> IF(CK150&lt;&gt;"",TEXT(AUX!CO$1,"dd-MMM-aa"),"")</f>
      </c>
      <c r="CL130" s="496" t="str">
        <f> IF(CL150&lt;&gt;"",TEXT(AUX!CP$1,"dd-MMM-aa"),"")</f>
      </c>
      <c r="CM130" s="496" t="str">
        <f> IF(CM150&lt;&gt;"",TEXT(AUX!CQ$1,"dd-MMM-aa"),"")</f>
      </c>
      <c r="CN130" s="496" t="str">
        <f> IF(CN150&lt;&gt;"",TEXT(AUX!CR$1,"dd-MMM-aa"),"")</f>
      </c>
      <c r="CO130" s="496" t="str">
        <f> IF(CO150&lt;&gt;"",TEXT(AUX!CS$1,"dd-MMM-aa"),"")</f>
      </c>
      <c r="CP130" s="496" t="str">
        <f> IF(CP150&lt;&gt;"",TEXT(AUX!CT$1,"dd-MMM-aa"),"")</f>
      </c>
      <c r="CQ130" s="496" t="str">
        <f> IF(CQ150&lt;&gt;"",TEXT(AUX!CU$1,"dd-MMM-aa"),"")</f>
      </c>
      <c r="CR130" s="496" t="str">
        <f> IF(CR150&lt;&gt;"",TEXT(AUX!CV$1,"dd-MMM-aa"),"")</f>
      </c>
      <c r="CS130" s="496" t="str">
        <f> IF(CS150&lt;&gt;"",TEXT(AUX!CW$1,"dd-MMM-aa"),"")</f>
      </c>
      <c r="CT130" s="496" t="str">
        <f> IF(CT150&lt;&gt;"",TEXT(AUX!CX$1,"dd-MMM-aa"),"")</f>
      </c>
      <c r="CU130" s="496" t="str">
        <f> IF(CU150&lt;&gt;"",TEXT(AUX!CY$1,"dd-MMM-aa"),"")</f>
      </c>
      <c r="CV130" s="496" t="str">
        <f> IF(CV150&lt;&gt;"",TEXT(AUX!CZ$1,"dd-MMM-aa"),"")</f>
      </c>
      <c r="CW130" s="496" t="str">
        <f> IF(CW150&lt;&gt;"",TEXT(AUX!DA$1,"dd-MMM-aa"),"")</f>
      </c>
      <c r="CX130" s="496" t="str">
        <f> IF(CX150&lt;&gt;"",TEXT(AUX!DB$1,"dd-MMM-aa"),"")</f>
      </c>
      <c r="CY130" s="496" t="str">
        <f> IF(CY150&lt;&gt;"",TEXT(AUX!DC$1,"dd-MMM-aa"),"")</f>
      </c>
      <c r="CZ130" s="496" t="str">
        <f> IF(CZ150&lt;&gt;"",TEXT(AUX!DD$1,"dd-MMM-aa"),"")</f>
      </c>
      <c r="DA130" s="496" t="str">
        <f> IF(DA150&lt;&gt;"",TEXT(AUX!DE$1,"dd-MMM-aa"),"")</f>
      </c>
      <c r="DB130" s="496" t="str">
        <f> IF(DB150&lt;&gt;"",TEXT(AUX!DF$1,"dd-MMM-aa"),"")</f>
      </c>
      <c r="DC130" s="496" t="str">
        <f> IF(DC150&lt;&gt;"",TEXT(AUX!DG$1,"dd-MMM-aa"),"")</f>
      </c>
      <c r="DD130" s="496" t="str">
        <f> IF(DD150&lt;&gt;"",TEXT(AUX!DH$1,"dd-MMM-aa"),"")</f>
      </c>
      <c r="DE130" s="496" t="str">
        <f> IF(DE150&lt;&gt;"",TEXT(AUX!DI$1,"dd-MMM-aa"),"")</f>
      </c>
      <c r="DF130" s="496" t="str">
        <f> IF(DF150&lt;&gt;"",TEXT(AUX!DJ$1,"dd-MMM-aa"),"")</f>
      </c>
      <c r="DG130" s="496" t="str">
        <f> IF(DG150&lt;&gt;"",TEXT(AUX!DK$1,"dd-MMM-aa"),"")</f>
      </c>
      <c r="DH130" s="496" t="str">
        <f> IF(DH150&lt;&gt;"",TEXT(AUX!DL$1,"dd-MMM-aa"),"")</f>
      </c>
      <c r="DI130" s="496" t="str">
        <f> IF(DI150&lt;&gt;"",TEXT(AUX!DM$1,"dd-MMM-aa"),"")</f>
      </c>
      <c r="DJ130" s="496" t="str">
        <f> IF(DJ150&lt;&gt;"",TEXT(AUX!DN$1,"dd-MMM-aa"),"")</f>
      </c>
      <c r="DK130" s="496" t="str">
        <f> IF(DK150&lt;&gt;"",TEXT(AUX!DO$1,"dd-MMM-aa"),"")</f>
      </c>
      <c r="DL130" s="496" t="str">
        <f> IF(DL150&lt;&gt;"",TEXT(AUX!DP$1,"dd-MMM-aa"),"")</f>
      </c>
      <c r="DM130" s="496" t="str">
        <f> IF(DM150&lt;&gt;"",TEXT(AUX!DQ$1,"dd-MMM-aa"),"")</f>
      </c>
      <c r="DN130" s="496" t="str">
        <f> IF(DN150&lt;&gt;"",TEXT(AUX!DR$1,"dd-MMM-aa"),"")</f>
      </c>
      <c r="DO130" s="496" t="str">
        <f> IF(DO150&lt;&gt;"",TEXT(AUX!DS$1,"dd-MMM-aa"),"")</f>
      </c>
      <c r="DP130" s="496" t="str">
        <f> IF(DP150&lt;&gt;"",TEXT(AUX!DT$1,"dd-MMM-aa"),"")</f>
      </c>
      <c r="DQ130" s="496" t="str">
        <f> IF(DQ150&lt;&gt;"",TEXT(AUX!DU$1,"dd-MMM-aa"),"")</f>
      </c>
      <c r="DR130" s="496" t="str">
        <f> IF(DR150&lt;&gt;"",TEXT(AUX!DV$1,"dd-MMM-aa"),"")</f>
      </c>
      <c r="DS130" s="496" t="str">
        <f> IF(DS150&lt;&gt;"",TEXT(AUX!DW$1,"dd-MMM-aa"),"")</f>
      </c>
      <c r="DT130" s="496" t="str">
        <f> IF(DT150&lt;&gt;"",TEXT(AUX!DX$1,"dd-MMM-aa"),"")</f>
      </c>
      <c r="DU130" s="496" t="str">
        <f> IF(DU150&lt;&gt;"",TEXT(AUX!DY$1,"dd-MMM-aa"),"")</f>
      </c>
      <c r="DV130" s="496" t="str">
        <f> IF(DV150&lt;&gt;"",TEXT(AUX!DZ$1,"dd-MMM-aa"),"")</f>
      </c>
      <c r="DW130" s="496" t="str">
        <f> IF(DW150&lt;&gt;"",TEXT(AUX!EA$1,"dd-MMM-aa"),"")</f>
      </c>
      <c r="DX130" s="496" t="str">
        <f> IF(DX150&lt;&gt;"",TEXT(AUX!EB$1,"dd-MMM-aa"),"")</f>
      </c>
      <c r="DY130" s="496" t="str">
        <f> IF(DY150&lt;&gt;"",TEXT(AUX!EC$1,"dd-MMM-aa"),"")</f>
      </c>
      <c r="DZ130" s="496" t="str">
        <f> IF(DZ150&lt;&gt;"",TEXT(AUX!ED$1,"dd-MMM-aa"),"")</f>
      </c>
      <c r="EA130" s="496" t="str">
        <f> IF(EA150&lt;&gt;"",TEXT(AUX!EE$1,"dd-MMM-aa"),"")</f>
      </c>
      <c r="EB130" s="496" t="str">
        <f> IF(EB150&lt;&gt;"",TEXT(AUX!EF$1,"dd-MMM-aa"),"")</f>
      </c>
      <c r="EC130" s="496" t="str">
        <f> IF(EC150&lt;&gt;"",TEXT(AUX!EG$1,"dd-MMM-aa"),"")</f>
      </c>
      <c r="ED130" s="496" t="str">
        <f> IF(ED150&lt;&gt;"",TEXT(AUX!EH$1,"dd-MMM-aa"),"")</f>
      </c>
      <c r="EE130" s="496" t="str">
        <f> IF(EE150&lt;&gt;"",TEXT(AUX!EI$1,"dd-MMM-aa"),"")</f>
      </c>
      <c r="EF130" s="496" t="str">
        <f> IF(EF150&lt;&gt;"",TEXT(AUX!EJ$1,"dd-MMM-aa"),"")</f>
      </c>
      <c r="EG130" s="496" t="str">
        <f> IF(EG150&lt;&gt;"",TEXT(AUX!EK$1,"dd-MMM-aa"),"")</f>
      </c>
      <c r="EH130" s="496" t="str">
        <f> IF(EH150&lt;&gt;"",TEXT(AUX!EL$1,"dd-MMM-aa"),"")</f>
      </c>
      <c r="EI130" s="496" t="str">
        <f> IF(EI150&lt;&gt;"",TEXT(AUX!EM$1,"dd-MMM-aa"),"")</f>
      </c>
      <c r="EJ130" s="496" t="str">
        <f> IF(EJ150&lt;&gt;"",TEXT(AUX!EN$1,"dd-MMM-aa"),"")</f>
      </c>
      <c r="EK130" s="496" t="str">
        <f> IF(EK150&lt;&gt;"",TEXT(AUX!EO$1,"dd-MMM-aa"),"")</f>
      </c>
      <c r="EL130" s="496" t="str">
        <f> IF(EL150&lt;&gt;"",TEXT(AUX!EP$1,"dd-MMM-aa"),"")</f>
      </c>
      <c r="EM130" s="496" t="str">
        <f> IF(EM150&lt;&gt;"",TEXT(AUX!EQ$1,"dd-MMM-aa"),"")</f>
      </c>
      <c r="EN130" s="496" t="str">
        <f> IF(EN150&lt;&gt;"",TEXT(AUX!ER$1,"dd-MMM-aa"),"")</f>
      </c>
      <c r="EO130" s="496" t="str">
        <f> IF(EO150&lt;&gt;"",TEXT(AUX!ES$1,"dd-MMM-aa"),"")</f>
      </c>
      <c r="EP130" s="496" t="str">
        <f> IF(EP150&lt;&gt;"",TEXT(AUX!ET$1,"dd-MMM-aa"),"")</f>
      </c>
      <c r="EQ130" s="496" t="str">
        <f> IF(EQ150&lt;&gt;"",TEXT(AUX!EU$1,"dd-MMM-aa"),"")</f>
      </c>
      <c r="ER130" s="496" t="str">
        <f> IF(ER150&lt;&gt;"",TEXT(AUX!EV$1,"dd-MMM-aa"),"")</f>
      </c>
      <c r="ES130" s="496" t="str">
        <f> IF(ES150&lt;&gt;"",TEXT(AUX!EW$1,"dd-MMM-aa"),"")</f>
      </c>
      <c r="ET130" s="496" t="str">
        <f> IF(ET150&lt;&gt;"",TEXT(AUX!EX$1,"dd-MMM-aa"),"")</f>
      </c>
      <c r="EU130" s="496" t="str">
        <f> IF(EU150&lt;&gt;"",TEXT(AUX!EY$1,"dd-MMM-aa"),"")</f>
      </c>
      <c r="EV130" s="496" t="str">
        <f> IF(EV150&lt;&gt;"",TEXT(AUX!EZ$1,"dd-MMM-aa"),"")</f>
      </c>
      <c r="EW130" s="496" t="str">
        <f> IF(EW150&lt;&gt;"",TEXT(AUX!FA$1,"dd-MMM-aa"),"")</f>
      </c>
      <c r="EX130" s="496" t="str">
        <f> IF(EX150&lt;&gt;"",TEXT(AUX!FB$1,"dd-MMM-aa"),"")</f>
      </c>
      <c r="EY130" s="496" t="str">
        <f> IF(EY150&lt;&gt;"",TEXT(AUX!FC$1,"dd-MMM-aa"),"")</f>
      </c>
      <c r="EZ130" s="496" t="str">
        <f> IF(EZ150&lt;&gt;"",TEXT(AUX!FD$1,"dd-MMM-aa"),"")</f>
      </c>
      <c r="FA130" s="496" t="str">
        <f> IF(FA150&lt;&gt;"",TEXT(AUX!FE$1,"dd-MMM-aa"),"")</f>
      </c>
      <c r="FB130" s="496" t="str">
        <f> IF(FB150&lt;&gt;"",TEXT(AUX!FF$1,"dd-MMM-aa"),"")</f>
      </c>
      <c r="FC130" s="496" t="str">
        <f> IF(FC150&lt;&gt;"",TEXT(AUX!FG$1,"dd-MMM-aa"),"")</f>
      </c>
      <c r="FD130" s="496" t="str">
        <f> IF(FD150&lt;&gt;"",TEXT(AUX!FH$1,"dd-MMM-aa"),"")</f>
      </c>
      <c r="FE130" s="496" t="str">
        <f> IF(FE150&lt;&gt;"",TEXT(AUX!FI$1,"dd-MMM-aa"),"")</f>
      </c>
      <c r="FF130" s="496" t="str">
        <f> IF(FF150&lt;&gt;"",TEXT(AUX!FJ$1,"dd-MMM-aa"),"")</f>
      </c>
      <c r="FG130" s="496" t="str">
        <f> IF(FG150&lt;&gt;"",TEXT(AUX!FK$1,"dd-MMM-aa"),"")</f>
      </c>
      <c r="FH130" s="496" t="str">
        <f> IF(FH150&lt;&gt;"",TEXT(AUX!FL$1,"dd-MMM-aa"),"")</f>
      </c>
      <c r="FI130" s="496" t="str">
        <f> IF(FI150&lt;&gt;"",TEXT(AUX!FM$1,"dd-MMM-aa"),"")</f>
      </c>
      <c r="FJ130" s="496" t="str">
        <f> IF(FJ150&lt;&gt;"",TEXT(AUX!FN$1,"dd-MMM-aa"),"")</f>
      </c>
      <c r="FK130" s="496" t="str">
        <f> IF(FK150&lt;&gt;"",TEXT(AUX!FO$1,"dd-MMM-aa"),"")</f>
      </c>
      <c r="FL130" s="496" t="str">
        <f> IF(FL150&lt;&gt;"",TEXT(AUX!FP$1,"dd-MMM-aa"),"")</f>
      </c>
      <c r="FM130" s="496" t="str">
        <f> IF(FM150&lt;&gt;"",TEXT(AUX!FQ$1,"dd-MMM-aa"),"")</f>
      </c>
      <c r="FN130" s="496" t="str">
        <f> IF(FN150&lt;&gt;"",TEXT(AUX!FR$1,"dd-MMM-aa"),"")</f>
      </c>
      <c r="FO130" s="496" t="str">
        <f> IF(FO150&lt;&gt;"",TEXT(AUX!FS$1,"dd-MMM-aa"),"")</f>
      </c>
      <c r="FP130" s="496" t="str">
        <f> IF(FP150&lt;&gt;"",TEXT(AUX!FT$1,"dd-MMM-aa"),"")</f>
      </c>
      <c r="FQ130" s="496" t="str">
        <f> IF(FQ150&lt;&gt;"",TEXT(AUX!FU$1,"dd-MMM-aa"),"")</f>
      </c>
      <c r="FR130" s="496" t="str">
        <f> IF(FR150&lt;&gt;"",TEXT(AUX!FV$1,"dd-MMM-aa"),"")</f>
      </c>
      <c r="FS130" s="496" t="str">
        <f> IF(FS150&lt;&gt;"",TEXT(AUX!FW$1,"dd-MMM-aa"),"")</f>
      </c>
      <c r="FT130" s="496" t="str">
        <f> IF(FT150&lt;&gt;"",TEXT(AUX!FX$1,"dd-MMM-aa"),"")</f>
      </c>
      <c r="FU130" s="496" t="str">
        <f> IF(FU150&lt;&gt;"",TEXT(AUX!FY$1,"dd-MMM-aa"),"")</f>
      </c>
      <c r="FV130" s="496" t="str">
        <f> IF(FV150&lt;&gt;"",TEXT(AUX!FZ$1,"dd-MMM-aa"),"")</f>
      </c>
      <c r="FW130" s="496" t="str">
        <f> IF(FW150&lt;&gt;"",TEXT(AUX!GA$1,"dd-MMM-aa"),"")</f>
      </c>
      <c r="FX130" s="496" t="str">
        <f> IF(FX150&lt;&gt;"",TEXT(AUX!GB$1,"dd-MMM-aa"),"")</f>
      </c>
      <c r="FY130" s="496" t="str">
        <f> IF(FY150&lt;&gt;"",TEXT(AUX!GC$1,"dd-MMM-aa"),"")</f>
      </c>
      <c r="FZ130" s="496" t="str">
        <f> IF(FZ150&lt;&gt;"",TEXT(AUX!GD$1,"dd-MMM-aa"),"")</f>
      </c>
      <c r="GA130" s="496" t="str">
        <f> IF(GA150&lt;&gt;"",TEXT(AUX!GE$1,"dd-MMM-aa"),"")</f>
      </c>
      <c r="GB130" s="496" t="str">
        <f> IF(GB150&lt;&gt;"",TEXT(AUX!GF$1,"dd-MMM-aa"),"")</f>
      </c>
      <c r="GC130" s="496" t="str">
        <f> IF(GC150&lt;&gt;"",TEXT(AUX!GG$1,"dd-MMM-aa"),"")</f>
      </c>
      <c r="GD130" s="496" t="str">
        <f> IF(GD150&lt;&gt;"",TEXT(AUX!GH$1,"dd-MMM-aa"),"")</f>
      </c>
      <c r="GE130" s="496" t="str">
        <f> IF(GE150&lt;&gt;"",TEXT(AUX!GI$1,"dd-MMM-aa"),"")</f>
      </c>
      <c r="GF130" s="496" t="str">
        <f> IF(GF150&lt;&gt;"",TEXT(AUX!GJ$1,"dd-MMM-aa"),"")</f>
      </c>
      <c r="GG130" s="496" t="str">
        <f> IF(GG150&lt;&gt;"",TEXT(AUX!GK$1,"dd-MMM-aa"),"")</f>
      </c>
      <c r="GH130" s="496" t="str">
        <f> IF(GH150&lt;&gt;"",TEXT(AUX!GL$1,"dd-MMM-aa"),"")</f>
      </c>
      <c r="GI130" s="496" t="str">
        <f> IF(GI150&lt;&gt;"",TEXT(AUX!GM$1,"dd-MMM-aa"),"")</f>
      </c>
      <c r="GJ130" s="496" t="str">
        <f> IF(GJ150&lt;&gt;"",TEXT(AUX!GN$1,"dd-MMM-aa"),"")</f>
      </c>
      <c r="GK130" s="496" t="str">
        <f> IF(GK150&lt;&gt;"",TEXT(AUX!GO$1,"dd-MMM-aa"),"")</f>
      </c>
      <c r="GL130" s="496" t="str">
        <f> IF(GL150&lt;&gt;"",TEXT(AUX!GP$1,"dd-MMM-aa"),"")</f>
      </c>
      <c r="GM130" s="496" t="str">
        <f> IF(GM150&lt;&gt;"",TEXT(AUX!GQ$1,"dd-MMM-aa"),"")</f>
      </c>
      <c r="GN130" s="496" t="str">
        <f> IF(GN150&lt;&gt;"",TEXT(AUX!GR$1,"dd-MMM-aa"),"")</f>
      </c>
      <c r="GO130" s="496" t="str">
        <f> IF(GO150&lt;&gt;"",TEXT(AUX!GS$1,"dd-MMM-aa"),"")</f>
      </c>
      <c r="GP130" s="496" t="str">
        <f> IF(GP150&lt;&gt;"",TEXT(AUX!GT$1,"dd-MMM-aa"),"")</f>
      </c>
      <c r="GQ130" s="496" t="str">
        <f> IF(GQ150&lt;&gt;"",TEXT(AUX!GU$1,"dd-MMM-aa"),"")</f>
      </c>
      <c r="GR130" s="496" t="str">
        <f> IF(GR150&lt;&gt;"",TEXT(AUX!GV$1,"dd-MMM-aa"),"")</f>
      </c>
      <c r="GS130" s="496" t="str">
        <f> IF(GS150&lt;&gt;"",TEXT(AUX!GW$1,"dd-MMM-aa"),"")</f>
      </c>
      <c r="GT130" s="496" t="str">
        <f> IF(GT150&lt;&gt;"",TEXT(AUX!GX$1,"dd-MMM-aa"),"")</f>
      </c>
      <c r="GU130" s="496" t="str">
        <f> IF(GU150&lt;&gt;"",TEXT(AUX!GY$1,"dd-MMM-aa"),"")</f>
      </c>
      <c r="GV130" s="496" t="str">
        <f> IF(GV150&lt;&gt;"",TEXT(AUX!GZ$1,"dd-MMM-aa"),"")</f>
      </c>
      <c r="GW130" s="496" t="str">
        <f> IF(GW150&lt;&gt;"",TEXT(AUX!HA$1,"dd-MMM-aa"),"")</f>
      </c>
      <c r="GX130" s="496" t="str">
        <f> IF(GX150&lt;&gt;"",TEXT(AUX!HB$1,"dd-MMM-aa"),"")</f>
      </c>
      <c r="GY130" s="496" t="str">
        <f> IF(GY150&lt;&gt;"",TEXT(AUX!HC$1,"dd-MMM-aa"),"")</f>
      </c>
      <c r="GZ130" s="496" t="str">
        <f> IF(GZ150&lt;&gt;"",TEXT(AUX!HD$1,"dd-MMM-aa"),"")</f>
      </c>
      <c r="HA130" s="496" t="str">
        <f> IF(HA150&lt;&gt;"",TEXT(AUX!HE$1,"dd-MMM-aa"),"")</f>
      </c>
      <c r="HB130" s="496" t="str">
        <f> IF(HB150&lt;&gt;"",TEXT(AUX!HF$1,"dd-MMM-aa"),"")</f>
      </c>
      <c r="HC130" s="496" t="str">
        <f> IF(HC150&lt;&gt;"",TEXT(AUX!HG$1,"dd-MMM-aa"),"")</f>
      </c>
      <c r="HD130" s="496" t="str">
        <f> IF(HD150&lt;&gt;"",TEXT(AUX!HH$1,"dd-MMM-aa"),"")</f>
      </c>
      <c r="HE130" s="496" t="str">
        <f> IF(HE150&lt;&gt;"",TEXT(AUX!HI$1,"dd-MMM-aa"),"")</f>
      </c>
      <c r="HF130" s="496" t="str">
        <f> IF(HF150&lt;&gt;"",TEXT(AUX!HJ$1,"dd-MMM-aa"),"")</f>
      </c>
      <c r="HG130" s="496" t="str">
        <f> IF(HG150&lt;&gt;"",TEXT(AUX!HK$1,"dd-MMM-aa"),"")</f>
      </c>
      <c r="HH130" s="496" t="str">
        <f> IF(HH150&lt;&gt;"",TEXT(AUX!HL$1,"dd-MMM-aa"),"")</f>
      </c>
      <c r="HI130" s="496" t="str">
        <f> IF(HI150&lt;&gt;"",TEXT(AUX!HM$1,"dd-MMM-aa"),"")</f>
      </c>
      <c r="HJ130" s="496" t="str">
        <f> IF(HJ150&lt;&gt;"",TEXT(AUX!HN$1,"dd-MMM-aa"),"")</f>
      </c>
      <c r="HK130" s="496" t="str">
        <f> IF(HK150&lt;&gt;"",TEXT(AUX!HO$1,"dd-MMM-aa"),"")</f>
      </c>
      <c r="HL130" s="496" t="str">
        <f> IF(HL150&lt;&gt;"",TEXT(AUX!HP$1,"dd-MMM-aa"),"")</f>
      </c>
      <c r="HM130" s="496" t="str">
        <f> IF(HM150&lt;&gt;"",TEXT(AUX!HQ$1,"dd-MMM-aa"),"")</f>
      </c>
      <c r="HN130" s="496" t="str">
        <f> IF(HN150&lt;&gt;"",TEXT(AUX!HR$1,"dd-MMM-aa"),"")</f>
      </c>
      <c r="HO130" s="496" t="str">
        <f> IF(HO150&lt;&gt;"",TEXT(AUX!HS$1,"dd-MMM-aa"),"")</f>
      </c>
      <c r="HP130" s="496" t="str">
        <f> IF(HP150&lt;&gt;"",TEXT(AUX!HT$1,"dd-MMM-aa"),"")</f>
      </c>
      <c r="HQ130" s="496" t="str">
        <f> IF(HQ150&lt;&gt;"",TEXT(AUX!HU$1,"dd-MMM-aa"),"")</f>
      </c>
      <c r="HR130" s="496" t="str">
        <f> IF(HR150&lt;&gt;"",TEXT(AUX!HV$1,"dd-MMM-aa"),"")</f>
      </c>
      <c r="HS130" s="496" t="str">
        <f> IF(HS150&lt;&gt;"",TEXT(AUX!HW$1,"dd-MMM-aa"),"")</f>
      </c>
      <c r="HT130" s="496" t="str">
        <f> IF(HT150&lt;&gt;"",TEXT(AUX!HX$1,"dd-MMM-aa"),"")</f>
      </c>
      <c r="HU130" s="496" t="str">
        <f> IF(HU150&lt;&gt;"",TEXT(AUX!HY$1,"dd-MMM-aa"),"")</f>
      </c>
      <c r="HV130" s="496" t="str">
        <f> IF(HV150&lt;&gt;"",TEXT(AUX!HZ$1,"dd-MMM-aa"),"")</f>
      </c>
      <c r="HW130" s="496" t="str">
        <f> IF(HW150&lt;&gt;"",TEXT(AUX!IA$1,"dd-MMM-aa"),"")</f>
      </c>
      <c r="HX130" s="496" t="str">
        <f> IF(HX150&lt;&gt;"",TEXT(AUX!IB$1,"dd-MMM-aa"),"")</f>
      </c>
      <c r="HY130" s="496" t="str">
        <f> IF(HY150&lt;&gt;"",TEXT(AUX!IC$1,"dd-MMM-aa"),"")</f>
      </c>
      <c r="HZ130" s="496" t="str">
        <f> IF(HZ150&lt;&gt;"",TEXT(AUX!ID$1,"dd-MMM-aa"),"")</f>
      </c>
      <c r="IA130" s="496" t="str">
        <f> IF(IA150&lt;&gt;"",TEXT(AUX!IE$1,"dd-MMM-aa"),"")</f>
      </c>
      <c r="IB130" s="496" t="str">
        <f> IF(IB150&lt;&gt;"",TEXT(AUX!IF$1,"dd-MMM-aa"),"")</f>
      </c>
      <c r="IC130" s="496" t="str">
        <f> IF(IC150&lt;&gt;"",TEXT(AUX!IG$1,"dd-MMM-aa"),"")</f>
      </c>
      <c r="ID130" s="496" t="str">
        <f> IF(ID150&lt;&gt;"",TEXT(AUX!IH$1,"dd-MMM-aa"),"")</f>
      </c>
      <c r="IE130" s="496" t="str">
        <f> IF(IE150&lt;&gt;"",TEXT(AUX!II$1,"dd-MMM-aa"),"")</f>
      </c>
      <c r="IF130" s="496" t="str">
        <f> IF(IF150&lt;&gt;"",TEXT(AUX!IJ$1,"dd-MMM-aa"),"")</f>
      </c>
      <c r="IG130" s="496" t="str">
        <f> IF(IG150&lt;&gt;"",TEXT(AUX!IK$1,"dd-MMM-aa"),"")</f>
      </c>
      <c r="IH130" s="496" t="str">
        <f> IF(IH150&lt;&gt;"",TEXT(AUX!IL$1,"dd-MMM-aa"),"")</f>
      </c>
      <c r="II130" s="496" t="str">
        <f> IF(II150&lt;&gt;"",TEXT(AUX!IM$1,"dd-MMM-aa"),"")</f>
      </c>
      <c r="IJ130" s="496" t="str">
        <f> IF(IJ150&lt;&gt;"",TEXT(AUX!IN$1,"dd-MMM-aa"),"")</f>
      </c>
      <c r="IK130" s="496" t="str">
        <f> IF(IK150&lt;&gt;"",TEXT(AUX!IO$1,"dd-MMM-aa"),"")</f>
      </c>
      <c r="IL130" s="496" t="str">
        <f> IF(IL150&lt;&gt;"",TEXT(AUX!IP$1,"dd-MMM-aa"),"")</f>
      </c>
      <c r="IM130" s="496" t="str">
        <f> IF(IM150&lt;&gt;"",TEXT(AUX!IQ$1,"dd-MMM-aa"),"")</f>
      </c>
      <c r="IN130" s="496" t="str">
        <f> IF(IN150&lt;&gt;"",TEXT(AUX!IR$1,"dd-MMM-aa"),"")</f>
      </c>
      <c r="IO130" s="496" t="str">
        <f> IF(IO150&lt;&gt;"",TEXT(AUX!IS$1,"dd-MMM-aa"),"")</f>
      </c>
      <c r="IP130" s="496" t="str">
        <f> IF(IP150&lt;&gt;"",TEXT(AUX!IT$1,"dd-MMM-aa"),"")</f>
      </c>
      <c r="IQ130" s="496" t="str">
        <f> IF(IQ150&lt;&gt;"",TEXT(AUX!IU$1,"dd-MMM-aa"),"")</f>
      </c>
      <c r="IR130" s="496" t="str">
        <f> IF(IR150&lt;&gt;"",TEXT(AUX!IV$1,"dd-MMM-aa"),"")</f>
      </c>
      <c r="IS130" s="496" t="str">
        <f> IF(IS150&lt;&gt;"",TEXT(AUX!#REF!,"dd-MMM-aa"),"")</f>
      </c>
      <c r="IT130" s="496" t="str">
        <f> IF(IT150&lt;&gt;"",TEXT(AUX!#REF!,"dd-MMM-aa"),"")</f>
      </c>
      <c r="IU130" s="496" t="str">
        <f> IF(IU150&lt;&gt;"",TEXT(AUX!#REF!,"dd-MMM-aa"),"")</f>
      </c>
      <c r="IV130" s="496" t="str">
        <f> IF(IV150&lt;&gt;"",TEXT(AUX!#REF!,"dd-MMM-aa"),"")</f>
      </c>
    </row>
    <row r="131" hidden="1">
      <c r="B131" s="833" t="s">
        <v>8</v>
      </c>
      <c r="C131" s="827">
        <v>271</v>
      </c>
      <c r="D131" s="827">
        <v>278</v>
      </c>
      <c r="E131" s="827">
        <v>284</v>
      </c>
      <c r="F131" s="827">
        <v>289</v>
      </c>
      <c r="G131" s="827">
        <v>289</v>
      </c>
      <c r="H131" s="827">
        <v>354</v>
      </c>
      <c r="I131" s="827">
        <v>367</v>
      </c>
      <c r="J131" s="827">
        <v>377</v>
      </c>
      <c r="K131" s="827">
        <v>386</v>
      </c>
      <c r="L131" s="827">
        <v>404</v>
      </c>
      <c r="M131" s="827">
        <v>409</v>
      </c>
      <c r="N131" s="827">
        <v>411</v>
      </c>
      <c r="O131" s="827">
        <v>441</v>
      </c>
      <c r="P131" s="827">
        <v>461</v>
      </c>
      <c r="Q131" s="827">
        <v>474</v>
      </c>
      <c r="R131" s="827">
        <v>487</v>
      </c>
      <c r="S131" s="827">
        <v>494</v>
      </c>
      <c r="T131" s="827">
        <v>513</v>
      </c>
      <c r="U131" s="827">
        <v>498</v>
      </c>
      <c r="V131" s="827">
        <v>520</v>
      </c>
      <c r="W131" s="827">
        <v>525</v>
      </c>
      <c r="X131" s="827">
        <v>542</v>
      </c>
      <c r="Y131" s="827">
        <v>563</v>
      </c>
      <c r="Z131" s="827">
        <v>576</v>
      </c>
      <c r="AA131" s="827">
        <v>579</v>
      </c>
      <c r="AB131" s="834">
        <v>589</v>
      </c>
      <c r="AC131" s="828">
        <v>579</v>
      </c>
      <c r="AD131" s="828">
        <v>573</v>
      </c>
      <c r="AE131" s="828">
        <v>574</v>
      </c>
      <c r="AF131" s="828">
        <v>575</v>
      </c>
      <c r="AG131" s="828">
        <v>583</v>
      </c>
      <c r="AH131" s="828">
        <v>589</v>
      </c>
      <c r="AI131" s="828">
        <v>592</v>
      </c>
      <c r="AJ131" s="828">
        <v>600</v>
      </c>
      <c r="AK131" s="828">
        <v>605</v>
      </c>
      <c r="AL131" s="828">
        <v>605</v>
      </c>
      <c r="AM131" s="828">
        <v>551</v>
      </c>
      <c r="AN131" s="828">
        <v>560</v>
      </c>
      <c r="AO131" s="828">
        <v>557</v>
      </c>
      <c r="AP131" s="828">
        <v>551</v>
      </c>
    </row>
    <row r="132" hidden="1">
      <c r="B132" s="829" t="s">
        <v>9</v>
      </c>
      <c r="C132" s="823">
        <v>4</v>
      </c>
      <c r="D132" s="823">
        <v>5</v>
      </c>
      <c r="E132" s="823">
        <v>5</v>
      </c>
      <c r="F132" s="823">
        <v>5</v>
      </c>
      <c r="G132" s="823">
        <v>5</v>
      </c>
      <c r="H132" s="823">
        <v>4</v>
      </c>
      <c r="I132" s="823">
        <v>5</v>
      </c>
      <c r="J132" s="823">
        <v>5</v>
      </c>
      <c r="K132" s="823">
        <v>5</v>
      </c>
      <c r="L132" s="823">
        <v>7</v>
      </c>
      <c r="M132" s="823">
        <v>10</v>
      </c>
      <c r="N132" s="823">
        <v>13</v>
      </c>
      <c r="O132" s="823">
        <v>16</v>
      </c>
      <c r="P132" s="823">
        <v>19</v>
      </c>
      <c r="Q132" s="823">
        <v>20</v>
      </c>
      <c r="R132" s="823">
        <v>21</v>
      </c>
      <c r="S132" s="823">
        <v>20</v>
      </c>
      <c r="T132" s="823">
        <v>21</v>
      </c>
      <c r="U132" s="823">
        <v>20</v>
      </c>
      <c r="V132" s="823">
        <v>19</v>
      </c>
      <c r="W132" s="823">
        <v>21</v>
      </c>
      <c r="X132" s="823">
        <v>22</v>
      </c>
      <c r="Y132" s="823">
        <v>27</v>
      </c>
      <c r="Z132" s="823">
        <v>29</v>
      </c>
      <c r="AA132" s="823">
        <v>32</v>
      </c>
      <c r="AB132" s="823">
        <v>34</v>
      </c>
      <c r="AC132" s="825">
        <v>36</v>
      </c>
      <c r="AD132" s="825">
        <v>37</v>
      </c>
      <c r="AE132" s="825">
        <v>42</v>
      </c>
      <c r="AF132" s="825">
        <v>42</v>
      </c>
      <c r="AG132" s="825">
        <v>44</v>
      </c>
      <c r="AH132" s="825">
        <v>46</v>
      </c>
      <c r="AI132" s="825">
        <v>50</v>
      </c>
      <c r="AJ132" s="825">
        <v>50</v>
      </c>
      <c r="AK132" s="825">
        <v>49</v>
      </c>
      <c r="AL132" s="825">
        <v>50</v>
      </c>
      <c r="AM132" s="825">
        <v>47</v>
      </c>
      <c r="AN132" s="825">
        <v>46</v>
      </c>
      <c r="AO132" s="825">
        <v>49</v>
      </c>
      <c r="AP132" s="825">
        <v>49</v>
      </c>
    </row>
    <row r="133" hidden="1">
      <c r="B133" s="826" t="s">
        <v>10</v>
      </c>
      <c r="C133" s="827">
        <v>0</v>
      </c>
      <c r="D133" s="827">
        <v>0</v>
      </c>
      <c r="E133" s="827">
        <v>0</v>
      </c>
      <c r="F133" s="827">
        <v>0</v>
      </c>
      <c r="G133" s="827">
        <v>2</v>
      </c>
      <c r="H133" s="827">
        <v>12</v>
      </c>
      <c r="I133" s="827">
        <v>13</v>
      </c>
      <c r="J133" s="827">
        <v>18</v>
      </c>
      <c r="K133" s="827">
        <v>18</v>
      </c>
      <c r="L133" s="827">
        <v>24</v>
      </c>
      <c r="M133" s="827">
        <v>35</v>
      </c>
      <c r="N133" s="827">
        <v>38</v>
      </c>
      <c r="O133" s="827">
        <v>40</v>
      </c>
      <c r="P133" s="827">
        <v>42</v>
      </c>
      <c r="Q133" s="827">
        <v>45</v>
      </c>
      <c r="R133" s="827">
        <v>48</v>
      </c>
      <c r="S133" s="827">
        <v>48</v>
      </c>
      <c r="T133" s="827">
        <v>48</v>
      </c>
      <c r="U133" s="827">
        <v>50</v>
      </c>
      <c r="V133" s="827">
        <v>51</v>
      </c>
      <c r="W133" s="827">
        <v>52</v>
      </c>
      <c r="X133" s="827">
        <v>52</v>
      </c>
      <c r="Y133" s="827">
        <v>52</v>
      </c>
      <c r="Z133" s="827">
        <v>51</v>
      </c>
      <c r="AA133" s="827">
        <v>51</v>
      </c>
      <c r="AB133" s="827">
        <v>51</v>
      </c>
      <c r="AC133" s="828">
        <v>53</v>
      </c>
      <c r="AD133" s="828">
        <v>55</v>
      </c>
      <c r="AE133" s="828">
        <v>56</v>
      </c>
      <c r="AF133" s="828">
        <v>58</v>
      </c>
      <c r="AG133" s="828">
        <v>58</v>
      </c>
      <c r="AH133" s="828">
        <v>59</v>
      </c>
      <c r="AI133" s="828">
        <v>59</v>
      </c>
      <c r="AJ133" s="828">
        <v>59</v>
      </c>
      <c r="AK133" s="828">
        <v>59</v>
      </c>
      <c r="AL133" s="828">
        <v>59</v>
      </c>
      <c r="AM133" s="828">
        <v>59</v>
      </c>
      <c r="AN133" s="828">
        <v>61</v>
      </c>
      <c r="AO133" s="828">
        <v>62</v>
      </c>
      <c r="AP133" s="828">
        <v>65</v>
      </c>
    </row>
    <row r="134" hidden="1">
      <c r="B134" s="829" t="s">
        <v>11</v>
      </c>
      <c r="C134" s="823">
        <v>13</v>
      </c>
      <c r="D134" s="823">
        <v>15</v>
      </c>
      <c r="E134" s="823">
        <v>25</v>
      </c>
      <c r="F134" s="823">
        <v>28</v>
      </c>
      <c r="G134" s="823">
        <v>40</v>
      </c>
      <c r="H134" s="823">
        <v>41</v>
      </c>
      <c r="I134" s="823">
        <v>40</v>
      </c>
      <c r="J134" s="823">
        <v>39</v>
      </c>
      <c r="K134" s="823">
        <v>30</v>
      </c>
      <c r="L134" s="823">
        <v>29</v>
      </c>
      <c r="M134" s="823">
        <v>30</v>
      </c>
      <c r="N134" s="823">
        <v>29</v>
      </c>
      <c r="O134" s="823">
        <v>28</v>
      </c>
      <c r="P134" s="823">
        <v>28</v>
      </c>
      <c r="Q134" s="823">
        <v>30</v>
      </c>
      <c r="R134" s="823">
        <v>32</v>
      </c>
      <c r="S134" s="823">
        <v>29</v>
      </c>
      <c r="T134" s="823">
        <v>29</v>
      </c>
      <c r="U134" s="823">
        <v>30</v>
      </c>
      <c r="V134" s="823">
        <v>30</v>
      </c>
      <c r="W134" s="823">
        <v>29</v>
      </c>
      <c r="X134" s="823">
        <v>29</v>
      </c>
      <c r="Y134" s="823">
        <v>29</v>
      </c>
      <c r="Z134" s="823">
        <v>29</v>
      </c>
      <c r="AA134" s="823">
        <v>31</v>
      </c>
      <c r="AB134" s="823">
        <v>31</v>
      </c>
      <c r="AC134" s="825">
        <v>31</v>
      </c>
      <c r="AD134" s="825">
        <v>33</v>
      </c>
      <c r="AE134" s="825">
        <v>31</v>
      </c>
      <c r="AF134" s="825">
        <v>32</v>
      </c>
      <c r="AG134" s="825">
        <v>33</v>
      </c>
      <c r="AH134" s="825">
        <v>32</v>
      </c>
      <c r="AI134" s="825">
        <v>31</v>
      </c>
      <c r="AJ134" s="825">
        <v>31</v>
      </c>
      <c r="AK134" s="825">
        <v>31</v>
      </c>
      <c r="AL134" s="825">
        <v>32</v>
      </c>
      <c r="AM134" s="825">
        <v>34</v>
      </c>
      <c r="AN134" s="825">
        <v>68</v>
      </c>
      <c r="AO134" s="825">
        <v>76</v>
      </c>
      <c r="AP134" s="825">
        <v>99</v>
      </c>
    </row>
    <row r="135" hidden="1">
      <c r="B135" s="826" t="s">
        <v>12</v>
      </c>
      <c r="C135" s="827">
        <v>12</v>
      </c>
      <c r="D135" s="827">
        <v>15</v>
      </c>
      <c r="E135" s="827">
        <v>12</v>
      </c>
      <c r="F135" s="827">
        <v>12</v>
      </c>
      <c r="G135" s="827">
        <v>12</v>
      </c>
      <c r="H135" s="827">
        <v>12</v>
      </c>
      <c r="I135" s="827">
        <v>8</v>
      </c>
      <c r="J135" s="827">
        <v>5</v>
      </c>
      <c r="K135" s="827">
        <v>6</v>
      </c>
      <c r="L135" s="827">
        <v>6</v>
      </c>
      <c r="M135" s="827">
        <v>8</v>
      </c>
      <c r="N135" s="827">
        <v>8</v>
      </c>
      <c r="O135" s="827">
        <v>8</v>
      </c>
      <c r="P135" s="827">
        <v>9</v>
      </c>
      <c r="Q135" s="827">
        <v>9</v>
      </c>
      <c r="R135" s="827">
        <v>9</v>
      </c>
      <c r="S135" s="827">
        <v>10</v>
      </c>
      <c r="T135" s="827">
        <v>9</v>
      </c>
      <c r="U135" s="827">
        <v>9</v>
      </c>
      <c r="V135" s="827">
        <v>9</v>
      </c>
      <c r="W135" s="827">
        <v>10</v>
      </c>
      <c r="X135" s="827">
        <v>10</v>
      </c>
      <c r="Y135" s="827">
        <v>9</v>
      </c>
      <c r="Z135" s="827">
        <v>9</v>
      </c>
      <c r="AA135" s="827">
        <v>9</v>
      </c>
      <c r="AB135" s="827">
        <v>12</v>
      </c>
      <c r="AC135" s="828">
        <v>11</v>
      </c>
      <c r="AD135" s="828">
        <v>11</v>
      </c>
      <c r="AE135" s="828">
        <v>11</v>
      </c>
      <c r="AF135" s="828">
        <v>10</v>
      </c>
      <c r="AG135" s="828">
        <v>11</v>
      </c>
      <c r="AH135" s="828">
        <v>11</v>
      </c>
      <c r="AI135" s="828">
        <v>11</v>
      </c>
      <c r="AJ135" s="828">
        <v>11</v>
      </c>
      <c r="AK135" s="828">
        <v>10</v>
      </c>
      <c r="AL135" s="828">
        <v>11</v>
      </c>
      <c r="AM135" s="828">
        <v>13</v>
      </c>
      <c r="AN135" s="828">
        <v>14</v>
      </c>
      <c r="AO135" s="828">
        <v>14</v>
      </c>
      <c r="AP135" s="828">
        <v>14</v>
      </c>
    </row>
    <row r="136" hidden="1">
      <c r="B136" s="829" t="s">
        <v>13</v>
      </c>
      <c r="C136" s="823">
        <v>1</v>
      </c>
      <c r="D136" s="823">
        <v>2</v>
      </c>
      <c r="E136" s="823">
        <v>2</v>
      </c>
      <c r="F136" s="823">
        <v>6</v>
      </c>
      <c r="G136" s="823">
        <v>13</v>
      </c>
      <c r="H136" s="823">
        <v>15</v>
      </c>
      <c r="I136" s="823">
        <v>18</v>
      </c>
      <c r="J136" s="823">
        <v>22</v>
      </c>
      <c r="K136" s="823">
        <v>23</v>
      </c>
      <c r="L136" s="823">
        <v>22</v>
      </c>
      <c r="M136" s="823">
        <v>23</v>
      </c>
      <c r="N136" s="823">
        <v>22</v>
      </c>
      <c r="O136" s="823">
        <v>23</v>
      </c>
      <c r="P136" s="823">
        <v>23</v>
      </c>
      <c r="Q136" s="823">
        <v>24</v>
      </c>
      <c r="R136" s="823">
        <v>24</v>
      </c>
      <c r="S136" s="823">
        <v>25</v>
      </c>
      <c r="T136" s="823">
        <v>24</v>
      </c>
      <c r="U136" s="823">
        <v>23</v>
      </c>
      <c r="V136" s="823">
        <v>23</v>
      </c>
      <c r="W136" s="823">
        <v>24</v>
      </c>
      <c r="X136" s="823">
        <v>24</v>
      </c>
      <c r="Y136" s="823">
        <v>26</v>
      </c>
      <c r="Z136" s="823">
        <v>25</v>
      </c>
      <c r="AA136" s="823">
        <v>25</v>
      </c>
      <c r="AB136" s="823">
        <v>26</v>
      </c>
      <c r="AC136" s="825">
        <v>27</v>
      </c>
      <c r="AD136" s="825">
        <v>28</v>
      </c>
      <c r="AE136" s="825">
        <v>28</v>
      </c>
      <c r="AF136" s="825">
        <v>28</v>
      </c>
      <c r="AG136" s="825">
        <v>29</v>
      </c>
      <c r="AH136" s="825">
        <v>28</v>
      </c>
      <c r="AI136" s="825">
        <v>29</v>
      </c>
      <c r="AJ136" s="825">
        <v>29</v>
      </c>
      <c r="AK136" s="825">
        <v>32</v>
      </c>
      <c r="AL136" s="825">
        <v>32</v>
      </c>
      <c r="AM136" s="825">
        <v>32</v>
      </c>
      <c r="AN136" s="825">
        <v>32</v>
      </c>
      <c r="AO136" s="825">
        <v>33</v>
      </c>
      <c r="AP136" s="825">
        <v>32</v>
      </c>
    </row>
    <row r="137" hidden="1">
      <c r="B137" s="826" t="s">
        <v>109</v>
      </c>
      <c r="C137" s="827">
        <v>23</v>
      </c>
      <c r="D137" s="827">
        <v>24</v>
      </c>
      <c r="E137" s="827">
        <v>26</v>
      </c>
      <c r="F137" s="827">
        <v>25</v>
      </c>
      <c r="G137" s="827">
        <v>27</v>
      </c>
      <c r="H137" s="827">
        <v>25</v>
      </c>
      <c r="I137" s="827">
        <v>25</v>
      </c>
      <c r="J137" s="827">
        <v>26</v>
      </c>
      <c r="K137" s="827">
        <v>24</v>
      </c>
      <c r="L137" s="827">
        <v>27</v>
      </c>
      <c r="M137" s="827">
        <v>31</v>
      </c>
      <c r="N137" s="827">
        <v>34</v>
      </c>
      <c r="O137" s="827">
        <v>33</v>
      </c>
      <c r="P137" s="827">
        <v>39</v>
      </c>
      <c r="Q137" s="827">
        <v>42</v>
      </c>
      <c r="R137" s="827">
        <v>43</v>
      </c>
      <c r="S137" s="827">
        <v>41</v>
      </c>
      <c r="T137" s="827">
        <v>43</v>
      </c>
      <c r="U137" s="827">
        <v>42</v>
      </c>
      <c r="V137" s="827">
        <v>43</v>
      </c>
      <c r="W137" s="827">
        <v>43</v>
      </c>
      <c r="X137" s="827">
        <v>43</v>
      </c>
      <c r="Y137" s="827">
        <v>42</v>
      </c>
      <c r="Z137" s="827">
        <v>46</v>
      </c>
      <c r="AA137" s="827">
        <v>48</v>
      </c>
      <c r="AB137" s="827">
        <v>48</v>
      </c>
      <c r="AC137" s="828">
        <v>50</v>
      </c>
      <c r="AD137" s="828">
        <v>51</v>
      </c>
      <c r="AE137" s="828">
        <v>52</v>
      </c>
      <c r="AF137" s="828">
        <v>51</v>
      </c>
      <c r="AG137" s="828">
        <v>52</v>
      </c>
      <c r="AH137" s="828">
        <v>54</v>
      </c>
      <c r="AI137" s="828">
        <v>58</v>
      </c>
      <c r="AJ137" s="828">
        <v>61</v>
      </c>
      <c r="AK137" s="828">
        <v>65</v>
      </c>
      <c r="AL137" s="828">
        <v>67</v>
      </c>
      <c r="AM137" s="828">
        <v>69</v>
      </c>
      <c r="AN137" s="828">
        <v>69</v>
      </c>
      <c r="AO137" s="828">
        <v>75</v>
      </c>
      <c r="AP137" s="828">
        <v>77</v>
      </c>
    </row>
    <row r="138" hidden="1">
      <c r="B138" s="829" t="s">
        <v>110</v>
      </c>
      <c r="C138" s="823">
        <v>26</v>
      </c>
      <c r="D138" s="823">
        <v>28</v>
      </c>
      <c r="E138" s="823">
        <v>35</v>
      </c>
      <c r="F138" s="823">
        <v>38</v>
      </c>
      <c r="G138" s="823">
        <v>37</v>
      </c>
      <c r="H138" s="823">
        <v>39</v>
      </c>
      <c r="I138" s="823">
        <v>32</v>
      </c>
      <c r="J138" s="823">
        <v>38</v>
      </c>
      <c r="K138" s="823">
        <v>43</v>
      </c>
      <c r="L138" s="823">
        <v>47</v>
      </c>
      <c r="M138" s="823">
        <v>49</v>
      </c>
      <c r="N138" s="823">
        <v>50</v>
      </c>
      <c r="O138" s="823">
        <v>53</v>
      </c>
      <c r="P138" s="823">
        <v>57</v>
      </c>
      <c r="Q138" s="823">
        <v>59</v>
      </c>
      <c r="R138" s="823">
        <v>59</v>
      </c>
      <c r="S138" s="823">
        <v>70</v>
      </c>
      <c r="T138" s="823">
        <v>69</v>
      </c>
      <c r="U138" s="823">
        <v>73</v>
      </c>
      <c r="V138" s="823">
        <v>79</v>
      </c>
      <c r="W138" s="823">
        <v>83</v>
      </c>
      <c r="X138" s="823">
        <v>86</v>
      </c>
      <c r="Y138" s="823">
        <v>91</v>
      </c>
      <c r="Z138" s="823">
        <v>103</v>
      </c>
      <c r="AA138" s="823">
        <v>110</v>
      </c>
      <c r="AB138" s="823">
        <v>110</v>
      </c>
      <c r="AC138" s="825">
        <v>111</v>
      </c>
      <c r="AD138" s="825">
        <v>118</v>
      </c>
      <c r="AE138" s="825">
        <v>122</v>
      </c>
      <c r="AF138" s="825">
        <v>123</v>
      </c>
      <c r="AG138" s="825">
        <v>124</v>
      </c>
      <c r="AH138" s="825">
        <v>124</v>
      </c>
      <c r="AI138" s="825">
        <v>130</v>
      </c>
      <c r="AJ138" s="825">
        <v>132</v>
      </c>
      <c r="AK138" s="825">
        <v>130</v>
      </c>
      <c r="AL138" s="825">
        <v>129</v>
      </c>
      <c r="AM138" s="825">
        <v>117</v>
      </c>
      <c r="AN138" s="825">
        <v>104</v>
      </c>
      <c r="AO138" s="825">
        <v>98</v>
      </c>
      <c r="AP138" s="825">
        <v>100</v>
      </c>
    </row>
    <row r="139" hidden="1">
      <c r="B139" s="826" t="s">
        <v>16</v>
      </c>
      <c r="C139" s="827">
        <v>160</v>
      </c>
      <c r="D139" s="827">
        <v>168</v>
      </c>
      <c r="E139" s="827">
        <v>164</v>
      </c>
      <c r="F139" s="827">
        <v>163</v>
      </c>
      <c r="G139" s="827">
        <v>166</v>
      </c>
      <c r="H139" s="827">
        <v>166</v>
      </c>
      <c r="I139" s="827">
        <v>153</v>
      </c>
      <c r="J139" s="827">
        <v>155</v>
      </c>
      <c r="K139" s="827">
        <v>156</v>
      </c>
      <c r="L139" s="827">
        <v>157</v>
      </c>
      <c r="M139" s="827">
        <v>162</v>
      </c>
      <c r="N139" s="827">
        <v>158</v>
      </c>
      <c r="O139" s="827">
        <v>158</v>
      </c>
      <c r="P139" s="827">
        <v>160</v>
      </c>
      <c r="Q139" s="827">
        <v>165</v>
      </c>
      <c r="R139" s="827">
        <v>175</v>
      </c>
      <c r="S139" s="827">
        <v>180</v>
      </c>
      <c r="T139" s="827">
        <v>187</v>
      </c>
      <c r="U139" s="827">
        <v>189</v>
      </c>
      <c r="V139" s="827">
        <v>202</v>
      </c>
      <c r="W139" s="827">
        <v>205</v>
      </c>
      <c r="X139" s="827">
        <v>212</v>
      </c>
      <c r="Y139" s="827">
        <v>220</v>
      </c>
      <c r="Z139" s="827">
        <v>219</v>
      </c>
      <c r="AA139" s="827">
        <v>225</v>
      </c>
      <c r="AB139" s="827">
        <v>233</v>
      </c>
      <c r="AC139" s="828">
        <v>241</v>
      </c>
      <c r="AD139" s="828">
        <v>245</v>
      </c>
      <c r="AE139" s="828">
        <v>242</v>
      </c>
      <c r="AF139" s="828">
        <v>242</v>
      </c>
      <c r="AG139" s="828">
        <v>238</v>
      </c>
      <c r="AH139" s="828">
        <v>238</v>
      </c>
      <c r="AI139" s="828">
        <v>237</v>
      </c>
      <c r="AJ139" s="828">
        <v>237</v>
      </c>
      <c r="AK139" s="828">
        <v>232</v>
      </c>
      <c r="AL139" s="828">
        <v>230</v>
      </c>
      <c r="AM139" s="828">
        <v>226</v>
      </c>
      <c r="AN139" s="828">
        <v>226</v>
      </c>
      <c r="AO139" s="828">
        <v>227</v>
      </c>
      <c r="AP139" s="828">
        <v>226</v>
      </c>
    </row>
    <row r="140" hidden="1">
      <c r="B140" s="829" t="s">
        <v>17</v>
      </c>
      <c r="C140" s="823">
        <v>6</v>
      </c>
      <c r="D140" s="823">
        <v>7</v>
      </c>
      <c r="E140" s="823">
        <v>10</v>
      </c>
      <c r="F140" s="823">
        <v>15</v>
      </c>
      <c r="G140" s="823">
        <v>16</v>
      </c>
      <c r="H140" s="823">
        <v>15</v>
      </c>
      <c r="I140" s="823">
        <v>19</v>
      </c>
      <c r="J140" s="823">
        <v>21</v>
      </c>
      <c r="K140" s="823">
        <v>25</v>
      </c>
      <c r="L140" s="823">
        <v>24</v>
      </c>
      <c r="M140" s="823">
        <v>25</v>
      </c>
      <c r="N140" s="823">
        <v>25</v>
      </c>
      <c r="O140" s="823">
        <v>27</v>
      </c>
      <c r="P140" s="823">
        <v>26</v>
      </c>
      <c r="Q140" s="823">
        <v>27</v>
      </c>
      <c r="R140" s="823">
        <v>28</v>
      </c>
      <c r="S140" s="823">
        <v>30</v>
      </c>
      <c r="T140" s="823">
        <v>33</v>
      </c>
      <c r="U140" s="823">
        <v>38</v>
      </c>
      <c r="V140" s="823">
        <v>40</v>
      </c>
      <c r="W140" s="823">
        <v>44</v>
      </c>
      <c r="X140" s="823">
        <v>45</v>
      </c>
      <c r="Y140" s="823">
        <v>51</v>
      </c>
      <c r="Z140" s="823">
        <v>58</v>
      </c>
      <c r="AA140" s="823">
        <v>60</v>
      </c>
      <c r="AB140" s="823">
        <v>60</v>
      </c>
      <c r="AC140" s="825">
        <v>61</v>
      </c>
      <c r="AD140" s="825">
        <v>58</v>
      </c>
      <c r="AE140" s="825">
        <v>60</v>
      </c>
      <c r="AF140" s="825">
        <v>61</v>
      </c>
      <c r="AG140" s="825">
        <v>58</v>
      </c>
      <c r="AH140" s="825">
        <v>60</v>
      </c>
      <c r="AI140" s="825">
        <v>66</v>
      </c>
      <c r="AJ140" s="825">
        <v>70</v>
      </c>
      <c r="AK140" s="825">
        <v>71</v>
      </c>
      <c r="AL140" s="825">
        <v>74</v>
      </c>
      <c r="AM140" s="825">
        <v>73</v>
      </c>
      <c r="AN140" s="825">
        <v>73</v>
      </c>
      <c r="AO140" s="825">
        <v>72</v>
      </c>
      <c r="AP140" s="825">
        <v>76</v>
      </c>
    </row>
    <row r="141" hidden="1">
      <c r="B141" s="826" t="s">
        <v>18</v>
      </c>
      <c r="C141" s="827">
        <v>86</v>
      </c>
      <c r="D141" s="827">
        <v>90</v>
      </c>
      <c r="E141" s="827">
        <v>91</v>
      </c>
      <c r="F141" s="827">
        <v>93</v>
      </c>
      <c r="G141" s="827">
        <v>90</v>
      </c>
      <c r="H141" s="827">
        <v>92</v>
      </c>
      <c r="I141" s="827">
        <v>84</v>
      </c>
      <c r="J141" s="827">
        <v>90</v>
      </c>
      <c r="K141" s="827">
        <v>91</v>
      </c>
      <c r="L141" s="827">
        <v>99</v>
      </c>
      <c r="M141" s="827">
        <v>100</v>
      </c>
      <c r="N141" s="827">
        <v>106</v>
      </c>
      <c r="O141" s="827">
        <v>117</v>
      </c>
      <c r="P141" s="827">
        <v>130</v>
      </c>
      <c r="Q141" s="827">
        <v>125</v>
      </c>
      <c r="R141" s="827">
        <v>133</v>
      </c>
      <c r="S141" s="827">
        <v>145</v>
      </c>
      <c r="T141" s="827">
        <v>152</v>
      </c>
      <c r="U141" s="827">
        <v>159</v>
      </c>
      <c r="V141" s="827">
        <v>180</v>
      </c>
      <c r="W141" s="827">
        <v>185</v>
      </c>
      <c r="X141" s="827">
        <v>201</v>
      </c>
      <c r="Y141" s="827">
        <v>274</v>
      </c>
      <c r="Z141" s="827">
        <v>285</v>
      </c>
      <c r="AA141" s="827">
        <v>306</v>
      </c>
      <c r="AB141" s="827">
        <v>311</v>
      </c>
      <c r="AC141" s="828">
        <v>318</v>
      </c>
      <c r="AD141" s="828">
        <v>322</v>
      </c>
      <c r="AE141" s="828">
        <v>327</v>
      </c>
      <c r="AF141" s="828">
        <v>327</v>
      </c>
      <c r="AG141" s="828">
        <v>327</v>
      </c>
      <c r="AH141" s="828">
        <v>323</v>
      </c>
      <c r="AI141" s="828">
        <v>323</v>
      </c>
      <c r="AJ141" s="828">
        <v>318</v>
      </c>
      <c r="AK141" s="828">
        <v>318</v>
      </c>
      <c r="AL141" s="828">
        <v>319</v>
      </c>
      <c r="AM141" s="828">
        <v>315</v>
      </c>
      <c r="AN141" s="828">
        <v>315</v>
      </c>
      <c r="AO141" s="828">
        <v>315</v>
      </c>
      <c r="AP141" s="828">
        <v>314</v>
      </c>
    </row>
    <row r="142" hidden="1">
      <c r="B142" s="829" t="s">
        <v>19</v>
      </c>
      <c r="C142" s="823">
        <v>10</v>
      </c>
      <c r="D142" s="823">
        <v>9</v>
      </c>
      <c r="E142" s="823">
        <v>9</v>
      </c>
      <c r="F142" s="823">
        <v>11</v>
      </c>
      <c r="G142" s="823">
        <v>12</v>
      </c>
      <c r="H142" s="823">
        <v>14</v>
      </c>
      <c r="I142" s="823">
        <v>14</v>
      </c>
      <c r="J142" s="823">
        <v>15</v>
      </c>
      <c r="K142" s="823">
        <v>17</v>
      </c>
      <c r="L142" s="823">
        <v>15</v>
      </c>
      <c r="M142" s="823">
        <v>17</v>
      </c>
      <c r="N142" s="823">
        <v>17</v>
      </c>
      <c r="O142" s="823">
        <v>21</v>
      </c>
      <c r="P142" s="823">
        <v>21</v>
      </c>
      <c r="Q142" s="823">
        <v>22</v>
      </c>
      <c r="R142" s="823">
        <v>23</v>
      </c>
      <c r="S142" s="823">
        <v>25</v>
      </c>
      <c r="T142" s="823">
        <v>28</v>
      </c>
      <c r="U142" s="823">
        <v>34</v>
      </c>
      <c r="V142" s="823">
        <v>39</v>
      </c>
      <c r="W142" s="823">
        <v>38</v>
      </c>
      <c r="X142" s="823">
        <v>38</v>
      </c>
      <c r="Y142" s="823">
        <v>41</v>
      </c>
      <c r="Z142" s="823">
        <v>43</v>
      </c>
      <c r="AA142" s="823">
        <v>40</v>
      </c>
      <c r="AB142" s="823">
        <v>41</v>
      </c>
      <c r="AC142" s="825">
        <v>42</v>
      </c>
      <c r="AD142" s="825">
        <v>42</v>
      </c>
      <c r="AE142" s="825">
        <v>43</v>
      </c>
      <c r="AF142" s="825">
        <v>39</v>
      </c>
      <c r="AG142" s="825">
        <v>40</v>
      </c>
      <c r="AH142" s="825">
        <v>42</v>
      </c>
      <c r="AI142" s="825">
        <v>44</v>
      </c>
      <c r="AJ142" s="825">
        <v>46</v>
      </c>
      <c r="AK142" s="825">
        <v>51</v>
      </c>
      <c r="AL142" s="825">
        <v>55</v>
      </c>
      <c r="AM142" s="825">
        <v>57</v>
      </c>
      <c r="AN142" s="825">
        <v>62</v>
      </c>
      <c r="AO142" s="825">
        <v>71</v>
      </c>
      <c r="AP142" s="825">
        <v>78</v>
      </c>
    </row>
    <row r="143" hidden="1">
      <c r="B143" s="826" t="s">
        <v>20</v>
      </c>
      <c r="C143" s="827">
        <v>13</v>
      </c>
      <c r="D143" s="827">
        <v>13</v>
      </c>
      <c r="E143" s="827">
        <v>13</v>
      </c>
      <c r="F143" s="827">
        <v>13</v>
      </c>
      <c r="G143" s="827">
        <v>16</v>
      </c>
      <c r="H143" s="827">
        <v>17</v>
      </c>
      <c r="I143" s="827">
        <v>28</v>
      </c>
      <c r="J143" s="827">
        <v>29</v>
      </c>
      <c r="K143" s="827">
        <v>30</v>
      </c>
      <c r="L143" s="827">
        <v>30</v>
      </c>
      <c r="M143" s="827">
        <v>36</v>
      </c>
      <c r="N143" s="827">
        <v>41</v>
      </c>
      <c r="O143" s="827">
        <v>43</v>
      </c>
      <c r="P143" s="827">
        <v>44</v>
      </c>
      <c r="Q143" s="827">
        <v>44</v>
      </c>
      <c r="R143" s="827">
        <v>47</v>
      </c>
      <c r="S143" s="827">
        <v>45</v>
      </c>
      <c r="T143" s="827">
        <v>46</v>
      </c>
      <c r="U143" s="827">
        <v>48</v>
      </c>
      <c r="V143" s="827">
        <v>52</v>
      </c>
      <c r="W143" s="827">
        <v>53</v>
      </c>
      <c r="X143" s="827">
        <v>53</v>
      </c>
      <c r="Y143" s="827">
        <v>54</v>
      </c>
      <c r="Z143" s="827">
        <v>56</v>
      </c>
      <c r="AA143" s="827">
        <v>60</v>
      </c>
      <c r="AB143" s="827">
        <v>62</v>
      </c>
      <c r="AC143" s="828">
        <v>62</v>
      </c>
      <c r="AD143" s="828">
        <v>65</v>
      </c>
      <c r="AE143" s="828">
        <v>72</v>
      </c>
      <c r="AF143" s="828">
        <v>75</v>
      </c>
      <c r="AG143" s="828">
        <v>48</v>
      </c>
      <c r="AH143" s="828">
        <v>53</v>
      </c>
      <c r="AI143" s="828">
        <v>57</v>
      </c>
      <c r="AJ143" s="828">
        <v>58</v>
      </c>
      <c r="AK143" s="828">
        <v>57</v>
      </c>
      <c r="AL143" s="828">
        <v>60</v>
      </c>
      <c r="AM143" s="828">
        <v>59</v>
      </c>
      <c r="AN143" s="828">
        <v>62</v>
      </c>
      <c r="AO143" s="828">
        <v>63</v>
      </c>
      <c r="AP143" s="828">
        <v>63</v>
      </c>
    </row>
    <row r="144" hidden="1">
      <c r="B144" s="829" t="s">
        <v>21</v>
      </c>
      <c r="C144" s="823">
        <v>2</v>
      </c>
      <c r="D144" s="823">
        <v>2</v>
      </c>
      <c r="E144" s="823">
        <v>2</v>
      </c>
      <c r="F144" s="823">
        <v>2</v>
      </c>
      <c r="G144" s="823">
        <v>2</v>
      </c>
      <c r="H144" s="823">
        <v>2</v>
      </c>
      <c r="I144" s="823">
        <v>2</v>
      </c>
      <c r="J144" s="823">
        <v>2</v>
      </c>
      <c r="K144" s="823">
        <v>1</v>
      </c>
      <c r="L144" s="823">
        <v>2</v>
      </c>
      <c r="M144" s="823">
        <v>4</v>
      </c>
      <c r="N144" s="823">
        <v>6</v>
      </c>
      <c r="O144" s="823">
        <v>6</v>
      </c>
      <c r="P144" s="823">
        <v>7</v>
      </c>
      <c r="Q144" s="823">
        <v>10</v>
      </c>
      <c r="R144" s="823">
        <v>10</v>
      </c>
      <c r="S144" s="823">
        <v>4</v>
      </c>
      <c r="T144" s="823">
        <v>5</v>
      </c>
      <c r="U144" s="823">
        <v>5</v>
      </c>
      <c r="V144" s="823">
        <v>5</v>
      </c>
      <c r="W144" s="823">
        <v>6</v>
      </c>
      <c r="X144" s="823">
        <v>7</v>
      </c>
      <c r="Y144" s="823">
        <v>8</v>
      </c>
      <c r="Z144" s="823">
        <v>8</v>
      </c>
      <c r="AA144" s="823">
        <v>8</v>
      </c>
      <c r="AB144" s="823">
        <v>9</v>
      </c>
      <c r="AC144" s="825">
        <v>9</v>
      </c>
      <c r="AD144" s="825">
        <v>13</v>
      </c>
      <c r="AE144" s="825">
        <v>15</v>
      </c>
      <c r="AF144" s="825">
        <v>18</v>
      </c>
      <c r="AG144" s="825">
        <v>17</v>
      </c>
      <c r="AH144" s="825">
        <v>17</v>
      </c>
      <c r="AI144" s="825">
        <v>14</v>
      </c>
      <c r="AJ144" s="825">
        <v>16</v>
      </c>
      <c r="AK144" s="825">
        <v>15</v>
      </c>
      <c r="AL144" s="825">
        <v>15</v>
      </c>
      <c r="AM144" s="825">
        <v>18</v>
      </c>
      <c r="AN144" s="825">
        <v>18</v>
      </c>
      <c r="AO144" s="825">
        <v>19</v>
      </c>
      <c r="AP144" s="825">
        <v>15</v>
      </c>
    </row>
    <row r="145" hidden="1">
      <c r="B145" s="826" t="s">
        <v>22</v>
      </c>
      <c r="C145" s="827">
        <v>0</v>
      </c>
      <c r="D145" s="827">
        <v>0</v>
      </c>
      <c r="E145" s="827">
        <v>0</v>
      </c>
      <c r="F145" s="827">
        <v>2</v>
      </c>
      <c r="G145" s="827">
        <v>2</v>
      </c>
      <c r="H145" s="827">
        <v>2</v>
      </c>
      <c r="I145" s="827">
        <v>2</v>
      </c>
      <c r="J145" s="827">
        <v>2</v>
      </c>
      <c r="K145" s="827">
        <v>1</v>
      </c>
      <c r="L145" s="827">
        <v>1</v>
      </c>
      <c r="M145" s="827">
        <v>1</v>
      </c>
      <c r="N145" s="827">
        <v>1</v>
      </c>
      <c r="O145" s="827">
        <v>2</v>
      </c>
      <c r="P145" s="827">
        <v>2</v>
      </c>
      <c r="Q145" s="827">
        <v>5</v>
      </c>
      <c r="R145" s="827">
        <v>6</v>
      </c>
      <c r="S145" s="827">
        <v>7</v>
      </c>
      <c r="T145" s="827">
        <v>9</v>
      </c>
      <c r="U145" s="827">
        <v>8</v>
      </c>
      <c r="V145" s="827">
        <v>9</v>
      </c>
      <c r="W145" s="827">
        <v>10</v>
      </c>
      <c r="X145" s="827">
        <v>12</v>
      </c>
      <c r="Y145" s="827">
        <v>17</v>
      </c>
      <c r="Z145" s="827">
        <v>21</v>
      </c>
      <c r="AA145" s="827">
        <v>21</v>
      </c>
      <c r="AB145" s="827">
        <v>26</v>
      </c>
      <c r="AC145" s="828">
        <v>26</v>
      </c>
      <c r="AD145" s="828">
        <v>26</v>
      </c>
      <c r="AE145" s="828">
        <v>27</v>
      </c>
      <c r="AF145" s="828">
        <v>27</v>
      </c>
      <c r="AG145" s="828">
        <v>26</v>
      </c>
      <c r="AH145" s="828">
        <v>27</v>
      </c>
      <c r="AI145" s="828">
        <v>22</v>
      </c>
      <c r="AJ145" s="828">
        <v>23</v>
      </c>
      <c r="AK145" s="828">
        <v>18</v>
      </c>
      <c r="AL145" s="828">
        <v>21</v>
      </c>
      <c r="AM145" s="828">
        <v>18</v>
      </c>
      <c r="AN145" s="828">
        <v>21</v>
      </c>
      <c r="AO145" s="828">
        <v>18</v>
      </c>
      <c r="AP145" s="828">
        <v>19</v>
      </c>
    </row>
    <row r="146" hidden="1">
      <c r="B146" s="829" t="s">
        <v>23</v>
      </c>
      <c r="C146" s="823">
        <v>1</v>
      </c>
      <c r="D146" s="823">
        <v>1</v>
      </c>
      <c r="E146" s="823">
        <v>1</v>
      </c>
      <c r="F146" s="823">
        <v>1</v>
      </c>
      <c r="G146" s="823">
        <v>1</v>
      </c>
      <c r="H146" s="823">
        <v>1</v>
      </c>
      <c r="I146" s="823">
        <v>1</v>
      </c>
      <c r="J146" s="823">
        <v>1</v>
      </c>
      <c r="K146" s="823">
        <v>1</v>
      </c>
      <c r="L146" s="823">
        <v>1</v>
      </c>
      <c r="M146" s="823">
        <v>1</v>
      </c>
      <c r="N146" s="823">
        <v>1</v>
      </c>
      <c r="O146" s="823">
        <v>1</v>
      </c>
      <c r="P146" s="823">
        <v>1</v>
      </c>
      <c r="Q146" s="823">
        <v>2</v>
      </c>
      <c r="R146" s="823">
        <v>3</v>
      </c>
      <c r="S146" s="823">
        <v>3</v>
      </c>
      <c r="T146" s="823">
        <v>4</v>
      </c>
      <c r="U146" s="823">
        <v>5</v>
      </c>
      <c r="V146" s="823">
        <v>5</v>
      </c>
      <c r="W146" s="823">
        <v>5</v>
      </c>
      <c r="X146" s="823">
        <v>5</v>
      </c>
      <c r="Y146" s="823">
        <v>6</v>
      </c>
      <c r="Z146" s="823">
        <v>6</v>
      </c>
      <c r="AA146" s="823">
        <v>6</v>
      </c>
      <c r="AB146" s="823">
        <v>7</v>
      </c>
      <c r="AC146" s="825">
        <v>6</v>
      </c>
      <c r="AD146" s="825">
        <v>6</v>
      </c>
      <c r="AE146" s="825">
        <v>6</v>
      </c>
      <c r="AF146" s="825">
        <v>6</v>
      </c>
      <c r="AG146" s="825">
        <v>6</v>
      </c>
      <c r="AH146" s="825">
        <v>7</v>
      </c>
      <c r="AI146" s="825">
        <v>9</v>
      </c>
      <c r="AJ146" s="825">
        <v>9</v>
      </c>
      <c r="AK146" s="825">
        <v>9</v>
      </c>
      <c r="AL146" s="825">
        <v>8</v>
      </c>
      <c r="AM146" s="825">
        <v>8</v>
      </c>
      <c r="AN146" s="825">
        <v>8</v>
      </c>
      <c r="AO146" s="825">
        <v>9</v>
      </c>
      <c r="AP146" s="825">
        <v>9</v>
      </c>
    </row>
    <row r="147" hidden="1">
      <c r="B147" s="835" t="s">
        <v>24</v>
      </c>
      <c r="C147" s="827">
        <v>69</v>
      </c>
      <c r="D147" s="827">
        <v>69</v>
      </c>
      <c r="E147" s="827">
        <v>66</v>
      </c>
      <c r="F147" s="827">
        <v>67</v>
      </c>
      <c r="G147" s="827">
        <v>68</v>
      </c>
      <c r="H147" s="827">
        <v>67</v>
      </c>
      <c r="I147" s="827">
        <v>71</v>
      </c>
      <c r="J147" s="827">
        <v>76</v>
      </c>
      <c r="K147" s="827">
        <v>75</v>
      </c>
      <c r="L147" s="827">
        <v>76</v>
      </c>
      <c r="M147" s="827">
        <v>75</v>
      </c>
      <c r="N147" s="827">
        <v>77</v>
      </c>
      <c r="O147" s="827">
        <v>77</v>
      </c>
      <c r="P147" s="827">
        <v>79</v>
      </c>
      <c r="Q147" s="827">
        <v>82</v>
      </c>
      <c r="R147" s="827">
        <v>80</v>
      </c>
      <c r="S147" s="827">
        <v>76</v>
      </c>
      <c r="T147" s="827">
        <v>76</v>
      </c>
      <c r="U147" s="827">
        <v>93</v>
      </c>
      <c r="V147" s="827">
        <v>100</v>
      </c>
      <c r="W147" s="827">
        <v>122</v>
      </c>
      <c r="X147" s="827">
        <v>131</v>
      </c>
      <c r="Y147" s="827">
        <v>135</v>
      </c>
      <c r="Z147" s="827">
        <v>140</v>
      </c>
      <c r="AA147" s="827">
        <v>145</v>
      </c>
      <c r="AB147" s="827">
        <v>145</v>
      </c>
      <c r="AC147" s="828">
        <v>146</v>
      </c>
      <c r="AD147" s="828">
        <v>154</v>
      </c>
      <c r="AE147" s="828">
        <v>159</v>
      </c>
      <c r="AF147" s="828">
        <v>163</v>
      </c>
      <c r="AG147" s="828">
        <v>165</v>
      </c>
      <c r="AH147" s="828">
        <v>175</v>
      </c>
      <c r="AI147" s="828">
        <v>176</v>
      </c>
      <c r="AJ147" s="828">
        <v>175</v>
      </c>
      <c r="AK147" s="828">
        <v>174</v>
      </c>
      <c r="AL147" s="828">
        <v>163</v>
      </c>
      <c r="AM147" s="828">
        <v>163</v>
      </c>
      <c r="AN147" s="828">
        <v>160</v>
      </c>
      <c r="AO147" s="828">
        <v>160</v>
      </c>
      <c r="AP147" s="828">
        <v>164</v>
      </c>
    </row>
    <row r="148" hidden="1">
      <c r="B148" s="829" t="s">
        <v>25</v>
      </c>
      <c r="C148" s="823">
        <v>0</v>
      </c>
      <c r="D148" s="823">
        <v>0</v>
      </c>
      <c r="E148" s="823">
        <v>0</v>
      </c>
      <c r="F148" s="823">
        <v>0</v>
      </c>
      <c r="G148" s="823">
        <v>0</v>
      </c>
      <c r="H148" s="823">
        <v>0</v>
      </c>
      <c r="I148" s="823">
        <v>0</v>
      </c>
      <c r="J148" s="823">
        <v>0</v>
      </c>
      <c r="K148" s="823">
        <v>0</v>
      </c>
      <c r="L148" s="823">
        <v>0</v>
      </c>
      <c r="M148" s="823">
        <v>0</v>
      </c>
      <c r="N148" s="823">
        <v>0</v>
      </c>
      <c r="O148" s="823">
        <v>0</v>
      </c>
      <c r="P148" s="823">
        <v>0</v>
      </c>
      <c r="Q148" s="823">
        <v>0</v>
      </c>
      <c r="R148" s="823">
        <v>0</v>
      </c>
      <c r="S148" s="823">
        <v>0</v>
      </c>
      <c r="T148" s="823">
        <v>0</v>
      </c>
      <c r="U148" s="823">
        <v>0</v>
      </c>
      <c r="V148" s="823">
        <v>0</v>
      </c>
      <c r="W148" s="823">
        <v>0</v>
      </c>
      <c r="X148" s="823">
        <v>0</v>
      </c>
      <c r="Y148" s="823">
        <v>0</v>
      </c>
      <c r="Z148" s="823">
        <v>0</v>
      </c>
      <c r="AA148" s="823">
        <v>0</v>
      </c>
      <c r="AB148" s="823">
        <v>0</v>
      </c>
      <c r="AC148" s="825">
        <v>0</v>
      </c>
      <c r="AD148" s="825">
        <v>0</v>
      </c>
      <c r="AE148" s="825">
        <v>0</v>
      </c>
      <c r="AF148" s="825">
        <v>0</v>
      </c>
      <c r="AG148" s="825">
        <v>0</v>
      </c>
      <c r="AH148" s="825">
        <v>0</v>
      </c>
      <c r="AI148" s="825">
        <v>0</v>
      </c>
      <c r="AJ148" s="825">
        <v>0</v>
      </c>
      <c r="AK148" s="825">
        <v>0</v>
      </c>
      <c r="AL148" s="825">
        <v>0</v>
      </c>
      <c r="AM148" s="825">
        <v>0</v>
      </c>
      <c r="AN148" s="825">
        <v>0</v>
      </c>
      <c r="AO148" s="825">
        <v>0</v>
      </c>
      <c r="AP148" s="825">
        <v>0</v>
      </c>
    </row>
    <row r="149" hidden="1" ht="13.5">
      <c r="B149" s="836" t="s">
        <v>26</v>
      </c>
      <c r="C149" s="827">
        <v>0</v>
      </c>
      <c r="D149" s="827">
        <v>0</v>
      </c>
      <c r="E149" s="827">
        <v>0</v>
      </c>
      <c r="F149" s="827">
        <v>0</v>
      </c>
      <c r="G149" s="827">
        <v>0</v>
      </c>
      <c r="H149" s="827">
        <v>0</v>
      </c>
      <c r="I149" s="827">
        <v>0</v>
      </c>
      <c r="J149" s="827">
        <v>0</v>
      </c>
      <c r="K149" s="827">
        <v>0</v>
      </c>
      <c r="L149" s="827">
        <v>0</v>
      </c>
      <c r="M149" s="827">
        <v>0</v>
      </c>
      <c r="N149" s="827">
        <v>0</v>
      </c>
      <c r="O149" s="827">
        <v>1</v>
      </c>
      <c r="P149" s="827">
        <v>1</v>
      </c>
      <c r="Q149" s="827">
        <v>1</v>
      </c>
      <c r="R149" s="827">
        <v>1</v>
      </c>
      <c r="S149" s="827">
        <v>1</v>
      </c>
      <c r="T149" s="827">
        <v>1</v>
      </c>
      <c r="U149" s="827">
        <v>1</v>
      </c>
      <c r="V149" s="827">
        <v>1</v>
      </c>
      <c r="W149" s="827">
        <v>1</v>
      </c>
      <c r="X149" s="827">
        <v>1</v>
      </c>
      <c r="Y149" s="827">
        <v>1</v>
      </c>
      <c r="Z149" s="827">
        <v>1</v>
      </c>
      <c r="AA149" s="827">
        <v>1</v>
      </c>
      <c r="AB149" s="837">
        <v>1</v>
      </c>
      <c r="AC149" s="828">
        <v>1</v>
      </c>
      <c r="AD149" s="828">
        <v>1</v>
      </c>
      <c r="AE149" s="828">
        <v>1</v>
      </c>
      <c r="AF149" s="828">
        <v>1</v>
      </c>
      <c r="AG149" s="828">
        <v>1</v>
      </c>
      <c r="AH149" s="828">
        <v>1</v>
      </c>
      <c r="AI149" s="828">
        <v>1</v>
      </c>
      <c r="AJ149" s="828">
        <v>1</v>
      </c>
      <c r="AK149" s="828">
        <v>1</v>
      </c>
      <c r="AL149" s="828">
        <v>1</v>
      </c>
      <c r="AM149" s="828">
        <v>1</v>
      </c>
      <c r="AN149" s="828">
        <v>1</v>
      </c>
      <c r="AO149" s="828">
        <v>1</v>
      </c>
      <c r="AP149" s="828">
        <v>1</v>
      </c>
    </row>
    <row r="150" hidden="1" ht="13.5">
      <c r="B150" s="128" t="s">
        <v>7</v>
      </c>
      <c r="C150" s="129" t="str">
        <f>IF(SUM(C131:C149)&lt;&gt;0,SUM(C131:C149),"")</f>
      </c>
      <c r="D150" s="129" t="str">
        <f ref="D150:AA150" t="shared" si="5">IF(SUM(D131:D149)&lt;&gt;0,SUM(D131:D149),"")</f>
      </c>
      <c r="E150" s="129" t="str">
        <f t="shared" si="5"/>
      </c>
      <c r="F150" s="129" t="str">
        <f t="shared" si="5"/>
      </c>
      <c r="G150" s="129" t="str">
        <f t="shared" si="5"/>
      </c>
      <c r="H150" s="129" t="str">
        <f t="shared" si="5"/>
      </c>
      <c r="I150" s="129" t="str">
        <f t="shared" si="5"/>
      </c>
      <c r="J150" s="129" t="str">
        <f t="shared" si="5"/>
      </c>
      <c r="K150" s="129" t="str">
        <f t="shared" si="5"/>
      </c>
      <c r="L150" s="129" t="str">
        <f t="shared" si="5"/>
      </c>
      <c r="M150" s="129" t="str">
        <f t="shared" si="5"/>
      </c>
      <c r="N150" s="129" t="str">
        <f t="shared" si="5"/>
      </c>
      <c r="O150" s="129" t="str">
        <f t="shared" si="5"/>
      </c>
      <c r="P150" s="129" t="str">
        <f t="shared" si="5"/>
      </c>
      <c r="Q150" s="129" t="str">
        <f t="shared" si="5"/>
      </c>
      <c r="R150" s="129" t="str">
        <f t="shared" si="5"/>
      </c>
      <c r="S150" s="129" t="str">
        <f t="shared" si="5"/>
      </c>
      <c r="T150" s="129" t="str">
        <f t="shared" si="5"/>
      </c>
      <c r="U150" s="129" t="str">
        <f t="shared" si="5"/>
      </c>
      <c r="V150" s="129" t="str">
        <f t="shared" si="5"/>
      </c>
      <c r="W150" s="129" t="str">
        <f t="shared" si="5"/>
      </c>
      <c r="X150" s="129" t="str">
        <f t="shared" si="5"/>
      </c>
      <c r="Y150" s="129" t="str">
        <f t="shared" si="5"/>
      </c>
      <c r="Z150" s="129" t="str">
        <f t="shared" si="5"/>
      </c>
      <c r="AA150" s="129" t="str">
        <f t="shared" si="5"/>
      </c>
      <c r="AB150" s="130" t="str">
        <f>IF(SUM(AB131:AB149)&lt;&gt;0,SUM(AB131:AB149),"")</f>
      </c>
      <c r="AC150" s="91" t="str">
        <f ref="AC150:CN150" t="shared" si="6">IF(SUM(AC131:AC149)&lt;&gt;0,SUM(AC131:AC149),"")</f>
      </c>
      <c r="AD150" s="91" t="str">
        <f t="shared" si="6"/>
      </c>
      <c r="AE150" s="91" t="str">
        <f t="shared" si="6"/>
      </c>
      <c r="AF150" s="91" t="str">
        <f t="shared" si="6"/>
      </c>
      <c r="AG150" s="91" t="str">
        <f t="shared" si="6"/>
      </c>
      <c r="AH150" s="91" t="str">
        <f t="shared" si="6"/>
      </c>
      <c r="AI150" s="91" t="str">
        <f t="shared" si="6"/>
      </c>
      <c r="AJ150" s="91" t="str">
        <f t="shared" si="6"/>
      </c>
      <c r="AK150" s="91" t="str">
        <f t="shared" si="6"/>
      </c>
      <c r="AL150" s="91" t="str">
        <f t="shared" si="6"/>
      </c>
      <c r="AM150" s="91" t="str">
        <f t="shared" si="6"/>
      </c>
      <c r="AN150" s="91" t="str">
        <f t="shared" si="6"/>
      </c>
      <c r="AO150" s="91" t="str">
        <f t="shared" si="6"/>
      </c>
      <c r="AP150" s="91" t="str">
        <f t="shared" si="6"/>
      </c>
      <c r="AQ150" s="91" t="str">
        <f t="shared" si="6"/>
      </c>
      <c r="AR150" s="91" t="str">
        <f t="shared" si="6"/>
      </c>
      <c r="AS150" s="91" t="str">
        <f t="shared" si="6"/>
      </c>
      <c r="AT150" s="91" t="str">
        <f t="shared" si="6"/>
      </c>
      <c r="AU150" s="91" t="str">
        <f t="shared" si="6"/>
      </c>
      <c r="AV150" s="91" t="str">
        <f t="shared" si="6"/>
      </c>
      <c r="AW150" s="91" t="str">
        <f t="shared" si="6"/>
      </c>
      <c r="AX150" s="91" t="str">
        <f t="shared" si="6"/>
      </c>
      <c r="AY150" s="91" t="str">
        <f t="shared" si="6"/>
      </c>
      <c r="AZ150" s="91" t="str">
        <f t="shared" si="6"/>
      </c>
      <c r="BA150" s="91" t="str">
        <f t="shared" si="6"/>
      </c>
      <c r="BB150" s="91" t="str">
        <f t="shared" si="6"/>
      </c>
      <c r="BC150" s="91" t="str">
        <f t="shared" si="6"/>
      </c>
      <c r="BD150" s="91" t="str">
        <f t="shared" si="6"/>
      </c>
      <c r="BE150" s="91" t="str">
        <f t="shared" si="6"/>
      </c>
      <c r="BF150" s="91" t="str">
        <f t="shared" si="6"/>
      </c>
      <c r="BG150" s="91" t="str">
        <f t="shared" si="6"/>
      </c>
      <c r="BH150" s="91" t="str">
        <f t="shared" si="6"/>
      </c>
      <c r="BI150" s="91" t="str">
        <f t="shared" si="6"/>
      </c>
      <c r="BJ150" s="91" t="str">
        <f t="shared" si="6"/>
      </c>
      <c r="BK150" s="91" t="str">
        <f t="shared" si="6"/>
      </c>
      <c r="BL150" s="91" t="str">
        <f t="shared" si="6"/>
      </c>
      <c r="BM150" s="91" t="str">
        <f t="shared" si="6"/>
      </c>
      <c r="BN150" s="91" t="str">
        <f t="shared" si="6"/>
      </c>
      <c r="BO150" s="91" t="str">
        <f t="shared" si="6"/>
      </c>
      <c r="BP150" s="91" t="str">
        <f t="shared" si="6"/>
      </c>
      <c r="BQ150" s="91" t="str">
        <f t="shared" si="6"/>
      </c>
      <c r="BR150" s="91" t="str">
        <f t="shared" si="6"/>
      </c>
      <c r="BS150" s="91" t="str">
        <f t="shared" si="6"/>
      </c>
      <c r="BT150" s="91" t="str">
        <f t="shared" si="6"/>
      </c>
      <c r="BU150" s="91" t="str">
        <f t="shared" si="6"/>
      </c>
      <c r="BV150" s="91" t="str">
        <f t="shared" si="6"/>
      </c>
      <c r="BW150" s="91" t="str">
        <f t="shared" si="6"/>
      </c>
      <c r="BX150" s="91" t="str">
        <f t="shared" si="6"/>
      </c>
      <c r="BY150" s="91" t="str">
        <f t="shared" si="6"/>
      </c>
      <c r="BZ150" s="91" t="str">
        <f t="shared" si="6"/>
      </c>
      <c r="CA150" s="91" t="str">
        <f t="shared" si="6"/>
      </c>
      <c r="CB150" s="91" t="str">
        <f t="shared" si="6"/>
      </c>
      <c r="CC150" s="91" t="str">
        <f t="shared" si="6"/>
      </c>
      <c r="CD150" s="91" t="str">
        <f t="shared" si="6"/>
      </c>
      <c r="CE150" s="91" t="str">
        <f t="shared" si="6"/>
      </c>
      <c r="CF150" s="91" t="str">
        <f t="shared" si="6"/>
      </c>
      <c r="CG150" s="91" t="str">
        <f t="shared" si="6"/>
      </c>
      <c r="CH150" s="91" t="str">
        <f t="shared" si="6"/>
      </c>
      <c r="CI150" s="91" t="str">
        <f t="shared" si="6"/>
      </c>
      <c r="CJ150" s="91" t="str">
        <f t="shared" si="6"/>
      </c>
      <c r="CK150" s="91" t="str">
        <f t="shared" si="6"/>
      </c>
      <c r="CL150" s="91" t="str">
        <f t="shared" si="6"/>
      </c>
      <c r="CM150" s="91" t="str">
        <f t="shared" si="6"/>
      </c>
      <c r="CN150" s="91" t="str">
        <f t="shared" si="6"/>
      </c>
      <c r="CO150" s="91" t="str">
        <f ref="CO150:EZ150" t="shared" si="7">IF(SUM(CO131:CO149)&lt;&gt;0,SUM(CO131:CO149),"")</f>
      </c>
      <c r="CP150" s="91" t="str">
        <f t="shared" si="7"/>
      </c>
      <c r="CQ150" s="91" t="str">
        <f t="shared" si="7"/>
      </c>
      <c r="CR150" s="91" t="str">
        <f t="shared" si="7"/>
      </c>
      <c r="CS150" s="91" t="str">
        <f t="shared" si="7"/>
      </c>
      <c r="CT150" s="91" t="str">
        <f t="shared" si="7"/>
      </c>
      <c r="CU150" s="91" t="str">
        <f t="shared" si="7"/>
      </c>
      <c r="CV150" s="91" t="str">
        <f t="shared" si="7"/>
      </c>
      <c r="CW150" s="91" t="str">
        <f t="shared" si="7"/>
      </c>
      <c r="CX150" s="91" t="str">
        <f t="shared" si="7"/>
      </c>
      <c r="CY150" s="91" t="str">
        <f t="shared" si="7"/>
      </c>
      <c r="CZ150" s="91" t="str">
        <f t="shared" si="7"/>
      </c>
      <c r="DA150" s="91" t="str">
        <f t="shared" si="7"/>
      </c>
      <c r="DB150" s="91" t="str">
        <f t="shared" si="7"/>
      </c>
      <c r="DC150" s="91" t="str">
        <f t="shared" si="7"/>
      </c>
      <c r="DD150" s="91" t="str">
        <f t="shared" si="7"/>
      </c>
      <c r="DE150" s="91" t="str">
        <f t="shared" si="7"/>
      </c>
      <c r="DF150" s="91" t="str">
        <f t="shared" si="7"/>
      </c>
      <c r="DG150" s="91" t="str">
        <f t="shared" si="7"/>
      </c>
      <c r="DH150" s="91" t="str">
        <f t="shared" si="7"/>
      </c>
      <c r="DI150" s="91" t="str">
        <f t="shared" si="7"/>
      </c>
      <c r="DJ150" s="91" t="str">
        <f t="shared" si="7"/>
      </c>
      <c r="DK150" s="91" t="str">
        <f t="shared" si="7"/>
      </c>
      <c r="DL150" s="91" t="str">
        <f t="shared" si="7"/>
      </c>
      <c r="DM150" s="91" t="str">
        <f t="shared" si="7"/>
      </c>
      <c r="DN150" s="91" t="str">
        <f t="shared" si="7"/>
      </c>
      <c r="DO150" s="91" t="str">
        <f t="shared" si="7"/>
      </c>
      <c r="DP150" s="91" t="str">
        <f t="shared" si="7"/>
      </c>
      <c r="DQ150" s="91" t="str">
        <f t="shared" si="7"/>
      </c>
      <c r="DR150" s="91" t="str">
        <f t="shared" si="7"/>
      </c>
      <c r="DS150" s="91" t="str">
        <f t="shared" si="7"/>
      </c>
      <c r="DT150" s="91" t="str">
        <f t="shared" si="7"/>
      </c>
      <c r="DU150" s="91" t="str">
        <f t="shared" si="7"/>
      </c>
      <c r="DV150" s="91" t="str">
        <f t="shared" si="7"/>
      </c>
      <c r="DW150" s="91" t="str">
        <f t="shared" si="7"/>
      </c>
      <c r="DX150" s="91" t="str">
        <f t="shared" si="7"/>
      </c>
      <c r="DY150" s="91" t="str">
        <f t="shared" si="7"/>
      </c>
      <c r="DZ150" s="91" t="str">
        <f t="shared" si="7"/>
      </c>
      <c r="EA150" s="91" t="str">
        <f t="shared" si="7"/>
      </c>
      <c r="EB150" s="91" t="str">
        <f t="shared" si="7"/>
      </c>
      <c r="EC150" s="91" t="str">
        <f t="shared" si="7"/>
      </c>
      <c r="ED150" s="91" t="str">
        <f t="shared" si="7"/>
      </c>
      <c r="EE150" s="91" t="str">
        <f t="shared" si="7"/>
      </c>
      <c r="EF150" s="91" t="str">
        <f t="shared" si="7"/>
      </c>
      <c r="EG150" s="91" t="str">
        <f t="shared" si="7"/>
      </c>
      <c r="EH150" s="91" t="str">
        <f t="shared" si="7"/>
      </c>
      <c r="EI150" s="91" t="str">
        <f t="shared" si="7"/>
      </c>
      <c r="EJ150" s="91" t="str">
        <f t="shared" si="7"/>
      </c>
      <c r="EK150" s="91" t="str">
        <f t="shared" si="7"/>
      </c>
      <c r="EL150" s="91" t="str">
        <f t="shared" si="7"/>
      </c>
      <c r="EM150" s="91" t="str">
        <f t="shared" si="7"/>
      </c>
      <c r="EN150" s="91" t="str">
        <f t="shared" si="7"/>
      </c>
      <c r="EO150" s="91" t="str">
        <f t="shared" si="7"/>
      </c>
      <c r="EP150" s="91" t="str">
        <f t="shared" si="7"/>
      </c>
      <c r="EQ150" s="91" t="str">
        <f t="shared" si="7"/>
      </c>
      <c r="ER150" s="91" t="str">
        <f t="shared" si="7"/>
      </c>
      <c r="ES150" s="91" t="str">
        <f t="shared" si="7"/>
      </c>
      <c r="ET150" s="91" t="str">
        <f t="shared" si="7"/>
      </c>
      <c r="EU150" s="91" t="str">
        <f t="shared" si="7"/>
      </c>
      <c r="EV150" s="91" t="str">
        <f t="shared" si="7"/>
      </c>
      <c r="EW150" s="91" t="str">
        <f t="shared" si="7"/>
      </c>
      <c r="EX150" s="91" t="str">
        <f t="shared" si="7"/>
      </c>
      <c r="EY150" s="91" t="str">
        <f t="shared" si="7"/>
      </c>
      <c r="EZ150" s="91" t="str">
        <f t="shared" si="7"/>
      </c>
      <c r="FA150" s="91" t="str">
        <f ref="FA150:HL150" t="shared" si="8">IF(SUM(FA131:FA149)&lt;&gt;0,SUM(FA131:FA149),"")</f>
      </c>
      <c r="FB150" s="91" t="str">
        <f t="shared" si="8"/>
      </c>
      <c r="FC150" s="91" t="str">
        <f t="shared" si="8"/>
      </c>
      <c r="FD150" s="91" t="str">
        <f t="shared" si="8"/>
      </c>
      <c r="FE150" s="91" t="str">
        <f t="shared" si="8"/>
      </c>
      <c r="FF150" s="91" t="str">
        <f t="shared" si="8"/>
      </c>
      <c r="FG150" s="91" t="str">
        <f t="shared" si="8"/>
      </c>
      <c r="FH150" s="91" t="str">
        <f t="shared" si="8"/>
      </c>
      <c r="FI150" s="91" t="str">
        <f t="shared" si="8"/>
      </c>
      <c r="FJ150" s="91" t="str">
        <f t="shared" si="8"/>
      </c>
      <c r="FK150" s="91" t="str">
        <f t="shared" si="8"/>
      </c>
      <c r="FL150" s="91" t="str">
        <f t="shared" si="8"/>
      </c>
      <c r="FM150" s="91" t="str">
        <f t="shared" si="8"/>
      </c>
      <c r="FN150" s="91" t="str">
        <f t="shared" si="8"/>
      </c>
      <c r="FO150" s="91" t="str">
        <f t="shared" si="8"/>
      </c>
      <c r="FP150" s="91" t="str">
        <f t="shared" si="8"/>
      </c>
      <c r="FQ150" s="91" t="str">
        <f t="shared" si="8"/>
      </c>
      <c r="FR150" s="91" t="str">
        <f t="shared" si="8"/>
      </c>
      <c r="FS150" s="91" t="str">
        <f t="shared" si="8"/>
      </c>
      <c r="FT150" s="91" t="str">
        <f t="shared" si="8"/>
      </c>
      <c r="FU150" s="91" t="str">
        <f t="shared" si="8"/>
      </c>
      <c r="FV150" s="91" t="str">
        <f t="shared" si="8"/>
      </c>
      <c r="FW150" s="91" t="str">
        <f t="shared" si="8"/>
      </c>
      <c r="FX150" s="91" t="str">
        <f t="shared" si="8"/>
      </c>
      <c r="FY150" s="91" t="str">
        <f t="shared" si="8"/>
      </c>
      <c r="FZ150" s="91" t="str">
        <f t="shared" si="8"/>
      </c>
      <c r="GA150" s="91" t="str">
        <f t="shared" si="8"/>
      </c>
      <c r="GB150" s="91" t="str">
        <f t="shared" si="8"/>
      </c>
      <c r="GC150" s="91" t="str">
        <f t="shared" si="8"/>
      </c>
      <c r="GD150" s="91" t="str">
        <f t="shared" si="8"/>
      </c>
      <c r="GE150" s="91" t="str">
        <f t="shared" si="8"/>
      </c>
      <c r="GF150" s="91" t="str">
        <f t="shared" si="8"/>
      </c>
      <c r="GG150" s="91" t="str">
        <f t="shared" si="8"/>
      </c>
      <c r="GH150" s="91" t="str">
        <f t="shared" si="8"/>
      </c>
      <c r="GI150" s="91" t="str">
        <f t="shared" si="8"/>
      </c>
      <c r="GJ150" s="91" t="str">
        <f t="shared" si="8"/>
      </c>
      <c r="GK150" s="91" t="str">
        <f t="shared" si="8"/>
      </c>
      <c r="GL150" s="91" t="str">
        <f t="shared" si="8"/>
      </c>
      <c r="GM150" s="91" t="str">
        <f t="shared" si="8"/>
      </c>
      <c r="GN150" s="91" t="str">
        <f t="shared" si="8"/>
      </c>
      <c r="GO150" s="91" t="str">
        <f t="shared" si="8"/>
      </c>
      <c r="GP150" s="91" t="str">
        <f t="shared" si="8"/>
      </c>
      <c r="GQ150" s="91" t="str">
        <f t="shared" si="8"/>
      </c>
      <c r="GR150" s="91" t="str">
        <f t="shared" si="8"/>
      </c>
      <c r="GS150" s="91" t="str">
        <f t="shared" si="8"/>
      </c>
      <c r="GT150" s="91" t="str">
        <f t="shared" si="8"/>
      </c>
      <c r="GU150" s="91" t="str">
        <f t="shared" si="8"/>
      </c>
      <c r="GV150" s="91" t="str">
        <f t="shared" si="8"/>
      </c>
      <c r="GW150" s="91" t="str">
        <f t="shared" si="8"/>
      </c>
      <c r="GX150" s="91" t="str">
        <f t="shared" si="8"/>
      </c>
      <c r="GY150" s="91" t="str">
        <f t="shared" si="8"/>
      </c>
      <c r="GZ150" s="91" t="str">
        <f t="shared" si="8"/>
      </c>
      <c r="HA150" s="91" t="str">
        <f t="shared" si="8"/>
      </c>
      <c r="HB150" s="91" t="str">
        <f t="shared" si="8"/>
      </c>
      <c r="HC150" s="91" t="str">
        <f t="shared" si="8"/>
      </c>
      <c r="HD150" s="91" t="str">
        <f t="shared" si="8"/>
      </c>
      <c r="HE150" s="91" t="str">
        <f t="shared" si="8"/>
      </c>
      <c r="HF150" s="91" t="str">
        <f t="shared" si="8"/>
      </c>
      <c r="HG150" s="91" t="str">
        <f t="shared" si="8"/>
      </c>
      <c r="HH150" s="91" t="str">
        <f t="shared" si="8"/>
      </c>
      <c r="HI150" s="91" t="str">
        <f t="shared" si="8"/>
      </c>
      <c r="HJ150" s="91" t="str">
        <f t="shared" si="8"/>
      </c>
      <c r="HK150" s="91" t="str">
        <f t="shared" si="8"/>
      </c>
      <c r="HL150" s="91" t="str">
        <f t="shared" si="8"/>
      </c>
      <c r="HM150" s="91" t="str">
        <f ref="HM150:IV150" t="shared" si="9">IF(SUM(HM131:HM149)&lt;&gt;0,SUM(HM131:HM149),"")</f>
      </c>
      <c r="HN150" s="91" t="str">
        <f t="shared" si="9"/>
      </c>
      <c r="HO150" s="91" t="str">
        <f t="shared" si="9"/>
      </c>
      <c r="HP150" s="91" t="str">
        <f t="shared" si="9"/>
      </c>
      <c r="HQ150" s="91" t="str">
        <f t="shared" si="9"/>
      </c>
      <c r="HR150" s="91" t="str">
        <f t="shared" si="9"/>
      </c>
      <c r="HS150" s="91" t="str">
        <f t="shared" si="9"/>
      </c>
      <c r="HT150" s="91" t="str">
        <f t="shared" si="9"/>
      </c>
      <c r="HU150" s="91" t="str">
        <f t="shared" si="9"/>
      </c>
      <c r="HV150" s="91" t="str">
        <f t="shared" si="9"/>
      </c>
      <c r="HW150" s="91" t="str">
        <f t="shared" si="9"/>
      </c>
      <c r="HX150" s="91" t="str">
        <f t="shared" si="9"/>
      </c>
      <c r="HY150" s="91" t="str">
        <f t="shared" si="9"/>
      </c>
      <c r="HZ150" s="91" t="str">
        <f t="shared" si="9"/>
      </c>
      <c r="IA150" s="91" t="str">
        <f t="shared" si="9"/>
      </c>
      <c r="IB150" s="91" t="str">
        <f t="shared" si="9"/>
      </c>
      <c r="IC150" s="91" t="str">
        <f t="shared" si="9"/>
      </c>
      <c r="ID150" s="91" t="str">
        <f t="shared" si="9"/>
      </c>
      <c r="IE150" s="91" t="str">
        <f t="shared" si="9"/>
      </c>
      <c r="IF150" s="91" t="str">
        <f t="shared" si="9"/>
      </c>
      <c r="IG150" s="91" t="str">
        <f t="shared" si="9"/>
      </c>
      <c r="IH150" s="91" t="str">
        <f t="shared" si="9"/>
      </c>
      <c r="II150" s="91" t="str">
        <f t="shared" si="9"/>
      </c>
      <c r="IJ150" s="91" t="str">
        <f t="shared" si="9"/>
      </c>
      <c r="IK150" s="91" t="str">
        <f t="shared" si="9"/>
      </c>
      <c r="IL150" s="91" t="str">
        <f t="shared" si="9"/>
      </c>
      <c r="IM150" s="91" t="str">
        <f t="shared" si="9"/>
      </c>
      <c r="IN150" s="91" t="str">
        <f t="shared" si="9"/>
      </c>
      <c r="IO150" s="91" t="str">
        <f t="shared" si="9"/>
      </c>
      <c r="IP150" s="91" t="str">
        <f t="shared" si="9"/>
      </c>
      <c r="IQ150" s="91" t="str">
        <f t="shared" si="9"/>
      </c>
      <c r="IR150" s="91" t="str">
        <f t="shared" si="9"/>
      </c>
      <c r="IS150" s="91" t="str">
        <f t="shared" si="9"/>
      </c>
      <c r="IT150" s="91" t="str">
        <f t="shared" si="9"/>
      </c>
      <c r="IU150" s="91" t="str">
        <f t="shared" si="9"/>
      </c>
      <c r="IV150" s="91" t="str">
        <f t="shared" si="9"/>
      </c>
    </row>
    <row r="151" hidden="1" ht="13.5"/>
    <row r="152" hidden="1">
      <c r="B152" s="509" t="s">
        <v>8</v>
      </c>
      <c r="C152" s="505" t="e">
        <f>INDIRECT(ADDRESS(131,MATCH(9000000000+307,'12.2- PAVOS (SUBEXPLOT)'!131:131,1),1,,"12.2- PAVOS (SUBEXPLOT)"))</f>
        <v>#N/A</v>
      </c>
    </row>
    <row r="153" hidden="1">
      <c r="B153" s="507" t="s">
        <v>9</v>
      </c>
      <c r="C153" s="505" t="e">
        <f>INDIRECT(ADDRESS(132,MATCH(9000000000+307,'12.2- PAVOS (SUBEXPLOT)'!132:132,1),1,,"12.2- PAVOS (SUBEXPLOT)"))</f>
        <v>#N/A</v>
      </c>
    </row>
    <row r="154" hidden="1" ht="15" customHeight="1">
      <c r="B154" s="507" t="s">
        <v>10</v>
      </c>
      <c r="C154" s="505" t="e">
        <f>INDIRECT(ADDRESS(133,MATCH(9000000000+307,'12.2- PAVOS (SUBEXPLOT)'!133:133,1),1,,"12.2- PAVOS (SUBEXPLOT)"))</f>
        <v>#N/A</v>
      </c>
    </row>
    <row r="155" hidden="1">
      <c r="B155" s="507" t="s">
        <v>11</v>
      </c>
      <c r="C155" s="505" t="e">
        <f>INDIRECT(ADDRESS(134,MATCH(9000000000+307,'12.2- PAVOS (SUBEXPLOT)'!134:134,1),1,,"12.2- PAVOS (SUBEXPLOT)"))</f>
        <v>#N/A</v>
      </c>
    </row>
    <row r="156" hidden="1">
      <c r="B156" s="507" t="s">
        <v>12</v>
      </c>
      <c r="C156" s="505" t="e">
        <f>INDIRECT(ADDRESS(135,MATCH(9000000000+307,'12.2- PAVOS (SUBEXPLOT)'!135:135,1),1,,"12.2- PAVOS (SUBEXPLOT)"))</f>
        <v>#N/A</v>
      </c>
    </row>
    <row r="157" hidden="1">
      <c r="B157" s="507" t="s">
        <v>13</v>
      </c>
      <c r="C157" s="505" t="e">
        <f>INDIRECT(ADDRESS(136,MATCH(9000000000+307,'12.2- PAVOS (SUBEXPLOT)'!136:136,1),1,,"12.2- PAVOS (SUBEXPLOT)"))</f>
        <v>#N/A</v>
      </c>
    </row>
    <row r="158" hidden="1">
      <c r="B158" s="507" t="s">
        <v>109</v>
      </c>
      <c r="C158" s="505" t="e">
        <f>INDIRECT(ADDRESS(137,MATCH(9000000000+307,'12.2- PAVOS (SUBEXPLOT)'!137:137,1),1,,"12.2- PAVOS (SUBEXPLOT)"))</f>
        <v>#N/A</v>
      </c>
    </row>
    <row r="159" hidden="1">
      <c r="B159" s="507" t="s">
        <v>110</v>
      </c>
      <c r="C159" s="505" t="e">
        <f>INDIRECT(ADDRESS(138,MATCH(9000000000+307,'12.2- PAVOS (SUBEXPLOT)'!138:138,1),1,,"12.2- PAVOS (SUBEXPLOT)"))</f>
        <v>#N/A</v>
      </c>
    </row>
    <row r="160" hidden="1">
      <c r="B160" s="507" t="s">
        <v>16</v>
      </c>
      <c r="C160" s="505" t="e">
        <f>INDIRECT(ADDRESS(139,MATCH(9000000000+307,'12.2- PAVOS (SUBEXPLOT)'!139:139,1),1,,"12.2- PAVOS (SUBEXPLOT)"))</f>
        <v>#N/A</v>
      </c>
    </row>
    <row r="161" hidden="1">
      <c r="B161" s="507" t="s">
        <v>17</v>
      </c>
      <c r="C161" s="505" t="e">
        <f>INDIRECT(ADDRESS(140,MATCH(9000000000+307,'12.2- PAVOS (SUBEXPLOT)'!140:140,1),1,,"12.2- PAVOS (SUBEXPLOT)"))</f>
        <v>#N/A</v>
      </c>
    </row>
    <row r="162" hidden="1">
      <c r="B162" s="507" t="s">
        <v>18</v>
      </c>
      <c r="C162" s="505" t="e">
        <f>INDIRECT(ADDRESS(141,MATCH(9000000000+307,'12.2- PAVOS (SUBEXPLOT)'!141:141,1),1,,"12.2- PAVOS (SUBEXPLOT)"))</f>
        <v>#N/A</v>
      </c>
    </row>
    <row r="163" hidden="1">
      <c r="B163" s="507" t="s">
        <v>19</v>
      </c>
      <c r="C163" s="505" t="e">
        <f>INDIRECT(ADDRESS(142,MATCH(9000000000+307,'12.2- PAVOS (SUBEXPLOT)'!142:142,1),1,,"12.2- PAVOS (SUBEXPLOT)"))</f>
        <v>#N/A</v>
      </c>
    </row>
    <row r="164" hidden="1">
      <c r="B164" s="507" t="s">
        <v>20</v>
      </c>
      <c r="C164" s="505" t="e">
        <f>INDIRECT(ADDRESS(143,MATCH(9000000000+307,'12.2- PAVOS (SUBEXPLOT)'!143:143,1),1,,"12.2- PAVOS (SUBEXPLOT)"))</f>
        <v>#N/A</v>
      </c>
    </row>
    <row r="165" hidden="1">
      <c r="B165" s="507" t="s">
        <v>21</v>
      </c>
      <c r="C165" s="505" t="e">
        <f>INDIRECT(ADDRESS(144,MATCH(9000000000+307,'12.2- PAVOS (SUBEXPLOT)'!144:144,1),1,,"12.2- PAVOS (SUBEXPLOT)"))</f>
        <v>#N/A</v>
      </c>
    </row>
    <row r="166" hidden="1">
      <c r="B166" s="507" t="s">
        <v>22</v>
      </c>
      <c r="C166" s="505" t="e">
        <f>INDIRECT(ADDRESS(145,MATCH(9000000000+307,'12.2- PAVOS (SUBEXPLOT)'!145:145,1),1,,"12.2- PAVOS (SUBEXPLOT)"))</f>
        <v>#N/A</v>
      </c>
    </row>
    <row r="167" hidden="1">
      <c r="B167" s="507" t="s">
        <v>23</v>
      </c>
      <c r="C167" s="505" t="e">
        <f>INDIRECT(ADDRESS(146,MATCH(9000000000+307,'12.2- PAVOS (SUBEXPLOT)'!146:146,1),1,,"12.2- PAVOS (SUBEXPLOT)"))</f>
        <v>#N/A</v>
      </c>
    </row>
    <row r="168" hidden="1">
      <c r="B168" s="508" t="s">
        <v>24</v>
      </c>
      <c r="C168" s="505" t="e">
        <f>INDIRECT(ADDRESS(147,MATCH(9000000000+307,'12.2- PAVOS (SUBEXPLOT)'!147:147,1),1,,"12.2- PAVOS (SUBEXPLOT)"))</f>
        <v>#N/A</v>
      </c>
    </row>
    <row r="169" hidden="1">
      <c r="B169" s="507" t="s">
        <v>25</v>
      </c>
      <c r="C169" s="505" t="e">
        <f>INDIRECT(ADDRESS(148,MATCH(9000000000+307,'12.2- PAVOS (SUBEXPLOT)'!148:148,1),1,,"12.2- PAVOS (SUBEXPLOT)"))</f>
        <v>#N/A</v>
      </c>
    </row>
    <row r="170" hidden="1" ht="13.5">
      <c r="B170" s="506" t="s">
        <v>26</v>
      </c>
      <c r="C170" s="505" t="e">
        <f>INDIRECT(ADDRESS(149,MATCH(9000000000+307,'12.2- PAVOS (SUBEXPLOT)'!149:149,1),1,,"12.2- PAVOS (SUBEXPLOT)"))</f>
        <v>#N/A</v>
      </c>
    </row>
    <row r="175" ht="15" customHeight="1"/>
  </sheetData>
  <sheetProtection sheet="1" autoFilter="0" objects="1" scenarios="1" sort="0" password="ed66"/>
  <mergeCells>
    <mergeCell ref="C106:AB106"/>
    <mergeCell ref="C129:AB129"/>
    <mergeCell ref="C20:M20"/>
    <mergeCell ref="C23:M24"/>
    <mergeCell ref="B9:E9"/>
    <mergeCell ref="C14:M14"/>
    <mergeCell ref="C15:M15"/>
    <mergeCell ref="C18:M18"/>
  </mergeCells>
  <phoneticPr fontId="3" type="noConversion"/>
  <printOptions horizontalCentered="1"/>
  <pageMargins left="0.78740157480314965" right="0.78740157480314965" top="0.98425196850393704" bottom="0.98425196850393704" header="0" footer="0"/>
  <pageSetup paperSize="9" scale="47" orientation="portrait"/>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98305" r:id="rId4" name="Drop Down 1">
              <controlPr defaultSize="0" autoLine="0" autoPict="0">
                <anchor moveWithCells="1">
                  <from>
                    <xdr:col>5</xdr:col>
                    <xdr:colOff>0</xdr:colOff>
                    <xdr:row>7</xdr:row>
                    <xdr:rowOff>9525</xdr:rowOff>
                  </from>
                  <to>
                    <xdr:col>7</xdr:col>
                    <xdr:colOff>200025</xdr:colOff>
                    <xdr:row>9</xdr:row>
                    <xdr:rowOff>9525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ontainsText" priority="9" operator="containsText" id="{42388211-180D-4B09-A225-7DE1A86CBB18}">
            <xm:f>NOT(ISERROR(SEARCH("",AC150)))</xm:f>
            <xm:f>""</xm:f>
            <x14:dxf>
              <numFmt numFmtId="3" formatCode="#,##0"/>
              <border>
                <left style="thin">
                  <color auto="1"/>
                </left>
                <right style="thin">
                  <color auto="1"/>
                </right>
                <top style="thin">
                  <color auto="1"/>
                </top>
                <bottom style="thin">
                  <color auto="1"/>
                </bottom>
                <vertical/>
                <horizontal/>
              </border>
            </x14:dxf>
          </x14:cfRule>
          <xm:sqref>AC150:IV150</xm:sqref>
        </x14:conditionalFormatting>
        <x14:conditionalFormatting xmlns:xm="http://schemas.microsoft.com/office/excel/2006/main">
          <x14:cfRule type="containsText" priority="8" operator="containsText" id="{5C3AAD9B-E64B-4827-BDE9-913C301084B4}">
            <xm:f>NOT(ISERROR(SEARCH("",C131)))</xm:f>
            <xm:f>""</xm:f>
            <x14:dxf>
              <numFmt numFmtId="3" formatCode="#,##0"/>
              <border>
                <right style="thin">
                  <color auto="1"/>
                </right>
                <top style="thin">
                  <color auto="1"/>
                </top>
                <bottom style="thin">
                  <color auto="1"/>
                </bottom>
                <vertical/>
                <horizontal/>
              </border>
            </x14:dxf>
          </x14:cfRule>
          <xm:sqref>C131:IV149</xm:sqref>
        </x14:conditionalFormatting>
        <x14:conditionalFormatting xmlns:xm="http://schemas.microsoft.com/office/excel/2006/main">
          <x14:cfRule type="containsText" priority="3" operator="containsText" id="{D2A7BEB8-6E79-46B6-8F9D-69F025067B62}">
            <xm:f>NOT(ISERROR(SEARCH("",AD107)))</xm:f>
            <xm:f>""</xm:f>
            <x14:dxf>
              <numFmt numFmtId="3" formatCode="#,##0"/>
              <border>
                <left style="thin">
                  <color auto="1"/>
                </left>
                <right style="thin">
                  <color auto="1"/>
                </right>
                <top style="thin">
                  <color auto="1"/>
                </top>
                <bottom style="thin">
                  <color auto="1"/>
                </bottom>
                <vertical/>
                <horizontal/>
              </border>
            </x14:dxf>
          </x14:cfRule>
          <xm:sqref>AD107:AG107 AI107:AL107 AN107:AQ107 AS107:AV107 AX107:BA107 BC107:BF107 BH107:BK107 BM107:BP107 BR107:BU107 BW107:BZ107 CB107:CE107 CG107:CJ107 CL107:CO107 CQ107:CT107 CV107:CY107 DA107:DD107 DF107:DI107 DK107:DN107 DP107:DS107 DU107:DX107 DZ107:EC107 EE107:EH107 EJ107:EM107 EO107:ER107 ET107:EW107 EY107:FB107 FD107:FG107 FI107:FL107 FN107:FQ107 FS107:FV107 FX107:GA107 GC107:GF107 GH107:GK107 GM107:GP107 GR107:GU107 GW107:GZ107 HB107:HE107 HG107:HJ107 HL107:HO107 HQ107:HT107 HV107:HY107 IA107:ID107 IF107:II107 IK107:IN107 IP107:IS107 IU107:IV107</xm:sqref>
        </x14:conditionalFormatting>
        <x14:conditionalFormatting xmlns:xm="http://schemas.microsoft.com/office/excel/2006/main">
          <x14:cfRule type="containsText" priority="7" operator="containsText" id="{72D2594D-BCF7-4488-B71A-B829AE91ED54}">
            <xm:f>NOT(ISERROR(SEARCH("",AD130)))</xm:f>
            <xm:f>""</xm:f>
            <x14:dxf>
              <numFmt numFmtId="3" formatCode="#,##0"/>
              <border>
                <left style="thin">
                  <color auto="1"/>
                </left>
                <right style="thin">
                  <color auto="1"/>
                </right>
                <top style="thin">
                  <color auto="1"/>
                </top>
                <bottom style="thin">
                  <color auto="1"/>
                </bottom>
                <vertical/>
                <horizontal/>
              </border>
            </x14:dxf>
          </x14:cfRule>
          <xm:sqref>AD130:AG130 AI130:AL130 AN130:AQ130 AS130:AV130 AX130:BA130 BC130:BF130 BH130:BK130 BM130:BP130 BR130:BU130 BW130:BZ130 CB130:CE130 CG130:CJ130 CL130:CO130 CQ130:CT130 CV130:CY130 DA130:DD130 DF130:DI130 DK130:DN130 DP130:DS130 DU130:DX130 DZ130:EC130 EE130:EH130 EJ130:EM130 EO130:ER130 ET130:EW130 EY130:FB130 FD130:FG130 FI130:FL130 FN130:FQ130 FS130:FV130 FX130:GA130 GC130:GF130 GH130:GK130 GM130:GP130 GR130:GU130 GW130:GZ130 HB130:HE130 HG130:HJ130 HL130:HO130 HQ130:HT130 HV130:HY130 IA130:ID130 IF130:II130 IK130:IN130 IP130:IS130 IU130:IV130</xm:sqref>
        </x14:conditionalFormatting>
        <x14:conditionalFormatting xmlns:xm="http://schemas.microsoft.com/office/excel/2006/main">
          <x14:cfRule type="containsText" priority="6" operator="containsText" id="{4D2C5ABD-82E9-4991-BE0B-857BB0D208AA}">
            <xm:f>NOT(ISERROR(SEARCH("",AC130)))</xm:f>
            <xm:f>""</xm:f>
            <x14:dxf>
              <numFmt numFmtId="3" formatCode="#,##0"/>
              <border>
                <left style="thin">
                  <color auto="1"/>
                </left>
                <right style="thin">
                  <color auto="1"/>
                </right>
                <top style="thin">
                  <color auto="1"/>
                </top>
                <bottom style="thin">
                  <color auto="1"/>
                </bottom>
                <vertical/>
                <horizontal/>
              </border>
            </x14:dxf>
          </x14:cfRule>
          <xm:sqref>AC130 AH130 AM130 AR130 AW130 BB130 BG130 BL130 BQ130 BV130 CA130 CF130 CK130 CP130 CU130 CZ130 DE130 DJ130 DO130 DT130 DY130 ED130 EI130 EN130 ES130 EX130 FC130 FH130 FM130 FR130 FW130 GB130 GG130 GL130 GQ130 GV130 HA130 HF130 HK130 HP130 HU130 HZ130 IE130 IJ130 IO130 IT130</xm:sqref>
        </x14:conditionalFormatting>
        <x14:conditionalFormatting xmlns:xm="http://schemas.microsoft.com/office/excel/2006/main">
          <x14:cfRule type="containsText" priority="5" operator="containsText" id="{9CD8690F-6167-4A3A-85FA-81C5689179BC}">
            <xm:f>NOT(ISERROR(SEARCH("",AC127)))</xm:f>
            <xm:f>""</xm:f>
            <x14:dxf>
              <numFmt numFmtId="3" formatCode="#,##0"/>
              <border>
                <left style="thin">
                  <color auto="1"/>
                </left>
                <right style="thin">
                  <color auto="1"/>
                </right>
                <top style="thin">
                  <color auto="1"/>
                </top>
                <bottom style="thin">
                  <color auto="1"/>
                </bottom>
                <vertical/>
                <horizontal/>
              </border>
            </x14:dxf>
          </x14:cfRule>
          <xm:sqref>AC127:IV127</xm:sqref>
        </x14:conditionalFormatting>
        <x14:conditionalFormatting xmlns:xm="http://schemas.microsoft.com/office/excel/2006/main">
          <x14:cfRule type="containsText" priority="4" operator="containsText" id="{983B09EA-1394-41D0-A7ED-18EDC02A56A4}">
            <xm:f>NOT(ISERROR(SEARCH("",C108)))</xm:f>
            <xm:f>""</xm:f>
            <x14:dxf>
              <numFmt numFmtId="3" formatCode="#,##0"/>
              <border>
                <right style="thin">
                  <color auto="1"/>
                </right>
                <top style="thin">
                  <color auto="1"/>
                </top>
                <bottom style="thin">
                  <color auto="1"/>
                </bottom>
                <vertical/>
                <horizontal/>
              </border>
            </x14:dxf>
          </x14:cfRule>
          <xm:sqref>C108:IV126</xm:sqref>
        </x14:conditionalFormatting>
        <x14:conditionalFormatting xmlns:xm="http://schemas.microsoft.com/office/excel/2006/main">
          <x14:cfRule type="containsText" priority="2" operator="containsText" id="{77EEE7C4-7E7B-4FF9-8E73-856C53045922}">
            <xm:f>NOT(ISERROR(SEARCH("",AC107)))</xm:f>
            <xm:f>""</xm:f>
            <x14:dxf>
              <numFmt numFmtId="3" formatCode="#,##0"/>
              <border>
                <left style="thin">
                  <color auto="1"/>
                </left>
                <right style="thin">
                  <color auto="1"/>
                </right>
                <top style="thin">
                  <color auto="1"/>
                </top>
                <bottom style="thin">
                  <color auto="1"/>
                </bottom>
                <vertical/>
                <horizontal/>
              </border>
            </x14:dxf>
          </x14:cfRule>
          <xm:sqref>AC107 AH107 AM107 AR107 AW107 BB107 BG107 BL107 BQ107 BV107 CA107 CF107 CK107 CP107 CU107 CZ107 DE107 DJ107 DO107 DT107 DY107 ED107 EI107 EN107 ES107 EX107 FC107 FH107 FM107 FR107 FW107 GB107 GG107 GL107 GQ107 GV107 HA107 HF107 HK107 HP107 HU107 HZ107 IE107 IJ107 IO107 IT107</xm:sqref>
        </x14:conditionalFormatting>
        <x14:conditionalFormatting xmlns:xm="http://schemas.microsoft.com/office/excel/2006/main">
          <x14:cfRule type="containsText" priority="1" operator="containsText" id="{0FEDE49E-3CF1-48FB-8D39-546BC584C591}">
            <xm:f>NOT(ISERROR(SEARCH("",C152)))</xm:f>
            <xm:f>""</xm:f>
            <x14:dxf>
              <numFmt numFmtId="3" formatCode="#,##0"/>
              <border>
                <right style="thin">
                  <color auto="1"/>
                </right>
                <top style="thin">
                  <color auto="1"/>
                </top>
                <bottom style="thin">
                  <color auto="1"/>
                </bottom>
                <vertical/>
                <horizontal/>
              </border>
            </x14:dxf>
          </x14:cfRule>
          <xm:sqref>C152:C170</xm:sqref>
        </x14:conditionalFormatting>
      </x14:conditionalFormattings>
    </ext>
  </extLs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mc:Ignorable="x14ac xr">
  <sheetPr codeName="Hoja24">
    <tabColor indexed="44"/>
  </sheetPr>
  <dimension ref="A1:IV214"/>
  <sheetViews>
    <sheetView showGridLines="0" view="pageBreakPreview" zoomScaleNormal="100" workbookViewId="0">
      <pane ySplit="9" topLeftCell="A10" activePane="bottomLeft" state="frozen"/>
      <selection pane="bottomLeft" activeCell="A10" sqref="A10"/>
    </sheetView>
  </sheetViews>
  <sheetFormatPr baseColWidth="10" defaultRowHeight="12.75"/>
  <cols>
    <col min="1" max="1" width="11.42578125" customWidth="1" style="51"/>
    <col min="2" max="2" bestFit="1" width="19.5703125" customWidth="1" style="51"/>
    <col min="3" max="11" width="11.7109375" customWidth="1" style="51"/>
    <col min="12" max="12" width="11.140625" customWidth="1" style="51"/>
    <col min="13" max="16384" width="11.42578125" customWidth="1" style="51"/>
  </cols>
  <sheetData>
    <row r="1">
      <c r="A1" s="46"/>
      <c r="B1" s="47"/>
      <c r="C1" s="47"/>
      <c r="D1" s="47"/>
      <c r="E1" s="47"/>
      <c r="F1" s="47"/>
      <c r="G1" s="47"/>
      <c r="H1" s="47"/>
      <c r="I1" s="47"/>
      <c r="J1" s="47"/>
      <c r="K1" s="47"/>
      <c r="L1" s="47"/>
      <c r="M1" s="47"/>
      <c r="N1" s="48"/>
      <c r="O1" s="49"/>
      <c r="P1" s="50"/>
    </row>
    <row r="2">
      <c r="A2" s="52"/>
      <c r="B2" s="49"/>
      <c r="C2" s="49"/>
      <c r="D2" s="49"/>
      <c r="E2" s="49"/>
      <c r="F2" s="49"/>
      <c r="G2" s="49"/>
      <c r="H2" s="49"/>
      <c r="I2" s="49"/>
      <c r="J2" s="49"/>
      <c r="K2" s="49"/>
      <c r="L2" s="49"/>
      <c r="M2" s="49"/>
      <c r="N2" s="53"/>
      <c r="O2" s="49"/>
      <c r="P2" s="50"/>
    </row>
    <row r="3">
      <c r="A3" s="52"/>
      <c r="B3" s="49"/>
      <c r="C3" s="49"/>
      <c r="D3" s="49"/>
      <c r="E3" s="49"/>
      <c r="F3" s="49"/>
      <c r="G3" s="49"/>
      <c r="H3" s="49"/>
      <c r="I3" s="49"/>
      <c r="J3" s="49"/>
      <c r="K3" s="49"/>
      <c r="L3" s="49"/>
      <c r="M3" s="49"/>
      <c r="N3" s="53"/>
      <c r="O3" s="49"/>
      <c r="P3" s="50"/>
    </row>
    <row r="4">
      <c r="A4" s="52"/>
      <c r="B4" s="49"/>
      <c r="C4" s="49"/>
      <c r="D4" s="49"/>
      <c r="E4" s="49"/>
      <c r="F4" s="49"/>
      <c r="G4" s="49"/>
      <c r="H4" s="49"/>
      <c r="I4" s="49"/>
      <c r="J4" s="49"/>
      <c r="K4" s="49"/>
      <c r="L4" s="49"/>
      <c r="M4" s="49"/>
      <c r="N4" s="53"/>
      <c r="O4" s="49"/>
      <c r="P4" s="50"/>
    </row>
    <row r="5">
      <c r="A5" s="52"/>
      <c r="B5" s="49"/>
      <c r="C5" s="49"/>
      <c r="D5" s="49"/>
      <c r="E5" s="49"/>
      <c r="F5" s="49"/>
      <c r="G5" s="49"/>
      <c r="H5" s="49"/>
      <c r="I5" s="49"/>
      <c r="J5" s="49"/>
      <c r="K5" s="49"/>
      <c r="L5" s="49"/>
      <c r="M5" s="49"/>
      <c r="N5" s="53"/>
      <c r="O5" s="49"/>
      <c r="P5" s="50"/>
    </row>
    <row r="6" ht="13.5">
      <c r="A6" s="54"/>
      <c r="B6" s="55"/>
      <c r="C6" s="55"/>
      <c r="D6" s="55"/>
      <c r="E6" s="55"/>
      <c r="F6" s="55"/>
      <c r="G6" s="55"/>
      <c r="H6" s="55"/>
      <c r="I6" s="55"/>
      <c r="J6" s="55"/>
      <c r="K6" s="55"/>
      <c r="L6" s="55"/>
      <c r="M6" s="55"/>
      <c r="N6" s="56"/>
      <c r="O6" s="49"/>
      <c r="P6" s="50"/>
    </row>
    <row r="7" s="57" customFormat="1">
      <c r="O7" s="58"/>
      <c r="P7" s="58"/>
    </row>
    <row r="8">
      <c r="F8" s="131">
        <v>20</v>
      </c>
      <c r="I8" s="51" t="s">
        <v>100</v>
      </c>
      <c r="J8" s="51" t="e">
        <f>LOOKUP(AUX!$E$10,AUX!$B:$B,AUX!$A:$A)</f>
        <v>#N/A</v>
      </c>
      <c r="O8" s="50"/>
      <c r="P8" s="50"/>
    </row>
    <row r="9">
      <c r="B9" s="597" t="s">
        <v>101</v>
      </c>
      <c r="C9" s="597"/>
      <c r="D9" s="597"/>
      <c r="E9" s="597"/>
      <c r="I9" s="51" t="s">
        <v>1</v>
      </c>
      <c r="J9" s="51" t="str">
        <f>LOOKUP(AUX!$E$11,AUX!$E1:$E5,AUX!$D1:$D5)</f>
        <v>6 meses</v>
      </c>
      <c r="O9" s="50"/>
      <c r="P9" s="50"/>
    </row>
    <row r="10">
      <c r="O10" s="50"/>
      <c r="P10" s="50"/>
    </row>
    <row r="11">
      <c r="O11" s="50"/>
      <c r="P11" s="50"/>
    </row>
    <row r="12">
      <c r="O12" s="50"/>
      <c r="P12" s="50"/>
    </row>
    <row r="13" ht="13.5">
      <c r="O13" s="50"/>
      <c r="P13" s="50"/>
    </row>
    <row r="14" ht="15.75">
      <c r="C14" s="610" t="s">
        <v>411</v>
      </c>
      <c r="D14" s="611"/>
      <c r="E14" s="611"/>
      <c r="F14" s="611"/>
      <c r="G14" s="611"/>
      <c r="H14" s="611"/>
      <c r="I14" s="611"/>
      <c r="J14" s="611"/>
      <c r="K14" s="611"/>
      <c r="L14" s="611"/>
      <c r="M14" s="612"/>
      <c r="O14" s="50"/>
      <c r="P14" s="50"/>
    </row>
    <row r="15" ht="15.75">
      <c r="C15" s="794" t="s">
        <v>412</v>
      </c>
      <c r="D15" s="795"/>
      <c r="E15" s="795"/>
      <c r="F15" s="795"/>
      <c r="G15" s="795"/>
      <c r="H15" s="795"/>
      <c r="I15" s="795"/>
      <c r="J15" s="795"/>
      <c r="K15" s="795"/>
      <c r="L15" s="795"/>
      <c r="M15" s="796"/>
      <c r="O15" s="50"/>
      <c r="P15" s="50"/>
    </row>
    <row r="16" ht="16.5" customHeight="1">
      <c r="C16" s="141"/>
      <c r="D16" s="142"/>
      <c r="E16" s="142"/>
      <c r="F16" s="142"/>
      <c r="G16" s="142"/>
      <c r="H16" s="142"/>
      <c r="I16" s="142"/>
      <c r="J16" s="142"/>
      <c r="K16" s="142"/>
      <c r="L16" s="142"/>
      <c r="M16" s="143"/>
      <c r="O16" s="50"/>
      <c r="P16" s="50"/>
    </row>
    <row r="17" ht="16.5" customHeight="1">
      <c r="B17" s="164"/>
      <c r="C17" s="145" t="e">
        <f>INDEX(AUX!$G$1:$IV$1,1,AUX!$E$10+(AUX!$E$11*AUX!G$2))</f>
        <v>#VALUE!</v>
      </c>
      <c r="D17" s="146">
        <f>INDEX(AUX!$G$1:$IV$1,1,AUX!$E$10+(AUX!$E$11*AUX!H$2))</f>
        <v>38899</v>
      </c>
      <c r="E17" s="146">
        <f>INDEX(AUX!$G$1:$IV$1,1,AUX!$E$10+(AUX!$E$11*AUX!I$2))</f>
        <v>39083</v>
      </c>
      <c r="F17" s="146">
        <f>INDEX(AUX!$G$1:$IV$1,1,AUX!$E$10+(AUX!$E$11*AUX!J$2))</f>
        <v>39264</v>
      </c>
      <c r="G17" s="146">
        <f>INDEX(AUX!$G$1:$IV$1,1,AUX!$E$10+(AUX!$E$11*AUX!K$2))</f>
        <v>39448</v>
      </c>
      <c r="H17" s="146">
        <f>INDEX(AUX!$G$1:$IV$1,1,AUX!$E$10+(AUX!$E$11*AUX!L$2))</f>
        <v>39630</v>
      </c>
      <c r="I17" s="146">
        <f>INDEX(AUX!$G$1:$IV$1,1,AUX!$E$10+(AUX!$E$11*AUX!M$2))</f>
        <v>39814</v>
      </c>
      <c r="J17" s="146">
        <f>INDEX(AUX!$G$1:$IV$1,1,AUX!$E$10+(AUX!$E$11*AUX!N$2))</f>
        <v>39995</v>
      </c>
      <c r="K17" s="146">
        <f>INDEX(AUX!$G$1:$IV$1,1,AUX!$E$10+(AUX!$E$11*AUX!O$2))</f>
        <v>40179</v>
      </c>
      <c r="L17" s="146">
        <f>INDEX(AUX!$G$1:$IV$1,1,AUX!$E$10+(AUX!$E$11*AUX!P$2))</f>
        <v>40360</v>
      </c>
      <c r="M17" s="147">
        <f>INDEX(AUX!$G$1:$IV$1,1,AUX!$E$10+(AUX!$E$11*AUX!Q$2))</f>
        <v>40544</v>
      </c>
      <c r="N17" s="164"/>
      <c r="O17" s="344"/>
      <c r="P17" s="50"/>
    </row>
    <row r="18" ht="15.75">
      <c r="C18" s="797" t="s">
        <v>377</v>
      </c>
      <c r="D18" s="798"/>
      <c r="E18" s="798"/>
      <c r="F18" s="798"/>
      <c r="G18" s="798"/>
      <c r="H18" s="798"/>
      <c r="I18" s="798"/>
      <c r="J18" s="798"/>
      <c r="K18" s="798"/>
      <c r="L18" s="798"/>
      <c r="M18" s="799"/>
      <c r="O18" s="50"/>
      <c r="P18" s="50"/>
    </row>
    <row r="19" ht="15.75">
      <c r="B19" s="359" t="str">
        <f>INDEX($B$129:$H$148,$F$8,1)</f>
        <v>Total</v>
      </c>
      <c r="C19" s="289" t="str">
        <f>IF(INDEX($C$129:$II$148,$F$8,AUX!$E$10+(AUX!$E$11*AUX!G$2))="","--",IF(INDEX($C$129:$II$148,$F$8,AUX!$E$10+(AUX!$E$11*AUX!G$2))=0,"-",INDEX($C$129:$II$148,$F$8,AUX!$E$10+(AUX!$E$11*AUX!G$2))))</f>
        <v>--</v>
      </c>
      <c r="D19" s="290" t="str">
        <f>IF(INDEX($C$129:$II$148,$F$8,AUX!$E$10+(AUX!$E$11*AUX!H$2))="","--",IF(INDEX($C$129:$II$148,$F$8,AUX!$E$10+(AUX!$E$11*AUX!H$2))=0,"-",INDEX($C$129:$II$148,$F$8,AUX!$E$10+(AUX!$E$11*AUX!H$2))))</f>
        <v>--</v>
      </c>
      <c r="E19" s="290" t="str">
        <f>IF(INDEX($C$129:$II$148,$F$8,AUX!$E$10+(AUX!$E$11*AUX!I$2))="","--",IF(INDEX($C$129:$II$148,$F$8,AUX!$E$10+(AUX!$E$11*AUX!I$2))=0,"-",INDEX($C$129:$II$148,$F$8,AUX!$E$10+(AUX!$E$11*AUX!I$2))))</f>
        <v>--</v>
      </c>
      <c r="F19" s="290" t="str">
        <f>IF(INDEX($C$129:$II$148,$F$8,AUX!$E$10+(AUX!$E$11*AUX!J$2))="","--",IF(INDEX($C$129:$II$148,$F$8,AUX!$E$10+(AUX!$E$11*AUX!J$2))=0,"--",INDEX($C$129:$II$148,$F$8,AUX!$E$10+(AUX!$E$11*AUX!J$2))))</f>
        <v>--</v>
      </c>
      <c r="G19" s="290" t="str">
        <f>IF(INDEX($C$129:$II$148,$F$8,AUX!$E$10+(AUX!$E$11*AUX!K$2))="","--",IF(INDEX($C$129:$II$148,$F$8,AUX!$E$10+(AUX!$E$11*AUX!K$2))=0,"-",INDEX($C$129:$II$148,$F$8,AUX!$E$10+(AUX!$E$11*AUX!K$2))))</f>
        <v>--</v>
      </c>
      <c r="H19" s="290" t="str">
        <f>IF(INDEX($C$129:$II$148,$F$8,AUX!$E$10+(AUX!$E$11*AUX!L$2))="","--",IF(INDEX($C$129:$II$148,$F$8,AUX!$E$10+(AUX!$E$11*AUX!L$2))=0,"-",INDEX($C$129:$II$148,$F$8,AUX!$E$10+(AUX!$E$11*AUX!L$2))))</f>
        <v>--</v>
      </c>
      <c r="I19" s="290" t="str">
        <f>IF(INDEX($C$129:$II$148,$F$8,AUX!$E$10+(AUX!$E$11*AUX!M$2))="","--",IF(INDEX($C$129:$II$148,$F$8,AUX!$E$10+(AUX!$E$11*AUX!M$2))=0,"-",INDEX($C$129:$II$148,$F$8,AUX!$E$10+(AUX!$E$11*AUX!M$2))))</f>
        <v>--</v>
      </c>
      <c r="J19" s="290" t="str">
        <f>IF(INDEX($C$129:$II$148,$F$8,AUX!$E$10+(AUX!$E$11*AUX!N$2))="","--",IF(INDEX($C$129:$II$148,$F$8,AUX!$E$10+(AUX!$E$11*AUX!N$2))=0,"-",INDEX($C$129:$II$148,$F$8,AUX!$E$10+(AUX!$E$11*AUX!N$2))))</f>
        <v>--</v>
      </c>
      <c r="K19" s="290" t="str">
        <f>IF(INDEX($C$129:$II$148,$F$8,AUX!$E$10+(AUX!$E$11*AUX!O$2))="","--",IF(INDEX($C$129:$II$148,$F$8,AUX!$E$10+(AUX!$E$11*AUX!O$2))=0,"-",INDEX($C$129:$II$148,$F$8,AUX!$E$10+(AUX!$E$11*AUX!O$2))))</f>
        <v>--</v>
      </c>
      <c r="L19" s="290" t="str">
        <f>IF(INDEX($C$129:$II$148,$F$8,AUX!$E$10+(AUX!$E$11*AUX!P$2))="","--",IF(INDEX($C$129:$II$148,$F$8,AUX!$E$10+(AUX!$E$11*AUX!P$2))=0,"-",INDEX($C$129:$II$148,$F$8,AUX!$E$10+(AUX!$E$11*AUX!P$2))))</f>
        <v>--</v>
      </c>
      <c r="M19" s="291" t="str">
        <f>IF(INDEX($C$129:$II$148,$F$8,AUX!$E$10+(AUX!$E$11*AUX!Q$2))="","--",IF(INDEX($C$129:$II$148,$F$8,AUX!$E$10+(AUX!$E$11*AUX!Q$2))=0,"-",INDEX($C$129:$II$148,$F$8,AUX!$E$10+(AUX!$E$11*AUX!Q$2))))</f>
        <v>--</v>
      </c>
      <c r="N19" s="335"/>
      <c r="O19" s="50"/>
    </row>
    <row r="20" ht="17.25" customHeight="1">
      <c r="B20" s="288"/>
      <c r="C20" s="797" t="s">
        <v>184</v>
      </c>
      <c r="D20" s="798"/>
      <c r="E20" s="798"/>
      <c r="F20" s="798"/>
      <c r="G20" s="798"/>
      <c r="H20" s="798"/>
      <c r="I20" s="798"/>
      <c r="J20" s="798"/>
      <c r="K20" s="798"/>
      <c r="L20" s="798"/>
      <c r="M20" s="799"/>
      <c r="N20" s="201"/>
      <c r="O20" s="335"/>
      <c r="P20" s="50"/>
    </row>
    <row r="21" ht="16.5" customHeight="1">
      <c r="C21" s="523" t="str">
        <f>IF(INDEX($C$195:$II$214,$F$8,AUX!$E$10+(AUX!$E$11*AUX!G$2))="","--",IF(INDEX($C$195:$II$214,$F$8,AUX!$E$10+(AUX!$E$11*AUX!G$2))=0,"-",INDEX($C$195:$II$214,$F$8,AUX!$E$10+(AUX!$E$11*AUX!G$2))))</f>
        <v>--</v>
      </c>
      <c r="D21" s="521" t="str">
        <f>IF(INDEX($C$195:$II$214,$F$8,AUX!$E$10+(AUX!$E$11*AUX!H$2))="","--",IF(INDEX($C$195:$II$214,$F$8,AUX!$E$10+(AUX!$E$11*AUX!H$2))=0,"-",INDEX($C$195:$II$214,$F$8,AUX!$E$10+(AUX!$E$11*AUX!H$2))))</f>
        <v>--</v>
      </c>
      <c r="E21" s="293" t="str">
        <f>IF(INDEX($C$195:$II$214,$F$8,AUX!$E$10+(AUX!$E$11*AUX!I$2))="","--",IF(INDEX($C$195:$II$214,$F$8,AUX!$E$10+(AUX!$E$11*AUX!I$2))=0,"-",INDEX($C$195:$II$214,$F$8,AUX!$E$10+(AUX!$E$11*AUX!I$2))))</f>
        <v>--</v>
      </c>
      <c r="F21" s="293" t="str">
        <f>IF(INDEX($C$195:$II$214,$F$8,AUX!$E$10+(AUX!$E$11*AUX!J$2))="","--",IF(INDEX($C$195:$II$214,$F$8,AUX!$E$10+(AUX!$E$11*AUX!J$2))=0,"-",INDEX($C$195:$II$214,$F$8,AUX!$E$10+(AUX!$E$11*AUX!J$2))))</f>
        <v>--</v>
      </c>
      <c r="G21" s="293" t="str">
        <f>IF(INDEX($C$195:$II$214,$F$8,AUX!$E$10+(AUX!$E$11*AUX!K$2))="","--",IF(INDEX($C$195:$II$214,$F$8,AUX!$E$10+(AUX!$E$11*AUX!K$2))=0,"-",INDEX($C$195:$II$214,$F$8,AUX!$E$10+(AUX!$E$11*AUX!K$2))))</f>
        <v>--</v>
      </c>
      <c r="H21" s="293" t="str">
        <f>IF(INDEX($C$195:$II$214,$F$8,AUX!$E$10+(AUX!$E$11*AUX!L$2))="","--",IF(INDEX($C$195:$II$214,$F$8,AUX!$E$10+(AUX!$E$11*AUX!L$2))=0,"-",INDEX($C$195:$II$214,$F$8,AUX!$E$10+(AUX!$E$11*AUX!L$2))))</f>
        <v>--</v>
      </c>
      <c r="I21" s="524" t="str">
        <f>IF(INDEX($C$195:$II$214,$F$8,AUX!$E$10+(AUX!$E$11*AUX!M$2))="","--",IF(INDEX($C$195:$II$214,$F$8,AUX!$E$10+(AUX!$E$11*AUX!M$2))=0,"-",INDEX($C$195:$II$214,$F$8,AUX!$E$10+(AUX!$E$11*AUX!M$2))))</f>
        <v>--</v>
      </c>
      <c r="J21" s="293" t="str">
        <f>IF(INDEX($C$195:$II$214,$F$8,AUX!$E$10+(AUX!$E$11*AUX!N$2))="","--",IF(INDEX($C$195:$II$214,$F$8,AUX!$E$10+(AUX!$E$11*AUX!N$2))=0,"-",INDEX($C$195:$II$214,$F$8,AUX!$E$10+(AUX!$E$11*AUX!N$2))))</f>
        <v>--</v>
      </c>
      <c r="K21" s="524" t="str">
        <f>IF(INDEX($C$195:$II$214,$F$8,AUX!$E$10+(AUX!$E$11*AUX!O$2))="","--",IF(INDEX($C$195:$II$214,$F$8,AUX!$E$10+(AUX!$E$11*AUX!O$2))=0,"-",INDEX($C$195:$II$214,$F$8,AUX!$E$10+(AUX!$E$11*AUX!O$2))))</f>
        <v>--</v>
      </c>
      <c r="L21" s="521" t="str">
        <f>IF(INDEX($C$195:$II$214,$F$8,AUX!$E$10+(AUX!$E$11*AUX!P$2))="","--",IF(INDEX($C$195:$II$214,$F$8,AUX!$E$10+(AUX!$E$11*AUX!P$2))=0,"-",INDEX($C$195:$II$214,$F$8,AUX!$E$10+(AUX!$E$11*AUX!P$2))))</f>
        <v>--</v>
      </c>
      <c r="M21" s="294" t="str">
        <f>IF(INDEX($C$195:$II$214,$F$8,AUX!$E$10+(AUX!$E$11*AUX!Q$2))="","--",IF(INDEX($C$195:$II$214,$F$8,AUX!$E$10+(AUX!$E$11*AUX!Q$2))=0,"-",INDEX($C$195:$II$214,$F$8,AUX!$E$10+(AUX!$E$11*AUX!Q$2))))</f>
        <v>--</v>
      </c>
      <c r="N21" s="522"/>
      <c r="O21" s="50"/>
    </row>
    <row r="22" ht="15">
      <c r="B22" s="209"/>
      <c r="C22" s="797" t="s">
        <v>106</v>
      </c>
      <c r="D22" s="798"/>
      <c r="E22" s="798"/>
      <c r="F22" s="798"/>
      <c r="G22" s="798"/>
      <c r="H22" s="798"/>
      <c r="I22" s="798"/>
      <c r="J22" s="798"/>
      <c r="K22" s="798"/>
      <c r="L22" s="798"/>
      <c r="M22" s="799"/>
      <c r="N22" s="201"/>
      <c r="O22" s="335"/>
      <c r="P22" s="50"/>
    </row>
    <row r="23" ht="15">
      <c r="B23" s="209"/>
      <c r="C23" s="292" t="str">
        <f>IF(INDEX($C$152:$II$171,$F$8,AUX!$E$10+(AUX!$E$11*AUX!G$2))="","--",IF(INDEX($C$152:$II$171,$F$8,AUX!$E$10+(AUX!$E$11*AUX!G$2))=0,"-",INDEX($C$152:$II$171,$F$8,AUX!$E$10+(AUX!$E$11*AUX!G$2))))</f>
        <v>--</v>
      </c>
      <c r="D23" s="293" t="str">
        <f>IF(INDEX($C$152:$II$171,$F$8,AUX!$E$10+(AUX!$E$11*AUX!H$2))="","--",IF(INDEX($C$152:$II$171,$F$8,AUX!$E$10+(AUX!$E$11*AUX!H$2))=0,"-",INDEX($C$152:$II$171,$F$8,AUX!$E$10+(AUX!$E$11*AUX!H$2))))</f>
        <v>--</v>
      </c>
      <c r="E23" s="293" t="str">
        <f>IF(INDEX($C$152:$II$171,$F$8,AUX!$E$10+(AUX!$E$11*AUX!I$2))="","--",IF(INDEX($C$152:$II$171,$F$8,AUX!$E$10+(AUX!$E$11*AUX!I$2))=0,"-",INDEX($C$152:$II$171,$F$8,AUX!$E$10+(AUX!$E$11*AUX!I$2))))</f>
        <v>--</v>
      </c>
      <c r="F23" s="293" t="str">
        <f>IF(INDEX($C$152:$II$171,$F$8,AUX!$E$10+(AUX!$E$11*AUX!J$2))="","--",IF(INDEX($C$152:$II$171,$F$8,AUX!$E$10+(AUX!$E$11*AUX!J$2))=0,"-",INDEX($C$152:$II$171,$F$8,AUX!$E$10+(AUX!$E$11*AUX!J$2))))</f>
        <v>--</v>
      </c>
      <c r="G23" s="293" t="str">
        <f>IF(INDEX($C$152:$II$171,$F$8,AUX!$E$10+(AUX!$E$11*AUX!K$2))="","--",IF(INDEX($C$152:$II$171,$F$8,AUX!$E$10+(AUX!$E$11*AUX!K$2))=0,"-",INDEX($C$152:$II$171,$F$8,AUX!$E$10+(AUX!$E$11*AUX!K$2))))</f>
        <v>--</v>
      </c>
      <c r="H23" s="293" t="str">
        <f>IF(INDEX($C$152:$II$171,$F$8,AUX!$E$10+(AUX!$E$11*AUX!L$2))="","--",IF(INDEX($C$152:$II$171,$F$8,AUX!$E$10+(AUX!$E$11*AUX!L$2))=0,"-",INDEX($C$152:$II$171,$F$8,AUX!$E$10+(AUX!$E$11*AUX!L$2))))</f>
        <v>--</v>
      </c>
      <c r="I23" s="293" t="str">
        <f>IF(INDEX($C$152:$II$171,$F$8,AUX!$E$10+(AUX!$E$11*AUX!M$2))="","--",IF(INDEX($C$152:$II$171,$F$8,AUX!$E$10+(AUX!$E$11*AUX!M$2))=0,"-",INDEX($C$152:$II$171,$F$8,AUX!$E$10+(AUX!$E$11*AUX!M$2))))</f>
        <v>--</v>
      </c>
      <c r="J23" s="293" t="str">
        <f>IF(INDEX($C$152:$II$171,$F$8,AUX!$E$10+(AUX!$E$11*AUX!N$2))="","--",IF(INDEX($C$152:$II$171,$F$8,AUX!$E$10+(AUX!$E$11*AUX!N$2))=0,"-",INDEX($C$152:$II$171,$F$8,AUX!$E$10+(AUX!$E$11*AUX!N$2))))</f>
        <v>--</v>
      </c>
      <c r="K23" s="293" t="str">
        <f>IF(INDEX($C$152:$II$171,$F$8,AUX!$E$10+(AUX!$E$11*AUX!O$2))="","--",IF(INDEX($C$152:$II$171,$F$8,AUX!$E$10+(AUX!$E$11*AUX!O$2))=0,"-",INDEX($C$152:$II$171,$F$8,AUX!$E$10+(AUX!$E$11*AUX!O$2))))</f>
        <v>--</v>
      </c>
      <c r="L23" s="293" t="str">
        <f>IF(INDEX($C$152:$II$171,$F$8,AUX!$E$10+(AUX!$E$11*AUX!P$2))="","--",IF(INDEX($C$152:$II$171,$F$8,AUX!$E$10+(AUX!$E$11*AUX!P$2))=0,"-",INDEX($C$152:$II$171,$F$8,AUX!$E$10+(AUX!$E$11*AUX!P$2))))</f>
        <v>--</v>
      </c>
      <c r="M23" s="294" t="str">
        <f>IF(INDEX($C$152:$II$171,$F$8,AUX!$E$10+(AUX!$E$11*AUX!Q$2))="","--",IF(INDEX($C$152:$II$171,$F$8,AUX!$E$10+(AUX!$E$11*AUX!Q$2))=0,"-",INDEX($C$152:$II$171,$F$8,AUX!$E$10+(AUX!$E$11*AUX!Q$2))))</f>
        <v>--</v>
      </c>
      <c r="N23" s="202"/>
      <c r="O23" s="50"/>
      <c r="P23" s="50"/>
    </row>
    <row r="24" ht="13.5">
      <c r="C24" s="354"/>
      <c r="D24" s="354"/>
      <c r="E24" s="354"/>
      <c r="F24" s="354"/>
      <c r="G24" s="354"/>
      <c r="H24" s="354"/>
      <c r="M24" s="50"/>
      <c r="N24" s="50"/>
      <c r="O24" s="50"/>
      <c r="P24" s="50"/>
      <c r="Q24" s="50"/>
    </row>
    <row r="25" ht="12.75" customHeight="1">
      <c r="C25" s="748" t="s">
        <v>413</v>
      </c>
      <c r="D25" s="774"/>
      <c r="E25" s="774"/>
      <c r="F25" s="774"/>
      <c r="G25" s="774"/>
      <c r="H25" s="774"/>
      <c r="I25" s="774"/>
      <c r="J25" s="774"/>
      <c r="K25" s="774"/>
      <c r="L25" s="774"/>
      <c r="M25" s="775"/>
      <c r="O25" s="50"/>
      <c r="P25" s="50"/>
    </row>
    <row r="26" ht="13.5">
      <c r="C26" s="776"/>
      <c r="D26" s="777"/>
      <c r="E26" s="777"/>
      <c r="F26" s="777"/>
      <c r="G26" s="777"/>
      <c r="H26" s="777"/>
      <c r="I26" s="777"/>
      <c r="J26" s="777"/>
      <c r="K26" s="777"/>
      <c r="L26" s="777"/>
      <c r="M26" s="778"/>
      <c r="O26" s="50"/>
      <c r="P26" s="50"/>
    </row>
    <row r="27">
      <c r="C27" s="336"/>
      <c r="D27" s="336"/>
      <c r="E27" s="336"/>
      <c r="F27" s="336"/>
      <c r="G27" s="336"/>
      <c r="H27" s="336"/>
      <c r="O27" s="50"/>
      <c r="P27" s="50"/>
    </row>
    <row r="28">
      <c r="O28" s="50"/>
      <c r="P28" s="50"/>
    </row>
    <row r="29">
      <c r="O29" s="50"/>
      <c r="P29" s="50"/>
    </row>
    <row r="30">
      <c r="O30" s="50"/>
      <c r="P30" s="50"/>
    </row>
    <row r="31">
      <c r="O31" s="50"/>
      <c r="P31" s="50"/>
    </row>
    <row r="122" ht="15.95" customHeight="1"/>
    <row r="123" ht="15.95" customHeight="1"/>
    <row r="124" ht="15.95" customHeight="1"/>
    <row r="125" ht="15.95" customHeight="1"/>
    <row r="126" hidden="1" ht="15.95" customHeight="1">
      <c r="M126" s="50"/>
    </row>
    <row r="127" hidden="1" ht="15.95" customHeight="1">
      <c r="C127" s="686" t="s">
        <v>410</v>
      </c>
      <c r="D127" s="687"/>
      <c r="E127" s="687"/>
      <c r="F127" s="687"/>
      <c r="G127" s="687"/>
      <c r="H127" s="687"/>
      <c r="I127" s="687"/>
      <c r="J127" s="687"/>
      <c r="K127" s="687"/>
      <c r="L127" s="687"/>
      <c r="M127" s="687"/>
      <c r="N127" s="687"/>
      <c r="O127" s="687"/>
      <c r="P127" s="687"/>
      <c r="Q127" s="687"/>
      <c r="R127" s="687"/>
      <c r="S127" s="687"/>
      <c r="T127" s="687"/>
      <c r="U127" s="687"/>
      <c r="V127" s="687"/>
      <c r="W127" s="687"/>
      <c r="X127" s="687"/>
      <c r="Y127" s="687"/>
      <c r="Z127" s="687"/>
      <c r="AA127" s="687"/>
      <c r="AB127" s="688"/>
    </row>
    <row r="128" hidden="1" ht="15.95" customHeight="1">
      <c r="C128" s="435" t="str">
        <f> IF(C148&lt;&gt;"",TEXT(AUX!G$1,"dd-MMM-aa"),"")</f>
      </c>
      <c r="D128" s="435" t="str">
        <f> IF(D148&lt;&gt;"",TEXT(AUX!H$1,"dd-MMM-aa"),"")</f>
      </c>
      <c r="E128" s="435" t="str">
        <f> IF(E148&lt;&gt;"",TEXT(AUX!I$1,"dd-MMM-aa"),"")</f>
      </c>
      <c r="F128" s="435" t="str">
        <f> IF(F148&lt;&gt;"",TEXT(AUX!J$1,"dd-MMM-aa"),"")</f>
      </c>
      <c r="G128" s="435" t="str">
        <f> IF(G148&lt;&gt;"",TEXT(AUX!K$1,"dd-MMM-aa"),"")</f>
      </c>
      <c r="H128" s="435" t="str">
        <f> IF(H148&lt;&gt;"",TEXT(AUX!L$1,"dd-MMM-aa"),"")</f>
      </c>
      <c r="I128" s="435" t="str">
        <f> IF(I148&lt;&gt;"",TEXT(AUX!M$1,"dd-MMM-aa"),"")</f>
      </c>
      <c r="J128" s="435" t="str">
        <f> IF(J148&lt;&gt;"",TEXT(AUX!N$1,"dd-MMM-aa"),"")</f>
      </c>
      <c r="K128" s="435" t="str">
        <f> IF(K148&lt;&gt;"",TEXT(AUX!O$1,"dd-MMM-aa"),"")</f>
      </c>
      <c r="L128" s="435" t="str">
        <f> IF(L148&lt;&gt;"",TEXT(AUX!P$1,"dd-MMM-aa"),"")</f>
      </c>
      <c r="M128" s="435" t="str">
        <f> IF(M148&lt;&gt;"",TEXT(AUX!Q$1,"dd-MMM-aa"),"")</f>
      </c>
      <c r="N128" s="435" t="str">
        <f> IF(N148&lt;&gt;"",TEXT(AUX!R$1,"dd-MMM-aa"),"")</f>
      </c>
      <c r="O128" s="435" t="str">
        <f> IF(O148&lt;&gt;"",TEXT(AUX!S$1,"dd-MMM-aa"),"")</f>
      </c>
      <c r="P128" s="435" t="str">
        <f> IF(P148&lt;&gt;"",TEXT(AUX!T$1,"dd-MMM-aa"),"")</f>
      </c>
      <c r="Q128" s="435" t="str">
        <f> IF(Q148&lt;&gt;"",TEXT(AUX!U$1,"dd-MMM-aa"),"")</f>
      </c>
      <c r="R128" s="435" t="str">
        <f> IF(R148&lt;&gt;"",TEXT(AUX!V$1,"dd-MMM-aa"),"")</f>
      </c>
      <c r="S128" s="435" t="str">
        <f> IF(S148&lt;&gt;"",TEXT(AUX!W$1,"dd-MMM-aa"),"")</f>
      </c>
      <c r="T128" s="435" t="str">
        <f> IF(T148&lt;&gt;"",TEXT(AUX!X$1,"dd-MMM-aa"),"")</f>
      </c>
      <c r="U128" s="435" t="str">
        <f> IF(U148&lt;&gt;"",TEXT(AUX!Y$1,"dd-MMM-aa"),"")</f>
      </c>
      <c r="V128" s="435" t="str">
        <f> IF(V148&lt;&gt;"",TEXT(AUX!Z$1,"dd-MMM-aa"),"")</f>
      </c>
      <c r="W128" s="435" t="str">
        <f> IF(W148&lt;&gt;"",TEXT(AUX!AA$1,"dd-MMM-aa"),"")</f>
      </c>
      <c r="X128" s="435" t="str">
        <f> IF(X148&lt;&gt;"",TEXT(AUX!AB$1,"dd-MMM-aa"),"")</f>
      </c>
      <c r="Y128" s="435" t="str">
        <f> IF(Y148&lt;&gt;"",TEXT(AUX!AC$1,"dd-MMM-aa"),"")</f>
      </c>
      <c r="Z128" s="435" t="str">
        <f> IF(Z148&lt;&gt;"",TEXT(AUX!AD$1,"dd-MMM-aa"),"")</f>
      </c>
      <c r="AA128" s="435" t="str">
        <f> IF(AA148&lt;&gt;"",TEXT(AUX!AE$1,"dd-MMM-aa"),"")</f>
      </c>
      <c r="AB128" s="497" t="str">
        <f> IF(AB148&lt;&gt;"",TEXT(AUX!AF$1,"dd-MMM-aa"),"")</f>
      </c>
      <c r="AC128" s="496" t="str">
        <f> IF(AC148&lt;&gt;"",TEXT(AUX!AG$1,"dd-MMM-aa"),"")</f>
      </c>
      <c r="AD128" s="496" t="str">
        <f> IF(AD148&lt;&gt;"",TEXT(AUX!AH$1,"dd-MMM-aa"),"")</f>
      </c>
      <c r="AE128" s="496" t="str">
        <f> IF(AE148&lt;&gt;"",TEXT(AUX!AI$1,"dd-MMM-aa"),"")</f>
      </c>
      <c r="AF128" s="496" t="str">
        <f> IF(AF148&lt;&gt;"",TEXT(AUX!AJ$1,"dd-MMM-aa"),"")</f>
      </c>
      <c r="AG128" s="496" t="str">
        <f> IF(AG148&lt;&gt;"",TEXT(AUX!AK$1,"dd-MMM-aa"),"")</f>
      </c>
      <c r="AH128" s="496" t="str">
        <f> IF(AH148&lt;&gt;"",TEXT(AUX!AL$1,"dd-MMM-aa"),"")</f>
      </c>
      <c r="AI128" s="496" t="str">
        <f> IF(AI148&lt;&gt;"",TEXT(AUX!AM$1,"dd-MMM-aa"),"")</f>
      </c>
      <c r="AJ128" s="496" t="str">
        <f> IF(AJ148&lt;&gt;"",TEXT(AUX!AN$1,"dd-MMM-aa"),"")</f>
      </c>
      <c r="AK128" s="496" t="str">
        <f> IF(AK148&lt;&gt;"",TEXT(AUX!AO$1,"dd-MMM-aa"),"")</f>
      </c>
      <c r="AL128" s="496" t="str">
        <f> IF(AL148&lt;&gt;"",TEXT(AUX!AP$1,"dd-MMM-aa"),"")</f>
      </c>
      <c r="AM128" s="496" t="str">
        <f> IF(AM148&lt;&gt;"",TEXT(AUX!AQ$1,"dd-MMM-aa"),"")</f>
      </c>
      <c r="AN128" s="496" t="str">
        <f> IF(AN148&lt;&gt;"",TEXT(AUX!AR$1,"dd-MMM-aa"),"")</f>
      </c>
      <c r="AO128" s="496" t="str">
        <f> IF(AO148&lt;&gt;"",TEXT(AUX!AS$1,"dd-MMM-aa"),"")</f>
      </c>
      <c r="AP128" s="496" t="str">
        <f> IF(AP148&lt;&gt;"",TEXT(AUX!AT$1,"dd-MMM-aa"),"")</f>
      </c>
      <c r="AQ128" s="496" t="str">
        <f> IF(AQ148&lt;&gt;"",TEXT(AUX!AU$1,"dd-MMM-aa"),"")</f>
      </c>
      <c r="AR128" s="496" t="str">
        <f> IF(AR148&lt;&gt;"",TEXT(AUX!AV$1,"dd-MMM-aa"),"")</f>
      </c>
      <c r="AS128" s="496" t="str">
        <f> IF(AS148&lt;&gt;"",TEXT(AUX!AW$1,"dd-MMM-aa"),"")</f>
      </c>
      <c r="AT128" s="496" t="str">
        <f> IF(AT148&lt;&gt;"",TEXT(AUX!AX$1,"dd-MMM-aa"),"")</f>
      </c>
      <c r="AU128" s="496" t="str">
        <f> IF(AU148&lt;&gt;"",TEXT(AUX!AY$1,"dd-MMM-aa"),"")</f>
      </c>
      <c r="AV128" s="496" t="str">
        <f> IF(AV148&lt;&gt;"",TEXT(AUX!AZ$1,"dd-MMM-aa"),"")</f>
      </c>
      <c r="AW128" s="496" t="str">
        <f> IF(AW148&lt;&gt;"",TEXT(AUX!BA$1,"dd-MMM-aa"),"")</f>
      </c>
      <c r="AX128" s="496" t="str">
        <f> IF(AX148&lt;&gt;"",TEXT(AUX!BB$1,"dd-MMM-aa"),"")</f>
      </c>
      <c r="AY128" s="496" t="str">
        <f> IF(AY148&lt;&gt;"",TEXT(AUX!BC$1,"dd-MMM-aa"),"")</f>
      </c>
      <c r="AZ128" s="496" t="str">
        <f> IF(AZ148&lt;&gt;"",TEXT(AUX!BD$1,"dd-MMM-aa"),"")</f>
      </c>
      <c r="BA128" s="496" t="str">
        <f> IF(BA148&lt;&gt;"",TEXT(AUX!BE$1,"dd-MMM-aa"),"")</f>
      </c>
      <c r="BB128" s="496" t="str">
        <f> IF(BB148&lt;&gt;"",TEXT(AUX!BF$1,"dd-MMM-aa"),"")</f>
      </c>
      <c r="BC128" s="496" t="str">
        <f> IF(BC148&lt;&gt;"",TEXT(AUX!BG$1,"dd-MMM-aa"),"")</f>
      </c>
      <c r="BD128" s="496" t="str">
        <f> IF(BD148&lt;&gt;"",TEXT(AUX!BH$1,"dd-MMM-aa"),"")</f>
      </c>
      <c r="BE128" s="496" t="str">
        <f> IF(BE148&lt;&gt;"",TEXT(AUX!BI$1,"dd-MMM-aa"),"")</f>
      </c>
      <c r="BF128" s="496" t="str">
        <f> IF(BF148&lt;&gt;"",TEXT(AUX!BJ$1,"dd-MMM-aa"),"")</f>
      </c>
      <c r="BG128" s="496" t="str">
        <f> IF(BG148&lt;&gt;"",TEXT(AUX!BK$1,"dd-MMM-aa"),"")</f>
      </c>
      <c r="BH128" s="496" t="str">
        <f> IF(BH148&lt;&gt;"",TEXT(AUX!BL$1,"dd-MMM-aa"),"")</f>
      </c>
      <c r="BI128" s="496" t="str">
        <f> IF(BI148&lt;&gt;"",TEXT(AUX!BM$1,"dd-MMM-aa"),"")</f>
      </c>
      <c r="BJ128" s="496" t="str">
        <f> IF(BJ148&lt;&gt;"",TEXT(AUX!BN$1,"dd-MMM-aa"),"")</f>
      </c>
      <c r="BK128" s="496" t="str">
        <f> IF(BK148&lt;&gt;"",TEXT(AUX!BO$1,"dd-MMM-aa"),"")</f>
      </c>
      <c r="BL128" s="496" t="str">
        <f> IF(BL148&lt;&gt;"",TEXT(AUX!BP$1,"dd-MMM-aa"),"")</f>
      </c>
      <c r="BM128" s="496" t="str">
        <f> IF(BM148&lt;&gt;"",TEXT(AUX!BQ$1,"dd-MMM-aa"),"")</f>
      </c>
      <c r="BN128" s="496" t="str">
        <f> IF(BN148&lt;&gt;"",TEXT(AUX!BR$1,"dd-MMM-aa"),"")</f>
      </c>
      <c r="BO128" s="496" t="str">
        <f> IF(BO148&lt;&gt;"",TEXT(AUX!BS$1,"dd-MMM-aa"),"")</f>
      </c>
      <c r="BP128" s="496" t="str">
        <f> IF(BP148&lt;&gt;"",TEXT(AUX!BT$1,"dd-MMM-aa"),"")</f>
      </c>
      <c r="BQ128" s="496" t="str">
        <f> IF(BQ148&lt;&gt;"",TEXT(AUX!BU$1,"dd-MMM-aa"),"")</f>
      </c>
      <c r="BR128" s="496" t="str">
        <f> IF(BR148&lt;&gt;"",TEXT(AUX!BV$1,"dd-MMM-aa"),"")</f>
      </c>
      <c r="BS128" s="496" t="str">
        <f> IF(BS148&lt;&gt;"",TEXT(AUX!BW$1,"dd-MMM-aa"),"")</f>
      </c>
      <c r="BT128" s="496" t="str">
        <f> IF(BT148&lt;&gt;"",TEXT(AUX!BX$1,"dd-MMM-aa"),"")</f>
      </c>
      <c r="BU128" s="496" t="str">
        <f> IF(BU148&lt;&gt;"",TEXT(AUX!BY$1,"dd-MMM-aa"),"")</f>
      </c>
      <c r="BV128" s="496" t="str">
        <f> IF(BV148&lt;&gt;"",TEXT(AUX!BZ$1,"dd-MMM-aa"),"")</f>
      </c>
      <c r="BW128" s="496" t="str">
        <f> IF(BW148&lt;&gt;"",TEXT(AUX!CA$1,"dd-MMM-aa"),"")</f>
      </c>
      <c r="BX128" s="496" t="str">
        <f> IF(BX148&lt;&gt;"",TEXT(AUX!CB$1,"dd-MMM-aa"),"")</f>
      </c>
      <c r="BY128" s="496" t="str">
        <f> IF(BY148&lt;&gt;"",TEXT(AUX!CC$1,"dd-MMM-aa"),"")</f>
      </c>
      <c r="BZ128" s="496" t="str">
        <f> IF(BZ148&lt;&gt;"",TEXT(AUX!CD$1,"dd-MMM-aa"),"")</f>
      </c>
      <c r="CA128" s="496" t="str">
        <f> IF(CA148&lt;&gt;"",TEXT(AUX!CE$1,"dd-MMM-aa"),"")</f>
      </c>
      <c r="CB128" s="496" t="str">
        <f> IF(CB148&lt;&gt;"",TEXT(AUX!CF$1,"dd-MMM-aa"),"")</f>
      </c>
      <c r="CC128" s="496" t="str">
        <f> IF(CC148&lt;&gt;"",TEXT(AUX!CG$1,"dd-MMM-aa"),"")</f>
      </c>
      <c r="CD128" s="496" t="str">
        <f> IF(CD148&lt;&gt;"",TEXT(AUX!CH$1,"dd-MMM-aa"),"")</f>
      </c>
      <c r="CE128" s="496" t="str">
        <f> IF(CE148&lt;&gt;"",TEXT(AUX!CI$1,"dd-MMM-aa"),"")</f>
      </c>
      <c r="CF128" s="496" t="str">
        <f> IF(CF148&lt;&gt;"",TEXT(AUX!CJ$1,"dd-MMM-aa"),"")</f>
      </c>
      <c r="CG128" s="496" t="str">
        <f> IF(CG148&lt;&gt;"",TEXT(AUX!CK$1,"dd-MMM-aa"),"")</f>
      </c>
      <c r="CH128" s="496" t="str">
        <f> IF(CH148&lt;&gt;"",TEXT(AUX!CL$1,"dd-MMM-aa"),"")</f>
      </c>
      <c r="CI128" s="496" t="str">
        <f> IF(CI148&lt;&gt;"",TEXT(AUX!CM$1,"dd-MMM-aa"),"")</f>
      </c>
      <c r="CJ128" s="496" t="str">
        <f> IF(CJ148&lt;&gt;"",TEXT(AUX!CN$1,"dd-MMM-aa"),"")</f>
      </c>
      <c r="CK128" s="496" t="str">
        <f> IF(CK148&lt;&gt;"",TEXT(AUX!CO$1,"dd-MMM-aa"),"")</f>
      </c>
      <c r="CL128" s="496" t="str">
        <f> IF(CL148&lt;&gt;"",TEXT(AUX!CP$1,"dd-MMM-aa"),"")</f>
      </c>
      <c r="CM128" s="496" t="str">
        <f> IF(CM148&lt;&gt;"",TEXT(AUX!CQ$1,"dd-MMM-aa"),"")</f>
      </c>
      <c r="CN128" s="496" t="str">
        <f> IF(CN148&lt;&gt;"",TEXT(AUX!CR$1,"dd-MMM-aa"),"")</f>
      </c>
      <c r="CO128" s="496" t="str">
        <f> IF(CO148&lt;&gt;"",TEXT(AUX!CS$1,"dd-MMM-aa"),"")</f>
      </c>
      <c r="CP128" s="496" t="str">
        <f> IF(CP148&lt;&gt;"",TEXT(AUX!CT$1,"dd-MMM-aa"),"")</f>
      </c>
      <c r="CQ128" s="496" t="str">
        <f> IF(CQ148&lt;&gt;"",TEXT(AUX!CU$1,"dd-MMM-aa"),"")</f>
      </c>
      <c r="CR128" s="496" t="str">
        <f> IF(CR148&lt;&gt;"",TEXT(AUX!CV$1,"dd-MMM-aa"),"")</f>
      </c>
      <c r="CS128" s="496" t="str">
        <f> IF(CS148&lt;&gt;"",TEXT(AUX!CW$1,"dd-MMM-aa"),"")</f>
      </c>
      <c r="CT128" s="496" t="str">
        <f> IF(CT148&lt;&gt;"",TEXT(AUX!CX$1,"dd-MMM-aa"),"")</f>
      </c>
      <c r="CU128" s="496" t="str">
        <f> IF(CU148&lt;&gt;"",TEXT(AUX!CY$1,"dd-MMM-aa"),"")</f>
      </c>
      <c r="CV128" s="496" t="str">
        <f> IF(CV148&lt;&gt;"",TEXT(AUX!CZ$1,"dd-MMM-aa"),"")</f>
      </c>
      <c r="CW128" s="496" t="str">
        <f> IF(CW148&lt;&gt;"",TEXT(AUX!DA$1,"dd-MMM-aa"),"")</f>
      </c>
      <c r="CX128" s="496" t="str">
        <f> IF(CX148&lt;&gt;"",TEXT(AUX!DB$1,"dd-MMM-aa"),"")</f>
      </c>
      <c r="CY128" s="496" t="str">
        <f> IF(CY148&lt;&gt;"",TEXT(AUX!DC$1,"dd-MMM-aa"),"")</f>
      </c>
      <c r="CZ128" s="496" t="str">
        <f> IF(CZ148&lt;&gt;"",TEXT(AUX!DD$1,"dd-MMM-aa"),"")</f>
      </c>
      <c r="DA128" s="496" t="str">
        <f> IF(DA148&lt;&gt;"",TEXT(AUX!DE$1,"dd-MMM-aa"),"")</f>
      </c>
      <c r="DB128" s="496" t="str">
        <f> IF(DB148&lt;&gt;"",TEXT(AUX!DF$1,"dd-MMM-aa"),"")</f>
      </c>
      <c r="DC128" s="496" t="str">
        <f> IF(DC148&lt;&gt;"",TEXT(AUX!DG$1,"dd-MMM-aa"),"")</f>
      </c>
      <c r="DD128" s="496" t="str">
        <f> IF(DD148&lt;&gt;"",TEXT(AUX!DH$1,"dd-MMM-aa"),"")</f>
      </c>
      <c r="DE128" s="496" t="str">
        <f> IF(DE148&lt;&gt;"",TEXT(AUX!DI$1,"dd-MMM-aa"),"")</f>
      </c>
      <c r="DF128" s="496" t="str">
        <f> IF(DF148&lt;&gt;"",TEXT(AUX!DJ$1,"dd-MMM-aa"),"")</f>
      </c>
      <c r="DG128" s="496" t="str">
        <f> IF(DG148&lt;&gt;"",TEXT(AUX!DK$1,"dd-MMM-aa"),"")</f>
      </c>
      <c r="DH128" s="496" t="str">
        <f> IF(DH148&lt;&gt;"",TEXT(AUX!DL$1,"dd-MMM-aa"),"")</f>
      </c>
      <c r="DI128" s="496" t="str">
        <f> IF(DI148&lt;&gt;"",TEXT(AUX!DM$1,"dd-MMM-aa"),"")</f>
      </c>
      <c r="DJ128" s="496" t="str">
        <f> IF(DJ148&lt;&gt;"",TEXT(AUX!DN$1,"dd-MMM-aa"),"")</f>
      </c>
      <c r="DK128" s="496" t="str">
        <f> IF(DK148&lt;&gt;"",TEXT(AUX!DO$1,"dd-MMM-aa"),"")</f>
      </c>
      <c r="DL128" s="496" t="str">
        <f> IF(DL148&lt;&gt;"",TEXT(AUX!DP$1,"dd-MMM-aa"),"")</f>
      </c>
      <c r="DM128" s="496" t="str">
        <f> IF(DM148&lt;&gt;"",TEXT(AUX!DQ$1,"dd-MMM-aa"),"")</f>
      </c>
      <c r="DN128" s="496" t="str">
        <f> IF(DN148&lt;&gt;"",TEXT(AUX!DR$1,"dd-MMM-aa"),"")</f>
      </c>
      <c r="DO128" s="496" t="str">
        <f> IF(DO148&lt;&gt;"",TEXT(AUX!DS$1,"dd-MMM-aa"),"")</f>
      </c>
      <c r="DP128" s="496" t="str">
        <f> IF(DP148&lt;&gt;"",TEXT(AUX!DT$1,"dd-MMM-aa"),"")</f>
      </c>
      <c r="DQ128" s="496" t="str">
        <f> IF(DQ148&lt;&gt;"",TEXT(AUX!DU$1,"dd-MMM-aa"),"")</f>
      </c>
      <c r="DR128" s="496" t="str">
        <f> IF(DR148&lt;&gt;"",TEXT(AUX!DV$1,"dd-MMM-aa"),"")</f>
      </c>
      <c r="DS128" s="496" t="str">
        <f> IF(DS148&lt;&gt;"",TEXT(AUX!DW$1,"dd-MMM-aa"),"")</f>
      </c>
      <c r="DT128" s="496" t="str">
        <f> IF(DT148&lt;&gt;"",TEXT(AUX!DX$1,"dd-MMM-aa"),"")</f>
      </c>
      <c r="DU128" s="496" t="str">
        <f> IF(DU148&lt;&gt;"",TEXT(AUX!DY$1,"dd-MMM-aa"),"")</f>
      </c>
      <c r="DV128" s="496" t="str">
        <f> IF(DV148&lt;&gt;"",TEXT(AUX!DZ$1,"dd-MMM-aa"),"")</f>
      </c>
      <c r="DW128" s="496" t="str">
        <f> IF(DW148&lt;&gt;"",TEXT(AUX!EA$1,"dd-MMM-aa"),"")</f>
      </c>
      <c r="DX128" s="496" t="str">
        <f> IF(DX148&lt;&gt;"",TEXT(AUX!EB$1,"dd-MMM-aa"),"")</f>
      </c>
      <c r="DY128" s="496" t="str">
        <f> IF(DY148&lt;&gt;"",TEXT(AUX!EC$1,"dd-MMM-aa"),"")</f>
      </c>
      <c r="DZ128" s="496" t="str">
        <f> IF(DZ148&lt;&gt;"",TEXT(AUX!ED$1,"dd-MMM-aa"),"")</f>
      </c>
      <c r="EA128" s="496" t="str">
        <f> IF(EA148&lt;&gt;"",TEXT(AUX!EE$1,"dd-MMM-aa"),"")</f>
      </c>
      <c r="EB128" s="496" t="str">
        <f> IF(EB148&lt;&gt;"",TEXT(AUX!EF$1,"dd-MMM-aa"),"")</f>
      </c>
      <c r="EC128" s="496" t="str">
        <f> IF(EC148&lt;&gt;"",TEXT(AUX!EG$1,"dd-MMM-aa"),"")</f>
      </c>
      <c r="ED128" s="496" t="str">
        <f> IF(ED148&lt;&gt;"",TEXT(AUX!EH$1,"dd-MMM-aa"),"")</f>
      </c>
      <c r="EE128" s="496" t="str">
        <f> IF(EE148&lt;&gt;"",TEXT(AUX!EI$1,"dd-MMM-aa"),"")</f>
      </c>
      <c r="EF128" s="496" t="str">
        <f> IF(EF148&lt;&gt;"",TEXT(AUX!EJ$1,"dd-MMM-aa"),"")</f>
      </c>
      <c r="EG128" s="496" t="str">
        <f> IF(EG148&lt;&gt;"",TEXT(AUX!EK$1,"dd-MMM-aa"),"")</f>
      </c>
      <c r="EH128" s="496" t="str">
        <f> IF(EH148&lt;&gt;"",TEXT(AUX!EL$1,"dd-MMM-aa"),"")</f>
      </c>
      <c r="EI128" s="496" t="str">
        <f> IF(EI148&lt;&gt;"",TEXT(AUX!EM$1,"dd-MMM-aa"),"")</f>
      </c>
      <c r="EJ128" s="496" t="str">
        <f> IF(EJ148&lt;&gt;"",TEXT(AUX!EN$1,"dd-MMM-aa"),"")</f>
      </c>
      <c r="EK128" s="496" t="str">
        <f> IF(EK148&lt;&gt;"",TEXT(AUX!EO$1,"dd-MMM-aa"),"")</f>
      </c>
      <c r="EL128" s="496" t="str">
        <f> IF(EL148&lt;&gt;"",TEXT(AUX!EP$1,"dd-MMM-aa"),"")</f>
      </c>
      <c r="EM128" s="496" t="str">
        <f> IF(EM148&lt;&gt;"",TEXT(AUX!EQ$1,"dd-MMM-aa"),"")</f>
      </c>
      <c r="EN128" s="496" t="str">
        <f> IF(EN148&lt;&gt;"",TEXT(AUX!ER$1,"dd-MMM-aa"),"")</f>
      </c>
      <c r="EO128" s="496" t="str">
        <f> IF(EO148&lt;&gt;"",TEXT(AUX!ES$1,"dd-MMM-aa"),"")</f>
      </c>
      <c r="EP128" s="496" t="str">
        <f> IF(EP148&lt;&gt;"",TEXT(AUX!ET$1,"dd-MMM-aa"),"")</f>
      </c>
      <c r="EQ128" s="496" t="str">
        <f> IF(EQ148&lt;&gt;"",TEXT(AUX!EU$1,"dd-MMM-aa"),"")</f>
      </c>
      <c r="ER128" s="496" t="str">
        <f> IF(ER148&lt;&gt;"",TEXT(AUX!EV$1,"dd-MMM-aa"),"")</f>
      </c>
      <c r="ES128" s="496" t="str">
        <f> IF(ES148&lt;&gt;"",TEXT(AUX!EW$1,"dd-MMM-aa"),"")</f>
      </c>
      <c r="ET128" s="496" t="str">
        <f> IF(ET148&lt;&gt;"",TEXT(AUX!EX$1,"dd-MMM-aa"),"")</f>
      </c>
      <c r="EU128" s="496" t="str">
        <f> IF(EU148&lt;&gt;"",TEXT(AUX!EY$1,"dd-MMM-aa"),"")</f>
      </c>
      <c r="EV128" s="496" t="str">
        <f> IF(EV148&lt;&gt;"",TEXT(AUX!EZ$1,"dd-MMM-aa"),"")</f>
      </c>
      <c r="EW128" s="496" t="str">
        <f> IF(EW148&lt;&gt;"",TEXT(AUX!FA$1,"dd-MMM-aa"),"")</f>
      </c>
      <c r="EX128" s="496" t="str">
        <f> IF(EX148&lt;&gt;"",TEXT(AUX!FB$1,"dd-MMM-aa"),"")</f>
      </c>
      <c r="EY128" s="496" t="str">
        <f> IF(EY148&lt;&gt;"",TEXT(AUX!FC$1,"dd-MMM-aa"),"")</f>
      </c>
      <c r="EZ128" s="496" t="str">
        <f> IF(EZ148&lt;&gt;"",TEXT(AUX!FD$1,"dd-MMM-aa"),"")</f>
      </c>
      <c r="FA128" s="496" t="str">
        <f> IF(FA148&lt;&gt;"",TEXT(AUX!FE$1,"dd-MMM-aa"),"")</f>
      </c>
      <c r="FB128" s="496" t="str">
        <f> IF(FB148&lt;&gt;"",TEXT(AUX!FF$1,"dd-MMM-aa"),"")</f>
      </c>
      <c r="FC128" s="496" t="str">
        <f> IF(FC148&lt;&gt;"",TEXT(AUX!FG$1,"dd-MMM-aa"),"")</f>
      </c>
      <c r="FD128" s="496" t="str">
        <f> IF(FD148&lt;&gt;"",TEXT(AUX!FH$1,"dd-MMM-aa"),"")</f>
      </c>
      <c r="FE128" s="496" t="str">
        <f> IF(FE148&lt;&gt;"",TEXT(AUX!FI$1,"dd-MMM-aa"),"")</f>
      </c>
      <c r="FF128" s="496" t="str">
        <f> IF(FF148&lt;&gt;"",TEXT(AUX!FJ$1,"dd-MMM-aa"),"")</f>
      </c>
      <c r="FG128" s="496" t="str">
        <f> IF(FG148&lt;&gt;"",TEXT(AUX!FK$1,"dd-MMM-aa"),"")</f>
      </c>
      <c r="FH128" s="496" t="str">
        <f> IF(FH148&lt;&gt;"",TEXT(AUX!FL$1,"dd-MMM-aa"),"")</f>
      </c>
      <c r="FI128" s="496" t="str">
        <f> IF(FI148&lt;&gt;"",TEXT(AUX!FM$1,"dd-MMM-aa"),"")</f>
      </c>
      <c r="FJ128" s="496" t="str">
        <f> IF(FJ148&lt;&gt;"",TEXT(AUX!FN$1,"dd-MMM-aa"),"")</f>
      </c>
      <c r="FK128" s="496" t="str">
        <f> IF(FK148&lt;&gt;"",TEXT(AUX!FO$1,"dd-MMM-aa"),"")</f>
      </c>
      <c r="FL128" s="496" t="str">
        <f> IF(FL148&lt;&gt;"",TEXT(AUX!FP$1,"dd-MMM-aa"),"")</f>
      </c>
      <c r="FM128" s="496" t="str">
        <f> IF(FM148&lt;&gt;"",TEXT(AUX!FQ$1,"dd-MMM-aa"),"")</f>
      </c>
      <c r="FN128" s="496" t="str">
        <f> IF(FN148&lt;&gt;"",TEXT(AUX!FR$1,"dd-MMM-aa"),"")</f>
      </c>
      <c r="FO128" s="496" t="str">
        <f> IF(FO148&lt;&gt;"",TEXT(AUX!FS$1,"dd-MMM-aa"),"")</f>
      </c>
      <c r="FP128" s="496" t="str">
        <f> IF(FP148&lt;&gt;"",TEXT(AUX!FT$1,"dd-MMM-aa"),"")</f>
      </c>
      <c r="FQ128" s="496" t="str">
        <f> IF(FQ148&lt;&gt;"",TEXT(AUX!FU$1,"dd-MMM-aa"),"")</f>
      </c>
      <c r="FR128" s="496" t="str">
        <f> IF(FR148&lt;&gt;"",TEXT(AUX!FV$1,"dd-MMM-aa"),"")</f>
      </c>
      <c r="FS128" s="496" t="str">
        <f> IF(FS148&lt;&gt;"",TEXT(AUX!FW$1,"dd-MMM-aa"),"")</f>
      </c>
      <c r="FT128" s="496" t="str">
        <f> IF(FT148&lt;&gt;"",TEXT(AUX!FX$1,"dd-MMM-aa"),"")</f>
      </c>
      <c r="FU128" s="496" t="str">
        <f> IF(FU148&lt;&gt;"",TEXT(AUX!FY$1,"dd-MMM-aa"),"")</f>
      </c>
      <c r="FV128" s="496" t="str">
        <f> IF(FV148&lt;&gt;"",TEXT(AUX!FZ$1,"dd-MMM-aa"),"")</f>
      </c>
      <c r="FW128" s="496" t="str">
        <f> IF(FW148&lt;&gt;"",TEXT(AUX!GA$1,"dd-MMM-aa"),"")</f>
      </c>
      <c r="FX128" s="496" t="str">
        <f> IF(FX148&lt;&gt;"",TEXT(AUX!GB$1,"dd-MMM-aa"),"")</f>
      </c>
      <c r="FY128" s="496" t="str">
        <f> IF(FY148&lt;&gt;"",TEXT(AUX!GC$1,"dd-MMM-aa"),"")</f>
      </c>
      <c r="FZ128" s="496" t="str">
        <f> IF(FZ148&lt;&gt;"",TEXT(AUX!GD$1,"dd-MMM-aa"),"")</f>
      </c>
      <c r="GA128" s="496" t="str">
        <f> IF(GA148&lt;&gt;"",TEXT(AUX!GE$1,"dd-MMM-aa"),"")</f>
      </c>
      <c r="GB128" s="496" t="str">
        <f> IF(GB148&lt;&gt;"",TEXT(AUX!GF$1,"dd-MMM-aa"),"")</f>
      </c>
      <c r="GC128" s="496" t="str">
        <f> IF(GC148&lt;&gt;"",TEXT(AUX!GG$1,"dd-MMM-aa"),"")</f>
      </c>
      <c r="GD128" s="496" t="str">
        <f> IF(GD148&lt;&gt;"",TEXT(AUX!GH$1,"dd-MMM-aa"),"")</f>
      </c>
      <c r="GE128" s="496" t="str">
        <f> IF(GE148&lt;&gt;"",TEXT(AUX!GI$1,"dd-MMM-aa"),"")</f>
      </c>
      <c r="GF128" s="496" t="str">
        <f> IF(GF148&lt;&gt;"",TEXT(AUX!GJ$1,"dd-MMM-aa"),"")</f>
      </c>
      <c r="GG128" s="496" t="str">
        <f> IF(GG148&lt;&gt;"",TEXT(AUX!GK$1,"dd-MMM-aa"),"")</f>
      </c>
      <c r="GH128" s="496" t="str">
        <f> IF(GH148&lt;&gt;"",TEXT(AUX!GL$1,"dd-MMM-aa"),"")</f>
      </c>
      <c r="GI128" s="496" t="str">
        <f> IF(GI148&lt;&gt;"",TEXT(AUX!GM$1,"dd-MMM-aa"),"")</f>
      </c>
      <c r="GJ128" s="496" t="str">
        <f> IF(GJ148&lt;&gt;"",TEXT(AUX!GN$1,"dd-MMM-aa"),"")</f>
      </c>
      <c r="GK128" s="496" t="str">
        <f> IF(GK148&lt;&gt;"",TEXT(AUX!GO$1,"dd-MMM-aa"),"")</f>
      </c>
      <c r="GL128" s="496" t="str">
        <f> IF(GL148&lt;&gt;"",TEXT(AUX!GP$1,"dd-MMM-aa"),"")</f>
      </c>
      <c r="GM128" s="496" t="str">
        <f> IF(GM148&lt;&gt;"",TEXT(AUX!GQ$1,"dd-MMM-aa"),"")</f>
      </c>
      <c r="GN128" s="496" t="str">
        <f> IF(GN148&lt;&gt;"",TEXT(AUX!GR$1,"dd-MMM-aa"),"")</f>
      </c>
      <c r="GO128" s="496" t="str">
        <f> IF(GO148&lt;&gt;"",TEXT(AUX!GS$1,"dd-MMM-aa"),"")</f>
      </c>
      <c r="GP128" s="496" t="str">
        <f> IF(GP148&lt;&gt;"",TEXT(AUX!GT$1,"dd-MMM-aa"),"")</f>
      </c>
      <c r="GQ128" s="496" t="str">
        <f> IF(GQ148&lt;&gt;"",TEXT(AUX!GU$1,"dd-MMM-aa"),"")</f>
      </c>
      <c r="GR128" s="496" t="str">
        <f> IF(GR148&lt;&gt;"",TEXT(AUX!GV$1,"dd-MMM-aa"),"")</f>
      </c>
      <c r="GS128" s="496" t="str">
        <f> IF(GS148&lt;&gt;"",TEXT(AUX!GW$1,"dd-MMM-aa"),"")</f>
      </c>
      <c r="GT128" s="496" t="str">
        <f> IF(GT148&lt;&gt;"",TEXT(AUX!GX$1,"dd-MMM-aa"),"")</f>
      </c>
      <c r="GU128" s="496" t="str">
        <f> IF(GU148&lt;&gt;"",TEXT(AUX!GY$1,"dd-MMM-aa"),"")</f>
      </c>
      <c r="GV128" s="496" t="str">
        <f> IF(GV148&lt;&gt;"",TEXT(AUX!GZ$1,"dd-MMM-aa"),"")</f>
      </c>
      <c r="GW128" s="496" t="str">
        <f> IF(GW148&lt;&gt;"",TEXT(AUX!HA$1,"dd-MMM-aa"),"")</f>
      </c>
      <c r="GX128" s="496" t="str">
        <f> IF(GX148&lt;&gt;"",TEXT(AUX!HB$1,"dd-MMM-aa"),"")</f>
      </c>
      <c r="GY128" s="496" t="str">
        <f> IF(GY148&lt;&gt;"",TEXT(AUX!HC$1,"dd-MMM-aa"),"")</f>
      </c>
      <c r="GZ128" s="496" t="str">
        <f> IF(GZ148&lt;&gt;"",TEXT(AUX!HD$1,"dd-MMM-aa"),"")</f>
      </c>
      <c r="HA128" s="496" t="str">
        <f> IF(HA148&lt;&gt;"",TEXT(AUX!HE$1,"dd-MMM-aa"),"")</f>
      </c>
      <c r="HB128" s="496" t="str">
        <f> IF(HB148&lt;&gt;"",TEXT(AUX!HF$1,"dd-MMM-aa"),"")</f>
      </c>
      <c r="HC128" s="496" t="str">
        <f> IF(HC148&lt;&gt;"",TEXT(AUX!HG$1,"dd-MMM-aa"),"")</f>
      </c>
      <c r="HD128" s="496" t="str">
        <f> IF(HD148&lt;&gt;"",TEXT(AUX!HH$1,"dd-MMM-aa"),"")</f>
      </c>
      <c r="HE128" s="496" t="str">
        <f> IF(HE148&lt;&gt;"",TEXT(AUX!HI$1,"dd-MMM-aa"),"")</f>
      </c>
      <c r="HF128" s="496" t="str">
        <f> IF(HF148&lt;&gt;"",TEXT(AUX!HJ$1,"dd-MMM-aa"),"")</f>
      </c>
      <c r="HG128" s="496" t="str">
        <f> IF(HG148&lt;&gt;"",TEXT(AUX!HK$1,"dd-MMM-aa"),"")</f>
      </c>
      <c r="HH128" s="496" t="str">
        <f> IF(HH148&lt;&gt;"",TEXT(AUX!HL$1,"dd-MMM-aa"),"")</f>
      </c>
      <c r="HI128" s="496" t="str">
        <f> IF(HI148&lt;&gt;"",TEXT(AUX!HM$1,"dd-MMM-aa"),"")</f>
      </c>
      <c r="HJ128" s="496" t="str">
        <f> IF(HJ148&lt;&gt;"",TEXT(AUX!HN$1,"dd-MMM-aa"),"")</f>
      </c>
      <c r="HK128" s="496" t="str">
        <f> IF(HK148&lt;&gt;"",TEXT(AUX!HO$1,"dd-MMM-aa"),"")</f>
      </c>
      <c r="HL128" s="496" t="str">
        <f> IF(HL148&lt;&gt;"",TEXT(AUX!HP$1,"dd-MMM-aa"),"")</f>
      </c>
      <c r="HM128" s="496" t="str">
        <f> IF(HM148&lt;&gt;"",TEXT(AUX!HQ$1,"dd-MMM-aa"),"")</f>
      </c>
      <c r="HN128" s="496" t="str">
        <f> IF(HN148&lt;&gt;"",TEXT(AUX!HR$1,"dd-MMM-aa"),"")</f>
      </c>
      <c r="HO128" s="496" t="str">
        <f> IF(HO148&lt;&gt;"",TEXT(AUX!HS$1,"dd-MMM-aa"),"")</f>
      </c>
      <c r="HP128" s="496" t="str">
        <f> IF(HP148&lt;&gt;"",TEXT(AUX!HT$1,"dd-MMM-aa"),"")</f>
      </c>
      <c r="HQ128" s="496" t="str">
        <f> IF(HQ148&lt;&gt;"",TEXT(AUX!HU$1,"dd-MMM-aa"),"")</f>
      </c>
      <c r="HR128" s="496" t="str">
        <f> IF(HR148&lt;&gt;"",TEXT(AUX!HV$1,"dd-MMM-aa"),"")</f>
      </c>
      <c r="HS128" s="496" t="str">
        <f> IF(HS148&lt;&gt;"",TEXT(AUX!HW$1,"dd-MMM-aa"),"")</f>
      </c>
      <c r="HT128" s="496" t="str">
        <f> IF(HT148&lt;&gt;"",TEXT(AUX!HX$1,"dd-MMM-aa"),"")</f>
      </c>
      <c r="HU128" s="496" t="str">
        <f> IF(HU148&lt;&gt;"",TEXT(AUX!HY$1,"dd-MMM-aa"),"")</f>
      </c>
      <c r="HV128" s="496" t="str">
        <f> IF(HV148&lt;&gt;"",TEXT(AUX!HZ$1,"dd-MMM-aa"),"")</f>
      </c>
      <c r="HW128" s="496" t="str">
        <f> IF(HW148&lt;&gt;"",TEXT(AUX!IA$1,"dd-MMM-aa"),"")</f>
      </c>
      <c r="HX128" s="496" t="str">
        <f> IF(HX148&lt;&gt;"",TEXT(AUX!IB$1,"dd-MMM-aa"),"")</f>
      </c>
      <c r="HY128" s="496" t="str">
        <f> IF(HY148&lt;&gt;"",TEXT(AUX!IC$1,"dd-MMM-aa"),"")</f>
      </c>
      <c r="HZ128" s="496" t="str">
        <f> IF(HZ148&lt;&gt;"",TEXT(AUX!ID$1,"dd-MMM-aa"),"")</f>
      </c>
      <c r="IA128" s="496" t="str">
        <f> IF(IA148&lt;&gt;"",TEXT(AUX!IE$1,"dd-MMM-aa"),"")</f>
      </c>
      <c r="IB128" s="496" t="str">
        <f> IF(IB148&lt;&gt;"",TEXT(AUX!IF$1,"dd-MMM-aa"),"")</f>
      </c>
      <c r="IC128" s="496" t="str">
        <f> IF(IC148&lt;&gt;"",TEXT(AUX!IG$1,"dd-MMM-aa"),"")</f>
      </c>
      <c r="ID128" s="496" t="str">
        <f> IF(ID148&lt;&gt;"",TEXT(AUX!IH$1,"dd-MMM-aa"),"")</f>
      </c>
      <c r="IE128" s="496" t="str">
        <f> IF(IE148&lt;&gt;"",TEXT(AUX!II$1,"dd-MMM-aa"),"")</f>
      </c>
      <c r="IF128" s="496" t="str">
        <f> IF(IF148&lt;&gt;"",TEXT(AUX!IJ$1,"dd-MMM-aa"),"")</f>
      </c>
      <c r="IG128" s="496" t="str">
        <f> IF(IG148&lt;&gt;"",TEXT(AUX!IK$1,"dd-MMM-aa"),"")</f>
      </c>
      <c r="IH128" s="496" t="str">
        <f> IF(IH148&lt;&gt;"",TEXT(AUX!IL$1,"dd-MMM-aa"),"")</f>
      </c>
      <c r="II128" s="496" t="str">
        <f> IF(II148&lt;&gt;"",TEXT(AUX!IM$1,"dd-MMM-aa"),"")</f>
      </c>
      <c r="IJ128" s="496" t="str">
        <f> IF(IJ148&lt;&gt;"",TEXT(AUX!IN$1,"dd-MMM-aa"),"")</f>
      </c>
      <c r="IK128" s="496" t="str">
        <f> IF(IK148&lt;&gt;"",TEXT(AUX!IO$1,"dd-MMM-aa"),"")</f>
      </c>
      <c r="IL128" s="496" t="str">
        <f> IF(IL148&lt;&gt;"",TEXT(AUX!IP$1,"dd-MMM-aa"),"")</f>
      </c>
      <c r="IM128" s="496" t="str">
        <f> IF(IM148&lt;&gt;"",TEXT(AUX!IQ$1,"dd-MMM-aa"),"")</f>
      </c>
      <c r="IN128" s="496" t="str">
        <f> IF(IN148&lt;&gt;"",TEXT(AUX!IR$1,"dd-MMM-aa"),"")</f>
      </c>
      <c r="IO128" s="496" t="str">
        <f> IF(IO148&lt;&gt;"",TEXT(AUX!IS$1,"dd-MMM-aa"),"")</f>
      </c>
      <c r="IP128" s="496" t="str">
        <f> IF(IP148&lt;&gt;"",TEXT(AUX!IT$1,"dd-MMM-aa"),"")</f>
      </c>
      <c r="IQ128" s="496" t="str">
        <f> IF(IQ148&lt;&gt;"",TEXT(AUX!IU$1,"dd-MMM-aa"),"")</f>
      </c>
      <c r="IR128" s="496" t="str">
        <f> IF(IR148&lt;&gt;"",TEXT(AUX!IV$1,"dd-MMM-aa"),"")</f>
      </c>
      <c r="IS128" s="496" t="str">
        <f> IF(IS148&lt;&gt;"",TEXT(AUX!#REF!,"dd-MMM-aa"),"")</f>
      </c>
      <c r="IT128" s="496" t="str">
        <f> IF(IT148&lt;&gt;"",TEXT(AUX!#REF!,"dd-MMM-aa"),"")</f>
      </c>
      <c r="IU128" s="496" t="str">
        <f> IF(IU148&lt;&gt;"",TEXT(AUX!#REF!,"dd-MMM-aa"),"")</f>
      </c>
      <c r="IV128" s="496" t="str">
        <f> IF(IV148&lt;&gt;"",TEXT(AUX!#REF!,"dd-MMM-aa"),"")</f>
      </c>
    </row>
    <row r="129" hidden="1" ht="15.95" customHeight="1">
      <c r="B129" s="833" t="s">
        <v>8</v>
      </c>
      <c r="C129" s="827">
        <v>298</v>
      </c>
      <c r="D129" s="827">
        <v>305</v>
      </c>
      <c r="E129" s="827">
        <v>303</v>
      </c>
      <c r="F129" s="827">
        <v>306</v>
      </c>
      <c r="G129" s="827">
        <v>294</v>
      </c>
      <c r="H129" s="827">
        <v>294</v>
      </c>
      <c r="I129" s="827">
        <v>293</v>
      </c>
      <c r="J129" s="827">
        <v>293</v>
      </c>
      <c r="K129" s="827">
        <v>294</v>
      </c>
      <c r="L129" s="827">
        <v>256</v>
      </c>
      <c r="M129" s="827">
        <v>5</v>
      </c>
      <c r="N129" s="827">
        <v>5</v>
      </c>
      <c r="O129" s="827">
        <v>5</v>
      </c>
      <c r="P129" s="827">
        <v>5</v>
      </c>
      <c r="Q129" s="827">
        <v>5</v>
      </c>
      <c r="R129" s="827">
        <v>5</v>
      </c>
      <c r="S129" s="827">
        <v>5</v>
      </c>
      <c r="T129" s="827">
        <v>5</v>
      </c>
      <c r="U129" s="827">
        <v>5</v>
      </c>
      <c r="V129" s="827">
        <v>5</v>
      </c>
      <c r="W129" s="827">
        <v>5</v>
      </c>
      <c r="X129" s="827">
        <v>5</v>
      </c>
      <c r="Y129" s="827">
        <v>5</v>
      </c>
      <c r="Z129" s="827">
        <v>5</v>
      </c>
      <c r="AA129" s="827">
        <v>5</v>
      </c>
      <c r="AB129" s="834">
        <v>5</v>
      </c>
      <c r="AC129" s="828">
        <v>5</v>
      </c>
      <c r="AD129" s="828">
        <v>5</v>
      </c>
      <c r="AE129" s="828">
        <v>5</v>
      </c>
      <c r="AF129" s="828">
        <v>5</v>
      </c>
      <c r="AG129" s="828">
        <v>3</v>
      </c>
      <c r="AH129" s="828">
        <v>3</v>
      </c>
      <c r="AI129" s="828">
        <v>3</v>
      </c>
      <c r="AJ129" s="828">
        <v>3</v>
      </c>
      <c r="AK129" s="828">
        <v>0</v>
      </c>
      <c r="AL129" s="828">
        <v>0</v>
      </c>
      <c r="AM129" s="828">
        <v>0</v>
      </c>
      <c r="AN129" s="828">
        <v>0</v>
      </c>
      <c r="AO129" s="828">
        <v>0</v>
      </c>
      <c r="AP129" s="828">
        <v>0</v>
      </c>
    </row>
    <row r="130" hidden="1" ht="15.95" customHeight="1">
      <c r="B130" s="829" t="s">
        <v>9</v>
      </c>
      <c r="C130" s="823">
        <v>18745</v>
      </c>
      <c r="D130" s="823">
        <v>18745</v>
      </c>
      <c r="E130" s="823">
        <v>18745</v>
      </c>
      <c r="F130" s="823">
        <v>18745</v>
      </c>
      <c r="G130" s="823">
        <v>18745</v>
      </c>
      <c r="H130" s="823">
        <v>18745</v>
      </c>
      <c r="I130" s="823">
        <v>18745</v>
      </c>
      <c r="J130" s="823">
        <v>4000</v>
      </c>
      <c r="K130" s="823">
        <v>4000</v>
      </c>
      <c r="L130" s="823">
        <v>4000</v>
      </c>
      <c r="M130" s="823">
        <v>4000</v>
      </c>
      <c r="N130" s="823">
        <v>4000</v>
      </c>
      <c r="O130" s="823">
        <v>4000</v>
      </c>
      <c r="P130" s="823">
        <v>6502</v>
      </c>
      <c r="Q130" s="823">
        <v>15502</v>
      </c>
      <c r="R130" s="823">
        <v>15502</v>
      </c>
      <c r="S130" s="823">
        <v>15502</v>
      </c>
      <c r="T130" s="823">
        <v>15502</v>
      </c>
      <c r="U130" s="823">
        <v>15502</v>
      </c>
      <c r="V130" s="823">
        <v>15507</v>
      </c>
      <c r="W130" s="823">
        <v>15507</v>
      </c>
      <c r="X130" s="823">
        <v>15507</v>
      </c>
      <c r="Y130" s="823">
        <v>15509</v>
      </c>
      <c r="Z130" s="823">
        <v>15507</v>
      </c>
      <c r="AA130" s="823">
        <v>15508</v>
      </c>
      <c r="AB130" s="823">
        <v>15508</v>
      </c>
      <c r="AC130" s="825">
        <v>15517</v>
      </c>
      <c r="AD130" s="825">
        <v>15536</v>
      </c>
      <c r="AE130" s="825">
        <v>15544</v>
      </c>
      <c r="AF130" s="825">
        <v>15544</v>
      </c>
      <c r="AG130" s="825">
        <v>15533</v>
      </c>
      <c r="AH130" s="825">
        <v>15533</v>
      </c>
      <c r="AI130" s="825">
        <v>15533</v>
      </c>
      <c r="AJ130" s="825">
        <v>15533</v>
      </c>
      <c r="AK130" s="825">
        <v>15532</v>
      </c>
      <c r="AL130" s="825">
        <v>15532</v>
      </c>
      <c r="AM130" s="825">
        <v>15534</v>
      </c>
      <c r="AN130" s="825">
        <v>15543</v>
      </c>
      <c r="AO130" s="825">
        <v>197519</v>
      </c>
      <c r="AP130" s="825">
        <v>199519</v>
      </c>
    </row>
    <row r="131" hidden="1" ht="15.95" customHeight="1">
      <c r="B131" s="826" t="s">
        <v>10</v>
      </c>
      <c r="C131" s="827">
        <v>0</v>
      </c>
      <c r="D131" s="827">
        <v>0</v>
      </c>
      <c r="E131" s="827">
        <v>0</v>
      </c>
      <c r="F131" s="827">
        <v>0</v>
      </c>
      <c r="G131" s="827">
        <v>0</v>
      </c>
      <c r="H131" s="827">
        <v>0</v>
      </c>
      <c r="I131" s="827">
        <v>0</v>
      </c>
      <c r="J131" s="827">
        <v>0</v>
      </c>
      <c r="K131" s="827">
        <v>0</v>
      </c>
      <c r="L131" s="827">
        <v>0</v>
      </c>
      <c r="M131" s="827">
        <v>0</v>
      </c>
      <c r="N131" s="827">
        <v>0</v>
      </c>
      <c r="O131" s="827">
        <v>0</v>
      </c>
      <c r="P131" s="827">
        <v>0</v>
      </c>
      <c r="Q131" s="827">
        <v>0</v>
      </c>
      <c r="R131" s="827">
        <v>0</v>
      </c>
      <c r="S131" s="827">
        <v>0</v>
      </c>
      <c r="T131" s="827">
        <v>0</v>
      </c>
      <c r="U131" s="827">
        <v>0</v>
      </c>
      <c r="V131" s="827">
        <v>0</v>
      </c>
      <c r="W131" s="827">
        <v>0</v>
      </c>
      <c r="X131" s="827">
        <v>0</v>
      </c>
      <c r="Y131" s="827">
        <v>0</v>
      </c>
      <c r="Z131" s="827">
        <v>0</v>
      </c>
      <c r="AA131" s="827">
        <v>0</v>
      </c>
      <c r="AB131" s="827">
        <v>0</v>
      </c>
      <c r="AC131" s="828">
        <v>0</v>
      </c>
      <c r="AD131" s="828">
        <v>0</v>
      </c>
      <c r="AE131" s="828">
        <v>0</v>
      </c>
      <c r="AF131" s="828">
        <v>0</v>
      </c>
      <c r="AG131" s="828">
        <v>0</v>
      </c>
      <c r="AH131" s="828">
        <v>0</v>
      </c>
      <c r="AI131" s="828">
        <v>0</v>
      </c>
      <c r="AJ131" s="828">
        <v>0</v>
      </c>
      <c r="AK131" s="828">
        <v>0</v>
      </c>
      <c r="AL131" s="828">
        <v>0</v>
      </c>
      <c r="AM131" s="828">
        <v>0</v>
      </c>
      <c r="AN131" s="828">
        <v>0</v>
      </c>
      <c r="AO131" s="828">
        <v>0</v>
      </c>
      <c r="AP131" s="828">
        <v>0</v>
      </c>
    </row>
    <row r="132" hidden="1" ht="15.95" customHeight="1">
      <c r="B132" s="829" t="s">
        <v>11</v>
      </c>
      <c r="C132" s="823">
        <v>1339</v>
      </c>
      <c r="D132" s="823">
        <v>1333</v>
      </c>
      <c r="E132" s="823">
        <v>1068</v>
      </c>
      <c r="F132" s="823">
        <v>1076</v>
      </c>
      <c r="G132" s="823">
        <v>998</v>
      </c>
      <c r="H132" s="823">
        <v>790</v>
      </c>
      <c r="I132" s="823">
        <v>873</v>
      </c>
      <c r="J132" s="823">
        <v>945</v>
      </c>
      <c r="K132" s="823">
        <v>911</v>
      </c>
      <c r="L132" s="823">
        <v>820</v>
      </c>
      <c r="M132" s="823">
        <v>282</v>
      </c>
      <c r="N132" s="823">
        <v>109</v>
      </c>
      <c r="O132" s="823">
        <v>170</v>
      </c>
      <c r="P132" s="823">
        <v>140</v>
      </c>
      <c r="Q132" s="823">
        <v>127</v>
      </c>
      <c r="R132" s="823">
        <v>142</v>
      </c>
      <c r="S132" s="823">
        <v>937</v>
      </c>
      <c r="T132" s="823">
        <v>937</v>
      </c>
      <c r="U132" s="823">
        <v>761</v>
      </c>
      <c r="V132" s="823">
        <v>761</v>
      </c>
      <c r="W132" s="823">
        <v>830</v>
      </c>
      <c r="X132" s="823">
        <v>830</v>
      </c>
      <c r="Y132" s="823">
        <v>910</v>
      </c>
      <c r="Z132" s="823">
        <v>940</v>
      </c>
      <c r="AA132" s="823">
        <v>820</v>
      </c>
      <c r="AB132" s="823">
        <v>820</v>
      </c>
      <c r="AC132" s="825">
        <v>734</v>
      </c>
      <c r="AD132" s="825">
        <v>624</v>
      </c>
      <c r="AE132" s="825">
        <v>624</v>
      </c>
      <c r="AF132" s="825">
        <v>704</v>
      </c>
      <c r="AG132" s="825">
        <v>649</v>
      </c>
      <c r="AH132" s="825">
        <v>689</v>
      </c>
      <c r="AI132" s="825">
        <v>818</v>
      </c>
      <c r="AJ132" s="825">
        <v>817</v>
      </c>
      <c r="AK132" s="825">
        <v>858</v>
      </c>
      <c r="AL132" s="825">
        <v>885</v>
      </c>
      <c r="AM132" s="825">
        <v>665</v>
      </c>
      <c r="AN132" s="825">
        <v>638</v>
      </c>
      <c r="AO132" s="825">
        <v>20</v>
      </c>
      <c r="AP132" s="825">
        <v>70</v>
      </c>
    </row>
    <row r="133" hidden="1" ht="15.95" customHeight="1">
      <c r="B133" s="826" t="s">
        <v>12</v>
      </c>
      <c r="C133" s="827">
        <v>620</v>
      </c>
      <c r="D133" s="827">
        <v>636</v>
      </c>
      <c r="E133" s="827">
        <v>665</v>
      </c>
      <c r="F133" s="827">
        <v>718</v>
      </c>
      <c r="G133" s="827">
        <v>845</v>
      </c>
      <c r="H133" s="827">
        <v>844</v>
      </c>
      <c r="I133" s="827">
        <v>733</v>
      </c>
      <c r="J133" s="827">
        <v>486</v>
      </c>
      <c r="K133" s="827">
        <v>459</v>
      </c>
      <c r="L133" s="827">
        <v>426</v>
      </c>
      <c r="M133" s="827">
        <v>520</v>
      </c>
      <c r="N133" s="827">
        <v>514</v>
      </c>
      <c r="O133" s="827">
        <v>439</v>
      </c>
      <c r="P133" s="827">
        <v>424</v>
      </c>
      <c r="Q133" s="827">
        <v>377</v>
      </c>
      <c r="R133" s="827">
        <v>413</v>
      </c>
      <c r="S133" s="827">
        <v>392</v>
      </c>
      <c r="T133" s="827">
        <v>375</v>
      </c>
      <c r="U133" s="827">
        <v>336</v>
      </c>
      <c r="V133" s="827">
        <v>310</v>
      </c>
      <c r="W133" s="827">
        <v>339</v>
      </c>
      <c r="X133" s="827">
        <v>269</v>
      </c>
      <c r="Y133" s="827">
        <v>190</v>
      </c>
      <c r="Z133" s="827">
        <v>190</v>
      </c>
      <c r="AA133" s="827">
        <v>171</v>
      </c>
      <c r="AB133" s="827">
        <v>181</v>
      </c>
      <c r="AC133" s="828">
        <v>712</v>
      </c>
      <c r="AD133" s="828">
        <v>714</v>
      </c>
      <c r="AE133" s="828">
        <v>702</v>
      </c>
      <c r="AF133" s="828">
        <v>702</v>
      </c>
      <c r="AG133" s="828">
        <v>697</v>
      </c>
      <c r="AH133" s="828">
        <v>90</v>
      </c>
      <c r="AI133" s="828">
        <v>88</v>
      </c>
      <c r="AJ133" s="828">
        <v>95</v>
      </c>
      <c r="AK133" s="828">
        <v>71</v>
      </c>
      <c r="AL133" s="828">
        <v>92</v>
      </c>
      <c r="AM133" s="828">
        <v>77</v>
      </c>
      <c r="AN133" s="828">
        <v>77</v>
      </c>
      <c r="AO133" s="828">
        <v>78</v>
      </c>
      <c r="AP133" s="828">
        <v>78</v>
      </c>
    </row>
    <row r="134" hidden="1" ht="15.95" customHeight="1">
      <c r="B134" s="829" t="s">
        <v>13</v>
      </c>
      <c r="C134" s="823">
        <v>0</v>
      </c>
      <c r="D134" s="823">
        <v>5</v>
      </c>
      <c r="E134" s="823">
        <v>17</v>
      </c>
      <c r="F134" s="823">
        <v>1017</v>
      </c>
      <c r="G134" s="823">
        <v>1010</v>
      </c>
      <c r="H134" s="823">
        <v>1010</v>
      </c>
      <c r="I134" s="823">
        <v>1010</v>
      </c>
      <c r="J134" s="823">
        <v>1010</v>
      </c>
      <c r="K134" s="823">
        <v>8</v>
      </c>
      <c r="L134" s="823">
        <v>8</v>
      </c>
      <c r="M134" s="823">
        <v>8</v>
      </c>
      <c r="N134" s="823">
        <v>1006</v>
      </c>
      <c r="O134" s="823">
        <v>1061</v>
      </c>
      <c r="P134" s="823">
        <v>1061</v>
      </c>
      <c r="Q134" s="823">
        <v>1041</v>
      </c>
      <c r="R134" s="823">
        <v>1040</v>
      </c>
      <c r="S134" s="823">
        <v>1042</v>
      </c>
      <c r="T134" s="823">
        <v>1042</v>
      </c>
      <c r="U134" s="823">
        <v>1064</v>
      </c>
      <c r="V134" s="823">
        <v>1060</v>
      </c>
      <c r="W134" s="823">
        <v>54</v>
      </c>
      <c r="X134" s="823">
        <v>54</v>
      </c>
      <c r="Y134" s="823">
        <v>76</v>
      </c>
      <c r="Z134" s="823">
        <v>76</v>
      </c>
      <c r="AA134" s="823">
        <v>86</v>
      </c>
      <c r="AB134" s="823">
        <v>86</v>
      </c>
      <c r="AC134" s="825">
        <v>40</v>
      </c>
      <c r="AD134" s="825">
        <v>40</v>
      </c>
      <c r="AE134" s="825">
        <v>83</v>
      </c>
      <c r="AF134" s="825">
        <v>83</v>
      </c>
      <c r="AG134" s="825">
        <v>96</v>
      </c>
      <c r="AH134" s="825">
        <v>96</v>
      </c>
      <c r="AI134" s="825">
        <v>60</v>
      </c>
      <c r="AJ134" s="825">
        <v>55</v>
      </c>
      <c r="AK134" s="825">
        <v>40</v>
      </c>
      <c r="AL134" s="825">
        <v>40</v>
      </c>
      <c r="AM134" s="825">
        <v>0</v>
      </c>
      <c r="AN134" s="825">
        <v>0</v>
      </c>
      <c r="AO134" s="825">
        <v>0</v>
      </c>
      <c r="AP134" s="825">
        <v>0</v>
      </c>
    </row>
    <row r="135" hidden="1" ht="15.95" customHeight="1">
      <c r="B135" s="826" t="s">
        <v>109</v>
      </c>
      <c r="C135" s="827">
        <v>3400</v>
      </c>
      <c r="D135" s="827">
        <v>3910</v>
      </c>
      <c r="E135" s="827">
        <v>4215</v>
      </c>
      <c r="F135" s="827">
        <v>3907</v>
      </c>
      <c r="G135" s="827">
        <v>91368</v>
      </c>
      <c r="H135" s="827">
        <v>91368</v>
      </c>
      <c r="I135" s="827">
        <v>89785</v>
      </c>
      <c r="J135" s="827">
        <v>89785</v>
      </c>
      <c r="K135" s="827">
        <v>80835</v>
      </c>
      <c r="L135" s="827">
        <v>80835</v>
      </c>
      <c r="M135" s="827">
        <v>77340</v>
      </c>
      <c r="N135" s="827">
        <v>77340</v>
      </c>
      <c r="O135" s="827">
        <v>74539</v>
      </c>
      <c r="P135" s="827">
        <v>74539</v>
      </c>
      <c r="Q135" s="827">
        <v>66365</v>
      </c>
      <c r="R135" s="827">
        <v>66365</v>
      </c>
      <c r="S135" s="827">
        <v>70226</v>
      </c>
      <c r="T135" s="827">
        <v>70226</v>
      </c>
      <c r="U135" s="827">
        <v>88370</v>
      </c>
      <c r="V135" s="827">
        <v>88370</v>
      </c>
      <c r="W135" s="827">
        <v>86746</v>
      </c>
      <c r="X135" s="827">
        <v>86746</v>
      </c>
      <c r="Y135" s="827">
        <v>90618</v>
      </c>
      <c r="Z135" s="827">
        <v>95168</v>
      </c>
      <c r="AA135" s="827">
        <v>81305</v>
      </c>
      <c r="AB135" s="827">
        <v>81305</v>
      </c>
      <c r="AC135" s="828">
        <v>84475</v>
      </c>
      <c r="AD135" s="828">
        <v>84475</v>
      </c>
      <c r="AE135" s="828">
        <v>78856</v>
      </c>
      <c r="AF135" s="828">
        <v>78856</v>
      </c>
      <c r="AG135" s="828">
        <v>54220</v>
      </c>
      <c r="AH135" s="828">
        <v>54220</v>
      </c>
      <c r="AI135" s="828">
        <v>122067</v>
      </c>
      <c r="AJ135" s="828">
        <v>122067</v>
      </c>
      <c r="AK135" s="828">
        <v>58066</v>
      </c>
      <c r="AL135" s="828">
        <v>58066</v>
      </c>
      <c r="AM135" s="828">
        <v>60284</v>
      </c>
      <c r="AN135" s="828">
        <v>60284</v>
      </c>
      <c r="AO135" s="828">
        <v>12798</v>
      </c>
      <c r="AP135" s="828">
        <v>12798</v>
      </c>
    </row>
    <row r="136" hidden="1" ht="15.95" customHeight="1">
      <c r="B136" s="829" t="s">
        <v>110</v>
      </c>
      <c r="C136" s="823">
        <v>10283</v>
      </c>
      <c r="D136" s="823">
        <v>10318</v>
      </c>
      <c r="E136" s="823">
        <v>21725</v>
      </c>
      <c r="F136" s="823">
        <v>21728</v>
      </c>
      <c r="G136" s="823">
        <v>19057</v>
      </c>
      <c r="H136" s="823">
        <v>14648</v>
      </c>
      <c r="I136" s="823">
        <v>16463</v>
      </c>
      <c r="J136" s="823">
        <v>17508</v>
      </c>
      <c r="K136" s="823">
        <v>17524</v>
      </c>
      <c r="L136" s="823">
        <v>16876</v>
      </c>
      <c r="M136" s="823">
        <v>17365</v>
      </c>
      <c r="N136" s="823">
        <v>17370</v>
      </c>
      <c r="O136" s="823">
        <v>14774</v>
      </c>
      <c r="P136" s="823">
        <v>14776</v>
      </c>
      <c r="Q136" s="823">
        <v>29997</v>
      </c>
      <c r="R136" s="823">
        <v>30018</v>
      </c>
      <c r="S136" s="823">
        <v>31150</v>
      </c>
      <c r="T136" s="823">
        <v>31150</v>
      </c>
      <c r="U136" s="823">
        <v>16635</v>
      </c>
      <c r="V136" s="823">
        <v>16617</v>
      </c>
      <c r="W136" s="823">
        <v>17833</v>
      </c>
      <c r="X136" s="823">
        <v>17831</v>
      </c>
      <c r="Y136" s="823">
        <v>18520</v>
      </c>
      <c r="Z136" s="823">
        <v>18533</v>
      </c>
      <c r="AA136" s="823">
        <v>17530</v>
      </c>
      <c r="AB136" s="823">
        <v>17504</v>
      </c>
      <c r="AC136" s="825">
        <v>17711</v>
      </c>
      <c r="AD136" s="825">
        <v>19625</v>
      </c>
      <c r="AE136" s="825">
        <v>23149</v>
      </c>
      <c r="AF136" s="825">
        <v>21689</v>
      </c>
      <c r="AG136" s="825">
        <v>18897</v>
      </c>
      <c r="AH136" s="825">
        <v>17607</v>
      </c>
      <c r="AI136" s="825">
        <v>18238</v>
      </c>
      <c r="AJ136" s="825">
        <v>18307</v>
      </c>
      <c r="AK136" s="825">
        <v>11966</v>
      </c>
      <c r="AL136" s="825">
        <v>11613</v>
      </c>
      <c r="AM136" s="825">
        <v>9398</v>
      </c>
      <c r="AN136" s="825">
        <v>9390</v>
      </c>
      <c r="AO136" s="825">
        <v>22546</v>
      </c>
      <c r="AP136" s="825">
        <v>22508</v>
      </c>
    </row>
    <row r="137" hidden="1" ht="15.95" customHeight="1">
      <c r="B137" s="826" t="s">
        <v>16</v>
      </c>
      <c r="C137" s="827">
        <v>0</v>
      </c>
      <c r="D137" s="827">
        <v>0</v>
      </c>
      <c r="E137" s="827">
        <v>0</v>
      </c>
      <c r="F137" s="827">
        <v>0</v>
      </c>
      <c r="G137" s="827">
        <v>0</v>
      </c>
      <c r="H137" s="827">
        <v>0</v>
      </c>
      <c r="I137" s="827">
        <v>0</v>
      </c>
      <c r="J137" s="827">
        <v>0</v>
      </c>
      <c r="K137" s="827">
        <v>0</v>
      </c>
      <c r="L137" s="827">
        <v>0</v>
      </c>
      <c r="M137" s="827">
        <v>0</v>
      </c>
      <c r="N137" s="827">
        <v>0</v>
      </c>
      <c r="O137" s="827">
        <v>0</v>
      </c>
      <c r="P137" s="827">
        <v>0</v>
      </c>
      <c r="Q137" s="827">
        <v>0</v>
      </c>
      <c r="R137" s="827">
        <v>0</v>
      </c>
      <c r="S137" s="827">
        <v>0</v>
      </c>
      <c r="T137" s="827">
        <v>0</v>
      </c>
      <c r="U137" s="827">
        <v>0</v>
      </c>
      <c r="V137" s="827">
        <v>0</v>
      </c>
      <c r="W137" s="827">
        <v>0</v>
      </c>
      <c r="X137" s="827">
        <v>0</v>
      </c>
      <c r="Y137" s="827">
        <v>0</v>
      </c>
      <c r="Z137" s="827">
        <v>0</v>
      </c>
      <c r="AA137" s="827">
        <v>0</v>
      </c>
      <c r="AB137" s="827">
        <v>0</v>
      </c>
      <c r="AC137" s="828">
        <v>0</v>
      </c>
      <c r="AD137" s="828">
        <v>0</v>
      </c>
      <c r="AE137" s="828">
        <v>0</v>
      </c>
      <c r="AF137" s="828">
        <v>15048</v>
      </c>
      <c r="AG137" s="828">
        <v>36160</v>
      </c>
      <c r="AH137" s="828">
        <v>36167</v>
      </c>
      <c r="AI137" s="828">
        <v>31599</v>
      </c>
      <c r="AJ137" s="828">
        <v>31530</v>
      </c>
      <c r="AK137" s="828">
        <v>40652</v>
      </c>
      <c r="AL137" s="828">
        <v>48870</v>
      </c>
      <c r="AM137" s="828">
        <v>35529</v>
      </c>
      <c r="AN137" s="828">
        <v>35486</v>
      </c>
      <c r="AO137" s="828">
        <v>55673</v>
      </c>
      <c r="AP137" s="828">
        <v>48608</v>
      </c>
    </row>
    <row r="138" hidden="1" ht="15.95" customHeight="1">
      <c r="B138" s="829" t="s">
        <v>17</v>
      </c>
      <c r="C138" s="823">
        <v>0</v>
      </c>
      <c r="D138" s="823">
        <v>0</v>
      </c>
      <c r="E138" s="823">
        <v>0</v>
      </c>
      <c r="F138" s="823">
        <v>0</v>
      </c>
      <c r="G138" s="823">
        <v>0</v>
      </c>
      <c r="H138" s="823">
        <v>0</v>
      </c>
      <c r="I138" s="823">
        <v>0</v>
      </c>
      <c r="J138" s="823">
        <v>0</v>
      </c>
      <c r="K138" s="823">
        <v>0</v>
      </c>
      <c r="L138" s="823">
        <v>0</v>
      </c>
      <c r="M138" s="823">
        <v>40</v>
      </c>
      <c r="N138" s="823">
        <v>0</v>
      </c>
      <c r="O138" s="823">
        <v>0</v>
      </c>
      <c r="P138" s="823">
        <v>6</v>
      </c>
      <c r="Q138" s="823">
        <v>6</v>
      </c>
      <c r="R138" s="823">
        <v>16</v>
      </c>
      <c r="S138" s="823">
        <v>16</v>
      </c>
      <c r="T138" s="823">
        <v>16</v>
      </c>
      <c r="U138" s="823">
        <v>11</v>
      </c>
      <c r="V138" s="823">
        <v>11</v>
      </c>
      <c r="W138" s="823">
        <v>5</v>
      </c>
      <c r="X138" s="823">
        <v>5</v>
      </c>
      <c r="Y138" s="823">
        <v>46</v>
      </c>
      <c r="Z138" s="823">
        <v>46</v>
      </c>
      <c r="AA138" s="823">
        <v>40</v>
      </c>
      <c r="AB138" s="823">
        <v>40</v>
      </c>
      <c r="AC138" s="825">
        <v>59</v>
      </c>
      <c r="AD138" s="825">
        <v>59</v>
      </c>
      <c r="AE138" s="825">
        <v>37</v>
      </c>
      <c r="AF138" s="825">
        <v>41</v>
      </c>
      <c r="AG138" s="825">
        <v>87</v>
      </c>
      <c r="AH138" s="825">
        <v>87</v>
      </c>
      <c r="AI138" s="825">
        <v>86</v>
      </c>
      <c r="AJ138" s="825">
        <v>82</v>
      </c>
      <c r="AK138" s="825">
        <v>53</v>
      </c>
      <c r="AL138" s="825">
        <v>53</v>
      </c>
      <c r="AM138" s="825">
        <v>33</v>
      </c>
      <c r="AN138" s="825">
        <v>33</v>
      </c>
      <c r="AO138" s="825">
        <v>20</v>
      </c>
      <c r="AP138" s="825">
        <v>20</v>
      </c>
    </row>
    <row r="139" hidden="1" ht="15.95" customHeight="1">
      <c r="B139" s="826" t="s">
        <v>18</v>
      </c>
      <c r="C139" s="827">
        <v>0</v>
      </c>
      <c r="D139" s="827">
        <v>0</v>
      </c>
      <c r="E139" s="827">
        <v>0</v>
      </c>
      <c r="F139" s="827">
        <v>0</v>
      </c>
      <c r="G139" s="827">
        <v>46250</v>
      </c>
      <c r="H139" s="827">
        <v>88669</v>
      </c>
      <c r="I139" s="827">
        <v>186341</v>
      </c>
      <c r="J139" s="827">
        <v>187087</v>
      </c>
      <c r="K139" s="827">
        <v>191184</v>
      </c>
      <c r="L139" s="827">
        <v>176711</v>
      </c>
      <c r="M139" s="827">
        <v>134393</v>
      </c>
      <c r="N139" s="827">
        <v>134693</v>
      </c>
      <c r="O139" s="827">
        <v>188596</v>
      </c>
      <c r="P139" s="827">
        <v>200078</v>
      </c>
      <c r="Q139" s="827">
        <v>144064</v>
      </c>
      <c r="R139" s="827">
        <v>91994</v>
      </c>
      <c r="S139" s="827">
        <v>39287</v>
      </c>
      <c r="T139" s="827">
        <v>25388</v>
      </c>
      <c r="U139" s="827">
        <v>7949</v>
      </c>
      <c r="V139" s="827">
        <v>0</v>
      </c>
      <c r="W139" s="827">
        <v>246</v>
      </c>
      <c r="X139" s="827">
        <v>246</v>
      </c>
      <c r="Y139" s="827">
        <v>246</v>
      </c>
      <c r="Z139" s="827">
        <v>246</v>
      </c>
      <c r="AA139" s="827">
        <v>238</v>
      </c>
      <c r="AB139" s="827">
        <v>238</v>
      </c>
      <c r="AC139" s="828">
        <v>250</v>
      </c>
      <c r="AD139" s="828">
        <v>250</v>
      </c>
      <c r="AE139" s="828">
        <v>240</v>
      </c>
      <c r="AF139" s="828">
        <v>240</v>
      </c>
      <c r="AG139" s="828">
        <v>226</v>
      </c>
      <c r="AH139" s="828">
        <v>226</v>
      </c>
      <c r="AI139" s="828">
        <v>0</v>
      </c>
      <c r="AJ139" s="828">
        <v>0</v>
      </c>
      <c r="AK139" s="828">
        <v>0</v>
      </c>
      <c r="AL139" s="828">
        <v>0</v>
      </c>
      <c r="AM139" s="828">
        <v>0</v>
      </c>
      <c r="AN139" s="828">
        <v>0</v>
      </c>
      <c r="AO139" s="828">
        <v>250</v>
      </c>
      <c r="AP139" s="828">
        <v>270</v>
      </c>
    </row>
    <row r="140" hidden="1" ht="15.95" customHeight="1">
      <c r="B140" s="829" t="s">
        <v>19</v>
      </c>
      <c r="C140" s="823">
        <v>5</v>
      </c>
      <c r="D140" s="823">
        <v>5</v>
      </c>
      <c r="E140" s="823">
        <v>0</v>
      </c>
      <c r="F140" s="823">
        <v>0</v>
      </c>
      <c r="G140" s="823">
        <v>0</v>
      </c>
      <c r="H140" s="823">
        <v>0</v>
      </c>
      <c r="I140" s="823">
        <v>0</v>
      </c>
      <c r="J140" s="823">
        <v>0</v>
      </c>
      <c r="K140" s="823">
        <v>0</v>
      </c>
      <c r="L140" s="823">
        <v>0</v>
      </c>
      <c r="M140" s="823">
        <v>0</v>
      </c>
      <c r="N140" s="823">
        <v>0</v>
      </c>
      <c r="O140" s="823">
        <v>0</v>
      </c>
      <c r="P140" s="823">
        <v>0</v>
      </c>
      <c r="Q140" s="823">
        <v>0</v>
      </c>
      <c r="R140" s="823">
        <v>0</v>
      </c>
      <c r="S140" s="823">
        <v>0</v>
      </c>
      <c r="T140" s="823">
        <v>0</v>
      </c>
      <c r="U140" s="823">
        <v>0</v>
      </c>
      <c r="V140" s="823">
        <v>0</v>
      </c>
      <c r="W140" s="823">
        <v>2</v>
      </c>
      <c r="X140" s="823">
        <v>2</v>
      </c>
      <c r="Y140" s="823">
        <v>2</v>
      </c>
      <c r="Z140" s="823">
        <v>0</v>
      </c>
      <c r="AA140" s="823">
        <v>1</v>
      </c>
      <c r="AB140" s="823">
        <v>1</v>
      </c>
      <c r="AC140" s="825">
        <v>3</v>
      </c>
      <c r="AD140" s="825">
        <v>3</v>
      </c>
      <c r="AE140" s="825">
        <v>2</v>
      </c>
      <c r="AF140" s="825">
        <v>2</v>
      </c>
      <c r="AG140" s="825">
        <v>2</v>
      </c>
      <c r="AH140" s="825">
        <v>2</v>
      </c>
      <c r="AI140" s="825">
        <v>2</v>
      </c>
      <c r="AJ140" s="825">
        <v>2</v>
      </c>
      <c r="AK140" s="825">
        <v>0</v>
      </c>
      <c r="AL140" s="825">
        <v>0</v>
      </c>
      <c r="AM140" s="825">
        <v>0</v>
      </c>
      <c r="AN140" s="825">
        <v>0</v>
      </c>
      <c r="AO140" s="825">
        <v>4</v>
      </c>
      <c r="AP140" s="825">
        <v>4</v>
      </c>
    </row>
    <row r="141" hidden="1" ht="15.95" customHeight="1">
      <c r="B141" s="826" t="s">
        <v>20</v>
      </c>
      <c r="C141" s="827">
        <v>0</v>
      </c>
      <c r="D141" s="827">
        <v>0</v>
      </c>
      <c r="E141" s="827">
        <v>0</v>
      </c>
      <c r="F141" s="827">
        <v>0</v>
      </c>
      <c r="G141" s="827">
        <v>0</v>
      </c>
      <c r="H141" s="827">
        <v>0</v>
      </c>
      <c r="I141" s="827">
        <v>0</v>
      </c>
      <c r="J141" s="827">
        <v>0</v>
      </c>
      <c r="K141" s="827">
        <v>0</v>
      </c>
      <c r="L141" s="827">
        <v>0</v>
      </c>
      <c r="M141" s="827">
        <v>0</v>
      </c>
      <c r="N141" s="827">
        <v>0</v>
      </c>
      <c r="O141" s="827">
        <v>0</v>
      </c>
      <c r="P141" s="827">
        <v>0</v>
      </c>
      <c r="Q141" s="827">
        <v>0</v>
      </c>
      <c r="R141" s="827">
        <v>0</v>
      </c>
      <c r="S141" s="827">
        <v>0</v>
      </c>
      <c r="T141" s="827">
        <v>0</v>
      </c>
      <c r="U141" s="827">
        <v>0</v>
      </c>
      <c r="V141" s="827">
        <v>0</v>
      </c>
      <c r="W141" s="827">
        <v>0</v>
      </c>
      <c r="X141" s="827">
        <v>0</v>
      </c>
      <c r="Y141" s="827">
        <v>0</v>
      </c>
      <c r="Z141" s="827">
        <v>0</v>
      </c>
      <c r="AA141" s="827">
        <v>0</v>
      </c>
      <c r="AB141" s="827">
        <v>0</v>
      </c>
      <c r="AC141" s="828">
        <v>0</v>
      </c>
      <c r="AD141" s="828">
        <v>0</v>
      </c>
      <c r="AE141" s="828">
        <v>0</v>
      </c>
      <c r="AF141" s="828">
        <v>0</v>
      </c>
      <c r="AG141" s="828">
        <v>0</v>
      </c>
      <c r="AH141" s="828">
        <v>0</v>
      </c>
      <c r="AI141" s="828">
        <v>0</v>
      </c>
      <c r="AJ141" s="828">
        <v>0</v>
      </c>
      <c r="AK141" s="828">
        <v>0</v>
      </c>
      <c r="AL141" s="828">
        <v>0</v>
      </c>
      <c r="AM141" s="828">
        <v>0</v>
      </c>
      <c r="AN141" s="828">
        <v>0</v>
      </c>
      <c r="AO141" s="828">
        <v>0</v>
      </c>
      <c r="AP141" s="828">
        <v>0</v>
      </c>
    </row>
    <row r="142" hidden="1" ht="15.95" customHeight="1">
      <c r="B142" s="829" t="s">
        <v>21</v>
      </c>
      <c r="C142" s="823">
        <v>222629</v>
      </c>
      <c r="D142" s="823">
        <v>262629</v>
      </c>
      <c r="E142" s="823">
        <v>265095</v>
      </c>
      <c r="F142" s="823">
        <v>286335</v>
      </c>
      <c r="G142" s="823">
        <v>284645</v>
      </c>
      <c r="H142" s="823">
        <v>285195</v>
      </c>
      <c r="I142" s="823">
        <v>146913</v>
      </c>
      <c r="J142" s="823">
        <v>121223</v>
      </c>
      <c r="K142" s="823">
        <v>90751</v>
      </c>
      <c r="L142" s="823">
        <v>96245</v>
      </c>
      <c r="M142" s="823">
        <v>96473</v>
      </c>
      <c r="N142" s="823">
        <v>68479</v>
      </c>
      <c r="O142" s="823">
        <v>96511</v>
      </c>
      <c r="P142" s="823">
        <v>103895</v>
      </c>
      <c r="Q142" s="823">
        <v>95995</v>
      </c>
      <c r="R142" s="823">
        <v>102691</v>
      </c>
      <c r="S142" s="823">
        <v>102710</v>
      </c>
      <c r="T142" s="823">
        <v>102712</v>
      </c>
      <c r="U142" s="823">
        <v>91392</v>
      </c>
      <c r="V142" s="823">
        <v>91392</v>
      </c>
      <c r="W142" s="823">
        <v>83015</v>
      </c>
      <c r="X142" s="823">
        <v>83224</v>
      </c>
      <c r="Y142" s="823">
        <v>82392</v>
      </c>
      <c r="Z142" s="823">
        <v>89670</v>
      </c>
      <c r="AA142" s="823">
        <v>126033</v>
      </c>
      <c r="AB142" s="823">
        <v>126034</v>
      </c>
      <c r="AC142" s="825">
        <v>139477</v>
      </c>
      <c r="AD142" s="825">
        <v>139487</v>
      </c>
      <c r="AE142" s="825">
        <v>140014</v>
      </c>
      <c r="AF142" s="825">
        <v>145113</v>
      </c>
      <c r="AG142" s="825">
        <v>204147</v>
      </c>
      <c r="AH142" s="825">
        <v>204147</v>
      </c>
      <c r="AI142" s="825">
        <v>0</v>
      </c>
      <c r="AJ142" s="825">
        <v>0</v>
      </c>
      <c r="AK142" s="825">
        <v>0</v>
      </c>
      <c r="AL142" s="825">
        <v>0</v>
      </c>
      <c r="AM142" s="825">
        <v>0</v>
      </c>
      <c r="AN142" s="825">
        <v>0</v>
      </c>
      <c r="AO142" s="825">
        <v>126200</v>
      </c>
      <c r="AP142" s="825">
        <v>126200</v>
      </c>
    </row>
    <row r="143" hidden="1" ht="15.95" customHeight="1">
      <c r="B143" s="826" t="s">
        <v>22</v>
      </c>
      <c r="C143" s="827">
        <v>0</v>
      </c>
      <c r="D143" s="827">
        <v>0</v>
      </c>
      <c r="E143" s="827">
        <v>0</v>
      </c>
      <c r="F143" s="827">
        <v>0</v>
      </c>
      <c r="G143" s="827">
        <v>0</v>
      </c>
      <c r="H143" s="827">
        <v>0</v>
      </c>
      <c r="I143" s="827">
        <v>0</v>
      </c>
      <c r="J143" s="827">
        <v>0</v>
      </c>
      <c r="K143" s="827">
        <v>0</v>
      </c>
      <c r="L143" s="827">
        <v>0</v>
      </c>
      <c r="M143" s="827">
        <v>0</v>
      </c>
      <c r="N143" s="827">
        <v>0</v>
      </c>
      <c r="O143" s="827">
        <v>0</v>
      </c>
      <c r="P143" s="827">
        <v>0</v>
      </c>
      <c r="Q143" s="827">
        <v>0</v>
      </c>
      <c r="R143" s="827">
        <v>35</v>
      </c>
      <c r="S143" s="827">
        <v>0</v>
      </c>
      <c r="T143" s="827">
        <v>0</v>
      </c>
      <c r="U143" s="827">
        <v>0</v>
      </c>
      <c r="V143" s="827">
        <v>0</v>
      </c>
      <c r="W143" s="827">
        <v>0</v>
      </c>
      <c r="X143" s="827">
        <v>0</v>
      </c>
      <c r="Y143" s="827">
        <v>0</v>
      </c>
      <c r="Z143" s="827">
        <v>0</v>
      </c>
      <c r="AA143" s="827">
        <v>0</v>
      </c>
      <c r="AB143" s="827">
        <v>0</v>
      </c>
      <c r="AC143" s="828">
        <v>0</v>
      </c>
      <c r="AD143" s="828">
        <v>0</v>
      </c>
      <c r="AE143" s="828">
        <v>0</v>
      </c>
      <c r="AF143" s="828">
        <v>0</v>
      </c>
      <c r="AG143" s="828">
        <v>0</v>
      </c>
      <c r="AH143" s="828">
        <v>0</v>
      </c>
      <c r="AI143" s="828">
        <v>0</v>
      </c>
      <c r="AJ143" s="828">
        <v>0</v>
      </c>
      <c r="AK143" s="828">
        <v>0</v>
      </c>
      <c r="AL143" s="828">
        <v>0</v>
      </c>
      <c r="AM143" s="828">
        <v>0</v>
      </c>
      <c r="AN143" s="828">
        <v>0</v>
      </c>
      <c r="AO143" s="828">
        <v>0</v>
      </c>
      <c r="AP143" s="828">
        <v>0</v>
      </c>
    </row>
    <row r="144" hidden="1" ht="15.95" customHeight="1">
      <c r="B144" s="829" t="s">
        <v>23</v>
      </c>
      <c r="C144" s="823">
        <v>47</v>
      </c>
      <c r="D144" s="823">
        <v>47</v>
      </c>
      <c r="E144" s="823">
        <v>24</v>
      </c>
      <c r="F144" s="823">
        <v>24</v>
      </c>
      <c r="G144" s="823">
        <v>18</v>
      </c>
      <c r="H144" s="823">
        <v>18</v>
      </c>
      <c r="I144" s="823">
        <v>18</v>
      </c>
      <c r="J144" s="823">
        <v>18</v>
      </c>
      <c r="K144" s="823">
        <v>0</v>
      </c>
      <c r="L144" s="823">
        <v>0</v>
      </c>
      <c r="M144" s="823">
        <v>0</v>
      </c>
      <c r="N144" s="823">
        <v>0</v>
      </c>
      <c r="O144" s="823">
        <v>0</v>
      </c>
      <c r="P144" s="823">
        <v>0</v>
      </c>
      <c r="Q144" s="823">
        <v>0</v>
      </c>
      <c r="R144" s="823">
        <v>0</v>
      </c>
      <c r="S144" s="823">
        <v>0</v>
      </c>
      <c r="T144" s="823">
        <v>0</v>
      </c>
      <c r="U144" s="823">
        <v>0</v>
      </c>
      <c r="V144" s="823">
        <v>0</v>
      </c>
      <c r="W144" s="823">
        <v>0</v>
      </c>
      <c r="X144" s="823">
        <v>0</v>
      </c>
      <c r="Y144" s="823">
        <v>0</v>
      </c>
      <c r="Z144" s="823">
        <v>0</v>
      </c>
      <c r="AA144" s="823">
        <v>0</v>
      </c>
      <c r="AB144" s="823">
        <v>0</v>
      </c>
      <c r="AC144" s="825">
        <v>0</v>
      </c>
      <c r="AD144" s="825">
        <v>0</v>
      </c>
      <c r="AE144" s="825">
        <v>0</v>
      </c>
      <c r="AF144" s="825">
        <v>0</v>
      </c>
      <c r="AG144" s="825">
        <v>0</v>
      </c>
      <c r="AH144" s="825">
        <v>0</v>
      </c>
      <c r="AI144" s="825">
        <v>0</v>
      </c>
      <c r="AJ144" s="825">
        <v>0</v>
      </c>
      <c r="AK144" s="825">
        <v>0</v>
      </c>
      <c r="AL144" s="825">
        <v>0</v>
      </c>
      <c r="AM144" s="825">
        <v>0</v>
      </c>
      <c r="AN144" s="825">
        <v>0</v>
      </c>
      <c r="AO144" s="825">
        <v>0</v>
      </c>
      <c r="AP144" s="825">
        <v>0</v>
      </c>
    </row>
    <row r="145" hidden="1" ht="15.95" customHeight="1">
      <c r="B145" s="835" t="s">
        <v>24</v>
      </c>
      <c r="C145" s="827">
        <v>5567</v>
      </c>
      <c r="D145" s="827">
        <v>5567</v>
      </c>
      <c r="E145" s="827">
        <v>6008</v>
      </c>
      <c r="F145" s="827">
        <v>3008</v>
      </c>
      <c r="G145" s="827">
        <v>6110</v>
      </c>
      <c r="H145" s="827">
        <v>6110</v>
      </c>
      <c r="I145" s="827">
        <v>3008</v>
      </c>
      <c r="J145" s="827">
        <v>3008</v>
      </c>
      <c r="K145" s="827">
        <v>3008</v>
      </c>
      <c r="L145" s="827">
        <v>3008</v>
      </c>
      <c r="M145" s="827">
        <v>3012</v>
      </c>
      <c r="N145" s="827">
        <v>3012</v>
      </c>
      <c r="O145" s="827">
        <v>2506</v>
      </c>
      <c r="P145" s="827">
        <v>2506</v>
      </c>
      <c r="Q145" s="827">
        <v>2509</v>
      </c>
      <c r="R145" s="827">
        <v>2509</v>
      </c>
      <c r="S145" s="827">
        <v>2552</v>
      </c>
      <c r="T145" s="827">
        <v>2552</v>
      </c>
      <c r="U145" s="827">
        <v>2538</v>
      </c>
      <c r="V145" s="827">
        <v>2538</v>
      </c>
      <c r="W145" s="827">
        <v>2528</v>
      </c>
      <c r="X145" s="827">
        <v>2528</v>
      </c>
      <c r="Y145" s="827">
        <v>2531</v>
      </c>
      <c r="Z145" s="827">
        <v>2534</v>
      </c>
      <c r="AA145" s="827">
        <v>4032</v>
      </c>
      <c r="AB145" s="827">
        <v>4032</v>
      </c>
      <c r="AC145" s="828">
        <v>4027</v>
      </c>
      <c r="AD145" s="828">
        <v>4027</v>
      </c>
      <c r="AE145" s="828">
        <v>4040</v>
      </c>
      <c r="AF145" s="828">
        <v>4045</v>
      </c>
      <c r="AG145" s="828">
        <v>4048</v>
      </c>
      <c r="AH145" s="828">
        <v>4048</v>
      </c>
      <c r="AI145" s="828">
        <v>1850</v>
      </c>
      <c r="AJ145" s="828">
        <v>1861</v>
      </c>
      <c r="AK145" s="828">
        <v>1917</v>
      </c>
      <c r="AL145" s="828">
        <v>0</v>
      </c>
      <c r="AM145" s="828">
        <v>0</v>
      </c>
      <c r="AN145" s="828">
        <v>0</v>
      </c>
      <c r="AO145" s="828">
        <v>1281</v>
      </c>
      <c r="AP145" s="828">
        <v>1281</v>
      </c>
    </row>
    <row r="146" hidden="1" ht="15.95" customHeight="1">
      <c r="B146" s="829" t="s">
        <v>25</v>
      </c>
      <c r="C146" s="823">
        <v>0</v>
      </c>
      <c r="D146" s="823">
        <v>0</v>
      </c>
      <c r="E146" s="823">
        <v>0</v>
      </c>
      <c r="F146" s="823">
        <v>0</v>
      </c>
      <c r="G146" s="823">
        <v>0</v>
      </c>
      <c r="H146" s="823">
        <v>0</v>
      </c>
      <c r="I146" s="823">
        <v>0</v>
      </c>
      <c r="J146" s="823">
        <v>0</v>
      </c>
      <c r="K146" s="823">
        <v>0</v>
      </c>
      <c r="L146" s="823">
        <v>0</v>
      </c>
      <c r="M146" s="823">
        <v>0</v>
      </c>
      <c r="N146" s="823">
        <v>0</v>
      </c>
      <c r="O146" s="823">
        <v>0</v>
      </c>
      <c r="P146" s="823">
        <v>0</v>
      </c>
      <c r="Q146" s="823">
        <v>0</v>
      </c>
      <c r="R146" s="823">
        <v>0</v>
      </c>
      <c r="S146" s="823">
        <v>0</v>
      </c>
      <c r="T146" s="823">
        <v>0</v>
      </c>
      <c r="U146" s="823">
        <v>0</v>
      </c>
      <c r="V146" s="823">
        <v>0</v>
      </c>
      <c r="W146" s="823">
        <v>0</v>
      </c>
      <c r="X146" s="823">
        <v>0</v>
      </c>
      <c r="Y146" s="823">
        <v>0</v>
      </c>
      <c r="Z146" s="823">
        <v>0</v>
      </c>
      <c r="AA146" s="823">
        <v>0</v>
      </c>
      <c r="AB146" s="823">
        <v>0</v>
      </c>
      <c r="AC146" s="825">
        <v>0</v>
      </c>
      <c r="AD146" s="825">
        <v>0</v>
      </c>
      <c r="AE146" s="825">
        <v>0</v>
      </c>
      <c r="AF146" s="825">
        <v>0</v>
      </c>
      <c r="AG146" s="825">
        <v>0</v>
      </c>
      <c r="AH146" s="825">
        <v>0</v>
      </c>
      <c r="AI146" s="825">
        <v>0</v>
      </c>
      <c r="AJ146" s="825">
        <v>0</v>
      </c>
      <c r="AK146" s="825">
        <v>0</v>
      </c>
      <c r="AL146" s="825">
        <v>0</v>
      </c>
      <c r="AM146" s="825">
        <v>0</v>
      </c>
      <c r="AN146" s="825">
        <v>0</v>
      </c>
      <c r="AO146" s="825">
        <v>0</v>
      </c>
      <c r="AP146" s="825">
        <v>0</v>
      </c>
    </row>
    <row r="147" hidden="1" ht="15.95" customHeight="1">
      <c r="B147" s="836" t="s">
        <v>26</v>
      </c>
      <c r="C147" s="827">
        <v>0</v>
      </c>
      <c r="D147" s="827">
        <v>0</v>
      </c>
      <c r="E147" s="827">
        <v>0</v>
      </c>
      <c r="F147" s="827">
        <v>0</v>
      </c>
      <c r="G147" s="827">
        <v>0</v>
      </c>
      <c r="H147" s="827">
        <v>0</v>
      </c>
      <c r="I147" s="827">
        <v>0</v>
      </c>
      <c r="J147" s="827">
        <v>0</v>
      </c>
      <c r="K147" s="827">
        <v>0</v>
      </c>
      <c r="L147" s="827">
        <v>0</v>
      </c>
      <c r="M147" s="827">
        <v>0</v>
      </c>
      <c r="N147" s="827">
        <v>0</v>
      </c>
      <c r="O147" s="827">
        <v>0</v>
      </c>
      <c r="P147" s="827">
        <v>0</v>
      </c>
      <c r="Q147" s="827">
        <v>0</v>
      </c>
      <c r="R147" s="827">
        <v>0</v>
      </c>
      <c r="S147" s="827">
        <v>0</v>
      </c>
      <c r="T147" s="827">
        <v>0</v>
      </c>
      <c r="U147" s="827">
        <v>0</v>
      </c>
      <c r="V147" s="827">
        <v>0</v>
      </c>
      <c r="W147" s="827">
        <v>0</v>
      </c>
      <c r="X147" s="827">
        <v>0</v>
      </c>
      <c r="Y147" s="827">
        <v>0</v>
      </c>
      <c r="Z147" s="827">
        <v>0</v>
      </c>
      <c r="AA147" s="827">
        <v>0</v>
      </c>
      <c r="AB147" s="837">
        <v>0</v>
      </c>
      <c r="AC147" s="828">
        <v>0</v>
      </c>
      <c r="AD147" s="828">
        <v>0</v>
      </c>
      <c r="AE147" s="828">
        <v>0</v>
      </c>
      <c r="AF147" s="828">
        <v>0</v>
      </c>
      <c r="AG147" s="828">
        <v>0</v>
      </c>
      <c r="AH147" s="828">
        <v>0</v>
      </c>
      <c r="AI147" s="828">
        <v>0</v>
      </c>
      <c r="AJ147" s="828">
        <v>0</v>
      </c>
      <c r="AK147" s="828">
        <v>0</v>
      </c>
      <c r="AL147" s="828">
        <v>0</v>
      </c>
      <c r="AM147" s="828">
        <v>0</v>
      </c>
      <c r="AN147" s="828">
        <v>0</v>
      </c>
      <c r="AO147" s="828">
        <v>0</v>
      </c>
      <c r="AP147" s="828">
        <v>0</v>
      </c>
    </row>
    <row r="148" hidden="1" ht="15.95" customHeight="1">
      <c r="B148" s="128" t="s">
        <v>7</v>
      </c>
      <c r="C148" s="129" t="str">
        <f>IF(SUM(C129:C147)&lt;&gt;0,SUM(C129:C147),"")</f>
      </c>
      <c r="D148" s="129" t="str">
        <f ref="D148:AA148" t="shared" si="0">IF(SUM(D129:D147)&lt;&gt;0,SUM(D129:D147),"")</f>
      </c>
      <c r="E148" s="129" t="str">
        <f t="shared" si="0"/>
      </c>
      <c r="F148" s="129" t="str">
        <f t="shared" si="0"/>
      </c>
      <c r="G148" s="129" t="str">
        <f t="shared" si="0"/>
      </c>
      <c r="H148" s="129" t="str">
        <f t="shared" si="0"/>
      </c>
      <c r="I148" s="129" t="str">
        <f t="shared" si="0"/>
      </c>
      <c r="J148" s="129" t="str">
        <f t="shared" si="0"/>
      </c>
      <c r="K148" s="129" t="str">
        <f t="shared" si="0"/>
      </c>
      <c r="L148" s="129" t="str">
        <f t="shared" si="0"/>
      </c>
      <c r="M148" s="129" t="str">
        <f t="shared" si="0"/>
      </c>
      <c r="N148" s="129" t="str">
        <f t="shared" si="0"/>
      </c>
      <c r="O148" s="129" t="str">
        <f t="shared" si="0"/>
      </c>
      <c r="P148" s="129" t="str">
        <f t="shared" si="0"/>
      </c>
      <c r="Q148" s="129" t="str">
        <f t="shared" si="0"/>
      </c>
      <c r="R148" s="129" t="str">
        <f t="shared" si="0"/>
      </c>
      <c r="S148" s="129" t="str">
        <f t="shared" si="0"/>
      </c>
      <c r="T148" s="129" t="str">
        <f t="shared" si="0"/>
      </c>
      <c r="U148" s="129" t="str">
        <f t="shared" si="0"/>
      </c>
      <c r="V148" s="129" t="str">
        <f t="shared" si="0"/>
      </c>
      <c r="W148" s="129" t="str">
        <f t="shared" si="0"/>
      </c>
      <c r="X148" s="129" t="str">
        <f t="shared" si="0"/>
      </c>
      <c r="Y148" s="129" t="str">
        <f t="shared" si="0"/>
      </c>
      <c r="Z148" s="129" t="str">
        <f t="shared" si="0"/>
      </c>
      <c r="AA148" s="129" t="str">
        <f t="shared" si="0"/>
      </c>
      <c r="AB148" s="130" t="str">
        <f>IF(SUM(AB129:AB147)&lt;&gt;0,SUM(AB129:AB147),"")</f>
      </c>
      <c r="AC148" s="91" t="str">
        <f ref="AC148:CN148" t="shared" si="1">IF(SUM(AC129:AC147)&lt;&gt;0,SUM(AC129:AC147),"")</f>
      </c>
      <c r="AD148" s="91" t="str">
        <f t="shared" si="1"/>
      </c>
      <c r="AE148" s="91" t="str">
        <f t="shared" si="1"/>
      </c>
      <c r="AF148" s="91" t="str">
        <f t="shared" si="1"/>
      </c>
      <c r="AG148" s="91" t="str">
        <f t="shared" si="1"/>
      </c>
      <c r="AH148" s="91" t="str">
        <f t="shared" si="1"/>
      </c>
      <c r="AI148" s="91" t="str">
        <f t="shared" si="1"/>
      </c>
      <c r="AJ148" s="91" t="str">
        <f t="shared" si="1"/>
      </c>
      <c r="AK148" s="91" t="str">
        <f t="shared" si="1"/>
      </c>
      <c r="AL148" s="91" t="str">
        <f t="shared" si="1"/>
      </c>
      <c r="AM148" s="91" t="str">
        <f t="shared" si="1"/>
      </c>
      <c r="AN148" s="91" t="str">
        <f t="shared" si="1"/>
      </c>
      <c r="AO148" s="91" t="str">
        <f t="shared" si="1"/>
      </c>
      <c r="AP148" s="91" t="str">
        <f t="shared" si="1"/>
      </c>
      <c r="AQ148" s="91" t="str">
        <f t="shared" si="1"/>
      </c>
      <c r="AR148" s="91" t="str">
        <f t="shared" si="1"/>
      </c>
      <c r="AS148" s="91" t="str">
        <f t="shared" si="1"/>
      </c>
      <c r="AT148" s="91" t="str">
        <f t="shared" si="1"/>
      </c>
      <c r="AU148" s="91" t="str">
        <f t="shared" si="1"/>
      </c>
      <c r="AV148" s="91" t="str">
        <f t="shared" si="1"/>
      </c>
      <c r="AW148" s="91" t="str">
        <f t="shared" si="1"/>
      </c>
      <c r="AX148" s="91" t="str">
        <f t="shared" si="1"/>
      </c>
      <c r="AY148" s="91" t="str">
        <f t="shared" si="1"/>
      </c>
      <c r="AZ148" s="91" t="str">
        <f t="shared" si="1"/>
      </c>
      <c r="BA148" s="91" t="str">
        <f t="shared" si="1"/>
      </c>
      <c r="BB148" s="91" t="str">
        <f t="shared" si="1"/>
      </c>
      <c r="BC148" s="91" t="str">
        <f t="shared" si="1"/>
      </c>
      <c r="BD148" s="91" t="str">
        <f t="shared" si="1"/>
      </c>
      <c r="BE148" s="91" t="str">
        <f t="shared" si="1"/>
      </c>
      <c r="BF148" s="91" t="str">
        <f t="shared" si="1"/>
      </c>
      <c r="BG148" s="91" t="str">
        <f t="shared" si="1"/>
      </c>
      <c r="BH148" s="91" t="str">
        <f t="shared" si="1"/>
      </c>
      <c r="BI148" s="91" t="str">
        <f t="shared" si="1"/>
      </c>
      <c r="BJ148" s="91" t="str">
        <f t="shared" si="1"/>
      </c>
      <c r="BK148" s="91" t="str">
        <f t="shared" si="1"/>
      </c>
      <c r="BL148" s="91" t="str">
        <f t="shared" si="1"/>
      </c>
      <c r="BM148" s="91" t="str">
        <f t="shared" si="1"/>
      </c>
      <c r="BN148" s="91" t="str">
        <f t="shared" si="1"/>
      </c>
      <c r="BO148" s="91" t="str">
        <f t="shared" si="1"/>
      </c>
      <c r="BP148" s="91" t="str">
        <f t="shared" si="1"/>
      </c>
      <c r="BQ148" s="91" t="str">
        <f t="shared" si="1"/>
      </c>
      <c r="BR148" s="91" t="str">
        <f t="shared" si="1"/>
      </c>
      <c r="BS148" s="91" t="str">
        <f t="shared" si="1"/>
      </c>
      <c r="BT148" s="91" t="str">
        <f t="shared" si="1"/>
      </c>
      <c r="BU148" s="91" t="str">
        <f t="shared" si="1"/>
      </c>
      <c r="BV148" s="91" t="str">
        <f t="shared" si="1"/>
      </c>
      <c r="BW148" s="91" t="str">
        <f t="shared" si="1"/>
      </c>
      <c r="BX148" s="91" t="str">
        <f t="shared" si="1"/>
      </c>
      <c r="BY148" s="91" t="str">
        <f t="shared" si="1"/>
      </c>
      <c r="BZ148" s="91" t="str">
        <f t="shared" si="1"/>
      </c>
      <c r="CA148" s="91" t="str">
        <f t="shared" si="1"/>
      </c>
      <c r="CB148" s="91" t="str">
        <f t="shared" si="1"/>
      </c>
      <c r="CC148" s="91" t="str">
        <f t="shared" si="1"/>
      </c>
      <c r="CD148" s="91" t="str">
        <f t="shared" si="1"/>
      </c>
      <c r="CE148" s="91" t="str">
        <f t="shared" si="1"/>
      </c>
      <c r="CF148" s="91" t="str">
        <f t="shared" si="1"/>
      </c>
      <c r="CG148" s="91" t="str">
        <f t="shared" si="1"/>
      </c>
      <c r="CH148" s="91" t="str">
        <f t="shared" si="1"/>
      </c>
      <c r="CI148" s="91" t="str">
        <f t="shared" si="1"/>
      </c>
      <c r="CJ148" s="91" t="str">
        <f t="shared" si="1"/>
      </c>
      <c r="CK148" s="91" t="str">
        <f t="shared" si="1"/>
      </c>
      <c r="CL148" s="91" t="str">
        <f t="shared" si="1"/>
      </c>
      <c r="CM148" s="91" t="str">
        <f t="shared" si="1"/>
      </c>
      <c r="CN148" s="91" t="str">
        <f t="shared" si="1"/>
      </c>
      <c r="CO148" s="91" t="str">
        <f ref="CO148:EZ148" t="shared" si="2">IF(SUM(CO129:CO147)&lt;&gt;0,SUM(CO129:CO147),"")</f>
      </c>
      <c r="CP148" s="91" t="str">
        <f t="shared" si="2"/>
      </c>
      <c r="CQ148" s="91" t="str">
        <f t="shared" si="2"/>
      </c>
      <c r="CR148" s="91" t="str">
        <f t="shared" si="2"/>
      </c>
      <c r="CS148" s="91" t="str">
        <f t="shared" si="2"/>
      </c>
      <c r="CT148" s="91" t="str">
        <f t="shared" si="2"/>
      </c>
      <c r="CU148" s="91" t="str">
        <f t="shared" si="2"/>
      </c>
      <c r="CV148" s="91" t="str">
        <f t="shared" si="2"/>
      </c>
      <c r="CW148" s="91" t="str">
        <f t="shared" si="2"/>
      </c>
      <c r="CX148" s="91" t="str">
        <f t="shared" si="2"/>
      </c>
      <c r="CY148" s="91" t="str">
        <f t="shared" si="2"/>
      </c>
      <c r="CZ148" s="91" t="str">
        <f t="shared" si="2"/>
      </c>
      <c r="DA148" s="91" t="str">
        <f t="shared" si="2"/>
      </c>
      <c r="DB148" s="91" t="str">
        <f t="shared" si="2"/>
      </c>
      <c r="DC148" s="91" t="str">
        <f t="shared" si="2"/>
      </c>
      <c r="DD148" s="91" t="str">
        <f t="shared" si="2"/>
      </c>
      <c r="DE148" s="91" t="str">
        <f t="shared" si="2"/>
      </c>
      <c r="DF148" s="91" t="str">
        <f t="shared" si="2"/>
      </c>
      <c r="DG148" s="91" t="str">
        <f t="shared" si="2"/>
      </c>
      <c r="DH148" s="91" t="str">
        <f t="shared" si="2"/>
      </c>
      <c r="DI148" s="91" t="str">
        <f t="shared" si="2"/>
      </c>
      <c r="DJ148" s="91" t="str">
        <f t="shared" si="2"/>
      </c>
      <c r="DK148" s="91" t="str">
        <f t="shared" si="2"/>
      </c>
      <c r="DL148" s="91" t="str">
        <f t="shared" si="2"/>
      </c>
      <c r="DM148" s="91" t="str">
        <f t="shared" si="2"/>
      </c>
      <c r="DN148" s="91" t="str">
        <f t="shared" si="2"/>
      </c>
      <c r="DO148" s="91" t="str">
        <f t="shared" si="2"/>
      </c>
      <c r="DP148" s="91" t="str">
        <f t="shared" si="2"/>
      </c>
      <c r="DQ148" s="91" t="str">
        <f t="shared" si="2"/>
      </c>
      <c r="DR148" s="91" t="str">
        <f t="shared" si="2"/>
      </c>
      <c r="DS148" s="91" t="str">
        <f t="shared" si="2"/>
      </c>
      <c r="DT148" s="91" t="str">
        <f t="shared" si="2"/>
      </c>
      <c r="DU148" s="91" t="str">
        <f t="shared" si="2"/>
      </c>
      <c r="DV148" s="91" t="str">
        <f t="shared" si="2"/>
      </c>
      <c r="DW148" s="91" t="str">
        <f t="shared" si="2"/>
      </c>
      <c r="DX148" s="91" t="str">
        <f t="shared" si="2"/>
      </c>
      <c r="DY148" s="91" t="str">
        <f t="shared" si="2"/>
      </c>
      <c r="DZ148" s="91" t="str">
        <f t="shared" si="2"/>
      </c>
      <c r="EA148" s="91" t="str">
        <f t="shared" si="2"/>
      </c>
      <c r="EB148" s="91" t="str">
        <f t="shared" si="2"/>
      </c>
      <c r="EC148" s="91" t="str">
        <f t="shared" si="2"/>
      </c>
      <c r="ED148" s="91" t="str">
        <f t="shared" si="2"/>
      </c>
      <c r="EE148" s="91" t="str">
        <f t="shared" si="2"/>
      </c>
      <c r="EF148" s="91" t="str">
        <f t="shared" si="2"/>
      </c>
      <c r="EG148" s="91" t="str">
        <f t="shared" si="2"/>
      </c>
      <c r="EH148" s="91" t="str">
        <f t="shared" si="2"/>
      </c>
      <c r="EI148" s="91" t="str">
        <f t="shared" si="2"/>
      </c>
      <c r="EJ148" s="91" t="str">
        <f t="shared" si="2"/>
      </c>
      <c r="EK148" s="91" t="str">
        <f t="shared" si="2"/>
      </c>
      <c r="EL148" s="91" t="str">
        <f t="shared" si="2"/>
      </c>
      <c r="EM148" s="91" t="str">
        <f t="shared" si="2"/>
      </c>
      <c r="EN148" s="91" t="str">
        <f t="shared" si="2"/>
      </c>
      <c r="EO148" s="91" t="str">
        <f t="shared" si="2"/>
      </c>
      <c r="EP148" s="91" t="str">
        <f t="shared" si="2"/>
      </c>
      <c r="EQ148" s="91" t="str">
        <f t="shared" si="2"/>
      </c>
      <c r="ER148" s="91" t="str">
        <f t="shared" si="2"/>
      </c>
      <c r="ES148" s="91" t="str">
        <f t="shared" si="2"/>
      </c>
      <c r="ET148" s="91" t="str">
        <f t="shared" si="2"/>
      </c>
      <c r="EU148" s="91" t="str">
        <f t="shared" si="2"/>
      </c>
      <c r="EV148" s="91" t="str">
        <f t="shared" si="2"/>
      </c>
      <c r="EW148" s="91" t="str">
        <f t="shared" si="2"/>
      </c>
      <c r="EX148" s="91" t="str">
        <f t="shared" si="2"/>
      </c>
      <c r="EY148" s="91" t="str">
        <f t="shared" si="2"/>
      </c>
      <c r="EZ148" s="91" t="str">
        <f t="shared" si="2"/>
      </c>
      <c r="FA148" s="91" t="str">
        <f ref="FA148:HL148" t="shared" si="3">IF(SUM(FA129:FA147)&lt;&gt;0,SUM(FA129:FA147),"")</f>
      </c>
      <c r="FB148" s="91" t="str">
        <f t="shared" si="3"/>
      </c>
      <c r="FC148" s="91" t="str">
        <f t="shared" si="3"/>
      </c>
      <c r="FD148" s="91" t="str">
        <f t="shared" si="3"/>
      </c>
      <c r="FE148" s="91" t="str">
        <f t="shared" si="3"/>
      </c>
      <c r="FF148" s="91" t="str">
        <f t="shared" si="3"/>
      </c>
      <c r="FG148" s="91" t="str">
        <f t="shared" si="3"/>
      </c>
      <c r="FH148" s="91" t="str">
        <f t="shared" si="3"/>
      </c>
      <c r="FI148" s="91" t="str">
        <f t="shared" si="3"/>
      </c>
      <c r="FJ148" s="91" t="str">
        <f t="shared" si="3"/>
      </c>
      <c r="FK148" s="91" t="str">
        <f t="shared" si="3"/>
      </c>
      <c r="FL148" s="91" t="str">
        <f t="shared" si="3"/>
      </c>
      <c r="FM148" s="91" t="str">
        <f t="shared" si="3"/>
      </c>
      <c r="FN148" s="91" t="str">
        <f t="shared" si="3"/>
      </c>
      <c r="FO148" s="91" t="str">
        <f t="shared" si="3"/>
      </c>
      <c r="FP148" s="91" t="str">
        <f t="shared" si="3"/>
      </c>
      <c r="FQ148" s="91" t="str">
        <f t="shared" si="3"/>
      </c>
      <c r="FR148" s="91" t="str">
        <f t="shared" si="3"/>
      </c>
      <c r="FS148" s="91" t="str">
        <f t="shared" si="3"/>
      </c>
      <c r="FT148" s="91" t="str">
        <f t="shared" si="3"/>
      </c>
      <c r="FU148" s="91" t="str">
        <f t="shared" si="3"/>
      </c>
      <c r="FV148" s="91" t="str">
        <f t="shared" si="3"/>
      </c>
      <c r="FW148" s="91" t="str">
        <f t="shared" si="3"/>
      </c>
      <c r="FX148" s="91" t="str">
        <f t="shared" si="3"/>
      </c>
      <c r="FY148" s="91" t="str">
        <f t="shared" si="3"/>
      </c>
      <c r="FZ148" s="91" t="str">
        <f t="shared" si="3"/>
      </c>
      <c r="GA148" s="91" t="str">
        <f t="shared" si="3"/>
      </c>
      <c r="GB148" s="91" t="str">
        <f t="shared" si="3"/>
      </c>
      <c r="GC148" s="91" t="str">
        <f t="shared" si="3"/>
      </c>
      <c r="GD148" s="91" t="str">
        <f t="shared" si="3"/>
      </c>
      <c r="GE148" s="91" t="str">
        <f t="shared" si="3"/>
      </c>
      <c r="GF148" s="91" t="str">
        <f t="shared" si="3"/>
      </c>
      <c r="GG148" s="91" t="str">
        <f t="shared" si="3"/>
      </c>
      <c r="GH148" s="91" t="str">
        <f t="shared" si="3"/>
      </c>
      <c r="GI148" s="91" t="str">
        <f t="shared" si="3"/>
      </c>
      <c r="GJ148" s="91" t="str">
        <f t="shared" si="3"/>
      </c>
      <c r="GK148" s="91" t="str">
        <f t="shared" si="3"/>
      </c>
      <c r="GL148" s="91" t="str">
        <f t="shared" si="3"/>
      </c>
      <c r="GM148" s="91" t="str">
        <f t="shared" si="3"/>
      </c>
      <c r="GN148" s="91" t="str">
        <f t="shared" si="3"/>
      </c>
      <c r="GO148" s="91" t="str">
        <f t="shared" si="3"/>
      </c>
      <c r="GP148" s="91" t="str">
        <f t="shared" si="3"/>
      </c>
      <c r="GQ148" s="91" t="str">
        <f t="shared" si="3"/>
      </c>
      <c r="GR148" s="91" t="str">
        <f t="shared" si="3"/>
      </c>
      <c r="GS148" s="91" t="str">
        <f t="shared" si="3"/>
      </c>
      <c r="GT148" s="91" t="str">
        <f t="shared" si="3"/>
      </c>
      <c r="GU148" s="91" t="str">
        <f t="shared" si="3"/>
      </c>
      <c r="GV148" s="91" t="str">
        <f t="shared" si="3"/>
      </c>
      <c r="GW148" s="91" t="str">
        <f t="shared" si="3"/>
      </c>
      <c r="GX148" s="91" t="str">
        <f t="shared" si="3"/>
      </c>
      <c r="GY148" s="91" t="str">
        <f t="shared" si="3"/>
      </c>
      <c r="GZ148" s="91" t="str">
        <f t="shared" si="3"/>
      </c>
      <c r="HA148" s="91" t="str">
        <f t="shared" si="3"/>
      </c>
      <c r="HB148" s="91" t="str">
        <f t="shared" si="3"/>
      </c>
      <c r="HC148" s="91" t="str">
        <f t="shared" si="3"/>
      </c>
      <c r="HD148" s="91" t="str">
        <f t="shared" si="3"/>
      </c>
      <c r="HE148" s="91" t="str">
        <f t="shared" si="3"/>
      </c>
      <c r="HF148" s="91" t="str">
        <f t="shared" si="3"/>
      </c>
      <c r="HG148" s="91" t="str">
        <f t="shared" si="3"/>
      </c>
      <c r="HH148" s="91" t="str">
        <f t="shared" si="3"/>
      </c>
      <c r="HI148" s="91" t="str">
        <f t="shared" si="3"/>
      </c>
      <c r="HJ148" s="91" t="str">
        <f t="shared" si="3"/>
      </c>
      <c r="HK148" s="91" t="str">
        <f t="shared" si="3"/>
      </c>
      <c r="HL148" s="91" t="str">
        <f t="shared" si="3"/>
      </c>
      <c r="HM148" s="91" t="str">
        <f ref="HM148:IV148" t="shared" si="4">IF(SUM(HM129:HM147)&lt;&gt;0,SUM(HM129:HM147),"")</f>
      </c>
      <c r="HN148" s="91" t="str">
        <f t="shared" si="4"/>
      </c>
      <c r="HO148" s="91" t="str">
        <f t="shared" si="4"/>
      </c>
      <c r="HP148" s="91" t="str">
        <f t="shared" si="4"/>
      </c>
      <c r="HQ148" s="91" t="str">
        <f t="shared" si="4"/>
      </c>
      <c r="HR148" s="91" t="str">
        <f t="shared" si="4"/>
      </c>
      <c r="HS148" s="91" t="str">
        <f t="shared" si="4"/>
      </c>
      <c r="HT148" s="91" t="str">
        <f t="shared" si="4"/>
      </c>
      <c r="HU148" s="91" t="str">
        <f t="shared" si="4"/>
      </c>
      <c r="HV148" s="91" t="str">
        <f t="shared" si="4"/>
      </c>
      <c r="HW148" s="91" t="str">
        <f t="shared" si="4"/>
      </c>
      <c r="HX148" s="91" t="str">
        <f t="shared" si="4"/>
      </c>
      <c r="HY148" s="91" t="str">
        <f t="shared" si="4"/>
      </c>
      <c r="HZ148" s="91" t="str">
        <f t="shared" si="4"/>
      </c>
      <c r="IA148" s="91" t="str">
        <f t="shared" si="4"/>
      </c>
      <c r="IB148" s="91" t="str">
        <f t="shared" si="4"/>
      </c>
      <c r="IC148" s="91" t="str">
        <f t="shared" si="4"/>
      </c>
      <c r="ID148" s="91" t="str">
        <f t="shared" si="4"/>
      </c>
      <c r="IE148" s="91" t="str">
        <f t="shared" si="4"/>
      </c>
      <c r="IF148" s="91" t="str">
        <f t="shared" si="4"/>
      </c>
      <c r="IG148" s="91" t="str">
        <f t="shared" si="4"/>
      </c>
      <c r="IH148" s="91" t="str">
        <f t="shared" si="4"/>
      </c>
      <c r="II148" s="91" t="str">
        <f t="shared" si="4"/>
      </c>
      <c r="IJ148" s="91" t="str">
        <f t="shared" si="4"/>
      </c>
      <c r="IK148" s="91" t="str">
        <f t="shared" si="4"/>
      </c>
      <c r="IL148" s="91" t="str">
        <f t="shared" si="4"/>
      </c>
      <c r="IM148" s="91" t="str">
        <f t="shared" si="4"/>
      </c>
      <c r="IN148" s="91" t="str">
        <f t="shared" si="4"/>
      </c>
      <c r="IO148" s="91" t="str">
        <f t="shared" si="4"/>
      </c>
      <c r="IP148" s="91" t="str">
        <f t="shared" si="4"/>
      </c>
      <c r="IQ148" s="91" t="str">
        <f t="shared" si="4"/>
      </c>
      <c r="IR148" s="91" t="str">
        <f t="shared" si="4"/>
      </c>
      <c r="IS148" s="91" t="str">
        <f t="shared" si="4"/>
      </c>
      <c r="IT148" s="91" t="str">
        <f t="shared" si="4"/>
      </c>
      <c r="IU148" s="91" t="str">
        <f t="shared" si="4"/>
      </c>
      <c r="IV148" s="91" t="str">
        <f t="shared" si="4"/>
      </c>
    </row>
    <row r="149" hidden="1" ht="15.95" customHeight="1">
      <c r="M149" s="215"/>
      <c r="N149" s="355"/>
      <c r="O149" s="50"/>
      <c r="P149" s="50"/>
      <c r="Q149" s="50"/>
      <c r="R149" s="50"/>
      <c r="S149" s="50"/>
    </row>
    <row r="150" hidden="1" ht="15.95" customHeight="1">
      <c r="C150" s="686" t="s">
        <v>108</v>
      </c>
      <c r="D150" s="687"/>
      <c r="E150" s="687"/>
      <c r="F150" s="687"/>
      <c r="G150" s="687"/>
      <c r="H150" s="687"/>
      <c r="I150" s="687"/>
      <c r="J150" s="687"/>
      <c r="K150" s="687"/>
      <c r="L150" s="687"/>
      <c r="M150" s="687"/>
      <c r="N150" s="687"/>
      <c r="O150" s="687"/>
      <c r="P150" s="687"/>
      <c r="Q150" s="687"/>
      <c r="R150" s="687"/>
      <c r="S150" s="687"/>
      <c r="T150" s="687"/>
      <c r="U150" s="687"/>
      <c r="V150" s="687"/>
      <c r="W150" s="687"/>
      <c r="X150" s="687"/>
      <c r="Y150" s="687"/>
      <c r="Z150" s="687"/>
      <c r="AA150" s="687"/>
      <c r="AB150" s="688"/>
    </row>
    <row r="151" hidden="1" ht="15.95" customHeight="1">
      <c r="C151" s="435" t="str">
        <f> IF(C171&lt;&gt;"",TEXT(AUX!G$1,"dd-MMM-aa"),"")</f>
      </c>
      <c r="D151" s="435" t="str">
        <f> IF(D171&lt;&gt;"",TEXT(AUX!H$1,"dd-MMM-aa"),"")</f>
      </c>
      <c r="E151" s="435" t="str">
        <f> IF(E171&lt;&gt;"",TEXT(AUX!I$1,"dd-MMM-aa"),"")</f>
      </c>
      <c r="F151" s="435" t="str">
        <f> IF(F171&lt;&gt;"",TEXT(AUX!J$1,"dd-MMM-aa"),"")</f>
      </c>
      <c r="G151" s="435" t="str">
        <f> IF(G171&lt;&gt;"",TEXT(AUX!K$1,"dd-MMM-aa"),"")</f>
      </c>
      <c r="H151" s="435" t="str">
        <f> IF(H171&lt;&gt;"",TEXT(AUX!L$1,"dd-MMM-aa"),"")</f>
      </c>
      <c r="I151" s="435" t="str">
        <f> IF(I171&lt;&gt;"",TEXT(AUX!M$1,"dd-MMM-aa"),"")</f>
      </c>
      <c r="J151" s="435" t="str">
        <f> IF(J171&lt;&gt;"",TEXT(AUX!N$1,"dd-MMM-aa"),"")</f>
      </c>
      <c r="K151" s="435" t="str">
        <f> IF(K171&lt;&gt;"",TEXT(AUX!O$1,"dd-MMM-aa"),"")</f>
      </c>
      <c r="L151" s="435" t="str">
        <f> IF(L171&lt;&gt;"",TEXT(AUX!P$1,"dd-MMM-aa"),"")</f>
      </c>
      <c r="M151" s="435" t="str">
        <f> IF(M171&lt;&gt;"",TEXT(AUX!Q$1,"dd-MMM-aa"),"")</f>
      </c>
      <c r="N151" s="435" t="str">
        <f> IF(N171&lt;&gt;"",TEXT(AUX!R$1,"dd-MMM-aa"),"")</f>
      </c>
      <c r="O151" s="435" t="str">
        <f> IF(O171&lt;&gt;"",TEXT(AUX!S$1,"dd-MMM-aa"),"")</f>
      </c>
      <c r="P151" s="435" t="str">
        <f> IF(P171&lt;&gt;"",TEXT(AUX!T$1,"dd-MMM-aa"),"")</f>
      </c>
      <c r="Q151" s="435" t="str">
        <f> IF(Q171&lt;&gt;"",TEXT(AUX!U$1,"dd-MMM-aa"),"")</f>
      </c>
      <c r="R151" s="435" t="str">
        <f> IF(R171&lt;&gt;"",TEXT(AUX!V$1,"dd-MMM-aa"),"")</f>
      </c>
      <c r="S151" s="435" t="str">
        <f> IF(S171&lt;&gt;"",TEXT(AUX!W$1,"dd-MMM-aa"),"")</f>
      </c>
      <c r="T151" s="435" t="str">
        <f> IF(T171&lt;&gt;"",TEXT(AUX!X$1,"dd-MMM-aa"),"")</f>
      </c>
      <c r="U151" s="435" t="str">
        <f> IF(U171&lt;&gt;"",TEXT(AUX!Y$1,"dd-MMM-aa"),"")</f>
      </c>
      <c r="V151" s="435" t="str">
        <f> IF(V171&lt;&gt;"",TEXT(AUX!Z$1,"dd-MMM-aa"),"")</f>
      </c>
      <c r="W151" s="435" t="str">
        <f> IF(W171&lt;&gt;"",TEXT(AUX!AA$1,"dd-MMM-aa"),"")</f>
      </c>
      <c r="X151" s="435" t="str">
        <f> IF(X171&lt;&gt;"",TEXT(AUX!AB$1,"dd-MMM-aa"),"")</f>
      </c>
      <c r="Y151" s="435" t="str">
        <f> IF(Y171&lt;&gt;"",TEXT(AUX!AC$1,"dd-MMM-aa"),"")</f>
      </c>
      <c r="Z151" s="435" t="str">
        <f> IF(Z171&lt;&gt;"",TEXT(AUX!AD$1,"dd-MMM-aa"),"")</f>
      </c>
      <c r="AA151" s="435" t="str">
        <f> IF(AA171&lt;&gt;"",TEXT(AUX!AE$1,"dd-MMM-aa"),"")</f>
      </c>
      <c r="AB151" s="497" t="str">
        <f> IF(AB171&lt;&gt;"",TEXT(AUX!AF$1,"dd-MMM-aa"),"")</f>
      </c>
      <c r="AC151" s="496" t="str">
        <f> IF(AC171&lt;&gt;"",TEXT(AUX!AG$1,"dd-MMM-aa"),"")</f>
      </c>
      <c r="AD151" s="496" t="str">
        <f> IF(AD171&lt;&gt;"",TEXT(AUX!AH$1,"dd-MMM-aa"),"")</f>
      </c>
      <c r="AE151" s="496" t="str">
        <f> IF(AE171&lt;&gt;"",TEXT(AUX!AI$1,"dd-MMM-aa"),"")</f>
      </c>
      <c r="AF151" s="496" t="str">
        <f> IF(AF171&lt;&gt;"",TEXT(AUX!AJ$1,"dd-MMM-aa"),"")</f>
      </c>
      <c r="AG151" s="496" t="str">
        <f> IF(AG171&lt;&gt;"",TEXT(AUX!AK$1,"dd-MMM-aa"),"")</f>
      </c>
      <c r="AH151" s="496" t="str">
        <f> IF(AH171&lt;&gt;"",TEXT(AUX!AL$1,"dd-MMM-aa"),"")</f>
      </c>
      <c r="AI151" s="496" t="str">
        <f> IF(AI171&lt;&gt;"",TEXT(AUX!AM$1,"dd-MMM-aa"),"")</f>
      </c>
      <c r="AJ151" s="496" t="str">
        <f> IF(AJ171&lt;&gt;"",TEXT(AUX!AN$1,"dd-MMM-aa"),"")</f>
      </c>
      <c r="AK151" s="496" t="str">
        <f> IF(AK171&lt;&gt;"",TEXT(AUX!AO$1,"dd-MMM-aa"),"")</f>
      </c>
      <c r="AL151" s="496" t="str">
        <f> IF(AL171&lt;&gt;"",TEXT(AUX!AP$1,"dd-MMM-aa"),"")</f>
      </c>
      <c r="AM151" s="496" t="str">
        <f> IF(AM171&lt;&gt;"",TEXT(AUX!AQ$1,"dd-MMM-aa"),"")</f>
      </c>
      <c r="AN151" s="496" t="str">
        <f> IF(AN171&lt;&gt;"",TEXT(AUX!AR$1,"dd-MMM-aa"),"")</f>
      </c>
      <c r="AO151" s="496" t="str">
        <f> IF(AO171&lt;&gt;"",TEXT(AUX!AS$1,"dd-MMM-aa"),"")</f>
      </c>
      <c r="AP151" s="496" t="str">
        <f> IF(AP171&lt;&gt;"",TEXT(AUX!AT$1,"dd-MMM-aa"),"")</f>
      </c>
      <c r="AQ151" s="496" t="str">
        <f> IF(AQ171&lt;&gt;"",TEXT(AUX!AU$1,"dd-MMM-aa"),"")</f>
      </c>
      <c r="AR151" s="496" t="str">
        <f> IF(AR171&lt;&gt;"",TEXT(AUX!AV$1,"dd-MMM-aa"),"")</f>
      </c>
      <c r="AS151" s="496" t="str">
        <f> IF(AS171&lt;&gt;"",TEXT(AUX!AW$1,"dd-MMM-aa"),"")</f>
      </c>
      <c r="AT151" s="496" t="str">
        <f> IF(AT171&lt;&gt;"",TEXT(AUX!AX$1,"dd-MMM-aa"),"")</f>
      </c>
      <c r="AU151" s="496" t="str">
        <f> IF(AU171&lt;&gt;"",TEXT(AUX!AY$1,"dd-MMM-aa"),"")</f>
      </c>
      <c r="AV151" s="496" t="str">
        <f> IF(AV171&lt;&gt;"",TEXT(AUX!AZ$1,"dd-MMM-aa"),"")</f>
      </c>
      <c r="AW151" s="496" t="str">
        <f> IF(AW171&lt;&gt;"",TEXT(AUX!BA$1,"dd-MMM-aa"),"")</f>
      </c>
      <c r="AX151" s="496" t="str">
        <f> IF(AX171&lt;&gt;"",TEXT(AUX!BB$1,"dd-MMM-aa"),"")</f>
      </c>
      <c r="AY151" s="496" t="str">
        <f> IF(AY171&lt;&gt;"",TEXT(AUX!BC$1,"dd-MMM-aa"),"")</f>
      </c>
      <c r="AZ151" s="496" t="str">
        <f> IF(AZ171&lt;&gt;"",TEXT(AUX!BD$1,"dd-MMM-aa"),"")</f>
      </c>
      <c r="BA151" s="496" t="str">
        <f> IF(BA171&lt;&gt;"",TEXT(AUX!BE$1,"dd-MMM-aa"),"")</f>
      </c>
      <c r="BB151" s="496" t="str">
        <f> IF(BB171&lt;&gt;"",TEXT(AUX!BF$1,"dd-MMM-aa"),"")</f>
      </c>
      <c r="BC151" s="496" t="str">
        <f> IF(BC171&lt;&gt;"",TEXT(AUX!BG$1,"dd-MMM-aa"),"")</f>
      </c>
      <c r="BD151" s="496" t="str">
        <f> IF(BD171&lt;&gt;"",TEXT(AUX!BH$1,"dd-MMM-aa"),"")</f>
      </c>
      <c r="BE151" s="496" t="str">
        <f> IF(BE171&lt;&gt;"",TEXT(AUX!BI$1,"dd-MMM-aa"),"")</f>
      </c>
      <c r="BF151" s="496" t="str">
        <f> IF(BF171&lt;&gt;"",TEXT(AUX!BJ$1,"dd-MMM-aa"),"")</f>
      </c>
      <c r="BG151" s="496" t="str">
        <f> IF(BG171&lt;&gt;"",TEXT(AUX!BK$1,"dd-MMM-aa"),"")</f>
      </c>
      <c r="BH151" s="496" t="str">
        <f> IF(BH171&lt;&gt;"",TEXT(AUX!BL$1,"dd-MMM-aa"),"")</f>
      </c>
      <c r="BI151" s="496" t="str">
        <f> IF(BI171&lt;&gt;"",TEXT(AUX!BM$1,"dd-MMM-aa"),"")</f>
      </c>
      <c r="BJ151" s="496" t="str">
        <f> IF(BJ171&lt;&gt;"",TEXT(AUX!BN$1,"dd-MMM-aa"),"")</f>
      </c>
      <c r="BK151" s="496" t="str">
        <f> IF(BK171&lt;&gt;"",TEXT(AUX!BO$1,"dd-MMM-aa"),"")</f>
      </c>
      <c r="BL151" s="496" t="str">
        <f> IF(BL171&lt;&gt;"",TEXT(AUX!BP$1,"dd-MMM-aa"),"")</f>
      </c>
      <c r="BM151" s="496" t="str">
        <f> IF(BM171&lt;&gt;"",TEXT(AUX!BQ$1,"dd-MMM-aa"),"")</f>
      </c>
      <c r="BN151" s="496" t="str">
        <f> IF(BN171&lt;&gt;"",TEXT(AUX!BR$1,"dd-MMM-aa"),"")</f>
      </c>
      <c r="BO151" s="496" t="str">
        <f> IF(BO171&lt;&gt;"",TEXT(AUX!BS$1,"dd-MMM-aa"),"")</f>
      </c>
      <c r="BP151" s="496" t="str">
        <f> IF(BP171&lt;&gt;"",TEXT(AUX!BT$1,"dd-MMM-aa"),"")</f>
      </c>
      <c r="BQ151" s="496" t="str">
        <f> IF(BQ171&lt;&gt;"",TEXT(AUX!BU$1,"dd-MMM-aa"),"")</f>
      </c>
      <c r="BR151" s="496" t="str">
        <f> IF(BR171&lt;&gt;"",TEXT(AUX!BV$1,"dd-MMM-aa"),"")</f>
      </c>
      <c r="BS151" s="496" t="str">
        <f> IF(BS171&lt;&gt;"",TEXT(AUX!BW$1,"dd-MMM-aa"),"")</f>
      </c>
      <c r="BT151" s="496" t="str">
        <f> IF(BT171&lt;&gt;"",TEXT(AUX!BX$1,"dd-MMM-aa"),"")</f>
      </c>
      <c r="BU151" s="496" t="str">
        <f> IF(BU171&lt;&gt;"",TEXT(AUX!BY$1,"dd-MMM-aa"),"")</f>
      </c>
      <c r="BV151" s="496" t="str">
        <f> IF(BV171&lt;&gt;"",TEXT(AUX!BZ$1,"dd-MMM-aa"),"")</f>
      </c>
      <c r="BW151" s="496" t="str">
        <f> IF(BW171&lt;&gt;"",TEXT(AUX!CA$1,"dd-MMM-aa"),"")</f>
      </c>
      <c r="BX151" s="496" t="str">
        <f> IF(BX171&lt;&gt;"",TEXT(AUX!CB$1,"dd-MMM-aa"),"")</f>
      </c>
      <c r="BY151" s="496" t="str">
        <f> IF(BY171&lt;&gt;"",TEXT(AUX!CC$1,"dd-MMM-aa"),"")</f>
      </c>
      <c r="BZ151" s="496" t="str">
        <f> IF(BZ171&lt;&gt;"",TEXT(AUX!CD$1,"dd-MMM-aa"),"")</f>
      </c>
      <c r="CA151" s="496" t="str">
        <f> IF(CA171&lt;&gt;"",TEXT(AUX!CE$1,"dd-MMM-aa"),"")</f>
      </c>
      <c r="CB151" s="496" t="str">
        <f> IF(CB171&lt;&gt;"",TEXT(AUX!CF$1,"dd-MMM-aa"),"")</f>
      </c>
      <c r="CC151" s="496" t="str">
        <f> IF(CC171&lt;&gt;"",TEXT(AUX!CG$1,"dd-MMM-aa"),"")</f>
      </c>
      <c r="CD151" s="496" t="str">
        <f> IF(CD171&lt;&gt;"",TEXT(AUX!CH$1,"dd-MMM-aa"),"")</f>
      </c>
      <c r="CE151" s="496" t="str">
        <f> IF(CE171&lt;&gt;"",TEXT(AUX!CI$1,"dd-MMM-aa"),"")</f>
      </c>
      <c r="CF151" s="496" t="str">
        <f> IF(CF171&lt;&gt;"",TEXT(AUX!CJ$1,"dd-MMM-aa"),"")</f>
      </c>
      <c r="CG151" s="496" t="str">
        <f> IF(CG171&lt;&gt;"",TEXT(AUX!CK$1,"dd-MMM-aa"),"")</f>
      </c>
      <c r="CH151" s="496" t="str">
        <f> IF(CH171&lt;&gt;"",TEXT(AUX!CL$1,"dd-MMM-aa"),"")</f>
      </c>
      <c r="CI151" s="496" t="str">
        <f> IF(CI171&lt;&gt;"",TEXT(AUX!CM$1,"dd-MMM-aa"),"")</f>
      </c>
      <c r="CJ151" s="496" t="str">
        <f> IF(CJ171&lt;&gt;"",TEXT(AUX!CN$1,"dd-MMM-aa"),"")</f>
      </c>
      <c r="CK151" s="496" t="str">
        <f> IF(CK171&lt;&gt;"",TEXT(AUX!CO$1,"dd-MMM-aa"),"")</f>
      </c>
      <c r="CL151" s="496" t="str">
        <f> IF(CL171&lt;&gt;"",TEXT(AUX!CP$1,"dd-MMM-aa"),"")</f>
      </c>
      <c r="CM151" s="496" t="str">
        <f> IF(CM171&lt;&gt;"",TEXT(AUX!CQ$1,"dd-MMM-aa"),"")</f>
      </c>
      <c r="CN151" s="496" t="str">
        <f> IF(CN171&lt;&gt;"",TEXT(AUX!CR$1,"dd-MMM-aa"),"")</f>
      </c>
      <c r="CO151" s="496" t="str">
        <f> IF(CO171&lt;&gt;"",TEXT(AUX!CS$1,"dd-MMM-aa"),"")</f>
      </c>
      <c r="CP151" s="496" t="str">
        <f> IF(CP171&lt;&gt;"",TEXT(AUX!CT$1,"dd-MMM-aa"),"")</f>
      </c>
      <c r="CQ151" s="496" t="str">
        <f> IF(CQ171&lt;&gt;"",TEXT(AUX!CU$1,"dd-MMM-aa"),"")</f>
      </c>
      <c r="CR151" s="496" t="str">
        <f> IF(CR171&lt;&gt;"",TEXT(AUX!CV$1,"dd-MMM-aa"),"")</f>
      </c>
      <c r="CS151" s="496" t="str">
        <f> IF(CS171&lt;&gt;"",TEXT(AUX!CW$1,"dd-MMM-aa"),"")</f>
      </c>
      <c r="CT151" s="496" t="str">
        <f> IF(CT171&lt;&gt;"",TEXT(AUX!CX$1,"dd-MMM-aa"),"")</f>
      </c>
      <c r="CU151" s="496" t="str">
        <f> IF(CU171&lt;&gt;"",TEXT(AUX!CY$1,"dd-MMM-aa"),"")</f>
      </c>
      <c r="CV151" s="496" t="str">
        <f> IF(CV171&lt;&gt;"",TEXT(AUX!CZ$1,"dd-MMM-aa"),"")</f>
      </c>
      <c r="CW151" s="496" t="str">
        <f> IF(CW171&lt;&gt;"",TEXT(AUX!DA$1,"dd-MMM-aa"),"")</f>
      </c>
      <c r="CX151" s="496" t="str">
        <f> IF(CX171&lt;&gt;"",TEXT(AUX!DB$1,"dd-MMM-aa"),"")</f>
      </c>
      <c r="CY151" s="496" t="str">
        <f> IF(CY171&lt;&gt;"",TEXT(AUX!DC$1,"dd-MMM-aa"),"")</f>
      </c>
      <c r="CZ151" s="496" t="str">
        <f> IF(CZ171&lt;&gt;"",TEXT(AUX!DD$1,"dd-MMM-aa"),"")</f>
      </c>
      <c r="DA151" s="496" t="str">
        <f> IF(DA171&lt;&gt;"",TEXT(AUX!DE$1,"dd-MMM-aa"),"")</f>
      </c>
      <c r="DB151" s="496" t="str">
        <f> IF(DB171&lt;&gt;"",TEXT(AUX!DF$1,"dd-MMM-aa"),"")</f>
      </c>
      <c r="DC151" s="496" t="str">
        <f> IF(DC171&lt;&gt;"",TEXT(AUX!DG$1,"dd-MMM-aa"),"")</f>
      </c>
      <c r="DD151" s="496" t="str">
        <f> IF(DD171&lt;&gt;"",TEXT(AUX!DH$1,"dd-MMM-aa"),"")</f>
      </c>
      <c r="DE151" s="496" t="str">
        <f> IF(DE171&lt;&gt;"",TEXT(AUX!DI$1,"dd-MMM-aa"),"")</f>
      </c>
      <c r="DF151" s="496" t="str">
        <f> IF(DF171&lt;&gt;"",TEXT(AUX!DJ$1,"dd-MMM-aa"),"")</f>
      </c>
      <c r="DG151" s="496" t="str">
        <f> IF(DG171&lt;&gt;"",TEXT(AUX!DK$1,"dd-MMM-aa"),"")</f>
      </c>
      <c r="DH151" s="496" t="str">
        <f> IF(DH171&lt;&gt;"",TEXT(AUX!DL$1,"dd-MMM-aa"),"")</f>
      </c>
      <c r="DI151" s="496" t="str">
        <f> IF(DI171&lt;&gt;"",TEXT(AUX!DM$1,"dd-MMM-aa"),"")</f>
      </c>
      <c r="DJ151" s="496" t="str">
        <f> IF(DJ171&lt;&gt;"",TEXT(AUX!DN$1,"dd-MMM-aa"),"")</f>
      </c>
      <c r="DK151" s="496" t="str">
        <f> IF(DK171&lt;&gt;"",TEXT(AUX!DO$1,"dd-MMM-aa"),"")</f>
      </c>
      <c r="DL151" s="496" t="str">
        <f> IF(DL171&lt;&gt;"",TEXT(AUX!DP$1,"dd-MMM-aa"),"")</f>
      </c>
      <c r="DM151" s="496" t="str">
        <f> IF(DM171&lt;&gt;"",TEXT(AUX!DQ$1,"dd-MMM-aa"),"")</f>
      </c>
      <c r="DN151" s="496" t="str">
        <f> IF(DN171&lt;&gt;"",TEXT(AUX!DR$1,"dd-MMM-aa"),"")</f>
      </c>
      <c r="DO151" s="496" t="str">
        <f> IF(DO171&lt;&gt;"",TEXT(AUX!DS$1,"dd-MMM-aa"),"")</f>
      </c>
      <c r="DP151" s="496" t="str">
        <f> IF(DP171&lt;&gt;"",TEXT(AUX!DT$1,"dd-MMM-aa"),"")</f>
      </c>
      <c r="DQ151" s="496" t="str">
        <f> IF(DQ171&lt;&gt;"",TEXT(AUX!DU$1,"dd-MMM-aa"),"")</f>
      </c>
      <c r="DR151" s="496" t="str">
        <f> IF(DR171&lt;&gt;"",TEXT(AUX!DV$1,"dd-MMM-aa"),"")</f>
      </c>
      <c r="DS151" s="496" t="str">
        <f> IF(DS171&lt;&gt;"",TEXT(AUX!DW$1,"dd-MMM-aa"),"")</f>
      </c>
      <c r="DT151" s="496" t="str">
        <f> IF(DT171&lt;&gt;"",TEXT(AUX!DX$1,"dd-MMM-aa"),"")</f>
      </c>
      <c r="DU151" s="496" t="str">
        <f> IF(DU171&lt;&gt;"",TEXT(AUX!DY$1,"dd-MMM-aa"),"")</f>
      </c>
      <c r="DV151" s="496" t="str">
        <f> IF(DV171&lt;&gt;"",TEXT(AUX!DZ$1,"dd-MMM-aa"),"")</f>
      </c>
      <c r="DW151" s="496" t="str">
        <f> IF(DW171&lt;&gt;"",TEXT(AUX!EA$1,"dd-MMM-aa"),"")</f>
      </c>
      <c r="DX151" s="496" t="str">
        <f> IF(DX171&lt;&gt;"",TEXT(AUX!EB$1,"dd-MMM-aa"),"")</f>
      </c>
      <c r="DY151" s="496" t="str">
        <f> IF(DY171&lt;&gt;"",TEXT(AUX!EC$1,"dd-MMM-aa"),"")</f>
      </c>
      <c r="DZ151" s="496" t="str">
        <f> IF(DZ171&lt;&gt;"",TEXT(AUX!ED$1,"dd-MMM-aa"),"")</f>
      </c>
      <c r="EA151" s="496" t="str">
        <f> IF(EA171&lt;&gt;"",TEXT(AUX!EE$1,"dd-MMM-aa"),"")</f>
      </c>
      <c r="EB151" s="496" t="str">
        <f> IF(EB171&lt;&gt;"",TEXT(AUX!EF$1,"dd-MMM-aa"),"")</f>
      </c>
      <c r="EC151" s="496" t="str">
        <f> IF(EC171&lt;&gt;"",TEXT(AUX!EG$1,"dd-MMM-aa"),"")</f>
      </c>
      <c r="ED151" s="496" t="str">
        <f> IF(ED171&lt;&gt;"",TEXT(AUX!EH$1,"dd-MMM-aa"),"")</f>
      </c>
      <c r="EE151" s="496" t="str">
        <f> IF(EE171&lt;&gt;"",TEXT(AUX!EI$1,"dd-MMM-aa"),"")</f>
      </c>
      <c r="EF151" s="496" t="str">
        <f> IF(EF171&lt;&gt;"",TEXT(AUX!EJ$1,"dd-MMM-aa"),"")</f>
      </c>
      <c r="EG151" s="496" t="str">
        <f> IF(EG171&lt;&gt;"",TEXT(AUX!EK$1,"dd-MMM-aa"),"")</f>
      </c>
      <c r="EH151" s="496" t="str">
        <f> IF(EH171&lt;&gt;"",TEXT(AUX!EL$1,"dd-MMM-aa"),"")</f>
      </c>
      <c r="EI151" s="496" t="str">
        <f> IF(EI171&lt;&gt;"",TEXT(AUX!EM$1,"dd-MMM-aa"),"")</f>
      </c>
      <c r="EJ151" s="496" t="str">
        <f> IF(EJ171&lt;&gt;"",TEXT(AUX!EN$1,"dd-MMM-aa"),"")</f>
      </c>
      <c r="EK151" s="496" t="str">
        <f> IF(EK171&lt;&gt;"",TEXT(AUX!EO$1,"dd-MMM-aa"),"")</f>
      </c>
      <c r="EL151" s="496" t="str">
        <f> IF(EL171&lt;&gt;"",TEXT(AUX!EP$1,"dd-MMM-aa"),"")</f>
      </c>
      <c r="EM151" s="496" t="str">
        <f> IF(EM171&lt;&gt;"",TEXT(AUX!EQ$1,"dd-MMM-aa"),"")</f>
      </c>
      <c r="EN151" s="496" t="str">
        <f> IF(EN171&lt;&gt;"",TEXT(AUX!ER$1,"dd-MMM-aa"),"")</f>
      </c>
      <c r="EO151" s="496" t="str">
        <f> IF(EO171&lt;&gt;"",TEXT(AUX!ES$1,"dd-MMM-aa"),"")</f>
      </c>
      <c r="EP151" s="496" t="str">
        <f> IF(EP171&lt;&gt;"",TEXT(AUX!ET$1,"dd-MMM-aa"),"")</f>
      </c>
      <c r="EQ151" s="496" t="str">
        <f> IF(EQ171&lt;&gt;"",TEXT(AUX!EU$1,"dd-MMM-aa"),"")</f>
      </c>
      <c r="ER151" s="496" t="str">
        <f> IF(ER171&lt;&gt;"",TEXT(AUX!EV$1,"dd-MMM-aa"),"")</f>
      </c>
      <c r="ES151" s="496" t="str">
        <f> IF(ES171&lt;&gt;"",TEXT(AUX!EW$1,"dd-MMM-aa"),"")</f>
      </c>
      <c r="ET151" s="496" t="str">
        <f> IF(ET171&lt;&gt;"",TEXT(AUX!EX$1,"dd-MMM-aa"),"")</f>
      </c>
      <c r="EU151" s="496" t="str">
        <f> IF(EU171&lt;&gt;"",TEXT(AUX!EY$1,"dd-MMM-aa"),"")</f>
      </c>
      <c r="EV151" s="496" t="str">
        <f> IF(EV171&lt;&gt;"",TEXT(AUX!EZ$1,"dd-MMM-aa"),"")</f>
      </c>
      <c r="EW151" s="496" t="str">
        <f> IF(EW171&lt;&gt;"",TEXT(AUX!FA$1,"dd-MMM-aa"),"")</f>
      </c>
      <c r="EX151" s="496" t="str">
        <f> IF(EX171&lt;&gt;"",TEXT(AUX!FB$1,"dd-MMM-aa"),"")</f>
      </c>
      <c r="EY151" s="496" t="str">
        <f> IF(EY171&lt;&gt;"",TEXT(AUX!FC$1,"dd-MMM-aa"),"")</f>
      </c>
      <c r="EZ151" s="496" t="str">
        <f> IF(EZ171&lt;&gt;"",TEXT(AUX!FD$1,"dd-MMM-aa"),"")</f>
      </c>
      <c r="FA151" s="496" t="str">
        <f> IF(FA171&lt;&gt;"",TEXT(AUX!FE$1,"dd-MMM-aa"),"")</f>
      </c>
      <c r="FB151" s="496" t="str">
        <f> IF(FB171&lt;&gt;"",TEXT(AUX!FF$1,"dd-MMM-aa"),"")</f>
      </c>
      <c r="FC151" s="496" t="str">
        <f> IF(FC171&lt;&gt;"",TEXT(AUX!FG$1,"dd-MMM-aa"),"")</f>
      </c>
      <c r="FD151" s="496" t="str">
        <f> IF(FD171&lt;&gt;"",TEXT(AUX!FH$1,"dd-MMM-aa"),"")</f>
      </c>
      <c r="FE151" s="496" t="str">
        <f> IF(FE171&lt;&gt;"",TEXT(AUX!FI$1,"dd-MMM-aa"),"")</f>
      </c>
      <c r="FF151" s="496" t="str">
        <f> IF(FF171&lt;&gt;"",TEXT(AUX!FJ$1,"dd-MMM-aa"),"")</f>
      </c>
      <c r="FG151" s="496" t="str">
        <f> IF(FG171&lt;&gt;"",TEXT(AUX!FK$1,"dd-MMM-aa"),"")</f>
      </c>
      <c r="FH151" s="496" t="str">
        <f> IF(FH171&lt;&gt;"",TEXT(AUX!FL$1,"dd-MMM-aa"),"")</f>
      </c>
      <c r="FI151" s="496" t="str">
        <f> IF(FI171&lt;&gt;"",TEXT(AUX!FM$1,"dd-MMM-aa"),"")</f>
      </c>
      <c r="FJ151" s="496" t="str">
        <f> IF(FJ171&lt;&gt;"",TEXT(AUX!FN$1,"dd-MMM-aa"),"")</f>
      </c>
      <c r="FK151" s="496" t="str">
        <f> IF(FK171&lt;&gt;"",TEXT(AUX!FO$1,"dd-MMM-aa"),"")</f>
      </c>
      <c r="FL151" s="496" t="str">
        <f> IF(FL171&lt;&gt;"",TEXT(AUX!FP$1,"dd-MMM-aa"),"")</f>
      </c>
      <c r="FM151" s="496" t="str">
        <f> IF(FM171&lt;&gt;"",TEXT(AUX!FQ$1,"dd-MMM-aa"),"")</f>
      </c>
      <c r="FN151" s="496" t="str">
        <f> IF(FN171&lt;&gt;"",TEXT(AUX!FR$1,"dd-MMM-aa"),"")</f>
      </c>
      <c r="FO151" s="496" t="str">
        <f> IF(FO171&lt;&gt;"",TEXT(AUX!FS$1,"dd-MMM-aa"),"")</f>
      </c>
      <c r="FP151" s="496" t="str">
        <f> IF(FP171&lt;&gt;"",TEXT(AUX!FT$1,"dd-MMM-aa"),"")</f>
      </c>
      <c r="FQ151" s="496" t="str">
        <f> IF(FQ171&lt;&gt;"",TEXT(AUX!FU$1,"dd-MMM-aa"),"")</f>
      </c>
      <c r="FR151" s="496" t="str">
        <f> IF(FR171&lt;&gt;"",TEXT(AUX!FV$1,"dd-MMM-aa"),"")</f>
      </c>
      <c r="FS151" s="496" t="str">
        <f> IF(FS171&lt;&gt;"",TEXT(AUX!FW$1,"dd-MMM-aa"),"")</f>
      </c>
      <c r="FT151" s="496" t="str">
        <f> IF(FT171&lt;&gt;"",TEXT(AUX!FX$1,"dd-MMM-aa"),"")</f>
      </c>
      <c r="FU151" s="496" t="str">
        <f> IF(FU171&lt;&gt;"",TEXT(AUX!FY$1,"dd-MMM-aa"),"")</f>
      </c>
      <c r="FV151" s="496" t="str">
        <f> IF(FV171&lt;&gt;"",TEXT(AUX!FZ$1,"dd-MMM-aa"),"")</f>
      </c>
      <c r="FW151" s="496" t="str">
        <f> IF(FW171&lt;&gt;"",TEXT(AUX!GA$1,"dd-MMM-aa"),"")</f>
      </c>
      <c r="FX151" s="496" t="str">
        <f> IF(FX171&lt;&gt;"",TEXT(AUX!GB$1,"dd-MMM-aa"),"")</f>
      </c>
      <c r="FY151" s="496" t="str">
        <f> IF(FY171&lt;&gt;"",TEXT(AUX!GC$1,"dd-MMM-aa"),"")</f>
      </c>
      <c r="FZ151" s="496" t="str">
        <f> IF(FZ171&lt;&gt;"",TEXT(AUX!GD$1,"dd-MMM-aa"),"")</f>
      </c>
      <c r="GA151" s="496" t="str">
        <f> IF(GA171&lt;&gt;"",TEXT(AUX!GE$1,"dd-MMM-aa"),"")</f>
      </c>
      <c r="GB151" s="496" t="str">
        <f> IF(GB171&lt;&gt;"",TEXT(AUX!GF$1,"dd-MMM-aa"),"")</f>
      </c>
      <c r="GC151" s="496" t="str">
        <f> IF(GC171&lt;&gt;"",TEXT(AUX!GG$1,"dd-MMM-aa"),"")</f>
      </c>
      <c r="GD151" s="496" t="str">
        <f> IF(GD171&lt;&gt;"",TEXT(AUX!GH$1,"dd-MMM-aa"),"")</f>
      </c>
      <c r="GE151" s="496" t="str">
        <f> IF(GE171&lt;&gt;"",TEXT(AUX!GI$1,"dd-MMM-aa"),"")</f>
      </c>
      <c r="GF151" s="496" t="str">
        <f> IF(GF171&lt;&gt;"",TEXT(AUX!GJ$1,"dd-MMM-aa"),"")</f>
      </c>
      <c r="GG151" s="496" t="str">
        <f> IF(GG171&lt;&gt;"",TEXT(AUX!GK$1,"dd-MMM-aa"),"")</f>
      </c>
      <c r="GH151" s="496" t="str">
        <f> IF(GH171&lt;&gt;"",TEXT(AUX!GL$1,"dd-MMM-aa"),"")</f>
      </c>
      <c r="GI151" s="496" t="str">
        <f> IF(GI171&lt;&gt;"",TEXT(AUX!GM$1,"dd-MMM-aa"),"")</f>
      </c>
      <c r="GJ151" s="496" t="str">
        <f> IF(GJ171&lt;&gt;"",TEXT(AUX!GN$1,"dd-MMM-aa"),"")</f>
      </c>
      <c r="GK151" s="496" t="str">
        <f> IF(GK171&lt;&gt;"",TEXT(AUX!GO$1,"dd-MMM-aa"),"")</f>
      </c>
      <c r="GL151" s="496" t="str">
        <f> IF(GL171&lt;&gt;"",TEXT(AUX!GP$1,"dd-MMM-aa"),"")</f>
      </c>
      <c r="GM151" s="496" t="str">
        <f> IF(GM171&lt;&gt;"",TEXT(AUX!GQ$1,"dd-MMM-aa"),"")</f>
      </c>
      <c r="GN151" s="496" t="str">
        <f> IF(GN171&lt;&gt;"",TEXT(AUX!GR$1,"dd-MMM-aa"),"")</f>
      </c>
      <c r="GO151" s="496" t="str">
        <f> IF(GO171&lt;&gt;"",TEXT(AUX!GS$1,"dd-MMM-aa"),"")</f>
      </c>
      <c r="GP151" s="496" t="str">
        <f> IF(GP171&lt;&gt;"",TEXT(AUX!GT$1,"dd-MMM-aa"),"")</f>
      </c>
      <c r="GQ151" s="496" t="str">
        <f> IF(GQ171&lt;&gt;"",TEXT(AUX!GU$1,"dd-MMM-aa"),"")</f>
      </c>
      <c r="GR151" s="496" t="str">
        <f> IF(GR171&lt;&gt;"",TEXT(AUX!GV$1,"dd-MMM-aa"),"")</f>
      </c>
      <c r="GS151" s="496" t="str">
        <f> IF(GS171&lt;&gt;"",TEXT(AUX!GW$1,"dd-MMM-aa"),"")</f>
      </c>
      <c r="GT151" s="496" t="str">
        <f> IF(GT171&lt;&gt;"",TEXT(AUX!GX$1,"dd-MMM-aa"),"")</f>
      </c>
      <c r="GU151" s="496" t="str">
        <f> IF(GU171&lt;&gt;"",TEXT(AUX!GY$1,"dd-MMM-aa"),"")</f>
      </c>
      <c r="GV151" s="496" t="str">
        <f> IF(GV171&lt;&gt;"",TEXT(AUX!GZ$1,"dd-MMM-aa"),"")</f>
      </c>
      <c r="GW151" s="496" t="str">
        <f> IF(GW171&lt;&gt;"",TEXT(AUX!HA$1,"dd-MMM-aa"),"")</f>
      </c>
      <c r="GX151" s="496" t="str">
        <f> IF(GX171&lt;&gt;"",TEXT(AUX!HB$1,"dd-MMM-aa"),"")</f>
      </c>
      <c r="GY151" s="496" t="str">
        <f> IF(GY171&lt;&gt;"",TEXT(AUX!HC$1,"dd-MMM-aa"),"")</f>
      </c>
      <c r="GZ151" s="496" t="str">
        <f> IF(GZ171&lt;&gt;"",TEXT(AUX!HD$1,"dd-MMM-aa"),"")</f>
      </c>
      <c r="HA151" s="496" t="str">
        <f> IF(HA171&lt;&gt;"",TEXT(AUX!HE$1,"dd-MMM-aa"),"")</f>
      </c>
      <c r="HB151" s="496" t="str">
        <f> IF(HB171&lt;&gt;"",TEXT(AUX!HF$1,"dd-MMM-aa"),"")</f>
      </c>
      <c r="HC151" s="496" t="str">
        <f> IF(HC171&lt;&gt;"",TEXT(AUX!HG$1,"dd-MMM-aa"),"")</f>
      </c>
      <c r="HD151" s="496" t="str">
        <f> IF(HD171&lt;&gt;"",TEXT(AUX!HH$1,"dd-MMM-aa"),"")</f>
      </c>
      <c r="HE151" s="496" t="str">
        <f> IF(HE171&lt;&gt;"",TEXT(AUX!HI$1,"dd-MMM-aa"),"")</f>
      </c>
      <c r="HF151" s="496" t="str">
        <f> IF(HF171&lt;&gt;"",TEXT(AUX!HJ$1,"dd-MMM-aa"),"")</f>
      </c>
      <c r="HG151" s="496" t="str">
        <f> IF(HG171&lt;&gt;"",TEXT(AUX!HK$1,"dd-MMM-aa"),"")</f>
      </c>
      <c r="HH151" s="496" t="str">
        <f> IF(HH171&lt;&gt;"",TEXT(AUX!HL$1,"dd-MMM-aa"),"")</f>
      </c>
      <c r="HI151" s="496" t="str">
        <f> IF(HI171&lt;&gt;"",TEXT(AUX!HM$1,"dd-MMM-aa"),"")</f>
      </c>
      <c r="HJ151" s="496" t="str">
        <f> IF(HJ171&lt;&gt;"",TEXT(AUX!HN$1,"dd-MMM-aa"),"")</f>
      </c>
      <c r="HK151" s="496" t="str">
        <f> IF(HK171&lt;&gt;"",TEXT(AUX!HO$1,"dd-MMM-aa"),"")</f>
      </c>
      <c r="HL151" s="496" t="str">
        <f> IF(HL171&lt;&gt;"",TEXT(AUX!HP$1,"dd-MMM-aa"),"")</f>
      </c>
      <c r="HM151" s="496" t="str">
        <f> IF(HM171&lt;&gt;"",TEXT(AUX!HQ$1,"dd-MMM-aa"),"")</f>
      </c>
      <c r="HN151" s="496" t="str">
        <f> IF(HN171&lt;&gt;"",TEXT(AUX!HR$1,"dd-MMM-aa"),"")</f>
      </c>
      <c r="HO151" s="496" t="str">
        <f> IF(HO171&lt;&gt;"",TEXT(AUX!HS$1,"dd-MMM-aa"),"")</f>
      </c>
      <c r="HP151" s="496" t="str">
        <f> IF(HP171&lt;&gt;"",TEXT(AUX!HT$1,"dd-MMM-aa"),"")</f>
      </c>
      <c r="HQ151" s="496" t="str">
        <f> IF(HQ171&lt;&gt;"",TEXT(AUX!HU$1,"dd-MMM-aa"),"")</f>
      </c>
      <c r="HR151" s="496" t="str">
        <f> IF(HR171&lt;&gt;"",TEXT(AUX!HV$1,"dd-MMM-aa"),"")</f>
      </c>
      <c r="HS151" s="496" t="str">
        <f> IF(HS171&lt;&gt;"",TEXT(AUX!HW$1,"dd-MMM-aa"),"")</f>
      </c>
      <c r="HT151" s="496" t="str">
        <f> IF(HT171&lt;&gt;"",TEXT(AUX!HX$1,"dd-MMM-aa"),"")</f>
      </c>
      <c r="HU151" s="496" t="str">
        <f> IF(HU171&lt;&gt;"",TEXT(AUX!HY$1,"dd-MMM-aa"),"")</f>
      </c>
      <c r="HV151" s="496" t="str">
        <f> IF(HV171&lt;&gt;"",TEXT(AUX!HZ$1,"dd-MMM-aa"),"")</f>
      </c>
      <c r="HW151" s="496" t="str">
        <f> IF(HW171&lt;&gt;"",TEXT(AUX!IA$1,"dd-MMM-aa"),"")</f>
      </c>
      <c r="HX151" s="496" t="str">
        <f> IF(HX171&lt;&gt;"",TEXT(AUX!IB$1,"dd-MMM-aa"),"")</f>
      </c>
      <c r="HY151" s="496" t="str">
        <f> IF(HY171&lt;&gt;"",TEXT(AUX!IC$1,"dd-MMM-aa"),"")</f>
      </c>
      <c r="HZ151" s="496" t="str">
        <f> IF(HZ171&lt;&gt;"",TEXT(AUX!ID$1,"dd-MMM-aa"),"")</f>
      </c>
      <c r="IA151" s="496" t="str">
        <f> IF(IA171&lt;&gt;"",TEXT(AUX!IE$1,"dd-MMM-aa"),"")</f>
      </c>
      <c r="IB151" s="496" t="str">
        <f> IF(IB171&lt;&gt;"",TEXT(AUX!IF$1,"dd-MMM-aa"),"")</f>
      </c>
      <c r="IC151" s="496" t="str">
        <f> IF(IC171&lt;&gt;"",TEXT(AUX!IG$1,"dd-MMM-aa"),"")</f>
      </c>
      <c r="ID151" s="496" t="str">
        <f> IF(ID171&lt;&gt;"",TEXT(AUX!IH$1,"dd-MMM-aa"),"")</f>
      </c>
      <c r="IE151" s="496" t="str">
        <f> IF(IE171&lt;&gt;"",TEXT(AUX!II$1,"dd-MMM-aa"),"")</f>
      </c>
      <c r="IF151" s="496" t="str">
        <f> IF(IF171&lt;&gt;"",TEXT(AUX!IJ$1,"dd-MMM-aa"),"")</f>
      </c>
      <c r="IG151" s="496" t="str">
        <f> IF(IG171&lt;&gt;"",TEXT(AUX!IK$1,"dd-MMM-aa"),"")</f>
      </c>
      <c r="IH151" s="496" t="str">
        <f> IF(IH171&lt;&gt;"",TEXT(AUX!IL$1,"dd-MMM-aa"),"")</f>
      </c>
      <c r="II151" s="496" t="str">
        <f> IF(II171&lt;&gt;"",TEXT(AUX!IM$1,"dd-MMM-aa"),"")</f>
      </c>
      <c r="IJ151" s="496" t="str">
        <f> IF(IJ171&lt;&gt;"",TEXT(AUX!IN$1,"dd-MMM-aa"),"")</f>
      </c>
      <c r="IK151" s="496" t="str">
        <f> IF(IK171&lt;&gt;"",TEXT(AUX!IO$1,"dd-MMM-aa"),"")</f>
      </c>
      <c r="IL151" s="496" t="str">
        <f> IF(IL171&lt;&gt;"",TEXT(AUX!IP$1,"dd-MMM-aa"),"")</f>
      </c>
      <c r="IM151" s="496" t="str">
        <f> IF(IM171&lt;&gt;"",TEXT(AUX!IQ$1,"dd-MMM-aa"),"")</f>
      </c>
      <c r="IN151" s="496" t="str">
        <f> IF(IN171&lt;&gt;"",TEXT(AUX!IR$1,"dd-MMM-aa"),"")</f>
      </c>
      <c r="IO151" s="496" t="str">
        <f> IF(IO171&lt;&gt;"",TEXT(AUX!IS$1,"dd-MMM-aa"),"")</f>
      </c>
      <c r="IP151" s="496" t="str">
        <f> IF(IP171&lt;&gt;"",TEXT(AUX!IT$1,"dd-MMM-aa"),"")</f>
      </c>
      <c r="IQ151" s="496" t="str">
        <f> IF(IQ171&lt;&gt;"",TEXT(AUX!IU$1,"dd-MMM-aa"),"")</f>
      </c>
      <c r="IR151" s="496" t="str">
        <f> IF(IR171&lt;&gt;"",TEXT(AUX!IV$1,"dd-MMM-aa"),"")</f>
      </c>
      <c r="IS151" s="496" t="str">
        <f> IF(IS171&lt;&gt;"",TEXT(AUX!#REF!,"dd-MMM-aa"),"")</f>
      </c>
      <c r="IT151" s="496" t="str">
        <f> IF(IT171&lt;&gt;"",TEXT(AUX!#REF!,"dd-MMM-aa"),"")</f>
      </c>
      <c r="IU151" s="496" t="str">
        <f> IF(IU171&lt;&gt;"",TEXT(AUX!#REF!,"dd-MMM-aa"),"")</f>
      </c>
      <c r="IV151" s="496" t="str">
        <f> IF(IV171&lt;&gt;"",TEXT(AUX!#REF!,"dd-MMM-aa"),"")</f>
      </c>
    </row>
    <row r="152" hidden="1" ht="15.95" customHeight="1">
      <c r="B152" s="822" t="s">
        <v>8</v>
      </c>
      <c r="C152" s="823">
        <v>620</v>
      </c>
      <c r="D152" s="823">
        <v>645</v>
      </c>
      <c r="E152" s="823">
        <v>642</v>
      </c>
      <c r="F152" s="823">
        <v>645</v>
      </c>
      <c r="G152" s="823">
        <v>863</v>
      </c>
      <c r="H152" s="823">
        <v>877</v>
      </c>
      <c r="I152" s="823">
        <v>900</v>
      </c>
      <c r="J152" s="823">
        <v>900</v>
      </c>
      <c r="K152" s="823">
        <v>1059</v>
      </c>
      <c r="L152" s="823">
        <v>1058</v>
      </c>
      <c r="M152" s="823">
        <v>1575</v>
      </c>
      <c r="N152" s="823">
        <v>1869</v>
      </c>
      <c r="O152" s="823">
        <v>1891</v>
      </c>
      <c r="P152" s="823">
        <v>2478</v>
      </c>
      <c r="Q152" s="823">
        <v>2631</v>
      </c>
      <c r="R152" s="823">
        <v>2036</v>
      </c>
      <c r="S152" s="823">
        <v>2104</v>
      </c>
      <c r="T152" s="823">
        <v>2887</v>
      </c>
      <c r="U152" s="823">
        <v>2536</v>
      </c>
      <c r="V152" s="823">
        <v>2591</v>
      </c>
      <c r="W152" s="823">
        <v>2832</v>
      </c>
      <c r="X152" s="823">
        <v>2765</v>
      </c>
      <c r="Y152" s="823">
        <v>2672</v>
      </c>
      <c r="Z152" s="823">
        <v>2820</v>
      </c>
      <c r="AA152" s="823">
        <v>2887</v>
      </c>
      <c r="AB152" s="824">
        <v>2883</v>
      </c>
      <c r="AC152" s="825">
        <v>2877</v>
      </c>
      <c r="AD152" s="825">
        <v>2087</v>
      </c>
      <c r="AE152" s="825">
        <v>2090</v>
      </c>
      <c r="AF152" s="825">
        <v>2134</v>
      </c>
      <c r="AG152" s="825">
        <v>1935</v>
      </c>
      <c r="AH152" s="825">
        <v>2023</v>
      </c>
      <c r="AI152" s="825">
        <v>2212</v>
      </c>
      <c r="AJ152" s="825">
        <v>11712</v>
      </c>
      <c r="AK152" s="825">
        <v>6380</v>
      </c>
      <c r="AL152" s="825">
        <v>9922</v>
      </c>
      <c r="AM152" s="825">
        <v>10456</v>
      </c>
      <c r="AN152" s="825">
        <v>9917</v>
      </c>
      <c r="AO152" s="825">
        <v>7464</v>
      </c>
      <c r="AP152" s="825">
        <v>4140</v>
      </c>
    </row>
    <row r="153" hidden="1" ht="15.95" customHeight="1">
      <c r="B153" s="826" t="s">
        <v>9</v>
      </c>
      <c r="C153" s="827">
        <v>18745</v>
      </c>
      <c r="D153" s="827">
        <v>18745</v>
      </c>
      <c r="E153" s="827">
        <v>18745</v>
      </c>
      <c r="F153" s="827">
        <v>18745</v>
      </c>
      <c r="G153" s="827">
        <v>18745</v>
      </c>
      <c r="H153" s="827">
        <v>18745</v>
      </c>
      <c r="I153" s="827">
        <v>18745</v>
      </c>
      <c r="J153" s="827">
        <v>4000</v>
      </c>
      <c r="K153" s="827">
        <v>4001</v>
      </c>
      <c r="L153" s="827">
        <v>4001</v>
      </c>
      <c r="M153" s="827">
        <v>4003</v>
      </c>
      <c r="N153" s="827">
        <v>4002</v>
      </c>
      <c r="O153" s="827">
        <v>4002</v>
      </c>
      <c r="P153" s="827">
        <v>46491</v>
      </c>
      <c r="Q153" s="827">
        <v>41382</v>
      </c>
      <c r="R153" s="827">
        <v>41415</v>
      </c>
      <c r="S153" s="827">
        <v>41424</v>
      </c>
      <c r="T153" s="827">
        <v>41425</v>
      </c>
      <c r="U153" s="827">
        <v>41435</v>
      </c>
      <c r="V153" s="827">
        <v>41442</v>
      </c>
      <c r="W153" s="827">
        <v>41444</v>
      </c>
      <c r="X153" s="827">
        <v>41449</v>
      </c>
      <c r="Y153" s="827">
        <v>41453</v>
      </c>
      <c r="Z153" s="827">
        <v>41459</v>
      </c>
      <c r="AA153" s="827">
        <v>61331</v>
      </c>
      <c r="AB153" s="827">
        <v>61343</v>
      </c>
      <c r="AC153" s="828">
        <v>61385</v>
      </c>
      <c r="AD153" s="828">
        <v>41487</v>
      </c>
      <c r="AE153" s="828">
        <v>41498</v>
      </c>
      <c r="AF153" s="828">
        <v>41498</v>
      </c>
      <c r="AG153" s="828">
        <v>41489</v>
      </c>
      <c r="AH153" s="828">
        <v>41489</v>
      </c>
      <c r="AI153" s="828">
        <v>41510</v>
      </c>
      <c r="AJ153" s="828">
        <v>41510</v>
      </c>
      <c r="AK153" s="828">
        <v>41524</v>
      </c>
      <c r="AL153" s="828">
        <v>41524</v>
      </c>
      <c r="AM153" s="828">
        <v>26505</v>
      </c>
      <c r="AN153" s="828">
        <v>26521</v>
      </c>
      <c r="AO153" s="828">
        <v>197577</v>
      </c>
      <c r="AP153" s="828">
        <v>199577</v>
      </c>
    </row>
    <row r="154" hidden="1" ht="15.95" customHeight="1">
      <c r="B154" s="829" t="s">
        <v>10</v>
      </c>
      <c r="C154" s="823">
        <v>0</v>
      </c>
      <c r="D154" s="823">
        <v>0</v>
      </c>
      <c r="E154" s="823">
        <v>0</v>
      </c>
      <c r="F154" s="823">
        <v>0</v>
      </c>
      <c r="G154" s="823">
        <v>20</v>
      </c>
      <c r="H154" s="823">
        <v>20</v>
      </c>
      <c r="I154" s="823">
        <v>125</v>
      </c>
      <c r="J154" s="823">
        <v>125</v>
      </c>
      <c r="K154" s="823">
        <v>136</v>
      </c>
      <c r="L154" s="823">
        <v>136</v>
      </c>
      <c r="M154" s="823">
        <v>307</v>
      </c>
      <c r="N154" s="823">
        <v>307</v>
      </c>
      <c r="O154" s="823">
        <v>324</v>
      </c>
      <c r="P154" s="823">
        <v>344</v>
      </c>
      <c r="Q154" s="823">
        <v>285</v>
      </c>
      <c r="R154" s="823">
        <v>285</v>
      </c>
      <c r="S154" s="823">
        <v>317</v>
      </c>
      <c r="T154" s="823">
        <v>323</v>
      </c>
      <c r="U154" s="823">
        <v>325</v>
      </c>
      <c r="V154" s="823">
        <v>325</v>
      </c>
      <c r="W154" s="823">
        <v>313</v>
      </c>
      <c r="X154" s="823">
        <v>307</v>
      </c>
      <c r="Y154" s="823">
        <v>315</v>
      </c>
      <c r="Z154" s="823">
        <v>315</v>
      </c>
      <c r="AA154" s="823">
        <v>343</v>
      </c>
      <c r="AB154" s="823">
        <v>343</v>
      </c>
      <c r="AC154" s="825">
        <v>350</v>
      </c>
      <c r="AD154" s="825">
        <v>350</v>
      </c>
      <c r="AE154" s="825">
        <v>305</v>
      </c>
      <c r="AF154" s="825">
        <v>305</v>
      </c>
      <c r="AG154" s="825">
        <v>302</v>
      </c>
      <c r="AH154" s="825">
        <v>302</v>
      </c>
      <c r="AI154" s="825">
        <v>320</v>
      </c>
      <c r="AJ154" s="825">
        <v>320</v>
      </c>
      <c r="AK154" s="825">
        <v>315</v>
      </c>
      <c r="AL154" s="825">
        <v>315</v>
      </c>
      <c r="AM154" s="825">
        <v>307</v>
      </c>
      <c r="AN154" s="825">
        <v>307</v>
      </c>
      <c r="AO154" s="825">
        <v>307</v>
      </c>
      <c r="AP154" s="825">
        <v>354</v>
      </c>
    </row>
    <row r="155" hidden="1" ht="15.95" customHeight="1">
      <c r="B155" s="826" t="s">
        <v>11</v>
      </c>
      <c r="C155" s="827">
        <v>5909</v>
      </c>
      <c r="D155" s="827">
        <v>6047</v>
      </c>
      <c r="E155" s="827">
        <v>6997</v>
      </c>
      <c r="F155" s="827">
        <v>7096</v>
      </c>
      <c r="G155" s="827">
        <v>7357</v>
      </c>
      <c r="H155" s="827">
        <v>7145</v>
      </c>
      <c r="I155" s="827">
        <v>7340</v>
      </c>
      <c r="J155" s="827">
        <v>7410</v>
      </c>
      <c r="K155" s="827">
        <v>5100</v>
      </c>
      <c r="L155" s="827">
        <v>6182</v>
      </c>
      <c r="M155" s="827">
        <v>4004</v>
      </c>
      <c r="N155" s="827">
        <v>3491</v>
      </c>
      <c r="O155" s="827">
        <v>4131</v>
      </c>
      <c r="P155" s="827">
        <v>4523</v>
      </c>
      <c r="Q155" s="827">
        <v>4497</v>
      </c>
      <c r="R155" s="827">
        <v>4754</v>
      </c>
      <c r="S155" s="827">
        <v>2856</v>
      </c>
      <c r="T155" s="827">
        <v>2852</v>
      </c>
      <c r="U155" s="827">
        <v>2664</v>
      </c>
      <c r="V155" s="827">
        <v>2664</v>
      </c>
      <c r="W155" s="827">
        <v>2162</v>
      </c>
      <c r="X155" s="827">
        <v>2262</v>
      </c>
      <c r="Y155" s="827">
        <v>2313</v>
      </c>
      <c r="Z155" s="827">
        <v>2343</v>
      </c>
      <c r="AA155" s="827">
        <v>2223</v>
      </c>
      <c r="AB155" s="827">
        <v>2214</v>
      </c>
      <c r="AC155" s="828">
        <v>2020</v>
      </c>
      <c r="AD155" s="828">
        <v>2020</v>
      </c>
      <c r="AE155" s="828">
        <v>2025</v>
      </c>
      <c r="AF155" s="828">
        <v>2105</v>
      </c>
      <c r="AG155" s="828">
        <v>2035</v>
      </c>
      <c r="AH155" s="828">
        <v>2110</v>
      </c>
      <c r="AI155" s="828">
        <v>2034</v>
      </c>
      <c r="AJ155" s="828">
        <v>2033</v>
      </c>
      <c r="AK155" s="828">
        <v>2224</v>
      </c>
      <c r="AL155" s="828">
        <v>1721</v>
      </c>
      <c r="AM155" s="828">
        <v>1556</v>
      </c>
      <c r="AN155" s="828">
        <v>1572</v>
      </c>
      <c r="AO155" s="828">
        <v>743</v>
      </c>
      <c r="AP155" s="828">
        <v>1044</v>
      </c>
    </row>
    <row r="156" hidden="1" ht="15.95" customHeight="1">
      <c r="B156" s="829" t="s">
        <v>12</v>
      </c>
      <c r="C156" s="823">
        <v>1041</v>
      </c>
      <c r="D156" s="823">
        <v>1130</v>
      </c>
      <c r="E156" s="823">
        <v>1254</v>
      </c>
      <c r="F156" s="823">
        <v>1310</v>
      </c>
      <c r="G156" s="823">
        <v>1393</v>
      </c>
      <c r="H156" s="823">
        <v>1349</v>
      </c>
      <c r="I156" s="823">
        <v>1286</v>
      </c>
      <c r="J156" s="823">
        <v>693</v>
      </c>
      <c r="K156" s="823">
        <v>680</v>
      </c>
      <c r="L156" s="823">
        <v>646</v>
      </c>
      <c r="M156" s="823">
        <v>711</v>
      </c>
      <c r="N156" s="823">
        <v>734</v>
      </c>
      <c r="O156" s="823">
        <v>756</v>
      </c>
      <c r="P156" s="823">
        <v>777</v>
      </c>
      <c r="Q156" s="823">
        <v>683</v>
      </c>
      <c r="R156" s="823">
        <v>714</v>
      </c>
      <c r="S156" s="823">
        <v>594</v>
      </c>
      <c r="T156" s="823">
        <v>573</v>
      </c>
      <c r="U156" s="823">
        <v>639</v>
      </c>
      <c r="V156" s="823">
        <v>629</v>
      </c>
      <c r="W156" s="823">
        <v>745</v>
      </c>
      <c r="X156" s="823">
        <v>713</v>
      </c>
      <c r="Y156" s="823">
        <v>605</v>
      </c>
      <c r="Z156" s="823">
        <v>600</v>
      </c>
      <c r="AA156" s="823">
        <v>514</v>
      </c>
      <c r="AB156" s="823">
        <v>500</v>
      </c>
      <c r="AC156" s="825">
        <v>1104</v>
      </c>
      <c r="AD156" s="825">
        <v>1106</v>
      </c>
      <c r="AE156" s="825">
        <v>1048</v>
      </c>
      <c r="AF156" s="825">
        <v>1053</v>
      </c>
      <c r="AG156" s="825">
        <v>1045</v>
      </c>
      <c r="AH156" s="825">
        <v>489</v>
      </c>
      <c r="AI156" s="825">
        <v>428</v>
      </c>
      <c r="AJ156" s="825">
        <v>447</v>
      </c>
      <c r="AK156" s="825">
        <v>372</v>
      </c>
      <c r="AL156" s="825">
        <v>418</v>
      </c>
      <c r="AM156" s="825">
        <v>367</v>
      </c>
      <c r="AN156" s="825">
        <v>375</v>
      </c>
      <c r="AO156" s="825">
        <v>193</v>
      </c>
      <c r="AP156" s="825">
        <v>193</v>
      </c>
    </row>
    <row r="157" hidden="1" ht="15.95" customHeight="1">
      <c r="B157" s="826" t="s">
        <v>13</v>
      </c>
      <c r="C157" s="827">
        <v>0</v>
      </c>
      <c r="D157" s="827">
        <v>50</v>
      </c>
      <c r="E157" s="827">
        <v>87</v>
      </c>
      <c r="F157" s="827">
        <v>1822</v>
      </c>
      <c r="G157" s="827">
        <v>1984</v>
      </c>
      <c r="H157" s="827">
        <v>1960</v>
      </c>
      <c r="I157" s="827">
        <v>1934</v>
      </c>
      <c r="J157" s="827">
        <v>1939</v>
      </c>
      <c r="K157" s="827">
        <v>1051</v>
      </c>
      <c r="L157" s="827">
        <v>1231</v>
      </c>
      <c r="M157" s="827">
        <v>1319</v>
      </c>
      <c r="N157" s="827">
        <v>1822</v>
      </c>
      <c r="O157" s="827">
        <v>1926</v>
      </c>
      <c r="P157" s="827">
        <v>1931</v>
      </c>
      <c r="Q157" s="827">
        <v>1890</v>
      </c>
      <c r="R157" s="827">
        <v>1896</v>
      </c>
      <c r="S157" s="827">
        <v>1917</v>
      </c>
      <c r="T157" s="827">
        <v>1896</v>
      </c>
      <c r="U157" s="827">
        <v>2024</v>
      </c>
      <c r="V157" s="827">
        <v>1989</v>
      </c>
      <c r="W157" s="827">
        <v>251</v>
      </c>
      <c r="X157" s="827">
        <v>251</v>
      </c>
      <c r="Y157" s="827">
        <v>289</v>
      </c>
      <c r="Z157" s="827">
        <v>262</v>
      </c>
      <c r="AA157" s="827">
        <v>363</v>
      </c>
      <c r="AB157" s="827">
        <v>355</v>
      </c>
      <c r="AC157" s="828">
        <v>338</v>
      </c>
      <c r="AD157" s="828">
        <v>333</v>
      </c>
      <c r="AE157" s="828">
        <v>434</v>
      </c>
      <c r="AF157" s="828">
        <v>411</v>
      </c>
      <c r="AG157" s="828">
        <v>427</v>
      </c>
      <c r="AH157" s="828">
        <v>374</v>
      </c>
      <c r="AI157" s="828">
        <v>420</v>
      </c>
      <c r="AJ157" s="828">
        <v>425</v>
      </c>
      <c r="AK157" s="828">
        <v>416</v>
      </c>
      <c r="AL157" s="828">
        <v>428</v>
      </c>
      <c r="AM157" s="828">
        <v>392</v>
      </c>
      <c r="AN157" s="828">
        <v>397</v>
      </c>
      <c r="AO157" s="828">
        <v>42</v>
      </c>
      <c r="AP157" s="828">
        <v>42</v>
      </c>
    </row>
    <row r="158" hidden="1" ht="15.95" customHeight="1">
      <c r="B158" s="829" t="s">
        <v>109</v>
      </c>
      <c r="C158" s="823">
        <v>4502</v>
      </c>
      <c r="D158" s="823">
        <v>5012</v>
      </c>
      <c r="E158" s="823">
        <v>5376</v>
      </c>
      <c r="F158" s="823">
        <v>5080</v>
      </c>
      <c r="G158" s="823">
        <v>92746</v>
      </c>
      <c r="H158" s="823">
        <v>92709</v>
      </c>
      <c r="I158" s="823">
        <v>91153</v>
      </c>
      <c r="J158" s="823">
        <v>91153</v>
      </c>
      <c r="K158" s="823">
        <v>82275</v>
      </c>
      <c r="L158" s="823">
        <v>82275</v>
      </c>
      <c r="M158" s="823">
        <v>79084</v>
      </c>
      <c r="N158" s="823">
        <v>78634</v>
      </c>
      <c r="O158" s="823">
        <v>75910</v>
      </c>
      <c r="P158" s="823">
        <v>75860</v>
      </c>
      <c r="Q158" s="823">
        <v>68703</v>
      </c>
      <c r="R158" s="823">
        <v>68703</v>
      </c>
      <c r="S158" s="823">
        <v>72504</v>
      </c>
      <c r="T158" s="823">
        <v>72504</v>
      </c>
      <c r="U158" s="823">
        <v>90704</v>
      </c>
      <c r="V158" s="823">
        <v>90692</v>
      </c>
      <c r="W158" s="823">
        <v>89433</v>
      </c>
      <c r="X158" s="823">
        <v>89433</v>
      </c>
      <c r="Y158" s="823">
        <v>94624</v>
      </c>
      <c r="Z158" s="823">
        <v>99174</v>
      </c>
      <c r="AA158" s="823">
        <v>85339</v>
      </c>
      <c r="AB158" s="823">
        <v>85347</v>
      </c>
      <c r="AC158" s="825">
        <v>88504</v>
      </c>
      <c r="AD158" s="825">
        <v>88530</v>
      </c>
      <c r="AE158" s="825">
        <v>83487</v>
      </c>
      <c r="AF158" s="825">
        <v>83511</v>
      </c>
      <c r="AG158" s="825">
        <v>58782</v>
      </c>
      <c r="AH158" s="825">
        <v>58782</v>
      </c>
      <c r="AI158" s="825">
        <v>125363</v>
      </c>
      <c r="AJ158" s="825">
        <v>133340</v>
      </c>
      <c r="AK158" s="825">
        <v>63820</v>
      </c>
      <c r="AL158" s="825">
        <v>63820</v>
      </c>
      <c r="AM158" s="825">
        <v>63462</v>
      </c>
      <c r="AN158" s="825">
        <v>63435</v>
      </c>
      <c r="AO158" s="825">
        <v>39490</v>
      </c>
      <c r="AP158" s="825">
        <v>39496</v>
      </c>
    </row>
    <row r="159" hidden="1" ht="15.95" customHeight="1">
      <c r="B159" s="826" t="s">
        <v>110</v>
      </c>
      <c r="C159" s="827">
        <v>20786</v>
      </c>
      <c r="D159" s="827">
        <v>10436</v>
      </c>
      <c r="E159" s="827">
        <v>21843</v>
      </c>
      <c r="F159" s="827">
        <v>21846</v>
      </c>
      <c r="G159" s="827">
        <v>19065</v>
      </c>
      <c r="H159" s="827">
        <v>14656</v>
      </c>
      <c r="I159" s="827">
        <v>16463</v>
      </c>
      <c r="J159" s="827">
        <v>17508</v>
      </c>
      <c r="K159" s="827">
        <v>17524</v>
      </c>
      <c r="L159" s="827">
        <v>16876</v>
      </c>
      <c r="M159" s="827">
        <v>17365</v>
      </c>
      <c r="N159" s="827">
        <v>17370</v>
      </c>
      <c r="O159" s="827">
        <v>14774</v>
      </c>
      <c r="P159" s="827">
        <v>14776</v>
      </c>
      <c r="Q159" s="827">
        <v>29997</v>
      </c>
      <c r="R159" s="827">
        <v>30018</v>
      </c>
      <c r="S159" s="827">
        <v>31150</v>
      </c>
      <c r="T159" s="827">
        <v>31150</v>
      </c>
      <c r="U159" s="827">
        <v>16635</v>
      </c>
      <c r="V159" s="827">
        <v>16617</v>
      </c>
      <c r="W159" s="827">
        <v>17833</v>
      </c>
      <c r="X159" s="827">
        <v>17831</v>
      </c>
      <c r="Y159" s="827">
        <v>18520</v>
      </c>
      <c r="Z159" s="827">
        <v>18533</v>
      </c>
      <c r="AA159" s="827">
        <v>190332</v>
      </c>
      <c r="AB159" s="827">
        <v>190306</v>
      </c>
      <c r="AC159" s="828">
        <v>190513</v>
      </c>
      <c r="AD159" s="828">
        <v>192427</v>
      </c>
      <c r="AE159" s="828">
        <v>195949</v>
      </c>
      <c r="AF159" s="828">
        <v>194507</v>
      </c>
      <c r="AG159" s="828">
        <v>191712</v>
      </c>
      <c r="AH159" s="828">
        <v>190437</v>
      </c>
      <c r="AI159" s="828">
        <v>191155</v>
      </c>
      <c r="AJ159" s="828">
        <v>191234</v>
      </c>
      <c r="AK159" s="828">
        <v>184950</v>
      </c>
      <c r="AL159" s="828">
        <v>184642</v>
      </c>
      <c r="AM159" s="828">
        <v>202705</v>
      </c>
      <c r="AN159" s="828">
        <v>202785</v>
      </c>
      <c r="AO159" s="828">
        <v>34559</v>
      </c>
      <c r="AP159" s="828">
        <v>34480</v>
      </c>
    </row>
    <row r="160" hidden="1" ht="15.95" customHeight="1">
      <c r="B160" s="829" t="s">
        <v>16</v>
      </c>
      <c r="C160" s="823">
        <v>82303</v>
      </c>
      <c r="D160" s="823">
        <v>11128</v>
      </c>
      <c r="E160" s="823">
        <v>88220</v>
      </c>
      <c r="F160" s="823">
        <v>88205</v>
      </c>
      <c r="G160" s="823">
        <v>88107</v>
      </c>
      <c r="H160" s="823">
        <v>86487</v>
      </c>
      <c r="I160" s="823">
        <v>88413</v>
      </c>
      <c r="J160" s="823">
        <v>84537</v>
      </c>
      <c r="K160" s="823">
        <v>82603</v>
      </c>
      <c r="L160" s="823">
        <v>82039</v>
      </c>
      <c r="M160" s="823">
        <v>77791</v>
      </c>
      <c r="N160" s="823">
        <v>75983</v>
      </c>
      <c r="O160" s="823">
        <v>71601</v>
      </c>
      <c r="P160" s="823">
        <v>53728</v>
      </c>
      <c r="Q160" s="823">
        <v>54382</v>
      </c>
      <c r="R160" s="823">
        <v>47414</v>
      </c>
      <c r="S160" s="823">
        <v>62365</v>
      </c>
      <c r="T160" s="823">
        <v>62438</v>
      </c>
      <c r="U160" s="823">
        <v>63464</v>
      </c>
      <c r="V160" s="823">
        <v>70455</v>
      </c>
      <c r="W160" s="823">
        <v>70455</v>
      </c>
      <c r="X160" s="823">
        <v>70455</v>
      </c>
      <c r="Y160" s="823">
        <v>70455</v>
      </c>
      <c r="Z160" s="823">
        <v>70455</v>
      </c>
      <c r="AA160" s="823">
        <v>52610</v>
      </c>
      <c r="AB160" s="823">
        <v>52654</v>
      </c>
      <c r="AC160" s="825">
        <v>55661</v>
      </c>
      <c r="AD160" s="825">
        <v>54878</v>
      </c>
      <c r="AE160" s="825">
        <v>49862</v>
      </c>
      <c r="AF160" s="825">
        <v>52090</v>
      </c>
      <c r="AG160" s="825">
        <v>57049</v>
      </c>
      <c r="AH160" s="825">
        <v>57022</v>
      </c>
      <c r="AI160" s="825">
        <v>53614</v>
      </c>
      <c r="AJ160" s="825">
        <v>53472</v>
      </c>
      <c r="AK160" s="825">
        <v>55845</v>
      </c>
      <c r="AL160" s="825">
        <v>63960</v>
      </c>
      <c r="AM160" s="825">
        <v>82469</v>
      </c>
      <c r="AN160" s="825">
        <v>110662</v>
      </c>
      <c r="AO160" s="825">
        <v>64931</v>
      </c>
      <c r="AP160" s="825">
        <v>61499</v>
      </c>
    </row>
    <row r="161" hidden="1" ht="15.95" customHeight="1">
      <c r="B161" s="826" t="s">
        <v>17</v>
      </c>
      <c r="C161" s="827">
        <v>193</v>
      </c>
      <c r="D161" s="827">
        <v>180</v>
      </c>
      <c r="E161" s="827">
        <v>215</v>
      </c>
      <c r="F161" s="827">
        <v>238</v>
      </c>
      <c r="G161" s="827">
        <v>260</v>
      </c>
      <c r="H161" s="827">
        <v>252</v>
      </c>
      <c r="I161" s="827">
        <v>241</v>
      </c>
      <c r="J161" s="827">
        <v>321</v>
      </c>
      <c r="K161" s="827">
        <v>304</v>
      </c>
      <c r="L161" s="827">
        <v>466</v>
      </c>
      <c r="M161" s="827">
        <v>464</v>
      </c>
      <c r="N161" s="827">
        <v>364</v>
      </c>
      <c r="O161" s="827">
        <v>432</v>
      </c>
      <c r="P161" s="827">
        <v>406</v>
      </c>
      <c r="Q161" s="827">
        <v>343</v>
      </c>
      <c r="R161" s="827">
        <v>347</v>
      </c>
      <c r="S161" s="827">
        <v>366</v>
      </c>
      <c r="T161" s="827">
        <v>366</v>
      </c>
      <c r="U161" s="827">
        <v>338</v>
      </c>
      <c r="V161" s="827">
        <v>358</v>
      </c>
      <c r="W161" s="827">
        <v>387</v>
      </c>
      <c r="X161" s="827">
        <v>387</v>
      </c>
      <c r="Y161" s="827">
        <v>371</v>
      </c>
      <c r="Z161" s="827">
        <v>395</v>
      </c>
      <c r="AA161" s="827">
        <v>428</v>
      </c>
      <c r="AB161" s="827">
        <v>415</v>
      </c>
      <c r="AC161" s="828">
        <v>468</v>
      </c>
      <c r="AD161" s="828">
        <v>468</v>
      </c>
      <c r="AE161" s="828">
        <v>984</v>
      </c>
      <c r="AF161" s="828">
        <v>990</v>
      </c>
      <c r="AG161" s="828">
        <v>910</v>
      </c>
      <c r="AH161" s="828">
        <v>905</v>
      </c>
      <c r="AI161" s="828">
        <v>1480</v>
      </c>
      <c r="AJ161" s="828">
        <v>1519</v>
      </c>
      <c r="AK161" s="828">
        <v>635</v>
      </c>
      <c r="AL161" s="828">
        <v>634</v>
      </c>
      <c r="AM161" s="828">
        <v>607</v>
      </c>
      <c r="AN161" s="828">
        <v>629</v>
      </c>
      <c r="AO161" s="828">
        <v>139</v>
      </c>
      <c r="AP161" s="828">
        <v>139</v>
      </c>
    </row>
    <row r="162" hidden="1" ht="15.95" customHeight="1">
      <c r="B162" s="829" t="s">
        <v>18</v>
      </c>
      <c r="C162" s="823">
        <v>0</v>
      </c>
      <c r="D162" s="823">
        <v>0</v>
      </c>
      <c r="E162" s="823">
        <v>0</v>
      </c>
      <c r="F162" s="823">
        <v>0</v>
      </c>
      <c r="G162" s="823">
        <v>46250</v>
      </c>
      <c r="H162" s="823">
        <v>88669</v>
      </c>
      <c r="I162" s="823">
        <v>186343</v>
      </c>
      <c r="J162" s="823">
        <v>187089</v>
      </c>
      <c r="K162" s="823">
        <v>191184</v>
      </c>
      <c r="L162" s="823">
        <v>176711</v>
      </c>
      <c r="M162" s="823">
        <v>134393</v>
      </c>
      <c r="N162" s="823">
        <v>134693</v>
      </c>
      <c r="O162" s="823">
        <v>188596</v>
      </c>
      <c r="P162" s="823">
        <v>200078</v>
      </c>
      <c r="Q162" s="823">
        <v>144064</v>
      </c>
      <c r="R162" s="823">
        <v>91994</v>
      </c>
      <c r="S162" s="823">
        <v>39287</v>
      </c>
      <c r="T162" s="823">
        <v>25388</v>
      </c>
      <c r="U162" s="823">
        <v>7949</v>
      </c>
      <c r="V162" s="823">
        <v>0</v>
      </c>
      <c r="W162" s="823">
        <v>492</v>
      </c>
      <c r="X162" s="823">
        <v>492</v>
      </c>
      <c r="Y162" s="823">
        <v>496</v>
      </c>
      <c r="Z162" s="823">
        <v>246</v>
      </c>
      <c r="AA162" s="823">
        <v>238</v>
      </c>
      <c r="AB162" s="823">
        <v>238</v>
      </c>
      <c r="AC162" s="825">
        <v>250</v>
      </c>
      <c r="AD162" s="825">
        <v>250</v>
      </c>
      <c r="AE162" s="825">
        <v>240</v>
      </c>
      <c r="AF162" s="825">
        <v>240</v>
      </c>
      <c r="AG162" s="825">
        <v>226</v>
      </c>
      <c r="AH162" s="825">
        <v>226</v>
      </c>
      <c r="AI162" s="825">
        <v>282</v>
      </c>
      <c r="AJ162" s="825">
        <v>282</v>
      </c>
      <c r="AK162" s="825">
        <v>298</v>
      </c>
      <c r="AL162" s="825">
        <v>298</v>
      </c>
      <c r="AM162" s="825">
        <v>289</v>
      </c>
      <c r="AN162" s="825">
        <v>289</v>
      </c>
      <c r="AO162" s="825">
        <v>295</v>
      </c>
      <c r="AP162" s="825">
        <v>304</v>
      </c>
    </row>
    <row r="163" hidden="1" ht="15.95" customHeight="1">
      <c r="B163" s="826" t="s">
        <v>19</v>
      </c>
      <c r="C163" s="827">
        <v>129</v>
      </c>
      <c r="D163" s="827">
        <v>124</v>
      </c>
      <c r="E163" s="827">
        <v>119</v>
      </c>
      <c r="F163" s="827">
        <v>139</v>
      </c>
      <c r="G163" s="827">
        <v>138</v>
      </c>
      <c r="H163" s="827">
        <v>163</v>
      </c>
      <c r="I163" s="827">
        <v>150</v>
      </c>
      <c r="J163" s="827">
        <v>150</v>
      </c>
      <c r="K163" s="827">
        <v>290</v>
      </c>
      <c r="L163" s="827">
        <v>277</v>
      </c>
      <c r="M163" s="827">
        <v>288</v>
      </c>
      <c r="N163" s="827">
        <v>288</v>
      </c>
      <c r="O163" s="827">
        <v>304</v>
      </c>
      <c r="P163" s="827">
        <v>318</v>
      </c>
      <c r="Q163" s="827">
        <v>387</v>
      </c>
      <c r="R163" s="827">
        <v>439</v>
      </c>
      <c r="S163" s="827">
        <v>418</v>
      </c>
      <c r="T163" s="827">
        <v>418</v>
      </c>
      <c r="U163" s="827">
        <v>320</v>
      </c>
      <c r="V163" s="827">
        <v>325</v>
      </c>
      <c r="W163" s="827">
        <v>323</v>
      </c>
      <c r="X163" s="827">
        <v>356</v>
      </c>
      <c r="Y163" s="827">
        <v>266</v>
      </c>
      <c r="Z163" s="827">
        <v>270</v>
      </c>
      <c r="AA163" s="827">
        <v>265</v>
      </c>
      <c r="AB163" s="827">
        <v>267</v>
      </c>
      <c r="AC163" s="828">
        <v>248</v>
      </c>
      <c r="AD163" s="828">
        <v>250</v>
      </c>
      <c r="AE163" s="828">
        <v>228</v>
      </c>
      <c r="AF163" s="828">
        <v>228</v>
      </c>
      <c r="AG163" s="828">
        <v>240</v>
      </c>
      <c r="AH163" s="828">
        <v>240</v>
      </c>
      <c r="AI163" s="828">
        <v>188</v>
      </c>
      <c r="AJ163" s="828">
        <v>173</v>
      </c>
      <c r="AK163" s="828">
        <v>211</v>
      </c>
      <c r="AL163" s="828">
        <v>212</v>
      </c>
      <c r="AM163" s="828">
        <v>225</v>
      </c>
      <c r="AN163" s="828">
        <v>272</v>
      </c>
      <c r="AO163" s="828">
        <v>413</v>
      </c>
      <c r="AP163" s="828">
        <v>413</v>
      </c>
    </row>
    <row r="164" hidden="1" ht="15.95" customHeight="1">
      <c r="B164" s="829" t="s">
        <v>20</v>
      </c>
      <c r="C164" s="823">
        <v>0</v>
      </c>
      <c r="D164" s="823">
        <v>0</v>
      </c>
      <c r="E164" s="823">
        <v>0</v>
      </c>
      <c r="F164" s="823">
        <v>0</v>
      </c>
      <c r="G164" s="823">
        <v>0</v>
      </c>
      <c r="H164" s="823">
        <v>0</v>
      </c>
      <c r="I164" s="823">
        <v>0</v>
      </c>
      <c r="J164" s="823">
        <v>0</v>
      </c>
      <c r="K164" s="823">
        <v>0</v>
      </c>
      <c r="L164" s="823">
        <v>0</v>
      </c>
      <c r="M164" s="823">
        <v>0</v>
      </c>
      <c r="N164" s="823">
        <v>0</v>
      </c>
      <c r="O164" s="823">
        <v>0</v>
      </c>
      <c r="P164" s="823">
        <v>0</v>
      </c>
      <c r="Q164" s="823">
        <v>0</v>
      </c>
      <c r="R164" s="823">
        <v>0</v>
      </c>
      <c r="S164" s="823">
        <v>0</v>
      </c>
      <c r="T164" s="823">
        <v>0</v>
      </c>
      <c r="U164" s="823">
        <v>0</v>
      </c>
      <c r="V164" s="823">
        <v>0</v>
      </c>
      <c r="W164" s="823">
        <v>0</v>
      </c>
      <c r="X164" s="823">
        <v>0</v>
      </c>
      <c r="Y164" s="823">
        <v>0</v>
      </c>
      <c r="Z164" s="823">
        <v>0</v>
      </c>
      <c r="AA164" s="823">
        <v>0</v>
      </c>
      <c r="AB164" s="823">
        <v>0</v>
      </c>
      <c r="AC164" s="825">
        <v>0</v>
      </c>
      <c r="AD164" s="825">
        <v>0</v>
      </c>
      <c r="AE164" s="825">
        <v>0</v>
      </c>
      <c r="AF164" s="825">
        <v>0</v>
      </c>
      <c r="AG164" s="825">
        <v>0</v>
      </c>
      <c r="AH164" s="825">
        <v>0</v>
      </c>
      <c r="AI164" s="825">
        <v>0</v>
      </c>
      <c r="AJ164" s="825">
        <v>0</v>
      </c>
      <c r="AK164" s="825">
        <v>0</v>
      </c>
      <c r="AL164" s="825">
        <v>0</v>
      </c>
      <c r="AM164" s="825">
        <v>0</v>
      </c>
      <c r="AN164" s="825">
        <v>0</v>
      </c>
      <c r="AO164" s="825">
        <v>0</v>
      </c>
      <c r="AP164" s="825">
        <v>0</v>
      </c>
    </row>
    <row r="165" hidden="1" ht="15.95" customHeight="1">
      <c r="B165" s="826" t="s">
        <v>21</v>
      </c>
      <c r="C165" s="827">
        <v>222629</v>
      </c>
      <c r="D165" s="827">
        <v>262629</v>
      </c>
      <c r="E165" s="827">
        <v>265095</v>
      </c>
      <c r="F165" s="827">
        <v>286335</v>
      </c>
      <c r="G165" s="827">
        <v>284645</v>
      </c>
      <c r="H165" s="827">
        <v>285195</v>
      </c>
      <c r="I165" s="827">
        <v>146913</v>
      </c>
      <c r="J165" s="827">
        <v>121223</v>
      </c>
      <c r="K165" s="827">
        <v>90751</v>
      </c>
      <c r="L165" s="827">
        <v>96245</v>
      </c>
      <c r="M165" s="827">
        <v>96473</v>
      </c>
      <c r="N165" s="827">
        <v>68479</v>
      </c>
      <c r="O165" s="827">
        <v>96511</v>
      </c>
      <c r="P165" s="827">
        <v>103895</v>
      </c>
      <c r="Q165" s="827">
        <v>95995</v>
      </c>
      <c r="R165" s="827">
        <v>102691</v>
      </c>
      <c r="S165" s="827">
        <v>102710</v>
      </c>
      <c r="T165" s="827">
        <v>102712</v>
      </c>
      <c r="U165" s="827">
        <v>91392</v>
      </c>
      <c r="V165" s="827">
        <v>91392</v>
      </c>
      <c r="W165" s="827">
        <v>83015</v>
      </c>
      <c r="X165" s="827">
        <v>83224</v>
      </c>
      <c r="Y165" s="827">
        <v>82392</v>
      </c>
      <c r="Z165" s="827">
        <v>89670</v>
      </c>
      <c r="AA165" s="827">
        <v>126033</v>
      </c>
      <c r="AB165" s="827">
        <v>126034</v>
      </c>
      <c r="AC165" s="828">
        <v>139477</v>
      </c>
      <c r="AD165" s="828">
        <v>139487</v>
      </c>
      <c r="AE165" s="828">
        <v>140014</v>
      </c>
      <c r="AF165" s="828">
        <v>145113</v>
      </c>
      <c r="AG165" s="828">
        <v>204147</v>
      </c>
      <c r="AH165" s="828">
        <v>204147</v>
      </c>
      <c r="AI165" s="828">
        <v>207105</v>
      </c>
      <c r="AJ165" s="828">
        <v>207128</v>
      </c>
      <c r="AK165" s="828">
        <v>199837</v>
      </c>
      <c r="AL165" s="828">
        <v>201737</v>
      </c>
      <c r="AM165" s="828">
        <v>182296</v>
      </c>
      <c r="AN165" s="828">
        <v>366296</v>
      </c>
      <c r="AO165" s="828">
        <v>157804</v>
      </c>
      <c r="AP165" s="828">
        <v>157804</v>
      </c>
    </row>
    <row r="166" hidden="1" ht="15.95" customHeight="1">
      <c r="B166" s="829" t="s">
        <v>22</v>
      </c>
      <c r="C166" s="823">
        <v>0</v>
      </c>
      <c r="D166" s="823">
        <v>0</v>
      </c>
      <c r="E166" s="823">
        <v>0</v>
      </c>
      <c r="F166" s="823">
        <v>0</v>
      </c>
      <c r="G166" s="823">
        <v>0</v>
      </c>
      <c r="H166" s="823">
        <v>0</v>
      </c>
      <c r="I166" s="823">
        <v>0</v>
      </c>
      <c r="J166" s="823">
        <v>0</v>
      </c>
      <c r="K166" s="823">
        <v>0</v>
      </c>
      <c r="L166" s="823">
        <v>0</v>
      </c>
      <c r="M166" s="823">
        <v>0</v>
      </c>
      <c r="N166" s="823">
        <v>0</v>
      </c>
      <c r="O166" s="823">
        <v>70</v>
      </c>
      <c r="P166" s="823">
        <v>70</v>
      </c>
      <c r="Q166" s="823">
        <v>0</v>
      </c>
      <c r="R166" s="823">
        <v>35</v>
      </c>
      <c r="S166" s="823">
        <v>35</v>
      </c>
      <c r="T166" s="823">
        <v>35</v>
      </c>
      <c r="U166" s="823">
        <v>35</v>
      </c>
      <c r="V166" s="823">
        <v>35</v>
      </c>
      <c r="W166" s="823">
        <v>60</v>
      </c>
      <c r="X166" s="823">
        <v>60</v>
      </c>
      <c r="Y166" s="823">
        <v>3122</v>
      </c>
      <c r="Z166" s="823">
        <v>3122</v>
      </c>
      <c r="AA166" s="823">
        <v>20156</v>
      </c>
      <c r="AB166" s="823">
        <v>20156</v>
      </c>
      <c r="AC166" s="825">
        <v>30197</v>
      </c>
      <c r="AD166" s="825">
        <v>30197</v>
      </c>
      <c r="AE166" s="825">
        <v>30273</v>
      </c>
      <c r="AF166" s="825">
        <v>30273</v>
      </c>
      <c r="AG166" s="825">
        <v>30341</v>
      </c>
      <c r="AH166" s="825">
        <v>30341</v>
      </c>
      <c r="AI166" s="825">
        <v>30536</v>
      </c>
      <c r="AJ166" s="825">
        <v>30536</v>
      </c>
      <c r="AK166" s="825">
        <v>30667</v>
      </c>
      <c r="AL166" s="825">
        <v>30667</v>
      </c>
      <c r="AM166" s="825">
        <v>30602</v>
      </c>
      <c r="AN166" s="825">
        <v>30637</v>
      </c>
      <c r="AO166" s="825">
        <v>30083</v>
      </c>
      <c r="AP166" s="825">
        <v>30053</v>
      </c>
    </row>
    <row r="167" hidden="1" ht="15.95" customHeight="1">
      <c r="B167" s="826" t="s">
        <v>23</v>
      </c>
      <c r="C167" s="827">
        <v>49</v>
      </c>
      <c r="D167" s="827">
        <v>49</v>
      </c>
      <c r="E167" s="827">
        <v>26</v>
      </c>
      <c r="F167" s="827">
        <v>26</v>
      </c>
      <c r="G167" s="827">
        <v>20</v>
      </c>
      <c r="H167" s="827">
        <v>20</v>
      </c>
      <c r="I167" s="827">
        <v>20</v>
      </c>
      <c r="J167" s="827">
        <v>20</v>
      </c>
      <c r="K167" s="827">
        <v>2</v>
      </c>
      <c r="L167" s="827">
        <v>2</v>
      </c>
      <c r="M167" s="827">
        <v>0</v>
      </c>
      <c r="N167" s="827">
        <v>0</v>
      </c>
      <c r="O167" s="827">
        <v>0</v>
      </c>
      <c r="P167" s="827">
        <v>0</v>
      </c>
      <c r="Q167" s="827">
        <v>5</v>
      </c>
      <c r="R167" s="827">
        <v>5</v>
      </c>
      <c r="S167" s="827">
        <v>0</v>
      </c>
      <c r="T167" s="827">
        <v>0</v>
      </c>
      <c r="U167" s="827">
        <v>2</v>
      </c>
      <c r="V167" s="827">
        <v>0</v>
      </c>
      <c r="W167" s="827">
        <v>4</v>
      </c>
      <c r="X167" s="827">
        <v>4</v>
      </c>
      <c r="Y167" s="827">
        <v>2</v>
      </c>
      <c r="Z167" s="827">
        <v>2</v>
      </c>
      <c r="AA167" s="827">
        <v>2</v>
      </c>
      <c r="AB167" s="827">
        <v>2</v>
      </c>
      <c r="AC167" s="828">
        <v>11</v>
      </c>
      <c r="AD167" s="828">
        <v>11</v>
      </c>
      <c r="AE167" s="828">
        <v>14</v>
      </c>
      <c r="AF167" s="828">
        <v>14</v>
      </c>
      <c r="AG167" s="828">
        <v>8</v>
      </c>
      <c r="AH167" s="828">
        <v>8</v>
      </c>
      <c r="AI167" s="828">
        <v>37</v>
      </c>
      <c r="AJ167" s="828">
        <v>37</v>
      </c>
      <c r="AK167" s="828">
        <v>44</v>
      </c>
      <c r="AL167" s="828">
        <v>44</v>
      </c>
      <c r="AM167" s="828">
        <v>38</v>
      </c>
      <c r="AN167" s="828">
        <v>38</v>
      </c>
      <c r="AO167" s="828">
        <v>4</v>
      </c>
      <c r="AP167" s="828">
        <v>4</v>
      </c>
    </row>
    <row r="168" hidden="1" ht="15.95" customHeight="1">
      <c r="B168" s="830" t="s">
        <v>24</v>
      </c>
      <c r="C168" s="823">
        <v>5634</v>
      </c>
      <c r="D168" s="823">
        <v>5622</v>
      </c>
      <c r="E168" s="823">
        <v>6059</v>
      </c>
      <c r="F168" s="823">
        <v>3059</v>
      </c>
      <c r="G168" s="823">
        <v>6205</v>
      </c>
      <c r="H168" s="823">
        <v>6205</v>
      </c>
      <c r="I168" s="823">
        <v>3103</v>
      </c>
      <c r="J168" s="823">
        <v>3103</v>
      </c>
      <c r="K168" s="823">
        <v>3103</v>
      </c>
      <c r="L168" s="823">
        <v>3103</v>
      </c>
      <c r="M168" s="823">
        <v>3059</v>
      </c>
      <c r="N168" s="823">
        <v>3059</v>
      </c>
      <c r="O168" s="823">
        <v>2515</v>
      </c>
      <c r="P168" s="823">
        <v>2525</v>
      </c>
      <c r="Q168" s="823">
        <v>2532</v>
      </c>
      <c r="R168" s="823">
        <v>2532</v>
      </c>
      <c r="S168" s="823">
        <v>2631</v>
      </c>
      <c r="T168" s="823">
        <v>2631</v>
      </c>
      <c r="U168" s="823">
        <v>2617</v>
      </c>
      <c r="V168" s="823">
        <v>2619</v>
      </c>
      <c r="W168" s="823">
        <v>2643</v>
      </c>
      <c r="X168" s="823">
        <v>2643</v>
      </c>
      <c r="Y168" s="823">
        <v>2660</v>
      </c>
      <c r="Z168" s="823">
        <v>2675</v>
      </c>
      <c r="AA168" s="823">
        <v>4263</v>
      </c>
      <c r="AB168" s="823">
        <v>4263</v>
      </c>
      <c r="AC168" s="825">
        <v>4234</v>
      </c>
      <c r="AD168" s="825">
        <v>4246</v>
      </c>
      <c r="AE168" s="825">
        <v>4285</v>
      </c>
      <c r="AF168" s="825">
        <v>4275</v>
      </c>
      <c r="AG168" s="825">
        <v>4254</v>
      </c>
      <c r="AH168" s="825">
        <v>4236</v>
      </c>
      <c r="AI168" s="825">
        <v>2051</v>
      </c>
      <c r="AJ168" s="825">
        <v>2072</v>
      </c>
      <c r="AK168" s="825">
        <v>2166</v>
      </c>
      <c r="AL168" s="825">
        <v>2202</v>
      </c>
      <c r="AM168" s="825">
        <v>1670</v>
      </c>
      <c r="AN168" s="825">
        <v>1884</v>
      </c>
      <c r="AO168" s="825">
        <v>1534</v>
      </c>
      <c r="AP168" s="825">
        <v>1623</v>
      </c>
    </row>
    <row r="169" hidden="1" ht="15.95" customHeight="1">
      <c r="B169" s="826" t="s">
        <v>25</v>
      </c>
      <c r="C169" s="827">
        <v>0</v>
      </c>
      <c r="D169" s="827">
        <v>0</v>
      </c>
      <c r="E169" s="827">
        <v>0</v>
      </c>
      <c r="F169" s="827">
        <v>0</v>
      </c>
      <c r="G169" s="827">
        <v>0</v>
      </c>
      <c r="H169" s="827">
        <v>0</v>
      </c>
      <c r="I169" s="827">
        <v>0</v>
      </c>
      <c r="J169" s="827">
        <v>0</v>
      </c>
      <c r="K169" s="827">
        <v>0</v>
      </c>
      <c r="L169" s="827">
        <v>0</v>
      </c>
      <c r="M169" s="827">
        <v>0</v>
      </c>
      <c r="N169" s="827">
        <v>0</v>
      </c>
      <c r="O169" s="827">
        <v>0</v>
      </c>
      <c r="P169" s="827">
        <v>0</v>
      </c>
      <c r="Q169" s="827">
        <v>0</v>
      </c>
      <c r="R169" s="827">
        <v>0</v>
      </c>
      <c r="S169" s="827">
        <v>0</v>
      </c>
      <c r="T169" s="827">
        <v>0</v>
      </c>
      <c r="U169" s="827">
        <v>0</v>
      </c>
      <c r="V169" s="827">
        <v>0</v>
      </c>
      <c r="W169" s="827">
        <v>0</v>
      </c>
      <c r="X169" s="827">
        <v>0</v>
      </c>
      <c r="Y169" s="827">
        <v>0</v>
      </c>
      <c r="Z169" s="827">
        <v>0</v>
      </c>
      <c r="AA169" s="827">
        <v>0</v>
      </c>
      <c r="AB169" s="827">
        <v>0</v>
      </c>
      <c r="AC169" s="828">
        <v>0</v>
      </c>
      <c r="AD169" s="828">
        <v>0</v>
      </c>
      <c r="AE169" s="828">
        <v>0</v>
      </c>
      <c r="AF169" s="828">
        <v>0</v>
      </c>
      <c r="AG169" s="828">
        <v>0</v>
      </c>
      <c r="AH169" s="828">
        <v>0</v>
      </c>
      <c r="AI169" s="828">
        <v>0</v>
      </c>
      <c r="AJ169" s="828">
        <v>0</v>
      </c>
      <c r="AK169" s="828">
        <v>0</v>
      </c>
      <c r="AL169" s="828">
        <v>0</v>
      </c>
      <c r="AM169" s="828">
        <v>0</v>
      </c>
      <c r="AN169" s="828">
        <v>0</v>
      </c>
      <c r="AO169" s="828">
        <v>0</v>
      </c>
      <c r="AP169" s="828">
        <v>0</v>
      </c>
    </row>
    <row r="170" hidden="1" ht="15.95" customHeight="1">
      <c r="B170" s="831" t="s">
        <v>26</v>
      </c>
      <c r="C170" s="823">
        <v>0</v>
      </c>
      <c r="D170" s="823">
        <v>0</v>
      </c>
      <c r="E170" s="823">
        <v>0</v>
      </c>
      <c r="F170" s="823">
        <v>0</v>
      </c>
      <c r="G170" s="823">
        <v>0</v>
      </c>
      <c r="H170" s="823">
        <v>0</v>
      </c>
      <c r="I170" s="823">
        <v>0</v>
      </c>
      <c r="J170" s="823">
        <v>0</v>
      </c>
      <c r="K170" s="823">
        <v>0</v>
      </c>
      <c r="L170" s="823">
        <v>0</v>
      </c>
      <c r="M170" s="823">
        <v>0</v>
      </c>
      <c r="N170" s="823">
        <v>0</v>
      </c>
      <c r="O170" s="823">
        <v>0</v>
      </c>
      <c r="P170" s="823">
        <v>0</v>
      </c>
      <c r="Q170" s="823">
        <v>0</v>
      </c>
      <c r="R170" s="823">
        <v>0</v>
      </c>
      <c r="S170" s="823">
        <v>0</v>
      </c>
      <c r="T170" s="823">
        <v>0</v>
      </c>
      <c r="U170" s="823">
        <v>0</v>
      </c>
      <c r="V170" s="823">
        <v>0</v>
      </c>
      <c r="W170" s="823">
        <v>0</v>
      </c>
      <c r="X170" s="823">
        <v>0</v>
      </c>
      <c r="Y170" s="823">
        <v>0</v>
      </c>
      <c r="Z170" s="823">
        <v>0</v>
      </c>
      <c r="AA170" s="823">
        <v>0</v>
      </c>
      <c r="AB170" s="832">
        <v>0</v>
      </c>
      <c r="AC170" s="825">
        <v>0</v>
      </c>
      <c r="AD170" s="825">
        <v>0</v>
      </c>
      <c r="AE170" s="825">
        <v>0</v>
      </c>
      <c r="AF170" s="825">
        <v>0</v>
      </c>
      <c r="AG170" s="825">
        <v>0</v>
      </c>
      <c r="AH170" s="825">
        <v>0</v>
      </c>
      <c r="AI170" s="825">
        <v>0</v>
      </c>
      <c r="AJ170" s="825">
        <v>0</v>
      </c>
      <c r="AK170" s="825">
        <v>0</v>
      </c>
      <c r="AL170" s="825">
        <v>0</v>
      </c>
      <c r="AM170" s="825">
        <v>0</v>
      </c>
      <c r="AN170" s="825">
        <v>0</v>
      </c>
      <c r="AO170" s="825">
        <v>0</v>
      </c>
      <c r="AP170" s="825">
        <v>0</v>
      </c>
    </row>
    <row r="171" hidden="1" ht="15.95" customHeight="1">
      <c r="B171" s="128" t="s">
        <v>7</v>
      </c>
      <c r="C171" s="129" t="str">
        <f>IF(SUM(C152:C170)&lt;&gt;0,SUM(C152:C170),"")</f>
      </c>
      <c r="D171" s="129" t="str">
        <f ref="D171:AA171" t="shared" si="5">IF(SUM(D152:D170)&lt;&gt;0,SUM(D152:D170),"")</f>
      </c>
      <c r="E171" s="129" t="str">
        <f t="shared" si="5"/>
      </c>
      <c r="F171" s="129" t="str">
        <f t="shared" si="5"/>
      </c>
      <c r="G171" s="129" t="str">
        <f t="shared" si="5"/>
      </c>
      <c r="H171" s="129" t="str">
        <f t="shared" si="5"/>
      </c>
      <c r="I171" s="129" t="str">
        <f t="shared" si="5"/>
      </c>
      <c r="J171" s="129" t="str">
        <f t="shared" si="5"/>
      </c>
      <c r="K171" s="129" t="str">
        <f t="shared" si="5"/>
      </c>
      <c r="L171" s="129" t="str">
        <f t="shared" si="5"/>
      </c>
      <c r="M171" s="129" t="str">
        <f t="shared" si="5"/>
      </c>
      <c r="N171" s="129" t="str">
        <f t="shared" si="5"/>
      </c>
      <c r="O171" s="129" t="str">
        <f t="shared" si="5"/>
      </c>
      <c r="P171" s="129" t="str">
        <f t="shared" si="5"/>
      </c>
      <c r="Q171" s="129" t="str">
        <f t="shared" si="5"/>
      </c>
      <c r="R171" s="129" t="str">
        <f t="shared" si="5"/>
      </c>
      <c r="S171" s="129" t="str">
        <f t="shared" si="5"/>
      </c>
      <c r="T171" s="129" t="str">
        <f t="shared" si="5"/>
      </c>
      <c r="U171" s="129" t="str">
        <f t="shared" si="5"/>
      </c>
      <c r="V171" s="129" t="str">
        <f t="shared" si="5"/>
      </c>
      <c r="W171" s="129" t="str">
        <f t="shared" si="5"/>
      </c>
      <c r="X171" s="129" t="str">
        <f t="shared" si="5"/>
      </c>
      <c r="Y171" s="129" t="str">
        <f t="shared" si="5"/>
      </c>
      <c r="Z171" s="129" t="str">
        <f t="shared" si="5"/>
      </c>
      <c r="AA171" s="129" t="str">
        <f t="shared" si="5"/>
      </c>
      <c r="AB171" s="130" t="str">
        <f>IF(SUM(AB152:AB170)&lt;&gt;0,SUM(AB152:AB170),"")</f>
      </c>
      <c r="AC171" s="91" t="str">
        <f ref="AC171:CN171" t="shared" si="6">IF(SUM(AC152:AC170)&lt;&gt;0,SUM(AC152:AC170),"")</f>
      </c>
      <c r="AD171" s="91" t="str">
        <f t="shared" si="6"/>
      </c>
      <c r="AE171" s="91" t="str">
        <f t="shared" si="6"/>
      </c>
      <c r="AF171" s="91" t="str">
        <f t="shared" si="6"/>
      </c>
      <c r="AG171" s="91" t="str">
        <f t="shared" si="6"/>
      </c>
      <c r="AH171" s="91" t="str">
        <f t="shared" si="6"/>
      </c>
      <c r="AI171" s="91" t="str">
        <f t="shared" si="6"/>
      </c>
      <c r="AJ171" s="91" t="str">
        <f t="shared" si="6"/>
      </c>
      <c r="AK171" s="91" t="str">
        <f t="shared" si="6"/>
      </c>
      <c r="AL171" s="91" t="str">
        <f t="shared" si="6"/>
      </c>
      <c r="AM171" s="91" t="str">
        <f t="shared" si="6"/>
      </c>
      <c r="AN171" s="91" t="str">
        <f t="shared" si="6"/>
      </c>
      <c r="AO171" s="91" t="str">
        <f t="shared" si="6"/>
      </c>
      <c r="AP171" s="91" t="str">
        <f t="shared" si="6"/>
      </c>
      <c r="AQ171" s="91" t="str">
        <f t="shared" si="6"/>
      </c>
      <c r="AR171" s="91" t="str">
        <f t="shared" si="6"/>
      </c>
      <c r="AS171" s="91" t="str">
        <f t="shared" si="6"/>
      </c>
      <c r="AT171" s="91" t="str">
        <f t="shared" si="6"/>
      </c>
      <c r="AU171" s="91" t="str">
        <f t="shared" si="6"/>
      </c>
      <c r="AV171" s="91" t="str">
        <f t="shared" si="6"/>
      </c>
      <c r="AW171" s="91" t="str">
        <f t="shared" si="6"/>
      </c>
      <c r="AX171" s="91" t="str">
        <f t="shared" si="6"/>
      </c>
      <c r="AY171" s="91" t="str">
        <f t="shared" si="6"/>
      </c>
      <c r="AZ171" s="91" t="str">
        <f t="shared" si="6"/>
      </c>
      <c r="BA171" s="91" t="str">
        <f t="shared" si="6"/>
      </c>
      <c r="BB171" s="91" t="str">
        <f t="shared" si="6"/>
      </c>
      <c r="BC171" s="91" t="str">
        <f t="shared" si="6"/>
      </c>
      <c r="BD171" s="91" t="str">
        <f t="shared" si="6"/>
      </c>
      <c r="BE171" s="91" t="str">
        <f t="shared" si="6"/>
      </c>
      <c r="BF171" s="91" t="str">
        <f t="shared" si="6"/>
      </c>
      <c r="BG171" s="91" t="str">
        <f t="shared" si="6"/>
      </c>
      <c r="BH171" s="91" t="str">
        <f t="shared" si="6"/>
      </c>
      <c r="BI171" s="91" t="str">
        <f t="shared" si="6"/>
      </c>
      <c r="BJ171" s="91" t="str">
        <f t="shared" si="6"/>
      </c>
      <c r="BK171" s="91" t="str">
        <f t="shared" si="6"/>
      </c>
      <c r="BL171" s="91" t="str">
        <f t="shared" si="6"/>
      </c>
      <c r="BM171" s="91" t="str">
        <f t="shared" si="6"/>
      </c>
      <c r="BN171" s="91" t="str">
        <f t="shared" si="6"/>
      </c>
      <c r="BO171" s="91" t="str">
        <f t="shared" si="6"/>
      </c>
      <c r="BP171" s="91" t="str">
        <f t="shared" si="6"/>
      </c>
      <c r="BQ171" s="91" t="str">
        <f t="shared" si="6"/>
      </c>
      <c r="BR171" s="91" t="str">
        <f t="shared" si="6"/>
      </c>
      <c r="BS171" s="91" t="str">
        <f t="shared" si="6"/>
      </c>
      <c r="BT171" s="91" t="str">
        <f t="shared" si="6"/>
      </c>
      <c r="BU171" s="91" t="str">
        <f t="shared" si="6"/>
      </c>
      <c r="BV171" s="91" t="str">
        <f t="shared" si="6"/>
      </c>
      <c r="BW171" s="91" t="str">
        <f t="shared" si="6"/>
      </c>
      <c r="BX171" s="91" t="str">
        <f t="shared" si="6"/>
      </c>
      <c r="BY171" s="91" t="str">
        <f t="shared" si="6"/>
      </c>
      <c r="BZ171" s="91" t="str">
        <f t="shared" si="6"/>
      </c>
      <c r="CA171" s="91" t="str">
        <f t="shared" si="6"/>
      </c>
      <c r="CB171" s="91" t="str">
        <f t="shared" si="6"/>
      </c>
      <c r="CC171" s="91" t="str">
        <f t="shared" si="6"/>
      </c>
      <c r="CD171" s="91" t="str">
        <f t="shared" si="6"/>
      </c>
      <c r="CE171" s="91" t="str">
        <f t="shared" si="6"/>
      </c>
      <c r="CF171" s="91" t="str">
        <f t="shared" si="6"/>
      </c>
      <c r="CG171" s="91" t="str">
        <f t="shared" si="6"/>
      </c>
      <c r="CH171" s="91" t="str">
        <f t="shared" si="6"/>
      </c>
      <c r="CI171" s="91" t="str">
        <f t="shared" si="6"/>
      </c>
      <c r="CJ171" s="91" t="str">
        <f t="shared" si="6"/>
      </c>
      <c r="CK171" s="91" t="str">
        <f t="shared" si="6"/>
      </c>
      <c r="CL171" s="91" t="str">
        <f t="shared" si="6"/>
      </c>
      <c r="CM171" s="91" t="str">
        <f t="shared" si="6"/>
      </c>
      <c r="CN171" s="91" t="str">
        <f t="shared" si="6"/>
      </c>
      <c r="CO171" s="91" t="str">
        <f ref="CO171:EZ171" t="shared" si="7">IF(SUM(CO152:CO170)&lt;&gt;0,SUM(CO152:CO170),"")</f>
      </c>
      <c r="CP171" s="91" t="str">
        <f t="shared" si="7"/>
      </c>
      <c r="CQ171" s="91" t="str">
        <f t="shared" si="7"/>
      </c>
      <c r="CR171" s="91" t="str">
        <f t="shared" si="7"/>
      </c>
      <c r="CS171" s="91" t="str">
        <f t="shared" si="7"/>
      </c>
      <c r="CT171" s="91" t="str">
        <f t="shared" si="7"/>
      </c>
      <c r="CU171" s="91" t="str">
        <f t="shared" si="7"/>
      </c>
      <c r="CV171" s="91" t="str">
        <f t="shared" si="7"/>
      </c>
      <c r="CW171" s="91" t="str">
        <f t="shared" si="7"/>
      </c>
      <c r="CX171" s="91" t="str">
        <f t="shared" si="7"/>
      </c>
      <c r="CY171" s="91" t="str">
        <f t="shared" si="7"/>
      </c>
      <c r="CZ171" s="91" t="str">
        <f t="shared" si="7"/>
      </c>
      <c r="DA171" s="91" t="str">
        <f t="shared" si="7"/>
      </c>
      <c r="DB171" s="91" t="str">
        <f t="shared" si="7"/>
      </c>
      <c r="DC171" s="91" t="str">
        <f t="shared" si="7"/>
      </c>
      <c r="DD171" s="91" t="str">
        <f t="shared" si="7"/>
      </c>
      <c r="DE171" s="91" t="str">
        <f t="shared" si="7"/>
      </c>
      <c r="DF171" s="91" t="str">
        <f t="shared" si="7"/>
      </c>
      <c r="DG171" s="91" t="str">
        <f t="shared" si="7"/>
      </c>
      <c r="DH171" s="91" t="str">
        <f t="shared" si="7"/>
      </c>
      <c r="DI171" s="91" t="str">
        <f t="shared" si="7"/>
      </c>
      <c r="DJ171" s="91" t="str">
        <f t="shared" si="7"/>
      </c>
      <c r="DK171" s="91" t="str">
        <f t="shared" si="7"/>
      </c>
      <c r="DL171" s="91" t="str">
        <f t="shared" si="7"/>
      </c>
      <c r="DM171" s="91" t="str">
        <f t="shared" si="7"/>
      </c>
      <c r="DN171" s="91" t="str">
        <f t="shared" si="7"/>
      </c>
      <c r="DO171" s="91" t="str">
        <f t="shared" si="7"/>
      </c>
      <c r="DP171" s="91" t="str">
        <f t="shared" si="7"/>
      </c>
      <c r="DQ171" s="91" t="str">
        <f t="shared" si="7"/>
      </c>
      <c r="DR171" s="91" t="str">
        <f t="shared" si="7"/>
      </c>
      <c r="DS171" s="91" t="str">
        <f t="shared" si="7"/>
      </c>
      <c r="DT171" s="91" t="str">
        <f t="shared" si="7"/>
      </c>
      <c r="DU171" s="91" t="str">
        <f t="shared" si="7"/>
      </c>
      <c r="DV171" s="91" t="str">
        <f t="shared" si="7"/>
      </c>
      <c r="DW171" s="91" t="str">
        <f t="shared" si="7"/>
      </c>
      <c r="DX171" s="91" t="str">
        <f t="shared" si="7"/>
      </c>
      <c r="DY171" s="91" t="str">
        <f t="shared" si="7"/>
      </c>
      <c r="DZ171" s="91" t="str">
        <f t="shared" si="7"/>
      </c>
      <c r="EA171" s="91" t="str">
        <f t="shared" si="7"/>
      </c>
      <c r="EB171" s="91" t="str">
        <f t="shared" si="7"/>
      </c>
      <c r="EC171" s="91" t="str">
        <f t="shared" si="7"/>
      </c>
      <c r="ED171" s="91" t="str">
        <f t="shared" si="7"/>
      </c>
      <c r="EE171" s="91" t="str">
        <f t="shared" si="7"/>
      </c>
      <c r="EF171" s="91" t="str">
        <f t="shared" si="7"/>
      </c>
      <c r="EG171" s="91" t="str">
        <f t="shared" si="7"/>
      </c>
      <c r="EH171" s="91" t="str">
        <f t="shared" si="7"/>
      </c>
      <c r="EI171" s="91" t="str">
        <f t="shared" si="7"/>
      </c>
      <c r="EJ171" s="91" t="str">
        <f t="shared" si="7"/>
      </c>
      <c r="EK171" s="91" t="str">
        <f t="shared" si="7"/>
      </c>
      <c r="EL171" s="91" t="str">
        <f t="shared" si="7"/>
      </c>
      <c r="EM171" s="91" t="str">
        <f t="shared" si="7"/>
      </c>
      <c r="EN171" s="91" t="str">
        <f t="shared" si="7"/>
      </c>
      <c r="EO171" s="91" t="str">
        <f t="shared" si="7"/>
      </c>
      <c r="EP171" s="91" t="str">
        <f t="shared" si="7"/>
      </c>
      <c r="EQ171" s="91" t="str">
        <f t="shared" si="7"/>
      </c>
      <c r="ER171" s="91" t="str">
        <f t="shared" si="7"/>
      </c>
      <c r="ES171" s="91" t="str">
        <f t="shared" si="7"/>
      </c>
      <c r="ET171" s="91" t="str">
        <f t="shared" si="7"/>
      </c>
      <c r="EU171" s="91" t="str">
        <f t="shared" si="7"/>
      </c>
      <c r="EV171" s="91" t="str">
        <f t="shared" si="7"/>
      </c>
      <c r="EW171" s="91" t="str">
        <f t="shared" si="7"/>
      </c>
      <c r="EX171" s="91" t="str">
        <f t="shared" si="7"/>
      </c>
      <c r="EY171" s="91" t="str">
        <f t="shared" si="7"/>
      </c>
      <c r="EZ171" s="91" t="str">
        <f t="shared" si="7"/>
      </c>
      <c r="FA171" s="91" t="str">
        <f ref="FA171:HL171" t="shared" si="8">IF(SUM(FA152:FA170)&lt;&gt;0,SUM(FA152:FA170),"")</f>
      </c>
      <c r="FB171" s="91" t="str">
        <f t="shared" si="8"/>
      </c>
      <c r="FC171" s="91" t="str">
        <f t="shared" si="8"/>
      </c>
      <c r="FD171" s="91" t="str">
        <f t="shared" si="8"/>
      </c>
      <c r="FE171" s="91" t="str">
        <f t="shared" si="8"/>
      </c>
      <c r="FF171" s="91" t="str">
        <f t="shared" si="8"/>
      </c>
      <c r="FG171" s="91" t="str">
        <f t="shared" si="8"/>
      </c>
      <c r="FH171" s="91" t="str">
        <f t="shared" si="8"/>
      </c>
      <c r="FI171" s="91" t="str">
        <f t="shared" si="8"/>
      </c>
      <c r="FJ171" s="91" t="str">
        <f t="shared" si="8"/>
      </c>
      <c r="FK171" s="91" t="str">
        <f t="shared" si="8"/>
      </c>
      <c r="FL171" s="91" t="str">
        <f t="shared" si="8"/>
      </c>
      <c r="FM171" s="91" t="str">
        <f t="shared" si="8"/>
      </c>
      <c r="FN171" s="91" t="str">
        <f t="shared" si="8"/>
      </c>
      <c r="FO171" s="91" t="str">
        <f t="shared" si="8"/>
      </c>
      <c r="FP171" s="91" t="str">
        <f t="shared" si="8"/>
      </c>
      <c r="FQ171" s="91" t="str">
        <f t="shared" si="8"/>
      </c>
      <c r="FR171" s="91" t="str">
        <f t="shared" si="8"/>
      </c>
      <c r="FS171" s="91" t="str">
        <f t="shared" si="8"/>
      </c>
      <c r="FT171" s="91" t="str">
        <f t="shared" si="8"/>
      </c>
      <c r="FU171" s="91" t="str">
        <f t="shared" si="8"/>
      </c>
      <c r="FV171" s="91" t="str">
        <f t="shared" si="8"/>
      </c>
      <c r="FW171" s="91" t="str">
        <f t="shared" si="8"/>
      </c>
      <c r="FX171" s="91" t="str">
        <f t="shared" si="8"/>
      </c>
      <c r="FY171" s="91" t="str">
        <f t="shared" si="8"/>
      </c>
      <c r="FZ171" s="91" t="str">
        <f t="shared" si="8"/>
      </c>
      <c r="GA171" s="91" t="str">
        <f t="shared" si="8"/>
      </c>
      <c r="GB171" s="91" t="str">
        <f t="shared" si="8"/>
      </c>
      <c r="GC171" s="91" t="str">
        <f t="shared" si="8"/>
      </c>
      <c r="GD171" s="91" t="str">
        <f t="shared" si="8"/>
      </c>
      <c r="GE171" s="91" t="str">
        <f t="shared" si="8"/>
      </c>
      <c r="GF171" s="91" t="str">
        <f t="shared" si="8"/>
      </c>
      <c r="GG171" s="91" t="str">
        <f t="shared" si="8"/>
      </c>
      <c r="GH171" s="91" t="str">
        <f t="shared" si="8"/>
      </c>
      <c r="GI171" s="91" t="str">
        <f t="shared" si="8"/>
      </c>
      <c r="GJ171" s="91" t="str">
        <f t="shared" si="8"/>
      </c>
      <c r="GK171" s="91" t="str">
        <f t="shared" si="8"/>
      </c>
      <c r="GL171" s="91" t="str">
        <f t="shared" si="8"/>
      </c>
      <c r="GM171" s="91" t="str">
        <f t="shared" si="8"/>
      </c>
      <c r="GN171" s="91" t="str">
        <f t="shared" si="8"/>
      </c>
      <c r="GO171" s="91" t="str">
        <f t="shared" si="8"/>
      </c>
      <c r="GP171" s="91" t="str">
        <f t="shared" si="8"/>
      </c>
      <c r="GQ171" s="91" t="str">
        <f t="shared" si="8"/>
      </c>
      <c r="GR171" s="91" t="str">
        <f t="shared" si="8"/>
      </c>
      <c r="GS171" s="91" t="str">
        <f t="shared" si="8"/>
      </c>
      <c r="GT171" s="91" t="str">
        <f t="shared" si="8"/>
      </c>
      <c r="GU171" s="91" t="str">
        <f t="shared" si="8"/>
      </c>
      <c r="GV171" s="91" t="str">
        <f t="shared" si="8"/>
      </c>
      <c r="GW171" s="91" t="str">
        <f t="shared" si="8"/>
      </c>
      <c r="GX171" s="91" t="str">
        <f t="shared" si="8"/>
      </c>
      <c r="GY171" s="91" t="str">
        <f t="shared" si="8"/>
      </c>
      <c r="GZ171" s="91" t="str">
        <f t="shared" si="8"/>
      </c>
      <c r="HA171" s="91" t="str">
        <f t="shared" si="8"/>
      </c>
      <c r="HB171" s="91" t="str">
        <f t="shared" si="8"/>
      </c>
      <c r="HC171" s="91" t="str">
        <f t="shared" si="8"/>
      </c>
      <c r="HD171" s="91" t="str">
        <f t="shared" si="8"/>
      </c>
      <c r="HE171" s="91" t="str">
        <f t="shared" si="8"/>
      </c>
      <c r="HF171" s="91" t="str">
        <f t="shared" si="8"/>
      </c>
      <c r="HG171" s="91" t="str">
        <f t="shared" si="8"/>
      </c>
      <c r="HH171" s="91" t="str">
        <f t="shared" si="8"/>
      </c>
      <c r="HI171" s="91" t="str">
        <f t="shared" si="8"/>
      </c>
      <c r="HJ171" s="91" t="str">
        <f t="shared" si="8"/>
      </c>
      <c r="HK171" s="91" t="str">
        <f t="shared" si="8"/>
      </c>
      <c r="HL171" s="91" t="str">
        <f t="shared" si="8"/>
      </c>
      <c r="HM171" s="91" t="str">
        <f ref="HM171:IV171" t="shared" si="9">IF(SUM(HM152:HM170)&lt;&gt;0,SUM(HM152:HM170),"")</f>
      </c>
      <c r="HN171" s="91" t="str">
        <f t="shared" si="9"/>
      </c>
      <c r="HO171" s="91" t="str">
        <f t="shared" si="9"/>
      </c>
      <c r="HP171" s="91" t="str">
        <f t="shared" si="9"/>
      </c>
      <c r="HQ171" s="91" t="str">
        <f t="shared" si="9"/>
      </c>
      <c r="HR171" s="91" t="str">
        <f t="shared" si="9"/>
      </c>
      <c r="HS171" s="91" t="str">
        <f t="shared" si="9"/>
      </c>
      <c r="HT171" s="91" t="str">
        <f t="shared" si="9"/>
      </c>
      <c r="HU171" s="91" t="str">
        <f t="shared" si="9"/>
      </c>
      <c r="HV171" s="91" t="str">
        <f t="shared" si="9"/>
      </c>
      <c r="HW171" s="91" t="str">
        <f t="shared" si="9"/>
      </c>
      <c r="HX171" s="91" t="str">
        <f t="shared" si="9"/>
      </c>
      <c r="HY171" s="91" t="str">
        <f t="shared" si="9"/>
      </c>
      <c r="HZ171" s="91" t="str">
        <f t="shared" si="9"/>
      </c>
      <c r="IA171" s="91" t="str">
        <f t="shared" si="9"/>
      </c>
      <c r="IB171" s="91" t="str">
        <f t="shared" si="9"/>
      </c>
      <c r="IC171" s="91" t="str">
        <f t="shared" si="9"/>
      </c>
      <c r="ID171" s="91" t="str">
        <f t="shared" si="9"/>
      </c>
      <c r="IE171" s="91" t="str">
        <f t="shared" si="9"/>
      </c>
      <c r="IF171" s="91" t="str">
        <f t="shared" si="9"/>
      </c>
      <c r="IG171" s="91" t="str">
        <f t="shared" si="9"/>
      </c>
      <c r="IH171" s="91" t="str">
        <f t="shared" si="9"/>
      </c>
      <c r="II171" s="91" t="str">
        <f t="shared" si="9"/>
      </c>
      <c r="IJ171" s="91" t="str">
        <f t="shared" si="9"/>
      </c>
      <c r="IK171" s="91" t="str">
        <f t="shared" si="9"/>
      </c>
      <c r="IL171" s="91" t="str">
        <f t="shared" si="9"/>
      </c>
      <c r="IM171" s="91" t="str">
        <f t="shared" si="9"/>
      </c>
      <c r="IN171" s="91" t="str">
        <f t="shared" si="9"/>
      </c>
      <c r="IO171" s="91" t="str">
        <f t="shared" si="9"/>
      </c>
      <c r="IP171" s="91" t="str">
        <f t="shared" si="9"/>
      </c>
      <c r="IQ171" s="91" t="str">
        <f t="shared" si="9"/>
      </c>
      <c r="IR171" s="91" t="str">
        <f t="shared" si="9"/>
      </c>
      <c r="IS171" s="91" t="str">
        <f t="shared" si="9"/>
      </c>
      <c r="IT171" s="91" t="str">
        <f t="shared" si="9"/>
      </c>
      <c r="IU171" s="91" t="str">
        <f t="shared" si="9"/>
      </c>
      <c r="IV171" s="91" t="str">
        <f t="shared" si="9"/>
      </c>
    </row>
    <row r="172" hidden="1" ht="15.95" customHeight="1">
      <c r="M172" s="215"/>
      <c r="N172" s="355"/>
    </row>
    <row r="173" hidden="1" ht="15.95" customHeight="1">
      <c r="B173" s="509" t="s">
        <v>8</v>
      </c>
      <c r="C173" s="505" t="e">
        <f>INDIRECT(ADDRESS(133,MATCH(9000000000+307,'13.1- PATOS (CENSO)'!152:152,1),1,,"13.1- PATOS (CENSO)"))</f>
        <v>#N/A</v>
      </c>
      <c r="M173" s="215"/>
      <c r="N173" s="356"/>
    </row>
    <row r="174" hidden="1" ht="15.95" customHeight="1">
      <c r="B174" s="507" t="s">
        <v>9</v>
      </c>
      <c r="C174" s="505" t="e">
        <f>INDIRECT(ADDRESS(134,MATCH(9000000000+307,'13.1- PATOS (CENSO)'!153:153,1),1,,"13.1- PATOS (CENSO)"))</f>
        <v>#N/A</v>
      </c>
      <c r="M174" s="50"/>
      <c r="N174" s="50"/>
    </row>
    <row r="175" hidden="1" ht="15.95" customHeight="1">
      <c r="B175" s="507" t="s">
        <v>10</v>
      </c>
      <c r="C175" s="505" t="e">
        <f>INDIRECT(ADDRESS(135,MATCH(9000000000+307,'13.1- PATOS (CENSO)'!154:154,1),1,,"13.1- PATOS (CENSO)"))</f>
        <v>#N/A</v>
      </c>
      <c r="M175" s="50"/>
    </row>
    <row r="176" hidden="1" ht="15.95" customHeight="1">
      <c r="B176" s="507" t="s">
        <v>11</v>
      </c>
      <c r="C176" s="505" t="e">
        <f>INDIRECT(ADDRESS(136,MATCH(9000000000+307,'13.1- PATOS (CENSO)'!155:155,1),1,,"13.1- PATOS (CENSO)"))</f>
        <v>#N/A</v>
      </c>
      <c r="M176" s="50"/>
    </row>
    <row r="177" hidden="1" ht="15.95" customHeight="1">
      <c r="B177" s="507" t="s">
        <v>12</v>
      </c>
      <c r="C177" s="505" t="e">
        <f>INDIRECT(ADDRESS(137,MATCH(9000000000+307,'13.1- PATOS (CENSO)'!156:156,1),1,,"13.1- PATOS (CENSO)"))</f>
        <v>#N/A</v>
      </c>
      <c r="M177" s="50"/>
    </row>
    <row r="178" hidden="1" ht="15.95" customHeight="1">
      <c r="B178" s="507" t="s">
        <v>13</v>
      </c>
      <c r="C178" s="505" t="e">
        <f>INDIRECT(ADDRESS(138,MATCH(9000000000+307,'13.1- PATOS (CENSO)'!157:157,1),1,,"13.1- PATOS (CENSO)"))</f>
        <v>#N/A</v>
      </c>
    </row>
    <row r="179" hidden="1" ht="15.95" customHeight="1">
      <c r="B179" s="507" t="s">
        <v>109</v>
      </c>
      <c r="C179" s="505" t="e">
        <f>INDIRECT(ADDRESS(139,MATCH(9000000000+307,'13.1- PATOS (CENSO)'!158:158,1),1,,"13.1- PATOS (CENSO)"))</f>
        <v>#N/A</v>
      </c>
    </row>
    <row r="180" hidden="1" ht="15.95" customHeight="1">
      <c r="B180" s="507" t="s">
        <v>110</v>
      </c>
      <c r="C180" s="505" t="e">
        <f>INDIRECT(ADDRESS(140,MATCH(9000000000+307,'13.1- PATOS (CENSO)'!159:159,1),1,,"13.1- PATOS (CENSO)"))</f>
        <v>#N/A</v>
      </c>
    </row>
    <row r="181" hidden="1" ht="15.95" customHeight="1">
      <c r="B181" s="507" t="s">
        <v>16</v>
      </c>
      <c r="C181" s="505" t="e">
        <f>INDIRECT(ADDRESS(141,MATCH(9000000000+307,'13.1- PATOS (CENSO)'!160:160,1),1,,"13.1- PATOS (CENSO)"))</f>
        <v>#N/A</v>
      </c>
    </row>
    <row r="182" hidden="1" ht="15.95" customHeight="1">
      <c r="B182" s="507" t="s">
        <v>17</v>
      </c>
      <c r="C182" s="505" t="e">
        <f>INDIRECT(ADDRESS(142,MATCH(9000000000+307,'13.1- PATOS (CENSO)'!161:161,1),1,,"13.1- PATOS (CENSO)"))</f>
        <v>#N/A</v>
      </c>
    </row>
    <row r="183" hidden="1" ht="15.95" customHeight="1">
      <c r="B183" s="507" t="s">
        <v>18</v>
      </c>
      <c r="C183" s="505" t="e">
        <f>INDIRECT(ADDRESS(143,MATCH(9000000000+307,'13.1- PATOS (CENSO)'!162:162,1),1,,"13.1- PATOS (CENSO)"))</f>
        <v>#N/A</v>
      </c>
    </row>
    <row r="184" hidden="1" ht="15.95" customHeight="1">
      <c r="B184" s="507" t="s">
        <v>19</v>
      </c>
      <c r="C184" s="505" t="e">
        <f>INDIRECT(ADDRESS(144,MATCH(9000000000+307,'13.1- PATOS (CENSO)'!163:163,1),1,,"13.1- PATOS (CENSO)"))</f>
        <v>#N/A</v>
      </c>
    </row>
    <row r="185" hidden="1" ht="15.95" customHeight="1">
      <c r="B185" s="507" t="s">
        <v>20</v>
      </c>
      <c r="C185" s="505" t="e">
        <f>INDIRECT(ADDRESS(145,MATCH(9000000000+307,'13.1- PATOS (CENSO)'!164:164,1),1,,"13.1- PATOS (CENSO)"))</f>
        <v>#N/A</v>
      </c>
    </row>
    <row r="186" hidden="1" ht="15.95" customHeight="1">
      <c r="B186" s="507" t="s">
        <v>21</v>
      </c>
      <c r="C186" s="505" t="e">
        <f>INDIRECT(ADDRESS(146,MATCH(9000000000+307,'13.1- PATOS (CENSO)'!165:165,1),1,,"13.1- PATOS (CENSO)"))</f>
        <v>#N/A</v>
      </c>
    </row>
    <row r="187" hidden="1" ht="15.95" customHeight="1">
      <c r="B187" s="507" t="s">
        <v>22</v>
      </c>
      <c r="C187" s="505" t="e">
        <f>INDIRECT(ADDRESS(147,MATCH(9000000000+307,'13.1- PATOS (CENSO)'!166:166,1),1,,"13.1- PATOS (CENSO)"))</f>
        <v>#N/A</v>
      </c>
    </row>
    <row r="188" hidden="1" ht="15.95" customHeight="1">
      <c r="B188" s="507" t="s">
        <v>23</v>
      </c>
      <c r="C188" s="505" t="e">
        <f>INDIRECT(ADDRESS(148,MATCH(9000000000+307,'13.1- PATOS (CENSO)'!167:167,1),1,,"13.1- PATOS (CENSO)"))</f>
        <v>#N/A</v>
      </c>
    </row>
    <row r="189" hidden="1" ht="15.95" customHeight="1">
      <c r="B189" s="508" t="s">
        <v>24</v>
      </c>
      <c r="C189" s="505" t="e">
        <f>INDIRECT(ADDRESS(149,MATCH(9000000000+307,'13.1- PATOS (CENSO)'!168:168,1),1,,"13.1- PATOS (CENSO)"))</f>
        <v>#N/A</v>
      </c>
    </row>
    <row r="190" hidden="1" ht="15.95" customHeight="1">
      <c r="B190" s="507" t="s">
        <v>25</v>
      </c>
      <c r="C190" s="505" t="e">
        <f>INDIRECT(ADDRESS(150,MATCH(9000000000+307,'13.1- PATOS (CENSO)'!169:169,1),1,,"13.1- PATOS (CENSO)"))</f>
        <v>#N/A</v>
      </c>
    </row>
    <row r="191" hidden="1" ht="15.95" customHeight="1">
      <c r="B191" s="506" t="s">
        <v>26</v>
      </c>
      <c r="C191" s="505" t="e">
        <f>INDIRECT(ADDRESS(151,MATCH(9000000000+307,'13.1- PATOS (CENSO)'!170:170,1),1,,"13.1- PATOS (CENSO)"))</f>
        <v>#N/A</v>
      </c>
    </row>
    <row r="192" hidden="1" ht="15.95" customHeight="1"/>
    <row r="193" hidden="1" ht="15.95" customHeight="1">
      <c r="C193" s="686" t="s">
        <v>184</v>
      </c>
      <c r="D193" s="687"/>
      <c r="E193" s="687"/>
      <c r="F193" s="687"/>
      <c r="G193" s="687"/>
      <c r="H193" s="687"/>
      <c r="I193" s="687"/>
      <c r="J193" s="687"/>
      <c r="K193" s="687"/>
      <c r="L193" s="687"/>
      <c r="M193" s="687"/>
      <c r="N193" s="687"/>
      <c r="O193" s="687"/>
      <c r="P193" s="687"/>
      <c r="Q193" s="687"/>
      <c r="R193" s="687"/>
      <c r="S193" s="687"/>
      <c r="T193" s="687"/>
      <c r="U193" s="687"/>
      <c r="V193" s="687"/>
      <c r="W193" s="687"/>
      <c r="X193" s="687"/>
      <c r="Y193" s="687"/>
      <c r="Z193" s="687"/>
      <c r="AA193" s="687"/>
      <c r="AB193" s="688"/>
    </row>
    <row r="194" hidden="1" ht="15.95" customHeight="1">
      <c r="C194" s="435" t="str">
        <f> IF(C214&lt;&gt;"",TEXT(AUX!G$1,"dd-MMM-aa"),"")</f>
      </c>
      <c r="D194" s="435" t="str">
        <f> IF(D214&lt;&gt;"",TEXT(AUX!H$1,"dd-MMM-aa"),"")</f>
      </c>
      <c r="E194" s="435" t="str">
        <f> IF(E214&lt;&gt;"",TEXT(AUX!I$1,"dd-MMM-aa"),"")</f>
      </c>
      <c r="F194" s="435" t="str">
        <f> IF(F214&lt;&gt;"",TEXT(AUX!J$1,"dd-MMM-aa"),"")</f>
      </c>
      <c r="G194" s="435" t="str">
        <f> IF(G214&lt;&gt;"",TEXT(AUX!K$1,"dd-MMM-aa"),"")</f>
      </c>
      <c r="H194" s="435" t="str">
        <f> IF(H214&lt;&gt;"",TEXT(AUX!L$1,"dd-MMM-aa"),"")</f>
      </c>
      <c r="I194" s="435" t="str">
        <f> IF(I214&lt;&gt;"",TEXT(AUX!M$1,"dd-MMM-aa"),"")</f>
      </c>
      <c r="J194" s="435" t="str">
        <f> IF(J214&lt;&gt;"",TEXT(AUX!N$1,"dd-MMM-aa"),"")</f>
      </c>
      <c r="K194" s="435" t="str">
        <f> IF(K214&lt;&gt;"",TEXT(AUX!O$1,"dd-MMM-aa"),"")</f>
      </c>
      <c r="L194" s="435" t="str">
        <f> IF(L214&lt;&gt;"",TEXT(AUX!P$1,"dd-MMM-aa"),"")</f>
      </c>
      <c r="M194" s="435" t="str">
        <f> IF(M214&lt;&gt;"",TEXT(AUX!Q$1,"dd-MMM-aa"),"")</f>
      </c>
      <c r="N194" s="435" t="str">
        <f> IF(N214&lt;&gt;"",TEXT(AUX!R$1,"dd-MMM-aa"),"")</f>
      </c>
      <c r="O194" s="435" t="str">
        <f> IF(O214&lt;&gt;"",TEXT(AUX!S$1,"dd-MMM-aa"),"")</f>
      </c>
      <c r="P194" s="435" t="str">
        <f> IF(P214&lt;&gt;"",TEXT(AUX!T$1,"dd-MMM-aa"),"")</f>
      </c>
      <c r="Q194" s="435" t="str">
        <f> IF(Q214&lt;&gt;"",TEXT(AUX!U$1,"dd-MMM-aa"),"")</f>
      </c>
      <c r="R194" s="435" t="str">
        <f> IF(R214&lt;&gt;"",TEXT(AUX!V$1,"dd-MMM-aa"),"")</f>
      </c>
      <c r="S194" s="435" t="str">
        <f> IF(S214&lt;&gt;"",TEXT(AUX!W$1,"dd-MMM-aa"),"")</f>
      </c>
      <c r="T194" s="435" t="str">
        <f> IF(T214&lt;&gt;"",TEXT(AUX!X$1,"dd-MMM-aa"),"")</f>
      </c>
      <c r="U194" s="435" t="str">
        <f> IF(U214&lt;&gt;"",TEXT(AUX!Y$1,"dd-MMM-aa"),"")</f>
      </c>
      <c r="V194" s="435" t="str">
        <f> IF(V214&lt;&gt;"",TEXT(AUX!Z$1,"dd-MMM-aa"),"")</f>
      </c>
      <c r="W194" s="435" t="str">
        <f> IF(W214&lt;&gt;"",TEXT(AUX!AA$1,"dd-MMM-aa"),"")</f>
      </c>
      <c r="X194" s="435" t="str">
        <f> IF(X214&lt;&gt;"",TEXT(AUX!AB$1,"dd-MMM-aa"),"")</f>
      </c>
      <c r="Y194" s="435" t="str">
        <f> IF(Y214&lt;&gt;"",TEXT(AUX!AC$1,"dd-MMM-aa"),"")</f>
      </c>
      <c r="Z194" s="435" t="str">
        <f> IF(Z214&lt;&gt;"",TEXT(AUX!AD$1,"dd-MMM-aa"),"")</f>
      </c>
      <c r="AA194" s="435" t="str">
        <f> IF(AA214&lt;&gt;"",TEXT(AUX!AE$1,"dd-MMM-aa"),"")</f>
      </c>
      <c r="AB194" s="497" t="str">
        <f> IF(AB214&lt;&gt;"",TEXT(AUX!AF$1,"dd-MMM-aa"),"")</f>
      </c>
      <c r="AC194" s="496" t="str">
        <f> IF(AC214&lt;&gt;"",TEXT(AUX!AG$1,"dd-MMM-aa"),"")</f>
      </c>
      <c r="AD194" s="496" t="str">
        <f> IF(AD214&lt;&gt;"",TEXT(AUX!AH$1,"dd-MMM-aa"),"")</f>
      </c>
      <c r="AE194" s="496" t="str">
        <f> IF(AE214&lt;&gt;"",TEXT(AUX!AI$1,"dd-MMM-aa"),"")</f>
      </c>
      <c r="AF194" s="496" t="str">
        <f> IF(AF214&lt;&gt;"",TEXT(AUX!AJ$1,"dd-MMM-aa"),"")</f>
      </c>
      <c r="AG194" s="496" t="str">
        <f> IF(AG214&lt;&gt;"",TEXT(AUX!AK$1,"dd-MMM-aa"),"")</f>
      </c>
      <c r="AH194" s="496" t="str">
        <f> IF(AH214&lt;&gt;"",TEXT(AUX!AL$1,"dd-MMM-aa"),"")</f>
      </c>
      <c r="AI194" s="496" t="str">
        <f> IF(AI214&lt;&gt;"",TEXT(AUX!AM$1,"dd-MMM-aa"),"")</f>
      </c>
      <c r="AJ194" s="496" t="str">
        <f> IF(AJ214&lt;&gt;"",TEXT(AUX!AN$1,"dd-MMM-aa"),"")</f>
      </c>
      <c r="AK194" s="496" t="str">
        <f> IF(AK214&lt;&gt;"",TEXT(AUX!AO$1,"dd-MMM-aa"),"")</f>
      </c>
      <c r="AL194" s="496" t="str">
        <f> IF(AL214&lt;&gt;"",TEXT(AUX!AP$1,"dd-MMM-aa"),"")</f>
      </c>
      <c r="AM194" s="496" t="str">
        <f> IF(AM214&lt;&gt;"",TEXT(AUX!AQ$1,"dd-MMM-aa"),"")</f>
      </c>
      <c r="AN194" s="496" t="str">
        <f> IF(AN214&lt;&gt;"",TEXT(AUX!AR$1,"dd-MMM-aa"),"")</f>
      </c>
      <c r="AO194" s="496" t="str">
        <f> IF(AO214&lt;&gt;"",TEXT(AUX!AS$1,"dd-MMM-aa"),"")</f>
      </c>
      <c r="AP194" s="496" t="str">
        <f> IF(AP214&lt;&gt;"",TEXT(AUX!AT$1,"dd-MMM-aa"),"")</f>
      </c>
      <c r="AQ194" s="496" t="str">
        <f> IF(AQ214&lt;&gt;"",TEXT(AUX!AU$1,"dd-MMM-aa"),"")</f>
      </c>
      <c r="AR194" s="496" t="str">
        <f> IF(AR214&lt;&gt;"",TEXT(AUX!AV$1,"dd-MMM-aa"),"")</f>
      </c>
      <c r="AS194" s="496" t="str">
        <f> IF(AS214&lt;&gt;"",TEXT(AUX!AW$1,"dd-MMM-aa"),"")</f>
      </c>
      <c r="AT194" s="496" t="str">
        <f> IF(AT214&lt;&gt;"",TEXT(AUX!AX$1,"dd-MMM-aa"),"")</f>
      </c>
      <c r="AU194" s="496" t="str">
        <f> IF(AU214&lt;&gt;"",TEXT(AUX!AY$1,"dd-MMM-aa"),"")</f>
      </c>
      <c r="AV194" s="496" t="str">
        <f> IF(AV214&lt;&gt;"",TEXT(AUX!AZ$1,"dd-MMM-aa"),"")</f>
      </c>
      <c r="AW194" s="496" t="str">
        <f> IF(AW214&lt;&gt;"",TEXT(AUX!BA$1,"dd-MMM-aa"),"")</f>
      </c>
      <c r="AX194" s="496" t="str">
        <f> IF(AX214&lt;&gt;"",TEXT(AUX!BB$1,"dd-MMM-aa"),"")</f>
      </c>
      <c r="AY194" s="496" t="str">
        <f> IF(AY214&lt;&gt;"",TEXT(AUX!BC$1,"dd-MMM-aa"),"")</f>
      </c>
      <c r="AZ194" s="496" t="str">
        <f> IF(AZ214&lt;&gt;"",TEXT(AUX!BD$1,"dd-MMM-aa"),"")</f>
      </c>
      <c r="BA194" s="496" t="str">
        <f> IF(BA214&lt;&gt;"",TEXT(AUX!BE$1,"dd-MMM-aa"),"")</f>
      </c>
      <c r="BB194" s="496" t="str">
        <f> IF(BB214&lt;&gt;"",TEXT(AUX!BF$1,"dd-MMM-aa"),"")</f>
      </c>
      <c r="BC194" s="496" t="str">
        <f> IF(BC214&lt;&gt;"",TEXT(AUX!BG$1,"dd-MMM-aa"),"")</f>
      </c>
      <c r="BD194" s="496" t="str">
        <f> IF(BD214&lt;&gt;"",TEXT(AUX!BH$1,"dd-MMM-aa"),"")</f>
      </c>
      <c r="BE194" s="496" t="str">
        <f> IF(BE214&lt;&gt;"",TEXT(AUX!BI$1,"dd-MMM-aa"),"")</f>
      </c>
      <c r="BF194" s="496" t="str">
        <f> IF(BF214&lt;&gt;"",TEXT(AUX!BJ$1,"dd-MMM-aa"),"")</f>
      </c>
      <c r="BG194" s="496" t="str">
        <f> IF(BG214&lt;&gt;"",TEXT(AUX!BK$1,"dd-MMM-aa"),"")</f>
      </c>
      <c r="BH194" s="496" t="str">
        <f> IF(BH214&lt;&gt;"",TEXT(AUX!BL$1,"dd-MMM-aa"),"")</f>
      </c>
      <c r="BI194" s="496" t="str">
        <f> IF(BI214&lt;&gt;"",TEXT(AUX!BM$1,"dd-MMM-aa"),"")</f>
      </c>
      <c r="BJ194" s="496" t="str">
        <f> IF(BJ214&lt;&gt;"",TEXT(AUX!BN$1,"dd-MMM-aa"),"")</f>
      </c>
      <c r="BK194" s="496" t="str">
        <f> IF(BK214&lt;&gt;"",TEXT(AUX!BO$1,"dd-MMM-aa"),"")</f>
      </c>
      <c r="BL194" s="496" t="str">
        <f> IF(BL214&lt;&gt;"",TEXT(AUX!BP$1,"dd-MMM-aa"),"")</f>
      </c>
      <c r="BM194" s="496" t="str">
        <f> IF(BM214&lt;&gt;"",TEXT(AUX!BQ$1,"dd-MMM-aa"),"")</f>
      </c>
      <c r="BN194" s="496" t="str">
        <f> IF(BN214&lt;&gt;"",TEXT(AUX!BR$1,"dd-MMM-aa"),"")</f>
      </c>
      <c r="BO194" s="496" t="str">
        <f> IF(BO214&lt;&gt;"",TEXT(AUX!BS$1,"dd-MMM-aa"),"")</f>
      </c>
      <c r="BP194" s="496" t="str">
        <f> IF(BP214&lt;&gt;"",TEXT(AUX!BT$1,"dd-MMM-aa"),"")</f>
      </c>
      <c r="BQ194" s="496" t="str">
        <f> IF(BQ214&lt;&gt;"",TEXT(AUX!BU$1,"dd-MMM-aa"),"")</f>
      </c>
      <c r="BR194" s="496" t="str">
        <f> IF(BR214&lt;&gt;"",TEXT(AUX!BV$1,"dd-MMM-aa"),"")</f>
      </c>
      <c r="BS194" s="496" t="str">
        <f> IF(BS214&lt;&gt;"",TEXT(AUX!BW$1,"dd-MMM-aa"),"")</f>
      </c>
      <c r="BT194" s="496" t="str">
        <f> IF(BT214&lt;&gt;"",TEXT(AUX!BX$1,"dd-MMM-aa"),"")</f>
      </c>
      <c r="BU194" s="496" t="str">
        <f> IF(BU214&lt;&gt;"",TEXT(AUX!BY$1,"dd-MMM-aa"),"")</f>
      </c>
      <c r="BV194" s="496" t="str">
        <f> IF(BV214&lt;&gt;"",TEXT(AUX!BZ$1,"dd-MMM-aa"),"")</f>
      </c>
      <c r="BW194" s="496" t="str">
        <f> IF(BW214&lt;&gt;"",TEXT(AUX!CA$1,"dd-MMM-aa"),"")</f>
      </c>
      <c r="BX194" s="496" t="str">
        <f> IF(BX214&lt;&gt;"",TEXT(AUX!CB$1,"dd-MMM-aa"),"")</f>
      </c>
      <c r="BY194" s="496" t="str">
        <f> IF(BY214&lt;&gt;"",TEXT(AUX!CC$1,"dd-MMM-aa"),"")</f>
      </c>
      <c r="BZ194" s="496" t="str">
        <f> IF(BZ214&lt;&gt;"",TEXT(AUX!CD$1,"dd-MMM-aa"),"")</f>
      </c>
      <c r="CA194" s="496" t="str">
        <f> IF(CA214&lt;&gt;"",TEXT(AUX!CE$1,"dd-MMM-aa"),"")</f>
      </c>
      <c r="CB194" s="496" t="str">
        <f> IF(CB214&lt;&gt;"",TEXT(AUX!CF$1,"dd-MMM-aa"),"")</f>
      </c>
      <c r="CC194" s="496" t="str">
        <f> IF(CC214&lt;&gt;"",TEXT(AUX!CG$1,"dd-MMM-aa"),"")</f>
      </c>
      <c r="CD194" s="496" t="str">
        <f> IF(CD214&lt;&gt;"",TEXT(AUX!CH$1,"dd-MMM-aa"),"")</f>
      </c>
      <c r="CE194" s="496" t="str">
        <f> IF(CE214&lt;&gt;"",TEXT(AUX!CI$1,"dd-MMM-aa"),"")</f>
      </c>
      <c r="CF194" s="496" t="str">
        <f> IF(CF214&lt;&gt;"",TEXT(AUX!CJ$1,"dd-MMM-aa"),"")</f>
      </c>
      <c r="CG194" s="496" t="str">
        <f> IF(CG214&lt;&gt;"",TEXT(AUX!CK$1,"dd-MMM-aa"),"")</f>
      </c>
      <c r="CH194" s="496" t="str">
        <f> IF(CH214&lt;&gt;"",TEXT(AUX!CL$1,"dd-MMM-aa"),"")</f>
      </c>
      <c r="CI194" s="496" t="str">
        <f> IF(CI214&lt;&gt;"",TEXT(AUX!CM$1,"dd-MMM-aa"),"")</f>
      </c>
      <c r="CJ194" s="496" t="str">
        <f> IF(CJ214&lt;&gt;"",TEXT(AUX!CN$1,"dd-MMM-aa"),"")</f>
      </c>
      <c r="CK194" s="496" t="str">
        <f> IF(CK214&lt;&gt;"",TEXT(AUX!CO$1,"dd-MMM-aa"),"")</f>
      </c>
      <c r="CL194" s="496" t="str">
        <f> IF(CL214&lt;&gt;"",TEXT(AUX!CP$1,"dd-MMM-aa"),"")</f>
      </c>
      <c r="CM194" s="496" t="str">
        <f> IF(CM214&lt;&gt;"",TEXT(AUX!CQ$1,"dd-MMM-aa"),"")</f>
      </c>
      <c r="CN194" s="496" t="str">
        <f> IF(CN214&lt;&gt;"",TEXT(AUX!CR$1,"dd-MMM-aa"),"")</f>
      </c>
      <c r="CO194" s="496" t="str">
        <f> IF(CO214&lt;&gt;"",TEXT(AUX!CS$1,"dd-MMM-aa"),"")</f>
      </c>
      <c r="CP194" s="496" t="str">
        <f> IF(CP214&lt;&gt;"",TEXT(AUX!CT$1,"dd-MMM-aa"),"")</f>
      </c>
      <c r="CQ194" s="496" t="str">
        <f> IF(CQ214&lt;&gt;"",TEXT(AUX!CU$1,"dd-MMM-aa"),"")</f>
      </c>
      <c r="CR194" s="496" t="str">
        <f> IF(CR214&lt;&gt;"",TEXT(AUX!CV$1,"dd-MMM-aa"),"")</f>
      </c>
      <c r="CS194" s="496" t="str">
        <f> IF(CS214&lt;&gt;"",TEXT(AUX!CW$1,"dd-MMM-aa"),"")</f>
      </c>
      <c r="CT194" s="496" t="str">
        <f> IF(CT214&lt;&gt;"",TEXT(AUX!CX$1,"dd-MMM-aa"),"")</f>
      </c>
      <c r="CU194" s="496" t="str">
        <f> IF(CU214&lt;&gt;"",TEXT(AUX!CY$1,"dd-MMM-aa"),"")</f>
      </c>
      <c r="CV194" s="496" t="str">
        <f> IF(CV214&lt;&gt;"",TEXT(AUX!CZ$1,"dd-MMM-aa"),"")</f>
      </c>
      <c r="CW194" s="496" t="str">
        <f> IF(CW214&lt;&gt;"",TEXT(AUX!DA$1,"dd-MMM-aa"),"")</f>
      </c>
      <c r="CX194" s="496" t="str">
        <f> IF(CX214&lt;&gt;"",TEXT(AUX!DB$1,"dd-MMM-aa"),"")</f>
      </c>
      <c r="CY194" s="496" t="str">
        <f> IF(CY214&lt;&gt;"",TEXT(AUX!DC$1,"dd-MMM-aa"),"")</f>
      </c>
      <c r="CZ194" s="496" t="str">
        <f> IF(CZ214&lt;&gt;"",TEXT(AUX!DD$1,"dd-MMM-aa"),"")</f>
      </c>
      <c r="DA194" s="496" t="str">
        <f> IF(DA214&lt;&gt;"",TEXT(AUX!DE$1,"dd-MMM-aa"),"")</f>
      </c>
      <c r="DB194" s="496" t="str">
        <f> IF(DB214&lt;&gt;"",TEXT(AUX!DF$1,"dd-MMM-aa"),"")</f>
      </c>
      <c r="DC194" s="496" t="str">
        <f> IF(DC214&lt;&gt;"",TEXT(AUX!DG$1,"dd-MMM-aa"),"")</f>
      </c>
      <c r="DD194" s="496" t="str">
        <f> IF(DD214&lt;&gt;"",TEXT(AUX!DH$1,"dd-MMM-aa"),"")</f>
      </c>
      <c r="DE194" s="496" t="str">
        <f> IF(DE214&lt;&gt;"",TEXT(AUX!DI$1,"dd-MMM-aa"),"")</f>
      </c>
      <c r="DF194" s="496" t="str">
        <f> IF(DF214&lt;&gt;"",TEXT(AUX!DJ$1,"dd-MMM-aa"),"")</f>
      </c>
      <c r="DG194" s="496" t="str">
        <f> IF(DG214&lt;&gt;"",TEXT(AUX!DK$1,"dd-MMM-aa"),"")</f>
      </c>
      <c r="DH194" s="496" t="str">
        <f> IF(DH214&lt;&gt;"",TEXT(AUX!DL$1,"dd-MMM-aa"),"")</f>
      </c>
      <c r="DI194" s="496" t="str">
        <f> IF(DI214&lt;&gt;"",TEXT(AUX!DM$1,"dd-MMM-aa"),"")</f>
      </c>
      <c r="DJ194" s="496" t="str">
        <f> IF(DJ214&lt;&gt;"",TEXT(AUX!DN$1,"dd-MMM-aa"),"")</f>
      </c>
      <c r="DK194" s="496" t="str">
        <f> IF(DK214&lt;&gt;"",TEXT(AUX!DO$1,"dd-MMM-aa"),"")</f>
      </c>
      <c r="DL194" s="496" t="str">
        <f> IF(DL214&lt;&gt;"",TEXT(AUX!DP$1,"dd-MMM-aa"),"")</f>
      </c>
      <c r="DM194" s="496" t="str">
        <f> IF(DM214&lt;&gt;"",TEXT(AUX!DQ$1,"dd-MMM-aa"),"")</f>
      </c>
      <c r="DN194" s="496" t="str">
        <f> IF(DN214&lt;&gt;"",TEXT(AUX!DR$1,"dd-MMM-aa"),"")</f>
      </c>
      <c r="DO194" s="496" t="str">
        <f> IF(DO214&lt;&gt;"",TEXT(AUX!DS$1,"dd-MMM-aa"),"")</f>
      </c>
      <c r="DP194" s="496" t="str">
        <f> IF(DP214&lt;&gt;"",TEXT(AUX!DT$1,"dd-MMM-aa"),"")</f>
      </c>
      <c r="DQ194" s="496" t="str">
        <f> IF(DQ214&lt;&gt;"",TEXT(AUX!DU$1,"dd-MMM-aa"),"")</f>
      </c>
      <c r="DR194" s="496" t="str">
        <f> IF(DR214&lt;&gt;"",TEXT(AUX!DV$1,"dd-MMM-aa"),"")</f>
      </c>
      <c r="DS194" s="496" t="str">
        <f> IF(DS214&lt;&gt;"",TEXT(AUX!DW$1,"dd-MMM-aa"),"")</f>
      </c>
      <c r="DT194" s="496" t="str">
        <f> IF(DT214&lt;&gt;"",TEXT(AUX!DX$1,"dd-MMM-aa"),"")</f>
      </c>
      <c r="DU194" s="496" t="str">
        <f> IF(DU214&lt;&gt;"",TEXT(AUX!DY$1,"dd-MMM-aa"),"")</f>
      </c>
      <c r="DV194" s="496" t="str">
        <f> IF(DV214&lt;&gt;"",TEXT(AUX!DZ$1,"dd-MMM-aa"),"")</f>
      </c>
      <c r="DW194" s="496" t="str">
        <f> IF(DW214&lt;&gt;"",TEXT(AUX!EA$1,"dd-MMM-aa"),"")</f>
      </c>
      <c r="DX194" s="496" t="str">
        <f> IF(DX214&lt;&gt;"",TEXT(AUX!EB$1,"dd-MMM-aa"),"")</f>
      </c>
      <c r="DY194" s="496" t="str">
        <f> IF(DY214&lt;&gt;"",TEXT(AUX!EC$1,"dd-MMM-aa"),"")</f>
      </c>
      <c r="DZ194" s="496" t="str">
        <f> IF(DZ214&lt;&gt;"",TEXT(AUX!ED$1,"dd-MMM-aa"),"")</f>
      </c>
      <c r="EA194" s="496" t="str">
        <f> IF(EA214&lt;&gt;"",TEXT(AUX!EE$1,"dd-MMM-aa"),"")</f>
      </c>
      <c r="EB194" s="496" t="str">
        <f> IF(EB214&lt;&gt;"",TEXT(AUX!EF$1,"dd-MMM-aa"),"")</f>
      </c>
      <c r="EC194" s="496" t="str">
        <f> IF(EC214&lt;&gt;"",TEXT(AUX!EG$1,"dd-MMM-aa"),"")</f>
      </c>
      <c r="ED194" s="496" t="str">
        <f> IF(ED214&lt;&gt;"",TEXT(AUX!EH$1,"dd-MMM-aa"),"")</f>
      </c>
      <c r="EE194" s="496" t="str">
        <f> IF(EE214&lt;&gt;"",TEXT(AUX!EI$1,"dd-MMM-aa"),"")</f>
      </c>
      <c r="EF194" s="496" t="str">
        <f> IF(EF214&lt;&gt;"",TEXT(AUX!EJ$1,"dd-MMM-aa"),"")</f>
      </c>
      <c r="EG194" s="496" t="str">
        <f> IF(EG214&lt;&gt;"",TEXT(AUX!EK$1,"dd-MMM-aa"),"")</f>
      </c>
      <c r="EH194" s="496" t="str">
        <f> IF(EH214&lt;&gt;"",TEXT(AUX!EL$1,"dd-MMM-aa"),"")</f>
      </c>
      <c r="EI194" s="496" t="str">
        <f> IF(EI214&lt;&gt;"",TEXT(AUX!EM$1,"dd-MMM-aa"),"")</f>
      </c>
      <c r="EJ194" s="496" t="str">
        <f> IF(EJ214&lt;&gt;"",TEXT(AUX!EN$1,"dd-MMM-aa"),"")</f>
      </c>
      <c r="EK194" s="496" t="str">
        <f> IF(EK214&lt;&gt;"",TEXT(AUX!EO$1,"dd-MMM-aa"),"")</f>
      </c>
      <c r="EL194" s="496" t="str">
        <f> IF(EL214&lt;&gt;"",TEXT(AUX!EP$1,"dd-MMM-aa"),"")</f>
      </c>
      <c r="EM194" s="496" t="str">
        <f> IF(EM214&lt;&gt;"",TEXT(AUX!EQ$1,"dd-MMM-aa"),"")</f>
      </c>
      <c r="EN194" s="496" t="str">
        <f> IF(EN214&lt;&gt;"",TEXT(AUX!ER$1,"dd-MMM-aa"),"")</f>
      </c>
      <c r="EO194" s="496" t="str">
        <f> IF(EO214&lt;&gt;"",TEXT(AUX!ES$1,"dd-MMM-aa"),"")</f>
      </c>
      <c r="EP194" s="496" t="str">
        <f> IF(EP214&lt;&gt;"",TEXT(AUX!ET$1,"dd-MMM-aa"),"")</f>
      </c>
      <c r="EQ194" s="496" t="str">
        <f> IF(EQ214&lt;&gt;"",TEXT(AUX!EU$1,"dd-MMM-aa"),"")</f>
      </c>
      <c r="ER194" s="496" t="str">
        <f> IF(ER214&lt;&gt;"",TEXT(AUX!EV$1,"dd-MMM-aa"),"")</f>
      </c>
      <c r="ES194" s="496" t="str">
        <f> IF(ES214&lt;&gt;"",TEXT(AUX!EW$1,"dd-MMM-aa"),"")</f>
      </c>
      <c r="ET194" s="496" t="str">
        <f> IF(ET214&lt;&gt;"",TEXT(AUX!EX$1,"dd-MMM-aa"),"")</f>
      </c>
      <c r="EU194" s="496" t="str">
        <f> IF(EU214&lt;&gt;"",TEXT(AUX!EY$1,"dd-MMM-aa"),"")</f>
      </c>
      <c r="EV194" s="496" t="str">
        <f> IF(EV214&lt;&gt;"",TEXT(AUX!EZ$1,"dd-MMM-aa"),"")</f>
      </c>
      <c r="EW194" s="496" t="str">
        <f> IF(EW214&lt;&gt;"",TEXT(AUX!FA$1,"dd-MMM-aa"),"")</f>
      </c>
      <c r="EX194" s="496" t="str">
        <f> IF(EX214&lt;&gt;"",TEXT(AUX!FB$1,"dd-MMM-aa"),"")</f>
      </c>
      <c r="EY194" s="496" t="str">
        <f> IF(EY214&lt;&gt;"",TEXT(AUX!FC$1,"dd-MMM-aa"),"")</f>
      </c>
      <c r="EZ194" s="496" t="str">
        <f> IF(EZ214&lt;&gt;"",TEXT(AUX!FD$1,"dd-MMM-aa"),"")</f>
      </c>
      <c r="FA194" s="496" t="str">
        <f> IF(FA214&lt;&gt;"",TEXT(AUX!FE$1,"dd-MMM-aa"),"")</f>
      </c>
      <c r="FB194" s="496" t="str">
        <f> IF(FB214&lt;&gt;"",TEXT(AUX!FF$1,"dd-MMM-aa"),"")</f>
      </c>
      <c r="FC194" s="496" t="str">
        <f> IF(FC214&lt;&gt;"",TEXT(AUX!FG$1,"dd-MMM-aa"),"")</f>
      </c>
      <c r="FD194" s="496" t="str">
        <f> IF(FD214&lt;&gt;"",TEXT(AUX!FH$1,"dd-MMM-aa"),"")</f>
      </c>
      <c r="FE194" s="496" t="str">
        <f> IF(FE214&lt;&gt;"",TEXT(AUX!FI$1,"dd-MMM-aa"),"")</f>
      </c>
      <c r="FF194" s="496" t="str">
        <f> IF(FF214&lt;&gt;"",TEXT(AUX!FJ$1,"dd-MMM-aa"),"")</f>
      </c>
      <c r="FG194" s="496" t="str">
        <f> IF(FG214&lt;&gt;"",TEXT(AUX!FK$1,"dd-MMM-aa"),"")</f>
      </c>
      <c r="FH194" s="496" t="str">
        <f> IF(FH214&lt;&gt;"",TEXT(AUX!FL$1,"dd-MMM-aa"),"")</f>
      </c>
      <c r="FI194" s="496" t="str">
        <f> IF(FI214&lt;&gt;"",TEXT(AUX!FM$1,"dd-MMM-aa"),"")</f>
      </c>
      <c r="FJ194" s="496" t="str">
        <f> IF(FJ214&lt;&gt;"",TEXT(AUX!FN$1,"dd-MMM-aa"),"")</f>
      </c>
      <c r="FK194" s="496" t="str">
        <f> IF(FK214&lt;&gt;"",TEXT(AUX!FO$1,"dd-MMM-aa"),"")</f>
      </c>
      <c r="FL194" s="496" t="str">
        <f> IF(FL214&lt;&gt;"",TEXT(AUX!FP$1,"dd-MMM-aa"),"")</f>
      </c>
      <c r="FM194" s="496" t="str">
        <f> IF(FM214&lt;&gt;"",TEXT(AUX!FQ$1,"dd-MMM-aa"),"")</f>
      </c>
      <c r="FN194" s="496" t="str">
        <f> IF(FN214&lt;&gt;"",TEXT(AUX!FR$1,"dd-MMM-aa"),"")</f>
      </c>
      <c r="FO194" s="496" t="str">
        <f> IF(FO214&lt;&gt;"",TEXT(AUX!FS$1,"dd-MMM-aa"),"")</f>
      </c>
      <c r="FP194" s="496" t="str">
        <f> IF(FP214&lt;&gt;"",TEXT(AUX!FT$1,"dd-MMM-aa"),"")</f>
      </c>
      <c r="FQ194" s="496" t="str">
        <f> IF(FQ214&lt;&gt;"",TEXT(AUX!FU$1,"dd-MMM-aa"),"")</f>
      </c>
      <c r="FR194" s="496" t="str">
        <f> IF(FR214&lt;&gt;"",TEXT(AUX!FV$1,"dd-MMM-aa"),"")</f>
      </c>
      <c r="FS194" s="496" t="str">
        <f> IF(FS214&lt;&gt;"",TEXT(AUX!FW$1,"dd-MMM-aa"),"")</f>
      </c>
      <c r="FT194" s="496" t="str">
        <f> IF(FT214&lt;&gt;"",TEXT(AUX!FX$1,"dd-MMM-aa"),"")</f>
      </c>
      <c r="FU194" s="496" t="str">
        <f> IF(FU214&lt;&gt;"",TEXT(AUX!FY$1,"dd-MMM-aa"),"")</f>
      </c>
      <c r="FV194" s="496" t="str">
        <f> IF(FV214&lt;&gt;"",TEXT(AUX!FZ$1,"dd-MMM-aa"),"")</f>
      </c>
      <c r="FW194" s="496" t="str">
        <f> IF(FW214&lt;&gt;"",TEXT(AUX!GA$1,"dd-MMM-aa"),"")</f>
      </c>
      <c r="FX194" s="496" t="str">
        <f> IF(FX214&lt;&gt;"",TEXT(AUX!GB$1,"dd-MMM-aa"),"")</f>
      </c>
      <c r="FY194" s="496" t="str">
        <f> IF(FY214&lt;&gt;"",TEXT(AUX!GC$1,"dd-MMM-aa"),"")</f>
      </c>
      <c r="FZ194" s="496" t="str">
        <f> IF(FZ214&lt;&gt;"",TEXT(AUX!GD$1,"dd-MMM-aa"),"")</f>
      </c>
      <c r="GA194" s="496" t="str">
        <f> IF(GA214&lt;&gt;"",TEXT(AUX!GE$1,"dd-MMM-aa"),"")</f>
      </c>
      <c r="GB194" s="496" t="str">
        <f> IF(GB214&lt;&gt;"",TEXT(AUX!GF$1,"dd-MMM-aa"),"")</f>
      </c>
      <c r="GC194" s="496" t="str">
        <f> IF(GC214&lt;&gt;"",TEXT(AUX!GG$1,"dd-MMM-aa"),"")</f>
      </c>
      <c r="GD194" s="496" t="str">
        <f> IF(GD214&lt;&gt;"",TEXT(AUX!GH$1,"dd-MMM-aa"),"")</f>
      </c>
      <c r="GE194" s="496" t="str">
        <f> IF(GE214&lt;&gt;"",TEXT(AUX!GI$1,"dd-MMM-aa"),"")</f>
      </c>
      <c r="GF194" s="496" t="str">
        <f> IF(GF214&lt;&gt;"",TEXT(AUX!GJ$1,"dd-MMM-aa"),"")</f>
      </c>
      <c r="GG194" s="496" t="str">
        <f> IF(GG214&lt;&gt;"",TEXT(AUX!GK$1,"dd-MMM-aa"),"")</f>
      </c>
      <c r="GH194" s="496" t="str">
        <f> IF(GH214&lt;&gt;"",TEXT(AUX!GL$1,"dd-MMM-aa"),"")</f>
      </c>
      <c r="GI194" s="496" t="str">
        <f> IF(GI214&lt;&gt;"",TEXT(AUX!GM$1,"dd-MMM-aa"),"")</f>
      </c>
      <c r="GJ194" s="496" t="str">
        <f> IF(GJ214&lt;&gt;"",TEXT(AUX!GN$1,"dd-MMM-aa"),"")</f>
      </c>
      <c r="GK194" s="496" t="str">
        <f> IF(GK214&lt;&gt;"",TEXT(AUX!GO$1,"dd-MMM-aa"),"")</f>
      </c>
      <c r="GL194" s="496" t="str">
        <f> IF(GL214&lt;&gt;"",TEXT(AUX!GP$1,"dd-MMM-aa"),"")</f>
      </c>
      <c r="GM194" s="496" t="str">
        <f> IF(GM214&lt;&gt;"",TEXT(AUX!GQ$1,"dd-MMM-aa"),"")</f>
      </c>
      <c r="GN194" s="496" t="str">
        <f> IF(GN214&lt;&gt;"",TEXT(AUX!GR$1,"dd-MMM-aa"),"")</f>
      </c>
      <c r="GO194" s="496" t="str">
        <f> IF(GO214&lt;&gt;"",TEXT(AUX!GS$1,"dd-MMM-aa"),"")</f>
      </c>
      <c r="GP194" s="496" t="str">
        <f> IF(GP214&lt;&gt;"",TEXT(AUX!GT$1,"dd-MMM-aa"),"")</f>
      </c>
      <c r="GQ194" s="496" t="str">
        <f> IF(GQ214&lt;&gt;"",TEXT(AUX!GU$1,"dd-MMM-aa"),"")</f>
      </c>
      <c r="GR194" s="496" t="str">
        <f> IF(GR214&lt;&gt;"",TEXT(AUX!GV$1,"dd-MMM-aa"),"")</f>
      </c>
      <c r="GS194" s="496" t="str">
        <f> IF(GS214&lt;&gt;"",TEXT(AUX!GW$1,"dd-MMM-aa"),"")</f>
      </c>
      <c r="GT194" s="496" t="str">
        <f> IF(GT214&lt;&gt;"",TEXT(AUX!GX$1,"dd-MMM-aa"),"")</f>
      </c>
      <c r="GU194" s="496" t="str">
        <f> IF(GU214&lt;&gt;"",TEXT(AUX!GY$1,"dd-MMM-aa"),"")</f>
      </c>
      <c r="GV194" s="496" t="str">
        <f> IF(GV214&lt;&gt;"",TEXT(AUX!GZ$1,"dd-MMM-aa"),"")</f>
      </c>
      <c r="GW194" s="496" t="str">
        <f> IF(GW214&lt;&gt;"",TEXT(AUX!HA$1,"dd-MMM-aa"),"")</f>
      </c>
      <c r="GX194" s="496" t="str">
        <f> IF(GX214&lt;&gt;"",TEXT(AUX!HB$1,"dd-MMM-aa"),"")</f>
      </c>
      <c r="GY194" s="496" t="str">
        <f> IF(GY214&lt;&gt;"",TEXT(AUX!HC$1,"dd-MMM-aa"),"")</f>
      </c>
      <c r="GZ194" s="496" t="str">
        <f> IF(GZ214&lt;&gt;"",TEXT(AUX!HD$1,"dd-MMM-aa"),"")</f>
      </c>
      <c r="HA194" s="496" t="str">
        <f> IF(HA214&lt;&gt;"",TEXT(AUX!HE$1,"dd-MMM-aa"),"")</f>
      </c>
      <c r="HB194" s="496" t="str">
        <f> IF(HB214&lt;&gt;"",TEXT(AUX!HF$1,"dd-MMM-aa"),"")</f>
      </c>
      <c r="HC194" s="496" t="str">
        <f> IF(HC214&lt;&gt;"",TEXT(AUX!HG$1,"dd-MMM-aa"),"")</f>
      </c>
      <c r="HD194" s="496" t="str">
        <f> IF(HD214&lt;&gt;"",TEXT(AUX!HH$1,"dd-MMM-aa"),"")</f>
      </c>
      <c r="HE194" s="496" t="str">
        <f> IF(HE214&lt;&gt;"",TEXT(AUX!HI$1,"dd-MMM-aa"),"")</f>
      </c>
      <c r="HF194" s="496" t="str">
        <f> IF(HF214&lt;&gt;"",TEXT(AUX!HJ$1,"dd-MMM-aa"),"")</f>
      </c>
      <c r="HG194" s="496" t="str">
        <f> IF(HG214&lt;&gt;"",TEXT(AUX!HK$1,"dd-MMM-aa"),"")</f>
      </c>
      <c r="HH194" s="496" t="str">
        <f> IF(HH214&lt;&gt;"",TEXT(AUX!HL$1,"dd-MMM-aa"),"")</f>
      </c>
      <c r="HI194" s="496" t="str">
        <f> IF(HI214&lt;&gt;"",TEXT(AUX!HM$1,"dd-MMM-aa"),"")</f>
      </c>
      <c r="HJ194" s="496" t="str">
        <f> IF(HJ214&lt;&gt;"",TEXT(AUX!HN$1,"dd-MMM-aa"),"")</f>
      </c>
      <c r="HK194" s="496" t="str">
        <f> IF(HK214&lt;&gt;"",TEXT(AUX!HO$1,"dd-MMM-aa"),"")</f>
      </c>
      <c r="HL194" s="496" t="str">
        <f> IF(HL214&lt;&gt;"",TEXT(AUX!HP$1,"dd-MMM-aa"),"")</f>
      </c>
      <c r="HM194" s="496" t="str">
        <f> IF(HM214&lt;&gt;"",TEXT(AUX!HQ$1,"dd-MMM-aa"),"")</f>
      </c>
      <c r="HN194" s="496" t="str">
        <f> IF(HN214&lt;&gt;"",TEXT(AUX!HR$1,"dd-MMM-aa"),"")</f>
      </c>
      <c r="HO194" s="496" t="str">
        <f> IF(HO214&lt;&gt;"",TEXT(AUX!HS$1,"dd-MMM-aa"),"")</f>
      </c>
      <c r="HP194" s="496" t="str">
        <f> IF(HP214&lt;&gt;"",TEXT(AUX!HT$1,"dd-MMM-aa"),"")</f>
      </c>
      <c r="HQ194" s="496" t="str">
        <f> IF(HQ214&lt;&gt;"",TEXT(AUX!HU$1,"dd-MMM-aa"),"")</f>
      </c>
      <c r="HR194" s="496" t="str">
        <f> IF(HR214&lt;&gt;"",TEXT(AUX!HV$1,"dd-MMM-aa"),"")</f>
      </c>
      <c r="HS194" s="496" t="str">
        <f> IF(HS214&lt;&gt;"",TEXT(AUX!HW$1,"dd-MMM-aa"),"")</f>
      </c>
      <c r="HT194" s="496" t="str">
        <f> IF(HT214&lt;&gt;"",TEXT(AUX!HX$1,"dd-MMM-aa"),"")</f>
      </c>
      <c r="HU194" s="496" t="str">
        <f> IF(HU214&lt;&gt;"",TEXT(AUX!HY$1,"dd-MMM-aa"),"")</f>
      </c>
      <c r="HV194" s="496" t="str">
        <f> IF(HV214&lt;&gt;"",TEXT(AUX!HZ$1,"dd-MMM-aa"),"")</f>
      </c>
      <c r="HW194" s="496" t="str">
        <f> IF(HW214&lt;&gt;"",TEXT(AUX!IA$1,"dd-MMM-aa"),"")</f>
      </c>
      <c r="HX194" s="496" t="str">
        <f> IF(HX214&lt;&gt;"",TEXT(AUX!IB$1,"dd-MMM-aa"),"")</f>
      </c>
      <c r="HY194" s="496" t="str">
        <f> IF(HY214&lt;&gt;"",TEXT(AUX!IC$1,"dd-MMM-aa"),"")</f>
      </c>
      <c r="HZ194" s="496" t="str">
        <f> IF(HZ214&lt;&gt;"",TEXT(AUX!ID$1,"dd-MMM-aa"),"")</f>
      </c>
      <c r="IA194" s="496" t="str">
        <f> IF(IA214&lt;&gt;"",TEXT(AUX!IE$1,"dd-MMM-aa"),"")</f>
      </c>
      <c r="IB194" s="496" t="str">
        <f> IF(IB214&lt;&gt;"",TEXT(AUX!IF$1,"dd-MMM-aa"),"")</f>
      </c>
      <c r="IC194" s="496" t="str">
        <f> IF(IC214&lt;&gt;"",TEXT(AUX!IG$1,"dd-MMM-aa"),"")</f>
      </c>
      <c r="ID194" s="496" t="str">
        <f> IF(ID214&lt;&gt;"",TEXT(AUX!IH$1,"dd-MMM-aa"),"")</f>
      </c>
      <c r="IE194" s="496" t="str">
        <f> IF(IE214&lt;&gt;"",TEXT(AUX!II$1,"dd-MMM-aa"),"")</f>
      </c>
      <c r="IF194" s="496" t="str">
        <f> IF(IF214&lt;&gt;"",TEXT(AUX!IJ$1,"dd-MMM-aa"),"")</f>
      </c>
      <c r="IG194" s="496" t="str">
        <f> IF(IG214&lt;&gt;"",TEXT(AUX!IK$1,"dd-MMM-aa"),"")</f>
      </c>
      <c r="IH194" s="496" t="str">
        <f> IF(IH214&lt;&gt;"",TEXT(AUX!IL$1,"dd-MMM-aa"),"")</f>
      </c>
      <c r="II194" s="496" t="str">
        <f> IF(II214&lt;&gt;"",TEXT(AUX!IM$1,"dd-MMM-aa"),"")</f>
      </c>
      <c r="IJ194" s="496" t="str">
        <f> IF(IJ214&lt;&gt;"",TEXT(AUX!IN$1,"dd-MMM-aa"),"")</f>
      </c>
      <c r="IK194" s="496" t="str">
        <f> IF(IK214&lt;&gt;"",TEXT(AUX!IO$1,"dd-MMM-aa"),"")</f>
      </c>
      <c r="IL194" s="496" t="str">
        <f> IF(IL214&lt;&gt;"",TEXT(AUX!IP$1,"dd-MMM-aa"),"")</f>
      </c>
      <c r="IM194" s="496" t="str">
        <f> IF(IM214&lt;&gt;"",TEXT(AUX!IQ$1,"dd-MMM-aa"),"")</f>
      </c>
      <c r="IN194" s="496" t="str">
        <f> IF(IN214&lt;&gt;"",TEXT(AUX!IR$1,"dd-MMM-aa"),"")</f>
      </c>
      <c r="IO194" s="496" t="str">
        <f> IF(IO214&lt;&gt;"",TEXT(AUX!IS$1,"dd-MMM-aa"),"")</f>
      </c>
      <c r="IP194" s="496" t="str">
        <f> IF(IP214&lt;&gt;"",TEXT(AUX!IT$1,"dd-MMM-aa"),"")</f>
      </c>
      <c r="IQ194" s="496" t="str">
        <f> IF(IQ214&lt;&gt;"",TEXT(AUX!IU$1,"dd-MMM-aa"),"")</f>
      </c>
      <c r="IR194" s="496" t="str">
        <f> IF(IR214&lt;&gt;"",TEXT(AUX!IV$1,"dd-MMM-aa"),"")</f>
      </c>
      <c r="IS194" s="496" t="str">
        <f> IF(IS214&lt;&gt;"",TEXT(AUX!#REF!,"dd-MMM-aa"),"")</f>
      </c>
      <c r="IT194" s="496" t="str">
        <f> IF(IT214&lt;&gt;"",TEXT(AUX!#REF!,"dd-MMM-aa"),"")</f>
      </c>
      <c r="IU194" s="496" t="str">
        <f> IF(IU214&lt;&gt;"",TEXT(AUX!#REF!,"dd-MMM-aa"),"")</f>
      </c>
      <c r="IV194" s="496" t="str">
        <f> IF(IV214&lt;&gt;"",TEXT(AUX!#REF!,"dd-MMM-aa"),"")</f>
      </c>
    </row>
    <row r="195" hidden="1" ht="15.95" customHeight="1">
      <c r="B195" s="833" t="s">
        <v>8</v>
      </c>
      <c r="C195" s="827">
        <v>0</v>
      </c>
      <c r="D195" s="827">
        <v>0</v>
      </c>
      <c r="E195" s="827">
        <v>0</v>
      </c>
      <c r="F195" s="827">
        <v>0</v>
      </c>
      <c r="G195" s="827">
        <v>0</v>
      </c>
      <c r="H195" s="827">
        <v>0</v>
      </c>
      <c r="I195" s="827">
        <v>0</v>
      </c>
      <c r="J195" s="827">
        <v>0</v>
      </c>
      <c r="K195" s="827">
        <v>0</v>
      </c>
      <c r="L195" s="827">
        <v>0</v>
      </c>
      <c r="M195" s="827">
        <v>0</v>
      </c>
      <c r="N195" s="827">
        <v>0</v>
      </c>
      <c r="O195" s="827">
        <v>0</v>
      </c>
      <c r="P195" s="827">
        <v>0</v>
      </c>
      <c r="Q195" s="827">
        <v>0</v>
      </c>
      <c r="R195" s="827">
        <v>0</v>
      </c>
      <c r="S195" s="827">
        <v>0</v>
      </c>
      <c r="T195" s="827">
        <v>0</v>
      </c>
      <c r="U195" s="827">
        <v>0</v>
      </c>
      <c r="V195" s="827">
        <v>0</v>
      </c>
      <c r="W195" s="827">
        <v>0</v>
      </c>
      <c r="X195" s="827">
        <v>0</v>
      </c>
      <c r="Y195" s="827">
        <v>0</v>
      </c>
      <c r="Z195" s="827">
        <v>0</v>
      </c>
      <c r="AA195" s="827">
        <v>0</v>
      </c>
      <c r="AB195" s="834">
        <v>0</v>
      </c>
      <c r="AC195" s="828">
        <v>0</v>
      </c>
      <c r="AD195" s="828">
        <v>0</v>
      </c>
      <c r="AE195" s="828">
        <v>0</v>
      </c>
      <c r="AF195" s="828">
        <v>0</v>
      </c>
      <c r="AG195" s="828">
        <v>0</v>
      </c>
      <c r="AH195" s="828">
        <v>0</v>
      </c>
      <c r="AI195" s="828">
        <v>0</v>
      </c>
      <c r="AJ195" s="828">
        <v>0</v>
      </c>
      <c r="AK195" s="828">
        <v>0</v>
      </c>
      <c r="AL195" s="828">
        <v>0</v>
      </c>
      <c r="AM195" s="828">
        <v>0</v>
      </c>
      <c r="AN195" s="828">
        <v>0</v>
      </c>
      <c r="AO195" s="828">
        <v>0</v>
      </c>
      <c r="AP195" s="828">
        <v>0</v>
      </c>
    </row>
    <row r="196" hidden="1" ht="15.95" customHeight="1">
      <c r="B196" s="829" t="s">
        <v>9</v>
      </c>
      <c r="C196" s="823">
        <v>0</v>
      </c>
      <c r="D196" s="823">
        <v>0</v>
      </c>
      <c r="E196" s="823">
        <v>0</v>
      </c>
      <c r="F196" s="823">
        <v>0</v>
      </c>
      <c r="G196" s="823">
        <v>0</v>
      </c>
      <c r="H196" s="823">
        <v>0</v>
      </c>
      <c r="I196" s="823">
        <v>0</v>
      </c>
      <c r="J196" s="823">
        <v>0</v>
      </c>
      <c r="K196" s="823">
        <v>0</v>
      </c>
      <c r="L196" s="823">
        <v>0</v>
      </c>
      <c r="M196" s="823">
        <v>0</v>
      </c>
      <c r="N196" s="823">
        <v>0</v>
      </c>
      <c r="O196" s="823">
        <v>0</v>
      </c>
      <c r="P196" s="823">
        <v>0</v>
      </c>
      <c r="Q196" s="823">
        <v>0</v>
      </c>
      <c r="R196" s="823">
        <v>0</v>
      </c>
      <c r="S196" s="823">
        <v>0</v>
      </c>
      <c r="T196" s="823">
        <v>0</v>
      </c>
      <c r="U196" s="823">
        <v>0</v>
      </c>
      <c r="V196" s="823">
        <v>0</v>
      </c>
      <c r="W196" s="823">
        <v>0</v>
      </c>
      <c r="X196" s="823">
        <v>0</v>
      </c>
      <c r="Y196" s="823">
        <v>0</v>
      </c>
      <c r="Z196" s="823">
        <v>0</v>
      </c>
      <c r="AA196" s="823">
        <v>0</v>
      </c>
      <c r="AB196" s="823">
        <v>0</v>
      </c>
      <c r="AC196" s="825">
        <v>0</v>
      </c>
      <c r="AD196" s="825">
        <v>0</v>
      </c>
      <c r="AE196" s="825">
        <v>0</v>
      </c>
      <c r="AF196" s="825">
        <v>0</v>
      </c>
      <c r="AG196" s="825">
        <v>0</v>
      </c>
      <c r="AH196" s="825">
        <v>0</v>
      </c>
      <c r="AI196" s="825">
        <v>0</v>
      </c>
      <c r="AJ196" s="825">
        <v>0</v>
      </c>
      <c r="AK196" s="825">
        <v>0</v>
      </c>
      <c r="AL196" s="825">
        <v>0</v>
      </c>
      <c r="AM196" s="825">
        <v>0</v>
      </c>
      <c r="AN196" s="825">
        <v>0</v>
      </c>
      <c r="AO196" s="825">
        <v>0</v>
      </c>
      <c r="AP196" s="825">
        <v>0</v>
      </c>
    </row>
    <row r="197" hidden="1" ht="15.95" customHeight="1">
      <c r="B197" s="826" t="s">
        <v>10</v>
      </c>
      <c r="C197" s="827">
        <v>0</v>
      </c>
      <c r="D197" s="827">
        <v>0</v>
      </c>
      <c r="E197" s="827">
        <v>0</v>
      </c>
      <c r="F197" s="827">
        <v>0</v>
      </c>
      <c r="G197" s="827">
        <v>0</v>
      </c>
      <c r="H197" s="827">
        <v>0</v>
      </c>
      <c r="I197" s="827">
        <v>0</v>
      </c>
      <c r="J197" s="827">
        <v>0</v>
      </c>
      <c r="K197" s="827">
        <v>0</v>
      </c>
      <c r="L197" s="827">
        <v>0</v>
      </c>
      <c r="M197" s="827">
        <v>0</v>
      </c>
      <c r="N197" s="827">
        <v>0</v>
      </c>
      <c r="O197" s="827">
        <v>0</v>
      </c>
      <c r="P197" s="827">
        <v>0</v>
      </c>
      <c r="Q197" s="827">
        <v>0</v>
      </c>
      <c r="R197" s="827">
        <v>0</v>
      </c>
      <c r="S197" s="827">
        <v>0</v>
      </c>
      <c r="T197" s="827">
        <v>0</v>
      </c>
      <c r="U197" s="827">
        <v>0</v>
      </c>
      <c r="V197" s="827">
        <v>0</v>
      </c>
      <c r="W197" s="827">
        <v>0</v>
      </c>
      <c r="X197" s="827">
        <v>0</v>
      </c>
      <c r="Y197" s="827">
        <v>0</v>
      </c>
      <c r="Z197" s="827">
        <v>0</v>
      </c>
      <c r="AA197" s="827">
        <v>0</v>
      </c>
      <c r="AB197" s="827">
        <v>0</v>
      </c>
      <c r="AC197" s="828">
        <v>0</v>
      </c>
      <c r="AD197" s="828">
        <v>0</v>
      </c>
      <c r="AE197" s="828">
        <v>0</v>
      </c>
      <c r="AF197" s="828">
        <v>0</v>
      </c>
      <c r="AG197" s="828">
        <v>0</v>
      </c>
      <c r="AH197" s="828">
        <v>0</v>
      </c>
      <c r="AI197" s="828">
        <v>0</v>
      </c>
      <c r="AJ197" s="828">
        <v>0</v>
      </c>
      <c r="AK197" s="828">
        <v>0</v>
      </c>
      <c r="AL197" s="828">
        <v>0</v>
      </c>
      <c r="AM197" s="828">
        <v>0</v>
      </c>
      <c r="AN197" s="828">
        <v>0</v>
      </c>
      <c r="AO197" s="828">
        <v>0</v>
      </c>
      <c r="AP197" s="828">
        <v>0</v>
      </c>
    </row>
    <row r="198" hidden="1" ht="15.95" customHeight="1">
      <c r="B198" s="829" t="s">
        <v>11</v>
      </c>
      <c r="C198" s="823">
        <v>0</v>
      </c>
      <c r="D198" s="823">
        <v>0</v>
      </c>
      <c r="E198" s="823">
        <v>0</v>
      </c>
      <c r="F198" s="823">
        <v>0</v>
      </c>
      <c r="G198" s="823">
        <v>0</v>
      </c>
      <c r="H198" s="823">
        <v>0</v>
      </c>
      <c r="I198" s="823">
        <v>0</v>
      </c>
      <c r="J198" s="823">
        <v>0</v>
      </c>
      <c r="K198" s="823">
        <v>0</v>
      </c>
      <c r="L198" s="823">
        <v>0</v>
      </c>
      <c r="M198" s="823">
        <v>0</v>
      </c>
      <c r="N198" s="823">
        <v>0</v>
      </c>
      <c r="O198" s="823">
        <v>0</v>
      </c>
      <c r="P198" s="823">
        <v>0</v>
      </c>
      <c r="Q198" s="823">
        <v>0</v>
      </c>
      <c r="R198" s="823">
        <v>0</v>
      </c>
      <c r="S198" s="823">
        <v>0</v>
      </c>
      <c r="T198" s="823">
        <v>0</v>
      </c>
      <c r="U198" s="823">
        <v>0</v>
      </c>
      <c r="V198" s="823">
        <v>0</v>
      </c>
      <c r="W198" s="823">
        <v>0</v>
      </c>
      <c r="X198" s="823">
        <v>0</v>
      </c>
      <c r="Y198" s="823">
        <v>0</v>
      </c>
      <c r="Z198" s="823">
        <v>0</v>
      </c>
      <c r="AA198" s="823">
        <v>0</v>
      </c>
      <c r="AB198" s="823">
        <v>0</v>
      </c>
      <c r="AC198" s="825">
        <v>0</v>
      </c>
      <c r="AD198" s="825">
        <v>0</v>
      </c>
      <c r="AE198" s="825">
        <v>0</v>
      </c>
      <c r="AF198" s="825">
        <v>0</v>
      </c>
      <c r="AG198" s="825">
        <v>0</v>
      </c>
      <c r="AH198" s="825">
        <v>0</v>
      </c>
      <c r="AI198" s="825">
        <v>0</v>
      </c>
      <c r="AJ198" s="825">
        <v>0</v>
      </c>
      <c r="AK198" s="825">
        <v>0</v>
      </c>
      <c r="AL198" s="825">
        <v>0</v>
      </c>
      <c r="AM198" s="825">
        <v>0</v>
      </c>
      <c r="AN198" s="825">
        <v>0</v>
      </c>
      <c r="AO198" s="825">
        <v>0</v>
      </c>
      <c r="AP198" s="825">
        <v>0</v>
      </c>
    </row>
    <row r="199" hidden="1" ht="15.95" customHeight="1">
      <c r="B199" s="826" t="s">
        <v>12</v>
      </c>
      <c r="C199" s="827">
        <v>0</v>
      </c>
      <c r="D199" s="827">
        <v>0</v>
      </c>
      <c r="E199" s="827">
        <v>0</v>
      </c>
      <c r="F199" s="827">
        <v>0</v>
      </c>
      <c r="G199" s="827">
        <v>0</v>
      </c>
      <c r="H199" s="827">
        <v>0</v>
      </c>
      <c r="I199" s="827">
        <v>0</v>
      </c>
      <c r="J199" s="827">
        <v>0</v>
      </c>
      <c r="K199" s="827">
        <v>0</v>
      </c>
      <c r="L199" s="827">
        <v>0</v>
      </c>
      <c r="M199" s="827">
        <v>0</v>
      </c>
      <c r="N199" s="827">
        <v>0</v>
      </c>
      <c r="O199" s="827">
        <v>0</v>
      </c>
      <c r="P199" s="827">
        <v>0</v>
      </c>
      <c r="Q199" s="827">
        <v>0</v>
      </c>
      <c r="R199" s="827">
        <v>0</v>
      </c>
      <c r="S199" s="827">
        <v>0</v>
      </c>
      <c r="T199" s="827">
        <v>0</v>
      </c>
      <c r="U199" s="827">
        <v>0</v>
      </c>
      <c r="V199" s="827">
        <v>0</v>
      </c>
      <c r="W199" s="827">
        <v>0</v>
      </c>
      <c r="X199" s="827">
        <v>0</v>
      </c>
      <c r="Y199" s="827">
        <v>0</v>
      </c>
      <c r="Z199" s="827">
        <v>0</v>
      </c>
      <c r="AA199" s="827">
        <v>0</v>
      </c>
      <c r="AB199" s="827">
        <v>0</v>
      </c>
      <c r="AC199" s="828">
        <v>0</v>
      </c>
      <c r="AD199" s="828">
        <v>0</v>
      </c>
      <c r="AE199" s="828">
        <v>0</v>
      </c>
      <c r="AF199" s="828">
        <v>0</v>
      </c>
      <c r="AG199" s="828">
        <v>0</v>
      </c>
      <c r="AH199" s="828">
        <v>0</v>
      </c>
      <c r="AI199" s="828">
        <v>0</v>
      </c>
      <c r="AJ199" s="828">
        <v>0</v>
      </c>
      <c r="AK199" s="828">
        <v>0</v>
      </c>
      <c r="AL199" s="828">
        <v>0</v>
      </c>
      <c r="AM199" s="828">
        <v>0</v>
      </c>
      <c r="AN199" s="828">
        <v>0</v>
      </c>
      <c r="AO199" s="828">
        <v>0</v>
      </c>
      <c r="AP199" s="828">
        <v>0</v>
      </c>
    </row>
    <row r="200" hidden="1" ht="15.95" customHeight="1">
      <c r="B200" s="829" t="s">
        <v>13</v>
      </c>
      <c r="C200" s="823">
        <v>0</v>
      </c>
      <c r="D200" s="823">
        <v>0</v>
      </c>
      <c r="E200" s="823">
        <v>0</v>
      </c>
      <c r="F200" s="823">
        <v>0</v>
      </c>
      <c r="G200" s="823">
        <v>0</v>
      </c>
      <c r="H200" s="823">
        <v>0</v>
      </c>
      <c r="I200" s="823">
        <v>0</v>
      </c>
      <c r="J200" s="823">
        <v>0</v>
      </c>
      <c r="K200" s="823">
        <v>0</v>
      </c>
      <c r="L200" s="823">
        <v>0</v>
      </c>
      <c r="M200" s="823">
        <v>0</v>
      </c>
      <c r="N200" s="823">
        <v>0</v>
      </c>
      <c r="O200" s="823">
        <v>0</v>
      </c>
      <c r="P200" s="823">
        <v>0</v>
      </c>
      <c r="Q200" s="823">
        <v>0</v>
      </c>
      <c r="R200" s="823">
        <v>0</v>
      </c>
      <c r="S200" s="823">
        <v>0</v>
      </c>
      <c r="T200" s="823">
        <v>0</v>
      </c>
      <c r="U200" s="823">
        <v>0</v>
      </c>
      <c r="V200" s="823">
        <v>0</v>
      </c>
      <c r="W200" s="823">
        <v>0</v>
      </c>
      <c r="X200" s="823">
        <v>0</v>
      </c>
      <c r="Y200" s="823">
        <v>0</v>
      </c>
      <c r="Z200" s="823">
        <v>0</v>
      </c>
      <c r="AA200" s="823">
        <v>0</v>
      </c>
      <c r="AB200" s="823">
        <v>0</v>
      </c>
      <c r="AC200" s="825">
        <v>0</v>
      </c>
      <c r="AD200" s="825">
        <v>0</v>
      </c>
      <c r="AE200" s="825">
        <v>0</v>
      </c>
      <c r="AF200" s="825">
        <v>0</v>
      </c>
      <c r="AG200" s="825">
        <v>0</v>
      </c>
      <c r="AH200" s="825">
        <v>0</v>
      </c>
      <c r="AI200" s="825">
        <v>0</v>
      </c>
      <c r="AJ200" s="825">
        <v>0</v>
      </c>
      <c r="AK200" s="825">
        <v>0</v>
      </c>
      <c r="AL200" s="825">
        <v>0</v>
      </c>
      <c r="AM200" s="825">
        <v>0</v>
      </c>
      <c r="AN200" s="825">
        <v>0</v>
      </c>
      <c r="AO200" s="825">
        <v>0</v>
      </c>
      <c r="AP200" s="825">
        <v>0</v>
      </c>
    </row>
    <row r="201" hidden="1" ht="15.95" customHeight="1">
      <c r="B201" s="826" t="s">
        <v>109</v>
      </c>
      <c r="C201" s="827">
        <v>0</v>
      </c>
      <c r="D201" s="827">
        <v>0</v>
      </c>
      <c r="E201" s="827">
        <v>0</v>
      </c>
      <c r="F201" s="827">
        <v>0</v>
      </c>
      <c r="G201" s="827">
        <v>0</v>
      </c>
      <c r="H201" s="827">
        <v>0</v>
      </c>
      <c r="I201" s="827">
        <v>0</v>
      </c>
      <c r="J201" s="827">
        <v>0</v>
      </c>
      <c r="K201" s="827">
        <v>0</v>
      </c>
      <c r="L201" s="827">
        <v>0</v>
      </c>
      <c r="M201" s="827">
        <v>0</v>
      </c>
      <c r="N201" s="827">
        <v>0</v>
      </c>
      <c r="O201" s="827">
        <v>0</v>
      </c>
      <c r="P201" s="827">
        <v>0</v>
      </c>
      <c r="Q201" s="827">
        <v>0</v>
      </c>
      <c r="R201" s="827">
        <v>0</v>
      </c>
      <c r="S201" s="827">
        <v>0</v>
      </c>
      <c r="T201" s="827">
        <v>0</v>
      </c>
      <c r="U201" s="827">
        <v>0</v>
      </c>
      <c r="V201" s="827">
        <v>0</v>
      </c>
      <c r="W201" s="827">
        <v>0</v>
      </c>
      <c r="X201" s="827">
        <v>0</v>
      </c>
      <c r="Y201" s="827">
        <v>0</v>
      </c>
      <c r="Z201" s="827">
        <v>0</v>
      </c>
      <c r="AA201" s="827">
        <v>0</v>
      </c>
      <c r="AB201" s="827">
        <v>0</v>
      </c>
      <c r="AC201" s="828">
        <v>0</v>
      </c>
      <c r="AD201" s="828">
        <v>0</v>
      </c>
      <c r="AE201" s="828">
        <v>0</v>
      </c>
      <c r="AF201" s="828">
        <v>0</v>
      </c>
      <c r="AG201" s="828">
        <v>0</v>
      </c>
      <c r="AH201" s="828">
        <v>0</v>
      </c>
      <c r="AI201" s="828">
        <v>0</v>
      </c>
      <c r="AJ201" s="828">
        <v>0</v>
      </c>
      <c r="AK201" s="828">
        <v>0</v>
      </c>
      <c r="AL201" s="828">
        <v>0</v>
      </c>
      <c r="AM201" s="828">
        <v>0</v>
      </c>
      <c r="AN201" s="828">
        <v>0</v>
      </c>
      <c r="AO201" s="828">
        <v>0</v>
      </c>
      <c r="AP201" s="828">
        <v>0</v>
      </c>
    </row>
    <row r="202" hidden="1" ht="15.95" customHeight="1">
      <c r="B202" s="829" t="s">
        <v>110</v>
      </c>
      <c r="C202" s="823">
        <v>0</v>
      </c>
      <c r="D202" s="823">
        <v>0</v>
      </c>
      <c r="E202" s="823">
        <v>0</v>
      </c>
      <c r="F202" s="823">
        <v>0</v>
      </c>
      <c r="G202" s="823">
        <v>0</v>
      </c>
      <c r="H202" s="823">
        <v>0</v>
      </c>
      <c r="I202" s="823">
        <v>0</v>
      </c>
      <c r="J202" s="823">
        <v>0</v>
      </c>
      <c r="K202" s="823">
        <v>0</v>
      </c>
      <c r="L202" s="823">
        <v>0</v>
      </c>
      <c r="M202" s="823">
        <v>0</v>
      </c>
      <c r="N202" s="823">
        <v>0</v>
      </c>
      <c r="O202" s="823">
        <v>0</v>
      </c>
      <c r="P202" s="823">
        <v>0</v>
      </c>
      <c r="Q202" s="823">
        <v>0</v>
      </c>
      <c r="R202" s="823">
        <v>0</v>
      </c>
      <c r="S202" s="823">
        <v>0</v>
      </c>
      <c r="T202" s="823">
        <v>0</v>
      </c>
      <c r="U202" s="823">
        <v>0</v>
      </c>
      <c r="V202" s="823">
        <v>0</v>
      </c>
      <c r="W202" s="823">
        <v>0</v>
      </c>
      <c r="X202" s="823">
        <v>0</v>
      </c>
      <c r="Y202" s="823">
        <v>0</v>
      </c>
      <c r="Z202" s="823">
        <v>0</v>
      </c>
      <c r="AA202" s="823">
        <v>0</v>
      </c>
      <c r="AB202" s="823">
        <v>0</v>
      </c>
      <c r="AC202" s="825">
        <v>0</v>
      </c>
      <c r="AD202" s="825">
        <v>0</v>
      </c>
      <c r="AE202" s="825">
        <v>0</v>
      </c>
      <c r="AF202" s="825">
        <v>0</v>
      </c>
      <c r="AG202" s="825">
        <v>0</v>
      </c>
      <c r="AH202" s="825">
        <v>0</v>
      </c>
      <c r="AI202" s="825">
        <v>0</v>
      </c>
      <c r="AJ202" s="825">
        <v>0</v>
      </c>
      <c r="AK202" s="825">
        <v>0</v>
      </c>
      <c r="AL202" s="825">
        <v>0</v>
      </c>
      <c r="AM202" s="825">
        <v>0</v>
      </c>
      <c r="AN202" s="825">
        <v>0</v>
      </c>
      <c r="AO202" s="825">
        <v>0</v>
      </c>
      <c r="AP202" s="825">
        <v>0</v>
      </c>
    </row>
    <row r="203" hidden="1" ht="15.95" customHeight="1">
      <c r="B203" s="826" t="s">
        <v>16</v>
      </c>
      <c r="C203" s="827">
        <v>0</v>
      </c>
      <c r="D203" s="827">
        <v>0</v>
      </c>
      <c r="E203" s="827">
        <v>0</v>
      </c>
      <c r="F203" s="827">
        <v>0</v>
      </c>
      <c r="G203" s="827">
        <v>0</v>
      </c>
      <c r="H203" s="827">
        <v>0</v>
      </c>
      <c r="I203" s="827">
        <v>0</v>
      </c>
      <c r="J203" s="827">
        <v>0</v>
      </c>
      <c r="K203" s="827">
        <v>0</v>
      </c>
      <c r="L203" s="827">
        <v>0</v>
      </c>
      <c r="M203" s="827">
        <v>0</v>
      </c>
      <c r="N203" s="827">
        <v>0</v>
      </c>
      <c r="O203" s="827">
        <v>0</v>
      </c>
      <c r="P203" s="827">
        <v>0</v>
      </c>
      <c r="Q203" s="827">
        <v>0</v>
      </c>
      <c r="R203" s="827">
        <v>0</v>
      </c>
      <c r="S203" s="827">
        <v>0</v>
      </c>
      <c r="T203" s="827">
        <v>0</v>
      </c>
      <c r="U203" s="827">
        <v>0</v>
      </c>
      <c r="V203" s="827">
        <v>0</v>
      </c>
      <c r="W203" s="827">
        <v>0</v>
      </c>
      <c r="X203" s="827">
        <v>0</v>
      </c>
      <c r="Y203" s="827">
        <v>0</v>
      </c>
      <c r="Z203" s="827">
        <v>0</v>
      </c>
      <c r="AA203" s="827">
        <v>0</v>
      </c>
      <c r="AB203" s="827">
        <v>0</v>
      </c>
      <c r="AC203" s="828">
        <v>0</v>
      </c>
      <c r="AD203" s="828">
        <v>0</v>
      </c>
      <c r="AE203" s="828">
        <v>0</v>
      </c>
      <c r="AF203" s="828">
        <v>0</v>
      </c>
      <c r="AG203" s="828">
        <v>0</v>
      </c>
      <c r="AH203" s="828">
        <v>0</v>
      </c>
      <c r="AI203" s="828">
        <v>0</v>
      </c>
      <c r="AJ203" s="828">
        <v>0</v>
      </c>
      <c r="AK203" s="828">
        <v>0</v>
      </c>
      <c r="AL203" s="828">
        <v>0</v>
      </c>
      <c r="AM203" s="828">
        <v>0</v>
      </c>
      <c r="AN203" s="828">
        <v>0</v>
      </c>
      <c r="AO203" s="828">
        <v>0</v>
      </c>
      <c r="AP203" s="828">
        <v>0</v>
      </c>
    </row>
    <row r="204" hidden="1" ht="15.95" customHeight="1">
      <c r="B204" s="829" t="s">
        <v>17</v>
      </c>
      <c r="C204" s="823">
        <v>0</v>
      </c>
      <c r="D204" s="823">
        <v>0</v>
      </c>
      <c r="E204" s="823">
        <v>0</v>
      </c>
      <c r="F204" s="823">
        <v>0</v>
      </c>
      <c r="G204" s="823">
        <v>0</v>
      </c>
      <c r="H204" s="823">
        <v>0</v>
      </c>
      <c r="I204" s="823">
        <v>0</v>
      </c>
      <c r="J204" s="823">
        <v>0</v>
      </c>
      <c r="K204" s="823">
        <v>0</v>
      </c>
      <c r="L204" s="823">
        <v>0</v>
      </c>
      <c r="M204" s="823">
        <v>0</v>
      </c>
      <c r="N204" s="823">
        <v>0</v>
      </c>
      <c r="O204" s="823">
        <v>0</v>
      </c>
      <c r="P204" s="823">
        <v>0</v>
      </c>
      <c r="Q204" s="823">
        <v>0</v>
      </c>
      <c r="R204" s="823">
        <v>0</v>
      </c>
      <c r="S204" s="823">
        <v>0</v>
      </c>
      <c r="T204" s="823">
        <v>0</v>
      </c>
      <c r="U204" s="823">
        <v>0</v>
      </c>
      <c r="V204" s="823">
        <v>0</v>
      </c>
      <c r="W204" s="823">
        <v>0</v>
      </c>
      <c r="X204" s="823">
        <v>0</v>
      </c>
      <c r="Y204" s="823">
        <v>0</v>
      </c>
      <c r="Z204" s="823">
        <v>0</v>
      </c>
      <c r="AA204" s="823">
        <v>0</v>
      </c>
      <c r="AB204" s="823">
        <v>0</v>
      </c>
      <c r="AC204" s="825">
        <v>0</v>
      </c>
      <c r="AD204" s="825">
        <v>0</v>
      </c>
      <c r="AE204" s="825">
        <v>0</v>
      </c>
      <c r="AF204" s="825">
        <v>0</v>
      </c>
      <c r="AG204" s="825">
        <v>0</v>
      </c>
      <c r="AH204" s="825">
        <v>0</v>
      </c>
      <c r="AI204" s="825">
        <v>0</v>
      </c>
      <c r="AJ204" s="825">
        <v>0</v>
      </c>
      <c r="AK204" s="825">
        <v>0</v>
      </c>
      <c r="AL204" s="825">
        <v>0</v>
      </c>
      <c r="AM204" s="825">
        <v>0</v>
      </c>
      <c r="AN204" s="825">
        <v>0</v>
      </c>
      <c r="AO204" s="825">
        <v>0</v>
      </c>
      <c r="AP204" s="825">
        <v>0</v>
      </c>
    </row>
    <row r="205" hidden="1" ht="15.95" customHeight="1">
      <c r="B205" s="826" t="s">
        <v>18</v>
      </c>
      <c r="C205" s="827">
        <v>0</v>
      </c>
      <c r="D205" s="827">
        <v>0</v>
      </c>
      <c r="E205" s="827">
        <v>0</v>
      </c>
      <c r="F205" s="827">
        <v>0</v>
      </c>
      <c r="G205" s="827">
        <v>0</v>
      </c>
      <c r="H205" s="827">
        <v>0</v>
      </c>
      <c r="I205" s="827">
        <v>0</v>
      </c>
      <c r="J205" s="827">
        <v>0</v>
      </c>
      <c r="K205" s="827">
        <v>0</v>
      </c>
      <c r="L205" s="827">
        <v>0</v>
      </c>
      <c r="M205" s="827">
        <v>0</v>
      </c>
      <c r="N205" s="827">
        <v>0</v>
      </c>
      <c r="O205" s="827">
        <v>0</v>
      </c>
      <c r="P205" s="827">
        <v>0</v>
      </c>
      <c r="Q205" s="827">
        <v>0</v>
      </c>
      <c r="R205" s="827">
        <v>0</v>
      </c>
      <c r="S205" s="827">
        <v>0</v>
      </c>
      <c r="T205" s="827">
        <v>0</v>
      </c>
      <c r="U205" s="827">
        <v>0</v>
      </c>
      <c r="V205" s="827">
        <v>0</v>
      </c>
      <c r="W205" s="827">
        <v>0</v>
      </c>
      <c r="X205" s="827">
        <v>0</v>
      </c>
      <c r="Y205" s="827">
        <v>0</v>
      </c>
      <c r="Z205" s="827">
        <v>0</v>
      </c>
      <c r="AA205" s="827">
        <v>0</v>
      </c>
      <c r="AB205" s="827">
        <v>0</v>
      </c>
      <c r="AC205" s="828">
        <v>0</v>
      </c>
      <c r="AD205" s="828">
        <v>0</v>
      </c>
      <c r="AE205" s="828">
        <v>0</v>
      </c>
      <c r="AF205" s="828">
        <v>0</v>
      </c>
      <c r="AG205" s="828">
        <v>0</v>
      </c>
      <c r="AH205" s="828">
        <v>0</v>
      </c>
      <c r="AI205" s="828">
        <v>0</v>
      </c>
      <c r="AJ205" s="828">
        <v>0</v>
      </c>
      <c r="AK205" s="828">
        <v>0</v>
      </c>
      <c r="AL205" s="828">
        <v>0</v>
      </c>
      <c r="AM205" s="828">
        <v>0</v>
      </c>
      <c r="AN205" s="828">
        <v>0</v>
      </c>
      <c r="AO205" s="828">
        <v>0</v>
      </c>
      <c r="AP205" s="828">
        <v>0</v>
      </c>
    </row>
    <row r="206" hidden="1" ht="15.95" customHeight="1">
      <c r="B206" s="829" t="s">
        <v>19</v>
      </c>
      <c r="C206" s="823">
        <v>0</v>
      </c>
      <c r="D206" s="823">
        <v>0</v>
      </c>
      <c r="E206" s="823">
        <v>0</v>
      </c>
      <c r="F206" s="823">
        <v>0</v>
      </c>
      <c r="G206" s="823">
        <v>0</v>
      </c>
      <c r="H206" s="823">
        <v>0</v>
      </c>
      <c r="I206" s="823">
        <v>0</v>
      </c>
      <c r="J206" s="823">
        <v>0</v>
      </c>
      <c r="K206" s="823">
        <v>0</v>
      </c>
      <c r="L206" s="823">
        <v>0</v>
      </c>
      <c r="M206" s="823">
        <v>0</v>
      </c>
      <c r="N206" s="823">
        <v>0</v>
      </c>
      <c r="O206" s="823">
        <v>0</v>
      </c>
      <c r="P206" s="823">
        <v>0</v>
      </c>
      <c r="Q206" s="823">
        <v>0</v>
      </c>
      <c r="R206" s="823">
        <v>0</v>
      </c>
      <c r="S206" s="823">
        <v>0</v>
      </c>
      <c r="T206" s="823">
        <v>0</v>
      </c>
      <c r="U206" s="823">
        <v>0</v>
      </c>
      <c r="V206" s="823">
        <v>0</v>
      </c>
      <c r="W206" s="823">
        <v>0</v>
      </c>
      <c r="X206" s="823">
        <v>0</v>
      </c>
      <c r="Y206" s="823">
        <v>0</v>
      </c>
      <c r="Z206" s="823">
        <v>0</v>
      </c>
      <c r="AA206" s="823">
        <v>0</v>
      </c>
      <c r="AB206" s="823">
        <v>0</v>
      </c>
      <c r="AC206" s="825">
        <v>0</v>
      </c>
      <c r="AD206" s="825">
        <v>0</v>
      </c>
      <c r="AE206" s="825">
        <v>0</v>
      </c>
      <c r="AF206" s="825">
        <v>0</v>
      </c>
      <c r="AG206" s="825">
        <v>0</v>
      </c>
      <c r="AH206" s="825">
        <v>0</v>
      </c>
      <c r="AI206" s="825">
        <v>0</v>
      </c>
      <c r="AJ206" s="825">
        <v>0</v>
      </c>
      <c r="AK206" s="825">
        <v>0</v>
      </c>
      <c r="AL206" s="825">
        <v>0</v>
      </c>
      <c r="AM206" s="825">
        <v>0</v>
      </c>
      <c r="AN206" s="825">
        <v>0</v>
      </c>
      <c r="AO206" s="825">
        <v>0</v>
      </c>
      <c r="AP206" s="825">
        <v>0</v>
      </c>
    </row>
    <row r="207" hidden="1" ht="15.95" customHeight="1">
      <c r="B207" s="826" t="s">
        <v>20</v>
      </c>
      <c r="C207" s="827">
        <v>0</v>
      </c>
      <c r="D207" s="827">
        <v>0</v>
      </c>
      <c r="E207" s="827">
        <v>0</v>
      </c>
      <c r="F207" s="827">
        <v>0</v>
      </c>
      <c r="G207" s="827">
        <v>0</v>
      </c>
      <c r="H207" s="827">
        <v>0</v>
      </c>
      <c r="I207" s="827">
        <v>0</v>
      </c>
      <c r="J207" s="827">
        <v>0</v>
      </c>
      <c r="K207" s="827">
        <v>0</v>
      </c>
      <c r="L207" s="827">
        <v>0</v>
      </c>
      <c r="M207" s="827">
        <v>0</v>
      </c>
      <c r="N207" s="827">
        <v>0</v>
      </c>
      <c r="O207" s="827">
        <v>0</v>
      </c>
      <c r="P207" s="827">
        <v>0</v>
      </c>
      <c r="Q207" s="827">
        <v>0</v>
      </c>
      <c r="R207" s="827">
        <v>0</v>
      </c>
      <c r="S207" s="827">
        <v>0</v>
      </c>
      <c r="T207" s="827">
        <v>0</v>
      </c>
      <c r="U207" s="827">
        <v>0</v>
      </c>
      <c r="V207" s="827">
        <v>0</v>
      </c>
      <c r="W207" s="827">
        <v>0</v>
      </c>
      <c r="X207" s="827">
        <v>0</v>
      </c>
      <c r="Y207" s="827">
        <v>0</v>
      </c>
      <c r="Z207" s="827">
        <v>0</v>
      </c>
      <c r="AA207" s="827">
        <v>0</v>
      </c>
      <c r="AB207" s="827">
        <v>0</v>
      </c>
      <c r="AC207" s="828">
        <v>0</v>
      </c>
      <c r="AD207" s="828">
        <v>0</v>
      </c>
      <c r="AE207" s="828">
        <v>0</v>
      </c>
      <c r="AF207" s="828">
        <v>0</v>
      </c>
      <c r="AG207" s="828">
        <v>0</v>
      </c>
      <c r="AH207" s="828">
        <v>0</v>
      </c>
      <c r="AI207" s="828">
        <v>0</v>
      </c>
      <c r="AJ207" s="828">
        <v>0</v>
      </c>
      <c r="AK207" s="828">
        <v>0</v>
      </c>
      <c r="AL207" s="828">
        <v>0</v>
      </c>
      <c r="AM207" s="828">
        <v>0</v>
      </c>
      <c r="AN207" s="828">
        <v>0</v>
      </c>
      <c r="AO207" s="828">
        <v>0</v>
      </c>
      <c r="AP207" s="828">
        <v>0</v>
      </c>
    </row>
    <row r="208" hidden="1" ht="15.95" customHeight="1">
      <c r="B208" s="829" t="s">
        <v>21</v>
      </c>
      <c r="C208" s="823">
        <v>0</v>
      </c>
      <c r="D208" s="823">
        <v>0</v>
      </c>
      <c r="E208" s="823">
        <v>0</v>
      </c>
      <c r="F208" s="823">
        <v>0</v>
      </c>
      <c r="G208" s="823">
        <v>0</v>
      </c>
      <c r="H208" s="823">
        <v>0</v>
      </c>
      <c r="I208" s="823">
        <v>0</v>
      </c>
      <c r="J208" s="823">
        <v>0</v>
      </c>
      <c r="K208" s="823">
        <v>0</v>
      </c>
      <c r="L208" s="823">
        <v>0</v>
      </c>
      <c r="M208" s="823">
        <v>0</v>
      </c>
      <c r="N208" s="823">
        <v>0</v>
      </c>
      <c r="O208" s="823">
        <v>0</v>
      </c>
      <c r="P208" s="823">
        <v>0</v>
      </c>
      <c r="Q208" s="823">
        <v>0</v>
      </c>
      <c r="R208" s="823">
        <v>0</v>
      </c>
      <c r="S208" s="823">
        <v>0</v>
      </c>
      <c r="T208" s="823">
        <v>0</v>
      </c>
      <c r="U208" s="823">
        <v>0</v>
      </c>
      <c r="V208" s="823">
        <v>0</v>
      </c>
      <c r="W208" s="823">
        <v>0</v>
      </c>
      <c r="X208" s="823">
        <v>0</v>
      </c>
      <c r="Y208" s="823">
        <v>0</v>
      </c>
      <c r="Z208" s="823">
        <v>0</v>
      </c>
      <c r="AA208" s="823">
        <v>0</v>
      </c>
      <c r="AB208" s="823">
        <v>0</v>
      </c>
      <c r="AC208" s="825">
        <v>0</v>
      </c>
      <c r="AD208" s="825">
        <v>0</v>
      </c>
      <c r="AE208" s="825">
        <v>0</v>
      </c>
      <c r="AF208" s="825">
        <v>0</v>
      </c>
      <c r="AG208" s="825">
        <v>0</v>
      </c>
      <c r="AH208" s="825">
        <v>0</v>
      </c>
      <c r="AI208" s="825">
        <v>0</v>
      </c>
      <c r="AJ208" s="825">
        <v>35120</v>
      </c>
      <c r="AK208" s="825">
        <v>34620</v>
      </c>
      <c r="AL208" s="825">
        <v>34620</v>
      </c>
      <c r="AM208" s="825">
        <v>24170</v>
      </c>
      <c r="AN208" s="825">
        <v>24170</v>
      </c>
      <c r="AO208" s="825">
        <v>25955</v>
      </c>
      <c r="AP208" s="825">
        <v>25955</v>
      </c>
    </row>
    <row r="209" hidden="1" ht="15.95" customHeight="1">
      <c r="B209" s="826" t="s">
        <v>22</v>
      </c>
      <c r="C209" s="827">
        <v>0</v>
      </c>
      <c r="D209" s="827">
        <v>0</v>
      </c>
      <c r="E209" s="827">
        <v>0</v>
      </c>
      <c r="F209" s="827">
        <v>0</v>
      </c>
      <c r="G209" s="827">
        <v>0</v>
      </c>
      <c r="H209" s="827">
        <v>0</v>
      </c>
      <c r="I209" s="827">
        <v>0</v>
      </c>
      <c r="J209" s="827">
        <v>0</v>
      </c>
      <c r="K209" s="827">
        <v>0</v>
      </c>
      <c r="L209" s="827">
        <v>0</v>
      </c>
      <c r="M209" s="827">
        <v>0</v>
      </c>
      <c r="N209" s="827">
        <v>0</v>
      </c>
      <c r="O209" s="827">
        <v>0</v>
      </c>
      <c r="P209" s="827">
        <v>0</v>
      </c>
      <c r="Q209" s="827">
        <v>0</v>
      </c>
      <c r="R209" s="827">
        <v>0</v>
      </c>
      <c r="S209" s="827">
        <v>0</v>
      </c>
      <c r="T209" s="827">
        <v>0</v>
      </c>
      <c r="U209" s="827">
        <v>0</v>
      </c>
      <c r="V209" s="827">
        <v>0</v>
      </c>
      <c r="W209" s="827">
        <v>0</v>
      </c>
      <c r="X209" s="827">
        <v>0</v>
      </c>
      <c r="Y209" s="827">
        <v>0</v>
      </c>
      <c r="Z209" s="827">
        <v>0</v>
      </c>
      <c r="AA209" s="827">
        <v>0</v>
      </c>
      <c r="AB209" s="827">
        <v>0</v>
      </c>
      <c r="AC209" s="828">
        <v>0</v>
      </c>
      <c r="AD209" s="828">
        <v>0</v>
      </c>
      <c r="AE209" s="828">
        <v>0</v>
      </c>
      <c r="AF209" s="828">
        <v>0</v>
      </c>
      <c r="AG209" s="828">
        <v>0</v>
      </c>
      <c r="AH209" s="828">
        <v>0</v>
      </c>
      <c r="AI209" s="828">
        <v>0</v>
      </c>
      <c r="AJ209" s="828">
        <v>0</v>
      </c>
      <c r="AK209" s="828">
        <v>0</v>
      </c>
      <c r="AL209" s="828">
        <v>0</v>
      </c>
      <c r="AM209" s="828">
        <v>0</v>
      </c>
      <c r="AN209" s="828">
        <v>0</v>
      </c>
      <c r="AO209" s="828">
        <v>0</v>
      </c>
      <c r="AP209" s="828">
        <v>0</v>
      </c>
    </row>
    <row r="210" hidden="1" ht="15.95" customHeight="1">
      <c r="B210" s="829" t="s">
        <v>23</v>
      </c>
      <c r="C210" s="823">
        <v>0</v>
      </c>
      <c r="D210" s="823">
        <v>0</v>
      </c>
      <c r="E210" s="823">
        <v>0</v>
      </c>
      <c r="F210" s="823">
        <v>0</v>
      </c>
      <c r="G210" s="823">
        <v>0</v>
      </c>
      <c r="H210" s="823">
        <v>0</v>
      </c>
      <c r="I210" s="823">
        <v>0</v>
      </c>
      <c r="J210" s="823">
        <v>0</v>
      </c>
      <c r="K210" s="823">
        <v>0</v>
      </c>
      <c r="L210" s="823">
        <v>0</v>
      </c>
      <c r="M210" s="823">
        <v>0</v>
      </c>
      <c r="N210" s="823">
        <v>0</v>
      </c>
      <c r="O210" s="823">
        <v>0</v>
      </c>
      <c r="P210" s="823">
        <v>0</v>
      </c>
      <c r="Q210" s="823">
        <v>0</v>
      </c>
      <c r="R210" s="823">
        <v>0</v>
      </c>
      <c r="S210" s="823">
        <v>0</v>
      </c>
      <c r="T210" s="823">
        <v>0</v>
      </c>
      <c r="U210" s="823">
        <v>0</v>
      </c>
      <c r="V210" s="823">
        <v>0</v>
      </c>
      <c r="W210" s="823">
        <v>0</v>
      </c>
      <c r="X210" s="823">
        <v>0</v>
      </c>
      <c r="Y210" s="823">
        <v>0</v>
      </c>
      <c r="Z210" s="823">
        <v>0</v>
      </c>
      <c r="AA210" s="823">
        <v>0</v>
      </c>
      <c r="AB210" s="823">
        <v>0</v>
      </c>
      <c r="AC210" s="825">
        <v>0</v>
      </c>
      <c r="AD210" s="825">
        <v>0</v>
      </c>
      <c r="AE210" s="825">
        <v>0</v>
      </c>
      <c r="AF210" s="825">
        <v>0</v>
      </c>
      <c r="AG210" s="825">
        <v>0</v>
      </c>
      <c r="AH210" s="825">
        <v>0</v>
      </c>
      <c r="AI210" s="825">
        <v>0</v>
      </c>
      <c r="AJ210" s="825">
        <v>0</v>
      </c>
      <c r="AK210" s="825">
        <v>0</v>
      </c>
      <c r="AL210" s="825">
        <v>0</v>
      </c>
      <c r="AM210" s="825">
        <v>0</v>
      </c>
      <c r="AN210" s="825">
        <v>0</v>
      </c>
      <c r="AO210" s="825">
        <v>0</v>
      </c>
      <c r="AP210" s="825">
        <v>0</v>
      </c>
    </row>
    <row r="211" hidden="1" ht="15.95" customHeight="1">
      <c r="B211" s="835" t="s">
        <v>24</v>
      </c>
      <c r="C211" s="827">
        <v>0</v>
      </c>
      <c r="D211" s="827">
        <v>0</v>
      </c>
      <c r="E211" s="827">
        <v>0</v>
      </c>
      <c r="F211" s="827">
        <v>0</v>
      </c>
      <c r="G211" s="827">
        <v>0</v>
      </c>
      <c r="H211" s="827">
        <v>0</v>
      </c>
      <c r="I211" s="827">
        <v>0</v>
      </c>
      <c r="J211" s="827">
        <v>0</v>
      </c>
      <c r="K211" s="827">
        <v>0</v>
      </c>
      <c r="L211" s="827">
        <v>0</v>
      </c>
      <c r="M211" s="827">
        <v>0</v>
      </c>
      <c r="N211" s="827">
        <v>0</v>
      </c>
      <c r="O211" s="827">
        <v>0</v>
      </c>
      <c r="P211" s="827">
        <v>0</v>
      </c>
      <c r="Q211" s="827">
        <v>0</v>
      </c>
      <c r="R211" s="827">
        <v>0</v>
      </c>
      <c r="S211" s="827">
        <v>0</v>
      </c>
      <c r="T211" s="827">
        <v>0</v>
      </c>
      <c r="U211" s="827">
        <v>0</v>
      </c>
      <c r="V211" s="827">
        <v>0</v>
      </c>
      <c r="W211" s="827">
        <v>0</v>
      </c>
      <c r="X211" s="827">
        <v>0</v>
      </c>
      <c r="Y211" s="827">
        <v>0</v>
      </c>
      <c r="Z211" s="827">
        <v>0</v>
      </c>
      <c r="AA211" s="827">
        <v>0</v>
      </c>
      <c r="AB211" s="827">
        <v>0</v>
      </c>
      <c r="AC211" s="828">
        <v>0</v>
      </c>
      <c r="AD211" s="828">
        <v>0</v>
      </c>
      <c r="AE211" s="828">
        <v>0</v>
      </c>
      <c r="AF211" s="828">
        <v>0</v>
      </c>
      <c r="AG211" s="828">
        <v>0</v>
      </c>
      <c r="AH211" s="828">
        <v>0</v>
      </c>
      <c r="AI211" s="828">
        <v>0</v>
      </c>
      <c r="AJ211" s="828">
        <v>0</v>
      </c>
      <c r="AK211" s="828">
        <v>0</v>
      </c>
      <c r="AL211" s="828">
        <v>0</v>
      </c>
      <c r="AM211" s="828">
        <v>0</v>
      </c>
      <c r="AN211" s="828">
        <v>0</v>
      </c>
      <c r="AO211" s="828">
        <v>0</v>
      </c>
      <c r="AP211" s="828">
        <v>0</v>
      </c>
    </row>
    <row r="212" hidden="1" ht="15.95" customHeight="1">
      <c r="B212" s="829" t="s">
        <v>25</v>
      </c>
      <c r="C212" s="823">
        <v>0</v>
      </c>
      <c r="D212" s="823">
        <v>0</v>
      </c>
      <c r="E212" s="823">
        <v>0</v>
      </c>
      <c r="F212" s="823">
        <v>0</v>
      </c>
      <c r="G212" s="823">
        <v>0</v>
      </c>
      <c r="H212" s="823">
        <v>0</v>
      </c>
      <c r="I212" s="823">
        <v>0</v>
      </c>
      <c r="J212" s="823">
        <v>0</v>
      </c>
      <c r="K212" s="823">
        <v>0</v>
      </c>
      <c r="L212" s="823">
        <v>0</v>
      </c>
      <c r="M212" s="823">
        <v>0</v>
      </c>
      <c r="N212" s="823">
        <v>0</v>
      </c>
      <c r="O212" s="823">
        <v>0</v>
      </c>
      <c r="P212" s="823">
        <v>0</v>
      </c>
      <c r="Q212" s="823">
        <v>0</v>
      </c>
      <c r="R212" s="823">
        <v>0</v>
      </c>
      <c r="S212" s="823">
        <v>0</v>
      </c>
      <c r="T212" s="823">
        <v>0</v>
      </c>
      <c r="U212" s="823">
        <v>0</v>
      </c>
      <c r="V212" s="823">
        <v>0</v>
      </c>
      <c r="W212" s="823">
        <v>0</v>
      </c>
      <c r="X212" s="823">
        <v>0</v>
      </c>
      <c r="Y212" s="823">
        <v>0</v>
      </c>
      <c r="Z212" s="823">
        <v>0</v>
      </c>
      <c r="AA212" s="823">
        <v>0</v>
      </c>
      <c r="AB212" s="823">
        <v>0</v>
      </c>
      <c r="AC212" s="825">
        <v>0</v>
      </c>
      <c r="AD212" s="825">
        <v>0</v>
      </c>
      <c r="AE212" s="825">
        <v>0</v>
      </c>
      <c r="AF212" s="825">
        <v>0</v>
      </c>
      <c r="AG212" s="825">
        <v>0</v>
      </c>
      <c r="AH212" s="825">
        <v>0</v>
      </c>
      <c r="AI212" s="825">
        <v>0</v>
      </c>
      <c r="AJ212" s="825">
        <v>0</v>
      </c>
      <c r="AK212" s="825">
        <v>0</v>
      </c>
      <c r="AL212" s="825">
        <v>0</v>
      </c>
      <c r="AM212" s="825">
        <v>0</v>
      </c>
      <c r="AN212" s="825">
        <v>0</v>
      </c>
      <c r="AO212" s="825">
        <v>0</v>
      </c>
      <c r="AP212" s="825">
        <v>0</v>
      </c>
    </row>
    <row r="213" hidden="1" ht="15.95" customHeight="1">
      <c r="B213" s="836" t="s">
        <v>26</v>
      </c>
      <c r="C213" s="827">
        <v>0</v>
      </c>
      <c r="D213" s="827">
        <v>0</v>
      </c>
      <c r="E213" s="827">
        <v>0</v>
      </c>
      <c r="F213" s="827">
        <v>0</v>
      </c>
      <c r="G213" s="827">
        <v>0</v>
      </c>
      <c r="H213" s="827">
        <v>0</v>
      </c>
      <c r="I213" s="827">
        <v>0</v>
      </c>
      <c r="J213" s="827">
        <v>0</v>
      </c>
      <c r="K213" s="827">
        <v>0</v>
      </c>
      <c r="L213" s="827">
        <v>0</v>
      </c>
      <c r="M213" s="827">
        <v>0</v>
      </c>
      <c r="N213" s="827">
        <v>0</v>
      </c>
      <c r="O213" s="827">
        <v>0</v>
      </c>
      <c r="P213" s="827">
        <v>0</v>
      </c>
      <c r="Q213" s="827">
        <v>0</v>
      </c>
      <c r="R213" s="827">
        <v>0</v>
      </c>
      <c r="S213" s="827">
        <v>0</v>
      </c>
      <c r="T213" s="827">
        <v>0</v>
      </c>
      <c r="U213" s="827">
        <v>0</v>
      </c>
      <c r="V213" s="827">
        <v>0</v>
      </c>
      <c r="W213" s="827">
        <v>0</v>
      </c>
      <c r="X213" s="827">
        <v>0</v>
      </c>
      <c r="Y213" s="827">
        <v>0</v>
      </c>
      <c r="Z213" s="827">
        <v>0</v>
      </c>
      <c r="AA213" s="827">
        <v>0</v>
      </c>
      <c r="AB213" s="837">
        <v>0</v>
      </c>
      <c r="AC213" s="828">
        <v>0</v>
      </c>
      <c r="AD213" s="828">
        <v>0</v>
      </c>
      <c r="AE213" s="828">
        <v>0</v>
      </c>
      <c r="AF213" s="828">
        <v>0</v>
      </c>
      <c r="AG213" s="828">
        <v>0</v>
      </c>
      <c r="AH213" s="828">
        <v>0</v>
      </c>
      <c r="AI213" s="828">
        <v>0</v>
      </c>
      <c r="AJ213" s="828">
        <v>0</v>
      </c>
      <c r="AK213" s="828">
        <v>0</v>
      </c>
      <c r="AL213" s="828">
        <v>0</v>
      </c>
      <c r="AM213" s="828">
        <v>0</v>
      </c>
      <c r="AN213" s="828">
        <v>0</v>
      </c>
      <c r="AO213" s="828">
        <v>0</v>
      </c>
      <c r="AP213" s="828">
        <v>0</v>
      </c>
    </row>
    <row r="214" hidden="1" ht="15.95" customHeight="1">
      <c r="B214" s="128" t="s">
        <v>7</v>
      </c>
      <c r="C214" s="129" t="str">
        <f>IF(SUM(C195:C213)&lt;&gt;0,SUM(C195:C213),"")</f>
      </c>
      <c r="D214" s="129" t="str">
        <f ref="D214:AA214" t="shared" si="10">IF(SUM(D195:D213)&lt;&gt;0,SUM(D195:D213),"")</f>
      </c>
      <c r="E214" s="129" t="str">
        <f t="shared" si="10"/>
      </c>
      <c r="F214" s="129" t="str">
        <f t="shared" si="10"/>
      </c>
      <c r="G214" s="129" t="str">
        <f t="shared" si="10"/>
      </c>
      <c r="H214" s="129" t="str">
        <f t="shared" si="10"/>
      </c>
      <c r="I214" s="129" t="str">
        <f t="shared" si="10"/>
      </c>
      <c r="J214" s="129" t="str">
        <f t="shared" si="10"/>
      </c>
      <c r="K214" s="129" t="str">
        <f t="shared" si="10"/>
      </c>
      <c r="L214" s="129" t="str">
        <f t="shared" si="10"/>
      </c>
      <c r="M214" s="129" t="str">
        <f t="shared" si="10"/>
      </c>
      <c r="N214" s="129" t="str">
        <f t="shared" si="10"/>
      </c>
      <c r="O214" s="129" t="str">
        <f t="shared" si="10"/>
      </c>
      <c r="P214" s="129" t="str">
        <f t="shared" si="10"/>
      </c>
      <c r="Q214" s="129" t="str">
        <f t="shared" si="10"/>
      </c>
      <c r="R214" s="129" t="str">
        <f t="shared" si="10"/>
      </c>
      <c r="S214" s="129" t="str">
        <f t="shared" si="10"/>
      </c>
      <c r="T214" s="129" t="str">
        <f t="shared" si="10"/>
      </c>
      <c r="U214" s="129" t="str">
        <f t="shared" si="10"/>
      </c>
      <c r="V214" s="129" t="str">
        <f t="shared" si="10"/>
      </c>
      <c r="W214" s="129" t="str">
        <f t="shared" si="10"/>
      </c>
      <c r="X214" s="129" t="str">
        <f t="shared" si="10"/>
      </c>
      <c r="Y214" s="129" t="str">
        <f t="shared" si="10"/>
      </c>
      <c r="Z214" s="129" t="str">
        <f t="shared" si="10"/>
      </c>
      <c r="AA214" s="129" t="str">
        <f t="shared" si="10"/>
      </c>
      <c r="AB214" s="130" t="str">
        <f>IF(SUM(AB195:AB213)&lt;&gt;0,SUM(AB195:AB213),"")</f>
      </c>
      <c r="AC214" s="528" t="str">
        <f ref="AC214:CN214" t="shared" si="11">IF(SUM(AC195:AC213)&lt;&gt;0,SUM(AC195:AC213),"")</f>
      </c>
      <c r="AD214" s="528" t="str">
        <f t="shared" si="11"/>
      </c>
      <c r="AE214" s="528" t="str">
        <f t="shared" si="11"/>
      </c>
      <c r="AF214" s="528" t="str">
        <f t="shared" si="11"/>
      </c>
      <c r="AG214" s="528" t="str">
        <f t="shared" si="11"/>
      </c>
      <c r="AH214" s="528" t="str">
        <f t="shared" si="11"/>
      </c>
      <c r="AI214" s="528" t="str">
        <f t="shared" si="11"/>
      </c>
      <c r="AJ214" s="528" t="str">
        <f t="shared" si="11"/>
      </c>
      <c r="AK214" s="528" t="str">
        <f t="shared" si="11"/>
      </c>
      <c r="AL214" s="528" t="str">
        <f t="shared" si="11"/>
      </c>
      <c r="AM214" s="528" t="str">
        <f t="shared" si="11"/>
      </c>
      <c r="AN214" s="528" t="str">
        <f t="shared" si="11"/>
      </c>
      <c r="AO214" s="528" t="str">
        <f t="shared" si="11"/>
      </c>
      <c r="AP214" s="528" t="str">
        <f t="shared" si="11"/>
      </c>
      <c r="AQ214" s="528" t="str">
        <f t="shared" si="11"/>
      </c>
      <c r="AR214" s="528" t="str">
        <f t="shared" si="11"/>
      </c>
      <c r="AS214" s="528" t="str">
        <f t="shared" si="11"/>
      </c>
      <c r="AT214" s="528" t="str">
        <f t="shared" si="11"/>
      </c>
      <c r="AU214" s="528" t="str">
        <f t="shared" si="11"/>
      </c>
      <c r="AV214" s="528" t="str">
        <f t="shared" si="11"/>
      </c>
      <c r="AW214" s="528" t="str">
        <f t="shared" si="11"/>
      </c>
      <c r="AX214" s="528" t="str">
        <f t="shared" si="11"/>
      </c>
      <c r="AY214" s="528" t="str">
        <f t="shared" si="11"/>
      </c>
      <c r="AZ214" s="528" t="str">
        <f t="shared" si="11"/>
      </c>
      <c r="BA214" s="528" t="str">
        <f t="shared" si="11"/>
      </c>
      <c r="BB214" s="528" t="str">
        <f t="shared" si="11"/>
      </c>
      <c r="BC214" s="528" t="str">
        <f t="shared" si="11"/>
      </c>
      <c r="BD214" s="528" t="str">
        <f t="shared" si="11"/>
      </c>
      <c r="BE214" s="528" t="str">
        <f t="shared" si="11"/>
      </c>
      <c r="BF214" s="528" t="str">
        <f t="shared" si="11"/>
      </c>
      <c r="BG214" s="528" t="str">
        <f t="shared" si="11"/>
      </c>
      <c r="BH214" s="528" t="str">
        <f t="shared" si="11"/>
      </c>
      <c r="BI214" s="528" t="str">
        <f t="shared" si="11"/>
      </c>
      <c r="BJ214" s="528" t="str">
        <f t="shared" si="11"/>
      </c>
      <c r="BK214" s="528" t="str">
        <f t="shared" si="11"/>
      </c>
      <c r="BL214" s="528" t="str">
        <f t="shared" si="11"/>
      </c>
      <c r="BM214" s="528" t="str">
        <f t="shared" si="11"/>
      </c>
      <c r="BN214" s="528" t="str">
        <f t="shared" si="11"/>
      </c>
      <c r="BO214" s="528" t="str">
        <f t="shared" si="11"/>
      </c>
      <c r="BP214" s="528" t="str">
        <f t="shared" si="11"/>
      </c>
      <c r="BQ214" s="528" t="str">
        <f t="shared" si="11"/>
      </c>
      <c r="BR214" s="528" t="str">
        <f t="shared" si="11"/>
      </c>
      <c r="BS214" s="528" t="str">
        <f t="shared" si="11"/>
      </c>
      <c r="BT214" s="528" t="str">
        <f t="shared" si="11"/>
      </c>
      <c r="BU214" s="528" t="str">
        <f t="shared" si="11"/>
      </c>
      <c r="BV214" s="528" t="str">
        <f t="shared" si="11"/>
      </c>
      <c r="BW214" s="528" t="str">
        <f t="shared" si="11"/>
      </c>
      <c r="BX214" s="528" t="str">
        <f t="shared" si="11"/>
      </c>
      <c r="BY214" s="528" t="str">
        <f t="shared" si="11"/>
      </c>
      <c r="BZ214" s="528" t="str">
        <f t="shared" si="11"/>
      </c>
      <c r="CA214" s="528" t="str">
        <f t="shared" si="11"/>
      </c>
      <c r="CB214" s="528" t="str">
        <f t="shared" si="11"/>
      </c>
      <c r="CC214" s="528" t="str">
        <f t="shared" si="11"/>
      </c>
      <c r="CD214" s="528" t="str">
        <f t="shared" si="11"/>
      </c>
      <c r="CE214" s="528" t="str">
        <f t="shared" si="11"/>
      </c>
      <c r="CF214" s="528" t="str">
        <f t="shared" si="11"/>
      </c>
      <c r="CG214" s="528" t="str">
        <f t="shared" si="11"/>
      </c>
      <c r="CH214" s="528" t="str">
        <f t="shared" si="11"/>
      </c>
      <c r="CI214" s="528" t="str">
        <f t="shared" si="11"/>
      </c>
      <c r="CJ214" s="528" t="str">
        <f t="shared" si="11"/>
      </c>
      <c r="CK214" s="528" t="str">
        <f t="shared" si="11"/>
      </c>
      <c r="CL214" s="528" t="str">
        <f t="shared" si="11"/>
      </c>
      <c r="CM214" s="528" t="str">
        <f t="shared" si="11"/>
      </c>
      <c r="CN214" s="528" t="str">
        <f t="shared" si="11"/>
      </c>
      <c r="CO214" s="528" t="str">
        <f ref="CO214:EZ214" t="shared" si="12">IF(SUM(CO195:CO213)&lt;&gt;0,SUM(CO195:CO213),"")</f>
      </c>
      <c r="CP214" s="528" t="str">
        <f t="shared" si="12"/>
      </c>
      <c r="CQ214" s="528" t="str">
        <f t="shared" si="12"/>
      </c>
      <c r="CR214" s="528" t="str">
        <f t="shared" si="12"/>
      </c>
      <c r="CS214" s="528" t="str">
        <f t="shared" si="12"/>
      </c>
      <c r="CT214" s="528" t="str">
        <f t="shared" si="12"/>
      </c>
      <c r="CU214" s="528" t="str">
        <f t="shared" si="12"/>
      </c>
      <c r="CV214" s="528" t="str">
        <f t="shared" si="12"/>
      </c>
      <c r="CW214" s="528" t="str">
        <f t="shared" si="12"/>
      </c>
      <c r="CX214" s="528" t="str">
        <f t="shared" si="12"/>
      </c>
      <c r="CY214" s="528" t="str">
        <f t="shared" si="12"/>
      </c>
      <c r="CZ214" s="528" t="str">
        <f t="shared" si="12"/>
      </c>
      <c r="DA214" s="528" t="str">
        <f t="shared" si="12"/>
      </c>
      <c r="DB214" s="528" t="str">
        <f t="shared" si="12"/>
      </c>
      <c r="DC214" s="528" t="str">
        <f t="shared" si="12"/>
      </c>
      <c r="DD214" s="528" t="str">
        <f t="shared" si="12"/>
      </c>
      <c r="DE214" s="528" t="str">
        <f t="shared" si="12"/>
      </c>
      <c r="DF214" s="528" t="str">
        <f t="shared" si="12"/>
      </c>
      <c r="DG214" s="528" t="str">
        <f t="shared" si="12"/>
      </c>
      <c r="DH214" s="528" t="str">
        <f t="shared" si="12"/>
      </c>
      <c r="DI214" s="528" t="str">
        <f t="shared" si="12"/>
      </c>
      <c r="DJ214" s="528" t="str">
        <f t="shared" si="12"/>
      </c>
      <c r="DK214" s="528" t="str">
        <f t="shared" si="12"/>
      </c>
      <c r="DL214" s="528" t="str">
        <f t="shared" si="12"/>
      </c>
      <c r="DM214" s="528" t="str">
        <f t="shared" si="12"/>
      </c>
      <c r="DN214" s="528" t="str">
        <f t="shared" si="12"/>
      </c>
      <c r="DO214" s="528" t="str">
        <f t="shared" si="12"/>
      </c>
      <c r="DP214" s="528" t="str">
        <f t="shared" si="12"/>
      </c>
      <c r="DQ214" s="528" t="str">
        <f t="shared" si="12"/>
      </c>
      <c r="DR214" s="528" t="str">
        <f t="shared" si="12"/>
      </c>
      <c r="DS214" s="528" t="str">
        <f t="shared" si="12"/>
      </c>
      <c r="DT214" s="528" t="str">
        <f t="shared" si="12"/>
      </c>
      <c r="DU214" s="528" t="str">
        <f t="shared" si="12"/>
      </c>
      <c r="DV214" s="528" t="str">
        <f t="shared" si="12"/>
      </c>
      <c r="DW214" s="528" t="str">
        <f t="shared" si="12"/>
      </c>
      <c r="DX214" s="528" t="str">
        <f t="shared" si="12"/>
      </c>
      <c r="DY214" s="528" t="str">
        <f t="shared" si="12"/>
      </c>
      <c r="DZ214" s="528" t="str">
        <f t="shared" si="12"/>
      </c>
      <c r="EA214" s="528" t="str">
        <f t="shared" si="12"/>
      </c>
      <c r="EB214" s="528" t="str">
        <f t="shared" si="12"/>
      </c>
      <c r="EC214" s="528" t="str">
        <f t="shared" si="12"/>
      </c>
      <c r="ED214" s="528" t="str">
        <f t="shared" si="12"/>
      </c>
      <c r="EE214" s="528" t="str">
        <f t="shared" si="12"/>
      </c>
      <c r="EF214" s="528" t="str">
        <f t="shared" si="12"/>
      </c>
      <c r="EG214" s="528" t="str">
        <f t="shared" si="12"/>
      </c>
      <c r="EH214" s="528" t="str">
        <f t="shared" si="12"/>
      </c>
      <c r="EI214" s="528" t="str">
        <f t="shared" si="12"/>
      </c>
      <c r="EJ214" s="528" t="str">
        <f t="shared" si="12"/>
      </c>
      <c r="EK214" s="528" t="str">
        <f t="shared" si="12"/>
      </c>
      <c r="EL214" s="528" t="str">
        <f t="shared" si="12"/>
      </c>
      <c r="EM214" s="528" t="str">
        <f t="shared" si="12"/>
      </c>
      <c r="EN214" s="528" t="str">
        <f t="shared" si="12"/>
      </c>
      <c r="EO214" s="528" t="str">
        <f t="shared" si="12"/>
      </c>
      <c r="EP214" s="528" t="str">
        <f t="shared" si="12"/>
      </c>
      <c r="EQ214" s="528" t="str">
        <f t="shared" si="12"/>
      </c>
      <c r="ER214" s="528" t="str">
        <f t="shared" si="12"/>
      </c>
      <c r="ES214" s="528" t="str">
        <f t="shared" si="12"/>
      </c>
      <c r="ET214" s="528" t="str">
        <f t="shared" si="12"/>
      </c>
      <c r="EU214" s="528" t="str">
        <f t="shared" si="12"/>
      </c>
      <c r="EV214" s="528" t="str">
        <f t="shared" si="12"/>
      </c>
      <c r="EW214" s="528" t="str">
        <f t="shared" si="12"/>
      </c>
      <c r="EX214" s="528" t="str">
        <f t="shared" si="12"/>
      </c>
      <c r="EY214" s="528" t="str">
        <f t="shared" si="12"/>
      </c>
      <c r="EZ214" s="528" t="str">
        <f t="shared" si="12"/>
      </c>
      <c r="FA214" s="528" t="str">
        <f ref="FA214:HL214" t="shared" si="13">IF(SUM(FA195:FA213)&lt;&gt;0,SUM(FA195:FA213),"")</f>
      </c>
      <c r="FB214" s="528" t="str">
        <f t="shared" si="13"/>
      </c>
      <c r="FC214" s="528" t="str">
        <f t="shared" si="13"/>
      </c>
      <c r="FD214" s="528" t="str">
        <f t="shared" si="13"/>
      </c>
      <c r="FE214" s="528" t="str">
        <f t="shared" si="13"/>
      </c>
      <c r="FF214" s="528" t="str">
        <f t="shared" si="13"/>
      </c>
      <c r="FG214" s="528" t="str">
        <f t="shared" si="13"/>
      </c>
      <c r="FH214" s="528" t="str">
        <f t="shared" si="13"/>
      </c>
      <c r="FI214" s="528" t="str">
        <f t="shared" si="13"/>
      </c>
      <c r="FJ214" s="528" t="str">
        <f t="shared" si="13"/>
      </c>
      <c r="FK214" s="528" t="str">
        <f t="shared" si="13"/>
      </c>
      <c r="FL214" s="528" t="str">
        <f t="shared" si="13"/>
      </c>
      <c r="FM214" s="528" t="str">
        <f t="shared" si="13"/>
      </c>
      <c r="FN214" s="528" t="str">
        <f t="shared" si="13"/>
      </c>
      <c r="FO214" s="528" t="str">
        <f t="shared" si="13"/>
      </c>
      <c r="FP214" s="528" t="str">
        <f t="shared" si="13"/>
      </c>
      <c r="FQ214" s="528" t="str">
        <f t="shared" si="13"/>
      </c>
      <c r="FR214" s="528" t="str">
        <f t="shared" si="13"/>
      </c>
      <c r="FS214" s="528" t="str">
        <f t="shared" si="13"/>
      </c>
      <c r="FT214" s="528" t="str">
        <f t="shared" si="13"/>
      </c>
      <c r="FU214" s="528" t="str">
        <f t="shared" si="13"/>
      </c>
      <c r="FV214" s="528" t="str">
        <f t="shared" si="13"/>
      </c>
      <c r="FW214" s="528" t="str">
        <f t="shared" si="13"/>
      </c>
      <c r="FX214" s="528" t="str">
        <f t="shared" si="13"/>
      </c>
      <c r="FY214" s="528" t="str">
        <f t="shared" si="13"/>
      </c>
      <c r="FZ214" s="528" t="str">
        <f t="shared" si="13"/>
      </c>
      <c r="GA214" s="528" t="str">
        <f t="shared" si="13"/>
      </c>
      <c r="GB214" s="528" t="str">
        <f t="shared" si="13"/>
      </c>
      <c r="GC214" s="528" t="str">
        <f t="shared" si="13"/>
      </c>
      <c r="GD214" s="528" t="str">
        <f t="shared" si="13"/>
      </c>
      <c r="GE214" s="528" t="str">
        <f t="shared" si="13"/>
      </c>
      <c r="GF214" s="528" t="str">
        <f t="shared" si="13"/>
      </c>
      <c r="GG214" s="528" t="str">
        <f t="shared" si="13"/>
      </c>
      <c r="GH214" s="528" t="str">
        <f t="shared" si="13"/>
      </c>
      <c r="GI214" s="528" t="str">
        <f t="shared" si="13"/>
      </c>
      <c r="GJ214" s="528" t="str">
        <f t="shared" si="13"/>
      </c>
      <c r="GK214" s="528" t="str">
        <f t="shared" si="13"/>
      </c>
      <c r="GL214" s="528" t="str">
        <f t="shared" si="13"/>
      </c>
      <c r="GM214" s="528" t="str">
        <f t="shared" si="13"/>
      </c>
      <c r="GN214" s="528" t="str">
        <f t="shared" si="13"/>
      </c>
      <c r="GO214" s="528" t="str">
        <f t="shared" si="13"/>
      </c>
      <c r="GP214" s="528" t="str">
        <f t="shared" si="13"/>
      </c>
      <c r="GQ214" s="528" t="str">
        <f t="shared" si="13"/>
      </c>
      <c r="GR214" s="528" t="str">
        <f t="shared" si="13"/>
      </c>
      <c r="GS214" s="528" t="str">
        <f t="shared" si="13"/>
      </c>
      <c r="GT214" s="528" t="str">
        <f t="shared" si="13"/>
      </c>
      <c r="GU214" s="528" t="str">
        <f t="shared" si="13"/>
      </c>
      <c r="GV214" s="528" t="str">
        <f t="shared" si="13"/>
      </c>
      <c r="GW214" s="528" t="str">
        <f t="shared" si="13"/>
      </c>
      <c r="GX214" s="528" t="str">
        <f t="shared" si="13"/>
      </c>
      <c r="GY214" s="528" t="str">
        <f t="shared" si="13"/>
      </c>
      <c r="GZ214" s="528" t="str">
        <f t="shared" si="13"/>
      </c>
      <c r="HA214" s="528" t="str">
        <f t="shared" si="13"/>
      </c>
      <c r="HB214" s="528" t="str">
        <f t="shared" si="13"/>
      </c>
      <c r="HC214" s="528" t="str">
        <f t="shared" si="13"/>
      </c>
      <c r="HD214" s="528" t="str">
        <f t="shared" si="13"/>
      </c>
      <c r="HE214" s="528" t="str">
        <f t="shared" si="13"/>
      </c>
      <c r="HF214" s="528" t="str">
        <f t="shared" si="13"/>
      </c>
      <c r="HG214" s="528" t="str">
        <f t="shared" si="13"/>
      </c>
      <c r="HH214" s="528" t="str">
        <f t="shared" si="13"/>
      </c>
      <c r="HI214" s="528" t="str">
        <f t="shared" si="13"/>
      </c>
      <c r="HJ214" s="528" t="str">
        <f t="shared" si="13"/>
      </c>
      <c r="HK214" s="528" t="str">
        <f t="shared" si="13"/>
      </c>
      <c r="HL214" s="528" t="str">
        <f t="shared" si="13"/>
      </c>
      <c r="HM214" s="528" t="str">
        <f ref="HM214:IV214" t="shared" si="14">IF(SUM(HM195:HM213)&lt;&gt;0,SUM(HM195:HM213),"")</f>
      </c>
      <c r="HN214" s="528" t="str">
        <f t="shared" si="14"/>
      </c>
      <c r="HO214" s="528" t="str">
        <f t="shared" si="14"/>
      </c>
      <c r="HP214" s="528" t="str">
        <f t="shared" si="14"/>
      </c>
      <c r="HQ214" s="528" t="str">
        <f t="shared" si="14"/>
      </c>
      <c r="HR214" s="528" t="str">
        <f t="shared" si="14"/>
      </c>
      <c r="HS214" s="528" t="str">
        <f t="shared" si="14"/>
      </c>
      <c r="HT214" s="528" t="str">
        <f t="shared" si="14"/>
      </c>
      <c r="HU214" s="528" t="str">
        <f t="shared" si="14"/>
      </c>
      <c r="HV214" s="528" t="str">
        <f t="shared" si="14"/>
      </c>
      <c r="HW214" s="528" t="str">
        <f t="shared" si="14"/>
      </c>
      <c r="HX214" s="528" t="str">
        <f t="shared" si="14"/>
      </c>
      <c r="HY214" s="528" t="str">
        <f t="shared" si="14"/>
      </c>
      <c r="HZ214" s="528" t="str">
        <f t="shared" si="14"/>
      </c>
      <c r="IA214" s="528" t="str">
        <f t="shared" si="14"/>
      </c>
      <c r="IB214" s="528" t="str">
        <f t="shared" si="14"/>
      </c>
      <c r="IC214" s="528" t="str">
        <f t="shared" si="14"/>
      </c>
      <c r="ID214" s="528" t="str">
        <f t="shared" si="14"/>
      </c>
      <c r="IE214" s="528" t="str">
        <f t="shared" si="14"/>
      </c>
      <c r="IF214" s="528" t="str">
        <f t="shared" si="14"/>
      </c>
      <c r="IG214" s="528" t="str">
        <f t="shared" si="14"/>
      </c>
      <c r="IH214" s="528" t="str">
        <f t="shared" si="14"/>
      </c>
      <c r="II214" s="528" t="str">
        <f t="shared" si="14"/>
      </c>
      <c r="IJ214" s="528" t="str">
        <f t="shared" si="14"/>
      </c>
      <c r="IK214" s="528" t="str">
        <f t="shared" si="14"/>
      </c>
      <c r="IL214" s="528" t="str">
        <f t="shared" si="14"/>
      </c>
      <c r="IM214" s="528" t="str">
        <f t="shared" si="14"/>
      </c>
      <c r="IN214" s="528" t="str">
        <f t="shared" si="14"/>
      </c>
      <c r="IO214" s="528" t="str">
        <f t="shared" si="14"/>
      </c>
      <c r="IP214" s="528" t="str">
        <f t="shared" si="14"/>
      </c>
      <c r="IQ214" s="528" t="str">
        <f t="shared" si="14"/>
      </c>
      <c r="IR214" s="528" t="str">
        <f t="shared" si="14"/>
      </c>
      <c r="IS214" s="528" t="str">
        <f t="shared" si="14"/>
      </c>
      <c r="IT214" s="528" t="str">
        <f t="shared" si="14"/>
      </c>
      <c r="IU214" s="528" t="str">
        <f t="shared" si="14"/>
      </c>
      <c r="IV214" s="528" t="str">
        <f t="shared" si="14"/>
      </c>
    </row>
    <row r="215" hidden="1" ht="15.95" customHeight="1"/>
    <row r="216" ht="15.95" customHeight="1"/>
  </sheetData>
  <sheetProtection sheet="1" autoFilter="0" objects="1" scenarios="1" sort="0" password="ed66"/>
  <mergeCells>
    <mergeCell ref="C193:AB193"/>
    <mergeCell ref="C127:AB127"/>
    <mergeCell ref="C150:AB150"/>
    <mergeCell ref="C22:M22"/>
    <mergeCell ref="C25:M26"/>
    <mergeCell ref="B9:E9"/>
    <mergeCell ref="C14:M14"/>
    <mergeCell ref="C15:M15"/>
    <mergeCell ref="C18:M18"/>
    <mergeCell ref="C20:M20"/>
  </mergeCells>
  <phoneticPr fontId="44" type="noConversion"/>
  <printOptions horizontalCentered="1"/>
  <pageMargins left="0.78740157480314965" right="0.78740157480314965" top="0.98425196850393704" bottom="0.98425196850393704" header="0" footer="0"/>
  <pageSetup paperSize="9" scale="43" orientation="portrait"/>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02401" r:id="rId4" name="Drop Down 1">
              <controlPr defaultSize="0" autoLine="0" autoPict="0">
                <anchor moveWithCells="1">
                  <from>
                    <xdr:col>5</xdr:col>
                    <xdr:colOff>9525</xdr:colOff>
                    <xdr:row>7</xdr:row>
                    <xdr:rowOff>9525</xdr:rowOff>
                  </from>
                  <to>
                    <xdr:col>7</xdr:col>
                    <xdr:colOff>209550</xdr:colOff>
                    <xdr:row>9</xdr:row>
                    <xdr:rowOff>9525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ontainsText" priority="14" operator="containsText" id="{33AF64A7-93DC-4F07-9CCD-7043F4A1FA4F}">
            <xm:f>NOT(ISERROR(SEARCH("",AC171)))</xm:f>
            <xm:f>""</xm:f>
            <x14:dxf>
              <numFmt numFmtId="3" formatCode="#,##0"/>
              <border>
                <left style="thin">
                  <color auto="1"/>
                </left>
                <right style="thin">
                  <color auto="1"/>
                </right>
                <top style="thin">
                  <color auto="1"/>
                </top>
                <bottom style="thin">
                  <color auto="1"/>
                </bottom>
                <vertical/>
                <horizontal/>
              </border>
            </x14:dxf>
          </x14:cfRule>
          <xm:sqref>AC171:IV171</xm:sqref>
        </x14:conditionalFormatting>
        <x14:conditionalFormatting xmlns:xm="http://schemas.microsoft.com/office/excel/2006/main">
          <x14:cfRule type="containsText" priority="13" operator="containsText" id="{4126A40A-A9C1-4E0C-A629-08A9BD8FE47B}">
            <xm:f>NOT(ISERROR(SEARCH("",C152)))</xm:f>
            <xm:f>""</xm:f>
            <x14:dxf>
              <numFmt numFmtId="3" formatCode="#,##0"/>
              <border>
                <right style="thin">
                  <color auto="1"/>
                </right>
                <top style="thin">
                  <color auto="1"/>
                </top>
                <bottom style="thin">
                  <color auto="1"/>
                </bottom>
                <vertical/>
                <horizontal/>
              </border>
            </x14:dxf>
          </x14:cfRule>
          <xm:sqref>C152:IV170</xm:sqref>
        </x14:conditionalFormatting>
        <x14:conditionalFormatting xmlns:xm="http://schemas.microsoft.com/office/excel/2006/main">
          <x14:cfRule type="containsText" priority="8" operator="containsText" id="{72E6B0E5-A67D-42FA-8E9F-D9FC50AA301F}">
            <xm:f>NOT(ISERROR(SEARCH("",AD128)))</xm:f>
            <xm:f>""</xm:f>
            <x14:dxf>
              <numFmt numFmtId="3" formatCode="#,##0"/>
              <border>
                <left style="thin">
                  <color auto="1"/>
                </left>
                <right style="thin">
                  <color auto="1"/>
                </right>
                <top style="thin">
                  <color auto="1"/>
                </top>
                <bottom style="thin">
                  <color auto="1"/>
                </bottom>
                <vertical/>
                <horizontal/>
              </border>
            </x14:dxf>
          </x14:cfRule>
          <xm:sqref>AD128:AG128 AI128:AL128 AN128:AQ128 AS128:AV128 AX128:BA128 BC128:BF128 BH128:BK128 BM128:BP128 BR128:BU128 BW128:BZ128 CB128:CE128 CG128:CJ128 CL128:CO128 CQ128:CT128 CV128:CY128 DA128:DD128 DF128:DI128 DK128:DN128 DP128:DS128 DU128:DX128 DZ128:EC128 EE128:EH128 EJ128:EM128 EO128:ER128 ET128:EW128 EY128:FB128 FD128:FG128 FI128:FL128 FN128:FQ128 FS128:FV128 FX128:GA128 GC128:GF128 GH128:GK128 GM128:GP128 GR128:GU128 GW128:GZ128 HB128:HE128 HG128:HJ128 HL128:HO128 HQ128:HT128 HV128:HY128 IA128:ID128 IF128:II128 IK128:IN128 IP128:IS128 IU128:IV128</xm:sqref>
        </x14:conditionalFormatting>
        <x14:conditionalFormatting xmlns:xm="http://schemas.microsoft.com/office/excel/2006/main">
          <x14:cfRule type="containsText" priority="12" operator="containsText" id="{38047FE8-BA3A-449F-AF57-7B66D1F24B7E}">
            <xm:f>NOT(ISERROR(SEARCH("",AD151)))</xm:f>
            <xm:f>""</xm:f>
            <x14:dxf>
              <numFmt numFmtId="3" formatCode="#,##0"/>
              <border>
                <left style="thin">
                  <color auto="1"/>
                </left>
                <right style="thin">
                  <color auto="1"/>
                </right>
                <top style="thin">
                  <color auto="1"/>
                </top>
                <bottom style="thin">
                  <color auto="1"/>
                </bottom>
                <vertical/>
                <horizontal/>
              </border>
            </x14:dxf>
          </x14:cfRule>
          <xm:sqref>AD151:AG151 AI151:AL151 AN151:AQ151 AS151:AV151 AX151:BA151 BC151:BF151 BH151:BK151 BM151:BP151 BR151:BU151 BW151:BZ151 CB151:CE151 CG151:CJ151 CL151:CO151 CQ151:CT151 CV151:CY151 DA151:DD151 DF151:DI151 DK151:DN151 DP151:DS151 DU151:DX151 DZ151:EC151 EE151:EH151 EJ151:EM151 EO151:ER151 ET151:EW151 EY151:FB151 FD151:FG151 FI151:FL151 FN151:FQ151 FS151:FV151 FX151:GA151 GC151:GF151 GH151:GK151 GM151:GP151 GR151:GU151 GW151:GZ151 HB151:HE151 HG151:HJ151 HL151:HO151 HQ151:HT151 HV151:HY151 IA151:ID151 IF151:II151 IK151:IN151 IP151:IS151 IU151:IV151</xm:sqref>
        </x14:conditionalFormatting>
        <x14:conditionalFormatting xmlns:xm="http://schemas.microsoft.com/office/excel/2006/main">
          <x14:cfRule type="containsText" priority="11" operator="containsText" id="{C2495C36-63A8-46B4-82C6-C20BBBF46A5C}">
            <xm:f>NOT(ISERROR(SEARCH("",AC151)))</xm:f>
            <xm:f>""</xm:f>
            <x14:dxf>
              <numFmt numFmtId="3" formatCode="#,##0"/>
              <border>
                <left style="thin">
                  <color auto="1"/>
                </left>
                <right style="thin">
                  <color auto="1"/>
                </right>
                <top style="thin">
                  <color auto="1"/>
                </top>
                <bottom style="thin">
                  <color auto="1"/>
                </bottom>
                <vertical/>
                <horizontal/>
              </border>
            </x14:dxf>
          </x14:cfRule>
          <xm:sqref>AC151 AH151 AM151 AR151 AW151 BB151 BG151 BL151 BQ151 BV151 CA151 CF151 CK151 CP151 CU151 CZ151 DE151 DJ151 DO151 DT151 DY151 ED151 EI151 EN151 ES151 EX151 FC151 FH151 FM151 FR151 FW151 GB151 GG151 GL151 GQ151 GV151 HA151 HF151 HK151 HP151 HU151 HZ151 IE151 IJ151 IO151 IT151</xm:sqref>
        </x14:conditionalFormatting>
        <x14:conditionalFormatting xmlns:xm="http://schemas.microsoft.com/office/excel/2006/main">
          <x14:cfRule type="containsText" priority="10" operator="containsText" id="{BD2C2B0A-BC37-4860-A330-85596F93A353}">
            <xm:f>NOT(ISERROR(SEARCH("",AC148)))</xm:f>
            <xm:f>""</xm:f>
            <x14:dxf>
              <numFmt numFmtId="3" formatCode="#,##0"/>
              <border>
                <left style="thin">
                  <color auto="1"/>
                </left>
                <right style="thin">
                  <color auto="1"/>
                </right>
                <top style="thin">
                  <color auto="1"/>
                </top>
                <bottom style="thin">
                  <color auto="1"/>
                </bottom>
                <vertical/>
                <horizontal/>
              </border>
            </x14:dxf>
          </x14:cfRule>
          <xm:sqref>AC148:IV148</xm:sqref>
        </x14:conditionalFormatting>
        <x14:conditionalFormatting xmlns:xm="http://schemas.microsoft.com/office/excel/2006/main">
          <x14:cfRule type="containsText" priority="9" operator="containsText" id="{26FAB8F8-BF87-47C3-B9AA-DD08F77E5CE5}">
            <xm:f>NOT(ISERROR(SEARCH("",C129)))</xm:f>
            <xm:f>""</xm:f>
            <x14:dxf>
              <numFmt numFmtId="3" formatCode="#,##0"/>
              <border>
                <right style="thin">
                  <color auto="1"/>
                </right>
                <top style="thin">
                  <color auto="1"/>
                </top>
                <bottom style="thin">
                  <color auto="1"/>
                </bottom>
                <vertical/>
                <horizontal/>
              </border>
            </x14:dxf>
          </x14:cfRule>
          <xm:sqref>C129:IV147</xm:sqref>
        </x14:conditionalFormatting>
        <x14:conditionalFormatting xmlns:xm="http://schemas.microsoft.com/office/excel/2006/main">
          <x14:cfRule type="containsText" priority="7" operator="containsText" id="{1891762A-BF05-4B81-99BD-B31BF0B72F4C}">
            <xm:f>NOT(ISERROR(SEARCH("",AC128)))</xm:f>
            <xm:f>""</xm:f>
            <x14:dxf>
              <numFmt numFmtId="3" formatCode="#,##0"/>
              <border>
                <left style="thin">
                  <color auto="1"/>
                </left>
                <right style="thin">
                  <color auto="1"/>
                </right>
                <top style="thin">
                  <color auto="1"/>
                </top>
                <bottom style="thin">
                  <color auto="1"/>
                </bottom>
                <vertical/>
                <horizontal/>
              </border>
            </x14:dxf>
          </x14:cfRule>
          <xm:sqref>AC128 AH128 AM128 AR128 AW128 BB128 BG128 BL128 BQ128 BV128 CA128 CF128 CK128 CP128 CU128 CZ128 DE128 DJ128 DO128 DT128 DY128 ED128 EI128 EN128 ES128 EX128 FC128 FH128 FM128 FR128 FW128 GB128 GG128 GL128 GQ128 GV128 HA128 HF128 HK128 HP128 HU128 HZ128 IE128 IJ128 IO128 IT128</xm:sqref>
        </x14:conditionalFormatting>
        <x14:conditionalFormatting xmlns:xm="http://schemas.microsoft.com/office/excel/2006/main">
          <x14:cfRule type="containsText" priority="6" operator="containsText" id="{5B2EAFEC-87F9-4F80-9222-8AE2BBF94D32}">
            <xm:f>NOT(ISERROR(SEARCH("",C173)))</xm:f>
            <xm:f>""</xm:f>
            <x14:dxf>
              <numFmt numFmtId="3" formatCode="#,##0"/>
              <border>
                <right style="thin">
                  <color auto="1"/>
                </right>
                <top style="thin">
                  <color auto="1"/>
                </top>
                <bottom style="thin">
                  <color auto="1"/>
                </bottom>
                <vertical/>
                <horizontal/>
              </border>
            </x14:dxf>
          </x14:cfRule>
          <xm:sqref>C173:C191</xm:sqref>
        </x14:conditionalFormatting>
        <x14:conditionalFormatting xmlns:xm="http://schemas.microsoft.com/office/excel/2006/main">
          <x14:cfRule type="containsText" priority="4" operator="containsText" id="{C69FF1D1-AAA8-4C95-96EE-239BEFEBE4E4}">
            <xm:f>NOT(ISERROR(SEARCH("",AC214)))</xm:f>
            <xm:f>""</xm:f>
            <x14:dxf>
              <numFmt numFmtId="3" formatCode="#,##0"/>
              <border>
                <left style="thin">
                  <color auto="1"/>
                </left>
                <right style="thin">
                  <color auto="1"/>
                </right>
                <top style="thin">
                  <color auto="1"/>
                </top>
                <bottom style="thin">
                  <color auto="1"/>
                </bottom>
                <vertical/>
                <horizontal/>
              </border>
            </x14:dxf>
          </x14:cfRule>
          <xm:sqref>AC214:IV214</xm:sqref>
        </x14:conditionalFormatting>
        <x14:conditionalFormatting xmlns:xm="http://schemas.microsoft.com/office/excel/2006/main">
          <x14:cfRule type="containsText" priority="3" operator="containsText" id="{9F75AE5A-AA65-44CE-8BB7-3E164457875B}">
            <xm:f>NOT(ISERROR(SEARCH("",C195)))</xm:f>
            <xm:f>""</xm:f>
            <x14:dxf>
              <numFmt numFmtId="3" formatCode="#,##0"/>
              <border>
                <right style="thin">
                  <color auto="1"/>
                </right>
                <top style="thin">
                  <color auto="1"/>
                </top>
                <bottom style="thin">
                  <color auto="1"/>
                </bottom>
                <vertical/>
                <horizontal/>
              </border>
            </x14:dxf>
          </x14:cfRule>
          <xm:sqref>C195:IV213</xm:sqref>
        </x14:conditionalFormatting>
        <x14:conditionalFormatting xmlns:xm="http://schemas.microsoft.com/office/excel/2006/main">
          <x14:cfRule type="containsText" priority="2" operator="containsText" id="{DCE40CDA-EDD8-499D-BA6E-C1963D3D49D3}">
            <xm:f>NOT(ISERROR(SEARCH("",AD194)))</xm:f>
            <xm:f>""</xm:f>
            <x14:dxf>
              <numFmt numFmtId="3" formatCode="#,##0"/>
              <border>
                <left style="thin">
                  <color auto="1"/>
                </left>
                <right style="thin">
                  <color auto="1"/>
                </right>
                <top style="thin">
                  <color auto="1"/>
                </top>
                <bottom style="thin">
                  <color auto="1"/>
                </bottom>
                <vertical/>
                <horizontal/>
              </border>
            </x14:dxf>
          </x14:cfRule>
          <xm:sqref>AD194:AG194 AI194:AL194 AN194:AQ194 AS194:AV194 AX194:BA194 BC194:BF194 BH194:BK194 BM194:BP194 BR194:BU194 BW194:BZ194 CB194:CE194 CG194:CJ194 CL194:CO194 CQ194:CT194 CV194:CY194 DA194:DD194 DF194:DI194 DK194:DN194 DP194:DS194 DU194:DX194 DZ194:EC194 EE194:EH194 EJ194:EM194 EO194:ER194 ET194:EW194 EY194:FB194 FD194:FG194 FI194:FL194 FN194:FQ194 FS194:FV194 FX194:GA194 GC194:GF194 GH194:GK194 GM194:GP194 GR194:GU194 GW194:GZ194 HB194:HE194 HG194:HJ194 HL194:HO194 HQ194:HT194 HV194:HY194 IA194:ID194 IF194:II194 IK194:IN194 IP194:IS194 IU194:IV194</xm:sqref>
        </x14:conditionalFormatting>
        <x14:conditionalFormatting xmlns:xm="http://schemas.microsoft.com/office/excel/2006/main">
          <x14:cfRule type="containsText" priority="1" operator="containsText" id="{BCCE8019-E2E8-4688-8CC9-9AD476AB2014}">
            <xm:f>NOT(ISERROR(SEARCH("",AC194)))</xm:f>
            <xm:f>""</xm:f>
            <x14:dxf>
              <numFmt numFmtId="3" formatCode="#,##0"/>
              <border>
                <left style="thin">
                  <color auto="1"/>
                </left>
                <right style="thin">
                  <color auto="1"/>
                </right>
                <top style="thin">
                  <color auto="1"/>
                </top>
                <bottom style="thin">
                  <color auto="1"/>
                </bottom>
                <vertical/>
                <horizontal/>
              </border>
            </x14:dxf>
          </x14:cfRule>
          <xm:sqref>AC194 AH194 AM194 AR194 AW194 BB194 BG194 BL194 BQ194 BV194 CA194 CF194 CK194 CP194 CU194 CZ194 DE194 DJ194 DO194 DT194 DY194 ED194 EI194 EN194 ES194 EX194 FC194 FH194 FM194 FR194 FW194 GB194 GG194 GL194 GQ194 GV194 HA194 HF194 HK194 HP194 HU194 HZ194 IE194 IJ194 IO194 IT194</xm:sqref>
        </x14:conditionalFormatting>
      </x14:conditionalFormattings>
    </ext>
  </extLs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mc:Ignorable="x14ac xr">
  <sheetPr codeName="Hoja25">
    <tabColor indexed="44"/>
  </sheetPr>
  <dimension ref="A1:IV210"/>
  <sheetViews>
    <sheetView showGridLines="0" view="pageBreakPreview" zoomScaleNormal="100" workbookViewId="0">
      <pane ySplit="9" topLeftCell="A10" activePane="bottomLeft" state="frozen"/>
      <selection pane="bottomLeft" activeCell="A10" sqref="A10"/>
    </sheetView>
  </sheetViews>
  <sheetFormatPr baseColWidth="10" defaultRowHeight="12.75"/>
  <cols>
    <col min="1" max="1" width="11.42578125" customWidth="1" style="51"/>
    <col min="2" max="2" bestFit="1" width="19.5703125" customWidth="1" style="51"/>
    <col min="3" max="11" width="11.7109375" customWidth="1" style="51"/>
    <col min="12" max="14" width="11.42578125" customWidth="1" style="51"/>
    <col min="15" max="15" width="10.85546875" customWidth="1" style="51"/>
    <col min="16" max="16384" width="11.42578125" customWidth="1" style="51"/>
  </cols>
  <sheetData>
    <row r="1">
      <c r="A1" s="46"/>
      <c r="B1" s="47"/>
      <c r="C1" s="47"/>
      <c r="D1" s="47"/>
      <c r="E1" s="47"/>
      <c r="F1" s="47"/>
      <c r="G1" s="47"/>
      <c r="H1" s="47"/>
      <c r="I1" s="47"/>
      <c r="J1" s="47"/>
      <c r="K1" s="47"/>
      <c r="L1" s="47"/>
      <c r="M1" s="47"/>
      <c r="N1" s="47"/>
      <c r="O1" s="48"/>
    </row>
    <row r="2">
      <c r="A2" s="52"/>
      <c r="B2" s="49"/>
      <c r="C2" s="49"/>
      <c r="D2" s="49"/>
      <c r="E2" s="49"/>
      <c r="F2" s="49"/>
      <c r="G2" s="49"/>
      <c r="H2" s="49"/>
      <c r="I2" s="49"/>
      <c r="J2" s="49"/>
      <c r="K2" s="49"/>
      <c r="L2" s="49"/>
      <c r="M2" s="49"/>
      <c r="N2" s="49"/>
      <c r="O2" s="53"/>
    </row>
    <row r="3">
      <c r="A3" s="52"/>
      <c r="B3" s="49"/>
      <c r="C3" s="49"/>
      <c r="D3" s="49"/>
      <c r="E3" s="49"/>
      <c r="F3" s="49"/>
      <c r="G3" s="49"/>
      <c r="H3" s="49"/>
      <c r="I3" s="49"/>
      <c r="J3" s="49"/>
      <c r="K3" s="49"/>
      <c r="L3" s="49"/>
      <c r="M3" s="49"/>
      <c r="N3" s="49"/>
      <c r="O3" s="53"/>
    </row>
    <row r="4">
      <c r="A4" s="52"/>
      <c r="B4" s="49"/>
      <c r="C4" s="49"/>
      <c r="D4" s="49"/>
      <c r="E4" s="49"/>
      <c r="F4" s="49"/>
      <c r="G4" s="49"/>
      <c r="H4" s="49"/>
      <c r="I4" s="49"/>
      <c r="J4" s="49"/>
      <c r="K4" s="49"/>
      <c r="L4" s="49"/>
      <c r="M4" s="49"/>
      <c r="N4" s="49"/>
      <c r="O4" s="53"/>
    </row>
    <row r="5">
      <c r="A5" s="52"/>
      <c r="B5" s="49"/>
      <c r="C5" s="49"/>
      <c r="D5" s="49"/>
      <c r="E5" s="49"/>
      <c r="F5" s="49"/>
      <c r="G5" s="49"/>
      <c r="H5" s="49"/>
      <c r="I5" s="49"/>
      <c r="J5" s="49"/>
      <c r="K5" s="49"/>
      <c r="L5" s="49"/>
      <c r="M5" s="49"/>
      <c r="N5" s="49"/>
      <c r="O5" s="53"/>
    </row>
    <row r="6" ht="13.5">
      <c r="A6" s="54"/>
      <c r="B6" s="55"/>
      <c r="C6" s="55"/>
      <c r="D6" s="55"/>
      <c r="E6" s="55"/>
      <c r="F6" s="55"/>
      <c r="G6" s="55"/>
      <c r="H6" s="55"/>
      <c r="I6" s="55"/>
      <c r="J6" s="55"/>
      <c r="K6" s="55"/>
      <c r="L6" s="55"/>
      <c r="M6" s="55"/>
      <c r="N6" s="55"/>
      <c r="O6" s="56"/>
    </row>
    <row r="7" s="57" customFormat="1"/>
    <row r="8">
      <c r="F8" s="131">
        <v>20</v>
      </c>
      <c r="I8" s="51" t="s">
        <v>100</v>
      </c>
      <c r="J8" s="51" t="e">
        <f>LOOKUP(AUX!$E$10,AUX!$B:$B,AUX!$A:$A)</f>
        <v>#N/A</v>
      </c>
    </row>
    <row r="9">
      <c r="B9" s="597" t="s">
        <v>101</v>
      </c>
      <c r="C9" s="597"/>
      <c r="D9" s="597"/>
      <c r="E9" s="597"/>
      <c r="I9" s="51" t="s">
        <v>1</v>
      </c>
      <c r="J9" s="51" t="str">
        <f>LOOKUP(AUX!$E$11,AUX!$E1:$E5,AUX!$D1:$D5)</f>
        <v>6 meses</v>
      </c>
    </row>
    <row r="13" ht="13.5"/>
    <row r="14" ht="15.75">
      <c r="C14" s="610" t="s">
        <v>181</v>
      </c>
      <c r="D14" s="611"/>
      <c r="E14" s="611"/>
      <c r="F14" s="611"/>
      <c r="G14" s="611"/>
      <c r="H14" s="611"/>
      <c r="I14" s="611"/>
      <c r="J14" s="611"/>
      <c r="K14" s="611"/>
      <c r="L14" s="611"/>
      <c r="M14" s="612"/>
    </row>
    <row r="15" ht="15.75">
      <c r="C15" s="794" t="s">
        <v>182</v>
      </c>
      <c r="D15" s="795"/>
      <c r="E15" s="795"/>
      <c r="F15" s="795"/>
      <c r="G15" s="795"/>
      <c r="H15" s="795"/>
      <c r="I15" s="795"/>
      <c r="J15" s="795"/>
      <c r="K15" s="795"/>
      <c r="L15" s="795"/>
      <c r="M15" s="796"/>
    </row>
    <row r="16" ht="16.5" customHeight="1">
      <c r="C16" s="141"/>
      <c r="D16" s="142"/>
      <c r="E16" s="142"/>
      <c r="F16" s="142"/>
      <c r="G16" s="142"/>
      <c r="H16" s="142"/>
      <c r="I16" s="142"/>
      <c r="J16" s="142"/>
      <c r="K16" s="142"/>
      <c r="L16" s="142"/>
      <c r="M16" s="143"/>
    </row>
    <row r="17" ht="15">
      <c r="B17" s="209"/>
      <c r="C17" s="145" t="e">
        <f>INDEX(AUX!$G$1:$IV$1,1,AUX!$E$10+(AUX!$E$11*AUX!G$2))</f>
        <v>#VALUE!</v>
      </c>
      <c r="D17" s="146">
        <f>INDEX(AUX!$G$1:$IV$1,1,AUX!$E$10+(AUX!$E$11*AUX!H$2))</f>
        <v>38899</v>
      </c>
      <c r="E17" s="146">
        <f>INDEX(AUX!$G$1:$IV$1,1,AUX!$E$10+(AUX!$E$11*AUX!I$2))</f>
        <v>39083</v>
      </c>
      <c r="F17" s="146">
        <f>INDEX(AUX!$G$1:$IV$1,1,AUX!$E$10+(AUX!$E$11*AUX!J$2))</f>
        <v>39264</v>
      </c>
      <c r="G17" s="146">
        <f>INDEX(AUX!$G$1:$IV$1,1,AUX!$E$10+(AUX!$E$11*AUX!K$2))</f>
        <v>39448</v>
      </c>
      <c r="H17" s="146">
        <f>INDEX(AUX!$G$1:$IV$1,1,AUX!$E$10+(AUX!$E$11*AUX!L$2))</f>
        <v>39630</v>
      </c>
      <c r="I17" s="146">
        <f>INDEX(AUX!$G$1:$IV$1,1,AUX!$E$10+(AUX!$E$11*AUX!M$2))</f>
        <v>39814</v>
      </c>
      <c r="J17" s="146">
        <f>INDEX(AUX!$G$1:$IV$1,1,AUX!$E$10+(AUX!$E$11*AUX!N$2))</f>
        <v>39995</v>
      </c>
      <c r="K17" s="146">
        <f>INDEX(AUX!$G$1:$IV$1,1,AUX!$E$10+(AUX!$E$11*AUX!O$2))</f>
        <v>40179</v>
      </c>
      <c r="L17" s="146">
        <f>INDEX(AUX!$G$1:$IV$1,1,AUX!$E$10+(AUX!$E$11*AUX!P$2))</f>
        <v>40360</v>
      </c>
      <c r="M17" s="147">
        <f>INDEX(AUX!$G$1:$IV$1,1,AUX!$E$10+(AUX!$E$11*AUX!Q$2))</f>
        <v>40544</v>
      </c>
      <c r="N17" s="164"/>
      <c r="O17" s="285"/>
    </row>
    <row r="18" ht="17.25">
      <c r="B18" s="288"/>
      <c r="C18" s="797" t="s">
        <v>183</v>
      </c>
      <c r="D18" s="798"/>
      <c r="E18" s="798"/>
      <c r="F18" s="798"/>
      <c r="G18" s="798"/>
      <c r="H18" s="798"/>
      <c r="I18" s="798"/>
      <c r="J18" s="798"/>
      <c r="K18" s="798"/>
      <c r="L18" s="798"/>
      <c r="M18" s="799"/>
    </row>
    <row r="19" ht="15.75">
      <c r="B19" s="359" t="str">
        <f>INDEX($B$125:$H$144,$F$8,1)</f>
        <v>Total</v>
      </c>
      <c r="C19" s="289" t="str">
        <f>IF(INDEX($C$125:$II$144,$F$8,AUX!$E$10+(AUX!$E$11*AUX!G$2))="","--",INDEX($C$125:$II$144,$F$8,AUX!$E$10+(AUX!$E$11*AUX!G$2)))</f>
        <v>--</v>
      </c>
      <c r="D19" s="290" t="str">
        <f>IF(INDEX($C$125:$II$144,$F$8,AUX!$E$10+(AUX!$E$11*AUX!H$2))="","--",INDEX($C$125:$II$144,$F$8,AUX!$E$10+(AUX!$E$11*AUX!H$2)))</f>
        <v>--</v>
      </c>
      <c r="E19" s="290" t="str">
        <f>IF(INDEX($C$125:$II$144,$F$8,AUX!$E$10+(AUX!$E$11*AUX!I$2))="","--",INDEX($C$125:$II$144,$F$8,AUX!$E$10+(AUX!$E$11*AUX!I$2)))</f>
        <v>--</v>
      </c>
      <c r="F19" s="290" t="str">
        <f>IF(INDEX($C$125:$II$144,$F$8,AUX!$E$10+(AUX!$E$11*AUX!J$2))="","--",INDEX($C$125:$II$144,$F$8,AUX!$E$10+(AUX!$E$11*AUX!J$2)))</f>
        <v>--</v>
      </c>
      <c r="G19" s="290" t="str">
        <f>IF(INDEX($C$125:$II$144,$F$8,AUX!$E$10+(AUX!$E$11*AUX!K$2))="","--",INDEX($C$125:$II$144,$F$8,AUX!$E$10+(AUX!$E$11*AUX!K$2)))</f>
        <v>--</v>
      </c>
      <c r="H19" s="290" t="str">
        <f>IF(INDEX($C$125:$II$144,$F$8,AUX!$E$10+(AUX!$E$11*AUX!L$2))="","--",INDEX($C$125:$II$144,$F$8,AUX!$E$10+(AUX!$E$11*AUX!L$2)))</f>
        <v>--</v>
      </c>
      <c r="I19" s="290" t="str">
        <f>IF(INDEX($C$125:$II$144,$F$8,AUX!$E$10+(AUX!$E$11*AUX!M$2))="","--",INDEX($C$125:$II$144,$F$8,AUX!$E$10+(AUX!$E$11*AUX!M$2)))</f>
        <v>--</v>
      </c>
      <c r="J19" s="290" t="str">
        <f>IF(INDEX($C$125:$II$144,$F$8,AUX!$E$10+(AUX!$E$11*AUX!N$2))="","--",INDEX($C$125:$II$144,$F$8,AUX!$E$10+(AUX!$E$11*AUX!N$2)))</f>
        <v>--</v>
      </c>
      <c r="K19" s="290" t="str">
        <f>IF(INDEX($C$125:$II$144,$F$8,AUX!$E$10+(AUX!$E$11*AUX!O$2))="","--",INDEX($C$125:$II$144,$F$8,AUX!$E$10+(AUX!$E$11*AUX!O$2)))</f>
        <v>--</v>
      </c>
      <c r="L19" s="290" t="str">
        <f>IF(INDEX($C$125:$II$144,$F$8,AUX!$E$10+(AUX!$E$11*AUX!P$2))="","--",INDEX($C$125:$II$144,$F$8,AUX!$E$10+(AUX!$E$11*AUX!P$2)))</f>
        <v>--</v>
      </c>
      <c r="M19" s="291" t="str">
        <f>IF(INDEX($C$125:$II$144,$F$8,AUX!$E$10+(AUX!$E$11*AUX!Q$2))="","--",INDEX($C$125:$II$144,$F$8,AUX!$E$10+(AUX!$E$11*AUX!Q$2)))</f>
        <v>--</v>
      </c>
      <c r="N19" s="201"/>
    </row>
    <row r="20" ht="17.25" customHeight="1">
      <c r="C20" s="797" t="s">
        <v>184</v>
      </c>
      <c r="D20" s="798"/>
      <c r="E20" s="798"/>
      <c r="F20" s="798"/>
      <c r="G20" s="798"/>
      <c r="H20" s="798"/>
      <c r="I20" s="798"/>
      <c r="J20" s="798"/>
      <c r="K20" s="798"/>
      <c r="L20" s="798"/>
      <c r="M20" s="799"/>
      <c r="N20" s="201"/>
      <c r="O20" s="201"/>
    </row>
    <row r="21" ht="16.5" customHeight="1">
      <c r="C21" s="523" t="str">
        <f>IF(INDEX($C$191:$II$210,$F$8,AUX!$E$10+(AUX!$E$11*AUX!G$2))="","--",INDEX($C$191:$II$210,$F$8,AUX!$E$10+(AUX!$E$11*AUX!G$2)))</f>
        <v>--</v>
      </c>
      <c r="D21" s="521" t="str">
        <f>IF(INDEX($C$191:$II$210,$F$8,AUX!$E$10+(AUX!$E$11*AUX!H$2))="","--",INDEX($C$191:$II$210,$F$8,AUX!$E$10+(AUX!$E$11*AUX!H$2)))</f>
        <v>--</v>
      </c>
      <c r="E21" s="521" t="str">
        <f>IF(INDEX($C$191:$II$210,$F$8,AUX!$E$10+(AUX!$E$11*AUX!I$2))="","--",INDEX($C$191:$II$210,$F$8,AUX!$E$10+(AUX!$E$11*AUX!I$2)))</f>
        <v>--</v>
      </c>
      <c r="F21" s="521" t="str">
        <f>IF(INDEX($C$191:$II$210,$F$8,AUX!$E$10+(AUX!$E$11*AUX!J$2))="","--",INDEX($C$191:$II$210,$F$8,AUX!$E$10+(AUX!$E$11*AUX!J$2)))</f>
        <v>--</v>
      </c>
      <c r="G21" s="521" t="str">
        <f>IF(INDEX($C$191:$II$210,$F$8,AUX!$E$10+(AUX!$E$11*AUX!K$2))="","--",INDEX($C$191:$II$210,$F$8,AUX!$E$10+(AUX!$E$11*AUX!K$2)))</f>
        <v>--</v>
      </c>
      <c r="H21" s="293" t="str">
        <f>IF(INDEX($C$191:$II$210,$F$8,AUX!$E$10+(AUX!$E$11*AUX!L$2))="","--",INDEX($C$191:$II$210,$F$8,AUX!$E$10+(AUX!$E$11*AUX!L$2)))</f>
        <v>--</v>
      </c>
      <c r="I21" s="293" t="str">
        <f>IF(INDEX($C$191:$II$210,$F$8,AUX!$E$10+(AUX!$E$11*AUX!M$2))="","--",INDEX($C$191:$II$210,$F$8,AUX!$E$10+(AUX!$E$11*AUX!M$2)))</f>
        <v>--</v>
      </c>
      <c r="J21" s="524" t="str">
        <f>IF(INDEX($C$191:$II$210,$F$8,AUX!$E$10+(AUX!$E$11*AUX!N$2))="","--",INDEX($C$191:$II$210,$F$8,AUX!$E$10+(AUX!$E$11*AUX!N$2)))</f>
        <v>--</v>
      </c>
      <c r="K21" s="293" t="str">
        <f>IF(INDEX($C$191:$II$210,$F$8,AUX!$E$10+(AUX!$E$11*AUX!O$2))="","--",INDEX($C$191:$II$210,$F$8,AUX!$E$10+(AUX!$E$11*AUX!O$2)))</f>
        <v>--</v>
      </c>
      <c r="L21" s="293" t="str">
        <f>IF(INDEX($C$191:$II$210,$F$8,AUX!$E$10+(AUX!$E$11*AUX!P$2))="","--",INDEX($C$191:$II$210,$F$8,AUX!$E$10+(AUX!$E$11*AUX!P$2)))</f>
        <v>--</v>
      </c>
      <c r="M21" s="521" t="str">
        <f>IF(INDEX($C$191:$II$210,$F$8,AUX!$E$10+(AUX!$E$11*AUX!Q$2))="","--",INDEX($C$191:$II$210,$F$8,AUX!$E$10+(AUX!$E$11*AUX!Q$2)))</f>
        <v>--</v>
      </c>
      <c r="N21" s="525"/>
    </row>
    <row r="22" ht="15">
      <c r="B22" s="209"/>
      <c r="C22" s="797" t="s">
        <v>106</v>
      </c>
      <c r="D22" s="798"/>
      <c r="E22" s="798"/>
      <c r="F22" s="798"/>
      <c r="G22" s="798"/>
      <c r="H22" s="798"/>
      <c r="I22" s="798"/>
      <c r="J22" s="798"/>
      <c r="K22" s="798"/>
      <c r="L22" s="800"/>
      <c r="M22" s="799"/>
      <c r="N22" s="201"/>
      <c r="O22" s="201"/>
    </row>
    <row r="23" ht="15">
      <c r="B23" s="209"/>
      <c r="C23" s="292" t="str">
        <f>IF(INDEX($C$148:$II$167,$F$8,AUX!$E$10+(AUX!$E$11*AUX!G$2))="","--",INDEX($C$148:$II$167,$F$8,AUX!$E$10+(AUX!$E$11*AUX!G$2)))</f>
        <v>--</v>
      </c>
      <c r="D23" s="293" t="str">
        <f>IF(INDEX($C$148:$II$167,$F$8,AUX!$E$10+(AUX!$E$11*AUX!H$2))="","--",INDEX($C$148:$II$167,$F$8,AUX!$E$10+(AUX!$E$11*AUX!H$2)))</f>
        <v>--</v>
      </c>
      <c r="E23" s="293" t="str">
        <f>IF(INDEX($C$148:$II$167,$F$8,AUX!$E$10+(AUX!$E$11*AUX!I$2))="","--",INDEX($C$148:$II$167,$F$8,AUX!$E$10+(AUX!$E$11*AUX!I$2)))</f>
        <v>--</v>
      </c>
      <c r="F23" s="293" t="str">
        <f>IF(INDEX($C$148:$II$167,$F$8,AUX!$E$10+(AUX!$E$11*AUX!J$2))="","--",INDEX($C$148:$II$167,$F$8,AUX!$E$10+(AUX!$E$11*AUX!J$2)))</f>
        <v>--</v>
      </c>
      <c r="G23" s="293" t="str">
        <f>IF(INDEX($C$148:$II$167,$F$8,AUX!$E$10+(AUX!$E$11*AUX!K$2))="","--",INDEX($C$148:$II$167,$F$8,AUX!$E$10+(AUX!$E$11*AUX!K$2)))</f>
        <v>--</v>
      </c>
      <c r="H23" s="293" t="str">
        <f>IF(INDEX($C$148:$II$167,$F$8,AUX!$E$10+(AUX!$E$11*AUX!L$2))="","--",INDEX($C$148:$II$167,$F$8,AUX!$E$10+(AUX!$E$11*AUX!L$2)))</f>
        <v>--</v>
      </c>
      <c r="I23" s="293" t="str">
        <f>IF(INDEX($C$148:$II$167,$F$8,AUX!$E$10+(AUX!$E$11*AUX!M$2))="","--",INDEX($C$148:$II$167,$F$8,AUX!$E$10+(AUX!$E$11*AUX!M$2)))</f>
        <v>--</v>
      </c>
      <c r="J23" s="293" t="str">
        <f>IF(INDEX($C$148:$II$167,$F$8,AUX!$E$10+(AUX!$E$11*AUX!N$2))="","--",INDEX($C$148:$II$167,$F$8,AUX!$E$10+(AUX!$E$11*AUX!N$2)))</f>
        <v>--</v>
      </c>
      <c r="K23" s="293" t="str">
        <f>IF(INDEX($C$148:$II$167,$F$8,AUX!$E$10+(AUX!$E$11*AUX!O$2))="","--",INDEX($C$148:$II$167,$F$8,AUX!$E$10+(AUX!$E$11*AUX!O$2)))</f>
        <v>--</v>
      </c>
      <c r="L23" s="293" t="str">
        <f>IF(INDEX($C$148:$II$167,$F$8,AUX!$E$10+(AUX!$E$11*AUX!P$2))="","--",INDEX($C$148:$II$167,$F$8,AUX!$E$10+(AUX!$E$11*AUX!P$2)))</f>
        <v>--</v>
      </c>
      <c r="M23" s="294" t="str">
        <f>IF(INDEX($C$148:$II$167,$F$8,AUX!$E$10+(AUX!$E$11*AUX!Q$2))="","--",INDEX($C$148:$II$167,$F$8,AUX!$E$10+(AUX!$E$11*AUX!Q$2)))</f>
        <v>--</v>
      </c>
      <c r="N23" s="201"/>
    </row>
    <row r="24" ht="13.5">
      <c r="C24" s="354"/>
      <c r="D24" s="354"/>
      <c r="E24" s="354"/>
      <c r="F24" s="354"/>
      <c r="G24" s="354"/>
      <c r="H24" s="354"/>
      <c r="L24" s="58"/>
    </row>
    <row r="25" ht="14.25" customHeight="1">
      <c r="C25" s="801" t="s">
        <v>185</v>
      </c>
      <c r="D25" s="802"/>
      <c r="E25" s="802"/>
      <c r="F25" s="802"/>
      <c r="G25" s="802"/>
      <c r="H25" s="802"/>
      <c r="I25" s="802"/>
      <c r="J25" s="802"/>
      <c r="K25" s="802"/>
      <c r="L25" s="802"/>
      <c r="M25" s="803"/>
    </row>
    <row r="26" ht="13.5">
      <c r="C26" s="804"/>
      <c r="D26" s="805"/>
      <c r="E26" s="805"/>
      <c r="F26" s="805"/>
      <c r="G26" s="805"/>
      <c r="H26" s="805"/>
      <c r="I26" s="805"/>
      <c r="J26" s="805"/>
      <c r="K26" s="805"/>
      <c r="L26" s="805"/>
      <c r="M26" s="806"/>
    </row>
    <row r="27">
      <c r="C27" s="360"/>
      <c r="D27" s="360"/>
      <c r="E27" s="360"/>
      <c r="F27" s="360"/>
      <c r="G27" s="360"/>
      <c r="H27" s="360"/>
      <c r="I27" s="360"/>
      <c r="J27" s="360"/>
      <c r="K27" s="360"/>
      <c r="L27" s="360"/>
    </row>
    <row r="28" ht="12" customHeight="1">
      <c r="C28" s="354"/>
      <c r="D28" s="354"/>
      <c r="E28" s="354"/>
      <c r="F28" s="354"/>
      <c r="G28" s="354"/>
      <c r="H28" s="354"/>
    </row>
    <row r="29">
      <c r="C29" s="336"/>
      <c r="D29" s="336"/>
      <c r="E29" s="336"/>
      <c r="F29" s="336"/>
      <c r="G29" s="336"/>
      <c r="H29" s="336"/>
    </row>
    <row r="92">
      <c r="D92" s="51" t="s">
        <v>186</v>
      </c>
      <c r="F92" s="51" t="e">
        <f>IF(INDEX(#REF!,$F$8,7)=0, "-", INDEX(#REF!,$F$8,7))</f>
        <v>#REF!</v>
      </c>
    </row>
    <row r="93">
      <c r="D93" s="51" t="s">
        <v>187</v>
      </c>
      <c r="F93" s="51" t="e">
        <f>IF(INDEX(#REF!,$F$8,7)=0, "-", INDEX(#REF!,$F$8,7))</f>
        <v>#REF!</v>
      </c>
    </row>
    <row r="94">
      <c r="D94" s="51" t="s">
        <v>188</v>
      </c>
      <c r="F94" s="51" t="e">
        <f>IF(INDEX(#REF!,$F$8,7)=0, "-", INDEX(#REF!,$F$8,7))</f>
        <v>#REF!</v>
      </c>
    </row>
    <row r="95">
      <c r="D95" s="51" t="s">
        <v>189</v>
      </c>
      <c r="F95" s="51" t="str">
        <f>IF(INDEX($B$125:$H$144,$F$8,7)=0, "-", INDEX($B$125:$H$144,$F$8,7))</f>
      </c>
    </row>
    <row r="96">
      <c r="D96" s="51" t="s">
        <v>190</v>
      </c>
      <c r="F96" s="51" t="e">
        <f>IF(INDEX(#REF!,$F$8,7)=0, "-", INDEX(#REF!,$F$8,7))</f>
        <v>#REF!</v>
      </c>
    </row>
    <row r="97">
      <c r="D97" s="51" t="s">
        <v>191</v>
      </c>
      <c r="F97" s="51" t="e">
        <f>IF(INDEX(#REF!,$F$8,7)=0, "-", INDEX(#REF!,$F$8,7))</f>
        <v>#REF!</v>
      </c>
    </row>
    <row r="119" ht="15.95" customHeight="1"/>
    <row r="120" ht="15.95" customHeight="1"/>
    <row r="121" ht="15.95" customHeight="1"/>
    <row r="122" hidden="1" ht="15.95" customHeight="1"/>
    <row r="123" hidden="1" ht="15.95" customHeight="1">
      <c r="C123" s="686" t="s">
        <v>183</v>
      </c>
      <c r="D123" s="687"/>
      <c r="E123" s="687"/>
      <c r="F123" s="687"/>
      <c r="G123" s="687"/>
      <c r="H123" s="687"/>
      <c r="I123" s="687"/>
      <c r="J123" s="687"/>
      <c r="K123" s="687"/>
      <c r="L123" s="687"/>
      <c r="M123" s="687"/>
      <c r="N123" s="687"/>
      <c r="O123" s="687"/>
      <c r="P123" s="687"/>
      <c r="Q123" s="687"/>
      <c r="R123" s="687"/>
      <c r="S123" s="687"/>
      <c r="T123" s="687"/>
      <c r="U123" s="687"/>
      <c r="V123" s="687"/>
      <c r="W123" s="687"/>
      <c r="X123" s="687"/>
      <c r="Y123" s="687"/>
      <c r="Z123" s="687"/>
      <c r="AA123" s="687"/>
      <c r="AB123" s="688"/>
    </row>
    <row r="124" hidden="1" ht="15.95" customHeight="1">
      <c r="C124" s="435" t="str">
        <f> IF(C144&lt;&gt;"",TEXT(AUX!G$1,"dd-MMM-aa"),"")</f>
      </c>
      <c r="D124" s="435" t="str">
        <f> IF(D144&lt;&gt;"",TEXT(AUX!H$1,"dd-MMM-aa"),"")</f>
      </c>
      <c r="E124" s="435" t="str">
        <f> IF(E144&lt;&gt;"",TEXT(AUX!I$1,"dd-MMM-aa"),"")</f>
      </c>
      <c r="F124" s="435" t="str">
        <f> IF(F144&lt;&gt;"",TEXT(AUX!J$1,"dd-MMM-aa"),"")</f>
      </c>
      <c r="G124" s="435" t="str">
        <f> IF(G144&lt;&gt;"",TEXT(AUX!K$1,"dd-MMM-aa"),"")</f>
      </c>
      <c r="H124" s="435" t="str">
        <f> IF(H144&lt;&gt;"",TEXT(AUX!L$1,"dd-MMM-aa"),"")</f>
      </c>
      <c r="I124" s="435" t="str">
        <f> IF(I144&lt;&gt;"",TEXT(AUX!M$1,"dd-MMM-aa"),"")</f>
      </c>
      <c r="J124" s="435" t="str">
        <f> IF(J144&lt;&gt;"",TEXT(AUX!N$1,"dd-MMM-aa"),"")</f>
      </c>
      <c r="K124" s="435" t="str">
        <f> IF(K144&lt;&gt;"",TEXT(AUX!O$1,"dd-MMM-aa"),"")</f>
      </c>
      <c r="L124" s="435" t="str">
        <f> IF(L144&lt;&gt;"",TEXT(AUX!P$1,"dd-MMM-aa"),"")</f>
      </c>
      <c r="M124" s="435" t="str">
        <f> IF(M144&lt;&gt;"",TEXT(AUX!Q$1,"dd-MMM-aa"),"")</f>
      </c>
      <c r="N124" s="435" t="str">
        <f> IF(N144&lt;&gt;"",TEXT(AUX!R$1,"dd-MMM-aa"),"")</f>
      </c>
      <c r="O124" s="435" t="str">
        <f> IF(O144&lt;&gt;"",TEXT(AUX!S$1,"dd-MMM-aa"),"")</f>
      </c>
      <c r="P124" s="435" t="str">
        <f> IF(P144&lt;&gt;"",TEXT(AUX!T$1,"dd-MMM-aa"),"")</f>
      </c>
      <c r="Q124" s="435" t="str">
        <f> IF(Q144&lt;&gt;"",TEXT(AUX!U$1,"dd-MMM-aa"),"")</f>
      </c>
      <c r="R124" s="435" t="str">
        <f> IF(R144&lt;&gt;"",TEXT(AUX!V$1,"dd-MMM-aa"),"")</f>
      </c>
      <c r="S124" s="435" t="str">
        <f> IF(S144&lt;&gt;"",TEXT(AUX!W$1,"dd-MMM-aa"),"")</f>
      </c>
      <c r="T124" s="435" t="str">
        <f> IF(T144&lt;&gt;"",TEXT(AUX!X$1,"dd-MMM-aa"),"")</f>
      </c>
      <c r="U124" s="435" t="str">
        <f> IF(U144&lt;&gt;"",TEXT(AUX!Y$1,"dd-MMM-aa"),"")</f>
      </c>
      <c r="V124" s="435" t="str">
        <f> IF(V144&lt;&gt;"",TEXT(AUX!Z$1,"dd-MMM-aa"),"")</f>
      </c>
      <c r="W124" s="435" t="str">
        <f> IF(W144&lt;&gt;"",TEXT(AUX!AA$1,"dd-MMM-aa"),"")</f>
      </c>
      <c r="X124" s="435" t="str">
        <f> IF(X144&lt;&gt;"",TEXT(AUX!AB$1,"dd-MMM-aa"),"")</f>
      </c>
      <c r="Y124" s="435" t="str">
        <f> IF(Y144&lt;&gt;"",TEXT(AUX!AC$1,"dd-MMM-aa"),"")</f>
      </c>
      <c r="Z124" s="435" t="str">
        <f> IF(Z144&lt;&gt;"",TEXT(AUX!AD$1,"dd-MMM-aa"),"")</f>
      </c>
      <c r="AA124" s="435" t="str">
        <f> IF(AA144&lt;&gt;"",TEXT(AUX!AE$1,"dd-MMM-aa"),"")</f>
      </c>
      <c r="AB124" s="497" t="str">
        <f> IF(AB144&lt;&gt;"",TEXT(AUX!AF$1,"dd-MMM-aa"),"")</f>
      </c>
      <c r="AC124" s="496" t="str">
        <f> IF(AC144&lt;&gt;"",TEXT(AUX!AG$1,"dd-MMM-aa"),"")</f>
      </c>
      <c r="AD124" s="496" t="str">
        <f> IF(AD144&lt;&gt;"",TEXT(AUX!AH$1,"dd-MMM-aa"),"")</f>
      </c>
      <c r="AE124" s="496" t="str">
        <f> IF(AE144&lt;&gt;"",TEXT(AUX!AI$1,"dd-MMM-aa"),"")</f>
      </c>
      <c r="AF124" s="496" t="str">
        <f> IF(AF144&lt;&gt;"",TEXT(AUX!AJ$1,"dd-MMM-aa"),"")</f>
      </c>
      <c r="AG124" s="496" t="str">
        <f> IF(AG144&lt;&gt;"",TEXT(AUX!AK$1,"dd-MMM-aa"),"")</f>
      </c>
      <c r="AH124" s="496" t="str">
        <f> IF(AH144&lt;&gt;"",TEXT(AUX!AL$1,"dd-MMM-aa"),"")</f>
      </c>
      <c r="AI124" s="496" t="str">
        <f> IF(AI144&lt;&gt;"",TEXT(AUX!AM$1,"dd-MMM-aa"),"")</f>
      </c>
      <c r="AJ124" s="496" t="str">
        <f> IF(AJ144&lt;&gt;"",TEXT(AUX!AN$1,"dd-MMM-aa"),"")</f>
      </c>
      <c r="AK124" s="496" t="str">
        <f> IF(AK144&lt;&gt;"",TEXT(AUX!AO$1,"dd-MMM-aa"),"")</f>
      </c>
      <c r="AL124" s="496" t="str">
        <f> IF(AL144&lt;&gt;"",TEXT(AUX!AP$1,"dd-MMM-aa"),"")</f>
      </c>
      <c r="AM124" s="496" t="str">
        <f> IF(AM144&lt;&gt;"",TEXT(AUX!AQ$1,"dd-MMM-aa"),"")</f>
      </c>
      <c r="AN124" s="496" t="str">
        <f> IF(AN144&lt;&gt;"",TEXT(AUX!AR$1,"dd-MMM-aa"),"")</f>
      </c>
      <c r="AO124" s="496" t="str">
        <f> IF(AO144&lt;&gt;"",TEXT(AUX!AS$1,"dd-MMM-aa"),"")</f>
      </c>
      <c r="AP124" s="496" t="str">
        <f> IF(AP144&lt;&gt;"",TEXT(AUX!AT$1,"dd-MMM-aa"),"")</f>
      </c>
      <c r="AQ124" s="496" t="str">
        <f> IF(AQ144&lt;&gt;"",TEXT(AUX!AU$1,"dd-MMM-aa"),"")</f>
      </c>
      <c r="AR124" s="496" t="str">
        <f> IF(AR144&lt;&gt;"",TEXT(AUX!AV$1,"dd-MMM-aa"),"")</f>
      </c>
      <c r="AS124" s="496" t="str">
        <f> IF(AS144&lt;&gt;"",TEXT(AUX!AW$1,"dd-MMM-aa"),"")</f>
      </c>
      <c r="AT124" s="496" t="str">
        <f> IF(AT144&lt;&gt;"",TEXT(AUX!AX$1,"dd-MMM-aa"),"")</f>
      </c>
      <c r="AU124" s="496" t="str">
        <f> IF(AU144&lt;&gt;"",TEXT(AUX!AY$1,"dd-MMM-aa"),"")</f>
      </c>
      <c r="AV124" s="496" t="str">
        <f> IF(AV144&lt;&gt;"",TEXT(AUX!AZ$1,"dd-MMM-aa"),"")</f>
      </c>
      <c r="AW124" s="496" t="str">
        <f> IF(AW144&lt;&gt;"",TEXT(AUX!BA$1,"dd-MMM-aa"),"")</f>
      </c>
      <c r="AX124" s="496" t="str">
        <f> IF(AX144&lt;&gt;"",TEXT(AUX!BB$1,"dd-MMM-aa"),"")</f>
      </c>
      <c r="AY124" s="496" t="str">
        <f> IF(AY144&lt;&gt;"",TEXT(AUX!BC$1,"dd-MMM-aa"),"")</f>
      </c>
      <c r="AZ124" s="496" t="str">
        <f> IF(AZ144&lt;&gt;"",TEXT(AUX!BD$1,"dd-MMM-aa"),"")</f>
      </c>
      <c r="BA124" s="496" t="str">
        <f> IF(BA144&lt;&gt;"",TEXT(AUX!BE$1,"dd-MMM-aa"),"")</f>
      </c>
      <c r="BB124" s="496" t="str">
        <f> IF(BB144&lt;&gt;"",TEXT(AUX!BF$1,"dd-MMM-aa"),"")</f>
      </c>
      <c r="BC124" s="496" t="str">
        <f> IF(BC144&lt;&gt;"",TEXT(AUX!BG$1,"dd-MMM-aa"),"")</f>
      </c>
      <c r="BD124" s="496" t="str">
        <f> IF(BD144&lt;&gt;"",TEXT(AUX!BH$1,"dd-MMM-aa"),"")</f>
      </c>
      <c r="BE124" s="496" t="str">
        <f> IF(BE144&lt;&gt;"",TEXT(AUX!BI$1,"dd-MMM-aa"),"")</f>
      </c>
      <c r="BF124" s="496" t="str">
        <f> IF(BF144&lt;&gt;"",TEXT(AUX!BJ$1,"dd-MMM-aa"),"")</f>
      </c>
      <c r="BG124" s="496" t="str">
        <f> IF(BG144&lt;&gt;"",TEXT(AUX!BK$1,"dd-MMM-aa"),"")</f>
      </c>
      <c r="BH124" s="496" t="str">
        <f> IF(BH144&lt;&gt;"",TEXT(AUX!BL$1,"dd-MMM-aa"),"")</f>
      </c>
      <c r="BI124" s="496" t="str">
        <f> IF(BI144&lt;&gt;"",TEXT(AUX!BM$1,"dd-MMM-aa"),"")</f>
      </c>
      <c r="BJ124" s="496" t="str">
        <f> IF(BJ144&lt;&gt;"",TEXT(AUX!BN$1,"dd-MMM-aa"),"")</f>
      </c>
      <c r="BK124" s="496" t="str">
        <f> IF(BK144&lt;&gt;"",TEXT(AUX!BO$1,"dd-MMM-aa"),"")</f>
      </c>
      <c r="BL124" s="496" t="str">
        <f> IF(BL144&lt;&gt;"",TEXT(AUX!BP$1,"dd-MMM-aa"),"")</f>
      </c>
      <c r="BM124" s="496" t="str">
        <f> IF(BM144&lt;&gt;"",TEXT(AUX!BQ$1,"dd-MMM-aa"),"")</f>
      </c>
      <c r="BN124" s="496" t="str">
        <f> IF(BN144&lt;&gt;"",TEXT(AUX!BR$1,"dd-MMM-aa"),"")</f>
      </c>
      <c r="BO124" s="496" t="str">
        <f> IF(BO144&lt;&gt;"",TEXT(AUX!BS$1,"dd-MMM-aa"),"")</f>
      </c>
      <c r="BP124" s="496" t="str">
        <f> IF(BP144&lt;&gt;"",TEXT(AUX!BT$1,"dd-MMM-aa"),"")</f>
      </c>
      <c r="BQ124" s="496" t="str">
        <f> IF(BQ144&lt;&gt;"",TEXT(AUX!BU$1,"dd-MMM-aa"),"")</f>
      </c>
      <c r="BR124" s="496" t="str">
        <f> IF(BR144&lt;&gt;"",TEXT(AUX!BV$1,"dd-MMM-aa"),"")</f>
      </c>
      <c r="BS124" s="496" t="str">
        <f> IF(BS144&lt;&gt;"",TEXT(AUX!BW$1,"dd-MMM-aa"),"")</f>
      </c>
      <c r="BT124" s="496" t="str">
        <f> IF(BT144&lt;&gt;"",TEXT(AUX!BX$1,"dd-MMM-aa"),"")</f>
      </c>
      <c r="BU124" s="496" t="str">
        <f> IF(BU144&lt;&gt;"",TEXT(AUX!BY$1,"dd-MMM-aa"),"")</f>
      </c>
      <c r="BV124" s="496" t="str">
        <f> IF(BV144&lt;&gt;"",TEXT(AUX!BZ$1,"dd-MMM-aa"),"")</f>
      </c>
      <c r="BW124" s="496" t="str">
        <f> IF(BW144&lt;&gt;"",TEXT(AUX!CA$1,"dd-MMM-aa"),"")</f>
      </c>
      <c r="BX124" s="496" t="str">
        <f> IF(BX144&lt;&gt;"",TEXT(AUX!CB$1,"dd-MMM-aa"),"")</f>
      </c>
      <c r="BY124" s="496" t="str">
        <f> IF(BY144&lt;&gt;"",TEXT(AUX!CC$1,"dd-MMM-aa"),"")</f>
      </c>
      <c r="BZ124" s="496" t="str">
        <f> IF(BZ144&lt;&gt;"",TEXT(AUX!CD$1,"dd-MMM-aa"),"")</f>
      </c>
      <c r="CA124" s="496" t="str">
        <f> IF(CA144&lt;&gt;"",TEXT(AUX!CE$1,"dd-MMM-aa"),"")</f>
      </c>
      <c r="CB124" s="496" t="str">
        <f> IF(CB144&lt;&gt;"",TEXT(AUX!CF$1,"dd-MMM-aa"),"")</f>
      </c>
      <c r="CC124" s="496" t="str">
        <f> IF(CC144&lt;&gt;"",TEXT(AUX!CG$1,"dd-MMM-aa"),"")</f>
      </c>
      <c r="CD124" s="496" t="str">
        <f> IF(CD144&lt;&gt;"",TEXT(AUX!CH$1,"dd-MMM-aa"),"")</f>
      </c>
      <c r="CE124" s="496" t="str">
        <f> IF(CE144&lt;&gt;"",TEXT(AUX!CI$1,"dd-MMM-aa"),"")</f>
      </c>
      <c r="CF124" s="496" t="str">
        <f> IF(CF144&lt;&gt;"",TEXT(AUX!CJ$1,"dd-MMM-aa"),"")</f>
      </c>
      <c r="CG124" s="496" t="str">
        <f> IF(CG144&lt;&gt;"",TEXT(AUX!CK$1,"dd-MMM-aa"),"")</f>
      </c>
      <c r="CH124" s="496" t="str">
        <f> IF(CH144&lt;&gt;"",TEXT(AUX!CL$1,"dd-MMM-aa"),"")</f>
      </c>
      <c r="CI124" s="496" t="str">
        <f> IF(CI144&lt;&gt;"",TEXT(AUX!CM$1,"dd-MMM-aa"),"")</f>
      </c>
      <c r="CJ124" s="496" t="str">
        <f> IF(CJ144&lt;&gt;"",TEXT(AUX!CN$1,"dd-MMM-aa"),"")</f>
      </c>
      <c r="CK124" s="496" t="str">
        <f> IF(CK144&lt;&gt;"",TEXT(AUX!CO$1,"dd-MMM-aa"),"")</f>
      </c>
      <c r="CL124" s="496" t="str">
        <f> IF(CL144&lt;&gt;"",TEXT(AUX!CP$1,"dd-MMM-aa"),"")</f>
      </c>
      <c r="CM124" s="496" t="str">
        <f> IF(CM144&lt;&gt;"",TEXT(AUX!CQ$1,"dd-MMM-aa"),"")</f>
      </c>
      <c r="CN124" s="496" t="str">
        <f> IF(CN144&lt;&gt;"",TEXT(AUX!CR$1,"dd-MMM-aa"),"")</f>
      </c>
      <c r="CO124" s="496" t="str">
        <f> IF(CO144&lt;&gt;"",TEXT(AUX!CS$1,"dd-MMM-aa"),"")</f>
      </c>
      <c r="CP124" s="496" t="str">
        <f> IF(CP144&lt;&gt;"",TEXT(AUX!CT$1,"dd-MMM-aa"),"")</f>
      </c>
      <c r="CQ124" s="496" t="str">
        <f> IF(CQ144&lt;&gt;"",TEXT(AUX!CU$1,"dd-MMM-aa"),"")</f>
      </c>
      <c r="CR124" s="496" t="str">
        <f> IF(CR144&lt;&gt;"",TEXT(AUX!CV$1,"dd-MMM-aa"),"")</f>
      </c>
      <c r="CS124" s="496" t="str">
        <f> IF(CS144&lt;&gt;"",TEXT(AUX!CW$1,"dd-MMM-aa"),"")</f>
      </c>
      <c r="CT124" s="496" t="str">
        <f> IF(CT144&lt;&gt;"",TEXT(AUX!CX$1,"dd-MMM-aa"),"")</f>
      </c>
      <c r="CU124" s="496" t="str">
        <f> IF(CU144&lt;&gt;"",TEXT(AUX!CY$1,"dd-MMM-aa"),"")</f>
      </c>
      <c r="CV124" s="496" t="str">
        <f> IF(CV144&lt;&gt;"",TEXT(AUX!CZ$1,"dd-MMM-aa"),"")</f>
      </c>
      <c r="CW124" s="496" t="str">
        <f> IF(CW144&lt;&gt;"",TEXT(AUX!DA$1,"dd-MMM-aa"),"")</f>
      </c>
      <c r="CX124" s="496" t="str">
        <f> IF(CX144&lt;&gt;"",TEXT(AUX!DB$1,"dd-MMM-aa"),"")</f>
      </c>
      <c r="CY124" s="496" t="str">
        <f> IF(CY144&lt;&gt;"",TEXT(AUX!DC$1,"dd-MMM-aa"),"")</f>
      </c>
      <c r="CZ124" s="496" t="str">
        <f> IF(CZ144&lt;&gt;"",TEXT(AUX!DD$1,"dd-MMM-aa"),"")</f>
      </c>
      <c r="DA124" s="496" t="str">
        <f> IF(DA144&lt;&gt;"",TEXT(AUX!DE$1,"dd-MMM-aa"),"")</f>
      </c>
      <c r="DB124" s="496" t="str">
        <f> IF(DB144&lt;&gt;"",TEXT(AUX!DF$1,"dd-MMM-aa"),"")</f>
      </c>
      <c r="DC124" s="496" t="str">
        <f> IF(DC144&lt;&gt;"",TEXT(AUX!DG$1,"dd-MMM-aa"),"")</f>
      </c>
      <c r="DD124" s="496" t="str">
        <f> IF(DD144&lt;&gt;"",TEXT(AUX!DH$1,"dd-MMM-aa"),"")</f>
      </c>
      <c r="DE124" s="496" t="str">
        <f> IF(DE144&lt;&gt;"",TEXT(AUX!DI$1,"dd-MMM-aa"),"")</f>
      </c>
      <c r="DF124" s="496" t="str">
        <f> IF(DF144&lt;&gt;"",TEXT(AUX!DJ$1,"dd-MMM-aa"),"")</f>
      </c>
      <c r="DG124" s="496" t="str">
        <f> IF(DG144&lt;&gt;"",TEXT(AUX!DK$1,"dd-MMM-aa"),"")</f>
      </c>
      <c r="DH124" s="496" t="str">
        <f> IF(DH144&lt;&gt;"",TEXT(AUX!DL$1,"dd-MMM-aa"),"")</f>
      </c>
      <c r="DI124" s="496" t="str">
        <f> IF(DI144&lt;&gt;"",TEXT(AUX!DM$1,"dd-MMM-aa"),"")</f>
      </c>
      <c r="DJ124" s="496" t="str">
        <f> IF(DJ144&lt;&gt;"",TEXT(AUX!DN$1,"dd-MMM-aa"),"")</f>
      </c>
      <c r="DK124" s="496" t="str">
        <f> IF(DK144&lt;&gt;"",TEXT(AUX!DO$1,"dd-MMM-aa"),"")</f>
      </c>
      <c r="DL124" s="496" t="str">
        <f> IF(DL144&lt;&gt;"",TEXT(AUX!DP$1,"dd-MMM-aa"),"")</f>
      </c>
      <c r="DM124" s="496" t="str">
        <f> IF(DM144&lt;&gt;"",TEXT(AUX!DQ$1,"dd-MMM-aa"),"")</f>
      </c>
      <c r="DN124" s="496" t="str">
        <f> IF(DN144&lt;&gt;"",TEXT(AUX!DR$1,"dd-MMM-aa"),"")</f>
      </c>
      <c r="DO124" s="496" t="str">
        <f> IF(DO144&lt;&gt;"",TEXT(AUX!DS$1,"dd-MMM-aa"),"")</f>
      </c>
      <c r="DP124" s="496" t="str">
        <f> IF(DP144&lt;&gt;"",TEXT(AUX!DT$1,"dd-MMM-aa"),"")</f>
      </c>
      <c r="DQ124" s="496" t="str">
        <f> IF(DQ144&lt;&gt;"",TEXT(AUX!DU$1,"dd-MMM-aa"),"")</f>
      </c>
      <c r="DR124" s="496" t="str">
        <f> IF(DR144&lt;&gt;"",TEXT(AUX!DV$1,"dd-MMM-aa"),"")</f>
      </c>
      <c r="DS124" s="496" t="str">
        <f> IF(DS144&lt;&gt;"",TEXT(AUX!DW$1,"dd-MMM-aa"),"")</f>
      </c>
      <c r="DT124" s="496" t="str">
        <f> IF(DT144&lt;&gt;"",TEXT(AUX!DX$1,"dd-MMM-aa"),"")</f>
      </c>
      <c r="DU124" s="496" t="str">
        <f> IF(DU144&lt;&gt;"",TEXT(AUX!DY$1,"dd-MMM-aa"),"")</f>
      </c>
      <c r="DV124" s="496" t="str">
        <f> IF(DV144&lt;&gt;"",TEXT(AUX!DZ$1,"dd-MMM-aa"),"")</f>
      </c>
      <c r="DW124" s="496" t="str">
        <f> IF(DW144&lt;&gt;"",TEXT(AUX!EA$1,"dd-MMM-aa"),"")</f>
      </c>
      <c r="DX124" s="496" t="str">
        <f> IF(DX144&lt;&gt;"",TEXT(AUX!EB$1,"dd-MMM-aa"),"")</f>
      </c>
      <c r="DY124" s="496" t="str">
        <f> IF(DY144&lt;&gt;"",TEXT(AUX!EC$1,"dd-MMM-aa"),"")</f>
      </c>
      <c r="DZ124" s="496" t="str">
        <f> IF(DZ144&lt;&gt;"",TEXT(AUX!ED$1,"dd-MMM-aa"),"")</f>
      </c>
      <c r="EA124" s="496" t="str">
        <f> IF(EA144&lt;&gt;"",TEXT(AUX!EE$1,"dd-MMM-aa"),"")</f>
      </c>
      <c r="EB124" s="496" t="str">
        <f> IF(EB144&lt;&gt;"",TEXT(AUX!EF$1,"dd-MMM-aa"),"")</f>
      </c>
      <c r="EC124" s="496" t="str">
        <f> IF(EC144&lt;&gt;"",TEXT(AUX!EG$1,"dd-MMM-aa"),"")</f>
      </c>
      <c r="ED124" s="496" t="str">
        <f> IF(ED144&lt;&gt;"",TEXT(AUX!EH$1,"dd-MMM-aa"),"")</f>
      </c>
      <c r="EE124" s="496" t="str">
        <f> IF(EE144&lt;&gt;"",TEXT(AUX!EI$1,"dd-MMM-aa"),"")</f>
      </c>
      <c r="EF124" s="496" t="str">
        <f> IF(EF144&lt;&gt;"",TEXT(AUX!EJ$1,"dd-MMM-aa"),"")</f>
      </c>
      <c r="EG124" s="496" t="str">
        <f> IF(EG144&lt;&gt;"",TEXT(AUX!EK$1,"dd-MMM-aa"),"")</f>
      </c>
      <c r="EH124" s="496" t="str">
        <f> IF(EH144&lt;&gt;"",TEXT(AUX!EL$1,"dd-MMM-aa"),"")</f>
      </c>
      <c r="EI124" s="496" t="str">
        <f> IF(EI144&lt;&gt;"",TEXT(AUX!EM$1,"dd-MMM-aa"),"")</f>
      </c>
      <c r="EJ124" s="496" t="str">
        <f> IF(EJ144&lt;&gt;"",TEXT(AUX!EN$1,"dd-MMM-aa"),"")</f>
      </c>
      <c r="EK124" s="496" t="str">
        <f> IF(EK144&lt;&gt;"",TEXT(AUX!EO$1,"dd-MMM-aa"),"")</f>
      </c>
      <c r="EL124" s="496" t="str">
        <f> IF(EL144&lt;&gt;"",TEXT(AUX!EP$1,"dd-MMM-aa"),"")</f>
      </c>
      <c r="EM124" s="496" t="str">
        <f> IF(EM144&lt;&gt;"",TEXT(AUX!EQ$1,"dd-MMM-aa"),"")</f>
      </c>
      <c r="EN124" s="496" t="str">
        <f> IF(EN144&lt;&gt;"",TEXT(AUX!ER$1,"dd-MMM-aa"),"")</f>
      </c>
      <c r="EO124" s="496" t="str">
        <f> IF(EO144&lt;&gt;"",TEXT(AUX!ES$1,"dd-MMM-aa"),"")</f>
      </c>
      <c r="EP124" s="496" t="str">
        <f> IF(EP144&lt;&gt;"",TEXT(AUX!ET$1,"dd-MMM-aa"),"")</f>
      </c>
      <c r="EQ124" s="496" t="str">
        <f> IF(EQ144&lt;&gt;"",TEXT(AUX!EU$1,"dd-MMM-aa"),"")</f>
      </c>
      <c r="ER124" s="496" t="str">
        <f> IF(ER144&lt;&gt;"",TEXT(AUX!EV$1,"dd-MMM-aa"),"")</f>
      </c>
      <c r="ES124" s="496" t="str">
        <f> IF(ES144&lt;&gt;"",TEXT(AUX!EW$1,"dd-MMM-aa"),"")</f>
      </c>
      <c r="ET124" s="496" t="str">
        <f> IF(ET144&lt;&gt;"",TEXT(AUX!EX$1,"dd-MMM-aa"),"")</f>
      </c>
      <c r="EU124" s="496" t="str">
        <f> IF(EU144&lt;&gt;"",TEXT(AUX!EY$1,"dd-MMM-aa"),"")</f>
      </c>
      <c r="EV124" s="496" t="str">
        <f> IF(EV144&lt;&gt;"",TEXT(AUX!EZ$1,"dd-MMM-aa"),"")</f>
      </c>
      <c r="EW124" s="496" t="str">
        <f> IF(EW144&lt;&gt;"",TEXT(AUX!FA$1,"dd-MMM-aa"),"")</f>
      </c>
      <c r="EX124" s="496" t="str">
        <f> IF(EX144&lt;&gt;"",TEXT(AUX!FB$1,"dd-MMM-aa"),"")</f>
      </c>
      <c r="EY124" s="496" t="str">
        <f> IF(EY144&lt;&gt;"",TEXT(AUX!FC$1,"dd-MMM-aa"),"")</f>
      </c>
      <c r="EZ124" s="496" t="str">
        <f> IF(EZ144&lt;&gt;"",TEXT(AUX!FD$1,"dd-MMM-aa"),"")</f>
      </c>
      <c r="FA124" s="496" t="str">
        <f> IF(FA144&lt;&gt;"",TEXT(AUX!FE$1,"dd-MMM-aa"),"")</f>
      </c>
      <c r="FB124" s="496" t="str">
        <f> IF(FB144&lt;&gt;"",TEXT(AUX!FF$1,"dd-MMM-aa"),"")</f>
      </c>
      <c r="FC124" s="496" t="str">
        <f> IF(FC144&lt;&gt;"",TEXT(AUX!FG$1,"dd-MMM-aa"),"")</f>
      </c>
      <c r="FD124" s="496" t="str">
        <f> IF(FD144&lt;&gt;"",TEXT(AUX!FH$1,"dd-MMM-aa"),"")</f>
      </c>
      <c r="FE124" s="496" t="str">
        <f> IF(FE144&lt;&gt;"",TEXT(AUX!FI$1,"dd-MMM-aa"),"")</f>
      </c>
      <c r="FF124" s="496" t="str">
        <f> IF(FF144&lt;&gt;"",TEXT(AUX!FJ$1,"dd-MMM-aa"),"")</f>
      </c>
      <c r="FG124" s="496" t="str">
        <f> IF(FG144&lt;&gt;"",TEXT(AUX!FK$1,"dd-MMM-aa"),"")</f>
      </c>
      <c r="FH124" s="496" t="str">
        <f> IF(FH144&lt;&gt;"",TEXT(AUX!FL$1,"dd-MMM-aa"),"")</f>
      </c>
      <c r="FI124" s="496" t="str">
        <f> IF(FI144&lt;&gt;"",TEXT(AUX!FM$1,"dd-MMM-aa"),"")</f>
      </c>
      <c r="FJ124" s="496" t="str">
        <f> IF(FJ144&lt;&gt;"",TEXT(AUX!FN$1,"dd-MMM-aa"),"")</f>
      </c>
      <c r="FK124" s="496" t="str">
        <f> IF(FK144&lt;&gt;"",TEXT(AUX!FO$1,"dd-MMM-aa"),"")</f>
      </c>
      <c r="FL124" s="496" t="str">
        <f> IF(FL144&lt;&gt;"",TEXT(AUX!FP$1,"dd-MMM-aa"),"")</f>
      </c>
      <c r="FM124" s="496" t="str">
        <f> IF(FM144&lt;&gt;"",TEXT(AUX!FQ$1,"dd-MMM-aa"),"")</f>
      </c>
      <c r="FN124" s="496" t="str">
        <f> IF(FN144&lt;&gt;"",TEXT(AUX!FR$1,"dd-MMM-aa"),"")</f>
      </c>
      <c r="FO124" s="496" t="str">
        <f> IF(FO144&lt;&gt;"",TEXT(AUX!FS$1,"dd-MMM-aa"),"")</f>
      </c>
      <c r="FP124" s="496" t="str">
        <f> IF(FP144&lt;&gt;"",TEXT(AUX!FT$1,"dd-MMM-aa"),"")</f>
      </c>
      <c r="FQ124" s="496" t="str">
        <f> IF(FQ144&lt;&gt;"",TEXT(AUX!FU$1,"dd-MMM-aa"),"")</f>
      </c>
      <c r="FR124" s="496" t="str">
        <f> IF(FR144&lt;&gt;"",TEXT(AUX!FV$1,"dd-MMM-aa"),"")</f>
      </c>
      <c r="FS124" s="496" t="str">
        <f> IF(FS144&lt;&gt;"",TEXT(AUX!FW$1,"dd-MMM-aa"),"")</f>
      </c>
      <c r="FT124" s="496" t="str">
        <f> IF(FT144&lt;&gt;"",TEXT(AUX!FX$1,"dd-MMM-aa"),"")</f>
      </c>
      <c r="FU124" s="496" t="str">
        <f> IF(FU144&lt;&gt;"",TEXT(AUX!FY$1,"dd-MMM-aa"),"")</f>
      </c>
      <c r="FV124" s="496" t="str">
        <f> IF(FV144&lt;&gt;"",TEXT(AUX!FZ$1,"dd-MMM-aa"),"")</f>
      </c>
      <c r="FW124" s="496" t="str">
        <f> IF(FW144&lt;&gt;"",TEXT(AUX!GA$1,"dd-MMM-aa"),"")</f>
      </c>
      <c r="FX124" s="496" t="str">
        <f> IF(FX144&lt;&gt;"",TEXT(AUX!GB$1,"dd-MMM-aa"),"")</f>
      </c>
      <c r="FY124" s="496" t="str">
        <f> IF(FY144&lt;&gt;"",TEXT(AUX!GC$1,"dd-MMM-aa"),"")</f>
      </c>
      <c r="FZ124" s="496" t="str">
        <f> IF(FZ144&lt;&gt;"",TEXT(AUX!GD$1,"dd-MMM-aa"),"")</f>
      </c>
      <c r="GA124" s="496" t="str">
        <f> IF(GA144&lt;&gt;"",TEXT(AUX!GE$1,"dd-MMM-aa"),"")</f>
      </c>
      <c r="GB124" s="496" t="str">
        <f> IF(GB144&lt;&gt;"",TEXT(AUX!GF$1,"dd-MMM-aa"),"")</f>
      </c>
      <c r="GC124" s="496" t="str">
        <f> IF(GC144&lt;&gt;"",TEXT(AUX!GG$1,"dd-MMM-aa"),"")</f>
      </c>
      <c r="GD124" s="496" t="str">
        <f> IF(GD144&lt;&gt;"",TEXT(AUX!GH$1,"dd-MMM-aa"),"")</f>
      </c>
      <c r="GE124" s="496" t="str">
        <f> IF(GE144&lt;&gt;"",TEXT(AUX!GI$1,"dd-MMM-aa"),"")</f>
      </c>
      <c r="GF124" s="496" t="str">
        <f> IF(GF144&lt;&gt;"",TEXT(AUX!GJ$1,"dd-MMM-aa"),"")</f>
      </c>
      <c r="GG124" s="496" t="str">
        <f> IF(GG144&lt;&gt;"",TEXT(AUX!GK$1,"dd-MMM-aa"),"")</f>
      </c>
      <c r="GH124" s="496" t="str">
        <f> IF(GH144&lt;&gt;"",TEXT(AUX!GL$1,"dd-MMM-aa"),"")</f>
      </c>
      <c r="GI124" s="496" t="str">
        <f> IF(GI144&lt;&gt;"",TEXT(AUX!GM$1,"dd-MMM-aa"),"")</f>
      </c>
      <c r="GJ124" s="496" t="str">
        <f> IF(GJ144&lt;&gt;"",TEXT(AUX!GN$1,"dd-MMM-aa"),"")</f>
      </c>
      <c r="GK124" s="496" t="str">
        <f> IF(GK144&lt;&gt;"",TEXT(AUX!GO$1,"dd-MMM-aa"),"")</f>
      </c>
      <c r="GL124" s="496" t="str">
        <f> IF(GL144&lt;&gt;"",TEXT(AUX!GP$1,"dd-MMM-aa"),"")</f>
      </c>
      <c r="GM124" s="496" t="str">
        <f> IF(GM144&lt;&gt;"",TEXT(AUX!GQ$1,"dd-MMM-aa"),"")</f>
      </c>
      <c r="GN124" s="496" t="str">
        <f> IF(GN144&lt;&gt;"",TEXT(AUX!GR$1,"dd-MMM-aa"),"")</f>
      </c>
      <c r="GO124" s="496" t="str">
        <f> IF(GO144&lt;&gt;"",TEXT(AUX!GS$1,"dd-MMM-aa"),"")</f>
      </c>
      <c r="GP124" s="496" t="str">
        <f> IF(GP144&lt;&gt;"",TEXT(AUX!GT$1,"dd-MMM-aa"),"")</f>
      </c>
      <c r="GQ124" s="496" t="str">
        <f> IF(GQ144&lt;&gt;"",TEXT(AUX!GU$1,"dd-MMM-aa"),"")</f>
      </c>
      <c r="GR124" s="496" t="str">
        <f> IF(GR144&lt;&gt;"",TEXT(AUX!GV$1,"dd-MMM-aa"),"")</f>
      </c>
      <c r="GS124" s="496" t="str">
        <f> IF(GS144&lt;&gt;"",TEXT(AUX!GW$1,"dd-MMM-aa"),"")</f>
      </c>
      <c r="GT124" s="496" t="str">
        <f> IF(GT144&lt;&gt;"",TEXT(AUX!GX$1,"dd-MMM-aa"),"")</f>
      </c>
      <c r="GU124" s="496" t="str">
        <f> IF(GU144&lt;&gt;"",TEXT(AUX!GY$1,"dd-MMM-aa"),"")</f>
      </c>
      <c r="GV124" s="496" t="str">
        <f> IF(GV144&lt;&gt;"",TEXT(AUX!GZ$1,"dd-MMM-aa"),"")</f>
      </c>
      <c r="GW124" s="496" t="str">
        <f> IF(GW144&lt;&gt;"",TEXT(AUX!HA$1,"dd-MMM-aa"),"")</f>
      </c>
      <c r="GX124" s="496" t="str">
        <f> IF(GX144&lt;&gt;"",TEXT(AUX!HB$1,"dd-MMM-aa"),"")</f>
      </c>
      <c r="GY124" s="496" t="str">
        <f> IF(GY144&lt;&gt;"",TEXT(AUX!HC$1,"dd-MMM-aa"),"")</f>
      </c>
      <c r="GZ124" s="496" t="str">
        <f> IF(GZ144&lt;&gt;"",TEXT(AUX!HD$1,"dd-MMM-aa"),"")</f>
      </c>
      <c r="HA124" s="496" t="str">
        <f> IF(HA144&lt;&gt;"",TEXT(AUX!HE$1,"dd-MMM-aa"),"")</f>
      </c>
      <c r="HB124" s="496" t="str">
        <f> IF(HB144&lt;&gt;"",TEXT(AUX!HF$1,"dd-MMM-aa"),"")</f>
      </c>
      <c r="HC124" s="496" t="str">
        <f> IF(HC144&lt;&gt;"",TEXT(AUX!HG$1,"dd-MMM-aa"),"")</f>
      </c>
      <c r="HD124" s="496" t="str">
        <f> IF(HD144&lt;&gt;"",TEXT(AUX!HH$1,"dd-MMM-aa"),"")</f>
      </c>
      <c r="HE124" s="496" t="str">
        <f> IF(HE144&lt;&gt;"",TEXT(AUX!HI$1,"dd-MMM-aa"),"")</f>
      </c>
      <c r="HF124" s="496" t="str">
        <f> IF(HF144&lt;&gt;"",TEXT(AUX!HJ$1,"dd-MMM-aa"),"")</f>
      </c>
      <c r="HG124" s="496" t="str">
        <f> IF(HG144&lt;&gt;"",TEXT(AUX!HK$1,"dd-MMM-aa"),"")</f>
      </c>
      <c r="HH124" s="496" t="str">
        <f> IF(HH144&lt;&gt;"",TEXT(AUX!HL$1,"dd-MMM-aa"),"")</f>
      </c>
      <c r="HI124" s="496" t="str">
        <f> IF(HI144&lt;&gt;"",TEXT(AUX!HM$1,"dd-MMM-aa"),"")</f>
      </c>
      <c r="HJ124" s="496" t="str">
        <f> IF(HJ144&lt;&gt;"",TEXT(AUX!HN$1,"dd-MMM-aa"),"")</f>
      </c>
      <c r="HK124" s="496" t="str">
        <f> IF(HK144&lt;&gt;"",TEXT(AUX!HO$1,"dd-MMM-aa"),"")</f>
      </c>
      <c r="HL124" s="496" t="str">
        <f> IF(HL144&lt;&gt;"",TEXT(AUX!HP$1,"dd-MMM-aa"),"")</f>
      </c>
      <c r="HM124" s="496" t="str">
        <f> IF(HM144&lt;&gt;"",TEXT(AUX!HQ$1,"dd-MMM-aa"),"")</f>
      </c>
      <c r="HN124" s="496" t="str">
        <f> IF(HN144&lt;&gt;"",TEXT(AUX!HR$1,"dd-MMM-aa"),"")</f>
      </c>
      <c r="HO124" s="496" t="str">
        <f> IF(HO144&lt;&gt;"",TEXT(AUX!HS$1,"dd-MMM-aa"),"")</f>
      </c>
      <c r="HP124" s="496" t="str">
        <f> IF(HP144&lt;&gt;"",TEXT(AUX!HT$1,"dd-MMM-aa"),"")</f>
      </c>
      <c r="HQ124" s="496" t="str">
        <f> IF(HQ144&lt;&gt;"",TEXT(AUX!HU$1,"dd-MMM-aa"),"")</f>
      </c>
      <c r="HR124" s="496" t="str">
        <f> IF(HR144&lt;&gt;"",TEXT(AUX!HV$1,"dd-MMM-aa"),"")</f>
      </c>
      <c r="HS124" s="496" t="str">
        <f> IF(HS144&lt;&gt;"",TEXT(AUX!HW$1,"dd-MMM-aa"),"")</f>
      </c>
      <c r="HT124" s="496" t="str">
        <f> IF(HT144&lt;&gt;"",TEXT(AUX!HX$1,"dd-MMM-aa"),"")</f>
      </c>
      <c r="HU124" s="496" t="str">
        <f> IF(HU144&lt;&gt;"",TEXT(AUX!HY$1,"dd-MMM-aa"),"")</f>
      </c>
      <c r="HV124" s="496" t="str">
        <f> IF(HV144&lt;&gt;"",TEXT(AUX!HZ$1,"dd-MMM-aa"),"")</f>
      </c>
      <c r="HW124" s="496" t="str">
        <f> IF(HW144&lt;&gt;"",TEXT(AUX!IA$1,"dd-MMM-aa"),"")</f>
      </c>
      <c r="HX124" s="496" t="str">
        <f> IF(HX144&lt;&gt;"",TEXT(AUX!IB$1,"dd-MMM-aa"),"")</f>
      </c>
      <c r="HY124" s="496" t="str">
        <f> IF(HY144&lt;&gt;"",TEXT(AUX!IC$1,"dd-MMM-aa"),"")</f>
      </c>
      <c r="HZ124" s="496" t="str">
        <f> IF(HZ144&lt;&gt;"",TEXT(AUX!ID$1,"dd-MMM-aa"),"")</f>
      </c>
      <c r="IA124" s="496" t="str">
        <f> IF(IA144&lt;&gt;"",TEXT(AUX!IE$1,"dd-MMM-aa"),"")</f>
      </c>
      <c r="IB124" s="496" t="str">
        <f> IF(IB144&lt;&gt;"",TEXT(AUX!IF$1,"dd-MMM-aa"),"")</f>
      </c>
      <c r="IC124" s="496" t="str">
        <f> IF(IC144&lt;&gt;"",TEXT(AUX!IG$1,"dd-MMM-aa"),"")</f>
      </c>
      <c r="ID124" s="496" t="str">
        <f> IF(ID144&lt;&gt;"",TEXT(AUX!IH$1,"dd-MMM-aa"),"")</f>
      </c>
      <c r="IE124" s="496" t="str">
        <f> IF(IE144&lt;&gt;"",TEXT(AUX!II$1,"dd-MMM-aa"),"")</f>
      </c>
      <c r="IF124" s="496" t="str">
        <f> IF(IF144&lt;&gt;"",TEXT(AUX!IJ$1,"dd-MMM-aa"),"")</f>
      </c>
      <c r="IG124" s="496" t="str">
        <f> IF(IG144&lt;&gt;"",TEXT(AUX!IK$1,"dd-MMM-aa"),"")</f>
      </c>
      <c r="IH124" s="496" t="str">
        <f> IF(IH144&lt;&gt;"",TEXT(AUX!IL$1,"dd-MMM-aa"),"")</f>
      </c>
      <c r="II124" s="496" t="str">
        <f> IF(II144&lt;&gt;"",TEXT(AUX!IM$1,"dd-MMM-aa"),"")</f>
      </c>
      <c r="IJ124" s="496" t="str">
        <f> IF(IJ144&lt;&gt;"",TEXT(AUX!IN$1,"dd-MMM-aa"),"")</f>
      </c>
      <c r="IK124" s="496" t="str">
        <f> IF(IK144&lt;&gt;"",TEXT(AUX!IO$1,"dd-MMM-aa"),"")</f>
      </c>
      <c r="IL124" s="496" t="str">
        <f> IF(IL144&lt;&gt;"",TEXT(AUX!IP$1,"dd-MMM-aa"),"")</f>
      </c>
      <c r="IM124" s="496" t="str">
        <f> IF(IM144&lt;&gt;"",TEXT(AUX!IQ$1,"dd-MMM-aa"),"")</f>
      </c>
      <c r="IN124" s="496" t="str">
        <f> IF(IN144&lt;&gt;"",TEXT(AUX!IR$1,"dd-MMM-aa"),"")</f>
      </c>
      <c r="IO124" s="496" t="str">
        <f> IF(IO144&lt;&gt;"",TEXT(AUX!IS$1,"dd-MMM-aa"),"")</f>
      </c>
      <c r="IP124" s="496" t="str">
        <f> IF(IP144&lt;&gt;"",TEXT(AUX!IT$1,"dd-MMM-aa"),"")</f>
      </c>
      <c r="IQ124" s="496" t="str">
        <f> IF(IQ144&lt;&gt;"",TEXT(AUX!IU$1,"dd-MMM-aa"),"")</f>
      </c>
      <c r="IR124" s="496" t="str">
        <f> IF(IR144&lt;&gt;"",TEXT(AUX!IV$1,"dd-MMM-aa"),"")</f>
      </c>
      <c r="IS124" s="496" t="str">
        <f> IF(IS144&lt;&gt;"",TEXT(AUX!#REF!,"dd-MMM-aa"),"")</f>
      </c>
      <c r="IT124" s="496" t="str">
        <f> IF(IT144&lt;&gt;"",TEXT(AUX!#REF!,"dd-MMM-aa"),"")</f>
      </c>
      <c r="IU124" s="496" t="str">
        <f> IF(IU144&lt;&gt;"",TEXT(AUX!#REF!,"dd-MMM-aa"),"")</f>
      </c>
      <c r="IV124" s="496" t="str">
        <f> IF(IV144&lt;&gt;"",TEXT(AUX!#REF!,"dd-MMM-aa"),"")</f>
      </c>
    </row>
    <row r="125" hidden="1" ht="15.95" customHeight="1">
      <c r="B125" s="833" t="s">
        <v>8</v>
      </c>
      <c r="C125" s="827">
        <v>2</v>
      </c>
      <c r="D125" s="827">
        <v>2</v>
      </c>
      <c r="E125" s="827">
        <v>2</v>
      </c>
      <c r="F125" s="827">
        <v>2</v>
      </c>
      <c r="G125" s="827">
        <v>2</v>
      </c>
      <c r="H125" s="827">
        <v>1</v>
      </c>
      <c r="I125" s="827">
        <v>1</v>
      </c>
      <c r="J125" s="827">
        <v>1</v>
      </c>
      <c r="K125" s="827">
        <v>1</v>
      </c>
      <c r="L125" s="827">
        <v>1</v>
      </c>
      <c r="M125" s="827">
        <v>1</v>
      </c>
      <c r="N125" s="827">
        <v>1</v>
      </c>
      <c r="O125" s="827">
        <v>1</v>
      </c>
      <c r="P125" s="827">
        <v>2</v>
      </c>
      <c r="Q125" s="827">
        <v>2</v>
      </c>
      <c r="R125" s="827">
        <v>2</v>
      </c>
      <c r="S125" s="827">
        <v>3</v>
      </c>
      <c r="T125" s="827">
        <v>3</v>
      </c>
      <c r="U125" s="827">
        <v>3</v>
      </c>
      <c r="V125" s="827">
        <v>3</v>
      </c>
      <c r="W125" s="827">
        <v>5</v>
      </c>
      <c r="X125" s="827">
        <v>5</v>
      </c>
      <c r="Y125" s="827">
        <v>5</v>
      </c>
      <c r="Z125" s="827">
        <v>5</v>
      </c>
      <c r="AA125" s="827">
        <v>5</v>
      </c>
      <c r="AB125" s="834">
        <v>5</v>
      </c>
      <c r="AC125" s="828">
        <v>5</v>
      </c>
      <c r="AD125" s="828">
        <v>4</v>
      </c>
      <c r="AE125" s="828">
        <v>4</v>
      </c>
      <c r="AF125" s="828">
        <v>4</v>
      </c>
      <c r="AG125" s="828">
        <v>4</v>
      </c>
      <c r="AH125" s="828">
        <v>4</v>
      </c>
      <c r="AI125" s="828">
        <v>4</v>
      </c>
      <c r="AJ125" s="828">
        <v>3</v>
      </c>
      <c r="AK125" s="828">
        <v>3</v>
      </c>
      <c r="AL125" s="828">
        <v>3</v>
      </c>
      <c r="AM125" s="828">
        <v>3</v>
      </c>
      <c r="AN125" s="828">
        <v>3</v>
      </c>
      <c r="AO125" s="828">
        <v>2</v>
      </c>
      <c r="AP125" s="828">
        <v>2</v>
      </c>
    </row>
    <row r="126" hidden="1" ht="15.95" customHeight="1">
      <c r="B126" s="829" t="s">
        <v>9</v>
      </c>
      <c r="C126" s="823">
        <v>3</v>
      </c>
      <c r="D126" s="823">
        <v>3</v>
      </c>
      <c r="E126" s="823">
        <v>3</v>
      </c>
      <c r="F126" s="823">
        <v>3</v>
      </c>
      <c r="G126" s="823">
        <v>3</v>
      </c>
      <c r="H126" s="823">
        <v>3</v>
      </c>
      <c r="I126" s="823">
        <v>3</v>
      </c>
      <c r="J126" s="823">
        <v>2</v>
      </c>
      <c r="K126" s="823">
        <v>3</v>
      </c>
      <c r="L126" s="823">
        <v>3</v>
      </c>
      <c r="M126" s="823">
        <v>3</v>
      </c>
      <c r="N126" s="823">
        <v>3</v>
      </c>
      <c r="O126" s="823">
        <v>4</v>
      </c>
      <c r="P126" s="823">
        <v>5</v>
      </c>
      <c r="Q126" s="823">
        <v>5</v>
      </c>
      <c r="R126" s="823">
        <v>6</v>
      </c>
      <c r="S126" s="823">
        <v>6</v>
      </c>
      <c r="T126" s="823">
        <v>5</v>
      </c>
      <c r="U126" s="823">
        <v>6</v>
      </c>
      <c r="V126" s="823">
        <v>6</v>
      </c>
      <c r="W126" s="823">
        <v>6</v>
      </c>
      <c r="X126" s="823">
        <v>6</v>
      </c>
      <c r="Y126" s="823">
        <v>4</v>
      </c>
      <c r="Z126" s="823">
        <v>3</v>
      </c>
      <c r="AA126" s="823">
        <v>3</v>
      </c>
      <c r="AB126" s="823">
        <v>4</v>
      </c>
      <c r="AC126" s="825">
        <v>4</v>
      </c>
      <c r="AD126" s="825">
        <v>5</v>
      </c>
      <c r="AE126" s="825">
        <v>4</v>
      </c>
      <c r="AF126" s="825">
        <v>4</v>
      </c>
      <c r="AG126" s="825">
        <v>4</v>
      </c>
      <c r="AH126" s="825">
        <v>4</v>
      </c>
      <c r="AI126" s="825">
        <v>4</v>
      </c>
      <c r="AJ126" s="825">
        <v>3</v>
      </c>
      <c r="AK126" s="825">
        <v>3</v>
      </c>
      <c r="AL126" s="825">
        <v>3</v>
      </c>
      <c r="AM126" s="825">
        <v>3</v>
      </c>
      <c r="AN126" s="825">
        <v>3</v>
      </c>
      <c r="AO126" s="825">
        <v>3</v>
      </c>
      <c r="AP126" s="825">
        <v>2</v>
      </c>
    </row>
    <row r="127" hidden="1" ht="15.95" customHeight="1">
      <c r="B127" s="826" t="s">
        <v>10</v>
      </c>
      <c r="C127" s="827">
        <v>0</v>
      </c>
      <c r="D127" s="827">
        <v>0</v>
      </c>
      <c r="E127" s="827">
        <v>0</v>
      </c>
      <c r="F127" s="827">
        <v>0</v>
      </c>
      <c r="G127" s="827">
        <v>0</v>
      </c>
      <c r="H127" s="827">
        <v>0</v>
      </c>
      <c r="I127" s="827">
        <v>0</v>
      </c>
      <c r="J127" s="827">
        <v>0</v>
      </c>
      <c r="K127" s="827">
        <v>0</v>
      </c>
      <c r="L127" s="827">
        <v>0</v>
      </c>
      <c r="M127" s="827">
        <v>1</v>
      </c>
      <c r="N127" s="827">
        <v>1</v>
      </c>
      <c r="O127" s="827">
        <v>1</v>
      </c>
      <c r="P127" s="827">
        <v>1</v>
      </c>
      <c r="Q127" s="827">
        <v>1</v>
      </c>
      <c r="R127" s="827">
        <v>1</v>
      </c>
      <c r="S127" s="827">
        <v>1</v>
      </c>
      <c r="T127" s="827">
        <v>1</v>
      </c>
      <c r="U127" s="827">
        <v>0</v>
      </c>
      <c r="V127" s="827">
        <v>0</v>
      </c>
      <c r="W127" s="827">
        <v>0</v>
      </c>
      <c r="X127" s="827">
        <v>0</v>
      </c>
      <c r="Y127" s="827">
        <v>0</v>
      </c>
      <c r="Z127" s="827">
        <v>0</v>
      </c>
      <c r="AA127" s="827">
        <v>0</v>
      </c>
      <c r="AB127" s="827">
        <v>0</v>
      </c>
      <c r="AC127" s="828">
        <v>0</v>
      </c>
      <c r="AD127" s="828">
        <v>0</v>
      </c>
      <c r="AE127" s="828">
        <v>0</v>
      </c>
      <c r="AF127" s="828">
        <v>0</v>
      </c>
      <c r="AG127" s="828">
        <v>0</v>
      </c>
      <c r="AH127" s="828">
        <v>0</v>
      </c>
      <c r="AI127" s="828">
        <v>0</v>
      </c>
      <c r="AJ127" s="828">
        <v>0</v>
      </c>
      <c r="AK127" s="828">
        <v>0</v>
      </c>
      <c r="AL127" s="828">
        <v>0</v>
      </c>
      <c r="AM127" s="828">
        <v>0</v>
      </c>
      <c r="AN127" s="828">
        <v>0</v>
      </c>
      <c r="AO127" s="828">
        <v>0</v>
      </c>
      <c r="AP127" s="828">
        <v>0</v>
      </c>
    </row>
    <row r="128" hidden="1" ht="15.95" customHeight="1">
      <c r="B128" s="829" t="s">
        <v>11</v>
      </c>
      <c r="C128" s="823">
        <v>1</v>
      </c>
      <c r="D128" s="823">
        <v>3</v>
      </c>
      <c r="E128" s="823">
        <v>7</v>
      </c>
      <c r="F128" s="823">
        <v>8</v>
      </c>
      <c r="G128" s="823">
        <v>10</v>
      </c>
      <c r="H128" s="823">
        <v>12</v>
      </c>
      <c r="I128" s="823">
        <v>12</v>
      </c>
      <c r="J128" s="823">
        <v>11</v>
      </c>
      <c r="K128" s="823">
        <v>0</v>
      </c>
      <c r="L128" s="823">
        <v>0</v>
      </c>
      <c r="M128" s="823">
        <v>0</v>
      </c>
      <c r="N128" s="823">
        <v>0</v>
      </c>
      <c r="O128" s="823">
        <v>2</v>
      </c>
      <c r="P128" s="823">
        <v>2</v>
      </c>
      <c r="Q128" s="823">
        <v>2</v>
      </c>
      <c r="R128" s="823">
        <v>3</v>
      </c>
      <c r="S128" s="823">
        <v>4</v>
      </c>
      <c r="T128" s="823">
        <v>4</v>
      </c>
      <c r="U128" s="823">
        <v>4</v>
      </c>
      <c r="V128" s="823">
        <v>4</v>
      </c>
      <c r="W128" s="823">
        <v>2</v>
      </c>
      <c r="X128" s="823">
        <v>2</v>
      </c>
      <c r="Y128" s="823">
        <v>2</v>
      </c>
      <c r="Z128" s="823">
        <v>2</v>
      </c>
      <c r="AA128" s="823">
        <v>2</v>
      </c>
      <c r="AB128" s="823">
        <v>2</v>
      </c>
      <c r="AC128" s="825">
        <v>2</v>
      </c>
      <c r="AD128" s="825">
        <v>1</v>
      </c>
      <c r="AE128" s="825">
        <v>1</v>
      </c>
      <c r="AF128" s="825">
        <v>2</v>
      </c>
      <c r="AG128" s="825">
        <v>2</v>
      </c>
      <c r="AH128" s="825">
        <v>2</v>
      </c>
      <c r="AI128" s="825">
        <v>3</v>
      </c>
      <c r="AJ128" s="825">
        <v>3</v>
      </c>
      <c r="AK128" s="825">
        <v>3</v>
      </c>
      <c r="AL128" s="825">
        <v>3</v>
      </c>
      <c r="AM128" s="825">
        <v>2</v>
      </c>
      <c r="AN128" s="825">
        <v>2</v>
      </c>
      <c r="AO128" s="825">
        <v>3</v>
      </c>
      <c r="AP128" s="825">
        <v>3</v>
      </c>
    </row>
    <row r="129" hidden="1" ht="15.95" customHeight="1">
      <c r="B129" s="826" t="s">
        <v>12</v>
      </c>
      <c r="C129" s="827">
        <v>9</v>
      </c>
      <c r="D129" s="827">
        <v>9</v>
      </c>
      <c r="E129" s="827">
        <v>8</v>
      </c>
      <c r="F129" s="827">
        <v>8</v>
      </c>
      <c r="G129" s="827">
        <v>9</v>
      </c>
      <c r="H129" s="827">
        <v>9</v>
      </c>
      <c r="I129" s="827">
        <v>5</v>
      </c>
      <c r="J129" s="827">
        <v>4</v>
      </c>
      <c r="K129" s="827">
        <v>3</v>
      </c>
      <c r="L129" s="827">
        <v>3</v>
      </c>
      <c r="M129" s="827">
        <v>3</v>
      </c>
      <c r="N129" s="827">
        <v>3</v>
      </c>
      <c r="O129" s="827">
        <v>3</v>
      </c>
      <c r="P129" s="827">
        <v>4</v>
      </c>
      <c r="Q129" s="827">
        <v>4</v>
      </c>
      <c r="R129" s="827">
        <v>4</v>
      </c>
      <c r="S129" s="827">
        <v>4</v>
      </c>
      <c r="T129" s="827">
        <v>3</v>
      </c>
      <c r="U129" s="827">
        <v>3</v>
      </c>
      <c r="V129" s="827">
        <v>3</v>
      </c>
      <c r="W129" s="827">
        <v>4</v>
      </c>
      <c r="X129" s="827">
        <v>3</v>
      </c>
      <c r="Y129" s="827">
        <v>5</v>
      </c>
      <c r="Z129" s="827">
        <v>5</v>
      </c>
      <c r="AA129" s="827">
        <v>4</v>
      </c>
      <c r="AB129" s="827">
        <v>4</v>
      </c>
      <c r="AC129" s="828">
        <v>2</v>
      </c>
      <c r="AD129" s="828">
        <v>1</v>
      </c>
      <c r="AE129" s="828">
        <v>2</v>
      </c>
      <c r="AF129" s="828">
        <v>2</v>
      </c>
      <c r="AG129" s="828">
        <v>1</v>
      </c>
      <c r="AH129" s="828">
        <v>1</v>
      </c>
      <c r="AI129" s="828">
        <v>1</v>
      </c>
      <c r="AJ129" s="828">
        <v>1</v>
      </c>
      <c r="AK129" s="828">
        <v>1</v>
      </c>
      <c r="AL129" s="828">
        <v>2</v>
      </c>
      <c r="AM129" s="828">
        <v>2</v>
      </c>
      <c r="AN129" s="828">
        <v>3</v>
      </c>
      <c r="AO129" s="828">
        <v>3</v>
      </c>
      <c r="AP129" s="828">
        <v>3</v>
      </c>
    </row>
    <row r="130" hidden="1" ht="15.95" customHeight="1">
      <c r="B130" s="829" t="s">
        <v>13</v>
      </c>
      <c r="C130" s="823">
        <v>0</v>
      </c>
      <c r="D130" s="823">
        <v>0</v>
      </c>
      <c r="E130" s="823">
        <v>0</v>
      </c>
      <c r="F130" s="823">
        <v>0</v>
      </c>
      <c r="G130" s="823">
        <v>0</v>
      </c>
      <c r="H130" s="823">
        <v>0</v>
      </c>
      <c r="I130" s="823">
        <v>0</v>
      </c>
      <c r="J130" s="823">
        <v>0</v>
      </c>
      <c r="K130" s="823">
        <v>0</v>
      </c>
      <c r="L130" s="823">
        <v>0</v>
      </c>
      <c r="M130" s="823">
        <v>0</v>
      </c>
      <c r="N130" s="823">
        <v>0</v>
      </c>
      <c r="O130" s="823">
        <v>0</v>
      </c>
      <c r="P130" s="823">
        <v>0</v>
      </c>
      <c r="Q130" s="823">
        <v>0</v>
      </c>
      <c r="R130" s="823">
        <v>0</v>
      </c>
      <c r="S130" s="823">
        <v>0</v>
      </c>
      <c r="T130" s="823">
        <v>0</v>
      </c>
      <c r="U130" s="823">
        <v>0</v>
      </c>
      <c r="V130" s="823">
        <v>0</v>
      </c>
      <c r="W130" s="823">
        <v>0</v>
      </c>
      <c r="X130" s="823">
        <v>0</v>
      </c>
      <c r="Y130" s="823">
        <v>0</v>
      </c>
      <c r="Z130" s="823">
        <v>0</v>
      </c>
      <c r="AA130" s="823">
        <v>0</v>
      </c>
      <c r="AB130" s="823">
        <v>1</v>
      </c>
      <c r="AC130" s="825">
        <v>1</v>
      </c>
      <c r="AD130" s="825">
        <v>0</v>
      </c>
      <c r="AE130" s="825">
        <v>1</v>
      </c>
      <c r="AF130" s="825">
        <v>1</v>
      </c>
      <c r="AG130" s="825">
        <v>1</v>
      </c>
      <c r="AH130" s="825">
        <v>0</v>
      </c>
      <c r="AI130" s="825">
        <v>0</v>
      </c>
      <c r="AJ130" s="825">
        <v>0</v>
      </c>
      <c r="AK130" s="825">
        <v>0</v>
      </c>
      <c r="AL130" s="825">
        <v>0</v>
      </c>
      <c r="AM130" s="825">
        <v>0</v>
      </c>
      <c r="AN130" s="825">
        <v>0</v>
      </c>
      <c r="AO130" s="825">
        <v>0</v>
      </c>
      <c r="AP130" s="825">
        <v>0</v>
      </c>
    </row>
    <row r="131" hidden="1" ht="15.95" customHeight="1">
      <c r="B131" s="826" t="s">
        <v>109</v>
      </c>
      <c r="C131" s="827">
        <v>3</v>
      </c>
      <c r="D131" s="827">
        <v>3</v>
      </c>
      <c r="E131" s="827">
        <v>3</v>
      </c>
      <c r="F131" s="827">
        <v>3</v>
      </c>
      <c r="G131" s="827">
        <v>2</v>
      </c>
      <c r="H131" s="827">
        <v>2</v>
      </c>
      <c r="I131" s="827">
        <v>2</v>
      </c>
      <c r="J131" s="827">
        <v>2</v>
      </c>
      <c r="K131" s="827">
        <v>1</v>
      </c>
      <c r="L131" s="827">
        <v>1</v>
      </c>
      <c r="M131" s="827">
        <v>1</v>
      </c>
      <c r="N131" s="827">
        <v>1</v>
      </c>
      <c r="O131" s="827">
        <v>1</v>
      </c>
      <c r="P131" s="827">
        <v>1</v>
      </c>
      <c r="Q131" s="827">
        <v>1</v>
      </c>
      <c r="R131" s="827">
        <v>1</v>
      </c>
      <c r="S131" s="827">
        <v>1</v>
      </c>
      <c r="T131" s="827">
        <v>1</v>
      </c>
      <c r="U131" s="827">
        <v>1</v>
      </c>
      <c r="V131" s="827">
        <v>1</v>
      </c>
      <c r="W131" s="827">
        <v>1</v>
      </c>
      <c r="X131" s="827">
        <v>1</v>
      </c>
      <c r="Y131" s="827">
        <v>2</v>
      </c>
      <c r="Z131" s="827">
        <v>3</v>
      </c>
      <c r="AA131" s="827">
        <v>3</v>
      </c>
      <c r="AB131" s="827">
        <v>3</v>
      </c>
      <c r="AC131" s="828">
        <v>3</v>
      </c>
      <c r="AD131" s="828">
        <v>4</v>
      </c>
      <c r="AE131" s="828">
        <v>4</v>
      </c>
      <c r="AF131" s="828">
        <v>4</v>
      </c>
      <c r="AG131" s="828">
        <v>4</v>
      </c>
      <c r="AH131" s="828">
        <v>5</v>
      </c>
      <c r="AI131" s="828">
        <v>3</v>
      </c>
      <c r="AJ131" s="828">
        <v>5</v>
      </c>
      <c r="AK131" s="828">
        <v>6</v>
      </c>
      <c r="AL131" s="828">
        <v>6</v>
      </c>
      <c r="AM131" s="828">
        <v>6</v>
      </c>
      <c r="AN131" s="828">
        <v>6</v>
      </c>
      <c r="AO131" s="828">
        <v>6</v>
      </c>
      <c r="AP131" s="828">
        <v>6</v>
      </c>
    </row>
    <row r="132" hidden="1" ht="15.95" customHeight="1">
      <c r="B132" s="829" t="s">
        <v>110</v>
      </c>
      <c r="C132" s="823">
        <v>6</v>
      </c>
      <c r="D132" s="823">
        <v>6</v>
      </c>
      <c r="E132" s="823">
        <v>7</v>
      </c>
      <c r="F132" s="823">
        <v>7</v>
      </c>
      <c r="G132" s="823">
        <v>6</v>
      </c>
      <c r="H132" s="823">
        <v>6</v>
      </c>
      <c r="I132" s="823">
        <v>6</v>
      </c>
      <c r="J132" s="823">
        <v>6</v>
      </c>
      <c r="K132" s="823">
        <v>8</v>
      </c>
      <c r="L132" s="823">
        <v>7</v>
      </c>
      <c r="M132" s="823">
        <v>6</v>
      </c>
      <c r="N132" s="823">
        <v>6</v>
      </c>
      <c r="O132" s="823">
        <v>6</v>
      </c>
      <c r="P132" s="823">
        <v>7</v>
      </c>
      <c r="Q132" s="823">
        <v>7</v>
      </c>
      <c r="R132" s="823">
        <v>5</v>
      </c>
      <c r="S132" s="823">
        <v>5</v>
      </c>
      <c r="T132" s="823">
        <v>6</v>
      </c>
      <c r="U132" s="823">
        <v>8</v>
      </c>
      <c r="V132" s="823">
        <v>11</v>
      </c>
      <c r="W132" s="823">
        <v>10</v>
      </c>
      <c r="X132" s="823">
        <v>8</v>
      </c>
      <c r="Y132" s="823">
        <v>8</v>
      </c>
      <c r="Z132" s="823">
        <v>9</v>
      </c>
      <c r="AA132" s="823">
        <v>6</v>
      </c>
      <c r="AB132" s="823">
        <v>6</v>
      </c>
      <c r="AC132" s="825">
        <v>9</v>
      </c>
      <c r="AD132" s="825">
        <v>9</v>
      </c>
      <c r="AE132" s="825">
        <v>9</v>
      </c>
      <c r="AF132" s="825">
        <v>9</v>
      </c>
      <c r="AG132" s="825">
        <v>9</v>
      </c>
      <c r="AH132" s="825">
        <v>9</v>
      </c>
      <c r="AI132" s="825">
        <v>8</v>
      </c>
      <c r="AJ132" s="825">
        <v>10</v>
      </c>
      <c r="AK132" s="825">
        <v>9</v>
      </c>
      <c r="AL132" s="825">
        <v>6</v>
      </c>
      <c r="AM132" s="825">
        <v>6</v>
      </c>
      <c r="AN132" s="825">
        <v>7</v>
      </c>
      <c r="AO132" s="825">
        <v>7</v>
      </c>
      <c r="AP132" s="825">
        <v>7</v>
      </c>
    </row>
    <row r="133" hidden="1" ht="15.95" customHeight="1">
      <c r="B133" s="826" t="s">
        <v>16</v>
      </c>
      <c r="C133" s="827">
        <v>137</v>
      </c>
      <c r="D133" s="827">
        <v>129</v>
      </c>
      <c r="E133" s="827">
        <v>129</v>
      </c>
      <c r="F133" s="827">
        <v>130</v>
      </c>
      <c r="G133" s="827">
        <v>121</v>
      </c>
      <c r="H133" s="827">
        <v>118</v>
      </c>
      <c r="I133" s="827">
        <v>47</v>
      </c>
      <c r="J133" s="827">
        <v>46</v>
      </c>
      <c r="K133" s="827">
        <v>46</v>
      </c>
      <c r="L133" s="827">
        <v>45</v>
      </c>
      <c r="M133" s="827">
        <v>44</v>
      </c>
      <c r="N133" s="827">
        <v>46</v>
      </c>
      <c r="O133" s="827">
        <v>43</v>
      </c>
      <c r="P133" s="827">
        <v>43</v>
      </c>
      <c r="Q133" s="827">
        <v>43</v>
      </c>
      <c r="R133" s="827">
        <v>42</v>
      </c>
      <c r="S133" s="827">
        <v>42</v>
      </c>
      <c r="T133" s="827">
        <v>41</v>
      </c>
      <c r="U133" s="827">
        <v>39</v>
      </c>
      <c r="V133" s="827">
        <v>40</v>
      </c>
      <c r="W133" s="827">
        <v>35</v>
      </c>
      <c r="X133" s="827">
        <v>38</v>
      </c>
      <c r="Y133" s="827">
        <v>40</v>
      </c>
      <c r="Z133" s="827">
        <v>42</v>
      </c>
      <c r="AA133" s="827">
        <v>41</v>
      </c>
      <c r="AB133" s="827">
        <v>42</v>
      </c>
      <c r="AC133" s="828">
        <v>41</v>
      </c>
      <c r="AD133" s="828">
        <v>41</v>
      </c>
      <c r="AE133" s="828">
        <v>40</v>
      </c>
      <c r="AF133" s="828">
        <v>43</v>
      </c>
      <c r="AG133" s="828">
        <v>40</v>
      </c>
      <c r="AH133" s="828">
        <v>40</v>
      </c>
      <c r="AI133" s="828">
        <v>38</v>
      </c>
      <c r="AJ133" s="828">
        <v>39</v>
      </c>
      <c r="AK133" s="828">
        <v>45</v>
      </c>
      <c r="AL133" s="828">
        <v>45</v>
      </c>
      <c r="AM133" s="828">
        <v>44</v>
      </c>
      <c r="AN133" s="828">
        <v>47</v>
      </c>
      <c r="AO133" s="828">
        <v>44</v>
      </c>
      <c r="AP133" s="828">
        <v>43</v>
      </c>
    </row>
    <row r="134" hidden="1" ht="15.95" customHeight="1">
      <c r="B134" s="829" t="s">
        <v>17</v>
      </c>
      <c r="C134" s="823">
        <v>2</v>
      </c>
      <c r="D134" s="823">
        <v>3</v>
      </c>
      <c r="E134" s="823">
        <v>2</v>
      </c>
      <c r="F134" s="823">
        <v>4</v>
      </c>
      <c r="G134" s="823">
        <v>4</v>
      </c>
      <c r="H134" s="823">
        <v>4</v>
      </c>
      <c r="I134" s="823">
        <v>6</v>
      </c>
      <c r="J134" s="823">
        <v>5</v>
      </c>
      <c r="K134" s="823">
        <v>5</v>
      </c>
      <c r="L134" s="823">
        <v>5</v>
      </c>
      <c r="M134" s="823">
        <v>6</v>
      </c>
      <c r="N134" s="823">
        <v>7</v>
      </c>
      <c r="O134" s="823">
        <v>7</v>
      </c>
      <c r="P134" s="823">
        <v>7</v>
      </c>
      <c r="Q134" s="823">
        <v>8</v>
      </c>
      <c r="R134" s="823">
        <v>8</v>
      </c>
      <c r="S134" s="823">
        <v>7</v>
      </c>
      <c r="T134" s="823">
        <v>7</v>
      </c>
      <c r="U134" s="823">
        <v>7</v>
      </c>
      <c r="V134" s="823">
        <v>7</v>
      </c>
      <c r="W134" s="823">
        <v>6</v>
      </c>
      <c r="X134" s="823">
        <v>6</v>
      </c>
      <c r="Y134" s="823">
        <v>7</v>
      </c>
      <c r="Z134" s="823">
        <v>8</v>
      </c>
      <c r="AA134" s="823">
        <v>7</v>
      </c>
      <c r="AB134" s="823">
        <v>7</v>
      </c>
      <c r="AC134" s="825">
        <v>7</v>
      </c>
      <c r="AD134" s="825">
        <v>6</v>
      </c>
      <c r="AE134" s="825">
        <v>6</v>
      </c>
      <c r="AF134" s="825">
        <v>6</v>
      </c>
      <c r="AG134" s="825">
        <v>7</v>
      </c>
      <c r="AH134" s="825">
        <v>7</v>
      </c>
      <c r="AI134" s="825">
        <v>8</v>
      </c>
      <c r="AJ134" s="825">
        <v>10</v>
      </c>
      <c r="AK134" s="825">
        <v>11</v>
      </c>
      <c r="AL134" s="825">
        <v>11</v>
      </c>
      <c r="AM134" s="825">
        <v>10</v>
      </c>
      <c r="AN134" s="825">
        <v>9</v>
      </c>
      <c r="AO134" s="825">
        <v>9</v>
      </c>
      <c r="AP134" s="825">
        <v>9</v>
      </c>
    </row>
    <row r="135" hidden="1" ht="15.95" customHeight="1">
      <c r="B135" s="826" t="s">
        <v>18</v>
      </c>
      <c r="C135" s="827">
        <v>11</v>
      </c>
      <c r="D135" s="827">
        <v>11</v>
      </c>
      <c r="E135" s="827">
        <v>10</v>
      </c>
      <c r="F135" s="827">
        <v>10</v>
      </c>
      <c r="G135" s="827">
        <v>10</v>
      </c>
      <c r="H135" s="827">
        <v>10</v>
      </c>
      <c r="I135" s="827">
        <v>9</v>
      </c>
      <c r="J135" s="827">
        <v>9</v>
      </c>
      <c r="K135" s="827">
        <v>10</v>
      </c>
      <c r="L135" s="827">
        <v>10</v>
      </c>
      <c r="M135" s="827">
        <v>9</v>
      </c>
      <c r="N135" s="827">
        <v>9</v>
      </c>
      <c r="O135" s="827">
        <v>8</v>
      </c>
      <c r="P135" s="827">
        <v>9</v>
      </c>
      <c r="Q135" s="827">
        <v>7</v>
      </c>
      <c r="R135" s="827">
        <v>7</v>
      </c>
      <c r="S135" s="827">
        <v>6</v>
      </c>
      <c r="T135" s="827">
        <v>5</v>
      </c>
      <c r="U135" s="827">
        <v>2</v>
      </c>
      <c r="V135" s="827">
        <v>1</v>
      </c>
      <c r="W135" s="827">
        <v>1</v>
      </c>
      <c r="X135" s="827">
        <v>1</v>
      </c>
      <c r="Y135" s="827">
        <v>2</v>
      </c>
      <c r="Z135" s="827">
        <v>1</v>
      </c>
      <c r="AA135" s="827">
        <v>1</v>
      </c>
      <c r="AB135" s="827">
        <v>1</v>
      </c>
      <c r="AC135" s="828">
        <v>1</v>
      </c>
      <c r="AD135" s="828">
        <v>1</v>
      </c>
      <c r="AE135" s="828">
        <v>1</v>
      </c>
      <c r="AF135" s="828">
        <v>1</v>
      </c>
      <c r="AG135" s="828">
        <v>2</v>
      </c>
      <c r="AH135" s="828">
        <v>2</v>
      </c>
      <c r="AI135" s="828">
        <v>2</v>
      </c>
      <c r="AJ135" s="828">
        <v>2</v>
      </c>
      <c r="AK135" s="828">
        <v>2</v>
      </c>
      <c r="AL135" s="828">
        <v>2</v>
      </c>
      <c r="AM135" s="828">
        <v>2</v>
      </c>
      <c r="AN135" s="828">
        <v>2</v>
      </c>
      <c r="AO135" s="828">
        <v>2</v>
      </c>
      <c r="AP135" s="828">
        <v>2</v>
      </c>
    </row>
    <row r="136" hidden="1" ht="15.95" customHeight="1">
      <c r="B136" s="829" t="s">
        <v>19</v>
      </c>
      <c r="C136" s="823">
        <v>1</v>
      </c>
      <c r="D136" s="823">
        <v>1</v>
      </c>
      <c r="E136" s="823">
        <v>1</v>
      </c>
      <c r="F136" s="823">
        <v>1</v>
      </c>
      <c r="G136" s="823">
        <v>1</v>
      </c>
      <c r="H136" s="823">
        <v>1</v>
      </c>
      <c r="I136" s="823">
        <v>1</v>
      </c>
      <c r="J136" s="823">
        <v>1</v>
      </c>
      <c r="K136" s="823">
        <v>0</v>
      </c>
      <c r="L136" s="823">
        <v>0</v>
      </c>
      <c r="M136" s="823">
        <v>0</v>
      </c>
      <c r="N136" s="823">
        <v>0</v>
      </c>
      <c r="O136" s="823">
        <v>0</v>
      </c>
      <c r="P136" s="823">
        <v>0</v>
      </c>
      <c r="Q136" s="823">
        <v>0</v>
      </c>
      <c r="R136" s="823">
        <v>0</v>
      </c>
      <c r="S136" s="823">
        <v>1</v>
      </c>
      <c r="T136" s="823">
        <v>1</v>
      </c>
      <c r="U136" s="823">
        <v>1</v>
      </c>
      <c r="V136" s="823">
        <v>1</v>
      </c>
      <c r="W136" s="823">
        <v>1</v>
      </c>
      <c r="X136" s="823">
        <v>1</v>
      </c>
      <c r="Y136" s="823">
        <v>1</v>
      </c>
      <c r="Z136" s="823">
        <v>1</v>
      </c>
      <c r="AA136" s="823">
        <v>1</v>
      </c>
      <c r="AB136" s="823">
        <v>1</v>
      </c>
      <c r="AC136" s="825">
        <v>1</v>
      </c>
      <c r="AD136" s="825">
        <v>1</v>
      </c>
      <c r="AE136" s="825">
        <v>1</v>
      </c>
      <c r="AF136" s="825">
        <v>1</v>
      </c>
      <c r="AG136" s="825">
        <v>1</v>
      </c>
      <c r="AH136" s="825">
        <v>1</v>
      </c>
      <c r="AI136" s="825">
        <v>1</v>
      </c>
      <c r="AJ136" s="825">
        <v>1</v>
      </c>
      <c r="AK136" s="825">
        <v>1</v>
      </c>
      <c r="AL136" s="825">
        <v>1</v>
      </c>
      <c r="AM136" s="825">
        <v>1</v>
      </c>
      <c r="AN136" s="825">
        <v>1</v>
      </c>
      <c r="AO136" s="825">
        <v>1</v>
      </c>
      <c r="AP136" s="825">
        <v>1</v>
      </c>
    </row>
    <row r="137" hidden="1" ht="15.95" customHeight="1">
      <c r="B137" s="826" t="s">
        <v>20</v>
      </c>
      <c r="C137" s="827">
        <v>0</v>
      </c>
      <c r="D137" s="827">
        <v>0</v>
      </c>
      <c r="E137" s="827">
        <v>0</v>
      </c>
      <c r="F137" s="827">
        <v>0</v>
      </c>
      <c r="G137" s="827">
        <v>0</v>
      </c>
      <c r="H137" s="827">
        <v>0</v>
      </c>
      <c r="I137" s="827">
        <v>0</v>
      </c>
      <c r="J137" s="827">
        <v>0</v>
      </c>
      <c r="K137" s="827">
        <v>0</v>
      </c>
      <c r="L137" s="827">
        <v>0</v>
      </c>
      <c r="M137" s="827">
        <v>0</v>
      </c>
      <c r="N137" s="827">
        <v>0</v>
      </c>
      <c r="O137" s="827">
        <v>0</v>
      </c>
      <c r="P137" s="827">
        <v>0</v>
      </c>
      <c r="Q137" s="827">
        <v>0</v>
      </c>
      <c r="R137" s="827">
        <v>0</v>
      </c>
      <c r="S137" s="827">
        <v>0</v>
      </c>
      <c r="T137" s="827">
        <v>0</v>
      </c>
      <c r="U137" s="827">
        <v>0</v>
      </c>
      <c r="V137" s="827">
        <v>0</v>
      </c>
      <c r="W137" s="827">
        <v>0</v>
      </c>
      <c r="X137" s="827">
        <v>0</v>
      </c>
      <c r="Y137" s="827">
        <v>0</v>
      </c>
      <c r="Z137" s="827">
        <v>0</v>
      </c>
      <c r="AA137" s="827">
        <v>0</v>
      </c>
      <c r="AB137" s="827">
        <v>0</v>
      </c>
      <c r="AC137" s="828">
        <v>0</v>
      </c>
      <c r="AD137" s="828">
        <v>0</v>
      </c>
      <c r="AE137" s="828">
        <v>0</v>
      </c>
      <c r="AF137" s="828">
        <v>0</v>
      </c>
      <c r="AG137" s="828">
        <v>0</v>
      </c>
      <c r="AH137" s="828">
        <v>0</v>
      </c>
      <c r="AI137" s="828">
        <v>0</v>
      </c>
      <c r="AJ137" s="828">
        <v>0</v>
      </c>
      <c r="AK137" s="828">
        <v>0</v>
      </c>
      <c r="AL137" s="828">
        <v>0</v>
      </c>
      <c r="AM137" s="828">
        <v>0</v>
      </c>
      <c r="AN137" s="828">
        <v>0</v>
      </c>
      <c r="AO137" s="828">
        <v>0</v>
      </c>
      <c r="AP137" s="828">
        <v>0</v>
      </c>
    </row>
    <row r="138" hidden="1" ht="15.95" customHeight="1">
      <c r="B138" s="829" t="s">
        <v>21</v>
      </c>
      <c r="C138" s="823">
        <v>23</v>
      </c>
      <c r="D138" s="823">
        <v>24</v>
      </c>
      <c r="E138" s="823">
        <v>22</v>
      </c>
      <c r="F138" s="823">
        <v>24</v>
      </c>
      <c r="G138" s="823">
        <v>23</v>
      </c>
      <c r="H138" s="823">
        <v>22</v>
      </c>
      <c r="I138" s="823">
        <v>17</v>
      </c>
      <c r="J138" s="823">
        <v>17</v>
      </c>
      <c r="K138" s="823">
        <v>17</v>
      </c>
      <c r="L138" s="823">
        <v>16</v>
      </c>
      <c r="M138" s="823">
        <v>19</v>
      </c>
      <c r="N138" s="823">
        <v>20</v>
      </c>
      <c r="O138" s="823">
        <v>21</v>
      </c>
      <c r="P138" s="823">
        <v>24</v>
      </c>
      <c r="Q138" s="823">
        <v>26</v>
      </c>
      <c r="R138" s="823">
        <v>26</v>
      </c>
      <c r="S138" s="823">
        <v>16</v>
      </c>
      <c r="T138" s="823">
        <v>19</v>
      </c>
      <c r="U138" s="823">
        <v>17</v>
      </c>
      <c r="V138" s="823">
        <v>17</v>
      </c>
      <c r="W138" s="823">
        <v>18</v>
      </c>
      <c r="X138" s="823">
        <v>18</v>
      </c>
      <c r="Y138" s="823">
        <v>20</v>
      </c>
      <c r="Z138" s="823">
        <v>20</v>
      </c>
      <c r="AA138" s="823">
        <v>18</v>
      </c>
      <c r="AB138" s="823">
        <v>18</v>
      </c>
      <c r="AC138" s="825">
        <v>20</v>
      </c>
      <c r="AD138" s="825">
        <v>20</v>
      </c>
      <c r="AE138" s="825">
        <v>22</v>
      </c>
      <c r="AF138" s="825">
        <v>24</v>
      </c>
      <c r="AG138" s="825">
        <v>19</v>
      </c>
      <c r="AH138" s="825">
        <v>18</v>
      </c>
      <c r="AI138" s="825">
        <v>16</v>
      </c>
      <c r="AJ138" s="825">
        <v>17</v>
      </c>
      <c r="AK138" s="825">
        <v>4</v>
      </c>
      <c r="AL138" s="825">
        <v>4</v>
      </c>
      <c r="AM138" s="825">
        <v>1</v>
      </c>
      <c r="AN138" s="825">
        <v>2</v>
      </c>
      <c r="AO138" s="825">
        <v>1</v>
      </c>
      <c r="AP138" s="825">
        <v>0</v>
      </c>
    </row>
    <row r="139" hidden="1" ht="15.95" customHeight="1">
      <c r="B139" s="826" t="s">
        <v>22</v>
      </c>
      <c r="C139" s="827">
        <v>0</v>
      </c>
      <c r="D139" s="827">
        <v>0</v>
      </c>
      <c r="E139" s="827">
        <v>0</v>
      </c>
      <c r="F139" s="827">
        <v>0</v>
      </c>
      <c r="G139" s="827">
        <v>0</v>
      </c>
      <c r="H139" s="827">
        <v>0</v>
      </c>
      <c r="I139" s="827">
        <v>0</v>
      </c>
      <c r="J139" s="827">
        <v>0</v>
      </c>
      <c r="K139" s="827">
        <v>0</v>
      </c>
      <c r="L139" s="827">
        <v>0</v>
      </c>
      <c r="M139" s="827">
        <v>2</v>
      </c>
      <c r="N139" s="827">
        <v>2</v>
      </c>
      <c r="O139" s="827">
        <v>2</v>
      </c>
      <c r="P139" s="827">
        <v>2</v>
      </c>
      <c r="Q139" s="827">
        <v>2</v>
      </c>
      <c r="R139" s="827">
        <v>2</v>
      </c>
      <c r="S139" s="827">
        <v>2</v>
      </c>
      <c r="T139" s="827">
        <v>2</v>
      </c>
      <c r="U139" s="827">
        <v>2</v>
      </c>
      <c r="V139" s="827">
        <v>2</v>
      </c>
      <c r="W139" s="827">
        <v>2</v>
      </c>
      <c r="X139" s="827">
        <v>2</v>
      </c>
      <c r="Y139" s="827">
        <v>2</v>
      </c>
      <c r="Z139" s="827">
        <v>2</v>
      </c>
      <c r="AA139" s="827">
        <v>3</v>
      </c>
      <c r="AB139" s="827">
        <v>3</v>
      </c>
      <c r="AC139" s="828">
        <v>3</v>
      </c>
      <c r="AD139" s="828">
        <v>3</v>
      </c>
      <c r="AE139" s="828">
        <v>2</v>
      </c>
      <c r="AF139" s="828">
        <v>2</v>
      </c>
      <c r="AG139" s="828">
        <v>3</v>
      </c>
      <c r="AH139" s="828">
        <v>3</v>
      </c>
      <c r="AI139" s="828">
        <v>3</v>
      </c>
      <c r="AJ139" s="828">
        <v>3</v>
      </c>
      <c r="AK139" s="828">
        <v>3</v>
      </c>
      <c r="AL139" s="828">
        <v>3</v>
      </c>
      <c r="AM139" s="828">
        <v>3</v>
      </c>
      <c r="AN139" s="828">
        <v>3</v>
      </c>
      <c r="AO139" s="828">
        <v>2</v>
      </c>
      <c r="AP139" s="828">
        <v>1</v>
      </c>
    </row>
    <row r="140" hidden="1" ht="15.95" customHeight="1">
      <c r="B140" s="829" t="s">
        <v>23</v>
      </c>
      <c r="C140" s="823">
        <v>0</v>
      </c>
      <c r="D140" s="823">
        <v>0</v>
      </c>
      <c r="E140" s="823">
        <v>0</v>
      </c>
      <c r="F140" s="823">
        <v>1</v>
      </c>
      <c r="G140" s="823">
        <v>1</v>
      </c>
      <c r="H140" s="823">
        <v>1</v>
      </c>
      <c r="I140" s="823">
        <v>1</v>
      </c>
      <c r="J140" s="823">
        <v>1</v>
      </c>
      <c r="K140" s="823">
        <v>1</v>
      </c>
      <c r="L140" s="823">
        <v>1</v>
      </c>
      <c r="M140" s="823">
        <v>1</v>
      </c>
      <c r="N140" s="823">
        <v>1</v>
      </c>
      <c r="O140" s="823">
        <v>1</v>
      </c>
      <c r="P140" s="823">
        <v>1</v>
      </c>
      <c r="Q140" s="823">
        <v>1</v>
      </c>
      <c r="R140" s="823">
        <v>1</v>
      </c>
      <c r="S140" s="823">
        <v>1</v>
      </c>
      <c r="T140" s="823">
        <v>1</v>
      </c>
      <c r="U140" s="823">
        <v>1</v>
      </c>
      <c r="V140" s="823">
        <v>0</v>
      </c>
      <c r="W140" s="823">
        <v>0</v>
      </c>
      <c r="X140" s="823">
        <v>0</v>
      </c>
      <c r="Y140" s="823">
        <v>0</v>
      </c>
      <c r="Z140" s="823">
        <v>0</v>
      </c>
      <c r="AA140" s="823">
        <v>0</v>
      </c>
      <c r="AB140" s="823">
        <v>0</v>
      </c>
      <c r="AC140" s="825">
        <v>0</v>
      </c>
      <c r="AD140" s="825">
        <v>0</v>
      </c>
      <c r="AE140" s="825">
        <v>0</v>
      </c>
      <c r="AF140" s="825">
        <v>0</v>
      </c>
      <c r="AG140" s="825">
        <v>0</v>
      </c>
      <c r="AH140" s="825">
        <v>0</v>
      </c>
      <c r="AI140" s="825">
        <v>0</v>
      </c>
      <c r="AJ140" s="825">
        <v>0</v>
      </c>
      <c r="AK140" s="825">
        <v>0</v>
      </c>
      <c r="AL140" s="825">
        <v>0</v>
      </c>
      <c r="AM140" s="825">
        <v>0</v>
      </c>
      <c r="AN140" s="825">
        <v>0</v>
      </c>
      <c r="AO140" s="825">
        <v>0</v>
      </c>
      <c r="AP140" s="825">
        <v>0</v>
      </c>
    </row>
    <row r="141" hidden="1" ht="15.95" customHeight="1">
      <c r="B141" s="835" t="s">
        <v>24</v>
      </c>
      <c r="C141" s="827">
        <v>3</v>
      </c>
      <c r="D141" s="827">
        <v>3</v>
      </c>
      <c r="E141" s="827">
        <v>3</v>
      </c>
      <c r="F141" s="827">
        <v>2</v>
      </c>
      <c r="G141" s="827">
        <v>3</v>
      </c>
      <c r="H141" s="827">
        <v>3</v>
      </c>
      <c r="I141" s="827">
        <v>2</v>
      </c>
      <c r="J141" s="827">
        <v>2</v>
      </c>
      <c r="K141" s="827">
        <v>2</v>
      </c>
      <c r="L141" s="827">
        <v>2</v>
      </c>
      <c r="M141" s="827">
        <v>2</v>
      </c>
      <c r="N141" s="827">
        <v>2</v>
      </c>
      <c r="O141" s="827">
        <v>2</v>
      </c>
      <c r="P141" s="827">
        <v>2</v>
      </c>
      <c r="Q141" s="827">
        <v>2</v>
      </c>
      <c r="R141" s="827">
        <v>3</v>
      </c>
      <c r="S141" s="827">
        <v>3</v>
      </c>
      <c r="T141" s="827">
        <v>3</v>
      </c>
      <c r="U141" s="827">
        <v>3</v>
      </c>
      <c r="V141" s="827">
        <v>3</v>
      </c>
      <c r="W141" s="827">
        <v>3</v>
      </c>
      <c r="X141" s="827">
        <v>3</v>
      </c>
      <c r="Y141" s="827">
        <v>4</v>
      </c>
      <c r="Z141" s="827">
        <v>4</v>
      </c>
      <c r="AA141" s="827">
        <v>4</v>
      </c>
      <c r="AB141" s="827">
        <v>4</v>
      </c>
      <c r="AC141" s="828">
        <v>3</v>
      </c>
      <c r="AD141" s="828">
        <v>3</v>
      </c>
      <c r="AE141" s="828">
        <v>3</v>
      </c>
      <c r="AF141" s="828">
        <v>3</v>
      </c>
      <c r="AG141" s="828">
        <v>3</v>
      </c>
      <c r="AH141" s="828">
        <v>3</v>
      </c>
      <c r="AI141" s="828">
        <v>3</v>
      </c>
      <c r="AJ141" s="828">
        <v>3</v>
      </c>
      <c r="AK141" s="828">
        <v>3</v>
      </c>
      <c r="AL141" s="828">
        <v>3</v>
      </c>
      <c r="AM141" s="828">
        <v>3</v>
      </c>
      <c r="AN141" s="828">
        <v>6</v>
      </c>
      <c r="AO141" s="828">
        <v>7</v>
      </c>
      <c r="AP141" s="828">
        <v>8</v>
      </c>
    </row>
    <row r="142" hidden="1" ht="15.95" customHeight="1">
      <c r="B142" s="829" t="s">
        <v>25</v>
      </c>
      <c r="C142" s="823">
        <v>0</v>
      </c>
      <c r="D142" s="823">
        <v>0</v>
      </c>
      <c r="E142" s="823">
        <v>0</v>
      </c>
      <c r="F142" s="823">
        <v>0</v>
      </c>
      <c r="G142" s="823">
        <v>0</v>
      </c>
      <c r="H142" s="823">
        <v>0</v>
      </c>
      <c r="I142" s="823">
        <v>0</v>
      </c>
      <c r="J142" s="823">
        <v>0</v>
      </c>
      <c r="K142" s="823">
        <v>0</v>
      </c>
      <c r="L142" s="823">
        <v>0</v>
      </c>
      <c r="M142" s="823">
        <v>0</v>
      </c>
      <c r="N142" s="823">
        <v>0</v>
      </c>
      <c r="O142" s="823">
        <v>0</v>
      </c>
      <c r="P142" s="823">
        <v>0</v>
      </c>
      <c r="Q142" s="823">
        <v>0</v>
      </c>
      <c r="R142" s="823">
        <v>0</v>
      </c>
      <c r="S142" s="823">
        <v>0</v>
      </c>
      <c r="T142" s="823">
        <v>0</v>
      </c>
      <c r="U142" s="823">
        <v>0</v>
      </c>
      <c r="V142" s="823">
        <v>0</v>
      </c>
      <c r="W142" s="823">
        <v>0</v>
      </c>
      <c r="X142" s="823">
        <v>0</v>
      </c>
      <c r="Y142" s="823">
        <v>0</v>
      </c>
      <c r="Z142" s="823">
        <v>0</v>
      </c>
      <c r="AA142" s="823">
        <v>0</v>
      </c>
      <c r="AB142" s="823">
        <v>0</v>
      </c>
      <c r="AC142" s="825">
        <v>0</v>
      </c>
      <c r="AD142" s="825">
        <v>0</v>
      </c>
      <c r="AE142" s="825">
        <v>0</v>
      </c>
      <c r="AF142" s="825">
        <v>0</v>
      </c>
      <c r="AG142" s="825">
        <v>0</v>
      </c>
      <c r="AH142" s="825">
        <v>0</v>
      </c>
      <c r="AI142" s="825">
        <v>0</v>
      </c>
      <c r="AJ142" s="825">
        <v>0</v>
      </c>
      <c r="AK142" s="825">
        <v>0</v>
      </c>
      <c r="AL142" s="825">
        <v>0</v>
      </c>
      <c r="AM142" s="825">
        <v>0</v>
      </c>
      <c r="AN142" s="825">
        <v>0</v>
      </c>
      <c r="AO142" s="825">
        <v>0</v>
      </c>
      <c r="AP142" s="825">
        <v>0</v>
      </c>
    </row>
    <row r="143" hidden="1" ht="15.95" customHeight="1">
      <c r="B143" s="836" t="s">
        <v>26</v>
      </c>
      <c r="C143" s="827">
        <v>0</v>
      </c>
      <c r="D143" s="827">
        <v>0</v>
      </c>
      <c r="E143" s="827">
        <v>0</v>
      </c>
      <c r="F143" s="827">
        <v>0</v>
      </c>
      <c r="G143" s="827">
        <v>0</v>
      </c>
      <c r="H143" s="827">
        <v>0</v>
      </c>
      <c r="I143" s="827">
        <v>0</v>
      </c>
      <c r="J143" s="827">
        <v>0</v>
      </c>
      <c r="K143" s="827">
        <v>0</v>
      </c>
      <c r="L143" s="827">
        <v>0</v>
      </c>
      <c r="M143" s="827">
        <v>0</v>
      </c>
      <c r="N143" s="827">
        <v>0</v>
      </c>
      <c r="O143" s="827">
        <v>0</v>
      </c>
      <c r="P143" s="827">
        <v>0</v>
      </c>
      <c r="Q143" s="827">
        <v>0</v>
      </c>
      <c r="R143" s="827">
        <v>0</v>
      </c>
      <c r="S143" s="827">
        <v>0</v>
      </c>
      <c r="T143" s="827">
        <v>0</v>
      </c>
      <c r="U143" s="827">
        <v>0</v>
      </c>
      <c r="V143" s="827">
        <v>0</v>
      </c>
      <c r="W143" s="827">
        <v>0</v>
      </c>
      <c r="X143" s="827">
        <v>0</v>
      </c>
      <c r="Y143" s="827">
        <v>0</v>
      </c>
      <c r="Z143" s="827">
        <v>0</v>
      </c>
      <c r="AA143" s="827">
        <v>0</v>
      </c>
      <c r="AB143" s="837">
        <v>0</v>
      </c>
      <c r="AC143" s="828">
        <v>0</v>
      </c>
      <c r="AD143" s="828">
        <v>0</v>
      </c>
      <c r="AE143" s="828">
        <v>0</v>
      </c>
      <c r="AF143" s="828">
        <v>0</v>
      </c>
      <c r="AG143" s="828">
        <v>0</v>
      </c>
      <c r="AH143" s="828">
        <v>0</v>
      </c>
      <c r="AI143" s="828">
        <v>0</v>
      </c>
      <c r="AJ143" s="828">
        <v>0</v>
      </c>
      <c r="AK143" s="828">
        <v>0</v>
      </c>
      <c r="AL143" s="828">
        <v>0</v>
      </c>
      <c r="AM143" s="828">
        <v>0</v>
      </c>
      <c r="AN143" s="828">
        <v>0</v>
      </c>
      <c r="AO143" s="828">
        <v>0</v>
      </c>
      <c r="AP143" s="828">
        <v>0</v>
      </c>
    </row>
    <row r="144" hidden="1" ht="15.95" customHeight="1">
      <c r="B144" s="128" t="s">
        <v>7</v>
      </c>
      <c r="C144" s="129" t="str">
        <f>IF(SUM(C125:C143)&lt;&gt;0,SUM(C125:C143),"")</f>
      </c>
      <c r="D144" s="129" t="str">
        <f ref="D144:AA144" t="shared" si="0">IF(SUM(D125:D143)&lt;&gt;0,SUM(D125:D143),"")</f>
      </c>
      <c r="E144" s="129" t="str">
        <f t="shared" si="0"/>
      </c>
      <c r="F144" s="129" t="str">
        <f t="shared" si="0"/>
      </c>
      <c r="G144" s="129" t="str">
        <f t="shared" si="0"/>
      </c>
      <c r="H144" s="129" t="str">
        <f t="shared" si="0"/>
      </c>
      <c r="I144" s="129" t="str">
        <f t="shared" si="0"/>
      </c>
      <c r="J144" s="129" t="str">
        <f t="shared" si="0"/>
      </c>
      <c r="K144" s="129" t="str">
        <f t="shared" si="0"/>
      </c>
      <c r="L144" s="129" t="str">
        <f t="shared" si="0"/>
      </c>
      <c r="M144" s="129" t="str">
        <f t="shared" si="0"/>
      </c>
      <c r="N144" s="129" t="str">
        <f t="shared" si="0"/>
      </c>
      <c r="O144" s="129" t="str">
        <f t="shared" si="0"/>
      </c>
      <c r="P144" s="129" t="str">
        <f t="shared" si="0"/>
      </c>
      <c r="Q144" s="129" t="str">
        <f t="shared" si="0"/>
      </c>
      <c r="R144" s="129" t="str">
        <f t="shared" si="0"/>
      </c>
      <c r="S144" s="129" t="str">
        <f t="shared" si="0"/>
      </c>
      <c r="T144" s="129" t="str">
        <f t="shared" si="0"/>
      </c>
      <c r="U144" s="129" t="str">
        <f t="shared" si="0"/>
      </c>
      <c r="V144" s="129" t="str">
        <f t="shared" si="0"/>
      </c>
      <c r="W144" s="129" t="str">
        <f t="shared" si="0"/>
      </c>
      <c r="X144" s="129" t="str">
        <f t="shared" si="0"/>
      </c>
      <c r="Y144" s="129" t="str">
        <f t="shared" si="0"/>
      </c>
      <c r="Z144" s="129" t="str">
        <f t="shared" si="0"/>
      </c>
      <c r="AA144" s="129" t="str">
        <f t="shared" si="0"/>
      </c>
      <c r="AB144" s="130" t="str">
        <f>IF(SUM(AB125:AB143)&lt;&gt;0,SUM(AB125:AB143),"")</f>
      </c>
      <c r="AC144" s="91" t="str">
        <f ref="AC144:CN144" t="shared" si="1">IF(SUM(AC125:AC143)&lt;&gt;0,SUM(AC125:AC143),"")</f>
      </c>
      <c r="AD144" s="91" t="str">
        <f t="shared" si="1"/>
      </c>
      <c r="AE144" s="91" t="str">
        <f t="shared" si="1"/>
      </c>
      <c r="AF144" s="91" t="str">
        <f t="shared" si="1"/>
      </c>
      <c r="AG144" s="91" t="str">
        <f t="shared" si="1"/>
      </c>
      <c r="AH144" s="91" t="str">
        <f t="shared" si="1"/>
      </c>
      <c r="AI144" s="91" t="str">
        <f t="shared" si="1"/>
      </c>
      <c r="AJ144" s="91" t="str">
        <f t="shared" si="1"/>
      </c>
      <c r="AK144" s="91" t="str">
        <f t="shared" si="1"/>
      </c>
      <c r="AL144" s="91" t="str">
        <f t="shared" si="1"/>
      </c>
      <c r="AM144" s="91" t="str">
        <f t="shared" si="1"/>
      </c>
      <c r="AN144" s="91" t="str">
        <f t="shared" si="1"/>
      </c>
      <c r="AO144" s="91" t="str">
        <f t="shared" si="1"/>
      </c>
      <c r="AP144" s="91" t="str">
        <f t="shared" si="1"/>
      </c>
      <c r="AQ144" s="91" t="str">
        <f t="shared" si="1"/>
      </c>
      <c r="AR144" s="91" t="str">
        <f t="shared" si="1"/>
      </c>
      <c r="AS144" s="91" t="str">
        <f t="shared" si="1"/>
      </c>
      <c r="AT144" s="91" t="str">
        <f t="shared" si="1"/>
      </c>
      <c r="AU144" s="91" t="str">
        <f t="shared" si="1"/>
      </c>
      <c r="AV144" s="91" t="str">
        <f t="shared" si="1"/>
      </c>
      <c r="AW144" s="91" t="str">
        <f t="shared" si="1"/>
      </c>
      <c r="AX144" s="91" t="str">
        <f t="shared" si="1"/>
      </c>
      <c r="AY144" s="91" t="str">
        <f t="shared" si="1"/>
      </c>
      <c r="AZ144" s="91" t="str">
        <f t="shared" si="1"/>
      </c>
      <c r="BA144" s="91" t="str">
        <f t="shared" si="1"/>
      </c>
      <c r="BB144" s="91" t="str">
        <f t="shared" si="1"/>
      </c>
      <c r="BC144" s="91" t="str">
        <f t="shared" si="1"/>
      </c>
      <c r="BD144" s="91" t="str">
        <f t="shared" si="1"/>
      </c>
      <c r="BE144" s="91" t="str">
        <f t="shared" si="1"/>
      </c>
      <c r="BF144" s="91" t="str">
        <f t="shared" si="1"/>
      </c>
      <c r="BG144" s="91" t="str">
        <f t="shared" si="1"/>
      </c>
      <c r="BH144" s="91" t="str">
        <f t="shared" si="1"/>
      </c>
      <c r="BI144" s="91" t="str">
        <f t="shared" si="1"/>
      </c>
      <c r="BJ144" s="91" t="str">
        <f t="shared" si="1"/>
      </c>
      <c r="BK144" s="91" t="str">
        <f t="shared" si="1"/>
      </c>
      <c r="BL144" s="91" t="str">
        <f t="shared" si="1"/>
      </c>
      <c r="BM144" s="91" t="str">
        <f t="shared" si="1"/>
      </c>
      <c r="BN144" s="91" t="str">
        <f t="shared" si="1"/>
      </c>
      <c r="BO144" s="91" t="str">
        <f t="shared" si="1"/>
      </c>
      <c r="BP144" s="91" t="str">
        <f t="shared" si="1"/>
      </c>
      <c r="BQ144" s="91" t="str">
        <f t="shared" si="1"/>
      </c>
      <c r="BR144" s="91" t="str">
        <f t="shared" si="1"/>
      </c>
      <c r="BS144" s="91" t="str">
        <f t="shared" si="1"/>
      </c>
      <c r="BT144" s="91" t="str">
        <f t="shared" si="1"/>
      </c>
      <c r="BU144" s="91" t="str">
        <f t="shared" si="1"/>
      </c>
      <c r="BV144" s="91" t="str">
        <f t="shared" si="1"/>
      </c>
      <c r="BW144" s="91" t="str">
        <f t="shared" si="1"/>
      </c>
      <c r="BX144" s="91" t="str">
        <f t="shared" si="1"/>
      </c>
      <c r="BY144" s="91" t="str">
        <f t="shared" si="1"/>
      </c>
      <c r="BZ144" s="91" t="str">
        <f t="shared" si="1"/>
      </c>
      <c r="CA144" s="91" t="str">
        <f t="shared" si="1"/>
      </c>
      <c r="CB144" s="91" t="str">
        <f t="shared" si="1"/>
      </c>
      <c r="CC144" s="91" t="str">
        <f t="shared" si="1"/>
      </c>
      <c r="CD144" s="91" t="str">
        <f t="shared" si="1"/>
      </c>
      <c r="CE144" s="91" t="str">
        <f t="shared" si="1"/>
      </c>
      <c r="CF144" s="91" t="str">
        <f t="shared" si="1"/>
      </c>
      <c r="CG144" s="91" t="str">
        <f t="shared" si="1"/>
      </c>
      <c r="CH144" s="91" t="str">
        <f t="shared" si="1"/>
      </c>
      <c r="CI144" s="91" t="str">
        <f t="shared" si="1"/>
      </c>
      <c r="CJ144" s="91" t="str">
        <f t="shared" si="1"/>
      </c>
      <c r="CK144" s="91" t="str">
        <f t="shared" si="1"/>
      </c>
      <c r="CL144" s="91" t="str">
        <f t="shared" si="1"/>
      </c>
      <c r="CM144" s="91" t="str">
        <f t="shared" si="1"/>
      </c>
      <c r="CN144" s="91" t="str">
        <f t="shared" si="1"/>
      </c>
      <c r="CO144" s="91" t="str">
        <f ref="CO144:EZ144" t="shared" si="2">IF(SUM(CO125:CO143)&lt;&gt;0,SUM(CO125:CO143),"")</f>
      </c>
      <c r="CP144" s="91" t="str">
        <f t="shared" si="2"/>
      </c>
      <c r="CQ144" s="91" t="str">
        <f t="shared" si="2"/>
      </c>
      <c r="CR144" s="91" t="str">
        <f t="shared" si="2"/>
      </c>
      <c r="CS144" s="91" t="str">
        <f t="shared" si="2"/>
      </c>
      <c r="CT144" s="91" t="str">
        <f t="shared" si="2"/>
      </c>
      <c r="CU144" s="91" t="str">
        <f t="shared" si="2"/>
      </c>
      <c r="CV144" s="91" t="str">
        <f t="shared" si="2"/>
      </c>
      <c r="CW144" s="91" t="str">
        <f t="shared" si="2"/>
      </c>
      <c r="CX144" s="91" t="str">
        <f t="shared" si="2"/>
      </c>
      <c r="CY144" s="91" t="str">
        <f t="shared" si="2"/>
      </c>
      <c r="CZ144" s="91" t="str">
        <f t="shared" si="2"/>
      </c>
      <c r="DA144" s="91" t="str">
        <f t="shared" si="2"/>
      </c>
      <c r="DB144" s="91" t="str">
        <f t="shared" si="2"/>
      </c>
      <c r="DC144" s="91" t="str">
        <f t="shared" si="2"/>
      </c>
      <c r="DD144" s="91" t="str">
        <f t="shared" si="2"/>
      </c>
      <c r="DE144" s="91" t="str">
        <f t="shared" si="2"/>
      </c>
      <c r="DF144" s="91" t="str">
        <f t="shared" si="2"/>
      </c>
      <c r="DG144" s="91" t="str">
        <f t="shared" si="2"/>
      </c>
      <c r="DH144" s="91" t="str">
        <f t="shared" si="2"/>
      </c>
      <c r="DI144" s="91" t="str">
        <f t="shared" si="2"/>
      </c>
      <c r="DJ144" s="91" t="str">
        <f t="shared" si="2"/>
      </c>
      <c r="DK144" s="91" t="str">
        <f t="shared" si="2"/>
      </c>
      <c r="DL144" s="91" t="str">
        <f t="shared" si="2"/>
      </c>
      <c r="DM144" s="91" t="str">
        <f t="shared" si="2"/>
      </c>
      <c r="DN144" s="91" t="str">
        <f t="shared" si="2"/>
      </c>
      <c r="DO144" s="91" t="str">
        <f t="shared" si="2"/>
      </c>
      <c r="DP144" s="91" t="str">
        <f t="shared" si="2"/>
      </c>
      <c r="DQ144" s="91" t="str">
        <f t="shared" si="2"/>
      </c>
      <c r="DR144" s="91" t="str">
        <f t="shared" si="2"/>
      </c>
      <c r="DS144" s="91" t="str">
        <f t="shared" si="2"/>
      </c>
      <c r="DT144" s="91" t="str">
        <f t="shared" si="2"/>
      </c>
      <c r="DU144" s="91" t="str">
        <f t="shared" si="2"/>
      </c>
      <c r="DV144" s="91" t="str">
        <f t="shared" si="2"/>
      </c>
      <c r="DW144" s="91" t="str">
        <f t="shared" si="2"/>
      </c>
      <c r="DX144" s="91" t="str">
        <f t="shared" si="2"/>
      </c>
      <c r="DY144" s="91" t="str">
        <f t="shared" si="2"/>
      </c>
      <c r="DZ144" s="91" t="str">
        <f t="shared" si="2"/>
      </c>
      <c r="EA144" s="91" t="str">
        <f t="shared" si="2"/>
      </c>
      <c r="EB144" s="91" t="str">
        <f t="shared" si="2"/>
      </c>
      <c r="EC144" s="91" t="str">
        <f t="shared" si="2"/>
      </c>
      <c r="ED144" s="91" t="str">
        <f t="shared" si="2"/>
      </c>
      <c r="EE144" s="91" t="str">
        <f t="shared" si="2"/>
      </c>
      <c r="EF144" s="91" t="str">
        <f t="shared" si="2"/>
      </c>
      <c r="EG144" s="91" t="str">
        <f t="shared" si="2"/>
      </c>
      <c r="EH144" s="91" t="str">
        <f t="shared" si="2"/>
      </c>
      <c r="EI144" s="91" t="str">
        <f t="shared" si="2"/>
      </c>
      <c r="EJ144" s="91" t="str">
        <f t="shared" si="2"/>
      </c>
      <c r="EK144" s="91" t="str">
        <f t="shared" si="2"/>
      </c>
      <c r="EL144" s="91" t="str">
        <f t="shared" si="2"/>
      </c>
      <c r="EM144" s="91" t="str">
        <f t="shared" si="2"/>
      </c>
      <c r="EN144" s="91" t="str">
        <f t="shared" si="2"/>
      </c>
      <c r="EO144" s="91" t="str">
        <f t="shared" si="2"/>
      </c>
      <c r="EP144" s="91" t="str">
        <f t="shared" si="2"/>
      </c>
      <c r="EQ144" s="91" t="str">
        <f t="shared" si="2"/>
      </c>
      <c r="ER144" s="91" t="str">
        <f t="shared" si="2"/>
      </c>
      <c r="ES144" s="91" t="str">
        <f t="shared" si="2"/>
      </c>
      <c r="ET144" s="91" t="str">
        <f t="shared" si="2"/>
      </c>
      <c r="EU144" s="91" t="str">
        <f t="shared" si="2"/>
      </c>
      <c r="EV144" s="91" t="str">
        <f t="shared" si="2"/>
      </c>
      <c r="EW144" s="91" t="str">
        <f t="shared" si="2"/>
      </c>
      <c r="EX144" s="91" t="str">
        <f t="shared" si="2"/>
      </c>
      <c r="EY144" s="91" t="str">
        <f t="shared" si="2"/>
      </c>
      <c r="EZ144" s="91" t="str">
        <f t="shared" si="2"/>
      </c>
      <c r="FA144" s="91" t="str">
        <f ref="FA144:HL144" t="shared" si="3">IF(SUM(FA125:FA143)&lt;&gt;0,SUM(FA125:FA143),"")</f>
      </c>
      <c r="FB144" s="91" t="str">
        <f t="shared" si="3"/>
      </c>
      <c r="FC144" s="91" t="str">
        <f t="shared" si="3"/>
      </c>
      <c r="FD144" s="91" t="str">
        <f t="shared" si="3"/>
      </c>
      <c r="FE144" s="91" t="str">
        <f t="shared" si="3"/>
      </c>
      <c r="FF144" s="91" t="str">
        <f t="shared" si="3"/>
      </c>
      <c r="FG144" s="91" t="str">
        <f t="shared" si="3"/>
      </c>
      <c r="FH144" s="91" t="str">
        <f t="shared" si="3"/>
      </c>
      <c r="FI144" s="91" t="str">
        <f t="shared" si="3"/>
      </c>
      <c r="FJ144" s="91" t="str">
        <f t="shared" si="3"/>
      </c>
      <c r="FK144" s="91" t="str">
        <f t="shared" si="3"/>
      </c>
      <c r="FL144" s="91" t="str">
        <f t="shared" si="3"/>
      </c>
      <c r="FM144" s="91" t="str">
        <f t="shared" si="3"/>
      </c>
      <c r="FN144" s="91" t="str">
        <f t="shared" si="3"/>
      </c>
      <c r="FO144" s="91" t="str">
        <f t="shared" si="3"/>
      </c>
      <c r="FP144" s="91" t="str">
        <f t="shared" si="3"/>
      </c>
      <c r="FQ144" s="91" t="str">
        <f t="shared" si="3"/>
      </c>
      <c r="FR144" s="91" t="str">
        <f t="shared" si="3"/>
      </c>
      <c r="FS144" s="91" t="str">
        <f t="shared" si="3"/>
      </c>
      <c r="FT144" s="91" t="str">
        <f t="shared" si="3"/>
      </c>
      <c r="FU144" s="91" t="str">
        <f t="shared" si="3"/>
      </c>
      <c r="FV144" s="91" t="str">
        <f t="shared" si="3"/>
      </c>
      <c r="FW144" s="91" t="str">
        <f t="shared" si="3"/>
      </c>
      <c r="FX144" s="91" t="str">
        <f t="shared" si="3"/>
      </c>
      <c r="FY144" s="91" t="str">
        <f t="shared" si="3"/>
      </c>
      <c r="FZ144" s="91" t="str">
        <f t="shared" si="3"/>
      </c>
      <c r="GA144" s="91" t="str">
        <f t="shared" si="3"/>
      </c>
      <c r="GB144" s="91" t="str">
        <f t="shared" si="3"/>
      </c>
      <c r="GC144" s="91" t="str">
        <f t="shared" si="3"/>
      </c>
      <c r="GD144" s="91" t="str">
        <f t="shared" si="3"/>
      </c>
      <c r="GE144" s="91" t="str">
        <f t="shared" si="3"/>
      </c>
      <c r="GF144" s="91" t="str">
        <f t="shared" si="3"/>
      </c>
      <c r="GG144" s="91" t="str">
        <f t="shared" si="3"/>
      </c>
      <c r="GH144" s="91" t="str">
        <f t="shared" si="3"/>
      </c>
      <c r="GI144" s="91" t="str">
        <f t="shared" si="3"/>
      </c>
      <c r="GJ144" s="91" t="str">
        <f t="shared" si="3"/>
      </c>
      <c r="GK144" s="91" t="str">
        <f t="shared" si="3"/>
      </c>
      <c r="GL144" s="91" t="str">
        <f t="shared" si="3"/>
      </c>
      <c r="GM144" s="91" t="str">
        <f t="shared" si="3"/>
      </c>
      <c r="GN144" s="91" t="str">
        <f t="shared" si="3"/>
      </c>
      <c r="GO144" s="91" t="str">
        <f t="shared" si="3"/>
      </c>
      <c r="GP144" s="91" t="str">
        <f t="shared" si="3"/>
      </c>
      <c r="GQ144" s="91" t="str">
        <f t="shared" si="3"/>
      </c>
      <c r="GR144" s="91" t="str">
        <f t="shared" si="3"/>
      </c>
      <c r="GS144" s="91" t="str">
        <f t="shared" si="3"/>
      </c>
      <c r="GT144" s="91" t="str">
        <f t="shared" si="3"/>
      </c>
      <c r="GU144" s="91" t="str">
        <f t="shared" si="3"/>
      </c>
      <c r="GV144" s="91" t="str">
        <f t="shared" si="3"/>
      </c>
      <c r="GW144" s="91" t="str">
        <f t="shared" si="3"/>
      </c>
      <c r="GX144" s="91" t="str">
        <f t="shared" si="3"/>
      </c>
      <c r="GY144" s="91" t="str">
        <f t="shared" si="3"/>
      </c>
      <c r="GZ144" s="91" t="str">
        <f t="shared" si="3"/>
      </c>
      <c r="HA144" s="91" t="str">
        <f t="shared" si="3"/>
      </c>
      <c r="HB144" s="91" t="str">
        <f t="shared" si="3"/>
      </c>
      <c r="HC144" s="91" t="str">
        <f t="shared" si="3"/>
      </c>
      <c r="HD144" s="91" t="str">
        <f t="shared" si="3"/>
      </c>
      <c r="HE144" s="91" t="str">
        <f t="shared" si="3"/>
      </c>
      <c r="HF144" s="91" t="str">
        <f t="shared" si="3"/>
      </c>
      <c r="HG144" s="91" t="str">
        <f t="shared" si="3"/>
      </c>
      <c r="HH144" s="91" t="str">
        <f t="shared" si="3"/>
      </c>
      <c r="HI144" s="91" t="str">
        <f t="shared" si="3"/>
      </c>
      <c r="HJ144" s="91" t="str">
        <f t="shared" si="3"/>
      </c>
      <c r="HK144" s="91" t="str">
        <f t="shared" si="3"/>
      </c>
      <c r="HL144" s="91" t="str">
        <f t="shared" si="3"/>
      </c>
      <c r="HM144" s="91" t="str">
        <f ref="HM144:IV144" t="shared" si="4">IF(SUM(HM125:HM143)&lt;&gt;0,SUM(HM125:HM143),"")</f>
      </c>
      <c r="HN144" s="91" t="str">
        <f t="shared" si="4"/>
      </c>
      <c r="HO144" s="91" t="str">
        <f t="shared" si="4"/>
      </c>
      <c r="HP144" s="91" t="str">
        <f t="shared" si="4"/>
      </c>
      <c r="HQ144" s="91" t="str">
        <f t="shared" si="4"/>
      </c>
      <c r="HR144" s="91" t="str">
        <f t="shared" si="4"/>
      </c>
      <c r="HS144" s="91" t="str">
        <f t="shared" si="4"/>
      </c>
      <c r="HT144" s="91" t="str">
        <f t="shared" si="4"/>
      </c>
      <c r="HU144" s="91" t="str">
        <f t="shared" si="4"/>
      </c>
      <c r="HV144" s="91" t="str">
        <f t="shared" si="4"/>
      </c>
      <c r="HW144" s="91" t="str">
        <f t="shared" si="4"/>
      </c>
      <c r="HX144" s="91" t="str">
        <f t="shared" si="4"/>
      </c>
      <c r="HY144" s="91" t="str">
        <f t="shared" si="4"/>
      </c>
      <c r="HZ144" s="91" t="str">
        <f t="shared" si="4"/>
      </c>
      <c r="IA144" s="91" t="str">
        <f t="shared" si="4"/>
      </c>
      <c r="IB144" s="91" t="str">
        <f t="shared" si="4"/>
      </c>
      <c r="IC144" s="91" t="str">
        <f t="shared" si="4"/>
      </c>
      <c r="ID144" s="91" t="str">
        <f t="shared" si="4"/>
      </c>
      <c r="IE144" s="91" t="str">
        <f t="shared" si="4"/>
      </c>
      <c r="IF144" s="91" t="str">
        <f t="shared" si="4"/>
      </c>
      <c r="IG144" s="91" t="str">
        <f t="shared" si="4"/>
      </c>
      <c r="IH144" s="91" t="str">
        <f t="shared" si="4"/>
      </c>
      <c r="II144" s="91" t="str">
        <f t="shared" si="4"/>
      </c>
      <c r="IJ144" s="91" t="str">
        <f t="shared" si="4"/>
      </c>
      <c r="IK144" s="91" t="str">
        <f t="shared" si="4"/>
      </c>
      <c r="IL144" s="91" t="str">
        <f t="shared" si="4"/>
      </c>
      <c r="IM144" s="91" t="str">
        <f t="shared" si="4"/>
      </c>
      <c r="IN144" s="91" t="str">
        <f t="shared" si="4"/>
      </c>
      <c r="IO144" s="91" t="str">
        <f t="shared" si="4"/>
      </c>
      <c r="IP144" s="91" t="str">
        <f t="shared" si="4"/>
      </c>
      <c r="IQ144" s="91" t="str">
        <f t="shared" si="4"/>
      </c>
      <c r="IR144" s="91" t="str">
        <f t="shared" si="4"/>
      </c>
      <c r="IS144" s="91" t="str">
        <f t="shared" si="4"/>
      </c>
      <c r="IT144" s="91" t="str">
        <f t="shared" si="4"/>
      </c>
      <c r="IU144" s="91" t="str">
        <f t="shared" si="4"/>
      </c>
      <c r="IV144" s="91" t="str">
        <f t="shared" si="4"/>
      </c>
    </row>
    <row r="145" hidden="1" ht="15.95" customHeight="1"/>
    <row r="146" hidden="1" ht="15.95" customHeight="1">
      <c r="C146" s="686" t="s">
        <v>108</v>
      </c>
      <c r="D146" s="687"/>
      <c r="E146" s="687"/>
      <c r="F146" s="687"/>
      <c r="G146" s="687"/>
      <c r="H146" s="687"/>
      <c r="I146" s="687"/>
      <c r="J146" s="687"/>
      <c r="K146" s="687"/>
      <c r="L146" s="687"/>
      <c r="M146" s="687"/>
      <c r="N146" s="687"/>
      <c r="O146" s="687"/>
      <c r="P146" s="687"/>
      <c r="Q146" s="687"/>
      <c r="R146" s="687"/>
      <c r="S146" s="687"/>
      <c r="T146" s="687"/>
      <c r="U146" s="687"/>
      <c r="V146" s="687"/>
      <c r="W146" s="687"/>
      <c r="X146" s="687"/>
      <c r="Y146" s="687"/>
      <c r="Z146" s="687"/>
      <c r="AA146" s="687"/>
      <c r="AB146" s="688"/>
    </row>
    <row r="147" hidden="1" ht="15.95" customHeight="1">
      <c r="C147" s="435" t="str">
        <f> IF(C167&lt;&gt;"",TEXT(AUX!G$1,"dd-MMM-aa"),"")</f>
      </c>
      <c r="D147" s="435" t="str">
        <f> IF(D167&lt;&gt;"",TEXT(AUX!H$1,"dd-MMM-aa"),"")</f>
      </c>
      <c r="E147" s="435" t="str">
        <f> IF(E167&lt;&gt;"",TEXT(AUX!I$1,"dd-MMM-aa"),"")</f>
      </c>
      <c r="F147" s="435" t="str">
        <f> IF(F167&lt;&gt;"",TEXT(AUX!J$1,"dd-MMM-aa"),"")</f>
      </c>
      <c r="G147" s="435" t="str">
        <f> IF(G167&lt;&gt;"",TEXT(AUX!K$1,"dd-MMM-aa"),"")</f>
      </c>
      <c r="H147" s="435" t="str">
        <f> IF(H167&lt;&gt;"",TEXT(AUX!L$1,"dd-MMM-aa"),"")</f>
      </c>
      <c r="I147" s="435" t="str">
        <f> IF(I167&lt;&gt;"",TEXT(AUX!M$1,"dd-MMM-aa"),"")</f>
      </c>
      <c r="J147" s="435" t="str">
        <f> IF(J167&lt;&gt;"",TEXT(AUX!N$1,"dd-MMM-aa"),"")</f>
      </c>
      <c r="K147" s="435" t="str">
        <f> IF(K167&lt;&gt;"",TEXT(AUX!O$1,"dd-MMM-aa"),"")</f>
      </c>
      <c r="L147" s="435" t="str">
        <f> IF(L167&lt;&gt;"",TEXT(AUX!P$1,"dd-MMM-aa"),"")</f>
      </c>
      <c r="M147" s="435" t="str">
        <f> IF(M167&lt;&gt;"",TEXT(AUX!Q$1,"dd-MMM-aa"),"")</f>
      </c>
      <c r="N147" s="435" t="str">
        <f> IF(N167&lt;&gt;"",TEXT(AUX!R$1,"dd-MMM-aa"),"")</f>
      </c>
      <c r="O147" s="435" t="str">
        <f> IF(O167&lt;&gt;"",TEXT(AUX!S$1,"dd-MMM-aa"),"")</f>
      </c>
      <c r="P147" s="435" t="str">
        <f> IF(P167&lt;&gt;"",TEXT(AUX!T$1,"dd-MMM-aa"),"")</f>
      </c>
      <c r="Q147" s="435" t="str">
        <f> IF(Q167&lt;&gt;"",TEXT(AUX!U$1,"dd-MMM-aa"),"")</f>
      </c>
      <c r="R147" s="435" t="str">
        <f> IF(R167&lt;&gt;"",TEXT(AUX!V$1,"dd-MMM-aa"),"")</f>
      </c>
      <c r="S147" s="435" t="str">
        <f> IF(S167&lt;&gt;"",TEXT(AUX!W$1,"dd-MMM-aa"),"")</f>
      </c>
      <c r="T147" s="435" t="str">
        <f> IF(T167&lt;&gt;"",TEXT(AUX!X$1,"dd-MMM-aa"),"")</f>
      </c>
      <c r="U147" s="435" t="str">
        <f> IF(U167&lt;&gt;"",TEXT(AUX!Y$1,"dd-MMM-aa"),"")</f>
      </c>
      <c r="V147" s="435" t="str">
        <f> IF(V167&lt;&gt;"",TEXT(AUX!Z$1,"dd-MMM-aa"),"")</f>
      </c>
      <c r="W147" s="435" t="str">
        <f> IF(W167&lt;&gt;"",TEXT(AUX!AA$1,"dd-MMM-aa"),"")</f>
      </c>
      <c r="X147" s="435" t="str">
        <f> IF(X167&lt;&gt;"",TEXT(AUX!AB$1,"dd-MMM-aa"),"")</f>
      </c>
      <c r="Y147" s="435" t="str">
        <f> IF(Y167&lt;&gt;"",TEXT(AUX!AC$1,"dd-MMM-aa"),"")</f>
      </c>
      <c r="Z147" s="435" t="str">
        <f> IF(Z167&lt;&gt;"",TEXT(AUX!AD$1,"dd-MMM-aa"),"")</f>
      </c>
      <c r="AA147" s="435" t="str">
        <f> IF(AA167&lt;&gt;"",TEXT(AUX!AE$1,"dd-MMM-aa"),"")</f>
      </c>
      <c r="AB147" s="497" t="str">
        <f> IF(AB167&lt;&gt;"",TEXT(AUX!AF$1,"dd-MMM-aa"),"")</f>
      </c>
      <c r="AC147" s="496" t="str">
        <f> IF(AC167&lt;&gt;"",TEXT(AUX!AG$1,"dd-MMM-aa"),"")</f>
      </c>
      <c r="AD147" s="496" t="str">
        <f> IF(AD167&lt;&gt;"",TEXT(AUX!AH$1,"dd-MMM-aa"),"")</f>
      </c>
      <c r="AE147" s="496" t="str">
        <f> IF(AE167&lt;&gt;"",TEXT(AUX!AI$1,"dd-MMM-aa"),"")</f>
      </c>
      <c r="AF147" s="496" t="str">
        <f> IF(AF167&lt;&gt;"",TEXT(AUX!AJ$1,"dd-MMM-aa"),"")</f>
      </c>
      <c r="AG147" s="496" t="str">
        <f> IF(AG167&lt;&gt;"",TEXT(AUX!AK$1,"dd-MMM-aa"),"")</f>
      </c>
      <c r="AH147" s="496" t="str">
        <f> IF(AH167&lt;&gt;"",TEXT(AUX!AL$1,"dd-MMM-aa"),"")</f>
      </c>
      <c r="AI147" s="496" t="str">
        <f> IF(AI167&lt;&gt;"",TEXT(AUX!AM$1,"dd-MMM-aa"),"")</f>
      </c>
      <c r="AJ147" s="496" t="str">
        <f> IF(AJ167&lt;&gt;"",TEXT(AUX!AN$1,"dd-MMM-aa"),"")</f>
      </c>
      <c r="AK147" s="496" t="str">
        <f> IF(AK167&lt;&gt;"",TEXT(AUX!AO$1,"dd-MMM-aa"),"")</f>
      </c>
      <c r="AL147" s="496" t="str">
        <f> IF(AL167&lt;&gt;"",TEXT(AUX!AP$1,"dd-MMM-aa"),"")</f>
      </c>
      <c r="AM147" s="496" t="str">
        <f> IF(AM167&lt;&gt;"",TEXT(AUX!AQ$1,"dd-MMM-aa"),"")</f>
      </c>
      <c r="AN147" s="496" t="str">
        <f> IF(AN167&lt;&gt;"",TEXT(AUX!AR$1,"dd-MMM-aa"),"")</f>
      </c>
      <c r="AO147" s="496" t="str">
        <f> IF(AO167&lt;&gt;"",TEXT(AUX!AS$1,"dd-MMM-aa"),"")</f>
      </c>
      <c r="AP147" s="496" t="str">
        <f> IF(AP167&lt;&gt;"",TEXT(AUX!AT$1,"dd-MMM-aa"),"")</f>
      </c>
      <c r="AQ147" s="496" t="str">
        <f> IF(AQ167&lt;&gt;"",TEXT(AUX!AU$1,"dd-MMM-aa"),"")</f>
      </c>
      <c r="AR147" s="496" t="str">
        <f> IF(AR167&lt;&gt;"",TEXT(AUX!AV$1,"dd-MMM-aa"),"")</f>
      </c>
      <c r="AS147" s="496" t="str">
        <f> IF(AS167&lt;&gt;"",TEXT(AUX!AW$1,"dd-MMM-aa"),"")</f>
      </c>
      <c r="AT147" s="496" t="str">
        <f> IF(AT167&lt;&gt;"",TEXT(AUX!AX$1,"dd-MMM-aa"),"")</f>
      </c>
      <c r="AU147" s="496" t="str">
        <f> IF(AU167&lt;&gt;"",TEXT(AUX!AY$1,"dd-MMM-aa"),"")</f>
      </c>
      <c r="AV147" s="496" t="str">
        <f> IF(AV167&lt;&gt;"",TEXT(AUX!AZ$1,"dd-MMM-aa"),"")</f>
      </c>
      <c r="AW147" s="496" t="str">
        <f> IF(AW167&lt;&gt;"",TEXT(AUX!BA$1,"dd-MMM-aa"),"")</f>
      </c>
      <c r="AX147" s="496" t="str">
        <f> IF(AX167&lt;&gt;"",TEXT(AUX!BB$1,"dd-MMM-aa"),"")</f>
      </c>
      <c r="AY147" s="496" t="str">
        <f> IF(AY167&lt;&gt;"",TEXT(AUX!BC$1,"dd-MMM-aa"),"")</f>
      </c>
      <c r="AZ147" s="496" t="str">
        <f> IF(AZ167&lt;&gt;"",TEXT(AUX!BD$1,"dd-MMM-aa"),"")</f>
      </c>
      <c r="BA147" s="496" t="str">
        <f> IF(BA167&lt;&gt;"",TEXT(AUX!BE$1,"dd-MMM-aa"),"")</f>
      </c>
      <c r="BB147" s="496" t="str">
        <f> IF(BB167&lt;&gt;"",TEXT(AUX!BF$1,"dd-MMM-aa"),"")</f>
      </c>
      <c r="BC147" s="496" t="str">
        <f> IF(BC167&lt;&gt;"",TEXT(AUX!BG$1,"dd-MMM-aa"),"")</f>
      </c>
      <c r="BD147" s="496" t="str">
        <f> IF(BD167&lt;&gt;"",TEXT(AUX!BH$1,"dd-MMM-aa"),"")</f>
      </c>
      <c r="BE147" s="496" t="str">
        <f> IF(BE167&lt;&gt;"",TEXT(AUX!BI$1,"dd-MMM-aa"),"")</f>
      </c>
      <c r="BF147" s="496" t="str">
        <f> IF(BF167&lt;&gt;"",TEXT(AUX!BJ$1,"dd-MMM-aa"),"")</f>
      </c>
      <c r="BG147" s="496" t="str">
        <f> IF(BG167&lt;&gt;"",TEXT(AUX!BK$1,"dd-MMM-aa"),"")</f>
      </c>
      <c r="BH147" s="496" t="str">
        <f> IF(BH167&lt;&gt;"",TEXT(AUX!BL$1,"dd-MMM-aa"),"")</f>
      </c>
      <c r="BI147" s="496" t="str">
        <f> IF(BI167&lt;&gt;"",TEXT(AUX!BM$1,"dd-MMM-aa"),"")</f>
      </c>
      <c r="BJ147" s="496" t="str">
        <f> IF(BJ167&lt;&gt;"",TEXT(AUX!BN$1,"dd-MMM-aa"),"")</f>
      </c>
      <c r="BK147" s="496" t="str">
        <f> IF(BK167&lt;&gt;"",TEXT(AUX!BO$1,"dd-MMM-aa"),"")</f>
      </c>
      <c r="BL147" s="496" t="str">
        <f> IF(BL167&lt;&gt;"",TEXT(AUX!BP$1,"dd-MMM-aa"),"")</f>
      </c>
      <c r="BM147" s="496" t="str">
        <f> IF(BM167&lt;&gt;"",TEXT(AUX!BQ$1,"dd-MMM-aa"),"")</f>
      </c>
      <c r="BN147" s="496" t="str">
        <f> IF(BN167&lt;&gt;"",TEXT(AUX!BR$1,"dd-MMM-aa"),"")</f>
      </c>
      <c r="BO147" s="496" t="str">
        <f> IF(BO167&lt;&gt;"",TEXT(AUX!BS$1,"dd-MMM-aa"),"")</f>
      </c>
      <c r="BP147" s="496" t="str">
        <f> IF(BP167&lt;&gt;"",TEXT(AUX!BT$1,"dd-MMM-aa"),"")</f>
      </c>
      <c r="BQ147" s="496" t="str">
        <f> IF(BQ167&lt;&gt;"",TEXT(AUX!BU$1,"dd-MMM-aa"),"")</f>
      </c>
      <c r="BR147" s="496" t="str">
        <f> IF(BR167&lt;&gt;"",TEXT(AUX!BV$1,"dd-MMM-aa"),"")</f>
      </c>
      <c r="BS147" s="496" t="str">
        <f> IF(BS167&lt;&gt;"",TEXT(AUX!BW$1,"dd-MMM-aa"),"")</f>
      </c>
      <c r="BT147" s="496" t="str">
        <f> IF(BT167&lt;&gt;"",TEXT(AUX!BX$1,"dd-MMM-aa"),"")</f>
      </c>
      <c r="BU147" s="496" t="str">
        <f> IF(BU167&lt;&gt;"",TEXT(AUX!BY$1,"dd-MMM-aa"),"")</f>
      </c>
      <c r="BV147" s="496" t="str">
        <f> IF(BV167&lt;&gt;"",TEXT(AUX!BZ$1,"dd-MMM-aa"),"")</f>
      </c>
      <c r="BW147" s="496" t="str">
        <f> IF(BW167&lt;&gt;"",TEXT(AUX!CA$1,"dd-MMM-aa"),"")</f>
      </c>
      <c r="BX147" s="496" t="str">
        <f> IF(BX167&lt;&gt;"",TEXT(AUX!CB$1,"dd-MMM-aa"),"")</f>
      </c>
      <c r="BY147" s="496" t="str">
        <f> IF(BY167&lt;&gt;"",TEXT(AUX!CC$1,"dd-MMM-aa"),"")</f>
      </c>
      <c r="BZ147" s="496" t="str">
        <f> IF(BZ167&lt;&gt;"",TEXT(AUX!CD$1,"dd-MMM-aa"),"")</f>
      </c>
      <c r="CA147" s="496" t="str">
        <f> IF(CA167&lt;&gt;"",TEXT(AUX!CE$1,"dd-MMM-aa"),"")</f>
      </c>
      <c r="CB147" s="496" t="str">
        <f> IF(CB167&lt;&gt;"",TEXT(AUX!CF$1,"dd-MMM-aa"),"")</f>
      </c>
      <c r="CC147" s="496" t="str">
        <f> IF(CC167&lt;&gt;"",TEXT(AUX!CG$1,"dd-MMM-aa"),"")</f>
      </c>
      <c r="CD147" s="496" t="str">
        <f> IF(CD167&lt;&gt;"",TEXT(AUX!CH$1,"dd-MMM-aa"),"")</f>
      </c>
      <c r="CE147" s="496" t="str">
        <f> IF(CE167&lt;&gt;"",TEXT(AUX!CI$1,"dd-MMM-aa"),"")</f>
      </c>
      <c r="CF147" s="496" t="str">
        <f> IF(CF167&lt;&gt;"",TEXT(AUX!CJ$1,"dd-MMM-aa"),"")</f>
      </c>
      <c r="CG147" s="496" t="str">
        <f> IF(CG167&lt;&gt;"",TEXT(AUX!CK$1,"dd-MMM-aa"),"")</f>
      </c>
      <c r="CH147" s="496" t="str">
        <f> IF(CH167&lt;&gt;"",TEXT(AUX!CL$1,"dd-MMM-aa"),"")</f>
      </c>
      <c r="CI147" s="496" t="str">
        <f> IF(CI167&lt;&gt;"",TEXT(AUX!CM$1,"dd-MMM-aa"),"")</f>
      </c>
      <c r="CJ147" s="496" t="str">
        <f> IF(CJ167&lt;&gt;"",TEXT(AUX!CN$1,"dd-MMM-aa"),"")</f>
      </c>
      <c r="CK147" s="496" t="str">
        <f> IF(CK167&lt;&gt;"",TEXT(AUX!CO$1,"dd-MMM-aa"),"")</f>
      </c>
      <c r="CL147" s="496" t="str">
        <f> IF(CL167&lt;&gt;"",TEXT(AUX!CP$1,"dd-MMM-aa"),"")</f>
      </c>
      <c r="CM147" s="496" t="str">
        <f> IF(CM167&lt;&gt;"",TEXT(AUX!CQ$1,"dd-MMM-aa"),"")</f>
      </c>
      <c r="CN147" s="496" t="str">
        <f> IF(CN167&lt;&gt;"",TEXT(AUX!CR$1,"dd-MMM-aa"),"")</f>
      </c>
      <c r="CO147" s="496" t="str">
        <f> IF(CO167&lt;&gt;"",TEXT(AUX!CS$1,"dd-MMM-aa"),"")</f>
      </c>
      <c r="CP147" s="496" t="str">
        <f> IF(CP167&lt;&gt;"",TEXT(AUX!CT$1,"dd-MMM-aa"),"")</f>
      </c>
      <c r="CQ147" s="496" t="str">
        <f> IF(CQ167&lt;&gt;"",TEXT(AUX!CU$1,"dd-MMM-aa"),"")</f>
      </c>
      <c r="CR147" s="496" t="str">
        <f> IF(CR167&lt;&gt;"",TEXT(AUX!CV$1,"dd-MMM-aa"),"")</f>
      </c>
      <c r="CS147" s="496" t="str">
        <f> IF(CS167&lt;&gt;"",TEXT(AUX!CW$1,"dd-MMM-aa"),"")</f>
      </c>
      <c r="CT147" s="496" t="str">
        <f> IF(CT167&lt;&gt;"",TEXT(AUX!CX$1,"dd-MMM-aa"),"")</f>
      </c>
      <c r="CU147" s="496" t="str">
        <f> IF(CU167&lt;&gt;"",TEXT(AUX!CY$1,"dd-MMM-aa"),"")</f>
      </c>
      <c r="CV147" s="496" t="str">
        <f> IF(CV167&lt;&gt;"",TEXT(AUX!CZ$1,"dd-MMM-aa"),"")</f>
      </c>
      <c r="CW147" s="496" t="str">
        <f> IF(CW167&lt;&gt;"",TEXT(AUX!DA$1,"dd-MMM-aa"),"")</f>
      </c>
      <c r="CX147" s="496" t="str">
        <f> IF(CX167&lt;&gt;"",TEXT(AUX!DB$1,"dd-MMM-aa"),"")</f>
      </c>
      <c r="CY147" s="496" t="str">
        <f> IF(CY167&lt;&gt;"",TEXT(AUX!DC$1,"dd-MMM-aa"),"")</f>
      </c>
      <c r="CZ147" s="496" t="str">
        <f> IF(CZ167&lt;&gt;"",TEXT(AUX!DD$1,"dd-MMM-aa"),"")</f>
      </c>
      <c r="DA147" s="496" t="str">
        <f> IF(DA167&lt;&gt;"",TEXT(AUX!DE$1,"dd-MMM-aa"),"")</f>
      </c>
      <c r="DB147" s="496" t="str">
        <f> IF(DB167&lt;&gt;"",TEXT(AUX!DF$1,"dd-MMM-aa"),"")</f>
      </c>
      <c r="DC147" s="496" t="str">
        <f> IF(DC167&lt;&gt;"",TEXT(AUX!DG$1,"dd-MMM-aa"),"")</f>
      </c>
      <c r="DD147" s="496" t="str">
        <f> IF(DD167&lt;&gt;"",TEXT(AUX!DH$1,"dd-MMM-aa"),"")</f>
      </c>
      <c r="DE147" s="496" t="str">
        <f> IF(DE167&lt;&gt;"",TEXT(AUX!DI$1,"dd-MMM-aa"),"")</f>
      </c>
      <c r="DF147" s="496" t="str">
        <f> IF(DF167&lt;&gt;"",TEXT(AUX!DJ$1,"dd-MMM-aa"),"")</f>
      </c>
      <c r="DG147" s="496" t="str">
        <f> IF(DG167&lt;&gt;"",TEXT(AUX!DK$1,"dd-MMM-aa"),"")</f>
      </c>
      <c r="DH147" s="496" t="str">
        <f> IF(DH167&lt;&gt;"",TEXT(AUX!DL$1,"dd-MMM-aa"),"")</f>
      </c>
      <c r="DI147" s="496" t="str">
        <f> IF(DI167&lt;&gt;"",TEXT(AUX!DM$1,"dd-MMM-aa"),"")</f>
      </c>
      <c r="DJ147" s="496" t="str">
        <f> IF(DJ167&lt;&gt;"",TEXT(AUX!DN$1,"dd-MMM-aa"),"")</f>
      </c>
      <c r="DK147" s="496" t="str">
        <f> IF(DK167&lt;&gt;"",TEXT(AUX!DO$1,"dd-MMM-aa"),"")</f>
      </c>
      <c r="DL147" s="496" t="str">
        <f> IF(DL167&lt;&gt;"",TEXT(AUX!DP$1,"dd-MMM-aa"),"")</f>
      </c>
      <c r="DM147" s="496" t="str">
        <f> IF(DM167&lt;&gt;"",TEXT(AUX!DQ$1,"dd-MMM-aa"),"")</f>
      </c>
      <c r="DN147" s="496" t="str">
        <f> IF(DN167&lt;&gt;"",TEXT(AUX!DR$1,"dd-MMM-aa"),"")</f>
      </c>
      <c r="DO147" s="496" t="str">
        <f> IF(DO167&lt;&gt;"",TEXT(AUX!DS$1,"dd-MMM-aa"),"")</f>
      </c>
      <c r="DP147" s="496" t="str">
        <f> IF(DP167&lt;&gt;"",TEXT(AUX!DT$1,"dd-MMM-aa"),"")</f>
      </c>
      <c r="DQ147" s="496" t="str">
        <f> IF(DQ167&lt;&gt;"",TEXT(AUX!DU$1,"dd-MMM-aa"),"")</f>
      </c>
      <c r="DR147" s="496" t="str">
        <f> IF(DR167&lt;&gt;"",TEXT(AUX!DV$1,"dd-MMM-aa"),"")</f>
      </c>
      <c r="DS147" s="496" t="str">
        <f> IF(DS167&lt;&gt;"",TEXT(AUX!DW$1,"dd-MMM-aa"),"")</f>
      </c>
      <c r="DT147" s="496" t="str">
        <f> IF(DT167&lt;&gt;"",TEXT(AUX!DX$1,"dd-MMM-aa"),"")</f>
      </c>
      <c r="DU147" s="496" t="str">
        <f> IF(DU167&lt;&gt;"",TEXT(AUX!DY$1,"dd-MMM-aa"),"")</f>
      </c>
      <c r="DV147" s="496" t="str">
        <f> IF(DV167&lt;&gt;"",TEXT(AUX!DZ$1,"dd-MMM-aa"),"")</f>
      </c>
      <c r="DW147" s="496" t="str">
        <f> IF(DW167&lt;&gt;"",TEXT(AUX!EA$1,"dd-MMM-aa"),"")</f>
      </c>
      <c r="DX147" s="496" t="str">
        <f> IF(DX167&lt;&gt;"",TEXT(AUX!EB$1,"dd-MMM-aa"),"")</f>
      </c>
      <c r="DY147" s="496" t="str">
        <f> IF(DY167&lt;&gt;"",TEXT(AUX!EC$1,"dd-MMM-aa"),"")</f>
      </c>
      <c r="DZ147" s="496" t="str">
        <f> IF(DZ167&lt;&gt;"",TEXT(AUX!ED$1,"dd-MMM-aa"),"")</f>
      </c>
      <c r="EA147" s="496" t="str">
        <f> IF(EA167&lt;&gt;"",TEXT(AUX!EE$1,"dd-MMM-aa"),"")</f>
      </c>
      <c r="EB147" s="496" t="str">
        <f> IF(EB167&lt;&gt;"",TEXT(AUX!EF$1,"dd-MMM-aa"),"")</f>
      </c>
      <c r="EC147" s="496" t="str">
        <f> IF(EC167&lt;&gt;"",TEXT(AUX!EG$1,"dd-MMM-aa"),"")</f>
      </c>
      <c r="ED147" s="496" t="str">
        <f> IF(ED167&lt;&gt;"",TEXT(AUX!EH$1,"dd-MMM-aa"),"")</f>
      </c>
      <c r="EE147" s="496" t="str">
        <f> IF(EE167&lt;&gt;"",TEXT(AUX!EI$1,"dd-MMM-aa"),"")</f>
      </c>
      <c r="EF147" s="496" t="str">
        <f> IF(EF167&lt;&gt;"",TEXT(AUX!EJ$1,"dd-MMM-aa"),"")</f>
      </c>
      <c r="EG147" s="496" t="str">
        <f> IF(EG167&lt;&gt;"",TEXT(AUX!EK$1,"dd-MMM-aa"),"")</f>
      </c>
      <c r="EH147" s="496" t="str">
        <f> IF(EH167&lt;&gt;"",TEXT(AUX!EL$1,"dd-MMM-aa"),"")</f>
      </c>
      <c r="EI147" s="496" t="str">
        <f> IF(EI167&lt;&gt;"",TEXT(AUX!EM$1,"dd-MMM-aa"),"")</f>
      </c>
      <c r="EJ147" s="496" t="str">
        <f> IF(EJ167&lt;&gt;"",TEXT(AUX!EN$1,"dd-MMM-aa"),"")</f>
      </c>
      <c r="EK147" s="496" t="str">
        <f> IF(EK167&lt;&gt;"",TEXT(AUX!EO$1,"dd-MMM-aa"),"")</f>
      </c>
      <c r="EL147" s="496" t="str">
        <f> IF(EL167&lt;&gt;"",TEXT(AUX!EP$1,"dd-MMM-aa"),"")</f>
      </c>
      <c r="EM147" s="496" t="str">
        <f> IF(EM167&lt;&gt;"",TEXT(AUX!EQ$1,"dd-MMM-aa"),"")</f>
      </c>
      <c r="EN147" s="496" t="str">
        <f> IF(EN167&lt;&gt;"",TEXT(AUX!ER$1,"dd-MMM-aa"),"")</f>
      </c>
      <c r="EO147" s="496" t="str">
        <f> IF(EO167&lt;&gt;"",TEXT(AUX!ES$1,"dd-MMM-aa"),"")</f>
      </c>
      <c r="EP147" s="496" t="str">
        <f> IF(EP167&lt;&gt;"",TEXT(AUX!ET$1,"dd-MMM-aa"),"")</f>
      </c>
      <c r="EQ147" s="496" t="str">
        <f> IF(EQ167&lt;&gt;"",TEXT(AUX!EU$1,"dd-MMM-aa"),"")</f>
      </c>
      <c r="ER147" s="496" t="str">
        <f> IF(ER167&lt;&gt;"",TEXT(AUX!EV$1,"dd-MMM-aa"),"")</f>
      </c>
      <c r="ES147" s="496" t="str">
        <f> IF(ES167&lt;&gt;"",TEXT(AUX!EW$1,"dd-MMM-aa"),"")</f>
      </c>
      <c r="ET147" s="496" t="str">
        <f> IF(ET167&lt;&gt;"",TEXT(AUX!EX$1,"dd-MMM-aa"),"")</f>
      </c>
      <c r="EU147" s="496" t="str">
        <f> IF(EU167&lt;&gt;"",TEXT(AUX!EY$1,"dd-MMM-aa"),"")</f>
      </c>
      <c r="EV147" s="496" t="str">
        <f> IF(EV167&lt;&gt;"",TEXT(AUX!EZ$1,"dd-MMM-aa"),"")</f>
      </c>
      <c r="EW147" s="496" t="str">
        <f> IF(EW167&lt;&gt;"",TEXT(AUX!FA$1,"dd-MMM-aa"),"")</f>
      </c>
      <c r="EX147" s="496" t="str">
        <f> IF(EX167&lt;&gt;"",TEXT(AUX!FB$1,"dd-MMM-aa"),"")</f>
      </c>
      <c r="EY147" s="496" t="str">
        <f> IF(EY167&lt;&gt;"",TEXT(AUX!FC$1,"dd-MMM-aa"),"")</f>
      </c>
      <c r="EZ147" s="496" t="str">
        <f> IF(EZ167&lt;&gt;"",TEXT(AUX!FD$1,"dd-MMM-aa"),"")</f>
      </c>
      <c r="FA147" s="496" t="str">
        <f> IF(FA167&lt;&gt;"",TEXT(AUX!FE$1,"dd-MMM-aa"),"")</f>
      </c>
      <c r="FB147" s="496" t="str">
        <f> IF(FB167&lt;&gt;"",TEXT(AUX!FF$1,"dd-MMM-aa"),"")</f>
      </c>
      <c r="FC147" s="496" t="str">
        <f> IF(FC167&lt;&gt;"",TEXT(AUX!FG$1,"dd-MMM-aa"),"")</f>
      </c>
      <c r="FD147" s="496" t="str">
        <f> IF(FD167&lt;&gt;"",TEXT(AUX!FH$1,"dd-MMM-aa"),"")</f>
      </c>
      <c r="FE147" s="496" t="str">
        <f> IF(FE167&lt;&gt;"",TEXT(AUX!FI$1,"dd-MMM-aa"),"")</f>
      </c>
      <c r="FF147" s="496" t="str">
        <f> IF(FF167&lt;&gt;"",TEXT(AUX!FJ$1,"dd-MMM-aa"),"")</f>
      </c>
      <c r="FG147" s="496" t="str">
        <f> IF(FG167&lt;&gt;"",TEXT(AUX!FK$1,"dd-MMM-aa"),"")</f>
      </c>
      <c r="FH147" s="496" t="str">
        <f> IF(FH167&lt;&gt;"",TEXT(AUX!FL$1,"dd-MMM-aa"),"")</f>
      </c>
      <c r="FI147" s="496" t="str">
        <f> IF(FI167&lt;&gt;"",TEXT(AUX!FM$1,"dd-MMM-aa"),"")</f>
      </c>
      <c r="FJ147" s="496" t="str">
        <f> IF(FJ167&lt;&gt;"",TEXT(AUX!FN$1,"dd-MMM-aa"),"")</f>
      </c>
      <c r="FK147" s="496" t="str">
        <f> IF(FK167&lt;&gt;"",TEXT(AUX!FO$1,"dd-MMM-aa"),"")</f>
      </c>
      <c r="FL147" s="496" t="str">
        <f> IF(FL167&lt;&gt;"",TEXT(AUX!FP$1,"dd-MMM-aa"),"")</f>
      </c>
      <c r="FM147" s="496" t="str">
        <f> IF(FM167&lt;&gt;"",TEXT(AUX!FQ$1,"dd-MMM-aa"),"")</f>
      </c>
      <c r="FN147" s="496" t="str">
        <f> IF(FN167&lt;&gt;"",TEXT(AUX!FR$1,"dd-MMM-aa"),"")</f>
      </c>
      <c r="FO147" s="496" t="str">
        <f> IF(FO167&lt;&gt;"",TEXT(AUX!FS$1,"dd-MMM-aa"),"")</f>
      </c>
      <c r="FP147" s="496" t="str">
        <f> IF(FP167&lt;&gt;"",TEXT(AUX!FT$1,"dd-MMM-aa"),"")</f>
      </c>
      <c r="FQ147" s="496" t="str">
        <f> IF(FQ167&lt;&gt;"",TEXT(AUX!FU$1,"dd-MMM-aa"),"")</f>
      </c>
      <c r="FR147" s="496" t="str">
        <f> IF(FR167&lt;&gt;"",TEXT(AUX!FV$1,"dd-MMM-aa"),"")</f>
      </c>
      <c r="FS147" s="496" t="str">
        <f> IF(FS167&lt;&gt;"",TEXT(AUX!FW$1,"dd-MMM-aa"),"")</f>
      </c>
      <c r="FT147" s="496" t="str">
        <f> IF(FT167&lt;&gt;"",TEXT(AUX!FX$1,"dd-MMM-aa"),"")</f>
      </c>
      <c r="FU147" s="496" t="str">
        <f> IF(FU167&lt;&gt;"",TEXT(AUX!FY$1,"dd-MMM-aa"),"")</f>
      </c>
      <c r="FV147" s="496" t="str">
        <f> IF(FV167&lt;&gt;"",TEXT(AUX!FZ$1,"dd-MMM-aa"),"")</f>
      </c>
      <c r="FW147" s="496" t="str">
        <f> IF(FW167&lt;&gt;"",TEXT(AUX!GA$1,"dd-MMM-aa"),"")</f>
      </c>
      <c r="FX147" s="496" t="str">
        <f> IF(FX167&lt;&gt;"",TEXT(AUX!GB$1,"dd-MMM-aa"),"")</f>
      </c>
      <c r="FY147" s="496" t="str">
        <f> IF(FY167&lt;&gt;"",TEXT(AUX!GC$1,"dd-MMM-aa"),"")</f>
      </c>
      <c r="FZ147" s="496" t="str">
        <f> IF(FZ167&lt;&gt;"",TEXT(AUX!GD$1,"dd-MMM-aa"),"")</f>
      </c>
      <c r="GA147" s="496" t="str">
        <f> IF(GA167&lt;&gt;"",TEXT(AUX!GE$1,"dd-MMM-aa"),"")</f>
      </c>
      <c r="GB147" s="496" t="str">
        <f> IF(GB167&lt;&gt;"",TEXT(AUX!GF$1,"dd-MMM-aa"),"")</f>
      </c>
      <c r="GC147" s="496" t="str">
        <f> IF(GC167&lt;&gt;"",TEXT(AUX!GG$1,"dd-MMM-aa"),"")</f>
      </c>
      <c r="GD147" s="496" t="str">
        <f> IF(GD167&lt;&gt;"",TEXT(AUX!GH$1,"dd-MMM-aa"),"")</f>
      </c>
      <c r="GE147" s="496" t="str">
        <f> IF(GE167&lt;&gt;"",TEXT(AUX!GI$1,"dd-MMM-aa"),"")</f>
      </c>
      <c r="GF147" s="496" t="str">
        <f> IF(GF167&lt;&gt;"",TEXT(AUX!GJ$1,"dd-MMM-aa"),"")</f>
      </c>
      <c r="GG147" s="496" t="str">
        <f> IF(GG167&lt;&gt;"",TEXT(AUX!GK$1,"dd-MMM-aa"),"")</f>
      </c>
      <c r="GH147" s="496" t="str">
        <f> IF(GH167&lt;&gt;"",TEXT(AUX!GL$1,"dd-MMM-aa"),"")</f>
      </c>
      <c r="GI147" s="496" t="str">
        <f> IF(GI167&lt;&gt;"",TEXT(AUX!GM$1,"dd-MMM-aa"),"")</f>
      </c>
      <c r="GJ147" s="496" t="str">
        <f> IF(GJ167&lt;&gt;"",TEXT(AUX!GN$1,"dd-MMM-aa"),"")</f>
      </c>
      <c r="GK147" s="496" t="str">
        <f> IF(GK167&lt;&gt;"",TEXT(AUX!GO$1,"dd-MMM-aa"),"")</f>
      </c>
      <c r="GL147" s="496" t="str">
        <f> IF(GL167&lt;&gt;"",TEXT(AUX!GP$1,"dd-MMM-aa"),"")</f>
      </c>
      <c r="GM147" s="496" t="str">
        <f> IF(GM167&lt;&gt;"",TEXT(AUX!GQ$1,"dd-MMM-aa"),"")</f>
      </c>
      <c r="GN147" s="496" t="str">
        <f> IF(GN167&lt;&gt;"",TEXT(AUX!GR$1,"dd-MMM-aa"),"")</f>
      </c>
      <c r="GO147" s="496" t="str">
        <f> IF(GO167&lt;&gt;"",TEXT(AUX!GS$1,"dd-MMM-aa"),"")</f>
      </c>
      <c r="GP147" s="496" t="str">
        <f> IF(GP167&lt;&gt;"",TEXT(AUX!GT$1,"dd-MMM-aa"),"")</f>
      </c>
      <c r="GQ147" s="496" t="str">
        <f> IF(GQ167&lt;&gt;"",TEXT(AUX!GU$1,"dd-MMM-aa"),"")</f>
      </c>
      <c r="GR147" s="496" t="str">
        <f> IF(GR167&lt;&gt;"",TEXT(AUX!GV$1,"dd-MMM-aa"),"")</f>
      </c>
      <c r="GS147" s="496" t="str">
        <f> IF(GS167&lt;&gt;"",TEXT(AUX!GW$1,"dd-MMM-aa"),"")</f>
      </c>
      <c r="GT147" s="496" t="str">
        <f> IF(GT167&lt;&gt;"",TEXT(AUX!GX$1,"dd-MMM-aa"),"")</f>
      </c>
      <c r="GU147" s="496" t="str">
        <f> IF(GU167&lt;&gt;"",TEXT(AUX!GY$1,"dd-MMM-aa"),"")</f>
      </c>
      <c r="GV147" s="496" t="str">
        <f> IF(GV167&lt;&gt;"",TEXT(AUX!GZ$1,"dd-MMM-aa"),"")</f>
      </c>
      <c r="GW147" s="496" t="str">
        <f> IF(GW167&lt;&gt;"",TEXT(AUX!HA$1,"dd-MMM-aa"),"")</f>
      </c>
      <c r="GX147" s="496" t="str">
        <f> IF(GX167&lt;&gt;"",TEXT(AUX!HB$1,"dd-MMM-aa"),"")</f>
      </c>
      <c r="GY147" s="496" t="str">
        <f> IF(GY167&lt;&gt;"",TEXT(AUX!HC$1,"dd-MMM-aa"),"")</f>
      </c>
      <c r="GZ147" s="496" t="str">
        <f> IF(GZ167&lt;&gt;"",TEXT(AUX!HD$1,"dd-MMM-aa"),"")</f>
      </c>
      <c r="HA147" s="496" t="str">
        <f> IF(HA167&lt;&gt;"",TEXT(AUX!HE$1,"dd-MMM-aa"),"")</f>
      </c>
      <c r="HB147" s="496" t="str">
        <f> IF(HB167&lt;&gt;"",TEXT(AUX!HF$1,"dd-MMM-aa"),"")</f>
      </c>
      <c r="HC147" s="496" t="str">
        <f> IF(HC167&lt;&gt;"",TEXT(AUX!HG$1,"dd-MMM-aa"),"")</f>
      </c>
      <c r="HD147" s="496" t="str">
        <f> IF(HD167&lt;&gt;"",TEXT(AUX!HH$1,"dd-MMM-aa"),"")</f>
      </c>
      <c r="HE147" s="496" t="str">
        <f> IF(HE167&lt;&gt;"",TEXT(AUX!HI$1,"dd-MMM-aa"),"")</f>
      </c>
      <c r="HF147" s="496" t="str">
        <f> IF(HF167&lt;&gt;"",TEXT(AUX!HJ$1,"dd-MMM-aa"),"")</f>
      </c>
      <c r="HG147" s="496" t="str">
        <f> IF(HG167&lt;&gt;"",TEXT(AUX!HK$1,"dd-MMM-aa"),"")</f>
      </c>
      <c r="HH147" s="496" t="str">
        <f> IF(HH167&lt;&gt;"",TEXT(AUX!HL$1,"dd-MMM-aa"),"")</f>
      </c>
      <c r="HI147" s="496" t="str">
        <f> IF(HI167&lt;&gt;"",TEXT(AUX!HM$1,"dd-MMM-aa"),"")</f>
      </c>
      <c r="HJ147" s="496" t="str">
        <f> IF(HJ167&lt;&gt;"",TEXT(AUX!HN$1,"dd-MMM-aa"),"")</f>
      </c>
      <c r="HK147" s="496" t="str">
        <f> IF(HK167&lt;&gt;"",TEXT(AUX!HO$1,"dd-MMM-aa"),"")</f>
      </c>
      <c r="HL147" s="496" t="str">
        <f> IF(HL167&lt;&gt;"",TEXT(AUX!HP$1,"dd-MMM-aa"),"")</f>
      </c>
      <c r="HM147" s="496" t="str">
        <f> IF(HM167&lt;&gt;"",TEXT(AUX!HQ$1,"dd-MMM-aa"),"")</f>
      </c>
      <c r="HN147" s="496" t="str">
        <f> IF(HN167&lt;&gt;"",TEXT(AUX!HR$1,"dd-MMM-aa"),"")</f>
      </c>
      <c r="HO147" s="496" t="str">
        <f> IF(HO167&lt;&gt;"",TEXT(AUX!HS$1,"dd-MMM-aa"),"")</f>
      </c>
      <c r="HP147" s="496" t="str">
        <f> IF(HP167&lt;&gt;"",TEXT(AUX!HT$1,"dd-MMM-aa"),"")</f>
      </c>
      <c r="HQ147" s="496" t="str">
        <f> IF(HQ167&lt;&gt;"",TEXT(AUX!HU$1,"dd-MMM-aa"),"")</f>
      </c>
      <c r="HR147" s="496" t="str">
        <f> IF(HR167&lt;&gt;"",TEXT(AUX!HV$1,"dd-MMM-aa"),"")</f>
      </c>
      <c r="HS147" s="496" t="str">
        <f> IF(HS167&lt;&gt;"",TEXT(AUX!HW$1,"dd-MMM-aa"),"")</f>
      </c>
      <c r="HT147" s="496" t="str">
        <f> IF(HT167&lt;&gt;"",TEXT(AUX!HX$1,"dd-MMM-aa"),"")</f>
      </c>
      <c r="HU147" s="496" t="str">
        <f> IF(HU167&lt;&gt;"",TEXT(AUX!HY$1,"dd-MMM-aa"),"")</f>
      </c>
      <c r="HV147" s="496" t="str">
        <f> IF(HV167&lt;&gt;"",TEXT(AUX!HZ$1,"dd-MMM-aa"),"")</f>
      </c>
      <c r="HW147" s="496" t="str">
        <f> IF(HW167&lt;&gt;"",TEXT(AUX!IA$1,"dd-MMM-aa"),"")</f>
      </c>
      <c r="HX147" s="496" t="str">
        <f> IF(HX167&lt;&gt;"",TEXT(AUX!IB$1,"dd-MMM-aa"),"")</f>
      </c>
      <c r="HY147" s="496" t="str">
        <f> IF(HY167&lt;&gt;"",TEXT(AUX!IC$1,"dd-MMM-aa"),"")</f>
      </c>
      <c r="HZ147" s="496" t="str">
        <f> IF(HZ167&lt;&gt;"",TEXT(AUX!ID$1,"dd-MMM-aa"),"")</f>
      </c>
      <c r="IA147" s="496" t="str">
        <f> IF(IA167&lt;&gt;"",TEXT(AUX!IE$1,"dd-MMM-aa"),"")</f>
      </c>
      <c r="IB147" s="496" t="str">
        <f> IF(IB167&lt;&gt;"",TEXT(AUX!IF$1,"dd-MMM-aa"),"")</f>
      </c>
      <c r="IC147" s="496" t="str">
        <f> IF(IC167&lt;&gt;"",TEXT(AUX!IG$1,"dd-MMM-aa"),"")</f>
      </c>
      <c r="ID147" s="496" t="str">
        <f> IF(ID167&lt;&gt;"",TEXT(AUX!IH$1,"dd-MMM-aa"),"")</f>
      </c>
      <c r="IE147" s="496" t="str">
        <f> IF(IE167&lt;&gt;"",TEXT(AUX!II$1,"dd-MMM-aa"),"")</f>
      </c>
      <c r="IF147" s="496" t="str">
        <f> IF(IF167&lt;&gt;"",TEXT(AUX!IJ$1,"dd-MMM-aa"),"")</f>
      </c>
      <c r="IG147" s="496" t="str">
        <f> IF(IG167&lt;&gt;"",TEXT(AUX!IK$1,"dd-MMM-aa"),"")</f>
      </c>
      <c r="IH147" s="496" t="str">
        <f> IF(IH167&lt;&gt;"",TEXT(AUX!IL$1,"dd-MMM-aa"),"")</f>
      </c>
      <c r="II147" s="496" t="str">
        <f> IF(II167&lt;&gt;"",TEXT(AUX!IM$1,"dd-MMM-aa"),"")</f>
      </c>
      <c r="IJ147" s="496" t="str">
        <f> IF(IJ167&lt;&gt;"",TEXT(AUX!IN$1,"dd-MMM-aa"),"")</f>
      </c>
      <c r="IK147" s="496" t="str">
        <f> IF(IK167&lt;&gt;"",TEXT(AUX!IO$1,"dd-MMM-aa"),"")</f>
      </c>
      <c r="IL147" s="496" t="str">
        <f> IF(IL167&lt;&gt;"",TEXT(AUX!IP$1,"dd-MMM-aa"),"")</f>
      </c>
      <c r="IM147" s="496" t="str">
        <f> IF(IM167&lt;&gt;"",TEXT(AUX!IQ$1,"dd-MMM-aa"),"")</f>
      </c>
      <c r="IN147" s="496" t="str">
        <f> IF(IN167&lt;&gt;"",TEXT(AUX!IR$1,"dd-MMM-aa"),"")</f>
      </c>
      <c r="IO147" s="496" t="str">
        <f> IF(IO167&lt;&gt;"",TEXT(AUX!IS$1,"dd-MMM-aa"),"")</f>
      </c>
      <c r="IP147" s="496" t="str">
        <f> IF(IP167&lt;&gt;"",TEXT(AUX!IT$1,"dd-MMM-aa"),"")</f>
      </c>
      <c r="IQ147" s="496" t="str">
        <f> IF(IQ167&lt;&gt;"",TEXT(AUX!IU$1,"dd-MMM-aa"),"")</f>
      </c>
      <c r="IR147" s="496" t="str">
        <f> IF(IR167&lt;&gt;"",TEXT(AUX!IV$1,"dd-MMM-aa"),"")</f>
      </c>
      <c r="IS147" s="496" t="str">
        <f> IF(IS167&lt;&gt;"",TEXT(AUX!#REF!,"dd-MMM-aa"),"")</f>
      </c>
      <c r="IT147" s="496" t="str">
        <f> IF(IT167&lt;&gt;"",TEXT(AUX!#REF!,"dd-MMM-aa"),"")</f>
      </c>
      <c r="IU147" s="496" t="str">
        <f> IF(IU167&lt;&gt;"",TEXT(AUX!#REF!,"dd-MMM-aa"),"")</f>
      </c>
      <c r="IV147" s="496" t="str">
        <f> IF(IV167&lt;&gt;"",TEXT(AUX!#REF!,"dd-MMM-aa"),"")</f>
      </c>
    </row>
    <row r="148" hidden="1" ht="15.95" customHeight="1">
      <c r="B148" s="822" t="s">
        <v>8</v>
      </c>
      <c r="C148" s="823">
        <v>13</v>
      </c>
      <c r="D148" s="823">
        <v>13</v>
      </c>
      <c r="E148" s="823">
        <v>13</v>
      </c>
      <c r="F148" s="823">
        <v>13</v>
      </c>
      <c r="G148" s="823">
        <v>13</v>
      </c>
      <c r="H148" s="823">
        <v>50</v>
      </c>
      <c r="I148" s="823">
        <v>58</v>
      </c>
      <c r="J148" s="823">
        <v>62</v>
      </c>
      <c r="K148" s="823">
        <v>64</v>
      </c>
      <c r="L148" s="823">
        <v>73</v>
      </c>
      <c r="M148" s="823">
        <v>75</v>
      </c>
      <c r="N148" s="823">
        <v>77</v>
      </c>
      <c r="O148" s="823">
        <v>78</v>
      </c>
      <c r="P148" s="823">
        <v>79</v>
      </c>
      <c r="Q148" s="823">
        <v>82</v>
      </c>
      <c r="R148" s="823">
        <v>87</v>
      </c>
      <c r="S148" s="823">
        <v>91</v>
      </c>
      <c r="T148" s="823">
        <v>94</v>
      </c>
      <c r="U148" s="823">
        <v>95</v>
      </c>
      <c r="V148" s="823">
        <v>99</v>
      </c>
      <c r="W148" s="823">
        <v>104</v>
      </c>
      <c r="X148" s="823">
        <v>107</v>
      </c>
      <c r="Y148" s="823">
        <v>113</v>
      </c>
      <c r="Z148" s="823">
        <v>116</v>
      </c>
      <c r="AA148" s="823">
        <v>120</v>
      </c>
      <c r="AB148" s="824">
        <v>128</v>
      </c>
      <c r="AC148" s="825">
        <v>127</v>
      </c>
      <c r="AD148" s="825">
        <v>123</v>
      </c>
      <c r="AE148" s="825">
        <v>124</v>
      </c>
      <c r="AF148" s="825">
        <v>125</v>
      </c>
      <c r="AG148" s="825">
        <v>125</v>
      </c>
      <c r="AH148" s="825">
        <v>126</v>
      </c>
      <c r="AI148" s="825">
        <v>125</v>
      </c>
      <c r="AJ148" s="825">
        <v>127</v>
      </c>
      <c r="AK148" s="825">
        <v>127</v>
      </c>
      <c r="AL148" s="825">
        <v>128</v>
      </c>
      <c r="AM148" s="825">
        <v>115</v>
      </c>
      <c r="AN148" s="825">
        <v>119</v>
      </c>
      <c r="AO148" s="825">
        <v>121</v>
      </c>
      <c r="AP148" s="825">
        <v>126</v>
      </c>
    </row>
    <row r="149" hidden="1" ht="15.95" customHeight="1">
      <c r="B149" s="826" t="s">
        <v>9</v>
      </c>
      <c r="C149" s="827">
        <v>3</v>
      </c>
      <c r="D149" s="827">
        <v>3</v>
      </c>
      <c r="E149" s="827">
        <v>3</v>
      </c>
      <c r="F149" s="827">
        <v>4</v>
      </c>
      <c r="G149" s="827">
        <v>4</v>
      </c>
      <c r="H149" s="827">
        <v>4</v>
      </c>
      <c r="I149" s="827">
        <v>4</v>
      </c>
      <c r="J149" s="827">
        <v>2</v>
      </c>
      <c r="K149" s="827">
        <v>4</v>
      </c>
      <c r="L149" s="827">
        <v>6</v>
      </c>
      <c r="M149" s="827">
        <v>8</v>
      </c>
      <c r="N149" s="827">
        <v>10</v>
      </c>
      <c r="O149" s="827">
        <v>11</v>
      </c>
      <c r="P149" s="827">
        <v>15</v>
      </c>
      <c r="Q149" s="827">
        <v>17</v>
      </c>
      <c r="R149" s="827">
        <v>19</v>
      </c>
      <c r="S149" s="827">
        <v>19</v>
      </c>
      <c r="T149" s="827">
        <v>19</v>
      </c>
      <c r="U149" s="827">
        <v>20</v>
      </c>
      <c r="V149" s="827">
        <v>20</v>
      </c>
      <c r="W149" s="827">
        <v>21</v>
      </c>
      <c r="X149" s="827">
        <v>22</v>
      </c>
      <c r="Y149" s="827">
        <v>26</v>
      </c>
      <c r="Z149" s="827">
        <v>25</v>
      </c>
      <c r="AA149" s="827">
        <v>25</v>
      </c>
      <c r="AB149" s="827">
        <v>26</v>
      </c>
      <c r="AC149" s="828">
        <v>27</v>
      </c>
      <c r="AD149" s="828">
        <v>26</v>
      </c>
      <c r="AE149" s="828">
        <v>25</v>
      </c>
      <c r="AF149" s="828">
        <v>25</v>
      </c>
      <c r="AG149" s="828">
        <v>25</v>
      </c>
      <c r="AH149" s="828">
        <v>25</v>
      </c>
      <c r="AI149" s="828">
        <v>25</v>
      </c>
      <c r="AJ149" s="828">
        <v>25</v>
      </c>
      <c r="AK149" s="828">
        <v>25</v>
      </c>
      <c r="AL149" s="828">
        <v>25</v>
      </c>
      <c r="AM149" s="828">
        <v>25</v>
      </c>
      <c r="AN149" s="828">
        <v>25</v>
      </c>
      <c r="AO149" s="828">
        <v>27</v>
      </c>
      <c r="AP149" s="828">
        <v>28</v>
      </c>
    </row>
    <row r="150" hidden="1" ht="15.95" customHeight="1">
      <c r="B150" s="829" t="s">
        <v>10</v>
      </c>
      <c r="C150" s="823">
        <v>0</v>
      </c>
      <c r="D150" s="823">
        <v>0</v>
      </c>
      <c r="E150" s="823">
        <v>0</v>
      </c>
      <c r="F150" s="823">
        <v>2</v>
      </c>
      <c r="G150" s="823">
        <v>10</v>
      </c>
      <c r="H150" s="823">
        <v>22</v>
      </c>
      <c r="I150" s="823">
        <v>23</v>
      </c>
      <c r="J150" s="823">
        <v>29</v>
      </c>
      <c r="K150" s="823">
        <v>29</v>
      </c>
      <c r="L150" s="823">
        <v>37</v>
      </c>
      <c r="M150" s="823">
        <v>48</v>
      </c>
      <c r="N150" s="823">
        <v>50</v>
      </c>
      <c r="O150" s="823">
        <v>51</v>
      </c>
      <c r="P150" s="823">
        <v>55</v>
      </c>
      <c r="Q150" s="823">
        <v>58</v>
      </c>
      <c r="R150" s="823">
        <v>62</v>
      </c>
      <c r="S150" s="823">
        <v>65</v>
      </c>
      <c r="T150" s="823">
        <v>65</v>
      </c>
      <c r="U150" s="823">
        <v>66</v>
      </c>
      <c r="V150" s="823">
        <v>68</v>
      </c>
      <c r="W150" s="823">
        <v>72</v>
      </c>
      <c r="X150" s="823">
        <v>72</v>
      </c>
      <c r="Y150" s="823">
        <v>74</v>
      </c>
      <c r="Z150" s="823">
        <v>76</v>
      </c>
      <c r="AA150" s="823">
        <v>77</v>
      </c>
      <c r="AB150" s="823">
        <v>78</v>
      </c>
      <c r="AC150" s="825">
        <v>79</v>
      </c>
      <c r="AD150" s="825">
        <v>80</v>
      </c>
      <c r="AE150" s="825">
        <v>84</v>
      </c>
      <c r="AF150" s="825">
        <v>86</v>
      </c>
      <c r="AG150" s="825">
        <v>86</v>
      </c>
      <c r="AH150" s="825">
        <v>89</v>
      </c>
      <c r="AI150" s="825">
        <v>89</v>
      </c>
      <c r="AJ150" s="825">
        <v>89</v>
      </c>
      <c r="AK150" s="825">
        <v>89</v>
      </c>
      <c r="AL150" s="825">
        <v>89</v>
      </c>
      <c r="AM150" s="825">
        <v>89</v>
      </c>
      <c r="AN150" s="825">
        <v>91</v>
      </c>
      <c r="AO150" s="825">
        <v>92</v>
      </c>
      <c r="AP150" s="825">
        <v>100</v>
      </c>
    </row>
    <row r="151" hidden="1" ht="15.95" customHeight="1">
      <c r="B151" s="826" t="s">
        <v>11</v>
      </c>
      <c r="C151" s="827">
        <v>11</v>
      </c>
      <c r="D151" s="827">
        <v>14</v>
      </c>
      <c r="E151" s="827">
        <v>22</v>
      </c>
      <c r="F151" s="827">
        <v>25</v>
      </c>
      <c r="G151" s="827">
        <v>30</v>
      </c>
      <c r="H151" s="827">
        <v>34</v>
      </c>
      <c r="I151" s="827">
        <v>35</v>
      </c>
      <c r="J151" s="827">
        <v>27</v>
      </c>
      <c r="K151" s="827">
        <v>22</v>
      </c>
      <c r="L151" s="827">
        <v>24</v>
      </c>
      <c r="M151" s="827">
        <v>22</v>
      </c>
      <c r="N151" s="827">
        <v>23</v>
      </c>
      <c r="O151" s="827">
        <v>26</v>
      </c>
      <c r="P151" s="827">
        <v>26</v>
      </c>
      <c r="Q151" s="827">
        <v>27</v>
      </c>
      <c r="R151" s="827">
        <v>28</v>
      </c>
      <c r="S151" s="827">
        <v>28</v>
      </c>
      <c r="T151" s="827">
        <v>28</v>
      </c>
      <c r="U151" s="827">
        <v>28</v>
      </c>
      <c r="V151" s="827">
        <v>28</v>
      </c>
      <c r="W151" s="827">
        <v>26</v>
      </c>
      <c r="X151" s="827">
        <v>26</v>
      </c>
      <c r="Y151" s="827">
        <v>26</v>
      </c>
      <c r="Z151" s="827">
        <v>26</v>
      </c>
      <c r="AA151" s="827">
        <v>27</v>
      </c>
      <c r="AB151" s="827">
        <v>27</v>
      </c>
      <c r="AC151" s="828">
        <v>27</v>
      </c>
      <c r="AD151" s="828">
        <v>29</v>
      </c>
      <c r="AE151" s="828">
        <v>29</v>
      </c>
      <c r="AF151" s="828">
        <v>30</v>
      </c>
      <c r="AG151" s="828">
        <v>30</v>
      </c>
      <c r="AH151" s="828">
        <v>31</v>
      </c>
      <c r="AI151" s="828">
        <v>32</v>
      </c>
      <c r="AJ151" s="828">
        <v>32</v>
      </c>
      <c r="AK151" s="828">
        <v>32</v>
      </c>
      <c r="AL151" s="828">
        <v>33</v>
      </c>
      <c r="AM151" s="828">
        <v>34</v>
      </c>
      <c r="AN151" s="828">
        <v>79</v>
      </c>
      <c r="AO151" s="828">
        <v>85</v>
      </c>
      <c r="AP151" s="828">
        <v>118</v>
      </c>
    </row>
    <row r="152" hidden="1" ht="15.95" customHeight="1">
      <c r="B152" s="829" t="s">
        <v>12</v>
      </c>
      <c r="C152" s="823">
        <v>18</v>
      </c>
      <c r="D152" s="823">
        <v>21</v>
      </c>
      <c r="E152" s="823">
        <v>21</v>
      </c>
      <c r="F152" s="823">
        <v>20</v>
      </c>
      <c r="G152" s="823">
        <v>20</v>
      </c>
      <c r="H152" s="823">
        <v>20</v>
      </c>
      <c r="I152" s="823">
        <v>14</v>
      </c>
      <c r="J152" s="823">
        <v>10</v>
      </c>
      <c r="K152" s="823">
        <v>10</v>
      </c>
      <c r="L152" s="823">
        <v>11</v>
      </c>
      <c r="M152" s="823">
        <v>12</v>
      </c>
      <c r="N152" s="823">
        <v>12</v>
      </c>
      <c r="O152" s="823">
        <v>10</v>
      </c>
      <c r="P152" s="823">
        <v>11</v>
      </c>
      <c r="Q152" s="823">
        <v>10</v>
      </c>
      <c r="R152" s="823">
        <v>10</v>
      </c>
      <c r="S152" s="823">
        <v>10</v>
      </c>
      <c r="T152" s="823">
        <v>9</v>
      </c>
      <c r="U152" s="823">
        <v>10</v>
      </c>
      <c r="V152" s="823">
        <v>10</v>
      </c>
      <c r="W152" s="823">
        <v>11</v>
      </c>
      <c r="X152" s="823">
        <v>11</v>
      </c>
      <c r="Y152" s="823">
        <v>13</v>
      </c>
      <c r="Z152" s="823">
        <v>14</v>
      </c>
      <c r="AA152" s="823">
        <v>12</v>
      </c>
      <c r="AB152" s="823">
        <v>12</v>
      </c>
      <c r="AC152" s="825">
        <v>13</v>
      </c>
      <c r="AD152" s="825">
        <v>12</v>
      </c>
      <c r="AE152" s="825">
        <v>14</v>
      </c>
      <c r="AF152" s="825">
        <v>14</v>
      </c>
      <c r="AG152" s="825">
        <v>13</v>
      </c>
      <c r="AH152" s="825">
        <v>14</v>
      </c>
      <c r="AI152" s="825">
        <v>14</v>
      </c>
      <c r="AJ152" s="825">
        <v>14</v>
      </c>
      <c r="AK152" s="825">
        <v>13</v>
      </c>
      <c r="AL152" s="825">
        <v>14</v>
      </c>
      <c r="AM152" s="825">
        <v>16</v>
      </c>
      <c r="AN152" s="825">
        <v>17</v>
      </c>
      <c r="AO152" s="825">
        <v>16</v>
      </c>
      <c r="AP152" s="825">
        <v>16</v>
      </c>
    </row>
    <row r="153" hidden="1" ht="15.95" customHeight="1">
      <c r="B153" s="826" t="s">
        <v>13</v>
      </c>
      <c r="C153" s="827">
        <v>2</v>
      </c>
      <c r="D153" s="827">
        <v>1</v>
      </c>
      <c r="E153" s="827">
        <v>1</v>
      </c>
      <c r="F153" s="827">
        <v>4</v>
      </c>
      <c r="G153" s="827">
        <v>7</v>
      </c>
      <c r="H153" s="827">
        <v>7</v>
      </c>
      <c r="I153" s="827">
        <v>10</v>
      </c>
      <c r="J153" s="827">
        <v>14</v>
      </c>
      <c r="K153" s="827">
        <v>16</v>
      </c>
      <c r="L153" s="827">
        <v>16</v>
      </c>
      <c r="M153" s="827">
        <v>16</v>
      </c>
      <c r="N153" s="827">
        <v>15</v>
      </c>
      <c r="O153" s="827">
        <v>15</v>
      </c>
      <c r="P153" s="827">
        <v>15</v>
      </c>
      <c r="Q153" s="827">
        <v>16</v>
      </c>
      <c r="R153" s="827">
        <v>17</v>
      </c>
      <c r="S153" s="827">
        <v>18</v>
      </c>
      <c r="T153" s="827">
        <v>18</v>
      </c>
      <c r="U153" s="827">
        <v>18</v>
      </c>
      <c r="V153" s="827">
        <v>18</v>
      </c>
      <c r="W153" s="827">
        <v>19</v>
      </c>
      <c r="X153" s="827">
        <v>19</v>
      </c>
      <c r="Y153" s="827">
        <v>21</v>
      </c>
      <c r="Z153" s="827">
        <v>21</v>
      </c>
      <c r="AA153" s="827">
        <v>21</v>
      </c>
      <c r="AB153" s="827">
        <v>23</v>
      </c>
      <c r="AC153" s="828">
        <v>23</v>
      </c>
      <c r="AD153" s="828">
        <v>21</v>
      </c>
      <c r="AE153" s="828">
        <v>22</v>
      </c>
      <c r="AF153" s="828">
        <v>23</v>
      </c>
      <c r="AG153" s="828">
        <v>23</v>
      </c>
      <c r="AH153" s="828">
        <v>20</v>
      </c>
      <c r="AI153" s="828">
        <v>21</v>
      </c>
      <c r="AJ153" s="828">
        <v>21</v>
      </c>
      <c r="AK153" s="828">
        <v>25</v>
      </c>
      <c r="AL153" s="828">
        <v>25</v>
      </c>
      <c r="AM153" s="828">
        <v>25</v>
      </c>
      <c r="AN153" s="828">
        <v>25</v>
      </c>
      <c r="AO153" s="828">
        <v>25</v>
      </c>
      <c r="AP153" s="828">
        <v>25</v>
      </c>
    </row>
    <row r="154" hidden="1" ht="15.95" customHeight="1">
      <c r="B154" s="829" t="s">
        <v>109</v>
      </c>
      <c r="C154" s="823">
        <v>21</v>
      </c>
      <c r="D154" s="823">
        <v>23</v>
      </c>
      <c r="E154" s="823">
        <v>24</v>
      </c>
      <c r="F154" s="823">
        <v>26</v>
      </c>
      <c r="G154" s="823">
        <v>26</v>
      </c>
      <c r="H154" s="823">
        <v>23</v>
      </c>
      <c r="I154" s="823">
        <v>23</v>
      </c>
      <c r="J154" s="823">
        <v>23</v>
      </c>
      <c r="K154" s="823">
        <v>22</v>
      </c>
      <c r="L154" s="823">
        <v>24</v>
      </c>
      <c r="M154" s="823">
        <v>27</v>
      </c>
      <c r="N154" s="823">
        <v>29</v>
      </c>
      <c r="O154" s="823">
        <v>29</v>
      </c>
      <c r="P154" s="823">
        <v>33</v>
      </c>
      <c r="Q154" s="823">
        <v>36</v>
      </c>
      <c r="R154" s="823">
        <v>37</v>
      </c>
      <c r="S154" s="823">
        <v>35</v>
      </c>
      <c r="T154" s="823">
        <v>37</v>
      </c>
      <c r="U154" s="823">
        <v>37</v>
      </c>
      <c r="V154" s="823">
        <v>49</v>
      </c>
      <c r="W154" s="823">
        <v>50</v>
      </c>
      <c r="X154" s="823">
        <v>51</v>
      </c>
      <c r="Y154" s="823">
        <v>52</v>
      </c>
      <c r="Z154" s="823">
        <v>54</v>
      </c>
      <c r="AA154" s="823">
        <v>54</v>
      </c>
      <c r="AB154" s="823">
        <v>70</v>
      </c>
      <c r="AC154" s="825">
        <v>85</v>
      </c>
      <c r="AD154" s="825">
        <v>102</v>
      </c>
      <c r="AE154" s="825">
        <v>107</v>
      </c>
      <c r="AF154" s="825">
        <v>110</v>
      </c>
      <c r="AG154" s="825">
        <v>132</v>
      </c>
      <c r="AH154" s="825">
        <v>134</v>
      </c>
      <c r="AI154" s="825">
        <v>135</v>
      </c>
      <c r="AJ154" s="825">
        <v>144</v>
      </c>
      <c r="AK154" s="825">
        <v>148</v>
      </c>
      <c r="AL154" s="825">
        <v>151</v>
      </c>
      <c r="AM154" s="825">
        <v>166</v>
      </c>
      <c r="AN154" s="825">
        <v>176</v>
      </c>
      <c r="AO154" s="825">
        <v>220</v>
      </c>
      <c r="AP154" s="825">
        <v>238</v>
      </c>
    </row>
    <row r="155" hidden="1" ht="15.95" customHeight="1">
      <c r="B155" s="826" t="s">
        <v>110</v>
      </c>
      <c r="C155" s="827">
        <v>33</v>
      </c>
      <c r="D155" s="827">
        <v>38</v>
      </c>
      <c r="E155" s="827">
        <v>41</v>
      </c>
      <c r="F155" s="827">
        <v>44</v>
      </c>
      <c r="G155" s="827">
        <v>44</v>
      </c>
      <c r="H155" s="827">
        <v>48</v>
      </c>
      <c r="I155" s="827">
        <v>45</v>
      </c>
      <c r="J155" s="827">
        <v>48</v>
      </c>
      <c r="K155" s="827">
        <v>55</v>
      </c>
      <c r="L155" s="827">
        <v>59</v>
      </c>
      <c r="M155" s="827">
        <v>61</v>
      </c>
      <c r="N155" s="827">
        <v>64</v>
      </c>
      <c r="O155" s="827">
        <v>67</v>
      </c>
      <c r="P155" s="827">
        <v>69</v>
      </c>
      <c r="Q155" s="827">
        <v>69</v>
      </c>
      <c r="R155" s="827">
        <v>68</v>
      </c>
      <c r="S155" s="827">
        <v>75</v>
      </c>
      <c r="T155" s="827">
        <v>80</v>
      </c>
      <c r="U155" s="827">
        <v>84</v>
      </c>
      <c r="V155" s="827">
        <v>89</v>
      </c>
      <c r="W155" s="827">
        <v>87</v>
      </c>
      <c r="X155" s="827">
        <v>90</v>
      </c>
      <c r="Y155" s="827">
        <v>92</v>
      </c>
      <c r="Z155" s="827">
        <v>97</v>
      </c>
      <c r="AA155" s="827">
        <v>92</v>
      </c>
      <c r="AB155" s="827">
        <v>93</v>
      </c>
      <c r="AC155" s="828">
        <v>92</v>
      </c>
      <c r="AD155" s="828">
        <v>95</v>
      </c>
      <c r="AE155" s="828">
        <v>95</v>
      </c>
      <c r="AF155" s="828">
        <v>98</v>
      </c>
      <c r="AG155" s="828">
        <v>98</v>
      </c>
      <c r="AH155" s="828">
        <v>98</v>
      </c>
      <c r="AI155" s="828">
        <v>101</v>
      </c>
      <c r="AJ155" s="828">
        <v>99</v>
      </c>
      <c r="AK155" s="828">
        <v>95</v>
      </c>
      <c r="AL155" s="828">
        <v>93</v>
      </c>
      <c r="AM155" s="828">
        <v>94</v>
      </c>
      <c r="AN155" s="828">
        <v>95</v>
      </c>
      <c r="AO155" s="828">
        <v>95</v>
      </c>
      <c r="AP155" s="828">
        <v>97</v>
      </c>
    </row>
    <row r="156" hidden="1" ht="15.95" customHeight="1">
      <c r="B156" s="829" t="s">
        <v>16</v>
      </c>
      <c r="C156" s="823">
        <v>186</v>
      </c>
      <c r="D156" s="823">
        <v>181</v>
      </c>
      <c r="E156" s="823">
        <v>185</v>
      </c>
      <c r="F156" s="823">
        <v>185</v>
      </c>
      <c r="G156" s="823">
        <v>185</v>
      </c>
      <c r="H156" s="823">
        <v>181</v>
      </c>
      <c r="I156" s="823">
        <v>100</v>
      </c>
      <c r="J156" s="823">
        <v>99</v>
      </c>
      <c r="K156" s="823">
        <v>99</v>
      </c>
      <c r="L156" s="823">
        <v>100</v>
      </c>
      <c r="M156" s="823">
        <v>106</v>
      </c>
      <c r="N156" s="823">
        <v>104</v>
      </c>
      <c r="O156" s="823">
        <v>99</v>
      </c>
      <c r="P156" s="823">
        <v>104</v>
      </c>
      <c r="Q156" s="823">
        <v>101</v>
      </c>
      <c r="R156" s="823">
        <v>109</v>
      </c>
      <c r="S156" s="823">
        <v>109</v>
      </c>
      <c r="T156" s="823">
        <v>110</v>
      </c>
      <c r="U156" s="823">
        <v>109</v>
      </c>
      <c r="V156" s="823">
        <v>117</v>
      </c>
      <c r="W156" s="823">
        <v>113</v>
      </c>
      <c r="X156" s="823">
        <v>120</v>
      </c>
      <c r="Y156" s="823">
        <v>124</v>
      </c>
      <c r="Z156" s="823">
        <v>131</v>
      </c>
      <c r="AA156" s="823">
        <v>138</v>
      </c>
      <c r="AB156" s="823">
        <v>145</v>
      </c>
      <c r="AC156" s="825">
        <v>147</v>
      </c>
      <c r="AD156" s="825">
        <v>141</v>
      </c>
      <c r="AE156" s="825">
        <v>135</v>
      </c>
      <c r="AF156" s="825">
        <v>141</v>
      </c>
      <c r="AG156" s="825">
        <v>140</v>
      </c>
      <c r="AH156" s="825">
        <v>142</v>
      </c>
      <c r="AI156" s="825">
        <v>142</v>
      </c>
      <c r="AJ156" s="825">
        <v>143</v>
      </c>
      <c r="AK156" s="825">
        <v>150</v>
      </c>
      <c r="AL156" s="825">
        <v>150</v>
      </c>
      <c r="AM156" s="825">
        <v>148</v>
      </c>
      <c r="AN156" s="825">
        <v>151</v>
      </c>
      <c r="AO156" s="825">
        <v>152</v>
      </c>
      <c r="AP156" s="825">
        <v>147</v>
      </c>
    </row>
    <row r="157" hidden="1" ht="15.95" customHeight="1">
      <c r="B157" s="826" t="s">
        <v>17</v>
      </c>
      <c r="C157" s="827">
        <v>3</v>
      </c>
      <c r="D157" s="827">
        <v>5</v>
      </c>
      <c r="E157" s="827">
        <v>8</v>
      </c>
      <c r="F157" s="827">
        <v>11</v>
      </c>
      <c r="G157" s="827">
        <v>11</v>
      </c>
      <c r="H157" s="827">
        <v>12</v>
      </c>
      <c r="I157" s="827">
        <v>16</v>
      </c>
      <c r="J157" s="827">
        <v>15</v>
      </c>
      <c r="K157" s="827">
        <v>16</v>
      </c>
      <c r="L157" s="827">
        <v>21</v>
      </c>
      <c r="M157" s="827">
        <v>22</v>
      </c>
      <c r="N157" s="827">
        <v>23</v>
      </c>
      <c r="O157" s="827">
        <v>24</v>
      </c>
      <c r="P157" s="827">
        <v>23</v>
      </c>
      <c r="Q157" s="827">
        <v>25</v>
      </c>
      <c r="R157" s="827">
        <v>27</v>
      </c>
      <c r="S157" s="827">
        <v>30</v>
      </c>
      <c r="T157" s="827">
        <v>31</v>
      </c>
      <c r="U157" s="827">
        <v>33</v>
      </c>
      <c r="V157" s="827">
        <v>36</v>
      </c>
      <c r="W157" s="827">
        <v>41</v>
      </c>
      <c r="X157" s="827">
        <v>41</v>
      </c>
      <c r="Y157" s="827">
        <v>44</v>
      </c>
      <c r="Z157" s="827">
        <v>48</v>
      </c>
      <c r="AA157" s="827">
        <v>49</v>
      </c>
      <c r="AB157" s="827">
        <v>50</v>
      </c>
      <c r="AC157" s="828">
        <v>56</v>
      </c>
      <c r="AD157" s="828">
        <v>57</v>
      </c>
      <c r="AE157" s="828">
        <v>57</v>
      </c>
      <c r="AF157" s="828">
        <v>57</v>
      </c>
      <c r="AG157" s="828">
        <v>58</v>
      </c>
      <c r="AH157" s="828">
        <v>62</v>
      </c>
      <c r="AI157" s="828">
        <v>67</v>
      </c>
      <c r="AJ157" s="828">
        <v>70</v>
      </c>
      <c r="AK157" s="828">
        <v>71</v>
      </c>
      <c r="AL157" s="828">
        <v>74</v>
      </c>
      <c r="AM157" s="828">
        <v>73</v>
      </c>
      <c r="AN157" s="828">
        <v>76</v>
      </c>
      <c r="AO157" s="828">
        <v>76</v>
      </c>
      <c r="AP157" s="828">
        <v>81</v>
      </c>
    </row>
    <row r="158" hidden="1" ht="15.95" customHeight="1">
      <c r="B158" s="829" t="s">
        <v>18</v>
      </c>
      <c r="C158" s="823">
        <v>12</v>
      </c>
      <c r="D158" s="823">
        <v>12</v>
      </c>
      <c r="E158" s="823">
        <v>12</v>
      </c>
      <c r="F158" s="823">
        <v>12</v>
      </c>
      <c r="G158" s="823">
        <v>12</v>
      </c>
      <c r="H158" s="823">
        <v>12</v>
      </c>
      <c r="I158" s="823">
        <v>11</v>
      </c>
      <c r="J158" s="823">
        <v>11</v>
      </c>
      <c r="K158" s="823">
        <v>12</v>
      </c>
      <c r="L158" s="823">
        <v>14</v>
      </c>
      <c r="M158" s="823">
        <v>13</v>
      </c>
      <c r="N158" s="823">
        <v>13</v>
      </c>
      <c r="O158" s="823">
        <v>16</v>
      </c>
      <c r="P158" s="823">
        <v>18</v>
      </c>
      <c r="Q158" s="823">
        <v>16</v>
      </c>
      <c r="R158" s="823">
        <v>17</v>
      </c>
      <c r="S158" s="823">
        <v>22</v>
      </c>
      <c r="T158" s="823">
        <v>23</v>
      </c>
      <c r="U158" s="823">
        <v>22</v>
      </c>
      <c r="V158" s="823">
        <v>28</v>
      </c>
      <c r="W158" s="823">
        <v>32</v>
      </c>
      <c r="X158" s="823">
        <v>35</v>
      </c>
      <c r="Y158" s="823">
        <v>40</v>
      </c>
      <c r="Z158" s="823">
        <v>40</v>
      </c>
      <c r="AA158" s="823">
        <v>40</v>
      </c>
      <c r="AB158" s="823">
        <v>39</v>
      </c>
      <c r="AC158" s="825">
        <v>41</v>
      </c>
      <c r="AD158" s="825">
        <v>41</v>
      </c>
      <c r="AE158" s="825">
        <v>42</v>
      </c>
      <c r="AF158" s="825">
        <v>43</v>
      </c>
      <c r="AG158" s="825">
        <v>42</v>
      </c>
      <c r="AH158" s="825">
        <v>42</v>
      </c>
      <c r="AI158" s="825">
        <v>42</v>
      </c>
      <c r="AJ158" s="825">
        <v>42</v>
      </c>
      <c r="AK158" s="825">
        <v>43</v>
      </c>
      <c r="AL158" s="825">
        <v>43</v>
      </c>
      <c r="AM158" s="825">
        <v>44</v>
      </c>
      <c r="AN158" s="825">
        <v>44</v>
      </c>
      <c r="AO158" s="825">
        <v>44</v>
      </c>
      <c r="AP158" s="825">
        <v>43</v>
      </c>
    </row>
    <row r="159" hidden="1" ht="15.95" customHeight="1">
      <c r="B159" s="826" t="s">
        <v>19</v>
      </c>
      <c r="C159" s="827">
        <v>15</v>
      </c>
      <c r="D159" s="827">
        <v>14</v>
      </c>
      <c r="E159" s="827">
        <v>14</v>
      </c>
      <c r="F159" s="827">
        <v>18</v>
      </c>
      <c r="G159" s="827">
        <v>19</v>
      </c>
      <c r="H159" s="827">
        <v>22</v>
      </c>
      <c r="I159" s="827">
        <v>22</v>
      </c>
      <c r="J159" s="827">
        <v>24</v>
      </c>
      <c r="K159" s="827">
        <v>22</v>
      </c>
      <c r="L159" s="827">
        <v>20</v>
      </c>
      <c r="M159" s="827">
        <v>22</v>
      </c>
      <c r="N159" s="827">
        <v>22</v>
      </c>
      <c r="O159" s="827">
        <v>24</v>
      </c>
      <c r="P159" s="827">
        <v>25</v>
      </c>
      <c r="Q159" s="827">
        <v>27</v>
      </c>
      <c r="R159" s="827">
        <v>29</v>
      </c>
      <c r="S159" s="827">
        <v>30</v>
      </c>
      <c r="T159" s="827">
        <v>32</v>
      </c>
      <c r="U159" s="827">
        <v>35</v>
      </c>
      <c r="V159" s="827">
        <v>39</v>
      </c>
      <c r="W159" s="827">
        <v>38</v>
      </c>
      <c r="X159" s="827">
        <v>38</v>
      </c>
      <c r="Y159" s="827">
        <v>42</v>
      </c>
      <c r="Z159" s="827">
        <v>43</v>
      </c>
      <c r="AA159" s="827">
        <v>41</v>
      </c>
      <c r="AB159" s="827">
        <v>42</v>
      </c>
      <c r="AC159" s="828">
        <v>43</v>
      </c>
      <c r="AD159" s="828">
        <v>47</v>
      </c>
      <c r="AE159" s="828">
        <v>47</v>
      </c>
      <c r="AF159" s="828">
        <v>47</v>
      </c>
      <c r="AG159" s="828">
        <v>50</v>
      </c>
      <c r="AH159" s="828">
        <v>54</v>
      </c>
      <c r="AI159" s="828">
        <v>54</v>
      </c>
      <c r="AJ159" s="828">
        <v>53</v>
      </c>
      <c r="AK159" s="828">
        <v>60</v>
      </c>
      <c r="AL159" s="828">
        <v>63</v>
      </c>
      <c r="AM159" s="828">
        <v>69</v>
      </c>
      <c r="AN159" s="828">
        <v>81</v>
      </c>
      <c r="AO159" s="828">
        <v>105</v>
      </c>
      <c r="AP159" s="828">
        <v>107</v>
      </c>
    </row>
    <row r="160" hidden="1" ht="15.95" customHeight="1">
      <c r="B160" s="829" t="s">
        <v>20</v>
      </c>
      <c r="C160" s="823">
        <v>0</v>
      </c>
      <c r="D160" s="823">
        <v>0</v>
      </c>
      <c r="E160" s="823">
        <v>0</v>
      </c>
      <c r="F160" s="823">
        <v>0</v>
      </c>
      <c r="G160" s="823">
        <v>0</v>
      </c>
      <c r="H160" s="823">
        <v>0</v>
      </c>
      <c r="I160" s="823">
        <v>0</v>
      </c>
      <c r="J160" s="823">
        <v>0</v>
      </c>
      <c r="K160" s="823">
        <v>0</v>
      </c>
      <c r="L160" s="823">
        <v>0</v>
      </c>
      <c r="M160" s="823">
        <v>1</v>
      </c>
      <c r="N160" s="823">
        <v>1</v>
      </c>
      <c r="O160" s="823">
        <v>1</v>
      </c>
      <c r="P160" s="823">
        <v>1</v>
      </c>
      <c r="Q160" s="823">
        <v>0</v>
      </c>
      <c r="R160" s="823">
        <v>0</v>
      </c>
      <c r="S160" s="823">
        <v>0</v>
      </c>
      <c r="T160" s="823">
        <v>0</v>
      </c>
      <c r="U160" s="823">
        <v>0</v>
      </c>
      <c r="V160" s="823">
        <v>0</v>
      </c>
      <c r="W160" s="823">
        <v>0</v>
      </c>
      <c r="X160" s="823">
        <v>0</v>
      </c>
      <c r="Y160" s="823">
        <v>0</v>
      </c>
      <c r="Z160" s="823">
        <v>1</v>
      </c>
      <c r="AA160" s="823">
        <v>1</v>
      </c>
      <c r="AB160" s="823">
        <v>1</v>
      </c>
      <c r="AC160" s="825">
        <v>1</v>
      </c>
      <c r="AD160" s="825">
        <v>2</v>
      </c>
      <c r="AE160" s="825">
        <v>3</v>
      </c>
      <c r="AF160" s="825">
        <v>4</v>
      </c>
      <c r="AG160" s="825">
        <v>5</v>
      </c>
      <c r="AH160" s="825">
        <v>6</v>
      </c>
      <c r="AI160" s="825">
        <v>6</v>
      </c>
      <c r="AJ160" s="825">
        <v>7</v>
      </c>
      <c r="AK160" s="825">
        <v>7</v>
      </c>
      <c r="AL160" s="825">
        <v>7</v>
      </c>
      <c r="AM160" s="825">
        <v>7</v>
      </c>
      <c r="AN160" s="825">
        <v>7</v>
      </c>
      <c r="AO160" s="825">
        <v>7</v>
      </c>
      <c r="AP160" s="825">
        <v>7</v>
      </c>
    </row>
    <row r="161" hidden="1" ht="15.95" customHeight="1">
      <c r="B161" s="826" t="s">
        <v>21</v>
      </c>
      <c r="C161" s="827">
        <v>27</v>
      </c>
      <c r="D161" s="827">
        <v>28</v>
      </c>
      <c r="E161" s="827">
        <v>26</v>
      </c>
      <c r="F161" s="827">
        <v>28</v>
      </c>
      <c r="G161" s="827">
        <v>27</v>
      </c>
      <c r="H161" s="827">
        <v>26</v>
      </c>
      <c r="I161" s="827">
        <v>21</v>
      </c>
      <c r="J161" s="827">
        <v>21</v>
      </c>
      <c r="K161" s="827">
        <v>21</v>
      </c>
      <c r="L161" s="827">
        <v>20</v>
      </c>
      <c r="M161" s="827">
        <v>23</v>
      </c>
      <c r="N161" s="827">
        <v>24</v>
      </c>
      <c r="O161" s="827">
        <v>26</v>
      </c>
      <c r="P161" s="827">
        <v>29</v>
      </c>
      <c r="Q161" s="827">
        <v>31</v>
      </c>
      <c r="R161" s="827">
        <v>32</v>
      </c>
      <c r="S161" s="827">
        <v>22</v>
      </c>
      <c r="T161" s="827">
        <v>25</v>
      </c>
      <c r="U161" s="827">
        <v>24</v>
      </c>
      <c r="V161" s="827">
        <v>24</v>
      </c>
      <c r="W161" s="827">
        <v>26</v>
      </c>
      <c r="X161" s="827">
        <v>26</v>
      </c>
      <c r="Y161" s="827">
        <v>29</v>
      </c>
      <c r="Z161" s="827">
        <v>32</v>
      </c>
      <c r="AA161" s="827">
        <v>32</v>
      </c>
      <c r="AB161" s="827">
        <v>33</v>
      </c>
      <c r="AC161" s="828">
        <v>37</v>
      </c>
      <c r="AD161" s="828">
        <v>39</v>
      </c>
      <c r="AE161" s="828">
        <v>41</v>
      </c>
      <c r="AF161" s="828">
        <v>43</v>
      </c>
      <c r="AG161" s="828">
        <v>42</v>
      </c>
      <c r="AH161" s="828">
        <v>44</v>
      </c>
      <c r="AI161" s="828">
        <v>42</v>
      </c>
      <c r="AJ161" s="828">
        <v>45</v>
      </c>
      <c r="AK161" s="828">
        <v>38</v>
      </c>
      <c r="AL161" s="828">
        <v>40</v>
      </c>
      <c r="AM161" s="828">
        <v>40</v>
      </c>
      <c r="AN161" s="828">
        <v>43</v>
      </c>
      <c r="AO161" s="828">
        <v>43</v>
      </c>
      <c r="AP161" s="828">
        <v>43</v>
      </c>
    </row>
    <row r="162" hidden="1" ht="15.95" customHeight="1">
      <c r="B162" s="829" t="s">
        <v>22</v>
      </c>
      <c r="C162" s="823">
        <v>0</v>
      </c>
      <c r="D162" s="823">
        <v>0</v>
      </c>
      <c r="E162" s="823">
        <v>0</v>
      </c>
      <c r="F162" s="823">
        <v>1</v>
      </c>
      <c r="G162" s="823">
        <v>1</v>
      </c>
      <c r="H162" s="823">
        <v>1</v>
      </c>
      <c r="I162" s="823">
        <v>1</v>
      </c>
      <c r="J162" s="823">
        <v>1</v>
      </c>
      <c r="K162" s="823">
        <v>0</v>
      </c>
      <c r="L162" s="823">
        <v>0</v>
      </c>
      <c r="M162" s="823">
        <v>2</v>
      </c>
      <c r="N162" s="823">
        <v>2</v>
      </c>
      <c r="O162" s="823">
        <v>3</v>
      </c>
      <c r="P162" s="823">
        <v>3</v>
      </c>
      <c r="Q162" s="823">
        <v>6</v>
      </c>
      <c r="R162" s="823">
        <v>6</v>
      </c>
      <c r="S162" s="823">
        <v>6</v>
      </c>
      <c r="T162" s="823">
        <v>7</v>
      </c>
      <c r="U162" s="823">
        <v>7</v>
      </c>
      <c r="V162" s="823">
        <v>7</v>
      </c>
      <c r="W162" s="823">
        <v>10</v>
      </c>
      <c r="X162" s="823">
        <v>12</v>
      </c>
      <c r="Y162" s="823">
        <v>16</v>
      </c>
      <c r="Z162" s="823">
        <v>22</v>
      </c>
      <c r="AA162" s="823">
        <v>22</v>
      </c>
      <c r="AB162" s="823">
        <v>24</v>
      </c>
      <c r="AC162" s="825">
        <v>22</v>
      </c>
      <c r="AD162" s="825">
        <v>22</v>
      </c>
      <c r="AE162" s="825">
        <v>22</v>
      </c>
      <c r="AF162" s="825">
        <v>22</v>
      </c>
      <c r="AG162" s="825">
        <v>22</v>
      </c>
      <c r="AH162" s="825">
        <v>23</v>
      </c>
      <c r="AI162" s="825">
        <v>15</v>
      </c>
      <c r="AJ162" s="825">
        <v>16</v>
      </c>
      <c r="AK162" s="825">
        <v>12</v>
      </c>
      <c r="AL162" s="825">
        <v>18</v>
      </c>
      <c r="AM162" s="825">
        <v>15</v>
      </c>
      <c r="AN162" s="825">
        <v>18</v>
      </c>
      <c r="AO162" s="825">
        <v>14</v>
      </c>
      <c r="AP162" s="825">
        <v>16</v>
      </c>
    </row>
    <row r="163" hidden="1" ht="15.95" customHeight="1">
      <c r="B163" s="826" t="s">
        <v>23</v>
      </c>
      <c r="C163" s="827">
        <v>0</v>
      </c>
      <c r="D163" s="827">
        <v>0</v>
      </c>
      <c r="E163" s="827">
        <v>0</v>
      </c>
      <c r="F163" s="827">
        <v>1</v>
      </c>
      <c r="G163" s="827">
        <v>1</v>
      </c>
      <c r="H163" s="827">
        <v>1</v>
      </c>
      <c r="I163" s="827">
        <v>1</v>
      </c>
      <c r="J163" s="827">
        <v>1</v>
      </c>
      <c r="K163" s="827">
        <v>1</v>
      </c>
      <c r="L163" s="827">
        <v>1</v>
      </c>
      <c r="M163" s="827">
        <v>1</v>
      </c>
      <c r="N163" s="827">
        <v>1</v>
      </c>
      <c r="O163" s="827">
        <v>1</v>
      </c>
      <c r="P163" s="827">
        <v>1</v>
      </c>
      <c r="Q163" s="827">
        <v>1</v>
      </c>
      <c r="R163" s="827">
        <v>1</v>
      </c>
      <c r="S163" s="827">
        <v>1</v>
      </c>
      <c r="T163" s="827">
        <v>1</v>
      </c>
      <c r="U163" s="827">
        <v>2</v>
      </c>
      <c r="V163" s="827">
        <v>1</v>
      </c>
      <c r="W163" s="827">
        <v>1</v>
      </c>
      <c r="X163" s="827">
        <v>2</v>
      </c>
      <c r="Y163" s="827">
        <v>3</v>
      </c>
      <c r="Z163" s="827">
        <v>3</v>
      </c>
      <c r="AA163" s="827">
        <v>3</v>
      </c>
      <c r="AB163" s="827">
        <v>4</v>
      </c>
      <c r="AC163" s="828">
        <v>4</v>
      </c>
      <c r="AD163" s="828">
        <v>4</v>
      </c>
      <c r="AE163" s="828">
        <v>4</v>
      </c>
      <c r="AF163" s="828">
        <v>4</v>
      </c>
      <c r="AG163" s="828">
        <v>4</v>
      </c>
      <c r="AH163" s="828">
        <v>4</v>
      </c>
      <c r="AI163" s="828">
        <v>5</v>
      </c>
      <c r="AJ163" s="828">
        <v>5</v>
      </c>
      <c r="AK163" s="828">
        <v>5</v>
      </c>
      <c r="AL163" s="828">
        <v>5</v>
      </c>
      <c r="AM163" s="828">
        <v>5</v>
      </c>
      <c r="AN163" s="828">
        <v>5</v>
      </c>
      <c r="AO163" s="828">
        <v>6</v>
      </c>
      <c r="AP163" s="828">
        <v>6</v>
      </c>
    </row>
    <row r="164" hidden="1" ht="15.95" customHeight="1">
      <c r="B164" s="830" t="s">
        <v>24</v>
      </c>
      <c r="C164" s="823">
        <v>7</v>
      </c>
      <c r="D164" s="823">
        <v>9</v>
      </c>
      <c r="E164" s="823">
        <v>9</v>
      </c>
      <c r="F164" s="823">
        <v>8</v>
      </c>
      <c r="G164" s="823">
        <v>10</v>
      </c>
      <c r="H164" s="823">
        <v>10</v>
      </c>
      <c r="I164" s="823">
        <v>9</v>
      </c>
      <c r="J164" s="823">
        <v>9</v>
      </c>
      <c r="K164" s="823">
        <v>9</v>
      </c>
      <c r="L164" s="823">
        <v>9</v>
      </c>
      <c r="M164" s="823">
        <v>9</v>
      </c>
      <c r="N164" s="823">
        <v>9</v>
      </c>
      <c r="O164" s="823">
        <v>7</v>
      </c>
      <c r="P164" s="823">
        <v>8</v>
      </c>
      <c r="Q164" s="823">
        <v>11</v>
      </c>
      <c r="R164" s="823">
        <v>13</v>
      </c>
      <c r="S164" s="823">
        <v>12</v>
      </c>
      <c r="T164" s="823">
        <v>14</v>
      </c>
      <c r="U164" s="823">
        <v>35</v>
      </c>
      <c r="V164" s="823">
        <v>40</v>
      </c>
      <c r="W164" s="823">
        <v>56</v>
      </c>
      <c r="X164" s="823">
        <v>61</v>
      </c>
      <c r="Y164" s="823">
        <v>68</v>
      </c>
      <c r="Z164" s="823">
        <v>75</v>
      </c>
      <c r="AA164" s="823">
        <v>79</v>
      </c>
      <c r="AB164" s="823">
        <v>76</v>
      </c>
      <c r="AC164" s="825">
        <v>74</v>
      </c>
      <c r="AD164" s="825">
        <v>79</v>
      </c>
      <c r="AE164" s="825">
        <v>81</v>
      </c>
      <c r="AF164" s="825">
        <v>82</v>
      </c>
      <c r="AG164" s="825">
        <v>83</v>
      </c>
      <c r="AH164" s="825">
        <v>85</v>
      </c>
      <c r="AI164" s="825">
        <v>88</v>
      </c>
      <c r="AJ164" s="825">
        <v>88</v>
      </c>
      <c r="AK164" s="825">
        <v>90</v>
      </c>
      <c r="AL164" s="825">
        <v>85</v>
      </c>
      <c r="AM164" s="825">
        <v>86</v>
      </c>
      <c r="AN164" s="825">
        <v>93</v>
      </c>
      <c r="AO164" s="825">
        <v>99</v>
      </c>
      <c r="AP164" s="825">
        <v>101</v>
      </c>
    </row>
    <row r="165" hidden="1" ht="15.95" customHeight="1">
      <c r="B165" s="826" t="s">
        <v>25</v>
      </c>
      <c r="C165" s="827">
        <v>0</v>
      </c>
      <c r="D165" s="827">
        <v>0</v>
      </c>
      <c r="E165" s="827">
        <v>0</v>
      </c>
      <c r="F165" s="827">
        <v>0</v>
      </c>
      <c r="G165" s="827">
        <v>0</v>
      </c>
      <c r="H165" s="827">
        <v>0</v>
      </c>
      <c r="I165" s="827">
        <v>0</v>
      </c>
      <c r="J165" s="827">
        <v>0</v>
      </c>
      <c r="K165" s="827">
        <v>0</v>
      </c>
      <c r="L165" s="827">
        <v>0</v>
      </c>
      <c r="M165" s="827">
        <v>0</v>
      </c>
      <c r="N165" s="827">
        <v>0</v>
      </c>
      <c r="O165" s="827">
        <v>0</v>
      </c>
      <c r="P165" s="827">
        <v>0</v>
      </c>
      <c r="Q165" s="827">
        <v>0</v>
      </c>
      <c r="R165" s="827">
        <v>0</v>
      </c>
      <c r="S165" s="827">
        <v>0</v>
      </c>
      <c r="T165" s="827">
        <v>0</v>
      </c>
      <c r="U165" s="827">
        <v>0</v>
      </c>
      <c r="V165" s="827">
        <v>0</v>
      </c>
      <c r="W165" s="827">
        <v>0</v>
      </c>
      <c r="X165" s="827">
        <v>0</v>
      </c>
      <c r="Y165" s="827">
        <v>0</v>
      </c>
      <c r="Z165" s="827">
        <v>0</v>
      </c>
      <c r="AA165" s="827">
        <v>0</v>
      </c>
      <c r="AB165" s="827">
        <v>0</v>
      </c>
      <c r="AC165" s="828">
        <v>0</v>
      </c>
      <c r="AD165" s="828">
        <v>0</v>
      </c>
      <c r="AE165" s="828">
        <v>0</v>
      </c>
      <c r="AF165" s="828">
        <v>0</v>
      </c>
      <c r="AG165" s="828">
        <v>0</v>
      </c>
      <c r="AH165" s="828">
        <v>0</v>
      </c>
      <c r="AI165" s="828">
        <v>0</v>
      </c>
      <c r="AJ165" s="828">
        <v>0</v>
      </c>
      <c r="AK165" s="828">
        <v>0</v>
      </c>
      <c r="AL165" s="828">
        <v>0</v>
      </c>
      <c r="AM165" s="828">
        <v>0</v>
      </c>
      <c r="AN165" s="828">
        <v>0</v>
      </c>
      <c r="AO165" s="828">
        <v>0</v>
      </c>
      <c r="AP165" s="828">
        <v>0</v>
      </c>
    </row>
    <row r="166" hidden="1" ht="15.95" customHeight="1">
      <c r="B166" s="831" t="s">
        <v>26</v>
      </c>
      <c r="C166" s="823">
        <v>0</v>
      </c>
      <c r="D166" s="823">
        <v>0</v>
      </c>
      <c r="E166" s="823">
        <v>0</v>
      </c>
      <c r="F166" s="823">
        <v>0</v>
      </c>
      <c r="G166" s="823">
        <v>0</v>
      </c>
      <c r="H166" s="823">
        <v>0</v>
      </c>
      <c r="I166" s="823">
        <v>0</v>
      </c>
      <c r="J166" s="823">
        <v>0</v>
      </c>
      <c r="K166" s="823">
        <v>0</v>
      </c>
      <c r="L166" s="823">
        <v>0</v>
      </c>
      <c r="M166" s="823">
        <v>0</v>
      </c>
      <c r="N166" s="823">
        <v>0</v>
      </c>
      <c r="O166" s="823">
        <v>1</v>
      </c>
      <c r="P166" s="823">
        <v>1</v>
      </c>
      <c r="Q166" s="823">
        <v>1</v>
      </c>
      <c r="R166" s="823">
        <v>1</v>
      </c>
      <c r="S166" s="823">
        <v>1</v>
      </c>
      <c r="T166" s="823">
        <v>1</v>
      </c>
      <c r="U166" s="823">
        <v>1</v>
      </c>
      <c r="V166" s="823">
        <v>1</v>
      </c>
      <c r="W166" s="823">
        <v>1</v>
      </c>
      <c r="X166" s="823">
        <v>1</v>
      </c>
      <c r="Y166" s="823">
        <v>1</v>
      </c>
      <c r="Z166" s="823">
        <v>1</v>
      </c>
      <c r="AA166" s="823">
        <v>1</v>
      </c>
      <c r="AB166" s="832">
        <v>1</v>
      </c>
      <c r="AC166" s="825">
        <v>1</v>
      </c>
      <c r="AD166" s="825">
        <v>1</v>
      </c>
      <c r="AE166" s="825">
        <v>1</v>
      </c>
      <c r="AF166" s="825">
        <v>1</v>
      </c>
      <c r="AG166" s="825">
        <v>1</v>
      </c>
      <c r="AH166" s="825">
        <v>1</v>
      </c>
      <c r="AI166" s="825">
        <v>1</v>
      </c>
      <c r="AJ166" s="825">
        <v>1</v>
      </c>
      <c r="AK166" s="825">
        <v>1</v>
      </c>
      <c r="AL166" s="825">
        <v>1</v>
      </c>
      <c r="AM166" s="825">
        <v>1</v>
      </c>
      <c r="AN166" s="825">
        <v>1</v>
      </c>
      <c r="AO166" s="825">
        <v>1</v>
      </c>
      <c r="AP166" s="825">
        <v>1</v>
      </c>
    </row>
    <row r="167" hidden="1" ht="15.95" customHeight="1">
      <c r="B167" s="128" t="s">
        <v>7</v>
      </c>
      <c r="C167" s="129" t="str">
        <f>IF(SUM(C148:C166)&lt;&gt;0,SUM(C148:C166),"")</f>
      </c>
      <c r="D167" s="129" t="str">
        <f ref="D167:AA167" t="shared" si="5">IF(SUM(D148:D166)&lt;&gt;0,SUM(D148:D166),"")</f>
      </c>
      <c r="E167" s="129" t="str">
        <f t="shared" si="5"/>
      </c>
      <c r="F167" s="129" t="str">
        <f t="shared" si="5"/>
      </c>
      <c r="G167" s="129" t="str">
        <f t="shared" si="5"/>
      </c>
      <c r="H167" s="129" t="str">
        <f t="shared" si="5"/>
      </c>
      <c r="I167" s="129" t="str">
        <f t="shared" si="5"/>
      </c>
      <c r="J167" s="129" t="str">
        <f t="shared" si="5"/>
      </c>
      <c r="K167" s="129" t="str">
        <f t="shared" si="5"/>
      </c>
      <c r="L167" s="129" t="str">
        <f t="shared" si="5"/>
      </c>
      <c r="M167" s="129" t="str">
        <f t="shared" si="5"/>
      </c>
      <c r="N167" s="129" t="str">
        <f t="shared" si="5"/>
      </c>
      <c r="O167" s="129" t="str">
        <f t="shared" si="5"/>
      </c>
      <c r="P167" s="129" t="str">
        <f t="shared" si="5"/>
      </c>
      <c r="Q167" s="129" t="str">
        <f t="shared" si="5"/>
      </c>
      <c r="R167" s="129" t="str">
        <f t="shared" si="5"/>
      </c>
      <c r="S167" s="129" t="str">
        <f t="shared" si="5"/>
      </c>
      <c r="T167" s="129" t="str">
        <f t="shared" si="5"/>
      </c>
      <c r="U167" s="129" t="str">
        <f t="shared" si="5"/>
      </c>
      <c r="V167" s="129" t="str">
        <f t="shared" si="5"/>
      </c>
      <c r="W167" s="129" t="str">
        <f t="shared" si="5"/>
      </c>
      <c r="X167" s="129" t="str">
        <f t="shared" si="5"/>
      </c>
      <c r="Y167" s="129" t="str">
        <f t="shared" si="5"/>
      </c>
      <c r="Z167" s="129" t="str">
        <f t="shared" si="5"/>
      </c>
      <c r="AA167" s="129" t="str">
        <f t="shared" si="5"/>
      </c>
      <c r="AB167" s="130" t="str">
        <f>IF(SUM(AB148:AB166)&lt;&gt;0,SUM(AB148:AB166),"")</f>
      </c>
      <c r="AC167" s="91" t="str">
        <f ref="AC167:CN167" t="shared" si="6">IF(SUM(AC148:AC166)&lt;&gt;0,SUM(AC148:AC166),"")</f>
      </c>
      <c r="AD167" s="91" t="str">
        <f t="shared" si="6"/>
      </c>
      <c r="AE167" s="91" t="str">
        <f t="shared" si="6"/>
      </c>
      <c r="AF167" s="91" t="str">
        <f t="shared" si="6"/>
      </c>
      <c r="AG167" s="91" t="str">
        <f t="shared" si="6"/>
      </c>
      <c r="AH167" s="91" t="str">
        <f t="shared" si="6"/>
      </c>
      <c r="AI167" s="91" t="str">
        <f t="shared" si="6"/>
      </c>
      <c r="AJ167" s="91" t="str">
        <f t="shared" si="6"/>
      </c>
      <c r="AK167" s="91" t="str">
        <f t="shared" si="6"/>
      </c>
      <c r="AL167" s="91" t="str">
        <f t="shared" si="6"/>
      </c>
      <c r="AM167" s="91" t="str">
        <f t="shared" si="6"/>
      </c>
      <c r="AN167" s="91" t="str">
        <f t="shared" si="6"/>
      </c>
      <c r="AO167" s="91" t="str">
        <f t="shared" si="6"/>
      </c>
      <c r="AP167" s="91" t="str">
        <f t="shared" si="6"/>
      </c>
      <c r="AQ167" s="91" t="str">
        <f t="shared" si="6"/>
      </c>
      <c r="AR167" s="91" t="str">
        <f t="shared" si="6"/>
      </c>
      <c r="AS167" s="91" t="str">
        <f t="shared" si="6"/>
      </c>
      <c r="AT167" s="91" t="str">
        <f t="shared" si="6"/>
      </c>
      <c r="AU167" s="91" t="str">
        <f t="shared" si="6"/>
      </c>
      <c r="AV167" s="91" t="str">
        <f t="shared" si="6"/>
      </c>
      <c r="AW167" s="91" t="str">
        <f t="shared" si="6"/>
      </c>
      <c r="AX167" s="91" t="str">
        <f t="shared" si="6"/>
      </c>
      <c r="AY167" s="91" t="str">
        <f t="shared" si="6"/>
      </c>
      <c r="AZ167" s="91" t="str">
        <f t="shared" si="6"/>
      </c>
      <c r="BA167" s="91" t="str">
        <f t="shared" si="6"/>
      </c>
      <c r="BB167" s="91" t="str">
        <f t="shared" si="6"/>
      </c>
      <c r="BC167" s="91" t="str">
        <f t="shared" si="6"/>
      </c>
      <c r="BD167" s="91" t="str">
        <f t="shared" si="6"/>
      </c>
      <c r="BE167" s="91" t="str">
        <f t="shared" si="6"/>
      </c>
      <c r="BF167" s="91" t="str">
        <f t="shared" si="6"/>
      </c>
      <c r="BG167" s="91" t="str">
        <f t="shared" si="6"/>
      </c>
      <c r="BH167" s="91" t="str">
        <f t="shared" si="6"/>
      </c>
      <c r="BI167" s="91" t="str">
        <f t="shared" si="6"/>
      </c>
      <c r="BJ167" s="91" t="str">
        <f t="shared" si="6"/>
      </c>
      <c r="BK167" s="91" t="str">
        <f t="shared" si="6"/>
      </c>
      <c r="BL167" s="91" t="str">
        <f t="shared" si="6"/>
      </c>
      <c r="BM167" s="91" t="str">
        <f t="shared" si="6"/>
      </c>
      <c r="BN167" s="91" t="str">
        <f t="shared" si="6"/>
      </c>
      <c r="BO167" s="91" t="str">
        <f t="shared" si="6"/>
      </c>
      <c r="BP167" s="91" t="str">
        <f t="shared" si="6"/>
      </c>
      <c r="BQ167" s="91" t="str">
        <f t="shared" si="6"/>
      </c>
      <c r="BR167" s="91" t="str">
        <f t="shared" si="6"/>
      </c>
      <c r="BS167" s="91" t="str">
        <f t="shared" si="6"/>
      </c>
      <c r="BT167" s="91" t="str">
        <f t="shared" si="6"/>
      </c>
      <c r="BU167" s="91" t="str">
        <f t="shared" si="6"/>
      </c>
      <c r="BV167" s="91" t="str">
        <f t="shared" si="6"/>
      </c>
      <c r="BW167" s="91" t="str">
        <f t="shared" si="6"/>
      </c>
      <c r="BX167" s="91" t="str">
        <f t="shared" si="6"/>
      </c>
      <c r="BY167" s="91" t="str">
        <f t="shared" si="6"/>
      </c>
      <c r="BZ167" s="91" t="str">
        <f t="shared" si="6"/>
      </c>
      <c r="CA167" s="91" t="str">
        <f t="shared" si="6"/>
      </c>
      <c r="CB167" s="91" t="str">
        <f t="shared" si="6"/>
      </c>
      <c r="CC167" s="91" t="str">
        <f t="shared" si="6"/>
      </c>
      <c r="CD167" s="91" t="str">
        <f t="shared" si="6"/>
      </c>
      <c r="CE167" s="91" t="str">
        <f t="shared" si="6"/>
      </c>
      <c r="CF167" s="91" t="str">
        <f t="shared" si="6"/>
      </c>
      <c r="CG167" s="91" t="str">
        <f t="shared" si="6"/>
      </c>
      <c r="CH167" s="91" t="str">
        <f t="shared" si="6"/>
      </c>
      <c r="CI167" s="91" t="str">
        <f t="shared" si="6"/>
      </c>
      <c r="CJ167" s="91" t="str">
        <f t="shared" si="6"/>
      </c>
      <c r="CK167" s="91" t="str">
        <f t="shared" si="6"/>
      </c>
      <c r="CL167" s="91" t="str">
        <f t="shared" si="6"/>
      </c>
      <c r="CM167" s="91" t="str">
        <f t="shared" si="6"/>
      </c>
      <c r="CN167" s="91" t="str">
        <f t="shared" si="6"/>
      </c>
      <c r="CO167" s="91" t="str">
        <f ref="CO167:EZ167" t="shared" si="7">IF(SUM(CO148:CO166)&lt;&gt;0,SUM(CO148:CO166),"")</f>
      </c>
      <c r="CP167" s="91" t="str">
        <f t="shared" si="7"/>
      </c>
      <c r="CQ167" s="91" t="str">
        <f t="shared" si="7"/>
      </c>
      <c r="CR167" s="91" t="str">
        <f t="shared" si="7"/>
      </c>
      <c r="CS167" s="91" t="str">
        <f t="shared" si="7"/>
      </c>
      <c r="CT167" s="91" t="str">
        <f t="shared" si="7"/>
      </c>
      <c r="CU167" s="91" t="str">
        <f t="shared" si="7"/>
      </c>
      <c r="CV167" s="91" t="str">
        <f t="shared" si="7"/>
      </c>
      <c r="CW167" s="91" t="str">
        <f t="shared" si="7"/>
      </c>
      <c r="CX167" s="91" t="str">
        <f t="shared" si="7"/>
      </c>
      <c r="CY167" s="91" t="str">
        <f t="shared" si="7"/>
      </c>
      <c r="CZ167" s="91" t="str">
        <f t="shared" si="7"/>
      </c>
      <c r="DA167" s="91" t="str">
        <f t="shared" si="7"/>
      </c>
      <c r="DB167" s="91" t="str">
        <f t="shared" si="7"/>
      </c>
      <c r="DC167" s="91" t="str">
        <f t="shared" si="7"/>
      </c>
      <c r="DD167" s="91" t="str">
        <f t="shared" si="7"/>
      </c>
      <c r="DE167" s="91" t="str">
        <f t="shared" si="7"/>
      </c>
      <c r="DF167" s="91" t="str">
        <f t="shared" si="7"/>
      </c>
      <c r="DG167" s="91" t="str">
        <f t="shared" si="7"/>
      </c>
      <c r="DH167" s="91" t="str">
        <f t="shared" si="7"/>
      </c>
      <c r="DI167" s="91" t="str">
        <f t="shared" si="7"/>
      </c>
      <c r="DJ167" s="91" t="str">
        <f t="shared" si="7"/>
      </c>
      <c r="DK167" s="91" t="str">
        <f t="shared" si="7"/>
      </c>
      <c r="DL167" s="91" t="str">
        <f t="shared" si="7"/>
      </c>
      <c r="DM167" s="91" t="str">
        <f t="shared" si="7"/>
      </c>
      <c r="DN167" s="91" t="str">
        <f t="shared" si="7"/>
      </c>
      <c r="DO167" s="91" t="str">
        <f t="shared" si="7"/>
      </c>
      <c r="DP167" s="91" t="str">
        <f t="shared" si="7"/>
      </c>
      <c r="DQ167" s="91" t="str">
        <f t="shared" si="7"/>
      </c>
      <c r="DR167" s="91" t="str">
        <f t="shared" si="7"/>
      </c>
      <c r="DS167" s="91" t="str">
        <f t="shared" si="7"/>
      </c>
      <c r="DT167" s="91" t="str">
        <f t="shared" si="7"/>
      </c>
      <c r="DU167" s="91" t="str">
        <f t="shared" si="7"/>
      </c>
      <c r="DV167" s="91" t="str">
        <f t="shared" si="7"/>
      </c>
      <c r="DW167" s="91" t="str">
        <f t="shared" si="7"/>
      </c>
      <c r="DX167" s="91" t="str">
        <f t="shared" si="7"/>
      </c>
      <c r="DY167" s="91" t="str">
        <f t="shared" si="7"/>
      </c>
      <c r="DZ167" s="91" t="str">
        <f t="shared" si="7"/>
      </c>
      <c r="EA167" s="91" t="str">
        <f t="shared" si="7"/>
      </c>
      <c r="EB167" s="91" t="str">
        <f t="shared" si="7"/>
      </c>
      <c r="EC167" s="91" t="str">
        <f t="shared" si="7"/>
      </c>
      <c r="ED167" s="91" t="str">
        <f t="shared" si="7"/>
      </c>
      <c r="EE167" s="91" t="str">
        <f t="shared" si="7"/>
      </c>
      <c r="EF167" s="91" t="str">
        <f t="shared" si="7"/>
      </c>
      <c r="EG167" s="91" t="str">
        <f t="shared" si="7"/>
      </c>
      <c r="EH167" s="91" t="str">
        <f t="shared" si="7"/>
      </c>
      <c r="EI167" s="91" t="str">
        <f t="shared" si="7"/>
      </c>
      <c r="EJ167" s="91" t="str">
        <f t="shared" si="7"/>
      </c>
      <c r="EK167" s="91" t="str">
        <f t="shared" si="7"/>
      </c>
      <c r="EL167" s="91" t="str">
        <f t="shared" si="7"/>
      </c>
      <c r="EM167" s="91" t="str">
        <f t="shared" si="7"/>
      </c>
      <c r="EN167" s="91" t="str">
        <f t="shared" si="7"/>
      </c>
      <c r="EO167" s="91" t="str">
        <f t="shared" si="7"/>
      </c>
      <c r="EP167" s="91" t="str">
        <f t="shared" si="7"/>
      </c>
      <c r="EQ167" s="91" t="str">
        <f t="shared" si="7"/>
      </c>
      <c r="ER167" s="91" t="str">
        <f t="shared" si="7"/>
      </c>
      <c r="ES167" s="91" t="str">
        <f t="shared" si="7"/>
      </c>
      <c r="ET167" s="91" t="str">
        <f t="shared" si="7"/>
      </c>
      <c r="EU167" s="91" t="str">
        <f t="shared" si="7"/>
      </c>
      <c r="EV167" s="91" t="str">
        <f t="shared" si="7"/>
      </c>
      <c r="EW167" s="91" t="str">
        <f t="shared" si="7"/>
      </c>
      <c r="EX167" s="91" t="str">
        <f t="shared" si="7"/>
      </c>
      <c r="EY167" s="91" t="str">
        <f t="shared" si="7"/>
      </c>
      <c r="EZ167" s="91" t="str">
        <f t="shared" si="7"/>
      </c>
      <c r="FA167" s="91" t="str">
        <f ref="FA167:HL167" t="shared" si="8">IF(SUM(FA148:FA166)&lt;&gt;0,SUM(FA148:FA166),"")</f>
      </c>
      <c r="FB167" s="91" t="str">
        <f t="shared" si="8"/>
      </c>
      <c r="FC167" s="91" t="str">
        <f t="shared" si="8"/>
      </c>
      <c r="FD167" s="91" t="str">
        <f t="shared" si="8"/>
      </c>
      <c r="FE167" s="91" t="str">
        <f t="shared" si="8"/>
      </c>
      <c r="FF167" s="91" t="str">
        <f t="shared" si="8"/>
      </c>
      <c r="FG167" s="91" t="str">
        <f t="shared" si="8"/>
      </c>
      <c r="FH167" s="91" t="str">
        <f t="shared" si="8"/>
      </c>
      <c r="FI167" s="91" t="str">
        <f t="shared" si="8"/>
      </c>
      <c r="FJ167" s="91" t="str">
        <f t="shared" si="8"/>
      </c>
      <c r="FK167" s="91" t="str">
        <f t="shared" si="8"/>
      </c>
      <c r="FL167" s="91" t="str">
        <f t="shared" si="8"/>
      </c>
      <c r="FM167" s="91" t="str">
        <f t="shared" si="8"/>
      </c>
      <c r="FN167" s="91" t="str">
        <f t="shared" si="8"/>
      </c>
      <c r="FO167" s="91" t="str">
        <f t="shared" si="8"/>
      </c>
      <c r="FP167" s="91" t="str">
        <f t="shared" si="8"/>
      </c>
      <c r="FQ167" s="91" t="str">
        <f t="shared" si="8"/>
      </c>
      <c r="FR167" s="91" t="str">
        <f t="shared" si="8"/>
      </c>
      <c r="FS167" s="91" t="str">
        <f t="shared" si="8"/>
      </c>
      <c r="FT167" s="91" t="str">
        <f t="shared" si="8"/>
      </c>
      <c r="FU167" s="91" t="str">
        <f t="shared" si="8"/>
      </c>
      <c r="FV167" s="91" t="str">
        <f t="shared" si="8"/>
      </c>
      <c r="FW167" s="91" t="str">
        <f t="shared" si="8"/>
      </c>
      <c r="FX167" s="91" t="str">
        <f t="shared" si="8"/>
      </c>
      <c r="FY167" s="91" t="str">
        <f t="shared" si="8"/>
      </c>
      <c r="FZ167" s="91" t="str">
        <f t="shared" si="8"/>
      </c>
      <c r="GA167" s="91" t="str">
        <f t="shared" si="8"/>
      </c>
      <c r="GB167" s="91" t="str">
        <f t="shared" si="8"/>
      </c>
      <c r="GC167" s="91" t="str">
        <f t="shared" si="8"/>
      </c>
      <c r="GD167" s="91" t="str">
        <f t="shared" si="8"/>
      </c>
      <c r="GE167" s="91" t="str">
        <f t="shared" si="8"/>
      </c>
      <c r="GF167" s="91" t="str">
        <f t="shared" si="8"/>
      </c>
      <c r="GG167" s="91" t="str">
        <f t="shared" si="8"/>
      </c>
      <c r="GH167" s="91" t="str">
        <f t="shared" si="8"/>
      </c>
      <c r="GI167" s="91" t="str">
        <f t="shared" si="8"/>
      </c>
      <c r="GJ167" s="91" t="str">
        <f t="shared" si="8"/>
      </c>
      <c r="GK167" s="91" t="str">
        <f t="shared" si="8"/>
      </c>
      <c r="GL167" s="91" t="str">
        <f t="shared" si="8"/>
      </c>
      <c r="GM167" s="91" t="str">
        <f t="shared" si="8"/>
      </c>
      <c r="GN167" s="91" t="str">
        <f t="shared" si="8"/>
      </c>
      <c r="GO167" s="91" t="str">
        <f t="shared" si="8"/>
      </c>
      <c r="GP167" s="91" t="str">
        <f t="shared" si="8"/>
      </c>
      <c r="GQ167" s="91" t="str">
        <f t="shared" si="8"/>
      </c>
      <c r="GR167" s="91" t="str">
        <f t="shared" si="8"/>
      </c>
      <c r="GS167" s="91" t="str">
        <f t="shared" si="8"/>
      </c>
      <c r="GT167" s="91" t="str">
        <f t="shared" si="8"/>
      </c>
      <c r="GU167" s="91" t="str">
        <f t="shared" si="8"/>
      </c>
      <c r="GV167" s="91" t="str">
        <f t="shared" si="8"/>
      </c>
      <c r="GW167" s="91" t="str">
        <f t="shared" si="8"/>
      </c>
      <c r="GX167" s="91" t="str">
        <f t="shared" si="8"/>
      </c>
      <c r="GY167" s="91" t="str">
        <f t="shared" si="8"/>
      </c>
      <c r="GZ167" s="91" t="str">
        <f t="shared" si="8"/>
      </c>
      <c r="HA167" s="91" t="str">
        <f t="shared" si="8"/>
      </c>
      <c r="HB167" s="91" t="str">
        <f t="shared" si="8"/>
      </c>
      <c r="HC167" s="91" t="str">
        <f t="shared" si="8"/>
      </c>
      <c r="HD167" s="91" t="str">
        <f t="shared" si="8"/>
      </c>
      <c r="HE167" s="91" t="str">
        <f t="shared" si="8"/>
      </c>
      <c r="HF167" s="91" t="str">
        <f t="shared" si="8"/>
      </c>
      <c r="HG167" s="91" t="str">
        <f t="shared" si="8"/>
      </c>
      <c r="HH167" s="91" t="str">
        <f t="shared" si="8"/>
      </c>
      <c r="HI167" s="91" t="str">
        <f t="shared" si="8"/>
      </c>
      <c r="HJ167" s="91" t="str">
        <f t="shared" si="8"/>
      </c>
      <c r="HK167" s="91" t="str">
        <f t="shared" si="8"/>
      </c>
      <c r="HL167" s="91" t="str">
        <f t="shared" si="8"/>
      </c>
      <c r="HM167" s="91" t="str">
        <f ref="HM167:IV167" t="shared" si="9">IF(SUM(HM148:HM166)&lt;&gt;0,SUM(HM148:HM166),"")</f>
      </c>
      <c r="HN167" s="91" t="str">
        <f t="shared" si="9"/>
      </c>
      <c r="HO167" s="91" t="str">
        <f t="shared" si="9"/>
      </c>
      <c r="HP167" s="91" t="str">
        <f t="shared" si="9"/>
      </c>
      <c r="HQ167" s="91" t="str">
        <f t="shared" si="9"/>
      </c>
      <c r="HR167" s="91" t="str">
        <f t="shared" si="9"/>
      </c>
      <c r="HS167" s="91" t="str">
        <f t="shared" si="9"/>
      </c>
      <c r="HT167" s="91" t="str">
        <f t="shared" si="9"/>
      </c>
      <c r="HU167" s="91" t="str">
        <f t="shared" si="9"/>
      </c>
      <c r="HV167" s="91" t="str">
        <f t="shared" si="9"/>
      </c>
      <c r="HW167" s="91" t="str">
        <f t="shared" si="9"/>
      </c>
      <c r="HX167" s="91" t="str">
        <f t="shared" si="9"/>
      </c>
      <c r="HY167" s="91" t="str">
        <f t="shared" si="9"/>
      </c>
      <c r="HZ167" s="91" t="str">
        <f t="shared" si="9"/>
      </c>
      <c r="IA167" s="91" t="str">
        <f t="shared" si="9"/>
      </c>
      <c r="IB167" s="91" t="str">
        <f t="shared" si="9"/>
      </c>
      <c r="IC167" s="91" t="str">
        <f t="shared" si="9"/>
      </c>
      <c r="ID167" s="91" t="str">
        <f t="shared" si="9"/>
      </c>
      <c r="IE167" s="91" t="str">
        <f t="shared" si="9"/>
      </c>
      <c r="IF167" s="91" t="str">
        <f t="shared" si="9"/>
      </c>
      <c r="IG167" s="91" t="str">
        <f t="shared" si="9"/>
      </c>
      <c r="IH167" s="91" t="str">
        <f t="shared" si="9"/>
      </c>
      <c r="II167" s="91" t="str">
        <f t="shared" si="9"/>
      </c>
      <c r="IJ167" s="91" t="str">
        <f t="shared" si="9"/>
      </c>
      <c r="IK167" s="91" t="str">
        <f t="shared" si="9"/>
      </c>
      <c r="IL167" s="91" t="str">
        <f t="shared" si="9"/>
      </c>
      <c r="IM167" s="91" t="str">
        <f t="shared" si="9"/>
      </c>
      <c r="IN167" s="91" t="str">
        <f t="shared" si="9"/>
      </c>
      <c r="IO167" s="91" t="str">
        <f t="shared" si="9"/>
      </c>
      <c r="IP167" s="91" t="str">
        <f t="shared" si="9"/>
      </c>
      <c r="IQ167" s="91" t="str">
        <f t="shared" si="9"/>
      </c>
      <c r="IR167" s="91" t="str">
        <f t="shared" si="9"/>
      </c>
      <c r="IS167" s="91" t="str">
        <f t="shared" si="9"/>
      </c>
      <c r="IT167" s="91" t="str">
        <f t="shared" si="9"/>
      </c>
      <c r="IU167" s="91" t="str">
        <f t="shared" si="9"/>
      </c>
      <c r="IV167" s="91" t="str">
        <f t="shared" si="9"/>
      </c>
    </row>
    <row r="168" hidden="1" ht="15.95" customHeight="1"/>
    <row r="169" hidden="1" ht="15.95" customHeight="1">
      <c r="B169" s="509" t="s">
        <v>8</v>
      </c>
      <c r="C169" s="505" t="e">
        <f>INDIRECT(ADDRESS(130,MATCH(9000000000+307,'13.2- PATOS (SUBEXPLOT)'!148:148,1),1,,"13.2- PATOS (SUBEXPLOT)"))</f>
        <v>#N/A</v>
      </c>
    </row>
    <row r="170" hidden="1" ht="15.95" customHeight="1">
      <c r="B170" s="507" t="s">
        <v>9</v>
      </c>
      <c r="C170" s="505" t="e">
        <f>INDIRECT(ADDRESS(131,MATCH(9000000000+307,'13.2- PATOS (SUBEXPLOT)'!149:149,1),1,,"13.2- PATOS (SUBEXPLOT)"))</f>
        <v>#N/A</v>
      </c>
    </row>
    <row r="171" hidden="1" ht="15.95" customHeight="1">
      <c r="B171" s="507" t="s">
        <v>10</v>
      </c>
      <c r="C171" s="505" t="e">
        <f>INDIRECT(ADDRESS(132,MATCH(9000000000+307,'13.2- PATOS (SUBEXPLOT)'!150:150,1),1,,"13.2- PATOS (SUBEXPLOT)"))</f>
        <v>#N/A</v>
      </c>
    </row>
    <row r="172" hidden="1" ht="15.95" customHeight="1">
      <c r="B172" s="507" t="s">
        <v>11</v>
      </c>
      <c r="C172" s="505" t="e">
        <f>INDIRECT(ADDRESS(133,MATCH(9000000000+307,'13.2- PATOS (SUBEXPLOT)'!151:151,1),1,,"13.2- PATOS (SUBEXPLOT)"))</f>
        <v>#N/A</v>
      </c>
    </row>
    <row r="173" hidden="1" ht="15.95" customHeight="1">
      <c r="B173" s="507" t="s">
        <v>12</v>
      </c>
      <c r="C173" s="505" t="e">
        <f>INDIRECT(ADDRESS(134,MATCH(9000000000+307,'13.2- PATOS (SUBEXPLOT)'!152:152,1),1,,"13.2- PATOS (SUBEXPLOT)"))</f>
        <v>#N/A</v>
      </c>
    </row>
    <row r="174" hidden="1" ht="15.95" customHeight="1">
      <c r="B174" s="507" t="s">
        <v>13</v>
      </c>
      <c r="C174" s="505" t="e">
        <f>INDIRECT(ADDRESS(135,MATCH(9000000000+307,'13.2- PATOS (SUBEXPLOT)'!153:153,1),1,,"13.2- PATOS (SUBEXPLOT)"))</f>
        <v>#N/A</v>
      </c>
    </row>
    <row r="175" hidden="1" ht="15.95" customHeight="1">
      <c r="B175" s="507" t="s">
        <v>109</v>
      </c>
      <c r="C175" s="505" t="e">
        <f>INDIRECT(ADDRESS(136,MATCH(9000000000+307,'13.2- PATOS (SUBEXPLOT)'!154:154,1),1,,"13.2- PATOS (SUBEXPLOT)"))</f>
        <v>#N/A</v>
      </c>
    </row>
    <row r="176" hidden="1" ht="15.95" customHeight="1">
      <c r="B176" s="507" t="s">
        <v>110</v>
      </c>
      <c r="C176" s="505" t="e">
        <f>INDIRECT(ADDRESS(137,MATCH(9000000000+307,'13.2- PATOS (SUBEXPLOT)'!155:155,1),1,,"13.2- PATOS (SUBEXPLOT)"))</f>
        <v>#N/A</v>
      </c>
    </row>
    <row r="177" hidden="1" ht="15.95" customHeight="1">
      <c r="B177" s="507" t="s">
        <v>16</v>
      </c>
      <c r="C177" s="505" t="e">
        <f>INDIRECT(ADDRESS(138,MATCH(9000000000+307,'13.2- PATOS (SUBEXPLOT)'!156:156,1),1,,"13.2- PATOS (SUBEXPLOT)"))</f>
        <v>#N/A</v>
      </c>
    </row>
    <row r="178" hidden="1" ht="15.95" customHeight="1">
      <c r="B178" s="507" t="s">
        <v>17</v>
      </c>
      <c r="C178" s="505" t="e">
        <f>INDIRECT(ADDRESS(139,MATCH(9000000000+307,'13.2- PATOS (SUBEXPLOT)'!157:157,1),1,,"13.2- PATOS (SUBEXPLOT)"))</f>
        <v>#N/A</v>
      </c>
    </row>
    <row r="179" hidden="1" ht="15.95" customHeight="1">
      <c r="B179" s="507" t="s">
        <v>18</v>
      </c>
      <c r="C179" s="505" t="e">
        <f>INDIRECT(ADDRESS(140,MATCH(9000000000+307,'13.2- PATOS (SUBEXPLOT)'!158:158,1),1,,"13.2- PATOS (SUBEXPLOT)"))</f>
        <v>#N/A</v>
      </c>
    </row>
    <row r="180" hidden="1" ht="15.95" customHeight="1">
      <c r="B180" s="507" t="s">
        <v>19</v>
      </c>
      <c r="C180" s="505" t="e">
        <f>INDIRECT(ADDRESS(141,MATCH(9000000000+307,'13.2- PATOS (SUBEXPLOT)'!159:159,1),1,,"13.2- PATOS (SUBEXPLOT)"))</f>
        <v>#N/A</v>
      </c>
    </row>
    <row r="181" hidden="1" ht="15.95" customHeight="1">
      <c r="B181" s="507" t="s">
        <v>20</v>
      </c>
      <c r="C181" s="505" t="e">
        <f>INDIRECT(ADDRESS(142,MATCH(9000000000+307,'13.2- PATOS (SUBEXPLOT)'!160:160,1),1,,"13.2- PATOS (SUBEXPLOT)"))</f>
        <v>#N/A</v>
      </c>
    </row>
    <row r="182" hidden="1" ht="15.95" customHeight="1">
      <c r="B182" s="507" t="s">
        <v>21</v>
      </c>
      <c r="C182" s="505" t="e">
        <f>INDIRECT(ADDRESS(143,MATCH(9000000000+307,'13.2- PATOS (SUBEXPLOT)'!161:161,1),1,,"13.2- PATOS (SUBEXPLOT)"))</f>
        <v>#N/A</v>
      </c>
    </row>
    <row r="183" hidden="1" ht="15.95" customHeight="1">
      <c r="B183" s="507" t="s">
        <v>22</v>
      </c>
      <c r="C183" s="505" t="e">
        <f>INDIRECT(ADDRESS(144,MATCH(9000000000+307,'13.2- PATOS (SUBEXPLOT)'!162:162,1),1,,"13.2- PATOS (SUBEXPLOT)"))</f>
        <v>#N/A</v>
      </c>
    </row>
    <row r="184" hidden="1" ht="15.95" customHeight="1">
      <c r="B184" s="507" t="s">
        <v>23</v>
      </c>
      <c r="C184" s="505" t="e">
        <f>INDIRECT(ADDRESS(145,MATCH(9000000000+307,'13.2- PATOS (SUBEXPLOT)'!163:163,1),1,,"13.2- PATOS (SUBEXPLOT)"))</f>
        <v>#N/A</v>
      </c>
    </row>
    <row r="185" hidden="1" ht="15.95" customHeight="1">
      <c r="B185" s="508" t="s">
        <v>24</v>
      </c>
      <c r="C185" s="505" t="e">
        <f>INDIRECT(ADDRESS(146,MATCH(9000000000+307,'13.2- PATOS (SUBEXPLOT)'!164:164,1),1,,"13.2- PATOS (SUBEXPLOT)"))</f>
        <v>#N/A</v>
      </c>
    </row>
    <row r="186" hidden="1" ht="15.95" customHeight="1">
      <c r="B186" s="507" t="s">
        <v>25</v>
      </c>
      <c r="C186" s="505" t="e">
        <f>INDIRECT(ADDRESS(147,MATCH(9000000000+307,'13.2- PATOS (SUBEXPLOT)'!165:165,1),1,,"13.2- PATOS (SUBEXPLOT)"))</f>
        <v>#N/A</v>
      </c>
    </row>
    <row r="187" hidden="1" ht="15.95" customHeight="1">
      <c r="B187" s="506" t="s">
        <v>26</v>
      </c>
      <c r="C187" s="505" t="e">
        <f>INDIRECT(ADDRESS(148,MATCH(9000000000+307,'13.2- PATOS (SUBEXPLOT)'!166:166,1),1,,"13.2- PATOS (SUBEXPLOT)"))</f>
        <v>#N/A</v>
      </c>
    </row>
    <row r="188" hidden="1" ht="15.95" customHeight="1"/>
    <row r="189" hidden="1" ht="15.95" customHeight="1">
      <c r="C189" s="686" t="s">
        <v>184</v>
      </c>
      <c r="D189" s="687"/>
      <c r="E189" s="687"/>
      <c r="F189" s="687"/>
      <c r="G189" s="687"/>
      <c r="H189" s="687"/>
      <c r="I189" s="687"/>
      <c r="J189" s="687"/>
      <c r="K189" s="687"/>
      <c r="L189" s="687"/>
      <c r="M189" s="687"/>
      <c r="N189" s="687"/>
      <c r="O189" s="687"/>
      <c r="P189" s="687"/>
      <c r="Q189" s="687"/>
      <c r="R189" s="687"/>
      <c r="S189" s="687"/>
      <c r="T189" s="687"/>
      <c r="U189" s="687"/>
      <c r="V189" s="687"/>
      <c r="W189" s="687"/>
      <c r="X189" s="687"/>
      <c r="Y189" s="687"/>
      <c r="Z189" s="687"/>
      <c r="AA189" s="687"/>
      <c r="AB189" s="688"/>
    </row>
    <row r="190" hidden="1" ht="15.95" customHeight="1">
      <c r="C190" s="435" t="str">
        <f> IF(C210&lt;&gt;"",TEXT(AUX!G$1,"dd-MMM-aa"),"")</f>
      </c>
      <c r="D190" s="435" t="str">
        <f> IF(D210&lt;&gt;"",TEXT(AUX!H$1,"dd-MMM-aa"),"")</f>
      </c>
      <c r="E190" s="435" t="str">
        <f> IF(E210&lt;&gt;"",TEXT(AUX!I$1,"dd-MMM-aa"),"")</f>
      </c>
      <c r="F190" s="435" t="str">
        <f> IF(F210&lt;&gt;"",TEXT(AUX!J$1,"dd-MMM-aa"),"")</f>
      </c>
      <c r="G190" s="435" t="str">
        <f> IF(G210&lt;&gt;"",TEXT(AUX!K$1,"dd-MMM-aa"),"")</f>
      </c>
      <c r="H190" s="435" t="str">
        <f> IF(H210&lt;&gt;"",TEXT(AUX!L$1,"dd-MMM-aa"),"")</f>
      </c>
      <c r="I190" s="435" t="str">
        <f> IF(I210&lt;&gt;"",TEXT(AUX!M$1,"dd-MMM-aa"),"")</f>
      </c>
      <c r="J190" s="435" t="str">
        <f> IF(J210&lt;&gt;"",TEXT(AUX!N$1,"dd-MMM-aa"),"")</f>
      </c>
      <c r="K190" s="435" t="str">
        <f> IF(K210&lt;&gt;"",TEXT(AUX!O$1,"dd-MMM-aa"),"")</f>
      </c>
      <c r="L190" s="435" t="str">
        <f> IF(L210&lt;&gt;"",TEXT(AUX!P$1,"dd-MMM-aa"),"")</f>
      </c>
      <c r="M190" s="435" t="str">
        <f> IF(M210&lt;&gt;"",TEXT(AUX!Q$1,"dd-MMM-aa"),"")</f>
      </c>
      <c r="N190" s="435" t="str">
        <f> IF(N210&lt;&gt;"",TEXT(AUX!R$1,"dd-MMM-aa"),"")</f>
      </c>
      <c r="O190" s="435" t="str">
        <f> IF(O210&lt;&gt;"",TEXT(AUX!S$1,"dd-MMM-aa"),"")</f>
      </c>
      <c r="P190" s="435" t="str">
        <f> IF(P210&lt;&gt;"",TEXT(AUX!T$1,"dd-MMM-aa"),"")</f>
      </c>
      <c r="Q190" s="435" t="str">
        <f> IF(Q210&lt;&gt;"",TEXT(AUX!U$1,"dd-MMM-aa"),"")</f>
      </c>
      <c r="R190" s="435" t="str">
        <f> IF(R210&lt;&gt;"",TEXT(AUX!V$1,"dd-MMM-aa"),"")</f>
      </c>
      <c r="S190" s="435" t="str">
        <f> IF(S210&lt;&gt;"",TEXT(AUX!W$1,"dd-MMM-aa"),"")</f>
      </c>
      <c r="T190" s="435" t="str">
        <f> IF(T210&lt;&gt;"",TEXT(AUX!X$1,"dd-MMM-aa"),"")</f>
      </c>
      <c r="U190" s="435" t="str">
        <f> IF(U210&lt;&gt;"",TEXT(AUX!Y$1,"dd-MMM-aa"),"")</f>
      </c>
      <c r="V190" s="435" t="str">
        <f> IF(V210&lt;&gt;"",TEXT(AUX!Z$1,"dd-MMM-aa"),"")</f>
      </c>
      <c r="W190" s="435" t="str">
        <f> IF(W210&lt;&gt;"",TEXT(AUX!AA$1,"dd-MMM-aa"),"")</f>
      </c>
      <c r="X190" s="435" t="str">
        <f> IF(X210&lt;&gt;"",TEXT(AUX!AB$1,"dd-MMM-aa"),"")</f>
      </c>
      <c r="Y190" s="435" t="str">
        <f> IF(Y210&lt;&gt;"",TEXT(AUX!AC$1,"dd-MMM-aa"),"")</f>
      </c>
      <c r="Z190" s="435" t="str">
        <f> IF(Z210&lt;&gt;"",TEXT(AUX!AD$1,"dd-MMM-aa"),"")</f>
      </c>
      <c r="AA190" s="435" t="str">
        <f> IF(AA210&lt;&gt;"",TEXT(AUX!AE$1,"dd-MMM-aa"),"")</f>
      </c>
      <c r="AB190" s="497" t="str">
        <f> IF(AB210&lt;&gt;"",TEXT(AUX!AF$1,"dd-MMM-aa"),"")</f>
      </c>
      <c r="AC190" s="496" t="str">
        <f> IF(AC210&lt;&gt;"",TEXT(AUX!AG$1,"dd-MMM-aa"),"")</f>
      </c>
      <c r="AD190" s="496" t="str">
        <f> IF(AD210&lt;&gt;"",TEXT(AUX!AH$1,"dd-MMM-aa"),"")</f>
      </c>
      <c r="AE190" s="496" t="str">
        <f> IF(AE210&lt;&gt;"",TEXT(AUX!AI$1,"dd-MMM-aa"),"")</f>
      </c>
      <c r="AF190" s="496" t="str">
        <f> IF(AF210&lt;&gt;"",TEXT(AUX!AJ$1,"dd-MMM-aa"),"")</f>
      </c>
      <c r="AG190" s="496" t="str">
        <f> IF(AG210&lt;&gt;"",TEXT(AUX!AK$1,"dd-MMM-aa"),"")</f>
      </c>
      <c r="AH190" s="496" t="str">
        <f> IF(AH210&lt;&gt;"",TEXT(AUX!AL$1,"dd-MMM-aa"),"")</f>
      </c>
      <c r="AI190" s="496" t="str">
        <f> IF(AI210&lt;&gt;"",TEXT(AUX!AM$1,"dd-MMM-aa"),"")</f>
      </c>
      <c r="AJ190" s="496" t="str">
        <f> IF(AJ210&lt;&gt;"",TEXT(AUX!AN$1,"dd-MMM-aa"),"")</f>
      </c>
      <c r="AK190" s="496" t="str">
        <f> IF(AK210&lt;&gt;"",TEXT(AUX!AO$1,"dd-MMM-aa"),"")</f>
      </c>
      <c r="AL190" s="496" t="str">
        <f> IF(AL210&lt;&gt;"",TEXT(AUX!AP$1,"dd-MMM-aa"),"")</f>
      </c>
      <c r="AM190" s="496" t="str">
        <f> IF(AM210&lt;&gt;"",TEXT(AUX!AQ$1,"dd-MMM-aa"),"")</f>
      </c>
      <c r="AN190" s="496" t="str">
        <f> IF(AN210&lt;&gt;"",TEXT(AUX!AR$1,"dd-MMM-aa"),"")</f>
      </c>
      <c r="AO190" s="496" t="str">
        <f> IF(AO210&lt;&gt;"",TEXT(AUX!AS$1,"dd-MMM-aa"),"")</f>
      </c>
      <c r="AP190" s="496" t="str">
        <f> IF(AP210&lt;&gt;"",TEXT(AUX!AT$1,"dd-MMM-aa"),"")</f>
      </c>
      <c r="AQ190" s="496" t="str">
        <f> IF(AQ210&lt;&gt;"",TEXT(AUX!AU$1,"dd-MMM-aa"),"")</f>
      </c>
      <c r="AR190" s="496" t="str">
        <f> IF(AR210&lt;&gt;"",TEXT(AUX!AV$1,"dd-MMM-aa"),"")</f>
      </c>
      <c r="AS190" s="496" t="str">
        <f> IF(AS210&lt;&gt;"",TEXT(AUX!AW$1,"dd-MMM-aa"),"")</f>
      </c>
      <c r="AT190" s="496" t="str">
        <f> IF(AT210&lt;&gt;"",TEXT(AUX!AX$1,"dd-MMM-aa"),"")</f>
      </c>
      <c r="AU190" s="496" t="str">
        <f> IF(AU210&lt;&gt;"",TEXT(AUX!AY$1,"dd-MMM-aa"),"")</f>
      </c>
      <c r="AV190" s="496" t="str">
        <f> IF(AV210&lt;&gt;"",TEXT(AUX!AZ$1,"dd-MMM-aa"),"")</f>
      </c>
      <c r="AW190" s="496" t="str">
        <f> IF(AW210&lt;&gt;"",TEXT(AUX!BA$1,"dd-MMM-aa"),"")</f>
      </c>
      <c r="AX190" s="496" t="str">
        <f> IF(AX210&lt;&gt;"",TEXT(AUX!BB$1,"dd-MMM-aa"),"")</f>
      </c>
      <c r="AY190" s="496" t="str">
        <f> IF(AY210&lt;&gt;"",TEXT(AUX!BC$1,"dd-MMM-aa"),"")</f>
      </c>
      <c r="AZ190" s="496" t="str">
        <f> IF(AZ210&lt;&gt;"",TEXT(AUX!BD$1,"dd-MMM-aa"),"")</f>
      </c>
      <c r="BA190" s="496" t="str">
        <f> IF(BA210&lt;&gt;"",TEXT(AUX!BE$1,"dd-MMM-aa"),"")</f>
      </c>
      <c r="BB190" s="496" t="str">
        <f> IF(BB210&lt;&gt;"",TEXT(AUX!BF$1,"dd-MMM-aa"),"")</f>
      </c>
      <c r="BC190" s="496" t="str">
        <f> IF(BC210&lt;&gt;"",TEXT(AUX!BG$1,"dd-MMM-aa"),"")</f>
      </c>
      <c r="BD190" s="496" t="str">
        <f> IF(BD210&lt;&gt;"",TEXT(AUX!BH$1,"dd-MMM-aa"),"")</f>
      </c>
      <c r="BE190" s="496" t="str">
        <f> IF(BE210&lt;&gt;"",TEXT(AUX!BI$1,"dd-MMM-aa"),"")</f>
      </c>
      <c r="BF190" s="496" t="str">
        <f> IF(BF210&lt;&gt;"",TEXT(AUX!BJ$1,"dd-MMM-aa"),"")</f>
      </c>
      <c r="BG190" s="496" t="str">
        <f> IF(BG210&lt;&gt;"",TEXT(AUX!BK$1,"dd-MMM-aa"),"")</f>
      </c>
      <c r="BH190" s="496" t="str">
        <f> IF(BH210&lt;&gt;"",TEXT(AUX!BL$1,"dd-MMM-aa"),"")</f>
      </c>
      <c r="BI190" s="496" t="str">
        <f> IF(BI210&lt;&gt;"",TEXT(AUX!BM$1,"dd-MMM-aa"),"")</f>
      </c>
      <c r="BJ190" s="496" t="str">
        <f> IF(BJ210&lt;&gt;"",TEXT(AUX!BN$1,"dd-MMM-aa"),"")</f>
      </c>
      <c r="BK190" s="496" t="str">
        <f> IF(BK210&lt;&gt;"",TEXT(AUX!BO$1,"dd-MMM-aa"),"")</f>
      </c>
      <c r="BL190" s="496" t="str">
        <f> IF(BL210&lt;&gt;"",TEXT(AUX!BP$1,"dd-MMM-aa"),"")</f>
      </c>
      <c r="BM190" s="496" t="str">
        <f> IF(BM210&lt;&gt;"",TEXT(AUX!BQ$1,"dd-MMM-aa"),"")</f>
      </c>
      <c r="BN190" s="496" t="str">
        <f> IF(BN210&lt;&gt;"",TEXT(AUX!BR$1,"dd-MMM-aa"),"")</f>
      </c>
      <c r="BO190" s="496" t="str">
        <f> IF(BO210&lt;&gt;"",TEXT(AUX!BS$1,"dd-MMM-aa"),"")</f>
      </c>
      <c r="BP190" s="496" t="str">
        <f> IF(BP210&lt;&gt;"",TEXT(AUX!BT$1,"dd-MMM-aa"),"")</f>
      </c>
      <c r="BQ190" s="496" t="str">
        <f> IF(BQ210&lt;&gt;"",TEXT(AUX!BU$1,"dd-MMM-aa"),"")</f>
      </c>
      <c r="BR190" s="496" t="str">
        <f> IF(BR210&lt;&gt;"",TEXT(AUX!BV$1,"dd-MMM-aa"),"")</f>
      </c>
      <c r="BS190" s="496" t="str">
        <f> IF(BS210&lt;&gt;"",TEXT(AUX!BW$1,"dd-MMM-aa"),"")</f>
      </c>
      <c r="BT190" s="496" t="str">
        <f> IF(BT210&lt;&gt;"",TEXT(AUX!BX$1,"dd-MMM-aa"),"")</f>
      </c>
      <c r="BU190" s="496" t="str">
        <f> IF(BU210&lt;&gt;"",TEXT(AUX!BY$1,"dd-MMM-aa"),"")</f>
      </c>
      <c r="BV190" s="496" t="str">
        <f> IF(BV210&lt;&gt;"",TEXT(AUX!BZ$1,"dd-MMM-aa"),"")</f>
      </c>
      <c r="BW190" s="496" t="str">
        <f> IF(BW210&lt;&gt;"",TEXT(AUX!CA$1,"dd-MMM-aa"),"")</f>
      </c>
      <c r="BX190" s="496" t="str">
        <f> IF(BX210&lt;&gt;"",TEXT(AUX!CB$1,"dd-MMM-aa"),"")</f>
      </c>
      <c r="BY190" s="496" t="str">
        <f> IF(BY210&lt;&gt;"",TEXT(AUX!CC$1,"dd-MMM-aa"),"")</f>
      </c>
      <c r="BZ190" s="496" t="str">
        <f> IF(BZ210&lt;&gt;"",TEXT(AUX!CD$1,"dd-MMM-aa"),"")</f>
      </c>
      <c r="CA190" s="496" t="str">
        <f> IF(CA210&lt;&gt;"",TEXT(AUX!CE$1,"dd-MMM-aa"),"")</f>
      </c>
      <c r="CB190" s="496" t="str">
        <f> IF(CB210&lt;&gt;"",TEXT(AUX!CF$1,"dd-MMM-aa"),"")</f>
      </c>
      <c r="CC190" s="496" t="str">
        <f> IF(CC210&lt;&gt;"",TEXT(AUX!CG$1,"dd-MMM-aa"),"")</f>
      </c>
      <c r="CD190" s="496" t="str">
        <f> IF(CD210&lt;&gt;"",TEXT(AUX!CH$1,"dd-MMM-aa"),"")</f>
      </c>
      <c r="CE190" s="496" t="str">
        <f> IF(CE210&lt;&gt;"",TEXT(AUX!CI$1,"dd-MMM-aa"),"")</f>
      </c>
      <c r="CF190" s="496" t="str">
        <f> IF(CF210&lt;&gt;"",TEXT(AUX!CJ$1,"dd-MMM-aa"),"")</f>
      </c>
      <c r="CG190" s="496" t="str">
        <f> IF(CG210&lt;&gt;"",TEXT(AUX!CK$1,"dd-MMM-aa"),"")</f>
      </c>
      <c r="CH190" s="496" t="str">
        <f> IF(CH210&lt;&gt;"",TEXT(AUX!CL$1,"dd-MMM-aa"),"")</f>
      </c>
      <c r="CI190" s="496" t="str">
        <f> IF(CI210&lt;&gt;"",TEXT(AUX!CM$1,"dd-MMM-aa"),"")</f>
      </c>
      <c r="CJ190" s="496" t="str">
        <f> IF(CJ210&lt;&gt;"",TEXT(AUX!CN$1,"dd-MMM-aa"),"")</f>
      </c>
      <c r="CK190" s="496" t="str">
        <f> IF(CK210&lt;&gt;"",TEXT(AUX!CO$1,"dd-MMM-aa"),"")</f>
      </c>
      <c r="CL190" s="496" t="str">
        <f> IF(CL210&lt;&gt;"",TEXT(AUX!CP$1,"dd-MMM-aa"),"")</f>
      </c>
      <c r="CM190" s="496" t="str">
        <f> IF(CM210&lt;&gt;"",TEXT(AUX!CQ$1,"dd-MMM-aa"),"")</f>
      </c>
      <c r="CN190" s="496" t="str">
        <f> IF(CN210&lt;&gt;"",TEXT(AUX!CR$1,"dd-MMM-aa"),"")</f>
      </c>
      <c r="CO190" s="496" t="str">
        <f> IF(CO210&lt;&gt;"",TEXT(AUX!CS$1,"dd-MMM-aa"),"")</f>
      </c>
      <c r="CP190" s="496" t="str">
        <f> IF(CP210&lt;&gt;"",TEXT(AUX!CT$1,"dd-MMM-aa"),"")</f>
      </c>
      <c r="CQ190" s="496" t="str">
        <f> IF(CQ210&lt;&gt;"",TEXT(AUX!CU$1,"dd-MMM-aa"),"")</f>
      </c>
      <c r="CR190" s="496" t="str">
        <f> IF(CR210&lt;&gt;"",TEXT(AUX!CV$1,"dd-MMM-aa"),"")</f>
      </c>
      <c r="CS190" s="496" t="str">
        <f> IF(CS210&lt;&gt;"",TEXT(AUX!CW$1,"dd-MMM-aa"),"")</f>
      </c>
      <c r="CT190" s="496" t="str">
        <f> IF(CT210&lt;&gt;"",TEXT(AUX!CX$1,"dd-MMM-aa"),"")</f>
      </c>
      <c r="CU190" s="496" t="str">
        <f> IF(CU210&lt;&gt;"",TEXT(AUX!CY$1,"dd-MMM-aa"),"")</f>
      </c>
      <c r="CV190" s="496" t="str">
        <f> IF(CV210&lt;&gt;"",TEXT(AUX!CZ$1,"dd-MMM-aa"),"")</f>
      </c>
      <c r="CW190" s="496" t="str">
        <f> IF(CW210&lt;&gt;"",TEXT(AUX!DA$1,"dd-MMM-aa"),"")</f>
      </c>
      <c r="CX190" s="496" t="str">
        <f> IF(CX210&lt;&gt;"",TEXT(AUX!DB$1,"dd-MMM-aa"),"")</f>
      </c>
      <c r="CY190" s="496" t="str">
        <f> IF(CY210&lt;&gt;"",TEXT(AUX!DC$1,"dd-MMM-aa"),"")</f>
      </c>
      <c r="CZ190" s="496" t="str">
        <f> IF(CZ210&lt;&gt;"",TEXT(AUX!DD$1,"dd-MMM-aa"),"")</f>
      </c>
      <c r="DA190" s="496" t="str">
        <f> IF(DA210&lt;&gt;"",TEXT(AUX!DE$1,"dd-MMM-aa"),"")</f>
      </c>
      <c r="DB190" s="496" t="str">
        <f> IF(DB210&lt;&gt;"",TEXT(AUX!DF$1,"dd-MMM-aa"),"")</f>
      </c>
      <c r="DC190" s="496" t="str">
        <f> IF(DC210&lt;&gt;"",TEXT(AUX!DG$1,"dd-MMM-aa"),"")</f>
      </c>
      <c r="DD190" s="496" t="str">
        <f> IF(DD210&lt;&gt;"",TEXT(AUX!DH$1,"dd-MMM-aa"),"")</f>
      </c>
      <c r="DE190" s="496" t="str">
        <f> IF(DE210&lt;&gt;"",TEXT(AUX!DI$1,"dd-MMM-aa"),"")</f>
      </c>
      <c r="DF190" s="496" t="str">
        <f> IF(DF210&lt;&gt;"",TEXT(AUX!DJ$1,"dd-MMM-aa"),"")</f>
      </c>
      <c r="DG190" s="496" t="str">
        <f> IF(DG210&lt;&gt;"",TEXT(AUX!DK$1,"dd-MMM-aa"),"")</f>
      </c>
      <c r="DH190" s="496" t="str">
        <f> IF(DH210&lt;&gt;"",TEXT(AUX!DL$1,"dd-MMM-aa"),"")</f>
      </c>
      <c r="DI190" s="496" t="str">
        <f> IF(DI210&lt;&gt;"",TEXT(AUX!DM$1,"dd-MMM-aa"),"")</f>
      </c>
      <c r="DJ190" s="496" t="str">
        <f> IF(DJ210&lt;&gt;"",TEXT(AUX!DN$1,"dd-MMM-aa"),"")</f>
      </c>
      <c r="DK190" s="496" t="str">
        <f> IF(DK210&lt;&gt;"",TEXT(AUX!DO$1,"dd-MMM-aa"),"")</f>
      </c>
      <c r="DL190" s="496" t="str">
        <f> IF(DL210&lt;&gt;"",TEXT(AUX!DP$1,"dd-MMM-aa"),"")</f>
      </c>
      <c r="DM190" s="496" t="str">
        <f> IF(DM210&lt;&gt;"",TEXT(AUX!DQ$1,"dd-MMM-aa"),"")</f>
      </c>
      <c r="DN190" s="496" t="str">
        <f> IF(DN210&lt;&gt;"",TEXT(AUX!DR$1,"dd-MMM-aa"),"")</f>
      </c>
      <c r="DO190" s="496" t="str">
        <f> IF(DO210&lt;&gt;"",TEXT(AUX!DS$1,"dd-MMM-aa"),"")</f>
      </c>
      <c r="DP190" s="496" t="str">
        <f> IF(DP210&lt;&gt;"",TEXT(AUX!DT$1,"dd-MMM-aa"),"")</f>
      </c>
      <c r="DQ190" s="496" t="str">
        <f> IF(DQ210&lt;&gt;"",TEXT(AUX!DU$1,"dd-MMM-aa"),"")</f>
      </c>
      <c r="DR190" s="496" t="str">
        <f> IF(DR210&lt;&gt;"",TEXT(AUX!DV$1,"dd-MMM-aa"),"")</f>
      </c>
      <c r="DS190" s="496" t="str">
        <f> IF(DS210&lt;&gt;"",TEXT(AUX!DW$1,"dd-MMM-aa"),"")</f>
      </c>
      <c r="DT190" s="496" t="str">
        <f> IF(DT210&lt;&gt;"",TEXT(AUX!DX$1,"dd-MMM-aa"),"")</f>
      </c>
      <c r="DU190" s="496" t="str">
        <f> IF(DU210&lt;&gt;"",TEXT(AUX!DY$1,"dd-MMM-aa"),"")</f>
      </c>
      <c r="DV190" s="496" t="str">
        <f> IF(DV210&lt;&gt;"",TEXT(AUX!DZ$1,"dd-MMM-aa"),"")</f>
      </c>
      <c r="DW190" s="496" t="str">
        <f> IF(DW210&lt;&gt;"",TEXT(AUX!EA$1,"dd-MMM-aa"),"")</f>
      </c>
      <c r="DX190" s="496" t="str">
        <f> IF(DX210&lt;&gt;"",TEXT(AUX!EB$1,"dd-MMM-aa"),"")</f>
      </c>
      <c r="DY190" s="496" t="str">
        <f> IF(DY210&lt;&gt;"",TEXT(AUX!EC$1,"dd-MMM-aa"),"")</f>
      </c>
      <c r="DZ190" s="496" t="str">
        <f> IF(DZ210&lt;&gt;"",TEXT(AUX!ED$1,"dd-MMM-aa"),"")</f>
      </c>
      <c r="EA190" s="496" t="str">
        <f> IF(EA210&lt;&gt;"",TEXT(AUX!EE$1,"dd-MMM-aa"),"")</f>
      </c>
      <c r="EB190" s="496" t="str">
        <f> IF(EB210&lt;&gt;"",TEXT(AUX!EF$1,"dd-MMM-aa"),"")</f>
      </c>
      <c r="EC190" s="496" t="str">
        <f> IF(EC210&lt;&gt;"",TEXT(AUX!EG$1,"dd-MMM-aa"),"")</f>
      </c>
      <c r="ED190" s="496" t="str">
        <f> IF(ED210&lt;&gt;"",TEXT(AUX!EH$1,"dd-MMM-aa"),"")</f>
      </c>
      <c r="EE190" s="496" t="str">
        <f> IF(EE210&lt;&gt;"",TEXT(AUX!EI$1,"dd-MMM-aa"),"")</f>
      </c>
      <c r="EF190" s="496" t="str">
        <f> IF(EF210&lt;&gt;"",TEXT(AUX!EJ$1,"dd-MMM-aa"),"")</f>
      </c>
      <c r="EG190" s="496" t="str">
        <f> IF(EG210&lt;&gt;"",TEXT(AUX!EK$1,"dd-MMM-aa"),"")</f>
      </c>
      <c r="EH190" s="496" t="str">
        <f> IF(EH210&lt;&gt;"",TEXT(AUX!EL$1,"dd-MMM-aa"),"")</f>
      </c>
      <c r="EI190" s="496" t="str">
        <f> IF(EI210&lt;&gt;"",TEXT(AUX!EM$1,"dd-MMM-aa"),"")</f>
      </c>
      <c r="EJ190" s="496" t="str">
        <f> IF(EJ210&lt;&gt;"",TEXT(AUX!EN$1,"dd-MMM-aa"),"")</f>
      </c>
      <c r="EK190" s="496" t="str">
        <f> IF(EK210&lt;&gt;"",TEXT(AUX!EO$1,"dd-MMM-aa"),"")</f>
      </c>
      <c r="EL190" s="496" t="str">
        <f> IF(EL210&lt;&gt;"",TEXT(AUX!EP$1,"dd-MMM-aa"),"")</f>
      </c>
      <c r="EM190" s="496" t="str">
        <f> IF(EM210&lt;&gt;"",TEXT(AUX!EQ$1,"dd-MMM-aa"),"")</f>
      </c>
      <c r="EN190" s="496" t="str">
        <f> IF(EN210&lt;&gt;"",TEXT(AUX!ER$1,"dd-MMM-aa"),"")</f>
      </c>
      <c r="EO190" s="496" t="str">
        <f> IF(EO210&lt;&gt;"",TEXT(AUX!ES$1,"dd-MMM-aa"),"")</f>
      </c>
      <c r="EP190" s="496" t="str">
        <f> IF(EP210&lt;&gt;"",TEXT(AUX!ET$1,"dd-MMM-aa"),"")</f>
      </c>
      <c r="EQ190" s="496" t="str">
        <f> IF(EQ210&lt;&gt;"",TEXT(AUX!EU$1,"dd-MMM-aa"),"")</f>
      </c>
      <c r="ER190" s="496" t="str">
        <f> IF(ER210&lt;&gt;"",TEXT(AUX!EV$1,"dd-MMM-aa"),"")</f>
      </c>
      <c r="ES190" s="496" t="str">
        <f> IF(ES210&lt;&gt;"",TEXT(AUX!EW$1,"dd-MMM-aa"),"")</f>
      </c>
      <c r="ET190" s="496" t="str">
        <f> IF(ET210&lt;&gt;"",TEXT(AUX!EX$1,"dd-MMM-aa"),"")</f>
      </c>
      <c r="EU190" s="496" t="str">
        <f> IF(EU210&lt;&gt;"",TEXT(AUX!EY$1,"dd-MMM-aa"),"")</f>
      </c>
      <c r="EV190" s="496" t="str">
        <f> IF(EV210&lt;&gt;"",TEXT(AUX!EZ$1,"dd-MMM-aa"),"")</f>
      </c>
      <c r="EW190" s="496" t="str">
        <f> IF(EW210&lt;&gt;"",TEXT(AUX!FA$1,"dd-MMM-aa"),"")</f>
      </c>
      <c r="EX190" s="496" t="str">
        <f> IF(EX210&lt;&gt;"",TEXT(AUX!FB$1,"dd-MMM-aa"),"")</f>
      </c>
      <c r="EY190" s="496" t="str">
        <f> IF(EY210&lt;&gt;"",TEXT(AUX!FC$1,"dd-MMM-aa"),"")</f>
      </c>
      <c r="EZ190" s="496" t="str">
        <f> IF(EZ210&lt;&gt;"",TEXT(AUX!FD$1,"dd-MMM-aa"),"")</f>
      </c>
      <c r="FA190" s="496" t="str">
        <f> IF(FA210&lt;&gt;"",TEXT(AUX!FE$1,"dd-MMM-aa"),"")</f>
      </c>
      <c r="FB190" s="496" t="str">
        <f> IF(FB210&lt;&gt;"",TEXT(AUX!FF$1,"dd-MMM-aa"),"")</f>
      </c>
      <c r="FC190" s="496" t="str">
        <f> IF(FC210&lt;&gt;"",TEXT(AUX!FG$1,"dd-MMM-aa"),"")</f>
      </c>
      <c r="FD190" s="496" t="str">
        <f> IF(FD210&lt;&gt;"",TEXT(AUX!FH$1,"dd-MMM-aa"),"")</f>
      </c>
      <c r="FE190" s="496" t="str">
        <f> IF(FE210&lt;&gt;"",TEXT(AUX!FI$1,"dd-MMM-aa"),"")</f>
      </c>
      <c r="FF190" s="496" t="str">
        <f> IF(FF210&lt;&gt;"",TEXT(AUX!FJ$1,"dd-MMM-aa"),"")</f>
      </c>
      <c r="FG190" s="496" t="str">
        <f> IF(FG210&lt;&gt;"",TEXT(AUX!FK$1,"dd-MMM-aa"),"")</f>
      </c>
      <c r="FH190" s="496" t="str">
        <f> IF(FH210&lt;&gt;"",TEXT(AUX!FL$1,"dd-MMM-aa"),"")</f>
      </c>
      <c r="FI190" s="496" t="str">
        <f> IF(FI210&lt;&gt;"",TEXT(AUX!FM$1,"dd-MMM-aa"),"")</f>
      </c>
      <c r="FJ190" s="496" t="str">
        <f> IF(FJ210&lt;&gt;"",TEXT(AUX!FN$1,"dd-MMM-aa"),"")</f>
      </c>
      <c r="FK190" s="496" t="str">
        <f> IF(FK210&lt;&gt;"",TEXT(AUX!FO$1,"dd-MMM-aa"),"")</f>
      </c>
      <c r="FL190" s="496" t="str">
        <f> IF(FL210&lt;&gt;"",TEXT(AUX!FP$1,"dd-MMM-aa"),"")</f>
      </c>
      <c r="FM190" s="496" t="str">
        <f> IF(FM210&lt;&gt;"",TEXT(AUX!FQ$1,"dd-MMM-aa"),"")</f>
      </c>
      <c r="FN190" s="496" t="str">
        <f> IF(FN210&lt;&gt;"",TEXT(AUX!FR$1,"dd-MMM-aa"),"")</f>
      </c>
      <c r="FO190" s="496" t="str">
        <f> IF(FO210&lt;&gt;"",TEXT(AUX!FS$1,"dd-MMM-aa"),"")</f>
      </c>
      <c r="FP190" s="496" t="str">
        <f> IF(FP210&lt;&gt;"",TEXT(AUX!FT$1,"dd-MMM-aa"),"")</f>
      </c>
      <c r="FQ190" s="496" t="str">
        <f> IF(FQ210&lt;&gt;"",TEXT(AUX!FU$1,"dd-MMM-aa"),"")</f>
      </c>
      <c r="FR190" s="496" t="str">
        <f> IF(FR210&lt;&gt;"",TEXT(AUX!FV$1,"dd-MMM-aa"),"")</f>
      </c>
      <c r="FS190" s="496" t="str">
        <f> IF(FS210&lt;&gt;"",TEXT(AUX!FW$1,"dd-MMM-aa"),"")</f>
      </c>
      <c r="FT190" s="496" t="str">
        <f> IF(FT210&lt;&gt;"",TEXT(AUX!FX$1,"dd-MMM-aa"),"")</f>
      </c>
      <c r="FU190" s="496" t="str">
        <f> IF(FU210&lt;&gt;"",TEXT(AUX!FY$1,"dd-MMM-aa"),"")</f>
      </c>
      <c r="FV190" s="496" t="str">
        <f> IF(FV210&lt;&gt;"",TEXT(AUX!FZ$1,"dd-MMM-aa"),"")</f>
      </c>
      <c r="FW190" s="496" t="str">
        <f> IF(FW210&lt;&gt;"",TEXT(AUX!GA$1,"dd-MMM-aa"),"")</f>
      </c>
      <c r="FX190" s="496" t="str">
        <f> IF(FX210&lt;&gt;"",TEXT(AUX!GB$1,"dd-MMM-aa"),"")</f>
      </c>
      <c r="FY190" s="496" t="str">
        <f> IF(FY210&lt;&gt;"",TEXT(AUX!GC$1,"dd-MMM-aa"),"")</f>
      </c>
      <c r="FZ190" s="496" t="str">
        <f> IF(FZ210&lt;&gt;"",TEXT(AUX!GD$1,"dd-MMM-aa"),"")</f>
      </c>
      <c r="GA190" s="496" t="str">
        <f> IF(GA210&lt;&gt;"",TEXT(AUX!GE$1,"dd-MMM-aa"),"")</f>
      </c>
      <c r="GB190" s="496" t="str">
        <f> IF(GB210&lt;&gt;"",TEXT(AUX!GF$1,"dd-MMM-aa"),"")</f>
      </c>
      <c r="GC190" s="496" t="str">
        <f> IF(GC210&lt;&gt;"",TEXT(AUX!GG$1,"dd-MMM-aa"),"")</f>
      </c>
      <c r="GD190" s="496" t="str">
        <f> IF(GD210&lt;&gt;"",TEXT(AUX!GH$1,"dd-MMM-aa"),"")</f>
      </c>
      <c r="GE190" s="496" t="str">
        <f> IF(GE210&lt;&gt;"",TEXT(AUX!GI$1,"dd-MMM-aa"),"")</f>
      </c>
      <c r="GF190" s="496" t="str">
        <f> IF(GF210&lt;&gt;"",TEXT(AUX!GJ$1,"dd-MMM-aa"),"")</f>
      </c>
      <c r="GG190" s="496" t="str">
        <f> IF(GG210&lt;&gt;"",TEXT(AUX!GK$1,"dd-MMM-aa"),"")</f>
      </c>
    </row>
    <row r="191" hidden="1" ht="15.95" customHeight="1">
      <c r="B191" s="833" t="s">
        <v>8</v>
      </c>
      <c r="C191" s="827">
        <v>0</v>
      </c>
      <c r="D191" s="827">
        <v>0</v>
      </c>
      <c r="E191" s="827">
        <v>0</v>
      </c>
      <c r="F191" s="827">
        <v>0</v>
      </c>
      <c r="G191" s="827">
        <v>0</v>
      </c>
      <c r="H191" s="827">
        <v>0</v>
      </c>
      <c r="I191" s="827">
        <v>0</v>
      </c>
      <c r="J191" s="827">
        <v>0</v>
      </c>
      <c r="K191" s="827">
        <v>0</v>
      </c>
      <c r="L191" s="827">
        <v>0</v>
      </c>
      <c r="M191" s="827">
        <v>0</v>
      </c>
      <c r="N191" s="827">
        <v>0</v>
      </c>
      <c r="O191" s="827">
        <v>0</v>
      </c>
      <c r="P191" s="827">
        <v>0</v>
      </c>
      <c r="Q191" s="827">
        <v>0</v>
      </c>
      <c r="R191" s="827">
        <v>0</v>
      </c>
      <c r="S191" s="827">
        <v>0</v>
      </c>
      <c r="T191" s="827">
        <v>0</v>
      </c>
      <c r="U191" s="827">
        <v>0</v>
      </c>
      <c r="V191" s="827">
        <v>0</v>
      </c>
      <c r="W191" s="827">
        <v>0</v>
      </c>
      <c r="X191" s="827">
        <v>0</v>
      </c>
      <c r="Y191" s="827">
        <v>0</v>
      </c>
      <c r="Z191" s="827">
        <v>0</v>
      </c>
      <c r="AA191" s="827">
        <v>0</v>
      </c>
      <c r="AB191" s="834">
        <v>0</v>
      </c>
      <c r="AC191" s="828">
        <v>0</v>
      </c>
      <c r="AD191" s="828">
        <v>0</v>
      </c>
      <c r="AE191" s="828">
        <v>0</v>
      </c>
      <c r="AF191" s="828">
        <v>0</v>
      </c>
      <c r="AG191" s="828">
        <v>0</v>
      </c>
      <c r="AH191" s="828">
        <v>0</v>
      </c>
      <c r="AI191" s="828">
        <v>0</v>
      </c>
      <c r="AJ191" s="828">
        <v>0</v>
      </c>
      <c r="AK191" s="828">
        <v>0</v>
      </c>
      <c r="AL191" s="828">
        <v>0</v>
      </c>
      <c r="AM191" s="828">
        <v>0</v>
      </c>
      <c r="AN191" s="828">
        <v>0</v>
      </c>
      <c r="AO191" s="828">
        <v>0</v>
      </c>
      <c r="AP191" s="828">
        <v>0</v>
      </c>
    </row>
    <row r="192" hidden="1" ht="15.95" customHeight="1">
      <c r="B192" s="829" t="s">
        <v>9</v>
      </c>
      <c r="C192" s="823">
        <v>0</v>
      </c>
      <c r="D192" s="823">
        <v>0</v>
      </c>
      <c r="E192" s="823">
        <v>0</v>
      </c>
      <c r="F192" s="823">
        <v>0</v>
      </c>
      <c r="G192" s="823">
        <v>0</v>
      </c>
      <c r="H192" s="823">
        <v>0</v>
      </c>
      <c r="I192" s="823">
        <v>0</v>
      </c>
      <c r="J192" s="823">
        <v>0</v>
      </c>
      <c r="K192" s="823">
        <v>0</v>
      </c>
      <c r="L192" s="823">
        <v>0</v>
      </c>
      <c r="M192" s="823">
        <v>0</v>
      </c>
      <c r="N192" s="823">
        <v>0</v>
      </c>
      <c r="O192" s="823">
        <v>0</v>
      </c>
      <c r="P192" s="823">
        <v>0</v>
      </c>
      <c r="Q192" s="823">
        <v>0</v>
      </c>
      <c r="R192" s="823">
        <v>0</v>
      </c>
      <c r="S192" s="823">
        <v>0</v>
      </c>
      <c r="T192" s="823">
        <v>0</v>
      </c>
      <c r="U192" s="823">
        <v>0</v>
      </c>
      <c r="V192" s="823">
        <v>0</v>
      </c>
      <c r="W192" s="823">
        <v>0</v>
      </c>
      <c r="X192" s="823">
        <v>0</v>
      </c>
      <c r="Y192" s="823">
        <v>0</v>
      </c>
      <c r="Z192" s="823">
        <v>0</v>
      </c>
      <c r="AA192" s="823">
        <v>0</v>
      </c>
      <c r="AB192" s="823">
        <v>0</v>
      </c>
      <c r="AC192" s="825">
        <v>0</v>
      </c>
      <c r="AD192" s="825">
        <v>0</v>
      </c>
      <c r="AE192" s="825">
        <v>0</v>
      </c>
      <c r="AF192" s="825">
        <v>0</v>
      </c>
      <c r="AG192" s="825">
        <v>0</v>
      </c>
      <c r="AH192" s="825">
        <v>0</v>
      </c>
      <c r="AI192" s="825">
        <v>0</v>
      </c>
      <c r="AJ192" s="825">
        <v>0</v>
      </c>
      <c r="AK192" s="825">
        <v>0</v>
      </c>
      <c r="AL192" s="825">
        <v>0</v>
      </c>
      <c r="AM192" s="825">
        <v>0</v>
      </c>
      <c r="AN192" s="825">
        <v>0</v>
      </c>
      <c r="AO192" s="825">
        <v>0</v>
      </c>
      <c r="AP192" s="825">
        <v>0</v>
      </c>
    </row>
    <row r="193" hidden="1" ht="15.95" customHeight="1">
      <c r="B193" s="826" t="s">
        <v>10</v>
      </c>
      <c r="C193" s="827">
        <v>0</v>
      </c>
      <c r="D193" s="827">
        <v>0</v>
      </c>
      <c r="E193" s="827">
        <v>0</v>
      </c>
      <c r="F193" s="827">
        <v>0</v>
      </c>
      <c r="G193" s="827">
        <v>0</v>
      </c>
      <c r="H193" s="827">
        <v>0</v>
      </c>
      <c r="I193" s="827">
        <v>0</v>
      </c>
      <c r="J193" s="827">
        <v>0</v>
      </c>
      <c r="K193" s="827">
        <v>0</v>
      </c>
      <c r="L193" s="827">
        <v>0</v>
      </c>
      <c r="M193" s="827">
        <v>0</v>
      </c>
      <c r="N193" s="827">
        <v>0</v>
      </c>
      <c r="O193" s="827">
        <v>0</v>
      </c>
      <c r="P193" s="827">
        <v>0</v>
      </c>
      <c r="Q193" s="827">
        <v>0</v>
      </c>
      <c r="R193" s="827">
        <v>0</v>
      </c>
      <c r="S193" s="827">
        <v>0</v>
      </c>
      <c r="T193" s="827">
        <v>0</v>
      </c>
      <c r="U193" s="827">
        <v>0</v>
      </c>
      <c r="V193" s="827">
        <v>0</v>
      </c>
      <c r="W193" s="827">
        <v>0</v>
      </c>
      <c r="X193" s="827">
        <v>0</v>
      </c>
      <c r="Y193" s="827">
        <v>0</v>
      </c>
      <c r="Z193" s="827">
        <v>0</v>
      </c>
      <c r="AA193" s="827">
        <v>0</v>
      </c>
      <c r="AB193" s="827">
        <v>0</v>
      </c>
      <c r="AC193" s="828">
        <v>0</v>
      </c>
      <c r="AD193" s="828">
        <v>0</v>
      </c>
      <c r="AE193" s="828">
        <v>0</v>
      </c>
      <c r="AF193" s="828">
        <v>0</v>
      </c>
      <c r="AG193" s="828">
        <v>0</v>
      </c>
      <c r="AH193" s="828">
        <v>0</v>
      </c>
      <c r="AI193" s="828">
        <v>0</v>
      </c>
      <c r="AJ193" s="828">
        <v>0</v>
      </c>
      <c r="AK193" s="828">
        <v>0</v>
      </c>
      <c r="AL193" s="828">
        <v>0</v>
      </c>
      <c r="AM193" s="828">
        <v>0</v>
      </c>
      <c r="AN193" s="828">
        <v>0</v>
      </c>
      <c r="AO193" s="828">
        <v>0</v>
      </c>
      <c r="AP193" s="828">
        <v>0</v>
      </c>
    </row>
    <row r="194" hidden="1" ht="15.95" customHeight="1">
      <c r="B194" s="829" t="s">
        <v>11</v>
      </c>
      <c r="C194" s="823">
        <v>0</v>
      </c>
      <c r="D194" s="823">
        <v>0</v>
      </c>
      <c r="E194" s="823">
        <v>0</v>
      </c>
      <c r="F194" s="823">
        <v>0</v>
      </c>
      <c r="G194" s="823">
        <v>0</v>
      </c>
      <c r="H194" s="823">
        <v>0</v>
      </c>
      <c r="I194" s="823">
        <v>0</v>
      </c>
      <c r="J194" s="823">
        <v>0</v>
      </c>
      <c r="K194" s="823">
        <v>0</v>
      </c>
      <c r="L194" s="823">
        <v>0</v>
      </c>
      <c r="M194" s="823">
        <v>0</v>
      </c>
      <c r="N194" s="823">
        <v>0</v>
      </c>
      <c r="O194" s="823">
        <v>0</v>
      </c>
      <c r="P194" s="823">
        <v>0</v>
      </c>
      <c r="Q194" s="823">
        <v>0</v>
      </c>
      <c r="R194" s="823">
        <v>0</v>
      </c>
      <c r="S194" s="823">
        <v>0</v>
      </c>
      <c r="T194" s="823">
        <v>0</v>
      </c>
      <c r="U194" s="823">
        <v>0</v>
      </c>
      <c r="V194" s="823">
        <v>0</v>
      </c>
      <c r="W194" s="823">
        <v>0</v>
      </c>
      <c r="X194" s="823">
        <v>0</v>
      </c>
      <c r="Y194" s="823">
        <v>0</v>
      </c>
      <c r="Z194" s="823">
        <v>0</v>
      </c>
      <c r="AA194" s="823">
        <v>0</v>
      </c>
      <c r="AB194" s="823">
        <v>0</v>
      </c>
      <c r="AC194" s="825">
        <v>0</v>
      </c>
      <c r="AD194" s="825">
        <v>0</v>
      </c>
      <c r="AE194" s="825">
        <v>0</v>
      </c>
      <c r="AF194" s="825">
        <v>0</v>
      </c>
      <c r="AG194" s="825">
        <v>0</v>
      </c>
      <c r="AH194" s="825">
        <v>0</v>
      </c>
      <c r="AI194" s="825">
        <v>0</v>
      </c>
      <c r="AJ194" s="825">
        <v>0</v>
      </c>
      <c r="AK194" s="825">
        <v>0</v>
      </c>
      <c r="AL194" s="825">
        <v>0</v>
      </c>
      <c r="AM194" s="825">
        <v>0</v>
      </c>
      <c r="AN194" s="825">
        <v>0</v>
      </c>
      <c r="AO194" s="825">
        <v>0</v>
      </c>
      <c r="AP194" s="825">
        <v>0</v>
      </c>
    </row>
    <row r="195" hidden="1" ht="15.95" customHeight="1">
      <c r="B195" s="826" t="s">
        <v>12</v>
      </c>
      <c r="C195" s="827">
        <v>0</v>
      </c>
      <c r="D195" s="827">
        <v>0</v>
      </c>
      <c r="E195" s="827">
        <v>0</v>
      </c>
      <c r="F195" s="827">
        <v>0</v>
      </c>
      <c r="G195" s="827">
        <v>0</v>
      </c>
      <c r="H195" s="827">
        <v>0</v>
      </c>
      <c r="I195" s="827">
        <v>0</v>
      </c>
      <c r="J195" s="827">
        <v>0</v>
      </c>
      <c r="K195" s="827">
        <v>0</v>
      </c>
      <c r="L195" s="827">
        <v>0</v>
      </c>
      <c r="M195" s="827">
        <v>0</v>
      </c>
      <c r="N195" s="827">
        <v>0</v>
      </c>
      <c r="O195" s="827">
        <v>0</v>
      </c>
      <c r="P195" s="827">
        <v>0</v>
      </c>
      <c r="Q195" s="827">
        <v>0</v>
      </c>
      <c r="R195" s="827">
        <v>0</v>
      </c>
      <c r="S195" s="827">
        <v>0</v>
      </c>
      <c r="T195" s="827">
        <v>0</v>
      </c>
      <c r="U195" s="827">
        <v>0</v>
      </c>
      <c r="V195" s="827">
        <v>0</v>
      </c>
      <c r="W195" s="827">
        <v>0</v>
      </c>
      <c r="X195" s="827">
        <v>0</v>
      </c>
      <c r="Y195" s="827">
        <v>0</v>
      </c>
      <c r="Z195" s="827">
        <v>0</v>
      </c>
      <c r="AA195" s="827">
        <v>0</v>
      </c>
      <c r="AB195" s="827">
        <v>0</v>
      </c>
      <c r="AC195" s="828">
        <v>0</v>
      </c>
      <c r="AD195" s="828">
        <v>0</v>
      </c>
      <c r="AE195" s="828">
        <v>0</v>
      </c>
      <c r="AF195" s="828">
        <v>0</v>
      </c>
      <c r="AG195" s="828">
        <v>0</v>
      </c>
      <c r="AH195" s="828">
        <v>0</v>
      </c>
      <c r="AI195" s="828">
        <v>0</v>
      </c>
      <c r="AJ195" s="828">
        <v>0</v>
      </c>
      <c r="AK195" s="828">
        <v>0</v>
      </c>
      <c r="AL195" s="828">
        <v>0</v>
      </c>
      <c r="AM195" s="828">
        <v>0</v>
      </c>
      <c r="AN195" s="828">
        <v>0</v>
      </c>
      <c r="AO195" s="828">
        <v>0</v>
      </c>
      <c r="AP195" s="828">
        <v>0</v>
      </c>
    </row>
    <row r="196" hidden="1" ht="15.95" customHeight="1">
      <c r="B196" s="829" t="s">
        <v>13</v>
      </c>
      <c r="C196" s="823">
        <v>0</v>
      </c>
      <c r="D196" s="823">
        <v>0</v>
      </c>
      <c r="E196" s="823">
        <v>0</v>
      </c>
      <c r="F196" s="823">
        <v>0</v>
      </c>
      <c r="G196" s="823">
        <v>0</v>
      </c>
      <c r="H196" s="823">
        <v>0</v>
      </c>
      <c r="I196" s="823">
        <v>0</v>
      </c>
      <c r="J196" s="823">
        <v>0</v>
      </c>
      <c r="K196" s="823">
        <v>0</v>
      </c>
      <c r="L196" s="823">
        <v>0</v>
      </c>
      <c r="M196" s="823">
        <v>0</v>
      </c>
      <c r="N196" s="823">
        <v>0</v>
      </c>
      <c r="O196" s="823">
        <v>0</v>
      </c>
      <c r="P196" s="823">
        <v>0</v>
      </c>
      <c r="Q196" s="823">
        <v>0</v>
      </c>
      <c r="R196" s="823">
        <v>0</v>
      </c>
      <c r="S196" s="823">
        <v>0</v>
      </c>
      <c r="T196" s="823">
        <v>0</v>
      </c>
      <c r="U196" s="823">
        <v>0</v>
      </c>
      <c r="V196" s="823">
        <v>0</v>
      </c>
      <c r="W196" s="823">
        <v>0</v>
      </c>
      <c r="X196" s="823">
        <v>0</v>
      </c>
      <c r="Y196" s="823">
        <v>0</v>
      </c>
      <c r="Z196" s="823">
        <v>0</v>
      </c>
      <c r="AA196" s="823">
        <v>0</v>
      </c>
      <c r="AB196" s="823">
        <v>0</v>
      </c>
      <c r="AC196" s="825">
        <v>0</v>
      </c>
      <c r="AD196" s="825">
        <v>0</v>
      </c>
      <c r="AE196" s="825">
        <v>0</v>
      </c>
      <c r="AF196" s="825">
        <v>0</v>
      </c>
      <c r="AG196" s="825">
        <v>0</v>
      </c>
      <c r="AH196" s="825">
        <v>0</v>
      </c>
      <c r="AI196" s="825">
        <v>0</v>
      </c>
      <c r="AJ196" s="825">
        <v>0</v>
      </c>
      <c r="AK196" s="825">
        <v>0</v>
      </c>
      <c r="AL196" s="825">
        <v>0</v>
      </c>
      <c r="AM196" s="825">
        <v>0</v>
      </c>
      <c r="AN196" s="825">
        <v>0</v>
      </c>
      <c r="AO196" s="825">
        <v>0</v>
      </c>
      <c r="AP196" s="825">
        <v>0</v>
      </c>
    </row>
    <row r="197" hidden="1" ht="15.95" customHeight="1">
      <c r="B197" s="826" t="s">
        <v>109</v>
      </c>
      <c r="C197" s="827">
        <v>0</v>
      </c>
      <c r="D197" s="827">
        <v>0</v>
      </c>
      <c r="E197" s="827">
        <v>0</v>
      </c>
      <c r="F197" s="827">
        <v>0</v>
      </c>
      <c r="G197" s="827">
        <v>0</v>
      </c>
      <c r="H197" s="827">
        <v>0</v>
      </c>
      <c r="I197" s="827">
        <v>0</v>
      </c>
      <c r="J197" s="827">
        <v>0</v>
      </c>
      <c r="K197" s="827">
        <v>0</v>
      </c>
      <c r="L197" s="827">
        <v>0</v>
      </c>
      <c r="M197" s="827">
        <v>0</v>
      </c>
      <c r="N197" s="827">
        <v>0</v>
      </c>
      <c r="O197" s="827">
        <v>0</v>
      </c>
      <c r="P197" s="827">
        <v>0</v>
      </c>
      <c r="Q197" s="827">
        <v>0</v>
      </c>
      <c r="R197" s="827">
        <v>0</v>
      </c>
      <c r="S197" s="827">
        <v>0</v>
      </c>
      <c r="T197" s="827">
        <v>0</v>
      </c>
      <c r="U197" s="827">
        <v>0</v>
      </c>
      <c r="V197" s="827">
        <v>0</v>
      </c>
      <c r="W197" s="827">
        <v>0</v>
      </c>
      <c r="X197" s="827">
        <v>0</v>
      </c>
      <c r="Y197" s="827">
        <v>0</v>
      </c>
      <c r="Z197" s="827">
        <v>0</v>
      </c>
      <c r="AA197" s="827">
        <v>0</v>
      </c>
      <c r="AB197" s="827">
        <v>0</v>
      </c>
      <c r="AC197" s="828">
        <v>0</v>
      </c>
      <c r="AD197" s="828">
        <v>0</v>
      </c>
      <c r="AE197" s="828">
        <v>0</v>
      </c>
      <c r="AF197" s="828">
        <v>0</v>
      </c>
      <c r="AG197" s="828">
        <v>0</v>
      </c>
      <c r="AH197" s="828">
        <v>0</v>
      </c>
      <c r="AI197" s="828">
        <v>0</v>
      </c>
      <c r="AJ197" s="828">
        <v>0</v>
      </c>
      <c r="AK197" s="828">
        <v>0</v>
      </c>
      <c r="AL197" s="828">
        <v>0</v>
      </c>
      <c r="AM197" s="828">
        <v>0</v>
      </c>
      <c r="AN197" s="828">
        <v>0</v>
      </c>
      <c r="AO197" s="828">
        <v>0</v>
      </c>
      <c r="AP197" s="828">
        <v>0</v>
      </c>
    </row>
    <row r="198" hidden="1" ht="15.95" customHeight="1">
      <c r="B198" s="829" t="s">
        <v>110</v>
      </c>
      <c r="C198" s="823">
        <v>0</v>
      </c>
      <c r="D198" s="823">
        <v>0</v>
      </c>
      <c r="E198" s="823">
        <v>0</v>
      </c>
      <c r="F198" s="823">
        <v>0</v>
      </c>
      <c r="G198" s="823">
        <v>0</v>
      </c>
      <c r="H198" s="823">
        <v>0</v>
      </c>
      <c r="I198" s="823">
        <v>0</v>
      </c>
      <c r="J198" s="823">
        <v>0</v>
      </c>
      <c r="K198" s="823">
        <v>0</v>
      </c>
      <c r="L198" s="823">
        <v>0</v>
      </c>
      <c r="M198" s="823">
        <v>0</v>
      </c>
      <c r="N198" s="823">
        <v>0</v>
      </c>
      <c r="O198" s="823">
        <v>0</v>
      </c>
      <c r="P198" s="823">
        <v>0</v>
      </c>
      <c r="Q198" s="823">
        <v>0</v>
      </c>
      <c r="R198" s="823">
        <v>0</v>
      </c>
      <c r="S198" s="823">
        <v>0</v>
      </c>
      <c r="T198" s="823">
        <v>0</v>
      </c>
      <c r="U198" s="823">
        <v>0</v>
      </c>
      <c r="V198" s="823">
        <v>0</v>
      </c>
      <c r="W198" s="823">
        <v>0</v>
      </c>
      <c r="X198" s="823">
        <v>0</v>
      </c>
      <c r="Y198" s="823">
        <v>0</v>
      </c>
      <c r="Z198" s="823">
        <v>0</v>
      </c>
      <c r="AA198" s="823">
        <v>0</v>
      </c>
      <c r="AB198" s="823">
        <v>0</v>
      </c>
      <c r="AC198" s="825">
        <v>0</v>
      </c>
      <c r="AD198" s="825">
        <v>0</v>
      </c>
      <c r="AE198" s="825">
        <v>0</v>
      </c>
      <c r="AF198" s="825">
        <v>0</v>
      </c>
      <c r="AG198" s="825">
        <v>0</v>
      </c>
      <c r="AH198" s="825">
        <v>0</v>
      </c>
      <c r="AI198" s="825">
        <v>0</v>
      </c>
      <c r="AJ198" s="825">
        <v>0</v>
      </c>
      <c r="AK198" s="825">
        <v>0</v>
      </c>
      <c r="AL198" s="825">
        <v>0</v>
      </c>
      <c r="AM198" s="825">
        <v>0</v>
      </c>
      <c r="AN198" s="825">
        <v>0</v>
      </c>
      <c r="AO198" s="825">
        <v>0</v>
      </c>
      <c r="AP198" s="825">
        <v>0</v>
      </c>
    </row>
    <row r="199" hidden="1" ht="15.95" customHeight="1">
      <c r="B199" s="826" t="s">
        <v>16</v>
      </c>
      <c r="C199" s="827">
        <v>0</v>
      </c>
      <c r="D199" s="827">
        <v>0</v>
      </c>
      <c r="E199" s="827">
        <v>0</v>
      </c>
      <c r="F199" s="827">
        <v>0</v>
      </c>
      <c r="G199" s="827">
        <v>0</v>
      </c>
      <c r="H199" s="827">
        <v>0</v>
      </c>
      <c r="I199" s="827">
        <v>0</v>
      </c>
      <c r="J199" s="827">
        <v>0</v>
      </c>
      <c r="K199" s="827">
        <v>0</v>
      </c>
      <c r="L199" s="827">
        <v>0</v>
      </c>
      <c r="M199" s="827">
        <v>0</v>
      </c>
      <c r="N199" s="827">
        <v>0</v>
      </c>
      <c r="O199" s="827">
        <v>0</v>
      </c>
      <c r="P199" s="827">
        <v>0</v>
      </c>
      <c r="Q199" s="827">
        <v>0</v>
      </c>
      <c r="R199" s="827">
        <v>0</v>
      </c>
      <c r="S199" s="827">
        <v>0</v>
      </c>
      <c r="T199" s="827">
        <v>0</v>
      </c>
      <c r="U199" s="827">
        <v>0</v>
      </c>
      <c r="V199" s="827">
        <v>0</v>
      </c>
      <c r="W199" s="827">
        <v>0</v>
      </c>
      <c r="X199" s="827">
        <v>0</v>
      </c>
      <c r="Y199" s="827">
        <v>0</v>
      </c>
      <c r="Z199" s="827">
        <v>0</v>
      </c>
      <c r="AA199" s="827">
        <v>0</v>
      </c>
      <c r="AB199" s="827">
        <v>0</v>
      </c>
      <c r="AC199" s="828">
        <v>0</v>
      </c>
      <c r="AD199" s="828">
        <v>0</v>
      </c>
      <c r="AE199" s="828">
        <v>0</v>
      </c>
      <c r="AF199" s="828">
        <v>0</v>
      </c>
      <c r="AG199" s="828">
        <v>0</v>
      </c>
      <c r="AH199" s="828">
        <v>0</v>
      </c>
      <c r="AI199" s="828">
        <v>0</v>
      </c>
      <c r="AJ199" s="828">
        <v>0</v>
      </c>
      <c r="AK199" s="828">
        <v>0</v>
      </c>
      <c r="AL199" s="828">
        <v>0</v>
      </c>
      <c r="AM199" s="828">
        <v>0</v>
      </c>
      <c r="AN199" s="828">
        <v>0</v>
      </c>
      <c r="AO199" s="828">
        <v>0</v>
      </c>
      <c r="AP199" s="828">
        <v>0</v>
      </c>
    </row>
    <row r="200" hidden="1" ht="15.95" customHeight="1">
      <c r="B200" s="829" t="s">
        <v>17</v>
      </c>
      <c r="C200" s="823">
        <v>0</v>
      </c>
      <c r="D200" s="823">
        <v>0</v>
      </c>
      <c r="E200" s="823">
        <v>0</v>
      </c>
      <c r="F200" s="823">
        <v>0</v>
      </c>
      <c r="G200" s="823">
        <v>0</v>
      </c>
      <c r="H200" s="823">
        <v>0</v>
      </c>
      <c r="I200" s="823">
        <v>0</v>
      </c>
      <c r="J200" s="823">
        <v>0</v>
      </c>
      <c r="K200" s="823">
        <v>0</v>
      </c>
      <c r="L200" s="823">
        <v>0</v>
      </c>
      <c r="M200" s="823">
        <v>0</v>
      </c>
      <c r="N200" s="823">
        <v>0</v>
      </c>
      <c r="O200" s="823">
        <v>0</v>
      </c>
      <c r="P200" s="823">
        <v>0</v>
      </c>
      <c r="Q200" s="823">
        <v>0</v>
      </c>
      <c r="R200" s="823">
        <v>0</v>
      </c>
      <c r="S200" s="823">
        <v>0</v>
      </c>
      <c r="T200" s="823">
        <v>0</v>
      </c>
      <c r="U200" s="823">
        <v>0</v>
      </c>
      <c r="V200" s="823">
        <v>0</v>
      </c>
      <c r="W200" s="823">
        <v>0</v>
      </c>
      <c r="X200" s="823">
        <v>0</v>
      </c>
      <c r="Y200" s="823">
        <v>0</v>
      </c>
      <c r="Z200" s="823">
        <v>0</v>
      </c>
      <c r="AA200" s="823">
        <v>0</v>
      </c>
      <c r="AB200" s="823">
        <v>0</v>
      </c>
      <c r="AC200" s="825">
        <v>0</v>
      </c>
      <c r="AD200" s="825">
        <v>0</v>
      </c>
      <c r="AE200" s="825">
        <v>0</v>
      </c>
      <c r="AF200" s="825">
        <v>0</v>
      </c>
      <c r="AG200" s="825">
        <v>0</v>
      </c>
      <c r="AH200" s="825">
        <v>0</v>
      </c>
      <c r="AI200" s="825">
        <v>0</v>
      </c>
      <c r="AJ200" s="825">
        <v>0</v>
      </c>
      <c r="AK200" s="825">
        <v>0</v>
      </c>
      <c r="AL200" s="825">
        <v>0</v>
      </c>
      <c r="AM200" s="825">
        <v>0</v>
      </c>
      <c r="AN200" s="825">
        <v>0</v>
      </c>
      <c r="AO200" s="825">
        <v>0</v>
      </c>
      <c r="AP200" s="825">
        <v>0</v>
      </c>
    </row>
    <row r="201" hidden="1" ht="15.95" customHeight="1">
      <c r="B201" s="826" t="s">
        <v>18</v>
      </c>
      <c r="C201" s="827">
        <v>0</v>
      </c>
      <c r="D201" s="827">
        <v>0</v>
      </c>
      <c r="E201" s="827">
        <v>0</v>
      </c>
      <c r="F201" s="827">
        <v>0</v>
      </c>
      <c r="G201" s="827">
        <v>0</v>
      </c>
      <c r="H201" s="827">
        <v>0</v>
      </c>
      <c r="I201" s="827">
        <v>0</v>
      </c>
      <c r="J201" s="827">
        <v>0</v>
      </c>
      <c r="K201" s="827">
        <v>0</v>
      </c>
      <c r="L201" s="827">
        <v>0</v>
      </c>
      <c r="M201" s="827">
        <v>0</v>
      </c>
      <c r="N201" s="827">
        <v>0</v>
      </c>
      <c r="O201" s="827">
        <v>0</v>
      </c>
      <c r="P201" s="827">
        <v>0</v>
      </c>
      <c r="Q201" s="827">
        <v>0</v>
      </c>
      <c r="R201" s="827">
        <v>0</v>
      </c>
      <c r="S201" s="827">
        <v>0</v>
      </c>
      <c r="T201" s="827">
        <v>0</v>
      </c>
      <c r="U201" s="827">
        <v>0</v>
      </c>
      <c r="V201" s="827">
        <v>0</v>
      </c>
      <c r="W201" s="827">
        <v>0</v>
      </c>
      <c r="X201" s="827">
        <v>0</v>
      </c>
      <c r="Y201" s="827">
        <v>0</v>
      </c>
      <c r="Z201" s="827">
        <v>0</v>
      </c>
      <c r="AA201" s="827">
        <v>0</v>
      </c>
      <c r="AB201" s="827">
        <v>0</v>
      </c>
      <c r="AC201" s="828">
        <v>0</v>
      </c>
      <c r="AD201" s="828">
        <v>0</v>
      </c>
      <c r="AE201" s="828">
        <v>0</v>
      </c>
      <c r="AF201" s="828">
        <v>0</v>
      </c>
      <c r="AG201" s="828">
        <v>0</v>
      </c>
      <c r="AH201" s="828">
        <v>0</v>
      </c>
      <c r="AI201" s="828">
        <v>0</v>
      </c>
      <c r="AJ201" s="828">
        <v>0</v>
      </c>
      <c r="AK201" s="828">
        <v>0</v>
      </c>
      <c r="AL201" s="828">
        <v>0</v>
      </c>
      <c r="AM201" s="828">
        <v>0</v>
      </c>
      <c r="AN201" s="828">
        <v>0</v>
      </c>
      <c r="AO201" s="828">
        <v>0</v>
      </c>
      <c r="AP201" s="828">
        <v>0</v>
      </c>
    </row>
    <row r="202" hidden="1" ht="15.95" customHeight="1">
      <c r="B202" s="829" t="s">
        <v>19</v>
      </c>
      <c r="C202" s="823">
        <v>0</v>
      </c>
      <c r="D202" s="823">
        <v>0</v>
      </c>
      <c r="E202" s="823">
        <v>0</v>
      </c>
      <c r="F202" s="823">
        <v>0</v>
      </c>
      <c r="G202" s="823">
        <v>0</v>
      </c>
      <c r="H202" s="823">
        <v>0</v>
      </c>
      <c r="I202" s="823">
        <v>0</v>
      </c>
      <c r="J202" s="823">
        <v>0</v>
      </c>
      <c r="K202" s="823">
        <v>0</v>
      </c>
      <c r="L202" s="823">
        <v>0</v>
      </c>
      <c r="M202" s="823">
        <v>0</v>
      </c>
      <c r="N202" s="823">
        <v>0</v>
      </c>
      <c r="O202" s="823">
        <v>0</v>
      </c>
      <c r="P202" s="823">
        <v>0</v>
      </c>
      <c r="Q202" s="823">
        <v>0</v>
      </c>
      <c r="R202" s="823">
        <v>0</v>
      </c>
      <c r="S202" s="823">
        <v>0</v>
      </c>
      <c r="T202" s="823">
        <v>0</v>
      </c>
      <c r="U202" s="823">
        <v>0</v>
      </c>
      <c r="V202" s="823">
        <v>0</v>
      </c>
      <c r="W202" s="823">
        <v>0</v>
      </c>
      <c r="X202" s="823">
        <v>0</v>
      </c>
      <c r="Y202" s="823">
        <v>0</v>
      </c>
      <c r="Z202" s="823">
        <v>0</v>
      </c>
      <c r="AA202" s="823">
        <v>0</v>
      </c>
      <c r="AB202" s="823">
        <v>0</v>
      </c>
      <c r="AC202" s="825">
        <v>0</v>
      </c>
      <c r="AD202" s="825">
        <v>0</v>
      </c>
      <c r="AE202" s="825">
        <v>0</v>
      </c>
      <c r="AF202" s="825">
        <v>0</v>
      </c>
      <c r="AG202" s="825">
        <v>0</v>
      </c>
      <c r="AH202" s="825">
        <v>0</v>
      </c>
      <c r="AI202" s="825">
        <v>0</v>
      </c>
      <c r="AJ202" s="825">
        <v>0</v>
      </c>
      <c r="AK202" s="825">
        <v>0</v>
      </c>
      <c r="AL202" s="825">
        <v>0</v>
      </c>
      <c r="AM202" s="825">
        <v>0</v>
      </c>
      <c r="AN202" s="825">
        <v>0</v>
      </c>
      <c r="AO202" s="825">
        <v>0</v>
      </c>
      <c r="AP202" s="825">
        <v>0</v>
      </c>
    </row>
    <row r="203" hidden="1" ht="15.95" customHeight="1">
      <c r="B203" s="826" t="s">
        <v>20</v>
      </c>
      <c r="C203" s="827">
        <v>0</v>
      </c>
      <c r="D203" s="827">
        <v>0</v>
      </c>
      <c r="E203" s="827">
        <v>0</v>
      </c>
      <c r="F203" s="827">
        <v>0</v>
      </c>
      <c r="G203" s="827">
        <v>0</v>
      </c>
      <c r="H203" s="827">
        <v>0</v>
      </c>
      <c r="I203" s="827">
        <v>0</v>
      </c>
      <c r="J203" s="827">
        <v>0</v>
      </c>
      <c r="K203" s="827">
        <v>0</v>
      </c>
      <c r="L203" s="827">
        <v>0</v>
      </c>
      <c r="M203" s="827">
        <v>0</v>
      </c>
      <c r="N203" s="827">
        <v>0</v>
      </c>
      <c r="O203" s="827">
        <v>0</v>
      </c>
      <c r="P203" s="827">
        <v>0</v>
      </c>
      <c r="Q203" s="827">
        <v>0</v>
      </c>
      <c r="R203" s="827">
        <v>0</v>
      </c>
      <c r="S203" s="827">
        <v>0</v>
      </c>
      <c r="T203" s="827">
        <v>0</v>
      </c>
      <c r="U203" s="827">
        <v>0</v>
      </c>
      <c r="V203" s="827">
        <v>0</v>
      </c>
      <c r="W203" s="827">
        <v>0</v>
      </c>
      <c r="X203" s="827">
        <v>0</v>
      </c>
      <c r="Y203" s="827">
        <v>0</v>
      </c>
      <c r="Z203" s="827">
        <v>0</v>
      </c>
      <c r="AA203" s="827">
        <v>0</v>
      </c>
      <c r="AB203" s="827">
        <v>0</v>
      </c>
      <c r="AC203" s="828">
        <v>0</v>
      </c>
      <c r="AD203" s="828">
        <v>0</v>
      </c>
      <c r="AE203" s="828">
        <v>0</v>
      </c>
      <c r="AF203" s="828">
        <v>0</v>
      </c>
      <c r="AG203" s="828">
        <v>0</v>
      </c>
      <c r="AH203" s="828">
        <v>0</v>
      </c>
      <c r="AI203" s="828">
        <v>0</v>
      </c>
      <c r="AJ203" s="828">
        <v>0</v>
      </c>
      <c r="AK203" s="828">
        <v>0</v>
      </c>
      <c r="AL203" s="828">
        <v>0</v>
      </c>
      <c r="AM203" s="828">
        <v>0</v>
      </c>
      <c r="AN203" s="828">
        <v>0</v>
      </c>
      <c r="AO203" s="828">
        <v>0</v>
      </c>
      <c r="AP203" s="828">
        <v>0</v>
      </c>
    </row>
    <row r="204" hidden="1" ht="15.95" customHeight="1">
      <c r="B204" s="829" t="s">
        <v>21</v>
      </c>
      <c r="C204" s="823">
        <v>0</v>
      </c>
      <c r="D204" s="823">
        <v>0</v>
      </c>
      <c r="E204" s="823">
        <v>0</v>
      </c>
      <c r="F204" s="823">
        <v>0</v>
      </c>
      <c r="G204" s="823">
        <v>0</v>
      </c>
      <c r="H204" s="823">
        <v>0</v>
      </c>
      <c r="I204" s="823">
        <v>0</v>
      </c>
      <c r="J204" s="823">
        <v>0</v>
      </c>
      <c r="K204" s="823">
        <v>0</v>
      </c>
      <c r="L204" s="823">
        <v>0</v>
      </c>
      <c r="M204" s="823">
        <v>0</v>
      </c>
      <c r="N204" s="823">
        <v>0</v>
      </c>
      <c r="O204" s="823">
        <v>0</v>
      </c>
      <c r="P204" s="823">
        <v>0</v>
      </c>
      <c r="Q204" s="823">
        <v>0</v>
      </c>
      <c r="R204" s="823">
        <v>0</v>
      </c>
      <c r="S204" s="823">
        <v>0</v>
      </c>
      <c r="T204" s="823">
        <v>0</v>
      </c>
      <c r="U204" s="823">
        <v>0</v>
      </c>
      <c r="V204" s="823">
        <v>0</v>
      </c>
      <c r="W204" s="823">
        <v>0</v>
      </c>
      <c r="X204" s="823">
        <v>0</v>
      </c>
      <c r="Y204" s="823">
        <v>0</v>
      </c>
      <c r="Z204" s="823">
        <v>0</v>
      </c>
      <c r="AA204" s="823">
        <v>0</v>
      </c>
      <c r="AB204" s="823">
        <v>0</v>
      </c>
      <c r="AC204" s="825">
        <v>0</v>
      </c>
      <c r="AD204" s="825">
        <v>0</v>
      </c>
      <c r="AE204" s="825">
        <v>0</v>
      </c>
      <c r="AF204" s="825">
        <v>0</v>
      </c>
      <c r="AG204" s="825">
        <v>0</v>
      </c>
      <c r="AH204" s="825">
        <v>0</v>
      </c>
      <c r="AI204" s="825">
        <v>0</v>
      </c>
      <c r="AJ204" s="825">
        <v>0</v>
      </c>
      <c r="AK204" s="825">
        <v>7</v>
      </c>
      <c r="AL204" s="825">
        <v>7</v>
      </c>
      <c r="AM204" s="825">
        <v>7</v>
      </c>
      <c r="AN204" s="825">
        <v>7</v>
      </c>
      <c r="AO204" s="825">
        <v>8</v>
      </c>
      <c r="AP204" s="825">
        <v>8</v>
      </c>
    </row>
    <row r="205" hidden="1" ht="15.95" customHeight="1">
      <c r="B205" s="826" t="s">
        <v>22</v>
      </c>
      <c r="C205" s="827">
        <v>0</v>
      </c>
      <c r="D205" s="827">
        <v>0</v>
      </c>
      <c r="E205" s="827">
        <v>0</v>
      </c>
      <c r="F205" s="827">
        <v>0</v>
      </c>
      <c r="G205" s="827">
        <v>0</v>
      </c>
      <c r="H205" s="827">
        <v>0</v>
      </c>
      <c r="I205" s="827">
        <v>0</v>
      </c>
      <c r="J205" s="827">
        <v>0</v>
      </c>
      <c r="K205" s="827">
        <v>0</v>
      </c>
      <c r="L205" s="827">
        <v>0</v>
      </c>
      <c r="M205" s="827">
        <v>0</v>
      </c>
      <c r="N205" s="827">
        <v>0</v>
      </c>
      <c r="O205" s="827">
        <v>0</v>
      </c>
      <c r="P205" s="827">
        <v>0</v>
      </c>
      <c r="Q205" s="827">
        <v>0</v>
      </c>
      <c r="R205" s="827">
        <v>0</v>
      </c>
      <c r="S205" s="827">
        <v>0</v>
      </c>
      <c r="T205" s="827">
        <v>0</v>
      </c>
      <c r="U205" s="827">
        <v>0</v>
      </c>
      <c r="V205" s="827">
        <v>0</v>
      </c>
      <c r="W205" s="827">
        <v>0</v>
      </c>
      <c r="X205" s="827">
        <v>0</v>
      </c>
      <c r="Y205" s="827">
        <v>0</v>
      </c>
      <c r="Z205" s="827">
        <v>0</v>
      </c>
      <c r="AA205" s="827">
        <v>0</v>
      </c>
      <c r="AB205" s="827">
        <v>0</v>
      </c>
      <c r="AC205" s="828">
        <v>0</v>
      </c>
      <c r="AD205" s="828">
        <v>0</v>
      </c>
      <c r="AE205" s="828">
        <v>0</v>
      </c>
      <c r="AF205" s="828">
        <v>0</v>
      </c>
      <c r="AG205" s="828">
        <v>0</v>
      </c>
      <c r="AH205" s="828">
        <v>0</v>
      </c>
      <c r="AI205" s="828">
        <v>0</v>
      </c>
      <c r="AJ205" s="828">
        <v>0</v>
      </c>
      <c r="AK205" s="828">
        <v>0</v>
      </c>
      <c r="AL205" s="828">
        <v>0</v>
      </c>
      <c r="AM205" s="828">
        <v>0</v>
      </c>
      <c r="AN205" s="828">
        <v>0</v>
      </c>
      <c r="AO205" s="828">
        <v>0</v>
      </c>
      <c r="AP205" s="828">
        <v>0</v>
      </c>
    </row>
    <row r="206" hidden="1" ht="15.95" customHeight="1">
      <c r="B206" s="829" t="s">
        <v>23</v>
      </c>
      <c r="C206" s="823">
        <v>0</v>
      </c>
      <c r="D206" s="823">
        <v>0</v>
      </c>
      <c r="E206" s="823">
        <v>0</v>
      </c>
      <c r="F206" s="823">
        <v>0</v>
      </c>
      <c r="G206" s="823">
        <v>0</v>
      </c>
      <c r="H206" s="823">
        <v>0</v>
      </c>
      <c r="I206" s="823">
        <v>0</v>
      </c>
      <c r="J206" s="823">
        <v>0</v>
      </c>
      <c r="K206" s="823">
        <v>0</v>
      </c>
      <c r="L206" s="823">
        <v>0</v>
      </c>
      <c r="M206" s="823">
        <v>0</v>
      </c>
      <c r="N206" s="823">
        <v>0</v>
      </c>
      <c r="O206" s="823">
        <v>0</v>
      </c>
      <c r="P206" s="823">
        <v>0</v>
      </c>
      <c r="Q206" s="823">
        <v>0</v>
      </c>
      <c r="R206" s="823">
        <v>0</v>
      </c>
      <c r="S206" s="823">
        <v>0</v>
      </c>
      <c r="T206" s="823">
        <v>0</v>
      </c>
      <c r="U206" s="823">
        <v>0</v>
      </c>
      <c r="V206" s="823">
        <v>0</v>
      </c>
      <c r="W206" s="823">
        <v>0</v>
      </c>
      <c r="X206" s="823">
        <v>0</v>
      </c>
      <c r="Y206" s="823">
        <v>0</v>
      </c>
      <c r="Z206" s="823">
        <v>0</v>
      </c>
      <c r="AA206" s="823">
        <v>0</v>
      </c>
      <c r="AB206" s="823">
        <v>0</v>
      </c>
      <c r="AC206" s="825">
        <v>0</v>
      </c>
      <c r="AD206" s="825">
        <v>0</v>
      </c>
      <c r="AE206" s="825">
        <v>0</v>
      </c>
      <c r="AF206" s="825">
        <v>0</v>
      </c>
      <c r="AG206" s="825">
        <v>0</v>
      </c>
      <c r="AH206" s="825">
        <v>0</v>
      </c>
      <c r="AI206" s="825">
        <v>0</v>
      </c>
      <c r="AJ206" s="825">
        <v>0</v>
      </c>
      <c r="AK206" s="825">
        <v>0</v>
      </c>
      <c r="AL206" s="825">
        <v>0</v>
      </c>
      <c r="AM206" s="825">
        <v>0</v>
      </c>
      <c r="AN206" s="825">
        <v>0</v>
      </c>
      <c r="AO206" s="825">
        <v>0</v>
      </c>
      <c r="AP206" s="825">
        <v>0</v>
      </c>
    </row>
    <row r="207" hidden="1" ht="15.95" customHeight="1">
      <c r="B207" s="835" t="s">
        <v>24</v>
      </c>
      <c r="C207" s="827">
        <v>0</v>
      </c>
      <c r="D207" s="827">
        <v>0</v>
      </c>
      <c r="E207" s="827">
        <v>0</v>
      </c>
      <c r="F207" s="827">
        <v>0</v>
      </c>
      <c r="G207" s="827">
        <v>0</v>
      </c>
      <c r="H207" s="827">
        <v>0</v>
      </c>
      <c r="I207" s="827">
        <v>0</v>
      </c>
      <c r="J207" s="827">
        <v>0</v>
      </c>
      <c r="K207" s="827">
        <v>0</v>
      </c>
      <c r="L207" s="827">
        <v>0</v>
      </c>
      <c r="M207" s="827">
        <v>0</v>
      </c>
      <c r="N207" s="827">
        <v>0</v>
      </c>
      <c r="O207" s="827">
        <v>0</v>
      </c>
      <c r="P207" s="827">
        <v>0</v>
      </c>
      <c r="Q207" s="827">
        <v>0</v>
      </c>
      <c r="R207" s="827">
        <v>0</v>
      </c>
      <c r="S207" s="827">
        <v>0</v>
      </c>
      <c r="T207" s="827">
        <v>0</v>
      </c>
      <c r="U207" s="827">
        <v>0</v>
      </c>
      <c r="V207" s="827">
        <v>0</v>
      </c>
      <c r="W207" s="827">
        <v>0</v>
      </c>
      <c r="X207" s="827">
        <v>0</v>
      </c>
      <c r="Y207" s="827">
        <v>0</v>
      </c>
      <c r="Z207" s="827">
        <v>0</v>
      </c>
      <c r="AA207" s="827">
        <v>0</v>
      </c>
      <c r="AB207" s="827">
        <v>0</v>
      </c>
      <c r="AC207" s="828">
        <v>0</v>
      </c>
      <c r="AD207" s="828">
        <v>0</v>
      </c>
      <c r="AE207" s="828">
        <v>0</v>
      </c>
      <c r="AF207" s="828">
        <v>0</v>
      </c>
      <c r="AG207" s="828">
        <v>0</v>
      </c>
      <c r="AH207" s="828">
        <v>0</v>
      </c>
      <c r="AI207" s="828">
        <v>0</v>
      </c>
      <c r="AJ207" s="828">
        <v>0</v>
      </c>
      <c r="AK207" s="828">
        <v>0</v>
      </c>
      <c r="AL207" s="828">
        <v>0</v>
      </c>
      <c r="AM207" s="828">
        <v>0</v>
      </c>
      <c r="AN207" s="828">
        <v>0</v>
      </c>
      <c r="AO207" s="828">
        <v>0</v>
      </c>
      <c r="AP207" s="828">
        <v>0</v>
      </c>
    </row>
    <row r="208" hidden="1" ht="15.95" customHeight="1">
      <c r="B208" s="829" t="s">
        <v>25</v>
      </c>
      <c r="C208" s="823">
        <v>0</v>
      </c>
      <c r="D208" s="823">
        <v>0</v>
      </c>
      <c r="E208" s="823">
        <v>0</v>
      </c>
      <c r="F208" s="823">
        <v>0</v>
      </c>
      <c r="G208" s="823">
        <v>0</v>
      </c>
      <c r="H208" s="823">
        <v>0</v>
      </c>
      <c r="I208" s="823">
        <v>0</v>
      </c>
      <c r="J208" s="823">
        <v>0</v>
      </c>
      <c r="K208" s="823">
        <v>0</v>
      </c>
      <c r="L208" s="823">
        <v>0</v>
      </c>
      <c r="M208" s="823">
        <v>0</v>
      </c>
      <c r="N208" s="823">
        <v>0</v>
      </c>
      <c r="O208" s="823">
        <v>0</v>
      </c>
      <c r="P208" s="823">
        <v>0</v>
      </c>
      <c r="Q208" s="823">
        <v>0</v>
      </c>
      <c r="R208" s="823">
        <v>0</v>
      </c>
      <c r="S208" s="823">
        <v>0</v>
      </c>
      <c r="T208" s="823">
        <v>0</v>
      </c>
      <c r="U208" s="823">
        <v>0</v>
      </c>
      <c r="V208" s="823">
        <v>0</v>
      </c>
      <c r="W208" s="823">
        <v>0</v>
      </c>
      <c r="X208" s="823">
        <v>0</v>
      </c>
      <c r="Y208" s="823">
        <v>0</v>
      </c>
      <c r="Z208" s="823">
        <v>0</v>
      </c>
      <c r="AA208" s="823">
        <v>0</v>
      </c>
      <c r="AB208" s="823">
        <v>0</v>
      </c>
      <c r="AC208" s="825">
        <v>0</v>
      </c>
      <c r="AD208" s="825">
        <v>0</v>
      </c>
      <c r="AE208" s="825">
        <v>0</v>
      </c>
      <c r="AF208" s="825">
        <v>0</v>
      </c>
      <c r="AG208" s="825">
        <v>0</v>
      </c>
      <c r="AH208" s="825">
        <v>0</v>
      </c>
      <c r="AI208" s="825">
        <v>0</v>
      </c>
      <c r="AJ208" s="825">
        <v>0</v>
      </c>
      <c r="AK208" s="825">
        <v>0</v>
      </c>
      <c r="AL208" s="825">
        <v>0</v>
      </c>
      <c r="AM208" s="825">
        <v>0</v>
      </c>
      <c r="AN208" s="825">
        <v>0</v>
      </c>
      <c r="AO208" s="825">
        <v>0</v>
      </c>
      <c r="AP208" s="825">
        <v>0</v>
      </c>
    </row>
    <row r="209" hidden="1" ht="15.95" customHeight="1">
      <c r="B209" s="836" t="s">
        <v>26</v>
      </c>
      <c r="C209" s="827">
        <v>0</v>
      </c>
      <c r="D209" s="827">
        <v>0</v>
      </c>
      <c r="E209" s="827">
        <v>0</v>
      </c>
      <c r="F209" s="827">
        <v>0</v>
      </c>
      <c r="G209" s="827">
        <v>0</v>
      </c>
      <c r="H209" s="827">
        <v>0</v>
      </c>
      <c r="I209" s="827">
        <v>0</v>
      </c>
      <c r="J209" s="827">
        <v>0</v>
      </c>
      <c r="K209" s="827">
        <v>0</v>
      </c>
      <c r="L209" s="827">
        <v>0</v>
      </c>
      <c r="M209" s="827">
        <v>0</v>
      </c>
      <c r="N209" s="827">
        <v>0</v>
      </c>
      <c r="O209" s="827">
        <v>0</v>
      </c>
      <c r="P209" s="827">
        <v>0</v>
      </c>
      <c r="Q209" s="827">
        <v>0</v>
      </c>
      <c r="R209" s="827">
        <v>0</v>
      </c>
      <c r="S209" s="827">
        <v>0</v>
      </c>
      <c r="T209" s="827">
        <v>0</v>
      </c>
      <c r="U209" s="827">
        <v>0</v>
      </c>
      <c r="V209" s="827">
        <v>0</v>
      </c>
      <c r="W209" s="827">
        <v>0</v>
      </c>
      <c r="X209" s="827">
        <v>0</v>
      </c>
      <c r="Y209" s="827">
        <v>0</v>
      </c>
      <c r="Z209" s="827">
        <v>0</v>
      </c>
      <c r="AA209" s="827">
        <v>0</v>
      </c>
      <c r="AB209" s="837">
        <v>0</v>
      </c>
      <c r="AC209" s="828">
        <v>0</v>
      </c>
      <c r="AD209" s="828">
        <v>0</v>
      </c>
      <c r="AE209" s="828">
        <v>0</v>
      </c>
      <c r="AF209" s="828">
        <v>0</v>
      </c>
      <c r="AG209" s="828">
        <v>0</v>
      </c>
      <c r="AH209" s="828">
        <v>0</v>
      </c>
      <c r="AI209" s="828">
        <v>0</v>
      </c>
      <c r="AJ209" s="828">
        <v>0</v>
      </c>
      <c r="AK209" s="828">
        <v>0</v>
      </c>
      <c r="AL209" s="828">
        <v>0</v>
      </c>
      <c r="AM209" s="828">
        <v>0</v>
      </c>
      <c r="AN209" s="828">
        <v>0</v>
      </c>
      <c r="AO209" s="828">
        <v>0</v>
      </c>
      <c r="AP209" s="828">
        <v>0</v>
      </c>
    </row>
    <row r="210" hidden="1" ht="15.95" customHeight="1">
      <c r="B210" s="128" t="s">
        <v>7</v>
      </c>
      <c r="C210" s="129" t="str">
        <f>IF(SUM(C191:C209)&lt;&gt;0,SUM(C191:C209),"")</f>
      </c>
      <c r="D210" s="129" t="str">
        <f ref="D210:AA210" t="shared" si="10">IF(SUM(D191:D209)&lt;&gt;0,SUM(D191:D209),"")</f>
      </c>
      <c r="E210" s="129" t="str">
        <f t="shared" si="10"/>
      </c>
      <c r="F210" s="129" t="str">
        <f t="shared" si="10"/>
      </c>
      <c r="G210" s="129" t="str">
        <f t="shared" si="10"/>
      </c>
      <c r="H210" s="129" t="str">
        <f t="shared" si="10"/>
      </c>
      <c r="I210" s="129" t="str">
        <f t="shared" si="10"/>
      </c>
      <c r="J210" s="129" t="str">
        <f t="shared" si="10"/>
      </c>
      <c r="K210" s="129" t="str">
        <f t="shared" si="10"/>
      </c>
      <c r="L210" s="129" t="str">
        <f t="shared" si="10"/>
      </c>
      <c r="M210" s="129" t="str">
        <f t="shared" si="10"/>
      </c>
      <c r="N210" s="129" t="str">
        <f t="shared" si="10"/>
      </c>
      <c r="O210" s="129" t="str">
        <f t="shared" si="10"/>
      </c>
      <c r="P210" s="129" t="str">
        <f t="shared" si="10"/>
      </c>
      <c r="Q210" s="129" t="str">
        <f t="shared" si="10"/>
      </c>
      <c r="R210" s="129" t="str">
        <f t="shared" si="10"/>
      </c>
      <c r="S210" s="129" t="str">
        <f t="shared" si="10"/>
      </c>
      <c r="T210" s="129" t="str">
        <f t="shared" si="10"/>
      </c>
      <c r="U210" s="129" t="str">
        <f t="shared" si="10"/>
      </c>
      <c r="V210" s="129" t="str">
        <f t="shared" si="10"/>
      </c>
      <c r="W210" s="129" t="str">
        <f t="shared" si="10"/>
      </c>
      <c r="X210" s="129" t="str">
        <f t="shared" si="10"/>
      </c>
      <c r="Y210" s="129" t="str">
        <f t="shared" si="10"/>
      </c>
      <c r="Z210" s="129" t="str">
        <f t="shared" si="10"/>
      </c>
      <c r="AA210" s="129" t="str">
        <f t="shared" si="10"/>
      </c>
      <c r="AB210" s="130" t="str">
        <f>IF(SUM(AB191:AB209)&lt;&gt;0,SUM(AB191:AB209),"")</f>
      </c>
      <c r="AC210" s="528" t="str">
        <f ref="AC210:CN210" t="shared" si="11">IF(SUM(AC191:AC209)&lt;&gt;0,SUM(AC191:AC209),"")</f>
      </c>
      <c r="AD210" s="528" t="str">
        <f t="shared" si="11"/>
      </c>
      <c r="AE210" s="528" t="str">
        <f t="shared" si="11"/>
      </c>
      <c r="AF210" s="528" t="str">
        <f t="shared" si="11"/>
      </c>
      <c r="AG210" s="528" t="str">
        <f t="shared" si="11"/>
      </c>
      <c r="AH210" s="528" t="str">
        <f t="shared" si="11"/>
      </c>
      <c r="AI210" s="528" t="str">
        <f t="shared" si="11"/>
      </c>
      <c r="AJ210" s="528" t="str">
        <f t="shared" si="11"/>
      </c>
      <c r="AK210" s="528" t="str">
        <f t="shared" si="11"/>
      </c>
      <c r="AL210" s="528" t="str">
        <f t="shared" si="11"/>
      </c>
      <c r="AM210" s="528" t="str">
        <f t="shared" si="11"/>
      </c>
      <c r="AN210" s="528" t="str">
        <f t="shared" si="11"/>
      </c>
      <c r="AO210" s="528" t="str">
        <f t="shared" si="11"/>
      </c>
      <c r="AP210" s="528" t="str">
        <f t="shared" si="11"/>
      </c>
      <c r="AQ210" s="528" t="str">
        <f t="shared" si="11"/>
      </c>
      <c r="AR210" s="528" t="str">
        <f t="shared" si="11"/>
      </c>
      <c r="AS210" s="528" t="str">
        <f t="shared" si="11"/>
      </c>
      <c r="AT210" s="528" t="str">
        <f t="shared" si="11"/>
      </c>
      <c r="AU210" s="528" t="str">
        <f t="shared" si="11"/>
      </c>
      <c r="AV210" s="528" t="str">
        <f t="shared" si="11"/>
      </c>
      <c r="AW210" s="528" t="str">
        <f t="shared" si="11"/>
      </c>
      <c r="AX210" s="528" t="str">
        <f t="shared" si="11"/>
      </c>
      <c r="AY210" s="528" t="str">
        <f t="shared" si="11"/>
      </c>
      <c r="AZ210" s="528" t="str">
        <f t="shared" si="11"/>
      </c>
      <c r="BA210" s="528" t="str">
        <f t="shared" si="11"/>
      </c>
      <c r="BB210" s="528" t="str">
        <f t="shared" si="11"/>
      </c>
      <c r="BC210" s="528" t="str">
        <f t="shared" si="11"/>
      </c>
      <c r="BD210" s="528" t="str">
        <f t="shared" si="11"/>
      </c>
      <c r="BE210" s="528" t="str">
        <f t="shared" si="11"/>
      </c>
      <c r="BF210" s="528" t="str">
        <f t="shared" si="11"/>
      </c>
      <c r="BG210" s="528" t="str">
        <f t="shared" si="11"/>
      </c>
      <c r="BH210" s="528" t="str">
        <f t="shared" si="11"/>
      </c>
      <c r="BI210" s="528" t="str">
        <f t="shared" si="11"/>
      </c>
      <c r="BJ210" s="528" t="str">
        <f t="shared" si="11"/>
      </c>
      <c r="BK210" s="528" t="str">
        <f t="shared" si="11"/>
      </c>
      <c r="BL210" s="528" t="str">
        <f t="shared" si="11"/>
      </c>
      <c r="BM210" s="528" t="str">
        <f t="shared" si="11"/>
      </c>
      <c r="BN210" s="528" t="str">
        <f t="shared" si="11"/>
      </c>
      <c r="BO210" s="528" t="str">
        <f t="shared" si="11"/>
      </c>
      <c r="BP210" s="528" t="str">
        <f t="shared" si="11"/>
      </c>
      <c r="BQ210" s="528" t="str">
        <f t="shared" si="11"/>
      </c>
      <c r="BR210" s="528" t="str">
        <f t="shared" si="11"/>
      </c>
      <c r="BS210" s="528" t="str">
        <f t="shared" si="11"/>
      </c>
      <c r="BT210" s="528" t="str">
        <f t="shared" si="11"/>
      </c>
      <c r="BU210" s="528" t="str">
        <f t="shared" si="11"/>
      </c>
      <c r="BV210" s="528" t="str">
        <f t="shared" si="11"/>
      </c>
      <c r="BW210" s="528" t="str">
        <f t="shared" si="11"/>
      </c>
      <c r="BX210" s="528" t="str">
        <f t="shared" si="11"/>
      </c>
      <c r="BY210" s="528" t="str">
        <f t="shared" si="11"/>
      </c>
      <c r="BZ210" s="528" t="str">
        <f t="shared" si="11"/>
      </c>
      <c r="CA210" s="528" t="str">
        <f t="shared" si="11"/>
      </c>
      <c r="CB210" s="528" t="str">
        <f t="shared" si="11"/>
      </c>
      <c r="CC210" s="528" t="str">
        <f t="shared" si="11"/>
      </c>
      <c r="CD210" s="528" t="str">
        <f t="shared" si="11"/>
      </c>
      <c r="CE210" s="528" t="str">
        <f t="shared" si="11"/>
      </c>
      <c r="CF210" s="528" t="str">
        <f t="shared" si="11"/>
      </c>
      <c r="CG210" s="528" t="str">
        <f t="shared" si="11"/>
      </c>
      <c r="CH210" s="528" t="str">
        <f t="shared" si="11"/>
      </c>
      <c r="CI210" s="528" t="str">
        <f t="shared" si="11"/>
      </c>
      <c r="CJ210" s="528" t="str">
        <f t="shared" si="11"/>
      </c>
      <c r="CK210" s="528" t="str">
        <f t="shared" si="11"/>
      </c>
      <c r="CL210" s="528" t="str">
        <f t="shared" si="11"/>
      </c>
      <c r="CM210" s="528" t="str">
        <f t="shared" si="11"/>
      </c>
      <c r="CN210" s="528" t="str">
        <f t="shared" si="11"/>
      </c>
      <c r="CO210" s="528" t="str">
        <f ref="CO210:EZ210" t="shared" si="12">IF(SUM(CO191:CO209)&lt;&gt;0,SUM(CO191:CO209),"")</f>
      </c>
      <c r="CP210" s="528" t="str">
        <f t="shared" si="12"/>
      </c>
      <c r="CQ210" s="528" t="str">
        <f t="shared" si="12"/>
      </c>
      <c r="CR210" s="528" t="str">
        <f t="shared" si="12"/>
      </c>
      <c r="CS210" s="528" t="str">
        <f t="shared" si="12"/>
      </c>
      <c r="CT210" s="528" t="str">
        <f t="shared" si="12"/>
      </c>
      <c r="CU210" s="528" t="str">
        <f t="shared" si="12"/>
      </c>
      <c r="CV210" s="528" t="str">
        <f t="shared" si="12"/>
      </c>
      <c r="CW210" s="528" t="str">
        <f t="shared" si="12"/>
      </c>
      <c r="CX210" s="528" t="str">
        <f t="shared" si="12"/>
      </c>
      <c r="CY210" s="528" t="str">
        <f t="shared" si="12"/>
      </c>
      <c r="CZ210" s="528" t="str">
        <f t="shared" si="12"/>
      </c>
      <c r="DA210" s="528" t="str">
        <f t="shared" si="12"/>
      </c>
      <c r="DB210" s="528" t="str">
        <f t="shared" si="12"/>
      </c>
      <c r="DC210" s="528" t="str">
        <f t="shared" si="12"/>
      </c>
      <c r="DD210" s="528" t="str">
        <f t="shared" si="12"/>
      </c>
      <c r="DE210" s="528" t="str">
        <f t="shared" si="12"/>
      </c>
      <c r="DF210" s="528" t="str">
        <f t="shared" si="12"/>
      </c>
      <c r="DG210" s="528" t="str">
        <f t="shared" si="12"/>
      </c>
      <c r="DH210" s="528" t="str">
        <f t="shared" si="12"/>
      </c>
      <c r="DI210" s="528" t="str">
        <f t="shared" si="12"/>
      </c>
      <c r="DJ210" s="528" t="str">
        <f t="shared" si="12"/>
      </c>
      <c r="DK210" s="528" t="str">
        <f t="shared" si="12"/>
      </c>
      <c r="DL210" s="528" t="str">
        <f t="shared" si="12"/>
      </c>
      <c r="DM210" s="528" t="str">
        <f t="shared" si="12"/>
      </c>
      <c r="DN210" s="528" t="str">
        <f t="shared" si="12"/>
      </c>
      <c r="DO210" s="528" t="str">
        <f t="shared" si="12"/>
      </c>
      <c r="DP210" s="528" t="str">
        <f t="shared" si="12"/>
      </c>
      <c r="DQ210" s="528" t="str">
        <f t="shared" si="12"/>
      </c>
      <c r="DR210" s="528" t="str">
        <f t="shared" si="12"/>
      </c>
      <c r="DS210" s="528" t="str">
        <f t="shared" si="12"/>
      </c>
      <c r="DT210" s="528" t="str">
        <f t="shared" si="12"/>
      </c>
      <c r="DU210" s="528" t="str">
        <f t="shared" si="12"/>
      </c>
      <c r="DV210" s="528" t="str">
        <f t="shared" si="12"/>
      </c>
      <c r="DW210" s="528" t="str">
        <f t="shared" si="12"/>
      </c>
      <c r="DX210" s="528" t="str">
        <f t="shared" si="12"/>
      </c>
      <c r="DY210" s="528" t="str">
        <f t="shared" si="12"/>
      </c>
      <c r="DZ210" s="528" t="str">
        <f t="shared" si="12"/>
      </c>
      <c r="EA210" s="528" t="str">
        <f t="shared" si="12"/>
      </c>
      <c r="EB210" s="528" t="str">
        <f t="shared" si="12"/>
      </c>
      <c r="EC210" s="528" t="str">
        <f t="shared" si="12"/>
      </c>
      <c r="ED210" s="528" t="str">
        <f t="shared" si="12"/>
      </c>
      <c r="EE210" s="528" t="str">
        <f t="shared" si="12"/>
      </c>
      <c r="EF210" s="528" t="str">
        <f t="shared" si="12"/>
      </c>
      <c r="EG210" s="528" t="str">
        <f t="shared" si="12"/>
      </c>
      <c r="EH210" s="528" t="str">
        <f t="shared" si="12"/>
      </c>
      <c r="EI210" s="528" t="str">
        <f t="shared" si="12"/>
      </c>
      <c r="EJ210" s="528" t="str">
        <f t="shared" si="12"/>
      </c>
      <c r="EK210" s="528" t="str">
        <f t="shared" si="12"/>
      </c>
      <c r="EL210" s="528" t="str">
        <f t="shared" si="12"/>
      </c>
      <c r="EM210" s="528" t="str">
        <f t="shared" si="12"/>
      </c>
      <c r="EN210" s="528" t="str">
        <f t="shared" si="12"/>
      </c>
      <c r="EO210" s="528" t="str">
        <f t="shared" si="12"/>
      </c>
      <c r="EP210" s="528" t="str">
        <f t="shared" si="12"/>
      </c>
      <c r="EQ210" s="528" t="str">
        <f t="shared" si="12"/>
      </c>
      <c r="ER210" s="528" t="str">
        <f t="shared" si="12"/>
      </c>
      <c r="ES210" s="528" t="str">
        <f t="shared" si="12"/>
      </c>
      <c r="ET210" s="528" t="str">
        <f t="shared" si="12"/>
      </c>
      <c r="EU210" s="528" t="str">
        <f t="shared" si="12"/>
      </c>
      <c r="EV210" s="528" t="str">
        <f t="shared" si="12"/>
      </c>
      <c r="EW210" s="528" t="str">
        <f t="shared" si="12"/>
      </c>
      <c r="EX210" s="528" t="str">
        <f t="shared" si="12"/>
      </c>
      <c r="EY210" s="528" t="str">
        <f t="shared" si="12"/>
      </c>
      <c r="EZ210" s="528" t="str">
        <f t="shared" si="12"/>
      </c>
      <c r="FA210" s="528" t="str">
        <f ref="FA210:GG210" t="shared" si="13">IF(SUM(FA191:FA209)&lt;&gt;0,SUM(FA191:FA209),"")</f>
      </c>
      <c r="FB210" s="528" t="str">
        <f t="shared" si="13"/>
      </c>
      <c r="FC210" s="528" t="str">
        <f t="shared" si="13"/>
      </c>
      <c r="FD210" s="528" t="str">
        <f t="shared" si="13"/>
      </c>
      <c r="FE210" s="528" t="str">
        <f t="shared" si="13"/>
      </c>
      <c r="FF210" s="528" t="str">
        <f t="shared" si="13"/>
      </c>
      <c r="FG210" s="528" t="str">
        <f t="shared" si="13"/>
      </c>
      <c r="FH210" s="528" t="str">
        <f t="shared" si="13"/>
      </c>
      <c r="FI210" s="528" t="str">
        <f t="shared" si="13"/>
      </c>
      <c r="FJ210" s="528" t="str">
        <f t="shared" si="13"/>
      </c>
      <c r="FK210" s="528" t="str">
        <f t="shared" si="13"/>
      </c>
      <c r="FL210" s="528" t="str">
        <f t="shared" si="13"/>
      </c>
      <c r="FM210" s="528" t="str">
        <f t="shared" si="13"/>
      </c>
      <c r="FN210" s="528" t="str">
        <f t="shared" si="13"/>
      </c>
      <c r="FO210" s="528" t="str">
        <f t="shared" si="13"/>
      </c>
      <c r="FP210" s="528" t="str">
        <f t="shared" si="13"/>
      </c>
      <c r="FQ210" s="528" t="str">
        <f t="shared" si="13"/>
      </c>
      <c r="FR210" s="528" t="str">
        <f t="shared" si="13"/>
      </c>
      <c r="FS210" s="528" t="str">
        <f t="shared" si="13"/>
      </c>
      <c r="FT210" s="528" t="str">
        <f t="shared" si="13"/>
      </c>
      <c r="FU210" s="528" t="str">
        <f t="shared" si="13"/>
      </c>
      <c r="FV210" s="528" t="str">
        <f t="shared" si="13"/>
      </c>
      <c r="FW210" s="528" t="str">
        <f t="shared" si="13"/>
      </c>
      <c r="FX210" s="528" t="str">
        <f t="shared" si="13"/>
      </c>
      <c r="FY210" s="528" t="str">
        <f t="shared" si="13"/>
      </c>
      <c r="FZ210" s="528" t="str">
        <f t="shared" si="13"/>
      </c>
      <c r="GA210" s="528" t="str">
        <f t="shared" si="13"/>
      </c>
      <c r="GB210" s="528" t="str">
        <f t="shared" si="13"/>
      </c>
      <c r="GC210" s="528" t="str">
        <f t="shared" si="13"/>
      </c>
      <c r="GD210" s="528" t="str">
        <f t="shared" si="13"/>
      </c>
      <c r="GE210" s="528" t="str">
        <f t="shared" si="13"/>
      </c>
      <c r="GF210" s="528" t="str">
        <f t="shared" si="13"/>
      </c>
      <c r="GG210" s="528" t="str">
        <f t="shared" si="13"/>
      </c>
    </row>
    <row r="211" hidden="1" ht="15.95" customHeight="1"/>
    <row r="212" ht="15.95" customHeight="1"/>
  </sheetData>
  <sheetProtection sheet="1" autoFilter="0" objects="1" scenarios="1" sort="0" password="ed66"/>
  <mergeCells>
    <mergeCell ref="C189:AB189"/>
    <mergeCell ref="C123:AB123"/>
    <mergeCell ref="C146:AB146"/>
    <mergeCell ref="C22:M22"/>
    <mergeCell ref="C25:M26"/>
    <mergeCell ref="B9:E9"/>
    <mergeCell ref="C14:M14"/>
    <mergeCell ref="C15:M15"/>
    <mergeCell ref="C18:M18"/>
    <mergeCell ref="C20:M20"/>
  </mergeCells>
  <phoneticPr fontId="2" type="noConversion"/>
  <printOptions horizontalCentered="1"/>
  <pageMargins left="0.78740157480314965" right="0.78740157480314965" top="0.98425196850393704" bottom="0.98425196850393704" header="0" footer="0"/>
  <pageSetup paperSize="9" scale="43" orientation="portrait"/>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06497" r:id="rId4" name="Drop Down 1">
              <controlPr defaultSize="0" autoLine="0" autoPict="0">
                <anchor moveWithCells="1">
                  <from>
                    <xdr:col>5</xdr:col>
                    <xdr:colOff>9525</xdr:colOff>
                    <xdr:row>7</xdr:row>
                    <xdr:rowOff>9525</xdr:rowOff>
                  </from>
                  <to>
                    <xdr:col>7</xdr:col>
                    <xdr:colOff>209550</xdr:colOff>
                    <xdr:row>9</xdr:row>
                    <xdr:rowOff>9525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ontainsText" priority="14" operator="containsText" id="{EDA87098-0393-4C1F-8E57-764EA2A46D00}">
            <xm:f>NOT(ISERROR(SEARCH("",AC167)))</xm:f>
            <xm:f>""</xm:f>
            <x14:dxf>
              <numFmt numFmtId="3" formatCode="#,##0"/>
              <border>
                <left style="thin">
                  <color auto="1"/>
                </left>
                <right style="thin">
                  <color auto="1"/>
                </right>
                <top style="thin">
                  <color auto="1"/>
                </top>
                <bottom style="thin">
                  <color auto="1"/>
                </bottom>
                <vertical/>
                <horizontal/>
              </border>
            </x14:dxf>
          </x14:cfRule>
          <xm:sqref>AC167:IV167</xm:sqref>
        </x14:conditionalFormatting>
        <x14:conditionalFormatting xmlns:xm="http://schemas.microsoft.com/office/excel/2006/main">
          <x14:cfRule type="containsText" priority="13" operator="containsText" id="{13AD1845-074B-44BE-9C5C-F618E8331D88}">
            <xm:f>NOT(ISERROR(SEARCH("",C148)))</xm:f>
            <xm:f>""</xm:f>
            <x14:dxf>
              <numFmt numFmtId="3" formatCode="#,##0"/>
              <border>
                <right style="thin">
                  <color auto="1"/>
                </right>
                <top style="thin">
                  <color auto="1"/>
                </top>
                <bottom style="thin">
                  <color auto="1"/>
                </bottom>
                <vertical/>
                <horizontal/>
              </border>
            </x14:dxf>
          </x14:cfRule>
          <xm:sqref>C148:IV166</xm:sqref>
        </x14:conditionalFormatting>
        <x14:conditionalFormatting xmlns:xm="http://schemas.microsoft.com/office/excel/2006/main">
          <x14:cfRule type="containsText" priority="8" operator="containsText" id="{75DE95B0-6983-4E75-B729-D965510ABB1B}">
            <xm:f>NOT(ISERROR(SEARCH("",AD124)))</xm:f>
            <xm:f>""</xm:f>
            <x14:dxf>
              <numFmt numFmtId="3" formatCode="#,##0"/>
              <border>
                <left style="thin">
                  <color auto="1"/>
                </left>
                <right style="thin">
                  <color auto="1"/>
                </right>
                <top style="thin">
                  <color auto="1"/>
                </top>
                <bottom style="thin">
                  <color auto="1"/>
                </bottom>
                <vertical/>
                <horizontal/>
              </border>
            </x14:dxf>
          </x14:cfRule>
          <xm:sqref>AD124:AG124 AI124:AL124 AN124:AQ124 AS124:AV124 AX124:BA124 BC124:BF124 BH124:BK124 BM124:BP124 BR124:BU124 BW124:BZ124 CB124:CE124 CG124:CJ124 CL124:CO124 CQ124:CT124 CV124:CY124 DA124:DD124 DF124:DI124 DK124:DN124 DP124:DS124 DU124:DX124 DZ124:EC124 EE124:EH124 EJ124:EM124 EO124:ER124 ET124:EW124 EY124:FB124 FD124:FG124 FI124:FL124 FN124:FQ124 FS124:FV124 FX124:GA124 GC124:GF124 GH124:GK124 GM124:GP124 GR124:GU124 GW124:GZ124 HB124:HE124 HG124:HJ124 HL124:HO124 HQ124:HT124 HV124:HY124 IA124:ID124 IF124:II124 IK124:IN124 IP124:IS124 IU124:IV124</xm:sqref>
        </x14:conditionalFormatting>
        <x14:conditionalFormatting xmlns:xm="http://schemas.microsoft.com/office/excel/2006/main">
          <x14:cfRule type="containsText" priority="12" operator="containsText" id="{7D615272-9EFB-422E-93E1-D1AB0D372B1B}">
            <xm:f>NOT(ISERROR(SEARCH("",AD147)))</xm:f>
            <xm:f>""</xm:f>
            <x14:dxf>
              <numFmt numFmtId="3" formatCode="#,##0"/>
              <border>
                <left style="thin">
                  <color auto="1"/>
                </left>
                <right style="thin">
                  <color auto="1"/>
                </right>
                <top style="thin">
                  <color auto="1"/>
                </top>
                <bottom style="thin">
                  <color auto="1"/>
                </bottom>
                <vertical/>
                <horizontal/>
              </border>
            </x14:dxf>
          </x14:cfRule>
          <xm:sqref>AD147:AG147 AI147:AL147 AN147:AQ147 AS147:AV147 AX147:BA147 BC147:BF147 BH147:BK147 BM147:BP147 BR147:BU147 BW147:BZ147 CB147:CE147 CG147:CJ147 CL147:CO147 CQ147:CT147 CV147:CY147 DA147:DD147 DF147:DI147 DK147:DN147 DP147:DS147 DU147:DX147 DZ147:EC147 EE147:EH147 EJ147:EM147 EO147:ER147 ET147:EW147 EY147:FB147 FD147:FG147 FI147:FL147 FN147:FQ147 FS147:FV147 FX147:GA147 GC147:GF147 GH147:GK147 GM147:GP147 GR147:GU147 GW147:GZ147 HB147:HE147 HG147:HJ147 HL147:HO147 HQ147:HT147 HV147:HY147 IA147:ID147 IF147:II147 IK147:IN147 IP147:IS147 IU147:IV147</xm:sqref>
        </x14:conditionalFormatting>
        <x14:conditionalFormatting xmlns:xm="http://schemas.microsoft.com/office/excel/2006/main">
          <x14:cfRule type="containsText" priority="11" operator="containsText" id="{9BF10085-2899-4D43-9B42-056F0FF6EF3E}">
            <xm:f>NOT(ISERROR(SEARCH("",AC147)))</xm:f>
            <xm:f>""</xm:f>
            <x14:dxf>
              <numFmt numFmtId="3" formatCode="#,##0"/>
              <border>
                <left style="thin">
                  <color auto="1"/>
                </left>
                <right style="thin">
                  <color auto="1"/>
                </right>
                <top style="thin">
                  <color auto="1"/>
                </top>
                <bottom style="thin">
                  <color auto="1"/>
                </bottom>
                <vertical/>
                <horizontal/>
              </border>
            </x14:dxf>
          </x14:cfRule>
          <xm:sqref>AC147 AH147 AM147 AR147 AW147 BB147 BG147 BL147 BQ147 BV147 CA147 CF147 CK147 CP147 CU147 CZ147 DE147 DJ147 DO147 DT147 DY147 ED147 EI147 EN147 ES147 EX147 FC147 FH147 FM147 FR147 FW147 GB147 GG147 GL147 GQ147 GV147 HA147 HF147 HK147 HP147 HU147 HZ147 IE147 IJ147 IO147 IT147</xm:sqref>
        </x14:conditionalFormatting>
        <x14:conditionalFormatting xmlns:xm="http://schemas.microsoft.com/office/excel/2006/main">
          <x14:cfRule type="containsText" priority="10" operator="containsText" id="{162B6CD2-6004-4770-BC96-6C7C4981460B}">
            <xm:f>NOT(ISERROR(SEARCH("",AC144)))</xm:f>
            <xm:f>""</xm:f>
            <x14:dxf>
              <numFmt numFmtId="3" formatCode="#,##0"/>
              <border>
                <left style="thin">
                  <color auto="1"/>
                </left>
                <right style="thin">
                  <color auto="1"/>
                </right>
                <top style="thin">
                  <color auto="1"/>
                </top>
                <bottom style="thin">
                  <color auto="1"/>
                </bottom>
                <vertical/>
                <horizontal/>
              </border>
            </x14:dxf>
          </x14:cfRule>
          <xm:sqref>AC144:IV144</xm:sqref>
        </x14:conditionalFormatting>
        <x14:conditionalFormatting xmlns:xm="http://schemas.microsoft.com/office/excel/2006/main">
          <x14:cfRule type="containsText" priority="9" operator="containsText" id="{34C3477A-89FD-4409-BCEA-2A8250056A66}">
            <xm:f>NOT(ISERROR(SEARCH("",C125)))</xm:f>
            <xm:f>""</xm:f>
            <x14:dxf>
              <numFmt numFmtId="3" formatCode="#,##0"/>
              <border>
                <right style="thin">
                  <color auto="1"/>
                </right>
                <top style="thin">
                  <color auto="1"/>
                </top>
                <bottom style="thin">
                  <color auto="1"/>
                </bottom>
                <vertical/>
                <horizontal/>
              </border>
            </x14:dxf>
          </x14:cfRule>
          <xm:sqref>C125:IV143</xm:sqref>
        </x14:conditionalFormatting>
        <x14:conditionalFormatting xmlns:xm="http://schemas.microsoft.com/office/excel/2006/main">
          <x14:cfRule type="containsText" priority="7" operator="containsText" id="{370A347F-76F0-4AE3-9313-55EEFF7443DA}">
            <xm:f>NOT(ISERROR(SEARCH("",AC124)))</xm:f>
            <xm:f>""</xm:f>
            <x14:dxf>
              <numFmt numFmtId="3" formatCode="#,##0"/>
              <border>
                <left style="thin">
                  <color auto="1"/>
                </left>
                <right style="thin">
                  <color auto="1"/>
                </right>
                <top style="thin">
                  <color auto="1"/>
                </top>
                <bottom style="thin">
                  <color auto="1"/>
                </bottom>
                <vertical/>
                <horizontal/>
              </border>
            </x14:dxf>
          </x14:cfRule>
          <xm:sqref>AC124 AH124 AM124 AR124 AW124 BB124 BG124 BL124 BQ124 BV124 CA124 CF124 CK124 CP124 CU124 CZ124 DE124 DJ124 DO124 DT124 DY124 ED124 EI124 EN124 ES124 EX124 FC124 FH124 FM124 FR124 FW124 GB124 GG124 GL124 GQ124 GV124 HA124 HF124 HK124 HP124 HU124 HZ124 IE124 IJ124 IO124 IT124</xm:sqref>
        </x14:conditionalFormatting>
        <x14:conditionalFormatting xmlns:xm="http://schemas.microsoft.com/office/excel/2006/main">
          <x14:cfRule type="containsText" priority="6" operator="containsText" id="{9AFBDA7C-82AD-4945-8B42-578F6DE51A5A}">
            <xm:f>NOT(ISERROR(SEARCH("",C169)))</xm:f>
            <xm:f>""</xm:f>
            <x14:dxf>
              <numFmt numFmtId="3" formatCode="#,##0"/>
              <border>
                <right style="thin">
                  <color auto="1"/>
                </right>
                <top style="thin">
                  <color auto="1"/>
                </top>
                <bottom style="thin">
                  <color auto="1"/>
                </bottom>
                <vertical/>
                <horizontal/>
              </border>
            </x14:dxf>
          </x14:cfRule>
          <xm:sqref>C169:C187</xm:sqref>
        </x14:conditionalFormatting>
        <x14:conditionalFormatting xmlns:xm="http://schemas.microsoft.com/office/excel/2006/main">
          <x14:cfRule type="containsText" priority="4" operator="containsText" id="{48B81D5E-CE76-42AE-895D-2850DE3DF671}">
            <xm:f>NOT(ISERROR(SEARCH("",AC210)))</xm:f>
            <xm:f>""</xm:f>
            <x14:dxf>
              <numFmt numFmtId="3" formatCode="#,##0"/>
              <border>
                <left style="thin">
                  <color auto="1"/>
                </left>
                <right style="thin">
                  <color auto="1"/>
                </right>
                <top style="thin">
                  <color auto="1"/>
                </top>
                <bottom style="thin">
                  <color auto="1"/>
                </bottom>
                <vertical/>
                <horizontal/>
              </border>
            </x14:dxf>
          </x14:cfRule>
          <xm:sqref>AC210:GG210</xm:sqref>
        </x14:conditionalFormatting>
        <x14:conditionalFormatting xmlns:xm="http://schemas.microsoft.com/office/excel/2006/main">
          <x14:cfRule type="containsText" priority="3" operator="containsText" id="{B6006EFC-FE7A-4C12-A06B-9C422053A638}">
            <xm:f>NOT(ISERROR(SEARCH("",C191)))</xm:f>
            <xm:f>""</xm:f>
            <x14:dxf>
              <numFmt numFmtId="3" formatCode="#,##0"/>
              <border>
                <right style="thin">
                  <color auto="1"/>
                </right>
                <top style="thin">
                  <color auto="1"/>
                </top>
                <bottom style="thin">
                  <color auto="1"/>
                </bottom>
                <vertical/>
                <horizontal/>
              </border>
            </x14:dxf>
          </x14:cfRule>
          <xm:sqref>C191:GG209</xm:sqref>
        </x14:conditionalFormatting>
        <x14:conditionalFormatting xmlns:xm="http://schemas.microsoft.com/office/excel/2006/main">
          <x14:cfRule type="containsText" priority="2" operator="containsText" id="{AECAB7E7-FBC4-4076-92EC-5910D5807F4C}">
            <xm:f>NOT(ISERROR(SEARCH("",AD190)))</xm:f>
            <xm:f>""</xm:f>
            <x14:dxf>
              <numFmt numFmtId="3" formatCode="#,##0"/>
              <border>
                <left style="thin">
                  <color auto="1"/>
                </left>
                <right style="thin">
                  <color auto="1"/>
                </right>
                <top style="thin">
                  <color auto="1"/>
                </top>
                <bottom style="thin">
                  <color auto="1"/>
                </bottom>
                <vertical/>
                <horizontal/>
              </border>
            </x14:dxf>
          </x14:cfRule>
          <xm:sqref>AD190:AG190 AI190:AL190 AN190:AQ190 AS190:AV190 AX190:BA190 BC190:BF190 BH190:BK190 BM190:BP190 BR190:BU190 BW190:BZ190 CB190:CE190 CG190:CJ190 CL190:CO190 CQ190:CT190 CV190:CY190 DA190:DD190 DF190:DI190 DK190:DN190 DP190:DS190 DU190:DX190 DZ190:EC190 EE190:EH190 EJ190:EM190 EO190:ER190 ET190:EW190 EY190:FB190 FD190:FG190 FI190:FL190 FN190:FQ190 FS190:FV190 FX190:GA190 GC190:GF190</xm:sqref>
        </x14:conditionalFormatting>
        <x14:conditionalFormatting xmlns:xm="http://schemas.microsoft.com/office/excel/2006/main">
          <x14:cfRule type="containsText" priority="1" operator="containsText" id="{389DD8FA-D605-492F-BEF6-0691FF766DC6}">
            <xm:f>NOT(ISERROR(SEARCH("",AC190)))</xm:f>
            <xm:f>""</xm:f>
            <x14:dxf>
              <numFmt numFmtId="3" formatCode="#,##0"/>
              <border>
                <left style="thin">
                  <color auto="1"/>
                </left>
                <right style="thin">
                  <color auto="1"/>
                </right>
                <top style="thin">
                  <color auto="1"/>
                </top>
                <bottom style="thin">
                  <color auto="1"/>
                </bottom>
                <vertical/>
                <horizontal/>
              </border>
            </x14:dxf>
          </x14:cfRule>
          <xm:sqref>AC190 AH190 AM190 AR190 AW190 BB190 BG190 BL190 BQ190 BV190 CA190 CF190 CK190 CP190 CU190 CZ190 DE190 DJ190 DO190 DT190 DY190 ED190 EI190 EN190 ES190 EX190 FC190 FH190 FM190 FR190 FW190 GB190 GG190</xm:sqref>
        </x14:conditionalFormatting>
      </x14:conditionalFormattings>
    </ext>
  </extLs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mc:Ignorable="x14ac xr">
  <sheetPr codeName="Hoja26">
    <tabColor indexed="13"/>
  </sheetPr>
  <dimension ref="A1:IV307"/>
  <sheetViews>
    <sheetView showGridLines="0" view="pageBreakPreview" zoomScaleNormal="100" workbookViewId="0">
      <pane ySplit="9" topLeftCell="A10" activePane="bottomLeft" state="frozen"/>
      <selection pane="bottomLeft" activeCell="A10" sqref="A10"/>
    </sheetView>
  </sheetViews>
  <sheetFormatPr baseColWidth="10" defaultRowHeight="12.75"/>
  <cols>
    <col min="1" max="1" width="11.42578125" customWidth="1" style="51"/>
    <col min="2" max="2" bestFit="1" width="19.5703125" customWidth="1" style="51"/>
    <col min="3" max="11" width="11.7109375" customWidth="1" style="51"/>
    <col min="12" max="12" width="12.7109375" customWidth="1" style="51"/>
    <col min="13" max="16384" width="11.42578125" customWidth="1" style="51"/>
  </cols>
  <sheetData>
    <row r="1">
      <c r="A1" s="46"/>
      <c r="B1" s="47"/>
      <c r="C1" s="47"/>
      <c r="D1" s="47"/>
      <c r="E1" s="47"/>
      <c r="F1" s="47"/>
      <c r="G1" s="47"/>
      <c r="H1" s="47"/>
      <c r="I1" s="47"/>
      <c r="J1" s="47"/>
      <c r="K1" s="47"/>
      <c r="L1" s="47"/>
      <c r="M1" s="47"/>
      <c r="N1" s="49"/>
      <c r="O1" s="47"/>
      <c r="P1" s="49"/>
      <c r="Q1" s="50"/>
    </row>
    <row r="2">
      <c r="A2" s="52"/>
      <c r="B2" s="49"/>
      <c r="C2" s="49"/>
      <c r="D2" s="49"/>
      <c r="E2" s="49"/>
      <c r="F2" s="49"/>
      <c r="G2" s="49"/>
      <c r="H2" s="49"/>
      <c r="I2" s="49"/>
      <c r="J2" s="49"/>
      <c r="K2" s="49"/>
      <c r="L2" s="49"/>
      <c r="M2" s="49"/>
      <c r="N2" s="49"/>
      <c r="O2" s="49"/>
      <c r="P2" s="49"/>
      <c r="Q2" s="50"/>
    </row>
    <row r="3">
      <c r="A3" s="52"/>
      <c r="B3" s="49"/>
      <c r="C3" s="49"/>
      <c r="D3" s="49"/>
      <c r="E3" s="49"/>
      <c r="F3" s="49"/>
      <c r="G3" s="49"/>
      <c r="H3" s="49"/>
      <c r="I3" s="49"/>
      <c r="J3" s="49"/>
      <c r="K3" s="49"/>
      <c r="L3" s="49"/>
      <c r="M3" s="49"/>
      <c r="N3" s="49"/>
      <c r="O3" s="49"/>
      <c r="P3" s="49"/>
      <c r="Q3" s="50"/>
    </row>
    <row r="4">
      <c r="A4" s="52"/>
      <c r="B4" s="49"/>
      <c r="C4" s="49"/>
      <c r="D4" s="49"/>
      <c r="E4" s="49"/>
      <c r="F4" s="49"/>
      <c r="G4" s="49"/>
      <c r="H4" s="49"/>
      <c r="I4" s="49"/>
      <c r="J4" s="49"/>
      <c r="K4" s="49"/>
      <c r="L4" s="49"/>
      <c r="M4" s="49"/>
      <c r="N4" s="49"/>
      <c r="O4" s="49"/>
      <c r="P4" s="49"/>
      <c r="Q4" s="50"/>
    </row>
    <row r="5">
      <c r="A5" s="52"/>
      <c r="B5" s="49"/>
      <c r="C5" s="49"/>
      <c r="D5" s="49"/>
      <c r="E5" s="49"/>
      <c r="F5" s="49"/>
      <c r="G5" s="49"/>
      <c r="H5" s="49"/>
      <c r="I5" s="49"/>
      <c r="J5" s="49"/>
      <c r="K5" s="49"/>
      <c r="L5" s="49"/>
      <c r="M5" s="49"/>
      <c r="N5" s="49"/>
      <c r="O5" s="49"/>
      <c r="P5" s="49"/>
      <c r="Q5" s="50"/>
    </row>
    <row r="6" ht="13.5">
      <c r="A6" s="54"/>
      <c r="B6" s="55"/>
      <c r="C6" s="55"/>
      <c r="D6" s="55"/>
      <c r="E6" s="55"/>
      <c r="F6" s="55"/>
      <c r="G6" s="55"/>
      <c r="H6" s="55"/>
      <c r="I6" s="55"/>
      <c r="J6" s="55"/>
      <c r="K6" s="55"/>
      <c r="L6" s="55"/>
      <c r="M6" s="55"/>
      <c r="N6" s="55"/>
      <c r="O6" s="49"/>
      <c r="P6" s="49"/>
      <c r="Q6" s="50"/>
    </row>
    <row r="7" s="57" customFormat="1">
      <c r="N7" s="58"/>
      <c r="O7" s="58"/>
      <c r="P7" s="58"/>
      <c r="Q7" s="58"/>
    </row>
    <row r="8">
      <c r="F8" s="131">
        <v>20</v>
      </c>
      <c r="I8" s="51" t="s">
        <v>100</v>
      </c>
      <c r="J8" s="51" t="e">
        <f>LOOKUP(AUX!$E$10,AUX!$B:$B,AUX!$A:$A)</f>
        <v>#N/A</v>
      </c>
      <c r="N8" s="50"/>
      <c r="O8" s="50"/>
      <c r="P8" s="50"/>
      <c r="Q8" s="50"/>
    </row>
    <row r="9">
      <c r="B9" s="597" t="s">
        <v>101</v>
      </c>
      <c r="C9" s="597"/>
      <c r="D9" s="597"/>
      <c r="E9" s="597"/>
      <c r="I9" s="51" t="s">
        <v>1</v>
      </c>
      <c r="J9" s="51" t="str">
        <f>LOOKUP(AUX!$E$11,AUX!$E1:$E5,AUX!$D1:$D5)</f>
        <v>6 meses</v>
      </c>
      <c r="P9" s="50"/>
      <c r="Q9" s="50"/>
    </row>
    <row r="10">
      <c r="P10" s="50"/>
      <c r="Q10" s="50"/>
    </row>
    <row r="11">
      <c r="P11" s="50"/>
      <c r="Q11" s="50"/>
    </row>
    <row r="12">
      <c r="P12" s="50"/>
      <c r="Q12" s="50"/>
    </row>
    <row r="13" ht="13.5">
      <c r="P13" s="50"/>
      <c r="Q13" s="50"/>
    </row>
    <row r="14" ht="16.5" customHeight="1">
      <c r="C14" s="810" t="s">
        <v>102</v>
      </c>
      <c r="D14" s="811"/>
      <c r="E14" s="811"/>
      <c r="F14" s="811"/>
      <c r="G14" s="811"/>
      <c r="H14" s="811"/>
      <c r="I14" s="811"/>
      <c r="J14" s="811"/>
      <c r="K14" s="811"/>
      <c r="L14" s="811"/>
      <c r="M14" s="812"/>
      <c r="O14" s="50"/>
      <c r="P14" s="50"/>
    </row>
    <row r="15" ht="15.75">
      <c r="B15" s="164"/>
      <c r="C15" s="813" t="s">
        <v>245</v>
      </c>
      <c r="D15" s="814"/>
      <c r="E15" s="814"/>
      <c r="F15" s="814"/>
      <c r="G15" s="814"/>
      <c r="H15" s="814"/>
      <c r="I15" s="814"/>
      <c r="J15" s="814"/>
      <c r="K15" s="814"/>
      <c r="L15" s="814"/>
      <c r="M15" s="815"/>
      <c r="N15" s="164"/>
      <c r="O15" s="344"/>
      <c r="P15" s="50"/>
    </row>
    <row r="16" ht="15.75" customHeight="1">
      <c r="C16" s="141"/>
      <c r="D16" s="142"/>
      <c r="E16" s="142"/>
      <c r="F16" s="142"/>
      <c r="G16" s="142"/>
      <c r="H16" s="142"/>
      <c r="I16" s="142"/>
      <c r="J16" s="142"/>
      <c r="K16" s="142"/>
      <c r="L16" s="352"/>
      <c r="M16" s="143"/>
      <c r="O16" s="50"/>
      <c r="P16" s="50"/>
    </row>
    <row r="17" ht="15.75" customHeight="1">
      <c r="B17" s="209"/>
      <c r="C17" s="145" t="e">
        <f>INDEX(AUX!$G$1:$IV$1,1,AUX!$E$10+(AUX!$E$11*AUX!G$2))</f>
        <v>#VALUE!</v>
      </c>
      <c r="D17" s="146">
        <f>INDEX(AUX!$G$1:$IV$1,1,AUX!$E$10+(AUX!$E$11*AUX!H$2))</f>
        <v>38899</v>
      </c>
      <c r="E17" s="146">
        <f>INDEX(AUX!$G$1:$IV$1,1,AUX!$E$10+(AUX!$E$11*AUX!I$2))</f>
        <v>39083</v>
      </c>
      <c r="F17" s="146">
        <f>INDEX(AUX!$G$1:$IV$1,1,AUX!$E$10+(AUX!$E$11*AUX!J$2))</f>
        <v>39264</v>
      </c>
      <c r="G17" s="146">
        <f>INDEX(AUX!$G$1:$IV$1,1,AUX!$E$10+(AUX!$E$11*AUX!K$2))</f>
        <v>39448</v>
      </c>
      <c r="H17" s="146">
        <f>INDEX(AUX!$G$1:$IV$1,1,AUX!$E$10+(AUX!$E$11*AUX!L$2))</f>
        <v>39630</v>
      </c>
      <c r="I17" s="146">
        <f>INDEX(AUX!$G$1:$IV$1,1,AUX!$E$10+(AUX!$E$11*AUX!M$2))</f>
        <v>39814</v>
      </c>
      <c r="J17" s="146">
        <f>INDEX(AUX!$G$1:$IV$1,1,AUX!$E$10+(AUX!$E$11*AUX!N$2))</f>
        <v>39995</v>
      </c>
      <c r="K17" s="146">
        <f>INDEX(AUX!$G$1:$IV$1,1,AUX!$E$10+(AUX!$E$11*AUX!O$2))</f>
        <v>40179</v>
      </c>
      <c r="L17" s="146">
        <f>INDEX(AUX!$G$1:$IV$1,1,AUX!$E$10+(AUX!$E$11*AUX!P$2))</f>
        <v>40360</v>
      </c>
      <c r="M17" s="147">
        <f>INDEX(AUX!$G$1:$IV$1,1,AUX!$E$10+(AUX!$E$11*AUX!Q$2))</f>
        <v>40544</v>
      </c>
      <c r="N17" s="202"/>
      <c r="O17" s="50"/>
    </row>
    <row r="18" ht="15.75" customHeight="1">
      <c r="B18" s="288"/>
      <c r="C18" s="807" t="s">
        <v>104</v>
      </c>
      <c r="D18" s="808"/>
      <c r="E18" s="808"/>
      <c r="F18" s="808"/>
      <c r="G18" s="808"/>
      <c r="H18" s="808"/>
      <c r="I18" s="808"/>
      <c r="J18" s="808"/>
      <c r="K18" s="808"/>
      <c r="L18" s="808"/>
      <c r="M18" s="809"/>
      <c r="N18" s="202"/>
      <c r="O18" s="202"/>
    </row>
    <row r="19" ht="15.75" customHeight="1">
      <c r="B19" s="452" t="str">
        <f>INDEX($B$106:$H$125,$F$8,1)</f>
        <v>Total</v>
      </c>
      <c r="C19" s="289" t="str">
        <f>IF(INDEX($C$268:$II$287,$F$8,AUX!$E$10+(AUX!$E$11*AUX!G$2))="","--",IF(INDEX($C$268:$II$287,$F$8,AUX!$E$10+(AUX!$E$11*AUX!G$2))=0,"-",INDEX($C$268:$II$287,$F$8,AUX!$E$10+(AUX!$E$11*AUX!G$2))))</f>
        <v>--</v>
      </c>
      <c r="D19" s="290" t="str">
        <f>IF(INDEX($C$268:$II$287,$F$8,AUX!$E$10+(AUX!$E$11*AUX!H$2))="","--",IF(INDEX($C$268:$II$287,$F$8,AUX!$E$10+(AUX!$E$11*AUX!H$2))=0,"-",INDEX($C$268:$II$287,$F$8,AUX!$E$10+(AUX!$E$11*AUX!H$2))))</f>
        <v>--</v>
      </c>
      <c r="E19" s="290" t="str">
        <f>IF(INDEX($C$268:$II$287,$F$8,AUX!$E$10+(AUX!$E$11*AUX!I$2))="","--",IF(INDEX($C$268:$II$287,$F$8,AUX!$E$10+(AUX!$E$11*AUX!I$2))=0,"-",INDEX($C$268:$II$287,$F$8,AUX!$E$10+(AUX!$E$11*AUX!I$2))))</f>
        <v>--</v>
      </c>
      <c r="F19" s="290" t="str">
        <f>IF(INDEX($C$268:$II$287,$F$8,AUX!$E$10+(AUX!$E$11*AUX!J$2))="","--",IF(INDEX($C$268:$II$287,$F$8,AUX!$E$10+(AUX!$E$11*AUX!J$2))=0,"-",INDEX($C$268:$II$287,$F$8,AUX!$E$10+(AUX!$E$11*AUX!J$2))))</f>
        <v>--</v>
      </c>
      <c r="G19" s="290" t="str">
        <f>IF(INDEX($C$268:$II$287,$F$8,AUX!$E$10+(AUX!$E$11*AUX!K$2))="","--",IF(INDEX($C$268:$II$287,$F$8,AUX!$E$10+(AUX!$E$11*AUX!K$2))=0,"-",INDEX($C$268:$II$287,$F$8,AUX!$E$10+(AUX!$E$11*AUX!K$2))))</f>
        <v>--</v>
      </c>
      <c r="H19" s="290" t="str">
        <f>IF(INDEX($C$268:$II$287,$F$8,AUX!$E$10+(AUX!$E$11*AUX!L$2))="","--",IF(INDEX($C$268:$II$287,$F$8,AUX!$E$10+(AUX!$E$11*AUX!L$2))=0,"-",INDEX($C$268:$II$287,$F$8,AUX!$E$10+(AUX!$E$11*AUX!L$2))))</f>
        <v>--</v>
      </c>
      <c r="I19" s="290" t="str">
        <f>IF(INDEX($C$268:$II$287,$F$8,AUX!$E$10+(AUX!$E$11*AUX!M$2))="","--",IF(INDEX($C$268:$II$287,$F$8,AUX!$E$10+(AUX!$E$11*AUX!M$2))=0,"-",INDEX($C$268:$II$287,$F$8,AUX!$E$10+(AUX!$E$11*AUX!M$2))))</f>
        <v>--</v>
      </c>
      <c r="J19" s="290" t="str">
        <f>IF(INDEX($C$268:$II$287,$F$8,AUX!$E$10+(AUX!$E$11*AUX!N$2))="","--",IF(INDEX($C$268:$II$287,$F$8,AUX!$E$10+(AUX!$E$11*AUX!N$2))=0,"-",INDEX($C$268:$II$287,$F$8,AUX!$E$10+(AUX!$E$11*AUX!N$2))))</f>
        <v>--</v>
      </c>
      <c r="K19" s="290" t="str">
        <f>IF(INDEX($C$268:$II$287,$F$8,AUX!$E$10+(AUX!$E$11*AUX!O$2))="","--",IF(INDEX($C$268:$II$287,$F$8,AUX!$E$10+(AUX!$E$11*AUX!O$2))=0,"-",INDEX($C$268:$II$287,$F$8,AUX!$E$10+(AUX!$E$11*AUX!O$2))))</f>
        <v>--</v>
      </c>
      <c r="L19" s="290" t="str">
        <f>IF(INDEX($C$268:$II$287,$F$8,AUX!$E$10+(AUX!$E$11*AUX!P$2))="","--",IF(INDEX($C$268:$II$287,$F$8,AUX!$E$10+(AUX!$E$11*AUX!P$2))=0,"-",INDEX($C$268:$II$287,$F$8,AUX!$E$10+(AUX!$E$11*AUX!P$2))))</f>
        <v>--</v>
      </c>
      <c r="M19" s="291" t="str">
        <f>IF(INDEX($C$268:$II$287,$F$8,AUX!$E$10+(AUX!$E$11*AUX!Q$2))="","--",IF(INDEX($C$268:$II$287,$F$8,AUX!$E$10+(AUX!$E$11*AUX!Q$2))=0,"-",INDEX($C$268:$II$287,$F$8,AUX!$E$10+(AUX!$E$11*AUX!Q$2))))</f>
        <v>--</v>
      </c>
      <c r="N19" s="202"/>
      <c r="O19" s="202"/>
    </row>
    <row r="20" ht="15.75" customHeight="1">
      <c r="B20" s="209"/>
      <c r="C20" s="807" t="s">
        <v>105</v>
      </c>
      <c r="D20" s="808"/>
      <c r="E20" s="808"/>
      <c r="F20" s="808"/>
      <c r="G20" s="808"/>
      <c r="H20" s="808"/>
      <c r="I20" s="808"/>
      <c r="J20" s="808"/>
      <c r="K20" s="808"/>
      <c r="L20" s="808"/>
      <c r="M20" s="809"/>
      <c r="N20" s="202"/>
      <c r="O20" s="202"/>
    </row>
    <row r="21" ht="15.75" customHeight="1">
      <c r="B21" s="209"/>
      <c r="C21" s="289" t="str">
        <f>IF(INDEX($C$245:$II$264,$F$8,AUX!$E$10+(AUX!$E$11*AUX!G$2))="","--",IF(INDEX($C$245:$II$264,$F$8,AUX!$E$10+(AUX!$E$11*AUX!G$2))=0,"-",INDEX($C$245:$II$264,$F$8,AUX!$E$10+(AUX!$E$11*AUX!G$2))))</f>
        <v>--</v>
      </c>
      <c r="D21" s="290" t="str">
        <f>IF(INDEX($C$245:$II$264,$F$8,AUX!$E$10+(AUX!$E$11*AUX!H$2))="","--",IF(INDEX($C$245:$II$264,$F$8,AUX!$E$10+(AUX!$E$11*AUX!H$2))=0,"-",INDEX($C$245:$II$264,$F$8,AUX!$E$10+(AUX!$E$11*AUX!H$2))))</f>
        <v>--</v>
      </c>
      <c r="E21" s="290" t="str">
        <f>IF(INDEX($C$245:$II$264,$F$8,AUX!$E$10+(AUX!$E$11*AUX!I$2))="","--",IF(INDEX($C$245:$II$264,$F$8,AUX!$E$10+(AUX!$E$11*AUX!I$2))=0,"-",INDEX($C$245:$II$264,$F$8,AUX!$E$10+(AUX!$E$11*AUX!I$2))))</f>
        <v>--</v>
      </c>
      <c r="F21" s="290" t="str">
        <f>IF(INDEX($C$245:$II$264,$F$8,AUX!$E$10+(AUX!$E$11*AUX!J$2))="","--",IF(INDEX($C$245:$II$264,$F$8,AUX!$E$10+(AUX!$E$11*AUX!J$2))=0,"-",INDEX($C$245:$II$264,$F$8,AUX!$E$10+(AUX!$E$11*AUX!J$2))))</f>
        <v>--</v>
      </c>
      <c r="G21" s="290" t="str">
        <f>IF(INDEX($C$245:$II$264,$F$8,AUX!$E$10+(AUX!$E$11*AUX!K$2))="","--",IF(INDEX($C$245:$II$264,$F$8,AUX!$E$10+(AUX!$E$11*AUX!K$2))=0,"-",INDEX($C$245:$II$264,$F$8,AUX!$E$10+(AUX!$E$11*AUX!K$2))))</f>
        <v>--</v>
      </c>
      <c r="H21" s="290" t="str">
        <f>IF(INDEX($C$245:$II$264,$F$8,AUX!$E$10+(AUX!$E$11*AUX!L$2))="","--",IF(INDEX($C$245:$II$264,$F$8,AUX!$E$10+(AUX!$E$11*AUX!L$2))=0,"-",INDEX($C$245:$II$264,$F$8,AUX!$E$10+(AUX!$E$11*AUX!L$2))))</f>
        <v>--</v>
      </c>
      <c r="I21" s="290" t="str">
        <f>IF(INDEX($C$245:$II$264,$F$8,AUX!$E$10+(AUX!$E$11*AUX!M$2))="","--",IF(INDEX($C$245:$II$264,$F$8,AUX!$E$10+(AUX!$E$11*AUX!M$2))=0,"-",INDEX($C$245:$II$264,$F$8,AUX!$E$10+(AUX!$E$11*AUX!M$2))))</f>
        <v>--</v>
      </c>
      <c r="J21" s="290" t="str">
        <f>IF(INDEX($C$245:$II$264,$F$8,AUX!$E$10+(AUX!$E$11*AUX!N$2))="","--",IF(INDEX($C$245:$II$264,$F$8,AUX!$E$10+(AUX!$E$11*AUX!N$2))=0,"-",INDEX($C$245:$II$264,$F$8,AUX!$E$10+(AUX!$E$11*AUX!N$2))))</f>
        <v>--</v>
      </c>
      <c r="K21" s="290" t="str">
        <f>IF(INDEX($C$245:$II$264,$F$8,AUX!$E$10+(AUX!$E$11*AUX!O$2))="","--",IF(INDEX($C$245:$II$264,$F$8,AUX!$E$10+(AUX!$E$11*AUX!O$2))=0,"-",INDEX($C$245:$II$264,$F$8,AUX!$E$10+(AUX!$E$11*AUX!O$2))))</f>
        <v>--</v>
      </c>
      <c r="L21" s="290" t="str">
        <f>IF(INDEX($C$245:$II$264,$F$8,AUX!$E$10+(AUX!$E$11*AUX!P$2))="","--",IF(INDEX($C$245:$II$264,$F$8,AUX!$E$10+(AUX!$E$11*AUX!P$2))=0,"-",INDEX($C$245:$II$264,$F$8,AUX!$E$10+(AUX!$E$11*AUX!P$2))))</f>
        <v>--</v>
      </c>
      <c r="M21" s="291" t="str">
        <f>IF(INDEX($C$245:$II$264,$F$8,AUX!$E$10+(AUX!$E$11*AUX!Q$2))="","--",IF(INDEX($C$245:$II$264,$F$8,AUX!$E$10+(AUX!$E$11*AUX!Q$2))=0,"-",INDEX($C$245:$II$264,$F$8,AUX!$E$10+(AUX!$E$11*AUX!Q$2))))</f>
        <v>--</v>
      </c>
      <c r="N21" s="202"/>
    </row>
    <row r="22" ht="15.75" customHeight="1">
      <c r="B22" s="209"/>
      <c r="C22" s="807" t="s">
        <v>246</v>
      </c>
      <c r="D22" s="808"/>
      <c r="E22" s="808"/>
      <c r="F22" s="808"/>
      <c r="G22" s="808"/>
      <c r="H22" s="808"/>
      <c r="I22" s="808"/>
      <c r="J22" s="808"/>
      <c r="K22" s="808"/>
      <c r="L22" s="808"/>
      <c r="M22" s="809"/>
      <c r="N22" s="50"/>
      <c r="O22" s="50"/>
    </row>
    <row r="23" ht="15.75" customHeight="1">
      <c r="B23" s="209"/>
      <c r="C23" s="292" t="str">
        <f>IF(INDEX($C$198:$II$217,$F$8,AUX!$E$10+(AUX!$E$11*AUX!G$2))="","--",IF(INDEX($C$198:$II$217,$F$8,AUX!$E$10+(AUX!$E$11*AUX!G$2))=0,"-",INDEX($C$198:$II$217,$F$8,AUX!$E$10+(AUX!$E$11*AUX!G$2))))</f>
        <v>--</v>
      </c>
      <c r="D23" s="293" t="str">
        <f>IF(INDEX($C$198:$II$217,$F$8,AUX!$E$10+(AUX!$E$11*AUX!H$2))="","--",IF(INDEX($C$198:$II$217,$F$8,AUX!$E$10+(AUX!$E$11*AUX!H$2))=0,"-",INDEX($C$198:$II$217,$F$8,AUX!$E$10+(AUX!$E$11*AUX!H$2))))</f>
        <v>--</v>
      </c>
      <c r="E23" s="293" t="str">
        <f>IF(INDEX($C$198:$II$217,$F$8,AUX!$E$10+(AUX!$E$11*AUX!I$2))="","--",IF(INDEX($C$198:$II$217,$F$8,AUX!$E$10+(AUX!$E$11*AUX!I$2))=0,"-",INDEX($C$198:$II$217,$F$8,AUX!$E$10+(AUX!$E$11*AUX!I$2))))</f>
        <v>--</v>
      </c>
      <c r="F23" s="293" t="str">
        <f>IF(INDEX($C$198:$II$217,$F$8,AUX!$E$10+(AUX!$E$11*AUX!J$2))="","--",IF(INDEX($C$198:$II$217,$F$8,AUX!$E$10+(AUX!$E$11*AUX!J$2))=0,"-",INDEX($C$198:$II$217,$F$8,AUX!$E$10+(AUX!$E$11*AUX!J$2))))</f>
        <v>--</v>
      </c>
      <c r="G23" s="293" t="str">
        <f>IF(INDEX($C$198:$II$217,$F$8,AUX!$E$10+(AUX!$E$11*AUX!K$2))="","--",IF(INDEX($C$198:$II$217,$F$8,AUX!$E$10+(AUX!$E$11*AUX!K$2))=0,"-",INDEX($C$198:$II$217,$F$8,AUX!$E$10+(AUX!$E$11*AUX!K$2))))</f>
        <v>--</v>
      </c>
      <c r="H23" s="293" t="str">
        <f>IF(INDEX($C$198:$II$217,$F$8,AUX!$E$10+(AUX!$E$11*AUX!L$2))="","--",IF(INDEX($C$198:$II$217,$F$8,AUX!$E$10+(AUX!$E$11*AUX!L$2))=0,"-",INDEX($C$198:$II$217,$F$8,AUX!$E$10+(AUX!$E$11*AUX!L$2))))</f>
        <v>--</v>
      </c>
      <c r="I23" s="293" t="str">
        <f>IF(INDEX($C$198:$II$217,$F$8,AUX!$E$10+(AUX!$E$11*AUX!M$2))="","--",IF(INDEX($C$198:$II$217,$F$8,AUX!$E$10+(AUX!$E$11*AUX!M$2))=0,"-",INDEX($C$198:$II$217,$F$8,AUX!$E$10+(AUX!$E$11*AUX!M$2))))</f>
        <v>--</v>
      </c>
      <c r="J23" s="293" t="str">
        <f>IF(INDEX($C$198:$II$217,$F$8,AUX!$E$10+(AUX!$E$11*AUX!N$2))="","--",IF(INDEX($C$198:$II$217,$F$8,AUX!$E$10+(AUX!$E$11*AUX!N$2))=0,"-",INDEX($C$198:$II$217,$F$8,AUX!$E$10+(AUX!$E$11*AUX!N$2))))</f>
        <v>--</v>
      </c>
      <c r="K23" s="293" t="str">
        <f>IF(INDEX($C$198:$II$217,$F$8,AUX!$E$10+(AUX!$E$11*AUX!O$2))="","--",IF(INDEX($C$198:$II$217,$F$8,AUX!$E$10+(AUX!$E$11*AUX!O$2))=0,"-",INDEX($C$198:$II$217,$F$8,AUX!$E$10+(AUX!$E$11*AUX!O$2))))</f>
        <v>--</v>
      </c>
      <c r="L23" s="293" t="str">
        <f>IF(INDEX($C$198:$II$217,$F$8,AUX!$E$10+(AUX!$E$11*AUX!P$2))="","--",IF(INDEX($C$198:$II$217,$F$8,AUX!$E$10+(AUX!$E$11*AUX!P$2))=0,"-",INDEX($C$198:$II$217,$F$8,AUX!$E$10+(AUX!$E$11*AUX!P$2))))</f>
        <v>--</v>
      </c>
      <c r="M23" s="294" t="str">
        <f>IF(INDEX($C$198:$II$217,$F$8,AUX!$E$10+(AUX!$E$11*AUX!Q$2))="","--",IF(INDEX($C$198:$II$217,$F$8,AUX!$E$10+(AUX!$E$11*AUX!Q$2))=0,"-",INDEX($C$198:$II$217,$F$8,AUX!$E$10+(AUX!$E$11*AUX!Q$2))))</f>
        <v>--</v>
      </c>
    </row>
    <row r="24">
      <c r="C24" s="361"/>
      <c r="D24" s="361"/>
      <c r="E24" s="361"/>
      <c r="F24" s="361"/>
      <c r="G24" s="361"/>
      <c r="H24" s="361"/>
      <c r="I24" s="361"/>
      <c r="J24" s="361"/>
      <c r="K24" s="361"/>
      <c r="L24" s="361"/>
    </row>
    <row r="25">
      <c r="C25" s="361"/>
      <c r="D25" s="361"/>
      <c r="E25" s="361"/>
      <c r="F25" s="361"/>
      <c r="G25" s="361"/>
      <c r="H25" s="361"/>
      <c r="I25" s="361"/>
      <c r="J25" s="361"/>
      <c r="K25" s="361"/>
      <c r="L25" s="361"/>
    </row>
    <row r="26">
      <c r="C26" s="361"/>
      <c r="D26" s="361"/>
      <c r="E26" s="361"/>
      <c r="F26" s="361"/>
      <c r="G26" s="361"/>
      <c r="H26" s="361"/>
      <c r="I26" s="361"/>
      <c r="J26" s="361"/>
      <c r="K26" s="361"/>
      <c r="L26" s="361"/>
    </row>
    <row r="27">
      <c r="C27" s="354"/>
      <c r="D27" s="354"/>
      <c r="E27" s="354"/>
      <c r="F27" s="354"/>
      <c r="G27" s="354"/>
      <c r="H27" s="354"/>
      <c r="I27" s="354"/>
      <c r="J27" s="354"/>
      <c r="K27" s="354"/>
      <c r="L27" s="354"/>
    </row>
    <row r="28">
      <c r="C28" s="336"/>
      <c r="D28" s="336"/>
      <c r="E28" s="336"/>
      <c r="F28" s="336"/>
      <c r="G28" s="336"/>
      <c r="H28" s="336"/>
      <c r="I28" s="336"/>
      <c r="J28" s="336"/>
      <c r="K28" s="336"/>
      <c r="L28" s="336"/>
    </row>
    <row r="29">
      <c r="C29" s="354"/>
      <c r="D29" s="354"/>
      <c r="E29" s="354"/>
      <c r="F29" s="354"/>
      <c r="G29" s="354"/>
      <c r="H29" s="354"/>
      <c r="I29" s="354"/>
      <c r="J29" s="354"/>
      <c r="K29" s="354"/>
      <c r="L29" s="354"/>
    </row>
    <row r="30">
      <c r="C30" s="336"/>
      <c r="D30" s="336"/>
      <c r="E30" s="336"/>
      <c r="F30" s="336"/>
      <c r="G30" s="336"/>
      <c r="H30" s="336"/>
      <c r="I30" s="336"/>
      <c r="J30" s="336"/>
      <c r="K30" s="336"/>
      <c r="L30" s="336"/>
    </row>
    <row r="104" hidden="1" ht="13.5">
      <c r="C104" s="686" t="s">
        <v>216</v>
      </c>
      <c r="D104" s="687"/>
      <c r="E104" s="687"/>
      <c r="F104" s="687"/>
      <c r="G104" s="687"/>
      <c r="H104" s="687"/>
      <c r="I104" s="687"/>
      <c r="J104" s="687"/>
      <c r="K104" s="687"/>
      <c r="L104" s="687"/>
      <c r="M104" s="687"/>
      <c r="N104" s="687"/>
      <c r="O104" s="687"/>
      <c r="P104" s="687"/>
      <c r="Q104" s="687"/>
      <c r="R104" s="687"/>
      <c r="S104" s="687"/>
      <c r="T104" s="687"/>
      <c r="U104" s="687"/>
      <c r="V104" s="687"/>
      <c r="W104" s="687"/>
      <c r="X104" s="687"/>
      <c r="Y104" s="687"/>
      <c r="Z104" s="687"/>
      <c r="AA104" s="687"/>
      <c r="AB104" s="688"/>
    </row>
    <row r="105" hidden="1" ht="15" customHeight="1">
      <c r="C105" s="435" t="str">
        <f> IF(C125&lt;&gt;"",TEXT(AUX!G$1,"dd-MMM-aa"),"")</f>
      </c>
      <c r="D105" s="435" t="str">
        <f> IF(D125&lt;&gt;"",TEXT(AUX!H$1,"dd-MMM-aa"),"")</f>
      </c>
      <c r="E105" s="435" t="str">
        <f> IF(E125&lt;&gt;"",TEXT(AUX!I$1,"dd-MMM-aa"),"")</f>
      </c>
      <c r="F105" s="435" t="str">
        <f> IF(F125&lt;&gt;"",TEXT(AUX!J$1,"dd-MMM-aa"),"")</f>
      </c>
      <c r="G105" s="435" t="str">
        <f> IF(G125&lt;&gt;"",TEXT(AUX!K$1,"dd-MMM-aa"),"")</f>
      </c>
      <c r="H105" s="435" t="str">
        <f> IF(H125&lt;&gt;"",TEXT(AUX!L$1,"dd-MMM-aa"),"")</f>
      </c>
      <c r="I105" s="435" t="str">
        <f> IF(I125&lt;&gt;"",TEXT(AUX!M$1,"dd-MMM-aa"),"")</f>
      </c>
      <c r="J105" s="435" t="str">
        <f> IF(J125&lt;&gt;"",TEXT(AUX!N$1,"dd-MMM-aa"),"")</f>
      </c>
      <c r="K105" s="435" t="str">
        <f> IF(K125&lt;&gt;"",TEXT(AUX!O$1,"dd-MMM-aa"),"")</f>
      </c>
      <c r="L105" s="435" t="str">
        <f> IF(L125&lt;&gt;"",TEXT(AUX!P$1,"dd-MMM-aa"),"")</f>
      </c>
      <c r="M105" s="435" t="str">
        <f> IF(M125&lt;&gt;"",TEXT(AUX!Q$1,"dd-MMM-aa"),"")</f>
      </c>
      <c r="N105" s="435" t="str">
        <f> IF(N125&lt;&gt;"",TEXT(AUX!R$1,"dd-MMM-aa"),"")</f>
      </c>
      <c r="O105" s="435" t="str">
        <f> IF(O125&lt;&gt;"",TEXT(AUX!S$1,"dd-MMM-aa"),"")</f>
      </c>
      <c r="P105" s="435" t="str">
        <f> IF(P125&lt;&gt;"",TEXT(AUX!T$1,"dd-MMM-aa"),"")</f>
      </c>
      <c r="Q105" s="435" t="str">
        <f> IF(Q125&lt;&gt;"",TEXT(AUX!U$1,"dd-MMM-aa"),"")</f>
      </c>
      <c r="R105" s="435" t="str">
        <f> IF(R125&lt;&gt;"",TEXT(AUX!V$1,"dd-MMM-aa"),"")</f>
      </c>
      <c r="S105" s="435" t="str">
        <f> IF(S125&lt;&gt;"",TEXT(AUX!W$1,"dd-MMM-aa"),"")</f>
      </c>
      <c r="T105" s="435" t="str">
        <f> IF(T125&lt;&gt;"",TEXT(AUX!X$1,"dd-MMM-aa"),"")</f>
      </c>
      <c r="U105" s="435" t="str">
        <f> IF(U125&lt;&gt;"",TEXT(AUX!Y$1,"dd-MMM-aa"),"")</f>
      </c>
      <c r="V105" s="435" t="str">
        <f> IF(V125&lt;&gt;"",TEXT(AUX!Z$1,"dd-MMM-aa"),"")</f>
      </c>
      <c r="W105" s="435" t="str">
        <f> IF(W125&lt;&gt;"",TEXT(AUX!AA$1,"dd-MMM-aa"),"")</f>
      </c>
      <c r="X105" s="435" t="str">
        <f> IF(X125&lt;&gt;"",TEXT(AUX!AB$1,"dd-MMM-aa"),"")</f>
      </c>
      <c r="Y105" s="435" t="str">
        <f> IF(Y125&lt;&gt;"",TEXT(AUX!AC$1,"dd-MMM-aa"),"")</f>
      </c>
      <c r="Z105" s="435" t="str">
        <f> IF(Z125&lt;&gt;"",TEXT(AUX!AD$1,"dd-MMM-aa"),"")</f>
      </c>
      <c r="AA105" s="435" t="str">
        <f> IF(AA125&lt;&gt;"",TEXT(AUX!AE$1,"dd-MMM-aa"),"")</f>
      </c>
      <c r="AB105" s="497" t="str">
        <f> IF(AB125&lt;&gt;"",TEXT(AUX!AF$1,"dd-MMM-aa"),"")</f>
      </c>
      <c r="AC105" s="496" t="str">
        <f> IF(AC125&lt;&gt;"",TEXT(AUX!AG$1,"dd-MMM-aa"),"")</f>
      </c>
      <c r="AD105" s="496" t="str">
        <f> IF(AD125&lt;&gt;"",TEXT(AUX!AH$1,"dd-MMM-aa"),"")</f>
      </c>
      <c r="AE105" s="496" t="str">
        <f> IF(AE125&lt;&gt;"",TEXT(AUX!AI$1,"dd-MMM-aa"),"")</f>
      </c>
      <c r="AF105" s="496" t="str">
        <f> IF(AF125&lt;&gt;"",TEXT(AUX!AJ$1,"dd-MMM-aa"),"")</f>
      </c>
      <c r="AG105" s="496" t="str">
        <f> IF(AG125&lt;&gt;"",TEXT(AUX!AK$1,"dd-MMM-aa"),"")</f>
      </c>
      <c r="AH105" s="496" t="str">
        <f> IF(AH125&lt;&gt;"",TEXT(AUX!AL$1,"dd-MMM-aa"),"")</f>
      </c>
      <c r="AI105" s="496" t="str">
        <f> IF(AI125&lt;&gt;"",TEXT(AUX!AM$1,"dd-MMM-aa"),"")</f>
      </c>
      <c r="AJ105" s="496" t="str">
        <f> IF(AJ125&lt;&gt;"",TEXT(AUX!AN$1,"dd-MMM-aa"),"")</f>
      </c>
      <c r="AK105" s="496" t="str">
        <f> IF(AK125&lt;&gt;"",TEXT(AUX!AO$1,"dd-MMM-aa"),"")</f>
      </c>
      <c r="AL105" s="496" t="str">
        <f> IF(AL125&lt;&gt;"",TEXT(AUX!AP$1,"dd-MMM-aa"),"")</f>
      </c>
      <c r="AM105" s="496" t="str">
        <f> IF(AM125&lt;&gt;"",TEXT(AUX!AQ$1,"dd-MMM-aa"),"")</f>
      </c>
      <c r="AN105" s="496" t="str">
        <f> IF(AN125&lt;&gt;"",TEXT(AUX!AR$1,"dd-MMM-aa"),"")</f>
      </c>
      <c r="AO105" s="496" t="str">
        <f> IF(AO125&lt;&gt;"",TEXT(AUX!AS$1,"dd-MMM-aa"),"")</f>
      </c>
      <c r="AP105" s="496" t="str">
        <f> IF(AP125&lt;&gt;"",TEXT(AUX!AT$1,"dd-MMM-aa"),"")</f>
      </c>
      <c r="AQ105" s="496" t="str">
        <f> IF(AQ125&lt;&gt;"",TEXT(AUX!AU$1,"dd-MMM-aa"),"")</f>
      </c>
      <c r="AR105" s="496" t="str">
        <f> IF(AR125&lt;&gt;"",TEXT(AUX!AV$1,"dd-MMM-aa"),"")</f>
      </c>
      <c r="AS105" s="496" t="str">
        <f> IF(AS125&lt;&gt;"",TEXT(AUX!AW$1,"dd-MMM-aa"),"")</f>
      </c>
      <c r="AT105" s="496" t="str">
        <f> IF(AT125&lt;&gt;"",TEXT(AUX!AX$1,"dd-MMM-aa"),"")</f>
      </c>
      <c r="AU105" s="496" t="str">
        <f> IF(AU125&lt;&gt;"",TEXT(AUX!AY$1,"dd-MMM-aa"),"")</f>
      </c>
      <c r="AV105" s="496" t="str">
        <f> IF(AV125&lt;&gt;"",TEXT(AUX!AZ$1,"dd-MMM-aa"),"")</f>
      </c>
      <c r="AW105" s="496" t="str">
        <f> IF(AW125&lt;&gt;"",TEXT(AUX!BA$1,"dd-MMM-aa"),"")</f>
      </c>
      <c r="AX105" s="496" t="str">
        <f> IF(AX125&lt;&gt;"",TEXT(AUX!BB$1,"dd-MMM-aa"),"")</f>
      </c>
      <c r="AY105" s="496" t="str">
        <f> IF(AY125&lt;&gt;"",TEXT(AUX!BC$1,"dd-MMM-aa"),"")</f>
      </c>
      <c r="AZ105" s="496" t="str">
        <f> IF(AZ125&lt;&gt;"",TEXT(AUX!BD$1,"dd-MMM-aa"),"")</f>
      </c>
      <c r="BA105" s="496" t="str">
        <f> IF(BA125&lt;&gt;"",TEXT(AUX!BE$1,"dd-MMM-aa"),"")</f>
      </c>
      <c r="BB105" s="496" t="str">
        <f> IF(BB125&lt;&gt;"",TEXT(AUX!BF$1,"dd-MMM-aa"),"")</f>
      </c>
      <c r="BC105" s="496" t="str">
        <f> IF(BC125&lt;&gt;"",TEXT(AUX!BG$1,"dd-MMM-aa"),"")</f>
      </c>
      <c r="BD105" s="496" t="str">
        <f> IF(BD125&lt;&gt;"",TEXT(AUX!BH$1,"dd-MMM-aa"),"")</f>
      </c>
      <c r="BE105" s="496" t="str">
        <f> IF(BE125&lt;&gt;"",TEXT(AUX!BI$1,"dd-MMM-aa"),"")</f>
      </c>
      <c r="BF105" s="496" t="str">
        <f> IF(BF125&lt;&gt;"",TEXT(AUX!BJ$1,"dd-MMM-aa"),"")</f>
      </c>
      <c r="BG105" s="496" t="str">
        <f> IF(BG125&lt;&gt;"",TEXT(AUX!BK$1,"dd-MMM-aa"),"")</f>
      </c>
      <c r="BH105" s="496" t="str">
        <f> IF(BH125&lt;&gt;"",TEXT(AUX!BL$1,"dd-MMM-aa"),"")</f>
      </c>
      <c r="BI105" s="496" t="str">
        <f> IF(BI125&lt;&gt;"",TEXT(AUX!BM$1,"dd-MMM-aa"),"")</f>
      </c>
      <c r="BJ105" s="496" t="str">
        <f> IF(BJ125&lt;&gt;"",TEXT(AUX!BN$1,"dd-MMM-aa"),"")</f>
      </c>
      <c r="BK105" s="496" t="str">
        <f> IF(BK125&lt;&gt;"",TEXT(AUX!BO$1,"dd-MMM-aa"),"")</f>
      </c>
      <c r="BL105" s="496" t="str">
        <f> IF(BL125&lt;&gt;"",TEXT(AUX!BP$1,"dd-MMM-aa"),"")</f>
      </c>
      <c r="BM105" s="496" t="str">
        <f> IF(BM125&lt;&gt;"",TEXT(AUX!BQ$1,"dd-MMM-aa"),"")</f>
      </c>
      <c r="BN105" s="496" t="str">
        <f> IF(BN125&lt;&gt;"",TEXT(AUX!BR$1,"dd-MMM-aa"),"")</f>
      </c>
      <c r="BO105" s="496" t="str">
        <f> IF(BO125&lt;&gt;"",TEXT(AUX!BS$1,"dd-MMM-aa"),"")</f>
      </c>
      <c r="BP105" s="496" t="str">
        <f> IF(BP125&lt;&gt;"",TEXT(AUX!BT$1,"dd-MMM-aa"),"")</f>
      </c>
      <c r="BQ105" s="496" t="str">
        <f> IF(BQ125&lt;&gt;"",TEXT(AUX!BU$1,"dd-MMM-aa"),"")</f>
      </c>
      <c r="BR105" s="496" t="str">
        <f> IF(BR125&lt;&gt;"",TEXT(AUX!BV$1,"dd-MMM-aa"),"")</f>
      </c>
      <c r="BS105" s="496" t="str">
        <f> IF(BS125&lt;&gt;"",TEXT(AUX!BW$1,"dd-MMM-aa"),"")</f>
      </c>
      <c r="BT105" s="496" t="str">
        <f> IF(BT125&lt;&gt;"",TEXT(AUX!BX$1,"dd-MMM-aa"),"")</f>
      </c>
      <c r="BU105" s="496" t="str">
        <f> IF(BU125&lt;&gt;"",TEXT(AUX!BY$1,"dd-MMM-aa"),"")</f>
      </c>
      <c r="BV105" s="496" t="str">
        <f> IF(BV125&lt;&gt;"",TEXT(AUX!BZ$1,"dd-MMM-aa"),"")</f>
      </c>
      <c r="BW105" s="496" t="str">
        <f> IF(BW125&lt;&gt;"",TEXT(AUX!CA$1,"dd-MMM-aa"),"")</f>
      </c>
      <c r="BX105" s="496" t="str">
        <f> IF(BX125&lt;&gt;"",TEXT(AUX!CB$1,"dd-MMM-aa"),"")</f>
      </c>
      <c r="BY105" s="496" t="str">
        <f> IF(BY125&lt;&gt;"",TEXT(AUX!CC$1,"dd-MMM-aa"),"")</f>
      </c>
      <c r="BZ105" s="496" t="str">
        <f> IF(BZ125&lt;&gt;"",TEXT(AUX!CD$1,"dd-MMM-aa"),"")</f>
      </c>
      <c r="CA105" s="496" t="str">
        <f> IF(CA125&lt;&gt;"",TEXT(AUX!CE$1,"dd-MMM-aa"),"")</f>
      </c>
      <c r="CB105" s="496" t="str">
        <f> IF(CB125&lt;&gt;"",TEXT(AUX!CF$1,"dd-MMM-aa"),"")</f>
      </c>
      <c r="CC105" s="496" t="str">
        <f> IF(CC125&lt;&gt;"",TEXT(AUX!CG$1,"dd-MMM-aa"),"")</f>
      </c>
      <c r="CD105" s="496" t="str">
        <f> IF(CD125&lt;&gt;"",TEXT(AUX!CH$1,"dd-MMM-aa"),"")</f>
      </c>
      <c r="CE105" s="496" t="str">
        <f> IF(CE125&lt;&gt;"",TEXT(AUX!CI$1,"dd-MMM-aa"),"")</f>
      </c>
      <c r="CF105" s="496" t="str">
        <f> IF(CF125&lt;&gt;"",TEXT(AUX!CJ$1,"dd-MMM-aa"),"")</f>
      </c>
      <c r="CG105" s="496" t="str">
        <f> IF(CG125&lt;&gt;"",TEXT(AUX!CK$1,"dd-MMM-aa"),"")</f>
      </c>
      <c r="CH105" s="496" t="str">
        <f> IF(CH125&lt;&gt;"",TEXT(AUX!CL$1,"dd-MMM-aa"),"")</f>
      </c>
      <c r="CI105" s="496" t="str">
        <f> IF(CI125&lt;&gt;"",TEXT(AUX!CM$1,"dd-MMM-aa"),"")</f>
      </c>
      <c r="CJ105" s="496" t="str">
        <f> IF(CJ125&lt;&gt;"",TEXT(AUX!CN$1,"dd-MMM-aa"),"")</f>
      </c>
      <c r="CK105" s="496" t="str">
        <f> IF(CK125&lt;&gt;"",TEXT(AUX!CO$1,"dd-MMM-aa"),"")</f>
      </c>
      <c r="CL105" s="496" t="str">
        <f> IF(CL125&lt;&gt;"",TEXT(AUX!CP$1,"dd-MMM-aa"),"")</f>
      </c>
      <c r="CM105" s="496" t="str">
        <f> IF(CM125&lt;&gt;"",TEXT(AUX!CQ$1,"dd-MMM-aa"),"")</f>
      </c>
      <c r="CN105" s="496" t="str">
        <f> IF(CN125&lt;&gt;"",TEXT(AUX!CR$1,"dd-MMM-aa"),"")</f>
      </c>
      <c r="CO105" s="496" t="str">
        <f> IF(CO125&lt;&gt;"",TEXT(AUX!CS$1,"dd-MMM-aa"),"")</f>
      </c>
      <c r="CP105" s="496" t="str">
        <f> IF(CP125&lt;&gt;"",TEXT(AUX!CT$1,"dd-MMM-aa"),"")</f>
      </c>
      <c r="CQ105" s="496" t="str">
        <f> IF(CQ125&lt;&gt;"",TEXT(AUX!CU$1,"dd-MMM-aa"),"")</f>
      </c>
      <c r="CR105" s="496" t="str">
        <f> IF(CR125&lt;&gt;"",TEXT(AUX!CV$1,"dd-MMM-aa"),"")</f>
      </c>
      <c r="CS105" s="496" t="str">
        <f> IF(CS125&lt;&gt;"",TEXT(AUX!CW$1,"dd-MMM-aa"),"")</f>
      </c>
      <c r="CT105" s="496" t="str">
        <f> IF(CT125&lt;&gt;"",TEXT(AUX!CX$1,"dd-MMM-aa"),"")</f>
      </c>
      <c r="CU105" s="496" t="str">
        <f> IF(CU125&lt;&gt;"",TEXT(AUX!CY$1,"dd-MMM-aa"),"")</f>
      </c>
      <c r="CV105" s="496" t="str">
        <f> IF(CV125&lt;&gt;"",TEXT(AUX!CZ$1,"dd-MMM-aa"),"")</f>
      </c>
      <c r="CW105" s="496" t="str">
        <f> IF(CW125&lt;&gt;"",TEXT(AUX!DA$1,"dd-MMM-aa"),"")</f>
      </c>
      <c r="CX105" s="496" t="str">
        <f> IF(CX125&lt;&gt;"",TEXT(AUX!DB$1,"dd-MMM-aa"),"")</f>
      </c>
      <c r="CY105" s="496" t="str">
        <f> IF(CY125&lt;&gt;"",TEXT(AUX!DC$1,"dd-MMM-aa"),"")</f>
      </c>
      <c r="CZ105" s="496" t="str">
        <f> IF(CZ125&lt;&gt;"",TEXT(AUX!DD$1,"dd-MMM-aa"),"")</f>
      </c>
      <c r="DA105" s="496" t="str">
        <f> IF(DA125&lt;&gt;"",TEXT(AUX!DE$1,"dd-MMM-aa"),"")</f>
      </c>
      <c r="DB105" s="496" t="str">
        <f> IF(DB125&lt;&gt;"",TEXT(AUX!DF$1,"dd-MMM-aa"),"")</f>
      </c>
      <c r="DC105" s="496" t="str">
        <f> IF(DC125&lt;&gt;"",TEXT(AUX!DG$1,"dd-MMM-aa"),"")</f>
      </c>
      <c r="DD105" s="496" t="str">
        <f> IF(DD125&lt;&gt;"",TEXT(AUX!DH$1,"dd-MMM-aa"),"")</f>
      </c>
      <c r="DE105" s="496" t="str">
        <f> IF(DE125&lt;&gt;"",TEXT(AUX!DI$1,"dd-MMM-aa"),"")</f>
      </c>
      <c r="DF105" s="496" t="str">
        <f> IF(DF125&lt;&gt;"",TEXT(AUX!DJ$1,"dd-MMM-aa"),"")</f>
      </c>
      <c r="DG105" s="496" t="str">
        <f> IF(DG125&lt;&gt;"",TEXT(AUX!DK$1,"dd-MMM-aa"),"")</f>
      </c>
      <c r="DH105" s="496" t="str">
        <f> IF(DH125&lt;&gt;"",TEXT(AUX!DL$1,"dd-MMM-aa"),"")</f>
      </c>
      <c r="DI105" s="496" t="str">
        <f> IF(DI125&lt;&gt;"",TEXT(AUX!DM$1,"dd-MMM-aa"),"")</f>
      </c>
      <c r="DJ105" s="496" t="str">
        <f> IF(DJ125&lt;&gt;"",TEXT(AUX!DN$1,"dd-MMM-aa"),"")</f>
      </c>
      <c r="DK105" s="496" t="str">
        <f> IF(DK125&lt;&gt;"",TEXT(AUX!DO$1,"dd-MMM-aa"),"")</f>
      </c>
      <c r="DL105" s="496" t="str">
        <f> IF(DL125&lt;&gt;"",TEXT(AUX!DP$1,"dd-MMM-aa"),"")</f>
      </c>
      <c r="DM105" s="496" t="str">
        <f> IF(DM125&lt;&gt;"",TEXT(AUX!DQ$1,"dd-MMM-aa"),"")</f>
      </c>
      <c r="DN105" s="496" t="str">
        <f> IF(DN125&lt;&gt;"",TEXT(AUX!DR$1,"dd-MMM-aa"),"")</f>
      </c>
      <c r="DO105" s="496" t="str">
        <f> IF(DO125&lt;&gt;"",TEXT(AUX!DS$1,"dd-MMM-aa"),"")</f>
      </c>
      <c r="DP105" s="496" t="str">
        <f> IF(DP125&lt;&gt;"",TEXT(AUX!DT$1,"dd-MMM-aa"),"")</f>
      </c>
      <c r="DQ105" s="496" t="str">
        <f> IF(DQ125&lt;&gt;"",TEXT(AUX!DU$1,"dd-MMM-aa"),"")</f>
      </c>
      <c r="DR105" s="496" t="str">
        <f> IF(DR125&lt;&gt;"",TEXT(AUX!DV$1,"dd-MMM-aa"),"")</f>
      </c>
      <c r="DS105" s="496" t="str">
        <f> IF(DS125&lt;&gt;"",TEXT(AUX!DW$1,"dd-MMM-aa"),"")</f>
      </c>
      <c r="DT105" s="496" t="str">
        <f> IF(DT125&lt;&gt;"",TEXT(AUX!DX$1,"dd-MMM-aa"),"")</f>
      </c>
      <c r="DU105" s="496" t="str">
        <f> IF(DU125&lt;&gt;"",TEXT(AUX!DY$1,"dd-MMM-aa"),"")</f>
      </c>
      <c r="DV105" s="496" t="str">
        <f> IF(DV125&lt;&gt;"",TEXT(AUX!DZ$1,"dd-MMM-aa"),"")</f>
      </c>
      <c r="DW105" s="496" t="str">
        <f> IF(DW125&lt;&gt;"",TEXT(AUX!EA$1,"dd-MMM-aa"),"")</f>
      </c>
      <c r="DX105" s="496" t="str">
        <f> IF(DX125&lt;&gt;"",TEXT(AUX!EB$1,"dd-MMM-aa"),"")</f>
      </c>
      <c r="DY105" s="496" t="str">
        <f> IF(DY125&lt;&gt;"",TEXT(AUX!EC$1,"dd-MMM-aa"),"")</f>
      </c>
      <c r="DZ105" s="496" t="str">
        <f> IF(DZ125&lt;&gt;"",TEXT(AUX!ED$1,"dd-MMM-aa"),"")</f>
      </c>
      <c r="EA105" s="496" t="str">
        <f> IF(EA125&lt;&gt;"",TEXT(AUX!EE$1,"dd-MMM-aa"),"")</f>
      </c>
      <c r="EB105" s="496" t="str">
        <f> IF(EB125&lt;&gt;"",TEXT(AUX!EF$1,"dd-MMM-aa"),"")</f>
      </c>
      <c r="EC105" s="496" t="str">
        <f> IF(EC125&lt;&gt;"",TEXT(AUX!EG$1,"dd-MMM-aa"),"")</f>
      </c>
      <c r="ED105" s="496" t="str">
        <f> IF(ED125&lt;&gt;"",TEXT(AUX!EH$1,"dd-MMM-aa"),"")</f>
      </c>
      <c r="EE105" s="496" t="str">
        <f> IF(EE125&lt;&gt;"",TEXT(AUX!EI$1,"dd-MMM-aa"),"")</f>
      </c>
      <c r="EF105" s="496" t="str">
        <f> IF(EF125&lt;&gt;"",TEXT(AUX!EJ$1,"dd-MMM-aa"),"")</f>
      </c>
      <c r="EG105" s="496" t="str">
        <f> IF(EG125&lt;&gt;"",TEXT(AUX!EK$1,"dd-MMM-aa"),"")</f>
      </c>
      <c r="EH105" s="496" t="str">
        <f> IF(EH125&lt;&gt;"",TEXT(AUX!EL$1,"dd-MMM-aa"),"")</f>
      </c>
      <c r="EI105" s="496" t="str">
        <f> IF(EI125&lt;&gt;"",TEXT(AUX!EM$1,"dd-MMM-aa"),"")</f>
      </c>
      <c r="EJ105" s="496" t="str">
        <f> IF(EJ125&lt;&gt;"",TEXT(AUX!EN$1,"dd-MMM-aa"),"")</f>
      </c>
      <c r="EK105" s="496" t="str">
        <f> IF(EK125&lt;&gt;"",TEXT(AUX!EO$1,"dd-MMM-aa"),"")</f>
      </c>
      <c r="EL105" s="496" t="str">
        <f> IF(EL125&lt;&gt;"",TEXT(AUX!EP$1,"dd-MMM-aa"),"")</f>
      </c>
      <c r="EM105" s="496" t="str">
        <f> IF(EM125&lt;&gt;"",TEXT(AUX!EQ$1,"dd-MMM-aa"),"")</f>
      </c>
      <c r="EN105" s="496" t="str">
        <f> IF(EN125&lt;&gt;"",TEXT(AUX!ER$1,"dd-MMM-aa"),"")</f>
      </c>
      <c r="EO105" s="496" t="str">
        <f> IF(EO125&lt;&gt;"",TEXT(AUX!ES$1,"dd-MMM-aa"),"")</f>
      </c>
      <c r="EP105" s="496" t="str">
        <f> IF(EP125&lt;&gt;"",TEXT(AUX!ET$1,"dd-MMM-aa"),"")</f>
      </c>
      <c r="EQ105" s="496" t="str">
        <f> IF(EQ125&lt;&gt;"",TEXT(AUX!EU$1,"dd-MMM-aa"),"")</f>
      </c>
      <c r="ER105" s="496" t="str">
        <f> IF(ER125&lt;&gt;"",TEXT(AUX!EV$1,"dd-MMM-aa"),"")</f>
      </c>
      <c r="ES105" s="496" t="str">
        <f> IF(ES125&lt;&gt;"",TEXT(AUX!EW$1,"dd-MMM-aa"),"")</f>
      </c>
      <c r="ET105" s="496" t="str">
        <f> IF(ET125&lt;&gt;"",TEXT(AUX!EX$1,"dd-MMM-aa"),"")</f>
      </c>
      <c r="EU105" s="496" t="str">
        <f> IF(EU125&lt;&gt;"",TEXT(AUX!EY$1,"dd-MMM-aa"),"")</f>
      </c>
      <c r="EV105" s="496" t="str">
        <f> IF(EV125&lt;&gt;"",TEXT(AUX!EZ$1,"dd-MMM-aa"),"")</f>
      </c>
      <c r="EW105" s="496" t="str">
        <f> IF(EW125&lt;&gt;"",TEXT(AUX!FA$1,"dd-MMM-aa"),"")</f>
      </c>
      <c r="EX105" s="496" t="str">
        <f> IF(EX125&lt;&gt;"",TEXT(AUX!FB$1,"dd-MMM-aa"),"")</f>
      </c>
      <c r="EY105" s="496" t="str">
        <f> IF(EY125&lt;&gt;"",TEXT(AUX!FC$1,"dd-MMM-aa"),"")</f>
      </c>
      <c r="EZ105" s="496" t="str">
        <f> IF(EZ125&lt;&gt;"",TEXT(AUX!FD$1,"dd-MMM-aa"),"")</f>
      </c>
      <c r="FA105" s="496" t="str">
        <f> IF(FA125&lt;&gt;"",TEXT(AUX!FE$1,"dd-MMM-aa"),"")</f>
      </c>
      <c r="FB105" s="496" t="str">
        <f> IF(FB125&lt;&gt;"",TEXT(AUX!FF$1,"dd-MMM-aa"),"")</f>
      </c>
      <c r="FC105" s="496" t="str">
        <f> IF(FC125&lt;&gt;"",TEXT(AUX!FG$1,"dd-MMM-aa"),"")</f>
      </c>
      <c r="FD105" s="496" t="str">
        <f> IF(FD125&lt;&gt;"",TEXT(AUX!FH$1,"dd-MMM-aa"),"")</f>
      </c>
      <c r="FE105" s="496" t="str">
        <f> IF(FE125&lt;&gt;"",TEXT(AUX!FI$1,"dd-MMM-aa"),"")</f>
      </c>
      <c r="FF105" s="496" t="str">
        <f> IF(FF125&lt;&gt;"",TEXT(AUX!FJ$1,"dd-MMM-aa"),"")</f>
      </c>
      <c r="FG105" s="496" t="str">
        <f> IF(FG125&lt;&gt;"",TEXT(AUX!FK$1,"dd-MMM-aa"),"")</f>
      </c>
      <c r="FH105" s="496" t="str">
        <f> IF(FH125&lt;&gt;"",TEXT(AUX!FL$1,"dd-MMM-aa"),"")</f>
      </c>
      <c r="FI105" s="496" t="str">
        <f> IF(FI125&lt;&gt;"",TEXT(AUX!FM$1,"dd-MMM-aa"),"")</f>
      </c>
      <c r="FJ105" s="496" t="str">
        <f> IF(FJ125&lt;&gt;"",TEXT(AUX!FN$1,"dd-MMM-aa"),"")</f>
      </c>
      <c r="FK105" s="496" t="str">
        <f> IF(FK125&lt;&gt;"",TEXT(AUX!FO$1,"dd-MMM-aa"),"")</f>
      </c>
      <c r="FL105" s="496" t="str">
        <f> IF(FL125&lt;&gt;"",TEXT(AUX!FP$1,"dd-MMM-aa"),"")</f>
      </c>
      <c r="FM105" s="496" t="str">
        <f> IF(FM125&lt;&gt;"",TEXT(AUX!FQ$1,"dd-MMM-aa"),"")</f>
      </c>
      <c r="FN105" s="496" t="str">
        <f> IF(FN125&lt;&gt;"",TEXT(AUX!FR$1,"dd-MMM-aa"),"")</f>
      </c>
      <c r="FO105" s="496" t="str">
        <f> IF(FO125&lt;&gt;"",TEXT(AUX!FS$1,"dd-MMM-aa"),"")</f>
      </c>
      <c r="FP105" s="496" t="str">
        <f> IF(FP125&lt;&gt;"",TEXT(AUX!FT$1,"dd-MMM-aa"),"")</f>
      </c>
      <c r="FQ105" s="496" t="str">
        <f> IF(FQ125&lt;&gt;"",TEXT(AUX!FU$1,"dd-MMM-aa"),"")</f>
      </c>
      <c r="FR105" s="496" t="str">
        <f> IF(FR125&lt;&gt;"",TEXT(AUX!FV$1,"dd-MMM-aa"),"")</f>
      </c>
      <c r="FS105" s="496" t="str">
        <f> IF(FS125&lt;&gt;"",TEXT(AUX!FW$1,"dd-MMM-aa"),"")</f>
      </c>
      <c r="FT105" s="496" t="str">
        <f> IF(FT125&lt;&gt;"",TEXT(AUX!FX$1,"dd-MMM-aa"),"")</f>
      </c>
      <c r="FU105" s="496" t="str">
        <f> IF(FU125&lt;&gt;"",TEXT(AUX!FY$1,"dd-MMM-aa"),"")</f>
      </c>
      <c r="FV105" s="496" t="str">
        <f> IF(FV125&lt;&gt;"",TEXT(AUX!FZ$1,"dd-MMM-aa"),"")</f>
      </c>
      <c r="FW105" s="496" t="str">
        <f> IF(FW125&lt;&gt;"",TEXT(AUX!GA$1,"dd-MMM-aa"),"")</f>
      </c>
      <c r="FX105" s="496" t="str">
        <f> IF(FX125&lt;&gt;"",TEXT(AUX!GB$1,"dd-MMM-aa"),"")</f>
      </c>
      <c r="FY105" s="496" t="str">
        <f> IF(FY125&lt;&gt;"",TEXT(AUX!GC$1,"dd-MMM-aa"),"")</f>
      </c>
      <c r="FZ105" s="496" t="str">
        <f> IF(FZ125&lt;&gt;"",TEXT(AUX!GD$1,"dd-MMM-aa"),"")</f>
      </c>
      <c r="GA105" s="496" t="str">
        <f> IF(GA125&lt;&gt;"",TEXT(AUX!GE$1,"dd-MMM-aa"),"")</f>
      </c>
      <c r="GB105" s="496" t="str">
        <f> IF(GB125&lt;&gt;"",TEXT(AUX!GF$1,"dd-MMM-aa"),"")</f>
      </c>
      <c r="GC105" s="496" t="str">
        <f> IF(GC125&lt;&gt;"",TEXT(AUX!GG$1,"dd-MMM-aa"),"")</f>
      </c>
      <c r="GD105" s="496" t="str">
        <f> IF(GD125&lt;&gt;"",TEXT(AUX!GH$1,"dd-MMM-aa"),"")</f>
      </c>
      <c r="GE105" s="496" t="str">
        <f> IF(GE125&lt;&gt;"",TEXT(AUX!GI$1,"dd-MMM-aa"),"")</f>
      </c>
      <c r="GF105" s="496" t="str">
        <f> IF(GF125&lt;&gt;"",TEXT(AUX!GJ$1,"dd-MMM-aa"),"")</f>
      </c>
      <c r="GG105" s="496" t="str">
        <f> IF(GG125&lt;&gt;"",TEXT(AUX!GK$1,"dd-MMM-aa"),"")</f>
      </c>
      <c r="GH105" s="496" t="str">
        <f> IF(GH125&lt;&gt;"",TEXT(AUX!GL$1,"dd-MMM-aa"),"")</f>
      </c>
      <c r="GI105" s="496" t="str">
        <f> IF(GI125&lt;&gt;"",TEXT(AUX!GM$1,"dd-MMM-aa"),"")</f>
      </c>
      <c r="GJ105" s="496" t="str">
        <f> IF(GJ125&lt;&gt;"",TEXT(AUX!GN$1,"dd-MMM-aa"),"")</f>
      </c>
      <c r="GK105" s="496" t="str">
        <f> IF(GK125&lt;&gt;"",TEXT(AUX!GO$1,"dd-MMM-aa"),"")</f>
      </c>
      <c r="GL105" s="496" t="str">
        <f> IF(GL125&lt;&gt;"",TEXT(AUX!GP$1,"dd-MMM-aa"),"")</f>
      </c>
      <c r="GM105" s="496" t="str">
        <f> IF(GM125&lt;&gt;"",TEXT(AUX!GQ$1,"dd-MMM-aa"),"")</f>
      </c>
      <c r="GN105" s="496" t="str">
        <f> IF(GN125&lt;&gt;"",TEXT(AUX!GR$1,"dd-MMM-aa"),"")</f>
      </c>
      <c r="GO105" s="496" t="str">
        <f> IF(GO125&lt;&gt;"",TEXT(AUX!GS$1,"dd-MMM-aa"),"")</f>
      </c>
      <c r="GP105" s="496" t="str">
        <f> IF(GP125&lt;&gt;"",TEXT(AUX!GT$1,"dd-MMM-aa"),"")</f>
      </c>
      <c r="GQ105" s="496" t="str">
        <f> IF(GQ125&lt;&gt;"",TEXT(AUX!GU$1,"dd-MMM-aa"),"")</f>
      </c>
      <c r="GR105" s="496" t="str">
        <f> IF(GR125&lt;&gt;"",TEXT(AUX!GV$1,"dd-MMM-aa"),"")</f>
      </c>
      <c r="GS105" s="496" t="str">
        <f> IF(GS125&lt;&gt;"",TEXT(AUX!GW$1,"dd-MMM-aa"),"")</f>
      </c>
      <c r="GT105" s="496" t="str">
        <f> IF(GT125&lt;&gt;"",TEXT(AUX!GX$1,"dd-MMM-aa"),"")</f>
      </c>
      <c r="GU105" s="496" t="str">
        <f> IF(GU125&lt;&gt;"",TEXT(AUX!GY$1,"dd-MMM-aa"),"")</f>
      </c>
      <c r="GV105" s="496" t="str">
        <f> IF(GV125&lt;&gt;"",TEXT(AUX!GZ$1,"dd-MMM-aa"),"")</f>
      </c>
      <c r="GW105" s="496" t="str">
        <f> IF(GW125&lt;&gt;"",TEXT(AUX!HA$1,"dd-MMM-aa"),"")</f>
      </c>
      <c r="GX105" s="496" t="str">
        <f> IF(GX125&lt;&gt;"",TEXT(AUX!HB$1,"dd-MMM-aa"),"")</f>
      </c>
      <c r="GY105" s="496" t="str">
        <f> IF(GY125&lt;&gt;"",TEXT(AUX!HC$1,"dd-MMM-aa"),"")</f>
      </c>
      <c r="GZ105" s="496" t="str">
        <f> IF(GZ125&lt;&gt;"",TEXT(AUX!HD$1,"dd-MMM-aa"),"")</f>
      </c>
      <c r="HA105" s="496" t="str">
        <f> IF(HA125&lt;&gt;"",TEXT(AUX!HE$1,"dd-MMM-aa"),"")</f>
      </c>
      <c r="HB105" s="496" t="str">
        <f> IF(HB125&lt;&gt;"",TEXT(AUX!HF$1,"dd-MMM-aa"),"")</f>
      </c>
      <c r="HC105" s="496" t="str">
        <f> IF(HC125&lt;&gt;"",TEXT(AUX!HG$1,"dd-MMM-aa"),"")</f>
      </c>
      <c r="HD105" s="496" t="str">
        <f> IF(HD125&lt;&gt;"",TEXT(AUX!HH$1,"dd-MMM-aa"),"")</f>
      </c>
      <c r="HE105" s="496" t="str">
        <f> IF(HE125&lt;&gt;"",TEXT(AUX!HI$1,"dd-MMM-aa"),"")</f>
      </c>
      <c r="HF105" s="496" t="str">
        <f> IF(HF125&lt;&gt;"",TEXT(AUX!HJ$1,"dd-MMM-aa"),"")</f>
      </c>
      <c r="HG105" s="496" t="str">
        <f> IF(HG125&lt;&gt;"",TEXT(AUX!HK$1,"dd-MMM-aa"),"")</f>
      </c>
      <c r="HH105" s="496" t="str">
        <f> IF(HH125&lt;&gt;"",TEXT(AUX!HL$1,"dd-MMM-aa"),"")</f>
      </c>
      <c r="HI105" s="496" t="str">
        <f> IF(HI125&lt;&gt;"",TEXT(AUX!HM$1,"dd-MMM-aa"),"")</f>
      </c>
      <c r="HJ105" s="496" t="str">
        <f> IF(HJ125&lt;&gt;"",TEXT(AUX!HN$1,"dd-MMM-aa"),"")</f>
      </c>
      <c r="HK105" s="496" t="str">
        <f> IF(HK125&lt;&gt;"",TEXT(AUX!HO$1,"dd-MMM-aa"),"")</f>
      </c>
      <c r="HL105" s="496" t="str">
        <f> IF(HL125&lt;&gt;"",TEXT(AUX!HP$1,"dd-MMM-aa"),"")</f>
      </c>
      <c r="HM105" s="496" t="str">
        <f> IF(HM125&lt;&gt;"",TEXT(AUX!HQ$1,"dd-MMM-aa"),"")</f>
      </c>
      <c r="HN105" s="496" t="str">
        <f> IF(HN125&lt;&gt;"",TEXT(AUX!HR$1,"dd-MMM-aa"),"")</f>
      </c>
      <c r="HO105" s="496" t="str">
        <f> IF(HO125&lt;&gt;"",TEXT(AUX!HS$1,"dd-MMM-aa"),"")</f>
      </c>
      <c r="HP105" s="496" t="str">
        <f> IF(HP125&lt;&gt;"",TEXT(AUX!HT$1,"dd-MMM-aa"),"")</f>
      </c>
      <c r="HQ105" s="496" t="str">
        <f> IF(HQ125&lt;&gt;"",TEXT(AUX!HU$1,"dd-MMM-aa"),"")</f>
      </c>
      <c r="HR105" s="496" t="str">
        <f> IF(HR125&lt;&gt;"",TEXT(AUX!HV$1,"dd-MMM-aa"),"")</f>
      </c>
      <c r="HS105" s="496" t="str">
        <f> IF(HS125&lt;&gt;"",TEXT(AUX!HW$1,"dd-MMM-aa"),"")</f>
      </c>
      <c r="HT105" s="496" t="str">
        <f> IF(HT125&lt;&gt;"",TEXT(AUX!HX$1,"dd-MMM-aa"),"")</f>
      </c>
      <c r="HU105" s="496" t="str">
        <f> IF(HU125&lt;&gt;"",TEXT(AUX!HY$1,"dd-MMM-aa"),"")</f>
      </c>
      <c r="HV105" s="496" t="str">
        <f> IF(HV125&lt;&gt;"",TEXT(AUX!HZ$1,"dd-MMM-aa"),"")</f>
      </c>
      <c r="HW105" s="496" t="str">
        <f> IF(HW125&lt;&gt;"",TEXT(AUX!IA$1,"dd-MMM-aa"),"")</f>
      </c>
      <c r="HX105" s="496" t="str">
        <f> IF(HX125&lt;&gt;"",TEXT(AUX!IB$1,"dd-MMM-aa"),"")</f>
      </c>
      <c r="HY105" s="496" t="str">
        <f> IF(HY125&lt;&gt;"",TEXT(AUX!IC$1,"dd-MMM-aa"),"")</f>
      </c>
      <c r="HZ105" s="496" t="str">
        <f> IF(HZ125&lt;&gt;"",TEXT(AUX!ID$1,"dd-MMM-aa"),"")</f>
      </c>
      <c r="IA105" s="496" t="str">
        <f> IF(IA125&lt;&gt;"",TEXT(AUX!IE$1,"dd-MMM-aa"),"")</f>
      </c>
      <c r="IB105" s="496" t="str">
        <f> IF(IB125&lt;&gt;"",TEXT(AUX!IF$1,"dd-MMM-aa"),"")</f>
      </c>
      <c r="IC105" s="496" t="str">
        <f> IF(IC125&lt;&gt;"",TEXT(AUX!IG$1,"dd-MMM-aa"),"")</f>
      </c>
      <c r="ID105" s="496" t="str">
        <f> IF(ID125&lt;&gt;"",TEXT(AUX!IH$1,"dd-MMM-aa"),"")</f>
      </c>
      <c r="IE105" s="496" t="str">
        <f> IF(IE125&lt;&gt;"",TEXT(AUX!II$1,"dd-MMM-aa"),"")</f>
      </c>
      <c r="IF105" s="496" t="str">
        <f> IF(IF125&lt;&gt;"",TEXT(AUX!IJ$1,"dd-MMM-aa"),"")</f>
      </c>
      <c r="IG105" s="496" t="str">
        <f> IF(IG125&lt;&gt;"",TEXT(AUX!IK$1,"dd-MMM-aa"),"")</f>
      </c>
      <c r="IH105" s="496" t="str">
        <f> IF(IH125&lt;&gt;"",TEXT(AUX!IL$1,"dd-MMM-aa"),"")</f>
      </c>
      <c r="II105" s="496" t="str">
        <f> IF(II125&lt;&gt;"",TEXT(AUX!IM$1,"dd-MMM-aa"),"")</f>
      </c>
      <c r="IJ105" s="496" t="str">
        <f> IF(IJ125&lt;&gt;"",TEXT(AUX!IN$1,"dd-MMM-aa"),"")</f>
      </c>
      <c r="IK105" s="496" t="str">
        <f> IF(IK125&lt;&gt;"",TEXT(AUX!IO$1,"dd-MMM-aa"),"")</f>
      </c>
      <c r="IL105" s="496" t="str">
        <f> IF(IL125&lt;&gt;"",TEXT(AUX!IP$1,"dd-MMM-aa"),"")</f>
      </c>
      <c r="IM105" s="496" t="str">
        <f> IF(IM125&lt;&gt;"",TEXT(AUX!IQ$1,"dd-MMM-aa"),"")</f>
      </c>
      <c r="IN105" s="496" t="str">
        <f> IF(IN125&lt;&gt;"",TEXT(AUX!IR$1,"dd-MMM-aa"),"")</f>
      </c>
      <c r="IO105" s="496" t="str">
        <f> IF(IO125&lt;&gt;"",TEXT(AUX!IS$1,"dd-MMM-aa"),"")</f>
      </c>
      <c r="IP105" s="496" t="str">
        <f> IF(IP125&lt;&gt;"",TEXT(AUX!IT$1,"dd-MMM-aa"),"")</f>
      </c>
      <c r="IQ105" s="496" t="str">
        <f> IF(IQ125&lt;&gt;"",TEXT(AUX!IU$1,"dd-MMM-aa"),"")</f>
      </c>
      <c r="IR105" s="496" t="str">
        <f> IF(IR125&lt;&gt;"",TEXT(AUX!IV$1,"dd-MMM-aa"),"")</f>
      </c>
      <c r="IS105" s="496" t="str">
        <f> IF(IS125&lt;&gt;"",TEXT(AUX!#REF!,"dd-MMM-aa"),"")</f>
      </c>
      <c r="IT105" s="496" t="str">
        <f> IF(IT125&lt;&gt;"",TEXT(AUX!#REF!,"dd-MMM-aa"),"")</f>
      </c>
      <c r="IU105" s="496" t="str">
        <f> IF(IU125&lt;&gt;"",TEXT(AUX!#REF!,"dd-MMM-aa"),"")</f>
      </c>
      <c r="IV105" s="496" t="str">
        <f> IF(IV125&lt;&gt;"",TEXT(AUX!#REF!,"dd-MMM-aa"),"")</f>
      </c>
    </row>
    <row r="106" hidden="1">
      <c r="B106" s="822" t="s">
        <v>8</v>
      </c>
      <c r="C106" s="823">
        <v>0</v>
      </c>
      <c r="D106" s="823">
        <v>0</v>
      </c>
      <c r="E106" s="823">
        <v>0</v>
      </c>
      <c r="F106" s="823">
        <v>0</v>
      </c>
      <c r="G106" s="823">
        <v>0</v>
      </c>
      <c r="H106" s="823">
        <v>0</v>
      </c>
      <c r="I106" s="823">
        <v>0</v>
      </c>
      <c r="J106" s="823">
        <v>0</v>
      </c>
      <c r="K106" s="823">
        <v>0</v>
      </c>
      <c r="L106" s="823">
        <v>0</v>
      </c>
      <c r="M106" s="823">
        <v>0</v>
      </c>
      <c r="N106" s="823">
        <v>0</v>
      </c>
      <c r="O106" s="823">
        <v>0</v>
      </c>
      <c r="P106" s="823">
        <v>0</v>
      </c>
      <c r="Q106" s="823">
        <v>0</v>
      </c>
      <c r="R106" s="823">
        <v>0</v>
      </c>
      <c r="S106" s="823">
        <v>0</v>
      </c>
      <c r="T106" s="823">
        <v>0</v>
      </c>
      <c r="U106" s="823">
        <v>0</v>
      </c>
      <c r="V106" s="823">
        <v>0</v>
      </c>
      <c r="W106" s="823">
        <v>0</v>
      </c>
      <c r="X106" s="823">
        <v>0</v>
      </c>
      <c r="Y106" s="823">
        <v>0</v>
      </c>
      <c r="Z106" s="823">
        <v>0</v>
      </c>
      <c r="AA106" s="823">
        <v>0</v>
      </c>
      <c r="AB106" s="824">
        <v>0</v>
      </c>
      <c r="AC106" s="825">
        <v>273</v>
      </c>
      <c r="AD106" s="825">
        <v>1115</v>
      </c>
      <c r="AE106" s="825">
        <v>1099</v>
      </c>
      <c r="AF106" s="825">
        <v>1102</v>
      </c>
      <c r="AG106" s="825">
        <v>12991</v>
      </c>
      <c r="AH106" s="825">
        <v>11163</v>
      </c>
      <c r="AI106" s="825">
        <v>9370</v>
      </c>
      <c r="AJ106" s="825">
        <v>8888</v>
      </c>
      <c r="AK106" s="825">
        <v>7812</v>
      </c>
      <c r="AL106" s="825">
        <v>11340</v>
      </c>
      <c r="AM106" s="825">
        <v>5167</v>
      </c>
      <c r="AN106" s="825">
        <v>10063</v>
      </c>
      <c r="AO106" s="825">
        <v>7702</v>
      </c>
      <c r="AP106" s="825">
        <v>10170</v>
      </c>
    </row>
    <row r="107" hidden="1">
      <c r="B107" s="826" t="s">
        <v>9</v>
      </c>
      <c r="C107" s="827">
        <v>21291</v>
      </c>
      <c r="D107" s="827">
        <v>20771</v>
      </c>
      <c r="E107" s="827">
        <v>25441</v>
      </c>
      <c r="F107" s="827">
        <v>33314</v>
      </c>
      <c r="G107" s="827">
        <v>33570</v>
      </c>
      <c r="H107" s="827">
        <v>33570</v>
      </c>
      <c r="I107" s="827">
        <v>40692</v>
      </c>
      <c r="J107" s="827">
        <v>42654</v>
      </c>
      <c r="K107" s="827">
        <v>45074</v>
      </c>
      <c r="L107" s="827">
        <v>45024</v>
      </c>
      <c r="M107" s="827">
        <v>45247</v>
      </c>
      <c r="N107" s="827">
        <v>45357</v>
      </c>
      <c r="O107" s="827">
        <v>45357</v>
      </c>
      <c r="P107" s="827">
        <v>528877</v>
      </c>
      <c r="Q107" s="827">
        <v>362804</v>
      </c>
      <c r="R107" s="827">
        <v>296248</v>
      </c>
      <c r="S107" s="827">
        <v>428428</v>
      </c>
      <c r="T107" s="827">
        <v>443998</v>
      </c>
      <c r="U107" s="827">
        <v>429719</v>
      </c>
      <c r="V107" s="827">
        <v>432161</v>
      </c>
      <c r="W107" s="827">
        <v>486295</v>
      </c>
      <c r="X107" s="827">
        <v>469788</v>
      </c>
      <c r="Y107" s="827">
        <v>401472</v>
      </c>
      <c r="Z107" s="827">
        <v>373642</v>
      </c>
      <c r="AA107" s="827">
        <v>468572</v>
      </c>
      <c r="AB107" s="827">
        <v>457495</v>
      </c>
      <c r="AC107" s="828">
        <v>445756</v>
      </c>
      <c r="AD107" s="828">
        <v>438691</v>
      </c>
      <c r="AE107" s="828">
        <v>443799</v>
      </c>
      <c r="AF107" s="828">
        <v>458459</v>
      </c>
      <c r="AG107" s="828">
        <v>428726</v>
      </c>
      <c r="AH107" s="828">
        <v>419548</v>
      </c>
      <c r="AI107" s="828">
        <v>410791</v>
      </c>
      <c r="AJ107" s="828">
        <v>406791</v>
      </c>
      <c r="AK107" s="828">
        <v>361610</v>
      </c>
      <c r="AL107" s="828">
        <v>361610</v>
      </c>
      <c r="AM107" s="828">
        <v>334839</v>
      </c>
      <c r="AN107" s="828">
        <v>316464</v>
      </c>
      <c r="AO107" s="828">
        <v>317248</v>
      </c>
      <c r="AP107" s="828">
        <v>316786</v>
      </c>
    </row>
    <row r="108" hidden="1">
      <c r="B108" s="829" t="s">
        <v>10</v>
      </c>
      <c r="C108" s="823">
        <v>55532</v>
      </c>
      <c r="D108" s="823">
        <v>55532</v>
      </c>
      <c r="E108" s="823">
        <v>48068</v>
      </c>
      <c r="F108" s="823">
        <v>48068</v>
      </c>
      <c r="G108" s="823">
        <v>34967</v>
      </c>
      <c r="H108" s="823">
        <v>28921</v>
      </c>
      <c r="I108" s="823">
        <v>24371</v>
      </c>
      <c r="J108" s="823">
        <v>24371</v>
      </c>
      <c r="K108" s="823">
        <v>26181</v>
      </c>
      <c r="L108" s="823">
        <v>25981</v>
      </c>
      <c r="M108" s="823">
        <v>22551</v>
      </c>
      <c r="N108" s="823">
        <v>22551</v>
      </c>
      <c r="O108" s="823">
        <v>22726</v>
      </c>
      <c r="P108" s="823">
        <v>22726</v>
      </c>
      <c r="Q108" s="823">
        <v>14465</v>
      </c>
      <c r="R108" s="823">
        <v>17565</v>
      </c>
      <c r="S108" s="823">
        <v>17430</v>
      </c>
      <c r="T108" s="823">
        <v>14230</v>
      </c>
      <c r="U108" s="823">
        <v>13570</v>
      </c>
      <c r="V108" s="823">
        <v>13570</v>
      </c>
      <c r="W108" s="823">
        <v>13540</v>
      </c>
      <c r="X108" s="823">
        <v>10440</v>
      </c>
      <c r="Y108" s="823">
        <v>9930</v>
      </c>
      <c r="Z108" s="823">
        <v>9930</v>
      </c>
      <c r="AA108" s="823">
        <v>9428</v>
      </c>
      <c r="AB108" s="823">
        <v>9428</v>
      </c>
      <c r="AC108" s="825">
        <v>9960</v>
      </c>
      <c r="AD108" s="825">
        <v>9960</v>
      </c>
      <c r="AE108" s="825">
        <v>9423</v>
      </c>
      <c r="AF108" s="825">
        <v>9423</v>
      </c>
      <c r="AG108" s="825">
        <v>9474</v>
      </c>
      <c r="AH108" s="825">
        <v>6974</v>
      </c>
      <c r="AI108" s="825">
        <v>6884</v>
      </c>
      <c r="AJ108" s="825">
        <v>6884</v>
      </c>
      <c r="AK108" s="825">
        <v>6884</v>
      </c>
      <c r="AL108" s="825">
        <v>6884</v>
      </c>
      <c r="AM108" s="825">
        <v>99</v>
      </c>
      <c r="AN108" s="825">
        <v>99</v>
      </c>
      <c r="AO108" s="825">
        <v>158</v>
      </c>
      <c r="AP108" s="825">
        <v>161</v>
      </c>
    </row>
    <row r="109" hidden="1">
      <c r="B109" s="826" t="s">
        <v>11</v>
      </c>
      <c r="C109" s="827">
        <v>0</v>
      </c>
      <c r="D109" s="827">
        <v>0</v>
      </c>
      <c r="E109" s="827">
        <v>0</v>
      </c>
      <c r="F109" s="827">
        <v>0</v>
      </c>
      <c r="G109" s="827">
        <v>0</v>
      </c>
      <c r="H109" s="827">
        <v>0</v>
      </c>
      <c r="I109" s="827">
        <v>0</v>
      </c>
      <c r="J109" s="827">
        <v>0</v>
      </c>
      <c r="K109" s="827">
        <v>0</v>
      </c>
      <c r="L109" s="827">
        <v>0</v>
      </c>
      <c r="M109" s="827">
        <v>0</v>
      </c>
      <c r="N109" s="827">
        <v>0</v>
      </c>
      <c r="O109" s="827">
        <v>0</v>
      </c>
      <c r="P109" s="827">
        <v>0</v>
      </c>
      <c r="Q109" s="827">
        <v>0</v>
      </c>
      <c r="R109" s="827">
        <v>0</v>
      </c>
      <c r="S109" s="827">
        <v>0</v>
      </c>
      <c r="T109" s="827">
        <v>0</v>
      </c>
      <c r="U109" s="827">
        <v>0</v>
      </c>
      <c r="V109" s="827">
        <v>0</v>
      </c>
      <c r="W109" s="827">
        <v>0</v>
      </c>
      <c r="X109" s="827">
        <v>0</v>
      </c>
      <c r="Y109" s="827">
        <v>0</v>
      </c>
      <c r="Z109" s="827">
        <v>0</v>
      </c>
      <c r="AA109" s="827">
        <v>335</v>
      </c>
      <c r="AB109" s="827">
        <v>335</v>
      </c>
      <c r="AC109" s="828">
        <v>292</v>
      </c>
      <c r="AD109" s="828">
        <v>285</v>
      </c>
      <c r="AE109" s="828">
        <v>220</v>
      </c>
      <c r="AF109" s="828">
        <v>220</v>
      </c>
      <c r="AG109" s="828">
        <v>421</v>
      </c>
      <c r="AH109" s="828">
        <v>440</v>
      </c>
      <c r="AI109" s="828">
        <v>784</v>
      </c>
      <c r="AJ109" s="828">
        <v>846</v>
      </c>
      <c r="AK109" s="828">
        <v>733</v>
      </c>
      <c r="AL109" s="828">
        <v>737</v>
      </c>
      <c r="AM109" s="828">
        <v>1028</v>
      </c>
      <c r="AN109" s="828">
        <v>1038</v>
      </c>
      <c r="AO109" s="828">
        <v>873</v>
      </c>
      <c r="AP109" s="828">
        <v>865</v>
      </c>
    </row>
    <row r="110" hidden="1">
      <c r="B110" s="829" t="s">
        <v>12</v>
      </c>
      <c r="C110" s="823">
        <v>0</v>
      </c>
      <c r="D110" s="823">
        <v>0</v>
      </c>
      <c r="E110" s="823">
        <v>80</v>
      </c>
      <c r="F110" s="823">
        <v>2028</v>
      </c>
      <c r="G110" s="823">
        <v>40086</v>
      </c>
      <c r="H110" s="823">
        <v>40228</v>
      </c>
      <c r="I110" s="823">
        <v>60591</v>
      </c>
      <c r="J110" s="823">
        <v>61159</v>
      </c>
      <c r="K110" s="823">
        <v>62172</v>
      </c>
      <c r="L110" s="823">
        <v>50941</v>
      </c>
      <c r="M110" s="823">
        <v>58538</v>
      </c>
      <c r="N110" s="823">
        <v>51041</v>
      </c>
      <c r="O110" s="823">
        <v>39369</v>
      </c>
      <c r="P110" s="823">
        <v>38804</v>
      </c>
      <c r="Q110" s="823">
        <v>36468</v>
      </c>
      <c r="R110" s="823">
        <v>36511</v>
      </c>
      <c r="S110" s="823">
        <v>34318</v>
      </c>
      <c r="T110" s="823">
        <v>33318</v>
      </c>
      <c r="U110" s="823">
        <v>31029</v>
      </c>
      <c r="V110" s="823">
        <v>30780</v>
      </c>
      <c r="W110" s="823">
        <v>27702</v>
      </c>
      <c r="X110" s="823">
        <v>25657</v>
      </c>
      <c r="Y110" s="823">
        <v>25862</v>
      </c>
      <c r="Z110" s="823">
        <v>25284</v>
      </c>
      <c r="AA110" s="823">
        <v>26813</v>
      </c>
      <c r="AB110" s="823">
        <v>27117</v>
      </c>
      <c r="AC110" s="825">
        <v>23540</v>
      </c>
      <c r="AD110" s="825">
        <v>21478</v>
      </c>
      <c r="AE110" s="825">
        <v>21439</v>
      </c>
      <c r="AF110" s="825">
        <v>21127</v>
      </c>
      <c r="AG110" s="825">
        <v>18348</v>
      </c>
      <c r="AH110" s="825">
        <v>16157</v>
      </c>
      <c r="AI110" s="825">
        <v>17890</v>
      </c>
      <c r="AJ110" s="825">
        <v>15516</v>
      </c>
      <c r="AK110" s="825">
        <v>16691</v>
      </c>
      <c r="AL110" s="825">
        <v>15195</v>
      </c>
      <c r="AM110" s="825">
        <v>14958</v>
      </c>
      <c r="AN110" s="825">
        <v>14970</v>
      </c>
      <c r="AO110" s="825">
        <v>17756</v>
      </c>
      <c r="AP110" s="825">
        <v>17850</v>
      </c>
    </row>
    <row r="111" hidden="1">
      <c r="B111" s="826" t="s">
        <v>13</v>
      </c>
      <c r="C111" s="827">
        <v>49160</v>
      </c>
      <c r="D111" s="827">
        <v>49170</v>
      </c>
      <c r="E111" s="827">
        <v>55275</v>
      </c>
      <c r="F111" s="827">
        <v>55275</v>
      </c>
      <c r="G111" s="827">
        <v>68464</v>
      </c>
      <c r="H111" s="827">
        <v>67164</v>
      </c>
      <c r="I111" s="827">
        <v>67697</v>
      </c>
      <c r="J111" s="827">
        <v>67697</v>
      </c>
      <c r="K111" s="827">
        <v>61811</v>
      </c>
      <c r="L111" s="827">
        <v>53541</v>
      </c>
      <c r="M111" s="827">
        <v>23919</v>
      </c>
      <c r="N111" s="827">
        <v>23432</v>
      </c>
      <c r="O111" s="827">
        <v>45029</v>
      </c>
      <c r="P111" s="827">
        <v>45821</v>
      </c>
      <c r="Q111" s="827">
        <v>40783</v>
      </c>
      <c r="R111" s="827">
        <v>43774</v>
      </c>
      <c r="S111" s="827">
        <v>61105</v>
      </c>
      <c r="T111" s="827">
        <v>60749</v>
      </c>
      <c r="U111" s="827">
        <v>63380</v>
      </c>
      <c r="V111" s="827">
        <v>63196</v>
      </c>
      <c r="W111" s="827">
        <v>40744</v>
      </c>
      <c r="X111" s="827">
        <v>50852</v>
      </c>
      <c r="Y111" s="827">
        <v>67770</v>
      </c>
      <c r="Z111" s="827">
        <v>64470</v>
      </c>
      <c r="AA111" s="827">
        <v>74659</v>
      </c>
      <c r="AB111" s="827">
        <v>70459</v>
      </c>
      <c r="AC111" s="828">
        <v>60998</v>
      </c>
      <c r="AD111" s="828">
        <v>60998</v>
      </c>
      <c r="AE111" s="828">
        <v>55454</v>
      </c>
      <c r="AF111" s="828">
        <v>55456</v>
      </c>
      <c r="AG111" s="828">
        <v>42426</v>
      </c>
      <c r="AH111" s="828">
        <v>42426</v>
      </c>
      <c r="AI111" s="828">
        <v>45908</v>
      </c>
      <c r="AJ111" s="828">
        <v>43558</v>
      </c>
      <c r="AK111" s="828">
        <v>44668</v>
      </c>
      <c r="AL111" s="828">
        <v>44669</v>
      </c>
      <c r="AM111" s="828">
        <v>42824</v>
      </c>
      <c r="AN111" s="828">
        <v>42824</v>
      </c>
      <c r="AO111" s="828">
        <v>44224</v>
      </c>
      <c r="AP111" s="828">
        <v>44230</v>
      </c>
    </row>
    <row r="112" hidden="1">
      <c r="B112" s="829" t="s">
        <v>109</v>
      </c>
      <c r="C112" s="823">
        <v>526884</v>
      </c>
      <c r="D112" s="823">
        <v>513849</v>
      </c>
      <c r="E112" s="823">
        <v>506286</v>
      </c>
      <c r="F112" s="823">
        <v>478021</v>
      </c>
      <c r="G112" s="823">
        <v>416630</v>
      </c>
      <c r="H112" s="823">
        <v>421570</v>
      </c>
      <c r="I112" s="823">
        <v>433277</v>
      </c>
      <c r="J112" s="823">
        <v>412640</v>
      </c>
      <c r="K112" s="823">
        <v>409414</v>
      </c>
      <c r="L112" s="823">
        <v>409346</v>
      </c>
      <c r="M112" s="823">
        <v>357865</v>
      </c>
      <c r="N112" s="823">
        <v>357935</v>
      </c>
      <c r="O112" s="823">
        <v>363627</v>
      </c>
      <c r="P112" s="823">
        <v>364627</v>
      </c>
      <c r="Q112" s="823">
        <v>382425</v>
      </c>
      <c r="R112" s="823">
        <v>365700</v>
      </c>
      <c r="S112" s="823">
        <v>339730</v>
      </c>
      <c r="T112" s="823">
        <v>332889</v>
      </c>
      <c r="U112" s="823">
        <v>317405</v>
      </c>
      <c r="V112" s="823">
        <v>318825</v>
      </c>
      <c r="W112" s="823">
        <v>293810</v>
      </c>
      <c r="X112" s="823">
        <v>277490</v>
      </c>
      <c r="Y112" s="823">
        <v>334423</v>
      </c>
      <c r="Z112" s="823">
        <v>328637</v>
      </c>
      <c r="AA112" s="823">
        <v>311805</v>
      </c>
      <c r="AB112" s="823">
        <v>315005</v>
      </c>
      <c r="AC112" s="825">
        <v>320807</v>
      </c>
      <c r="AD112" s="825">
        <v>319507</v>
      </c>
      <c r="AE112" s="825">
        <v>338966</v>
      </c>
      <c r="AF112" s="825">
        <v>334436</v>
      </c>
      <c r="AG112" s="825">
        <v>245479</v>
      </c>
      <c r="AH112" s="825">
        <v>257471</v>
      </c>
      <c r="AI112" s="825">
        <v>246651</v>
      </c>
      <c r="AJ112" s="825">
        <v>236949</v>
      </c>
      <c r="AK112" s="825">
        <v>220234</v>
      </c>
      <c r="AL112" s="825">
        <v>212074</v>
      </c>
      <c r="AM112" s="825">
        <v>229678</v>
      </c>
      <c r="AN112" s="825">
        <v>229618</v>
      </c>
      <c r="AO112" s="825">
        <v>212856</v>
      </c>
      <c r="AP112" s="825">
        <v>205765</v>
      </c>
    </row>
    <row r="113" hidden="1">
      <c r="B113" s="826" t="s">
        <v>110</v>
      </c>
      <c r="C113" s="827">
        <v>0</v>
      </c>
      <c r="D113" s="827">
        <v>0</v>
      </c>
      <c r="E113" s="827">
        <v>0</v>
      </c>
      <c r="F113" s="827">
        <v>0</v>
      </c>
      <c r="G113" s="827">
        <v>0</v>
      </c>
      <c r="H113" s="827">
        <v>0</v>
      </c>
      <c r="I113" s="827">
        <v>0</v>
      </c>
      <c r="J113" s="827">
        <v>0</v>
      </c>
      <c r="K113" s="827">
        <v>784211</v>
      </c>
      <c r="L113" s="827">
        <v>799435</v>
      </c>
      <c r="M113" s="827">
        <v>834363</v>
      </c>
      <c r="N113" s="827">
        <v>835042</v>
      </c>
      <c r="O113" s="827">
        <v>904888</v>
      </c>
      <c r="P113" s="827">
        <v>941803</v>
      </c>
      <c r="Q113" s="827">
        <v>880492</v>
      </c>
      <c r="R113" s="827">
        <v>872654</v>
      </c>
      <c r="S113" s="827">
        <v>879452</v>
      </c>
      <c r="T113" s="827">
        <v>908105</v>
      </c>
      <c r="U113" s="827">
        <v>1035161</v>
      </c>
      <c r="V113" s="827">
        <v>1031864</v>
      </c>
      <c r="W113" s="827">
        <v>1044586</v>
      </c>
      <c r="X113" s="827">
        <v>1081433</v>
      </c>
      <c r="Y113" s="827">
        <v>1152532</v>
      </c>
      <c r="Z113" s="827">
        <v>1139253</v>
      </c>
      <c r="AA113" s="827">
        <v>1174416</v>
      </c>
      <c r="AB113" s="827">
        <v>1216270</v>
      </c>
      <c r="AC113" s="828">
        <v>1151020</v>
      </c>
      <c r="AD113" s="828">
        <v>1146582</v>
      </c>
      <c r="AE113" s="828">
        <v>1152334</v>
      </c>
      <c r="AF113" s="828">
        <v>1148899</v>
      </c>
      <c r="AG113" s="828">
        <v>1150319</v>
      </c>
      <c r="AH113" s="828">
        <v>1149350</v>
      </c>
      <c r="AI113" s="828">
        <v>1253334</v>
      </c>
      <c r="AJ113" s="828">
        <v>1234787</v>
      </c>
      <c r="AK113" s="828">
        <v>1217667</v>
      </c>
      <c r="AL113" s="828">
        <v>1204694</v>
      </c>
      <c r="AM113" s="828">
        <v>1193919</v>
      </c>
      <c r="AN113" s="828">
        <v>1191053</v>
      </c>
      <c r="AO113" s="828">
        <v>1118058</v>
      </c>
      <c r="AP113" s="828">
        <v>1116597</v>
      </c>
    </row>
    <row r="114" hidden="1">
      <c r="B114" s="829" t="s">
        <v>16</v>
      </c>
      <c r="C114" s="823">
        <v>1323113</v>
      </c>
      <c r="D114" s="823">
        <v>147688</v>
      </c>
      <c r="E114" s="823">
        <v>1363501</v>
      </c>
      <c r="F114" s="823">
        <v>1373098</v>
      </c>
      <c r="G114" s="823">
        <v>1439265</v>
      </c>
      <c r="H114" s="823">
        <v>1416993</v>
      </c>
      <c r="I114" s="823">
        <v>1353546</v>
      </c>
      <c r="J114" s="823">
        <v>1336313</v>
      </c>
      <c r="K114" s="823">
        <v>1360126</v>
      </c>
      <c r="L114" s="823">
        <v>1352299</v>
      </c>
      <c r="M114" s="823">
        <v>1319229</v>
      </c>
      <c r="N114" s="823">
        <v>1302722</v>
      </c>
      <c r="O114" s="823">
        <v>1289018</v>
      </c>
      <c r="P114" s="823">
        <v>1182145</v>
      </c>
      <c r="Q114" s="823">
        <v>1228127</v>
      </c>
      <c r="R114" s="823">
        <v>1108671</v>
      </c>
      <c r="S114" s="823">
        <v>1078249</v>
      </c>
      <c r="T114" s="823">
        <v>1064238</v>
      </c>
      <c r="U114" s="823">
        <v>1082617</v>
      </c>
      <c r="V114" s="823">
        <v>1066819</v>
      </c>
      <c r="W114" s="823">
        <v>1066819</v>
      </c>
      <c r="X114" s="823">
        <v>1066819</v>
      </c>
      <c r="Y114" s="823">
        <v>1066819</v>
      </c>
      <c r="Z114" s="823">
        <v>1066819</v>
      </c>
      <c r="AA114" s="823">
        <v>887443</v>
      </c>
      <c r="AB114" s="823">
        <v>869001</v>
      </c>
      <c r="AC114" s="825">
        <v>830191</v>
      </c>
      <c r="AD114" s="825">
        <v>813766</v>
      </c>
      <c r="AE114" s="825">
        <v>804010</v>
      </c>
      <c r="AF114" s="825">
        <v>748711</v>
      </c>
      <c r="AG114" s="825">
        <v>827684</v>
      </c>
      <c r="AH114" s="825">
        <v>820484</v>
      </c>
      <c r="AI114" s="825">
        <v>761311</v>
      </c>
      <c r="AJ114" s="825">
        <v>742362</v>
      </c>
      <c r="AK114" s="825">
        <v>706833</v>
      </c>
      <c r="AL114" s="825">
        <v>675942</v>
      </c>
      <c r="AM114" s="825">
        <v>655579</v>
      </c>
      <c r="AN114" s="825">
        <v>640489</v>
      </c>
      <c r="AO114" s="825">
        <v>631435</v>
      </c>
      <c r="AP114" s="825">
        <v>612013</v>
      </c>
    </row>
    <row r="115" hidden="1">
      <c r="B115" s="826" t="s">
        <v>17</v>
      </c>
      <c r="C115" s="827">
        <v>26331</v>
      </c>
      <c r="D115" s="827">
        <v>26896</v>
      </c>
      <c r="E115" s="827">
        <v>30374</v>
      </c>
      <c r="F115" s="827">
        <v>30704</v>
      </c>
      <c r="G115" s="827">
        <v>27084</v>
      </c>
      <c r="H115" s="827">
        <v>25969</v>
      </c>
      <c r="I115" s="827">
        <v>23328</v>
      </c>
      <c r="J115" s="827">
        <v>22244</v>
      </c>
      <c r="K115" s="827">
        <v>18485</v>
      </c>
      <c r="L115" s="827">
        <v>24754</v>
      </c>
      <c r="M115" s="827">
        <v>26762</v>
      </c>
      <c r="N115" s="827">
        <v>27492</v>
      </c>
      <c r="O115" s="827">
        <v>22051</v>
      </c>
      <c r="P115" s="827">
        <v>22692</v>
      </c>
      <c r="Q115" s="827">
        <v>17041</v>
      </c>
      <c r="R115" s="827">
        <v>17676</v>
      </c>
      <c r="S115" s="827">
        <v>18195</v>
      </c>
      <c r="T115" s="827">
        <v>18195</v>
      </c>
      <c r="U115" s="827">
        <v>18798</v>
      </c>
      <c r="V115" s="827">
        <v>18766</v>
      </c>
      <c r="W115" s="827">
        <v>9654</v>
      </c>
      <c r="X115" s="827">
        <v>9753</v>
      </c>
      <c r="Y115" s="827">
        <v>13729</v>
      </c>
      <c r="Z115" s="827">
        <v>13978</v>
      </c>
      <c r="AA115" s="827">
        <v>13875</v>
      </c>
      <c r="AB115" s="827">
        <v>13875</v>
      </c>
      <c r="AC115" s="828">
        <v>14558</v>
      </c>
      <c r="AD115" s="828">
        <v>14558</v>
      </c>
      <c r="AE115" s="828">
        <v>9478</v>
      </c>
      <c r="AF115" s="828">
        <v>9407</v>
      </c>
      <c r="AG115" s="828">
        <v>9264</v>
      </c>
      <c r="AH115" s="828">
        <v>9414</v>
      </c>
      <c r="AI115" s="828">
        <v>10172</v>
      </c>
      <c r="AJ115" s="828">
        <v>10172</v>
      </c>
      <c r="AK115" s="828">
        <v>11089</v>
      </c>
      <c r="AL115" s="828">
        <v>11089</v>
      </c>
      <c r="AM115" s="828">
        <v>11261</v>
      </c>
      <c r="AN115" s="828">
        <v>11261</v>
      </c>
      <c r="AO115" s="828">
        <v>9683</v>
      </c>
      <c r="AP115" s="828">
        <v>9683</v>
      </c>
    </row>
    <row r="116" hidden="1">
      <c r="B116" s="829" t="s">
        <v>18</v>
      </c>
      <c r="C116" s="823">
        <v>0</v>
      </c>
      <c r="D116" s="823">
        <v>0</v>
      </c>
      <c r="E116" s="823">
        <v>0</v>
      </c>
      <c r="F116" s="823">
        <v>0</v>
      </c>
      <c r="G116" s="823">
        <v>0</v>
      </c>
      <c r="H116" s="823">
        <v>0</v>
      </c>
      <c r="I116" s="823">
        <v>0</v>
      </c>
      <c r="J116" s="823">
        <v>0</v>
      </c>
      <c r="K116" s="823">
        <v>0</v>
      </c>
      <c r="L116" s="823">
        <v>0</v>
      </c>
      <c r="M116" s="823">
        <v>882655</v>
      </c>
      <c r="N116" s="823">
        <v>859991</v>
      </c>
      <c r="O116" s="823">
        <v>875620</v>
      </c>
      <c r="P116" s="823">
        <v>883739</v>
      </c>
      <c r="Q116" s="823">
        <v>989145</v>
      </c>
      <c r="R116" s="823">
        <v>968386</v>
      </c>
      <c r="S116" s="823">
        <v>996390</v>
      </c>
      <c r="T116" s="823">
        <v>988890</v>
      </c>
      <c r="U116" s="823">
        <v>1032059</v>
      </c>
      <c r="V116" s="823">
        <v>1058742</v>
      </c>
      <c r="W116" s="823">
        <v>1080519</v>
      </c>
      <c r="X116" s="823">
        <v>1059140</v>
      </c>
      <c r="Y116" s="823">
        <v>893239</v>
      </c>
      <c r="Z116" s="823">
        <v>790577</v>
      </c>
      <c r="AA116" s="823">
        <v>788114</v>
      </c>
      <c r="AB116" s="823">
        <v>734681</v>
      </c>
      <c r="AC116" s="825">
        <v>824988</v>
      </c>
      <c r="AD116" s="825">
        <v>796011</v>
      </c>
      <c r="AE116" s="825">
        <v>862574</v>
      </c>
      <c r="AF116" s="825">
        <v>848530</v>
      </c>
      <c r="AG116" s="825">
        <v>782358</v>
      </c>
      <c r="AH116" s="825">
        <v>758633</v>
      </c>
      <c r="AI116" s="825">
        <v>678279</v>
      </c>
      <c r="AJ116" s="825">
        <v>672109</v>
      </c>
      <c r="AK116" s="825">
        <v>684236</v>
      </c>
      <c r="AL116" s="825">
        <v>672626</v>
      </c>
      <c r="AM116" s="825">
        <v>633461</v>
      </c>
      <c r="AN116" s="825">
        <v>620461</v>
      </c>
      <c r="AO116" s="825">
        <v>504568</v>
      </c>
      <c r="AP116" s="825">
        <v>504568</v>
      </c>
    </row>
    <row r="117" hidden="1">
      <c r="B117" s="826" t="s">
        <v>19</v>
      </c>
      <c r="C117" s="827">
        <v>803</v>
      </c>
      <c r="D117" s="827">
        <v>7803</v>
      </c>
      <c r="E117" s="827">
        <v>10945</v>
      </c>
      <c r="F117" s="827">
        <v>10945</v>
      </c>
      <c r="G117" s="827">
        <v>10638</v>
      </c>
      <c r="H117" s="827">
        <v>10238</v>
      </c>
      <c r="I117" s="827">
        <v>9038</v>
      </c>
      <c r="J117" s="827">
        <v>9053</v>
      </c>
      <c r="K117" s="827">
        <v>8844</v>
      </c>
      <c r="L117" s="827">
        <v>8334</v>
      </c>
      <c r="M117" s="827">
        <v>1727</v>
      </c>
      <c r="N117" s="827">
        <v>1727</v>
      </c>
      <c r="O117" s="827">
        <v>7416</v>
      </c>
      <c r="P117" s="827">
        <v>4416</v>
      </c>
      <c r="Q117" s="827">
        <v>3791</v>
      </c>
      <c r="R117" s="827">
        <v>3791</v>
      </c>
      <c r="S117" s="827">
        <v>5153</v>
      </c>
      <c r="T117" s="827">
        <v>5153</v>
      </c>
      <c r="U117" s="827">
        <v>3994</v>
      </c>
      <c r="V117" s="827">
        <v>4006</v>
      </c>
      <c r="W117" s="827">
        <v>2796</v>
      </c>
      <c r="X117" s="827">
        <v>2726</v>
      </c>
      <c r="Y117" s="827">
        <v>2229</v>
      </c>
      <c r="Z117" s="827">
        <v>2334</v>
      </c>
      <c r="AA117" s="827">
        <v>2245</v>
      </c>
      <c r="AB117" s="827">
        <v>2085</v>
      </c>
      <c r="AC117" s="828">
        <v>2187</v>
      </c>
      <c r="AD117" s="828">
        <v>2187</v>
      </c>
      <c r="AE117" s="828">
        <v>1660</v>
      </c>
      <c r="AF117" s="828">
        <v>1660</v>
      </c>
      <c r="AG117" s="828">
        <v>3360</v>
      </c>
      <c r="AH117" s="828">
        <v>3360</v>
      </c>
      <c r="AI117" s="828">
        <v>3357</v>
      </c>
      <c r="AJ117" s="828">
        <v>3357</v>
      </c>
      <c r="AK117" s="828">
        <v>3357</v>
      </c>
      <c r="AL117" s="828">
        <v>3357</v>
      </c>
      <c r="AM117" s="828">
        <v>3357</v>
      </c>
      <c r="AN117" s="828">
        <v>3354</v>
      </c>
      <c r="AO117" s="828">
        <v>2615</v>
      </c>
      <c r="AP117" s="828">
        <v>2611</v>
      </c>
    </row>
    <row r="118" hidden="1">
      <c r="B118" s="829" t="s">
        <v>20</v>
      </c>
      <c r="C118" s="823">
        <v>122952</v>
      </c>
      <c r="D118" s="823">
        <v>124452</v>
      </c>
      <c r="E118" s="823">
        <v>124902</v>
      </c>
      <c r="F118" s="823">
        <v>143550</v>
      </c>
      <c r="G118" s="823">
        <v>121459</v>
      </c>
      <c r="H118" s="823">
        <v>121959</v>
      </c>
      <c r="I118" s="823">
        <v>116759</v>
      </c>
      <c r="J118" s="823">
        <v>116759</v>
      </c>
      <c r="K118" s="823">
        <v>106059</v>
      </c>
      <c r="L118" s="823">
        <v>106209</v>
      </c>
      <c r="M118" s="823">
        <v>111319</v>
      </c>
      <c r="N118" s="823">
        <v>104693</v>
      </c>
      <c r="O118" s="823">
        <v>114848</v>
      </c>
      <c r="P118" s="823">
        <v>114848</v>
      </c>
      <c r="Q118" s="823">
        <v>96291</v>
      </c>
      <c r="R118" s="823">
        <v>96094</v>
      </c>
      <c r="S118" s="823">
        <v>123323</v>
      </c>
      <c r="T118" s="823">
        <v>121463</v>
      </c>
      <c r="U118" s="823">
        <v>125359</v>
      </c>
      <c r="V118" s="823">
        <v>117356</v>
      </c>
      <c r="W118" s="823">
        <v>64041</v>
      </c>
      <c r="X118" s="823">
        <v>65641</v>
      </c>
      <c r="Y118" s="823">
        <v>60526</v>
      </c>
      <c r="Z118" s="823">
        <v>67526</v>
      </c>
      <c r="AA118" s="823">
        <v>84778</v>
      </c>
      <c r="AB118" s="823">
        <v>84778</v>
      </c>
      <c r="AC118" s="825">
        <v>61174</v>
      </c>
      <c r="AD118" s="825">
        <v>61174</v>
      </c>
      <c r="AE118" s="825">
        <v>102667</v>
      </c>
      <c r="AF118" s="825">
        <v>102567</v>
      </c>
      <c r="AG118" s="825">
        <v>45374</v>
      </c>
      <c r="AH118" s="825">
        <v>45374</v>
      </c>
      <c r="AI118" s="825">
        <v>91488</v>
      </c>
      <c r="AJ118" s="825">
        <v>91478</v>
      </c>
      <c r="AK118" s="825">
        <v>52753</v>
      </c>
      <c r="AL118" s="825">
        <v>48753</v>
      </c>
      <c r="AM118" s="825">
        <v>69923</v>
      </c>
      <c r="AN118" s="825">
        <v>70323</v>
      </c>
      <c r="AO118" s="825">
        <v>58487</v>
      </c>
      <c r="AP118" s="825">
        <v>58587</v>
      </c>
    </row>
    <row r="119" hidden="1">
      <c r="B119" s="826" t="s">
        <v>21</v>
      </c>
      <c r="C119" s="827">
        <v>225726</v>
      </c>
      <c r="D119" s="827">
        <v>236728</v>
      </c>
      <c r="E119" s="827">
        <v>220516</v>
      </c>
      <c r="F119" s="827">
        <v>234416</v>
      </c>
      <c r="G119" s="827">
        <v>270855</v>
      </c>
      <c r="H119" s="827">
        <v>269655</v>
      </c>
      <c r="I119" s="827">
        <v>263770</v>
      </c>
      <c r="J119" s="827">
        <v>263791</v>
      </c>
      <c r="K119" s="827">
        <v>241358</v>
      </c>
      <c r="L119" s="827">
        <v>241333</v>
      </c>
      <c r="M119" s="827">
        <v>244515</v>
      </c>
      <c r="N119" s="827">
        <v>246200</v>
      </c>
      <c r="O119" s="827">
        <v>197729</v>
      </c>
      <c r="P119" s="827">
        <v>201352</v>
      </c>
      <c r="Q119" s="827">
        <v>185298</v>
      </c>
      <c r="R119" s="827">
        <v>177998</v>
      </c>
      <c r="S119" s="827">
        <v>151541</v>
      </c>
      <c r="T119" s="827">
        <v>133741</v>
      </c>
      <c r="U119" s="827">
        <v>128753</v>
      </c>
      <c r="V119" s="827">
        <v>124553</v>
      </c>
      <c r="W119" s="827">
        <v>102891</v>
      </c>
      <c r="X119" s="827">
        <v>118891</v>
      </c>
      <c r="Y119" s="827">
        <v>124405</v>
      </c>
      <c r="Z119" s="827">
        <v>124410</v>
      </c>
      <c r="AA119" s="827">
        <v>129196</v>
      </c>
      <c r="AB119" s="827">
        <v>129196</v>
      </c>
      <c r="AC119" s="828">
        <v>133548</v>
      </c>
      <c r="AD119" s="828">
        <v>126548</v>
      </c>
      <c r="AE119" s="828">
        <v>125261</v>
      </c>
      <c r="AF119" s="828">
        <v>125517</v>
      </c>
      <c r="AG119" s="828">
        <v>134065</v>
      </c>
      <c r="AH119" s="828">
        <v>134065</v>
      </c>
      <c r="AI119" s="828">
        <v>129958</v>
      </c>
      <c r="AJ119" s="828">
        <v>125730</v>
      </c>
      <c r="AK119" s="828">
        <v>126497</v>
      </c>
      <c r="AL119" s="828">
        <v>126497</v>
      </c>
      <c r="AM119" s="828">
        <v>59966</v>
      </c>
      <c r="AN119" s="828">
        <v>35966</v>
      </c>
      <c r="AO119" s="828">
        <v>78768</v>
      </c>
      <c r="AP119" s="828">
        <v>78768</v>
      </c>
    </row>
    <row r="120" hidden="1">
      <c r="B120" s="829" t="s">
        <v>22</v>
      </c>
      <c r="C120" s="823">
        <v>0</v>
      </c>
      <c r="D120" s="823">
        <v>0</v>
      </c>
      <c r="E120" s="823">
        <v>0</v>
      </c>
      <c r="F120" s="823">
        <v>0</v>
      </c>
      <c r="G120" s="823">
        <v>0</v>
      </c>
      <c r="H120" s="823">
        <v>0</v>
      </c>
      <c r="I120" s="823">
        <v>0</v>
      </c>
      <c r="J120" s="823">
        <v>0</v>
      </c>
      <c r="K120" s="823">
        <v>0</v>
      </c>
      <c r="L120" s="823">
        <v>0</v>
      </c>
      <c r="M120" s="823">
        <v>0</v>
      </c>
      <c r="N120" s="823">
        <v>0</v>
      </c>
      <c r="O120" s="823">
        <v>10700</v>
      </c>
      <c r="P120" s="823">
        <v>82225</v>
      </c>
      <c r="Q120" s="823">
        <v>478416</v>
      </c>
      <c r="R120" s="823">
        <v>476916</v>
      </c>
      <c r="S120" s="823">
        <v>87130</v>
      </c>
      <c r="T120" s="823">
        <v>87130</v>
      </c>
      <c r="U120" s="823">
        <v>163770</v>
      </c>
      <c r="V120" s="823">
        <v>163786</v>
      </c>
      <c r="W120" s="823">
        <v>153456</v>
      </c>
      <c r="X120" s="823">
        <v>153456</v>
      </c>
      <c r="Y120" s="823">
        <v>180345</v>
      </c>
      <c r="Z120" s="823">
        <v>175845</v>
      </c>
      <c r="AA120" s="823">
        <v>159147</v>
      </c>
      <c r="AB120" s="823">
        <v>139147</v>
      </c>
      <c r="AC120" s="825">
        <v>142805</v>
      </c>
      <c r="AD120" s="825">
        <v>142805</v>
      </c>
      <c r="AE120" s="825">
        <v>146123</v>
      </c>
      <c r="AF120" s="825">
        <v>142123</v>
      </c>
      <c r="AG120" s="825">
        <v>101162</v>
      </c>
      <c r="AH120" s="825">
        <v>101162</v>
      </c>
      <c r="AI120" s="825">
        <v>138837</v>
      </c>
      <c r="AJ120" s="825">
        <v>138865</v>
      </c>
      <c r="AK120" s="825">
        <v>94188</v>
      </c>
      <c r="AL120" s="825">
        <v>89238</v>
      </c>
      <c r="AM120" s="825">
        <v>79070</v>
      </c>
      <c r="AN120" s="825">
        <v>63054</v>
      </c>
      <c r="AO120" s="825">
        <v>68003</v>
      </c>
      <c r="AP120" s="825">
        <v>68003</v>
      </c>
    </row>
    <row r="121" hidden="1">
      <c r="B121" s="826" t="s">
        <v>23</v>
      </c>
      <c r="C121" s="827">
        <v>59131</v>
      </c>
      <c r="D121" s="827">
        <v>59131</v>
      </c>
      <c r="E121" s="827">
        <v>57040</v>
      </c>
      <c r="F121" s="827">
        <v>56290</v>
      </c>
      <c r="G121" s="827">
        <v>61464</v>
      </c>
      <c r="H121" s="827">
        <v>61464</v>
      </c>
      <c r="I121" s="827">
        <v>63900</v>
      </c>
      <c r="J121" s="827">
        <v>63900</v>
      </c>
      <c r="K121" s="827">
        <v>54221</v>
      </c>
      <c r="L121" s="827">
        <v>54221</v>
      </c>
      <c r="M121" s="827">
        <v>52616</v>
      </c>
      <c r="N121" s="827">
        <v>52616</v>
      </c>
      <c r="O121" s="827">
        <v>107315</v>
      </c>
      <c r="P121" s="827">
        <v>107315</v>
      </c>
      <c r="Q121" s="827">
        <v>56340</v>
      </c>
      <c r="R121" s="827">
        <v>56340</v>
      </c>
      <c r="S121" s="827">
        <v>47107</v>
      </c>
      <c r="T121" s="827">
        <v>47107</v>
      </c>
      <c r="U121" s="827">
        <v>59728</v>
      </c>
      <c r="V121" s="827">
        <v>57928</v>
      </c>
      <c r="W121" s="827">
        <v>51576</v>
      </c>
      <c r="X121" s="827">
        <v>51576</v>
      </c>
      <c r="Y121" s="827">
        <v>54686</v>
      </c>
      <c r="Z121" s="827">
        <v>54686</v>
      </c>
      <c r="AA121" s="827">
        <v>44635</v>
      </c>
      <c r="AB121" s="827">
        <v>44635</v>
      </c>
      <c r="AC121" s="828">
        <v>43315</v>
      </c>
      <c r="AD121" s="828">
        <v>43315</v>
      </c>
      <c r="AE121" s="828">
        <v>51051</v>
      </c>
      <c r="AF121" s="828">
        <v>51051</v>
      </c>
      <c r="AG121" s="828">
        <v>47409</v>
      </c>
      <c r="AH121" s="828">
        <v>43909</v>
      </c>
      <c r="AI121" s="828">
        <v>44826</v>
      </c>
      <c r="AJ121" s="828">
        <v>44826</v>
      </c>
      <c r="AK121" s="828">
        <v>29773</v>
      </c>
      <c r="AL121" s="828">
        <v>27773</v>
      </c>
      <c r="AM121" s="828">
        <v>21121</v>
      </c>
      <c r="AN121" s="828">
        <v>21121</v>
      </c>
      <c r="AO121" s="828">
        <v>33509</v>
      </c>
      <c r="AP121" s="828">
        <v>33509</v>
      </c>
    </row>
    <row r="122" hidden="1">
      <c r="B122" s="830" t="s">
        <v>24</v>
      </c>
      <c r="C122" s="823">
        <v>562242</v>
      </c>
      <c r="D122" s="823">
        <v>556982</v>
      </c>
      <c r="E122" s="823">
        <v>617996</v>
      </c>
      <c r="F122" s="823">
        <v>618583</v>
      </c>
      <c r="G122" s="823">
        <v>541803</v>
      </c>
      <c r="H122" s="823">
        <v>508885</v>
      </c>
      <c r="I122" s="823">
        <v>501105</v>
      </c>
      <c r="J122" s="823">
        <v>501725</v>
      </c>
      <c r="K122" s="823">
        <v>508545</v>
      </c>
      <c r="L122" s="823">
        <v>506015</v>
      </c>
      <c r="M122" s="823">
        <v>515425</v>
      </c>
      <c r="N122" s="823">
        <v>511780</v>
      </c>
      <c r="O122" s="823">
        <v>505370</v>
      </c>
      <c r="P122" s="823">
        <v>529278</v>
      </c>
      <c r="Q122" s="823">
        <v>538047</v>
      </c>
      <c r="R122" s="823">
        <v>502107</v>
      </c>
      <c r="S122" s="823">
        <v>490667</v>
      </c>
      <c r="T122" s="823">
        <v>491717</v>
      </c>
      <c r="U122" s="823">
        <v>498343</v>
      </c>
      <c r="V122" s="823">
        <v>489857</v>
      </c>
      <c r="W122" s="823">
        <v>501428</v>
      </c>
      <c r="X122" s="823">
        <v>497993</v>
      </c>
      <c r="Y122" s="823">
        <v>457005</v>
      </c>
      <c r="Z122" s="823">
        <v>443801</v>
      </c>
      <c r="AA122" s="823">
        <v>432191</v>
      </c>
      <c r="AB122" s="823">
        <v>416501</v>
      </c>
      <c r="AC122" s="825">
        <v>422422</v>
      </c>
      <c r="AD122" s="825">
        <v>413837</v>
      </c>
      <c r="AE122" s="825">
        <v>416598</v>
      </c>
      <c r="AF122" s="825">
        <v>417181</v>
      </c>
      <c r="AG122" s="825">
        <v>409608</v>
      </c>
      <c r="AH122" s="825">
        <v>389604</v>
      </c>
      <c r="AI122" s="825">
        <v>368025</v>
      </c>
      <c r="AJ122" s="825">
        <v>337775</v>
      </c>
      <c r="AK122" s="825">
        <v>319086</v>
      </c>
      <c r="AL122" s="825">
        <v>306167</v>
      </c>
      <c r="AM122" s="825">
        <v>283444</v>
      </c>
      <c r="AN122" s="825">
        <v>275324</v>
      </c>
      <c r="AO122" s="825">
        <v>280612</v>
      </c>
      <c r="AP122" s="825">
        <v>280547</v>
      </c>
    </row>
    <row r="123" hidden="1">
      <c r="B123" s="826" t="s">
        <v>25</v>
      </c>
      <c r="C123" s="827">
        <v>0</v>
      </c>
      <c r="D123" s="827">
        <v>0</v>
      </c>
      <c r="E123" s="827">
        <v>0</v>
      </c>
      <c r="F123" s="827">
        <v>0</v>
      </c>
      <c r="G123" s="827">
        <v>0</v>
      </c>
      <c r="H123" s="827">
        <v>0</v>
      </c>
      <c r="I123" s="827">
        <v>0</v>
      </c>
      <c r="J123" s="827">
        <v>0</v>
      </c>
      <c r="K123" s="827">
        <v>0</v>
      </c>
      <c r="L123" s="827">
        <v>0</v>
      </c>
      <c r="M123" s="827">
        <v>0</v>
      </c>
      <c r="N123" s="827">
        <v>0</v>
      </c>
      <c r="O123" s="827">
        <v>0</v>
      </c>
      <c r="P123" s="827">
        <v>0</v>
      </c>
      <c r="Q123" s="827">
        <v>0</v>
      </c>
      <c r="R123" s="827">
        <v>0</v>
      </c>
      <c r="S123" s="827">
        <v>0</v>
      </c>
      <c r="T123" s="827">
        <v>0</v>
      </c>
      <c r="U123" s="827">
        <v>0</v>
      </c>
      <c r="V123" s="827">
        <v>0</v>
      </c>
      <c r="W123" s="827">
        <v>0</v>
      </c>
      <c r="X123" s="827">
        <v>0</v>
      </c>
      <c r="Y123" s="827">
        <v>0</v>
      </c>
      <c r="Z123" s="827">
        <v>0</v>
      </c>
      <c r="AA123" s="827">
        <v>0</v>
      </c>
      <c r="AB123" s="827">
        <v>0</v>
      </c>
      <c r="AC123" s="828">
        <v>0</v>
      </c>
      <c r="AD123" s="828">
        <v>0</v>
      </c>
      <c r="AE123" s="828">
        <v>0</v>
      </c>
      <c r="AF123" s="828">
        <v>0</v>
      </c>
      <c r="AG123" s="828">
        <v>0</v>
      </c>
      <c r="AH123" s="828">
        <v>0</v>
      </c>
      <c r="AI123" s="828">
        <v>0</v>
      </c>
      <c r="AJ123" s="828">
        <v>0</v>
      </c>
      <c r="AK123" s="828">
        <v>0</v>
      </c>
      <c r="AL123" s="828">
        <v>0</v>
      </c>
      <c r="AM123" s="828">
        <v>0</v>
      </c>
      <c r="AN123" s="828">
        <v>0</v>
      </c>
      <c r="AO123" s="828">
        <v>0</v>
      </c>
      <c r="AP123" s="828">
        <v>0</v>
      </c>
    </row>
    <row r="124" hidden="1" ht="13.5">
      <c r="B124" s="831" t="s">
        <v>26</v>
      </c>
      <c r="C124" s="823">
        <v>0</v>
      </c>
      <c r="D124" s="823">
        <v>0</v>
      </c>
      <c r="E124" s="823">
        <v>0</v>
      </c>
      <c r="F124" s="823">
        <v>0</v>
      </c>
      <c r="G124" s="823">
        <v>0</v>
      </c>
      <c r="H124" s="823">
        <v>0</v>
      </c>
      <c r="I124" s="823">
        <v>0</v>
      </c>
      <c r="J124" s="823">
        <v>0</v>
      </c>
      <c r="K124" s="823">
        <v>0</v>
      </c>
      <c r="L124" s="823">
        <v>0</v>
      </c>
      <c r="M124" s="823">
        <v>0</v>
      </c>
      <c r="N124" s="823">
        <v>0</v>
      </c>
      <c r="O124" s="823">
        <v>0</v>
      </c>
      <c r="P124" s="823">
        <v>0</v>
      </c>
      <c r="Q124" s="823">
        <v>0</v>
      </c>
      <c r="R124" s="823">
        <v>0</v>
      </c>
      <c r="S124" s="823">
        <v>0</v>
      </c>
      <c r="T124" s="823">
        <v>0</v>
      </c>
      <c r="U124" s="823">
        <v>0</v>
      </c>
      <c r="V124" s="823">
        <v>0</v>
      </c>
      <c r="W124" s="823">
        <v>0</v>
      </c>
      <c r="X124" s="823">
        <v>0</v>
      </c>
      <c r="Y124" s="823">
        <v>0</v>
      </c>
      <c r="Z124" s="823">
        <v>0</v>
      </c>
      <c r="AA124" s="823">
        <v>0</v>
      </c>
      <c r="AB124" s="832">
        <v>0</v>
      </c>
      <c r="AC124" s="825">
        <v>0</v>
      </c>
      <c r="AD124" s="825">
        <v>0</v>
      </c>
      <c r="AE124" s="825">
        <v>0</v>
      </c>
      <c r="AF124" s="825">
        <v>0</v>
      </c>
      <c r="AG124" s="825">
        <v>0</v>
      </c>
      <c r="AH124" s="825">
        <v>0</v>
      </c>
      <c r="AI124" s="825">
        <v>0</v>
      </c>
      <c r="AJ124" s="825">
        <v>0</v>
      </c>
      <c r="AK124" s="825">
        <v>0</v>
      </c>
      <c r="AL124" s="825">
        <v>0</v>
      </c>
      <c r="AM124" s="825">
        <v>0</v>
      </c>
      <c r="AN124" s="825">
        <v>0</v>
      </c>
      <c r="AO124" s="825">
        <v>0</v>
      </c>
      <c r="AP124" s="825">
        <v>0</v>
      </c>
    </row>
    <row r="125" hidden="1" ht="13.5">
      <c r="B125" s="128" t="s">
        <v>7</v>
      </c>
      <c r="C125" s="129" t="str">
        <f>IF(SUM(C106:C124)&lt;&gt;0,SUM(C106:C124),"")</f>
      </c>
      <c r="D125" s="129" t="str">
        <f ref="D125:AA125" t="shared" si="0">IF(SUM(D106:D124)&lt;&gt;0,SUM(D106:D124),"")</f>
      </c>
      <c r="E125" s="129" t="str">
        <f t="shared" si="0"/>
      </c>
      <c r="F125" s="129" t="str">
        <f t="shared" si="0"/>
      </c>
      <c r="G125" s="129" t="str">
        <f t="shared" si="0"/>
      </c>
      <c r="H125" s="129" t="str">
        <f t="shared" si="0"/>
      </c>
      <c r="I125" s="129" t="str">
        <f t="shared" si="0"/>
      </c>
      <c r="J125" s="129" t="str">
        <f t="shared" si="0"/>
      </c>
      <c r="K125" s="129" t="str">
        <f t="shared" si="0"/>
      </c>
      <c r="L125" s="129" t="str">
        <f t="shared" si="0"/>
      </c>
      <c r="M125" s="129" t="str">
        <f t="shared" si="0"/>
      </c>
      <c r="N125" s="129" t="str">
        <f t="shared" si="0"/>
      </c>
      <c r="O125" s="129" t="str">
        <f t="shared" si="0"/>
      </c>
      <c r="P125" s="129" t="str">
        <f t="shared" si="0"/>
      </c>
      <c r="Q125" s="129" t="str">
        <f t="shared" si="0"/>
      </c>
      <c r="R125" s="129" t="str">
        <f t="shared" si="0"/>
      </c>
      <c r="S125" s="129" t="str">
        <f t="shared" si="0"/>
      </c>
      <c r="T125" s="129" t="str">
        <f t="shared" si="0"/>
      </c>
      <c r="U125" s="129" t="str">
        <f t="shared" si="0"/>
      </c>
      <c r="V125" s="129" t="str">
        <f t="shared" si="0"/>
      </c>
      <c r="W125" s="129" t="str">
        <f t="shared" si="0"/>
      </c>
      <c r="X125" s="129" t="str">
        <f t="shared" si="0"/>
      </c>
      <c r="Y125" s="129" t="str">
        <f t="shared" si="0"/>
      </c>
      <c r="Z125" s="129" t="str">
        <f t="shared" si="0"/>
      </c>
      <c r="AA125" s="129" t="str">
        <f t="shared" si="0"/>
      </c>
      <c r="AB125" s="130" t="str">
        <f>IF(SUM(AB106:AB124)&lt;&gt;0,SUM(AB106:AB124),"")</f>
      </c>
      <c r="AC125" s="91" t="str">
        <f ref="AC125:CN125" t="shared" si="1">IF(SUM(AC106:AC124)&lt;&gt;0,SUM(AC106:AC124),"")</f>
      </c>
      <c r="AD125" s="91" t="str">
        <f t="shared" si="1"/>
      </c>
      <c r="AE125" s="91" t="str">
        <f t="shared" si="1"/>
      </c>
      <c r="AF125" s="91" t="str">
        <f t="shared" si="1"/>
      </c>
      <c r="AG125" s="91" t="str">
        <f t="shared" si="1"/>
      </c>
      <c r="AH125" s="91" t="str">
        <f t="shared" si="1"/>
      </c>
      <c r="AI125" s="91" t="str">
        <f t="shared" si="1"/>
      </c>
      <c r="AJ125" s="91" t="str">
        <f t="shared" si="1"/>
      </c>
      <c r="AK125" s="91" t="str">
        <f t="shared" si="1"/>
      </c>
      <c r="AL125" s="91" t="str">
        <f t="shared" si="1"/>
      </c>
      <c r="AM125" s="91" t="str">
        <f t="shared" si="1"/>
      </c>
      <c r="AN125" s="91" t="str">
        <f t="shared" si="1"/>
      </c>
      <c r="AO125" s="91" t="str">
        <f t="shared" si="1"/>
      </c>
      <c r="AP125" s="91" t="str">
        <f t="shared" si="1"/>
      </c>
      <c r="AQ125" s="91" t="str">
        <f t="shared" si="1"/>
      </c>
      <c r="AR125" s="91" t="str">
        <f t="shared" si="1"/>
      </c>
      <c r="AS125" s="91" t="str">
        <f t="shared" si="1"/>
      </c>
      <c r="AT125" s="91" t="str">
        <f t="shared" si="1"/>
      </c>
      <c r="AU125" s="91" t="str">
        <f t="shared" si="1"/>
      </c>
      <c r="AV125" s="91" t="str">
        <f t="shared" si="1"/>
      </c>
      <c r="AW125" s="91" t="str">
        <f t="shared" si="1"/>
      </c>
      <c r="AX125" s="91" t="str">
        <f t="shared" si="1"/>
      </c>
      <c r="AY125" s="91" t="str">
        <f t="shared" si="1"/>
      </c>
      <c r="AZ125" s="91" t="str">
        <f t="shared" si="1"/>
      </c>
      <c r="BA125" s="91" t="str">
        <f t="shared" si="1"/>
      </c>
      <c r="BB125" s="91" t="str">
        <f t="shared" si="1"/>
      </c>
      <c r="BC125" s="91" t="str">
        <f t="shared" si="1"/>
      </c>
      <c r="BD125" s="91" t="str">
        <f t="shared" si="1"/>
      </c>
      <c r="BE125" s="91" t="str">
        <f t="shared" si="1"/>
      </c>
      <c r="BF125" s="91" t="str">
        <f t="shared" si="1"/>
      </c>
      <c r="BG125" s="91" t="str">
        <f t="shared" si="1"/>
      </c>
      <c r="BH125" s="91" t="str">
        <f t="shared" si="1"/>
      </c>
      <c r="BI125" s="91" t="str">
        <f t="shared" si="1"/>
      </c>
      <c r="BJ125" s="91" t="str">
        <f t="shared" si="1"/>
      </c>
      <c r="BK125" s="91" t="str">
        <f t="shared" si="1"/>
      </c>
      <c r="BL125" s="91" t="str">
        <f t="shared" si="1"/>
      </c>
      <c r="BM125" s="91" t="str">
        <f t="shared" si="1"/>
      </c>
      <c r="BN125" s="91" t="str">
        <f t="shared" si="1"/>
      </c>
      <c r="BO125" s="91" t="str">
        <f t="shared" si="1"/>
      </c>
      <c r="BP125" s="91" t="str">
        <f t="shared" si="1"/>
      </c>
      <c r="BQ125" s="91" t="str">
        <f t="shared" si="1"/>
      </c>
      <c r="BR125" s="91" t="str">
        <f t="shared" si="1"/>
      </c>
      <c r="BS125" s="91" t="str">
        <f t="shared" si="1"/>
      </c>
      <c r="BT125" s="91" t="str">
        <f t="shared" si="1"/>
      </c>
      <c r="BU125" s="91" t="str">
        <f t="shared" si="1"/>
      </c>
      <c r="BV125" s="91" t="str">
        <f t="shared" si="1"/>
      </c>
      <c r="BW125" s="91" t="str">
        <f t="shared" si="1"/>
      </c>
      <c r="BX125" s="91" t="str">
        <f t="shared" si="1"/>
      </c>
      <c r="BY125" s="91" t="str">
        <f t="shared" si="1"/>
      </c>
      <c r="BZ125" s="91" t="str">
        <f t="shared" si="1"/>
      </c>
      <c r="CA125" s="91" t="str">
        <f t="shared" si="1"/>
      </c>
      <c r="CB125" s="91" t="str">
        <f t="shared" si="1"/>
      </c>
      <c r="CC125" s="91" t="str">
        <f t="shared" si="1"/>
      </c>
      <c r="CD125" s="91" t="str">
        <f t="shared" si="1"/>
      </c>
      <c r="CE125" s="91" t="str">
        <f t="shared" si="1"/>
      </c>
      <c r="CF125" s="91" t="str">
        <f t="shared" si="1"/>
      </c>
      <c r="CG125" s="91" t="str">
        <f t="shared" si="1"/>
      </c>
      <c r="CH125" s="91" t="str">
        <f t="shared" si="1"/>
      </c>
      <c r="CI125" s="91" t="str">
        <f t="shared" si="1"/>
      </c>
      <c r="CJ125" s="91" t="str">
        <f t="shared" si="1"/>
      </c>
      <c r="CK125" s="91" t="str">
        <f t="shared" si="1"/>
      </c>
      <c r="CL125" s="91" t="str">
        <f t="shared" si="1"/>
      </c>
      <c r="CM125" s="91" t="str">
        <f t="shared" si="1"/>
      </c>
      <c r="CN125" s="91" t="str">
        <f t="shared" si="1"/>
      </c>
      <c r="CO125" s="91" t="str">
        <f ref="CO125:EZ125" t="shared" si="2">IF(SUM(CO106:CO124)&lt;&gt;0,SUM(CO106:CO124),"")</f>
      </c>
      <c r="CP125" s="91" t="str">
        <f t="shared" si="2"/>
      </c>
      <c r="CQ125" s="91" t="str">
        <f t="shared" si="2"/>
      </c>
      <c r="CR125" s="91" t="str">
        <f t="shared" si="2"/>
      </c>
      <c r="CS125" s="91" t="str">
        <f t="shared" si="2"/>
      </c>
      <c r="CT125" s="91" t="str">
        <f t="shared" si="2"/>
      </c>
      <c r="CU125" s="91" t="str">
        <f t="shared" si="2"/>
      </c>
      <c r="CV125" s="91" t="str">
        <f t="shared" si="2"/>
      </c>
      <c r="CW125" s="91" t="str">
        <f t="shared" si="2"/>
      </c>
      <c r="CX125" s="91" t="str">
        <f t="shared" si="2"/>
      </c>
      <c r="CY125" s="91" t="str">
        <f t="shared" si="2"/>
      </c>
      <c r="CZ125" s="91" t="str">
        <f t="shared" si="2"/>
      </c>
      <c r="DA125" s="91" t="str">
        <f t="shared" si="2"/>
      </c>
      <c r="DB125" s="91" t="str">
        <f t="shared" si="2"/>
      </c>
      <c r="DC125" s="91" t="str">
        <f t="shared" si="2"/>
      </c>
      <c r="DD125" s="91" t="str">
        <f t="shared" si="2"/>
      </c>
      <c r="DE125" s="91" t="str">
        <f t="shared" si="2"/>
      </c>
      <c r="DF125" s="91" t="str">
        <f t="shared" si="2"/>
      </c>
      <c r="DG125" s="91" t="str">
        <f t="shared" si="2"/>
      </c>
      <c r="DH125" s="91" t="str">
        <f t="shared" si="2"/>
      </c>
      <c r="DI125" s="91" t="str">
        <f t="shared" si="2"/>
      </c>
      <c r="DJ125" s="91" t="str">
        <f t="shared" si="2"/>
      </c>
      <c r="DK125" s="91" t="str">
        <f t="shared" si="2"/>
      </c>
      <c r="DL125" s="91" t="str">
        <f t="shared" si="2"/>
      </c>
      <c r="DM125" s="91" t="str">
        <f t="shared" si="2"/>
      </c>
      <c r="DN125" s="91" t="str">
        <f t="shared" si="2"/>
      </c>
      <c r="DO125" s="91" t="str">
        <f t="shared" si="2"/>
      </c>
      <c r="DP125" s="91" t="str">
        <f t="shared" si="2"/>
      </c>
      <c r="DQ125" s="91" t="str">
        <f t="shared" si="2"/>
      </c>
      <c r="DR125" s="91" t="str">
        <f t="shared" si="2"/>
      </c>
      <c r="DS125" s="91" t="str">
        <f t="shared" si="2"/>
      </c>
      <c r="DT125" s="91" t="str">
        <f t="shared" si="2"/>
      </c>
      <c r="DU125" s="91" t="str">
        <f t="shared" si="2"/>
      </c>
      <c r="DV125" s="91" t="str">
        <f t="shared" si="2"/>
      </c>
      <c r="DW125" s="91" t="str">
        <f t="shared" si="2"/>
      </c>
      <c r="DX125" s="91" t="str">
        <f t="shared" si="2"/>
      </c>
      <c r="DY125" s="91" t="str">
        <f t="shared" si="2"/>
      </c>
      <c r="DZ125" s="91" t="str">
        <f t="shared" si="2"/>
      </c>
      <c r="EA125" s="91" t="str">
        <f t="shared" si="2"/>
      </c>
      <c r="EB125" s="91" t="str">
        <f t="shared" si="2"/>
      </c>
      <c r="EC125" s="91" t="str">
        <f t="shared" si="2"/>
      </c>
      <c r="ED125" s="91" t="str">
        <f t="shared" si="2"/>
      </c>
      <c r="EE125" s="91" t="str">
        <f t="shared" si="2"/>
      </c>
      <c r="EF125" s="91" t="str">
        <f t="shared" si="2"/>
      </c>
      <c r="EG125" s="91" t="str">
        <f t="shared" si="2"/>
      </c>
      <c r="EH125" s="91" t="str">
        <f t="shared" si="2"/>
      </c>
      <c r="EI125" s="91" t="str">
        <f t="shared" si="2"/>
      </c>
      <c r="EJ125" s="91" t="str">
        <f t="shared" si="2"/>
      </c>
      <c r="EK125" s="91" t="str">
        <f t="shared" si="2"/>
      </c>
      <c r="EL125" s="91" t="str">
        <f t="shared" si="2"/>
      </c>
      <c r="EM125" s="91" t="str">
        <f t="shared" si="2"/>
      </c>
      <c r="EN125" s="91" t="str">
        <f t="shared" si="2"/>
      </c>
      <c r="EO125" s="91" t="str">
        <f t="shared" si="2"/>
      </c>
      <c r="EP125" s="91" t="str">
        <f t="shared" si="2"/>
      </c>
      <c r="EQ125" s="91" t="str">
        <f t="shared" si="2"/>
      </c>
      <c r="ER125" s="91" t="str">
        <f t="shared" si="2"/>
      </c>
      <c r="ES125" s="91" t="str">
        <f t="shared" si="2"/>
      </c>
      <c r="ET125" s="91" t="str">
        <f t="shared" si="2"/>
      </c>
      <c r="EU125" s="91" t="str">
        <f t="shared" si="2"/>
      </c>
      <c r="EV125" s="91" t="str">
        <f t="shared" si="2"/>
      </c>
      <c r="EW125" s="91" t="str">
        <f t="shared" si="2"/>
      </c>
      <c r="EX125" s="91" t="str">
        <f t="shared" si="2"/>
      </c>
      <c r="EY125" s="91" t="str">
        <f t="shared" si="2"/>
      </c>
      <c r="EZ125" s="91" t="str">
        <f t="shared" si="2"/>
      </c>
      <c r="FA125" s="91" t="str">
        <f ref="FA125:HL125" t="shared" si="3">IF(SUM(FA106:FA124)&lt;&gt;0,SUM(FA106:FA124),"")</f>
      </c>
      <c r="FB125" s="91" t="str">
        <f t="shared" si="3"/>
      </c>
      <c r="FC125" s="91" t="str">
        <f t="shared" si="3"/>
      </c>
      <c r="FD125" s="91" t="str">
        <f t="shared" si="3"/>
      </c>
      <c r="FE125" s="91" t="str">
        <f t="shared" si="3"/>
      </c>
      <c r="FF125" s="91" t="str">
        <f t="shared" si="3"/>
      </c>
      <c r="FG125" s="91" t="str">
        <f t="shared" si="3"/>
      </c>
      <c r="FH125" s="91" t="str">
        <f t="shared" si="3"/>
      </c>
      <c r="FI125" s="91" t="str">
        <f t="shared" si="3"/>
      </c>
      <c r="FJ125" s="91" t="str">
        <f t="shared" si="3"/>
      </c>
      <c r="FK125" s="91" t="str">
        <f t="shared" si="3"/>
      </c>
      <c r="FL125" s="91" t="str">
        <f t="shared" si="3"/>
      </c>
      <c r="FM125" s="91" t="str">
        <f t="shared" si="3"/>
      </c>
      <c r="FN125" s="91" t="str">
        <f t="shared" si="3"/>
      </c>
      <c r="FO125" s="91" t="str">
        <f t="shared" si="3"/>
      </c>
      <c r="FP125" s="91" t="str">
        <f t="shared" si="3"/>
      </c>
      <c r="FQ125" s="91" t="str">
        <f t="shared" si="3"/>
      </c>
      <c r="FR125" s="91" t="str">
        <f t="shared" si="3"/>
      </c>
      <c r="FS125" s="91" t="str">
        <f t="shared" si="3"/>
      </c>
      <c r="FT125" s="91" t="str">
        <f t="shared" si="3"/>
      </c>
      <c r="FU125" s="91" t="str">
        <f t="shared" si="3"/>
      </c>
      <c r="FV125" s="91" t="str">
        <f t="shared" si="3"/>
      </c>
      <c r="FW125" s="91" t="str">
        <f t="shared" si="3"/>
      </c>
      <c r="FX125" s="91" t="str">
        <f t="shared" si="3"/>
      </c>
      <c r="FY125" s="91" t="str">
        <f t="shared" si="3"/>
      </c>
      <c r="FZ125" s="91" t="str">
        <f t="shared" si="3"/>
      </c>
      <c r="GA125" s="91" t="str">
        <f t="shared" si="3"/>
      </c>
      <c r="GB125" s="91" t="str">
        <f t="shared" si="3"/>
      </c>
      <c r="GC125" s="91" t="str">
        <f t="shared" si="3"/>
      </c>
      <c r="GD125" s="91" t="str">
        <f t="shared" si="3"/>
      </c>
      <c r="GE125" s="91" t="str">
        <f t="shared" si="3"/>
      </c>
      <c r="GF125" s="91" t="str">
        <f t="shared" si="3"/>
      </c>
      <c r="GG125" s="91" t="str">
        <f t="shared" si="3"/>
      </c>
      <c r="GH125" s="91" t="str">
        <f t="shared" si="3"/>
      </c>
      <c r="GI125" s="91" t="str">
        <f t="shared" si="3"/>
      </c>
      <c r="GJ125" s="91" t="str">
        <f t="shared" si="3"/>
      </c>
      <c r="GK125" s="91" t="str">
        <f t="shared" si="3"/>
      </c>
      <c r="GL125" s="91" t="str">
        <f t="shared" si="3"/>
      </c>
      <c r="GM125" s="91" t="str">
        <f t="shared" si="3"/>
      </c>
      <c r="GN125" s="91" t="str">
        <f t="shared" si="3"/>
      </c>
      <c r="GO125" s="91" t="str">
        <f t="shared" si="3"/>
      </c>
      <c r="GP125" s="91" t="str">
        <f t="shared" si="3"/>
      </c>
      <c r="GQ125" s="91" t="str">
        <f t="shared" si="3"/>
      </c>
      <c r="GR125" s="91" t="str">
        <f t="shared" si="3"/>
      </c>
      <c r="GS125" s="91" t="str">
        <f t="shared" si="3"/>
      </c>
      <c r="GT125" s="91" t="str">
        <f t="shared" si="3"/>
      </c>
      <c r="GU125" s="91" t="str">
        <f t="shared" si="3"/>
      </c>
      <c r="GV125" s="91" t="str">
        <f t="shared" si="3"/>
      </c>
      <c r="GW125" s="91" t="str">
        <f t="shared" si="3"/>
      </c>
      <c r="GX125" s="91" t="str">
        <f t="shared" si="3"/>
      </c>
      <c r="GY125" s="91" t="str">
        <f t="shared" si="3"/>
      </c>
      <c r="GZ125" s="91" t="str">
        <f t="shared" si="3"/>
      </c>
      <c r="HA125" s="91" t="str">
        <f t="shared" si="3"/>
      </c>
      <c r="HB125" s="91" t="str">
        <f t="shared" si="3"/>
      </c>
      <c r="HC125" s="91" t="str">
        <f t="shared" si="3"/>
      </c>
      <c r="HD125" s="91" t="str">
        <f t="shared" si="3"/>
      </c>
      <c r="HE125" s="91" t="str">
        <f t="shared" si="3"/>
      </c>
      <c r="HF125" s="91" t="str">
        <f t="shared" si="3"/>
      </c>
      <c r="HG125" s="91" t="str">
        <f t="shared" si="3"/>
      </c>
      <c r="HH125" s="91" t="str">
        <f t="shared" si="3"/>
      </c>
      <c r="HI125" s="91" t="str">
        <f t="shared" si="3"/>
      </c>
      <c r="HJ125" s="91" t="str">
        <f t="shared" si="3"/>
      </c>
      <c r="HK125" s="91" t="str">
        <f t="shared" si="3"/>
      </c>
      <c r="HL125" s="91" t="str">
        <f t="shared" si="3"/>
      </c>
      <c r="HM125" s="91" t="str">
        <f ref="HM125:IV125" t="shared" si="4">IF(SUM(HM106:HM124)&lt;&gt;0,SUM(HM106:HM124),"")</f>
      </c>
      <c r="HN125" s="91" t="str">
        <f t="shared" si="4"/>
      </c>
      <c r="HO125" s="91" t="str">
        <f t="shared" si="4"/>
      </c>
      <c r="HP125" s="91" t="str">
        <f t="shared" si="4"/>
      </c>
      <c r="HQ125" s="91" t="str">
        <f t="shared" si="4"/>
      </c>
      <c r="HR125" s="91" t="str">
        <f t="shared" si="4"/>
      </c>
      <c r="HS125" s="91" t="str">
        <f t="shared" si="4"/>
      </c>
      <c r="HT125" s="91" t="str">
        <f t="shared" si="4"/>
      </c>
      <c r="HU125" s="91" t="str">
        <f t="shared" si="4"/>
      </c>
      <c r="HV125" s="91" t="str">
        <f t="shared" si="4"/>
      </c>
      <c r="HW125" s="91" t="str">
        <f t="shared" si="4"/>
      </c>
      <c r="HX125" s="91" t="str">
        <f t="shared" si="4"/>
      </c>
      <c r="HY125" s="91" t="str">
        <f t="shared" si="4"/>
      </c>
      <c r="HZ125" s="91" t="str">
        <f t="shared" si="4"/>
      </c>
      <c r="IA125" s="91" t="str">
        <f t="shared" si="4"/>
      </c>
      <c r="IB125" s="91" t="str">
        <f t="shared" si="4"/>
      </c>
      <c r="IC125" s="91" t="str">
        <f t="shared" si="4"/>
      </c>
      <c r="ID125" s="91" t="str">
        <f t="shared" si="4"/>
      </c>
      <c r="IE125" s="91" t="str">
        <f t="shared" si="4"/>
      </c>
      <c r="IF125" s="91" t="str">
        <f t="shared" si="4"/>
      </c>
      <c r="IG125" s="91" t="str">
        <f t="shared" si="4"/>
      </c>
      <c r="IH125" s="91" t="str">
        <f t="shared" si="4"/>
      </c>
      <c r="II125" s="91" t="str">
        <f t="shared" si="4"/>
      </c>
      <c r="IJ125" s="91" t="str">
        <f t="shared" si="4"/>
      </c>
      <c r="IK125" s="91" t="str">
        <f t="shared" si="4"/>
      </c>
      <c r="IL125" s="91" t="str">
        <f t="shared" si="4"/>
      </c>
      <c r="IM125" s="91" t="str">
        <f t="shared" si="4"/>
      </c>
      <c r="IN125" s="91" t="str">
        <f t="shared" si="4"/>
      </c>
      <c r="IO125" s="91" t="str">
        <f t="shared" si="4"/>
      </c>
      <c r="IP125" s="91" t="str">
        <f t="shared" si="4"/>
      </c>
      <c r="IQ125" s="91" t="str">
        <f t="shared" si="4"/>
      </c>
      <c r="IR125" s="91" t="str">
        <f t="shared" si="4"/>
      </c>
      <c r="IS125" s="91" t="str">
        <f t="shared" si="4"/>
      </c>
      <c r="IT125" s="91" t="str">
        <f t="shared" si="4"/>
      </c>
      <c r="IU125" s="91" t="str">
        <f t="shared" si="4"/>
      </c>
      <c r="IV125" s="91" t="str">
        <f t="shared" si="4"/>
      </c>
    </row>
    <row r="126" hidden="1" ht="13.5"/>
    <row r="127" hidden="1" ht="13.5">
      <c r="C127" s="686" t="s">
        <v>220</v>
      </c>
      <c r="D127" s="687"/>
      <c r="E127" s="687"/>
      <c r="F127" s="687"/>
      <c r="G127" s="687"/>
      <c r="H127" s="687"/>
      <c r="I127" s="687"/>
      <c r="J127" s="687"/>
      <c r="K127" s="687"/>
      <c r="L127" s="687"/>
      <c r="M127" s="687"/>
      <c r="N127" s="687"/>
      <c r="O127" s="687"/>
      <c r="P127" s="687"/>
      <c r="Q127" s="687"/>
      <c r="R127" s="687"/>
      <c r="S127" s="687"/>
      <c r="T127" s="687"/>
      <c r="U127" s="687"/>
      <c r="V127" s="687"/>
      <c r="W127" s="687"/>
      <c r="X127" s="687"/>
      <c r="Y127" s="687"/>
      <c r="Z127" s="687"/>
      <c r="AA127" s="687"/>
      <c r="AB127" s="688"/>
    </row>
    <row r="128" hidden="1" ht="15" customHeight="1">
      <c r="C128" s="435" t="str">
        <f> IF(C148&lt;&gt;"",TEXT(AUX!G$1,"dd-MMM-aa"),"")</f>
      </c>
      <c r="D128" s="435" t="str">
        <f> IF(D148&lt;&gt;"",TEXT(AUX!H$1,"dd-MMM-aa"),"")</f>
      </c>
      <c r="E128" s="435" t="str">
        <f> IF(E148&lt;&gt;"",TEXT(AUX!I$1,"dd-MMM-aa"),"")</f>
      </c>
      <c r="F128" s="435" t="str">
        <f> IF(F148&lt;&gt;"",TEXT(AUX!J$1,"dd-MMM-aa"),"")</f>
      </c>
      <c r="G128" s="435" t="str">
        <f> IF(G148&lt;&gt;"",TEXT(AUX!K$1,"dd-MMM-aa"),"")</f>
      </c>
      <c r="H128" s="435" t="str">
        <f> IF(H148&lt;&gt;"",TEXT(AUX!L$1,"dd-MMM-aa"),"")</f>
      </c>
      <c r="I128" s="435" t="str">
        <f> IF(I148&lt;&gt;"",TEXT(AUX!M$1,"dd-MMM-aa"),"")</f>
      </c>
      <c r="J128" s="435" t="str">
        <f> IF(J148&lt;&gt;"",TEXT(AUX!N$1,"dd-MMM-aa"),"")</f>
      </c>
      <c r="K128" s="435" t="str">
        <f> IF(K148&lt;&gt;"",TEXT(AUX!O$1,"dd-MMM-aa"),"")</f>
      </c>
      <c r="L128" s="435" t="str">
        <f> IF(L148&lt;&gt;"",TEXT(AUX!P$1,"dd-MMM-aa"),"")</f>
      </c>
      <c r="M128" s="435" t="str">
        <f> IF(M148&lt;&gt;"",TEXT(AUX!Q$1,"dd-MMM-aa"),"")</f>
      </c>
      <c r="N128" s="435" t="str">
        <f> IF(N148&lt;&gt;"",TEXT(AUX!R$1,"dd-MMM-aa"),"")</f>
      </c>
      <c r="O128" s="435" t="str">
        <f> IF(O148&lt;&gt;"",TEXT(AUX!S$1,"dd-MMM-aa"),"")</f>
      </c>
      <c r="P128" s="435" t="str">
        <f> IF(P148&lt;&gt;"",TEXT(AUX!T$1,"dd-MMM-aa"),"")</f>
      </c>
      <c r="Q128" s="435" t="str">
        <f> IF(Q148&lt;&gt;"",TEXT(AUX!U$1,"dd-MMM-aa"),"")</f>
      </c>
      <c r="R128" s="435" t="str">
        <f> IF(R148&lt;&gt;"",TEXT(AUX!V$1,"dd-MMM-aa"),"")</f>
      </c>
      <c r="S128" s="435" t="str">
        <f> IF(S148&lt;&gt;"",TEXT(AUX!W$1,"dd-MMM-aa"),"")</f>
      </c>
      <c r="T128" s="435" t="str">
        <f> IF(T148&lt;&gt;"",TEXT(AUX!X$1,"dd-MMM-aa"),"")</f>
      </c>
      <c r="U128" s="435" t="str">
        <f> IF(U148&lt;&gt;"",TEXT(AUX!Y$1,"dd-MMM-aa"),"")</f>
      </c>
      <c r="V128" s="435" t="str">
        <f> IF(V148&lt;&gt;"",TEXT(AUX!Z$1,"dd-MMM-aa"),"")</f>
      </c>
      <c r="W128" s="435" t="str">
        <f> IF(W148&lt;&gt;"",TEXT(AUX!AA$1,"dd-MMM-aa"),"")</f>
      </c>
      <c r="X128" s="435" t="str">
        <f> IF(X148&lt;&gt;"",TEXT(AUX!AB$1,"dd-MMM-aa"),"")</f>
      </c>
      <c r="Y128" s="435" t="str">
        <f> IF(Y148&lt;&gt;"",TEXT(AUX!AC$1,"dd-MMM-aa"),"")</f>
      </c>
      <c r="Z128" s="435" t="str">
        <f> IF(Z148&lt;&gt;"",TEXT(AUX!AD$1,"dd-MMM-aa"),"")</f>
      </c>
      <c r="AA128" s="435" t="str">
        <f> IF(AA148&lt;&gt;"",TEXT(AUX!AE$1,"dd-MMM-aa"),"")</f>
      </c>
      <c r="AB128" s="497" t="str">
        <f> IF(AB148&lt;&gt;"",TEXT(AUX!AF$1,"dd-MMM-aa"),"")</f>
      </c>
      <c r="AC128" s="496" t="str">
        <f> IF(AC148&lt;&gt;"",TEXT(AUX!AG$1,"dd-MMM-aa"),"")</f>
      </c>
      <c r="AD128" s="496" t="str">
        <f> IF(AD148&lt;&gt;"",TEXT(AUX!AH$1,"dd-MMM-aa"),"")</f>
      </c>
      <c r="AE128" s="496" t="str">
        <f> IF(AE148&lt;&gt;"",TEXT(AUX!AI$1,"dd-MMM-aa"),"")</f>
      </c>
      <c r="AF128" s="496" t="str">
        <f> IF(AF148&lt;&gt;"",TEXT(AUX!AJ$1,"dd-MMM-aa"),"")</f>
      </c>
      <c r="AG128" s="496" t="str">
        <f> IF(AG148&lt;&gt;"",TEXT(AUX!AK$1,"dd-MMM-aa"),"")</f>
      </c>
      <c r="AH128" s="496" t="str">
        <f> IF(AH148&lt;&gt;"",TEXT(AUX!AL$1,"dd-MMM-aa"),"")</f>
      </c>
      <c r="AI128" s="496" t="str">
        <f> IF(AI148&lt;&gt;"",TEXT(AUX!AM$1,"dd-MMM-aa"),"")</f>
      </c>
      <c r="AJ128" s="496" t="str">
        <f> IF(AJ148&lt;&gt;"",TEXT(AUX!AN$1,"dd-MMM-aa"),"")</f>
      </c>
      <c r="AK128" s="496" t="str">
        <f> IF(AK148&lt;&gt;"",TEXT(AUX!AO$1,"dd-MMM-aa"),"")</f>
      </c>
      <c r="AL128" s="496" t="str">
        <f> IF(AL148&lt;&gt;"",TEXT(AUX!AP$1,"dd-MMM-aa"),"")</f>
      </c>
      <c r="AM128" s="496" t="str">
        <f> IF(AM148&lt;&gt;"",TEXT(AUX!AQ$1,"dd-MMM-aa"),"")</f>
      </c>
      <c r="AN128" s="496" t="str">
        <f> IF(AN148&lt;&gt;"",TEXT(AUX!AR$1,"dd-MMM-aa"),"")</f>
      </c>
      <c r="AO128" s="496" t="str">
        <f> IF(AO148&lt;&gt;"",TEXT(AUX!AS$1,"dd-MMM-aa"),"")</f>
      </c>
      <c r="AP128" s="496" t="str">
        <f> IF(AP148&lt;&gt;"",TEXT(AUX!AT$1,"dd-MMM-aa"),"")</f>
      </c>
      <c r="AQ128" s="496" t="str">
        <f> IF(AQ148&lt;&gt;"",TEXT(AUX!AU$1,"dd-MMM-aa"),"")</f>
      </c>
      <c r="AR128" s="496" t="str">
        <f> IF(AR148&lt;&gt;"",TEXT(AUX!AV$1,"dd-MMM-aa"),"")</f>
      </c>
      <c r="AS128" s="496" t="str">
        <f> IF(AS148&lt;&gt;"",TEXT(AUX!AW$1,"dd-MMM-aa"),"")</f>
      </c>
      <c r="AT128" s="496" t="str">
        <f> IF(AT148&lt;&gt;"",TEXT(AUX!AX$1,"dd-MMM-aa"),"")</f>
      </c>
      <c r="AU128" s="496" t="str">
        <f> IF(AU148&lt;&gt;"",TEXT(AUX!AY$1,"dd-MMM-aa"),"")</f>
      </c>
      <c r="AV128" s="496" t="str">
        <f> IF(AV148&lt;&gt;"",TEXT(AUX!AZ$1,"dd-MMM-aa"),"")</f>
      </c>
      <c r="AW128" s="496" t="str">
        <f> IF(AW148&lt;&gt;"",TEXT(AUX!BA$1,"dd-MMM-aa"),"")</f>
      </c>
      <c r="AX128" s="496" t="str">
        <f> IF(AX148&lt;&gt;"",TEXT(AUX!BB$1,"dd-MMM-aa"),"")</f>
      </c>
      <c r="AY128" s="496" t="str">
        <f> IF(AY148&lt;&gt;"",TEXT(AUX!BC$1,"dd-MMM-aa"),"")</f>
      </c>
      <c r="AZ128" s="496" t="str">
        <f> IF(AZ148&lt;&gt;"",TEXT(AUX!BD$1,"dd-MMM-aa"),"")</f>
      </c>
      <c r="BA128" s="496" t="str">
        <f> IF(BA148&lt;&gt;"",TEXT(AUX!BE$1,"dd-MMM-aa"),"")</f>
      </c>
      <c r="BB128" s="496" t="str">
        <f> IF(BB148&lt;&gt;"",TEXT(AUX!BF$1,"dd-MMM-aa"),"")</f>
      </c>
      <c r="BC128" s="496" t="str">
        <f> IF(BC148&lt;&gt;"",TEXT(AUX!BG$1,"dd-MMM-aa"),"")</f>
      </c>
      <c r="BD128" s="496" t="str">
        <f> IF(BD148&lt;&gt;"",TEXT(AUX!BH$1,"dd-MMM-aa"),"")</f>
      </c>
      <c r="BE128" s="496" t="str">
        <f> IF(BE148&lt;&gt;"",TEXT(AUX!BI$1,"dd-MMM-aa"),"")</f>
      </c>
      <c r="BF128" s="496" t="str">
        <f> IF(BF148&lt;&gt;"",TEXT(AUX!BJ$1,"dd-MMM-aa"),"")</f>
      </c>
      <c r="BG128" s="496" t="str">
        <f> IF(BG148&lt;&gt;"",TEXT(AUX!BK$1,"dd-MMM-aa"),"")</f>
      </c>
      <c r="BH128" s="496" t="str">
        <f> IF(BH148&lt;&gt;"",TEXT(AUX!BL$1,"dd-MMM-aa"),"")</f>
      </c>
      <c r="BI128" s="496" t="str">
        <f> IF(BI148&lt;&gt;"",TEXT(AUX!BM$1,"dd-MMM-aa"),"")</f>
      </c>
      <c r="BJ128" s="496" t="str">
        <f> IF(BJ148&lt;&gt;"",TEXT(AUX!BN$1,"dd-MMM-aa"),"")</f>
      </c>
      <c r="BK128" s="496" t="str">
        <f> IF(BK148&lt;&gt;"",TEXT(AUX!BO$1,"dd-MMM-aa"),"")</f>
      </c>
      <c r="BL128" s="496" t="str">
        <f> IF(BL148&lt;&gt;"",TEXT(AUX!BP$1,"dd-MMM-aa"),"")</f>
      </c>
      <c r="BM128" s="496" t="str">
        <f> IF(BM148&lt;&gt;"",TEXT(AUX!BQ$1,"dd-MMM-aa"),"")</f>
      </c>
      <c r="BN128" s="496" t="str">
        <f> IF(BN148&lt;&gt;"",TEXT(AUX!BR$1,"dd-MMM-aa"),"")</f>
      </c>
      <c r="BO128" s="496" t="str">
        <f> IF(BO148&lt;&gt;"",TEXT(AUX!BS$1,"dd-MMM-aa"),"")</f>
      </c>
      <c r="BP128" s="496" t="str">
        <f> IF(BP148&lt;&gt;"",TEXT(AUX!BT$1,"dd-MMM-aa"),"")</f>
      </c>
      <c r="BQ128" s="496" t="str">
        <f> IF(BQ148&lt;&gt;"",TEXT(AUX!BU$1,"dd-MMM-aa"),"")</f>
      </c>
      <c r="BR128" s="496" t="str">
        <f> IF(BR148&lt;&gt;"",TEXT(AUX!BV$1,"dd-MMM-aa"),"")</f>
      </c>
      <c r="BS128" s="496" t="str">
        <f> IF(BS148&lt;&gt;"",TEXT(AUX!BW$1,"dd-MMM-aa"),"")</f>
      </c>
      <c r="BT128" s="496" t="str">
        <f> IF(BT148&lt;&gt;"",TEXT(AUX!BX$1,"dd-MMM-aa"),"")</f>
      </c>
      <c r="BU128" s="496" t="str">
        <f> IF(BU148&lt;&gt;"",TEXT(AUX!BY$1,"dd-MMM-aa"),"")</f>
      </c>
      <c r="BV128" s="496" t="str">
        <f> IF(BV148&lt;&gt;"",TEXT(AUX!BZ$1,"dd-MMM-aa"),"")</f>
      </c>
      <c r="BW128" s="496" t="str">
        <f> IF(BW148&lt;&gt;"",TEXT(AUX!CA$1,"dd-MMM-aa"),"")</f>
      </c>
      <c r="BX128" s="496" t="str">
        <f> IF(BX148&lt;&gt;"",TEXT(AUX!CB$1,"dd-MMM-aa"),"")</f>
      </c>
      <c r="BY128" s="496" t="str">
        <f> IF(BY148&lt;&gt;"",TEXT(AUX!CC$1,"dd-MMM-aa"),"")</f>
      </c>
      <c r="BZ128" s="496" t="str">
        <f> IF(BZ148&lt;&gt;"",TEXT(AUX!CD$1,"dd-MMM-aa"),"")</f>
      </c>
      <c r="CA128" s="496" t="str">
        <f> IF(CA148&lt;&gt;"",TEXT(AUX!CE$1,"dd-MMM-aa"),"")</f>
      </c>
      <c r="CB128" s="496" t="str">
        <f> IF(CB148&lt;&gt;"",TEXT(AUX!CF$1,"dd-MMM-aa"),"")</f>
      </c>
      <c r="CC128" s="496" t="str">
        <f> IF(CC148&lt;&gt;"",TEXT(AUX!CG$1,"dd-MMM-aa"),"")</f>
      </c>
      <c r="CD128" s="496" t="str">
        <f> IF(CD148&lt;&gt;"",TEXT(AUX!CH$1,"dd-MMM-aa"),"")</f>
      </c>
      <c r="CE128" s="496" t="str">
        <f> IF(CE148&lt;&gt;"",TEXT(AUX!CI$1,"dd-MMM-aa"),"")</f>
      </c>
      <c r="CF128" s="496" t="str">
        <f> IF(CF148&lt;&gt;"",TEXT(AUX!CJ$1,"dd-MMM-aa"),"")</f>
      </c>
      <c r="CG128" s="496" t="str">
        <f> IF(CG148&lt;&gt;"",TEXT(AUX!CK$1,"dd-MMM-aa"),"")</f>
      </c>
      <c r="CH128" s="496" t="str">
        <f> IF(CH148&lt;&gt;"",TEXT(AUX!CL$1,"dd-MMM-aa"),"")</f>
      </c>
      <c r="CI128" s="496" t="str">
        <f> IF(CI148&lt;&gt;"",TEXT(AUX!CM$1,"dd-MMM-aa"),"")</f>
      </c>
      <c r="CJ128" s="496" t="str">
        <f> IF(CJ148&lt;&gt;"",TEXT(AUX!CN$1,"dd-MMM-aa"),"")</f>
      </c>
      <c r="CK128" s="496" t="str">
        <f> IF(CK148&lt;&gt;"",TEXT(AUX!CO$1,"dd-MMM-aa"),"")</f>
      </c>
      <c r="CL128" s="496" t="str">
        <f> IF(CL148&lt;&gt;"",TEXT(AUX!CP$1,"dd-MMM-aa"),"")</f>
      </c>
      <c r="CM128" s="496" t="str">
        <f> IF(CM148&lt;&gt;"",TEXT(AUX!CQ$1,"dd-MMM-aa"),"")</f>
      </c>
      <c r="CN128" s="496" t="str">
        <f> IF(CN148&lt;&gt;"",TEXT(AUX!CR$1,"dd-MMM-aa"),"")</f>
      </c>
      <c r="CO128" s="496" t="str">
        <f> IF(CO148&lt;&gt;"",TEXT(AUX!CS$1,"dd-MMM-aa"),"")</f>
      </c>
      <c r="CP128" s="496" t="str">
        <f> IF(CP148&lt;&gt;"",TEXT(AUX!CT$1,"dd-MMM-aa"),"")</f>
      </c>
      <c r="CQ128" s="496" t="str">
        <f> IF(CQ148&lt;&gt;"",TEXT(AUX!CU$1,"dd-MMM-aa"),"")</f>
      </c>
      <c r="CR128" s="496" t="str">
        <f> IF(CR148&lt;&gt;"",TEXT(AUX!CV$1,"dd-MMM-aa"),"")</f>
      </c>
      <c r="CS128" s="496" t="str">
        <f> IF(CS148&lt;&gt;"",TEXT(AUX!CW$1,"dd-MMM-aa"),"")</f>
      </c>
      <c r="CT128" s="496" t="str">
        <f> IF(CT148&lt;&gt;"",TEXT(AUX!CX$1,"dd-MMM-aa"),"")</f>
      </c>
      <c r="CU128" s="496" t="str">
        <f> IF(CU148&lt;&gt;"",TEXT(AUX!CY$1,"dd-MMM-aa"),"")</f>
      </c>
      <c r="CV128" s="496" t="str">
        <f> IF(CV148&lt;&gt;"",TEXT(AUX!CZ$1,"dd-MMM-aa"),"")</f>
      </c>
      <c r="CW128" s="496" t="str">
        <f> IF(CW148&lt;&gt;"",TEXT(AUX!DA$1,"dd-MMM-aa"),"")</f>
      </c>
      <c r="CX128" s="496" t="str">
        <f> IF(CX148&lt;&gt;"",TEXT(AUX!DB$1,"dd-MMM-aa"),"")</f>
      </c>
      <c r="CY128" s="496" t="str">
        <f> IF(CY148&lt;&gt;"",TEXT(AUX!DC$1,"dd-MMM-aa"),"")</f>
      </c>
      <c r="CZ128" s="496" t="str">
        <f> IF(CZ148&lt;&gt;"",TEXT(AUX!DD$1,"dd-MMM-aa"),"")</f>
      </c>
      <c r="DA128" s="496" t="str">
        <f> IF(DA148&lt;&gt;"",TEXT(AUX!DE$1,"dd-MMM-aa"),"")</f>
      </c>
      <c r="DB128" s="496" t="str">
        <f> IF(DB148&lt;&gt;"",TEXT(AUX!DF$1,"dd-MMM-aa"),"")</f>
      </c>
      <c r="DC128" s="496" t="str">
        <f> IF(DC148&lt;&gt;"",TEXT(AUX!DG$1,"dd-MMM-aa"),"")</f>
      </c>
      <c r="DD128" s="496" t="str">
        <f> IF(DD148&lt;&gt;"",TEXT(AUX!DH$1,"dd-MMM-aa"),"")</f>
      </c>
      <c r="DE128" s="496" t="str">
        <f> IF(DE148&lt;&gt;"",TEXT(AUX!DI$1,"dd-MMM-aa"),"")</f>
      </c>
      <c r="DF128" s="496" t="str">
        <f> IF(DF148&lt;&gt;"",TEXT(AUX!DJ$1,"dd-MMM-aa"),"")</f>
      </c>
      <c r="DG128" s="496" t="str">
        <f> IF(DG148&lt;&gt;"",TEXT(AUX!DK$1,"dd-MMM-aa"),"")</f>
      </c>
      <c r="DH128" s="496" t="str">
        <f> IF(DH148&lt;&gt;"",TEXT(AUX!DL$1,"dd-MMM-aa"),"")</f>
      </c>
      <c r="DI128" s="496" t="str">
        <f> IF(DI148&lt;&gt;"",TEXT(AUX!DM$1,"dd-MMM-aa"),"")</f>
      </c>
      <c r="DJ128" s="496" t="str">
        <f> IF(DJ148&lt;&gt;"",TEXT(AUX!DN$1,"dd-MMM-aa"),"")</f>
      </c>
      <c r="DK128" s="496" t="str">
        <f> IF(DK148&lt;&gt;"",TEXT(AUX!DO$1,"dd-MMM-aa"),"")</f>
      </c>
      <c r="DL128" s="496" t="str">
        <f> IF(DL148&lt;&gt;"",TEXT(AUX!DP$1,"dd-MMM-aa"),"")</f>
      </c>
      <c r="DM128" s="496" t="str">
        <f> IF(DM148&lt;&gt;"",TEXT(AUX!DQ$1,"dd-MMM-aa"),"")</f>
      </c>
      <c r="DN128" s="496" t="str">
        <f> IF(DN148&lt;&gt;"",TEXT(AUX!DR$1,"dd-MMM-aa"),"")</f>
      </c>
      <c r="DO128" s="496" t="str">
        <f> IF(DO148&lt;&gt;"",TEXT(AUX!DS$1,"dd-MMM-aa"),"")</f>
      </c>
      <c r="DP128" s="496" t="str">
        <f> IF(DP148&lt;&gt;"",TEXT(AUX!DT$1,"dd-MMM-aa"),"")</f>
      </c>
      <c r="DQ128" s="496" t="str">
        <f> IF(DQ148&lt;&gt;"",TEXT(AUX!DU$1,"dd-MMM-aa"),"")</f>
      </c>
      <c r="DR128" s="496" t="str">
        <f> IF(DR148&lt;&gt;"",TEXT(AUX!DV$1,"dd-MMM-aa"),"")</f>
      </c>
      <c r="DS128" s="496" t="str">
        <f> IF(DS148&lt;&gt;"",TEXT(AUX!DW$1,"dd-MMM-aa"),"")</f>
      </c>
      <c r="DT128" s="496" t="str">
        <f> IF(DT148&lt;&gt;"",TEXT(AUX!DX$1,"dd-MMM-aa"),"")</f>
      </c>
      <c r="DU128" s="496" t="str">
        <f> IF(DU148&lt;&gt;"",TEXT(AUX!DY$1,"dd-MMM-aa"),"")</f>
      </c>
      <c r="DV128" s="496" t="str">
        <f> IF(DV148&lt;&gt;"",TEXT(AUX!DZ$1,"dd-MMM-aa"),"")</f>
      </c>
      <c r="DW128" s="496" t="str">
        <f> IF(DW148&lt;&gt;"",TEXT(AUX!EA$1,"dd-MMM-aa"),"")</f>
      </c>
      <c r="DX128" s="496" t="str">
        <f> IF(DX148&lt;&gt;"",TEXT(AUX!EB$1,"dd-MMM-aa"),"")</f>
      </c>
      <c r="DY128" s="496" t="str">
        <f> IF(DY148&lt;&gt;"",TEXT(AUX!EC$1,"dd-MMM-aa"),"")</f>
      </c>
      <c r="DZ128" s="496" t="str">
        <f> IF(DZ148&lt;&gt;"",TEXT(AUX!ED$1,"dd-MMM-aa"),"")</f>
      </c>
      <c r="EA128" s="496" t="str">
        <f> IF(EA148&lt;&gt;"",TEXT(AUX!EE$1,"dd-MMM-aa"),"")</f>
      </c>
      <c r="EB128" s="496" t="str">
        <f> IF(EB148&lt;&gt;"",TEXT(AUX!EF$1,"dd-MMM-aa"),"")</f>
      </c>
      <c r="EC128" s="496" t="str">
        <f> IF(EC148&lt;&gt;"",TEXT(AUX!EG$1,"dd-MMM-aa"),"")</f>
      </c>
      <c r="ED128" s="496" t="str">
        <f> IF(ED148&lt;&gt;"",TEXT(AUX!EH$1,"dd-MMM-aa"),"")</f>
      </c>
      <c r="EE128" s="496" t="str">
        <f> IF(EE148&lt;&gt;"",TEXT(AUX!EI$1,"dd-MMM-aa"),"")</f>
      </c>
      <c r="EF128" s="496" t="str">
        <f> IF(EF148&lt;&gt;"",TEXT(AUX!EJ$1,"dd-MMM-aa"),"")</f>
      </c>
      <c r="EG128" s="496" t="str">
        <f> IF(EG148&lt;&gt;"",TEXT(AUX!EK$1,"dd-MMM-aa"),"")</f>
      </c>
      <c r="EH128" s="496" t="str">
        <f> IF(EH148&lt;&gt;"",TEXT(AUX!EL$1,"dd-MMM-aa"),"")</f>
      </c>
      <c r="EI128" s="496" t="str">
        <f> IF(EI148&lt;&gt;"",TEXT(AUX!EM$1,"dd-MMM-aa"),"")</f>
      </c>
      <c r="EJ128" s="496" t="str">
        <f> IF(EJ148&lt;&gt;"",TEXT(AUX!EN$1,"dd-MMM-aa"),"")</f>
      </c>
      <c r="EK128" s="496" t="str">
        <f> IF(EK148&lt;&gt;"",TEXT(AUX!EO$1,"dd-MMM-aa"),"")</f>
      </c>
      <c r="EL128" s="496" t="str">
        <f> IF(EL148&lt;&gt;"",TEXT(AUX!EP$1,"dd-MMM-aa"),"")</f>
      </c>
      <c r="EM128" s="496" t="str">
        <f> IF(EM148&lt;&gt;"",TEXT(AUX!EQ$1,"dd-MMM-aa"),"")</f>
      </c>
      <c r="EN128" s="496" t="str">
        <f> IF(EN148&lt;&gt;"",TEXT(AUX!ER$1,"dd-MMM-aa"),"")</f>
      </c>
      <c r="EO128" s="496" t="str">
        <f> IF(EO148&lt;&gt;"",TEXT(AUX!ES$1,"dd-MMM-aa"),"")</f>
      </c>
      <c r="EP128" s="496" t="str">
        <f> IF(EP148&lt;&gt;"",TEXT(AUX!ET$1,"dd-MMM-aa"),"")</f>
      </c>
      <c r="EQ128" s="496" t="str">
        <f> IF(EQ148&lt;&gt;"",TEXT(AUX!EU$1,"dd-MMM-aa"),"")</f>
      </c>
      <c r="ER128" s="496" t="str">
        <f> IF(ER148&lt;&gt;"",TEXT(AUX!EV$1,"dd-MMM-aa"),"")</f>
      </c>
      <c r="ES128" s="496" t="str">
        <f> IF(ES148&lt;&gt;"",TEXT(AUX!EW$1,"dd-MMM-aa"),"")</f>
      </c>
      <c r="ET128" s="496" t="str">
        <f> IF(ET148&lt;&gt;"",TEXT(AUX!EX$1,"dd-MMM-aa"),"")</f>
      </c>
      <c r="EU128" s="496" t="str">
        <f> IF(EU148&lt;&gt;"",TEXT(AUX!EY$1,"dd-MMM-aa"),"")</f>
      </c>
      <c r="EV128" s="496" t="str">
        <f> IF(EV148&lt;&gt;"",TEXT(AUX!EZ$1,"dd-MMM-aa"),"")</f>
      </c>
      <c r="EW128" s="496" t="str">
        <f> IF(EW148&lt;&gt;"",TEXT(AUX!FA$1,"dd-MMM-aa"),"")</f>
      </c>
      <c r="EX128" s="496" t="str">
        <f> IF(EX148&lt;&gt;"",TEXT(AUX!FB$1,"dd-MMM-aa"),"")</f>
      </c>
      <c r="EY128" s="496" t="str">
        <f> IF(EY148&lt;&gt;"",TEXT(AUX!FC$1,"dd-MMM-aa"),"")</f>
      </c>
      <c r="EZ128" s="496" t="str">
        <f> IF(EZ148&lt;&gt;"",TEXT(AUX!FD$1,"dd-MMM-aa"),"")</f>
      </c>
      <c r="FA128" s="496" t="str">
        <f> IF(FA148&lt;&gt;"",TEXT(AUX!FE$1,"dd-MMM-aa"),"")</f>
      </c>
      <c r="FB128" s="496" t="str">
        <f> IF(FB148&lt;&gt;"",TEXT(AUX!FF$1,"dd-MMM-aa"),"")</f>
      </c>
      <c r="FC128" s="496" t="str">
        <f> IF(FC148&lt;&gt;"",TEXT(AUX!FG$1,"dd-MMM-aa"),"")</f>
      </c>
      <c r="FD128" s="496" t="str">
        <f> IF(FD148&lt;&gt;"",TEXT(AUX!FH$1,"dd-MMM-aa"),"")</f>
      </c>
      <c r="FE128" s="496" t="str">
        <f> IF(FE148&lt;&gt;"",TEXT(AUX!FI$1,"dd-MMM-aa"),"")</f>
      </c>
      <c r="FF128" s="496" t="str">
        <f> IF(FF148&lt;&gt;"",TEXT(AUX!FJ$1,"dd-MMM-aa"),"")</f>
      </c>
      <c r="FG128" s="496" t="str">
        <f> IF(FG148&lt;&gt;"",TEXT(AUX!FK$1,"dd-MMM-aa"),"")</f>
      </c>
      <c r="FH128" s="496" t="str">
        <f> IF(FH148&lt;&gt;"",TEXT(AUX!FL$1,"dd-MMM-aa"),"")</f>
      </c>
      <c r="FI128" s="496" t="str">
        <f> IF(FI148&lt;&gt;"",TEXT(AUX!FM$1,"dd-MMM-aa"),"")</f>
      </c>
      <c r="FJ128" s="496" t="str">
        <f> IF(FJ148&lt;&gt;"",TEXT(AUX!FN$1,"dd-MMM-aa"),"")</f>
      </c>
      <c r="FK128" s="496" t="str">
        <f> IF(FK148&lt;&gt;"",TEXT(AUX!FO$1,"dd-MMM-aa"),"")</f>
      </c>
      <c r="FL128" s="496" t="str">
        <f> IF(FL148&lt;&gt;"",TEXT(AUX!FP$1,"dd-MMM-aa"),"")</f>
      </c>
      <c r="FM128" s="496" t="str">
        <f> IF(FM148&lt;&gt;"",TEXT(AUX!FQ$1,"dd-MMM-aa"),"")</f>
      </c>
      <c r="FN128" s="496" t="str">
        <f> IF(FN148&lt;&gt;"",TEXT(AUX!FR$1,"dd-MMM-aa"),"")</f>
      </c>
      <c r="FO128" s="496" t="str">
        <f> IF(FO148&lt;&gt;"",TEXT(AUX!FS$1,"dd-MMM-aa"),"")</f>
      </c>
      <c r="FP128" s="496" t="str">
        <f> IF(FP148&lt;&gt;"",TEXT(AUX!FT$1,"dd-MMM-aa"),"")</f>
      </c>
      <c r="FQ128" s="496" t="str">
        <f> IF(FQ148&lt;&gt;"",TEXT(AUX!FU$1,"dd-MMM-aa"),"")</f>
      </c>
      <c r="FR128" s="496" t="str">
        <f> IF(FR148&lt;&gt;"",TEXT(AUX!FV$1,"dd-MMM-aa"),"")</f>
      </c>
      <c r="FS128" s="496" t="str">
        <f> IF(FS148&lt;&gt;"",TEXT(AUX!FW$1,"dd-MMM-aa"),"")</f>
      </c>
      <c r="FT128" s="496" t="str">
        <f> IF(FT148&lt;&gt;"",TEXT(AUX!FX$1,"dd-MMM-aa"),"")</f>
      </c>
      <c r="FU128" s="496" t="str">
        <f> IF(FU148&lt;&gt;"",TEXT(AUX!FY$1,"dd-MMM-aa"),"")</f>
      </c>
      <c r="FV128" s="496" t="str">
        <f> IF(FV148&lt;&gt;"",TEXT(AUX!FZ$1,"dd-MMM-aa"),"")</f>
      </c>
      <c r="FW128" s="496" t="str">
        <f> IF(FW148&lt;&gt;"",TEXT(AUX!GA$1,"dd-MMM-aa"),"")</f>
      </c>
      <c r="FX128" s="496" t="str">
        <f> IF(FX148&lt;&gt;"",TEXT(AUX!GB$1,"dd-MMM-aa"),"")</f>
      </c>
      <c r="FY128" s="496" t="str">
        <f> IF(FY148&lt;&gt;"",TEXT(AUX!GC$1,"dd-MMM-aa"),"")</f>
      </c>
      <c r="FZ128" s="496" t="str">
        <f> IF(FZ148&lt;&gt;"",TEXT(AUX!GD$1,"dd-MMM-aa"),"")</f>
      </c>
      <c r="GA128" s="496" t="str">
        <f> IF(GA148&lt;&gt;"",TEXT(AUX!GE$1,"dd-MMM-aa"),"")</f>
      </c>
      <c r="GB128" s="496" t="str">
        <f> IF(GB148&lt;&gt;"",TEXT(AUX!GF$1,"dd-MMM-aa"),"")</f>
      </c>
      <c r="GC128" s="496" t="str">
        <f> IF(GC148&lt;&gt;"",TEXT(AUX!GG$1,"dd-MMM-aa"),"")</f>
      </c>
      <c r="GD128" s="496" t="str">
        <f> IF(GD148&lt;&gt;"",TEXT(AUX!GH$1,"dd-MMM-aa"),"")</f>
      </c>
      <c r="GE128" s="496" t="str">
        <f> IF(GE148&lt;&gt;"",TEXT(AUX!GI$1,"dd-MMM-aa"),"")</f>
      </c>
      <c r="GF128" s="496" t="str">
        <f> IF(GF148&lt;&gt;"",TEXT(AUX!GJ$1,"dd-MMM-aa"),"")</f>
      </c>
      <c r="GG128" s="496" t="str">
        <f> IF(GG148&lt;&gt;"",TEXT(AUX!GK$1,"dd-MMM-aa"),"")</f>
      </c>
      <c r="GH128" s="496" t="str">
        <f> IF(GH148&lt;&gt;"",TEXT(AUX!GL$1,"dd-MMM-aa"),"")</f>
      </c>
      <c r="GI128" s="496" t="str">
        <f> IF(GI148&lt;&gt;"",TEXT(AUX!GM$1,"dd-MMM-aa"),"")</f>
      </c>
      <c r="GJ128" s="496" t="str">
        <f> IF(GJ148&lt;&gt;"",TEXT(AUX!GN$1,"dd-MMM-aa"),"")</f>
      </c>
      <c r="GK128" s="496" t="str">
        <f> IF(GK148&lt;&gt;"",TEXT(AUX!GO$1,"dd-MMM-aa"),"")</f>
      </c>
      <c r="GL128" s="496" t="str">
        <f> IF(GL148&lt;&gt;"",TEXT(AUX!GP$1,"dd-MMM-aa"),"")</f>
      </c>
      <c r="GM128" s="496" t="str">
        <f> IF(GM148&lt;&gt;"",TEXT(AUX!GQ$1,"dd-MMM-aa"),"")</f>
      </c>
      <c r="GN128" s="496" t="str">
        <f> IF(GN148&lt;&gt;"",TEXT(AUX!GR$1,"dd-MMM-aa"),"")</f>
      </c>
      <c r="GO128" s="496" t="str">
        <f> IF(GO148&lt;&gt;"",TEXT(AUX!GS$1,"dd-MMM-aa"),"")</f>
      </c>
      <c r="GP128" s="496" t="str">
        <f> IF(GP148&lt;&gt;"",TEXT(AUX!GT$1,"dd-MMM-aa"),"")</f>
      </c>
      <c r="GQ128" s="496" t="str">
        <f> IF(GQ148&lt;&gt;"",TEXT(AUX!GU$1,"dd-MMM-aa"),"")</f>
      </c>
      <c r="GR128" s="496" t="str">
        <f> IF(GR148&lt;&gt;"",TEXT(AUX!GV$1,"dd-MMM-aa"),"")</f>
      </c>
      <c r="GS128" s="496" t="str">
        <f> IF(GS148&lt;&gt;"",TEXT(AUX!GW$1,"dd-MMM-aa"),"")</f>
      </c>
      <c r="GT128" s="496" t="str">
        <f> IF(GT148&lt;&gt;"",TEXT(AUX!GX$1,"dd-MMM-aa"),"")</f>
      </c>
      <c r="GU128" s="496" t="str">
        <f> IF(GU148&lt;&gt;"",TEXT(AUX!GY$1,"dd-MMM-aa"),"")</f>
      </c>
      <c r="GV128" s="496" t="str">
        <f> IF(GV148&lt;&gt;"",TEXT(AUX!GZ$1,"dd-MMM-aa"),"")</f>
      </c>
      <c r="GW128" s="496" t="str">
        <f> IF(GW148&lt;&gt;"",TEXT(AUX!HA$1,"dd-MMM-aa"),"")</f>
      </c>
      <c r="GX128" s="496" t="str">
        <f> IF(GX148&lt;&gt;"",TEXT(AUX!HB$1,"dd-MMM-aa"),"")</f>
      </c>
      <c r="GY128" s="496" t="str">
        <f> IF(GY148&lt;&gt;"",TEXT(AUX!HC$1,"dd-MMM-aa"),"")</f>
      </c>
      <c r="GZ128" s="496" t="str">
        <f> IF(GZ148&lt;&gt;"",TEXT(AUX!HD$1,"dd-MMM-aa"),"")</f>
      </c>
      <c r="HA128" s="496" t="str">
        <f> IF(HA148&lt;&gt;"",TEXT(AUX!HE$1,"dd-MMM-aa"),"")</f>
      </c>
      <c r="HB128" s="496" t="str">
        <f> IF(HB148&lt;&gt;"",TEXT(AUX!HF$1,"dd-MMM-aa"),"")</f>
      </c>
      <c r="HC128" s="496" t="str">
        <f> IF(HC148&lt;&gt;"",TEXT(AUX!HG$1,"dd-MMM-aa"),"")</f>
      </c>
      <c r="HD128" s="496" t="str">
        <f> IF(HD148&lt;&gt;"",TEXT(AUX!HH$1,"dd-MMM-aa"),"")</f>
      </c>
      <c r="HE128" s="496" t="str">
        <f> IF(HE148&lt;&gt;"",TEXT(AUX!HI$1,"dd-MMM-aa"),"")</f>
      </c>
      <c r="HF128" s="496" t="str">
        <f> IF(HF148&lt;&gt;"",TEXT(AUX!HJ$1,"dd-MMM-aa"),"")</f>
      </c>
      <c r="HG128" s="496" t="str">
        <f> IF(HG148&lt;&gt;"",TEXT(AUX!HK$1,"dd-MMM-aa"),"")</f>
      </c>
      <c r="HH128" s="496" t="str">
        <f> IF(HH148&lt;&gt;"",TEXT(AUX!HL$1,"dd-MMM-aa"),"")</f>
      </c>
      <c r="HI128" s="496" t="str">
        <f> IF(HI148&lt;&gt;"",TEXT(AUX!HM$1,"dd-MMM-aa"),"")</f>
      </c>
      <c r="HJ128" s="496" t="str">
        <f> IF(HJ148&lt;&gt;"",TEXT(AUX!HN$1,"dd-MMM-aa"),"")</f>
      </c>
      <c r="HK128" s="496" t="str">
        <f> IF(HK148&lt;&gt;"",TEXT(AUX!HO$1,"dd-MMM-aa"),"")</f>
      </c>
      <c r="HL128" s="496" t="str">
        <f> IF(HL148&lt;&gt;"",TEXT(AUX!HP$1,"dd-MMM-aa"),"")</f>
      </c>
      <c r="HM128" s="496" t="str">
        <f> IF(HM148&lt;&gt;"",TEXT(AUX!HQ$1,"dd-MMM-aa"),"")</f>
      </c>
      <c r="HN128" s="496" t="str">
        <f> IF(HN148&lt;&gt;"",TEXT(AUX!HR$1,"dd-MMM-aa"),"")</f>
      </c>
      <c r="HO128" s="496" t="str">
        <f> IF(HO148&lt;&gt;"",TEXT(AUX!HS$1,"dd-MMM-aa"),"")</f>
      </c>
      <c r="HP128" s="496" t="str">
        <f> IF(HP148&lt;&gt;"",TEXT(AUX!HT$1,"dd-MMM-aa"),"")</f>
      </c>
      <c r="HQ128" s="496" t="str">
        <f> IF(HQ148&lt;&gt;"",TEXT(AUX!HU$1,"dd-MMM-aa"),"")</f>
      </c>
      <c r="HR128" s="496" t="str">
        <f> IF(HR148&lt;&gt;"",TEXT(AUX!HV$1,"dd-MMM-aa"),"")</f>
      </c>
      <c r="HS128" s="496" t="str">
        <f> IF(HS148&lt;&gt;"",TEXT(AUX!HW$1,"dd-MMM-aa"),"")</f>
      </c>
      <c r="HT128" s="496" t="str">
        <f> IF(HT148&lt;&gt;"",TEXT(AUX!HX$1,"dd-MMM-aa"),"")</f>
      </c>
      <c r="HU128" s="496" t="str">
        <f> IF(HU148&lt;&gt;"",TEXT(AUX!HY$1,"dd-MMM-aa"),"")</f>
      </c>
      <c r="HV128" s="496" t="str">
        <f> IF(HV148&lt;&gt;"",TEXT(AUX!HZ$1,"dd-MMM-aa"),"")</f>
      </c>
      <c r="HW128" s="496" t="str">
        <f> IF(HW148&lt;&gt;"",TEXT(AUX!IA$1,"dd-MMM-aa"),"")</f>
      </c>
      <c r="HX128" s="496" t="str">
        <f> IF(HX148&lt;&gt;"",TEXT(AUX!IB$1,"dd-MMM-aa"),"")</f>
      </c>
      <c r="HY128" s="496" t="str">
        <f> IF(HY148&lt;&gt;"",TEXT(AUX!IC$1,"dd-MMM-aa"),"")</f>
      </c>
      <c r="HZ128" s="496" t="str">
        <f> IF(HZ148&lt;&gt;"",TEXT(AUX!ID$1,"dd-MMM-aa"),"")</f>
      </c>
      <c r="IA128" s="496" t="str">
        <f> IF(IA148&lt;&gt;"",TEXT(AUX!IE$1,"dd-MMM-aa"),"")</f>
      </c>
      <c r="IB128" s="496" t="str">
        <f> IF(IB148&lt;&gt;"",TEXT(AUX!IF$1,"dd-MMM-aa"),"")</f>
      </c>
      <c r="IC128" s="496" t="str">
        <f> IF(IC148&lt;&gt;"",TEXT(AUX!IG$1,"dd-MMM-aa"),"")</f>
      </c>
      <c r="ID128" s="496" t="str">
        <f> IF(ID148&lt;&gt;"",TEXT(AUX!IH$1,"dd-MMM-aa"),"")</f>
      </c>
      <c r="IE128" s="496" t="str">
        <f> IF(IE148&lt;&gt;"",TEXT(AUX!II$1,"dd-MMM-aa"),"")</f>
      </c>
      <c r="IF128" s="496" t="str">
        <f> IF(IF148&lt;&gt;"",TEXT(AUX!IJ$1,"dd-MMM-aa"),"")</f>
      </c>
      <c r="IG128" s="496" t="str">
        <f> IF(IG148&lt;&gt;"",TEXT(AUX!IK$1,"dd-MMM-aa"),"")</f>
      </c>
      <c r="IH128" s="496" t="str">
        <f> IF(IH148&lt;&gt;"",TEXT(AUX!IL$1,"dd-MMM-aa"),"")</f>
      </c>
      <c r="II128" s="496" t="str">
        <f> IF(II148&lt;&gt;"",TEXT(AUX!IM$1,"dd-MMM-aa"),"")</f>
      </c>
      <c r="IJ128" s="496" t="str">
        <f> IF(IJ148&lt;&gt;"",TEXT(AUX!IN$1,"dd-MMM-aa"),"")</f>
      </c>
      <c r="IK128" s="496" t="str">
        <f> IF(IK148&lt;&gt;"",TEXT(AUX!IO$1,"dd-MMM-aa"),"")</f>
      </c>
      <c r="IL128" s="496" t="str">
        <f> IF(IL148&lt;&gt;"",TEXT(AUX!IP$1,"dd-MMM-aa"),"")</f>
      </c>
      <c r="IM128" s="496" t="str">
        <f> IF(IM148&lt;&gt;"",TEXT(AUX!IQ$1,"dd-MMM-aa"),"")</f>
      </c>
      <c r="IN128" s="496" t="str">
        <f> IF(IN148&lt;&gt;"",TEXT(AUX!IR$1,"dd-MMM-aa"),"")</f>
      </c>
      <c r="IO128" s="496" t="str">
        <f> IF(IO148&lt;&gt;"",TEXT(AUX!IS$1,"dd-MMM-aa"),"")</f>
      </c>
      <c r="IP128" s="496" t="str">
        <f> IF(IP148&lt;&gt;"",TEXT(AUX!IT$1,"dd-MMM-aa"),"")</f>
      </c>
      <c r="IQ128" s="496" t="str">
        <f> IF(IQ148&lt;&gt;"",TEXT(AUX!IU$1,"dd-MMM-aa"),"")</f>
      </c>
      <c r="IR128" s="496" t="str">
        <f> IF(IR148&lt;&gt;"",TEXT(AUX!IV$1,"dd-MMM-aa"),"")</f>
      </c>
      <c r="IS128" s="496" t="str">
        <f> IF(IS148&lt;&gt;"",TEXT(AUX!#REF!,"dd-MMM-aa"),"")</f>
      </c>
      <c r="IT128" s="496" t="str">
        <f> IF(IT148&lt;&gt;"",TEXT(AUX!#REF!,"dd-MMM-aa"),"")</f>
      </c>
      <c r="IU128" s="496" t="str">
        <f> IF(IU148&lt;&gt;"",TEXT(AUX!#REF!,"dd-MMM-aa"),"")</f>
      </c>
      <c r="IV128" s="496" t="str">
        <f> IF(IV148&lt;&gt;"",TEXT(AUX!#REF!,"dd-MMM-aa"),"")</f>
      </c>
    </row>
    <row r="129" hidden="1">
      <c r="B129" s="833" t="s">
        <v>8</v>
      </c>
      <c r="C129" s="827">
        <v>4443</v>
      </c>
      <c r="D129" s="827">
        <v>4416</v>
      </c>
      <c r="E129" s="827">
        <v>12418</v>
      </c>
      <c r="F129" s="827">
        <v>12459</v>
      </c>
      <c r="G129" s="827">
        <v>13140</v>
      </c>
      <c r="H129" s="827">
        <v>13647</v>
      </c>
      <c r="I129" s="827">
        <v>11266</v>
      </c>
      <c r="J129" s="827">
        <v>9873</v>
      </c>
      <c r="K129" s="827">
        <v>9784</v>
      </c>
      <c r="L129" s="827">
        <v>10497</v>
      </c>
      <c r="M129" s="827">
        <v>11633</v>
      </c>
      <c r="N129" s="827">
        <v>11313</v>
      </c>
      <c r="O129" s="827">
        <v>9037</v>
      </c>
      <c r="P129" s="827">
        <v>9668</v>
      </c>
      <c r="Q129" s="827">
        <v>4847</v>
      </c>
      <c r="R129" s="827">
        <v>5051</v>
      </c>
      <c r="S129" s="827">
        <v>4884</v>
      </c>
      <c r="T129" s="827">
        <v>5114</v>
      </c>
      <c r="U129" s="827">
        <v>5137</v>
      </c>
      <c r="V129" s="827">
        <v>4187</v>
      </c>
      <c r="W129" s="827">
        <v>3804</v>
      </c>
      <c r="X129" s="827">
        <v>3414</v>
      </c>
      <c r="Y129" s="827">
        <v>6221</v>
      </c>
      <c r="Z129" s="827">
        <v>2421</v>
      </c>
      <c r="AA129" s="827">
        <v>2251</v>
      </c>
      <c r="AB129" s="834">
        <v>2292</v>
      </c>
      <c r="AC129" s="828">
        <v>2341</v>
      </c>
      <c r="AD129" s="828">
        <v>2089</v>
      </c>
      <c r="AE129" s="828">
        <v>2089</v>
      </c>
      <c r="AF129" s="828">
        <v>1749</v>
      </c>
      <c r="AG129" s="828">
        <v>1558</v>
      </c>
      <c r="AH129" s="828">
        <v>1522</v>
      </c>
      <c r="AI129" s="828">
        <v>1493</v>
      </c>
      <c r="AJ129" s="828">
        <v>1435</v>
      </c>
      <c r="AK129" s="828">
        <v>1368</v>
      </c>
      <c r="AL129" s="828">
        <v>1372</v>
      </c>
      <c r="AM129" s="828">
        <v>1390</v>
      </c>
      <c r="AN129" s="828">
        <v>1294</v>
      </c>
      <c r="AO129" s="828">
        <v>974</v>
      </c>
      <c r="AP129" s="828">
        <v>1295</v>
      </c>
    </row>
    <row r="130" hidden="1">
      <c r="B130" s="829" t="s">
        <v>9</v>
      </c>
      <c r="C130" s="823">
        <v>100</v>
      </c>
      <c r="D130" s="823">
        <v>100</v>
      </c>
      <c r="E130" s="823">
        <v>400</v>
      </c>
      <c r="F130" s="823">
        <v>400</v>
      </c>
      <c r="G130" s="823">
        <v>400</v>
      </c>
      <c r="H130" s="823">
        <v>400</v>
      </c>
      <c r="I130" s="823">
        <v>650</v>
      </c>
      <c r="J130" s="823">
        <v>942</v>
      </c>
      <c r="K130" s="823">
        <v>1087</v>
      </c>
      <c r="L130" s="823">
        <v>1087</v>
      </c>
      <c r="M130" s="823">
        <v>1087</v>
      </c>
      <c r="N130" s="823">
        <v>1086</v>
      </c>
      <c r="O130" s="823">
        <v>1086</v>
      </c>
      <c r="P130" s="823">
        <v>24555</v>
      </c>
      <c r="Q130" s="823">
        <v>18112</v>
      </c>
      <c r="R130" s="823">
        <v>14523</v>
      </c>
      <c r="S130" s="823">
        <v>17877</v>
      </c>
      <c r="T130" s="823">
        <v>17919</v>
      </c>
      <c r="U130" s="823">
        <v>18397</v>
      </c>
      <c r="V130" s="823">
        <v>17571</v>
      </c>
      <c r="W130" s="823">
        <v>18515</v>
      </c>
      <c r="X130" s="823">
        <v>17549</v>
      </c>
      <c r="Y130" s="823">
        <v>22856</v>
      </c>
      <c r="Z130" s="823">
        <v>22311</v>
      </c>
      <c r="AA130" s="823">
        <v>19809</v>
      </c>
      <c r="AB130" s="823">
        <v>19432</v>
      </c>
      <c r="AC130" s="825">
        <v>19249</v>
      </c>
      <c r="AD130" s="825">
        <v>18989</v>
      </c>
      <c r="AE130" s="825">
        <v>17415</v>
      </c>
      <c r="AF130" s="825">
        <v>15835</v>
      </c>
      <c r="AG130" s="825">
        <v>16837</v>
      </c>
      <c r="AH130" s="825">
        <v>16389</v>
      </c>
      <c r="AI130" s="825">
        <v>15535</v>
      </c>
      <c r="AJ130" s="825">
        <v>15435</v>
      </c>
      <c r="AK130" s="825">
        <v>16299</v>
      </c>
      <c r="AL130" s="825">
        <v>16279</v>
      </c>
      <c r="AM130" s="825">
        <v>16207</v>
      </c>
      <c r="AN130" s="825">
        <v>15539</v>
      </c>
      <c r="AO130" s="825">
        <v>14606</v>
      </c>
      <c r="AP130" s="825">
        <v>14536</v>
      </c>
    </row>
    <row r="131" hidden="1">
      <c r="B131" s="826" t="s">
        <v>10</v>
      </c>
      <c r="C131" s="827">
        <v>3377</v>
      </c>
      <c r="D131" s="827">
        <v>3377</v>
      </c>
      <c r="E131" s="827">
        <v>2801</v>
      </c>
      <c r="F131" s="827">
        <v>2801</v>
      </c>
      <c r="G131" s="827">
        <v>1191</v>
      </c>
      <c r="H131" s="827">
        <v>1195</v>
      </c>
      <c r="I131" s="827">
        <v>1172</v>
      </c>
      <c r="J131" s="827">
        <v>1172</v>
      </c>
      <c r="K131" s="827">
        <v>1277</v>
      </c>
      <c r="L131" s="827">
        <v>1267</v>
      </c>
      <c r="M131" s="827">
        <v>1059</v>
      </c>
      <c r="N131" s="827">
        <v>1059</v>
      </c>
      <c r="O131" s="827">
        <v>1088</v>
      </c>
      <c r="P131" s="827">
        <v>1088</v>
      </c>
      <c r="Q131" s="827">
        <v>676</v>
      </c>
      <c r="R131" s="827">
        <v>676</v>
      </c>
      <c r="S131" s="827">
        <v>639</v>
      </c>
      <c r="T131" s="827">
        <v>479</v>
      </c>
      <c r="U131" s="827">
        <v>396</v>
      </c>
      <c r="V131" s="827">
        <v>396</v>
      </c>
      <c r="W131" s="827">
        <v>394</v>
      </c>
      <c r="X131" s="827">
        <v>394</v>
      </c>
      <c r="Y131" s="827">
        <v>397</v>
      </c>
      <c r="Z131" s="827">
        <v>397</v>
      </c>
      <c r="AA131" s="827">
        <v>412</v>
      </c>
      <c r="AB131" s="827">
        <v>412</v>
      </c>
      <c r="AC131" s="828">
        <v>411</v>
      </c>
      <c r="AD131" s="828">
        <v>411</v>
      </c>
      <c r="AE131" s="828">
        <v>394</v>
      </c>
      <c r="AF131" s="828">
        <v>394</v>
      </c>
      <c r="AG131" s="828">
        <v>399</v>
      </c>
      <c r="AH131" s="828">
        <v>319</v>
      </c>
      <c r="AI131" s="828">
        <v>336</v>
      </c>
      <c r="AJ131" s="828">
        <v>336</v>
      </c>
      <c r="AK131" s="828">
        <v>353</v>
      </c>
      <c r="AL131" s="828">
        <v>353</v>
      </c>
      <c r="AM131" s="828">
        <v>51</v>
      </c>
      <c r="AN131" s="828">
        <v>51</v>
      </c>
      <c r="AO131" s="828">
        <v>61</v>
      </c>
      <c r="AP131" s="828">
        <v>61</v>
      </c>
    </row>
    <row r="132" hidden="1">
      <c r="B132" s="829" t="s">
        <v>11</v>
      </c>
      <c r="C132" s="823">
        <v>6</v>
      </c>
      <c r="D132" s="823">
        <v>6</v>
      </c>
      <c r="E132" s="823">
        <v>0</v>
      </c>
      <c r="F132" s="823">
        <v>0</v>
      </c>
      <c r="G132" s="823">
        <v>6</v>
      </c>
      <c r="H132" s="823">
        <v>6</v>
      </c>
      <c r="I132" s="823">
        <v>2</v>
      </c>
      <c r="J132" s="823">
        <v>6</v>
      </c>
      <c r="K132" s="823">
        <v>7</v>
      </c>
      <c r="L132" s="823">
        <v>5</v>
      </c>
      <c r="M132" s="823">
        <v>30</v>
      </c>
      <c r="N132" s="823">
        <v>30</v>
      </c>
      <c r="O132" s="823">
        <v>10</v>
      </c>
      <c r="P132" s="823">
        <v>6</v>
      </c>
      <c r="Q132" s="823">
        <v>8</v>
      </c>
      <c r="R132" s="823">
        <v>7</v>
      </c>
      <c r="S132" s="823">
        <v>1</v>
      </c>
      <c r="T132" s="823">
        <v>1</v>
      </c>
      <c r="U132" s="823">
        <v>0</v>
      </c>
      <c r="V132" s="823">
        <v>0</v>
      </c>
      <c r="W132" s="823">
        <v>0</v>
      </c>
      <c r="X132" s="823">
        <v>0</v>
      </c>
      <c r="Y132" s="823">
        <v>0</v>
      </c>
      <c r="Z132" s="823">
        <v>0</v>
      </c>
      <c r="AA132" s="823">
        <v>30</v>
      </c>
      <c r="AB132" s="823">
        <v>30</v>
      </c>
      <c r="AC132" s="825">
        <v>120</v>
      </c>
      <c r="AD132" s="825">
        <v>120</v>
      </c>
      <c r="AE132" s="825">
        <v>119</v>
      </c>
      <c r="AF132" s="825">
        <v>126</v>
      </c>
      <c r="AG132" s="825">
        <v>43</v>
      </c>
      <c r="AH132" s="825">
        <v>43</v>
      </c>
      <c r="AI132" s="825">
        <v>38</v>
      </c>
      <c r="AJ132" s="825">
        <v>38</v>
      </c>
      <c r="AK132" s="825">
        <v>41</v>
      </c>
      <c r="AL132" s="825">
        <v>39</v>
      </c>
      <c r="AM132" s="825">
        <v>30</v>
      </c>
      <c r="AN132" s="825">
        <v>30</v>
      </c>
      <c r="AO132" s="825">
        <v>46</v>
      </c>
      <c r="AP132" s="825">
        <v>51</v>
      </c>
    </row>
    <row r="133" hidden="1">
      <c r="B133" s="826" t="s">
        <v>12</v>
      </c>
      <c r="C133" s="827">
        <v>6008</v>
      </c>
      <c r="D133" s="827">
        <v>5866</v>
      </c>
      <c r="E133" s="827">
        <v>5111</v>
      </c>
      <c r="F133" s="827">
        <v>5001</v>
      </c>
      <c r="G133" s="827">
        <v>5798</v>
      </c>
      <c r="H133" s="827">
        <v>5750</v>
      </c>
      <c r="I133" s="827">
        <v>5725</v>
      </c>
      <c r="J133" s="827">
        <v>4854</v>
      </c>
      <c r="K133" s="827">
        <v>4935</v>
      </c>
      <c r="L133" s="827">
        <v>4665</v>
      </c>
      <c r="M133" s="827">
        <v>3899</v>
      </c>
      <c r="N133" s="827">
        <v>3843</v>
      </c>
      <c r="O133" s="827">
        <v>3855</v>
      </c>
      <c r="P133" s="827">
        <v>3760</v>
      </c>
      <c r="Q133" s="827">
        <v>3879</v>
      </c>
      <c r="R133" s="827">
        <v>3964</v>
      </c>
      <c r="S133" s="827">
        <v>3634</v>
      </c>
      <c r="T133" s="827">
        <v>3202</v>
      </c>
      <c r="U133" s="827">
        <v>2969</v>
      </c>
      <c r="V133" s="827">
        <v>3025</v>
      </c>
      <c r="W133" s="827">
        <v>2247</v>
      </c>
      <c r="X133" s="827">
        <v>2212</v>
      </c>
      <c r="Y133" s="827">
        <v>2512</v>
      </c>
      <c r="Z133" s="827">
        <v>2434</v>
      </c>
      <c r="AA133" s="827">
        <v>2996</v>
      </c>
      <c r="AB133" s="827">
        <v>2982</v>
      </c>
      <c r="AC133" s="828">
        <v>2692</v>
      </c>
      <c r="AD133" s="828">
        <v>2267</v>
      </c>
      <c r="AE133" s="828">
        <v>2145</v>
      </c>
      <c r="AF133" s="828">
        <v>2184</v>
      </c>
      <c r="AG133" s="828">
        <v>1873</v>
      </c>
      <c r="AH133" s="828">
        <v>1923</v>
      </c>
      <c r="AI133" s="828">
        <v>1693</v>
      </c>
      <c r="AJ133" s="828">
        <v>1686</v>
      </c>
      <c r="AK133" s="828">
        <v>1318</v>
      </c>
      <c r="AL133" s="828">
        <v>1321</v>
      </c>
      <c r="AM133" s="828">
        <v>1284</v>
      </c>
      <c r="AN133" s="828">
        <v>1289</v>
      </c>
      <c r="AO133" s="828">
        <v>1379</v>
      </c>
      <c r="AP133" s="828">
        <v>1570</v>
      </c>
    </row>
    <row r="134" hidden="1">
      <c r="B134" s="829" t="s">
        <v>13</v>
      </c>
      <c r="C134" s="823">
        <v>2422</v>
      </c>
      <c r="D134" s="823">
        <v>2435</v>
      </c>
      <c r="E134" s="823">
        <v>17368</v>
      </c>
      <c r="F134" s="823">
        <v>17372</v>
      </c>
      <c r="G134" s="823">
        <v>7685</v>
      </c>
      <c r="H134" s="823">
        <v>7685</v>
      </c>
      <c r="I134" s="823">
        <v>7865</v>
      </c>
      <c r="J134" s="823">
        <v>7880</v>
      </c>
      <c r="K134" s="823">
        <v>2400</v>
      </c>
      <c r="L134" s="823">
        <v>2149</v>
      </c>
      <c r="M134" s="823">
        <v>2069</v>
      </c>
      <c r="N134" s="823">
        <v>1729</v>
      </c>
      <c r="O134" s="823">
        <v>2332</v>
      </c>
      <c r="P134" s="823">
        <v>2349</v>
      </c>
      <c r="Q134" s="823">
        <v>2437</v>
      </c>
      <c r="R134" s="823">
        <v>2487</v>
      </c>
      <c r="S134" s="823">
        <v>2699</v>
      </c>
      <c r="T134" s="823">
        <v>2869</v>
      </c>
      <c r="U134" s="823">
        <v>2274</v>
      </c>
      <c r="V134" s="823">
        <v>2242</v>
      </c>
      <c r="W134" s="823">
        <v>1847</v>
      </c>
      <c r="X134" s="823">
        <v>2427</v>
      </c>
      <c r="Y134" s="823">
        <v>2976</v>
      </c>
      <c r="Z134" s="823">
        <v>2763</v>
      </c>
      <c r="AA134" s="823">
        <v>2829</v>
      </c>
      <c r="AB134" s="823">
        <v>2549</v>
      </c>
      <c r="AC134" s="825">
        <v>2586</v>
      </c>
      <c r="AD134" s="825">
        <v>2586</v>
      </c>
      <c r="AE134" s="825">
        <v>2116</v>
      </c>
      <c r="AF134" s="825">
        <v>2116</v>
      </c>
      <c r="AG134" s="825">
        <v>1941</v>
      </c>
      <c r="AH134" s="825">
        <v>1941</v>
      </c>
      <c r="AI134" s="825">
        <v>1976</v>
      </c>
      <c r="AJ134" s="825">
        <v>1806</v>
      </c>
      <c r="AK134" s="825">
        <v>1577</v>
      </c>
      <c r="AL134" s="825">
        <v>1579</v>
      </c>
      <c r="AM134" s="825">
        <v>1785</v>
      </c>
      <c r="AN134" s="825">
        <v>1785</v>
      </c>
      <c r="AO134" s="825">
        <v>1664</v>
      </c>
      <c r="AP134" s="825">
        <v>1664</v>
      </c>
    </row>
    <row r="135" hidden="1">
      <c r="B135" s="826" t="s">
        <v>109</v>
      </c>
      <c r="C135" s="827">
        <v>32108</v>
      </c>
      <c r="D135" s="827">
        <v>30729</v>
      </c>
      <c r="E135" s="827">
        <v>38320</v>
      </c>
      <c r="F135" s="827">
        <v>36656</v>
      </c>
      <c r="G135" s="827">
        <v>30403</v>
      </c>
      <c r="H135" s="827">
        <v>30004</v>
      </c>
      <c r="I135" s="827">
        <v>35107</v>
      </c>
      <c r="J135" s="827">
        <v>33795</v>
      </c>
      <c r="K135" s="827">
        <v>30549</v>
      </c>
      <c r="L135" s="827">
        <v>30613</v>
      </c>
      <c r="M135" s="827">
        <v>25735</v>
      </c>
      <c r="N135" s="827">
        <v>27192</v>
      </c>
      <c r="O135" s="827">
        <v>27780</v>
      </c>
      <c r="P135" s="827">
        <v>28035</v>
      </c>
      <c r="Q135" s="827">
        <v>27159</v>
      </c>
      <c r="R135" s="827">
        <v>26135</v>
      </c>
      <c r="S135" s="827">
        <v>26842</v>
      </c>
      <c r="T135" s="827">
        <v>25698</v>
      </c>
      <c r="U135" s="827">
        <v>26369</v>
      </c>
      <c r="V135" s="827">
        <v>25849</v>
      </c>
      <c r="W135" s="827">
        <v>21295</v>
      </c>
      <c r="X135" s="827">
        <v>18575</v>
      </c>
      <c r="Y135" s="827">
        <v>17428</v>
      </c>
      <c r="Z135" s="827">
        <v>19902</v>
      </c>
      <c r="AA135" s="827">
        <v>15939</v>
      </c>
      <c r="AB135" s="827">
        <v>16059</v>
      </c>
      <c r="AC135" s="828">
        <v>16962</v>
      </c>
      <c r="AD135" s="828">
        <v>16872</v>
      </c>
      <c r="AE135" s="828">
        <v>17363</v>
      </c>
      <c r="AF135" s="828">
        <v>18023</v>
      </c>
      <c r="AG135" s="828">
        <v>14932</v>
      </c>
      <c r="AH135" s="828">
        <v>15326</v>
      </c>
      <c r="AI135" s="828">
        <v>15167</v>
      </c>
      <c r="AJ135" s="828">
        <v>14527</v>
      </c>
      <c r="AK135" s="828">
        <v>15149</v>
      </c>
      <c r="AL135" s="828">
        <v>14689</v>
      </c>
      <c r="AM135" s="828">
        <v>14420</v>
      </c>
      <c r="AN135" s="828">
        <v>14420</v>
      </c>
      <c r="AO135" s="828">
        <v>12963</v>
      </c>
      <c r="AP135" s="828">
        <v>12761</v>
      </c>
    </row>
    <row r="136" hidden="1">
      <c r="B136" s="829" t="s">
        <v>110</v>
      </c>
      <c r="C136" s="823">
        <v>35636</v>
      </c>
      <c r="D136" s="823">
        <v>35611</v>
      </c>
      <c r="E136" s="823">
        <v>37046</v>
      </c>
      <c r="F136" s="823">
        <v>38503</v>
      </c>
      <c r="G136" s="823">
        <v>47923</v>
      </c>
      <c r="H136" s="823">
        <v>48249</v>
      </c>
      <c r="I136" s="823">
        <v>37894</v>
      </c>
      <c r="J136" s="823">
        <v>39033</v>
      </c>
      <c r="K136" s="823">
        <v>36674</v>
      </c>
      <c r="L136" s="823">
        <v>37014</v>
      </c>
      <c r="M136" s="823">
        <v>36678</v>
      </c>
      <c r="N136" s="823">
        <v>35486</v>
      </c>
      <c r="O136" s="823">
        <v>36961</v>
      </c>
      <c r="P136" s="823">
        <v>37108</v>
      </c>
      <c r="Q136" s="823">
        <v>35135</v>
      </c>
      <c r="R136" s="823">
        <v>34658</v>
      </c>
      <c r="S136" s="823">
        <v>36967</v>
      </c>
      <c r="T136" s="823">
        <v>37757</v>
      </c>
      <c r="U136" s="823">
        <v>47136</v>
      </c>
      <c r="V136" s="823">
        <v>46250</v>
      </c>
      <c r="W136" s="823">
        <v>39662</v>
      </c>
      <c r="X136" s="823">
        <v>41222</v>
      </c>
      <c r="Y136" s="823">
        <v>45151</v>
      </c>
      <c r="Z136" s="823">
        <v>44861</v>
      </c>
      <c r="AA136" s="823">
        <v>45706</v>
      </c>
      <c r="AB136" s="823">
        <v>45662</v>
      </c>
      <c r="AC136" s="825">
        <v>51665</v>
      </c>
      <c r="AD136" s="825">
        <v>51604</v>
      </c>
      <c r="AE136" s="825">
        <v>54240</v>
      </c>
      <c r="AF136" s="825">
        <v>54185</v>
      </c>
      <c r="AG136" s="825">
        <v>52272</v>
      </c>
      <c r="AH136" s="825">
        <v>52142</v>
      </c>
      <c r="AI136" s="825">
        <v>49849</v>
      </c>
      <c r="AJ136" s="825">
        <v>50009</v>
      </c>
      <c r="AK136" s="825">
        <v>51704</v>
      </c>
      <c r="AL136" s="825">
        <v>50868</v>
      </c>
      <c r="AM136" s="825">
        <v>49684</v>
      </c>
      <c r="AN136" s="825">
        <v>49193</v>
      </c>
      <c r="AO136" s="825">
        <v>44344</v>
      </c>
      <c r="AP136" s="825">
        <v>44444</v>
      </c>
    </row>
    <row r="137" hidden="1">
      <c r="B137" s="826" t="s">
        <v>16</v>
      </c>
      <c r="C137" s="827">
        <v>69056</v>
      </c>
      <c r="D137" s="827">
        <v>6405</v>
      </c>
      <c r="E137" s="827">
        <v>71224</v>
      </c>
      <c r="F137" s="827">
        <v>71581</v>
      </c>
      <c r="G137" s="827">
        <v>75223</v>
      </c>
      <c r="H137" s="827">
        <v>75202</v>
      </c>
      <c r="I137" s="827">
        <v>71127</v>
      </c>
      <c r="J137" s="827">
        <v>70455</v>
      </c>
      <c r="K137" s="827">
        <v>71255</v>
      </c>
      <c r="L137" s="827">
        <v>71875</v>
      </c>
      <c r="M137" s="827">
        <v>68347</v>
      </c>
      <c r="N137" s="827">
        <v>68127</v>
      </c>
      <c r="O137" s="827">
        <v>66907</v>
      </c>
      <c r="P137" s="827">
        <v>61764</v>
      </c>
      <c r="Q137" s="827">
        <v>65229</v>
      </c>
      <c r="R137" s="827">
        <v>58531</v>
      </c>
      <c r="S137" s="827">
        <v>57474</v>
      </c>
      <c r="T137" s="827">
        <v>56932</v>
      </c>
      <c r="U137" s="827">
        <v>57868</v>
      </c>
      <c r="V137" s="827">
        <v>57157</v>
      </c>
      <c r="W137" s="827">
        <v>57157</v>
      </c>
      <c r="X137" s="827">
        <v>57157</v>
      </c>
      <c r="Y137" s="827">
        <v>57157</v>
      </c>
      <c r="Z137" s="827">
        <v>57157</v>
      </c>
      <c r="AA137" s="827">
        <v>47683</v>
      </c>
      <c r="AB137" s="827">
        <v>45704</v>
      </c>
      <c r="AC137" s="828">
        <v>45968</v>
      </c>
      <c r="AD137" s="828">
        <v>44998</v>
      </c>
      <c r="AE137" s="828">
        <v>41083</v>
      </c>
      <c r="AF137" s="828">
        <v>41472</v>
      </c>
      <c r="AG137" s="828">
        <v>38861</v>
      </c>
      <c r="AH137" s="828">
        <v>38718</v>
      </c>
      <c r="AI137" s="828">
        <v>36181</v>
      </c>
      <c r="AJ137" s="828">
        <v>35027</v>
      </c>
      <c r="AK137" s="828">
        <v>33087</v>
      </c>
      <c r="AL137" s="828">
        <v>31876</v>
      </c>
      <c r="AM137" s="828">
        <v>31106</v>
      </c>
      <c r="AN137" s="828">
        <v>30398</v>
      </c>
      <c r="AO137" s="828">
        <v>30018</v>
      </c>
      <c r="AP137" s="828">
        <v>28632</v>
      </c>
    </row>
    <row r="138" hidden="1">
      <c r="B138" s="829" t="s">
        <v>17</v>
      </c>
      <c r="C138" s="823">
        <v>0</v>
      </c>
      <c r="D138" s="823">
        <v>0</v>
      </c>
      <c r="E138" s="823">
        <v>0</v>
      </c>
      <c r="F138" s="823">
        <v>0</v>
      </c>
      <c r="G138" s="823">
        <v>0</v>
      </c>
      <c r="H138" s="823">
        <v>0</v>
      </c>
      <c r="I138" s="823">
        <v>0</v>
      </c>
      <c r="J138" s="823">
        <v>0</v>
      </c>
      <c r="K138" s="823">
        <v>0</v>
      </c>
      <c r="L138" s="823">
        <v>0</v>
      </c>
      <c r="M138" s="823">
        <v>0</v>
      </c>
      <c r="N138" s="823">
        <v>0</v>
      </c>
      <c r="O138" s="823">
        <v>0</v>
      </c>
      <c r="P138" s="823">
        <v>0</v>
      </c>
      <c r="Q138" s="823">
        <v>0</v>
      </c>
      <c r="R138" s="823">
        <v>0</v>
      </c>
      <c r="S138" s="823">
        <v>0</v>
      </c>
      <c r="T138" s="823">
        <v>0</v>
      </c>
      <c r="U138" s="823">
        <v>0</v>
      </c>
      <c r="V138" s="823">
        <v>0</v>
      </c>
      <c r="W138" s="823">
        <v>0</v>
      </c>
      <c r="X138" s="823">
        <v>0</v>
      </c>
      <c r="Y138" s="823">
        <v>0</v>
      </c>
      <c r="Z138" s="823">
        <v>0</v>
      </c>
      <c r="AA138" s="823">
        <v>723</v>
      </c>
      <c r="AB138" s="823">
        <v>723</v>
      </c>
      <c r="AC138" s="825">
        <v>905</v>
      </c>
      <c r="AD138" s="825">
        <v>905</v>
      </c>
      <c r="AE138" s="825">
        <v>588</v>
      </c>
      <c r="AF138" s="825">
        <v>498</v>
      </c>
      <c r="AG138" s="825">
        <v>855</v>
      </c>
      <c r="AH138" s="825">
        <v>855</v>
      </c>
      <c r="AI138" s="825">
        <v>5837</v>
      </c>
      <c r="AJ138" s="825">
        <v>5837</v>
      </c>
      <c r="AK138" s="825">
        <v>319</v>
      </c>
      <c r="AL138" s="825">
        <v>319</v>
      </c>
      <c r="AM138" s="825">
        <v>394</v>
      </c>
      <c r="AN138" s="825">
        <v>394</v>
      </c>
      <c r="AO138" s="825">
        <v>906</v>
      </c>
      <c r="AP138" s="825">
        <v>906</v>
      </c>
    </row>
    <row r="139" hidden="1">
      <c r="B139" s="826" t="s">
        <v>18</v>
      </c>
      <c r="C139" s="827">
        <v>0</v>
      </c>
      <c r="D139" s="827">
        <v>2128</v>
      </c>
      <c r="E139" s="827">
        <v>5288</v>
      </c>
      <c r="F139" s="827">
        <v>8505</v>
      </c>
      <c r="G139" s="827">
        <v>42316</v>
      </c>
      <c r="H139" s="827">
        <v>41932</v>
      </c>
      <c r="I139" s="827">
        <v>39978</v>
      </c>
      <c r="J139" s="827">
        <v>36804</v>
      </c>
      <c r="K139" s="827">
        <v>41471</v>
      </c>
      <c r="L139" s="827">
        <v>39987</v>
      </c>
      <c r="M139" s="827">
        <v>40381</v>
      </c>
      <c r="N139" s="827">
        <v>42327</v>
      </c>
      <c r="O139" s="827">
        <v>41575</v>
      </c>
      <c r="P139" s="827">
        <v>39617</v>
      </c>
      <c r="Q139" s="827">
        <v>41677</v>
      </c>
      <c r="R139" s="827">
        <v>41110</v>
      </c>
      <c r="S139" s="827">
        <v>41306</v>
      </c>
      <c r="T139" s="827">
        <v>41807</v>
      </c>
      <c r="U139" s="827">
        <v>42744</v>
      </c>
      <c r="V139" s="827">
        <v>41540</v>
      </c>
      <c r="W139" s="827">
        <v>41220</v>
      </c>
      <c r="X139" s="827">
        <v>40340</v>
      </c>
      <c r="Y139" s="827">
        <v>36618</v>
      </c>
      <c r="Z139" s="827">
        <v>35807</v>
      </c>
      <c r="AA139" s="827">
        <v>33571</v>
      </c>
      <c r="AB139" s="827">
        <v>33973</v>
      </c>
      <c r="AC139" s="828">
        <v>35967</v>
      </c>
      <c r="AD139" s="828">
        <v>36043</v>
      </c>
      <c r="AE139" s="828">
        <v>33438</v>
      </c>
      <c r="AF139" s="828">
        <v>33046</v>
      </c>
      <c r="AG139" s="828">
        <v>32770</v>
      </c>
      <c r="AH139" s="828">
        <v>31025</v>
      </c>
      <c r="AI139" s="828">
        <v>27805</v>
      </c>
      <c r="AJ139" s="828">
        <v>27625</v>
      </c>
      <c r="AK139" s="828">
        <v>29634</v>
      </c>
      <c r="AL139" s="828">
        <v>29452</v>
      </c>
      <c r="AM139" s="828">
        <v>27216</v>
      </c>
      <c r="AN139" s="828">
        <v>26916</v>
      </c>
      <c r="AO139" s="828">
        <v>19982</v>
      </c>
      <c r="AP139" s="828">
        <v>19952</v>
      </c>
    </row>
    <row r="140" hidden="1">
      <c r="B140" s="829" t="s">
        <v>19</v>
      </c>
      <c r="C140" s="823">
        <v>509</v>
      </c>
      <c r="D140" s="823">
        <v>702</v>
      </c>
      <c r="E140" s="823">
        <v>698</v>
      </c>
      <c r="F140" s="823">
        <v>698</v>
      </c>
      <c r="G140" s="823">
        <v>575</v>
      </c>
      <c r="H140" s="823">
        <v>497</v>
      </c>
      <c r="I140" s="823">
        <v>591</v>
      </c>
      <c r="J140" s="823">
        <v>593</v>
      </c>
      <c r="K140" s="823">
        <v>580</v>
      </c>
      <c r="L140" s="823">
        <v>580</v>
      </c>
      <c r="M140" s="823">
        <v>580</v>
      </c>
      <c r="N140" s="823">
        <v>585</v>
      </c>
      <c r="O140" s="823">
        <v>395</v>
      </c>
      <c r="P140" s="823">
        <v>145</v>
      </c>
      <c r="Q140" s="823">
        <v>142</v>
      </c>
      <c r="R140" s="823">
        <v>142</v>
      </c>
      <c r="S140" s="823">
        <v>160</v>
      </c>
      <c r="T140" s="823">
        <v>160</v>
      </c>
      <c r="U140" s="823">
        <v>122</v>
      </c>
      <c r="V140" s="823">
        <v>162</v>
      </c>
      <c r="W140" s="823">
        <v>97</v>
      </c>
      <c r="X140" s="823">
        <v>97</v>
      </c>
      <c r="Y140" s="823">
        <v>110</v>
      </c>
      <c r="Z140" s="823">
        <v>117</v>
      </c>
      <c r="AA140" s="823">
        <v>166</v>
      </c>
      <c r="AB140" s="823">
        <v>166</v>
      </c>
      <c r="AC140" s="825">
        <v>133</v>
      </c>
      <c r="AD140" s="825">
        <v>133</v>
      </c>
      <c r="AE140" s="825">
        <v>92</v>
      </c>
      <c r="AF140" s="825">
        <v>88</v>
      </c>
      <c r="AG140" s="825">
        <v>61</v>
      </c>
      <c r="AH140" s="825">
        <v>61</v>
      </c>
      <c r="AI140" s="825">
        <v>49</v>
      </c>
      <c r="AJ140" s="825">
        <v>47</v>
      </c>
      <c r="AK140" s="825">
        <v>72</v>
      </c>
      <c r="AL140" s="825">
        <v>72</v>
      </c>
      <c r="AM140" s="825">
        <v>71</v>
      </c>
      <c r="AN140" s="825">
        <v>71</v>
      </c>
      <c r="AO140" s="825">
        <v>68</v>
      </c>
      <c r="AP140" s="825">
        <v>68</v>
      </c>
    </row>
    <row r="141" hidden="1">
      <c r="B141" s="826" t="s">
        <v>20</v>
      </c>
      <c r="C141" s="827">
        <v>9565</v>
      </c>
      <c r="D141" s="827">
        <v>9565</v>
      </c>
      <c r="E141" s="827">
        <v>9565</v>
      </c>
      <c r="F141" s="827">
        <v>10953</v>
      </c>
      <c r="G141" s="827">
        <v>7532</v>
      </c>
      <c r="H141" s="827">
        <v>7474</v>
      </c>
      <c r="I141" s="827">
        <v>6407</v>
      </c>
      <c r="J141" s="827">
        <v>6407</v>
      </c>
      <c r="K141" s="827">
        <v>5972</v>
      </c>
      <c r="L141" s="827">
        <v>5982</v>
      </c>
      <c r="M141" s="827">
        <v>1599</v>
      </c>
      <c r="N141" s="827">
        <v>1035</v>
      </c>
      <c r="O141" s="827">
        <v>5164</v>
      </c>
      <c r="P141" s="827">
        <v>5164</v>
      </c>
      <c r="Q141" s="827">
        <v>4134</v>
      </c>
      <c r="R141" s="827">
        <v>4090</v>
      </c>
      <c r="S141" s="827">
        <v>3703</v>
      </c>
      <c r="T141" s="827">
        <v>2793</v>
      </c>
      <c r="U141" s="827">
        <v>2025</v>
      </c>
      <c r="V141" s="827">
        <v>1225</v>
      </c>
      <c r="W141" s="827">
        <v>3969</v>
      </c>
      <c r="X141" s="827">
        <v>3859</v>
      </c>
      <c r="Y141" s="827">
        <v>4219</v>
      </c>
      <c r="Z141" s="827">
        <v>4219</v>
      </c>
      <c r="AA141" s="827">
        <v>3862</v>
      </c>
      <c r="AB141" s="827">
        <v>3862</v>
      </c>
      <c r="AC141" s="828">
        <v>3999</v>
      </c>
      <c r="AD141" s="828">
        <v>3999</v>
      </c>
      <c r="AE141" s="828">
        <v>2036</v>
      </c>
      <c r="AF141" s="828">
        <v>2036</v>
      </c>
      <c r="AG141" s="828">
        <v>5927</v>
      </c>
      <c r="AH141" s="828">
        <v>5927</v>
      </c>
      <c r="AI141" s="828">
        <v>7925</v>
      </c>
      <c r="AJ141" s="828">
        <v>8125</v>
      </c>
      <c r="AK141" s="828">
        <v>7663</v>
      </c>
      <c r="AL141" s="828">
        <v>7363</v>
      </c>
      <c r="AM141" s="828">
        <v>6672</v>
      </c>
      <c r="AN141" s="828">
        <v>6672</v>
      </c>
      <c r="AO141" s="828">
        <v>6217</v>
      </c>
      <c r="AP141" s="828">
        <v>6217</v>
      </c>
    </row>
    <row r="142" hidden="1">
      <c r="B142" s="829" t="s">
        <v>21</v>
      </c>
      <c r="C142" s="823">
        <v>0</v>
      </c>
      <c r="D142" s="823">
        <v>0</v>
      </c>
      <c r="E142" s="823">
        <v>0</v>
      </c>
      <c r="F142" s="823">
        <v>0</v>
      </c>
      <c r="G142" s="823">
        <v>0</v>
      </c>
      <c r="H142" s="823">
        <v>0</v>
      </c>
      <c r="I142" s="823">
        <v>0</v>
      </c>
      <c r="J142" s="823">
        <v>0</v>
      </c>
      <c r="K142" s="823">
        <v>0</v>
      </c>
      <c r="L142" s="823">
        <v>0</v>
      </c>
      <c r="M142" s="823">
        <v>0</v>
      </c>
      <c r="N142" s="823">
        <v>0</v>
      </c>
      <c r="O142" s="823">
        <v>0</v>
      </c>
      <c r="P142" s="823">
        <v>0</v>
      </c>
      <c r="Q142" s="823">
        <v>0</v>
      </c>
      <c r="R142" s="823">
        <v>0</v>
      </c>
      <c r="S142" s="823">
        <v>0</v>
      </c>
      <c r="T142" s="823">
        <v>0</v>
      </c>
      <c r="U142" s="823">
        <v>0</v>
      </c>
      <c r="V142" s="823">
        <v>0</v>
      </c>
      <c r="W142" s="823">
        <v>0</v>
      </c>
      <c r="X142" s="823">
        <v>0</v>
      </c>
      <c r="Y142" s="823">
        <v>5121</v>
      </c>
      <c r="Z142" s="823">
        <v>5121</v>
      </c>
      <c r="AA142" s="823">
        <v>5098</v>
      </c>
      <c r="AB142" s="823">
        <v>5100</v>
      </c>
      <c r="AC142" s="825">
        <v>5755</v>
      </c>
      <c r="AD142" s="825">
        <v>5755</v>
      </c>
      <c r="AE142" s="825">
        <v>6149</v>
      </c>
      <c r="AF142" s="825">
        <v>6148</v>
      </c>
      <c r="AG142" s="825">
        <v>5515</v>
      </c>
      <c r="AH142" s="825">
        <v>5512</v>
      </c>
      <c r="AI142" s="825">
        <v>4304</v>
      </c>
      <c r="AJ142" s="825">
        <v>4219</v>
      </c>
      <c r="AK142" s="825">
        <v>3903</v>
      </c>
      <c r="AL142" s="825">
        <v>3903</v>
      </c>
      <c r="AM142" s="825">
        <v>1550</v>
      </c>
      <c r="AN142" s="825">
        <v>1050</v>
      </c>
      <c r="AO142" s="825">
        <v>4023</v>
      </c>
      <c r="AP142" s="825">
        <v>4023</v>
      </c>
    </row>
    <row r="143" hidden="1">
      <c r="B143" s="826" t="s">
        <v>22</v>
      </c>
      <c r="C143" s="827">
        <v>0</v>
      </c>
      <c r="D143" s="827">
        <v>0</v>
      </c>
      <c r="E143" s="827">
        <v>0</v>
      </c>
      <c r="F143" s="827">
        <v>0</v>
      </c>
      <c r="G143" s="827">
        <v>0</v>
      </c>
      <c r="H143" s="827">
        <v>0</v>
      </c>
      <c r="I143" s="827">
        <v>0</v>
      </c>
      <c r="J143" s="827">
        <v>0</v>
      </c>
      <c r="K143" s="827">
        <v>0</v>
      </c>
      <c r="L143" s="827">
        <v>0</v>
      </c>
      <c r="M143" s="827">
        <v>0</v>
      </c>
      <c r="N143" s="827">
        <v>0</v>
      </c>
      <c r="O143" s="827">
        <v>0</v>
      </c>
      <c r="P143" s="827">
        <v>2351</v>
      </c>
      <c r="Q143" s="827">
        <v>11455</v>
      </c>
      <c r="R143" s="827">
        <v>11455</v>
      </c>
      <c r="S143" s="827">
        <v>3027</v>
      </c>
      <c r="T143" s="827">
        <v>3027</v>
      </c>
      <c r="U143" s="827">
        <v>6370</v>
      </c>
      <c r="V143" s="827">
        <v>7162</v>
      </c>
      <c r="W143" s="827">
        <v>7047</v>
      </c>
      <c r="X143" s="827">
        <v>7047</v>
      </c>
      <c r="Y143" s="827">
        <v>4289</v>
      </c>
      <c r="Z143" s="827">
        <v>4289</v>
      </c>
      <c r="AA143" s="827">
        <v>5185</v>
      </c>
      <c r="AB143" s="827">
        <v>5185</v>
      </c>
      <c r="AC143" s="828">
        <v>5754</v>
      </c>
      <c r="AD143" s="828">
        <v>5754</v>
      </c>
      <c r="AE143" s="828">
        <v>5997</v>
      </c>
      <c r="AF143" s="828">
        <v>5872</v>
      </c>
      <c r="AG143" s="828">
        <v>4242</v>
      </c>
      <c r="AH143" s="828">
        <v>4242</v>
      </c>
      <c r="AI143" s="828">
        <v>4957</v>
      </c>
      <c r="AJ143" s="828">
        <v>4927</v>
      </c>
      <c r="AK143" s="828">
        <v>5257</v>
      </c>
      <c r="AL143" s="828">
        <v>4951</v>
      </c>
      <c r="AM143" s="828">
        <v>4517</v>
      </c>
      <c r="AN143" s="828">
        <v>3027</v>
      </c>
      <c r="AO143" s="828">
        <v>3280</v>
      </c>
      <c r="AP143" s="828">
        <v>3280</v>
      </c>
    </row>
    <row r="144" hidden="1">
      <c r="B144" s="829" t="s">
        <v>23</v>
      </c>
      <c r="C144" s="823">
        <v>3793</v>
      </c>
      <c r="D144" s="823">
        <v>3793</v>
      </c>
      <c r="E144" s="823">
        <v>3561</v>
      </c>
      <c r="F144" s="823">
        <v>3561</v>
      </c>
      <c r="G144" s="823">
        <v>3536</v>
      </c>
      <c r="H144" s="823">
        <v>3536</v>
      </c>
      <c r="I144" s="823">
        <v>3402</v>
      </c>
      <c r="J144" s="823">
        <v>3402</v>
      </c>
      <c r="K144" s="823">
        <v>3242</v>
      </c>
      <c r="L144" s="823">
        <v>3242</v>
      </c>
      <c r="M144" s="823">
        <v>3268</v>
      </c>
      <c r="N144" s="823">
        <v>3268</v>
      </c>
      <c r="O144" s="823">
        <v>3403</v>
      </c>
      <c r="P144" s="823">
        <v>4003</v>
      </c>
      <c r="Q144" s="823">
        <v>3508</v>
      </c>
      <c r="R144" s="823">
        <v>3508</v>
      </c>
      <c r="S144" s="823">
        <v>3643</v>
      </c>
      <c r="T144" s="823">
        <v>3643</v>
      </c>
      <c r="U144" s="823">
        <v>3364</v>
      </c>
      <c r="V144" s="823">
        <v>3204</v>
      </c>
      <c r="W144" s="823">
        <v>3297</v>
      </c>
      <c r="X144" s="823">
        <v>3297</v>
      </c>
      <c r="Y144" s="823">
        <v>2985</v>
      </c>
      <c r="Z144" s="823">
        <v>2985</v>
      </c>
      <c r="AA144" s="823">
        <v>3086</v>
      </c>
      <c r="AB144" s="823">
        <v>3086</v>
      </c>
      <c r="AC144" s="825">
        <v>3034</v>
      </c>
      <c r="AD144" s="825">
        <v>3034</v>
      </c>
      <c r="AE144" s="825">
        <v>3663</v>
      </c>
      <c r="AF144" s="825">
        <v>3663</v>
      </c>
      <c r="AG144" s="825">
        <v>2465</v>
      </c>
      <c r="AH144" s="825">
        <v>2465</v>
      </c>
      <c r="AI144" s="825">
        <v>2492</v>
      </c>
      <c r="AJ144" s="825">
        <v>2492</v>
      </c>
      <c r="AK144" s="825">
        <v>13161</v>
      </c>
      <c r="AL144" s="825">
        <v>13011</v>
      </c>
      <c r="AM144" s="825">
        <v>12969</v>
      </c>
      <c r="AN144" s="825">
        <v>12969</v>
      </c>
      <c r="AO144" s="825">
        <v>1934</v>
      </c>
      <c r="AP144" s="825">
        <v>1934</v>
      </c>
    </row>
    <row r="145" hidden="1">
      <c r="B145" s="835" t="s">
        <v>24</v>
      </c>
      <c r="C145" s="827">
        <v>18392</v>
      </c>
      <c r="D145" s="827">
        <v>18305</v>
      </c>
      <c r="E145" s="827">
        <v>19338</v>
      </c>
      <c r="F145" s="827">
        <v>19181</v>
      </c>
      <c r="G145" s="827">
        <v>17979</v>
      </c>
      <c r="H145" s="827">
        <v>18027</v>
      </c>
      <c r="I145" s="827">
        <v>18348</v>
      </c>
      <c r="J145" s="827">
        <v>18245</v>
      </c>
      <c r="K145" s="827">
        <v>20186</v>
      </c>
      <c r="L145" s="827">
        <v>19576</v>
      </c>
      <c r="M145" s="827">
        <v>19108</v>
      </c>
      <c r="N145" s="827">
        <v>20275</v>
      </c>
      <c r="O145" s="827">
        <v>19889</v>
      </c>
      <c r="P145" s="827">
        <v>20814</v>
      </c>
      <c r="Q145" s="827">
        <v>21005</v>
      </c>
      <c r="R145" s="827">
        <v>20387</v>
      </c>
      <c r="S145" s="827">
        <v>19432</v>
      </c>
      <c r="T145" s="827">
        <v>18537</v>
      </c>
      <c r="U145" s="827">
        <v>23120</v>
      </c>
      <c r="V145" s="827">
        <v>22764</v>
      </c>
      <c r="W145" s="827">
        <v>21354</v>
      </c>
      <c r="X145" s="827">
        <v>20897</v>
      </c>
      <c r="Y145" s="827">
        <v>22382</v>
      </c>
      <c r="Z145" s="827">
        <v>16661</v>
      </c>
      <c r="AA145" s="827">
        <v>16412</v>
      </c>
      <c r="AB145" s="827">
        <v>15921</v>
      </c>
      <c r="AC145" s="828">
        <v>15692</v>
      </c>
      <c r="AD145" s="828">
        <v>15382</v>
      </c>
      <c r="AE145" s="828">
        <v>15447</v>
      </c>
      <c r="AF145" s="828">
        <v>15792</v>
      </c>
      <c r="AG145" s="828">
        <v>15655</v>
      </c>
      <c r="AH145" s="828">
        <v>14853</v>
      </c>
      <c r="AI145" s="828">
        <v>14632</v>
      </c>
      <c r="AJ145" s="828">
        <v>13005</v>
      </c>
      <c r="AK145" s="828">
        <v>13339</v>
      </c>
      <c r="AL145" s="828">
        <v>13211</v>
      </c>
      <c r="AM145" s="828">
        <v>12584</v>
      </c>
      <c r="AN145" s="828">
        <v>12592</v>
      </c>
      <c r="AO145" s="828">
        <v>14567</v>
      </c>
      <c r="AP145" s="828">
        <v>14567</v>
      </c>
    </row>
    <row r="146" hidden="1">
      <c r="B146" s="829" t="s">
        <v>25</v>
      </c>
      <c r="C146" s="823">
        <v>0</v>
      </c>
      <c r="D146" s="823">
        <v>0</v>
      </c>
      <c r="E146" s="823">
        <v>0</v>
      </c>
      <c r="F146" s="823">
        <v>0</v>
      </c>
      <c r="G146" s="823">
        <v>0</v>
      </c>
      <c r="H146" s="823">
        <v>0</v>
      </c>
      <c r="I146" s="823">
        <v>0</v>
      </c>
      <c r="J146" s="823">
        <v>0</v>
      </c>
      <c r="K146" s="823">
        <v>0</v>
      </c>
      <c r="L146" s="823">
        <v>0</v>
      </c>
      <c r="M146" s="823">
        <v>0</v>
      </c>
      <c r="N146" s="823">
        <v>0</v>
      </c>
      <c r="O146" s="823">
        <v>0</v>
      </c>
      <c r="P146" s="823">
        <v>0</v>
      </c>
      <c r="Q146" s="823">
        <v>0</v>
      </c>
      <c r="R146" s="823">
        <v>0</v>
      </c>
      <c r="S146" s="823">
        <v>0</v>
      </c>
      <c r="T146" s="823">
        <v>0</v>
      </c>
      <c r="U146" s="823">
        <v>0</v>
      </c>
      <c r="V146" s="823">
        <v>0</v>
      </c>
      <c r="W146" s="823">
        <v>0</v>
      </c>
      <c r="X146" s="823">
        <v>0</v>
      </c>
      <c r="Y146" s="823">
        <v>0</v>
      </c>
      <c r="Z146" s="823">
        <v>0</v>
      </c>
      <c r="AA146" s="823">
        <v>0</v>
      </c>
      <c r="AB146" s="823">
        <v>0</v>
      </c>
      <c r="AC146" s="825">
        <v>0</v>
      </c>
      <c r="AD146" s="825">
        <v>0</v>
      </c>
      <c r="AE146" s="825">
        <v>0</v>
      </c>
      <c r="AF146" s="825">
        <v>0</v>
      </c>
      <c r="AG146" s="825">
        <v>0</v>
      </c>
      <c r="AH146" s="825">
        <v>0</v>
      </c>
      <c r="AI146" s="825">
        <v>0</v>
      </c>
      <c r="AJ146" s="825">
        <v>0</v>
      </c>
      <c r="AK146" s="825">
        <v>0</v>
      </c>
      <c r="AL146" s="825">
        <v>0</v>
      </c>
      <c r="AM146" s="825">
        <v>0</v>
      </c>
      <c r="AN146" s="825">
        <v>0</v>
      </c>
      <c r="AO146" s="825">
        <v>0</v>
      </c>
      <c r="AP146" s="825">
        <v>0</v>
      </c>
    </row>
    <row r="147" hidden="1" ht="13.5">
      <c r="B147" s="836" t="s">
        <v>26</v>
      </c>
      <c r="C147" s="827">
        <v>0</v>
      </c>
      <c r="D147" s="827">
        <v>0</v>
      </c>
      <c r="E147" s="827">
        <v>0</v>
      </c>
      <c r="F147" s="827">
        <v>0</v>
      </c>
      <c r="G147" s="827">
        <v>0</v>
      </c>
      <c r="H147" s="827">
        <v>0</v>
      </c>
      <c r="I147" s="827">
        <v>0</v>
      </c>
      <c r="J147" s="827">
        <v>0</v>
      </c>
      <c r="K147" s="827">
        <v>0</v>
      </c>
      <c r="L147" s="827">
        <v>0</v>
      </c>
      <c r="M147" s="827">
        <v>0</v>
      </c>
      <c r="N147" s="827">
        <v>0</v>
      </c>
      <c r="O147" s="827">
        <v>0</v>
      </c>
      <c r="P147" s="827">
        <v>0</v>
      </c>
      <c r="Q147" s="827">
        <v>0</v>
      </c>
      <c r="R147" s="827">
        <v>0</v>
      </c>
      <c r="S147" s="827">
        <v>0</v>
      </c>
      <c r="T147" s="827">
        <v>0</v>
      </c>
      <c r="U147" s="827">
        <v>0</v>
      </c>
      <c r="V147" s="827">
        <v>0</v>
      </c>
      <c r="W147" s="827">
        <v>0</v>
      </c>
      <c r="X147" s="827">
        <v>0</v>
      </c>
      <c r="Y147" s="827">
        <v>0</v>
      </c>
      <c r="Z147" s="827">
        <v>0</v>
      </c>
      <c r="AA147" s="827">
        <v>0</v>
      </c>
      <c r="AB147" s="837">
        <v>0</v>
      </c>
      <c r="AC147" s="828">
        <v>0</v>
      </c>
      <c r="AD147" s="828">
        <v>0</v>
      </c>
      <c r="AE147" s="828">
        <v>0</v>
      </c>
      <c r="AF147" s="828">
        <v>0</v>
      </c>
      <c r="AG147" s="828">
        <v>0</v>
      </c>
      <c r="AH147" s="828">
        <v>0</v>
      </c>
      <c r="AI147" s="828">
        <v>0</v>
      </c>
      <c r="AJ147" s="828">
        <v>0</v>
      </c>
      <c r="AK147" s="828">
        <v>0</v>
      </c>
      <c r="AL147" s="828">
        <v>0</v>
      </c>
      <c r="AM147" s="828">
        <v>0</v>
      </c>
      <c r="AN147" s="828">
        <v>0</v>
      </c>
      <c r="AO147" s="828">
        <v>0</v>
      </c>
      <c r="AP147" s="828">
        <v>0</v>
      </c>
    </row>
    <row r="148" hidden="1" ht="13.5">
      <c r="B148" s="128" t="s">
        <v>7</v>
      </c>
      <c r="C148" s="129" t="str">
        <f>IF(SUM(C129:C147)&lt;&gt;0,SUM(C129:C147),"")</f>
      </c>
      <c r="D148" s="129" t="str">
        <f ref="D148:AA148" t="shared" si="5">IF(SUM(D129:D147)&lt;&gt;0,SUM(D129:D147),"")</f>
      </c>
      <c r="E148" s="129" t="str">
        <f t="shared" si="5"/>
      </c>
      <c r="F148" s="129" t="str">
        <f t="shared" si="5"/>
      </c>
      <c r="G148" s="129" t="str">
        <f t="shared" si="5"/>
      </c>
      <c r="H148" s="129" t="str">
        <f t="shared" si="5"/>
      </c>
      <c r="I148" s="129" t="str">
        <f t="shared" si="5"/>
      </c>
      <c r="J148" s="129" t="str">
        <f t="shared" si="5"/>
      </c>
      <c r="K148" s="129" t="str">
        <f t="shared" si="5"/>
      </c>
      <c r="L148" s="129" t="str">
        <f t="shared" si="5"/>
      </c>
      <c r="M148" s="129" t="str">
        <f t="shared" si="5"/>
      </c>
      <c r="N148" s="129" t="str">
        <f t="shared" si="5"/>
      </c>
      <c r="O148" s="129" t="str">
        <f t="shared" si="5"/>
      </c>
      <c r="P148" s="129" t="str">
        <f t="shared" si="5"/>
      </c>
      <c r="Q148" s="129" t="str">
        <f t="shared" si="5"/>
      </c>
      <c r="R148" s="129" t="str">
        <f t="shared" si="5"/>
      </c>
      <c r="S148" s="129" t="str">
        <f t="shared" si="5"/>
      </c>
      <c r="T148" s="129" t="str">
        <f t="shared" si="5"/>
      </c>
      <c r="U148" s="129" t="str">
        <f t="shared" si="5"/>
      </c>
      <c r="V148" s="129" t="str">
        <f t="shared" si="5"/>
      </c>
      <c r="W148" s="129" t="str">
        <f t="shared" si="5"/>
      </c>
      <c r="X148" s="129" t="str">
        <f t="shared" si="5"/>
      </c>
      <c r="Y148" s="129" t="str">
        <f t="shared" si="5"/>
      </c>
      <c r="Z148" s="129" t="str">
        <f t="shared" si="5"/>
      </c>
      <c r="AA148" s="129" t="str">
        <f t="shared" si="5"/>
      </c>
      <c r="AB148" s="130" t="str">
        <f>IF(SUM(AB129:AB147)&lt;&gt;0,SUM(AB129:AB147),"")</f>
      </c>
      <c r="AC148" s="91" t="str">
        <f ref="AC148:CN148" t="shared" si="6">IF(SUM(AC129:AC147)&lt;&gt;0,SUM(AC129:AC147),"")</f>
      </c>
      <c r="AD148" s="91" t="str">
        <f t="shared" si="6"/>
      </c>
      <c r="AE148" s="91" t="str">
        <f t="shared" si="6"/>
      </c>
      <c r="AF148" s="91" t="str">
        <f t="shared" si="6"/>
      </c>
      <c r="AG148" s="91" t="str">
        <f t="shared" si="6"/>
      </c>
      <c r="AH148" s="91" t="str">
        <f t="shared" si="6"/>
      </c>
      <c r="AI148" s="91" t="str">
        <f t="shared" si="6"/>
      </c>
      <c r="AJ148" s="91" t="str">
        <f t="shared" si="6"/>
      </c>
      <c r="AK148" s="91" t="str">
        <f t="shared" si="6"/>
      </c>
      <c r="AL148" s="91" t="str">
        <f t="shared" si="6"/>
      </c>
      <c r="AM148" s="91" t="str">
        <f t="shared" si="6"/>
      </c>
      <c r="AN148" s="91" t="str">
        <f t="shared" si="6"/>
      </c>
      <c r="AO148" s="91" t="str">
        <f t="shared" si="6"/>
      </c>
      <c r="AP148" s="91" t="str">
        <f t="shared" si="6"/>
      </c>
      <c r="AQ148" s="91" t="str">
        <f t="shared" si="6"/>
      </c>
      <c r="AR148" s="91" t="str">
        <f t="shared" si="6"/>
      </c>
      <c r="AS148" s="91" t="str">
        <f t="shared" si="6"/>
      </c>
      <c r="AT148" s="91" t="str">
        <f t="shared" si="6"/>
      </c>
      <c r="AU148" s="91" t="str">
        <f t="shared" si="6"/>
      </c>
      <c r="AV148" s="91" t="str">
        <f t="shared" si="6"/>
      </c>
      <c r="AW148" s="91" t="str">
        <f t="shared" si="6"/>
      </c>
      <c r="AX148" s="91" t="str">
        <f t="shared" si="6"/>
      </c>
      <c r="AY148" s="91" t="str">
        <f t="shared" si="6"/>
      </c>
      <c r="AZ148" s="91" t="str">
        <f t="shared" si="6"/>
      </c>
      <c r="BA148" s="91" t="str">
        <f t="shared" si="6"/>
      </c>
      <c r="BB148" s="91" t="str">
        <f t="shared" si="6"/>
      </c>
      <c r="BC148" s="91" t="str">
        <f t="shared" si="6"/>
      </c>
      <c r="BD148" s="91" t="str">
        <f t="shared" si="6"/>
      </c>
      <c r="BE148" s="91" t="str">
        <f t="shared" si="6"/>
      </c>
      <c r="BF148" s="91" t="str">
        <f t="shared" si="6"/>
      </c>
      <c r="BG148" s="91" t="str">
        <f t="shared" si="6"/>
      </c>
      <c r="BH148" s="91" t="str">
        <f t="shared" si="6"/>
      </c>
      <c r="BI148" s="91" t="str">
        <f t="shared" si="6"/>
      </c>
      <c r="BJ148" s="91" t="str">
        <f t="shared" si="6"/>
      </c>
      <c r="BK148" s="91" t="str">
        <f t="shared" si="6"/>
      </c>
      <c r="BL148" s="91" t="str">
        <f t="shared" si="6"/>
      </c>
      <c r="BM148" s="91" t="str">
        <f t="shared" si="6"/>
      </c>
      <c r="BN148" s="91" t="str">
        <f t="shared" si="6"/>
      </c>
      <c r="BO148" s="91" t="str">
        <f t="shared" si="6"/>
      </c>
      <c r="BP148" s="91" t="str">
        <f t="shared" si="6"/>
      </c>
      <c r="BQ148" s="91" t="str">
        <f t="shared" si="6"/>
      </c>
      <c r="BR148" s="91" t="str">
        <f t="shared" si="6"/>
      </c>
      <c r="BS148" s="91" t="str">
        <f t="shared" si="6"/>
      </c>
      <c r="BT148" s="91" t="str">
        <f t="shared" si="6"/>
      </c>
      <c r="BU148" s="91" t="str">
        <f t="shared" si="6"/>
      </c>
      <c r="BV148" s="91" t="str">
        <f t="shared" si="6"/>
      </c>
      <c r="BW148" s="91" t="str">
        <f t="shared" si="6"/>
      </c>
      <c r="BX148" s="91" t="str">
        <f t="shared" si="6"/>
      </c>
      <c r="BY148" s="91" t="str">
        <f t="shared" si="6"/>
      </c>
      <c r="BZ148" s="91" t="str">
        <f t="shared" si="6"/>
      </c>
      <c r="CA148" s="91" t="str">
        <f t="shared" si="6"/>
      </c>
      <c r="CB148" s="91" t="str">
        <f t="shared" si="6"/>
      </c>
      <c r="CC148" s="91" t="str">
        <f t="shared" si="6"/>
      </c>
      <c r="CD148" s="91" t="str">
        <f t="shared" si="6"/>
      </c>
      <c r="CE148" s="91" t="str">
        <f t="shared" si="6"/>
      </c>
      <c r="CF148" s="91" t="str">
        <f t="shared" si="6"/>
      </c>
      <c r="CG148" s="91" t="str">
        <f t="shared" si="6"/>
      </c>
      <c r="CH148" s="91" t="str">
        <f t="shared" si="6"/>
      </c>
      <c r="CI148" s="91" t="str">
        <f t="shared" si="6"/>
      </c>
      <c r="CJ148" s="91" t="str">
        <f t="shared" si="6"/>
      </c>
      <c r="CK148" s="91" t="str">
        <f t="shared" si="6"/>
      </c>
      <c r="CL148" s="91" t="str">
        <f t="shared" si="6"/>
      </c>
      <c r="CM148" s="91" t="str">
        <f t="shared" si="6"/>
      </c>
      <c r="CN148" s="91" t="str">
        <f t="shared" si="6"/>
      </c>
      <c r="CO148" s="91" t="str">
        <f ref="CO148:EZ148" t="shared" si="7">IF(SUM(CO129:CO147)&lt;&gt;0,SUM(CO129:CO147),"")</f>
      </c>
      <c r="CP148" s="91" t="str">
        <f t="shared" si="7"/>
      </c>
      <c r="CQ148" s="91" t="str">
        <f t="shared" si="7"/>
      </c>
      <c r="CR148" s="91" t="str">
        <f t="shared" si="7"/>
      </c>
      <c r="CS148" s="91" t="str">
        <f t="shared" si="7"/>
      </c>
      <c r="CT148" s="91" t="str">
        <f t="shared" si="7"/>
      </c>
      <c r="CU148" s="91" t="str">
        <f t="shared" si="7"/>
      </c>
      <c r="CV148" s="91" t="str">
        <f t="shared" si="7"/>
      </c>
      <c r="CW148" s="91" t="str">
        <f t="shared" si="7"/>
      </c>
      <c r="CX148" s="91" t="str">
        <f t="shared" si="7"/>
      </c>
      <c r="CY148" s="91" t="str">
        <f t="shared" si="7"/>
      </c>
      <c r="CZ148" s="91" t="str">
        <f t="shared" si="7"/>
      </c>
      <c r="DA148" s="91" t="str">
        <f t="shared" si="7"/>
      </c>
      <c r="DB148" s="91" t="str">
        <f t="shared" si="7"/>
      </c>
      <c r="DC148" s="91" t="str">
        <f t="shared" si="7"/>
      </c>
      <c r="DD148" s="91" t="str">
        <f t="shared" si="7"/>
      </c>
      <c r="DE148" s="91" t="str">
        <f t="shared" si="7"/>
      </c>
      <c r="DF148" s="91" t="str">
        <f t="shared" si="7"/>
      </c>
      <c r="DG148" s="91" t="str">
        <f t="shared" si="7"/>
      </c>
      <c r="DH148" s="91" t="str">
        <f t="shared" si="7"/>
      </c>
      <c r="DI148" s="91" t="str">
        <f t="shared" si="7"/>
      </c>
      <c r="DJ148" s="91" t="str">
        <f t="shared" si="7"/>
      </c>
      <c r="DK148" s="91" t="str">
        <f t="shared" si="7"/>
      </c>
      <c r="DL148" s="91" t="str">
        <f t="shared" si="7"/>
      </c>
      <c r="DM148" s="91" t="str">
        <f t="shared" si="7"/>
      </c>
      <c r="DN148" s="91" t="str">
        <f t="shared" si="7"/>
      </c>
      <c r="DO148" s="91" t="str">
        <f t="shared" si="7"/>
      </c>
      <c r="DP148" s="91" t="str">
        <f t="shared" si="7"/>
      </c>
      <c r="DQ148" s="91" t="str">
        <f t="shared" si="7"/>
      </c>
      <c r="DR148" s="91" t="str">
        <f t="shared" si="7"/>
      </c>
      <c r="DS148" s="91" t="str">
        <f t="shared" si="7"/>
      </c>
      <c r="DT148" s="91" t="str">
        <f t="shared" si="7"/>
      </c>
      <c r="DU148" s="91" t="str">
        <f t="shared" si="7"/>
      </c>
      <c r="DV148" s="91" t="str">
        <f t="shared" si="7"/>
      </c>
      <c r="DW148" s="91" t="str">
        <f t="shared" si="7"/>
      </c>
      <c r="DX148" s="91" t="str">
        <f t="shared" si="7"/>
      </c>
      <c r="DY148" s="91" t="str">
        <f t="shared" si="7"/>
      </c>
      <c r="DZ148" s="91" t="str">
        <f t="shared" si="7"/>
      </c>
      <c r="EA148" s="91" t="str">
        <f t="shared" si="7"/>
      </c>
      <c r="EB148" s="91" t="str">
        <f t="shared" si="7"/>
      </c>
      <c r="EC148" s="91" t="str">
        <f t="shared" si="7"/>
      </c>
      <c r="ED148" s="91" t="str">
        <f t="shared" si="7"/>
      </c>
      <c r="EE148" s="91" t="str">
        <f t="shared" si="7"/>
      </c>
      <c r="EF148" s="91" t="str">
        <f t="shared" si="7"/>
      </c>
      <c r="EG148" s="91" t="str">
        <f t="shared" si="7"/>
      </c>
      <c r="EH148" s="91" t="str">
        <f t="shared" si="7"/>
      </c>
      <c r="EI148" s="91" t="str">
        <f t="shared" si="7"/>
      </c>
      <c r="EJ148" s="91" t="str">
        <f t="shared" si="7"/>
      </c>
      <c r="EK148" s="91" t="str">
        <f t="shared" si="7"/>
      </c>
      <c r="EL148" s="91" t="str">
        <f t="shared" si="7"/>
      </c>
      <c r="EM148" s="91" t="str">
        <f t="shared" si="7"/>
      </c>
      <c r="EN148" s="91" t="str">
        <f t="shared" si="7"/>
      </c>
      <c r="EO148" s="91" t="str">
        <f t="shared" si="7"/>
      </c>
      <c r="EP148" s="91" t="str">
        <f t="shared" si="7"/>
      </c>
      <c r="EQ148" s="91" t="str">
        <f t="shared" si="7"/>
      </c>
      <c r="ER148" s="91" t="str">
        <f t="shared" si="7"/>
      </c>
      <c r="ES148" s="91" t="str">
        <f t="shared" si="7"/>
      </c>
      <c r="ET148" s="91" t="str">
        <f t="shared" si="7"/>
      </c>
      <c r="EU148" s="91" t="str">
        <f t="shared" si="7"/>
      </c>
      <c r="EV148" s="91" t="str">
        <f t="shared" si="7"/>
      </c>
      <c r="EW148" s="91" t="str">
        <f t="shared" si="7"/>
      </c>
      <c r="EX148" s="91" t="str">
        <f t="shared" si="7"/>
      </c>
      <c r="EY148" s="91" t="str">
        <f t="shared" si="7"/>
      </c>
      <c r="EZ148" s="91" t="str">
        <f t="shared" si="7"/>
      </c>
      <c r="FA148" s="91" t="str">
        <f ref="FA148:HL148" t="shared" si="8">IF(SUM(FA129:FA147)&lt;&gt;0,SUM(FA129:FA147),"")</f>
      </c>
      <c r="FB148" s="91" t="str">
        <f t="shared" si="8"/>
      </c>
      <c r="FC148" s="91" t="str">
        <f t="shared" si="8"/>
      </c>
      <c r="FD148" s="91" t="str">
        <f t="shared" si="8"/>
      </c>
      <c r="FE148" s="91" t="str">
        <f t="shared" si="8"/>
      </c>
      <c r="FF148" s="91" t="str">
        <f t="shared" si="8"/>
      </c>
      <c r="FG148" s="91" t="str">
        <f t="shared" si="8"/>
      </c>
      <c r="FH148" s="91" t="str">
        <f t="shared" si="8"/>
      </c>
      <c r="FI148" s="91" t="str">
        <f t="shared" si="8"/>
      </c>
      <c r="FJ148" s="91" t="str">
        <f t="shared" si="8"/>
      </c>
      <c r="FK148" s="91" t="str">
        <f t="shared" si="8"/>
      </c>
      <c r="FL148" s="91" t="str">
        <f t="shared" si="8"/>
      </c>
      <c r="FM148" s="91" t="str">
        <f t="shared" si="8"/>
      </c>
      <c r="FN148" s="91" t="str">
        <f t="shared" si="8"/>
      </c>
      <c r="FO148" s="91" t="str">
        <f t="shared" si="8"/>
      </c>
      <c r="FP148" s="91" t="str">
        <f t="shared" si="8"/>
      </c>
      <c r="FQ148" s="91" t="str">
        <f t="shared" si="8"/>
      </c>
      <c r="FR148" s="91" t="str">
        <f t="shared" si="8"/>
      </c>
      <c r="FS148" s="91" t="str">
        <f t="shared" si="8"/>
      </c>
      <c r="FT148" s="91" t="str">
        <f t="shared" si="8"/>
      </c>
      <c r="FU148" s="91" t="str">
        <f t="shared" si="8"/>
      </c>
      <c r="FV148" s="91" t="str">
        <f t="shared" si="8"/>
      </c>
      <c r="FW148" s="91" t="str">
        <f t="shared" si="8"/>
      </c>
      <c r="FX148" s="91" t="str">
        <f t="shared" si="8"/>
      </c>
      <c r="FY148" s="91" t="str">
        <f t="shared" si="8"/>
      </c>
      <c r="FZ148" s="91" t="str">
        <f t="shared" si="8"/>
      </c>
      <c r="GA148" s="91" t="str">
        <f t="shared" si="8"/>
      </c>
      <c r="GB148" s="91" t="str">
        <f t="shared" si="8"/>
      </c>
      <c r="GC148" s="91" t="str">
        <f t="shared" si="8"/>
      </c>
      <c r="GD148" s="91" t="str">
        <f t="shared" si="8"/>
      </c>
      <c r="GE148" s="91" t="str">
        <f t="shared" si="8"/>
      </c>
      <c r="GF148" s="91" t="str">
        <f t="shared" si="8"/>
      </c>
      <c r="GG148" s="91" t="str">
        <f t="shared" si="8"/>
      </c>
      <c r="GH148" s="91" t="str">
        <f t="shared" si="8"/>
      </c>
      <c r="GI148" s="91" t="str">
        <f t="shared" si="8"/>
      </c>
      <c r="GJ148" s="91" t="str">
        <f t="shared" si="8"/>
      </c>
      <c r="GK148" s="91" t="str">
        <f t="shared" si="8"/>
      </c>
      <c r="GL148" s="91" t="str">
        <f t="shared" si="8"/>
      </c>
      <c r="GM148" s="91" t="str">
        <f t="shared" si="8"/>
      </c>
      <c r="GN148" s="91" t="str">
        <f t="shared" si="8"/>
      </c>
      <c r="GO148" s="91" t="str">
        <f t="shared" si="8"/>
      </c>
      <c r="GP148" s="91" t="str">
        <f t="shared" si="8"/>
      </c>
      <c r="GQ148" s="91" t="str">
        <f t="shared" si="8"/>
      </c>
      <c r="GR148" s="91" t="str">
        <f t="shared" si="8"/>
      </c>
      <c r="GS148" s="91" t="str">
        <f t="shared" si="8"/>
      </c>
      <c r="GT148" s="91" t="str">
        <f t="shared" si="8"/>
      </c>
      <c r="GU148" s="91" t="str">
        <f t="shared" si="8"/>
      </c>
      <c r="GV148" s="91" t="str">
        <f t="shared" si="8"/>
      </c>
      <c r="GW148" s="91" t="str">
        <f t="shared" si="8"/>
      </c>
      <c r="GX148" s="91" t="str">
        <f t="shared" si="8"/>
      </c>
      <c r="GY148" s="91" t="str">
        <f t="shared" si="8"/>
      </c>
      <c r="GZ148" s="91" t="str">
        <f t="shared" si="8"/>
      </c>
      <c r="HA148" s="91" t="str">
        <f t="shared" si="8"/>
      </c>
      <c r="HB148" s="91" t="str">
        <f t="shared" si="8"/>
      </c>
      <c r="HC148" s="91" t="str">
        <f t="shared" si="8"/>
      </c>
      <c r="HD148" s="91" t="str">
        <f t="shared" si="8"/>
      </c>
      <c r="HE148" s="91" t="str">
        <f t="shared" si="8"/>
      </c>
      <c r="HF148" s="91" t="str">
        <f t="shared" si="8"/>
      </c>
      <c r="HG148" s="91" t="str">
        <f t="shared" si="8"/>
      </c>
      <c r="HH148" s="91" t="str">
        <f t="shared" si="8"/>
      </c>
      <c r="HI148" s="91" t="str">
        <f t="shared" si="8"/>
      </c>
      <c r="HJ148" s="91" t="str">
        <f t="shared" si="8"/>
      </c>
      <c r="HK148" s="91" t="str">
        <f t="shared" si="8"/>
      </c>
      <c r="HL148" s="91" t="str">
        <f t="shared" si="8"/>
      </c>
      <c r="HM148" s="91" t="str">
        <f ref="HM148:IV148" t="shared" si="9">IF(SUM(HM129:HM147)&lt;&gt;0,SUM(HM129:HM147),"")</f>
      </c>
      <c r="HN148" s="91" t="str">
        <f t="shared" si="9"/>
      </c>
      <c r="HO148" s="91" t="str">
        <f t="shared" si="9"/>
      </c>
      <c r="HP148" s="91" t="str">
        <f t="shared" si="9"/>
      </c>
      <c r="HQ148" s="91" t="str">
        <f t="shared" si="9"/>
      </c>
      <c r="HR148" s="91" t="str">
        <f t="shared" si="9"/>
      </c>
      <c r="HS148" s="91" t="str">
        <f t="shared" si="9"/>
      </c>
      <c r="HT148" s="91" t="str">
        <f t="shared" si="9"/>
      </c>
      <c r="HU148" s="91" t="str">
        <f t="shared" si="9"/>
      </c>
      <c r="HV148" s="91" t="str">
        <f t="shared" si="9"/>
      </c>
      <c r="HW148" s="91" t="str">
        <f t="shared" si="9"/>
      </c>
      <c r="HX148" s="91" t="str">
        <f t="shared" si="9"/>
      </c>
      <c r="HY148" s="91" t="str">
        <f t="shared" si="9"/>
      </c>
      <c r="HZ148" s="91" t="str">
        <f t="shared" si="9"/>
      </c>
      <c r="IA148" s="91" t="str">
        <f t="shared" si="9"/>
      </c>
      <c r="IB148" s="91" t="str">
        <f t="shared" si="9"/>
      </c>
      <c r="IC148" s="91" t="str">
        <f t="shared" si="9"/>
      </c>
      <c r="ID148" s="91" t="str">
        <f t="shared" si="9"/>
      </c>
      <c r="IE148" s="91" t="str">
        <f t="shared" si="9"/>
      </c>
      <c r="IF148" s="91" t="str">
        <f t="shared" si="9"/>
      </c>
      <c r="IG148" s="91" t="str">
        <f t="shared" si="9"/>
      </c>
      <c r="IH148" s="91" t="str">
        <f t="shared" si="9"/>
      </c>
      <c r="II148" s="91" t="str">
        <f t="shared" si="9"/>
      </c>
      <c r="IJ148" s="91" t="str">
        <f t="shared" si="9"/>
      </c>
      <c r="IK148" s="91" t="str">
        <f t="shared" si="9"/>
      </c>
      <c r="IL148" s="91" t="str">
        <f t="shared" si="9"/>
      </c>
      <c r="IM148" s="91" t="str">
        <f t="shared" si="9"/>
      </c>
      <c r="IN148" s="91" t="str">
        <f t="shared" si="9"/>
      </c>
      <c r="IO148" s="91" t="str">
        <f t="shared" si="9"/>
      </c>
      <c r="IP148" s="91" t="str">
        <f t="shared" si="9"/>
      </c>
      <c r="IQ148" s="91" t="str">
        <f t="shared" si="9"/>
      </c>
      <c r="IR148" s="91" t="str">
        <f t="shared" si="9"/>
      </c>
      <c r="IS148" s="91" t="str">
        <f t="shared" si="9"/>
      </c>
      <c r="IT148" s="91" t="str">
        <f t="shared" si="9"/>
      </c>
      <c r="IU148" s="91" t="str">
        <f t="shared" si="9"/>
      </c>
      <c r="IV148" s="91" t="str">
        <f t="shared" si="9"/>
      </c>
    </row>
    <row r="149" hidden="1" ht="13.5"/>
    <row r="150" hidden="1" ht="15" customHeight="1">
      <c r="C150" s="686" t="s">
        <v>247</v>
      </c>
      <c r="D150" s="687"/>
      <c r="E150" s="687"/>
      <c r="F150" s="687"/>
      <c r="G150" s="687"/>
      <c r="H150" s="687"/>
      <c r="I150" s="687"/>
      <c r="J150" s="687"/>
      <c r="K150" s="687"/>
      <c r="L150" s="687"/>
      <c r="M150" s="687"/>
      <c r="N150" s="687"/>
      <c r="O150" s="687"/>
      <c r="P150" s="687"/>
      <c r="Q150" s="687"/>
      <c r="R150" s="687"/>
      <c r="S150" s="687"/>
      <c r="T150" s="687"/>
      <c r="U150" s="687"/>
      <c r="V150" s="687"/>
      <c r="W150" s="687"/>
      <c r="X150" s="687"/>
      <c r="Y150" s="687"/>
      <c r="Z150" s="687"/>
      <c r="AA150" s="687"/>
      <c r="AB150" s="688"/>
    </row>
    <row r="151" hidden="1" ht="15" customHeight="1">
      <c r="C151" s="435" t="str">
        <f> IF(C171&lt;&gt;"",TEXT(AUX!G$1,"dd-MMM-aa"),"")</f>
      </c>
      <c r="D151" s="435" t="str">
        <f> IF(D171&lt;&gt;"",TEXT(AUX!H$1,"dd-MMM-aa"),"")</f>
      </c>
      <c r="E151" s="435" t="str">
        <f> IF(E171&lt;&gt;"",TEXT(AUX!I$1,"dd-MMM-aa"),"")</f>
      </c>
      <c r="F151" s="435" t="str">
        <f> IF(F171&lt;&gt;"",TEXT(AUX!J$1,"dd-MMM-aa"),"")</f>
      </c>
      <c r="G151" s="435" t="str">
        <f> IF(G171&lt;&gt;"",TEXT(AUX!K$1,"dd-MMM-aa"),"")</f>
      </c>
      <c r="H151" s="435" t="str">
        <f> IF(H171&lt;&gt;"",TEXT(AUX!L$1,"dd-MMM-aa"),"")</f>
      </c>
      <c r="I151" s="435" t="str">
        <f> IF(I171&lt;&gt;"",TEXT(AUX!M$1,"dd-MMM-aa"),"")</f>
      </c>
      <c r="J151" s="435" t="str">
        <f> IF(J171&lt;&gt;"",TEXT(AUX!N$1,"dd-MMM-aa"),"")</f>
      </c>
      <c r="K151" s="435" t="str">
        <f> IF(K171&lt;&gt;"",TEXT(AUX!O$1,"dd-MMM-aa"),"")</f>
      </c>
      <c r="L151" s="435" t="str">
        <f> IF(L171&lt;&gt;"",TEXT(AUX!P$1,"dd-MMM-aa"),"")</f>
      </c>
      <c r="M151" s="435" t="str">
        <f> IF(M171&lt;&gt;"",TEXT(AUX!Q$1,"dd-MMM-aa"),"")</f>
      </c>
      <c r="N151" s="435" t="str">
        <f> IF(N171&lt;&gt;"",TEXT(AUX!R$1,"dd-MMM-aa"),"")</f>
      </c>
      <c r="O151" s="435" t="str">
        <f> IF(O171&lt;&gt;"",TEXT(AUX!S$1,"dd-MMM-aa"),"")</f>
      </c>
      <c r="P151" s="435" t="str">
        <f> IF(P171&lt;&gt;"",TEXT(AUX!T$1,"dd-MMM-aa"),"")</f>
      </c>
      <c r="Q151" s="435" t="str">
        <f> IF(Q171&lt;&gt;"",TEXT(AUX!U$1,"dd-MMM-aa"),"")</f>
      </c>
      <c r="R151" s="435" t="str">
        <f> IF(R171&lt;&gt;"",TEXT(AUX!V$1,"dd-MMM-aa"),"")</f>
      </c>
      <c r="S151" s="435" t="str">
        <f> IF(S171&lt;&gt;"",TEXT(AUX!W$1,"dd-MMM-aa"),"")</f>
      </c>
      <c r="T151" s="435" t="str">
        <f> IF(T171&lt;&gt;"",TEXT(AUX!X$1,"dd-MMM-aa"),"")</f>
      </c>
      <c r="U151" s="435" t="str">
        <f> IF(U171&lt;&gt;"",TEXT(AUX!Y$1,"dd-MMM-aa"),"")</f>
      </c>
      <c r="V151" s="435" t="str">
        <f> IF(V171&lt;&gt;"",TEXT(AUX!Z$1,"dd-MMM-aa"),"")</f>
      </c>
      <c r="W151" s="435" t="str">
        <f> IF(W171&lt;&gt;"",TEXT(AUX!AA$1,"dd-MMM-aa"),"")</f>
      </c>
      <c r="X151" s="435" t="str">
        <f> IF(X171&lt;&gt;"",TEXT(AUX!AB$1,"dd-MMM-aa"),"")</f>
      </c>
      <c r="Y151" s="435" t="str">
        <f> IF(Y171&lt;&gt;"",TEXT(AUX!AC$1,"dd-MMM-aa"),"")</f>
      </c>
      <c r="Z151" s="435" t="str">
        <f> IF(Z171&lt;&gt;"",TEXT(AUX!AD$1,"dd-MMM-aa"),"")</f>
      </c>
      <c r="AA151" s="435" t="str">
        <f> IF(AA171&lt;&gt;"",TEXT(AUX!AE$1,"dd-MMM-aa"),"")</f>
      </c>
      <c r="AB151" s="497" t="str">
        <f> IF(AB171&lt;&gt;"",TEXT(AUX!AF$1,"dd-MMM-aa"),"")</f>
      </c>
      <c r="AC151" s="496" t="str">
        <f> IF(AC171&lt;&gt;"",TEXT(AUX!AG$1,"dd-MMM-aa"),"")</f>
      </c>
      <c r="AD151" s="496" t="str">
        <f> IF(AD171&lt;&gt;"",TEXT(AUX!AH$1,"dd-MMM-aa"),"")</f>
      </c>
      <c r="AE151" s="496" t="str">
        <f> IF(AE171&lt;&gt;"",TEXT(AUX!AI$1,"dd-MMM-aa"),"")</f>
      </c>
      <c r="AF151" s="496" t="str">
        <f> IF(AF171&lt;&gt;"",TEXT(AUX!AJ$1,"dd-MMM-aa"),"")</f>
      </c>
      <c r="AG151" s="496" t="str">
        <f> IF(AG171&lt;&gt;"",TEXT(AUX!AK$1,"dd-MMM-aa"),"")</f>
      </c>
      <c r="AH151" s="496" t="str">
        <f> IF(AH171&lt;&gt;"",TEXT(AUX!AL$1,"dd-MMM-aa"),"")</f>
      </c>
      <c r="AI151" s="496" t="str">
        <f> IF(AI171&lt;&gt;"",TEXT(AUX!AM$1,"dd-MMM-aa"),"")</f>
      </c>
      <c r="AJ151" s="496" t="str">
        <f> IF(AJ171&lt;&gt;"",TEXT(AUX!AN$1,"dd-MMM-aa"),"")</f>
      </c>
      <c r="AK151" s="496" t="str">
        <f> IF(AK171&lt;&gt;"",TEXT(AUX!AO$1,"dd-MMM-aa"),"")</f>
      </c>
      <c r="AL151" s="496" t="str">
        <f> IF(AL171&lt;&gt;"",TEXT(AUX!AP$1,"dd-MMM-aa"),"")</f>
      </c>
      <c r="AM151" s="496" t="str">
        <f> IF(AM171&lt;&gt;"",TEXT(AUX!AQ$1,"dd-MMM-aa"),"")</f>
      </c>
      <c r="AN151" s="496" t="str">
        <f> IF(AN171&lt;&gt;"",TEXT(AUX!AR$1,"dd-MMM-aa"),"")</f>
      </c>
      <c r="AO151" s="496" t="str">
        <f> IF(AO171&lt;&gt;"",TEXT(AUX!AS$1,"dd-MMM-aa"),"")</f>
      </c>
      <c r="AP151" s="496" t="str">
        <f> IF(AP171&lt;&gt;"",TEXT(AUX!AT$1,"dd-MMM-aa"),"")</f>
      </c>
      <c r="AQ151" s="496" t="str">
        <f> IF(AQ171&lt;&gt;"",TEXT(AUX!AU$1,"dd-MMM-aa"),"")</f>
      </c>
      <c r="AR151" s="496" t="str">
        <f> IF(AR171&lt;&gt;"",TEXT(AUX!AV$1,"dd-MMM-aa"),"")</f>
      </c>
      <c r="AS151" s="496" t="str">
        <f> IF(AS171&lt;&gt;"",TEXT(AUX!AW$1,"dd-MMM-aa"),"")</f>
      </c>
      <c r="AT151" s="496" t="str">
        <f> IF(AT171&lt;&gt;"",TEXT(AUX!AX$1,"dd-MMM-aa"),"")</f>
      </c>
      <c r="AU151" s="496" t="str">
        <f> IF(AU171&lt;&gt;"",TEXT(AUX!AY$1,"dd-MMM-aa"),"")</f>
      </c>
      <c r="AV151" s="496" t="str">
        <f> IF(AV171&lt;&gt;"",TEXT(AUX!AZ$1,"dd-MMM-aa"),"")</f>
      </c>
      <c r="AW151" s="496" t="str">
        <f> IF(AW171&lt;&gt;"",TEXT(AUX!BA$1,"dd-MMM-aa"),"")</f>
      </c>
      <c r="AX151" s="496" t="str">
        <f> IF(AX171&lt;&gt;"",TEXT(AUX!BB$1,"dd-MMM-aa"),"")</f>
      </c>
      <c r="AY151" s="496" t="str">
        <f> IF(AY171&lt;&gt;"",TEXT(AUX!BC$1,"dd-MMM-aa"),"")</f>
      </c>
      <c r="AZ151" s="496" t="str">
        <f> IF(AZ171&lt;&gt;"",TEXT(AUX!BD$1,"dd-MMM-aa"),"")</f>
      </c>
      <c r="BA151" s="496" t="str">
        <f> IF(BA171&lt;&gt;"",TEXT(AUX!BE$1,"dd-MMM-aa"),"")</f>
      </c>
      <c r="BB151" s="496" t="str">
        <f> IF(BB171&lt;&gt;"",TEXT(AUX!BF$1,"dd-MMM-aa"),"")</f>
      </c>
      <c r="BC151" s="496" t="str">
        <f> IF(BC171&lt;&gt;"",TEXT(AUX!BG$1,"dd-MMM-aa"),"")</f>
      </c>
      <c r="BD151" s="496" t="str">
        <f> IF(BD171&lt;&gt;"",TEXT(AUX!BH$1,"dd-MMM-aa"),"")</f>
      </c>
      <c r="BE151" s="496" t="str">
        <f> IF(BE171&lt;&gt;"",TEXT(AUX!BI$1,"dd-MMM-aa"),"")</f>
      </c>
      <c r="BF151" s="496" t="str">
        <f> IF(BF171&lt;&gt;"",TEXT(AUX!BJ$1,"dd-MMM-aa"),"")</f>
      </c>
      <c r="BG151" s="496" t="str">
        <f> IF(BG171&lt;&gt;"",TEXT(AUX!BK$1,"dd-MMM-aa"),"")</f>
      </c>
      <c r="BH151" s="496" t="str">
        <f> IF(BH171&lt;&gt;"",TEXT(AUX!BL$1,"dd-MMM-aa"),"")</f>
      </c>
      <c r="BI151" s="496" t="str">
        <f> IF(BI171&lt;&gt;"",TEXT(AUX!BM$1,"dd-MMM-aa"),"")</f>
      </c>
      <c r="BJ151" s="496" t="str">
        <f> IF(BJ171&lt;&gt;"",TEXT(AUX!BN$1,"dd-MMM-aa"),"")</f>
      </c>
      <c r="BK151" s="496" t="str">
        <f> IF(BK171&lt;&gt;"",TEXT(AUX!BO$1,"dd-MMM-aa"),"")</f>
      </c>
      <c r="BL151" s="496" t="str">
        <f> IF(BL171&lt;&gt;"",TEXT(AUX!BP$1,"dd-MMM-aa"),"")</f>
      </c>
      <c r="BM151" s="496" t="str">
        <f> IF(BM171&lt;&gt;"",TEXT(AUX!BQ$1,"dd-MMM-aa"),"")</f>
      </c>
      <c r="BN151" s="496" t="str">
        <f> IF(BN171&lt;&gt;"",TEXT(AUX!BR$1,"dd-MMM-aa"),"")</f>
      </c>
      <c r="BO151" s="496" t="str">
        <f> IF(BO171&lt;&gt;"",TEXT(AUX!BS$1,"dd-MMM-aa"),"")</f>
      </c>
      <c r="BP151" s="496" t="str">
        <f> IF(BP171&lt;&gt;"",TEXT(AUX!BT$1,"dd-MMM-aa"),"")</f>
      </c>
      <c r="BQ151" s="496" t="str">
        <f> IF(BQ171&lt;&gt;"",TEXT(AUX!BU$1,"dd-MMM-aa"),"")</f>
      </c>
      <c r="BR151" s="496" t="str">
        <f> IF(BR171&lt;&gt;"",TEXT(AUX!BV$1,"dd-MMM-aa"),"")</f>
      </c>
      <c r="BS151" s="496" t="str">
        <f> IF(BS171&lt;&gt;"",TEXT(AUX!BW$1,"dd-MMM-aa"),"")</f>
      </c>
      <c r="BT151" s="496" t="str">
        <f> IF(BT171&lt;&gt;"",TEXT(AUX!BX$1,"dd-MMM-aa"),"")</f>
      </c>
      <c r="BU151" s="496" t="str">
        <f> IF(BU171&lt;&gt;"",TEXT(AUX!BY$1,"dd-MMM-aa"),"")</f>
      </c>
      <c r="BV151" s="496" t="str">
        <f> IF(BV171&lt;&gt;"",TEXT(AUX!BZ$1,"dd-MMM-aa"),"")</f>
      </c>
      <c r="BW151" s="496" t="str">
        <f> IF(BW171&lt;&gt;"",TEXT(AUX!CA$1,"dd-MMM-aa"),"")</f>
      </c>
      <c r="BX151" s="496" t="str">
        <f> IF(BX171&lt;&gt;"",TEXT(AUX!CB$1,"dd-MMM-aa"),"")</f>
      </c>
      <c r="BY151" s="496" t="str">
        <f> IF(BY171&lt;&gt;"",TEXT(AUX!CC$1,"dd-MMM-aa"),"")</f>
      </c>
      <c r="BZ151" s="496" t="str">
        <f> IF(BZ171&lt;&gt;"",TEXT(AUX!CD$1,"dd-MMM-aa"),"")</f>
      </c>
      <c r="CA151" s="496" t="str">
        <f> IF(CA171&lt;&gt;"",TEXT(AUX!CE$1,"dd-MMM-aa"),"")</f>
      </c>
      <c r="CB151" s="496" t="str">
        <f> IF(CB171&lt;&gt;"",TEXT(AUX!CF$1,"dd-MMM-aa"),"")</f>
      </c>
      <c r="CC151" s="496" t="str">
        <f> IF(CC171&lt;&gt;"",TEXT(AUX!CG$1,"dd-MMM-aa"),"")</f>
      </c>
      <c r="CD151" s="496" t="str">
        <f> IF(CD171&lt;&gt;"",TEXT(AUX!CH$1,"dd-MMM-aa"),"")</f>
      </c>
      <c r="CE151" s="496" t="str">
        <f> IF(CE171&lt;&gt;"",TEXT(AUX!CI$1,"dd-MMM-aa"),"")</f>
      </c>
      <c r="CF151" s="496" t="str">
        <f> IF(CF171&lt;&gt;"",TEXT(AUX!CJ$1,"dd-MMM-aa"),"")</f>
      </c>
      <c r="CG151" s="496" t="str">
        <f> IF(CG171&lt;&gt;"",TEXT(AUX!CK$1,"dd-MMM-aa"),"")</f>
      </c>
      <c r="CH151" s="496" t="str">
        <f> IF(CH171&lt;&gt;"",TEXT(AUX!CL$1,"dd-MMM-aa"),"")</f>
      </c>
      <c r="CI151" s="496" t="str">
        <f> IF(CI171&lt;&gt;"",TEXT(AUX!CM$1,"dd-MMM-aa"),"")</f>
      </c>
      <c r="CJ151" s="496" t="str">
        <f> IF(CJ171&lt;&gt;"",TEXT(AUX!CN$1,"dd-MMM-aa"),"")</f>
      </c>
      <c r="CK151" s="496" t="str">
        <f> IF(CK171&lt;&gt;"",TEXT(AUX!CO$1,"dd-MMM-aa"),"")</f>
      </c>
      <c r="CL151" s="496" t="str">
        <f> IF(CL171&lt;&gt;"",TEXT(AUX!CP$1,"dd-MMM-aa"),"")</f>
      </c>
      <c r="CM151" s="496" t="str">
        <f> IF(CM171&lt;&gt;"",TEXT(AUX!CQ$1,"dd-MMM-aa"),"")</f>
      </c>
      <c r="CN151" s="496" t="str">
        <f> IF(CN171&lt;&gt;"",TEXT(AUX!CR$1,"dd-MMM-aa"),"")</f>
      </c>
      <c r="CO151" s="496" t="str">
        <f> IF(CO171&lt;&gt;"",TEXT(AUX!CS$1,"dd-MMM-aa"),"")</f>
      </c>
      <c r="CP151" s="496" t="str">
        <f> IF(CP171&lt;&gt;"",TEXT(AUX!CT$1,"dd-MMM-aa"),"")</f>
      </c>
      <c r="CQ151" s="496" t="str">
        <f> IF(CQ171&lt;&gt;"",TEXT(AUX!CU$1,"dd-MMM-aa"),"")</f>
      </c>
      <c r="CR151" s="496" t="str">
        <f> IF(CR171&lt;&gt;"",TEXT(AUX!CV$1,"dd-MMM-aa"),"")</f>
      </c>
      <c r="CS151" s="496" t="str">
        <f> IF(CS171&lt;&gt;"",TEXT(AUX!CW$1,"dd-MMM-aa"),"")</f>
      </c>
      <c r="CT151" s="496" t="str">
        <f> IF(CT171&lt;&gt;"",TEXT(AUX!CX$1,"dd-MMM-aa"),"")</f>
      </c>
      <c r="CU151" s="496" t="str">
        <f> IF(CU171&lt;&gt;"",TEXT(AUX!CY$1,"dd-MMM-aa"),"")</f>
      </c>
      <c r="CV151" s="496" t="str">
        <f> IF(CV171&lt;&gt;"",TEXT(AUX!CZ$1,"dd-MMM-aa"),"")</f>
      </c>
      <c r="CW151" s="496" t="str">
        <f> IF(CW171&lt;&gt;"",TEXT(AUX!DA$1,"dd-MMM-aa"),"")</f>
      </c>
      <c r="CX151" s="496" t="str">
        <f> IF(CX171&lt;&gt;"",TEXT(AUX!DB$1,"dd-MMM-aa"),"")</f>
      </c>
      <c r="CY151" s="496" t="str">
        <f> IF(CY171&lt;&gt;"",TEXT(AUX!DC$1,"dd-MMM-aa"),"")</f>
      </c>
      <c r="CZ151" s="496" t="str">
        <f> IF(CZ171&lt;&gt;"",TEXT(AUX!DD$1,"dd-MMM-aa"),"")</f>
      </c>
      <c r="DA151" s="496" t="str">
        <f> IF(DA171&lt;&gt;"",TEXT(AUX!DE$1,"dd-MMM-aa"),"")</f>
      </c>
      <c r="DB151" s="496" t="str">
        <f> IF(DB171&lt;&gt;"",TEXT(AUX!DF$1,"dd-MMM-aa"),"")</f>
      </c>
      <c r="DC151" s="496" t="str">
        <f> IF(DC171&lt;&gt;"",TEXT(AUX!DG$1,"dd-MMM-aa"),"")</f>
      </c>
      <c r="DD151" s="496" t="str">
        <f> IF(DD171&lt;&gt;"",TEXT(AUX!DH$1,"dd-MMM-aa"),"")</f>
      </c>
      <c r="DE151" s="496" t="str">
        <f> IF(DE171&lt;&gt;"",TEXT(AUX!DI$1,"dd-MMM-aa"),"")</f>
      </c>
      <c r="DF151" s="496" t="str">
        <f> IF(DF171&lt;&gt;"",TEXT(AUX!DJ$1,"dd-MMM-aa"),"")</f>
      </c>
      <c r="DG151" s="496" t="str">
        <f> IF(DG171&lt;&gt;"",TEXT(AUX!DK$1,"dd-MMM-aa"),"")</f>
      </c>
      <c r="DH151" s="496" t="str">
        <f> IF(DH171&lt;&gt;"",TEXT(AUX!DL$1,"dd-MMM-aa"),"")</f>
      </c>
      <c r="DI151" s="496" t="str">
        <f> IF(DI171&lt;&gt;"",TEXT(AUX!DM$1,"dd-MMM-aa"),"")</f>
      </c>
      <c r="DJ151" s="496" t="str">
        <f> IF(DJ171&lt;&gt;"",TEXT(AUX!DN$1,"dd-MMM-aa"),"")</f>
      </c>
      <c r="DK151" s="496" t="str">
        <f> IF(DK171&lt;&gt;"",TEXT(AUX!DO$1,"dd-MMM-aa"),"")</f>
      </c>
      <c r="DL151" s="496" t="str">
        <f> IF(DL171&lt;&gt;"",TEXT(AUX!DP$1,"dd-MMM-aa"),"")</f>
      </c>
      <c r="DM151" s="496" t="str">
        <f> IF(DM171&lt;&gt;"",TEXT(AUX!DQ$1,"dd-MMM-aa"),"")</f>
      </c>
      <c r="DN151" s="496" t="str">
        <f> IF(DN171&lt;&gt;"",TEXT(AUX!DR$1,"dd-MMM-aa"),"")</f>
      </c>
      <c r="DO151" s="496" t="str">
        <f> IF(DO171&lt;&gt;"",TEXT(AUX!DS$1,"dd-MMM-aa"),"")</f>
      </c>
      <c r="DP151" s="496" t="str">
        <f> IF(DP171&lt;&gt;"",TEXT(AUX!DT$1,"dd-MMM-aa"),"")</f>
      </c>
      <c r="DQ151" s="496" t="str">
        <f> IF(DQ171&lt;&gt;"",TEXT(AUX!DU$1,"dd-MMM-aa"),"")</f>
      </c>
      <c r="DR151" s="496" t="str">
        <f> IF(DR171&lt;&gt;"",TEXT(AUX!DV$1,"dd-MMM-aa"),"")</f>
      </c>
      <c r="DS151" s="496" t="str">
        <f> IF(DS171&lt;&gt;"",TEXT(AUX!DW$1,"dd-MMM-aa"),"")</f>
      </c>
      <c r="DT151" s="496" t="str">
        <f> IF(DT171&lt;&gt;"",TEXT(AUX!DX$1,"dd-MMM-aa"),"")</f>
      </c>
      <c r="DU151" s="496" t="str">
        <f> IF(DU171&lt;&gt;"",TEXT(AUX!DY$1,"dd-MMM-aa"),"")</f>
      </c>
      <c r="DV151" s="496" t="str">
        <f> IF(DV171&lt;&gt;"",TEXT(AUX!DZ$1,"dd-MMM-aa"),"")</f>
      </c>
      <c r="DW151" s="496" t="str">
        <f> IF(DW171&lt;&gt;"",TEXT(AUX!EA$1,"dd-MMM-aa"),"")</f>
      </c>
      <c r="DX151" s="496" t="str">
        <f> IF(DX171&lt;&gt;"",TEXT(AUX!EB$1,"dd-MMM-aa"),"")</f>
      </c>
      <c r="DY151" s="496" t="str">
        <f> IF(DY171&lt;&gt;"",TEXT(AUX!EC$1,"dd-MMM-aa"),"")</f>
      </c>
      <c r="DZ151" s="496" t="str">
        <f> IF(DZ171&lt;&gt;"",TEXT(AUX!ED$1,"dd-MMM-aa"),"")</f>
      </c>
      <c r="EA151" s="496" t="str">
        <f> IF(EA171&lt;&gt;"",TEXT(AUX!EE$1,"dd-MMM-aa"),"")</f>
      </c>
      <c r="EB151" s="496" t="str">
        <f> IF(EB171&lt;&gt;"",TEXT(AUX!EF$1,"dd-MMM-aa"),"")</f>
      </c>
      <c r="EC151" s="496" t="str">
        <f> IF(EC171&lt;&gt;"",TEXT(AUX!EG$1,"dd-MMM-aa"),"")</f>
      </c>
      <c r="ED151" s="496" t="str">
        <f> IF(ED171&lt;&gt;"",TEXT(AUX!EH$1,"dd-MMM-aa"),"")</f>
      </c>
      <c r="EE151" s="496" t="str">
        <f> IF(EE171&lt;&gt;"",TEXT(AUX!EI$1,"dd-MMM-aa"),"")</f>
      </c>
      <c r="EF151" s="496" t="str">
        <f> IF(EF171&lt;&gt;"",TEXT(AUX!EJ$1,"dd-MMM-aa"),"")</f>
      </c>
      <c r="EG151" s="496" t="str">
        <f> IF(EG171&lt;&gt;"",TEXT(AUX!EK$1,"dd-MMM-aa"),"")</f>
      </c>
      <c r="EH151" s="496" t="str">
        <f> IF(EH171&lt;&gt;"",TEXT(AUX!EL$1,"dd-MMM-aa"),"")</f>
      </c>
      <c r="EI151" s="496" t="str">
        <f> IF(EI171&lt;&gt;"",TEXT(AUX!EM$1,"dd-MMM-aa"),"")</f>
      </c>
      <c r="EJ151" s="496" t="str">
        <f> IF(EJ171&lt;&gt;"",TEXT(AUX!EN$1,"dd-MMM-aa"),"")</f>
      </c>
      <c r="EK151" s="496" t="str">
        <f> IF(EK171&lt;&gt;"",TEXT(AUX!EO$1,"dd-MMM-aa"),"")</f>
      </c>
      <c r="EL151" s="496" t="str">
        <f> IF(EL171&lt;&gt;"",TEXT(AUX!EP$1,"dd-MMM-aa"),"")</f>
      </c>
      <c r="EM151" s="496" t="str">
        <f> IF(EM171&lt;&gt;"",TEXT(AUX!EQ$1,"dd-MMM-aa"),"")</f>
      </c>
      <c r="EN151" s="496" t="str">
        <f> IF(EN171&lt;&gt;"",TEXT(AUX!ER$1,"dd-MMM-aa"),"")</f>
      </c>
      <c r="EO151" s="496" t="str">
        <f> IF(EO171&lt;&gt;"",TEXT(AUX!ES$1,"dd-MMM-aa"),"")</f>
      </c>
      <c r="EP151" s="496" t="str">
        <f> IF(EP171&lt;&gt;"",TEXT(AUX!ET$1,"dd-MMM-aa"),"")</f>
      </c>
      <c r="EQ151" s="496" t="str">
        <f> IF(EQ171&lt;&gt;"",TEXT(AUX!EU$1,"dd-MMM-aa"),"")</f>
      </c>
      <c r="ER151" s="496" t="str">
        <f> IF(ER171&lt;&gt;"",TEXT(AUX!EV$1,"dd-MMM-aa"),"")</f>
      </c>
      <c r="ES151" s="496" t="str">
        <f> IF(ES171&lt;&gt;"",TEXT(AUX!EW$1,"dd-MMM-aa"),"")</f>
      </c>
      <c r="ET151" s="496" t="str">
        <f> IF(ET171&lt;&gt;"",TEXT(AUX!EX$1,"dd-MMM-aa"),"")</f>
      </c>
      <c r="EU151" s="496" t="str">
        <f> IF(EU171&lt;&gt;"",TEXT(AUX!EY$1,"dd-MMM-aa"),"")</f>
      </c>
      <c r="EV151" s="496" t="str">
        <f> IF(EV171&lt;&gt;"",TEXT(AUX!EZ$1,"dd-MMM-aa"),"")</f>
      </c>
      <c r="EW151" s="496" t="str">
        <f> IF(EW171&lt;&gt;"",TEXT(AUX!FA$1,"dd-MMM-aa"),"")</f>
      </c>
      <c r="EX151" s="496" t="str">
        <f> IF(EX171&lt;&gt;"",TEXT(AUX!FB$1,"dd-MMM-aa"),"")</f>
      </c>
      <c r="EY151" s="496" t="str">
        <f> IF(EY171&lt;&gt;"",TEXT(AUX!FC$1,"dd-MMM-aa"),"")</f>
      </c>
      <c r="EZ151" s="496" t="str">
        <f> IF(EZ171&lt;&gt;"",TEXT(AUX!FD$1,"dd-MMM-aa"),"")</f>
      </c>
      <c r="FA151" s="496" t="str">
        <f> IF(FA171&lt;&gt;"",TEXT(AUX!FE$1,"dd-MMM-aa"),"")</f>
      </c>
      <c r="FB151" s="496" t="str">
        <f> IF(FB171&lt;&gt;"",TEXT(AUX!FF$1,"dd-MMM-aa"),"")</f>
      </c>
      <c r="FC151" s="496" t="str">
        <f> IF(FC171&lt;&gt;"",TEXT(AUX!FG$1,"dd-MMM-aa"),"")</f>
      </c>
      <c r="FD151" s="496" t="str">
        <f> IF(FD171&lt;&gt;"",TEXT(AUX!FH$1,"dd-MMM-aa"),"")</f>
      </c>
      <c r="FE151" s="496" t="str">
        <f> IF(FE171&lt;&gt;"",TEXT(AUX!FI$1,"dd-MMM-aa"),"")</f>
      </c>
      <c r="FF151" s="496" t="str">
        <f> IF(FF171&lt;&gt;"",TEXT(AUX!FJ$1,"dd-MMM-aa"),"")</f>
      </c>
      <c r="FG151" s="496" t="str">
        <f> IF(FG171&lt;&gt;"",TEXT(AUX!FK$1,"dd-MMM-aa"),"")</f>
      </c>
      <c r="FH151" s="496" t="str">
        <f> IF(FH171&lt;&gt;"",TEXT(AUX!FL$1,"dd-MMM-aa"),"")</f>
      </c>
      <c r="FI151" s="496" t="str">
        <f> IF(FI171&lt;&gt;"",TEXT(AUX!FM$1,"dd-MMM-aa"),"")</f>
      </c>
      <c r="FJ151" s="496" t="str">
        <f> IF(FJ171&lt;&gt;"",TEXT(AUX!FN$1,"dd-MMM-aa"),"")</f>
      </c>
      <c r="FK151" s="496" t="str">
        <f> IF(FK171&lt;&gt;"",TEXT(AUX!FO$1,"dd-MMM-aa"),"")</f>
      </c>
      <c r="FL151" s="496" t="str">
        <f> IF(FL171&lt;&gt;"",TEXT(AUX!FP$1,"dd-MMM-aa"),"")</f>
      </c>
      <c r="FM151" s="496" t="str">
        <f> IF(FM171&lt;&gt;"",TEXT(AUX!FQ$1,"dd-MMM-aa"),"")</f>
      </c>
      <c r="FN151" s="496" t="str">
        <f> IF(FN171&lt;&gt;"",TEXT(AUX!FR$1,"dd-MMM-aa"),"")</f>
      </c>
      <c r="FO151" s="496" t="str">
        <f> IF(FO171&lt;&gt;"",TEXT(AUX!FS$1,"dd-MMM-aa"),"")</f>
      </c>
      <c r="FP151" s="496" t="str">
        <f> IF(FP171&lt;&gt;"",TEXT(AUX!FT$1,"dd-MMM-aa"),"")</f>
      </c>
      <c r="FQ151" s="496" t="str">
        <f> IF(FQ171&lt;&gt;"",TEXT(AUX!FU$1,"dd-MMM-aa"),"")</f>
      </c>
      <c r="FR151" s="496" t="str">
        <f> IF(FR171&lt;&gt;"",TEXT(AUX!FV$1,"dd-MMM-aa"),"")</f>
      </c>
      <c r="FS151" s="496" t="str">
        <f> IF(FS171&lt;&gt;"",TEXT(AUX!FW$1,"dd-MMM-aa"),"")</f>
      </c>
      <c r="FT151" s="496" t="str">
        <f> IF(FT171&lt;&gt;"",TEXT(AUX!FX$1,"dd-MMM-aa"),"")</f>
      </c>
      <c r="FU151" s="496" t="str">
        <f> IF(FU171&lt;&gt;"",TEXT(AUX!FY$1,"dd-MMM-aa"),"")</f>
      </c>
      <c r="FV151" s="496" t="str">
        <f> IF(FV171&lt;&gt;"",TEXT(AUX!FZ$1,"dd-MMM-aa"),"")</f>
      </c>
      <c r="FW151" s="496" t="str">
        <f> IF(FW171&lt;&gt;"",TEXT(AUX!GA$1,"dd-MMM-aa"),"")</f>
      </c>
      <c r="FX151" s="496" t="str">
        <f> IF(FX171&lt;&gt;"",TEXT(AUX!GB$1,"dd-MMM-aa"),"")</f>
      </c>
      <c r="FY151" s="496" t="str">
        <f> IF(FY171&lt;&gt;"",TEXT(AUX!GC$1,"dd-MMM-aa"),"")</f>
      </c>
      <c r="FZ151" s="496" t="str">
        <f> IF(FZ171&lt;&gt;"",TEXT(AUX!GD$1,"dd-MMM-aa"),"")</f>
      </c>
      <c r="GA151" s="496" t="str">
        <f> IF(GA171&lt;&gt;"",TEXT(AUX!GE$1,"dd-MMM-aa"),"")</f>
      </c>
      <c r="GB151" s="496" t="str">
        <f> IF(GB171&lt;&gt;"",TEXT(AUX!GF$1,"dd-MMM-aa"),"")</f>
      </c>
      <c r="GC151" s="496" t="str">
        <f> IF(GC171&lt;&gt;"",TEXT(AUX!GG$1,"dd-MMM-aa"),"")</f>
      </c>
      <c r="GD151" s="496" t="str">
        <f> IF(GD171&lt;&gt;"",TEXT(AUX!GH$1,"dd-MMM-aa"),"")</f>
      </c>
      <c r="GE151" s="496" t="str">
        <f> IF(GE171&lt;&gt;"",TEXT(AUX!GI$1,"dd-MMM-aa"),"")</f>
      </c>
      <c r="GF151" s="496" t="str">
        <f> IF(GF171&lt;&gt;"",TEXT(AUX!GJ$1,"dd-MMM-aa"),"")</f>
      </c>
      <c r="GG151" s="496" t="str">
        <f> IF(GG171&lt;&gt;"",TEXT(AUX!GK$1,"dd-MMM-aa"),"")</f>
      </c>
      <c r="GH151" s="496" t="str">
        <f> IF(GH171&lt;&gt;"",TEXT(AUX!GL$1,"dd-MMM-aa"),"")</f>
      </c>
      <c r="GI151" s="496" t="str">
        <f> IF(GI171&lt;&gt;"",TEXT(AUX!GM$1,"dd-MMM-aa"),"")</f>
      </c>
      <c r="GJ151" s="496" t="str">
        <f> IF(GJ171&lt;&gt;"",TEXT(AUX!GN$1,"dd-MMM-aa"),"")</f>
      </c>
      <c r="GK151" s="496" t="str">
        <f> IF(GK171&lt;&gt;"",TEXT(AUX!GO$1,"dd-MMM-aa"),"")</f>
      </c>
      <c r="GL151" s="496" t="str">
        <f> IF(GL171&lt;&gt;"",TEXT(AUX!GP$1,"dd-MMM-aa"),"")</f>
      </c>
      <c r="GM151" s="496" t="str">
        <f> IF(GM171&lt;&gt;"",TEXT(AUX!GQ$1,"dd-MMM-aa"),"")</f>
      </c>
      <c r="GN151" s="496" t="str">
        <f> IF(GN171&lt;&gt;"",TEXT(AUX!GR$1,"dd-MMM-aa"),"")</f>
      </c>
      <c r="GO151" s="496" t="str">
        <f> IF(GO171&lt;&gt;"",TEXT(AUX!GS$1,"dd-MMM-aa"),"")</f>
      </c>
      <c r="GP151" s="496" t="str">
        <f> IF(GP171&lt;&gt;"",TEXT(AUX!GT$1,"dd-MMM-aa"),"")</f>
      </c>
      <c r="GQ151" s="496" t="str">
        <f> IF(GQ171&lt;&gt;"",TEXT(AUX!GU$1,"dd-MMM-aa"),"")</f>
      </c>
      <c r="GR151" s="496" t="str">
        <f> IF(GR171&lt;&gt;"",TEXT(AUX!GV$1,"dd-MMM-aa"),"")</f>
      </c>
      <c r="GS151" s="496" t="str">
        <f> IF(GS171&lt;&gt;"",TEXT(AUX!GW$1,"dd-MMM-aa"),"")</f>
      </c>
      <c r="GT151" s="496" t="str">
        <f> IF(GT171&lt;&gt;"",TEXT(AUX!GX$1,"dd-MMM-aa"),"")</f>
      </c>
      <c r="GU151" s="496" t="str">
        <f> IF(GU171&lt;&gt;"",TEXT(AUX!GY$1,"dd-MMM-aa"),"")</f>
      </c>
      <c r="GV151" s="496" t="str">
        <f> IF(GV171&lt;&gt;"",TEXT(AUX!GZ$1,"dd-MMM-aa"),"")</f>
      </c>
      <c r="GW151" s="496" t="str">
        <f> IF(GW171&lt;&gt;"",TEXT(AUX!HA$1,"dd-MMM-aa"),"")</f>
      </c>
      <c r="GX151" s="496" t="str">
        <f> IF(GX171&lt;&gt;"",TEXT(AUX!HB$1,"dd-MMM-aa"),"")</f>
      </c>
      <c r="GY151" s="496" t="str">
        <f> IF(GY171&lt;&gt;"",TEXT(AUX!HC$1,"dd-MMM-aa"),"")</f>
      </c>
      <c r="GZ151" s="496" t="str">
        <f> IF(GZ171&lt;&gt;"",TEXT(AUX!HD$1,"dd-MMM-aa"),"")</f>
      </c>
      <c r="HA151" s="496" t="str">
        <f> IF(HA171&lt;&gt;"",TEXT(AUX!HE$1,"dd-MMM-aa"),"")</f>
      </c>
      <c r="HB151" s="496" t="str">
        <f> IF(HB171&lt;&gt;"",TEXT(AUX!HF$1,"dd-MMM-aa"),"")</f>
      </c>
      <c r="HC151" s="496" t="str">
        <f> IF(HC171&lt;&gt;"",TEXT(AUX!HG$1,"dd-MMM-aa"),"")</f>
      </c>
      <c r="HD151" s="496" t="str">
        <f> IF(HD171&lt;&gt;"",TEXT(AUX!HH$1,"dd-MMM-aa"),"")</f>
      </c>
      <c r="HE151" s="496" t="str">
        <f> IF(HE171&lt;&gt;"",TEXT(AUX!HI$1,"dd-MMM-aa"),"")</f>
      </c>
      <c r="HF151" s="496" t="str">
        <f> IF(HF171&lt;&gt;"",TEXT(AUX!HJ$1,"dd-MMM-aa"),"")</f>
      </c>
      <c r="HG151" s="496" t="str">
        <f> IF(HG171&lt;&gt;"",TEXT(AUX!HK$1,"dd-MMM-aa"),"")</f>
      </c>
      <c r="HH151" s="496" t="str">
        <f> IF(HH171&lt;&gt;"",TEXT(AUX!HL$1,"dd-MMM-aa"),"")</f>
      </c>
      <c r="HI151" s="496" t="str">
        <f> IF(HI171&lt;&gt;"",TEXT(AUX!HM$1,"dd-MMM-aa"),"")</f>
      </c>
      <c r="HJ151" s="496" t="str">
        <f> IF(HJ171&lt;&gt;"",TEXT(AUX!HN$1,"dd-MMM-aa"),"")</f>
      </c>
      <c r="HK151" s="496" t="str">
        <f> IF(HK171&lt;&gt;"",TEXT(AUX!HO$1,"dd-MMM-aa"),"")</f>
      </c>
      <c r="HL151" s="496" t="str">
        <f> IF(HL171&lt;&gt;"",TEXT(AUX!HP$1,"dd-MMM-aa"),"")</f>
      </c>
      <c r="HM151" s="496" t="str">
        <f> IF(HM171&lt;&gt;"",TEXT(AUX!HQ$1,"dd-MMM-aa"),"")</f>
      </c>
      <c r="HN151" s="496" t="str">
        <f> IF(HN171&lt;&gt;"",TEXT(AUX!HR$1,"dd-MMM-aa"),"")</f>
      </c>
      <c r="HO151" s="496" t="str">
        <f> IF(HO171&lt;&gt;"",TEXT(AUX!HS$1,"dd-MMM-aa"),"")</f>
      </c>
      <c r="HP151" s="496" t="str">
        <f> IF(HP171&lt;&gt;"",TEXT(AUX!HT$1,"dd-MMM-aa"),"")</f>
      </c>
      <c r="HQ151" s="496" t="str">
        <f> IF(HQ171&lt;&gt;"",TEXT(AUX!HU$1,"dd-MMM-aa"),"")</f>
      </c>
      <c r="HR151" s="496" t="str">
        <f> IF(HR171&lt;&gt;"",TEXT(AUX!HV$1,"dd-MMM-aa"),"")</f>
      </c>
      <c r="HS151" s="496" t="str">
        <f> IF(HS171&lt;&gt;"",TEXT(AUX!HW$1,"dd-MMM-aa"),"")</f>
      </c>
      <c r="HT151" s="496" t="str">
        <f> IF(HT171&lt;&gt;"",TEXT(AUX!HX$1,"dd-MMM-aa"),"")</f>
      </c>
      <c r="HU151" s="496" t="str">
        <f> IF(HU171&lt;&gt;"",TEXT(AUX!HY$1,"dd-MMM-aa"),"")</f>
      </c>
      <c r="HV151" s="496" t="str">
        <f> IF(HV171&lt;&gt;"",TEXT(AUX!HZ$1,"dd-MMM-aa"),"")</f>
      </c>
      <c r="HW151" s="496" t="str">
        <f> IF(HW171&lt;&gt;"",TEXT(AUX!IA$1,"dd-MMM-aa"),"")</f>
      </c>
      <c r="HX151" s="496" t="str">
        <f> IF(HX171&lt;&gt;"",TEXT(AUX!IB$1,"dd-MMM-aa"),"")</f>
      </c>
      <c r="HY151" s="496" t="str">
        <f> IF(HY171&lt;&gt;"",TEXT(AUX!IC$1,"dd-MMM-aa"),"")</f>
      </c>
      <c r="HZ151" s="496" t="str">
        <f> IF(HZ171&lt;&gt;"",TEXT(AUX!ID$1,"dd-MMM-aa"),"")</f>
      </c>
      <c r="IA151" s="496" t="str">
        <f> IF(IA171&lt;&gt;"",TEXT(AUX!IE$1,"dd-MMM-aa"),"")</f>
      </c>
      <c r="IB151" s="496" t="str">
        <f> IF(IB171&lt;&gt;"",TEXT(AUX!IF$1,"dd-MMM-aa"),"")</f>
      </c>
      <c r="IC151" s="496" t="str">
        <f> IF(IC171&lt;&gt;"",TEXT(AUX!IG$1,"dd-MMM-aa"),"")</f>
      </c>
      <c r="ID151" s="496" t="str">
        <f> IF(ID171&lt;&gt;"",TEXT(AUX!IH$1,"dd-MMM-aa"),"")</f>
      </c>
      <c r="IE151" s="496" t="str">
        <f> IF(IE171&lt;&gt;"",TEXT(AUX!II$1,"dd-MMM-aa"),"")</f>
      </c>
      <c r="IF151" s="496" t="str">
        <f> IF(IF171&lt;&gt;"",TEXT(AUX!IJ$1,"dd-MMM-aa"),"")</f>
      </c>
      <c r="IG151" s="496" t="str">
        <f> IF(IG171&lt;&gt;"",TEXT(AUX!IK$1,"dd-MMM-aa"),"")</f>
      </c>
      <c r="IH151" s="496" t="str">
        <f> IF(IH171&lt;&gt;"",TEXT(AUX!IL$1,"dd-MMM-aa"),"")</f>
      </c>
      <c r="II151" s="496" t="str">
        <f> IF(II171&lt;&gt;"",TEXT(AUX!IM$1,"dd-MMM-aa"),"")</f>
      </c>
      <c r="IJ151" s="496" t="str">
        <f> IF(IJ171&lt;&gt;"",TEXT(AUX!IN$1,"dd-MMM-aa"),"")</f>
      </c>
      <c r="IK151" s="496" t="str">
        <f> IF(IK171&lt;&gt;"",TEXT(AUX!IO$1,"dd-MMM-aa"),"")</f>
      </c>
      <c r="IL151" s="496" t="str">
        <f> IF(IL171&lt;&gt;"",TEXT(AUX!IP$1,"dd-MMM-aa"),"")</f>
      </c>
      <c r="IM151" s="496" t="str">
        <f> IF(IM171&lt;&gt;"",TEXT(AUX!IQ$1,"dd-MMM-aa"),"")</f>
      </c>
      <c r="IN151" s="496" t="str">
        <f> IF(IN171&lt;&gt;"",TEXT(AUX!IR$1,"dd-MMM-aa"),"")</f>
      </c>
      <c r="IO151" s="496" t="str">
        <f> IF(IO171&lt;&gt;"",TEXT(AUX!IS$1,"dd-MMM-aa"),"")</f>
      </c>
      <c r="IP151" s="496" t="str">
        <f> IF(IP171&lt;&gt;"",TEXT(AUX!IT$1,"dd-MMM-aa"),"")</f>
      </c>
      <c r="IQ151" s="496" t="str">
        <f> IF(IQ171&lt;&gt;"",TEXT(AUX!IU$1,"dd-MMM-aa"),"")</f>
      </c>
      <c r="IR151" s="496" t="str">
        <f> IF(IR171&lt;&gt;"",TEXT(AUX!IV$1,"dd-MMM-aa"),"")</f>
      </c>
      <c r="IS151" s="496" t="str">
        <f> IF(IS171&lt;&gt;"",TEXT(AUX!#REF!,"dd-MMM-aa"),"")</f>
      </c>
      <c r="IT151" s="496" t="str">
        <f> IF(IT171&lt;&gt;"",TEXT(AUX!#REF!,"dd-MMM-aa"),"")</f>
      </c>
      <c r="IU151" s="496" t="str">
        <f> IF(IU171&lt;&gt;"",TEXT(AUX!#REF!,"dd-MMM-aa"),"")</f>
      </c>
      <c r="IV151" s="496" t="str">
        <f> IF(IV171&lt;&gt;"",TEXT(AUX!#REF!,"dd-MMM-aa"),"")</f>
      </c>
    </row>
    <row r="152" hidden="1" ht="15" customHeight="1">
      <c r="B152" s="822" t="s">
        <v>8</v>
      </c>
      <c r="C152" s="823">
        <v>20082</v>
      </c>
      <c r="D152" s="823">
        <v>19334</v>
      </c>
      <c r="E152" s="823">
        <v>24481</v>
      </c>
      <c r="F152" s="823">
        <v>24926</v>
      </c>
      <c r="G152" s="823">
        <v>24546</v>
      </c>
      <c r="H152" s="823">
        <v>25390</v>
      </c>
      <c r="I152" s="823">
        <v>24448</v>
      </c>
      <c r="J152" s="823">
        <v>24045</v>
      </c>
      <c r="K152" s="823">
        <v>22805</v>
      </c>
      <c r="L152" s="823">
        <v>23941</v>
      </c>
      <c r="M152" s="823">
        <v>22982</v>
      </c>
      <c r="N152" s="823">
        <v>22540</v>
      </c>
      <c r="O152" s="823">
        <v>21451</v>
      </c>
      <c r="P152" s="823">
        <v>23196</v>
      </c>
      <c r="Q152" s="823">
        <v>20055</v>
      </c>
      <c r="R152" s="823">
        <v>19962</v>
      </c>
      <c r="S152" s="823">
        <v>21479</v>
      </c>
      <c r="T152" s="823">
        <v>21555</v>
      </c>
      <c r="U152" s="823">
        <v>21343</v>
      </c>
      <c r="V152" s="823">
        <v>18304</v>
      </c>
      <c r="W152" s="823">
        <v>17100</v>
      </c>
      <c r="X152" s="823">
        <v>16167</v>
      </c>
      <c r="Y152" s="823">
        <v>13231</v>
      </c>
      <c r="Z152" s="823">
        <v>11392</v>
      </c>
      <c r="AA152" s="823">
        <v>11347</v>
      </c>
      <c r="AB152" s="824">
        <v>11325</v>
      </c>
      <c r="AC152" s="825">
        <v>11429</v>
      </c>
      <c r="AD152" s="825">
        <v>10360</v>
      </c>
      <c r="AE152" s="825">
        <v>10364</v>
      </c>
      <c r="AF152" s="825">
        <v>9887</v>
      </c>
      <c r="AG152" s="825">
        <v>7742</v>
      </c>
      <c r="AH152" s="825">
        <v>7409</v>
      </c>
      <c r="AI152" s="825">
        <v>7197</v>
      </c>
      <c r="AJ152" s="825">
        <v>6707</v>
      </c>
      <c r="AK152" s="825">
        <v>6446</v>
      </c>
      <c r="AL152" s="825">
        <v>6446</v>
      </c>
      <c r="AM152" s="825">
        <v>6670</v>
      </c>
      <c r="AN152" s="825">
        <v>6637</v>
      </c>
      <c r="AO152" s="825">
        <v>6669</v>
      </c>
      <c r="AP152" s="825">
        <v>6287</v>
      </c>
    </row>
    <row r="153" hidden="1">
      <c r="B153" s="826" t="s">
        <v>9</v>
      </c>
      <c r="C153" s="827">
        <v>85219</v>
      </c>
      <c r="D153" s="827">
        <v>84993</v>
      </c>
      <c r="E153" s="827">
        <v>84381</v>
      </c>
      <c r="F153" s="827">
        <v>86865</v>
      </c>
      <c r="G153" s="827">
        <v>86843</v>
      </c>
      <c r="H153" s="827">
        <v>86843</v>
      </c>
      <c r="I153" s="827">
        <v>90599</v>
      </c>
      <c r="J153" s="827">
        <v>97311</v>
      </c>
      <c r="K153" s="827">
        <v>99228</v>
      </c>
      <c r="L153" s="827">
        <v>99573</v>
      </c>
      <c r="M153" s="827">
        <v>98962</v>
      </c>
      <c r="N153" s="827">
        <v>98712</v>
      </c>
      <c r="O153" s="827">
        <v>98712</v>
      </c>
      <c r="P153" s="827">
        <v>117313</v>
      </c>
      <c r="Q153" s="827">
        <v>120403</v>
      </c>
      <c r="R153" s="827">
        <v>123004</v>
      </c>
      <c r="S153" s="827">
        <v>124973</v>
      </c>
      <c r="T153" s="827">
        <v>123924</v>
      </c>
      <c r="U153" s="827">
        <v>124032</v>
      </c>
      <c r="V153" s="827">
        <v>121038</v>
      </c>
      <c r="W153" s="827">
        <v>115121</v>
      </c>
      <c r="X153" s="827">
        <v>112532</v>
      </c>
      <c r="Y153" s="827">
        <v>104316</v>
      </c>
      <c r="Z153" s="827">
        <v>99763</v>
      </c>
      <c r="AA153" s="827">
        <v>98926</v>
      </c>
      <c r="AB153" s="827">
        <v>94979</v>
      </c>
      <c r="AC153" s="828">
        <v>93264</v>
      </c>
      <c r="AD153" s="828">
        <v>92348</v>
      </c>
      <c r="AE153" s="828">
        <v>91614</v>
      </c>
      <c r="AF153" s="828">
        <v>92843</v>
      </c>
      <c r="AG153" s="828">
        <v>97625</v>
      </c>
      <c r="AH153" s="828">
        <v>89029</v>
      </c>
      <c r="AI153" s="828">
        <v>85255</v>
      </c>
      <c r="AJ153" s="828">
        <v>84559</v>
      </c>
      <c r="AK153" s="828">
        <v>78243</v>
      </c>
      <c r="AL153" s="828">
        <v>77943</v>
      </c>
      <c r="AM153" s="828">
        <v>71084</v>
      </c>
      <c r="AN153" s="828">
        <v>66762</v>
      </c>
      <c r="AO153" s="828">
        <v>66320</v>
      </c>
      <c r="AP153" s="828">
        <v>65355</v>
      </c>
    </row>
    <row r="154" hidden="1">
      <c r="B154" s="829" t="s">
        <v>10</v>
      </c>
      <c r="C154" s="823">
        <v>6822</v>
      </c>
      <c r="D154" s="823">
        <v>6822</v>
      </c>
      <c r="E154" s="823">
        <v>6458</v>
      </c>
      <c r="F154" s="823">
        <v>6458</v>
      </c>
      <c r="G154" s="823">
        <v>6259</v>
      </c>
      <c r="H154" s="823">
        <v>6024</v>
      </c>
      <c r="I154" s="823">
        <v>5224</v>
      </c>
      <c r="J154" s="823">
        <v>5224</v>
      </c>
      <c r="K154" s="823">
        <v>4421</v>
      </c>
      <c r="L154" s="823">
        <v>4381</v>
      </c>
      <c r="M154" s="823">
        <v>4092</v>
      </c>
      <c r="N154" s="823">
        <v>4092</v>
      </c>
      <c r="O154" s="823">
        <v>4100</v>
      </c>
      <c r="P154" s="823">
        <v>4100</v>
      </c>
      <c r="Q154" s="823">
        <v>2291</v>
      </c>
      <c r="R154" s="823">
        <v>2841</v>
      </c>
      <c r="S154" s="823">
        <v>2837</v>
      </c>
      <c r="T154" s="823">
        <v>2337</v>
      </c>
      <c r="U154" s="823">
        <v>2162</v>
      </c>
      <c r="V154" s="823">
        <v>2162</v>
      </c>
      <c r="W154" s="823">
        <v>2161</v>
      </c>
      <c r="X154" s="823">
        <v>1611</v>
      </c>
      <c r="Y154" s="823">
        <v>1557</v>
      </c>
      <c r="Z154" s="823">
        <v>1557</v>
      </c>
      <c r="AA154" s="823">
        <v>1503</v>
      </c>
      <c r="AB154" s="823">
        <v>1503</v>
      </c>
      <c r="AC154" s="825">
        <v>1515</v>
      </c>
      <c r="AD154" s="825">
        <v>1515</v>
      </c>
      <c r="AE154" s="825">
        <v>1487</v>
      </c>
      <c r="AF154" s="825">
        <v>1487</v>
      </c>
      <c r="AG154" s="825">
        <v>1499</v>
      </c>
      <c r="AH154" s="825">
        <v>1049</v>
      </c>
      <c r="AI154" s="825">
        <v>1036</v>
      </c>
      <c r="AJ154" s="825">
        <v>1036</v>
      </c>
      <c r="AK154" s="825">
        <v>1047</v>
      </c>
      <c r="AL154" s="825">
        <v>1047</v>
      </c>
      <c r="AM154" s="825">
        <v>97</v>
      </c>
      <c r="AN154" s="825">
        <v>92</v>
      </c>
      <c r="AO154" s="825">
        <v>114</v>
      </c>
      <c r="AP154" s="825">
        <v>114</v>
      </c>
    </row>
    <row r="155" hidden="1">
      <c r="B155" s="826" t="s">
        <v>11</v>
      </c>
      <c r="C155" s="827">
        <v>3596</v>
      </c>
      <c r="D155" s="827">
        <v>3370</v>
      </c>
      <c r="E155" s="827">
        <v>3274</v>
      </c>
      <c r="F155" s="827">
        <v>3063</v>
      </c>
      <c r="G155" s="827">
        <v>2802</v>
      </c>
      <c r="H155" s="827">
        <v>2138</v>
      </c>
      <c r="I155" s="827">
        <v>1791</v>
      </c>
      <c r="J155" s="827">
        <v>1500</v>
      </c>
      <c r="K155" s="827">
        <v>1355</v>
      </c>
      <c r="L155" s="827">
        <v>1404</v>
      </c>
      <c r="M155" s="827">
        <v>1312</v>
      </c>
      <c r="N155" s="827">
        <v>1224</v>
      </c>
      <c r="O155" s="827">
        <v>1306</v>
      </c>
      <c r="P155" s="827">
        <v>1438</v>
      </c>
      <c r="Q155" s="827">
        <v>1366</v>
      </c>
      <c r="R155" s="827">
        <v>1409</v>
      </c>
      <c r="S155" s="827">
        <v>1444</v>
      </c>
      <c r="T155" s="827">
        <v>1445</v>
      </c>
      <c r="U155" s="827">
        <v>1218</v>
      </c>
      <c r="V155" s="827">
        <v>1217</v>
      </c>
      <c r="W155" s="827">
        <v>1160</v>
      </c>
      <c r="X155" s="827">
        <v>1137</v>
      </c>
      <c r="Y155" s="827">
        <v>1091</v>
      </c>
      <c r="Z155" s="827">
        <v>1130</v>
      </c>
      <c r="AA155" s="827">
        <v>985</v>
      </c>
      <c r="AB155" s="827">
        <v>1000</v>
      </c>
      <c r="AC155" s="828">
        <v>1089</v>
      </c>
      <c r="AD155" s="828">
        <v>1138</v>
      </c>
      <c r="AE155" s="828">
        <v>1087</v>
      </c>
      <c r="AF155" s="828">
        <v>1128</v>
      </c>
      <c r="AG155" s="828">
        <v>1006</v>
      </c>
      <c r="AH155" s="828">
        <v>1041</v>
      </c>
      <c r="AI155" s="828">
        <v>1041</v>
      </c>
      <c r="AJ155" s="828">
        <v>1105</v>
      </c>
      <c r="AK155" s="828">
        <v>1099</v>
      </c>
      <c r="AL155" s="828">
        <v>1126</v>
      </c>
      <c r="AM155" s="828">
        <v>1144</v>
      </c>
      <c r="AN155" s="828">
        <v>1185</v>
      </c>
      <c r="AO155" s="828">
        <v>1221</v>
      </c>
      <c r="AP155" s="828">
        <v>1294</v>
      </c>
    </row>
    <row r="156" hidden="1">
      <c r="B156" s="829" t="s">
        <v>12</v>
      </c>
      <c r="C156" s="823">
        <v>20309</v>
      </c>
      <c r="D156" s="823">
        <v>21696</v>
      </c>
      <c r="E156" s="823">
        <v>24174</v>
      </c>
      <c r="F156" s="823">
        <v>23175</v>
      </c>
      <c r="G156" s="823">
        <v>23569</v>
      </c>
      <c r="H156" s="823">
        <v>23744</v>
      </c>
      <c r="I156" s="823">
        <v>22921</v>
      </c>
      <c r="J156" s="823">
        <v>20353</v>
      </c>
      <c r="K156" s="823">
        <v>20361</v>
      </c>
      <c r="L156" s="823">
        <v>19772</v>
      </c>
      <c r="M156" s="823">
        <v>20308</v>
      </c>
      <c r="N156" s="823">
        <v>18982</v>
      </c>
      <c r="O156" s="823">
        <v>15963</v>
      </c>
      <c r="P156" s="823">
        <v>15585</v>
      </c>
      <c r="Q156" s="823">
        <v>14354</v>
      </c>
      <c r="R156" s="823">
        <v>13923</v>
      </c>
      <c r="S156" s="823">
        <v>12369</v>
      </c>
      <c r="T156" s="823">
        <v>11654</v>
      </c>
      <c r="U156" s="823">
        <v>10862</v>
      </c>
      <c r="V156" s="823">
        <v>10882</v>
      </c>
      <c r="W156" s="823">
        <v>10220</v>
      </c>
      <c r="X156" s="823">
        <v>9440</v>
      </c>
      <c r="Y156" s="823">
        <v>7724</v>
      </c>
      <c r="Z156" s="823">
        <v>7701</v>
      </c>
      <c r="AA156" s="823">
        <v>8617</v>
      </c>
      <c r="AB156" s="823">
        <v>8998</v>
      </c>
      <c r="AC156" s="825">
        <v>8416</v>
      </c>
      <c r="AD156" s="825">
        <v>7563</v>
      </c>
      <c r="AE156" s="825">
        <v>7001</v>
      </c>
      <c r="AF156" s="825">
        <v>6573</v>
      </c>
      <c r="AG156" s="825">
        <v>6332</v>
      </c>
      <c r="AH156" s="825">
        <v>5666</v>
      </c>
      <c r="AI156" s="825">
        <v>5265</v>
      </c>
      <c r="AJ156" s="825">
        <v>6209</v>
      </c>
      <c r="AK156" s="825">
        <v>4992</v>
      </c>
      <c r="AL156" s="825">
        <v>4980</v>
      </c>
      <c r="AM156" s="825">
        <v>4706</v>
      </c>
      <c r="AN156" s="825">
        <v>4705</v>
      </c>
      <c r="AO156" s="825">
        <v>4705</v>
      </c>
      <c r="AP156" s="825">
        <v>4929</v>
      </c>
    </row>
    <row r="157" hidden="1">
      <c r="B157" s="826" t="s">
        <v>13</v>
      </c>
      <c r="C157" s="827">
        <v>11942</v>
      </c>
      <c r="D157" s="827">
        <v>11982</v>
      </c>
      <c r="E157" s="827">
        <v>10222</v>
      </c>
      <c r="F157" s="827">
        <v>10637</v>
      </c>
      <c r="G157" s="827">
        <v>12682</v>
      </c>
      <c r="H157" s="827">
        <v>12394</v>
      </c>
      <c r="I157" s="827">
        <v>12907</v>
      </c>
      <c r="J157" s="827">
        <v>13008</v>
      </c>
      <c r="K157" s="827">
        <v>9752</v>
      </c>
      <c r="L157" s="827">
        <v>8783</v>
      </c>
      <c r="M157" s="827">
        <v>8098</v>
      </c>
      <c r="N157" s="827">
        <v>8029</v>
      </c>
      <c r="O157" s="827">
        <v>7045</v>
      </c>
      <c r="P157" s="827">
        <v>7245</v>
      </c>
      <c r="Q157" s="827">
        <v>8380</v>
      </c>
      <c r="R157" s="827">
        <v>8399</v>
      </c>
      <c r="S157" s="827">
        <v>8753</v>
      </c>
      <c r="T157" s="827">
        <v>9144</v>
      </c>
      <c r="U157" s="827">
        <v>8774</v>
      </c>
      <c r="V157" s="827">
        <v>8890</v>
      </c>
      <c r="W157" s="827">
        <v>7421</v>
      </c>
      <c r="X157" s="827">
        <v>8753</v>
      </c>
      <c r="Y157" s="827">
        <v>8869</v>
      </c>
      <c r="Z157" s="827">
        <v>8324</v>
      </c>
      <c r="AA157" s="827">
        <v>8556</v>
      </c>
      <c r="AB157" s="827">
        <v>7887</v>
      </c>
      <c r="AC157" s="828">
        <v>7914</v>
      </c>
      <c r="AD157" s="828">
        <v>7927</v>
      </c>
      <c r="AE157" s="828">
        <v>7933</v>
      </c>
      <c r="AF157" s="828">
        <v>7932</v>
      </c>
      <c r="AG157" s="828">
        <v>6969</v>
      </c>
      <c r="AH157" s="828">
        <v>6957</v>
      </c>
      <c r="AI157" s="828">
        <v>7065</v>
      </c>
      <c r="AJ157" s="828">
        <v>5883</v>
      </c>
      <c r="AK157" s="828">
        <v>5951</v>
      </c>
      <c r="AL157" s="828">
        <v>5956</v>
      </c>
      <c r="AM157" s="828">
        <v>5979</v>
      </c>
      <c r="AN157" s="828">
        <v>5983</v>
      </c>
      <c r="AO157" s="828">
        <v>6023</v>
      </c>
      <c r="AP157" s="828">
        <v>6043</v>
      </c>
    </row>
    <row r="158" hidden="1">
      <c r="B158" s="829" t="s">
        <v>109</v>
      </c>
      <c r="C158" s="823">
        <v>124772</v>
      </c>
      <c r="D158" s="823">
        <v>123178</v>
      </c>
      <c r="E158" s="823">
        <v>144914</v>
      </c>
      <c r="F158" s="823">
        <v>138461</v>
      </c>
      <c r="G158" s="823">
        <v>111081</v>
      </c>
      <c r="H158" s="823">
        <v>109489</v>
      </c>
      <c r="I158" s="823">
        <v>130295</v>
      </c>
      <c r="J158" s="823">
        <v>123086</v>
      </c>
      <c r="K158" s="823">
        <v>91517</v>
      </c>
      <c r="L158" s="823">
        <v>90763</v>
      </c>
      <c r="M158" s="823">
        <v>86650</v>
      </c>
      <c r="N158" s="823">
        <v>86018</v>
      </c>
      <c r="O158" s="823">
        <v>84598</v>
      </c>
      <c r="P158" s="823">
        <v>83548</v>
      </c>
      <c r="Q158" s="823">
        <v>84224</v>
      </c>
      <c r="R158" s="823">
        <v>81433</v>
      </c>
      <c r="S158" s="823">
        <v>81523</v>
      </c>
      <c r="T158" s="823">
        <v>78035</v>
      </c>
      <c r="U158" s="823">
        <v>72443</v>
      </c>
      <c r="V158" s="823">
        <v>70809</v>
      </c>
      <c r="W158" s="823">
        <v>62280</v>
      </c>
      <c r="X158" s="823">
        <v>60658</v>
      </c>
      <c r="Y158" s="823">
        <v>57583</v>
      </c>
      <c r="Z158" s="823">
        <v>55937</v>
      </c>
      <c r="AA158" s="823">
        <v>54457</v>
      </c>
      <c r="AB158" s="823">
        <v>54530</v>
      </c>
      <c r="AC158" s="825">
        <v>52737</v>
      </c>
      <c r="AD158" s="825">
        <v>52617</v>
      </c>
      <c r="AE158" s="825">
        <v>52528</v>
      </c>
      <c r="AF158" s="825">
        <v>52031</v>
      </c>
      <c r="AG158" s="825">
        <v>50150</v>
      </c>
      <c r="AH158" s="825">
        <v>49497</v>
      </c>
      <c r="AI158" s="825">
        <v>48917</v>
      </c>
      <c r="AJ158" s="825">
        <v>46900</v>
      </c>
      <c r="AK158" s="825">
        <v>44717</v>
      </c>
      <c r="AL158" s="825">
        <v>42845</v>
      </c>
      <c r="AM158" s="825">
        <v>40599</v>
      </c>
      <c r="AN158" s="825">
        <v>40579</v>
      </c>
      <c r="AO158" s="825">
        <v>46340</v>
      </c>
      <c r="AP158" s="825">
        <v>45501</v>
      </c>
    </row>
    <row r="159" hidden="1">
      <c r="B159" s="826" t="s">
        <v>110</v>
      </c>
      <c r="C159" s="827">
        <v>130994</v>
      </c>
      <c r="D159" s="827">
        <v>133462</v>
      </c>
      <c r="E159" s="827">
        <v>136731</v>
      </c>
      <c r="F159" s="827">
        <v>142916</v>
      </c>
      <c r="G159" s="827">
        <v>146822</v>
      </c>
      <c r="H159" s="827">
        <v>147776</v>
      </c>
      <c r="I159" s="827">
        <v>145858</v>
      </c>
      <c r="J159" s="827">
        <v>148302</v>
      </c>
      <c r="K159" s="827">
        <v>144457</v>
      </c>
      <c r="L159" s="827">
        <v>145591</v>
      </c>
      <c r="M159" s="827">
        <v>143081</v>
      </c>
      <c r="N159" s="827">
        <v>133855</v>
      </c>
      <c r="O159" s="827">
        <v>141706</v>
      </c>
      <c r="P159" s="827">
        <v>139562</v>
      </c>
      <c r="Q159" s="827">
        <v>138469</v>
      </c>
      <c r="R159" s="827">
        <v>136518</v>
      </c>
      <c r="S159" s="827">
        <v>139742</v>
      </c>
      <c r="T159" s="827">
        <v>147820</v>
      </c>
      <c r="U159" s="827">
        <v>157469</v>
      </c>
      <c r="V159" s="827">
        <v>158220</v>
      </c>
      <c r="W159" s="827">
        <v>170797</v>
      </c>
      <c r="X159" s="827">
        <v>174896</v>
      </c>
      <c r="Y159" s="827">
        <v>186725</v>
      </c>
      <c r="Z159" s="827">
        <v>185329</v>
      </c>
      <c r="AA159" s="827">
        <v>176003</v>
      </c>
      <c r="AB159" s="827">
        <v>176237</v>
      </c>
      <c r="AC159" s="828">
        <v>174602</v>
      </c>
      <c r="AD159" s="828">
        <v>175669</v>
      </c>
      <c r="AE159" s="828">
        <v>176073</v>
      </c>
      <c r="AF159" s="828">
        <v>177190</v>
      </c>
      <c r="AG159" s="828">
        <v>173777</v>
      </c>
      <c r="AH159" s="828">
        <v>173844</v>
      </c>
      <c r="AI159" s="828">
        <v>176671</v>
      </c>
      <c r="AJ159" s="828">
        <v>174467</v>
      </c>
      <c r="AK159" s="828">
        <v>172072</v>
      </c>
      <c r="AL159" s="828">
        <v>170165</v>
      </c>
      <c r="AM159" s="828">
        <v>165769</v>
      </c>
      <c r="AN159" s="828">
        <v>165169</v>
      </c>
      <c r="AO159" s="828">
        <v>157224</v>
      </c>
      <c r="AP159" s="828">
        <v>157029</v>
      </c>
    </row>
    <row r="160" hidden="1">
      <c r="B160" s="829" t="s">
        <v>16</v>
      </c>
      <c r="C160" s="823">
        <v>257648</v>
      </c>
      <c r="D160" s="823">
        <v>28672</v>
      </c>
      <c r="E160" s="823">
        <v>266996</v>
      </c>
      <c r="F160" s="823">
        <v>268602</v>
      </c>
      <c r="G160" s="823">
        <v>279801</v>
      </c>
      <c r="H160" s="823">
        <v>277957</v>
      </c>
      <c r="I160" s="823">
        <v>267377</v>
      </c>
      <c r="J160" s="823">
        <v>263629</v>
      </c>
      <c r="K160" s="823">
        <v>266621</v>
      </c>
      <c r="L160" s="823">
        <v>265036</v>
      </c>
      <c r="M160" s="823">
        <v>264113</v>
      </c>
      <c r="N160" s="823">
        <v>259642</v>
      </c>
      <c r="O160" s="823">
        <v>251653</v>
      </c>
      <c r="P160" s="823">
        <v>230281</v>
      </c>
      <c r="Q160" s="823">
        <v>238308</v>
      </c>
      <c r="R160" s="823">
        <v>217571</v>
      </c>
      <c r="S160" s="823">
        <v>211346</v>
      </c>
      <c r="T160" s="823">
        <v>209269</v>
      </c>
      <c r="U160" s="823">
        <v>212700</v>
      </c>
      <c r="V160" s="823">
        <v>208078</v>
      </c>
      <c r="W160" s="823">
        <v>208078</v>
      </c>
      <c r="X160" s="823">
        <v>208078</v>
      </c>
      <c r="Y160" s="823">
        <v>208078</v>
      </c>
      <c r="Z160" s="823">
        <v>208078</v>
      </c>
      <c r="AA160" s="823">
        <v>171342</v>
      </c>
      <c r="AB160" s="823">
        <v>165430</v>
      </c>
      <c r="AC160" s="825">
        <v>158109</v>
      </c>
      <c r="AD160" s="825">
        <v>154692</v>
      </c>
      <c r="AE160" s="825">
        <v>149064</v>
      </c>
      <c r="AF160" s="825">
        <v>130306</v>
      </c>
      <c r="AG160" s="825">
        <v>137319</v>
      </c>
      <c r="AH160" s="825">
        <v>136474</v>
      </c>
      <c r="AI160" s="825">
        <v>125869</v>
      </c>
      <c r="AJ160" s="825">
        <v>122371</v>
      </c>
      <c r="AK160" s="825">
        <v>114345</v>
      </c>
      <c r="AL160" s="825">
        <v>111083</v>
      </c>
      <c r="AM160" s="825">
        <v>107345</v>
      </c>
      <c r="AN160" s="825">
        <v>104778</v>
      </c>
      <c r="AO160" s="825">
        <v>103553</v>
      </c>
      <c r="AP160" s="825">
        <v>100255</v>
      </c>
    </row>
    <row r="161" hidden="1">
      <c r="B161" s="826" t="s">
        <v>17</v>
      </c>
      <c r="C161" s="827">
        <v>7563</v>
      </c>
      <c r="D161" s="827">
        <v>8208</v>
      </c>
      <c r="E161" s="827">
        <v>7978</v>
      </c>
      <c r="F161" s="827">
        <v>10434</v>
      </c>
      <c r="G161" s="827">
        <v>10241</v>
      </c>
      <c r="H161" s="827">
        <v>10056</v>
      </c>
      <c r="I161" s="827">
        <v>9186</v>
      </c>
      <c r="J161" s="827">
        <v>8507</v>
      </c>
      <c r="K161" s="827">
        <v>14203</v>
      </c>
      <c r="L161" s="827">
        <v>10450</v>
      </c>
      <c r="M161" s="827">
        <v>7099</v>
      </c>
      <c r="N161" s="827">
        <v>5909</v>
      </c>
      <c r="O161" s="827">
        <v>11238</v>
      </c>
      <c r="P161" s="827">
        <v>6490</v>
      </c>
      <c r="Q161" s="827">
        <v>4984</v>
      </c>
      <c r="R161" s="827">
        <v>4715</v>
      </c>
      <c r="S161" s="827">
        <v>5087</v>
      </c>
      <c r="T161" s="827">
        <v>5117</v>
      </c>
      <c r="U161" s="827">
        <v>5423</v>
      </c>
      <c r="V161" s="827">
        <v>5813</v>
      </c>
      <c r="W161" s="827">
        <v>4596</v>
      </c>
      <c r="X161" s="827">
        <v>4660</v>
      </c>
      <c r="Y161" s="827">
        <v>5303</v>
      </c>
      <c r="Z161" s="827">
        <v>5303</v>
      </c>
      <c r="AA161" s="827">
        <v>4518</v>
      </c>
      <c r="AB161" s="827">
        <v>4558</v>
      </c>
      <c r="AC161" s="828">
        <v>4472</v>
      </c>
      <c r="AD161" s="828">
        <v>4472</v>
      </c>
      <c r="AE161" s="828">
        <v>4064</v>
      </c>
      <c r="AF161" s="828">
        <v>3971</v>
      </c>
      <c r="AG161" s="828">
        <v>3886</v>
      </c>
      <c r="AH161" s="828">
        <v>3796</v>
      </c>
      <c r="AI161" s="828">
        <v>3698</v>
      </c>
      <c r="AJ161" s="828">
        <v>3699</v>
      </c>
      <c r="AK161" s="828">
        <v>3684</v>
      </c>
      <c r="AL161" s="828">
        <v>3697</v>
      </c>
      <c r="AM161" s="828">
        <v>3891</v>
      </c>
      <c r="AN161" s="828">
        <v>3896</v>
      </c>
      <c r="AO161" s="828">
        <v>3896</v>
      </c>
      <c r="AP161" s="828">
        <v>3896</v>
      </c>
    </row>
    <row r="162" hidden="1">
      <c r="B162" s="829" t="s">
        <v>18</v>
      </c>
      <c r="C162" s="823">
        <v>0</v>
      </c>
      <c r="D162" s="823">
        <v>12150</v>
      </c>
      <c r="E162" s="823">
        <v>23232</v>
      </c>
      <c r="F162" s="823">
        <v>44640</v>
      </c>
      <c r="G162" s="823">
        <v>159608</v>
      </c>
      <c r="H162" s="823">
        <v>158472</v>
      </c>
      <c r="I162" s="823">
        <v>155632</v>
      </c>
      <c r="J162" s="823">
        <v>142943</v>
      </c>
      <c r="K162" s="823">
        <v>144253</v>
      </c>
      <c r="L162" s="823">
        <v>142642</v>
      </c>
      <c r="M162" s="823">
        <v>146003</v>
      </c>
      <c r="N162" s="823">
        <v>145623</v>
      </c>
      <c r="O162" s="823">
        <v>144445</v>
      </c>
      <c r="P162" s="823">
        <v>144876</v>
      </c>
      <c r="Q162" s="823">
        <v>142384</v>
      </c>
      <c r="R162" s="823">
        <v>139616</v>
      </c>
      <c r="S162" s="823">
        <v>152463</v>
      </c>
      <c r="T162" s="823">
        <v>153068</v>
      </c>
      <c r="U162" s="823">
        <v>148720</v>
      </c>
      <c r="V162" s="823">
        <v>138191</v>
      </c>
      <c r="W162" s="823">
        <v>137646</v>
      </c>
      <c r="X162" s="823">
        <v>134911</v>
      </c>
      <c r="Y162" s="823">
        <v>127895</v>
      </c>
      <c r="Z162" s="823">
        <v>124923</v>
      </c>
      <c r="AA162" s="823">
        <v>119056</v>
      </c>
      <c r="AB162" s="823">
        <v>119015</v>
      </c>
      <c r="AC162" s="825">
        <v>119548</v>
      </c>
      <c r="AD162" s="825">
        <v>119170</v>
      </c>
      <c r="AE162" s="825">
        <v>212605</v>
      </c>
      <c r="AF162" s="825">
        <v>210314</v>
      </c>
      <c r="AG162" s="825">
        <v>214127</v>
      </c>
      <c r="AH162" s="825">
        <v>208788</v>
      </c>
      <c r="AI162" s="825">
        <v>109518</v>
      </c>
      <c r="AJ162" s="825">
        <v>109573</v>
      </c>
      <c r="AK162" s="825">
        <v>104612</v>
      </c>
      <c r="AL162" s="825">
        <v>102397</v>
      </c>
      <c r="AM162" s="825">
        <v>99129</v>
      </c>
      <c r="AN162" s="825">
        <v>97279</v>
      </c>
      <c r="AO162" s="825">
        <v>93560</v>
      </c>
      <c r="AP162" s="825">
        <v>93260</v>
      </c>
    </row>
    <row r="163" hidden="1">
      <c r="B163" s="826" t="s">
        <v>19</v>
      </c>
      <c r="C163" s="827">
        <v>3070</v>
      </c>
      <c r="D163" s="827">
        <v>3545</v>
      </c>
      <c r="E163" s="827">
        <v>1997</v>
      </c>
      <c r="F163" s="827">
        <v>1997</v>
      </c>
      <c r="G163" s="827">
        <v>2904</v>
      </c>
      <c r="H163" s="827">
        <v>3080</v>
      </c>
      <c r="I163" s="827">
        <v>2822</v>
      </c>
      <c r="J163" s="827">
        <v>2821</v>
      </c>
      <c r="K163" s="827">
        <v>2885</v>
      </c>
      <c r="L163" s="827">
        <v>2894</v>
      </c>
      <c r="M163" s="827">
        <v>2693</v>
      </c>
      <c r="N163" s="827">
        <v>2695</v>
      </c>
      <c r="O163" s="827">
        <v>1859</v>
      </c>
      <c r="P163" s="827">
        <v>1059</v>
      </c>
      <c r="Q163" s="827">
        <v>954</v>
      </c>
      <c r="R163" s="827">
        <v>954</v>
      </c>
      <c r="S163" s="827">
        <v>1066</v>
      </c>
      <c r="T163" s="827">
        <v>1066</v>
      </c>
      <c r="U163" s="827">
        <v>967</v>
      </c>
      <c r="V163" s="827">
        <v>1267</v>
      </c>
      <c r="W163" s="827">
        <v>1175</v>
      </c>
      <c r="X163" s="827">
        <v>1149</v>
      </c>
      <c r="Y163" s="827">
        <v>893</v>
      </c>
      <c r="Z163" s="827">
        <v>886</v>
      </c>
      <c r="AA163" s="827">
        <v>1262</v>
      </c>
      <c r="AB163" s="827">
        <v>1269</v>
      </c>
      <c r="AC163" s="828">
        <v>1271</v>
      </c>
      <c r="AD163" s="828">
        <v>1271</v>
      </c>
      <c r="AE163" s="828">
        <v>1203</v>
      </c>
      <c r="AF163" s="828">
        <v>1201</v>
      </c>
      <c r="AG163" s="828">
        <v>747</v>
      </c>
      <c r="AH163" s="828">
        <v>747</v>
      </c>
      <c r="AI163" s="828">
        <v>830</v>
      </c>
      <c r="AJ163" s="828">
        <v>824</v>
      </c>
      <c r="AK163" s="828">
        <v>796</v>
      </c>
      <c r="AL163" s="828">
        <v>796</v>
      </c>
      <c r="AM163" s="828">
        <v>930</v>
      </c>
      <c r="AN163" s="828">
        <v>924</v>
      </c>
      <c r="AO163" s="828">
        <v>1004</v>
      </c>
      <c r="AP163" s="828">
        <v>1001</v>
      </c>
    </row>
    <row r="164" hidden="1">
      <c r="B164" s="829" t="s">
        <v>20</v>
      </c>
      <c r="C164" s="823">
        <v>21348</v>
      </c>
      <c r="D164" s="823">
        <v>21948</v>
      </c>
      <c r="E164" s="823">
        <v>21966</v>
      </c>
      <c r="F164" s="823">
        <v>25744</v>
      </c>
      <c r="G164" s="823">
        <v>30424</v>
      </c>
      <c r="H164" s="823">
        <v>30401</v>
      </c>
      <c r="I164" s="823">
        <v>27376</v>
      </c>
      <c r="J164" s="823">
        <v>27376</v>
      </c>
      <c r="K164" s="823">
        <v>26886</v>
      </c>
      <c r="L164" s="823">
        <v>26936</v>
      </c>
      <c r="M164" s="823">
        <v>25481</v>
      </c>
      <c r="N164" s="823">
        <v>22352</v>
      </c>
      <c r="O164" s="823">
        <v>21779</v>
      </c>
      <c r="P164" s="823">
        <v>21779</v>
      </c>
      <c r="Q164" s="823">
        <v>19450</v>
      </c>
      <c r="R164" s="823">
        <v>19980</v>
      </c>
      <c r="S164" s="823">
        <v>23833</v>
      </c>
      <c r="T164" s="823">
        <v>23843</v>
      </c>
      <c r="U164" s="823">
        <v>23333</v>
      </c>
      <c r="V164" s="823">
        <v>22133</v>
      </c>
      <c r="W164" s="823">
        <v>20323</v>
      </c>
      <c r="X164" s="823">
        <v>20483</v>
      </c>
      <c r="Y164" s="823">
        <v>15575</v>
      </c>
      <c r="Z164" s="823">
        <v>15575</v>
      </c>
      <c r="AA164" s="823">
        <v>15494</v>
      </c>
      <c r="AB164" s="823">
        <v>15494</v>
      </c>
      <c r="AC164" s="825">
        <v>11942</v>
      </c>
      <c r="AD164" s="825">
        <v>11942</v>
      </c>
      <c r="AE164" s="825">
        <v>12828</v>
      </c>
      <c r="AF164" s="825">
        <v>12786</v>
      </c>
      <c r="AG164" s="825">
        <v>4503</v>
      </c>
      <c r="AH164" s="825">
        <v>4503</v>
      </c>
      <c r="AI164" s="825">
        <v>16883</v>
      </c>
      <c r="AJ164" s="825">
        <v>16874</v>
      </c>
      <c r="AK164" s="825">
        <v>9524</v>
      </c>
      <c r="AL164" s="825">
        <v>7810</v>
      </c>
      <c r="AM164" s="825">
        <v>14052</v>
      </c>
      <c r="AN164" s="825">
        <v>14040</v>
      </c>
      <c r="AO164" s="825">
        <v>14769</v>
      </c>
      <c r="AP164" s="825">
        <v>14786</v>
      </c>
    </row>
    <row r="165" hidden="1">
      <c r="B165" s="826" t="s">
        <v>21</v>
      </c>
      <c r="C165" s="827">
        <v>31223</v>
      </c>
      <c r="D165" s="827">
        <v>32593</v>
      </c>
      <c r="E165" s="827">
        <v>34510</v>
      </c>
      <c r="F165" s="827">
        <v>35260</v>
      </c>
      <c r="G165" s="827">
        <v>34796</v>
      </c>
      <c r="H165" s="827">
        <v>34444</v>
      </c>
      <c r="I165" s="827">
        <v>31840</v>
      </c>
      <c r="J165" s="827">
        <v>31851</v>
      </c>
      <c r="K165" s="827">
        <v>30212</v>
      </c>
      <c r="L165" s="827">
        <v>30215</v>
      </c>
      <c r="M165" s="827">
        <v>29990</v>
      </c>
      <c r="N165" s="827">
        <v>29503</v>
      </c>
      <c r="O165" s="827">
        <v>28676</v>
      </c>
      <c r="P165" s="827">
        <v>28670</v>
      </c>
      <c r="Q165" s="827">
        <v>27253</v>
      </c>
      <c r="R165" s="827">
        <v>25872</v>
      </c>
      <c r="S165" s="827">
        <v>24345</v>
      </c>
      <c r="T165" s="827">
        <v>22353</v>
      </c>
      <c r="U165" s="827">
        <v>21201</v>
      </c>
      <c r="V165" s="827">
        <v>19831</v>
      </c>
      <c r="W165" s="827">
        <v>18963</v>
      </c>
      <c r="X165" s="827">
        <v>18955</v>
      </c>
      <c r="Y165" s="827">
        <v>18377</v>
      </c>
      <c r="Z165" s="827">
        <v>18372</v>
      </c>
      <c r="AA165" s="827">
        <v>18417</v>
      </c>
      <c r="AB165" s="827">
        <v>18417</v>
      </c>
      <c r="AC165" s="828">
        <v>18293</v>
      </c>
      <c r="AD165" s="828">
        <v>17355</v>
      </c>
      <c r="AE165" s="828">
        <v>16529</v>
      </c>
      <c r="AF165" s="828">
        <v>16528</v>
      </c>
      <c r="AG165" s="828">
        <v>16512</v>
      </c>
      <c r="AH165" s="828">
        <v>16493</v>
      </c>
      <c r="AI165" s="828">
        <v>17495</v>
      </c>
      <c r="AJ165" s="828">
        <v>16684</v>
      </c>
      <c r="AK165" s="828">
        <v>14783</v>
      </c>
      <c r="AL165" s="828">
        <v>14787</v>
      </c>
      <c r="AM165" s="828">
        <v>14732</v>
      </c>
      <c r="AN165" s="828">
        <v>12734</v>
      </c>
      <c r="AO165" s="828">
        <v>11740</v>
      </c>
      <c r="AP165" s="828">
        <v>11740</v>
      </c>
    </row>
    <row r="166" hidden="1">
      <c r="B166" s="829" t="s">
        <v>22</v>
      </c>
      <c r="C166" s="823">
        <v>0</v>
      </c>
      <c r="D166" s="823">
        <v>0</v>
      </c>
      <c r="E166" s="823">
        <v>0</v>
      </c>
      <c r="F166" s="823">
        <v>0</v>
      </c>
      <c r="G166" s="823">
        <v>0</v>
      </c>
      <c r="H166" s="823">
        <v>0</v>
      </c>
      <c r="I166" s="823">
        <v>0</v>
      </c>
      <c r="J166" s="823">
        <v>0</v>
      </c>
      <c r="K166" s="823">
        <v>12934</v>
      </c>
      <c r="L166" s="823">
        <v>10784</v>
      </c>
      <c r="M166" s="823">
        <v>12248</v>
      </c>
      <c r="N166" s="823">
        <v>12248</v>
      </c>
      <c r="O166" s="823">
        <v>13940</v>
      </c>
      <c r="P166" s="823">
        <v>24010</v>
      </c>
      <c r="Q166" s="823">
        <v>23705</v>
      </c>
      <c r="R166" s="823">
        <v>23560</v>
      </c>
      <c r="S166" s="823">
        <v>22077</v>
      </c>
      <c r="T166" s="823">
        <v>21727</v>
      </c>
      <c r="U166" s="823">
        <v>22279</v>
      </c>
      <c r="V166" s="823">
        <v>22079</v>
      </c>
      <c r="W166" s="823">
        <v>23128</v>
      </c>
      <c r="X166" s="823">
        <v>23129</v>
      </c>
      <c r="Y166" s="823">
        <v>20388</v>
      </c>
      <c r="Z166" s="823">
        <v>20408</v>
      </c>
      <c r="AA166" s="823">
        <v>22668</v>
      </c>
      <c r="AB166" s="823">
        <v>20118</v>
      </c>
      <c r="AC166" s="825">
        <v>19752</v>
      </c>
      <c r="AD166" s="825">
        <v>19752</v>
      </c>
      <c r="AE166" s="825">
        <v>19847</v>
      </c>
      <c r="AF166" s="825">
        <v>19297</v>
      </c>
      <c r="AG166" s="825">
        <v>19092</v>
      </c>
      <c r="AH166" s="825">
        <v>19092</v>
      </c>
      <c r="AI166" s="825">
        <v>17809</v>
      </c>
      <c r="AJ166" s="825">
        <v>17810</v>
      </c>
      <c r="AK166" s="825">
        <v>17155</v>
      </c>
      <c r="AL166" s="825">
        <v>16305</v>
      </c>
      <c r="AM166" s="825">
        <v>14182</v>
      </c>
      <c r="AN166" s="825">
        <v>12626</v>
      </c>
      <c r="AO166" s="825">
        <v>13606</v>
      </c>
      <c r="AP166" s="825">
        <v>13604</v>
      </c>
    </row>
    <row r="167" hidden="1">
      <c r="B167" s="826" t="s">
        <v>23</v>
      </c>
      <c r="C167" s="827">
        <v>11612</v>
      </c>
      <c r="D167" s="827">
        <v>11614</v>
      </c>
      <c r="E167" s="827">
        <v>11538</v>
      </c>
      <c r="F167" s="827">
        <v>11388</v>
      </c>
      <c r="G167" s="827">
        <v>11848</v>
      </c>
      <c r="H167" s="827">
        <v>11848</v>
      </c>
      <c r="I167" s="827">
        <v>11677</v>
      </c>
      <c r="J167" s="827">
        <v>11677</v>
      </c>
      <c r="K167" s="827">
        <v>10560</v>
      </c>
      <c r="L167" s="827">
        <v>10560</v>
      </c>
      <c r="M167" s="827">
        <v>10740</v>
      </c>
      <c r="N167" s="827">
        <v>10740</v>
      </c>
      <c r="O167" s="827">
        <v>10766</v>
      </c>
      <c r="P167" s="827">
        <v>10766</v>
      </c>
      <c r="Q167" s="827">
        <v>11106</v>
      </c>
      <c r="R167" s="827">
        <v>11108</v>
      </c>
      <c r="S167" s="827">
        <v>9583</v>
      </c>
      <c r="T167" s="827">
        <v>9583</v>
      </c>
      <c r="U167" s="827">
        <v>9817</v>
      </c>
      <c r="V167" s="827">
        <v>9513</v>
      </c>
      <c r="W167" s="827">
        <v>9435</v>
      </c>
      <c r="X167" s="827">
        <v>9435</v>
      </c>
      <c r="Y167" s="827">
        <v>8640</v>
      </c>
      <c r="Z167" s="827">
        <v>8640</v>
      </c>
      <c r="AA167" s="827">
        <v>7843</v>
      </c>
      <c r="AB167" s="827">
        <v>7843</v>
      </c>
      <c r="AC167" s="828">
        <v>8021</v>
      </c>
      <c r="AD167" s="828">
        <v>8021</v>
      </c>
      <c r="AE167" s="828">
        <v>8773</v>
      </c>
      <c r="AF167" s="828">
        <v>8773</v>
      </c>
      <c r="AG167" s="828">
        <v>7705</v>
      </c>
      <c r="AH167" s="828">
        <v>6905</v>
      </c>
      <c r="AI167" s="828">
        <v>7162</v>
      </c>
      <c r="AJ167" s="828">
        <v>7162</v>
      </c>
      <c r="AK167" s="828">
        <v>6405</v>
      </c>
      <c r="AL167" s="828">
        <v>5905</v>
      </c>
      <c r="AM167" s="828">
        <v>5098</v>
      </c>
      <c r="AN167" s="828">
        <v>5098</v>
      </c>
      <c r="AO167" s="828">
        <v>5126</v>
      </c>
      <c r="AP167" s="828">
        <v>5126</v>
      </c>
    </row>
    <row r="168" hidden="1">
      <c r="B168" s="830" t="s">
        <v>24</v>
      </c>
      <c r="C168" s="823">
        <v>147407</v>
      </c>
      <c r="D168" s="823">
        <v>148432</v>
      </c>
      <c r="E168" s="823">
        <v>153538</v>
      </c>
      <c r="F168" s="823">
        <v>151345</v>
      </c>
      <c r="G168" s="823">
        <v>138423</v>
      </c>
      <c r="H168" s="823">
        <v>127844</v>
      </c>
      <c r="I168" s="823">
        <v>126334</v>
      </c>
      <c r="J168" s="823">
        <v>123984</v>
      </c>
      <c r="K168" s="823">
        <v>120166</v>
      </c>
      <c r="L168" s="823">
        <v>119490</v>
      </c>
      <c r="M168" s="823">
        <v>117523</v>
      </c>
      <c r="N168" s="823">
        <v>119092</v>
      </c>
      <c r="O168" s="823">
        <v>119904</v>
      </c>
      <c r="P168" s="823">
        <v>122094</v>
      </c>
      <c r="Q168" s="823">
        <v>122931</v>
      </c>
      <c r="R168" s="823">
        <v>117684</v>
      </c>
      <c r="S168" s="823">
        <v>110764</v>
      </c>
      <c r="T168" s="823">
        <v>110669</v>
      </c>
      <c r="U168" s="823">
        <v>112665</v>
      </c>
      <c r="V168" s="823">
        <v>110563</v>
      </c>
      <c r="W168" s="823">
        <v>105026</v>
      </c>
      <c r="X168" s="823">
        <v>103962</v>
      </c>
      <c r="Y168" s="823">
        <v>102106</v>
      </c>
      <c r="Z168" s="823">
        <v>99304</v>
      </c>
      <c r="AA168" s="823">
        <v>98651</v>
      </c>
      <c r="AB168" s="823">
        <v>95046</v>
      </c>
      <c r="AC168" s="825">
        <v>94781</v>
      </c>
      <c r="AD168" s="825">
        <v>92746</v>
      </c>
      <c r="AE168" s="825">
        <v>90291</v>
      </c>
      <c r="AF168" s="825">
        <v>91400</v>
      </c>
      <c r="AG168" s="825">
        <v>90417</v>
      </c>
      <c r="AH168" s="825">
        <v>86053</v>
      </c>
      <c r="AI168" s="825">
        <v>78230</v>
      </c>
      <c r="AJ168" s="825">
        <v>74410</v>
      </c>
      <c r="AK168" s="825">
        <v>71587</v>
      </c>
      <c r="AL168" s="825">
        <v>70636</v>
      </c>
      <c r="AM168" s="825">
        <v>68272</v>
      </c>
      <c r="AN168" s="825">
        <v>65472</v>
      </c>
      <c r="AO168" s="825">
        <v>64444</v>
      </c>
      <c r="AP168" s="825">
        <v>64440</v>
      </c>
    </row>
    <row r="169" hidden="1">
      <c r="B169" s="826" t="s">
        <v>25</v>
      </c>
      <c r="C169" s="827">
        <v>0</v>
      </c>
      <c r="D169" s="827">
        <v>0</v>
      </c>
      <c r="E169" s="827">
        <v>0</v>
      </c>
      <c r="F169" s="827">
        <v>0</v>
      </c>
      <c r="G169" s="827">
        <v>0</v>
      </c>
      <c r="H169" s="827">
        <v>0</v>
      </c>
      <c r="I169" s="827">
        <v>0</v>
      </c>
      <c r="J169" s="827">
        <v>0</v>
      </c>
      <c r="K169" s="827">
        <v>0</v>
      </c>
      <c r="L169" s="827">
        <v>0</v>
      </c>
      <c r="M169" s="827">
        <v>0</v>
      </c>
      <c r="N169" s="827">
        <v>0</v>
      </c>
      <c r="O169" s="827">
        <v>0</v>
      </c>
      <c r="P169" s="827">
        <v>0</v>
      </c>
      <c r="Q169" s="827">
        <v>0</v>
      </c>
      <c r="R169" s="827">
        <v>0</v>
      </c>
      <c r="S169" s="827">
        <v>0</v>
      </c>
      <c r="T169" s="827">
        <v>0</v>
      </c>
      <c r="U169" s="827">
        <v>0</v>
      </c>
      <c r="V169" s="827">
        <v>0</v>
      </c>
      <c r="W169" s="827">
        <v>0</v>
      </c>
      <c r="X169" s="827">
        <v>0</v>
      </c>
      <c r="Y169" s="827">
        <v>0</v>
      </c>
      <c r="Z169" s="827">
        <v>0</v>
      </c>
      <c r="AA169" s="827">
        <v>0</v>
      </c>
      <c r="AB169" s="827">
        <v>0</v>
      </c>
      <c r="AC169" s="828">
        <v>0</v>
      </c>
      <c r="AD169" s="828">
        <v>0</v>
      </c>
      <c r="AE169" s="828">
        <v>0</v>
      </c>
      <c r="AF169" s="828">
        <v>0</v>
      </c>
      <c r="AG169" s="828">
        <v>0</v>
      </c>
      <c r="AH169" s="828">
        <v>0</v>
      </c>
      <c r="AI169" s="828">
        <v>0</v>
      </c>
      <c r="AJ169" s="828">
        <v>0</v>
      </c>
      <c r="AK169" s="828">
        <v>0</v>
      </c>
      <c r="AL169" s="828">
        <v>0</v>
      </c>
      <c r="AM169" s="828">
        <v>0</v>
      </c>
      <c r="AN169" s="828">
        <v>0</v>
      </c>
      <c r="AO169" s="828">
        <v>0</v>
      </c>
      <c r="AP169" s="828">
        <v>0</v>
      </c>
    </row>
    <row r="170" hidden="1" ht="13.5">
      <c r="B170" s="831" t="s">
        <v>26</v>
      </c>
      <c r="C170" s="823">
        <v>0</v>
      </c>
      <c r="D170" s="823">
        <v>0</v>
      </c>
      <c r="E170" s="823">
        <v>0</v>
      </c>
      <c r="F170" s="823">
        <v>0</v>
      </c>
      <c r="G170" s="823">
        <v>0</v>
      </c>
      <c r="H170" s="823">
        <v>0</v>
      </c>
      <c r="I170" s="823">
        <v>0</v>
      </c>
      <c r="J170" s="823">
        <v>0</v>
      </c>
      <c r="K170" s="823">
        <v>0</v>
      </c>
      <c r="L170" s="823">
        <v>0</v>
      </c>
      <c r="M170" s="823">
        <v>0</v>
      </c>
      <c r="N170" s="823">
        <v>0</v>
      </c>
      <c r="O170" s="823">
        <v>0</v>
      </c>
      <c r="P170" s="823">
        <v>0</v>
      </c>
      <c r="Q170" s="823">
        <v>0</v>
      </c>
      <c r="R170" s="823">
        <v>0</v>
      </c>
      <c r="S170" s="823">
        <v>0</v>
      </c>
      <c r="T170" s="823">
        <v>0</v>
      </c>
      <c r="U170" s="823">
        <v>0</v>
      </c>
      <c r="V170" s="823">
        <v>0</v>
      </c>
      <c r="W170" s="823">
        <v>0</v>
      </c>
      <c r="X170" s="823">
        <v>0</v>
      </c>
      <c r="Y170" s="823">
        <v>0</v>
      </c>
      <c r="Z170" s="823">
        <v>0</v>
      </c>
      <c r="AA170" s="823">
        <v>0</v>
      </c>
      <c r="AB170" s="832">
        <v>0</v>
      </c>
      <c r="AC170" s="825">
        <v>0</v>
      </c>
      <c r="AD170" s="825">
        <v>0</v>
      </c>
      <c r="AE170" s="825">
        <v>0</v>
      </c>
      <c r="AF170" s="825">
        <v>0</v>
      </c>
      <c r="AG170" s="825">
        <v>0</v>
      </c>
      <c r="AH170" s="825">
        <v>0</v>
      </c>
      <c r="AI170" s="825">
        <v>0</v>
      </c>
      <c r="AJ170" s="825">
        <v>0</v>
      </c>
      <c r="AK170" s="825">
        <v>0</v>
      </c>
      <c r="AL170" s="825">
        <v>0</v>
      </c>
      <c r="AM170" s="825">
        <v>0</v>
      </c>
      <c r="AN170" s="825">
        <v>0</v>
      </c>
      <c r="AO170" s="825">
        <v>0</v>
      </c>
      <c r="AP170" s="825">
        <v>0</v>
      </c>
    </row>
    <row r="171" hidden="1" ht="13.5">
      <c r="B171" s="128" t="s">
        <v>7</v>
      </c>
      <c r="C171" s="129" t="str">
        <f>IF(SUM(C152:C170)&lt;&gt;0,SUM(C152:C170),"")</f>
      </c>
      <c r="D171" s="129" t="str">
        <f ref="D171:AA171" t="shared" si="10">IF(SUM(D152:D170)&lt;&gt;0,SUM(D152:D170),"")</f>
      </c>
      <c r="E171" s="129" t="str">
        <f t="shared" si="10"/>
      </c>
      <c r="F171" s="129" t="str">
        <f t="shared" si="10"/>
      </c>
      <c r="G171" s="129" t="str">
        <f t="shared" si="10"/>
      </c>
      <c r="H171" s="129" t="str">
        <f t="shared" si="10"/>
      </c>
      <c r="I171" s="129" t="str">
        <f t="shared" si="10"/>
      </c>
      <c r="J171" s="129" t="str">
        <f t="shared" si="10"/>
      </c>
      <c r="K171" s="129" t="str">
        <f t="shared" si="10"/>
      </c>
      <c r="L171" s="129" t="str">
        <f t="shared" si="10"/>
      </c>
      <c r="M171" s="129" t="str">
        <f t="shared" si="10"/>
      </c>
      <c r="N171" s="129" t="str">
        <f t="shared" si="10"/>
      </c>
      <c r="O171" s="129" t="str">
        <f t="shared" si="10"/>
      </c>
      <c r="P171" s="129" t="str">
        <f t="shared" si="10"/>
      </c>
      <c r="Q171" s="129" t="str">
        <f t="shared" si="10"/>
      </c>
      <c r="R171" s="129" t="str">
        <f t="shared" si="10"/>
      </c>
      <c r="S171" s="129" t="str">
        <f t="shared" si="10"/>
      </c>
      <c r="T171" s="129" t="str">
        <f t="shared" si="10"/>
      </c>
      <c r="U171" s="129" t="str">
        <f t="shared" si="10"/>
      </c>
      <c r="V171" s="129" t="str">
        <f t="shared" si="10"/>
      </c>
      <c r="W171" s="129" t="str">
        <f t="shared" si="10"/>
      </c>
      <c r="X171" s="129" t="str">
        <f t="shared" si="10"/>
      </c>
      <c r="Y171" s="129" t="str">
        <f t="shared" si="10"/>
      </c>
      <c r="Z171" s="129" t="str">
        <f t="shared" si="10"/>
      </c>
      <c r="AA171" s="129" t="str">
        <f t="shared" si="10"/>
      </c>
      <c r="AB171" s="130" t="str">
        <f>IF(SUM(AB152:AB170)&lt;&gt;0,SUM(AB152:AB170),"")</f>
      </c>
      <c r="AC171" s="91" t="str">
        <f ref="AC171:CN171" t="shared" si="11">IF(SUM(AC152:AC170)&lt;&gt;0,SUM(AC152:AC170),"")</f>
      </c>
      <c r="AD171" s="91" t="str">
        <f t="shared" si="11"/>
      </c>
      <c r="AE171" s="91" t="str">
        <f t="shared" si="11"/>
      </c>
      <c r="AF171" s="91" t="str">
        <f t="shared" si="11"/>
      </c>
      <c r="AG171" s="91" t="str">
        <f t="shared" si="11"/>
      </c>
      <c r="AH171" s="91" t="str">
        <f t="shared" si="11"/>
      </c>
      <c r="AI171" s="91" t="str">
        <f t="shared" si="11"/>
      </c>
      <c r="AJ171" s="91" t="str">
        <f t="shared" si="11"/>
      </c>
      <c r="AK171" s="91" t="str">
        <f t="shared" si="11"/>
      </c>
      <c r="AL171" s="91" t="str">
        <f t="shared" si="11"/>
      </c>
      <c r="AM171" s="91" t="str">
        <f t="shared" si="11"/>
      </c>
      <c r="AN171" s="91" t="str">
        <f t="shared" si="11"/>
      </c>
      <c r="AO171" s="91" t="str">
        <f t="shared" si="11"/>
      </c>
      <c r="AP171" s="91" t="str">
        <f t="shared" si="11"/>
      </c>
      <c r="AQ171" s="91" t="str">
        <f t="shared" si="11"/>
      </c>
      <c r="AR171" s="91" t="str">
        <f t="shared" si="11"/>
      </c>
      <c r="AS171" s="91" t="str">
        <f t="shared" si="11"/>
      </c>
      <c r="AT171" s="91" t="str">
        <f t="shared" si="11"/>
      </c>
      <c r="AU171" s="91" t="str">
        <f t="shared" si="11"/>
      </c>
      <c r="AV171" s="91" t="str">
        <f t="shared" si="11"/>
      </c>
      <c r="AW171" s="91" t="str">
        <f t="shared" si="11"/>
      </c>
      <c r="AX171" s="91" t="str">
        <f t="shared" si="11"/>
      </c>
      <c r="AY171" s="91" t="str">
        <f t="shared" si="11"/>
      </c>
      <c r="AZ171" s="91" t="str">
        <f t="shared" si="11"/>
      </c>
      <c r="BA171" s="91" t="str">
        <f t="shared" si="11"/>
      </c>
      <c r="BB171" s="91" t="str">
        <f t="shared" si="11"/>
      </c>
      <c r="BC171" s="91" t="str">
        <f t="shared" si="11"/>
      </c>
      <c r="BD171" s="91" t="str">
        <f t="shared" si="11"/>
      </c>
      <c r="BE171" s="91" t="str">
        <f t="shared" si="11"/>
      </c>
      <c r="BF171" s="91" t="str">
        <f t="shared" si="11"/>
      </c>
      <c r="BG171" s="91" t="str">
        <f t="shared" si="11"/>
      </c>
      <c r="BH171" s="91" t="str">
        <f t="shared" si="11"/>
      </c>
      <c r="BI171" s="91" t="str">
        <f t="shared" si="11"/>
      </c>
      <c r="BJ171" s="91" t="str">
        <f t="shared" si="11"/>
      </c>
      <c r="BK171" s="91" t="str">
        <f t="shared" si="11"/>
      </c>
      <c r="BL171" s="91" t="str">
        <f t="shared" si="11"/>
      </c>
      <c r="BM171" s="91" t="str">
        <f t="shared" si="11"/>
      </c>
      <c r="BN171" s="91" t="str">
        <f t="shared" si="11"/>
      </c>
      <c r="BO171" s="91" t="str">
        <f t="shared" si="11"/>
      </c>
      <c r="BP171" s="91" t="str">
        <f t="shared" si="11"/>
      </c>
      <c r="BQ171" s="91" t="str">
        <f t="shared" si="11"/>
      </c>
      <c r="BR171" s="91" t="str">
        <f t="shared" si="11"/>
      </c>
      <c r="BS171" s="91" t="str">
        <f t="shared" si="11"/>
      </c>
      <c r="BT171" s="91" t="str">
        <f t="shared" si="11"/>
      </c>
      <c r="BU171" s="91" t="str">
        <f t="shared" si="11"/>
      </c>
      <c r="BV171" s="91" t="str">
        <f t="shared" si="11"/>
      </c>
      <c r="BW171" s="91" t="str">
        <f t="shared" si="11"/>
      </c>
      <c r="BX171" s="91" t="str">
        <f t="shared" si="11"/>
      </c>
      <c r="BY171" s="91" t="str">
        <f t="shared" si="11"/>
      </c>
      <c r="BZ171" s="91" t="str">
        <f t="shared" si="11"/>
      </c>
      <c r="CA171" s="91" t="str">
        <f t="shared" si="11"/>
      </c>
      <c r="CB171" s="91" t="str">
        <f t="shared" si="11"/>
      </c>
      <c r="CC171" s="91" t="str">
        <f t="shared" si="11"/>
      </c>
      <c r="CD171" s="91" t="str">
        <f t="shared" si="11"/>
      </c>
      <c r="CE171" s="91" t="str">
        <f t="shared" si="11"/>
      </c>
      <c r="CF171" s="91" t="str">
        <f t="shared" si="11"/>
      </c>
      <c r="CG171" s="91" t="str">
        <f t="shared" si="11"/>
      </c>
      <c r="CH171" s="91" t="str">
        <f t="shared" si="11"/>
      </c>
      <c r="CI171" s="91" t="str">
        <f t="shared" si="11"/>
      </c>
      <c r="CJ171" s="91" t="str">
        <f t="shared" si="11"/>
      </c>
      <c r="CK171" s="91" t="str">
        <f t="shared" si="11"/>
      </c>
      <c r="CL171" s="91" t="str">
        <f t="shared" si="11"/>
      </c>
      <c r="CM171" s="91" t="str">
        <f t="shared" si="11"/>
      </c>
      <c r="CN171" s="91" t="str">
        <f t="shared" si="11"/>
      </c>
      <c r="CO171" s="91" t="str">
        <f ref="CO171:EZ171" t="shared" si="12">IF(SUM(CO152:CO170)&lt;&gt;0,SUM(CO152:CO170),"")</f>
      </c>
      <c r="CP171" s="91" t="str">
        <f t="shared" si="12"/>
      </c>
      <c r="CQ171" s="91" t="str">
        <f t="shared" si="12"/>
      </c>
      <c r="CR171" s="91" t="str">
        <f t="shared" si="12"/>
      </c>
      <c r="CS171" s="91" t="str">
        <f t="shared" si="12"/>
      </c>
      <c r="CT171" s="91" t="str">
        <f t="shared" si="12"/>
      </c>
      <c r="CU171" s="91" t="str">
        <f t="shared" si="12"/>
      </c>
      <c r="CV171" s="91" t="str">
        <f t="shared" si="12"/>
      </c>
      <c r="CW171" s="91" t="str">
        <f t="shared" si="12"/>
      </c>
      <c r="CX171" s="91" t="str">
        <f t="shared" si="12"/>
      </c>
      <c r="CY171" s="91" t="str">
        <f t="shared" si="12"/>
      </c>
      <c r="CZ171" s="91" t="str">
        <f t="shared" si="12"/>
      </c>
      <c r="DA171" s="91" t="str">
        <f t="shared" si="12"/>
      </c>
      <c r="DB171" s="91" t="str">
        <f t="shared" si="12"/>
      </c>
      <c r="DC171" s="91" t="str">
        <f t="shared" si="12"/>
      </c>
      <c r="DD171" s="91" t="str">
        <f t="shared" si="12"/>
      </c>
      <c r="DE171" s="91" t="str">
        <f t="shared" si="12"/>
      </c>
      <c r="DF171" s="91" t="str">
        <f t="shared" si="12"/>
      </c>
      <c r="DG171" s="91" t="str">
        <f t="shared" si="12"/>
      </c>
      <c r="DH171" s="91" t="str">
        <f t="shared" si="12"/>
      </c>
      <c r="DI171" s="91" t="str">
        <f t="shared" si="12"/>
      </c>
      <c r="DJ171" s="91" t="str">
        <f t="shared" si="12"/>
      </c>
      <c r="DK171" s="91" t="str">
        <f t="shared" si="12"/>
      </c>
      <c r="DL171" s="91" t="str">
        <f t="shared" si="12"/>
      </c>
      <c r="DM171" s="91" t="str">
        <f t="shared" si="12"/>
      </c>
      <c r="DN171" s="91" t="str">
        <f t="shared" si="12"/>
      </c>
      <c r="DO171" s="91" t="str">
        <f t="shared" si="12"/>
      </c>
      <c r="DP171" s="91" t="str">
        <f t="shared" si="12"/>
      </c>
      <c r="DQ171" s="91" t="str">
        <f t="shared" si="12"/>
      </c>
      <c r="DR171" s="91" t="str">
        <f t="shared" si="12"/>
      </c>
      <c r="DS171" s="91" t="str">
        <f t="shared" si="12"/>
      </c>
      <c r="DT171" s="91" t="str">
        <f t="shared" si="12"/>
      </c>
      <c r="DU171" s="91" t="str">
        <f t="shared" si="12"/>
      </c>
      <c r="DV171" s="91" t="str">
        <f t="shared" si="12"/>
      </c>
      <c r="DW171" s="91" t="str">
        <f t="shared" si="12"/>
      </c>
      <c r="DX171" s="91" t="str">
        <f t="shared" si="12"/>
      </c>
      <c r="DY171" s="91" t="str">
        <f t="shared" si="12"/>
      </c>
      <c r="DZ171" s="91" t="str">
        <f t="shared" si="12"/>
      </c>
      <c r="EA171" s="91" t="str">
        <f t="shared" si="12"/>
      </c>
      <c r="EB171" s="91" t="str">
        <f t="shared" si="12"/>
      </c>
      <c r="EC171" s="91" t="str">
        <f t="shared" si="12"/>
      </c>
      <c r="ED171" s="91" t="str">
        <f t="shared" si="12"/>
      </c>
      <c r="EE171" s="91" t="str">
        <f t="shared" si="12"/>
      </c>
      <c r="EF171" s="91" t="str">
        <f t="shared" si="12"/>
      </c>
      <c r="EG171" s="91" t="str">
        <f t="shared" si="12"/>
      </c>
      <c r="EH171" s="91" t="str">
        <f t="shared" si="12"/>
      </c>
      <c r="EI171" s="91" t="str">
        <f t="shared" si="12"/>
      </c>
      <c r="EJ171" s="91" t="str">
        <f t="shared" si="12"/>
      </c>
      <c r="EK171" s="91" t="str">
        <f t="shared" si="12"/>
      </c>
      <c r="EL171" s="91" t="str">
        <f t="shared" si="12"/>
      </c>
      <c r="EM171" s="91" t="str">
        <f t="shared" si="12"/>
      </c>
      <c r="EN171" s="91" t="str">
        <f t="shared" si="12"/>
      </c>
      <c r="EO171" s="91" t="str">
        <f t="shared" si="12"/>
      </c>
      <c r="EP171" s="91" t="str">
        <f t="shared" si="12"/>
      </c>
      <c r="EQ171" s="91" t="str">
        <f t="shared" si="12"/>
      </c>
      <c r="ER171" s="91" t="str">
        <f t="shared" si="12"/>
      </c>
      <c r="ES171" s="91" t="str">
        <f t="shared" si="12"/>
      </c>
      <c r="ET171" s="91" t="str">
        <f t="shared" si="12"/>
      </c>
      <c r="EU171" s="91" t="str">
        <f t="shared" si="12"/>
      </c>
      <c r="EV171" s="91" t="str">
        <f t="shared" si="12"/>
      </c>
      <c r="EW171" s="91" t="str">
        <f t="shared" si="12"/>
      </c>
      <c r="EX171" s="91" t="str">
        <f t="shared" si="12"/>
      </c>
      <c r="EY171" s="91" t="str">
        <f t="shared" si="12"/>
      </c>
      <c r="EZ171" s="91" t="str">
        <f t="shared" si="12"/>
      </c>
      <c r="FA171" s="91" t="str">
        <f ref="FA171:HL171" t="shared" si="13">IF(SUM(FA152:FA170)&lt;&gt;0,SUM(FA152:FA170),"")</f>
      </c>
      <c r="FB171" s="91" t="str">
        <f t="shared" si="13"/>
      </c>
      <c r="FC171" s="91" t="str">
        <f t="shared" si="13"/>
      </c>
      <c r="FD171" s="91" t="str">
        <f t="shared" si="13"/>
      </c>
      <c r="FE171" s="91" t="str">
        <f t="shared" si="13"/>
      </c>
      <c r="FF171" s="91" t="str">
        <f t="shared" si="13"/>
      </c>
      <c r="FG171" s="91" t="str">
        <f t="shared" si="13"/>
      </c>
      <c r="FH171" s="91" t="str">
        <f t="shared" si="13"/>
      </c>
      <c r="FI171" s="91" t="str">
        <f t="shared" si="13"/>
      </c>
      <c r="FJ171" s="91" t="str">
        <f t="shared" si="13"/>
      </c>
      <c r="FK171" s="91" t="str">
        <f t="shared" si="13"/>
      </c>
      <c r="FL171" s="91" t="str">
        <f t="shared" si="13"/>
      </c>
      <c r="FM171" s="91" t="str">
        <f t="shared" si="13"/>
      </c>
      <c r="FN171" s="91" t="str">
        <f t="shared" si="13"/>
      </c>
      <c r="FO171" s="91" t="str">
        <f t="shared" si="13"/>
      </c>
      <c r="FP171" s="91" t="str">
        <f t="shared" si="13"/>
      </c>
      <c r="FQ171" s="91" t="str">
        <f t="shared" si="13"/>
      </c>
      <c r="FR171" s="91" t="str">
        <f t="shared" si="13"/>
      </c>
      <c r="FS171" s="91" t="str">
        <f t="shared" si="13"/>
      </c>
      <c r="FT171" s="91" t="str">
        <f t="shared" si="13"/>
      </c>
      <c r="FU171" s="91" t="str">
        <f t="shared" si="13"/>
      </c>
      <c r="FV171" s="91" t="str">
        <f t="shared" si="13"/>
      </c>
      <c r="FW171" s="91" t="str">
        <f t="shared" si="13"/>
      </c>
      <c r="FX171" s="91" t="str">
        <f t="shared" si="13"/>
      </c>
      <c r="FY171" s="91" t="str">
        <f t="shared" si="13"/>
      </c>
      <c r="FZ171" s="91" t="str">
        <f t="shared" si="13"/>
      </c>
      <c r="GA171" s="91" t="str">
        <f t="shared" si="13"/>
      </c>
      <c r="GB171" s="91" t="str">
        <f t="shared" si="13"/>
      </c>
      <c r="GC171" s="91" t="str">
        <f t="shared" si="13"/>
      </c>
      <c r="GD171" s="91" t="str">
        <f t="shared" si="13"/>
      </c>
      <c r="GE171" s="91" t="str">
        <f t="shared" si="13"/>
      </c>
      <c r="GF171" s="91" t="str">
        <f t="shared" si="13"/>
      </c>
      <c r="GG171" s="91" t="str">
        <f t="shared" si="13"/>
      </c>
      <c r="GH171" s="91" t="str">
        <f t="shared" si="13"/>
      </c>
      <c r="GI171" s="91" t="str">
        <f t="shared" si="13"/>
      </c>
      <c r="GJ171" s="91" t="str">
        <f t="shared" si="13"/>
      </c>
      <c r="GK171" s="91" t="str">
        <f t="shared" si="13"/>
      </c>
      <c r="GL171" s="91" t="str">
        <f t="shared" si="13"/>
      </c>
      <c r="GM171" s="91" t="str">
        <f t="shared" si="13"/>
      </c>
      <c r="GN171" s="91" t="str">
        <f t="shared" si="13"/>
      </c>
      <c r="GO171" s="91" t="str">
        <f t="shared" si="13"/>
      </c>
      <c r="GP171" s="91" t="str">
        <f t="shared" si="13"/>
      </c>
      <c r="GQ171" s="91" t="str">
        <f t="shared" si="13"/>
      </c>
      <c r="GR171" s="91" t="str">
        <f t="shared" si="13"/>
      </c>
      <c r="GS171" s="91" t="str">
        <f t="shared" si="13"/>
      </c>
      <c r="GT171" s="91" t="str">
        <f t="shared" si="13"/>
      </c>
      <c r="GU171" s="91" t="str">
        <f t="shared" si="13"/>
      </c>
      <c r="GV171" s="91" t="str">
        <f t="shared" si="13"/>
      </c>
      <c r="GW171" s="91" t="str">
        <f t="shared" si="13"/>
      </c>
      <c r="GX171" s="91" t="str">
        <f t="shared" si="13"/>
      </c>
      <c r="GY171" s="91" t="str">
        <f t="shared" si="13"/>
      </c>
      <c r="GZ171" s="91" t="str">
        <f t="shared" si="13"/>
      </c>
      <c r="HA171" s="91" t="str">
        <f t="shared" si="13"/>
      </c>
      <c r="HB171" s="91" t="str">
        <f t="shared" si="13"/>
      </c>
      <c r="HC171" s="91" t="str">
        <f t="shared" si="13"/>
      </c>
      <c r="HD171" s="91" t="str">
        <f t="shared" si="13"/>
      </c>
      <c r="HE171" s="91" t="str">
        <f t="shared" si="13"/>
      </c>
      <c r="HF171" s="91" t="str">
        <f t="shared" si="13"/>
      </c>
      <c r="HG171" s="91" t="str">
        <f t="shared" si="13"/>
      </c>
      <c r="HH171" s="91" t="str">
        <f t="shared" si="13"/>
      </c>
      <c r="HI171" s="91" t="str">
        <f t="shared" si="13"/>
      </c>
      <c r="HJ171" s="91" t="str">
        <f t="shared" si="13"/>
      </c>
      <c r="HK171" s="91" t="str">
        <f t="shared" si="13"/>
      </c>
      <c r="HL171" s="91" t="str">
        <f t="shared" si="13"/>
      </c>
      <c r="HM171" s="91" t="str">
        <f ref="HM171:IV171" t="shared" si="14">IF(SUM(HM152:HM170)&lt;&gt;0,SUM(HM152:HM170),"")</f>
      </c>
      <c r="HN171" s="91" t="str">
        <f t="shared" si="14"/>
      </c>
      <c r="HO171" s="91" t="str">
        <f t="shared" si="14"/>
      </c>
      <c r="HP171" s="91" t="str">
        <f t="shared" si="14"/>
      </c>
      <c r="HQ171" s="91" t="str">
        <f t="shared" si="14"/>
      </c>
      <c r="HR171" s="91" t="str">
        <f t="shared" si="14"/>
      </c>
      <c r="HS171" s="91" t="str">
        <f t="shared" si="14"/>
      </c>
      <c r="HT171" s="91" t="str">
        <f t="shared" si="14"/>
      </c>
      <c r="HU171" s="91" t="str">
        <f t="shared" si="14"/>
      </c>
      <c r="HV171" s="91" t="str">
        <f t="shared" si="14"/>
      </c>
      <c r="HW171" s="91" t="str">
        <f t="shared" si="14"/>
      </c>
      <c r="HX171" s="91" t="str">
        <f t="shared" si="14"/>
      </c>
      <c r="HY171" s="91" t="str">
        <f t="shared" si="14"/>
      </c>
      <c r="HZ171" s="91" t="str">
        <f t="shared" si="14"/>
      </c>
      <c r="IA171" s="91" t="str">
        <f t="shared" si="14"/>
      </c>
      <c r="IB171" s="91" t="str">
        <f t="shared" si="14"/>
      </c>
      <c r="IC171" s="91" t="str">
        <f t="shared" si="14"/>
      </c>
      <c r="ID171" s="91" t="str">
        <f t="shared" si="14"/>
      </c>
      <c r="IE171" s="91" t="str">
        <f t="shared" si="14"/>
      </c>
      <c r="IF171" s="91" t="str">
        <f t="shared" si="14"/>
      </c>
      <c r="IG171" s="91" t="str">
        <f t="shared" si="14"/>
      </c>
      <c r="IH171" s="91" t="str">
        <f t="shared" si="14"/>
      </c>
      <c r="II171" s="91" t="str">
        <f t="shared" si="14"/>
      </c>
      <c r="IJ171" s="91" t="str">
        <f t="shared" si="14"/>
      </c>
      <c r="IK171" s="91" t="str">
        <f t="shared" si="14"/>
      </c>
      <c r="IL171" s="91" t="str">
        <f t="shared" si="14"/>
      </c>
      <c r="IM171" s="91" t="str">
        <f t="shared" si="14"/>
      </c>
      <c r="IN171" s="91" t="str">
        <f t="shared" si="14"/>
      </c>
      <c r="IO171" s="91" t="str">
        <f t="shared" si="14"/>
      </c>
      <c r="IP171" s="91" t="str">
        <f t="shared" si="14"/>
      </c>
      <c r="IQ171" s="91" t="str">
        <f t="shared" si="14"/>
      </c>
      <c r="IR171" s="91" t="str">
        <f t="shared" si="14"/>
      </c>
      <c r="IS171" s="91" t="str">
        <f t="shared" si="14"/>
      </c>
      <c r="IT171" s="91" t="str">
        <f t="shared" si="14"/>
      </c>
      <c r="IU171" s="91" t="str">
        <f t="shared" si="14"/>
      </c>
      <c r="IV171" s="91" t="str">
        <f t="shared" si="14"/>
      </c>
    </row>
    <row r="172" hidden="1" ht="13.5"/>
    <row r="173" hidden="1" ht="15" customHeight="1">
      <c r="C173" s="686" t="s">
        <v>238</v>
      </c>
      <c r="D173" s="687"/>
      <c r="E173" s="687"/>
      <c r="F173" s="687"/>
      <c r="G173" s="687"/>
      <c r="H173" s="687"/>
      <c r="I173" s="687"/>
      <c r="J173" s="687"/>
      <c r="K173" s="687"/>
      <c r="L173" s="687"/>
      <c r="M173" s="687"/>
      <c r="N173" s="687"/>
      <c r="O173" s="687"/>
      <c r="P173" s="687"/>
      <c r="Q173" s="687"/>
      <c r="R173" s="687"/>
      <c r="S173" s="687"/>
      <c r="T173" s="687"/>
      <c r="U173" s="687"/>
      <c r="V173" s="687"/>
      <c r="W173" s="687"/>
      <c r="X173" s="687"/>
      <c r="Y173" s="687"/>
      <c r="Z173" s="687"/>
      <c r="AA173" s="687"/>
      <c r="AB173" s="688"/>
    </row>
    <row r="174" hidden="1" ht="15" customHeight="1">
      <c r="C174" s="435" t="str">
        <f> IF(C194&lt;&gt;"",TEXT(AUX!G$1,"dd-MMM-aa"),"")</f>
      </c>
      <c r="D174" s="435" t="str">
        <f> IF(D194&lt;&gt;"",TEXT(AUX!H$1,"dd-MMM-aa"),"")</f>
      </c>
      <c r="E174" s="435" t="str">
        <f> IF(E194&lt;&gt;"",TEXT(AUX!I$1,"dd-MMM-aa"),"")</f>
      </c>
      <c r="F174" s="435" t="str">
        <f> IF(F194&lt;&gt;"",TEXT(AUX!J$1,"dd-MMM-aa"),"")</f>
      </c>
      <c r="G174" s="435" t="str">
        <f> IF(G194&lt;&gt;"",TEXT(AUX!K$1,"dd-MMM-aa"),"")</f>
      </c>
      <c r="H174" s="435" t="str">
        <f> IF(H194&lt;&gt;"",TEXT(AUX!L$1,"dd-MMM-aa"),"")</f>
      </c>
      <c r="I174" s="435" t="str">
        <f> IF(I194&lt;&gt;"",TEXT(AUX!M$1,"dd-MMM-aa"),"")</f>
      </c>
      <c r="J174" s="435" t="str">
        <f> IF(J194&lt;&gt;"",TEXT(AUX!N$1,"dd-MMM-aa"),"")</f>
      </c>
      <c r="K174" s="435" t="str">
        <f> IF(K194&lt;&gt;"",TEXT(AUX!O$1,"dd-MMM-aa"),"")</f>
      </c>
      <c r="L174" s="435" t="str">
        <f> IF(L194&lt;&gt;"",TEXT(AUX!P$1,"dd-MMM-aa"),"")</f>
      </c>
      <c r="M174" s="435" t="str">
        <f> IF(M194&lt;&gt;"",TEXT(AUX!Q$1,"dd-MMM-aa"),"")</f>
      </c>
      <c r="N174" s="435" t="str">
        <f> IF(N194&lt;&gt;"",TEXT(AUX!R$1,"dd-MMM-aa"),"")</f>
      </c>
      <c r="O174" s="435" t="str">
        <f> IF(O194&lt;&gt;"",TEXT(AUX!S$1,"dd-MMM-aa"),"")</f>
      </c>
      <c r="P174" s="435" t="str">
        <f> IF(P194&lt;&gt;"",TEXT(AUX!T$1,"dd-MMM-aa"),"")</f>
      </c>
      <c r="Q174" s="435" t="str">
        <f> IF(Q194&lt;&gt;"",TEXT(AUX!U$1,"dd-MMM-aa"),"")</f>
      </c>
      <c r="R174" s="435" t="str">
        <f> IF(R194&lt;&gt;"",TEXT(AUX!V$1,"dd-MMM-aa"),"")</f>
      </c>
      <c r="S174" s="435" t="str">
        <f> IF(S194&lt;&gt;"",TEXT(AUX!W$1,"dd-MMM-aa"),"")</f>
      </c>
      <c r="T174" s="435" t="str">
        <f> IF(T194&lt;&gt;"",TEXT(AUX!X$1,"dd-MMM-aa"),"")</f>
      </c>
      <c r="U174" s="435" t="str">
        <f> IF(U194&lt;&gt;"",TEXT(AUX!Y$1,"dd-MMM-aa"),"")</f>
      </c>
      <c r="V174" s="435" t="str">
        <f> IF(V194&lt;&gt;"",TEXT(AUX!Z$1,"dd-MMM-aa"),"")</f>
      </c>
      <c r="W174" s="435" t="str">
        <f> IF(W194&lt;&gt;"",TEXT(AUX!AA$1,"dd-MMM-aa"),"")</f>
      </c>
      <c r="X174" s="435" t="str">
        <f> IF(X194&lt;&gt;"",TEXT(AUX!AB$1,"dd-MMM-aa"),"")</f>
      </c>
      <c r="Y174" s="435" t="str">
        <f> IF(Y194&lt;&gt;"",TEXT(AUX!AC$1,"dd-MMM-aa"),"")</f>
      </c>
      <c r="Z174" s="435" t="str">
        <f> IF(Z194&lt;&gt;"",TEXT(AUX!AD$1,"dd-MMM-aa"),"")</f>
      </c>
      <c r="AA174" s="435" t="str">
        <f> IF(AA194&lt;&gt;"",TEXT(AUX!AE$1,"dd-MMM-aa"),"")</f>
      </c>
      <c r="AB174" s="497" t="str">
        <f> IF(AB194&lt;&gt;"",TEXT(AUX!AF$1,"dd-MMM-aa"),"")</f>
      </c>
      <c r="AC174" s="496" t="str">
        <f> IF(AC194&lt;&gt;"",TEXT(AUX!AG$1,"dd-MMM-aa"),"")</f>
      </c>
      <c r="AD174" s="496" t="str">
        <f> IF(AD194&lt;&gt;"",TEXT(AUX!AH$1,"dd-MMM-aa"),"")</f>
      </c>
      <c r="AE174" s="496" t="str">
        <f> IF(AE194&lt;&gt;"",TEXT(AUX!AI$1,"dd-MMM-aa"),"")</f>
      </c>
      <c r="AF174" s="496" t="str">
        <f> IF(AF194&lt;&gt;"",TEXT(AUX!AJ$1,"dd-MMM-aa"),"")</f>
      </c>
      <c r="AG174" s="496" t="str">
        <f> IF(AG194&lt;&gt;"",TEXT(AUX!AK$1,"dd-MMM-aa"),"")</f>
      </c>
      <c r="AH174" s="496" t="str">
        <f> IF(AH194&lt;&gt;"",TEXT(AUX!AL$1,"dd-MMM-aa"),"")</f>
      </c>
      <c r="AI174" s="496" t="str">
        <f> IF(AI194&lt;&gt;"",TEXT(AUX!AM$1,"dd-MMM-aa"),"")</f>
      </c>
      <c r="AJ174" s="496" t="str">
        <f> IF(AJ194&lt;&gt;"",TEXT(AUX!AN$1,"dd-MMM-aa"),"")</f>
      </c>
      <c r="AK174" s="496" t="str">
        <f> IF(AK194&lt;&gt;"",TEXT(AUX!AO$1,"dd-MMM-aa"),"")</f>
      </c>
      <c r="AL174" s="496" t="str">
        <f> IF(AL194&lt;&gt;"",TEXT(AUX!AP$1,"dd-MMM-aa"),"")</f>
      </c>
      <c r="AM174" s="496" t="str">
        <f> IF(AM194&lt;&gt;"",TEXT(AUX!AQ$1,"dd-MMM-aa"),"")</f>
      </c>
      <c r="AN174" s="496" t="str">
        <f> IF(AN194&lt;&gt;"",TEXT(AUX!AR$1,"dd-MMM-aa"),"")</f>
      </c>
      <c r="AO174" s="496" t="str">
        <f> IF(AO194&lt;&gt;"",TEXT(AUX!AS$1,"dd-MMM-aa"),"")</f>
      </c>
      <c r="AP174" s="496" t="str">
        <f> IF(AP194&lt;&gt;"",TEXT(AUX!AT$1,"dd-MMM-aa"),"")</f>
      </c>
      <c r="AQ174" s="496" t="str">
        <f> IF(AQ194&lt;&gt;"",TEXT(AUX!AU$1,"dd-MMM-aa"),"")</f>
      </c>
      <c r="AR174" s="496" t="str">
        <f> IF(AR194&lt;&gt;"",TEXT(AUX!AV$1,"dd-MMM-aa"),"")</f>
      </c>
      <c r="AS174" s="496" t="str">
        <f> IF(AS194&lt;&gt;"",TEXT(AUX!AW$1,"dd-MMM-aa"),"")</f>
      </c>
      <c r="AT174" s="496" t="str">
        <f> IF(AT194&lt;&gt;"",TEXT(AUX!AX$1,"dd-MMM-aa"),"")</f>
      </c>
      <c r="AU174" s="496" t="str">
        <f> IF(AU194&lt;&gt;"",TEXT(AUX!AY$1,"dd-MMM-aa"),"")</f>
      </c>
      <c r="AV174" s="496" t="str">
        <f> IF(AV194&lt;&gt;"",TEXT(AUX!AZ$1,"dd-MMM-aa"),"")</f>
      </c>
      <c r="AW174" s="496" t="str">
        <f> IF(AW194&lt;&gt;"",TEXT(AUX!BA$1,"dd-MMM-aa"),"")</f>
      </c>
      <c r="AX174" s="496" t="str">
        <f> IF(AX194&lt;&gt;"",TEXT(AUX!BB$1,"dd-MMM-aa"),"")</f>
      </c>
      <c r="AY174" s="496" t="str">
        <f> IF(AY194&lt;&gt;"",TEXT(AUX!BC$1,"dd-MMM-aa"),"")</f>
      </c>
      <c r="AZ174" s="496" t="str">
        <f> IF(AZ194&lt;&gt;"",TEXT(AUX!BD$1,"dd-MMM-aa"),"")</f>
      </c>
      <c r="BA174" s="496" t="str">
        <f> IF(BA194&lt;&gt;"",TEXT(AUX!BE$1,"dd-MMM-aa"),"")</f>
      </c>
      <c r="BB174" s="496" t="str">
        <f> IF(BB194&lt;&gt;"",TEXT(AUX!BF$1,"dd-MMM-aa"),"")</f>
      </c>
      <c r="BC174" s="496" t="str">
        <f> IF(BC194&lt;&gt;"",TEXT(AUX!BG$1,"dd-MMM-aa"),"")</f>
      </c>
      <c r="BD174" s="496" t="str">
        <f> IF(BD194&lt;&gt;"",TEXT(AUX!BH$1,"dd-MMM-aa"),"")</f>
      </c>
      <c r="BE174" s="496" t="str">
        <f> IF(BE194&lt;&gt;"",TEXT(AUX!BI$1,"dd-MMM-aa"),"")</f>
      </c>
      <c r="BF174" s="496" t="str">
        <f> IF(BF194&lt;&gt;"",TEXT(AUX!BJ$1,"dd-MMM-aa"),"")</f>
      </c>
      <c r="BG174" s="496" t="str">
        <f> IF(BG194&lt;&gt;"",TEXT(AUX!BK$1,"dd-MMM-aa"),"")</f>
      </c>
      <c r="BH174" s="496" t="str">
        <f> IF(BH194&lt;&gt;"",TEXT(AUX!BL$1,"dd-MMM-aa"),"")</f>
      </c>
      <c r="BI174" s="496" t="str">
        <f> IF(BI194&lt;&gt;"",TEXT(AUX!BM$1,"dd-MMM-aa"),"")</f>
      </c>
      <c r="BJ174" s="496" t="str">
        <f> IF(BJ194&lt;&gt;"",TEXT(AUX!BN$1,"dd-MMM-aa"),"")</f>
      </c>
      <c r="BK174" s="496" t="str">
        <f> IF(BK194&lt;&gt;"",TEXT(AUX!BO$1,"dd-MMM-aa"),"")</f>
      </c>
      <c r="BL174" s="496" t="str">
        <f> IF(BL194&lt;&gt;"",TEXT(AUX!BP$1,"dd-MMM-aa"),"")</f>
      </c>
      <c r="BM174" s="496" t="str">
        <f> IF(BM194&lt;&gt;"",TEXT(AUX!BQ$1,"dd-MMM-aa"),"")</f>
      </c>
      <c r="BN174" s="496" t="str">
        <f> IF(BN194&lt;&gt;"",TEXT(AUX!BR$1,"dd-MMM-aa"),"")</f>
      </c>
      <c r="BO174" s="496" t="str">
        <f> IF(BO194&lt;&gt;"",TEXT(AUX!BS$1,"dd-MMM-aa"),"")</f>
      </c>
      <c r="BP174" s="496" t="str">
        <f> IF(BP194&lt;&gt;"",TEXT(AUX!BT$1,"dd-MMM-aa"),"")</f>
      </c>
      <c r="BQ174" s="496" t="str">
        <f> IF(BQ194&lt;&gt;"",TEXT(AUX!BU$1,"dd-MMM-aa"),"")</f>
      </c>
      <c r="BR174" s="496" t="str">
        <f> IF(BR194&lt;&gt;"",TEXT(AUX!BV$1,"dd-MMM-aa"),"")</f>
      </c>
      <c r="BS174" s="496" t="str">
        <f> IF(BS194&lt;&gt;"",TEXT(AUX!BW$1,"dd-MMM-aa"),"")</f>
      </c>
      <c r="BT174" s="496" t="str">
        <f> IF(BT194&lt;&gt;"",TEXT(AUX!BX$1,"dd-MMM-aa"),"")</f>
      </c>
      <c r="BU174" s="496" t="str">
        <f> IF(BU194&lt;&gt;"",TEXT(AUX!BY$1,"dd-MMM-aa"),"")</f>
      </c>
      <c r="BV174" s="496" t="str">
        <f> IF(BV194&lt;&gt;"",TEXT(AUX!BZ$1,"dd-MMM-aa"),"")</f>
      </c>
      <c r="BW174" s="496" t="str">
        <f> IF(BW194&lt;&gt;"",TEXT(AUX!CA$1,"dd-MMM-aa"),"")</f>
      </c>
      <c r="BX174" s="496" t="str">
        <f> IF(BX194&lt;&gt;"",TEXT(AUX!CB$1,"dd-MMM-aa"),"")</f>
      </c>
      <c r="BY174" s="496" t="str">
        <f> IF(BY194&lt;&gt;"",TEXT(AUX!CC$1,"dd-MMM-aa"),"")</f>
      </c>
      <c r="BZ174" s="496" t="str">
        <f> IF(BZ194&lt;&gt;"",TEXT(AUX!CD$1,"dd-MMM-aa"),"")</f>
      </c>
      <c r="CA174" s="496" t="str">
        <f> IF(CA194&lt;&gt;"",TEXT(AUX!CE$1,"dd-MMM-aa"),"")</f>
      </c>
      <c r="CB174" s="496" t="str">
        <f> IF(CB194&lt;&gt;"",TEXT(AUX!CF$1,"dd-MMM-aa"),"")</f>
      </c>
      <c r="CC174" s="496" t="str">
        <f> IF(CC194&lt;&gt;"",TEXT(AUX!CG$1,"dd-MMM-aa"),"")</f>
      </c>
      <c r="CD174" s="496" t="str">
        <f> IF(CD194&lt;&gt;"",TEXT(AUX!CH$1,"dd-MMM-aa"),"")</f>
      </c>
      <c r="CE174" s="496" t="str">
        <f> IF(CE194&lt;&gt;"",TEXT(AUX!CI$1,"dd-MMM-aa"),"")</f>
      </c>
      <c r="CF174" s="496" t="str">
        <f> IF(CF194&lt;&gt;"",TEXT(AUX!CJ$1,"dd-MMM-aa"),"")</f>
      </c>
      <c r="CG174" s="496" t="str">
        <f> IF(CG194&lt;&gt;"",TEXT(AUX!CK$1,"dd-MMM-aa"),"")</f>
      </c>
      <c r="CH174" s="496" t="str">
        <f> IF(CH194&lt;&gt;"",TEXT(AUX!CL$1,"dd-MMM-aa"),"")</f>
      </c>
      <c r="CI174" s="496" t="str">
        <f> IF(CI194&lt;&gt;"",TEXT(AUX!CM$1,"dd-MMM-aa"),"")</f>
      </c>
      <c r="CJ174" s="496" t="str">
        <f> IF(CJ194&lt;&gt;"",TEXT(AUX!CN$1,"dd-MMM-aa"),"")</f>
      </c>
      <c r="CK174" s="496" t="str">
        <f> IF(CK194&lt;&gt;"",TEXT(AUX!CO$1,"dd-MMM-aa"),"")</f>
      </c>
      <c r="CL174" s="496" t="str">
        <f> IF(CL194&lt;&gt;"",TEXT(AUX!CP$1,"dd-MMM-aa"),"")</f>
      </c>
      <c r="CM174" s="496" t="str">
        <f> IF(CM194&lt;&gt;"",TEXT(AUX!CQ$1,"dd-MMM-aa"),"")</f>
      </c>
      <c r="CN174" s="496" t="str">
        <f> IF(CN194&lt;&gt;"",TEXT(AUX!CR$1,"dd-MMM-aa"),"")</f>
      </c>
      <c r="CO174" s="496" t="str">
        <f> IF(CO194&lt;&gt;"",TEXT(AUX!CS$1,"dd-MMM-aa"),"")</f>
      </c>
      <c r="CP174" s="496" t="str">
        <f> IF(CP194&lt;&gt;"",TEXT(AUX!CT$1,"dd-MMM-aa"),"")</f>
      </c>
      <c r="CQ174" s="496" t="str">
        <f> IF(CQ194&lt;&gt;"",TEXT(AUX!CU$1,"dd-MMM-aa"),"")</f>
      </c>
      <c r="CR174" s="496" t="str">
        <f> IF(CR194&lt;&gt;"",TEXT(AUX!CV$1,"dd-MMM-aa"),"")</f>
      </c>
      <c r="CS174" s="496" t="str">
        <f> IF(CS194&lt;&gt;"",TEXT(AUX!CW$1,"dd-MMM-aa"),"")</f>
      </c>
      <c r="CT174" s="496" t="str">
        <f> IF(CT194&lt;&gt;"",TEXT(AUX!CX$1,"dd-MMM-aa"),"")</f>
      </c>
      <c r="CU174" s="496" t="str">
        <f> IF(CU194&lt;&gt;"",TEXT(AUX!CY$1,"dd-MMM-aa"),"")</f>
      </c>
      <c r="CV174" s="496" t="str">
        <f> IF(CV194&lt;&gt;"",TEXT(AUX!CZ$1,"dd-MMM-aa"),"")</f>
      </c>
      <c r="CW174" s="496" t="str">
        <f> IF(CW194&lt;&gt;"",TEXT(AUX!DA$1,"dd-MMM-aa"),"")</f>
      </c>
      <c r="CX174" s="496" t="str">
        <f> IF(CX194&lt;&gt;"",TEXT(AUX!DB$1,"dd-MMM-aa"),"")</f>
      </c>
      <c r="CY174" s="496" t="str">
        <f> IF(CY194&lt;&gt;"",TEXT(AUX!DC$1,"dd-MMM-aa"),"")</f>
      </c>
      <c r="CZ174" s="496" t="str">
        <f> IF(CZ194&lt;&gt;"",TEXT(AUX!DD$1,"dd-MMM-aa"),"")</f>
      </c>
      <c r="DA174" s="496" t="str">
        <f> IF(DA194&lt;&gt;"",TEXT(AUX!DE$1,"dd-MMM-aa"),"")</f>
      </c>
      <c r="DB174" s="496" t="str">
        <f> IF(DB194&lt;&gt;"",TEXT(AUX!DF$1,"dd-MMM-aa"),"")</f>
      </c>
      <c r="DC174" s="496" t="str">
        <f> IF(DC194&lt;&gt;"",TEXT(AUX!DG$1,"dd-MMM-aa"),"")</f>
      </c>
      <c r="DD174" s="496" t="str">
        <f> IF(DD194&lt;&gt;"",TEXT(AUX!DH$1,"dd-MMM-aa"),"")</f>
      </c>
      <c r="DE174" s="496" t="str">
        <f> IF(DE194&lt;&gt;"",TEXT(AUX!DI$1,"dd-MMM-aa"),"")</f>
      </c>
      <c r="DF174" s="496" t="str">
        <f> IF(DF194&lt;&gt;"",TEXT(AUX!DJ$1,"dd-MMM-aa"),"")</f>
      </c>
      <c r="DG174" s="496" t="str">
        <f> IF(DG194&lt;&gt;"",TEXT(AUX!DK$1,"dd-MMM-aa"),"")</f>
      </c>
      <c r="DH174" s="496" t="str">
        <f> IF(DH194&lt;&gt;"",TEXT(AUX!DL$1,"dd-MMM-aa"),"")</f>
      </c>
      <c r="DI174" s="496" t="str">
        <f> IF(DI194&lt;&gt;"",TEXT(AUX!DM$1,"dd-MMM-aa"),"")</f>
      </c>
      <c r="DJ174" s="496" t="str">
        <f> IF(DJ194&lt;&gt;"",TEXT(AUX!DN$1,"dd-MMM-aa"),"")</f>
      </c>
      <c r="DK174" s="496" t="str">
        <f> IF(DK194&lt;&gt;"",TEXT(AUX!DO$1,"dd-MMM-aa"),"")</f>
      </c>
      <c r="DL174" s="496" t="str">
        <f> IF(DL194&lt;&gt;"",TEXT(AUX!DP$1,"dd-MMM-aa"),"")</f>
      </c>
      <c r="DM174" s="496" t="str">
        <f> IF(DM194&lt;&gt;"",TEXT(AUX!DQ$1,"dd-MMM-aa"),"")</f>
      </c>
      <c r="DN174" s="496" t="str">
        <f> IF(DN194&lt;&gt;"",TEXT(AUX!DR$1,"dd-MMM-aa"),"")</f>
      </c>
      <c r="DO174" s="496" t="str">
        <f> IF(DO194&lt;&gt;"",TEXT(AUX!DS$1,"dd-MMM-aa"),"")</f>
      </c>
      <c r="DP174" s="496" t="str">
        <f> IF(DP194&lt;&gt;"",TEXT(AUX!DT$1,"dd-MMM-aa"),"")</f>
      </c>
      <c r="DQ174" s="496" t="str">
        <f> IF(DQ194&lt;&gt;"",TEXT(AUX!DU$1,"dd-MMM-aa"),"")</f>
      </c>
      <c r="DR174" s="496" t="str">
        <f> IF(DR194&lt;&gt;"",TEXT(AUX!DV$1,"dd-MMM-aa"),"")</f>
      </c>
      <c r="DS174" s="496" t="str">
        <f> IF(DS194&lt;&gt;"",TEXT(AUX!DW$1,"dd-MMM-aa"),"")</f>
      </c>
      <c r="DT174" s="496" t="str">
        <f> IF(DT194&lt;&gt;"",TEXT(AUX!DX$1,"dd-MMM-aa"),"")</f>
      </c>
      <c r="DU174" s="496" t="str">
        <f> IF(DU194&lt;&gt;"",TEXT(AUX!DY$1,"dd-MMM-aa"),"")</f>
      </c>
      <c r="DV174" s="496" t="str">
        <f> IF(DV194&lt;&gt;"",TEXT(AUX!DZ$1,"dd-MMM-aa"),"")</f>
      </c>
      <c r="DW174" s="496" t="str">
        <f> IF(DW194&lt;&gt;"",TEXT(AUX!EA$1,"dd-MMM-aa"),"")</f>
      </c>
      <c r="DX174" s="496" t="str">
        <f> IF(DX194&lt;&gt;"",TEXT(AUX!EB$1,"dd-MMM-aa"),"")</f>
      </c>
      <c r="DY174" s="496" t="str">
        <f> IF(DY194&lt;&gt;"",TEXT(AUX!EC$1,"dd-MMM-aa"),"")</f>
      </c>
      <c r="DZ174" s="496" t="str">
        <f> IF(DZ194&lt;&gt;"",TEXT(AUX!ED$1,"dd-MMM-aa"),"")</f>
      </c>
      <c r="EA174" s="496" t="str">
        <f> IF(EA194&lt;&gt;"",TEXT(AUX!EE$1,"dd-MMM-aa"),"")</f>
      </c>
      <c r="EB174" s="496" t="str">
        <f> IF(EB194&lt;&gt;"",TEXT(AUX!EF$1,"dd-MMM-aa"),"")</f>
      </c>
      <c r="EC174" s="496" t="str">
        <f> IF(EC194&lt;&gt;"",TEXT(AUX!EG$1,"dd-MMM-aa"),"")</f>
      </c>
      <c r="ED174" s="496" t="str">
        <f> IF(ED194&lt;&gt;"",TEXT(AUX!EH$1,"dd-MMM-aa"),"")</f>
      </c>
      <c r="EE174" s="496" t="str">
        <f> IF(EE194&lt;&gt;"",TEXT(AUX!EI$1,"dd-MMM-aa"),"")</f>
      </c>
      <c r="EF174" s="496" t="str">
        <f> IF(EF194&lt;&gt;"",TEXT(AUX!EJ$1,"dd-MMM-aa"),"")</f>
      </c>
      <c r="EG174" s="496" t="str">
        <f> IF(EG194&lt;&gt;"",TEXT(AUX!EK$1,"dd-MMM-aa"),"")</f>
      </c>
      <c r="EH174" s="496" t="str">
        <f> IF(EH194&lt;&gt;"",TEXT(AUX!EL$1,"dd-MMM-aa"),"")</f>
      </c>
      <c r="EI174" s="496" t="str">
        <f> IF(EI194&lt;&gt;"",TEXT(AUX!EM$1,"dd-MMM-aa"),"")</f>
      </c>
      <c r="EJ174" s="496" t="str">
        <f> IF(EJ194&lt;&gt;"",TEXT(AUX!EN$1,"dd-MMM-aa"),"")</f>
      </c>
      <c r="EK174" s="496" t="str">
        <f> IF(EK194&lt;&gt;"",TEXT(AUX!EO$1,"dd-MMM-aa"),"")</f>
      </c>
      <c r="EL174" s="496" t="str">
        <f> IF(EL194&lt;&gt;"",TEXT(AUX!EP$1,"dd-MMM-aa"),"")</f>
      </c>
      <c r="EM174" s="496" t="str">
        <f> IF(EM194&lt;&gt;"",TEXT(AUX!EQ$1,"dd-MMM-aa"),"")</f>
      </c>
      <c r="EN174" s="496" t="str">
        <f> IF(EN194&lt;&gt;"",TEXT(AUX!ER$1,"dd-MMM-aa"),"")</f>
      </c>
      <c r="EO174" s="496" t="str">
        <f> IF(EO194&lt;&gt;"",TEXT(AUX!ES$1,"dd-MMM-aa"),"")</f>
      </c>
      <c r="EP174" s="496" t="str">
        <f> IF(EP194&lt;&gt;"",TEXT(AUX!ET$1,"dd-MMM-aa"),"")</f>
      </c>
      <c r="EQ174" s="496" t="str">
        <f> IF(EQ194&lt;&gt;"",TEXT(AUX!EU$1,"dd-MMM-aa"),"")</f>
      </c>
      <c r="ER174" s="496" t="str">
        <f> IF(ER194&lt;&gt;"",TEXT(AUX!EV$1,"dd-MMM-aa"),"")</f>
      </c>
      <c r="ES174" s="496" t="str">
        <f> IF(ES194&lt;&gt;"",TEXT(AUX!EW$1,"dd-MMM-aa"),"")</f>
      </c>
      <c r="ET174" s="496" t="str">
        <f> IF(ET194&lt;&gt;"",TEXT(AUX!EX$1,"dd-MMM-aa"),"")</f>
      </c>
      <c r="EU174" s="496" t="str">
        <f> IF(EU194&lt;&gt;"",TEXT(AUX!EY$1,"dd-MMM-aa"),"")</f>
      </c>
      <c r="EV174" s="496" t="str">
        <f> IF(EV194&lt;&gt;"",TEXT(AUX!EZ$1,"dd-MMM-aa"),"")</f>
      </c>
      <c r="EW174" s="496" t="str">
        <f> IF(EW194&lt;&gt;"",TEXT(AUX!FA$1,"dd-MMM-aa"),"")</f>
      </c>
      <c r="EX174" s="496" t="str">
        <f> IF(EX194&lt;&gt;"",TEXT(AUX!FB$1,"dd-MMM-aa"),"")</f>
      </c>
      <c r="EY174" s="496" t="str">
        <f> IF(EY194&lt;&gt;"",TEXT(AUX!FC$1,"dd-MMM-aa"),"")</f>
      </c>
      <c r="EZ174" s="496" t="str">
        <f> IF(EZ194&lt;&gt;"",TEXT(AUX!FD$1,"dd-MMM-aa"),"")</f>
      </c>
      <c r="FA174" s="496" t="str">
        <f> IF(FA194&lt;&gt;"",TEXT(AUX!FE$1,"dd-MMM-aa"),"")</f>
      </c>
      <c r="FB174" s="496" t="str">
        <f> IF(FB194&lt;&gt;"",TEXT(AUX!FF$1,"dd-MMM-aa"),"")</f>
      </c>
      <c r="FC174" s="496" t="str">
        <f> IF(FC194&lt;&gt;"",TEXT(AUX!FG$1,"dd-MMM-aa"),"")</f>
      </c>
      <c r="FD174" s="496" t="str">
        <f> IF(FD194&lt;&gt;"",TEXT(AUX!FH$1,"dd-MMM-aa"),"")</f>
      </c>
      <c r="FE174" s="496" t="str">
        <f> IF(FE194&lt;&gt;"",TEXT(AUX!FI$1,"dd-MMM-aa"),"")</f>
      </c>
      <c r="FF174" s="496" t="str">
        <f> IF(FF194&lt;&gt;"",TEXT(AUX!FJ$1,"dd-MMM-aa"),"")</f>
      </c>
      <c r="FG174" s="496" t="str">
        <f> IF(FG194&lt;&gt;"",TEXT(AUX!FK$1,"dd-MMM-aa"),"")</f>
      </c>
      <c r="FH174" s="496" t="str">
        <f> IF(FH194&lt;&gt;"",TEXT(AUX!FL$1,"dd-MMM-aa"),"")</f>
      </c>
      <c r="FI174" s="496" t="str">
        <f> IF(FI194&lt;&gt;"",TEXT(AUX!FM$1,"dd-MMM-aa"),"")</f>
      </c>
      <c r="FJ174" s="496" t="str">
        <f> IF(FJ194&lt;&gt;"",TEXT(AUX!FN$1,"dd-MMM-aa"),"")</f>
      </c>
      <c r="FK174" s="496" t="str">
        <f> IF(FK194&lt;&gt;"",TEXT(AUX!FO$1,"dd-MMM-aa"),"")</f>
      </c>
      <c r="FL174" s="496" t="str">
        <f> IF(FL194&lt;&gt;"",TEXT(AUX!FP$1,"dd-MMM-aa"),"")</f>
      </c>
      <c r="FM174" s="496" t="str">
        <f> IF(FM194&lt;&gt;"",TEXT(AUX!FQ$1,"dd-MMM-aa"),"")</f>
      </c>
      <c r="FN174" s="496" t="str">
        <f> IF(FN194&lt;&gt;"",TEXT(AUX!FR$1,"dd-MMM-aa"),"")</f>
      </c>
      <c r="FO174" s="496" t="str">
        <f> IF(FO194&lt;&gt;"",TEXT(AUX!FS$1,"dd-MMM-aa"),"")</f>
      </c>
      <c r="FP174" s="496" t="str">
        <f> IF(FP194&lt;&gt;"",TEXT(AUX!FT$1,"dd-MMM-aa"),"")</f>
      </c>
      <c r="FQ174" s="496" t="str">
        <f> IF(FQ194&lt;&gt;"",TEXT(AUX!FU$1,"dd-MMM-aa"),"")</f>
      </c>
      <c r="FR174" s="496" t="str">
        <f> IF(FR194&lt;&gt;"",TEXT(AUX!FV$1,"dd-MMM-aa"),"")</f>
      </c>
      <c r="FS174" s="496" t="str">
        <f> IF(FS194&lt;&gt;"",TEXT(AUX!FW$1,"dd-MMM-aa"),"")</f>
      </c>
      <c r="FT174" s="496" t="str">
        <f> IF(FT194&lt;&gt;"",TEXT(AUX!FX$1,"dd-MMM-aa"),"")</f>
      </c>
      <c r="FU174" s="496" t="str">
        <f> IF(FU194&lt;&gt;"",TEXT(AUX!FY$1,"dd-MMM-aa"),"")</f>
      </c>
      <c r="FV174" s="496" t="str">
        <f> IF(FV194&lt;&gt;"",TEXT(AUX!FZ$1,"dd-MMM-aa"),"")</f>
      </c>
      <c r="FW174" s="496" t="str">
        <f> IF(FW194&lt;&gt;"",TEXT(AUX!GA$1,"dd-MMM-aa"),"")</f>
      </c>
      <c r="FX174" s="496" t="str">
        <f> IF(FX194&lt;&gt;"",TEXT(AUX!GB$1,"dd-MMM-aa"),"")</f>
      </c>
      <c r="FY174" s="496" t="str">
        <f> IF(FY194&lt;&gt;"",TEXT(AUX!GC$1,"dd-MMM-aa"),"")</f>
      </c>
      <c r="FZ174" s="496" t="str">
        <f> IF(FZ194&lt;&gt;"",TEXT(AUX!GD$1,"dd-MMM-aa"),"")</f>
      </c>
      <c r="GA174" s="496" t="str">
        <f> IF(GA194&lt;&gt;"",TEXT(AUX!GE$1,"dd-MMM-aa"),"")</f>
      </c>
      <c r="GB174" s="496" t="str">
        <f> IF(GB194&lt;&gt;"",TEXT(AUX!GF$1,"dd-MMM-aa"),"")</f>
      </c>
      <c r="GC174" s="496" t="str">
        <f> IF(GC194&lt;&gt;"",TEXT(AUX!GG$1,"dd-MMM-aa"),"")</f>
      </c>
      <c r="GD174" s="496" t="str">
        <f> IF(GD194&lt;&gt;"",TEXT(AUX!GH$1,"dd-MMM-aa"),"")</f>
      </c>
      <c r="GE174" s="496" t="str">
        <f> IF(GE194&lt;&gt;"",TEXT(AUX!GI$1,"dd-MMM-aa"),"")</f>
      </c>
      <c r="GF174" s="496" t="str">
        <f> IF(GF194&lt;&gt;"",TEXT(AUX!GJ$1,"dd-MMM-aa"),"")</f>
      </c>
      <c r="GG174" s="496" t="str">
        <f> IF(GG194&lt;&gt;"",TEXT(AUX!GK$1,"dd-MMM-aa"),"")</f>
      </c>
      <c r="GH174" s="496" t="str">
        <f> IF(GH194&lt;&gt;"",TEXT(AUX!GL$1,"dd-MMM-aa"),"")</f>
      </c>
      <c r="GI174" s="496" t="str">
        <f> IF(GI194&lt;&gt;"",TEXT(AUX!GM$1,"dd-MMM-aa"),"")</f>
      </c>
      <c r="GJ174" s="496" t="str">
        <f> IF(GJ194&lt;&gt;"",TEXT(AUX!GN$1,"dd-MMM-aa"),"")</f>
      </c>
      <c r="GK174" s="496" t="str">
        <f> IF(GK194&lt;&gt;"",TEXT(AUX!GO$1,"dd-MMM-aa"),"")</f>
      </c>
      <c r="GL174" s="496" t="str">
        <f> IF(GL194&lt;&gt;"",TEXT(AUX!GP$1,"dd-MMM-aa"),"")</f>
      </c>
      <c r="GM174" s="496" t="str">
        <f> IF(GM194&lt;&gt;"",TEXT(AUX!GQ$1,"dd-MMM-aa"),"")</f>
      </c>
      <c r="GN174" s="496" t="str">
        <f> IF(GN194&lt;&gt;"",TEXT(AUX!GR$1,"dd-MMM-aa"),"")</f>
      </c>
      <c r="GO174" s="496" t="str">
        <f> IF(GO194&lt;&gt;"",TEXT(AUX!GS$1,"dd-MMM-aa"),"")</f>
      </c>
      <c r="GP174" s="496" t="str">
        <f> IF(GP194&lt;&gt;"",TEXT(AUX!GT$1,"dd-MMM-aa"),"")</f>
      </c>
      <c r="GQ174" s="496" t="str">
        <f> IF(GQ194&lt;&gt;"",TEXT(AUX!GU$1,"dd-MMM-aa"),"")</f>
      </c>
      <c r="GR174" s="496" t="str">
        <f> IF(GR194&lt;&gt;"",TEXT(AUX!GV$1,"dd-MMM-aa"),"")</f>
      </c>
      <c r="GS174" s="496" t="str">
        <f> IF(GS194&lt;&gt;"",TEXT(AUX!GW$1,"dd-MMM-aa"),"")</f>
      </c>
      <c r="GT174" s="496" t="str">
        <f> IF(GT194&lt;&gt;"",TEXT(AUX!GX$1,"dd-MMM-aa"),"")</f>
      </c>
      <c r="GU174" s="496" t="str">
        <f> IF(GU194&lt;&gt;"",TEXT(AUX!GY$1,"dd-MMM-aa"),"")</f>
      </c>
      <c r="GV174" s="496" t="str">
        <f> IF(GV194&lt;&gt;"",TEXT(AUX!GZ$1,"dd-MMM-aa"),"")</f>
      </c>
      <c r="GW174" s="496" t="str">
        <f> IF(GW194&lt;&gt;"",TEXT(AUX!HA$1,"dd-MMM-aa"),"")</f>
      </c>
      <c r="GX174" s="496" t="str">
        <f> IF(GX194&lt;&gt;"",TEXT(AUX!HB$1,"dd-MMM-aa"),"")</f>
      </c>
      <c r="GY174" s="496" t="str">
        <f> IF(GY194&lt;&gt;"",TEXT(AUX!HC$1,"dd-MMM-aa"),"")</f>
      </c>
      <c r="GZ174" s="496" t="str">
        <f> IF(GZ194&lt;&gt;"",TEXT(AUX!HD$1,"dd-MMM-aa"),"")</f>
      </c>
      <c r="HA174" s="496" t="str">
        <f> IF(HA194&lt;&gt;"",TEXT(AUX!HE$1,"dd-MMM-aa"),"")</f>
      </c>
      <c r="HB174" s="496" t="str">
        <f> IF(HB194&lt;&gt;"",TEXT(AUX!HF$1,"dd-MMM-aa"),"")</f>
      </c>
      <c r="HC174" s="496" t="str">
        <f> IF(HC194&lt;&gt;"",TEXT(AUX!HG$1,"dd-MMM-aa"),"")</f>
      </c>
      <c r="HD174" s="496" t="str">
        <f> IF(HD194&lt;&gt;"",TEXT(AUX!HH$1,"dd-MMM-aa"),"")</f>
      </c>
      <c r="HE174" s="496" t="str">
        <f> IF(HE194&lt;&gt;"",TEXT(AUX!HI$1,"dd-MMM-aa"),"")</f>
      </c>
      <c r="HF174" s="496" t="str">
        <f> IF(HF194&lt;&gt;"",TEXT(AUX!HJ$1,"dd-MMM-aa"),"")</f>
      </c>
      <c r="HG174" s="496" t="str">
        <f> IF(HG194&lt;&gt;"",TEXT(AUX!HK$1,"dd-MMM-aa"),"")</f>
      </c>
      <c r="HH174" s="496" t="str">
        <f> IF(HH194&lt;&gt;"",TEXT(AUX!HL$1,"dd-MMM-aa"),"")</f>
      </c>
      <c r="HI174" s="496" t="str">
        <f> IF(HI194&lt;&gt;"",TEXT(AUX!HM$1,"dd-MMM-aa"),"")</f>
      </c>
      <c r="HJ174" s="496" t="str">
        <f> IF(HJ194&lt;&gt;"",TEXT(AUX!HN$1,"dd-MMM-aa"),"")</f>
      </c>
      <c r="HK174" s="496" t="str">
        <f> IF(HK194&lt;&gt;"",TEXT(AUX!HO$1,"dd-MMM-aa"),"")</f>
      </c>
      <c r="HL174" s="496" t="str">
        <f> IF(HL194&lt;&gt;"",TEXT(AUX!HP$1,"dd-MMM-aa"),"")</f>
      </c>
      <c r="HM174" s="496" t="str">
        <f> IF(HM194&lt;&gt;"",TEXT(AUX!HQ$1,"dd-MMM-aa"),"")</f>
      </c>
      <c r="HN174" s="496" t="str">
        <f> IF(HN194&lt;&gt;"",TEXT(AUX!HR$1,"dd-MMM-aa"),"")</f>
      </c>
      <c r="HO174" s="496" t="str">
        <f> IF(HO194&lt;&gt;"",TEXT(AUX!HS$1,"dd-MMM-aa"),"")</f>
      </c>
      <c r="HP174" s="496" t="str">
        <f> IF(HP194&lt;&gt;"",TEXT(AUX!HT$1,"dd-MMM-aa"),"")</f>
      </c>
      <c r="HQ174" s="496" t="str">
        <f> IF(HQ194&lt;&gt;"",TEXT(AUX!HU$1,"dd-MMM-aa"),"")</f>
      </c>
      <c r="HR174" s="496" t="str">
        <f> IF(HR194&lt;&gt;"",TEXT(AUX!HV$1,"dd-MMM-aa"),"")</f>
      </c>
      <c r="HS174" s="496" t="str">
        <f> IF(HS194&lt;&gt;"",TEXT(AUX!HW$1,"dd-MMM-aa"),"")</f>
      </c>
      <c r="HT174" s="496" t="str">
        <f> IF(HT194&lt;&gt;"",TEXT(AUX!HX$1,"dd-MMM-aa"),"")</f>
      </c>
      <c r="HU174" s="496" t="str">
        <f> IF(HU194&lt;&gt;"",TEXT(AUX!HY$1,"dd-MMM-aa"),"")</f>
      </c>
      <c r="HV174" s="496" t="str">
        <f> IF(HV194&lt;&gt;"",TEXT(AUX!HZ$1,"dd-MMM-aa"),"")</f>
      </c>
      <c r="HW174" s="496" t="str">
        <f> IF(HW194&lt;&gt;"",TEXT(AUX!IA$1,"dd-MMM-aa"),"")</f>
      </c>
      <c r="HX174" s="496" t="str">
        <f> IF(HX194&lt;&gt;"",TEXT(AUX!IB$1,"dd-MMM-aa"),"")</f>
      </c>
      <c r="HY174" s="496" t="str">
        <f> IF(HY194&lt;&gt;"",TEXT(AUX!IC$1,"dd-MMM-aa"),"")</f>
      </c>
      <c r="HZ174" s="496" t="str">
        <f> IF(HZ194&lt;&gt;"",TEXT(AUX!ID$1,"dd-MMM-aa"),"")</f>
      </c>
      <c r="IA174" s="496" t="str">
        <f> IF(IA194&lt;&gt;"",TEXT(AUX!IE$1,"dd-MMM-aa"),"")</f>
      </c>
      <c r="IB174" s="496" t="str">
        <f> IF(IB194&lt;&gt;"",TEXT(AUX!IF$1,"dd-MMM-aa"),"")</f>
      </c>
      <c r="IC174" s="496" t="str">
        <f> IF(IC194&lt;&gt;"",TEXT(AUX!IG$1,"dd-MMM-aa"),"")</f>
      </c>
      <c r="ID174" s="496" t="str">
        <f> IF(ID194&lt;&gt;"",TEXT(AUX!IH$1,"dd-MMM-aa"),"")</f>
      </c>
      <c r="IE174" s="496" t="str">
        <f> IF(IE194&lt;&gt;"",TEXT(AUX!II$1,"dd-MMM-aa"),"")</f>
      </c>
      <c r="IF174" s="496" t="str">
        <f> IF(IF194&lt;&gt;"",TEXT(AUX!IJ$1,"dd-MMM-aa"),"")</f>
      </c>
      <c r="IG174" s="496" t="str">
        <f> IF(IG194&lt;&gt;"",TEXT(AUX!IK$1,"dd-MMM-aa"),"")</f>
      </c>
      <c r="IH174" s="496" t="str">
        <f> IF(IH194&lt;&gt;"",TEXT(AUX!IL$1,"dd-MMM-aa"),"")</f>
      </c>
      <c r="II174" s="496" t="str">
        <f> IF(II194&lt;&gt;"",TEXT(AUX!IM$1,"dd-MMM-aa"),"")</f>
      </c>
      <c r="IJ174" s="496" t="str">
        <f> IF(IJ194&lt;&gt;"",TEXT(AUX!IN$1,"dd-MMM-aa"),"")</f>
      </c>
      <c r="IK174" s="496" t="str">
        <f> IF(IK194&lt;&gt;"",TEXT(AUX!IO$1,"dd-MMM-aa"),"")</f>
      </c>
      <c r="IL174" s="496" t="str">
        <f> IF(IL194&lt;&gt;"",TEXT(AUX!IP$1,"dd-MMM-aa"),"")</f>
      </c>
      <c r="IM174" s="496" t="str">
        <f> IF(IM194&lt;&gt;"",TEXT(AUX!IQ$1,"dd-MMM-aa"),"")</f>
      </c>
      <c r="IN174" s="496" t="str">
        <f> IF(IN194&lt;&gt;"",TEXT(AUX!IR$1,"dd-MMM-aa"),"")</f>
      </c>
      <c r="IO174" s="496" t="str">
        <f> IF(IO194&lt;&gt;"",TEXT(AUX!IS$1,"dd-MMM-aa"),"")</f>
      </c>
      <c r="IP174" s="496" t="str">
        <f> IF(IP194&lt;&gt;"",TEXT(AUX!IT$1,"dd-MMM-aa"),"")</f>
      </c>
      <c r="IQ174" s="496" t="str">
        <f> IF(IQ194&lt;&gt;"",TEXT(AUX!IU$1,"dd-MMM-aa"),"")</f>
      </c>
      <c r="IR174" s="496" t="str">
        <f> IF(IR194&lt;&gt;"",TEXT(AUX!IV$1,"dd-MMM-aa"),"")</f>
      </c>
      <c r="IS174" s="496" t="str">
        <f> IF(IS194&lt;&gt;"",TEXT(AUX!#REF!,"dd-MMM-aa"),"")</f>
      </c>
      <c r="IT174" s="496" t="str">
        <f> IF(IT194&lt;&gt;"",TEXT(AUX!#REF!,"dd-MMM-aa"),"")</f>
      </c>
      <c r="IU174" s="496" t="str">
        <f> IF(IU194&lt;&gt;"",TEXT(AUX!#REF!,"dd-MMM-aa"),"")</f>
      </c>
      <c r="IV174" s="496" t="str">
        <f> IF(IV194&lt;&gt;"",TEXT(AUX!#REF!,"dd-MMM-aa"),"")</f>
      </c>
    </row>
    <row r="175" hidden="1" ht="15" customHeight="1">
      <c r="B175" s="833" t="s">
        <v>8</v>
      </c>
      <c r="C175" s="827">
        <v>1089</v>
      </c>
      <c r="D175" s="827">
        <v>1088</v>
      </c>
      <c r="E175" s="827">
        <v>1405</v>
      </c>
      <c r="F175" s="827">
        <v>1374</v>
      </c>
      <c r="G175" s="827">
        <v>1259</v>
      </c>
      <c r="H175" s="827">
        <v>1299</v>
      </c>
      <c r="I175" s="827">
        <v>1251</v>
      </c>
      <c r="J175" s="827">
        <v>1267</v>
      </c>
      <c r="K175" s="827">
        <v>1308</v>
      </c>
      <c r="L175" s="827">
        <v>1349</v>
      </c>
      <c r="M175" s="827">
        <v>1330</v>
      </c>
      <c r="N175" s="827">
        <v>1287</v>
      </c>
      <c r="O175" s="827">
        <v>1226</v>
      </c>
      <c r="P175" s="827">
        <v>1184</v>
      </c>
      <c r="Q175" s="827">
        <v>1233</v>
      </c>
      <c r="R175" s="827">
        <v>1217</v>
      </c>
      <c r="S175" s="827">
        <v>1182</v>
      </c>
      <c r="T175" s="827">
        <v>1139</v>
      </c>
      <c r="U175" s="827">
        <v>1141</v>
      </c>
      <c r="V175" s="827">
        <v>1106</v>
      </c>
      <c r="W175" s="827">
        <v>1082</v>
      </c>
      <c r="X175" s="827">
        <v>1024</v>
      </c>
      <c r="Y175" s="827">
        <v>880</v>
      </c>
      <c r="Z175" s="827">
        <v>839</v>
      </c>
      <c r="AA175" s="827">
        <v>845</v>
      </c>
      <c r="AB175" s="834">
        <v>829</v>
      </c>
      <c r="AC175" s="828">
        <v>836</v>
      </c>
      <c r="AD175" s="828">
        <v>822</v>
      </c>
      <c r="AE175" s="828">
        <v>824</v>
      </c>
      <c r="AF175" s="828">
        <v>759</v>
      </c>
      <c r="AG175" s="828">
        <v>687</v>
      </c>
      <c r="AH175" s="828">
        <v>610</v>
      </c>
      <c r="AI175" s="828">
        <v>570</v>
      </c>
      <c r="AJ175" s="828">
        <v>499</v>
      </c>
      <c r="AK175" s="828">
        <v>457</v>
      </c>
      <c r="AL175" s="828">
        <v>462</v>
      </c>
      <c r="AM175" s="828">
        <v>471</v>
      </c>
      <c r="AN175" s="828">
        <v>473</v>
      </c>
      <c r="AO175" s="828">
        <v>484</v>
      </c>
      <c r="AP175" s="828">
        <v>476</v>
      </c>
    </row>
    <row r="176" hidden="1">
      <c r="B176" s="829" t="s">
        <v>9</v>
      </c>
      <c r="C176" s="823">
        <v>2036</v>
      </c>
      <c r="D176" s="823">
        <v>2036</v>
      </c>
      <c r="E176" s="823">
        <v>2176</v>
      </c>
      <c r="F176" s="823">
        <v>2350</v>
      </c>
      <c r="G176" s="823">
        <v>2390</v>
      </c>
      <c r="H176" s="823">
        <v>2390</v>
      </c>
      <c r="I176" s="823">
        <v>2420</v>
      </c>
      <c r="J176" s="823">
        <v>2419</v>
      </c>
      <c r="K176" s="823">
        <v>2418</v>
      </c>
      <c r="L176" s="823">
        <v>2420</v>
      </c>
      <c r="M176" s="823">
        <v>2418</v>
      </c>
      <c r="N176" s="823">
        <v>2419</v>
      </c>
      <c r="O176" s="823">
        <v>2419</v>
      </c>
      <c r="P176" s="823">
        <v>4743</v>
      </c>
      <c r="Q176" s="823">
        <v>3894</v>
      </c>
      <c r="R176" s="823">
        <v>3475</v>
      </c>
      <c r="S176" s="823">
        <v>3261</v>
      </c>
      <c r="T176" s="823">
        <v>3162</v>
      </c>
      <c r="U176" s="823">
        <v>3704</v>
      </c>
      <c r="V176" s="823">
        <v>3690</v>
      </c>
      <c r="W176" s="823">
        <v>3776</v>
      </c>
      <c r="X176" s="823">
        <v>3754</v>
      </c>
      <c r="Y176" s="823">
        <v>3501</v>
      </c>
      <c r="Z176" s="823">
        <v>3450</v>
      </c>
      <c r="AA176" s="823">
        <v>3003</v>
      </c>
      <c r="AB176" s="823">
        <v>3003</v>
      </c>
      <c r="AC176" s="825">
        <v>2784</v>
      </c>
      <c r="AD176" s="825">
        <v>2602</v>
      </c>
      <c r="AE176" s="825">
        <v>2340</v>
      </c>
      <c r="AF176" s="825">
        <v>2271</v>
      </c>
      <c r="AG176" s="825">
        <v>2545</v>
      </c>
      <c r="AH176" s="825">
        <v>2499</v>
      </c>
      <c r="AI176" s="825">
        <v>2360</v>
      </c>
      <c r="AJ176" s="825">
        <v>2129</v>
      </c>
      <c r="AK176" s="825">
        <v>2151</v>
      </c>
      <c r="AL176" s="825">
        <v>2158</v>
      </c>
      <c r="AM176" s="825">
        <v>1977</v>
      </c>
      <c r="AN176" s="825">
        <v>1917</v>
      </c>
      <c r="AO176" s="825">
        <v>1726</v>
      </c>
      <c r="AP176" s="825">
        <v>1722</v>
      </c>
    </row>
    <row r="177" hidden="1">
      <c r="B177" s="826" t="s">
        <v>10</v>
      </c>
      <c r="C177" s="827">
        <v>219</v>
      </c>
      <c r="D177" s="827">
        <v>219</v>
      </c>
      <c r="E177" s="827">
        <v>198</v>
      </c>
      <c r="F177" s="827">
        <v>198</v>
      </c>
      <c r="G177" s="827">
        <v>198</v>
      </c>
      <c r="H177" s="827">
        <v>115</v>
      </c>
      <c r="I177" s="827">
        <v>55</v>
      </c>
      <c r="J177" s="827">
        <v>55</v>
      </c>
      <c r="K177" s="827">
        <v>44</v>
      </c>
      <c r="L177" s="827">
        <v>39</v>
      </c>
      <c r="M177" s="827">
        <v>53</v>
      </c>
      <c r="N177" s="827">
        <v>53</v>
      </c>
      <c r="O177" s="827">
        <v>58</v>
      </c>
      <c r="P177" s="827">
        <v>58</v>
      </c>
      <c r="Q177" s="827">
        <v>54</v>
      </c>
      <c r="R177" s="827">
        <v>54</v>
      </c>
      <c r="S177" s="827">
        <v>58</v>
      </c>
      <c r="T177" s="827">
        <v>58</v>
      </c>
      <c r="U177" s="827">
        <v>58</v>
      </c>
      <c r="V177" s="827">
        <v>58</v>
      </c>
      <c r="W177" s="827">
        <v>56</v>
      </c>
      <c r="X177" s="827">
        <v>56</v>
      </c>
      <c r="Y177" s="827">
        <v>64</v>
      </c>
      <c r="Z177" s="827">
        <v>64</v>
      </c>
      <c r="AA177" s="827">
        <v>50</v>
      </c>
      <c r="AB177" s="827">
        <v>50</v>
      </c>
      <c r="AC177" s="828">
        <v>55</v>
      </c>
      <c r="AD177" s="828">
        <v>55</v>
      </c>
      <c r="AE177" s="828">
        <v>63</v>
      </c>
      <c r="AF177" s="828">
        <v>63</v>
      </c>
      <c r="AG177" s="828">
        <v>66</v>
      </c>
      <c r="AH177" s="828">
        <v>41</v>
      </c>
      <c r="AI177" s="828">
        <v>39</v>
      </c>
      <c r="AJ177" s="828">
        <v>39</v>
      </c>
      <c r="AK177" s="828">
        <v>44</v>
      </c>
      <c r="AL177" s="828">
        <v>47</v>
      </c>
      <c r="AM177" s="828">
        <v>55</v>
      </c>
      <c r="AN177" s="828">
        <v>53</v>
      </c>
      <c r="AO177" s="828">
        <v>61</v>
      </c>
      <c r="AP177" s="828">
        <v>61</v>
      </c>
    </row>
    <row r="178" hidden="1">
      <c r="B178" s="829" t="s">
        <v>11</v>
      </c>
      <c r="C178" s="823">
        <v>760</v>
      </c>
      <c r="D178" s="823">
        <v>669</v>
      </c>
      <c r="E178" s="823">
        <v>647</v>
      </c>
      <c r="F178" s="823">
        <v>652</v>
      </c>
      <c r="G178" s="823">
        <v>600</v>
      </c>
      <c r="H178" s="823">
        <v>475</v>
      </c>
      <c r="I178" s="823">
        <v>518</v>
      </c>
      <c r="J178" s="823">
        <v>450</v>
      </c>
      <c r="K178" s="823">
        <v>427</v>
      </c>
      <c r="L178" s="823">
        <v>525</v>
      </c>
      <c r="M178" s="823">
        <v>487</v>
      </c>
      <c r="N178" s="823">
        <v>409</v>
      </c>
      <c r="O178" s="823">
        <v>425</v>
      </c>
      <c r="P178" s="823">
        <v>465</v>
      </c>
      <c r="Q178" s="823">
        <v>480</v>
      </c>
      <c r="R178" s="823">
        <v>487</v>
      </c>
      <c r="S178" s="823">
        <v>529</v>
      </c>
      <c r="T178" s="823">
        <v>534</v>
      </c>
      <c r="U178" s="823">
        <v>492</v>
      </c>
      <c r="V178" s="823">
        <v>501</v>
      </c>
      <c r="W178" s="823">
        <v>462</v>
      </c>
      <c r="X178" s="823">
        <v>460</v>
      </c>
      <c r="Y178" s="823">
        <v>434</v>
      </c>
      <c r="Z178" s="823">
        <v>450</v>
      </c>
      <c r="AA178" s="823">
        <v>398</v>
      </c>
      <c r="AB178" s="823">
        <v>400</v>
      </c>
      <c r="AC178" s="825">
        <v>430</v>
      </c>
      <c r="AD178" s="825">
        <v>440</v>
      </c>
      <c r="AE178" s="825">
        <v>424</v>
      </c>
      <c r="AF178" s="825">
        <v>435</v>
      </c>
      <c r="AG178" s="825">
        <v>386</v>
      </c>
      <c r="AH178" s="825">
        <v>405</v>
      </c>
      <c r="AI178" s="825">
        <v>435</v>
      </c>
      <c r="AJ178" s="825">
        <v>455</v>
      </c>
      <c r="AK178" s="825">
        <v>442</v>
      </c>
      <c r="AL178" s="825">
        <v>457</v>
      </c>
      <c r="AM178" s="825">
        <v>452</v>
      </c>
      <c r="AN178" s="825">
        <v>479</v>
      </c>
      <c r="AO178" s="825">
        <v>503</v>
      </c>
      <c r="AP178" s="825">
        <v>529</v>
      </c>
    </row>
    <row r="179" hidden="1">
      <c r="B179" s="826" t="s">
        <v>12</v>
      </c>
      <c r="C179" s="827">
        <v>1630</v>
      </c>
      <c r="D179" s="827">
        <v>2275</v>
      </c>
      <c r="E179" s="827">
        <v>2524</v>
      </c>
      <c r="F179" s="827">
        <v>2592</v>
      </c>
      <c r="G179" s="827">
        <v>2532</v>
      </c>
      <c r="H179" s="827">
        <v>2558</v>
      </c>
      <c r="I179" s="827">
        <v>2695</v>
      </c>
      <c r="J179" s="827">
        <v>1756</v>
      </c>
      <c r="K179" s="827">
        <v>1770</v>
      </c>
      <c r="L179" s="827">
        <v>1813</v>
      </c>
      <c r="M179" s="827">
        <v>1424</v>
      </c>
      <c r="N179" s="827">
        <v>1413</v>
      </c>
      <c r="O179" s="827">
        <v>1252</v>
      </c>
      <c r="P179" s="827">
        <v>1207</v>
      </c>
      <c r="Q179" s="827">
        <v>1255</v>
      </c>
      <c r="R179" s="827">
        <v>1256</v>
      </c>
      <c r="S179" s="827">
        <v>1058</v>
      </c>
      <c r="T179" s="827">
        <v>996</v>
      </c>
      <c r="U179" s="827">
        <v>894</v>
      </c>
      <c r="V179" s="827">
        <v>922</v>
      </c>
      <c r="W179" s="827">
        <v>996</v>
      </c>
      <c r="X179" s="827">
        <v>932</v>
      </c>
      <c r="Y179" s="827">
        <v>743</v>
      </c>
      <c r="Z179" s="827">
        <v>733</v>
      </c>
      <c r="AA179" s="827">
        <v>825</v>
      </c>
      <c r="AB179" s="827">
        <v>851</v>
      </c>
      <c r="AC179" s="828">
        <v>745</v>
      </c>
      <c r="AD179" s="828">
        <v>661</v>
      </c>
      <c r="AE179" s="828">
        <v>590</v>
      </c>
      <c r="AF179" s="828">
        <v>561</v>
      </c>
      <c r="AG179" s="828">
        <v>614</v>
      </c>
      <c r="AH179" s="828">
        <v>567</v>
      </c>
      <c r="AI179" s="828">
        <v>558</v>
      </c>
      <c r="AJ179" s="828">
        <v>602</v>
      </c>
      <c r="AK179" s="828">
        <v>545</v>
      </c>
      <c r="AL179" s="828">
        <v>555</v>
      </c>
      <c r="AM179" s="828">
        <v>564</v>
      </c>
      <c r="AN179" s="828">
        <v>567</v>
      </c>
      <c r="AO179" s="828">
        <v>545</v>
      </c>
      <c r="AP179" s="828">
        <v>552</v>
      </c>
    </row>
    <row r="180" hidden="1">
      <c r="B180" s="829" t="s">
        <v>13</v>
      </c>
      <c r="C180" s="823">
        <v>522</v>
      </c>
      <c r="D180" s="823">
        <v>531</v>
      </c>
      <c r="E180" s="823">
        <v>794</v>
      </c>
      <c r="F180" s="823">
        <v>869</v>
      </c>
      <c r="G180" s="823">
        <v>1208</v>
      </c>
      <c r="H180" s="823">
        <v>1174</v>
      </c>
      <c r="I180" s="823">
        <v>783</v>
      </c>
      <c r="J180" s="823">
        <v>792</v>
      </c>
      <c r="K180" s="823">
        <v>465</v>
      </c>
      <c r="L180" s="823">
        <v>473</v>
      </c>
      <c r="M180" s="823">
        <v>394</v>
      </c>
      <c r="N180" s="823">
        <v>364</v>
      </c>
      <c r="O180" s="823">
        <v>323</v>
      </c>
      <c r="P180" s="823">
        <v>349</v>
      </c>
      <c r="Q180" s="823">
        <v>364</v>
      </c>
      <c r="R180" s="823">
        <v>366</v>
      </c>
      <c r="S180" s="823">
        <v>384</v>
      </c>
      <c r="T180" s="823">
        <v>378</v>
      </c>
      <c r="U180" s="823">
        <v>358</v>
      </c>
      <c r="V180" s="823">
        <v>356</v>
      </c>
      <c r="W180" s="823">
        <v>287</v>
      </c>
      <c r="X180" s="823">
        <v>309</v>
      </c>
      <c r="Y180" s="823">
        <v>318</v>
      </c>
      <c r="Z180" s="823">
        <v>266</v>
      </c>
      <c r="AA180" s="823">
        <v>302</v>
      </c>
      <c r="AB180" s="823">
        <v>211</v>
      </c>
      <c r="AC180" s="825">
        <v>170</v>
      </c>
      <c r="AD180" s="825">
        <v>173</v>
      </c>
      <c r="AE180" s="825">
        <v>61</v>
      </c>
      <c r="AF180" s="825">
        <v>61</v>
      </c>
      <c r="AG180" s="825">
        <v>66</v>
      </c>
      <c r="AH180" s="825">
        <v>64</v>
      </c>
      <c r="AI180" s="825">
        <v>79</v>
      </c>
      <c r="AJ180" s="825">
        <v>80</v>
      </c>
      <c r="AK180" s="825">
        <v>74</v>
      </c>
      <c r="AL180" s="825">
        <v>75</v>
      </c>
      <c r="AM180" s="825">
        <v>78</v>
      </c>
      <c r="AN180" s="825">
        <v>81</v>
      </c>
      <c r="AO180" s="825">
        <v>100</v>
      </c>
      <c r="AP180" s="825">
        <v>107</v>
      </c>
    </row>
    <row r="181" hidden="1">
      <c r="B181" s="826" t="s">
        <v>109</v>
      </c>
      <c r="C181" s="827">
        <v>5624</v>
      </c>
      <c r="D181" s="827">
        <v>5488</v>
      </c>
      <c r="E181" s="827">
        <v>20119</v>
      </c>
      <c r="F181" s="827">
        <v>19822</v>
      </c>
      <c r="G181" s="827">
        <v>6761</v>
      </c>
      <c r="H181" s="827">
        <v>6633</v>
      </c>
      <c r="I181" s="827">
        <v>33543</v>
      </c>
      <c r="J181" s="827">
        <v>33093</v>
      </c>
      <c r="K181" s="827">
        <v>3532</v>
      </c>
      <c r="L181" s="827">
        <v>3296</v>
      </c>
      <c r="M181" s="827">
        <v>3246</v>
      </c>
      <c r="N181" s="827">
        <v>3187</v>
      </c>
      <c r="O181" s="827">
        <v>2649</v>
      </c>
      <c r="P181" s="827">
        <v>2694</v>
      </c>
      <c r="Q181" s="827">
        <v>2687</v>
      </c>
      <c r="R181" s="827">
        <v>2586</v>
      </c>
      <c r="S181" s="827">
        <v>2331</v>
      </c>
      <c r="T181" s="827">
        <v>2296</v>
      </c>
      <c r="U181" s="827">
        <v>1679</v>
      </c>
      <c r="V181" s="827">
        <v>1654</v>
      </c>
      <c r="W181" s="827">
        <v>1523</v>
      </c>
      <c r="X181" s="827">
        <v>1506</v>
      </c>
      <c r="Y181" s="827">
        <v>1721</v>
      </c>
      <c r="Z181" s="827">
        <v>1888</v>
      </c>
      <c r="AA181" s="827">
        <v>2180</v>
      </c>
      <c r="AB181" s="827">
        <v>2183</v>
      </c>
      <c r="AC181" s="828">
        <v>1386</v>
      </c>
      <c r="AD181" s="828">
        <v>1386</v>
      </c>
      <c r="AE181" s="828">
        <v>1185</v>
      </c>
      <c r="AF181" s="828">
        <v>1133</v>
      </c>
      <c r="AG181" s="828">
        <v>1085</v>
      </c>
      <c r="AH181" s="828">
        <v>1185</v>
      </c>
      <c r="AI181" s="828">
        <v>1166</v>
      </c>
      <c r="AJ181" s="828">
        <v>1130</v>
      </c>
      <c r="AK181" s="828">
        <v>1141</v>
      </c>
      <c r="AL181" s="828">
        <v>1105</v>
      </c>
      <c r="AM181" s="828">
        <v>1091</v>
      </c>
      <c r="AN181" s="828">
        <v>1089</v>
      </c>
      <c r="AO181" s="828">
        <v>9025</v>
      </c>
      <c r="AP181" s="828">
        <v>9025</v>
      </c>
    </row>
    <row r="182" hidden="1">
      <c r="B182" s="829" t="s">
        <v>110</v>
      </c>
      <c r="C182" s="823">
        <v>8987</v>
      </c>
      <c r="D182" s="823">
        <v>9000</v>
      </c>
      <c r="E182" s="823">
        <v>9186</v>
      </c>
      <c r="F182" s="823">
        <v>9240</v>
      </c>
      <c r="G182" s="823">
        <v>8920</v>
      </c>
      <c r="H182" s="823">
        <v>8927</v>
      </c>
      <c r="I182" s="823">
        <v>9127</v>
      </c>
      <c r="J182" s="823">
        <v>9100</v>
      </c>
      <c r="K182" s="823">
        <v>3995</v>
      </c>
      <c r="L182" s="823">
        <v>3951</v>
      </c>
      <c r="M182" s="823">
        <v>3718</v>
      </c>
      <c r="N182" s="823">
        <v>2926</v>
      </c>
      <c r="O182" s="823">
        <v>2786</v>
      </c>
      <c r="P182" s="823">
        <v>2313</v>
      </c>
      <c r="Q182" s="823">
        <v>2212</v>
      </c>
      <c r="R182" s="823">
        <v>2210</v>
      </c>
      <c r="S182" s="823">
        <v>1530</v>
      </c>
      <c r="T182" s="823">
        <v>1581</v>
      </c>
      <c r="U182" s="823">
        <v>2252</v>
      </c>
      <c r="V182" s="823">
        <v>2252</v>
      </c>
      <c r="W182" s="823">
        <v>3480</v>
      </c>
      <c r="X182" s="823">
        <v>3925</v>
      </c>
      <c r="Y182" s="823">
        <v>4132</v>
      </c>
      <c r="Z182" s="823">
        <v>4118</v>
      </c>
      <c r="AA182" s="823">
        <v>1734</v>
      </c>
      <c r="AB182" s="823">
        <v>1716</v>
      </c>
      <c r="AC182" s="825">
        <v>1708</v>
      </c>
      <c r="AD182" s="825">
        <v>1701</v>
      </c>
      <c r="AE182" s="825">
        <v>1905</v>
      </c>
      <c r="AF182" s="825">
        <v>1909</v>
      </c>
      <c r="AG182" s="825">
        <v>1617</v>
      </c>
      <c r="AH182" s="825">
        <v>1632</v>
      </c>
      <c r="AI182" s="825">
        <v>1740</v>
      </c>
      <c r="AJ182" s="825">
        <v>1698</v>
      </c>
      <c r="AK182" s="825">
        <v>1645</v>
      </c>
      <c r="AL182" s="825">
        <v>1595</v>
      </c>
      <c r="AM182" s="825">
        <v>1607</v>
      </c>
      <c r="AN182" s="825">
        <v>1626</v>
      </c>
      <c r="AO182" s="825">
        <v>1697</v>
      </c>
      <c r="AP182" s="825">
        <v>1715</v>
      </c>
    </row>
    <row r="183" hidden="1">
      <c r="B183" s="826" t="s">
        <v>16</v>
      </c>
      <c r="C183" s="827">
        <v>20298</v>
      </c>
      <c r="D183" s="827">
        <v>2125</v>
      </c>
      <c r="E183" s="827">
        <v>20485</v>
      </c>
      <c r="F183" s="827">
        <v>20532</v>
      </c>
      <c r="G183" s="827">
        <v>21258</v>
      </c>
      <c r="H183" s="827">
        <v>21234</v>
      </c>
      <c r="I183" s="827">
        <v>19877</v>
      </c>
      <c r="J183" s="827">
        <v>19395</v>
      </c>
      <c r="K183" s="827">
        <v>19363</v>
      </c>
      <c r="L183" s="827">
        <v>19325</v>
      </c>
      <c r="M183" s="827">
        <v>17879</v>
      </c>
      <c r="N183" s="827">
        <v>17628</v>
      </c>
      <c r="O183" s="827">
        <v>16532</v>
      </c>
      <c r="P183" s="827">
        <v>15049</v>
      </c>
      <c r="Q183" s="827">
        <v>15273</v>
      </c>
      <c r="R183" s="827">
        <v>13956</v>
      </c>
      <c r="S183" s="827">
        <v>13516</v>
      </c>
      <c r="T183" s="827">
        <v>14003</v>
      </c>
      <c r="U183" s="827">
        <v>14233</v>
      </c>
      <c r="V183" s="827">
        <v>13962</v>
      </c>
      <c r="W183" s="827">
        <v>13962</v>
      </c>
      <c r="X183" s="827">
        <v>13962</v>
      </c>
      <c r="Y183" s="827">
        <v>13962</v>
      </c>
      <c r="Z183" s="827">
        <v>13962</v>
      </c>
      <c r="AA183" s="827">
        <v>11151</v>
      </c>
      <c r="AB183" s="827">
        <v>10991</v>
      </c>
      <c r="AC183" s="828">
        <v>10538</v>
      </c>
      <c r="AD183" s="828">
        <v>10352</v>
      </c>
      <c r="AE183" s="828">
        <v>9911</v>
      </c>
      <c r="AF183" s="828">
        <v>10748</v>
      </c>
      <c r="AG183" s="828">
        <v>8825</v>
      </c>
      <c r="AH183" s="828">
        <v>8651</v>
      </c>
      <c r="AI183" s="828">
        <v>8295</v>
      </c>
      <c r="AJ183" s="828">
        <v>8172</v>
      </c>
      <c r="AK183" s="828">
        <v>7669</v>
      </c>
      <c r="AL183" s="828">
        <v>7581</v>
      </c>
      <c r="AM183" s="828">
        <v>6957</v>
      </c>
      <c r="AN183" s="828">
        <v>6875</v>
      </c>
      <c r="AO183" s="828">
        <v>6873</v>
      </c>
      <c r="AP183" s="828">
        <v>6779</v>
      </c>
    </row>
    <row r="184" hidden="1">
      <c r="B184" s="829" t="s">
        <v>17</v>
      </c>
      <c r="C184" s="823">
        <v>776</v>
      </c>
      <c r="D184" s="823">
        <v>742</v>
      </c>
      <c r="E184" s="823">
        <v>643</v>
      </c>
      <c r="F184" s="823">
        <v>817</v>
      </c>
      <c r="G184" s="823">
        <v>688</v>
      </c>
      <c r="H184" s="823">
        <v>756</v>
      </c>
      <c r="I184" s="823">
        <v>571</v>
      </c>
      <c r="J184" s="823">
        <v>442</v>
      </c>
      <c r="K184" s="823">
        <v>391</v>
      </c>
      <c r="L184" s="823">
        <v>1501</v>
      </c>
      <c r="M184" s="823">
        <v>1107</v>
      </c>
      <c r="N184" s="823">
        <v>1144</v>
      </c>
      <c r="O184" s="823">
        <v>405</v>
      </c>
      <c r="P184" s="823">
        <v>442</v>
      </c>
      <c r="Q184" s="823">
        <v>506</v>
      </c>
      <c r="R184" s="823">
        <v>516</v>
      </c>
      <c r="S184" s="823">
        <v>433</v>
      </c>
      <c r="T184" s="823">
        <v>443</v>
      </c>
      <c r="U184" s="823">
        <v>367</v>
      </c>
      <c r="V184" s="823">
        <v>387</v>
      </c>
      <c r="W184" s="823">
        <v>325</v>
      </c>
      <c r="X184" s="823">
        <v>321</v>
      </c>
      <c r="Y184" s="823">
        <v>293</v>
      </c>
      <c r="Z184" s="823">
        <v>293</v>
      </c>
      <c r="AA184" s="823">
        <v>503</v>
      </c>
      <c r="AB184" s="823">
        <v>508</v>
      </c>
      <c r="AC184" s="825">
        <v>358</v>
      </c>
      <c r="AD184" s="825">
        <v>358</v>
      </c>
      <c r="AE184" s="825">
        <v>403</v>
      </c>
      <c r="AF184" s="825">
        <v>374</v>
      </c>
      <c r="AG184" s="825">
        <v>258</v>
      </c>
      <c r="AH184" s="825">
        <v>248</v>
      </c>
      <c r="AI184" s="825">
        <v>245</v>
      </c>
      <c r="AJ184" s="825">
        <v>247</v>
      </c>
      <c r="AK184" s="825">
        <v>255</v>
      </c>
      <c r="AL184" s="825">
        <v>258</v>
      </c>
      <c r="AM184" s="825">
        <v>266</v>
      </c>
      <c r="AN184" s="825">
        <v>267</v>
      </c>
      <c r="AO184" s="825">
        <v>271</v>
      </c>
      <c r="AP184" s="825">
        <v>271</v>
      </c>
    </row>
    <row r="185" hidden="1">
      <c r="B185" s="826" t="s">
        <v>18</v>
      </c>
      <c r="C185" s="827">
        <v>0</v>
      </c>
      <c r="D185" s="827">
        <v>804</v>
      </c>
      <c r="E185" s="827">
        <v>1108</v>
      </c>
      <c r="F185" s="827">
        <v>1196</v>
      </c>
      <c r="G185" s="827">
        <v>4706</v>
      </c>
      <c r="H185" s="827">
        <v>4714</v>
      </c>
      <c r="I185" s="827">
        <v>4582</v>
      </c>
      <c r="J185" s="827">
        <v>4381</v>
      </c>
      <c r="K185" s="827">
        <v>4243</v>
      </c>
      <c r="L185" s="827">
        <v>4187</v>
      </c>
      <c r="M185" s="827">
        <v>4444</v>
      </c>
      <c r="N185" s="827">
        <v>4207</v>
      </c>
      <c r="O185" s="827">
        <v>4076</v>
      </c>
      <c r="P185" s="827">
        <v>3916</v>
      </c>
      <c r="Q185" s="827">
        <v>3598</v>
      </c>
      <c r="R185" s="827">
        <v>3601</v>
      </c>
      <c r="S185" s="827">
        <v>3652</v>
      </c>
      <c r="T185" s="827">
        <v>3470</v>
      </c>
      <c r="U185" s="827">
        <v>4065</v>
      </c>
      <c r="V185" s="827">
        <v>4225</v>
      </c>
      <c r="W185" s="827">
        <v>3751</v>
      </c>
      <c r="X185" s="827">
        <v>3665</v>
      </c>
      <c r="Y185" s="827">
        <v>3311</v>
      </c>
      <c r="Z185" s="827">
        <v>3235</v>
      </c>
      <c r="AA185" s="827">
        <v>2742</v>
      </c>
      <c r="AB185" s="827">
        <v>2699</v>
      </c>
      <c r="AC185" s="828">
        <v>2982</v>
      </c>
      <c r="AD185" s="828">
        <v>2881</v>
      </c>
      <c r="AE185" s="828">
        <v>2790</v>
      </c>
      <c r="AF185" s="828">
        <v>2790</v>
      </c>
      <c r="AG185" s="828">
        <v>2776</v>
      </c>
      <c r="AH185" s="828">
        <v>4284</v>
      </c>
      <c r="AI185" s="828">
        <v>2717</v>
      </c>
      <c r="AJ185" s="828">
        <v>2634</v>
      </c>
      <c r="AK185" s="828">
        <v>2507</v>
      </c>
      <c r="AL185" s="828">
        <v>2467</v>
      </c>
      <c r="AM185" s="828">
        <v>2443</v>
      </c>
      <c r="AN185" s="828">
        <v>2393</v>
      </c>
      <c r="AO185" s="828">
        <v>2228</v>
      </c>
      <c r="AP185" s="828">
        <v>2214</v>
      </c>
    </row>
    <row r="186" hidden="1">
      <c r="B186" s="829" t="s">
        <v>19</v>
      </c>
      <c r="C186" s="823">
        <v>24</v>
      </c>
      <c r="D186" s="823">
        <v>24</v>
      </c>
      <c r="E186" s="823">
        <v>50</v>
      </c>
      <c r="F186" s="823">
        <v>50</v>
      </c>
      <c r="G186" s="823">
        <v>95</v>
      </c>
      <c r="H186" s="823">
        <v>97</v>
      </c>
      <c r="I186" s="823">
        <v>99</v>
      </c>
      <c r="J186" s="823">
        <v>98</v>
      </c>
      <c r="K186" s="823">
        <v>109</v>
      </c>
      <c r="L186" s="823">
        <v>95</v>
      </c>
      <c r="M186" s="823">
        <v>67</v>
      </c>
      <c r="N186" s="823">
        <v>68</v>
      </c>
      <c r="O186" s="823">
        <v>90</v>
      </c>
      <c r="P186" s="823">
        <v>90</v>
      </c>
      <c r="Q186" s="823">
        <v>106</v>
      </c>
      <c r="R186" s="823">
        <v>106</v>
      </c>
      <c r="S186" s="823">
        <v>73</v>
      </c>
      <c r="T186" s="823">
        <v>73</v>
      </c>
      <c r="U186" s="823">
        <v>101</v>
      </c>
      <c r="V186" s="823">
        <v>117</v>
      </c>
      <c r="W186" s="823">
        <v>106</v>
      </c>
      <c r="X186" s="823">
        <v>97</v>
      </c>
      <c r="Y186" s="823">
        <v>74</v>
      </c>
      <c r="Z186" s="823">
        <v>76</v>
      </c>
      <c r="AA186" s="823">
        <v>80</v>
      </c>
      <c r="AB186" s="823">
        <v>85</v>
      </c>
      <c r="AC186" s="825">
        <v>86</v>
      </c>
      <c r="AD186" s="825">
        <v>86</v>
      </c>
      <c r="AE186" s="825">
        <v>89</v>
      </c>
      <c r="AF186" s="825">
        <v>89</v>
      </c>
      <c r="AG186" s="825">
        <v>61</v>
      </c>
      <c r="AH186" s="825">
        <v>61</v>
      </c>
      <c r="AI186" s="825">
        <v>47</v>
      </c>
      <c r="AJ186" s="825">
        <v>46</v>
      </c>
      <c r="AK186" s="825">
        <v>47</v>
      </c>
      <c r="AL186" s="825">
        <v>47</v>
      </c>
      <c r="AM186" s="825">
        <v>61</v>
      </c>
      <c r="AN186" s="825">
        <v>59</v>
      </c>
      <c r="AO186" s="825">
        <v>80</v>
      </c>
      <c r="AP186" s="825">
        <v>80</v>
      </c>
    </row>
    <row r="187" hidden="1">
      <c r="B187" s="826" t="s">
        <v>20</v>
      </c>
      <c r="C187" s="827">
        <v>1089</v>
      </c>
      <c r="D187" s="827">
        <v>1089</v>
      </c>
      <c r="E187" s="827">
        <v>1091</v>
      </c>
      <c r="F187" s="827">
        <v>1198</v>
      </c>
      <c r="G187" s="827">
        <v>1148</v>
      </c>
      <c r="H187" s="827">
        <v>1148</v>
      </c>
      <c r="I187" s="827">
        <v>1338</v>
      </c>
      <c r="J187" s="827">
        <v>1338</v>
      </c>
      <c r="K187" s="827">
        <v>1391</v>
      </c>
      <c r="L187" s="827">
        <v>1381</v>
      </c>
      <c r="M187" s="827">
        <v>1173</v>
      </c>
      <c r="N187" s="827">
        <v>934</v>
      </c>
      <c r="O187" s="827">
        <v>933</v>
      </c>
      <c r="P187" s="827">
        <v>933</v>
      </c>
      <c r="Q187" s="827">
        <v>775</v>
      </c>
      <c r="R187" s="827">
        <v>763</v>
      </c>
      <c r="S187" s="827">
        <v>770</v>
      </c>
      <c r="T187" s="827">
        <v>762</v>
      </c>
      <c r="U187" s="827">
        <v>1041</v>
      </c>
      <c r="V187" s="827">
        <v>1041</v>
      </c>
      <c r="W187" s="827">
        <v>573</v>
      </c>
      <c r="X187" s="827">
        <v>588</v>
      </c>
      <c r="Y187" s="827">
        <v>633</v>
      </c>
      <c r="Z187" s="827">
        <v>633</v>
      </c>
      <c r="AA187" s="827">
        <v>565</v>
      </c>
      <c r="AB187" s="827">
        <v>565</v>
      </c>
      <c r="AC187" s="828">
        <v>583</v>
      </c>
      <c r="AD187" s="828">
        <v>583</v>
      </c>
      <c r="AE187" s="828">
        <v>540</v>
      </c>
      <c r="AF187" s="828">
        <v>532</v>
      </c>
      <c r="AG187" s="828">
        <v>343</v>
      </c>
      <c r="AH187" s="828">
        <v>343</v>
      </c>
      <c r="AI187" s="828">
        <v>397</v>
      </c>
      <c r="AJ187" s="828">
        <v>395</v>
      </c>
      <c r="AK187" s="828">
        <v>420</v>
      </c>
      <c r="AL187" s="828">
        <v>267</v>
      </c>
      <c r="AM187" s="828">
        <v>191</v>
      </c>
      <c r="AN187" s="828">
        <v>191</v>
      </c>
      <c r="AO187" s="828">
        <v>178</v>
      </c>
      <c r="AP187" s="828">
        <v>179</v>
      </c>
    </row>
    <row r="188" hidden="1">
      <c r="B188" s="829" t="s">
        <v>21</v>
      </c>
      <c r="C188" s="823">
        <v>734</v>
      </c>
      <c r="D188" s="823">
        <v>734</v>
      </c>
      <c r="E188" s="823">
        <v>801</v>
      </c>
      <c r="F188" s="823">
        <v>801</v>
      </c>
      <c r="G188" s="823">
        <v>820</v>
      </c>
      <c r="H188" s="823">
        <v>820</v>
      </c>
      <c r="I188" s="823">
        <v>675</v>
      </c>
      <c r="J188" s="823">
        <v>675</v>
      </c>
      <c r="K188" s="823">
        <v>741</v>
      </c>
      <c r="L188" s="823">
        <v>741</v>
      </c>
      <c r="M188" s="823">
        <v>668</v>
      </c>
      <c r="N188" s="823">
        <v>679</v>
      </c>
      <c r="O188" s="823">
        <v>578</v>
      </c>
      <c r="P188" s="823">
        <v>581</v>
      </c>
      <c r="Q188" s="823">
        <v>550</v>
      </c>
      <c r="R188" s="823">
        <v>553</v>
      </c>
      <c r="S188" s="823">
        <v>638</v>
      </c>
      <c r="T188" s="823">
        <v>360</v>
      </c>
      <c r="U188" s="823">
        <v>176</v>
      </c>
      <c r="V188" s="823">
        <v>176</v>
      </c>
      <c r="W188" s="823">
        <v>184</v>
      </c>
      <c r="X188" s="823">
        <v>136</v>
      </c>
      <c r="Y188" s="823">
        <v>149</v>
      </c>
      <c r="Z188" s="823">
        <v>149</v>
      </c>
      <c r="AA188" s="823">
        <v>156</v>
      </c>
      <c r="AB188" s="823">
        <v>156</v>
      </c>
      <c r="AC188" s="825">
        <v>143</v>
      </c>
      <c r="AD188" s="825">
        <v>144</v>
      </c>
      <c r="AE188" s="825">
        <v>128</v>
      </c>
      <c r="AF188" s="825">
        <v>127</v>
      </c>
      <c r="AG188" s="825">
        <v>126</v>
      </c>
      <c r="AH188" s="825">
        <v>118</v>
      </c>
      <c r="AI188" s="825">
        <v>147</v>
      </c>
      <c r="AJ188" s="825">
        <v>140</v>
      </c>
      <c r="AK188" s="825">
        <v>144</v>
      </c>
      <c r="AL188" s="825">
        <v>146</v>
      </c>
      <c r="AM188" s="825">
        <v>130</v>
      </c>
      <c r="AN188" s="825">
        <v>131</v>
      </c>
      <c r="AO188" s="825">
        <v>133</v>
      </c>
      <c r="AP188" s="825">
        <v>133</v>
      </c>
    </row>
    <row r="189" hidden="1">
      <c r="B189" s="826" t="s">
        <v>22</v>
      </c>
      <c r="C189" s="827">
        <v>0</v>
      </c>
      <c r="D189" s="827">
        <v>0</v>
      </c>
      <c r="E189" s="827">
        <v>0</v>
      </c>
      <c r="F189" s="827">
        <v>0</v>
      </c>
      <c r="G189" s="827">
        <v>0</v>
      </c>
      <c r="H189" s="827">
        <v>0</v>
      </c>
      <c r="I189" s="827">
        <v>0</v>
      </c>
      <c r="J189" s="827">
        <v>0</v>
      </c>
      <c r="K189" s="827">
        <v>150</v>
      </c>
      <c r="L189" s="827">
        <v>150</v>
      </c>
      <c r="M189" s="827">
        <v>150</v>
      </c>
      <c r="N189" s="827">
        <v>150</v>
      </c>
      <c r="O189" s="827">
        <v>0</v>
      </c>
      <c r="P189" s="827">
        <v>335</v>
      </c>
      <c r="Q189" s="827">
        <v>325</v>
      </c>
      <c r="R189" s="827">
        <v>325</v>
      </c>
      <c r="S189" s="827">
        <v>360</v>
      </c>
      <c r="T189" s="827">
        <v>360</v>
      </c>
      <c r="U189" s="827">
        <v>559</v>
      </c>
      <c r="V189" s="827">
        <v>565</v>
      </c>
      <c r="W189" s="827">
        <v>726</v>
      </c>
      <c r="X189" s="827">
        <v>711</v>
      </c>
      <c r="Y189" s="827">
        <v>721</v>
      </c>
      <c r="Z189" s="827">
        <v>731</v>
      </c>
      <c r="AA189" s="827">
        <v>721</v>
      </c>
      <c r="AB189" s="827">
        <v>721</v>
      </c>
      <c r="AC189" s="828">
        <v>36</v>
      </c>
      <c r="AD189" s="828">
        <v>36</v>
      </c>
      <c r="AE189" s="828">
        <v>607</v>
      </c>
      <c r="AF189" s="828">
        <v>607</v>
      </c>
      <c r="AG189" s="828">
        <v>500</v>
      </c>
      <c r="AH189" s="828">
        <v>500</v>
      </c>
      <c r="AI189" s="828">
        <v>481</v>
      </c>
      <c r="AJ189" s="828">
        <v>481</v>
      </c>
      <c r="AK189" s="828">
        <v>445</v>
      </c>
      <c r="AL189" s="828">
        <v>35</v>
      </c>
      <c r="AM189" s="828">
        <v>33</v>
      </c>
      <c r="AN189" s="828">
        <v>30</v>
      </c>
      <c r="AO189" s="828">
        <v>39</v>
      </c>
      <c r="AP189" s="828">
        <v>38</v>
      </c>
    </row>
    <row r="190" hidden="1">
      <c r="B190" s="829" t="s">
        <v>23</v>
      </c>
      <c r="C190" s="823">
        <v>586</v>
      </c>
      <c r="D190" s="823">
        <v>587</v>
      </c>
      <c r="E190" s="823">
        <v>498</v>
      </c>
      <c r="F190" s="823">
        <v>498</v>
      </c>
      <c r="G190" s="823">
        <v>430</v>
      </c>
      <c r="H190" s="823">
        <v>430</v>
      </c>
      <c r="I190" s="823">
        <v>415</v>
      </c>
      <c r="J190" s="823">
        <v>415</v>
      </c>
      <c r="K190" s="823">
        <v>414</v>
      </c>
      <c r="L190" s="823">
        <v>414</v>
      </c>
      <c r="M190" s="823">
        <v>401</v>
      </c>
      <c r="N190" s="823">
        <v>401</v>
      </c>
      <c r="O190" s="823">
        <v>381</v>
      </c>
      <c r="P190" s="823">
        <v>381</v>
      </c>
      <c r="Q190" s="823">
        <v>312</v>
      </c>
      <c r="R190" s="823">
        <v>313</v>
      </c>
      <c r="S190" s="823">
        <v>289</v>
      </c>
      <c r="T190" s="823">
        <v>289</v>
      </c>
      <c r="U190" s="823">
        <v>198</v>
      </c>
      <c r="V190" s="823">
        <v>195</v>
      </c>
      <c r="W190" s="823">
        <v>145</v>
      </c>
      <c r="X190" s="823">
        <v>145</v>
      </c>
      <c r="Y190" s="823">
        <v>148</v>
      </c>
      <c r="Z190" s="823">
        <v>148</v>
      </c>
      <c r="AA190" s="823">
        <v>147</v>
      </c>
      <c r="AB190" s="823">
        <v>147</v>
      </c>
      <c r="AC190" s="825">
        <v>128</v>
      </c>
      <c r="AD190" s="825">
        <v>128</v>
      </c>
      <c r="AE190" s="825">
        <v>87</v>
      </c>
      <c r="AF190" s="825">
        <v>87</v>
      </c>
      <c r="AG190" s="825">
        <v>101</v>
      </c>
      <c r="AH190" s="825">
        <v>101</v>
      </c>
      <c r="AI190" s="825">
        <v>11</v>
      </c>
      <c r="AJ190" s="825">
        <v>11</v>
      </c>
      <c r="AK190" s="825">
        <v>6</v>
      </c>
      <c r="AL190" s="825">
        <v>6</v>
      </c>
      <c r="AM190" s="825">
        <v>6</v>
      </c>
      <c r="AN190" s="825">
        <v>6</v>
      </c>
      <c r="AO190" s="825">
        <v>6</v>
      </c>
      <c r="AP190" s="825">
        <v>6</v>
      </c>
    </row>
    <row r="191" hidden="1">
      <c r="B191" s="835" t="s">
        <v>24</v>
      </c>
      <c r="C191" s="827">
        <v>8289</v>
      </c>
      <c r="D191" s="827">
        <v>7486</v>
      </c>
      <c r="E191" s="827">
        <v>7360</v>
      </c>
      <c r="F191" s="827">
        <v>6925</v>
      </c>
      <c r="G191" s="827">
        <v>5668</v>
      </c>
      <c r="H191" s="827">
        <v>5235</v>
      </c>
      <c r="I191" s="827">
        <v>5278</v>
      </c>
      <c r="J191" s="827">
        <v>5317</v>
      </c>
      <c r="K191" s="827">
        <v>4744</v>
      </c>
      <c r="L191" s="827">
        <v>4778</v>
      </c>
      <c r="M191" s="827">
        <v>4516</v>
      </c>
      <c r="N191" s="827">
        <v>4386</v>
      </c>
      <c r="O191" s="827">
        <v>4594</v>
      </c>
      <c r="P191" s="827">
        <v>4581</v>
      </c>
      <c r="Q191" s="827">
        <v>4108</v>
      </c>
      <c r="R191" s="827">
        <v>3842</v>
      </c>
      <c r="S191" s="827">
        <v>3784</v>
      </c>
      <c r="T191" s="827">
        <v>3583</v>
      </c>
      <c r="U191" s="827">
        <v>3449</v>
      </c>
      <c r="V191" s="827">
        <v>3391</v>
      </c>
      <c r="W191" s="827">
        <v>2923</v>
      </c>
      <c r="X191" s="827">
        <v>2803</v>
      </c>
      <c r="Y191" s="827">
        <v>2582</v>
      </c>
      <c r="Z191" s="827">
        <v>2591</v>
      </c>
      <c r="AA191" s="827">
        <v>2537</v>
      </c>
      <c r="AB191" s="827">
        <v>2377</v>
      </c>
      <c r="AC191" s="828">
        <v>2133</v>
      </c>
      <c r="AD191" s="828">
        <v>2095</v>
      </c>
      <c r="AE191" s="828">
        <v>2047</v>
      </c>
      <c r="AF191" s="828">
        <v>2039</v>
      </c>
      <c r="AG191" s="828">
        <v>1828</v>
      </c>
      <c r="AH191" s="828">
        <v>1823</v>
      </c>
      <c r="AI191" s="828">
        <v>1663</v>
      </c>
      <c r="AJ191" s="828">
        <v>1486</v>
      </c>
      <c r="AK191" s="828">
        <v>3567</v>
      </c>
      <c r="AL191" s="828">
        <v>3507</v>
      </c>
      <c r="AM191" s="828">
        <v>1349</v>
      </c>
      <c r="AN191" s="828">
        <v>1628</v>
      </c>
      <c r="AO191" s="828">
        <v>1103</v>
      </c>
      <c r="AP191" s="828">
        <v>1100</v>
      </c>
    </row>
    <row r="192" hidden="1">
      <c r="B192" s="829" t="s">
        <v>25</v>
      </c>
      <c r="C192" s="823">
        <v>0</v>
      </c>
      <c r="D192" s="823">
        <v>0</v>
      </c>
      <c r="E192" s="823">
        <v>0</v>
      </c>
      <c r="F192" s="823">
        <v>0</v>
      </c>
      <c r="G192" s="823">
        <v>0</v>
      </c>
      <c r="H192" s="823">
        <v>0</v>
      </c>
      <c r="I192" s="823">
        <v>0</v>
      </c>
      <c r="J192" s="823">
        <v>0</v>
      </c>
      <c r="K192" s="823">
        <v>0</v>
      </c>
      <c r="L192" s="823">
        <v>0</v>
      </c>
      <c r="M192" s="823">
        <v>0</v>
      </c>
      <c r="N192" s="823">
        <v>0</v>
      </c>
      <c r="O192" s="823">
        <v>0</v>
      </c>
      <c r="P192" s="823">
        <v>0</v>
      </c>
      <c r="Q192" s="823">
        <v>0</v>
      </c>
      <c r="R192" s="823">
        <v>0</v>
      </c>
      <c r="S192" s="823">
        <v>0</v>
      </c>
      <c r="T192" s="823">
        <v>0</v>
      </c>
      <c r="U192" s="823">
        <v>0</v>
      </c>
      <c r="V192" s="823">
        <v>0</v>
      </c>
      <c r="W192" s="823">
        <v>0</v>
      </c>
      <c r="X192" s="823">
        <v>0</v>
      </c>
      <c r="Y192" s="823">
        <v>0</v>
      </c>
      <c r="Z192" s="823">
        <v>0</v>
      </c>
      <c r="AA192" s="823">
        <v>0</v>
      </c>
      <c r="AB192" s="823">
        <v>0</v>
      </c>
      <c r="AC192" s="825">
        <v>0</v>
      </c>
      <c r="AD192" s="825">
        <v>0</v>
      </c>
      <c r="AE192" s="825">
        <v>0</v>
      </c>
      <c r="AF192" s="825">
        <v>0</v>
      </c>
      <c r="AG192" s="825">
        <v>0</v>
      </c>
      <c r="AH192" s="825">
        <v>0</v>
      </c>
      <c r="AI192" s="825">
        <v>0</v>
      </c>
      <c r="AJ192" s="825">
        <v>0</v>
      </c>
      <c r="AK192" s="825">
        <v>0</v>
      </c>
      <c r="AL192" s="825">
        <v>0</v>
      </c>
      <c r="AM192" s="825">
        <v>0</v>
      </c>
      <c r="AN192" s="825">
        <v>0</v>
      </c>
      <c r="AO192" s="825">
        <v>0</v>
      </c>
      <c r="AP192" s="825">
        <v>0</v>
      </c>
    </row>
    <row r="193" hidden="1" ht="13.5">
      <c r="B193" s="836" t="s">
        <v>26</v>
      </c>
      <c r="C193" s="827">
        <v>0</v>
      </c>
      <c r="D193" s="827">
        <v>0</v>
      </c>
      <c r="E193" s="827">
        <v>0</v>
      </c>
      <c r="F193" s="827">
        <v>0</v>
      </c>
      <c r="G193" s="827">
        <v>0</v>
      </c>
      <c r="H193" s="827">
        <v>0</v>
      </c>
      <c r="I193" s="827">
        <v>0</v>
      </c>
      <c r="J193" s="827">
        <v>0</v>
      </c>
      <c r="K193" s="827">
        <v>0</v>
      </c>
      <c r="L193" s="827">
        <v>0</v>
      </c>
      <c r="M193" s="827">
        <v>0</v>
      </c>
      <c r="N193" s="827">
        <v>0</v>
      </c>
      <c r="O193" s="827">
        <v>0</v>
      </c>
      <c r="P193" s="827">
        <v>0</v>
      </c>
      <c r="Q193" s="827">
        <v>0</v>
      </c>
      <c r="R193" s="827">
        <v>0</v>
      </c>
      <c r="S193" s="827">
        <v>0</v>
      </c>
      <c r="T193" s="827">
        <v>0</v>
      </c>
      <c r="U193" s="827">
        <v>0</v>
      </c>
      <c r="V193" s="827">
        <v>0</v>
      </c>
      <c r="W193" s="827">
        <v>0</v>
      </c>
      <c r="X193" s="827">
        <v>0</v>
      </c>
      <c r="Y193" s="827">
        <v>0</v>
      </c>
      <c r="Z193" s="827">
        <v>0</v>
      </c>
      <c r="AA193" s="827">
        <v>0</v>
      </c>
      <c r="AB193" s="837">
        <v>0</v>
      </c>
      <c r="AC193" s="828">
        <v>0</v>
      </c>
      <c r="AD193" s="828">
        <v>0</v>
      </c>
      <c r="AE193" s="828">
        <v>0</v>
      </c>
      <c r="AF193" s="828">
        <v>0</v>
      </c>
      <c r="AG193" s="828">
        <v>0</v>
      </c>
      <c r="AH193" s="828">
        <v>0</v>
      </c>
      <c r="AI193" s="828">
        <v>0</v>
      </c>
      <c r="AJ193" s="828">
        <v>0</v>
      </c>
      <c r="AK193" s="828">
        <v>0</v>
      </c>
      <c r="AL193" s="828">
        <v>0</v>
      </c>
      <c r="AM193" s="828">
        <v>0</v>
      </c>
      <c r="AN193" s="828">
        <v>0</v>
      </c>
      <c r="AO193" s="828">
        <v>0</v>
      </c>
      <c r="AP193" s="828">
        <v>0</v>
      </c>
    </row>
    <row r="194" hidden="1" ht="13.5">
      <c r="B194" s="128" t="s">
        <v>7</v>
      </c>
      <c r="C194" s="129" t="str">
        <f>IF(SUM(C175:C193)&lt;&gt;0,SUM(C175:C193),"")</f>
      </c>
      <c r="D194" s="129" t="str">
        <f ref="D194:AA194" t="shared" si="15">IF(SUM(D175:D193)&lt;&gt;0,SUM(D175:D193),"")</f>
      </c>
      <c r="E194" s="129" t="str">
        <f t="shared" si="15"/>
      </c>
      <c r="F194" s="129" t="str">
        <f t="shared" si="15"/>
      </c>
      <c r="G194" s="129" t="str">
        <f t="shared" si="15"/>
      </c>
      <c r="H194" s="129" t="str">
        <f t="shared" si="15"/>
      </c>
      <c r="I194" s="129" t="str">
        <f t="shared" si="15"/>
      </c>
      <c r="J194" s="129" t="str">
        <f t="shared" si="15"/>
      </c>
      <c r="K194" s="129" t="str">
        <f t="shared" si="15"/>
      </c>
      <c r="L194" s="129" t="str">
        <f t="shared" si="15"/>
      </c>
      <c r="M194" s="129" t="str">
        <f t="shared" si="15"/>
      </c>
      <c r="N194" s="129" t="str">
        <f t="shared" si="15"/>
      </c>
      <c r="O194" s="129" t="str">
        <f t="shared" si="15"/>
      </c>
      <c r="P194" s="129" t="str">
        <f t="shared" si="15"/>
      </c>
      <c r="Q194" s="129" t="str">
        <f t="shared" si="15"/>
      </c>
      <c r="R194" s="129" t="str">
        <f t="shared" si="15"/>
      </c>
      <c r="S194" s="129" t="str">
        <f t="shared" si="15"/>
      </c>
      <c r="T194" s="129" t="str">
        <f t="shared" si="15"/>
      </c>
      <c r="U194" s="129" t="str">
        <f t="shared" si="15"/>
      </c>
      <c r="V194" s="129" t="str">
        <f t="shared" si="15"/>
      </c>
      <c r="W194" s="129" t="str">
        <f t="shared" si="15"/>
      </c>
      <c r="X194" s="129" t="str">
        <f t="shared" si="15"/>
      </c>
      <c r="Y194" s="129" t="str">
        <f t="shared" si="15"/>
      </c>
      <c r="Z194" s="129" t="str">
        <f t="shared" si="15"/>
      </c>
      <c r="AA194" s="129" t="str">
        <f t="shared" si="15"/>
      </c>
      <c r="AB194" s="130" t="str">
        <f>IF(SUM(AB175:AB193)&lt;&gt;0,SUM(AB175:AB193),"")</f>
      </c>
      <c r="AC194" s="91" t="str">
        <f ref="AC194:CN194" t="shared" si="16">IF(SUM(AC175:AC193)&lt;&gt;0,SUM(AC175:AC193),"")</f>
      </c>
      <c r="AD194" s="91" t="str">
        <f t="shared" si="16"/>
      </c>
      <c r="AE194" s="91" t="str">
        <f t="shared" si="16"/>
      </c>
      <c r="AF194" s="91" t="str">
        <f t="shared" si="16"/>
      </c>
      <c r="AG194" s="91" t="str">
        <f t="shared" si="16"/>
      </c>
      <c r="AH194" s="91" t="str">
        <f t="shared" si="16"/>
      </c>
      <c r="AI194" s="91" t="str">
        <f t="shared" si="16"/>
      </c>
      <c r="AJ194" s="91" t="str">
        <f t="shared" si="16"/>
      </c>
      <c r="AK194" s="91" t="str">
        <f t="shared" si="16"/>
      </c>
      <c r="AL194" s="91" t="str">
        <f t="shared" si="16"/>
      </c>
      <c r="AM194" s="91" t="str">
        <f t="shared" si="16"/>
      </c>
      <c r="AN194" s="91" t="str">
        <f t="shared" si="16"/>
      </c>
      <c r="AO194" s="91" t="str">
        <f t="shared" si="16"/>
      </c>
      <c r="AP194" s="91" t="str">
        <f t="shared" si="16"/>
      </c>
      <c r="AQ194" s="91" t="str">
        <f t="shared" si="16"/>
      </c>
      <c r="AR194" s="91" t="str">
        <f t="shared" si="16"/>
      </c>
      <c r="AS194" s="91" t="str">
        <f t="shared" si="16"/>
      </c>
      <c r="AT194" s="91" t="str">
        <f t="shared" si="16"/>
      </c>
      <c r="AU194" s="91" t="str">
        <f t="shared" si="16"/>
      </c>
      <c r="AV194" s="91" t="str">
        <f t="shared" si="16"/>
      </c>
      <c r="AW194" s="91" t="str">
        <f t="shared" si="16"/>
      </c>
      <c r="AX194" s="91" t="str">
        <f t="shared" si="16"/>
      </c>
      <c r="AY194" s="91" t="str">
        <f t="shared" si="16"/>
      </c>
      <c r="AZ194" s="91" t="str">
        <f t="shared" si="16"/>
      </c>
      <c r="BA194" s="91" t="str">
        <f t="shared" si="16"/>
      </c>
      <c r="BB194" s="91" t="str">
        <f t="shared" si="16"/>
      </c>
      <c r="BC194" s="91" t="str">
        <f t="shared" si="16"/>
      </c>
      <c r="BD194" s="91" t="str">
        <f t="shared" si="16"/>
      </c>
      <c r="BE194" s="91" t="str">
        <f t="shared" si="16"/>
      </c>
      <c r="BF194" s="91" t="str">
        <f t="shared" si="16"/>
      </c>
      <c r="BG194" s="91" t="str">
        <f t="shared" si="16"/>
      </c>
      <c r="BH194" s="91" t="str">
        <f t="shared" si="16"/>
      </c>
      <c r="BI194" s="91" t="str">
        <f t="shared" si="16"/>
      </c>
      <c r="BJ194" s="91" t="str">
        <f t="shared" si="16"/>
      </c>
      <c r="BK194" s="91" t="str">
        <f t="shared" si="16"/>
      </c>
      <c r="BL194" s="91" t="str">
        <f t="shared" si="16"/>
      </c>
      <c r="BM194" s="91" t="str">
        <f t="shared" si="16"/>
      </c>
      <c r="BN194" s="91" t="str">
        <f t="shared" si="16"/>
      </c>
      <c r="BO194" s="91" t="str">
        <f t="shared" si="16"/>
      </c>
      <c r="BP194" s="91" t="str">
        <f t="shared" si="16"/>
      </c>
      <c r="BQ194" s="91" t="str">
        <f t="shared" si="16"/>
      </c>
      <c r="BR194" s="91" t="str">
        <f t="shared" si="16"/>
      </c>
      <c r="BS194" s="91" t="str">
        <f t="shared" si="16"/>
      </c>
      <c r="BT194" s="91" t="str">
        <f t="shared" si="16"/>
      </c>
      <c r="BU194" s="91" t="str">
        <f t="shared" si="16"/>
      </c>
      <c r="BV194" s="91" t="str">
        <f t="shared" si="16"/>
      </c>
      <c r="BW194" s="91" t="str">
        <f t="shared" si="16"/>
      </c>
      <c r="BX194" s="91" t="str">
        <f t="shared" si="16"/>
      </c>
      <c r="BY194" s="91" t="str">
        <f t="shared" si="16"/>
      </c>
      <c r="BZ194" s="91" t="str">
        <f t="shared" si="16"/>
      </c>
      <c r="CA194" s="91" t="str">
        <f t="shared" si="16"/>
      </c>
      <c r="CB194" s="91" t="str">
        <f t="shared" si="16"/>
      </c>
      <c r="CC194" s="91" t="str">
        <f t="shared" si="16"/>
      </c>
      <c r="CD194" s="91" t="str">
        <f t="shared" si="16"/>
      </c>
      <c r="CE194" s="91" t="str">
        <f t="shared" si="16"/>
      </c>
      <c r="CF194" s="91" t="str">
        <f t="shared" si="16"/>
      </c>
      <c r="CG194" s="91" t="str">
        <f t="shared" si="16"/>
      </c>
      <c r="CH194" s="91" t="str">
        <f t="shared" si="16"/>
      </c>
      <c r="CI194" s="91" t="str">
        <f t="shared" si="16"/>
      </c>
      <c r="CJ194" s="91" t="str">
        <f t="shared" si="16"/>
      </c>
      <c r="CK194" s="91" t="str">
        <f t="shared" si="16"/>
      </c>
      <c r="CL194" s="91" t="str">
        <f t="shared" si="16"/>
      </c>
      <c r="CM194" s="91" t="str">
        <f t="shared" si="16"/>
      </c>
      <c r="CN194" s="91" t="str">
        <f t="shared" si="16"/>
      </c>
      <c r="CO194" s="91" t="str">
        <f ref="CO194:EZ194" t="shared" si="17">IF(SUM(CO175:CO193)&lt;&gt;0,SUM(CO175:CO193),"")</f>
      </c>
      <c r="CP194" s="91" t="str">
        <f t="shared" si="17"/>
      </c>
      <c r="CQ194" s="91" t="str">
        <f t="shared" si="17"/>
      </c>
      <c r="CR194" s="91" t="str">
        <f t="shared" si="17"/>
      </c>
      <c r="CS194" s="91" t="str">
        <f t="shared" si="17"/>
      </c>
      <c r="CT194" s="91" t="str">
        <f t="shared" si="17"/>
      </c>
      <c r="CU194" s="91" t="str">
        <f t="shared" si="17"/>
      </c>
      <c r="CV194" s="91" t="str">
        <f t="shared" si="17"/>
      </c>
      <c r="CW194" s="91" t="str">
        <f t="shared" si="17"/>
      </c>
      <c r="CX194" s="91" t="str">
        <f t="shared" si="17"/>
      </c>
      <c r="CY194" s="91" t="str">
        <f t="shared" si="17"/>
      </c>
      <c r="CZ194" s="91" t="str">
        <f t="shared" si="17"/>
      </c>
      <c r="DA194" s="91" t="str">
        <f t="shared" si="17"/>
      </c>
      <c r="DB194" s="91" t="str">
        <f t="shared" si="17"/>
      </c>
      <c r="DC194" s="91" t="str">
        <f t="shared" si="17"/>
      </c>
      <c r="DD194" s="91" t="str">
        <f t="shared" si="17"/>
      </c>
      <c r="DE194" s="91" t="str">
        <f t="shared" si="17"/>
      </c>
      <c r="DF194" s="91" t="str">
        <f t="shared" si="17"/>
      </c>
      <c r="DG194" s="91" t="str">
        <f t="shared" si="17"/>
      </c>
      <c r="DH194" s="91" t="str">
        <f t="shared" si="17"/>
      </c>
      <c r="DI194" s="91" t="str">
        <f t="shared" si="17"/>
      </c>
      <c r="DJ194" s="91" t="str">
        <f t="shared" si="17"/>
      </c>
      <c r="DK194" s="91" t="str">
        <f t="shared" si="17"/>
      </c>
      <c r="DL194" s="91" t="str">
        <f t="shared" si="17"/>
      </c>
      <c r="DM194" s="91" t="str">
        <f t="shared" si="17"/>
      </c>
      <c r="DN194" s="91" t="str">
        <f t="shared" si="17"/>
      </c>
      <c r="DO194" s="91" t="str">
        <f t="shared" si="17"/>
      </c>
      <c r="DP194" s="91" t="str">
        <f t="shared" si="17"/>
      </c>
      <c r="DQ194" s="91" t="str">
        <f t="shared" si="17"/>
      </c>
      <c r="DR194" s="91" t="str">
        <f t="shared" si="17"/>
      </c>
      <c r="DS194" s="91" t="str">
        <f t="shared" si="17"/>
      </c>
      <c r="DT194" s="91" t="str">
        <f t="shared" si="17"/>
      </c>
      <c r="DU194" s="91" t="str">
        <f t="shared" si="17"/>
      </c>
      <c r="DV194" s="91" t="str">
        <f t="shared" si="17"/>
      </c>
      <c r="DW194" s="91" t="str">
        <f t="shared" si="17"/>
      </c>
      <c r="DX194" s="91" t="str">
        <f t="shared" si="17"/>
      </c>
      <c r="DY194" s="91" t="str">
        <f t="shared" si="17"/>
      </c>
      <c r="DZ194" s="91" t="str">
        <f t="shared" si="17"/>
      </c>
      <c r="EA194" s="91" t="str">
        <f t="shared" si="17"/>
      </c>
      <c r="EB194" s="91" t="str">
        <f t="shared" si="17"/>
      </c>
      <c r="EC194" s="91" t="str">
        <f t="shared" si="17"/>
      </c>
      <c r="ED194" s="91" t="str">
        <f t="shared" si="17"/>
      </c>
      <c r="EE194" s="91" t="str">
        <f t="shared" si="17"/>
      </c>
      <c r="EF194" s="91" t="str">
        <f t="shared" si="17"/>
      </c>
      <c r="EG194" s="91" t="str">
        <f t="shared" si="17"/>
      </c>
      <c r="EH194" s="91" t="str">
        <f t="shared" si="17"/>
      </c>
      <c r="EI194" s="91" t="str">
        <f t="shared" si="17"/>
      </c>
      <c r="EJ194" s="91" t="str">
        <f t="shared" si="17"/>
      </c>
      <c r="EK194" s="91" t="str">
        <f t="shared" si="17"/>
      </c>
      <c r="EL194" s="91" t="str">
        <f t="shared" si="17"/>
      </c>
      <c r="EM194" s="91" t="str">
        <f t="shared" si="17"/>
      </c>
      <c r="EN194" s="91" t="str">
        <f t="shared" si="17"/>
      </c>
      <c r="EO194" s="91" t="str">
        <f t="shared" si="17"/>
      </c>
      <c r="EP194" s="91" t="str">
        <f t="shared" si="17"/>
      </c>
      <c r="EQ194" s="91" t="str">
        <f t="shared" si="17"/>
      </c>
      <c r="ER194" s="91" t="str">
        <f t="shared" si="17"/>
      </c>
      <c r="ES194" s="91" t="str">
        <f t="shared" si="17"/>
      </c>
      <c r="ET194" s="91" t="str">
        <f t="shared" si="17"/>
      </c>
      <c r="EU194" s="91" t="str">
        <f t="shared" si="17"/>
      </c>
      <c r="EV194" s="91" t="str">
        <f t="shared" si="17"/>
      </c>
      <c r="EW194" s="91" t="str">
        <f t="shared" si="17"/>
      </c>
      <c r="EX194" s="91" t="str">
        <f t="shared" si="17"/>
      </c>
      <c r="EY194" s="91" t="str">
        <f t="shared" si="17"/>
      </c>
      <c r="EZ194" s="91" t="str">
        <f t="shared" si="17"/>
      </c>
      <c r="FA194" s="91" t="str">
        <f ref="FA194:HL194" t="shared" si="18">IF(SUM(FA175:FA193)&lt;&gt;0,SUM(FA175:FA193),"")</f>
      </c>
      <c r="FB194" s="91" t="str">
        <f t="shared" si="18"/>
      </c>
      <c r="FC194" s="91" t="str">
        <f t="shared" si="18"/>
      </c>
      <c r="FD194" s="91" t="str">
        <f t="shared" si="18"/>
      </c>
      <c r="FE194" s="91" t="str">
        <f t="shared" si="18"/>
      </c>
      <c r="FF194" s="91" t="str">
        <f t="shared" si="18"/>
      </c>
      <c r="FG194" s="91" t="str">
        <f t="shared" si="18"/>
      </c>
      <c r="FH194" s="91" t="str">
        <f t="shared" si="18"/>
      </c>
      <c r="FI194" s="91" t="str">
        <f t="shared" si="18"/>
      </c>
      <c r="FJ194" s="91" t="str">
        <f t="shared" si="18"/>
      </c>
      <c r="FK194" s="91" t="str">
        <f t="shared" si="18"/>
      </c>
      <c r="FL194" s="91" t="str">
        <f t="shared" si="18"/>
      </c>
      <c r="FM194" s="91" t="str">
        <f t="shared" si="18"/>
      </c>
      <c r="FN194" s="91" t="str">
        <f t="shared" si="18"/>
      </c>
      <c r="FO194" s="91" t="str">
        <f t="shared" si="18"/>
      </c>
      <c r="FP194" s="91" t="str">
        <f t="shared" si="18"/>
      </c>
      <c r="FQ194" s="91" t="str">
        <f t="shared" si="18"/>
      </c>
      <c r="FR194" s="91" t="str">
        <f t="shared" si="18"/>
      </c>
      <c r="FS194" s="91" t="str">
        <f t="shared" si="18"/>
      </c>
      <c r="FT194" s="91" t="str">
        <f t="shared" si="18"/>
      </c>
      <c r="FU194" s="91" t="str">
        <f t="shared" si="18"/>
      </c>
      <c r="FV194" s="91" t="str">
        <f t="shared" si="18"/>
      </c>
      <c r="FW194" s="91" t="str">
        <f t="shared" si="18"/>
      </c>
      <c r="FX194" s="91" t="str">
        <f t="shared" si="18"/>
      </c>
      <c r="FY194" s="91" t="str">
        <f t="shared" si="18"/>
      </c>
      <c r="FZ194" s="91" t="str">
        <f t="shared" si="18"/>
      </c>
      <c r="GA194" s="91" t="str">
        <f t="shared" si="18"/>
      </c>
      <c r="GB194" s="91" t="str">
        <f t="shared" si="18"/>
      </c>
      <c r="GC194" s="91" t="str">
        <f t="shared" si="18"/>
      </c>
      <c r="GD194" s="91" t="str">
        <f t="shared" si="18"/>
      </c>
      <c r="GE194" s="91" t="str">
        <f t="shared" si="18"/>
      </c>
      <c r="GF194" s="91" t="str">
        <f t="shared" si="18"/>
      </c>
      <c r="GG194" s="91" t="str">
        <f t="shared" si="18"/>
      </c>
      <c r="GH194" s="91" t="str">
        <f t="shared" si="18"/>
      </c>
      <c r="GI194" s="91" t="str">
        <f t="shared" si="18"/>
      </c>
      <c r="GJ194" s="91" t="str">
        <f t="shared" si="18"/>
      </c>
      <c r="GK194" s="91" t="str">
        <f t="shared" si="18"/>
      </c>
      <c r="GL194" s="91" t="str">
        <f t="shared" si="18"/>
      </c>
      <c r="GM194" s="91" t="str">
        <f t="shared" si="18"/>
      </c>
      <c r="GN194" s="91" t="str">
        <f t="shared" si="18"/>
      </c>
      <c r="GO194" s="91" t="str">
        <f t="shared" si="18"/>
      </c>
      <c r="GP194" s="91" t="str">
        <f t="shared" si="18"/>
      </c>
      <c r="GQ194" s="91" t="str">
        <f t="shared" si="18"/>
      </c>
      <c r="GR194" s="91" t="str">
        <f t="shared" si="18"/>
      </c>
      <c r="GS194" s="91" t="str">
        <f t="shared" si="18"/>
      </c>
      <c r="GT194" s="91" t="str">
        <f t="shared" si="18"/>
      </c>
      <c r="GU194" s="91" t="str">
        <f t="shared" si="18"/>
      </c>
      <c r="GV194" s="91" t="str">
        <f t="shared" si="18"/>
      </c>
      <c r="GW194" s="91" t="str">
        <f t="shared" si="18"/>
      </c>
      <c r="GX194" s="91" t="str">
        <f t="shared" si="18"/>
      </c>
      <c r="GY194" s="91" t="str">
        <f t="shared" si="18"/>
      </c>
      <c r="GZ194" s="91" t="str">
        <f t="shared" si="18"/>
      </c>
      <c r="HA194" s="91" t="str">
        <f t="shared" si="18"/>
      </c>
      <c r="HB194" s="91" t="str">
        <f t="shared" si="18"/>
      </c>
      <c r="HC194" s="91" t="str">
        <f t="shared" si="18"/>
      </c>
      <c r="HD194" s="91" t="str">
        <f t="shared" si="18"/>
      </c>
      <c r="HE194" s="91" t="str">
        <f t="shared" si="18"/>
      </c>
      <c r="HF194" s="91" t="str">
        <f t="shared" si="18"/>
      </c>
      <c r="HG194" s="91" t="str">
        <f t="shared" si="18"/>
      </c>
      <c r="HH194" s="91" t="str">
        <f t="shared" si="18"/>
      </c>
      <c r="HI194" s="91" t="str">
        <f t="shared" si="18"/>
      </c>
      <c r="HJ194" s="91" t="str">
        <f t="shared" si="18"/>
      </c>
      <c r="HK194" s="91" t="str">
        <f t="shared" si="18"/>
      </c>
      <c r="HL194" s="91" t="str">
        <f t="shared" si="18"/>
      </c>
      <c r="HM194" s="91" t="str">
        <f ref="HM194:IV194" t="shared" si="19">IF(SUM(HM175:HM193)&lt;&gt;0,SUM(HM175:HM193),"")</f>
      </c>
      <c r="HN194" s="91" t="str">
        <f t="shared" si="19"/>
      </c>
      <c r="HO194" s="91" t="str">
        <f t="shared" si="19"/>
      </c>
      <c r="HP194" s="91" t="str">
        <f t="shared" si="19"/>
      </c>
      <c r="HQ194" s="91" t="str">
        <f t="shared" si="19"/>
      </c>
      <c r="HR194" s="91" t="str">
        <f t="shared" si="19"/>
      </c>
      <c r="HS194" s="91" t="str">
        <f t="shared" si="19"/>
      </c>
      <c r="HT194" s="91" t="str">
        <f t="shared" si="19"/>
      </c>
      <c r="HU194" s="91" t="str">
        <f t="shared" si="19"/>
      </c>
      <c r="HV194" s="91" t="str">
        <f t="shared" si="19"/>
      </c>
      <c r="HW194" s="91" t="str">
        <f t="shared" si="19"/>
      </c>
      <c r="HX194" s="91" t="str">
        <f t="shared" si="19"/>
      </c>
      <c r="HY194" s="91" t="str">
        <f t="shared" si="19"/>
      </c>
      <c r="HZ194" s="91" t="str">
        <f t="shared" si="19"/>
      </c>
      <c r="IA194" s="91" t="str">
        <f t="shared" si="19"/>
      </c>
      <c r="IB194" s="91" t="str">
        <f t="shared" si="19"/>
      </c>
      <c r="IC194" s="91" t="str">
        <f t="shared" si="19"/>
      </c>
      <c r="ID194" s="91" t="str">
        <f t="shared" si="19"/>
      </c>
      <c r="IE194" s="91" t="str">
        <f t="shared" si="19"/>
      </c>
      <c r="IF194" s="91" t="str">
        <f t="shared" si="19"/>
      </c>
      <c r="IG194" s="91" t="str">
        <f t="shared" si="19"/>
      </c>
      <c r="IH194" s="91" t="str">
        <f t="shared" si="19"/>
      </c>
      <c r="II194" s="91" t="str">
        <f t="shared" si="19"/>
      </c>
      <c r="IJ194" s="91" t="str">
        <f t="shared" si="19"/>
      </c>
      <c r="IK194" s="91" t="str">
        <f t="shared" si="19"/>
      </c>
      <c r="IL194" s="91" t="str">
        <f t="shared" si="19"/>
      </c>
      <c r="IM194" s="91" t="str">
        <f t="shared" si="19"/>
      </c>
      <c r="IN194" s="91" t="str">
        <f t="shared" si="19"/>
      </c>
      <c r="IO194" s="91" t="str">
        <f t="shared" si="19"/>
      </c>
      <c r="IP194" s="91" t="str">
        <f t="shared" si="19"/>
      </c>
      <c r="IQ194" s="91" t="str">
        <f t="shared" si="19"/>
      </c>
      <c r="IR194" s="91" t="str">
        <f t="shared" si="19"/>
      </c>
      <c r="IS194" s="91" t="str">
        <f t="shared" si="19"/>
      </c>
      <c r="IT194" s="91" t="str">
        <f t="shared" si="19"/>
      </c>
      <c r="IU194" s="91" t="str">
        <f t="shared" si="19"/>
      </c>
      <c r="IV194" s="91" t="str">
        <f t="shared" si="19"/>
      </c>
    </row>
    <row r="195" hidden="1" ht="13.5"/>
    <row r="196" hidden="1" ht="13.5">
      <c r="C196" s="686" t="s">
        <v>246</v>
      </c>
      <c r="D196" s="687"/>
      <c r="E196" s="687"/>
      <c r="F196" s="687"/>
      <c r="G196" s="687"/>
      <c r="H196" s="687"/>
      <c r="I196" s="687"/>
      <c r="J196" s="687"/>
      <c r="K196" s="687"/>
      <c r="L196" s="687"/>
      <c r="M196" s="687"/>
      <c r="N196" s="687"/>
      <c r="O196" s="687"/>
      <c r="P196" s="687"/>
      <c r="Q196" s="687"/>
      <c r="R196" s="687"/>
      <c r="S196" s="687"/>
      <c r="T196" s="687"/>
      <c r="U196" s="687"/>
      <c r="V196" s="687"/>
      <c r="W196" s="687"/>
      <c r="X196" s="687"/>
      <c r="Y196" s="687"/>
      <c r="Z196" s="687"/>
      <c r="AA196" s="687"/>
      <c r="AB196" s="688"/>
    </row>
    <row r="197" hidden="1" ht="13.5">
      <c r="C197" s="435" t="str">
        <f> IF(C217&lt;&gt;"",TEXT(AUX!G$1,"dd-MMM-aa"),"")</f>
      </c>
      <c r="D197" s="435" t="str">
        <f> IF(D217&lt;&gt;"",TEXT(AUX!H$1,"dd-MMM-aa"),"")</f>
      </c>
      <c r="E197" s="435" t="str">
        <f> IF(E217&lt;&gt;"",TEXT(AUX!I$1,"dd-MMM-aa"),"")</f>
      </c>
      <c r="F197" s="435" t="str">
        <f> IF(F217&lt;&gt;"",TEXT(AUX!J$1,"dd-MMM-aa"),"")</f>
      </c>
      <c r="G197" s="435" t="str">
        <f> IF(G217&lt;&gt;"",TEXT(AUX!K$1,"dd-MMM-aa"),"")</f>
      </c>
      <c r="H197" s="435" t="str">
        <f> IF(H217&lt;&gt;"",TEXT(AUX!L$1,"dd-MMM-aa"),"")</f>
      </c>
      <c r="I197" s="435" t="str">
        <f> IF(I217&lt;&gt;"",TEXT(AUX!M$1,"dd-MMM-aa"),"")</f>
      </c>
      <c r="J197" s="435" t="str">
        <f> IF(J217&lt;&gt;"",TEXT(AUX!N$1,"dd-MMM-aa"),"")</f>
      </c>
      <c r="K197" s="435" t="str">
        <f> IF(K217&lt;&gt;"",TEXT(AUX!O$1,"dd-MMM-aa"),"")</f>
      </c>
      <c r="L197" s="435" t="str">
        <f> IF(L217&lt;&gt;"",TEXT(AUX!P$1,"dd-MMM-aa"),"")</f>
      </c>
      <c r="M197" s="435" t="str">
        <f> IF(M217&lt;&gt;"",TEXT(AUX!Q$1,"dd-MMM-aa"),"")</f>
      </c>
      <c r="N197" s="435" t="str">
        <f> IF(N217&lt;&gt;"",TEXT(AUX!R$1,"dd-MMM-aa"),"")</f>
      </c>
      <c r="O197" s="435" t="str">
        <f> IF(O217&lt;&gt;"",TEXT(AUX!S$1,"dd-MMM-aa"),"")</f>
      </c>
      <c r="P197" s="435" t="str">
        <f> IF(P217&lt;&gt;"",TEXT(AUX!T$1,"dd-MMM-aa"),"")</f>
      </c>
      <c r="Q197" s="435" t="str">
        <f> IF(Q217&lt;&gt;"",TEXT(AUX!U$1,"dd-MMM-aa"),"")</f>
      </c>
      <c r="R197" s="435" t="str">
        <f> IF(R217&lt;&gt;"",TEXT(AUX!V$1,"dd-MMM-aa"),"")</f>
      </c>
      <c r="S197" s="435" t="str">
        <f> IF(S217&lt;&gt;"",TEXT(AUX!W$1,"dd-MMM-aa"),"")</f>
      </c>
      <c r="T197" s="435" t="str">
        <f> IF(T217&lt;&gt;"",TEXT(AUX!X$1,"dd-MMM-aa"),"")</f>
      </c>
      <c r="U197" s="435" t="str">
        <f> IF(U217&lt;&gt;"",TEXT(AUX!Y$1,"dd-MMM-aa"),"")</f>
      </c>
      <c r="V197" s="435" t="str">
        <f> IF(V217&lt;&gt;"",TEXT(AUX!Z$1,"dd-MMM-aa"),"")</f>
      </c>
      <c r="W197" s="435" t="str">
        <f> IF(W217&lt;&gt;"",TEXT(AUX!AA$1,"dd-MMM-aa"),"")</f>
      </c>
      <c r="X197" s="435" t="str">
        <f> IF(X217&lt;&gt;"",TEXT(AUX!AB$1,"dd-MMM-aa"),"")</f>
      </c>
      <c r="Y197" s="435" t="str">
        <f> IF(Y217&lt;&gt;"",TEXT(AUX!AC$1,"dd-MMM-aa"),"")</f>
      </c>
      <c r="Z197" s="435" t="str">
        <f> IF(Z217&lt;&gt;"",TEXT(AUX!AD$1,"dd-MMM-aa"),"")</f>
      </c>
      <c r="AA197" s="435" t="str">
        <f> IF(AA217&lt;&gt;"",TEXT(AUX!AE$1,"dd-MMM-aa"),"")</f>
      </c>
      <c r="AB197" s="497" t="str">
        <f> IF(AB217&lt;&gt;"",TEXT(AUX!AF$1,"dd-MMM-aa"),"")</f>
      </c>
      <c r="AC197" s="496" t="str">
        <f> IF(AC217&lt;&gt;"",TEXT(AUX!AG$1,"dd-MMM-aa"),"")</f>
      </c>
      <c r="AD197" s="496" t="str">
        <f> IF(AD217&lt;&gt;"",TEXT(AUX!AH$1,"dd-MMM-aa"),"")</f>
      </c>
      <c r="AE197" s="496" t="str">
        <f> IF(AE217&lt;&gt;"",TEXT(AUX!AI$1,"dd-MMM-aa"),"")</f>
      </c>
      <c r="AF197" s="496" t="str">
        <f> IF(AF217&lt;&gt;"",TEXT(AUX!AJ$1,"dd-MMM-aa"),"")</f>
      </c>
      <c r="AG197" s="496" t="str">
        <f> IF(AG217&lt;&gt;"",TEXT(AUX!AK$1,"dd-MMM-aa"),"")</f>
      </c>
      <c r="AH197" s="496" t="str">
        <f> IF(AH217&lt;&gt;"",TEXT(AUX!AL$1,"dd-MMM-aa"),"")</f>
      </c>
      <c r="AI197" s="496" t="str">
        <f> IF(AI217&lt;&gt;"",TEXT(AUX!AM$1,"dd-MMM-aa"),"")</f>
      </c>
      <c r="AJ197" s="496" t="str">
        <f> IF(AJ217&lt;&gt;"",TEXT(AUX!AN$1,"dd-MMM-aa"),"")</f>
      </c>
      <c r="AK197" s="496" t="str">
        <f> IF(AK217&lt;&gt;"",TEXT(AUX!AO$1,"dd-MMM-aa"),"")</f>
      </c>
      <c r="AL197" s="496" t="str">
        <f> IF(AL217&lt;&gt;"",TEXT(AUX!AP$1,"dd-MMM-aa"),"")</f>
      </c>
      <c r="AM197" s="496" t="str">
        <f> IF(AM217&lt;&gt;"",TEXT(AUX!AQ$1,"dd-MMM-aa"),"")</f>
      </c>
      <c r="AN197" s="496" t="str">
        <f> IF(AN217&lt;&gt;"",TEXT(AUX!AR$1,"dd-MMM-aa"),"")</f>
      </c>
      <c r="AO197" s="496" t="str">
        <f> IF(AO217&lt;&gt;"",TEXT(AUX!AS$1,"dd-MMM-aa"),"")</f>
      </c>
      <c r="AP197" s="496" t="str">
        <f> IF(AP217&lt;&gt;"",TEXT(AUX!AT$1,"dd-MMM-aa"),"")</f>
      </c>
      <c r="AQ197" s="496" t="str">
        <f> IF(AQ217&lt;&gt;"",TEXT(AUX!AU$1,"dd-MMM-aa"),"")</f>
      </c>
      <c r="AR197" s="496" t="str">
        <f> IF(AR217&lt;&gt;"",TEXT(AUX!AV$1,"dd-MMM-aa"),"")</f>
      </c>
      <c r="AS197" s="496" t="str">
        <f> IF(AS217&lt;&gt;"",TEXT(AUX!AW$1,"dd-MMM-aa"),"")</f>
      </c>
      <c r="AT197" s="496" t="str">
        <f> IF(AT217&lt;&gt;"",TEXT(AUX!AX$1,"dd-MMM-aa"),"")</f>
      </c>
      <c r="AU197" s="496" t="str">
        <f> IF(AU217&lt;&gt;"",TEXT(AUX!AY$1,"dd-MMM-aa"),"")</f>
      </c>
      <c r="AV197" s="496" t="str">
        <f> IF(AV217&lt;&gt;"",TEXT(AUX!AZ$1,"dd-MMM-aa"),"")</f>
      </c>
      <c r="AW197" s="496" t="str">
        <f> IF(AW217&lt;&gt;"",TEXT(AUX!BA$1,"dd-MMM-aa"),"")</f>
      </c>
      <c r="AX197" s="496" t="str">
        <f> IF(AX217&lt;&gt;"",TEXT(AUX!BB$1,"dd-MMM-aa"),"")</f>
      </c>
      <c r="AY197" s="496" t="str">
        <f> IF(AY217&lt;&gt;"",TEXT(AUX!BC$1,"dd-MMM-aa"),"")</f>
      </c>
      <c r="AZ197" s="496" t="str">
        <f> IF(AZ217&lt;&gt;"",TEXT(AUX!BD$1,"dd-MMM-aa"),"")</f>
      </c>
      <c r="BA197" s="496" t="str">
        <f> IF(BA217&lt;&gt;"",TEXT(AUX!BE$1,"dd-MMM-aa"),"")</f>
      </c>
      <c r="BB197" s="496" t="str">
        <f> IF(BB217&lt;&gt;"",TEXT(AUX!BF$1,"dd-MMM-aa"),"")</f>
      </c>
      <c r="BC197" s="496" t="str">
        <f> IF(BC217&lt;&gt;"",TEXT(AUX!BG$1,"dd-MMM-aa"),"")</f>
      </c>
      <c r="BD197" s="496" t="str">
        <f> IF(BD217&lt;&gt;"",TEXT(AUX!BH$1,"dd-MMM-aa"),"")</f>
      </c>
      <c r="BE197" s="496" t="str">
        <f> IF(BE217&lt;&gt;"",TEXT(AUX!BI$1,"dd-MMM-aa"),"")</f>
      </c>
      <c r="BF197" s="496" t="str">
        <f> IF(BF217&lt;&gt;"",TEXT(AUX!BJ$1,"dd-MMM-aa"),"")</f>
      </c>
      <c r="BG197" s="496" t="str">
        <f> IF(BG217&lt;&gt;"",TEXT(AUX!BK$1,"dd-MMM-aa"),"")</f>
      </c>
      <c r="BH197" s="496" t="str">
        <f> IF(BH217&lt;&gt;"",TEXT(AUX!BL$1,"dd-MMM-aa"),"")</f>
      </c>
      <c r="BI197" s="496" t="str">
        <f> IF(BI217&lt;&gt;"",TEXT(AUX!BM$1,"dd-MMM-aa"),"")</f>
      </c>
      <c r="BJ197" s="496" t="str">
        <f> IF(BJ217&lt;&gt;"",TEXT(AUX!BN$1,"dd-MMM-aa"),"")</f>
      </c>
      <c r="BK197" s="496" t="str">
        <f> IF(BK217&lt;&gt;"",TEXT(AUX!BO$1,"dd-MMM-aa"),"")</f>
      </c>
      <c r="BL197" s="496" t="str">
        <f> IF(BL217&lt;&gt;"",TEXT(AUX!BP$1,"dd-MMM-aa"),"")</f>
      </c>
      <c r="BM197" s="496" t="str">
        <f> IF(BM217&lt;&gt;"",TEXT(AUX!BQ$1,"dd-MMM-aa"),"")</f>
      </c>
      <c r="BN197" s="496" t="str">
        <f> IF(BN217&lt;&gt;"",TEXT(AUX!BR$1,"dd-MMM-aa"),"")</f>
      </c>
      <c r="BO197" s="496" t="str">
        <f> IF(BO217&lt;&gt;"",TEXT(AUX!BS$1,"dd-MMM-aa"),"")</f>
      </c>
      <c r="BP197" s="496" t="str">
        <f> IF(BP217&lt;&gt;"",TEXT(AUX!BT$1,"dd-MMM-aa"),"")</f>
      </c>
      <c r="BQ197" s="496" t="str">
        <f> IF(BQ217&lt;&gt;"",TEXT(AUX!BU$1,"dd-MMM-aa"),"")</f>
      </c>
      <c r="BR197" s="496" t="str">
        <f> IF(BR217&lt;&gt;"",TEXT(AUX!BV$1,"dd-MMM-aa"),"")</f>
      </c>
      <c r="BS197" s="496" t="str">
        <f> IF(BS217&lt;&gt;"",TEXT(AUX!BW$1,"dd-MMM-aa"),"")</f>
      </c>
      <c r="BT197" s="496" t="str">
        <f> IF(BT217&lt;&gt;"",TEXT(AUX!BX$1,"dd-MMM-aa"),"")</f>
      </c>
      <c r="BU197" s="496" t="str">
        <f> IF(BU217&lt;&gt;"",TEXT(AUX!BY$1,"dd-MMM-aa"),"")</f>
      </c>
      <c r="BV197" s="496" t="str">
        <f> IF(BV217&lt;&gt;"",TEXT(AUX!BZ$1,"dd-MMM-aa"),"")</f>
      </c>
      <c r="BW197" s="496" t="str">
        <f> IF(BW217&lt;&gt;"",TEXT(AUX!CA$1,"dd-MMM-aa"),"")</f>
      </c>
      <c r="BX197" s="496" t="str">
        <f> IF(BX217&lt;&gt;"",TEXT(AUX!CB$1,"dd-MMM-aa"),"")</f>
      </c>
      <c r="BY197" s="496" t="str">
        <f> IF(BY217&lt;&gt;"",TEXT(AUX!CC$1,"dd-MMM-aa"),"")</f>
      </c>
      <c r="BZ197" s="496" t="str">
        <f> IF(BZ217&lt;&gt;"",TEXT(AUX!CD$1,"dd-MMM-aa"),"")</f>
      </c>
      <c r="CA197" s="496" t="str">
        <f> IF(CA217&lt;&gt;"",TEXT(AUX!CE$1,"dd-MMM-aa"),"")</f>
      </c>
      <c r="CB197" s="496" t="str">
        <f> IF(CB217&lt;&gt;"",TEXT(AUX!CF$1,"dd-MMM-aa"),"")</f>
      </c>
      <c r="CC197" s="496" t="str">
        <f> IF(CC217&lt;&gt;"",TEXT(AUX!CG$1,"dd-MMM-aa"),"")</f>
      </c>
      <c r="CD197" s="496" t="str">
        <f> IF(CD217&lt;&gt;"",TEXT(AUX!CH$1,"dd-MMM-aa"),"")</f>
      </c>
      <c r="CE197" s="496" t="str">
        <f> IF(CE217&lt;&gt;"",TEXT(AUX!CI$1,"dd-MMM-aa"),"")</f>
      </c>
      <c r="CF197" s="496" t="str">
        <f> IF(CF217&lt;&gt;"",TEXT(AUX!CJ$1,"dd-MMM-aa"),"")</f>
      </c>
      <c r="CG197" s="496" t="str">
        <f> IF(CG217&lt;&gt;"",TEXT(AUX!CK$1,"dd-MMM-aa"),"")</f>
      </c>
      <c r="CH197" s="496" t="str">
        <f> IF(CH217&lt;&gt;"",TEXT(AUX!CL$1,"dd-MMM-aa"),"")</f>
      </c>
      <c r="CI197" s="496" t="str">
        <f> IF(CI217&lt;&gt;"",TEXT(AUX!CM$1,"dd-MMM-aa"),"")</f>
      </c>
      <c r="CJ197" s="496" t="str">
        <f> IF(CJ217&lt;&gt;"",TEXT(AUX!CN$1,"dd-MMM-aa"),"")</f>
      </c>
      <c r="CK197" s="496" t="str">
        <f> IF(CK217&lt;&gt;"",TEXT(AUX!CO$1,"dd-MMM-aa"),"")</f>
      </c>
      <c r="CL197" s="496" t="str">
        <f> IF(CL217&lt;&gt;"",TEXT(AUX!CP$1,"dd-MMM-aa"),"")</f>
      </c>
      <c r="CM197" s="496" t="str">
        <f> IF(CM217&lt;&gt;"",TEXT(AUX!CQ$1,"dd-MMM-aa"),"")</f>
      </c>
      <c r="CN197" s="496" t="str">
        <f> IF(CN217&lt;&gt;"",TEXT(AUX!CR$1,"dd-MMM-aa"),"")</f>
      </c>
      <c r="CO197" s="496" t="str">
        <f> IF(CO217&lt;&gt;"",TEXT(AUX!CS$1,"dd-MMM-aa"),"")</f>
      </c>
      <c r="CP197" s="496" t="str">
        <f> IF(CP217&lt;&gt;"",TEXT(AUX!CT$1,"dd-MMM-aa"),"")</f>
      </c>
      <c r="CQ197" s="496" t="str">
        <f> IF(CQ217&lt;&gt;"",TEXT(AUX!CU$1,"dd-MMM-aa"),"")</f>
      </c>
      <c r="CR197" s="496" t="str">
        <f> IF(CR217&lt;&gt;"",TEXT(AUX!CV$1,"dd-MMM-aa"),"")</f>
      </c>
      <c r="CS197" s="496" t="str">
        <f> IF(CS217&lt;&gt;"",TEXT(AUX!CW$1,"dd-MMM-aa"),"")</f>
      </c>
      <c r="CT197" s="496" t="str">
        <f> IF(CT217&lt;&gt;"",TEXT(AUX!CX$1,"dd-MMM-aa"),"")</f>
      </c>
      <c r="CU197" s="496" t="str">
        <f> IF(CU217&lt;&gt;"",TEXT(AUX!CY$1,"dd-MMM-aa"),"")</f>
      </c>
      <c r="CV197" s="496" t="str">
        <f> IF(CV217&lt;&gt;"",TEXT(AUX!CZ$1,"dd-MMM-aa"),"")</f>
      </c>
      <c r="CW197" s="496" t="str">
        <f> IF(CW217&lt;&gt;"",TEXT(AUX!DA$1,"dd-MMM-aa"),"")</f>
      </c>
      <c r="CX197" s="496" t="str">
        <f> IF(CX217&lt;&gt;"",TEXT(AUX!DB$1,"dd-MMM-aa"),"")</f>
      </c>
      <c r="CY197" s="496" t="str">
        <f> IF(CY217&lt;&gt;"",TEXT(AUX!DC$1,"dd-MMM-aa"),"")</f>
      </c>
      <c r="CZ197" s="496" t="str">
        <f> IF(CZ217&lt;&gt;"",TEXT(AUX!DD$1,"dd-MMM-aa"),"")</f>
      </c>
      <c r="DA197" s="496" t="str">
        <f> IF(DA217&lt;&gt;"",TEXT(AUX!DE$1,"dd-MMM-aa"),"")</f>
      </c>
      <c r="DB197" s="496" t="str">
        <f> IF(DB217&lt;&gt;"",TEXT(AUX!DF$1,"dd-MMM-aa"),"")</f>
      </c>
      <c r="DC197" s="496" t="str">
        <f> IF(DC217&lt;&gt;"",TEXT(AUX!DG$1,"dd-MMM-aa"),"")</f>
      </c>
      <c r="DD197" s="496" t="str">
        <f> IF(DD217&lt;&gt;"",TEXT(AUX!DH$1,"dd-MMM-aa"),"")</f>
      </c>
      <c r="DE197" s="496" t="str">
        <f> IF(DE217&lt;&gt;"",TEXT(AUX!DI$1,"dd-MMM-aa"),"")</f>
      </c>
      <c r="DF197" s="496" t="str">
        <f> IF(DF217&lt;&gt;"",TEXT(AUX!DJ$1,"dd-MMM-aa"),"")</f>
      </c>
      <c r="DG197" s="496" t="str">
        <f> IF(DG217&lt;&gt;"",TEXT(AUX!DK$1,"dd-MMM-aa"),"")</f>
      </c>
      <c r="DH197" s="496" t="str">
        <f> IF(DH217&lt;&gt;"",TEXT(AUX!DL$1,"dd-MMM-aa"),"")</f>
      </c>
      <c r="DI197" s="496" t="str">
        <f> IF(DI217&lt;&gt;"",TEXT(AUX!DM$1,"dd-MMM-aa"),"")</f>
      </c>
      <c r="DJ197" s="496" t="str">
        <f> IF(DJ217&lt;&gt;"",TEXT(AUX!DN$1,"dd-MMM-aa"),"")</f>
      </c>
      <c r="DK197" s="496" t="str">
        <f> IF(DK217&lt;&gt;"",TEXT(AUX!DO$1,"dd-MMM-aa"),"")</f>
      </c>
      <c r="DL197" s="496" t="str">
        <f> IF(DL217&lt;&gt;"",TEXT(AUX!DP$1,"dd-MMM-aa"),"")</f>
      </c>
      <c r="DM197" s="496" t="str">
        <f> IF(DM217&lt;&gt;"",TEXT(AUX!DQ$1,"dd-MMM-aa"),"")</f>
      </c>
      <c r="DN197" s="496" t="str">
        <f> IF(DN217&lt;&gt;"",TEXT(AUX!DR$1,"dd-MMM-aa"),"")</f>
      </c>
      <c r="DO197" s="496" t="str">
        <f> IF(DO217&lt;&gt;"",TEXT(AUX!DS$1,"dd-MMM-aa"),"")</f>
      </c>
      <c r="DP197" s="496" t="str">
        <f> IF(DP217&lt;&gt;"",TEXT(AUX!DT$1,"dd-MMM-aa"),"")</f>
      </c>
      <c r="DQ197" s="496" t="str">
        <f> IF(DQ217&lt;&gt;"",TEXT(AUX!DU$1,"dd-MMM-aa"),"")</f>
      </c>
      <c r="DR197" s="496" t="str">
        <f> IF(DR217&lt;&gt;"",TEXT(AUX!DV$1,"dd-MMM-aa"),"")</f>
      </c>
      <c r="DS197" s="496" t="str">
        <f> IF(DS217&lt;&gt;"",TEXT(AUX!DW$1,"dd-MMM-aa"),"")</f>
      </c>
      <c r="DT197" s="496" t="str">
        <f> IF(DT217&lt;&gt;"",TEXT(AUX!DX$1,"dd-MMM-aa"),"")</f>
      </c>
      <c r="DU197" s="496" t="str">
        <f> IF(DU217&lt;&gt;"",TEXT(AUX!DY$1,"dd-MMM-aa"),"")</f>
      </c>
      <c r="DV197" s="496" t="str">
        <f> IF(DV217&lt;&gt;"",TEXT(AUX!DZ$1,"dd-MMM-aa"),"")</f>
      </c>
      <c r="DW197" s="496" t="str">
        <f> IF(DW217&lt;&gt;"",TEXT(AUX!EA$1,"dd-MMM-aa"),"")</f>
      </c>
      <c r="DX197" s="496" t="str">
        <f> IF(DX217&lt;&gt;"",TEXT(AUX!EB$1,"dd-MMM-aa"),"")</f>
      </c>
      <c r="DY197" s="496" t="str">
        <f> IF(DY217&lt;&gt;"",TEXT(AUX!EC$1,"dd-MMM-aa"),"")</f>
      </c>
      <c r="DZ197" s="496" t="str">
        <f> IF(DZ217&lt;&gt;"",TEXT(AUX!ED$1,"dd-MMM-aa"),"")</f>
      </c>
      <c r="EA197" s="496" t="str">
        <f> IF(EA217&lt;&gt;"",TEXT(AUX!EE$1,"dd-MMM-aa"),"")</f>
      </c>
      <c r="EB197" s="496" t="str">
        <f> IF(EB217&lt;&gt;"",TEXT(AUX!EF$1,"dd-MMM-aa"),"")</f>
      </c>
      <c r="EC197" s="496" t="str">
        <f> IF(EC217&lt;&gt;"",TEXT(AUX!EG$1,"dd-MMM-aa"),"")</f>
      </c>
      <c r="ED197" s="496" t="str">
        <f> IF(ED217&lt;&gt;"",TEXT(AUX!EH$1,"dd-MMM-aa"),"")</f>
      </c>
      <c r="EE197" s="496" t="str">
        <f> IF(EE217&lt;&gt;"",TEXT(AUX!EI$1,"dd-MMM-aa"),"")</f>
      </c>
      <c r="EF197" s="496" t="str">
        <f> IF(EF217&lt;&gt;"",TEXT(AUX!EJ$1,"dd-MMM-aa"),"")</f>
      </c>
      <c r="EG197" s="496" t="str">
        <f> IF(EG217&lt;&gt;"",TEXT(AUX!EK$1,"dd-MMM-aa"),"")</f>
      </c>
      <c r="EH197" s="496" t="str">
        <f> IF(EH217&lt;&gt;"",TEXT(AUX!EL$1,"dd-MMM-aa"),"")</f>
      </c>
      <c r="EI197" s="496" t="str">
        <f> IF(EI217&lt;&gt;"",TEXT(AUX!EM$1,"dd-MMM-aa"),"")</f>
      </c>
      <c r="EJ197" s="496" t="str">
        <f> IF(EJ217&lt;&gt;"",TEXT(AUX!EN$1,"dd-MMM-aa"),"")</f>
      </c>
      <c r="EK197" s="496" t="str">
        <f> IF(EK217&lt;&gt;"",TEXT(AUX!EO$1,"dd-MMM-aa"),"")</f>
      </c>
      <c r="EL197" s="496" t="str">
        <f> IF(EL217&lt;&gt;"",TEXT(AUX!EP$1,"dd-MMM-aa"),"")</f>
      </c>
      <c r="EM197" s="496" t="str">
        <f> IF(EM217&lt;&gt;"",TEXT(AUX!EQ$1,"dd-MMM-aa"),"")</f>
      </c>
      <c r="EN197" s="496" t="str">
        <f> IF(EN217&lt;&gt;"",TEXT(AUX!ER$1,"dd-MMM-aa"),"")</f>
      </c>
      <c r="EO197" s="496" t="str">
        <f> IF(EO217&lt;&gt;"",TEXT(AUX!ES$1,"dd-MMM-aa"),"")</f>
      </c>
      <c r="EP197" s="496" t="str">
        <f> IF(EP217&lt;&gt;"",TEXT(AUX!ET$1,"dd-MMM-aa"),"")</f>
      </c>
      <c r="EQ197" s="496" t="str">
        <f> IF(EQ217&lt;&gt;"",TEXT(AUX!EU$1,"dd-MMM-aa"),"")</f>
      </c>
      <c r="ER197" s="496" t="str">
        <f> IF(ER217&lt;&gt;"",TEXT(AUX!EV$1,"dd-MMM-aa"),"")</f>
      </c>
      <c r="ES197" s="496" t="str">
        <f> IF(ES217&lt;&gt;"",TEXT(AUX!EW$1,"dd-MMM-aa"),"")</f>
      </c>
      <c r="ET197" s="496" t="str">
        <f> IF(ET217&lt;&gt;"",TEXT(AUX!EX$1,"dd-MMM-aa"),"")</f>
      </c>
      <c r="EU197" s="496" t="str">
        <f> IF(EU217&lt;&gt;"",TEXT(AUX!EY$1,"dd-MMM-aa"),"")</f>
      </c>
      <c r="EV197" s="496" t="str">
        <f> IF(EV217&lt;&gt;"",TEXT(AUX!EZ$1,"dd-MMM-aa"),"")</f>
      </c>
      <c r="EW197" s="496" t="str">
        <f> IF(EW217&lt;&gt;"",TEXT(AUX!FA$1,"dd-MMM-aa"),"")</f>
      </c>
      <c r="EX197" s="496" t="str">
        <f> IF(EX217&lt;&gt;"",TEXT(AUX!FB$1,"dd-MMM-aa"),"")</f>
      </c>
      <c r="EY197" s="496" t="str">
        <f> IF(EY217&lt;&gt;"",TEXT(AUX!FC$1,"dd-MMM-aa"),"")</f>
      </c>
      <c r="EZ197" s="496" t="str">
        <f> IF(EZ217&lt;&gt;"",TEXT(AUX!FD$1,"dd-MMM-aa"),"")</f>
      </c>
      <c r="FA197" s="496" t="str">
        <f> IF(FA217&lt;&gt;"",TEXT(AUX!FE$1,"dd-MMM-aa"),"")</f>
      </c>
      <c r="FB197" s="496" t="str">
        <f> IF(FB217&lt;&gt;"",TEXT(AUX!FF$1,"dd-MMM-aa"),"")</f>
      </c>
      <c r="FC197" s="496" t="str">
        <f> IF(FC217&lt;&gt;"",TEXT(AUX!FG$1,"dd-MMM-aa"),"")</f>
      </c>
      <c r="FD197" s="496" t="str">
        <f> IF(FD217&lt;&gt;"",TEXT(AUX!FH$1,"dd-MMM-aa"),"")</f>
      </c>
      <c r="FE197" s="496" t="str">
        <f> IF(FE217&lt;&gt;"",TEXT(AUX!FI$1,"dd-MMM-aa"),"")</f>
      </c>
      <c r="FF197" s="496" t="str">
        <f> IF(FF217&lt;&gt;"",TEXT(AUX!FJ$1,"dd-MMM-aa"),"")</f>
      </c>
      <c r="FG197" s="496" t="str">
        <f> IF(FG217&lt;&gt;"",TEXT(AUX!FK$1,"dd-MMM-aa"),"")</f>
      </c>
      <c r="FH197" s="496" t="str">
        <f> IF(FH217&lt;&gt;"",TEXT(AUX!FL$1,"dd-MMM-aa"),"")</f>
      </c>
      <c r="FI197" s="496" t="str">
        <f> IF(FI217&lt;&gt;"",TEXT(AUX!FM$1,"dd-MMM-aa"),"")</f>
      </c>
      <c r="FJ197" s="496" t="str">
        <f> IF(FJ217&lt;&gt;"",TEXT(AUX!FN$1,"dd-MMM-aa"),"")</f>
      </c>
      <c r="FK197" s="496" t="str">
        <f> IF(FK217&lt;&gt;"",TEXT(AUX!FO$1,"dd-MMM-aa"),"")</f>
      </c>
      <c r="FL197" s="496" t="str">
        <f> IF(FL217&lt;&gt;"",TEXT(AUX!FP$1,"dd-MMM-aa"),"")</f>
      </c>
      <c r="FM197" s="496" t="str">
        <f> IF(FM217&lt;&gt;"",TEXT(AUX!FQ$1,"dd-MMM-aa"),"")</f>
      </c>
      <c r="FN197" s="496" t="str">
        <f> IF(FN217&lt;&gt;"",TEXT(AUX!FR$1,"dd-MMM-aa"),"")</f>
      </c>
      <c r="FO197" s="496" t="str">
        <f> IF(FO217&lt;&gt;"",TEXT(AUX!FS$1,"dd-MMM-aa"),"")</f>
      </c>
      <c r="FP197" s="496" t="str">
        <f> IF(FP217&lt;&gt;"",TEXT(AUX!FT$1,"dd-MMM-aa"),"")</f>
      </c>
      <c r="FQ197" s="496" t="str">
        <f> IF(FQ217&lt;&gt;"",TEXT(AUX!FU$1,"dd-MMM-aa"),"")</f>
      </c>
      <c r="FR197" s="496" t="str">
        <f> IF(FR217&lt;&gt;"",TEXT(AUX!FV$1,"dd-MMM-aa"),"")</f>
      </c>
      <c r="FS197" s="496" t="str">
        <f> IF(FS217&lt;&gt;"",TEXT(AUX!FW$1,"dd-MMM-aa"),"")</f>
      </c>
      <c r="FT197" s="496" t="str">
        <f> IF(FT217&lt;&gt;"",TEXT(AUX!FX$1,"dd-MMM-aa"),"")</f>
      </c>
      <c r="FU197" s="496" t="str">
        <f> IF(FU217&lt;&gt;"",TEXT(AUX!FY$1,"dd-MMM-aa"),"")</f>
      </c>
      <c r="FV197" s="496" t="str">
        <f> IF(FV217&lt;&gt;"",TEXT(AUX!FZ$1,"dd-MMM-aa"),"")</f>
      </c>
      <c r="FW197" s="496" t="str">
        <f> IF(FW217&lt;&gt;"",TEXT(AUX!GA$1,"dd-MMM-aa"),"")</f>
      </c>
      <c r="FX197" s="496" t="str">
        <f> IF(FX217&lt;&gt;"",TEXT(AUX!GB$1,"dd-MMM-aa"),"")</f>
      </c>
      <c r="FY197" s="496" t="str">
        <f> IF(FY217&lt;&gt;"",TEXT(AUX!GC$1,"dd-MMM-aa"),"")</f>
      </c>
      <c r="FZ197" s="496" t="str">
        <f> IF(FZ217&lt;&gt;"",TEXT(AUX!GD$1,"dd-MMM-aa"),"")</f>
      </c>
      <c r="GA197" s="496" t="str">
        <f> IF(GA217&lt;&gt;"",TEXT(AUX!GE$1,"dd-MMM-aa"),"")</f>
      </c>
      <c r="GB197" s="496" t="str">
        <f> IF(GB217&lt;&gt;"",TEXT(AUX!GF$1,"dd-MMM-aa"),"")</f>
      </c>
      <c r="GC197" s="496" t="str">
        <f> IF(GC217&lt;&gt;"",TEXT(AUX!GG$1,"dd-MMM-aa"),"")</f>
      </c>
      <c r="GD197" s="496" t="str">
        <f> IF(GD217&lt;&gt;"",TEXT(AUX!GH$1,"dd-MMM-aa"),"")</f>
      </c>
      <c r="GE197" s="496" t="str">
        <f> IF(GE217&lt;&gt;"",TEXT(AUX!GI$1,"dd-MMM-aa"),"")</f>
      </c>
      <c r="GF197" s="496" t="str">
        <f> IF(GF217&lt;&gt;"",TEXT(AUX!GJ$1,"dd-MMM-aa"),"")</f>
      </c>
      <c r="GG197" s="496" t="str">
        <f> IF(GG217&lt;&gt;"",TEXT(AUX!GK$1,"dd-MMM-aa"),"")</f>
      </c>
      <c r="GH197" s="496" t="str">
        <f> IF(GH217&lt;&gt;"",TEXT(AUX!GL$1,"dd-MMM-aa"),"")</f>
      </c>
      <c r="GI197" s="496" t="str">
        <f> IF(GI217&lt;&gt;"",TEXT(AUX!GM$1,"dd-MMM-aa"),"")</f>
      </c>
      <c r="GJ197" s="496" t="str">
        <f> IF(GJ217&lt;&gt;"",TEXT(AUX!GN$1,"dd-MMM-aa"),"")</f>
      </c>
      <c r="GK197" s="496" t="str">
        <f> IF(GK217&lt;&gt;"",TEXT(AUX!GO$1,"dd-MMM-aa"),"")</f>
      </c>
      <c r="GL197" s="496" t="str">
        <f> IF(GL217&lt;&gt;"",TEXT(AUX!GP$1,"dd-MMM-aa"),"")</f>
      </c>
      <c r="GM197" s="496" t="str">
        <f> IF(GM217&lt;&gt;"",TEXT(AUX!GQ$1,"dd-MMM-aa"),"")</f>
      </c>
      <c r="GN197" s="496" t="str">
        <f> IF(GN217&lt;&gt;"",TEXT(AUX!GR$1,"dd-MMM-aa"),"")</f>
      </c>
      <c r="GO197" s="496" t="str">
        <f> IF(GO217&lt;&gt;"",TEXT(AUX!GS$1,"dd-MMM-aa"),"")</f>
      </c>
      <c r="GP197" s="496" t="str">
        <f> IF(GP217&lt;&gt;"",TEXT(AUX!GT$1,"dd-MMM-aa"),"")</f>
      </c>
      <c r="GQ197" s="496" t="str">
        <f> IF(GQ217&lt;&gt;"",TEXT(AUX!GU$1,"dd-MMM-aa"),"")</f>
      </c>
      <c r="GR197" s="496" t="str">
        <f> IF(GR217&lt;&gt;"",TEXT(AUX!GV$1,"dd-MMM-aa"),"")</f>
      </c>
      <c r="GS197" s="496" t="str">
        <f> IF(GS217&lt;&gt;"",TEXT(AUX!GW$1,"dd-MMM-aa"),"")</f>
      </c>
      <c r="GT197" s="496" t="str">
        <f> IF(GT217&lt;&gt;"",TEXT(AUX!GX$1,"dd-MMM-aa"),"")</f>
      </c>
      <c r="GU197" s="496" t="str">
        <f> IF(GU217&lt;&gt;"",TEXT(AUX!GY$1,"dd-MMM-aa"),"")</f>
      </c>
      <c r="GV197" s="496" t="str">
        <f> IF(GV217&lt;&gt;"",TEXT(AUX!GZ$1,"dd-MMM-aa"),"")</f>
      </c>
      <c r="GW197" s="496" t="str">
        <f> IF(GW217&lt;&gt;"",TEXT(AUX!HA$1,"dd-MMM-aa"),"")</f>
      </c>
      <c r="GX197" s="496" t="str">
        <f> IF(GX217&lt;&gt;"",TEXT(AUX!HB$1,"dd-MMM-aa"),"")</f>
      </c>
      <c r="GY197" s="496" t="str">
        <f> IF(GY217&lt;&gt;"",TEXT(AUX!HC$1,"dd-MMM-aa"),"")</f>
      </c>
      <c r="GZ197" s="496" t="str">
        <f> IF(GZ217&lt;&gt;"",TEXT(AUX!HD$1,"dd-MMM-aa"),"")</f>
      </c>
      <c r="HA197" s="496" t="str">
        <f> IF(HA217&lt;&gt;"",TEXT(AUX!HE$1,"dd-MMM-aa"),"")</f>
      </c>
      <c r="HB197" s="496" t="str">
        <f> IF(HB217&lt;&gt;"",TEXT(AUX!HF$1,"dd-MMM-aa"),"")</f>
      </c>
      <c r="HC197" s="496" t="str">
        <f> IF(HC217&lt;&gt;"",TEXT(AUX!HG$1,"dd-MMM-aa"),"")</f>
      </c>
      <c r="HD197" s="496" t="str">
        <f> IF(HD217&lt;&gt;"",TEXT(AUX!HH$1,"dd-MMM-aa"),"")</f>
      </c>
      <c r="HE197" s="496" t="str">
        <f> IF(HE217&lt;&gt;"",TEXT(AUX!HI$1,"dd-MMM-aa"),"")</f>
      </c>
      <c r="HF197" s="496" t="str">
        <f> IF(HF217&lt;&gt;"",TEXT(AUX!HJ$1,"dd-MMM-aa"),"")</f>
      </c>
      <c r="HG197" s="496" t="str">
        <f> IF(HG217&lt;&gt;"",TEXT(AUX!HK$1,"dd-MMM-aa"),"")</f>
      </c>
      <c r="HH197" s="496" t="str">
        <f> IF(HH217&lt;&gt;"",TEXT(AUX!HL$1,"dd-MMM-aa"),"")</f>
      </c>
      <c r="HI197" s="496" t="str">
        <f> IF(HI217&lt;&gt;"",TEXT(AUX!HM$1,"dd-MMM-aa"),"")</f>
      </c>
      <c r="HJ197" s="496" t="str">
        <f> IF(HJ217&lt;&gt;"",TEXT(AUX!HN$1,"dd-MMM-aa"),"")</f>
      </c>
      <c r="HK197" s="496" t="str">
        <f> IF(HK217&lt;&gt;"",TEXT(AUX!HO$1,"dd-MMM-aa"),"")</f>
      </c>
      <c r="HL197" s="496" t="str">
        <f> IF(HL217&lt;&gt;"",TEXT(AUX!HP$1,"dd-MMM-aa"),"")</f>
      </c>
      <c r="HM197" s="496" t="str">
        <f> IF(HM217&lt;&gt;"",TEXT(AUX!HQ$1,"dd-MMM-aa"),"")</f>
      </c>
      <c r="HN197" s="496" t="str">
        <f> IF(HN217&lt;&gt;"",TEXT(AUX!HR$1,"dd-MMM-aa"),"")</f>
      </c>
      <c r="HO197" s="496" t="str">
        <f> IF(HO217&lt;&gt;"",TEXT(AUX!HS$1,"dd-MMM-aa"),"")</f>
      </c>
      <c r="HP197" s="496" t="str">
        <f> IF(HP217&lt;&gt;"",TEXT(AUX!HT$1,"dd-MMM-aa"),"")</f>
      </c>
      <c r="HQ197" s="496" t="str">
        <f> IF(HQ217&lt;&gt;"",TEXT(AUX!HU$1,"dd-MMM-aa"),"")</f>
      </c>
      <c r="HR197" s="496" t="str">
        <f> IF(HR217&lt;&gt;"",TEXT(AUX!HV$1,"dd-MMM-aa"),"")</f>
      </c>
      <c r="HS197" s="496" t="str">
        <f> IF(HS217&lt;&gt;"",TEXT(AUX!HW$1,"dd-MMM-aa"),"")</f>
      </c>
      <c r="HT197" s="496" t="str">
        <f> IF(HT217&lt;&gt;"",TEXT(AUX!HX$1,"dd-MMM-aa"),"")</f>
      </c>
      <c r="HU197" s="496" t="str">
        <f> IF(HU217&lt;&gt;"",TEXT(AUX!HY$1,"dd-MMM-aa"),"")</f>
      </c>
      <c r="HV197" s="496" t="str">
        <f> IF(HV217&lt;&gt;"",TEXT(AUX!HZ$1,"dd-MMM-aa"),"")</f>
      </c>
      <c r="HW197" s="496" t="str">
        <f> IF(HW217&lt;&gt;"",TEXT(AUX!IA$1,"dd-MMM-aa"),"")</f>
      </c>
      <c r="HX197" s="496" t="str">
        <f> IF(HX217&lt;&gt;"",TEXT(AUX!IB$1,"dd-MMM-aa"),"")</f>
      </c>
      <c r="HY197" s="496" t="str">
        <f> IF(HY217&lt;&gt;"",TEXT(AUX!IC$1,"dd-MMM-aa"),"")</f>
      </c>
      <c r="HZ197" s="496" t="str">
        <f> IF(HZ217&lt;&gt;"",TEXT(AUX!ID$1,"dd-MMM-aa"),"")</f>
      </c>
      <c r="IA197" s="496" t="str">
        <f> IF(IA217&lt;&gt;"",TEXT(AUX!IE$1,"dd-MMM-aa"),"")</f>
      </c>
      <c r="IB197" s="496" t="str">
        <f> IF(IB217&lt;&gt;"",TEXT(AUX!IF$1,"dd-MMM-aa"),"")</f>
      </c>
      <c r="IC197" s="496" t="str">
        <f> IF(IC217&lt;&gt;"",TEXT(AUX!IG$1,"dd-MMM-aa"),"")</f>
      </c>
      <c r="ID197" s="496" t="str">
        <f> IF(ID217&lt;&gt;"",TEXT(AUX!IH$1,"dd-MMM-aa"),"")</f>
      </c>
      <c r="IE197" s="496" t="str">
        <f> IF(IE217&lt;&gt;"",TEXT(AUX!II$1,"dd-MMM-aa"),"")</f>
      </c>
      <c r="IF197" s="496" t="str">
        <f> IF(IF217&lt;&gt;"",TEXT(AUX!IJ$1,"dd-MMM-aa"),"")</f>
      </c>
      <c r="IG197" s="496" t="str">
        <f> IF(IG217&lt;&gt;"",TEXT(AUX!IK$1,"dd-MMM-aa"),"")</f>
      </c>
      <c r="IH197" s="496" t="str">
        <f> IF(IH217&lt;&gt;"",TEXT(AUX!IL$1,"dd-MMM-aa"),"")</f>
      </c>
      <c r="II197" s="496" t="str">
        <f> IF(II217&lt;&gt;"",TEXT(AUX!IM$1,"dd-MMM-aa"),"")</f>
      </c>
      <c r="IJ197" s="496" t="str">
        <f> IF(IJ217&lt;&gt;"",TEXT(AUX!IN$1,"dd-MMM-aa"),"")</f>
      </c>
      <c r="IK197" s="496" t="str">
        <f> IF(IK217&lt;&gt;"",TEXT(AUX!IO$1,"dd-MMM-aa"),"")</f>
      </c>
      <c r="IL197" s="496" t="str">
        <f> IF(IL217&lt;&gt;"",TEXT(AUX!IP$1,"dd-MMM-aa"),"")</f>
      </c>
      <c r="IM197" s="496" t="str">
        <f> IF(IM217&lt;&gt;"",TEXT(AUX!IQ$1,"dd-MMM-aa"),"")</f>
      </c>
      <c r="IN197" s="496" t="str">
        <f> IF(IN217&lt;&gt;"",TEXT(AUX!IR$1,"dd-MMM-aa"),"")</f>
      </c>
      <c r="IO197" s="496" t="str">
        <f> IF(IO217&lt;&gt;"",TEXT(AUX!IS$1,"dd-MMM-aa"),"")</f>
      </c>
      <c r="IP197" s="496" t="str">
        <f> IF(IP217&lt;&gt;"",TEXT(AUX!IT$1,"dd-MMM-aa"),"")</f>
      </c>
      <c r="IQ197" s="496" t="str">
        <f> IF(IQ217&lt;&gt;"",TEXT(AUX!IU$1,"dd-MMM-aa"),"")</f>
      </c>
      <c r="IR197" s="496" t="str">
        <f> IF(IR217&lt;&gt;"",TEXT(AUX!IV$1,"dd-MMM-aa"),"")</f>
      </c>
      <c r="IS197" s="496" t="str">
        <f> IF(IS217&lt;&gt;"",TEXT(AUX!#REF!,"dd-MMM-aa"),"")</f>
      </c>
      <c r="IT197" s="496" t="str">
        <f> IF(IT217&lt;&gt;"",TEXT(AUX!#REF!,"dd-MMM-aa"),"")</f>
      </c>
      <c r="IU197" s="496" t="str">
        <f> IF(IU217&lt;&gt;"",TEXT(AUX!#REF!,"dd-MMM-aa"),"")</f>
      </c>
      <c r="IV197" s="496" t="str">
        <f> IF(IV217&lt;&gt;"",TEXT(AUX!#REF!,"dd-MMM-aa"),"")</f>
      </c>
    </row>
    <row r="198" hidden="1">
      <c r="B198" s="838" t="s">
        <v>8</v>
      </c>
      <c r="C198" s="839">
        <f>C245 + C268</f>
        <v>0</v>
      </c>
      <c r="D198" s="839">
        <f>D245 + D268</f>
        <v>0</v>
      </c>
      <c r="E198" s="839">
        <f>E245 + E268</f>
        <v>0</v>
      </c>
      <c r="F198" s="839">
        <f>F245 + F268</f>
        <v>0</v>
      </c>
      <c r="G198" s="839">
        <f>G245 + G268</f>
        <v>0</v>
      </c>
      <c r="H198" s="839">
        <f>H245 + H268</f>
        <v>0</v>
      </c>
      <c r="I198" s="839">
        <f>I245 + I268</f>
        <v>0</v>
      </c>
      <c r="J198" s="839">
        <f>J245 + J268</f>
        <v>0</v>
      </c>
      <c r="K198" s="839">
        <f>K245 + K268</f>
        <v>0</v>
      </c>
      <c r="L198" s="839">
        <f>L245 + L268</f>
        <v>0</v>
      </c>
      <c r="M198" s="839">
        <f>M245 + M268</f>
        <v>0</v>
      </c>
      <c r="N198" s="839">
        <f>N245 + N268</f>
        <v>0</v>
      </c>
      <c r="O198" s="839">
        <f>O245 + O268</f>
        <v>0</v>
      </c>
      <c r="P198" s="839">
        <f>P245 + P268</f>
        <v>0</v>
      </c>
      <c r="Q198" s="839">
        <f>Q245 + Q268</f>
        <v>0</v>
      </c>
      <c r="R198" s="839">
        <f>R245 + R268</f>
        <v>0</v>
      </c>
      <c r="S198" s="839">
        <f>S245 + S268</f>
        <v>0</v>
      </c>
      <c r="T198" s="839">
        <f>T245 + T268</f>
        <v>0</v>
      </c>
      <c r="U198" s="839">
        <f>U245 + U268</f>
        <v>0</v>
      </c>
      <c r="V198" s="839">
        <f>V245 + V268</f>
        <v>0</v>
      </c>
      <c r="W198" s="839">
        <f>W245 + W268</f>
        <v>0</v>
      </c>
      <c r="X198" s="839">
        <f>X245 + X268</f>
        <v>0</v>
      </c>
      <c r="Y198" s="839">
        <f>Y245 + Y268</f>
        <v>0</v>
      </c>
      <c r="Z198" s="839">
        <f>Z245 + Z268</f>
        <v>0</v>
      </c>
      <c r="AA198" s="839">
        <f>AA245 + AA268</f>
        <v>0</v>
      </c>
      <c r="AB198" s="840">
        <f>AB245 + AB268</f>
        <v>0</v>
      </c>
      <c r="AC198" s="841">
        <f>AC245 + AC268</f>
        <v>0</v>
      </c>
      <c r="AD198" s="841">
        <f>AD245 + AD268</f>
        <v>0</v>
      </c>
      <c r="AE198" s="841">
        <f>AE245 + AE268</f>
        <v>0</v>
      </c>
      <c r="AF198" s="841">
        <f>AF245 + AF268</f>
        <v>0</v>
      </c>
      <c r="AG198" s="841">
        <f>AG245 + AG268</f>
        <v>0</v>
      </c>
      <c r="AH198" s="841">
        <f>AH245 + AH268</f>
        <v>0</v>
      </c>
      <c r="AI198" s="841">
        <f>AI245 + AI268</f>
        <v>0</v>
      </c>
      <c r="AJ198" s="841">
        <f>AJ245 + AJ268</f>
        <v>0</v>
      </c>
      <c r="AK198" s="841">
        <f>AK245 + AK268</f>
        <v>0</v>
      </c>
      <c r="AL198" s="841">
        <f>AL245 + AL268</f>
        <v>0</v>
      </c>
      <c r="AM198" s="841">
        <f>AM245 + AM268</f>
        <v>0</v>
      </c>
      <c r="AN198" s="841">
        <f>AN245 + AN268</f>
        <v>0</v>
      </c>
      <c r="AO198" s="841">
        <f>AO245 + AO268</f>
        <v>0</v>
      </c>
      <c r="AP198" s="841">
        <f>AP245 + AP268</f>
        <v>0</v>
      </c>
    </row>
    <row r="199" hidden="1">
      <c r="B199" s="842" t="s">
        <v>9</v>
      </c>
      <c r="C199" s="839">
        <f>C246 + C269</f>
        <v>0</v>
      </c>
      <c r="D199" s="839">
        <f>D246 + D269</f>
        <v>0</v>
      </c>
      <c r="E199" s="839">
        <f>E246 + E269</f>
        <v>0</v>
      </c>
      <c r="F199" s="839">
        <f>F246 + F269</f>
        <v>0</v>
      </c>
      <c r="G199" s="839">
        <f>G246 + G269</f>
        <v>0</v>
      </c>
      <c r="H199" s="839">
        <f>H246 + H269</f>
        <v>0</v>
      </c>
      <c r="I199" s="839">
        <f>I246 + I269</f>
        <v>0</v>
      </c>
      <c r="J199" s="839">
        <f>J246 + J269</f>
        <v>0</v>
      </c>
      <c r="K199" s="839">
        <f>K246 + K269</f>
        <v>0</v>
      </c>
      <c r="L199" s="839">
        <f>L246 + L269</f>
        <v>0</v>
      </c>
      <c r="M199" s="839">
        <f>M246 + M269</f>
        <v>0</v>
      </c>
      <c r="N199" s="839">
        <f>N246 + N269</f>
        <v>0</v>
      </c>
      <c r="O199" s="839">
        <f>O246 + O269</f>
        <v>0</v>
      </c>
      <c r="P199" s="839">
        <f>P246 + P269</f>
        <v>0</v>
      </c>
      <c r="Q199" s="839">
        <f>Q246 + Q269</f>
        <v>0</v>
      </c>
      <c r="R199" s="839">
        <f>R246 + R269</f>
        <v>0</v>
      </c>
      <c r="S199" s="839">
        <f>S246 + S269</f>
        <v>0</v>
      </c>
      <c r="T199" s="839">
        <f>T246 + T269</f>
        <v>0</v>
      </c>
      <c r="U199" s="839">
        <f>U246 + U269</f>
        <v>0</v>
      </c>
      <c r="V199" s="839">
        <f>V246 + V269</f>
        <v>0</v>
      </c>
      <c r="W199" s="839">
        <f>W246 + W269</f>
        <v>0</v>
      </c>
      <c r="X199" s="839">
        <f>X246 + X269</f>
        <v>0</v>
      </c>
      <c r="Y199" s="839">
        <f>Y246 + Y269</f>
        <v>0</v>
      </c>
      <c r="Z199" s="839">
        <f>Z246 + Z269</f>
        <v>0</v>
      </c>
      <c r="AA199" s="839">
        <f>AA246 + AA269</f>
        <v>0</v>
      </c>
      <c r="AB199" s="839">
        <f>AB246 + AB269</f>
        <v>0</v>
      </c>
      <c r="AC199" s="841">
        <f>AC246 + AC269</f>
        <v>0</v>
      </c>
      <c r="AD199" s="841">
        <f>AD246 + AD269</f>
        <v>0</v>
      </c>
      <c r="AE199" s="841">
        <f>AE246 + AE269</f>
        <v>0</v>
      </c>
      <c r="AF199" s="841">
        <f>AF246 + AF269</f>
        <v>0</v>
      </c>
      <c r="AG199" s="841">
        <f>AG246 + AG269</f>
        <v>0</v>
      </c>
      <c r="AH199" s="841">
        <f>AH246 + AH269</f>
        <v>0</v>
      </c>
      <c r="AI199" s="841">
        <f>AI246 + AI269</f>
        <v>0</v>
      </c>
      <c r="AJ199" s="841">
        <f>AJ246 + AJ269</f>
        <v>0</v>
      </c>
      <c r="AK199" s="841">
        <f>AK246 + AK269</f>
        <v>0</v>
      </c>
      <c r="AL199" s="841">
        <f>AL246 + AL269</f>
        <v>0</v>
      </c>
      <c r="AM199" s="841">
        <f>AM246 + AM269</f>
        <v>0</v>
      </c>
      <c r="AN199" s="841">
        <f>AN246 + AN269</f>
        <v>0</v>
      </c>
      <c r="AO199" s="841">
        <f>AO246 + AO269</f>
        <v>0</v>
      </c>
      <c r="AP199" s="841">
        <f>AP246 + AP269</f>
        <v>0</v>
      </c>
    </row>
    <row r="200" hidden="1">
      <c r="B200" s="842" t="s">
        <v>10</v>
      </c>
      <c r="C200" s="839">
        <f>C247 + C270</f>
        <v>0</v>
      </c>
      <c r="D200" s="839">
        <f>D247 + D270</f>
        <v>0</v>
      </c>
      <c r="E200" s="839">
        <f>E247 + E270</f>
        <v>0</v>
      </c>
      <c r="F200" s="839">
        <f>F247 + F270</f>
        <v>0</v>
      </c>
      <c r="G200" s="839">
        <f>G247 + G270</f>
        <v>0</v>
      </c>
      <c r="H200" s="839">
        <f>H247 + H270</f>
        <v>0</v>
      </c>
      <c r="I200" s="839">
        <f>I247 + I270</f>
        <v>0</v>
      </c>
      <c r="J200" s="839">
        <f>J247 + J270</f>
        <v>0</v>
      </c>
      <c r="K200" s="839">
        <f>K247 + K270</f>
        <v>0</v>
      </c>
      <c r="L200" s="839">
        <f>L247 + L270</f>
        <v>0</v>
      </c>
      <c r="M200" s="839">
        <f>M247 + M270</f>
        <v>0</v>
      </c>
      <c r="N200" s="839">
        <f>N247 + N270</f>
        <v>0</v>
      </c>
      <c r="O200" s="839">
        <f>O247 + O270</f>
        <v>0</v>
      </c>
      <c r="P200" s="839">
        <f>P247 + P270</f>
        <v>0</v>
      </c>
      <c r="Q200" s="839">
        <f>Q247 + Q270</f>
        <v>0</v>
      </c>
      <c r="R200" s="839">
        <f>R247 + R270</f>
        <v>0</v>
      </c>
      <c r="S200" s="839">
        <f>S247 + S270</f>
        <v>0</v>
      </c>
      <c r="T200" s="839">
        <f>T247 + T270</f>
        <v>0</v>
      </c>
      <c r="U200" s="839">
        <f>U247 + U270</f>
        <v>0</v>
      </c>
      <c r="V200" s="839">
        <f>V247 + V270</f>
        <v>0</v>
      </c>
      <c r="W200" s="839">
        <f>W247 + W270</f>
        <v>0</v>
      </c>
      <c r="X200" s="839">
        <f>X247 + X270</f>
        <v>0</v>
      </c>
      <c r="Y200" s="839">
        <f>Y247 + Y270</f>
        <v>0</v>
      </c>
      <c r="Z200" s="839">
        <f>Z247 + Z270</f>
        <v>0</v>
      </c>
      <c r="AA200" s="839">
        <f>AA247 + AA270</f>
        <v>0</v>
      </c>
      <c r="AB200" s="839">
        <f>AB247 + AB270</f>
        <v>0</v>
      </c>
      <c r="AC200" s="841">
        <f>AC247 + AC270</f>
        <v>0</v>
      </c>
      <c r="AD200" s="841">
        <f>AD247 + AD270</f>
        <v>0</v>
      </c>
      <c r="AE200" s="841">
        <f>AE247 + AE270</f>
        <v>0</v>
      </c>
      <c r="AF200" s="841">
        <f>AF247 + AF270</f>
        <v>0</v>
      </c>
      <c r="AG200" s="841">
        <f>AG247 + AG270</f>
        <v>0</v>
      </c>
      <c r="AH200" s="841">
        <f>AH247 + AH270</f>
        <v>0</v>
      </c>
      <c r="AI200" s="841">
        <f>AI247 + AI270</f>
        <v>0</v>
      </c>
      <c r="AJ200" s="841">
        <f>AJ247 + AJ270</f>
        <v>0</v>
      </c>
      <c r="AK200" s="841">
        <f>AK247 + AK270</f>
        <v>0</v>
      </c>
      <c r="AL200" s="841">
        <f>AL247 + AL270</f>
        <v>0</v>
      </c>
      <c r="AM200" s="841">
        <f>AM247 + AM270</f>
        <v>0</v>
      </c>
      <c r="AN200" s="841">
        <f>AN247 + AN270</f>
        <v>0</v>
      </c>
      <c r="AO200" s="841">
        <f>AO247 + AO270</f>
        <v>0</v>
      </c>
      <c r="AP200" s="841">
        <f>AP247 + AP270</f>
        <v>0</v>
      </c>
    </row>
    <row r="201" hidden="1">
      <c r="B201" s="842" t="s">
        <v>11</v>
      </c>
      <c r="C201" s="839">
        <f>C248 + C271</f>
        <v>0</v>
      </c>
      <c r="D201" s="839">
        <f>D248 + D271</f>
        <v>0</v>
      </c>
      <c r="E201" s="839">
        <f>E248 + E271</f>
        <v>0</v>
      </c>
      <c r="F201" s="839">
        <f>F248 + F271</f>
        <v>0</v>
      </c>
      <c r="G201" s="839">
        <f>G248 + G271</f>
        <v>0</v>
      </c>
      <c r="H201" s="839">
        <f>H248 + H271</f>
        <v>0</v>
      </c>
      <c r="I201" s="839">
        <f>I248 + I271</f>
        <v>0</v>
      </c>
      <c r="J201" s="839">
        <f>J248 + J271</f>
        <v>0</v>
      </c>
      <c r="K201" s="839">
        <f>K248 + K271</f>
        <v>0</v>
      </c>
      <c r="L201" s="839">
        <f>L248 + L271</f>
        <v>0</v>
      </c>
      <c r="M201" s="839">
        <f>M248 + M271</f>
        <v>0</v>
      </c>
      <c r="N201" s="839">
        <f>N248 + N271</f>
        <v>0</v>
      </c>
      <c r="O201" s="839">
        <f>O248 + O271</f>
        <v>0</v>
      </c>
      <c r="P201" s="839">
        <f>P248 + P271</f>
        <v>0</v>
      </c>
      <c r="Q201" s="839">
        <f>Q248 + Q271</f>
        <v>0</v>
      </c>
      <c r="R201" s="839">
        <f>R248 + R271</f>
        <v>0</v>
      </c>
      <c r="S201" s="839">
        <f>S248 + S271</f>
        <v>0</v>
      </c>
      <c r="T201" s="839">
        <f>T248 + T271</f>
        <v>0</v>
      </c>
      <c r="U201" s="839">
        <f>U248 + U271</f>
        <v>0</v>
      </c>
      <c r="V201" s="839">
        <f>V248 + V271</f>
        <v>0</v>
      </c>
      <c r="W201" s="839">
        <f>W248 + W271</f>
        <v>0</v>
      </c>
      <c r="X201" s="839">
        <f>X248 + X271</f>
        <v>0</v>
      </c>
      <c r="Y201" s="839">
        <f>Y248 + Y271</f>
        <v>0</v>
      </c>
      <c r="Z201" s="839">
        <f>Z248 + Z271</f>
        <v>0</v>
      </c>
      <c r="AA201" s="839">
        <f>AA248 + AA271</f>
        <v>0</v>
      </c>
      <c r="AB201" s="839">
        <f>AB248 + AB271</f>
        <v>0</v>
      </c>
      <c r="AC201" s="841">
        <f>AC248 + AC271</f>
        <v>0</v>
      </c>
      <c r="AD201" s="841">
        <f>AD248 + AD271</f>
        <v>0</v>
      </c>
      <c r="AE201" s="841">
        <f>AE248 + AE271</f>
        <v>0</v>
      </c>
      <c r="AF201" s="841">
        <f>AF248 + AF271</f>
        <v>0</v>
      </c>
      <c r="AG201" s="841">
        <f>AG248 + AG271</f>
        <v>0</v>
      </c>
      <c r="AH201" s="841">
        <f>AH248 + AH271</f>
        <v>0</v>
      </c>
      <c r="AI201" s="841">
        <f>AI248 + AI271</f>
        <v>0</v>
      </c>
      <c r="AJ201" s="841">
        <f>AJ248 + AJ271</f>
        <v>0</v>
      </c>
      <c r="AK201" s="841">
        <f>AK248 + AK271</f>
        <v>0</v>
      </c>
      <c r="AL201" s="841">
        <f>AL248 + AL271</f>
        <v>0</v>
      </c>
      <c r="AM201" s="841">
        <f>AM248 + AM271</f>
        <v>0</v>
      </c>
      <c r="AN201" s="841">
        <f>AN248 + AN271</f>
        <v>0</v>
      </c>
      <c r="AO201" s="841">
        <f>AO248 + AO271</f>
        <v>0</v>
      </c>
      <c r="AP201" s="841">
        <f>AP248 + AP271</f>
        <v>0</v>
      </c>
    </row>
    <row r="202" hidden="1">
      <c r="B202" s="842" t="s">
        <v>12</v>
      </c>
      <c r="C202" s="839">
        <f>C249 + C272</f>
        <v>0</v>
      </c>
      <c r="D202" s="839">
        <f>D249 + D272</f>
        <v>0</v>
      </c>
      <c r="E202" s="839">
        <f>E249 + E272</f>
        <v>0</v>
      </c>
      <c r="F202" s="839">
        <f>F249 + F272</f>
        <v>0</v>
      </c>
      <c r="G202" s="839">
        <f>G249 + G272</f>
        <v>0</v>
      </c>
      <c r="H202" s="839">
        <f>H249 + H272</f>
        <v>0</v>
      </c>
      <c r="I202" s="839">
        <f>I249 + I272</f>
        <v>0</v>
      </c>
      <c r="J202" s="839">
        <f>J249 + J272</f>
        <v>0</v>
      </c>
      <c r="K202" s="839">
        <f>K249 + K272</f>
        <v>0</v>
      </c>
      <c r="L202" s="839">
        <f>L249 + L272</f>
        <v>0</v>
      </c>
      <c r="M202" s="839">
        <f>M249 + M272</f>
        <v>0</v>
      </c>
      <c r="N202" s="839">
        <f>N249 + N272</f>
        <v>0</v>
      </c>
      <c r="O202" s="839">
        <f>O249 + O272</f>
        <v>0</v>
      </c>
      <c r="P202" s="839">
        <f>P249 + P272</f>
        <v>0</v>
      </c>
      <c r="Q202" s="839">
        <f>Q249 + Q272</f>
        <v>0</v>
      </c>
      <c r="R202" s="839">
        <f>R249 + R272</f>
        <v>0</v>
      </c>
      <c r="S202" s="839">
        <f>S249 + S272</f>
        <v>0</v>
      </c>
      <c r="T202" s="839">
        <f>T249 + T272</f>
        <v>0</v>
      </c>
      <c r="U202" s="839">
        <f>U249 + U272</f>
        <v>0</v>
      </c>
      <c r="V202" s="839">
        <f>V249 + V272</f>
        <v>0</v>
      </c>
      <c r="W202" s="839">
        <f>W249 + W272</f>
        <v>0</v>
      </c>
      <c r="X202" s="839">
        <f>X249 + X272</f>
        <v>0</v>
      </c>
      <c r="Y202" s="839">
        <f>Y249 + Y272</f>
        <v>0</v>
      </c>
      <c r="Z202" s="839">
        <f>Z249 + Z272</f>
        <v>0</v>
      </c>
      <c r="AA202" s="839">
        <f>AA249 + AA272</f>
        <v>0</v>
      </c>
      <c r="AB202" s="839">
        <f>AB249 + AB272</f>
        <v>0</v>
      </c>
      <c r="AC202" s="841">
        <f>AC249 + AC272</f>
        <v>0</v>
      </c>
      <c r="AD202" s="841">
        <f>AD249 + AD272</f>
        <v>0</v>
      </c>
      <c r="AE202" s="841">
        <f>AE249 + AE272</f>
        <v>0</v>
      </c>
      <c r="AF202" s="841">
        <f>AF249 + AF272</f>
        <v>0</v>
      </c>
      <c r="AG202" s="841">
        <f>AG249 + AG272</f>
        <v>0</v>
      </c>
      <c r="AH202" s="841">
        <f>AH249 + AH272</f>
        <v>0</v>
      </c>
      <c r="AI202" s="841">
        <f>AI249 + AI272</f>
        <v>0</v>
      </c>
      <c r="AJ202" s="841">
        <f>AJ249 + AJ272</f>
        <v>0</v>
      </c>
      <c r="AK202" s="841">
        <f>AK249 + AK272</f>
        <v>0</v>
      </c>
      <c r="AL202" s="841">
        <f>AL249 + AL272</f>
        <v>0</v>
      </c>
      <c r="AM202" s="841">
        <f>AM249 + AM272</f>
        <v>0</v>
      </c>
      <c r="AN202" s="841">
        <f>AN249 + AN272</f>
        <v>0</v>
      </c>
      <c r="AO202" s="841">
        <f>AO249 + AO272</f>
        <v>0</v>
      </c>
      <c r="AP202" s="841">
        <f>AP249 + AP272</f>
        <v>0</v>
      </c>
    </row>
    <row r="203" hidden="1">
      <c r="B203" s="842" t="s">
        <v>13</v>
      </c>
      <c r="C203" s="839">
        <f>C250 + C273</f>
        <v>0</v>
      </c>
      <c r="D203" s="839">
        <f>D250 + D273</f>
        <v>0</v>
      </c>
      <c r="E203" s="839">
        <f>E250 + E273</f>
        <v>0</v>
      </c>
      <c r="F203" s="839">
        <f>F250 + F273</f>
        <v>0</v>
      </c>
      <c r="G203" s="839">
        <f>G250 + G273</f>
        <v>0</v>
      </c>
      <c r="H203" s="839">
        <f>H250 + H273</f>
        <v>0</v>
      </c>
      <c r="I203" s="839">
        <f>I250 + I273</f>
        <v>0</v>
      </c>
      <c r="J203" s="839">
        <f>J250 + J273</f>
        <v>0</v>
      </c>
      <c r="K203" s="839">
        <f>K250 + K273</f>
        <v>0</v>
      </c>
      <c r="L203" s="839">
        <f>L250 + L273</f>
        <v>0</v>
      </c>
      <c r="M203" s="839">
        <f>M250 + M273</f>
        <v>0</v>
      </c>
      <c r="N203" s="839">
        <f>N250 + N273</f>
        <v>0</v>
      </c>
      <c r="O203" s="839">
        <f>O250 + O273</f>
        <v>0</v>
      </c>
      <c r="P203" s="839">
        <f>P250 + P273</f>
        <v>0</v>
      </c>
      <c r="Q203" s="839">
        <f>Q250 + Q273</f>
        <v>0</v>
      </c>
      <c r="R203" s="839">
        <f>R250 + R273</f>
        <v>0</v>
      </c>
      <c r="S203" s="839">
        <f>S250 + S273</f>
        <v>0</v>
      </c>
      <c r="T203" s="839">
        <f>T250 + T273</f>
        <v>0</v>
      </c>
      <c r="U203" s="839">
        <f>U250 + U273</f>
        <v>0</v>
      </c>
      <c r="V203" s="839">
        <f>V250 + V273</f>
        <v>0</v>
      </c>
      <c r="W203" s="839">
        <f>W250 + W273</f>
        <v>0</v>
      </c>
      <c r="X203" s="839">
        <f>X250 + X273</f>
        <v>0</v>
      </c>
      <c r="Y203" s="839">
        <f>Y250 + Y273</f>
        <v>0</v>
      </c>
      <c r="Z203" s="839">
        <f>Z250 + Z273</f>
        <v>0</v>
      </c>
      <c r="AA203" s="839">
        <f>AA250 + AA273</f>
        <v>0</v>
      </c>
      <c r="AB203" s="839">
        <f>AB250 + AB273</f>
        <v>0</v>
      </c>
      <c r="AC203" s="841">
        <f>AC250 + AC273</f>
        <v>0</v>
      </c>
      <c r="AD203" s="841">
        <f>AD250 + AD273</f>
        <v>0</v>
      </c>
      <c r="AE203" s="841">
        <f>AE250 + AE273</f>
        <v>0</v>
      </c>
      <c r="AF203" s="841">
        <f>AF250 + AF273</f>
        <v>0</v>
      </c>
      <c r="AG203" s="841">
        <f>AG250 + AG273</f>
        <v>0</v>
      </c>
      <c r="AH203" s="841">
        <f>AH250 + AH273</f>
        <v>0</v>
      </c>
      <c r="AI203" s="841">
        <f>AI250 + AI273</f>
        <v>0</v>
      </c>
      <c r="AJ203" s="841">
        <f>AJ250 + AJ273</f>
        <v>0</v>
      </c>
      <c r="AK203" s="841">
        <f>AK250 + AK273</f>
        <v>0</v>
      </c>
      <c r="AL203" s="841">
        <f>AL250 + AL273</f>
        <v>0</v>
      </c>
      <c r="AM203" s="841">
        <f>AM250 + AM273</f>
        <v>0</v>
      </c>
      <c r="AN203" s="841">
        <f>AN250 + AN273</f>
        <v>0</v>
      </c>
      <c r="AO203" s="841">
        <f>AO250 + AO273</f>
        <v>0</v>
      </c>
      <c r="AP203" s="841">
        <f>AP250 + AP273</f>
        <v>0</v>
      </c>
    </row>
    <row r="204" hidden="1">
      <c r="B204" s="842" t="s">
        <v>109</v>
      </c>
      <c r="C204" s="839">
        <f>C251 + C274</f>
        <v>0</v>
      </c>
      <c r="D204" s="839">
        <f>D251 + D274</f>
        <v>0</v>
      </c>
      <c r="E204" s="839">
        <f>E251 + E274</f>
        <v>0</v>
      </c>
      <c r="F204" s="839">
        <f>F251 + F274</f>
        <v>0</v>
      </c>
      <c r="G204" s="839">
        <f>G251 + G274</f>
        <v>0</v>
      </c>
      <c r="H204" s="839">
        <f>H251 + H274</f>
        <v>0</v>
      </c>
      <c r="I204" s="839">
        <f>I251 + I274</f>
        <v>0</v>
      </c>
      <c r="J204" s="839">
        <f>J251 + J274</f>
        <v>0</v>
      </c>
      <c r="K204" s="839">
        <f>K251 + K274</f>
        <v>0</v>
      </c>
      <c r="L204" s="839">
        <f>L251 + L274</f>
        <v>0</v>
      </c>
      <c r="M204" s="839">
        <f>M251 + M274</f>
        <v>0</v>
      </c>
      <c r="N204" s="839">
        <f>N251 + N274</f>
        <v>0</v>
      </c>
      <c r="O204" s="839">
        <f>O251 + O274</f>
        <v>0</v>
      </c>
      <c r="P204" s="839">
        <f>P251 + P274</f>
        <v>0</v>
      </c>
      <c r="Q204" s="839">
        <f>Q251 + Q274</f>
        <v>0</v>
      </c>
      <c r="R204" s="839">
        <f>R251 + R274</f>
        <v>0</v>
      </c>
      <c r="S204" s="839">
        <f>S251 + S274</f>
        <v>0</v>
      </c>
      <c r="T204" s="839">
        <f>T251 + T274</f>
        <v>0</v>
      </c>
      <c r="U204" s="839">
        <f>U251 + U274</f>
        <v>0</v>
      </c>
      <c r="V204" s="839">
        <f>V251 + V274</f>
        <v>0</v>
      </c>
      <c r="W204" s="839">
        <f>W251 + W274</f>
        <v>0</v>
      </c>
      <c r="X204" s="839">
        <f>X251 + X274</f>
        <v>0</v>
      </c>
      <c r="Y204" s="839">
        <f>Y251 + Y274</f>
        <v>0</v>
      </c>
      <c r="Z204" s="839">
        <f>Z251 + Z274</f>
        <v>0</v>
      </c>
      <c r="AA204" s="839">
        <f>AA251 + AA274</f>
        <v>0</v>
      </c>
      <c r="AB204" s="839">
        <f>AB251 + AB274</f>
        <v>0</v>
      </c>
      <c r="AC204" s="841">
        <f>AC251 + AC274</f>
        <v>0</v>
      </c>
      <c r="AD204" s="841">
        <f>AD251 + AD274</f>
        <v>0</v>
      </c>
      <c r="AE204" s="841">
        <f>AE251 + AE274</f>
        <v>0</v>
      </c>
      <c r="AF204" s="841">
        <f>AF251 + AF274</f>
        <v>0</v>
      </c>
      <c r="AG204" s="841">
        <f>AG251 + AG274</f>
        <v>0</v>
      </c>
      <c r="AH204" s="841">
        <f>AH251 + AH274</f>
        <v>0</v>
      </c>
      <c r="AI204" s="841">
        <f>AI251 + AI274</f>
        <v>0</v>
      </c>
      <c r="AJ204" s="841">
        <f>AJ251 + AJ274</f>
        <v>0</v>
      </c>
      <c r="AK204" s="841">
        <f>AK251 + AK274</f>
        <v>0</v>
      </c>
      <c r="AL204" s="841">
        <f>AL251 + AL274</f>
        <v>0</v>
      </c>
      <c r="AM204" s="841">
        <f>AM251 + AM274</f>
        <v>0</v>
      </c>
      <c r="AN204" s="841">
        <f>AN251 + AN274</f>
        <v>0</v>
      </c>
      <c r="AO204" s="841">
        <f>AO251 + AO274</f>
        <v>0</v>
      </c>
      <c r="AP204" s="841">
        <f>AP251 + AP274</f>
        <v>0</v>
      </c>
    </row>
    <row r="205" hidden="1">
      <c r="B205" s="842" t="s">
        <v>110</v>
      </c>
      <c r="C205" s="839">
        <f>C252 + C275</f>
        <v>0</v>
      </c>
      <c r="D205" s="839">
        <f>D252 + D275</f>
        <v>0</v>
      </c>
      <c r="E205" s="839">
        <f>E252 + E275</f>
        <v>0</v>
      </c>
      <c r="F205" s="839">
        <f>F252 + F275</f>
        <v>0</v>
      </c>
      <c r="G205" s="839">
        <f>G252 + G275</f>
        <v>0</v>
      </c>
      <c r="H205" s="839">
        <f>H252 + H275</f>
        <v>0</v>
      </c>
      <c r="I205" s="839">
        <f>I252 + I275</f>
        <v>0</v>
      </c>
      <c r="J205" s="839">
        <f>J252 + J275</f>
        <v>0</v>
      </c>
      <c r="K205" s="839">
        <f>K252 + K275</f>
        <v>0</v>
      </c>
      <c r="L205" s="839">
        <f>L252 + L275</f>
        <v>0</v>
      </c>
      <c r="M205" s="839">
        <f>M252 + M275</f>
        <v>0</v>
      </c>
      <c r="N205" s="839">
        <f>N252 + N275</f>
        <v>0</v>
      </c>
      <c r="O205" s="839">
        <f>O252 + O275</f>
        <v>0</v>
      </c>
      <c r="P205" s="839">
        <f>P252 + P275</f>
        <v>0</v>
      </c>
      <c r="Q205" s="839">
        <f>Q252 + Q275</f>
        <v>0</v>
      </c>
      <c r="R205" s="839">
        <f>R252 + R275</f>
        <v>0</v>
      </c>
      <c r="S205" s="839">
        <f>S252 + S275</f>
        <v>0</v>
      </c>
      <c r="T205" s="839">
        <f>T252 + T275</f>
        <v>0</v>
      </c>
      <c r="U205" s="839">
        <f>U252 + U275</f>
        <v>0</v>
      </c>
      <c r="V205" s="839">
        <f>V252 + V275</f>
        <v>0</v>
      </c>
      <c r="W205" s="839">
        <f>W252 + W275</f>
        <v>0</v>
      </c>
      <c r="X205" s="839">
        <f>X252 + X275</f>
        <v>0</v>
      </c>
      <c r="Y205" s="839">
        <f>Y252 + Y275</f>
        <v>0</v>
      </c>
      <c r="Z205" s="839">
        <f>Z252 + Z275</f>
        <v>0</v>
      </c>
      <c r="AA205" s="839">
        <f>AA252 + AA275</f>
        <v>0</v>
      </c>
      <c r="AB205" s="839">
        <f>AB252 + AB275</f>
        <v>0</v>
      </c>
      <c r="AC205" s="841">
        <f>AC252 + AC275</f>
        <v>0</v>
      </c>
      <c r="AD205" s="841">
        <f>AD252 + AD275</f>
        <v>0</v>
      </c>
      <c r="AE205" s="841">
        <f>AE252 + AE275</f>
        <v>0</v>
      </c>
      <c r="AF205" s="841">
        <f>AF252 + AF275</f>
        <v>0</v>
      </c>
      <c r="AG205" s="841">
        <f>AG252 + AG275</f>
        <v>0</v>
      </c>
      <c r="AH205" s="841">
        <f>AH252 + AH275</f>
        <v>0</v>
      </c>
      <c r="AI205" s="841">
        <f>AI252 + AI275</f>
        <v>0</v>
      </c>
      <c r="AJ205" s="841">
        <f>AJ252 + AJ275</f>
        <v>0</v>
      </c>
      <c r="AK205" s="841">
        <f>AK252 + AK275</f>
        <v>0</v>
      </c>
      <c r="AL205" s="841">
        <f>AL252 + AL275</f>
        <v>0</v>
      </c>
      <c r="AM205" s="841">
        <f>AM252 + AM275</f>
        <v>0</v>
      </c>
      <c r="AN205" s="841">
        <f>AN252 + AN275</f>
        <v>0</v>
      </c>
      <c r="AO205" s="841">
        <f>AO252 + AO275</f>
        <v>0</v>
      </c>
      <c r="AP205" s="841">
        <f>AP252 + AP275</f>
        <v>0</v>
      </c>
    </row>
    <row r="206" hidden="1">
      <c r="B206" s="842" t="s">
        <v>16</v>
      </c>
      <c r="C206" s="839">
        <f>C253 + C276</f>
        <v>0</v>
      </c>
      <c r="D206" s="839">
        <f>D253 + D276</f>
        <v>0</v>
      </c>
      <c r="E206" s="839">
        <f>E253 + E276</f>
        <v>0</v>
      </c>
      <c r="F206" s="839">
        <f>F253 + F276</f>
        <v>0</v>
      </c>
      <c r="G206" s="839">
        <f>G253 + G276</f>
        <v>0</v>
      </c>
      <c r="H206" s="839">
        <f>H253 + H276</f>
        <v>0</v>
      </c>
      <c r="I206" s="839">
        <f>I253 + I276</f>
        <v>0</v>
      </c>
      <c r="J206" s="839">
        <f>J253 + J276</f>
        <v>0</v>
      </c>
      <c r="K206" s="839">
        <f>K253 + K276</f>
        <v>0</v>
      </c>
      <c r="L206" s="839">
        <f>L253 + L276</f>
        <v>0</v>
      </c>
      <c r="M206" s="839">
        <f>M253 + M276</f>
        <v>0</v>
      </c>
      <c r="N206" s="839">
        <f>N253 + N276</f>
        <v>0</v>
      </c>
      <c r="O206" s="839">
        <f>O253 + O276</f>
        <v>0</v>
      </c>
      <c r="P206" s="839">
        <f>P253 + P276</f>
        <v>0</v>
      </c>
      <c r="Q206" s="839">
        <f>Q253 + Q276</f>
        <v>0</v>
      </c>
      <c r="R206" s="839">
        <f>R253 + R276</f>
        <v>0</v>
      </c>
      <c r="S206" s="839">
        <f>S253 + S276</f>
        <v>0</v>
      </c>
      <c r="T206" s="839">
        <f>T253 + T276</f>
        <v>0</v>
      </c>
      <c r="U206" s="839">
        <f>U253 + U276</f>
        <v>0</v>
      </c>
      <c r="V206" s="839">
        <f>V253 + V276</f>
        <v>0</v>
      </c>
      <c r="W206" s="839">
        <f>W253 + W276</f>
        <v>0</v>
      </c>
      <c r="X206" s="839">
        <f>X253 + X276</f>
        <v>0</v>
      </c>
      <c r="Y206" s="839">
        <f>Y253 + Y276</f>
        <v>0</v>
      </c>
      <c r="Z206" s="839">
        <f>Z253 + Z276</f>
        <v>0</v>
      </c>
      <c r="AA206" s="839">
        <f>AA253 + AA276</f>
        <v>0</v>
      </c>
      <c r="AB206" s="839">
        <f>AB253 + AB276</f>
        <v>0</v>
      </c>
      <c r="AC206" s="841">
        <f>AC253 + AC276</f>
        <v>0</v>
      </c>
      <c r="AD206" s="841">
        <f>AD253 + AD276</f>
        <v>0</v>
      </c>
      <c r="AE206" s="841">
        <f>AE253 + AE276</f>
        <v>0</v>
      </c>
      <c r="AF206" s="841">
        <f>AF253 + AF276</f>
        <v>0</v>
      </c>
      <c r="AG206" s="841">
        <f>AG253 + AG276</f>
        <v>0</v>
      </c>
      <c r="AH206" s="841">
        <f>AH253 + AH276</f>
        <v>0</v>
      </c>
      <c r="AI206" s="841">
        <f>AI253 + AI276</f>
        <v>0</v>
      </c>
      <c r="AJ206" s="841">
        <f>AJ253 + AJ276</f>
        <v>0</v>
      </c>
      <c r="AK206" s="841">
        <f>AK253 + AK276</f>
        <v>0</v>
      </c>
      <c r="AL206" s="841">
        <f>AL253 + AL276</f>
        <v>0</v>
      </c>
      <c r="AM206" s="841">
        <f>AM253 + AM276</f>
        <v>0</v>
      </c>
      <c r="AN206" s="841">
        <f>AN253 + AN276</f>
        <v>0</v>
      </c>
      <c r="AO206" s="841">
        <f>AO253 + AO276</f>
        <v>0</v>
      </c>
      <c r="AP206" s="841">
        <f>AP253 + AP276</f>
        <v>0</v>
      </c>
    </row>
    <row r="207" hidden="1">
      <c r="B207" s="842" t="s">
        <v>17</v>
      </c>
      <c r="C207" s="839">
        <f>C254 + C277</f>
        <v>0</v>
      </c>
      <c r="D207" s="839">
        <f>D254 + D277</f>
        <v>0</v>
      </c>
      <c r="E207" s="839">
        <f>E254 + E277</f>
        <v>0</v>
      </c>
      <c r="F207" s="839">
        <f>F254 + F277</f>
        <v>0</v>
      </c>
      <c r="G207" s="839">
        <f>G254 + G277</f>
        <v>0</v>
      </c>
      <c r="H207" s="839">
        <f>H254 + H277</f>
        <v>0</v>
      </c>
      <c r="I207" s="839">
        <f>I254 + I277</f>
        <v>0</v>
      </c>
      <c r="J207" s="839">
        <f>J254 + J277</f>
        <v>0</v>
      </c>
      <c r="K207" s="839">
        <f>K254 + K277</f>
        <v>0</v>
      </c>
      <c r="L207" s="839">
        <f>L254 + L277</f>
        <v>0</v>
      </c>
      <c r="M207" s="839">
        <f>M254 + M277</f>
        <v>0</v>
      </c>
      <c r="N207" s="839">
        <f>N254 + N277</f>
        <v>0</v>
      </c>
      <c r="O207" s="839">
        <f>O254 + O277</f>
        <v>0</v>
      </c>
      <c r="P207" s="839">
        <f>P254 + P277</f>
        <v>0</v>
      </c>
      <c r="Q207" s="839">
        <f>Q254 + Q277</f>
        <v>0</v>
      </c>
      <c r="R207" s="839">
        <f>R254 + R277</f>
        <v>0</v>
      </c>
      <c r="S207" s="839">
        <f>S254 + S277</f>
        <v>0</v>
      </c>
      <c r="T207" s="839">
        <f>T254 + T277</f>
        <v>0</v>
      </c>
      <c r="U207" s="839">
        <f>U254 + U277</f>
        <v>0</v>
      </c>
      <c r="V207" s="839">
        <f>V254 + V277</f>
        <v>0</v>
      </c>
      <c r="W207" s="839">
        <f>W254 + W277</f>
        <v>0</v>
      </c>
      <c r="X207" s="839">
        <f>X254 + X277</f>
        <v>0</v>
      </c>
      <c r="Y207" s="839">
        <f>Y254 + Y277</f>
        <v>0</v>
      </c>
      <c r="Z207" s="839">
        <f>Z254 + Z277</f>
        <v>0</v>
      </c>
      <c r="AA207" s="839">
        <f>AA254 + AA277</f>
        <v>0</v>
      </c>
      <c r="AB207" s="839">
        <f>AB254 + AB277</f>
        <v>0</v>
      </c>
      <c r="AC207" s="841">
        <f>AC254 + AC277</f>
        <v>0</v>
      </c>
      <c r="AD207" s="841">
        <f>AD254 + AD277</f>
        <v>0</v>
      </c>
      <c r="AE207" s="841">
        <f>AE254 + AE277</f>
        <v>0</v>
      </c>
      <c r="AF207" s="841">
        <f>AF254 + AF277</f>
        <v>0</v>
      </c>
      <c r="AG207" s="841">
        <f>AG254 + AG277</f>
        <v>0</v>
      </c>
      <c r="AH207" s="841">
        <f>AH254 + AH277</f>
        <v>0</v>
      </c>
      <c r="AI207" s="841">
        <f>AI254 + AI277</f>
        <v>0</v>
      </c>
      <c r="AJ207" s="841">
        <f>AJ254 + AJ277</f>
        <v>0</v>
      </c>
      <c r="AK207" s="841">
        <f>AK254 + AK277</f>
        <v>0</v>
      </c>
      <c r="AL207" s="841">
        <f>AL254 + AL277</f>
        <v>0</v>
      </c>
      <c r="AM207" s="841">
        <f>AM254 + AM277</f>
        <v>0</v>
      </c>
      <c r="AN207" s="841">
        <f>AN254 + AN277</f>
        <v>0</v>
      </c>
      <c r="AO207" s="841">
        <f>AO254 + AO277</f>
        <v>0</v>
      </c>
      <c r="AP207" s="841">
        <f>AP254 + AP277</f>
        <v>0</v>
      </c>
    </row>
    <row r="208" hidden="1">
      <c r="B208" s="842" t="s">
        <v>18</v>
      </c>
      <c r="C208" s="839">
        <f>C255 + C278</f>
        <v>0</v>
      </c>
      <c r="D208" s="839">
        <f>D255 + D278</f>
        <v>0</v>
      </c>
      <c r="E208" s="839">
        <f>E255 + E278</f>
        <v>0</v>
      </c>
      <c r="F208" s="839">
        <f>F255 + F278</f>
        <v>0</v>
      </c>
      <c r="G208" s="839">
        <f>G255 + G278</f>
        <v>0</v>
      </c>
      <c r="H208" s="839">
        <f>H255 + H278</f>
        <v>0</v>
      </c>
      <c r="I208" s="839">
        <f>I255 + I278</f>
        <v>0</v>
      </c>
      <c r="J208" s="839">
        <f>J255 + J278</f>
        <v>0</v>
      </c>
      <c r="K208" s="839">
        <f>K255 + K278</f>
        <v>0</v>
      </c>
      <c r="L208" s="839">
        <f>L255 + L278</f>
        <v>0</v>
      </c>
      <c r="M208" s="839">
        <f>M255 + M278</f>
        <v>0</v>
      </c>
      <c r="N208" s="839">
        <f>N255 + N278</f>
        <v>0</v>
      </c>
      <c r="O208" s="839">
        <f>O255 + O278</f>
        <v>0</v>
      </c>
      <c r="P208" s="839">
        <f>P255 + P278</f>
        <v>0</v>
      </c>
      <c r="Q208" s="839">
        <f>Q255 + Q278</f>
        <v>0</v>
      </c>
      <c r="R208" s="839">
        <f>R255 + R278</f>
        <v>0</v>
      </c>
      <c r="S208" s="839">
        <f>S255 + S278</f>
        <v>0</v>
      </c>
      <c r="T208" s="839">
        <f>T255 + T278</f>
        <v>0</v>
      </c>
      <c r="U208" s="839">
        <f>U255 + U278</f>
        <v>0</v>
      </c>
      <c r="V208" s="839">
        <f>V255 + V278</f>
        <v>0</v>
      </c>
      <c r="W208" s="839">
        <f>W255 + W278</f>
        <v>0</v>
      </c>
      <c r="X208" s="839">
        <f>X255 + X278</f>
        <v>0</v>
      </c>
      <c r="Y208" s="839">
        <f>Y255 + Y278</f>
        <v>0</v>
      </c>
      <c r="Z208" s="839">
        <f>Z255 + Z278</f>
        <v>0</v>
      </c>
      <c r="AA208" s="839">
        <f>AA255 + AA278</f>
        <v>0</v>
      </c>
      <c r="AB208" s="839">
        <f>AB255 + AB278</f>
        <v>0</v>
      </c>
      <c r="AC208" s="841">
        <f>AC255 + AC278</f>
        <v>0</v>
      </c>
      <c r="AD208" s="841">
        <f>AD255 + AD278</f>
        <v>0</v>
      </c>
      <c r="AE208" s="841">
        <f>AE255 + AE278</f>
        <v>0</v>
      </c>
      <c r="AF208" s="841">
        <f>AF255 + AF278</f>
        <v>0</v>
      </c>
      <c r="AG208" s="841">
        <f>AG255 + AG278</f>
        <v>0</v>
      </c>
      <c r="AH208" s="841">
        <f>AH255 + AH278</f>
        <v>0</v>
      </c>
      <c r="AI208" s="841">
        <f>AI255 + AI278</f>
        <v>0</v>
      </c>
      <c r="AJ208" s="841">
        <f>AJ255 + AJ278</f>
        <v>0</v>
      </c>
      <c r="AK208" s="841">
        <f>AK255 + AK278</f>
        <v>0</v>
      </c>
      <c r="AL208" s="841">
        <f>AL255 + AL278</f>
        <v>0</v>
      </c>
      <c r="AM208" s="841">
        <f>AM255 + AM278</f>
        <v>0</v>
      </c>
      <c r="AN208" s="841">
        <f>AN255 + AN278</f>
        <v>0</v>
      </c>
      <c r="AO208" s="841">
        <f>AO255 + AO278</f>
        <v>0</v>
      </c>
      <c r="AP208" s="841">
        <f>AP255 + AP278</f>
        <v>0</v>
      </c>
    </row>
    <row r="209" hidden="1">
      <c r="B209" s="842" t="s">
        <v>19</v>
      </c>
      <c r="C209" s="839">
        <f>C256 + C279</f>
        <v>0</v>
      </c>
      <c r="D209" s="839">
        <f>D256 + D279</f>
        <v>0</v>
      </c>
      <c r="E209" s="839">
        <f>E256 + E279</f>
        <v>0</v>
      </c>
      <c r="F209" s="839">
        <f>F256 + F279</f>
        <v>0</v>
      </c>
      <c r="G209" s="839">
        <f>G256 + G279</f>
        <v>0</v>
      </c>
      <c r="H209" s="839">
        <f>H256 + H279</f>
        <v>0</v>
      </c>
      <c r="I209" s="839">
        <f>I256 + I279</f>
        <v>0</v>
      </c>
      <c r="J209" s="839">
        <f>J256 + J279</f>
        <v>0</v>
      </c>
      <c r="K209" s="839">
        <f>K256 + K279</f>
        <v>0</v>
      </c>
      <c r="L209" s="839">
        <f>L256 + L279</f>
        <v>0</v>
      </c>
      <c r="M209" s="839">
        <f>M256 + M279</f>
        <v>0</v>
      </c>
      <c r="N209" s="839">
        <f>N256 + N279</f>
        <v>0</v>
      </c>
      <c r="O209" s="839">
        <f>O256 + O279</f>
        <v>0</v>
      </c>
      <c r="P209" s="839">
        <f>P256 + P279</f>
        <v>0</v>
      </c>
      <c r="Q209" s="839">
        <f>Q256 + Q279</f>
        <v>0</v>
      </c>
      <c r="R209" s="839">
        <f>R256 + R279</f>
        <v>0</v>
      </c>
      <c r="S209" s="839">
        <f>S256 + S279</f>
        <v>0</v>
      </c>
      <c r="T209" s="839">
        <f>T256 + T279</f>
        <v>0</v>
      </c>
      <c r="U209" s="839">
        <f>U256 + U279</f>
        <v>0</v>
      </c>
      <c r="V209" s="839">
        <f>V256 + V279</f>
        <v>0</v>
      </c>
      <c r="W209" s="839">
        <f>W256 + W279</f>
        <v>0</v>
      </c>
      <c r="X209" s="839">
        <f>X256 + X279</f>
        <v>0</v>
      </c>
      <c r="Y209" s="839">
        <f>Y256 + Y279</f>
        <v>0</v>
      </c>
      <c r="Z209" s="839">
        <f>Z256 + Z279</f>
        <v>0</v>
      </c>
      <c r="AA209" s="839">
        <f>AA256 + AA279</f>
        <v>0</v>
      </c>
      <c r="AB209" s="839">
        <f>AB256 + AB279</f>
        <v>0</v>
      </c>
      <c r="AC209" s="841">
        <f>AC256 + AC279</f>
        <v>0</v>
      </c>
      <c r="AD209" s="841">
        <f>AD256 + AD279</f>
        <v>0</v>
      </c>
      <c r="AE209" s="841">
        <f>AE256 + AE279</f>
        <v>0</v>
      </c>
      <c r="AF209" s="841">
        <f>AF256 + AF279</f>
        <v>0</v>
      </c>
      <c r="AG209" s="841">
        <f>AG256 + AG279</f>
        <v>0</v>
      </c>
      <c r="AH209" s="841">
        <f>AH256 + AH279</f>
        <v>0</v>
      </c>
      <c r="AI209" s="841">
        <f>AI256 + AI279</f>
        <v>0</v>
      </c>
      <c r="AJ209" s="841">
        <f>AJ256 + AJ279</f>
        <v>0</v>
      </c>
      <c r="AK209" s="841">
        <f>AK256 + AK279</f>
        <v>0</v>
      </c>
      <c r="AL209" s="841">
        <f>AL256 + AL279</f>
        <v>0</v>
      </c>
      <c r="AM209" s="841">
        <f>AM256 + AM279</f>
        <v>0</v>
      </c>
      <c r="AN209" s="841">
        <f>AN256 + AN279</f>
        <v>0</v>
      </c>
      <c r="AO209" s="841">
        <f>AO256 + AO279</f>
        <v>0</v>
      </c>
      <c r="AP209" s="841">
        <f>AP256 + AP279</f>
        <v>0</v>
      </c>
    </row>
    <row r="210" hidden="1">
      <c r="B210" s="842" t="s">
        <v>20</v>
      </c>
      <c r="C210" s="839">
        <f>C257 + C280</f>
        <v>0</v>
      </c>
      <c r="D210" s="839">
        <f>D257 + D280</f>
        <v>0</v>
      </c>
      <c r="E210" s="839">
        <f>E257 + E280</f>
        <v>0</v>
      </c>
      <c r="F210" s="839">
        <f>F257 + F280</f>
        <v>0</v>
      </c>
      <c r="G210" s="839">
        <f>G257 + G280</f>
        <v>0</v>
      </c>
      <c r="H210" s="839">
        <f>H257 + H280</f>
        <v>0</v>
      </c>
      <c r="I210" s="839">
        <f>I257 + I280</f>
        <v>0</v>
      </c>
      <c r="J210" s="839">
        <f>J257 + J280</f>
        <v>0</v>
      </c>
      <c r="K210" s="839">
        <f>K257 + K280</f>
        <v>0</v>
      </c>
      <c r="L210" s="839">
        <f>L257 + L280</f>
        <v>0</v>
      </c>
      <c r="M210" s="839">
        <f>M257 + M280</f>
        <v>0</v>
      </c>
      <c r="N210" s="839">
        <f>N257 + N280</f>
        <v>0</v>
      </c>
      <c r="O210" s="839">
        <f>O257 + O280</f>
        <v>0</v>
      </c>
      <c r="P210" s="839">
        <f>P257 + P280</f>
        <v>0</v>
      </c>
      <c r="Q210" s="839">
        <f>Q257 + Q280</f>
        <v>0</v>
      </c>
      <c r="R210" s="839">
        <f>R257 + R280</f>
        <v>0</v>
      </c>
      <c r="S210" s="839">
        <f>S257 + S280</f>
        <v>0</v>
      </c>
      <c r="T210" s="839">
        <f>T257 + T280</f>
        <v>0</v>
      </c>
      <c r="U210" s="839">
        <f>U257 + U280</f>
        <v>0</v>
      </c>
      <c r="V210" s="839">
        <f>V257 + V280</f>
        <v>0</v>
      </c>
      <c r="W210" s="839">
        <f>W257 + W280</f>
        <v>0</v>
      </c>
      <c r="X210" s="839">
        <f>X257 + X280</f>
        <v>0</v>
      </c>
      <c r="Y210" s="839">
        <f>Y257 + Y280</f>
        <v>0</v>
      </c>
      <c r="Z210" s="839">
        <f>Z257 + Z280</f>
        <v>0</v>
      </c>
      <c r="AA210" s="839">
        <f>AA257 + AA280</f>
        <v>0</v>
      </c>
      <c r="AB210" s="839">
        <f>AB257 + AB280</f>
        <v>0</v>
      </c>
      <c r="AC210" s="841">
        <f>AC257 + AC280</f>
        <v>0</v>
      </c>
      <c r="AD210" s="841">
        <f>AD257 + AD280</f>
        <v>0</v>
      </c>
      <c r="AE210" s="841">
        <f>AE257 + AE280</f>
        <v>0</v>
      </c>
      <c r="AF210" s="841">
        <f>AF257 + AF280</f>
        <v>0</v>
      </c>
      <c r="AG210" s="841">
        <f>AG257 + AG280</f>
        <v>0</v>
      </c>
      <c r="AH210" s="841">
        <f>AH257 + AH280</f>
        <v>0</v>
      </c>
      <c r="AI210" s="841">
        <f>AI257 + AI280</f>
        <v>0</v>
      </c>
      <c r="AJ210" s="841">
        <f>AJ257 + AJ280</f>
        <v>0</v>
      </c>
      <c r="AK210" s="841">
        <f>AK257 + AK280</f>
        <v>0</v>
      </c>
      <c r="AL210" s="841">
        <f>AL257 + AL280</f>
        <v>0</v>
      </c>
      <c r="AM210" s="841">
        <f>AM257 + AM280</f>
        <v>0</v>
      </c>
      <c r="AN210" s="841">
        <f>AN257 + AN280</f>
        <v>0</v>
      </c>
      <c r="AO210" s="841">
        <f>AO257 + AO280</f>
        <v>0</v>
      </c>
      <c r="AP210" s="841">
        <f>AP257 + AP280</f>
        <v>0</v>
      </c>
    </row>
    <row r="211" hidden="1">
      <c r="B211" s="842" t="s">
        <v>21</v>
      </c>
      <c r="C211" s="839">
        <f>C258 + C281</f>
        <v>0</v>
      </c>
      <c r="D211" s="839">
        <f>D258 + D281</f>
        <v>0</v>
      </c>
      <c r="E211" s="839">
        <f>E258 + E281</f>
        <v>0</v>
      </c>
      <c r="F211" s="839">
        <f>F258 + F281</f>
        <v>0</v>
      </c>
      <c r="G211" s="839">
        <f>G258 + G281</f>
        <v>0</v>
      </c>
      <c r="H211" s="839">
        <f>H258 + H281</f>
        <v>0</v>
      </c>
      <c r="I211" s="839">
        <f>I258 + I281</f>
        <v>0</v>
      </c>
      <c r="J211" s="839">
        <f>J258 + J281</f>
        <v>0</v>
      </c>
      <c r="K211" s="839">
        <f>K258 + K281</f>
        <v>0</v>
      </c>
      <c r="L211" s="839">
        <f>L258 + L281</f>
        <v>0</v>
      </c>
      <c r="M211" s="839">
        <f>M258 + M281</f>
        <v>0</v>
      </c>
      <c r="N211" s="839">
        <f>N258 + N281</f>
        <v>0</v>
      </c>
      <c r="O211" s="839">
        <f>O258 + O281</f>
        <v>0</v>
      </c>
      <c r="P211" s="839">
        <f>P258 + P281</f>
        <v>0</v>
      </c>
      <c r="Q211" s="839">
        <f>Q258 + Q281</f>
        <v>0</v>
      </c>
      <c r="R211" s="839">
        <f>R258 + R281</f>
        <v>0</v>
      </c>
      <c r="S211" s="839">
        <f>S258 + S281</f>
        <v>0</v>
      </c>
      <c r="T211" s="839">
        <f>T258 + T281</f>
        <v>0</v>
      </c>
      <c r="U211" s="839">
        <f>U258 + U281</f>
        <v>0</v>
      </c>
      <c r="V211" s="839">
        <f>V258 + V281</f>
        <v>0</v>
      </c>
      <c r="W211" s="839">
        <f>W258 + W281</f>
        <v>0</v>
      </c>
      <c r="X211" s="839">
        <f>X258 + X281</f>
        <v>0</v>
      </c>
      <c r="Y211" s="839">
        <f>Y258 + Y281</f>
        <v>0</v>
      </c>
      <c r="Z211" s="839">
        <f>Z258 + Z281</f>
        <v>0</v>
      </c>
      <c r="AA211" s="839">
        <f>AA258 + AA281</f>
        <v>0</v>
      </c>
      <c r="AB211" s="839">
        <f>AB258 + AB281</f>
        <v>0</v>
      </c>
      <c r="AC211" s="841">
        <f>AC258 + AC281</f>
        <v>0</v>
      </c>
      <c r="AD211" s="841">
        <f>AD258 + AD281</f>
        <v>0</v>
      </c>
      <c r="AE211" s="841">
        <f>AE258 + AE281</f>
        <v>0</v>
      </c>
      <c r="AF211" s="841">
        <f>AF258 + AF281</f>
        <v>0</v>
      </c>
      <c r="AG211" s="841">
        <f>AG258 + AG281</f>
        <v>0</v>
      </c>
      <c r="AH211" s="841">
        <f>AH258 + AH281</f>
        <v>0</v>
      </c>
      <c r="AI211" s="841">
        <f>AI258 + AI281</f>
        <v>0</v>
      </c>
      <c r="AJ211" s="841">
        <f>AJ258 + AJ281</f>
        <v>0</v>
      </c>
      <c r="AK211" s="841">
        <f>AK258 + AK281</f>
        <v>0</v>
      </c>
      <c r="AL211" s="841">
        <f>AL258 + AL281</f>
        <v>0</v>
      </c>
      <c r="AM211" s="841">
        <f>AM258 + AM281</f>
        <v>0</v>
      </c>
      <c r="AN211" s="841">
        <f>AN258 + AN281</f>
        <v>0</v>
      </c>
      <c r="AO211" s="841">
        <f>AO258 + AO281</f>
        <v>0</v>
      </c>
      <c r="AP211" s="841">
        <f>AP258 + AP281</f>
        <v>0</v>
      </c>
    </row>
    <row r="212" hidden="1">
      <c r="B212" s="842" t="s">
        <v>22</v>
      </c>
      <c r="C212" s="839">
        <f>C259 + C282</f>
        <v>0</v>
      </c>
      <c r="D212" s="839">
        <f>D259 + D282</f>
        <v>0</v>
      </c>
      <c r="E212" s="839">
        <f>E259 + E282</f>
        <v>0</v>
      </c>
      <c r="F212" s="839">
        <f>F259 + F282</f>
        <v>0</v>
      </c>
      <c r="G212" s="839">
        <f>G259 + G282</f>
        <v>0</v>
      </c>
      <c r="H212" s="839">
        <f>H259 + H282</f>
        <v>0</v>
      </c>
      <c r="I212" s="839">
        <f>I259 + I282</f>
        <v>0</v>
      </c>
      <c r="J212" s="839">
        <f>J259 + J282</f>
        <v>0</v>
      </c>
      <c r="K212" s="839">
        <f>K259 + K282</f>
        <v>0</v>
      </c>
      <c r="L212" s="839">
        <f>L259 + L282</f>
        <v>0</v>
      </c>
      <c r="M212" s="839">
        <f>M259 + M282</f>
        <v>0</v>
      </c>
      <c r="N212" s="839">
        <f>N259 + N282</f>
        <v>0</v>
      </c>
      <c r="O212" s="839">
        <f>O259 + O282</f>
        <v>0</v>
      </c>
      <c r="P212" s="839">
        <f>P259 + P282</f>
        <v>0</v>
      </c>
      <c r="Q212" s="839">
        <f>Q259 + Q282</f>
        <v>0</v>
      </c>
      <c r="R212" s="839">
        <f>R259 + R282</f>
        <v>0</v>
      </c>
      <c r="S212" s="839">
        <f>S259 + S282</f>
        <v>0</v>
      </c>
      <c r="T212" s="839">
        <f>T259 + T282</f>
        <v>0</v>
      </c>
      <c r="U212" s="839">
        <f>U259 + U282</f>
        <v>0</v>
      </c>
      <c r="V212" s="839">
        <f>V259 + V282</f>
        <v>0</v>
      </c>
      <c r="W212" s="839">
        <f>W259 + W282</f>
        <v>0</v>
      </c>
      <c r="X212" s="839">
        <f>X259 + X282</f>
        <v>0</v>
      </c>
      <c r="Y212" s="839">
        <f>Y259 + Y282</f>
        <v>0</v>
      </c>
      <c r="Z212" s="839">
        <f>Z259 + Z282</f>
        <v>0</v>
      </c>
      <c r="AA212" s="839">
        <f>AA259 + AA282</f>
        <v>0</v>
      </c>
      <c r="AB212" s="839">
        <f>AB259 + AB282</f>
        <v>0</v>
      </c>
      <c r="AC212" s="841">
        <f>AC259 + AC282</f>
        <v>0</v>
      </c>
      <c r="AD212" s="841">
        <f>AD259 + AD282</f>
        <v>0</v>
      </c>
      <c r="AE212" s="841">
        <f>AE259 + AE282</f>
        <v>0</v>
      </c>
      <c r="AF212" s="841">
        <f>AF259 + AF282</f>
        <v>0</v>
      </c>
      <c r="AG212" s="841">
        <f>AG259 + AG282</f>
        <v>0</v>
      </c>
      <c r="AH212" s="841">
        <f>AH259 + AH282</f>
        <v>0</v>
      </c>
      <c r="AI212" s="841">
        <f>AI259 + AI282</f>
        <v>0</v>
      </c>
      <c r="AJ212" s="841">
        <f>AJ259 + AJ282</f>
        <v>0</v>
      </c>
      <c r="AK212" s="841">
        <f>AK259 + AK282</f>
        <v>0</v>
      </c>
      <c r="AL212" s="841">
        <f>AL259 + AL282</f>
        <v>0</v>
      </c>
      <c r="AM212" s="841">
        <f>AM259 + AM282</f>
        <v>0</v>
      </c>
      <c r="AN212" s="841">
        <f>AN259 + AN282</f>
        <v>0</v>
      </c>
      <c r="AO212" s="841">
        <f>AO259 + AO282</f>
        <v>0</v>
      </c>
      <c r="AP212" s="841">
        <f>AP259 + AP282</f>
        <v>0</v>
      </c>
    </row>
    <row r="213" hidden="1">
      <c r="B213" s="842" t="s">
        <v>23</v>
      </c>
      <c r="C213" s="839">
        <f>C260 + C283</f>
        <v>0</v>
      </c>
      <c r="D213" s="839">
        <f>D260 + D283</f>
        <v>0</v>
      </c>
      <c r="E213" s="839">
        <f>E260 + E283</f>
        <v>0</v>
      </c>
      <c r="F213" s="839">
        <f>F260 + F283</f>
        <v>0</v>
      </c>
      <c r="G213" s="839">
        <f>G260 + G283</f>
        <v>0</v>
      </c>
      <c r="H213" s="839">
        <f>H260 + H283</f>
        <v>0</v>
      </c>
      <c r="I213" s="839">
        <f>I260 + I283</f>
        <v>0</v>
      </c>
      <c r="J213" s="839">
        <f>J260 + J283</f>
        <v>0</v>
      </c>
      <c r="K213" s="839">
        <f>K260 + K283</f>
        <v>0</v>
      </c>
      <c r="L213" s="839">
        <f>L260 + L283</f>
        <v>0</v>
      </c>
      <c r="M213" s="839">
        <f>M260 + M283</f>
        <v>0</v>
      </c>
      <c r="N213" s="839">
        <f>N260 + N283</f>
        <v>0</v>
      </c>
      <c r="O213" s="839">
        <f>O260 + O283</f>
        <v>0</v>
      </c>
      <c r="P213" s="839">
        <f>P260 + P283</f>
        <v>0</v>
      </c>
      <c r="Q213" s="839">
        <f>Q260 + Q283</f>
        <v>0</v>
      </c>
      <c r="R213" s="839">
        <f>R260 + R283</f>
        <v>0</v>
      </c>
      <c r="S213" s="839">
        <f>S260 + S283</f>
        <v>0</v>
      </c>
      <c r="T213" s="839">
        <f>T260 + T283</f>
        <v>0</v>
      </c>
      <c r="U213" s="839">
        <f>U260 + U283</f>
        <v>0</v>
      </c>
      <c r="V213" s="839">
        <f>V260 + V283</f>
        <v>0</v>
      </c>
      <c r="W213" s="839">
        <f>W260 + W283</f>
        <v>0</v>
      </c>
      <c r="X213" s="839">
        <f>X260 + X283</f>
        <v>0</v>
      </c>
      <c r="Y213" s="839">
        <f>Y260 + Y283</f>
        <v>0</v>
      </c>
      <c r="Z213" s="839">
        <f>Z260 + Z283</f>
        <v>0</v>
      </c>
      <c r="AA213" s="839">
        <f>AA260 + AA283</f>
        <v>0</v>
      </c>
      <c r="AB213" s="839">
        <f>AB260 + AB283</f>
        <v>0</v>
      </c>
      <c r="AC213" s="841">
        <f>AC260 + AC283</f>
        <v>0</v>
      </c>
      <c r="AD213" s="841">
        <f>AD260 + AD283</f>
        <v>0</v>
      </c>
      <c r="AE213" s="841">
        <f>AE260 + AE283</f>
        <v>0</v>
      </c>
      <c r="AF213" s="841">
        <f>AF260 + AF283</f>
        <v>0</v>
      </c>
      <c r="AG213" s="841">
        <f>AG260 + AG283</f>
        <v>0</v>
      </c>
      <c r="AH213" s="841">
        <f>AH260 + AH283</f>
        <v>0</v>
      </c>
      <c r="AI213" s="841">
        <f>AI260 + AI283</f>
        <v>0</v>
      </c>
      <c r="AJ213" s="841">
        <f>AJ260 + AJ283</f>
        <v>0</v>
      </c>
      <c r="AK213" s="841">
        <f>AK260 + AK283</f>
        <v>0</v>
      </c>
      <c r="AL213" s="841">
        <f>AL260 + AL283</f>
        <v>0</v>
      </c>
      <c r="AM213" s="841">
        <f>AM260 + AM283</f>
        <v>0</v>
      </c>
      <c r="AN213" s="841">
        <f>AN260 + AN283</f>
        <v>0</v>
      </c>
      <c r="AO213" s="841">
        <f>AO260 + AO283</f>
        <v>0</v>
      </c>
      <c r="AP213" s="841">
        <f>AP260 + AP283</f>
        <v>0</v>
      </c>
    </row>
    <row r="214" hidden="1">
      <c r="B214" s="843" t="s">
        <v>24</v>
      </c>
      <c r="C214" s="839">
        <f>C261 + C284</f>
        <v>0</v>
      </c>
      <c r="D214" s="839">
        <f>D261 + D284</f>
        <v>0</v>
      </c>
      <c r="E214" s="839">
        <f>E261 + E284</f>
        <v>0</v>
      </c>
      <c r="F214" s="839">
        <f>F261 + F284</f>
        <v>0</v>
      </c>
      <c r="G214" s="839">
        <f>G261 + G284</f>
        <v>0</v>
      </c>
      <c r="H214" s="839">
        <f>H261 + H284</f>
        <v>0</v>
      </c>
      <c r="I214" s="839">
        <f>I261 + I284</f>
        <v>0</v>
      </c>
      <c r="J214" s="839">
        <f>J261 + J284</f>
        <v>0</v>
      </c>
      <c r="K214" s="839">
        <f>K261 + K284</f>
        <v>0</v>
      </c>
      <c r="L214" s="839">
        <f>L261 + L284</f>
        <v>0</v>
      </c>
      <c r="M214" s="839">
        <f>M261 + M284</f>
        <v>0</v>
      </c>
      <c r="N214" s="839">
        <f>N261 + N284</f>
        <v>0</v>
      </c>
      <c r="O214" s="839">
        <f>O261 + O284</f>
        <v>0</v>
      </c>
      <c r="P214" s="839">
        <f>P261 + P284</f>
        <v>0</v>
      </c>
      <c r="Q214" s="839">
        <f>Q261 + Q284</f>
        <v>0</v>
      </c>
      <c r="R214" s="839">
        <f>R261 + R284</f>
        <v>0</v>
      </c>
      <c r="S214" s="839">
        <f>S261 + S284</f>
        <v>0</v>
      </c>
      <c r="T214" s="839">
        <f>T261 + T284</f>
        <v>0</v>
      </c>
      <c r="U214" s="839">
        <f>U261 + U284</f>
        <v>0</v>
      </c>
      <c r="V214" s="839">
        <f>V261 + V284</f>
        <v>0</v>
      </c>
      <c r="W214" s="839">
        <f>W261 + W284</f>
        <v>0</v>
      </c>
      <c r="X214" s="839">
        <f>X261 + X284</f>
        <v>0</v>
      </c>
      <c r="Y214" s="839">
        <f>Y261 + Y284</f>
        <v>0</v>
      </c>
      <c r="Z214" s="839">
        <f>Z261 + Z284</f>
        <v>0</v>
      </c>
      <c r="AA214" s="839">
        <f>AA261 + AA284</f>
        <v>0</v>
      </c>
      <c r="AB214" s="839">
        <f>AB261 + AB284</f>
        <v>0</v>
      </c>
      <c r="AC214" s="841">
        <f>AC261 + AC284</f>
        <v>0</v>
      </c>
      <c r="AD214" s="841">
        <f>AD261 + AD284</f>
        <v>0</v>
      </c>
      <c r="AE214" s="841">
        <f>AE261 + AE284</f>
        <v>0</v>
      </c>
      <c r="AF214" s="841">
        <f>AF261 + AF284</f>
        <v>0</v>
      </c>
      <c r="AG214" s="841">
        <f>AG261 + AG284</f>
        <v>0</v>
      </c>
      <c r="AH214" s="841">
        <f>AH261 + AH284</f>
        <v>0</v>
      </c>
      <c r="AI214" s="841">
        <f>AI261 + AI284</f>
        <v>0</v>
      </c>
      <c r="AJ214" s="841">
        <f>AJ261 + AJ284</f>
        <v>0</v>
      </c>
      <c r="AK214" s="841">
        <f>AK261 + AK284</f>
        <v>0</v>
      </c>
      <c r="AL214" s="841">
        <f>AL261 + AL284</f>
        <v>0</v>
      </c>
      <c r="AM214" s="841">
        <f>AM261 + AM284</f>
        <v>0</v>
      </c>
      <c r="AN214" s="841">
        <f>AN261 + AN284</f>
        <v>0</v>
      </c>
      <c r="AO214" s="841">
        <f>AO261 + AO284</f>
        <v>0</v>
      </c>
      <c r="AP214" s="841">
        <f>AP261 + AP284</f>
        <v>0</v>
      </c>
    </row>
    <row r="215" hidden="1">
      <c r="B215" s="842" t="s">
        <v>25</v>
      </c>
      <c r="C215" s="839">
        <f>C262 + C285</f>
        <v>0</v>
      </c>
      <c r="D215" s="839">
        <f>D262 + D285</f>
        <v>0</v>
      </c>
      <c r="E215" s="839">
        <f>E262 + E285</f>
        <v>0</v>
      </c>
      <c r="F215" s="839">
        <f>F262 + F285</f>
        <v>0</v>
      </c>
      <c r="G215" s="839">
        <f>G262 + G285</f>
        <v>0</v>
      </c>
      <c r="H215" s="839">
        <f>H262 + H285</f>
        <v>0</v>
      </c>
      <c r="I215" s="839">
        <f>I262 + I285</f>
        <v>0</v>
      </c>
      <c r="J215" s="839">
        <f>J262 + J285</f>
        <v>0</v>
      </c>
      <c r="K215" s="839">
        <f>K262 + K285</f>
        <v>0</v>
      </c>
      <c r="L215" s="839">
        <f>L262 + L285</f>
        <v>0</v>
      </c>
      <c r="M215" s="839">
        <f>M262 + M285</f>
        <v>0</v>
      </c>
      <c r="N215" s="839">
        <f>N262 + N285</f>
        <v>0</v>
      </c>
      <c r="O215" s="839">
        <f>O262 + O285</f>
        <v>0</v>
      </c>
      <c r="P215" s="839">
        <f>P262 + P285</f>
        <v>0</v>
      </c>
      <c r="Q215" s="839">
        <f>Q262 + Q285</f>
        <v>0</v>
      </c>
      <c r="R215" s="839">
        <f>R262 + R285</f>
        <v>0</v>
      </c>
      <c r="S215" s="839">
        <f>S262 + S285</f>
        <v>0</v>
      </c>
      <c r="T215" s="839">
        <f>T262 + T285</f>
        <v>0</v>
      </c>
      <c r="U215" s="839">
        <f>U262 + U285</f>
        <v>0</v>
      </c>
      <c r="V215" s="839">
        <f>V262 + V285</f>
        <v>0</v>
      </c>
      <c r="W215" s="839">
        <f>W262 + W285</f>
        <v>0</v>
      </c>
      <c r="X215" s="839">
        <f>X262 + X285</f>
        <v>0</v>
      </c>
      <c r="Y215" s="839">
        <f>Y262 + Y285</f>
        <v>0</v>
      </c>
      <c r="Z215" s="839">
        <f>Z262 + Z285</f>
        <v>0</v>
      </c>
      <c r="AA215" s="839">
        <f>AA262 + AA285</f>
        <v>0</v>
      </c>
      <c r="AB215" s="839">
        <f>AB262 + AB285</f>
        <v>0</v>
      </c>
      <c r="AC215" s="841">
        <f>AC262 + AC285</f>
        <v>0</v>
      </c>
      <c r="AD215" s="841">
        <f>AD262 + AD285</f>
        <v>0</v>
      </c>
      <c r="AE215" s="841">
        <f>AE262 + AE285</f>
        <v>0</v>
      </c>
      <c r="AF215" s="841">
        <f>AF262 + AF285</f>
        <v>0</v>
      </c>
      <c r="AG215" s="841">
        <f>AG262 + AG285</f>
        <v>0</v>
      </c>
      <c r="AH215" s="841">
        <f>AH262 + AH285</f>
        <v>0</v>
      </c>
      <c r="AI215" s="841">
        <f>AI262 + AI285</f>
        <v>0</v>
      </c>
      <c r="AJ215" s="841">
        <f>AJ262 + AJ285</f>
        <v>0</v>
      </c>
      <c r="AK215" s="841">
        <f>AK262 + AK285</f>
        <v>0</v>
      </c>
      <c r="AL215" s="841">
        <f>AL262 + AL285</f>
        <v>0</v>
      </c>
      <c r="AM215" s="841">
        <f>AM262 + AM285</f>
        <v>0</v>
      </c>
      <c r="AN215" s="841">
        <f>AN262 + AN285</f>
        <v>0</v>
      </c>
      <c r="AO215" s="841">
        <f>AO262 + AO285</f>
        <v>0</v>
      </c>
      <c r="AP215" s="841">
        <f>AP262 + AP285</f>
        <v>0</v>
      </c>
    </row>
    <row r="216" hidden="1" ht="13.5">
      <c r="B216" s="844" t="s">
        <v>26</v>
      </c>
      <c r="C216" s="839">
        <f>C263 + C286</f>
        <v>0</v>
      </c>
      <c r="D216" s="839">
        <f>D263 + D286</f>
        <v>0</v>
      </c>
      <c r="E216" s="839">
        <f>E263 + E286</f>
        <v>0</v>
      </c>
      <c r="F216" s="839">
        <f>F263 + F286</f>
        <v>0</v>
      </c>
      <c r="G216" s="839">
        <f>G263 + G286</f>
        <v>0</v>
      </c>
      <c r="H216" s="839">
        <f>H263 + H286</f>
        <v>0</v>
      </c>
      <c r="I216" s="839">
        <f>I263 + I286</f>
        <v>0</v>
      </c>
      <c r="J216" s="839">
        <f>J263 + J286</f>
        <v>0</v>
      </c>
      <c r="K216" s="839">
        <f>K263 + K286</f>
        <v>0</v>
      </c>
      <c r="L216" s="839">
        <f>L263 + L286</f>
        <v>0</v>
      </c>
      <c r="M216" s="839">
        <f>M263 + M286</f>
        <v>0</v>
      </c>
      <c r="N216" s="839">
        <f>N263 + N286</f>
        <v>0</v>
      </c>
      <c r="O216" s="839">
        <f>O263 + O286</f>
        <v>0</v>
      </c>
      <c r="P216" s="839">
        <f>P263 + P286</f>
        <v>0</v>
      </c>
      <c r="Q216" s="839">
        <f>Q263 + Q286</f>
        <v>0</v>
      </c>
      <c r="R216" s="839">
        <f>R263 + R286</f>
        <v>0</v>
      </c>
      <c r="S216" s="839">
        <f>S263 + S286</f>
        <v>0</v>
      </c>
      <c r="T216" s="839">
        <f>T263 + T286</f>
        <v>0</v>
      </c>
      <c r="U216" s="839">
        <f>U263 + U286</f>
        <v>0</v>
      </c>
      <c r="V216" s="839">
        <f>V263 + V286</f>
        <v>0</v>
      </c>
      <c r="W216" s="839">
        <f>W263 + W286</f>
        <v>0</v>
      </c>
      <c r="X216" s="839">
        <f>X263 + X286</f>
        <v>0</v>
      </c>
      <c r="Y216" s="839">
        <f>Y263 + Y286</f>
        <v>0</v>
      </c>
      <c r="Z216" s="839">
        <f>Z263 + Z286</f>
        <v>0</v>
      </c>
      <c r="AA216" s="839">
        <f>AA263 + AA286</f>
        <v>0</v>
      </c>
      <c r="AB216" s="845">
        <f>AB263 + AB286</f>
        <v>0</v>
      </c>
      <c r="AC216" s="841">
        <f>AC263 + AC286</f>
        <v>0</v>
      </c>
      <c r="AD216" s="841">
        <f>AD263 + AD286</f>
        <v>0</v>
      </c>
      <c r="AE216" s="841">
        <f>AE263 + AE286</f>
        <v>0</v>
      </c>
      <c r="AF216" s="841">
        <f>AF263 + AF286</f>
        <v>0</v>
      </c>
      <c r="AG216" s="841">
        <f>AG263 + AG286</f>
        <v>0</v>
      </c>
      <c r="AH216" s="841">
        <f>AH263 + AH286</f>
        <v>0</v>
      </c>
      <c r="AI216" s="841">
        <f>AI263 + AI286</f>
        <v>0</v>
      </c>
      <c r="AJ216" s="841">
        <f>AJ263 + AJ286</f>
        <v>0</v>
      </c>
      <c r="AK216" s="841">
        <f>AK263 + AK286</f>
        <v>0</v>
      </c>
      <c r="AL216" s="841">
        <f>AL263 + AL286</f>
        <v>0</v>
      </c>
      <c r="AM216" s="841">
        <f>AM263 + AM286</f>
        <v>0</v>
      </c>
      <c r="AN216" s="841">
        <f>AN263 + AN286</f>
        <v>0</v>
      </c>
      <c r="AO216" s="841">
        <f>AO263 + AO286</f>
        <v>0</v>
      </c>
      <c r="AP216" s="841">
        <f>AP263 + AP286</f>
        <v>0</v>
      </c>
    </row>
    <row r="217" hidden="1" ht="13.5">
      <c r="B217" s="128" t="s">
        <v>7</v>
      </c>
      <c r="C217" s="129" t="str">
        <f>IF(SUM(C198:C216)&lt;&gt;0,SUM(C198:C216),"")</f>
      </c>
      <c r="D217" s="129" t="str">
        <f ref="D217:AA217" t="shared" si="20">IF(SUM(D198:D216)&lt;&gt;0,SUM(D198:D216),"")</f>
      </c>
      <c r="E217" s="129" t="str">
        <f t="shared" si="20"/>
      </c>
      <c r="F217" s="129" t="str">
        <f t="shared" si="20"/>
      </c>
      <c r="G217" s="129" t="str">
        <f t="shared" si="20"/>
      </c>
      <c r="H217" s="129" t="str">
        <f t="shared" si="20"/>
      </c>
      <c r="I217" s="129" t="str">
        <f t="shared" si="20"/>
      </c>
      <c r="J217" s="129" t="str">
        <f t="shared" si="20"/>
      </c>
      <c r="K217" s="129" t="str">
        <f t="shared" si="20"/>
      </c>
      <c r="L217" s="129" t="str">
        <f t="shared" si="20"/>
      </c>
      <c r="M217" s="129" t="str">
        <f t="shared" si="20"/>
      </c>
      <c r="N217" s="129" t="str">
        <f t="shared" si="20"/>
      </c>
      <c r="O217" s="129" t="str">
        <f t="shared" si="20"/>
      </c>
      <c r="P217" s="129" t="str">
        <f t="shared" si="20"/>
      </c>
      <c r="Q217" s="129" t="str">
        <f t="shared" si="20"/>
      </c>
      <c r="R217" s="129" t="str">
        <f t="shared" si="20"/>
      </c>
      <c r="S217" s="129" t="str">
        <f t="shared" si="20"/>
      </c>
      <c r="T217" s="129" t="str">
        <f t="shared" si="20"/>
      </c>
      <c r="U217" s="129" t="str">
        <f t="shared" si="20"/>
      </c>
      <c r="V217" s="129" t="str">
        <f t="shared" si="20"/>
      </c>
      <c r="W217" s="129" t="str">
        <f t="shared" si="20"/>
      </c>
      <c r="X217" s="129" t="str">
        <f t="shared" si="20"/>
      </c>
      <c r="Y217" s="129" t="str">
        <f t="shared" si="20"/>
      </c>
      <c r="Z217" s="129" t="str">
        <f t="shared" si="20"/>
      </c>
      <c r="AA217" s="129" t="str">
        <f t="shared" si="20"/>
      </c>
      <c r="AB217" s="130" t="str">
        <f>IF(SUM(AB198:AB216)&lt;&gt;0,SUM(AB198:AB216),"")</f>
      </c>
      <c r="AC217" s="91" t="str">
        <f ref="AC217:CN217" t="shared" si="21">IF(SUM(AC198:AC216)&lt;&gt;0,SUM(AC198:AC216),"")</f>
      </c>
      <c r="AD217" s="91" t="str">
        <f t="shared" si="21"/>
      </c>
      <c r="AE217" s="91" t="str">
        <f t="shared" si="21"/>
      </c>
      <c r="AF217" s="91" t="str">
        <f t="shared" si="21"/>
      </c>
      <c r="AG217" s="91" t="str">
        <f t="shared" si="21"/>
      </c>
      <c r="AH217" s="91" t="str">
        <f t="shared" si="21"/>
      </c>
      <c r="AI217" s="91" t="str">
        <f t="shared" si="21"/>
      </c>
      <c r="AJ217" s="91" t="str">
        <f t="shared" si="21"/>
      </c>
      <c r="AK217" s="91" t="str">
        <f t="shared" si="21"/>
      </c>
      <c r="AL217" s="91" t="str">
        <f t="shared" si="21"/>
      </c>
      <c r="AM217" s="91" t="str">
        <f t="shared" si="21"/>
      </c>
      <c r="AN217" s="91" t="str">
        <f t="shared" si="21"/>
      </c>
      <c r="AO217" s="91" t="str">
        <f t="shared" si="21"/>
      </c>
      <c r="AP217" s="91" t="str">
        <f t="shared" si="21"/>
      </c>
      <c r="AQ217" s="91" t="str">
        <f t="shared" si="21"/>
      </c>
      <c r="AR217" s="91" t="str">
        <f t="shared" si="21"/>
      </c>
      <c r="AS217" s="91" t="str">
        <f t="shared" si="21"/>
      </c>
      <c r="AT217" s="91" t="str">
        <f t="shared" si="21"/>
      </c>
      <c r="AU217" s="91" t="str">
        <f t="shared" si="21"/>
      </c>
      <c r="AV217" s="91" t="str">
        <f t="shared" si="21"/>
      </c>
      <c r="AW217" s="91" t="str">
        <f t="shared" si="21"/>
      </c>
      <c r="AX217" s="91" t="str">
        <f t="shared" si="21"/>
      </c>
      <c r="AY217" s="91" t="str">
        <f t="shared" si="21"/>
      </c>
      <c r="AZ217" s="91" t="str">
        <f t="shared" si="21"/>
      </c>
      <c r="BA217" s="91" t="str">
        <f t="shared" si="21"/>
      </c>
      <c r="BB217" s="91" t="str">
        <f t="shared" si="21"/>
      </c>
      <c r="BC217" s="91" t="str">
        <f t="shared" si="21"/>
      </c>
      <c r="BD217" s="91" t="str">
        <f t="shared" si="21"/>
      </c>
      <c r="BE217" s="91" t="str">
        <f t="shared" si="21"/>
      </c>
      <c r="BF217" s="91" t="str">
        <f t="shared" si="21"/>
      </c>
      <c r="BG217" s="91" t="str">
        <f t="shared" si="21"/>
      </c>
      <c r="BH217" s="91" t="str">
        <f t="shared" si="21"/>
      </c>
      <c r="BI217" s="91" t="str">
        <f t="shared" si="21"/>
      </c>
      <c r="BJ217" s="91" t="str">
        <f t="shared" si="21"/>
      </c>
      <c r="BK217" s="91" t="str">
        <f t="shared" si="21"/>
      </c>
      <c r="BL217" s="91" t="str">
        <f t="shared" si="21"/>
      </c>
      <c r="BM217" s="91" t="str">
        <f t="shared" si="21"/>
      </c>
      <c r="BN217" s="91" t="str">
        <f t="shared" si="21"/>
      </c>
      <c r="BO217" s="91" t="str">
        <f t="shared" si="21"/>
      </c>
      <c r="BP217" s="91" t="str">
        <f t="shared" si="21"/>
      </c>
      <c r="BQ217" s="91" t="str">
        <f t="shared" si="21"/>
      </c>
      <c r="BR217" s="91" t="str">
        <f t="shared" si="21"/>
      </c>
      <c r="BS217" s="91" t="str">
        <f t="shared" si="21"/>
      </c>
      <c r="BT217" s="91" t="str">
        <f t="shared" si="21"/>
      </c>
      <c r="BU217" s="91" t="str">
        <f t="shared" si="21"/>
      </c>
      <c r="BV217" s="91" t="str">
        <f t="shared" si="21"/>
      </c>
      <c r="BW217" s="91" t="str">
        <f t="shared" si="21"/>
      </c>
      <c r="BX217" s="91" t="str">
        <f t="shared" si="21"/>
      </c>
      <c r="BY217" s="91" t="str">
        <f t="shared" si="21"/>
      </c>
      <c r="BZ217" s="91" t="str">
        <f t="shared" si="21"/>
      </c>
      <c r="CA217" s="91" t="str">
        <f t="shared" si="21"/>
      </c>
      <c r="CB217" s="91" t="str">
        <f t="shared" si="21"/>
      </c>
      <c r="CC217" s="91" t="str">
        <f t="shared" si="21"/>
      </c>
      <c r="CD217" s="91" t="str">
        <f t="shared" si="21"/>
      </c>
      <c r="CE217" s="91" t="str">
        <f t="shared" si="21"/>
      </c>
      <c r="CF217" s="91" t="str">
        <f t="shared" si="21"/>
      </c>
      <c r="CG217" s="91" t="str">
        <f t="shared" si="21"/>
      </c>
      <c r="CH217" s="91" t="str">
        <f t="shared" si="21"/>
      </c>
      <c r="CI217" s="91" t="str">
        <f t="shared" si="21"/>
      </c>
      <c r="CJ217" s="91" t="str">
        <f t="shared" si="21"/>
      </c>
      <c r="CK217" s="91" t="str">
        <f t="shared" si="21"/>
      </c>
      <c r="CL217" s="91" t="str">
        <f t="shared" si="21"/>
      </c>
      <c r="CM217" s="91" t="str">
        <f t="shared" si="21"/>
      </c>
      <c r="CN217" s="91" t="str">
        <f t="shared" si="21"/>
      </c>
      <c r="CO217" s="91" t="str">
        <f ref="CO217:EZ217" t="shared" si="22">IF(SUM(CO198:CO216)&lt;&gt;0,SUM(CO198:CO216),"")</f>
      </c>
      <c r="CP217" s="91" t="str">
        <f t="shared" si="22"/>
      </c>
      <c r="CQ217" s="91" t="str">
        <f t="shared" si="22"/>
      </c>
      <c r="CR217" s="91" t="str">
        <f t="shared" si="22"/>
      </c>
      <c r="CS217" s="91" t="str">
        <f t="shared" si="22"/>
      </c>
      <c r="CT217" s="91" t="str">
        <f t="shared" si="22"/>
      </c>
      <c r="CU217" s="91" t="str">
        <f t="shared" si="22"/>
      </c>
      <c r="CV217" s="91" t="str">
        <f t="shared" si="22"/>
      </c>
      <c r="CW217" s="91" t="str">
        <f t="shared" si="22"/>
      </c>
      <c r="CX217" s="91" t="str">
        <f t="shared" si="22"/>
      </c>
      <c r="CY217" s="91" t="str">
        <f t="shared" si="22"/>
      </c>
      <c r="CZ217" s="91" t="str">
        <f t="shared" si="22"/>
      </c>
      <c r="DA217" s="91" t="str">
        <f t="shared" si="22"/>
      </c>
      <c r="DB217" s="91" t="str">
        <f t="shared" si="22"/>
      </c>
      <c r="DC217" s="91" t="str">
        <f t="shared" si="22"/>
      </c>
      <c r="DD217" s="91" t="str">
        <f t="shared" si="22"/>
      </c>
      <c r="DE217" s="91" t="str">
        <f t="shared" si="22"/>
      </c>
      <c r="DF217" s="91" t="str">
        <f t="shared" si="22"/>
      </c>
      <c r="DG217" s="91" t="str">
        <f t="shared" si="22"/>
      </c>
      <c r="DH217" s="91" t="str">
        <f t="shared" si="22"/>
      </c>
      <c r="DI217" s="91" t="str">
        <f t="shared" si="22"/>
      </c>
      <c r="DJ217" s="91" t="str">
        <f t="shared" si="22"/>
      </c>
      <c r="DK217" s="91" t="str">
        <f t="shared" si="22"/>
      </c>
      <c r="DL217" s="91" t="str">
        <f t="shared" si="22"/>
      </c>
      <c r="DM217" s="91" t="str">
        <f t="shared" si="22"/>
      </c>
      <c r="DN217" s="91" t="str">
        <f t="shared" si="22"/>
      </c>
      <c r="DO217" s="91" t="str">
        <f t="shared" si="22"/>
      </c>
      <c r="DP217" s="91" t="str">
        <f t="shared" si="22"/>
      </c>
      <c r="DQ217" s="91" t="str">
        <f t="shared" si="22"/>
      </c>
      <c r="DR217" s="91" t="str">
        <f t="shared" si="22"/>
      </c>
      <c r="DS217" s="91" t="str">
        <f t="shared" si="22"/>
      </c>
      <c r="DT217" s="91" t="str">
        <f t="shared" si="22"/>
      </c>
      <c r="DU217" s="91" t="str">
        <f t="shared" si="22"/>
      </c>
      <c r="DV217" s="91" t="str">
        <f t="shared" si="22"/>
      </c>
      <c r="DW217" s="91" t="str">
        <f t="shared" si="22"/>
      </c>
      <c r="DX217" s="91" t="str">
        <f t="shared" si="22"/>
      </c>
      <c r="DY217" s="91" t="str">
        <f t="shared" si="22"/>
      </c>
      <c r="DZ217" s="91" t="str">
        <f t="shared" si="22"/>
      </c>
      <c r="EA217" s="91" t="str">
        <f t="shared" si="22"/>
      </c>
      <c r="EB217" s="91" t="str">
        <f t="shared" si="22"/>
      </c>
      <c r="EC217" s="91" t="str">
        <f t="shared" si="22"/>
      </c>
      <c r="ED217" s="91" t="str">
        <f t="shared" si="22"/>
      </c>
      <c r="EE217" s="91" t="str">
        <f t="shared" si="22"/>
      </c>
      <c r="EF217" s="91" t="str">
        <f t="shared" si="22"/>
      </c>
      <c r="EG217" s="91" t="str">
        <f t="shared" si="22"/>
      </c>
      <c r="EH217" s="91" t="str">
        <f t="shared" si="22"/>
      </c>
      <c r="EI217" s="91" t="str">
        <f t="shared" si="22"/>
      </c>
      <c r="EJ217" s="91" t="str">
        <f t="shared" si="22"/>
      </c>
      <c r="EK217" s="91" t="str">
        <f t="shared" si="22"/>
      </c>
      <c r="EL217" s="91" t="str">
        <f t="shared" si="22"/>
      </c>
      <c r="EM217" s="91" t="str">
        <f t="shared" si="22"/>
      </c>
      <c r="EN217" s="91" t="str">
        <f t="shared" si="22"/>
      </c>
      <c r="EO217" s="91" t="str">
        <f t="shared" si="22"/>
      </c>
      <c r="EP217" s="91" t="str">
        <f t="shared" si="22"/>
      </c>
      <c r="EQ217" s="91" t="str">
        <f t="shared" si="22"/>
      </c>
      <c r="ER217" s="91" t="str">
        <f t="shared" si="22"/>
      </c>
      <c r="ES217" s="91" t="str">
        <f t="shared" si="22"/>
      </c>
      <c r="ET217" s="91" t="str">
        <f t="shared" si="22"/>
      </c>
      <c r="EU217" s="91" t="str">
        <f t="shared" si="22"/>
      </c>
      <c r="EV217" s="91" t="str">
        <f t="shared" si="22"/>
      </c>
      <c r="EW217" s="91" t="str">
        <f t="shared" si="22"/>
      </c>
      <c r="EX217" s="91" t="str">
        <f t="shared" si="22"/>
      </c>
      <c r="EY217" s="91" t="str">
        <f t="shared" si="22"/>
      </c>
      <c r="EZ217" s="91" t="str">
        <f t="shared" si="22"/>
      </c>
      <c r="FA217" s="91" t="str">
        <f ref="FA217:HL217" t="shared" si="23">IF(SUM(FA198:FA216)&lt;&gt;0,SUM(FA198:FA216),"")</f>
      </c>
      <c r="FB217" s="91" t="str">
        <f t="shared" si="23"/>
      </c>
      <c r="FC217" s="91" t="str">
        <f t="shared" si="23"/>
      </c>
      <c r="FD217" s="91" t="str">
        <f t="shared" si="23"/>
      </c>
      <c r="FE217" s="91" t="str">
        <f t="shared" si="23"/>
      </c>
      <c r="FF217" s="91" t="str">
        <f t="shared" si="23"/>
      </c>
      <c r="FG217" s="91" t="str">
        <f t="shared" si="23"/>
      </c>
      <c r="FH217" s="91" t="str">
        <f t="shared" si="23"/>
      </c>
      <c r="FI217" s="91" t="str">
        <f t="shared" si="23"/>
      </c>
      <c r="FJ217" s="91" t="str">
        <f t="shared" si="23"/>
      </c>
      <c r="FK217" s="91" t="str">
        <f t="shared" si="23"/>
      </c>
      <c r="FL217" s="91" t="str">
        <f t="shared" si="23"/>
      </c>
      <c r="FM217" s="91" t="str">
        <f t="shared" si="23"/>
      </c>
      <c r="FN217" s="91" t="str">
        <f t="shared" si="23"/>
      </c>
      <c r="FO217" s="91" t="str">
        <f t="shared" si="23"/>
      </c>
      <c r="FP217" s="91" t="str">
        <f t="shared" si="23"/>
      </c>
      <c r="FQ217" s="91" t="str">
        <f t="shared" si="23"/>
      </c>
      <c r="FR217" s="91" t="str">
        <f t="shared" si="23"/>
      </c>
      <c r="FS217" s="91" t="str">
        <f t="shared" si="23"/>
      </c>
      <c r="FT217" s="91" t="str">
        <f t="shared" si="23"/>
      </c>
      <c r="FU217" s="91" t="str">
        <f t="shared" si="23"/>
      </c>
      <c r="FV217" s="91" t="str">
        <f t="shared" si="23"/>
      </c>
      <c r="FW217" s="91" t="str">
        <f t="shared" si="23"/>
      </c>
      <c r="FX217" s="91" t="str">
        <f t="shared" si="23"/>
      </c>
      <c r="FY217" s="91" t="str">
        <f t="shared" si="23"/>
      </c>
      <c r="FZ217" s="91" t="str">
        <f t="shared" si="23"/>
      </c>
      <c r="GA217" s="91" t="str">
        <f t="shared" si="23"/>
      </c>
      <c r="GB217" s="91" t="str">
        <f t="shared" si="23"/>
      </c>
      <c r="GC217" s="91" t="str">
        <f t="shared" si="23"/>
      </c>
      <c r="GD217" s="91" t="str">
        <f t="shared" si="23"/>
      </c>
      <c r="GE217" s="91" t="str">
        <f t="shared" si="23"/>
      </c>
      <c r="GF217" s="91" t="str">
        <f t="shared" si="23"/>
      </c>
      <c r="GG217" s="91" t="str">
        <f t="shared" si="23"/>
      </c>
      <c r="GH217" s="91" t="str">
        <f t="shared" si="23"/>
      </c>
      <c r="GI217" s="91" t="str">
        <f t="shared" si="23"/>
      </c>
      <c r="GJ217" s="91" t="str">
        <f t="shared" si="23"/>
      </c>
      <c r="GK217" s="91" t="str">
        <f t="shared" si="23"/>
      </c>
      <c r="GL217" s="91" t="str">
        <f t="shared" si="23"/>
      </c>
      <c r="GM217" s="91" t="str">
        <f t="shared" si="23"/>
      </c>
      <c r="GN217" s="91" t="str">
        <f t="shared" si="23"/>
      </c>
      <c r="GO217" s="91" t="str">
        <f t="shared" si="23"/>
      </c>
      <c r="GP217" s="91" t="str">
        <f t="shared" si="23"/>
      </c>
      <c r="GQ217" s="91" t="str">
        <f t="shared" si="23"/>
      </c>
      <c r="GR217" s="91" t="str">
        <f t="shared" si="23"/>
      </c>
      <c r="GS217" s="91" t="str">
        <f t="shared" si="23"/>
      </c>
      <c r="GT217" s="91" t="str">
        <f t="shared" si="23"/>
      </c>
      <c r="GU217" s="91" t="str">
        <f t="shared" si="23"/>
      </c>
      <c r="GV217" s="91" t="str">
        <f t="shared" si="23"/>
      </c>
      <c r="GW217" s="91" t="str">
        <f t="shared" si="23"/>
      </c>
      <c r="GX217" s="91" t="str">
        <f t="shared" si="23"/>
      </c>
      <c r="GY217" s="91" t="str">
        <f t="shared" si="23"/>
      </c>
      <c r="GZ217" s="91" t="str">
        <f t="shared" si="23"/>
      </c>
      <c r="HA217" s="91" t="str">
        <f t="shared" si="23"/>
      </c>
      <c r="HB217" s="91" t="str">
        <f t="shared" si="23"/>
      </c>
      <c r="HC217" s="91" t="str">
        <f t="shared" si="23"/>
      </c>
      <c r="HD217" s="91" t="str">
        <f t="shared" si="23"/>
      </c>
      <c r="HE217" s="91" t="str">
        <f t="shared" si="23"/>
      </c>
      <c r="HF217" s="91" t="str">
        <f t="shared" si="23"/>
      </c>
      <c r="HG217" s="91" t="str">
        <f t="shared" si="23"/>
      </c>
      <c r="HH217" s="91" t="str">
        <f t="shared" si="23"/>
      </c>
      <c r="HI217" s="91" t="str">
        <f t="shared" si="23"/>
      </c>
      <c r="HJ217" s="91" t="str">
        <f t="shared" si="23"/>
      </c>
      <c r="HK217" s="91" t="str">
        <f t="shared" si="23"/>
      </c>
      <c r="HL217" s="91" t="str">
        <f t="shared" si="23"/>
      </c>
      <c r="HM217" s="91" t="str">
        <f ref="HM217:IV217" t="shared" si="24">IF(SUM(HM198:HM216)&lt;&gt;0,SUM(HM198:HM216),"")</f>
      </c>
      <c r="HN217" s="91" t="str">
        <f t="shared" si="24"/>
      </c>
      <c r="HO217" s="91" t="str">
        <f t="shared" si="24"/>
      </c>
      <c r="HP217" s="91" t="str">
        <f t="shared" si="24"/>
      </c>
      <c r="HQ217" s="91" t="str">
        <f t="shared" si="24"/>
      </c>
      <c r="HR217" s="91" t="str">
        <f t="shared" si="24"/>
      </c>
      <c r="HS217" s="91" t="str">
        <f t="shared" si="24"/>
      </c>
      <c r="HT217" s="91" t="str">
        <f t="shared" si="24"/>
      </c>
      <c r="HU217" s="91" t="str">
        <f t="shared" si="24"/>
      </c>
      <c r="HV217" s="91" t="str">
        <f t="shared" si="24"/>
      </c>
      <c r="HW217" s="91" t="str">
        <f t="shared" si="24"/>
      </c>
      <c r="HX217" s="91" t="str">
        <f t="shared" si="24"/>
      </c>
      <c r="HY217" s="91" t="str">
        <f t="shared" si="24"/>
      </c>
      <c r="HZ217" s="91" t="str">
        <f t="shared" si="24"/>
      </c>
      <c r="IA217" s="91" t="str">
        <f t="shared" si="24"/>
      </c>
      <c r="IB217" s="91" t="str">
        <f t="shared" si="24"/>
      </c>
      <c r="IC217" s="91" t="str">
        <f t="shared" si="24"/>
      </c>
      <c r="ID217" s="91" t="str">
        <f t="shared" si="24"/>
      </c>
      <c r="IE217" s="91" t="str">
        <f t="shared" si="24"/>
      </c>
      <c r="IF217" s="91" t="str">
        <f t="shared" si="24"/>
      </c>
      <c r="IG217" s="91" t="str">
        <f t="shared" si="24"/>
      </c>
      <c r="IH217" s="91" t="str">
        <f t="shared" si="24"/>
      </c>
      <c r="II217" s="91" t="str">
        <f t="shared" si="24"/>
      </c>
      <c r="IJ217" s="91" t="str">
        <f t="shared" si="24"/>
      </c>
      <c r="IK217" s="91" t="str">
        <f t="shared" si="24"/>
      </c>
      <c r="IL217" s="91" t="str">
        <f t="shared" si="24"/>
      </c>
      <c r="IM217" s="91" t="str">
        <f t="shared" si="24"/>
      </c>
      <c r="IN217" s="91" t="str">
        <f t="shared" si="24"/>
      </c>
      <c r="IO217" s="91" t="str">
        <f t="shared" si="24"/>
      </c>
      <c r="IP217" s="91" t="str">
        <f t="shared" si="24"/>
      </c>
      <c r="IQ217" s="91" t="str">
        <f t="shared" si="24"/>
      </c>
      <c r="IR217" s="91" t="str">
        <f t="shared" si="24"/>
      </c>
      <c r="IS217" s="91" t="str">
        <f t="shared" si="24"/>
      </c>
      <c r="IT217" s="91" t="str">
        <f t="shared" si="24"/>
      </c>
      <c r="IU217" s="91" t="str">
        <f t="shared" si="24"/>
      </c>
      <c r="IV217" s="91" t="str">
        <f t="shared" si="24"/>
      </c>
    </row>
    <row r="218" hidden="1"/>
    <row r="219" hidden="1" ht="13.5"/>
    <row r="220" hidden="1" ht="15" customHeight="1">
      <c r="C220" s="686" t="s">
        <v>248</v>
      </c>
      <c r="D220" s="687"/>
      <c r="E220" s="687"/>
      <c r="F220" s="687"/>
      <c r="G220" s="687"/>
      <c r="H220" s="687"/>
      <c r="I220" s="687"/>
      <c r="J220" s="687"/>
      <c r="K220" s="687"/>
      <c r="L220" s="687"/>
      <c r="M220" s="687"/>
      <c r="N220" s="687"/>
      <c r="O220" s="687"/>
      <c r="P220" s="687"/>
      <c r="Q220" s="687"/>
      <c r="R220" s="687"/>
      <c r="S220" s="687"/>
      <c r="T220" s="687"/>
      <c r="U220" s="687"/>
      <c r="V220" s="687"/>
      <c r="W220" s="687"/>
      <c r="X220" s="687"/>
      <c r="Y220" s="687"/>
      <c r="Z220" s="687"/>
      <c r="AA220" s="687"/>
      <c r="AB220" s="688"/>
    </row>
    <row r="221" hidden="1" ht="13.5">
      <c r="C221" s="435" t="str">
        <f> IF(C241&lt;&gt;"",TEXT(AUX!G$1,"dd-MMM-aa"),"")</f>
      </c>
      <c r="D221" s="435" t="str">
        <f> IF(D241&lt;&gt;"",TEXT(AUX!H$1,"dd-MMM-aa"),"")</f>
      </c>
      <c r="E221" s="435" t="str">
        <f> IF(E241&lt;&gt;"",TEXT(AUX!I$1,"dd-MMM-aa"),"")</f>
      </c>
      <c r="F221" s="435" t="str">
        <f> IF(F241&lt;&gt;"",TEXT(AUX!J$1,"dd-MMM-aa"),"")</f>
      </c>
      <c r="G221" s="435" t="str">
        <f> IF(G241&lt;&gt;"",TEXT(AUX!K$1,"dd-MMM-aa"),"")</f>
      </c>
      <c r="H221" s="435" t="str">
        <f> IF(H241&lt;&gt;"",TEXT(AUX!L$1,"dd-MMM-aa"),"")</f>
      </c>
      <c r="I221" s="435" t="str">
        <f> IF(I241&lt;&gt;"",TEXT(AUX!M$1,"dd-MMM-aa"),"")</f>
      </c>
      <c r="J221" s="435" t="str">
        <f> IF(J241&lt;&gt;"",TEXT(AUX!N$1,"dd-MMM-aa"),"")</f>
      </c>
      <c r="K221" s="435" t="str">
        <f> IF(K241&lt;&gt;"",TEXT(AUX!O$1,"dd-MMM-aa"),"")</f>
      </c>
      <c r="L221" s="435" t="str">
        <f> IF(L241&lt;&gt;"",TEXT(AUX!P$1,"dd-MMM-aa"),"")</f>
      </c>
      <c r="M221" s="435" t="str">
        <f> IF(M241&lt;&gt;"",TEXT(AUX!Q$1,"dd-MMM-aa"),"")</f>
      </c>
      <c r="N221" s="435" t="str">
        <f> IF(N241&lt;&gt;"",TEXT(AUX!R$1,"dd-MMM-aa"),"")</f>
      </c>
      <c r="O221" s="435" t="str">
        <f> IF(O241&lt;&gt;"",TEXT(AUX!S$1,"dd-MMM-aa"),"")</f>
      </c>
      <c r="P221" s="435" t="str">
        <f> IF(P241&lt;&gt;"",TEXT(AUX!T$1,"dd-MMM-aa"),"")</f>
      </c>
      <c r="Q221" s="435" t="str">
        <f> IF(Q241&lt;&gt;"",TEXT(AUX!U$1,"dd-MMM-aa"),"")</f>
      </c>
      <c r="R221" s="435" t="str">
        <f> IF(R241&lt;&gt;"",TEXT(AUX!V$1,"dd-MMM-aa"),"")</f>
      </c>
      <c r="S221" s="435" t="str">
        <f> IF(S241&lt;&gt;"",TEXT(AUX!W$1,"dd-MMM-aa"),"")</f>
      </c>
      <c r="T221" s="435" t="str">
        <f> IF(T241&lt;&gt;"",TEXT(AUX!X$1,"dd-MMM-aa"),"")</f>
      </c>
      <c r="U221" s="435" t="str">
        <f> IF(U241&lt;&gt;"",TEXT(AUX!Y$1,"dd-MMM-aa"),"")</f>
      </c>
      <c r="V221" s="435" t="str">
        <f> IF(V241&lt;&gt;"",TEXT(AUX!Z$1,"dd-MMM-aa"),"")</f>
      </c>
      <c r="W221" s="435" t="str">
        <f> IF(W241&lt;&gt;"",TEXT(AUX!AA$1,"dd-MMM-aa"),"")</f>
      </c>
      <c r="X221" s="435" t="str">
        <f> IF(X241&lt;&gt;"",TEXT(AUX!AB$1,"dd-MMM-aa"),"")</f>
      </c>
      <c r="Y221" s="435" t="str">
        <f> IF(Y241&lt;&gt;"",TEXT(AUX!AC$1,"dd-MMM-aa"),"")</f>
      </c>
      <c r="Z221" s="435" t="str">
        <f> IF(Z241&lt;&gt;"",TEXT(AUX!AD$1,"dd-MMM-aa"),"")</f>
      </c>
      <c r="AA221" s="435" t="str">
        <f> IF(AA241&lt;&gt;"",TEXT(AUX!AE$1,"dd-MMM-aa"),"")</f>
      </c>
      <c r="AB221" s="497" t="str">
        <f> IF(AB241&lt;&gt;"",TEXT(AUX!AF$1,"dd-MMM-aa"),"")</f>
      </c>
      <c r="AC221" s="496" t="str">
        <f> IF(AC241&lt;&gt;"",TEXT(AUX!AG$1,"dd-MMM-aa"),"")</f>
      </c>
      <c r="AD221" s="496" t="str">
        <f> IF(AD241&lt;&gt;"",TEXT(AUX!AH$1,"dd-MMM-aa"),"")</f>
      </c>
      <c r="AE221" s="496" t="str">
        <f> IF(AE241&lt;&gt;"",TEXT(AUX!AI$1,"dd-MMM-aa"),"")</f>
      </c>
      <c r="AF221" s="496" t="str">
        <f> IF(AF241&lt;&gt;"",TEXT(AUX!AJ$1,"dd-MMM-aa"),"")</f>
      </c>
      <c r="AG221" s="496" t="str">
        <f> IF(AG241&lt;&gt;"",TEXT(AUX!AK$1,"dd-MMM-aa"),"")</f>
      </c>
      <c r="AH221" s="496" t="str">
        <f> IF(AH241&lt;&gt;"",TEXT(AUX!AL$1,"dd-MMM-aa"),"")</f>
      </c>
      <c r="AI221" s="496" t="str">
        <f> IF(AI241&lt;&gt;"",TEXT(AUX!AM$1,"dd-MMM-aa"),"")</f>
      </c>
      <c r="AJ221" s="496" t="str">
        <f> IF(AJ241&lt;&gt;"",TEXT(AUX!AN$1,"dd-MMM-aa"),"")</f>
      </c>
      <c r="AK221" s="496" t="str">
        <f> IF(AK241&lt;&gt;"",TEXT(AUX!AO$1,"dd-MMM-aa"),"")</f>
      </c>
      <c r="AL221" s="496" t="str">
        <f> IF(AL241&lt;&gt;"",TEXT(AUX!AP$1,"dd-MMM-aa"),"")</f>
      </c>
      <c r="AM221" s="496" t="str">
        <f> IF(AM241&lt;&gt;"",TEXT(AUX!AQ$1,"dd-MMM-aa"),"")</f>
      </c>
      <c r="AN221" s="496" t="str">
        <f> IF(AN241&lt;&gt;"",TEXT(AUX!AR$1,"dd-MMM-aa"),"")</f>
      </c>
      <c r="AO221" s="496" t="str">
        <f> IF(AO241&lt;&gt;"",TEXT(AUX!AS$1,"dd-MMM-aa"),"")</f>
      </c>
      <c r="AP221" s="496" t="str">
        <f> IF(AP241&lt;&gt;"",TEXT(AUX!AT$1,"dd-MMM-aa"),"")</f>
      </c>
      <c r="AQ221" s="496" t="str">
        <f> IF(AQ241&lt;&gt;"",TEXT(AUX!AU$1,"dd-MMM-aa"),"")</f>
      </c>
      <c r="AR221" s="496" t="str">
        <f> IF(AR241&lt;&gt;"",TEXT(AUX!AV$1,"dd-MMM-aa"),"")</f>
      </c>
      <c r="AS221" s="496" t="str">
        <f> IF(AS241&lt;&gt;"",TEXT(AUX!AW$1,"dd-MMM-aa"),"")</f>
      </c>
      <c r="AT221" s="496" t="str">
        <f> IF(AT241&lt;&gt;"",TEXT(AUX!AX$1,"dd-MMM-aa"),"")</f>
      </c>
      <c r="AU221" s="496" t="str">
        <f> IF(AU241&lt;&gt;"",TEXT(AUX!AY$1,"dd-MMM-aa"),"")</f>
      </c>
      <c r="AV221" s="496" t="str">
        <f> IF(AV241&lt;&gt;"",TEXT(AUX!AZ$1,"dd-MMM-aa"),"")</f>
      </c>
      <c r="AW221" s="496" t="str">
        <f> IF(AW241&lt;&gt;"",TEXT(AUX!BA$1,"dd-MMM-aa"),"")</f>
      </c>
      <c r="AX221" s="496" t="str">
        <f> IF(AX241&lt;&gt;"",TEXT(AUX!BB$1,"dd-MMM-aa"),"")</f>
      </c>
      <c r="AY221" s="496" t="str">
        <f> IF(AY241&lt;&gt;"",TEXT(AUX!BC$1,"dd-MMM-aa"),"")</f>
      </c>
      <c r="AZ221" s="496" t="str">
        <f> IF(AZ241&lt;&gt;"",TEXT(AUX!BD$1,"dd-MMM-aa"),"")</f>
      </c>
      <c r="BA221" s="496" t="str">
        <f> IF(BA241&lt;&gt;"",TEXT(AUX!BE$1,"dd-MMM-aa"),"")</f>
      </c>
      <c r="BB221" s="496" t="str">
        <f> IF(BB241&lt;&gt;"",TEXT(AUX!BF$1,"dd-MMM-aa"),"")</f>
      </c>
      <c r="BC221" s="496" t="str">
        <f> IF(BC241&lt;&gt;"",TEXT(AUX!BG$1,"dd-MMM-aa"),"")</f>
      </c>
      <c r="BD221" s="496" t="str">
        <f> IF(BD241&lt;&gt;"",TEXT(AUX!BH$1,"dd-MMM-aa"),"")</f>
      </c>
      <c r="BE221" s="496" t="str">
        <f> IF(BE241&lt;&gt;"",TEXT(AUX!BI$1,"dd-MMM-aa"),"")</f>
      </c>
      <c r="BF221" s="496" t="str">
        <f> IF(BF241&lt;&gt;"",TEXT(AUX!BJ$1,"dd-MMM-aa"),"")</f>
      </c>
      <c r="BG221" s="496" t="str">
        <f> IF(BG241&lt;&gt;"",TEXT(AUX!BK$1,"dd-MMM-aa"),"")</f>
      </c>
      <c r="BH221" s="496" t="str">
        <f> IF(BH241&lt;&gt;"",TEXT(AUX!BL$1,"dd-MMM-aa"),"")</f>
      </c>
      <c r="BI221" s="496" t="str">
        <f> IF(BI241&lt;&gt;"",TEXT(AUX!BM$1,"dd-MMM-aa"),"")</f>
      </c>
      <c r="BJ221" s="496" t="str">
        <f> IF(BJ241&lt;&gt;"",TEXT(AUX!BN$1,"dd-MMM-aa"),"")</f>
      </c>
      <c r="BK221" s="496" t="str">
        <f> IF(BK241&lt;&gt;"",TEXT(AUX!BO$1,"dd-MMM-aa"),"")</f>
      </c>
      <c r="BL221" s="496" t="str">
        <f> IF(BL241&lt;&gt;"",TEXT(AUX!BP$1,"dd-MMM-aa"),"")</f>
      </c>
      <c r="BM221" s="496" t="str">
        <f> IF(BM241&lt;&gt;"",TEXT(AUX!BQ$1,"dd-MMM-aa"),"")</f>
      </c>
      <c r="BN221" s="496" t="str">
        <f> IF(BN241&lt;&gt;"",TEXT(AUX!BR$1,"dd-MMM-aa"),"")</f>
      </c>
      <c r="BO221" s="496" t="str">
        <f> IF(BO241&lt;&gt;"",TEXT(AUX!BS$1,"dd-MMM-aa"),"")</f>
      </c>
      <c r="BP221" s="496" t="str">
        <f> IF(BP241&lt;&gt;"",TEXT(AUX!BT$1,"dd-MMM-aa"),"")</f>
      </c>
      <c r="BQ221" s="496" t="str">
        <f> IF(BQ241&lt;&gt;"",TEXT(AUX!BU$1,"dd-MMM-aa"),"")</f>
      </c>
      <c r="BR221" s="496" t="str">
        <f> IF(BR241&lt;&gt;"",TEXT(AUX!BV$1,"dd-MMM-aa"),"")</f>
      </c>
      <c r="BS221" s="496" t="str">
        <f> IF(BS241&lt;&gt;"",TEXT(AUX!BW$1,"dd-MMM-aa"),"")</f>
      </c>
      <c r="BT221" s="496" t="str">
        <f> IF(BT241&lt;&gt;"",TEXT(AUX!BX$1,"dd-MMM-aa"),"")</f>
      </c>
      <c r="BU221" s="496" t="str">
        <f> IF(BU241&lt;&gt;"",TEXT(AUX!BY$1,"dd-MMM-aa"),"")</f>
      </c>
      <c r="BV221" s="496" t="str">
        <f> IF(BV241&lt;&gt;"",TEXT(AUX!BZ$1,"dd-MMM-aa"),"")</f>
      </c>
      <c r="BW221" s="496" t="str">
        <f> IF(BW241&lt;&gt;"",TEXT(AUX!CA$1,"dd-MMM-aa"),"")</f>
      </c>
      <c r="BX221" s="496" t="str">
        <f> IF(BX241&lt;&gt;"",TEXT(AUX!CB$1,"dd-MMM-aa"),"")</f>
      </c>
      <c r="BY221" s="496" t="str">
        <f> IF(BY241&lt;&gt;"",TEXT(AUX!CC$1,"dd-MMM-aa"),"")</f>
      </c>
      <c r="BZ221" s="496" t="str">
        <f> IF(BZ241&lt;&gt;"",TEXT(AUX!CD$1,"dd-MMM-aa"),"")</f>
      </c>
      <c r="CA221" s="496" t="str">
        <f> IF(CA241&lt;&gt;"",TEXT(AUX!CE$1,"dd-MMM-aa"),"")</f>
      </c>
      <c r="CB221" s="496" t="str">
        <f> IF(CB241&lt;&gt;"",TEXT(AUX!CF$1,"dd-MMM-aa"),"")</f>
      </c>
      <c r="CC221" s="496" t="str">
        <f> IF(CC241&lt;&gt;"",TEXT(AUX!CG$1,"dd-MMM-aa"),"")</f>
      </c>
      <c r="CD221" s="496" t="str">
        <f> IF(CD241&lt;&gt;"",TEXT(AUX!CH$1,"dd-MMM-aa"),"")</f>
      </c>
      <c r="CE221" s="496" t="str">
        <f> IF(CE241&lt;&gt;"",TEXT(AUX!CI$1,"dd-MMM-aa"),"")</f>
      </c>
      <c r="CF221" s="496" t="str">
        <f> IF(CF241&lt;&gt;"",TEXT(AUX!CJ$1,"dd-MMM-aa"),"")</f>
      </c>
      <c r="CG221" s="496" t="str">
        <f> IF(CG241&lt;&gt;"",TEXT(AUX!CK$1,"dd-MMM-aa"),"")</f>
      </c>
      <c r="CH221" s="496" t="str">
        <f> IF(CH241&lt;&gt;"",TEXT(AUX!CL$1,"dd-MMM-aa"),"")</f>
      </c>
      <c r="CI221" s="496" t="str">
        <f> IF(CI241&lt;&gt;"",TEXT(AUX!CM$1,"dd-MMM-aa"),"")</f>
      </c>
      <c r="CJ221" s="496" t="str">
        <f> IF(CJ241&lt;&gt;"",TEXT(AUX!CN$1,"dd-MMM-aa"),"")</f>
      </c>
      <c r="CK221" s="496" t="str">
        <f> IF(CK241&lt;&gt;"",TEXT(AUX!CO$1,"dd-MMM-aa"),"")</f>
      </c>
      <c r="CL221" s="496" t="str">
        <f> IF(CL241&lt;&gt;"",TEXT(AUX!CP$1,"dd-MMM-aa"),"")</f>
      </c>
      <c r="CM221" s="496" t="str">
        <f> IF(CM241&lt;&gt;"",TEXT(AUX!CQ$1,"dd-MMM-aa"),"")</f>
      </c>
      <c r="CN221" s="496" t="str">
        <f> IF(CN241&lt;&gt;"",TEXT(AUX!CR$1,"dd-MMM-aa"),"")</f>
      </c>
      <c r="CO221" s="496" t="str">
        <f> IF(CO241&lt;&gt;"",TEXT(AUX!CS$1,"dd-MMM-aa"),"")</f>
      </c>
      <c r="CP221" s="496" t="str">
        <f> IF(CP241&lt;&gt;"",TEXT(AUX!CT$1,"dd-MMM-aa"),"")</f>
      </c>
      <c r="CQ221" s="496" t="str">
        <f> IF(CQ241&lt;&gt;"",TEXT(AUX!CU$1,"dd-MMM-aa"),"")</f>
      </c>
      <c r="CR221" s="496" t="str">
        <f> IF(CR241&lt;&gt;"",TEXT(AUX!CV$1,"dd-MMM-aa"),"")</f>
      </c>
      <c r="CS221" s="496" t="str">
        <f> IF(CS241&lt;&gt;"",TEXT(AUX!CW$1,"dd-MMM-aa"),"")</f>
      </c>
      <c r="CT221" s="496" t="str">
        <f> IF(CT241&lt;&gt;"",TEXT(AUX!CX$1,"dd-MMM-aa"),"")</f>
      </c>
      <c r="CU221" s="496" t="str">
        <f> IF(CU241&lt;&gt;"",TEXT(AUX!CY$1,"dd-MMM-aa"),"")</f>
      </c>
      <c r="CV221" s="496" t="str">
        <f> IF(CV241&lt;&gt;"",TEXT(AUX!CZ$1,"dd-MMM-aa"),"")</f>
      </c>
      <c r="CW221" s="496" t="str">
        <f> IF(CW241&lt;&gt;"",TEXT(AUX!DA$1,"dd-MMM-aa"),"")</f>
      </c>
      <c r="CX221" s="496" t="str">
        <f> IF(CX241&lt;&gt;"",TEXT(AUX!DB$1,"dd-MMM-aa"),"")</f>
      </c>
      <c r="CY221" s="496" t="str">
        <f> IF(CY241&lt;&gt;"",TEXT(AUX!DC$1,"dd-MMM-aa"),"")</f>
      </c>
      <c r="CZ221" s="496" t="str">
        <f> IF(CZ241&lt;&gt;"",TEXT(AUX!DD$1,"dd-MMM-aa"),"")</f>
      </c>
      <c r="DA221" s="496" t="str">
        <f> IF(DA241&lt;&gt;"",TEXT(AUX!DE$1,"dd-MMM-aa"),"")</f>
      </c>
      <c r="DB221" s="496" t="str">
        <f> IF(DB241&lt;&gt;"",TEXT(AUX!DF$1,"dd-MMM-aa"),"")</f>
      </c>
      <c r="DC221" s="496" t="str">
        <f> IF(DC241&lt;&gt;"",TEXT(AUX!DG$1,"dd-MMM-aa"),"")</f>
      </c>
      <c r="DD221" s="496" t="str">
        <f> IF(DD241&lt;&gt;"",TEXT(AUX!DH$1,"dd-MMM-aa"),"")</f>
      </c>
      <c r="DE221" s="496" t="str">
        <f> IF(DE241&lt;&gt;"",TEXT(AUX!DI$1,"dd-MMM-aa"),"")</f>
      </c>
      <c r="DF221" s="496" t="str">
        <f> IF(DF241&lt;&gt;"",TEXT(AUX!DJ$1,"dd-MMM-aa"),"")</f>
      </c>
      <c r="DG221" s="496" t="str">
        <f> IF(DG241&lt;&gt;"",TEXT(AUX!DK$1,"dd-MMM-aa"),"")</f>
      </c>
      <c r="DH221" s="496" t="str">
        <f> IF(DH241&lt;&gt;"",TEXT(AUX!DL$1,"dd-MMM-aa"),"")</f>
      </c>
      <c r="DI221" s="496" t="str">
        <f> IF(DI241&lt;&gt;"",TEXT(AUX!DM$1,"dd-MMM-aa"),"")</f>
      </c>
      <c r="DJ221" s="496" t="str">
        <f> IF(DJ241&lt;&gt;"",TEXT(AUX!DN$1,"dd-MMM-aa"),"")</f>
      </c>
      <c r="DK221" s="496" t="str">
        <f> IF(DK241&lt;&gt;"",TEXT(AUX!DO$1,"dd-MMM-aa"),"")</f>
      </c>
      <c r="DL221" s="496" t="str">
        <f> IF(DL241&lt;&gt;"",TEXT(AUX!DP$1,"dd-MMM-aa"),"")</f>
      </c>
      <c r="DM221" s="496" t="str">
        <f> IF(DM241&lt;&gt;"",TEXT(AUX!DQ$1,"dd-MMM-aa"),"")</f>
      </c>
      <c r="DN221" s="496" t="str">
        <f> IF(DN241&lt;&gt;"",TEXT(AUX!DR$1,"dd-MMM-aa"),"")</f>
      </c>
      <c r="DO221" s="496" t="str">
        <f> IF(DO241&lt;&gt;"",TEXT(AUX!DS$1,"dd-MMM-aa"),"")</f>
      </c>
      <c r="DP221" s="496" t="str">
        <f> IF(DP241&lt;&gt;"",TEXT(AUX!DT$1,"dd-MMM-aa"),"")</f>
      </c>
      <c r="DQ221" s="496" t="str">
        <f> IF(DQ241&lt;&gt;"",TEXT(AUX!DU$1,"dd-MMM-aa"),"")</f>
      </c>
      <c r="DR221" s="496" t="str">
        <f> IF(DR241&lt;&gt;"",TEXT(AUX!DV$1,"dd-MMM-aa"),"")</f>
      </c>
      <c r="DS221" s="496" t="str">
        <f> IF(DS241&lt;&gt;"",TEXT(AUX!DW$1,"dd-MMM-aa"),"")</f>
      </c>
      <c r="DT221" s="496" t="str">
        <f> IF(DT241&lt;&gt;"",TEXT(AUX!DX$1,"dd-MMM-aa"),"")</f>
      </c>
      <c r="DU221" s="496" t="str">
        <f> IF(DU241&lt;&gt;"",TEXT(AUX!DY$1,"dd-MMM-aa"),"")</f>
      </c>
      <c r="DV221" s="496" t="str">
        <f> IF(DV241&lt;&gt;"",TEXT(AUX!DZ$1,"dd-MMM-aa"),"")</f>
      </c>
      <c r="DW221" s="496" t="str">
        <f> IF(DW241&lt;&gt;"",TEXT(AUX!EA$1,"dd-MMM-aa"),"")</f>
      </c>
      <c r="DX221" s="496" t="str">
        <f> IF(DX241&lt;&gt;"",TEXT(AUX!EB$1,"dd-MMM-aa"),"")</f>
      </c>
      <c r="DY221" s="496" t="str">
        <f> IF(DY241&lt;&gt;"",TEXT(AUX!EC$1,"dd-MMM-aa"),"")</f>
      </c>
      <c r="DZ221" s="496" t="str">
        <f> IF(DZ241&lt;&gt;"",TEXT(AUX!ED$1,"dd-MMM-aa"),"")</f>
      </c>
      <c r="EA221" s="496" t="str">
        <f> IF(EA241&lt;&gt;"",TEXT(AUX!EE$1,"dd-MMM-aa"),"")</f>
      </c>
      <c r="EB221" s="496" t="str">
        <f> IF(EB241&lt;&gt;"",TEXT(AUX!EF$1,"dd-MMM-aa"),"")</f>
      </c>
      <c r="EC221" s="496" t="str">
        <f> IF(EC241&lt;&gt;"",TEXT(AUX!EG$1,"dd-MMM-aa"),"")</f>
      </c>
      <c r="ED221" s="496" t="str">
        <f> IF(ED241&lt;&gt;"",TEXT(AUX!EH$1,"dd-MMM-aa"),"")</f>
      </c>
      <c r="EE221" s="496" t="str">
        <f> IF(EE241&lt;&gt;"",TEXT(AUX!EI$1,"dd-MMM-aa"),"")</f>
      </c>
      <c r="EF221" s="496" t="str">
        <f> IF(EF241&lt;&gt;"",TEXT(AUX!EJ$1,"dd-MMM-aa"),"")</f>
      </c>
      <c r="EG221" s="496" t="str">
        <f> IF(EG241&lt;&gt;"",TEXT(AUX!EK$1,"dd-MMM-aa"),"")</f>
      </c>
      <c r="EH221" s="496" t="str">
        <f> IF(EH241&lt;&gt;"",TEXT(AUX!EL$1,"dd-MMM-aa"),"")</f>
      </c>
      <c r="EI221" s="496" t="str">
        <f> IF(EI241&lt;&gt;"",TEXT(AUX!EM$1,"dd-MMM-aa"),"")</f>
      </c>
      <c r="EJ221" s="496" t="str">
        <f> IF(EJ241&lt;&gt;"",TEXT(AUX!EN$1,"dd-MMM-aa"),"")</f>
      </c>
      <c r="EK221" s="496" t="str">
        <f> IF(EK241&lt;&gt;"",TEXT(AUX!EO$1,"dd-MMM-aa"),"")</f>
      </c>
      <c r="EL221" s="496" t="str">
        <f> IF(EL241&lt;&gt;"",TEXT(AUX!EP$1,"dd-MMM-aa"),"")</f>
      </c>
      <c r="EM221" s="496" t="str">
        <f> IF(EM241&lt;&gt;"",TEXT(AUX!EQ$1,"dd-MMM-aa"),"")</f>
      </c>
      <c r="EN221" s="496" t="str">
        <f> IF(EN241&lt;&gt;"",TEXT(AUX!ER$1,"dd-MMM-aa"),"")</f>
      </c>
      <c r="EO221" s="496" t="str">
        <f> IF(EO241&lt;&gt;"",TEXT(AUX!ES$1,"dd-MMM-aa"),"")</f>
      </c>
      <c r="EP221" s="496" t="str">
        <f> IF(EP241&lt;&gt;"",TEXT(AUX!ET$1,"dd-MMM-aa"),"")</f>
      </c>
      <c r="EQ221" s="496" t="str">
        <f> IF(EQ241&lt;&gt;"",TEXT(AUX!EU$1,"dd-MMM-aa"),"")</f>
      </c>
      <c r="ER221" s="496" t="str">
        <f> IF(ER241&lt;&gt;"",TEXT(AUX!EV$1,"dd-MMM-aa"),"")</f>
      </c>
      <c r="ES221" s="496" t="str">
        <f> IF(ES241&lt;&gt;"",TEXT(AUX!EW$1,"dd-MMM-aa"),"")</f>
      </c>
      <c r="ET221" s="496" t="str">
        <f> IF(ET241&lt;&gt;"",TEXT(AUX!EX$1,"dd-MMM-aa"),"")</f>
      </c>
      <c r="EU221" s="496" t="str">
        <f> IF(EU241&lt;&gt;"",TEXT(AUX!EY$1,"dd-MMM-aa"),"")</f>
      </c>
      <c r="EV221" s="496" t="str">
        <f> IF(EV241&lt;&gt;"",TEXT(AUX!EZ$1,"dd-MMM-aa"),"")</f>
      </c>
      <c r="EW221" s="496" t="str">
        <f> IF(EW241&lt;&gt;"",TEXT(AUX!FA$1,"dd-MMM-aa"),"")</f>
      </c>
      <c r="EX221" s="496" t="str">
        <f> IF(EX241&lt;&gt;"",TEXT(AUX!FB$1,"dd-MMM-aa"),"")</f>
      </c>
      <c r="EY221" s="496" t="str">
        <f> IF(EY241&lt;&gt;"",TEXT(AUX!FC$1,"dd-MMM-aa"),"")</f>
      </c>
      <c r="EZ221" s="496" t="str">
        <f> IF(EZ241&lt;&gt;"",TEXT(AUX!FD$1,"dd-MMM-aa"),"")</f>
      </c>
      <c r="FA221" s="496" t="str">
        <f> IF(FA241&lt;&gt;"",TEXT(AUX!FE$1,"dd-MMM-aa"),"")</f>
      </c>
      <c r="FB221" s="496" t="str">
        <f> IF(FB241&lt;&gt;"",TEXT(AUX!FF$1,"dd-MMM-aa"),"")</f>
      </c>
      <c r="FC221" s="496" t="str">
        <f> IF(FC241&lt;&gt;"",TEXT(AUX!FG$1,"dd-MMM-aa"),"")</f>
      </c>
      <c r="FD221" s="496" t="str">
        <f> IF(FD241&lt;&gt;"",TEXT(AUX!FH$1,"dd-MMM-aa"),"")</f>
      </c>
      <c r="FE221" s="496" t="str">
        <f> IF(FE241&lt;&gt;"",TEXT(AUX!FI$1,"dd-MMM-aa"),"")</f>
      </c>
      <c r="FF221" s="496" t="str">
        <f> IF(FF241&lt;&gt;"",TEXT(AUX!FJ$1,"dd-MMM-aa"),"")</f>
      </c>
      <c r="FG221" s="496" t="str">
        <f> IF(FG241&lt;&gt;"",TEXT(AUX!FK$1,"dd-MMM-aa"),"")</f>
      </c>
      <c r="FH221" s="496" t="str">
        <f> IF(FH241&lt;&gt;"",TEXT(AUX!FL$1,"dd-MMM-aa"),"")</f>
      </c>
      <c r="FI221" s="496" t="str">
        <f> IF(FI241&lt;&gt;"",TEXT(AUX!FM$1,"dd-MMM-aa"),"")</f>
      </c>
      <c r="FJ221" s="496" t="str">
        <f> IF(FJ241&lt;&gt;"",TEXT(AUX!FN$1,"dd-MMM-aa"),"")</f>
      </c>
      <c r="FK221" s="496" t="str">
        <f> IF(FK241&lt;&gt;"",TEXT(AUX!FO$1,"dd-MMM-aa"),"")</f>
      </c>
      <c r="FL221" s="496" t="str">
        <f> IF(FL241&lt;&gt;"",TEXT(AUX!FP$1,"dd-MMM-aa"),"")</f>
      </c>
      <c r="FM221" s="496" t="str">
        <f> IF(FM241&lt;&gt;"",TEXT(AUX!FQ$1,"dd-MMM-aa"),"")</f>
      </c>
      <c r="FN221" s="496" t="str">
        <f> IF(FN241&lt;&gt;"",TEXT(AUX!FR$1,"dd-MMM-aa"),"")</f>
      </c>
      <c r="FO221" s="496" t="str">
        <f> IF(FO241&lt;&gt;"",TEXT(AUX!FS$1,"dd-MMM-aa"),"")</f>
      </c>
      <c r="FP221" s="496" t="str">
        <f> IF(FP241&lt;&gt;"",TEXT(AUX!FT$1,"dd-MMM-aa"),"")</f>
      </c>
      <c r="FQ221" s="496" t="str">
        <f> IF(FQ241&lt;&gt;"",TEXT(AUX!FU$1,"dd-MMM-aa"),"")</f>
      </c>
      <c r="FR221" s="496" t="str">
        <f> IF(FR241&lt;&gt;"",TEXT(AUX!FV$1,"dd-MMM-aa"),"")</f>
      </c>
      <c r="FS221" s="496" t="str">
        <f> IF(FS241&lt;&gt;"",TEXT(AUX!FW$1,"dd-MMM-aa"),"")</f>
      </c>
      <c r="FT221" s="496" t="str">
        <f> IF(FT241&lt;&gt;"",TEXT(AUX!FX$1,"dd-MMM-aa"),"")</f>
      </c>
      <c r="FU221" s="496" t="str">
        <f> IF(FU241&lt;&gt;"",TEXT(AUX!FY$1,"dd-MMM-aa"),"")</f>
      </c>
      <c r="FV221" s="496" t="str">
        <f> IF(FV241&lt;&gt;"",TEXT(AUX!FZ$1,"dd-MMM-aa"),"")</f>
      </c>
      <c r="FW221" s="496" t="str">
        <f> IF(FW241&lt;&gt;"",TEXT(AUX!GA$1,"dd-MMM-aa"),"")</f>
      </c>
      <c r="FX221" s="496" t="str">
        <f> IF(FX241&lt;&gt;"",TEXT(AUX!GB$1,"dd-MMM-aa"),"")</f>
      </c>
      <c r="FY221" s="496" t="str">
        <f> IF(FY241&lt;&gt;"",TEXT(AUX!GC$1,"dd-MMM-aa"),"")</f>
      </c>
      <c r="FZ221" s="496" t="str">
        <f> IF(FZ241&lt;&gt;"",TEXT(AUX!GD$1,"dd-MMM-aa"),"")</f>
      </c>
      <c r="GA221" s="496" t="str">
        <f> IF(GA241&lt;&gt;"",TEXT(AUX!GE$1,"dd-MMM-aa"),"")</f>
      </c>
      <c r="GB221" s="496" t="str">
        <f> IF(GB241&lt;&gt;"",TEXT(AUX!GF$1,"dd-MMM-aa"),"")</f>
      </c>
      <c r="GC221" s="496" t="str">
        <f> IF(GC241&lt;&gt;"",TEXT(AUX!GG$1,"dd-MMM-aa"),"")</f>
      </c>
      <c r="GD221" s="496" t="str">
        <f> IF(GD241&lt;&gt;"",TEXT(AUX!GH$1,"dd-MMM-aa"),"")</f>
      </c>
      <c r="GE221" s="496" t="str">
        <f> IF(GE241&lt;&gt;"",TEXT(AUX!GI$1,"dd-MMM-aa"),"")</f>
      </c>
      <c r="GF221" s="496" t="str">
        <f> IF(GF241&lt;&gt;"",TEXT(AUX!GJ$1,"dd-MMM-aa"),"")</f>
      </c>
      <c r="GG221" s="496" t="str">
        <f> IF(GG241&lt;&gt;"",TEXT(AUX!GK$1,"dd-MMM-aa"),"")</f>
      </c>
      <c r="GH221" s="496" t="str">
        <f> IF(GH241&lt;&gt;"",TEXT(AUX!GL$1,"dd-MMM-aa"),"")</f>
      </c>
      <c r="GI221" s="496" t="str">
        <f> IF(GI241&lt;&gt;"",TEXT(AUX!GM$1,"dd-MMM-aa"),"")</f>
      </c>
      <c r="GJ221" s="496" t="str">
        <f> IF(GJ241&lt;&gt;"",TEXT(AUX!GN$1,"dd-MMM-aa"),"")</f>
      </c>
      <c r="GK221" s="496" t="str">
        <f> IF(GK241&lt;&gt;"",TEXT(AUX!GO$1,"dd-MMM-aa"),"")</f>
      </c>
      <c r="GL221" s="496" t="str">
        <f> IF(GL241&lt;&gt;"",TEXT(AUX!GP$1,"dd-MMM-aa"),"")</f>
      </c>
      <c r="GM221" s="496" t="str">
        <f> IF(GM241&lt;&gt;"",TEXT(AUX!GQ$1,"dd-MMM-aa"),"")</f>
      </c>
      <c r="GN221" s="496" t="str">
        <f> IF(GN241&lt;&gt;"",TEXT(AUX!GR$1,"dd-MMM-aa"),"")</f>
      </c>
      <c r="GO221" s="496" t="str">
        <f> IF(GO241&lt;&gt;"",TEXT(AUX!GS$1,"dd-MMM-aa"),"")</f>
      </c>
      <c r="GP221" s="496" t="str">
        <f> IF(GP241&lt;&gt;"",TEXT(AUX!GT$1,"dd-MMM-aa"),"")</f>
      </c>
      <c r="GQ221" s="496" t="str">
        <f> IF(GQ241&lt;&gt;"",TEXT(AUX!GU$1,"dd-MMM-aa"),"")</f>
      </c>
      <c r="GR221" s="496" t="str">
        <f> IF(GR241&lt;&gt;"",TEXT(AUX!GV$1,"dd-MMM-aa"),"")</f>
      </c>
      <c r="GS221" s="496" t="str">
        <f> IF(GS241&lt;&gt;"",TEXT(AUX!GW$1,"dd-MMM-aa"),"")</f>
      </c>
      <c r="GT221" s="496" t="str">
        <f> IF(GT241&lt;&gt;"",TEXT(AUX!GX$1,"dd-MMM-aa"),"")</f>
      </c>
      <c r="GU221" s="496" t="str">
        <f> IF(GU241&lt;&gt;"",TEXT(AUX!GY$1,"dd-MMM-aa"),"")</f>
      </c>
      <c r="GV221" s="496" t="str">
        <f> IF(GV241&lt;&gt;"",TEXT(AUX!GZ$1,"dd-MMM-aa"),"")</f>
      </c>
      <c r="GW221" s="496" t="str">
        <f> IF(GW241&lt;&gt;"",TEXT(AUX!HA$1,"dd-MMM-aa"),"")</f>
      </c>
      <c r="GX221" s="496" t="str">
        <f> IF(GX241&lt;&gt;"",TEXT(AUX!HB$1,"dd-MMM-aa"),"")</f>
      </c>
      <c r="GY221" s="496" t="str">
        <f> IF(GY241&lt;&gt;"",TEXT(AUX!HC$1,"dd-MMM-aa"),"")</f>
      </c>
      <c r="GZ221" s="496" t="str">
        <f> IF(GZ241&lt;&gt;"",TEXT(AUX!HD$1,"dd-MMM-aa"),"")</f>
      </c>
      <c r="HA221" s="496" t="str">
        <f> IF(HA241&lt;&gt;"",TEXT(AUX!HE$1,"dd-MMM-aa"),"")</f>
      </c>
      <c r="HB221" s="496" t="str">
        <f> IF(HB241&lt;&gt;"",TEXT(AUX!HF$1,"dd-MMM-aa"),"")</f>
      </c>
      <c r="HC221" s="496" t="str">
        <f> IF(HC241&lt;&gt;"",TEXT(AUX!HG$1,"dd-MMM-aa"),"")</f>
      </c>
      <c r="HD221" s="496" t="str">
        <f> IF(HD241&lt;&gt;"",TEXT(AUX!HH$1,"dd-MMM-aa"),"")</f>
      </c>
      <c r="HE221" s="496" t="str">
        <f> IF(HE241&lt;&gt;"",TEXT(AUX!HI$1,"dd-MMM-aa"),"")</f>
      </c>
      <c r="HF221" s="496" t="str">
        <f> IF(HF241&lt;&gt;"",TEXT(AUX!HJ$1,"dd-MMM-aa"),"")</f>
      </c>
      <c r="HG221" s="496" t="str">
        <f> IF(HG241&lt;&gt;"",TEXT(AUX!HK$1,"dd-MMM-aa"),"")</f>
      </c>
      <c r="HH221" s="496" t="str">
        <f> IF(HH241&lt;&gt;"",TEXT(AUX!HL$1,"dd-MMM-aa"),"")</f>
      </c>
      <c r="HI221" s="496" t="str">
        <f> IF(HI241&lt;&gt;"",TEXT(AUX!HM$1,"dd-MMM-aa"),"")</f>
      </c>
      <c r="HJ221" s="496" t="str">
        <f> IF(HJ241&lt;&gt;"",TEXT(AUX!HN$1,"dd-MMM-aa"),"")</f>
      </c>
      <c r="HK221" s="496" t="str">
        <f> IF(HK241&lt;&gt;"",TEXT(AUX!HO$1,"dd-MMM-aa"),"")</f>
      </c>
      <c r="HL221" s="496" t="str">
        <f> IF(HL241&lt;&gt;"",TEXT(AUX!HP$1,"dd-MMM-aa"),"")</f>
      </c>
      <c r="HM221" s="496" t="str">
        <f> IF(HM241&lt;&gt;"",TEXT(AUX!HQ$1,"dd-MMM-aa"),"")</f>
      </c>
      <c r="HN221" s="496" t="str">
        <f> IF(HN241&lt;&gt;"",TEXT(AUX!HR$1,"dd-MMM-aa"),"")</f>
      </c>
      <c r="HO221" s="496" t="str">
        <f> IF(HO241&lt;&gt;"",TEXT(AUX!HS$1,"dd-MMM-aa"),"")</f>
      </c>
      <c r="HP221" s="496" t="str">
        <f> IF(HP241&lt;&gt;"",TEXT(AUX!HT$1,"dd-MMM-aa"),"")</f>
      </c>
      <c r="HQ221" s="496" t="str">
        <f> IF(HQ241&lt;&gt;"",TEXT(AUX!HU$1,"dd-MMM-aa"),"")</f>
      </c>
      <c r="HR221" s="496" t="str">
        <f> IF(HR241&lt;&gt;"",TEXT(AUX!HV$1,"dd-MMM-aa"),"")</f>
      </c>
      <c r="HS221" s="496" t="str">
        <f> IF(HS241&lt;&gt;"",TEXT(AUX!HW$1,"dd-MMM-aa"),"")</f>
      </c>
      <c r="HT221" s="496" t="str">
        <f> IF(HT241&lt;&gt;"",TEXT(AUX!HX$1,"dd-MMM-aa"),"")</f>
      </c>
      <c r="HU221" s="496" t="str">
        <f> IF(HU241&lt;&gt;"",TEXT(AUX!HY$1,"dd-MMM-aa"),"")</f>
      </c>
      <c r="HV221" s="496" t="str">
        <f> IF(HV241&lt;&gt;"",TEXT(AUX!HZ$1,"dd-MMM-aa"),"")</f>
      </c>
      <c r="HW221" s="496" t="str">
        <f> IF(HW241&lt;&gt;"",TEXT(AUX!IA$1,"dd-MMM-aa"),"")</f>
      </c>
      <c r="HX221" s="496" t="str">
        <f> IF(HX241&lt;&gt;"",TEXT(AUX!IB$1,"dd-MMM-aa"),"")</f>
      </c>
      <c r="HY221" s="496" t="str">
        <f> IF(HY241&lt;&gt;"",TEXT(AUX!IC$1,"dd-MMM-aa"),"")</f>
      </c>
      <c r="HZ221" s="496" t="str">
        <f> IF(HZ241&lt;&gt;"",TEXT(AUX!ID$1,"dd-MMM-aa"),"")</f>
      </c>
      <c r="IA221" s="496" t="str">
        <f> IF(IA241&lt;&gt;"",TEXT(AUX!IE$1,"dd-MMM-aa"),"")</f>
      </c>
      <c r="IB221" s="496" t="str">
        <f> IF(IB241&lt;&gt;"",TEXT(AUX!IF$1,"dd-MMM-aa"),"")</f>
      </c>
      <c r="IC221" s="496" t="str">
        <f> IF(IC241&lt;&gt;"",TEXT(AUX!IG$1,"dd-MMM-aa"),"")</f>
      </c>
      <c r="ID221" s="496" t="str">
        <f> IF(ID241&lt;&gt;"",TEXT(AUX!IH$1,"dd-MMM-aa"),"")</f>
      </c>
      <c r="IE221" s="496" t="str">
        <f> IF(IE241&lt;&gt;"",TEXT(AUX!II$1,"dd-MMM-aa"),"")</f>
      </c>
      <c r="IF221" s="496" t="str">
        <f> IF(IF241&lt;&gt;"",TEXT(AUX!IJ$1,"dd-MMM-aa"),"")</f>
      </c>
      <c r="IG221" s="496" t="str">
        <f> IF(IG241&lt;&gt;"",TEXT(AUX!IK$1,"dd-MMM-aa"),"")</f>
      </c>
      <c r="IH221" s="496" t="str">
        <f> IF(IH241&lt;&gt;"",TEXT(AUX!IL$1,"dd-MMM-aa"),"")</f>
      </c>
      <c r="II221" s="496" t="str">
        <f> IF(II241&lt;&gt;"",TEXT(AUX!IM$1,"dd-MMM-aa"),"")</f>
      </c>
      <c r="IJ221" s="496" t="str">
        <f> IF(IJ241&lt;&gt;"",TEXT(AUX!IN$1,"dd-MMM-aa"),"")</f>
      </c>
      <c r="IK221" s="496" t="str">
        <f> IF(IK241&lt;&gt;"",TEXT(AUX!IO$1,"dd-MMM-aa"),"")</f>
      </c>
      <c r="IL221" s="496" t="str">
        <f> IF(IL241&lt;&gt;"",TEXT(AUX!IP$1,"dd-MMM-aa"),"")</f>
      </c>
      <c r="IM221" s="496" t="str">
        <f> IF(IM241&lt;&gt;"",TEXT(AUX!IQ$1,"dd-MMM-aa"),"")</f>
      </c>
      <c r="IN221" s="496" t="str">
        <f> IF(IN241&lt;&gt;"",TEXT(AUX!IR$1,"dd-MMM-aa"),"")</f>
      </c>
      <c r="IO221" s="496" t="str">
        <f> IF(IO241&lt;&gt;"",TEXT(AUX!IS$1,"dd-MMM-aa"),"")</f>
      </c>
      <c r="IP221" s="496" t="str">
        <f> IF(IP241&lt;&gt;"",TEXT(AUX!IT$1,"dd-MMM-aa"),"")</f>
      </c>
      <c r="IQ221" s="496" t="str">
        <f> IF(IQ241&lt;&gt;"",TEXT(AUX!IU$1,"dd-MMM-aa"),"")</f>
      </c>
      <c r="IR221" s="496" t="str">
        <f> IF(IR241&lt;&gt;"",TEXT(AUX!IV$1,"dd-MMM-aa"),"")</f>
      </c>
      <c r="IS221" s="496" t="str">
        <f> IF(IS241&lt;&gt;"",TEXT(AUX!#REF!,"dd-MMM-aa"),"")</f>
      </c>
      <c r="IT221" s="496" t="str">
        <f> IF(IT241&lt;&gt;"",TEXT(AUX!#REF!,"dd-MMM-aa"),"")</f>
      </c>
      <c r="IU221" s="496" t="str">
        <f> IF(IU241&lt;&gt;"",TEXT(AUX!#REF!,"dd-MMM-aa"),"")</f>
      </c>
      <c r="IV221" s="496" t="str">
        <f> IF(IV241&lt;&gt;"",TEXT(AUX!#REF!,"dd-MMM-aa"),"")</f>
      </c>
    </row>
    <row r="222" hidden="1">
      <c r="B222" s="822" t="s">
        <v>8</v>
      </c>
      <c r="C222" s="823">
        <v>70198</v>
      </c>
      <c r="D222" s="823">
        <v>68964</v>
      </c>
      <c r="E222" s="823">
        <v>93448</v>
      </c>
      <c r="F222" s="823">
        <v>100550</v>
      </c>
      <c r="G222" s="823">
        <v>115264</v>
      </c>
      <c r="H222" s="823">
        <v>113141</v>
      </c>
      <c r="I222" s="823">
        <v>110590</v>
      </c>
      <c r="J222" s="823">
        <v>105989</v>
      </c>
      <c r="K222" s="823">
        <v>106663</v>
      </c>
      <c r="L222" s="823">
        <v>103704</v>
      </c>
      <c r="M222" s="823">
        <v>80222</v>
      </c>
      <c r="N222" s="823">
        <v>69829</v>
      </c>
      <c r="O222" s="823">
        <v>83436</v>
      </c>
      <c r="P222" s="823">
        <v>80398</v>
      </c>
      <c r="Q222" s="823">
        <v>84164</v>
      </c>
      <c r="R222" s="823">
        <v>78612</v>
      </c>
      <c r="S222" s="823">
        <v>76534</v>
      </c>
      <c r="T222" s="823">
        <v>89395</v>
      </c>
      <c r="U222" s="823">
        <v>84130</v>
      </c>
      <c r="V222" s="823">
        <v>59752</v>
      </c>
      <c r="W222" s="823">
        <v>53101</v>
      </c>
      <c r="X222" s="823">
        <v>49275</v>
      </c>
      <c r="Y222" s="823">
        <v>37824</v>
      </c>
      <c r="Z222" s="823">
        <v>29488</v>
      </c>
      <c r="AA222" s="823">
        <v>31782</v>
      </c>
      <c r="AB222" s="824">
        <v>31664</v>
      </c>
      <c r="AC222" s="825">
        <v>24451</v>
      </c>
      <c r="AD222" s="825">
        <v>18336</v>
      </c>
      <c r="AE222" s="825">
        <v>18206</v>
      </c>
      <c r="AF222" s="825">
        <v>14991</v>
      </c>
      <c r="AG222" s="825">
        <v>5629</v>
      </c>
      <c r="AH222" s="825">
        <v>5133</v>
      </c>
      <c r="AI222" s="825">
        <v>5202</v>
      </c>
      <c r="AJ222" s="825">
        <v>2129</v>
      </c>
      <c r="AK222" s="825">
        <v>3131</v>
      </c>
      <c r="AL222" s="825">
        <v>2393</v>
      </c>
      <c r="AM222" s="825">
        <v>4364</v>
      </c>
      <c r="AN222" s="825">
        <v>3097</v>
      </c>
      <c r="AO222" s="825">
        <v>3415</v>
      </c>
      <c r="AP222" s="825">
        <v>3328</v>
      </c>
    </row>
    <row r="223" hidden="1">
      <c r="B223" s="826" t="s">
        <v>9</v>
      </c>
      <c r="C223" s="827">
        <v>1339</v>
      </c>
      <c r="D223" s="827">
        <v>1339</v>
      </c>
      <c r="E223" s="827">
        <v>1339</v>
      </c>
      <c r="F223" s="827">
        <v>764</v>
      </c>
      <c r="G223" s="827">
        <v>764</v>
      </c>
      <c r="H223" s="827">
        <v>764</v>
      </c>
      <c r="I223" s="827">
        <v>364</v>
      </c>
      <c r="J223" s="827">
        <v>364</v>
      </c>
      <c r="K223" s="827">
        <v>364</v>
      </c>
      <c r="L223" s="827">
        <v>364</v>
      </c>
      <c r="M223" s="827">
        <v>364</v>
      </c>
      <c r="N223" s="827">
        <v>364</v>
      </c>
      <c r="O223" s="827">
        <v>364</v>
      </c>
      <c r="P223" s="827">
        <v>81</v>
      </c>
      <c r="Q223" s="827">
        <v>81</v>
      </c>
      <c r="R223" s="827">
        <v>271</v>
      </c>
      <c r="S223" s="827">
        <v>16081</v>
      </c>
      <c r="T223" s="827">
        <v>4081</v>
      </c>
      <c r="U223" s="827">
        <v>4771</v>
      </c>
      <c r="V223" s="827">
        <v>4771</v>
      </c>
      <c r="W223" s="827">
        <v>4971</v>
      </c>
      <c r="X223" s="827">
        <v>4971</v>
      </c>
      <c r="Y223" s="827">
        <v>4083</v>
      </c>
      <c r="Z223" s="827">
        <v>83</v>
      </c>
      <c r="AA223" s="827">
        <v>83</v>
      </c>
      <c r="AB223" s="827">
        <v>83</v>
      </c>
      <c r="AC223" s="828">
        <v>83</v>
      </c>
      <c r="AD223" s="828">
        <v>83</v>
      </c>
      <c r="AE223" s="828">
        <v>5081</v>
      </c>
      <c r="AF223" s="828">
        <v>5081</v>
      </c>
      <c r="AG223" s="828">
        <v>5915</v>
      </c>
      <c r="AH223" s="828">
        <v>5925</v>
      </c>
      <c r="AI223" s="828">
        <v>86</v>
      </c>
      <c r="AJ223" s="828">
        <v>86</v>
      </c>
      <c r="AK223" s="828">
        <v>3942</v>
      </c>
      <c r="AL223" s="828">
        <v>3942</v>
      </c>
      <c r="AM223" s="828">
        <v>31542</v>
      </c>
      <c r="AN223" s="828">
        <v>31542</v>
      </c>
      <c r="AO223" s="828">
        <v>31980</v>
      </c>
      <c r="AP223" s="828">
        <v>29755</v>
      </c>
    </row>
    <row r="224" hidden="1">
      <c r="B224" s="829" t="s">
        <v>10</v>
      </c>
      <c r="C224" s="823">
        <v>6543</v>
      </c>
      <c r="D224" s="823">
        <v>6543</v>
      </c>
      <c r="E224" s="823">
        <v>5443</v>
      </c>
      <c r="F224" s="823">
        <v>5443</v>
      </c>
      <c r="G224" s="823">
        <v>2326</v>
      </c>
      <c r="H224" s="823">
        <v>0</v>
      </c>
      <c r="I224" s="823">
        <v>10</v>
      </c>
      <c r="J224" s="823">
        <v>10</v>
      </c>
      <c r="K224" s="823">
        <v>12</v>
      </c>
      <c r="L224" s="823">
        <v>2</v>
      </c>
      <c r="M224" s="823">
        <v>2</v>
      </c>
      <c r="N224" s="823">
        <v>2</v>
      </c>
      <c r="O224" s="823">
        <v>2</v>
      </c>
      <c r="P224" s="823">
        <v>2</v>
      </c>
      <c r="Q224" s="823">
        <v>0</v>
      </c>
      <c r="R224" s="823">
        <v>0</v>
      </c>
      <c r="S224" s="823">
        <v>0</v>
      </c>
      <c r="T224" s="823">
        <v>0</v>
      </c>
      <c r="U224" s="823">
        <v>0</v>
      </c>
      <c r="V224" s="823">
        <v>0</v>
      </c>
      <c r="W224" s="823">
        <v>0</v>
      </c>
      <c r="X224" s="823">
        <v>0</v>
      </c>
      <c r="Y224" s="823">
        <v>80</v>
      </c>
      <c r="Z224" s="823">
        <v>80</v>
      </c>
      <c r="AA224" s="823">
        <v>35</v>
      </c>
      <c r="AB224" s="823">
        <v>35</v>
      </c>
      <c r="AC224" s="825">
        <v>1</v>
      </c>
      <c r="AD224" s="825">
        <v>1</v>
      </c>
      <c r="AE224" s="825">
        <v>28</v>
      </c>
      <c r="AF224" s="825">
        <v>28</v>
      </c>
      <c r="AG224" s="825">
        <v>38</v>
      </c>
      <c r="AH224" s="825">
        <v>50</v>
      </c>
      <c r="AI224" s="825">
        <v>15</v>
      </c>
      <c r="AJ224" s="825">
        <v>15</v>
      </c>
      <c r="AK224" s="825">
        <v>8</v>
      </c>
      <c r="AL224" s="825">
        <v>8</v>
      </c>
      <c r="AM224" s="825">
        <v>64</v>
      </c>
      <c r="AN224" s="825">
        <v>64</v>
      </c>
      <c r="AO224" s="825">
        <v>64</v>
      </c>
      <c r="AP224" s="825">
        <v>64</v>
      </c>
    </row>
    <row r="225" hidden="1">
      <c r="B225" s="826" t="s">
        <v>11</v>
      </c>
      <c r="C225" s="827">
        <v>9315</v>
      </c>
      <c r="D225" s="827">
        <v>9335</v>
      </c>
      <c r="E225" s="827">
        <v>9097</v>
      </c>
      <c r="F225" s="827">
        <v>8061</v>
      </c>
      <c r="G225" s="827">
        <v>6973</v>
      </c>
      <c r="H225" s="827">
        <v>5118</v>
      </c>
      <c r="I225" s="827">
        <v>3677</v>
      </c>
      <c r="J225" s="827">
        <v>3516</v>
      </c>
      <c r="K225" s="827">
        <v>2317</v>
      </c>
      <c r="L225" s="827">
        <v>2199</v>
      </c>
      <c r="M225" s="827">
        <v>1810</v>
      </c>
      <c r="N225" s="827">
        <v>1874</v>
      </c>
      <c r="O225" s="827">
        <v>2333</v>
      </c>
      <c r="P225" s="827">
        <v>2413</v>
      </c>
      <c r="Q225" s="827">
        <v>2238</v>
      </c>
      <c r="R225" s="827">
        <v>2258</v>
      </c>
      <c r="S225" s="827">
        <v>2368</v>
      </c>
      <c r="T225" s="827">
        <v>2367</v>
      </c>
      <c r="U225" s="827">
        <v>1822</v>
      </c>
      <c r="V225" s="827">
        <v>1859</v>
      </c>
      <c r="W225" s="827">
        <v>1632</v>
      </c>
      <c r="X225" s="827">
        <v>1603</v>
      </c>
      <c r="Y225" s="827">
        <v>1524</v>
      </c>
      <c r="Z225" s="827">
        <v>1536</v>
      </c>
      <c r="AA225" s="827">
        <v>1542</v>
      </c>
      <c r="AB225" s="827">
        <v>1535</v>
      </c>
      <c r="AC225" s="828">
        <v>997</v>
      </c>
      <c r="AD225" s="828">
        <v>999</v>
      </c>
      <c r="AE225" s="828">
        <v>939</v>
      </c>
      <c r="AF225" s="828">
        <v>973</v>
      </c>
      <c r="AG225" s="828">
        <v>945</v>
      </c>
      <c r="AH225" s="828">
        <v>977</v>
      </c>
      <c r="AI225" s="828">
        <v>568</v>
      </c>
      <c r="AJ225" s="828">
        <v>601</v>
      </c>
      <c r="AK225" s="828">
        <v>333</v>
      </c>
      <c r="AL225" s="828">
        <v>335</v>
      </c>
      <c r="AM225" s="828">
        <v>132</v>
      </c>
      <c r="AN225" s="828">
        <v>136</v>
      </c>
      <c r="AO225" s="828">
        <v>268</v>
      </c>
      <c r="AP225" s="828">
        <v>233</v>
      </c>
    </row>
    <row r="226" hidden="1">
      <c r="B226" s="829" t="s">
        <v>12</v>
      </c>
      <c r="C226" s="823">
        <v>61153</v>
      </c>
      <c r="D226" s="823">
        <v>62132</v>
      </c>
      <c r="E226" s="823">
        <v>69976</v>
      </c>
      <c r="F226" s="823">
        <v>61756</v>
      </c>
      <c r="G226" s="823">
        <v>29755</v>
      </c>
      <c r="H226" s="823">
        <v>27199</v>
      </c>
      <c r="I226" s="823">
        <v>6879</v>
      </c>
      <c r="J226" s="823">
        <v>1697</v>
      </c>
      <c r="K226" s="823">
        <v>1659</v>
      </c>
      <c r="L226" s="823">
        <v>1635</v>
      </c>
      <c r="M226" s="823">
        <v>1645</v>
      </c>
      <c r="N226" s="823">
        <v>1727</v>
      </c>
      <c r="O226" s="823">
        <v>4927</v>
      </c>
      <c r="P226" s="823">
        <v>4935</v>
      </c>
      <c r="Q226" s="823">
        <v>3638</v>
      </c>
      <c r="R226" s="823">
        <v>3433</v>
      </c>
      <c r="S226" s="823">
        <v>1494</v>
      </c>
      <c r="T226" s="823">
        <v>1487</v>
      </c>
      <c r="U226" s="823">
        <v>1467</v>
      </c>
      <c r="V226" s="823">
        <v>1431</v>
      </c>
      <c r="W226" s="823">
        <v>2082</v>
      </c>
      <c r="X226" s="823">
        <v>2372</v>
      </c>
      <c r="Y226" s="823">
        <v>137</v>
      </c>
      <c r="Z226" s="823">
        <v>139</v>
      </c>
      <c r="AA226" s="823">
        <v>93</v>
      </c>
      <c r="AB226" s="823">
        <v>124</v>
      </c>
      <c r="AC226" s="825">
        <v>1019</v>
      </c>
      <c r="AD226" s="825">
        <v>966</v>
      </c>
      <c r="AE226" s="825">
        <v>121</v>
      </c>
      <c r="AF226" s="825">
        <v>105</v>
      </c>
      <c r="AG226" s="825">
        <v>53</v>
      </c>
      <c r="AH226" s="825">
        <v>49</v>
      </c>
      <c r="AI226" s="825">
        <v>27</v>
      </c>
      <c r="AJ226" s="825">
        <v>877</v>
      </c>
      <c r="AK226" s="825">
        <v>238</v>
      </c>
      <c r="AL226" s="825">
        <v>261</v>
      </c>
      <c r="AM226" s="825">
        <v>265</v>
      </c>
      <c r="AN226" s="825">
        <v>265</v>
      </c>
      <c r="AO226" s="825">
        <v>148</v>
      </c>
      <c r="AP226" s="825">
        <v>145</v>
      </c>
    </row>
    <row r="227" hidden="1">
      <c r="B227" s="826" t="s">
        <v>13</v>
      </c>
      <c r="C227" s="827">
        <v>2440</v>
      </c>
      <c r="D227" s="827">
        <v>2456</v>
      </c>
      <c r="E227" s="827">
        <v>3022</v>
      </c>
      <c r="F227" s="827">
        <v>4572</v>
      </c>
      <c r="G227" s="827">
        <v>1017</v>
      </c>
      <c r="H227" s="827">
        <v>1017</v>
      </c>
      <c r="I227" s="827">
        <v>1023</v>
      </c>
      <c r="J227" s="827">
        <v>1023</v>
      </c>
      <c r="K227" s="827">
        <v>107</v>
      </c>
      <c r="L227" s="827">
        <v>107</v>
      </c>
      <c r="M227" s="827">
        <v>107</v>
      </c>
      <c r="N227" s="827">
        <v>51</v>
      </c>
      <c r="O227" s="827">
        <v>59</v>
      </c>
      <c r="P227" s="827">
        <v>59</v>
      </c>
      <c r="Q227" s="827">
        <v>55</v>
      </c>
      <c r="R227" s="827">
        <v>54</v>
      </c>
      <c r="S227" s="827">
        <v>62</v>
      </c>
      <c r="T227" s="827">
        <v>62</v>
      </c>
      <c r="U227" s="827">
        <v>66</v>
      </c>
      <c r="V227" s="827">
        <v>66</v>
      </c>
      <c r="W227" s="827">
        <v>5</v>
      </c>
      <c r="X227" s="827">
        <v>5</v>
      </c>
      <c r="Y227" s="827">
        <v>50</v>
      </c>
      <c r="Z227" s="827">
        <v>50</v>
      </c>
      <c r="AA227" s="827">
        <v>60</v>
      </c>
      <c r="AB227" s="827">
        <v>60</v>
      </c>
      <c r="AC227" s="828">
        <v>80</v>
      </c>
      <c r="AD227" s="828">
        <v>80</v>
      </c>
      <c r="AE227" s="828">
        <v>65</v>
      </c>
      <c r="AF227" s="828">
        <v>65</v>
      </c>
      <c r="AG227" s="828">
        <v>52</v>
      </c>
      <c r="AH227" s="828">
        <v>52</v>
      </c>
      <c r="AI227" s="828">
        <v>55</v>
      </c>
      <c r="AJ227" s="828">
        <v>55</v>
      </c>
      <c r="AK227" s="828">
        <v>52</v>
      </c>
      <c r="AL227" s="828">
        <v>52</v>
      </c>
      <c r="AM227" s="828">
        <v>9</v>
      </c>
      <c r="AN227" s="828">
        <v>9</v>
      </c>
      <c r="AO227" s="828">
        <v>3</v>
      </c>
      <c r="AP227" s="828">
        <v>6</v>
      </c>
    </row>
    <row r="228" hidden="1">
      <c r="B228" s="829" t="s">
        <v>109</v>
      </c>
      <c r="C228" s="823">
        <v>43338</v>
      </c>
      <c r="D228" s="823">
        <v>43348</v>
      </c>
      <c r="E228" s="823">
        <v>436</v>
      </c>
      <c r="F228" s="823">
        <v>646</v>
      </c>
      <c r="G228" s="823">
        <v>327</v>
      </c>
      <c r="H228" s="823">
        <v>327</v>
      </c>
      <c r="I228" s="823">
        <v>1979</v>
      </c>
      <c r="J228" s="823">
        <v>1979</v>
      </c>
      <c r="K228" s="823">
        <v>2359</v>
      </c>
      <c r="L228" s="823">
        <v>2359</v>
      </c>
      <c r="M228" s="823">
        <v>1767</v>
      </c>
      <c r="N228" s="823">
        <v>1766</v>
      </c>
      <c r="O228" s="823">
        <v>62</v>
      </c>
      <c r="P228" s="823">
        <v>62</v>
      </c>
      <c r="Q228" s="823">
        <v>99</v>
      </c>
      <c r="R228" s="823">
        <v>103</v>
      </c>
      <c r="S228" s="823">
        <v>46</v>
      </c>
      <c r="T228" s="823">
        <v>46</v>
      </c>
      <c r="U228" s="823">
        <v>559</v>
      </c>
      <c r="V228" s="823">
        <v>529</v>
      </c>
      <c r="W228" s="823">
        <v>463</v>
      </c>
      <c r="X228" s="823">
        <v>463</v>
      </c>
      <c r="Y228" s="823">
        <v>601</v>
      </c>
      <c r="Z228" s="823">
        <v>601</v>
      </c>
      <c r="AA228" s="823">
        <v>1793</v>
      </c>
      <c r="AB228" s="823">
        <v>1793</v>
      </c>
      <c r="AC228" s="825">
        <v>590</v>
      </c>
      <c r="AD228" s="825">
        <v>594</v>
      </c>
      <c r="AE228" s="825">
        <v>457</v>
      </c>
      <c r="AF228" s="825">
        <v>457</v>
      </c>
      <c r="AG228" s="825">
        <v>688</v>
      </c>
      <c r="AH228" s="825">
        <v>688</v>
      </c>
      <c r="AI228" s="825">
        <v>796</v>
      </c>
      <c r="AJ228" s="825">
        <v>796</v>
      </c>
      <c r="AK228" s="825">
        <v>1042</v>
      </c>
      <c r="AL228" s="825">
        <v>1042</v>
      </c>
      <c r="AM228" s="825">
        <v>1461</v>
      </c>
      <c r="AN228" s="825">
        <v>1461</v>
      </c>
      <c r="AO228" s="825">
        <v>6420</v>
      </c>
      <c r="AP228" s="825">
        <v>6420</v>
      </c>
    </row>
    <row r="229" hidden="1">
      <c r="B229" s="826" t="s">
        <v>110</v>
      </c>
      <c r="C229" s="827">
        <v>743784</v>
      </c>
      <c r="D229" s="827">
        <v>753300</v>
      </c>
      <c r="E229" s="827">
        <v>770482</v>
      </c>
      <c r="F229" s="827">
        <v>794759</v>
      </c>
      <c r="G229" s="827">
        <v>770136</v>
      </c>
      <c r="H229" s="827">
        <v>788594</v>
      </c>
      <c r="I229" s="827">
        <v>771616</v>
      </c>
      <c r="J229" s="827">
        <v>786993</v>
      </c>
      <c r="K229" s="827">
        <v>8392</v>
      </c>
      <c r="L229" s="827">
        <v>8392</v>
      </c>
      <c r="M229" s="827">
        <v>29280</v>
      </c>
      <c r="N229" s="827">
        <v>12753</v>
      </c>
      <c r="O229" s="827">
        <v>5611</v>
      </c>
      <c r="P229" s="827">
        <v>5510</v>
      </c>
      <c r="Q229" s="827">
        <v>6388</v>
      </c>
      <c r="R229" s="827">
        <v>6386</v>
      </c>
      <c r="S229" s="827">
        <v>3701</v>
      </c>
      <c r="T229" s="827">
        <v>3731</v>
      </c>
      <c r="U229" s="827">
        <v>13583</v>
      </c>
      <c r="V229" s="827">
        <v>13583</v>
      </c>
      <c r="W229" s="827">
        <v>3234</v>
      </c>
      <c r="X229" s="827">
        <v>3234</v>
      </c>
      <c r="Y229" s="827">
        <v>16147</v>
      </c>
      <c r="Z229" s="827">
        <v>16131</v>
      </c>
      <c r="AA229" s="827">
        <v>1500</v>
      </c>
      <c r="AB229" s="827">
        <v>68</v>
      </c>
      <c r="AC229" s="828">
        <v>562</v>
      </c>
      <c r="AD229" s="828">
        <v>752</v>
      </c>
      <c r="AE229" s="828">
        <v>515</v>
      </c>
      <c r="AF229" s="828">
        <v>6590</v>
      </c>
      <c r="AG229" s="828">
        <v>8277</v>
      </c>
      <c r="AH229" s="828">
        <v>8277</v>
      </c>
      <c r="AI229" s="828">
        <v>8851</v>
      </c>
      <c r="AJ229" s="828">
        <v>8215</v>
      </c>
      <c r="AK229" s="828">
        <v>8343</v>
      </c>
      <c r="AL229" s="828">
        <v>8343</v>
      </c>
      <c r="AM229" s="828">
        <v>8379</v>
      </c>
      <c r="AN229" s="828">
        <v>23230</v>
      </c>
      <c r="AO229" s="828">
        <v>1339</v>
      </c>
      <c r="AP229" s="828">
        <v>1353</v>
      </c>
    </row>
    <row r="230" hidden="1">
      <c r="B230" s="829" t="s">
        <v>16</v>
      </c>
      <c r="C230" s="823">
        <v>143773</v>
      </c>
      <c r="D230" s="823">
        <v>13560</v>
      </c>
      <c r="E230" s="823">
        <v>143132</v>
      </c>
      <c r="F230" s="823">
        <v>143175</v>
      </c>
      <c r="G230" s="823">
        <v>137118</v>
      </c>
      <c r="H230" s="823">
        <v>131404</v>
      </c>
      <c r="I230" s="823">
        <v>129079</v>
      </c>
      <c r="J230" s="823">
        <v>115706</v>
      </c>
      <c r="K230" s="823">
        <v>117066</v>
      </c>
      <c r="L230" s="823">
        <v>117935</v>
      </c>
      <c r="M230" s="823">
        <v>110905</v>
      </c>
      <c r="N230" s="823">
        <v>105252</v>
      </c>
      <c r="O230" s="823">
        <v>137043</v>
      </c>
      <c r="P230" s="823">
        <v>140160</v>
      </c>
      <c r="Q230" s="823">
        <v>123476</v>
      </c>
      <c r="R230" s="823">
        <v>119727</v>
      </c>
      <c r="S230" s="823">
        <v>108337</v>
      </c>
      <c r="T230" s="823">
        <v>109564</v>
      </c>
      <c r="U230" s="823">
        <v>111330</v>
      </c>
      <c r="V230" s="823">
        <v>107343</v>
      </c>
      <c r="W230" s="823">
        <v>107343</v>
      </c>
      <c r="X230" s="823">
        <v>107343</v>
      </c>
      <c r="Y230" s="823">
        <v>107343</v>
      </c>
      <c r="Z230" s="823">
        <v>107343</v>
      </c>
      <c r="AA230" s="823">
        <v>92376</v>
      </c>
      <c r="AB230" s="823">
        <v>92376</v>
      </c>
      <c r="AC230" s="825">
        <v>95801</v>
      </c>
      <c r="AD230" s="825">
        <v>95252</v>
      </c>
      <c r="AE230" s="825">
        <v>100190</v>
      </c>
      <c r="AF230" s="825">
        <v>81950</v>
      </c>
      <c r="AG230" s="825">
        <v>12287</v>
      </c>
      <c r="AH230" s="825">
        <v>13387</v>
      </c>
      <c r="AI230" s="825">
        <v>10874</v>
      </c>
      <c r="AJ230" s="825">
        <v>10854</v>
      </c>
      <c r="AK230" s="825">
        <v>10688</v>
      </c>
      <c r="AL230" s="825">
        <v>10696</v>
      </c>
      <c r="AM230" s="825">
        <v>10679</v>
      </c>
      <c r="AN230" s="825">
        <v>7179</v>
      </c>
      <c r="AO230" s="825">
        <v>7167</v>
      </c>
      <c r="AP230" s="825">
        <v>7185</v>
      </c>
    </row>
    <row r="231" hidden="1">
      <c r="B231" s="826" t="s">
        <v>17</v>
      </c>
      <c r="C231" s="827">
        <v>0</v>
      </c>
      <c r="D231" s="827">
        <v>0</v>
      </c>
      <c r="E231" s="827">
        <v>0</v>
      </c>
      <c r="F231" s="827">
        <v>0</v>
      </c>
      <c r="G231" s="827">
        <v>0</v>
      </c>
      <c r="H231" s="827">
        <v>0</v>
      </c>
      <c r="I231" s="827">
        <v>0</v>
      </c>
      <c r="J231" s="827">
        <v>0</v>
      </c>
      <c r="K231" s="827">
        <v>0</v>
      </c>
      <c r="L231" s="827">
        <v>0</v>
      </c>
      <c r="M231" s="827">
        <v>0</v>
      </c>
      <c r="N231" s="827">
        <v>0</v>
      </c>
      <c r="O231" s="827">
        <v>0</v>
      </c>
      <c r="P231" s="827">
        <v>0</v>
      </c>
      <c r="Q231" s="827">
        <v>0</v>
      </c>
      <c r="R231" s="827">
        <v>0</v>
      </c>
      <c r="S231" s="827">
        <v>0</v>
      </c>
      <c r="T231" s="827">
        <v>0</v>
      </c>
      <c r="U231" s="827">
        <v>0</v>
      </c>
      <c r="V231" s="827">
        <v>0</v>
      </c>
      <c r="W231" s="827">
        <v>0</v>
      </c>
      <c r="X231" s="827">
        <v>0</v>
      </c>
      <c r="Y231" s="827">
        <v>0</v>
      </c>
      <c r="Z231" s="827">
        <v>0</v>
      </c>
      <c r="AA231" s="827">
        <v>945</v>
      </c>
      <c r="AB231" s="827">
        <v>945</v>
      </c>
      <c r="AC231" s="828">
        <v>581</v>
      </c>
      <c r="AD231" s="828">
        <v>581</v>
      </c>
      <c r="AE231" s="828">
        <v>5073</v>
      </c>
      <c r="AF231" s="828">
        <v>5073</v>
      </c>
      <c r="AG231" s="828">
        <v>4233</v>
      </c>
      <c r="AH231" s="828">
        <v>4233</v>
      </c>
      <c r="AI231" s="828">
        <v>1212</v>
      </c>
      <c r="AJ231" s="828">
        <v>992</v>
      </c>
      <c r="AK231" s="828">
        <v>4293</v>
      </c>
      <c r="AL231" s="828">
        <v>4270</v>
      </c>
      <c r="AM231" s="828">
        <v>468</v>
      </c>
      <c r="AN231" s="828">
        <v>468</v>
      </c>
      <c r="AO231" s="828">
        <v>4000</v>
      </c>
      <c r="AP231" s="828">
        <v>4000</v>
      </c>
    </row>
    <row r="232" hidden="1">
      <c r="B232" s="829" t="s">
        <v>18</v>
      </c>
      <c r="C232" s="823">
        <v>0</v>
      </c>
      <c r="D232" s="823">
        <v>27700</v>
      </c>
      <c r="E232" s="823">
        <v>60223</v>
      </c>
      <c r="F232" s="823">
        <v>126585</v>
      </c>
      <c r="G232" s="823">
        <v>465283</v>
      </c>
      <c r="H232" s="823">
        <v>515316</v>
      </c>
      <c r="I232" s="823">
        <v>681035</v>
      </c>
      <c r="J232" s="823">
        <v>615135</v>
      </c>
      <c r="K232" s="823">
        <v>684196</v>
      </c>
      <c r="L232" s="823">
        <v>703727</v>
      </c>
      <c r="M232" s="823">
        <v>31752</v>
      </c>
      <c r="N232" s="823">
        <v>31848</v>
      </c>
      <c r="O232" s="823">
        <v>32750</v>
      </c>
      <c r="P232" s="823">
        <v>2429</v>
      </c>
      <c r="Q232" s="823">
        <v>2182</v>
      </c>
      <c r="R232" s="823">
        <v>2057</v>
      </c>
      <c r="S232" s="823">
        <v>232</v>
      </c>
      <c r="T232" s="823">
        <v>232</v>
      </c>
      <c r="U232" s="823">
        <v>552</v>
      </c>
      <c r="V232" s="823">
        <v>550</v>
      </c>
      <c r="W232" s="823">
        <v>1545</v>
      </c>
      <c r="X232" s="823">
        <v>1545</v>
      </c>
      <c r="Y232" s="823">
        <v>585</v>
      </c>
      <c r="Z232" s="823">
        <v>985</v>
      </c>
      <c r="AA232" s="823">
        <v>20581</v>
      </c>
      <c r="AB232" s="823">
        <v>20581</v>
      </c>
      <c r="AC232" s="825">
        <v>2861</v>
      </c>
      <c r="AD232" s="825">
        <v>2861</v>
      </c>
      <c r="AE232" s="825">
        <v>2837</v>
      </c>
      <c r="AF232" s="825">
        <v>2837</v>
      </c>
      <c r="AG232" s="825">
        <v>2461</v>
      </c>
      <c r="AH232" s="825">
        <v>2461</v>
      </c>
      <c r="AI232" s="825">
        <v>2749</v>
      </c>
      <c r="AJ232" s="825">
        <v>2749</v>
      </c>
      <c r="AK232" s="825">
        <v>2460</v>
      </c>
      <c r="AL232" s="825">
        <v>10840</v>
      </c>
      <c r="AM232" s="825">
        <v>889</v>
      </c>
      <c r="AN232" s="825">
        <v>889</v>
      </c>
      <c r="AO232" s="825">
        <v>149</v>
      </c>
      <c r="AP232" s="825">
        <v>149</v>
      </c>
    </row>
    <row r="233" hidden="1">
      <c r="B233" s="826" t="s">
        <v>19</v>
      </c>
      <c r="C233" s="827">
        <v>27</v>
      </c>
      <c r="D233" s="827">
        <v>27</v>
      </c>
      <c r="E233" s="827">
        <v>3918</v>
      </c>
      <c r="F233" s="827">
        <v>3918</v>
      </c>
      <c r="G233" s="827">
        <v>678</v>
      </c>
      <c r="H233" s="827">
        <v>678</v>
      </c>
      <c r="I233" s="827">
        <v>698</v>
      </c>
      <c r="J233" s="827">
        <v>698</v>
      </c>
      <c r="K233" s="827">
        <v>691</v>
      </c>
      <c r="L233" s="827">
        <v>697</v>
      </c>
      <c r="M233" s="827">
        <v>240</v>
      </c>
      <c r="N233" s="827">
        <v>240</v>
      </c>
      <c r="O233" s="827">
        <v>143</v>
      </c>
      <c r="P233" s="827">
        <v>143</v>
      </c>
      <c r="Q233" s="827">
        <v>215</v>
      </c>
      <c r="R233" s="827">
        <v>215</v>
      </c>
      <c r="S233" s="827">
        <v>210</v>
      </c>
      <c r="T233" s="827">
        <v>222</v>
      </c>
      <c r="U233" s="827">
        <v>233</v>
      </c>
      <c r="V233" s="827">
        <v>233</v>
      </c>
      <c r="W233" s="827">
        <v>160</v>
      </c>
      <c r="X233" s="827">
        <v>200</v>
      </c>
      <c r="Y233" s="827">
        <v>137</v>
      </c>
      <c r="Z233" s="827">
        <v>125</v>
      </c>
      <c r="AA233" s="827">
        <v>124</v>
      </c>
      <c r="AB233" s="827">
        <v>174</v>
      </c>
      <c r="AC233" s="828">
        <v>143</v>
      </c>
      <c r="AD233" s="828">
        <v>143</v>
      </c>
      <c r="AE233" s="828">
        <v>202</v>
      </c>
      <c r="AF233" s="828">
        <v>198</v>
      </c>
      <c r="AG233" s="828">
        <v>188</v>
      </c>
      <c r="AH233" s="828">
        <v>108</v>
      </c>
      <c r="AI233" s="828">
        <v>121</v>
      </c>
      <c r="AJ233" s="828">
        <v>124</v>
      </c>
      <c r="AK233" s="828">
        <v>157</v>
      </c>
      <c r="AL233" s="828">
        <v>157</v>
      </c>
      <c r="AM233" s="828">
        <v>152</v>
      </c>
      <c r="AN233" s="828">
        <v>180</v>
      </c>
      <c r="AO233" s="828">
        <v>193</v>
      </c>
      <c r="AP233" s="828">
        <v>191</v>
      </c>
    </row>
    <row r="234" hidden="1">
      <c r="B234" s="829" t="s">
        <v>20</v>
      </c>
      <c r="C234" s="823">
        <v>0</v>
      </c>
      <c r="D234" s="823">
        <v>0</v>
      </c>
      <c r="E234" s="823">
        <v>0</v>
      </c>
      <c r="F234" s="823">
        <v>0</v>
      </c>
      <c r="G234" s="823">
        <v>0</v>
      </c>
      <c r="H234" s="823">
        <v>0</v>
      </c>
      <c r="I234" s="823">
        <v>0</v>
      </c>
      <c r="J234" s="823">
        <v>0</v>
      </c>
      <c r="K234" s="823">
        <v>0</v>
      </c>
      <c r="L234" s="823">
        <v>0</v>
      </c>
      <c r="M234" s="823">
        <v>0</v>
      </c>
      <c r="N234" s="823">
        <v>0</v>
      </c>
      <c r="O234" s="823">
        <v>0</v>
      </c>
      <c r="P234" s="823">
        <v>0</v>
      </c>
      <c r="Q234" s="823">
        <v>0</v>
      </c>
      <c r="R234" s="823">
        <v>0</v>
      </c>
      <c r="S234" s="823">
        <v>0</v>
      </c>
      <c r="T234" s="823">
        <v>0</v>
      </c>
      <c r="U234" s="823">
        <v>0</v>
      </c>
      <c r="V234" s="823">
        <v>0</v>
      </c>
      <c r="W234" s="823">
        <v>0</v>
      </c>
      <c r="X234" s="823">
        <v>0</v>
      </c>
      <c r="Y234" s="823">
        <v>0</v>
      </c>
      <c r="Z234" s="823">
        <v>0</v>
      </c>
      <c r="AA234" s="823">
        <v>0</v>
      </c>
      <c r="AB234" s="823">
        <v>0</v>
      </c>
      <c r="AC234" s="825">
        <v>0</v>
      </c>
      <c r="AD234" s="825">
        <v>9</v>
      </c>
      <c r="AE234" s="825">
        <v>9</v>
      </c>
      <c r="AF234" s="825">
        <v>9</v>
      </c>
      <c r="AG234" s="825">
        <v>15</v>
      </c>
      <c r="AH234" s="825">
        <v>15</v>
      </c>
      <c r="AI234" s="825">
        <v>15</v>
      </c>
      <c r="AJ234" s="825">
        <v>15</v>
      </c>
      <c r="AK234" s="825">
        <v>15</v>
      </c>
      <c r="AL234" s="825">
        <v>15</v>
      </c>
      <c r="AM234" s="825">
        <v>15</v>
      </c>
      <c r="AN234" s="825">
        <v>15</v>
      </c>
      <c r="AO234" s="825">
        <v>15</v>
      </c>
      <c r="AP234" s="825">
        <v>15</v>
      </c>
    </row>
    <row r="235" hidden="1">
      <c r="B235" s="826" t="s">
        <v>21</v>
      </c>
      <c r="C235" s="827">
        <v>0</v>
      </c>
      <c r="D235" s="827">
        <v>0</v>
      </c>
      <c r="E235" s="827">
        <v>0</v>
      </c>
      <c r="F235" s="827">
        <v>0</v>
      </c>
      <c r="G235" s="827">
        <v>0</v>
      </c>
      <c r="H235" s="827">
        <v>0</v>
      </c>
      <c r="I235" s="827">
        <v>0</v>
      </c>
      <c r="J235" s="827">
        <v>0</v>
      </c>
      <c r="K235" s="827">
        <v>0</v>
      </c>
      <c r="L235" s="827">
        <v>0</v>
      </c>
      <c r="M235" s="827">
        <v>0</v>
      </c>
      <c r="N235" s="827">
        <v>0</v>
      </c>
      <c r="O235" s="827">
        <v>0</v>
      </c>
      <c r="P235" s="827">
        <v>0</v>
      </c>
      <c r="Q235" s="827">
        <v>0</v>
      </c>
      <c r="R235" s="827">
        <v>0</v>
      </c>
      <c r="S235" s="827">
        <v>0</v>
      </c>
      <c r="T235" s="827">
        <v>0</v>
      </c>
      <c r="U235" s="827">
        <v>0</v>
      </c>
      <c r="V235" s="827">
        <v>0</v>
      </c>
      <c r="W235" s="827">
        <v>0</v>
      </c>
      <c r="X235" s="827">
        <v>0</v>
      </c>
      <c r="Y235" s="827">
        <v>0</v>
      </c>
      <c r="Z235" s="827">
        <v>0</v>
      </c>
      <c r="AA235" s="827">
        <v>0</v>
      </c>
      <c r="AB235" s="827">
        <v>0</v>
      </c>
      <c r="AC235" s="828">
        <v>0</v>
      </c>
      <c r="AD235" s="828">
        <v>0</v>
      </c>
      <c r="AE235" s="828">
        <v>0</v>
      </c>
      <c r="AF235" s="828">
        <v>0</v>
      </c>
      <c r="AG235" s="828">
        <v>0</v>
      </c>
      <c r="AH235" s="828">
        <v>0</v>
      </c>
      <c r="AI235" s="828">
        <v>0</v>
      </c>
      <c r="AJ235" s="828">
        <v>0</v>
      </c>
      <c r="AK235" s="828">
        <v>0</v>
      </c>
      <c r="AL235" s="828">
        <v>0</v>
      </c>
      <c r="AM235" s="828">
        <v>0</v>
      </c>
      <c r="AN235" s="828">
        <v>0</v>
      </c>
      <c r="AO235" s="828">
        <v>0</v>
      </c>
      <c r="AP235" s="828">
        <v>0</v>
      </c>
    </row>
    <row r="236" hidden="1">
      <c r="B236" s="829" t="s">
        <v>22</v>
      </c>
      <c r="C236" s="823">
        <v>0</v>
      </c>
      <c r="D236" s="823">
        <v>0</v>
      </c>
      <c r="E236" s="823">
        <v>0</v>
      </c>
      <c r="F236" s="823">
        <v>0</v>
      </c>
      <c r="G236" s="823">
        <v>0</v>
      </c>
      <c r="H236" s="823">
        <v>0</v>
      </c>
      <c r="I236" s="823">
        <v>0</v>
      </c>
      <c r="J236" s="823">
        <v>0</v>
      </c>
      <c r="K236" s="823">
        <v>0</v>
      </c>
      <c r="L236" s="823">
        <v>0</v>
      </c>
      <c r="M236" s="823">
        <v>0</v>
      </c>
      <c r="N236" s="823">
        <v>0</v>
      </c>
      <c r="O236" s="823">
        <v>0</v>
      </c>
      <c r="P236" s="823">
        <v>0</v>
      </c>
      <c r="Q236" s="823">
        <v>0</v>
      </c>
      <c r="R236" s="823">
        <v>0</v>
      </c>
      <c r="S236" s="823">
        <v>1</v>
      </c>
      <c r="T236" s="823">
        <v>1</v>
      </c>
      <c r="U236" s="823">
        <v>1</v>
      </c>
      <c r="V236" s="823">
        <v>1</v>
      </c>
      <c r="W236" s="823">
        <v>1</v>
      </c>
      <c r="X236" s="823">
        <v>0</v>
      </c>
      <c r="Y236" s="823">
        <v>27</v>
      </c>
      <c r="Z236" s="823">
        <v>27</v>
      </c>
      <c r="AA236" s="823">
        <v>133</v>
      </c>
      <c r="AB236" s="823">
        <v>133</v>
      </c>
      <c r="AC236" s="825">
        <v>615</v>
      </c>
      <c r="AD236" s="825">
        <v>615</v>
      </c>
      <c r="AE236" s="825">
        <v>21</v>
      </c>
      <c r="AF236" s="825">
        <v>21</v>
      </c>
      <c r="AG236" s="825">
        <v>41</v>
      </c>
      <c r="AH236" s="825">
        <v>41</v>
      </c>
      <c r="AI236" s="825">
        <v>29</v>
      </c>
      <c r="AJ236" s="825">
        <v>29</v>
      </c>
      <c r="AK236" s="825">
        <v>40</v>
      </c>
      <c r="AL236" s="825">
        <v>40</v>
      </c>
      <c r="AM236" s="825">
        <v>52</v>
      </c>
      <c r="AN236" s="825">
        <v>52</v>
      </c>
      <c r="AO236" s="825">
        <v>64</v>
      </c>
      <c r="AP236" s="825">
        <v>64</v>
      </c>
    </row>
    <row r="237" hidden="1">
      <c r="B237" s="826" t="s">
        <v>23</v>
      </c>
      <c r="C237" s="827">
        <v>116</v>
      </c>
      <c r="D237" s="827">
        <v>116</v>
      </c>
      <c r="E237" s="827">
        <v>0</v>
      </c>
      <c r="F237" s="827">
        <v>0</v>
      </c>
      <c r="G237" s="827">
        <v>0</v>
      </c>
      <c r="H237" s="827">
        <v>0</v>
      </c>
      <c r="I237" s="827">
        <v>0</v>
      </c>
      <c r="J237" s="827">
        <v>0</v>
      </c>
      <c r="K237" s="827">
        <v>0</v>
      </c>
      <c r="L237" s="827">
        <v>0</v>
      </c>
      <c r="M237" s="827">
        <v>0</v>
      </c>
      <c r="N237" s="827">
        <v>0</v>
      </c>
      <c r="O237" s="827">
        <v>0</v>
      </c>
      <c r="P237" s="827">
        <v>0</v>
      </c>
      <c r="Q237" s="827">
        <v>0</v>
      </c>
      <c r="R237" s="827">
        <v>0</v>
      </c>
      <c r="S237" s="827">
        <v>0</v>
      </c>
      <c r="T237" s="827">
        <v>0</v>
      </c>
      <c r="U237" s="827">
        <v>0</v>
      </c>
      <c r="V237" s="827">
        <v>0</v>
      </c>
      <c r="W237" s="827">
        <v>0</v>
      </c>
      <c r="X237" s="827">
        <v>0</v>
      </c>
      <c r="Y237" s="827">
        <v>0</v>
      </c>
      <c r="Z237" s="827">
        <v>0</v>
      </c>
      <c r="AA237" s="827">
        <v>0</v>
      </c>
      <c r="AB237" s="827">
        <v>0</v>
      </c>
      <c r="AC237" s="828">
        <v>0</v>
      </c>
      <c r="AD237" s="828">
        <v>0</v>
      </c>
      <c r="AE237" s="828">
        <v>0</v>
      </c>
      <c r="AF237" s="828">
        <v>0</v>
      </c>
      <c r="AG237" s="828">
        <v>0</v>
      </c>
      <c r="AH237" s="828">
        <v>0</v>
      </c>
      <c r="AI237" s="828">
        <v>0</v>
      </c>
      <c r="AJ237" s="828">
        <v>0</v>
      </c>
      <c r="AK237" s="828">
        <v>0</v>
      </c>
      <c r="AL237" s="828">
        <v>0</v>
      </c>
      <c r="AM237" s="828">
        <v>0</v>
      </c>
      <c r="AN237" s="828">
        <v>0</v>
      </c>
      <c r="AO237" s="828">
        <v>0</v>
      </c>
      <c r="AP237" s="828">
        <v>0</v>
      </c>
    </row>
    <row r="238" hidden="1">
      <c r="B238" s="830" t="s">
        <v>24</v>
      </c>
      <c r="C238" s="823">
        <v>6871</v>
      </c>
      <c r="D238" s="823">
        <v>6400</v>
      </c>
      <c r="E238" s="823">
        <v>6554</v>
      </c>
      <c r="F238" s="823">
        <v>6734</v>
      </c>
      <c r="G238" s="823">
        <v>3581</v>
      </c>
      <c r="H238" s="823">
        <v>2236</v>
      </c>
      <c r="I238" s="823">
        <v>5226</v>
      </c>
      <c r="J238" s="823">
        <v>5070</v>
      </c>
      <c r="K238" s="823">
        <v>4520</v>
      </c>
      <c r="L238" s="823">
        <v>4465</v>
      </c>
      <c r="M238" s="823">
        <v>4325</v>
      </c>
      <c r="N238" s="823">
        <v>4295</v>
      </c>
      <c r="O238" s="823">
        <v>3827</v>
      </c>
      <c r="P238" s="823">
        <v>3710</v>
      </c>
      <c r="Q238" s="823">
        <v>3900</v>
      </c>
      <c r="R238" s="823">
        <v>6942</v>
      </c>
      <c r="S238" s="823">
        <v>6909</v>
      </c>
      <c r="T238" s="823">
        <v>6567</v>
      </c>
      <c r="U238" s="823">
        <v>5570</v>
      </c>
      <c r="V238" s="823">
        <v>2540</v>
      </c>
      <c r="W238" s="823">
        <v>2428</v>
      </c>
      <c r="X238" s="823">
        <v>1115</v>
      </c>
      <c r="Y238" s="823">
        <v>1859</v>
      </c>
      <c r="Z238" s="823">
        <v>1871</v>
      </c>
      <c r="AA238" s="823">
        <v>353</v>
      </c>
      <c r="AB238" s="823">
        <v>383</v>
      </c>
      <c r="AC238" s="825">
        <v>799</v>
      </c>
      <c r="AD238" s="825">
        <v>806</v>
      </c>
      <c r="AE238" s="825">
        <v>941</v>
      </c>
      <c r="AF238" s="825">
        <v>1245</v>
      </c>
      <c r="AG238" s="825">
        <v>1209</v>
      </c>
      <c r="AH238" s="825">
        <v>1189</v>
      </c>
      <c r="AI238" s="825">
        <v>864</v>
      </c>
      <c r="AJ238" s="825">
        <v>864</v>
      </c>
      <c r="AK238" s="825">
        <v>881</v>
      </c>
      <c r="AL238" s="825">
        <v>849</v>
      </c>
      <c r="AM238" s="825">
        <v>10485</v>
      </c>
      <c r="AN238" s="825">
        <v>10481</v>
      </c>
      <c r="AO238" s="825">
        <v>9815</v>
      </c>
      <c r="AP238" s="825">
        <v>9815</v>
      </c>
    </row>
    <row r="239" hidden="1">
      <c r="B239" s="826" t="s">
        <v>25</v>
      </c>
      <c r="C239" s="827">
        <v>0</v>
      </c>
      <c r="D239" s="827">
        <v>0</v>
      </c>
      <c r="E239" s="827">
        <v>0</v>
      </c>
      <c r="F239" s="827">
        <v>0</v>
      </c>
      <c r="G239" s="827">
        <v>0</v>
      </c>
      <c r="H239" s="827">
        <v>0</v>
      </c>
      <c r="I239" s="827">
        <v>0</v>
      </c>
      <c r="J239" s="827">
        <v>0</v>
      </c>
      <c r="K239" s="827">
        <v>0</v>
      </c>
      <c r="L239" s="827">
        <v>0</v>
      </c>
      <c r="M239" s="827">
        <v>0</v>
      </c>
      <c r="N239" s="827">
        <v>0</v>
      </c>
      <c r="O239" s="827">
        <v>0</v>
      </c>
      <c r="P239" s="827">
        <v>0</v>
      </c>
      <c r="Q239" s="827">
        <v>0</v>
      </c>
      <c r="R239" s="827">
        <v>0</v>
      </c>
      <c r="S239" s="827">
        <v>0</v>
      </c>
      <c r="T239" s="827">
        <v>0</v>
      </c>
      <c r="U239" s="827">
        <v>0</v>
      </c>
      <c r="V239" s="827">
        <v>0</v>
      </c>
      <c r="W239" s="827">
        <v>0</v>
      </c>
      <c r="X239" s="827">
        <v>0</v>
      </c>
      <c r="Y239" s="827">
        <v>0</v>
      </c>
      <c r="Z239" s="827">
        <v>0</v>
      </c>
      <c r="AA239" s="827">
        <v>0</v>
      </c>
      <c r="AB239" s="827">
        <v>0</v>
      </c>
      <c r="AC239" s="828">
        <v>0</v>
      </c>
      <c r="AD239" s="828">
        <v>0</v>
      </c>
      <c r="AE239" s="828">
        <v>0</v>
      </c>
      <c r="AF239" s="828">
        <v>0</v>
      </c>
      <c r="AG239" s="828">
        <v>0</v>
      </c>
      <c r="AH239" s="828">
        <v>0</v>
      </c>
      <c r="AI239" s="828">
        <v>0</v>
      </c>
      <c r="AJ239" s="828">
        <v>0</v>
      </c>
      <c r="AK239" s="828">
        <v>0</v>
      </c>
      <c r="AL239" s="828">
        <v>0</v>
      </c>
      <c r="AM239" s="828">
        <v>0</v>
      </c>
      <c r="AN239" s="828">
        <v>0</v>
      </c>
      <c r="AO239" s="828">
        <v>0</v>
      </c>
      <c r="AP239" s="828">
        <v>0</v>
      </c>
    </row>
    <row r="240" hidden="1" ht="13.5">
      <c r="B240" s="831" t="s">
        <v>26</v>
      </c>
      <c r="C240" s="823">
        <v>0</v>
      </c>
      <c r="D240" s="823">
        <v>0</v>
      </c>
      <c r="E240" s="823">
        <v>0</v>
      </c>
      <c r="F240" s="823">
        <v>0</v>
      </c>
      <c r="G240" s="823">
        <v>0</v>
      </c>
      <c r="H240" s="823">
        <v>0</v>
      </c>
      <c r="I240" s="823">
        <v>0</v>
      </c>
      <c r="J240" s="823">
        <v>0</v>
      </c>
      <c r="K240" s="823">
        <v>0</v>
      </c>
      <c r="L240" s="823">
        <v>0</v>
      </c>
      <c r="M240" s="823">
        <v>0</v>
      </c>
      <c r="N240" s="823">
        <v>0</v>
      </c>
      <c r="O240" s="823">
        <v>0</v>
      </c>
      <c r="P240" s="823">
        <v>0</v>
      </c>
      <c r="Q240" s="823">
        <v>0</v>
      </c>
      <c r="R240" s="823">
        <v>0</v>
      </c>
      <c r="S240" s="823">
        <v>0</v>
      </c>
      <c r="T240" s="823">
        <v>0</v>
      </c>
      <c r="U240" s="823">
        <v>0</v>
      </c>
      <c r="V240" s="823">
        <v>0</v>
      </c>
      <c r="W240" s="823">
        <v>0</v>
      </c>
      <c r="X240" s="823">
        <v>0</v>
      </c>
      <c r="Y240" s="823">
        <v>0</v>
      </c>
      <c r="Z240" s="823">
        <v>0</v>
      </c>
      <c r="AA240" s="823">
        <v>0</v>
      </c>
      <c r="AB240" s="832">
        <v>0</v>
      </c>
      <c r="AC240" s="825">
        <v>0</v>
      </c>
      <c r="AD240" s="825">
        <v>0</v>
      </c>
      <c r="AE240" s="825">
        <v>0</v>
      </c>
      <c r="AF240" s="825">
        <v>0</v>
      </c>
      <c r="AG240" s="825">
        <v>0</v>
      </c>
      <c r="AH240" s="825">
        <v>0</v>
      </c>
      <c r="AI240" s="825">
        <v>0</v>
      </c>
      <c r="AJ240" s="825">
        <v>0</v>
      </c>
      <c r="AK240" s="825">
        <v>0</v>
      </c>
      <c r="AL240" s="825">
        <v>0</v>
      </c>
      <c r="AM240" s="825">
        <v>0</v>
      </c>
      <c r="AN240" s="825">
        <v>0</v>
      </c>
      <c r="AO240" s="825">
        <v>0</v>
      </c>
      <c r="AP240" s="825">
        <v>0</v>
      </c>
    </row>
    <row r="241" hidden="1" ht="13.5">
      <c r="B241" s="128" t="s">
        <v>7</v>
      </c>
      <c r="C241" s="129" t="str">
        <f>IF(SUM(C222:C240)&lt;&gt;0,SUM(C222:C240),"")</f>
      </c>
      <c r="D241" s="129" t="str">
        <f ref="D241:AA241" t="shared" si="25">IF(SUM(D222:D240)&lt;&gt;0,SUM(D222:D240),"")</f>
      </c>
      <c r="E241" s="129" t="str">
        <f t="shared" si="25"/>
      </c>
      <c r="F241" s="129" t="str">
        <f t="shared" si="25"/>
      </c>
      <c r="G241" s="129" t="str">
        <f t="shared" si="25"/>
      </c>
      <c r="H241" s="129" t="str">
        <f t="shared" si="25"/>
      </c>
      <c r="I241" s="129" t="str">
        <f t="shared" si="25"/>
      </c>
      <c r="J241" s="129" t="str">
        <f t="shared" si="25"/>
      </c>
      <c r="K241" s="129" t="str">
        <f t="shared" si="25"/>
      </c>
      <c r="L241" s="129" t="str">
        <f t="shared" si="25"/>
      </c>
      <c r="M241" s="129" t="str">
        <f t="shared" si="25"/>
      </c>
      <c r="N241" s="129" t="str">
        <f t="shared" si="25"/>
      </c>
      <c r="O241" s="129" t="str">
        <f t="shared" si="25"/>
      </c>
      <c r="P241" s="129" t="str">
        <f t="shared" si="25"/>
      </c>
      <c r="Q241" s="129" t="str">
        <f t="shared" si="25"/>
      </c>
      <c r="R241" s="129" t="str">
        <f t="shared" si="25"/>
      </c>
      <c r="S241" s="129" t="str">
        <f t="shared" si="25"/>
      </c>
      <c r="T241" s="129" t="str">
        <f t="shared" si="25"/>
      </c>
      <c r="U241" s="129" t="str">
        <f t="shared" si="25"/>
      </c>
      <c r="V241" s="129" t="str">
        <f t="shared" si="25"/>
      </c>
      <c r="W241" s="129" t="str">
        <f t="shared" si="25"/>
      </c>
      <c r="X241" s="129" t="str">
        <f t="shared" si="25"/>
      </c>
      <c r="Y241" s="129" t="str">
        <f t="shared" si="25"/>
      </c>
      <c r="Z241" s="129" t="str">
        <f t="shared" si="25"/>
      </c>
      <c r="AA241" s="129" t="str">
        <f t="shared" si="25"/>
      </c>
      <c r="AB241" s="130" t="str">
        <f>IF(SUM(AB222:AB240)&lt;&gt;0,SUM(AB222:AB240),"")</f>
      </c>
      <c r="AC241" s="91" t="str">
        <f ref="AC241:CN241" t="shared" si="26">IF(SUM(AC222:AC240)&lt;&gt;0,SUM(AC222:AC240),"")</f>
      </c>
      <c r="AD241" s="91" t="str">
        <f t="shared" si="26"/>
      </c>
      <c r="AE241" s="91" t="str">
        <f t="shared" si="26"/>
      </c>
      <c r="AF241" s="91" t="str">
        <f t="shared" si="26"/>
      </c>
      <c r="AG241" s="91" t="str">
        <f t="shared" si="26"/>
      </c>
      <c r="AH241" s="91" t="str">
        <f t="shared" si="26"/>
      </c>
      <c r="AI241" s="91" t="str">
        <f t="shared" si="26"/>
      </c>
      <c r="AJ241" s="91" t="str">
        <f t="shared" si="26"/>
      </c>
      <c r="AK241" s="91" t="str">
        <f t="shared" si="26"/>
      </c>
      <c r="AL241" s="91" t="str">
        <f t="shared" si="26"/>
      </c>
      <c r="AM241" s="91" t="str">
        <f t="shared" si="26"/>
      </c>
      <c r="AN241" s="91" t="str">
        <f t="shared" si="26"/>
      </c>
      <c r="AO241" s="91" t="str">
        <f t="shared" si="26"/>
      </c>
      <c r="AP241" s="91" t="str">
        <f t="shared" si="26"/>
      </c>
      <c r="AQ241" s="91" t="str">
        <f t="shared" si="26"/>
      </c>
      <c r="AR241" s="91" t="str">
        <f t="shared" si="26"/>
      </c>
      <c r="AS241" s="91" t="str">
        <f t="shared" si="26"/>
      </c>
      <c r="AT241" s="91" t="str">
        <f t="shared" si="26"/>
      </c>
      <c r="AU241" s="91" t="str">
        <f t="shared" si="26"/>
      </c>
      <c r="AV241" s="91" t="str">
        <f t="shared" si="26"/>
      </c>
      <c r="AW241" s="91" t="str">
        <f t="shared" si="26"/>
      </c>
      <c r="AX241" s="91" t="str">
        <f t="shared" si="26"/>
      </c>
      <c r="AY241" s="91" t="str">
        <f t="shared" si="26"/>
      </c>
      <c r="AZ241" s="91" t="str">
        <f t="shared" si="26"/>
      </c>
      <c r="BA241" s="91" t="str">
        <f t="shared" si="26"/>
      </c>
      <c r="BB241" s="91" t="str">
        <f t="shared" si="26"/>
      </c>
      <c r="BC241" s="91" t="str">
        <f t="shared" si="26"/>
      </c>
      <c r="BD241" s="91" t="str">
        <f t="shared" si="26"/>
      </c>
      <c r="BE241" s="91" t="str">
        <f t="shared" si="26"/>
      </c>
      <c r="BF241" s="91" t="str">
        <f t="shared" si="26"/>
      </c>
      <c r="BG241" s="91" t="str">
        <f t="shared" si="26"/>
      </c>
      <c r="BH241" s="91" t="str">
        <f t="shared" si="26"/>
      </c>
      <c r="BI241" s="91" t="str">
        <f t="shared" si="26"/>
      </c>
      <c r="BJ241" s="91" t="str">
        <f t="shared" si="26"/>
      </c>
      <c r="BK241" s="91" t="str">
        <f t="shared" si="26"/>
      </c>
      <c r="BL241" s="91" t="str">
        <f t="shared" si="26"/>
      </c>
      <c r="BM241" s="91" t="str">
        <f t="shared" si="26"/>
      </c>
      <c r="BN241" s="91" t="str">
        <f t="shared" si="26"/>
      </c>
      <c r="BO241" s="91" t="str">
        <f t="shared" si="26"/>
      </c>
      <c r="BP241" s="91" t="str">
        <f t="shared" si="26"/>
      </c>
      <c r="BQ241" s="91" t="str">
        <f t="shared" si="26"/>
      </c>
      <c r="BR241" s="91" t="str">
        <f t="shared" si="26"/>
      </c>
      <c r="BS241" s="91" t="str">
        <f t="shared" si="26"/>
      </c>
      <c r="BT241" s="91" t="str">
        <f t="shared" si="26"/>
      </c>
      <c r="BU241" s="91" t="str">
        <f t="shared" si="26"/>
      </c>
      <c r="BV241" s="91" t="str">
        <f t="shared" si="26"/>
      </c>
      <c r="BW241" s="91" t="str">
        <f t="shared" si="26"/>
      </c>
      <c r="BX241" s="91" t="str">
        <f t="shared" si="26"/>
      </c>
      <c r="BY241" s="91" t="str">
        <f t="shared" si="26"/>
      </c>
      <c r="BZ241" s="91" t="str">
        <f t="shared" si="26"/>
      </c>
      <c r="CA241" s="91" t="str">
        <f t="shared" si="26"/>
      </c>
      <c r="CB241" s="91" t="str">
        <f t="shared" si="26"/>
      </c>
      <c r="CC241" s="91" t="str">
        <f t="shared" si="26"/>
      </c>
      <c r="CD241" s="91" t="str">
        <f t="shared" si="26"/>
      </c>
      <c r="CE241" s="91" t="str">
        <f t="shared" si="26"/>
      </c>
      <c r="CF241" s="91" t="str">
        <f t="shared" si="26"/>
      </c>
      <c r="CG241" s="91" t="str">
        <f t="shared" si="26"/>
      </c>
      <c r="CH241" s="91" t="str">
        <f t="shared" si="26"/>
      </c>
      <c r="CI241" s="91" t="str">
        <f t="shared" si="26"/>
      </c>
      <c r="CJ241" s="91" t="str">
        <f t="shared" si="26"/>
      </c>
      <c r="CK241" s="91" t="str">
        <f t="shared" si="26"/>
      </c>
      <c r="CL241" s="91" t="str">
        <f t="shared" si="26"/>
      </c>
      <c r="CM241" s="91" t="str">
        <f t="shared" si="26"/>
      </c>
      <c r="CN241" s="91" t="str">
        <f t="shared" si="26"/>
      </c>
      <c r="CO241" s="91" t="str">
        <f ref="CO241:EZ241" t="shared" si="27">IF(SUM(CO222:CO240)&lt;&gt;0,SUM(CO222:CO240),"")</f>
      </c>
      <c r="CP241" s="91" t="str">
        <f t="shared" si="27"/>
      </c>
      <c r="CQ241" s="91" t="str">
        <f t="shared" si="27"/>
      </c>
      <c r="CR241" s="91" t="str">
        <f t="shared" si="27"/>
      </c>
      <c r="CS241" s="91" t="str">
        <f t="shared" si="27"/>
      </c>
      <c r="CT241" s="91" t="str">
        <f t="shared" si="27"/>
      </c>
      <c r="CU241" s="91" t="str">
        <f t="shared" si="27"/>
      </c>
      <c r="CV241" s="91" t="str">
        <f t="shared" si="27"/>
      </c>
      <c r="CW241" s="91" t="str">
        <f t="shared" si="27"/>
      </c>
      <c r="CX241" s="91" t="str">
        <f t="shared" si="27"/>
      </c>
      <c r="CY241" s="91" t="str">
        <f t="shared" si="27"/>
      </c>
      <c r="CZ241" s="91" t="str">
        <f t="shared" si="27"/>
      </c>
      <c r="DA241" s="91" t="str">
        <f t="shared" si="27"/>
      </c>
      <c r="DB241" s="91" t="str">
        <f t="shared" si="27"/>
      </c>
      <c r="DC241" s="91" t="str">
        <f t="shared" si="27"/>
      </c>
      <c r="DD241" s="91" t="str">
        <f t="shared" si="27"/>
      </c>
      <c r="DE241" s="91" t="str">
        <f t="shared" si="27"/>
      </c>
      <c r="DF241" s="91" t="str">
        <f t="shared" si="27"/>
      </c>
      <c r="DG241" s="91" t="str">
        <f t="shared" si="27"/>
      </c>
      <c r="DH241" s="91" t="str">
        <f t="shared" si="27"/>
      </c>
      <c r="DI241" s="91" t="str">
        <f t="shared" si="27"/>
      </c>
      <c r="DJ241" s="91" t="str">
        <f t="shared" si="27"/>
      </c>
      <c r="DK241" s="91" t="str">
        <f t="shared" si="27"/>
      </c>
      <c r="DL241" s="91" t="str">
        <f t="shared" si="27"/>
      </c>
      <c r="DM241" s="91" t="str">
        <f t="shared" si="27"/>
      </c>
      <c r="DN241" s="91" t="str">
        <f t="shared" si="27"/>
      </c>
      <c r="DO241" s="91" t="str">
        <f t="shared" si="27"/>
      </c>
      <c r="DP241" s="91" t="str">
        <f t="shared" si="27"/>
      </c>
      <c r="DQ241" s="91" t="str">
        <f t="shared" si="27"/>
      </c>
      <c r="DR241" s="91" t="str">
        <f t="shared" si="27"/>
      </c>
      <c r="DS241" s="91" t="str">
        <f t="shared" si="27"/>
      </c>
      <c r="DT241" s="91" t="str">
        <f t="shared" si="27"/>
      </c>
      <c r="DU241" s="91" t="str">
        <f t="shared" si="27"/>
      </c>
      <c r="DV241" s="91" t="str">
        <f t="shared" si="27"/>
      </c>
      <c r="DW241" s="91" t="str">
        <f t="shared" si="27"/>
      </c>
      <c r="DX241" s="91" t="str">
        <f t="shared" si="27"/>
      </c>
      <c r="DY241" s="91" t="str">
        <f t="shared" si="27"/>
      </c>
      <c r="DZ241" s="91" t="str">
        <f t="shared" si="27"/>
      </c>
      <c r="EA241" s="91" t="str">
        <f t="shared" si="27"/>
      </c>
      <c r="EB241" s="91" t="str">
        <f t="shared" si="27"/>
      </c>
      <c r="EC241" s="91" t="str">
        <f t="shared" si="27"/>
      </c>
      <c r="ED241" s="91" t="str">
        <f t="shared" si="27"/>
      </c>
      <c r="EE241" s="91" t="str">
        <f t="shared" si="27"/>
      </c>
      <c r="EF241" s="91" t="str">
        <f t="shared" si="27"/>
      </c>
      <c r="EG241" s="91" t="str">
        <f t="shared" si="27"/>
      </c>
      <c r="EH241" s="91" t="str">
        <f t="shared" si="27"/>
      </c>
      <c r="EI241" s="91" t="str">
        <f t="shared" si="27"/>
      </c>
      <c r="EJ241" s="91" t="str">
        <f t="shared" si="27"/>
      </c>
      <c r="EK241" s="91" t="str">
        <f t="shared" si="27"/>
      </c>
      <c r="EL241" s="91" t="str">
        <f t="shared" si="27"/>
      </c>
      <c r="EM241" s="91" t="str">
        <f t="shared" si="27"/>
      </c>
      <c r="EN241" s="91" t="str">
        <f t="shared" si="27"/>
      </c>
      <c r="EO241" s="91" t="str">
        <f t="shared" si="27"/>
      </c>
      <c r="EP241" s="91" t="str">
        <f t="shared" si="27"/>
      </c>
      <c r="EQ241" s="91" t="str">
        <f t="shared" si="27"/>
      </c>
      <c r="ER241" s="91" t="str">
        <f t="shared" si="27"/>
      </c>
      <c r="ES241" s="91" t="str">
        <f t="shared" si="27"/>
      </c>
      <c r="ET241" s="91" t="str">
        <f t="shared" si="27"/>
      </c>
      <c r="EU241" s="91" t="str">
        <f t="shared" si="27"/>
      </c>
      <c r="EV241" s="91" t="str">
        <f t="shared" si="27"/>
      </c>
      <c r="EW241" s="91" t="str">
        <f t="shared" si="27"/>
      </c>
      <c r="EX241" s="91" t="str">
        <f t="shared" si="27"/>
      </c>
      <c r="EY241" s="91" t="str">
        <f t="shared" si="27"/>
      </c>
      <c r="EZ241" s="91" t="str">
        <f t="shared" si="27"/>
      </c>
      <c r="FA241" s="91" t="str">
        <f ref="FA241:HL241" t="shared" si="28">IF(SUM(FA222:FA240)&lt;&gt;0,SUM(FA222:FA240),"")</f>
      </c>
      <c r="FB241" s="91" t="str">
        <f t="shared" si="28"/>
      </c>
      <c r="FC241" s="91" t="str">
        <f t="shared" si="28"/>
      </c>
      <c r="FD241" s="91" t="str">
        <f t="shared" si="28"/>
      </c>
      <c r="FE241" s="91" t="str">
        <f t="shared" si="28"/>
      </c>
      <c r="FF241" s="91" t="str">
        <f t="shared" si="28"/>
      </c>
      <c r="FG241" s="91" t="str">
        <f t="shared" si="28"/>
      </c>
      <c r="FH241" s="91" t="str">
        <f t="shared" si="28"/>
      </c>
      <c r="FI241" s="91" t="str">
        <f t="shared" si="28"/>
      </c>
      <c r="FJ241" s="91" t="str">
        <f t="shared" si="28"/>
      </c>
      <c r="FK241" s="91" t="str">
        <f t="shared" si="28"/>
      </c>
      <c r="FL241" s="91" t="str">
        <f t="shared" si="28"/>
      </c>
      <c r="FM241" s="91" t="str">
        <f t="shared" si="28"/>
      </c>
      <c r="FN241" s="91" t="str">
        <f t="shared" si="28"/>
      </c>
      <c r="FO241" s="91" t="str">
        <f t="shared" si="28"/>
      </c>
      <c r="FP241" s="91" t="str">
        <f t="shared" si="28"/>
      </c>
      <c r="FQ241" s="91" t="str">
        <f t="shared" si="28"/>
      </c>
      <c r="FR241" s="91" t="str">
        <f t="shared" si="28"/>
      </c>
      <c r="FS241" s="91" t="str">
        <f t="shared" si="28"/>
      </c>
      <c r="FT241" s="91" t="str">
        <f t="shared" si="28"/>
      </c>
      <c r="FU241" s="91" t="str">
        <f t="shared" si="28"/>
      </c>
      <c r="FV241" s="91" t="str">
        <f t="shared" si="28"/>
      </c>
      <c r="FW241" s="91" t="str">
        <f t="shared" si="28"/>
      </c>
      <c r="FX241" s="91" t="str">
        <f t="shared" si="28"/>
      </c>
      <c r="FY241" s="91" t="str">
        <f t="shared" si="28"/>
      </c>
      <c r="FZ241" s="91" t="str">
        <f t="shared" si="28"/>
      </c>
      <c r="GA241" s="91" t="str">
        <f t="shared" si="28"/>
      </c>
      <c r="GB241" s="91" t="str">
        <f t="shared" si="28"/>
      </c>
      <c r="GC241" s="91" t="str">
        <f t="shared" si="28"/>
      </c>
      <c r="GD241" s="91" t="str">
        <f t="shared" si="28"/>
      </c>
      <c r="GE241" s="91" t="str">
        <f t="shared" si="28"/>
      </c>
      <c r="GF241" s="91" t="str">
        <f t="shared" si="28"/>
      </c>
      <c r="GG241" s="91" t="str">
        <f t="shared" si="28"/>
      </c>
      <c r="GH241" s="91" t="str">
        <f t="shared" si="28"/>
      </c>
      <c r="GI241" s="91" t="str">
        <f t="shared" si="28"/>
      </c>
      <c r="GJ241" s="91" t="str">
        <f t="shared" si="28"/>
      </c>
      <c r="GK241" s="91" t="str">
        <f t="shared" si="28"/>
      </c>
      <c r="GL241" s="91" t="str">
        <f t="shared" si="28"/>
      </c>
      <c r="GM241" s="91" t="str">
        <f t="shared" si="28"/>
      </c>
      <c r="GN241" s="91" t="str">
        <f t="shared" si="28"/>
      </c>
      <c r="GO241" s="91" t="str">
        <f t="shared" si="28"/>
      </c>
      <c r="GP241" s="91" t="str">
        <f t="shared" si="28"/>
      </c>
      <c r="GQ241" s="91" t="str">
        <f t="shared" si="28"/>
      </c>
      <c r="GR241" s="91" t="str">
        <f t="shared" si="28"/>
      </c>
      <c r="GS241" s="91" t="str">
        <f t="shared" si="28"/>
      </c>
      <c r="GT241" s="91" t="str">
        <f t="shared" si="28"/>
      </c>
      <c r="GU241" s="91" t="str">
        <f t="shared" si="28"/>
      </c>
      <c r="GV241" s="91" t="str">
        <f t="shared" si="28"/>
      </c>
      <c r="GW241" s="91" t="str">
        <f t="shared" si="28"/>
      </c>
      <c r="GX241" s="91" t="str">
        <f t="shared" si="28"/>
      </c>
      <c r="GY241" s="91" t="str">
        <f t="shared" si="28"/>
      </c>
      <c r="GZ241" s="91" t="str">
        <f t="shared" si="28"/>
      </c>
      <c r="HA241" s="91" t="str">
        <f t="shared" si="28"/>
      </c>
      <c r="HB241" s="91" t="str">
        <f t="shared" si="28"/>
      </c>
      <c r="HC241" s="91" t="str">
        <f t="shared" si="28"/>
      </c>
      <c r="HD241" s="91" t="str">
        <f t="shared" si="28"/>
      </c>
      <c r="HE241" s="91" t="str">
        <f t="shared" si="28"/>
      </c>
      <c r="HF241" s="91" t="str">
        <f t="shared" si="28"/>
      </c>
      <c r="HG241" s="91" t="str">
        <f t="shared" si="28"/>
      </c>
      <c r="HH241" s="91" t="str">
        <f t="shared" si="28"/>
      </c>
      <c r="HI241" s="91" t="str">
        <f t="shared" si="28"/>
      </c>
      <c r="HJ241" s="91" t="str">
        <f t="shared" si="28"/>
      </c>
      <c r="HK241" s="91" t="str">
        <f t="shared" si="28"/>
      </c>
      <c r="HL241" s="91" t="str">
        <f t="shared" si="28"/>
      </c>
      <c r="HM241" s="91" t="str">
        <f ref="HM241:IV241" t="shared" si="29">IF(SUM(HM222:HM240)&lt;&gt;0,SUM(HM222:HM240),"")</f>
      </c>
      <c r="HN241" s="91" t="str">
        <f t="shared" si="29"/>
      </c>
      <c r="HO241" s="91" t="str">
        <f t="shared" si="29"/>
      </c>
      <c r="HP241" s="91" t="str">
        <f t="shared" si="29"/>
      </c>
      <c r="HQ241" s="91" t="str">
        <f t="shared" si="29"/>
      </c>
      <c r="HR241" s="91" t="str">
        <f t="shared" si="29"/>
      </c>
      <c r="HS241" s="91" t="str">
        <f t="shared" si="29"/>
      </c>
      <c r="HT241" s="91" t="str">
        <f t="shared" si="29"/>
      </c>
      <c r="HU241" s="91" t="str">
        <f t="shared" si="29"/>
      </c>
      <c r="HV241" s="91" t="str">
        <f t="shared" si="29"/>
      </c>
      <c r="HW241" s="91" t="str">
        <f t="shared" si="29"/>
      </c>
      <c r="HX241" s="91" t="str">
        <f t="shared" si="29"/>
      </c>
      <c r="HY241" s="91" t="str">
        <f t="shared" si="29"/>
      </c>
      <c r="HZ241" s="91" t="str">
        <f t="shared" si="29"/>
      </c>
      <c r="IA241" s="91" t="str">
        <f t="shared" si="29"/>
      </c>
      <c r="IB241" s="91" t="str">
        <f t="shared" si="29"/>
      </c>
      <c r="IC241" s="91" t="str">
        <f t="shared" si="29"/>
      </c>
      <c r="ID241" s="91" t="str">
        <f t="shared" si="29"/>
      </c>
      <c r="IE241" s="91" t="str">
        <f t="shared" si="29"/>
      </c>
      <c r="IF241" s="91" t="str">
        <f t="shared" si="29"/>
      </c>
      <c r="IG241" s="91" t="str">
        <f t="shared" si="29"/>
      </c>
      <c r="IH241" s="91" t="str">
        <f t="shared" si="29"/>
      </c>
      <c r="II241" s="91" t="str">
        <f t="shared" si="29"/>
      </c>
      <c r="IJ241" s="91" t="str">
        <f t="shared" si="29"/>
      </c>
      <c r="IK241" s="91" t="str">
        <f t="shared" si="29"/>
      </c>
      <c r="IL241" s="91" t="str">
        <f t="shared" si="29"/>
      </c>
      <c r="IM241" s="91" t="str">
        <f t="shared" si="29"/>
      </c>
      <c r="IN241" s="91" t="str">
        <f t="shared" si="29"/>
      </c>
      <c r="IO241" s="91" t="str">
        <f t="shared" si="29"/>
      </c>
      <c r="IP241" s="91" t="str">
        <f t="shared" si="29"/>
      </c>
      <c r="IQ241" s="91" t="str">
        <f t="shared" si="29"/>
      </c>
      <c r="IR241" s="91" t="str">
        <f t="shared" si="29"/>
      </c>
      <c r="IS241" s="91" t="str">
        <f t="shared" si="29"/>
      </c>
      <c r="IT241" s="91" t="str">
        <f t="shared" si="29"/>
      </c>
      <c r="IU241" s="91" t="str">
        <f t="shared" si="29"/>
      </c>
      <c r="IV241" s="91" t="str">
        <f t="shared" si="29"/>
      </c>
    </row>
    <row r="242" hidden="1" ht="13.5"/>
    <row r="243" hidden="1" ht="15" customHeight="1">
      <c r="C243" s="686" t="s">
        <v>249</v>
      </c>
      <c r="D243" s="687"/>
      <c r="E243" s="687"/>
      <c r="F243" s="687"/>
      <c r="G243" s="687"/>
      <c r="H243" s="687"/>
      <c r="I243" s="687"/>
      <c r="J243" s="687"/>
      <c r="K243" s="687"/>
      <c r="L243" s="687"/>
      <c r="M243" s="687"/>
      <c r="N243" s="687"/>
      <c r="O243" s="687"/>
      <c r="P243" s="687"/>
      <c r="Q243" s="687"/>
      <c r="R243" s="687"/>
      <c r="S243" s="687"/>
      <c r="T243" s="687"/>
      <c r="U243" s="687"/>
      <c r="V243" s="687"/>
      <c r="W243" s="687"/>
      <c r="X243" s="687"/>
      <c r="Y243" s="687"/>
      <c r="Z243" s="687"/>
      <c r="AA243" s="687"/>
      <c r="AB243" s="688"/>
    </row>
    <row r="244" hidden="1" ht="13.5">
      <c r="C244" s="435" t="str">
        <f> IF(C264&lt;&gt;"",TEXT(AUX!G$1,"dd-MMM-aa"),"")</f>
      </c>
      <c r="D244" s="435" t="str">
        <f> IF(D264&lt;&gt;"",TEXT(AUX!H$1,"dd-MMM-aa"),"")</f>
      </c>
      <c r="E244" s="435" t="str">
        <f> IF(E264&lt;&gt;"",TEXT(AUX!I$1,"dd-MMM-aa"),"")</f>
      </c>
      <c r="F244" s="435" t="str">
        <f> IF(F264&lt;&gt;"",TEXT(AUX!J$1,"dd-MMM-aa"),"")</f>
      </c>
      <c r="G244" s="435" t="str">
        <f> IF(G264&lt;&gt;"",TEXT(AUX!K$1,"dd-MMM-aa"),"")</f>
      </c>
      <c r="H244" s="435" t="str">
        <f> IF(H264&lt;&gt;"",TEXT(AUX!L$1,"dd-MMM-aa"),"")</f>
      </c>
      <c r="I244" s="435" t="str">
        <f> IF(I264&lt;&gt;"",TEXT(AUX!M$1,"dd-MMM-aa"),"")</f>
      </c>
      <c r="J244" s="435" t="str">
        <f> IF(J264&lt;&gt;"",TEXT(AUX!N$1,"dd-MMM-aa"),"")</f>
      </c>
      <c r="K244" s="435" t="str">
        <f> IF(K264&lt;&gt;"",TEXT(AUX!O$1,"dd-MMM-aa"),"")</f>
      </c>
      <c r="L244" s="435" t="str">
        <f> IF(L264&lt;&gt;"",TEXT(AUX!P$1,"dd-MMM-aa"),"")</f>
      </c>
      <c r="M244" s="435" t="str">
        <f> IF(M264&lt;&gt;"",TEXT(AUX!Q$1,"dd-MMM-aa"),"")</f>
      </c>
      <c r="N244" s="435" t="str">
        <f> IF(N264&lt;&gt;"",TEXT(AUX!R$1,"dd-MMM-aa"),"")</f>
      </c>
      <c r="O244" s="435" t="str">
        <f> IF(O264&lt;&gt;"",TEXT(AUX!S$1,"dd-MMM-aa"),"")</f>
      </c>
      <c r="P244" s="435" t="str">
        <f> IF(P264&lt;&gt;"",TEXT(AUX!T$1,"dd-MMM-aa"),"")</f>
      </c>
      <c r="Q244" s="435" t="str">
        <f> IF(Q264&lt;&gt;"",TEXT(AUX!U$1,"dd-MMM-aa"),"")</f>
      </c>
      <c r="R244" s="435" t="str">
        <f> IF(R264&lt;&gt;"",TEXT(AUX!V$1,"dd-MMM-aa"),"")</f>
      </c>
      <c r="S244" s="435" t="str">
        <f> IF(S264&lt;&gt;"",TEXT(AUX!W$1,"dd-MMM-aa"),"")</f>
      </c>
      <c r="T244" s="435" t="str">
        <f> IF(T264&lt;&gt;"",TEXT(AUX!X$1,"dd-MMM-aa"),"")</f>
      </c>
      <c r="U244" s="435" t="str">
        <f> IF(U264&lt;&gt;"",TEXT(AUX!Y$1,"dd-MMM-aa"),"")</f>
      </c>
      <c r="V244" s="435" t="str">
        <f> IF(V264&lt;&gt;"",TEXT(AUX!Z$1,"dd-MMM-aa"),"")</f>
      </c>
      <c r="W244" s="435" t="str">
        <f> IF(W264&lt;&gt;"",TEXT(AUX!AA$1,"dd-MMM-aa"),"")</f>
      </c>
      <c r="X244" s="435" t="str">
        <f> IF(X264&lt;&gt;"",TEXT(AUX!AB$1,"dd-MMM-aa"),"")</f>
      </c>
      <c r="Y244" s="435" t="str">
        <f> IF(Y264&lt;&gt;"",TEXT(AUX!AC$1,"dd-MMM-aa"),"")</f>
      </c>
      <c r="Z244" s="435" t="str">
        <f> IF(Z264&lt;&gt;"",TEXT(AUX!AD$1,"dd-MMM-aa"),"")</f>
      </c>
      <c r="AA244" s="435" t="str">
        <f> IF(AA264&lt;&gt;"",TEXT(AUX!AE$1,"dd-MMM-aa"),"")</f>
      </c>
      <c r="AB244" s="497" t="str">
        <f> IF(AB264&lt;&gt;"",TEXT(AUX!AF$1,"dd-MMM-aa"),"")</f>
      </c>
      <c r="AC244" s="496" t="str">
        <f> IF(AC264&lt;&gt;"",TEXT(AUX!AG$1,"dd-MMM-aa"),"")</f>
      </c>
      <c r="AD244" s="496" t="str">
        <f> IF(AD264&lt;&gt;"",TEXT(AUX!AH$1,"dd-MMM-aa"),"")</f>
      </c>
      <c r="AE244" s="496" t="str">
        <f> IF(AE264&lt;&gt;"",TEXT(AUX!AI$1,"dd-MMM-aa"),"")</f>
      </c>
      <c r="AF244" s="496" t="str">
        <f> IF(AF264&lt;&gt;"",TEXT(AUX!AJ$1,"dd-MMM-aa"),"")</f>
      </c>
      <c r="AG244" s="496" t="str">
        <f> IF(AG264&lt;&gt;"",TEXT(AUX!AK$1,"dd-MMM-aa"),"")</f>
      </c>
      <c r="AH244" s="496" t="str">
        <f> IF(AH264&lt;&gt;"",TEXT(AUX!AL$1,"dd-MMM-aa"),"")</f>
      </c>
      <c r="AI244" s="496" t="str">
        <f> IF(AI264&lt;&gt;"",TEXT(AUX!AM$1,"dd-MMM-aa"),"")</f>
      </c>
      <c r="AJ244" s="496" t="str">
        <f> IF(AJ264&lt;&gt;"",TEXT(AUX!AN$1,"dd-MMM-aa"),"")</f>
      </c>
      <c r="AK244" s="496" t="str">
        <f> IF(AK264&lt;&gt;"",TEXT(AUX!AO$1,"dd-MMM-aa"),"")</f>
      </c>
      <c r="AL244" s="496" t="str">
        <f> IF(AL264&lt;&gt;"",TEXT(AUX!AP$1,"dd-MMM-aa"),"")</f>
      </c>
      <c r="AM244" s="496" t="str">
        <f> IF(AM264&lt;&gt;"",TEXT(AUX!AQ$1,"dd-MMM-aa"),"")</f>
      </c>
      <c r="AN244" s="496" t="str">
        <f> IF(AN264&lt;&gt;"",TEXT(AUX!AR$1,"dd-MMM-aa"),"")</f>
      </c>
      <c r="AO244" s="496" t="str">
        <f> IF(AO264&lt;&gt;"",TEXT(AUX!AS$1,"dd-MMM-aa"),"")</f>
      </c>
      <c r="AP244" s="496" t="str">
        <f> IF(AP264&lt;&gt;"",TEXT(AUX!AT$1,"dd-MMM-aa"),"")</f>
      </c>
      <c r="AQ244" s="496" t="str">
        <f> IF(AQ264&lt;&gt;"",TEXT(AUX!AU$1,"dd-MMM-aa"),"")</f>
      </c>
      <c r="AR244" s="496" t="str">
        <f> IF(AR264&lt;&gt;"",TEXT(AUX!AV$1,"dd-MMM-aa"),"")</f>
      </c>
      <c r="AS244" s="496" t="str">
        <f> IF(AS264&lt;&gt;"",TEXT(AUX!AW$1,"dd-MMM-aa"),"")</f>
      </c>
      <c r="AT244" s="496" t="str">
        <f> IF(AT264&lt;&gt;"",TEXT(AUX!AX$1,"dd-MMM-aa"),"")</f>
      </c>
      <c r="AU244" s="496" t="str">
        <f> IF(AU264&lt;&gt;"",TEXT(AUX!AY$1,"dd-MMM-aa"),"")</f>
      </c>
      <c r="AV244" s="496" t="str">
        <f> IF(AV264&lt;&gt;"",TEXT(AUX!AZ$1,"dd-MMM-aa"),"")</f>
      </c>
      <c r="AW244" s="496" t="str">
        <f> IF(AW264&lt;&gt;"",TEXT(AUX!BA$1,"dd-MMM-aa"),"")</f>
      </c>
      <c r="AX244" s="496" t="str">
        <f> IF(AX264&lt;&gt;"",TEXT(AUX!BB$1,"dd-MMM-aa"),"")</f>
      </c>
      <c r="AY244" s="496" t="str">
        <f> IF(AY264&lt;&gt;"",TEXT(AUX!BC$1,"dd-MMM-aa"),"")</f>
      </c>
      <c r="AZ244" s="496" t="str">
        <f> IF(AZ264&lt;&gt;"",TEXT(AUX!BD$1,"dd-MMM-aa"),"")</f>
      </c>
      <c r="BA244" s="496" t="str">
        <f> IF(BA264&lt;&gt;"",TEXT(AUX!BE$1,"dd-MMM-aa"),"")</f>
      </c>
      <c r="BB244" s="496" t="str">
        <f> IF(BB264&lt;&gt;"",TEXT(AUX!BF$1,"dd-MMM-aa"),"")</f>
      </c>
      <c r="BC244" s="496" t="str">
        <f> IF(BC264&lt;&gt;"",TEXT(AUX!BG$1,"dd-MMM-aa"),"")</f>
      </c>
      <c r="BD244" s="496" t="str">
        <f> IF(BD264&lt;&gt;"",TEXT(AUX!BH$1,"dd-MMM-aa"),"")</f>
      </c>
      <c r="BE244" s="496" t="str">
        <f> IF(BE264&lt;&gt;"",TEXT(AUX!BI$1,"dd-MMM-aa"),"")</f>
      </c>
      <c r="BF244" s="496" t="str">
        <f> IF(BF264&lt;&gt;"",TEXT(AUX!BJ$1,"dd-MMM-aa"),"")</f>
      </c>
      <c r="BG244" s="496" t="str">
        <f> IF(BG264&lt;&gt;"",TEXT(AUX!BK$1,"dd-MMM-aa"),"")</f>
      </c>
      <c r="BH244" s="496" t="str">
        <f> IF(BH264&lt;&gt;"",TEXT(AUX!BL$1,"dd-MMM-aa"),"")</f>
      </c>
      <c r="BI244" s="496" t="str">
        <f> IF(BI264&lt;&gt;"",TEXT(AUX!BM$1,"dd-MMM-aa"),"")</f>
      </c>
      <c r="BJ244" s="496" t="str">
        <f> IF(BJ264&lt;&gt;"",TEXT(AUX!BN$1,"dd-MMM-aa"),"")</f>
      </c>
      <c r="BK244" s="496" t="str">
        <f> IF(BK264&lt;&gt;"",TEXT(AUX!BO$1,"dd-MMM-aa"),"")</f>
      </c>
      <c r="BL244" s="496" t="str">
        <f> IF(BL264&lt;&gt;"",TEXT(AUX!BP$1,"dd-MMM-aa"),"")</f>
      </c>
      <c r="BM244" s="496" t="str">
        <f> IF(BM264&lt;&gt;"",TEXT(AUX!BQ$1,"dd-MMM-aa"),"")</f>
      </c>
      <c r="BN244" s="496" t="str">
        <f> IF(BN264&lt;&gt;"",TEXT(AUX!BR$1,"dd-MMM-aa"),"")</f>
      </c>
      <c r="BO244" s="496" t="str">
        <f> IF(BO264&lt;&gt;"",TEXT(AUX!BS$1,"dd-MMM-aa"),"")</f>
      </c>
      <c r="BP244" s="496" t="str">
        <f> IF(BP264&lt;&gt;"",TEXT(AUX!BT$1,"dd-MMM-aa"),"")</f>
      </c>
      <c r="BQ244" s="496" t="str">
        <f> IF(BQ264&lt;&gt;"",TEXT(AUX!BU$1,"dd-MMM-aa"),"")</f>
      </c>
      <c r="BR244" s="496" t="str">
        <f> IF(BR264&lt;&gt;"",TEXT(AUX!BV$1,"dd-MMM-aa"),"")</f>
      </c>
      <c r="BS244" s="496" t="str">
        <f> IF(BS264&lt;&gt;"",TEXT(AUX!BW$1,"dd-MMM-aa"),"")</f>
      </c>
      <c r="BT244" s="496" t="str">
        <f> IF(BT264&lt;&gt;"",TEXT(AUX!BX$1,"dd-MMM-aa"),"")</f>
      </c>
      <c r="BU244" s="496" t="str">
        <f> IF(BU264&lt;&gt;"",TEXT(AUX!BY$1,"dd-MMM-aa"),"")</f>
      </c>
      <c r="BV244" s="496" t="str">
        <f> IF(BV264&lt;&gt;"",TEXT(AUX!BZ$1,"dd-MMM-aa"),"")</f>
      </c>
      <c r="BW244" s="496" t="str">
        <f> IF(BW264&lt;&gt;"",TEXT(AUX!CA$1,"dd-MMM-aa"),"")</f>
      </c>
      <c r="BX244" s="496" t="str">
        <f> IF(BX264&lt;&gt;"",TEXT(AUX!CB$1,"dd-MMM-aa"),"")</f>
      </c>
      <c r="BY244" s="496" t="str">
        <f> IF(BY264&lt;&gt;"",TEXT(AUX!CC$1,"dd-MMM-aa"),"")</f>
      </c>
      <c r="BZ244" s="496" t="str">
        <f> IF(BZ264&lt;&gt;"",TEXT(AUX!CD$1,"dd-MMM-aa"),"")</f>
      </c>
      <c r="CA244" s="496" t="str">
        <f> IF(CA264&lt;&gt;"",TEXT(AUX!CE$1,"dd-MMM-aa"),"")</f>
      </c>
      <c r="CB244" s="496" t="str">
        <f> IF(CB264&lt;&gt;"",TEXT(AUX!CF$1,"dd-MMM-aa"),"")</f>
      </c>
      <c r="CC244" s="496" t="str">
        <f> IF(CC264&lt;&gt;"",TEXT(AUX!CG$1,"dd-MMM-aa"),"")</f>
      </c>
      <c r="CD244" s="496" t="str">
        <f> IF(CD264&lt;&gt;"",TEXT(AUX!CH$1,"dd-MMM-aa"),"")</f>
      </c>
      <c r="CE244" s="496" t="str">
        <f> IF(CE264&lt;&gt;"",TEXT(AUX!CI$1,"dd-MMM-aa"),"")</f>
      </c>
      <c r="CF244" s="496" t="str">
        <f> IF(CF264&lt;&gt;"",TEXT(AUX!CJ$1,"dd-MMM-aa"),"")</f>
      </c>
      <c r="CG244" s="496" t="str">
        <f> IF(CG264&lt;&gt;"",TEXT(AUX!CK$1,"dd-MMM-aa"),"")</f>
      </c>
      <c r="CH244" s="496" t="str">
        <f> IF(CH264&lt;&gt;"",TEXT(AUX!CL$1,"dd-MMM-aa"),"")</f>
      </c>
      <c r="CI244" s="496" t="str">
        <f> IF(CI264&lt;&gt;"",TEXT(AUX!CM$1,"dd-MMM-aa"),"")</f>
      </c>
      <c r="CJ244" s="496" t="str">
        <f> IF(CJ264&lt;&gt;"",TEXT(AUX!CN$1,"dd-MMM-aa"),"")</f>
      </c>
      <c r="CK244" s="496" t="str">
        <f> IF(CK264&lt;&gt;"",TEXT(AUX!CO$1,"dd-MMM-aa"),"")</f>
      </c>
      <c r="CL244" s="496" t="str">
        <f> IF(CL264&lt;&gt;"",TEXT(AUX!CP$1,"dd-MMM-aa"),"")</f>
      </c>
      <c r="CM244" s="496" t="str">
        <f> IF(CM264&lt;&gt;"",TEXT(AUX!CQ$1,"dd-MMM-aa"),"")</f>
      </c>
      <c r="CN244" s="496" t="str">
        <f> IF(CN264&lt;&gt;"",TEXT(AUX!CR$1,"dd-MMM-aa"),"")</f>
      </c>
      <c r="CO244" s="496" t="str">
        <f> IF(CO264&lt;&gt;"",TEXT(AUX!CS$1,"dd-MMM-aa"),"")</f>
      </c>
      <c r="CP244" s="496" t="str">
        <f> IF(CP264&lt;&gt;"",TEXT(AUX!CT$1,"dd-MMM-aa"),"")</f>
      </c>
      <c r="CQ244" s="496" t="str">
        <f> IF(CQ264&lt;&gt;"",TEXT(AUX!CU$1,"dd-MMM-aa"),"")</f>
      </c>
      <c r="CR244" s="496" t="str">
        <f> IF(CR264&lt;&gt;"",TEXT(AUX!CV$1,"dd-MMM-aa"),"")</f>
      </c>
      <c r="CS244" s="496" t="str">
        <f> IF(CS264&lt;&gt;"",TEXT(AUX!CW$1,"dd-MMM-aa"),"")</f>
      </c>
      <c r="CT244" s="496" t="str">
        <f> IF(CT264&lt;&gt;"",TEXT(AUX!CX$1,"dd-MMM-aa"),"")</f>
      </c>
      <c r="CU244" s="496" t="str">
        <f> IF(CU264&lt;&gt;"",TEXT(AUX!CY$1,"dd-MMM-aa"),"")</f>
      </c>
      <c r="CV244" s="496" t="str">
        <f> IF(CV264&lt;&gt;"",TEXT(AUX!CZ$1,"dd-MMM-aa"),"")</f>
      </c>
      <c r="CW244" s="496" t="str">
        <f> IF(CW264&lt;&gt;"",TEXT(AUX!DA$1,"dd-MMM-aa"),"")</f>
      </c>
      <c r="CX244" s="496" t="str">
        <f> IF(CX264&lt;&gt;"",TEXT(AUX!DB$1,"dd-MMM-aa"),"")</f>
      </c>
      <c r="CY244" s="496" t="str">
        <f> IF(CY264&lt;&gt;"",TEXT(AUX!DC$1,"dd-MMM-aa"),"")</f>
      </c>
      <c r="CZ244" s="496" t="str">
        <f> IF(CZ264&lt;&gt;"",TEXT(AUX!DD$1,"dd-MMM-aa"),"")</f>
      </c>
      <c r="DA244" s="496" t="str">
        <f> IF(DA264&lt;&gt;"",TEXT(AUX!DE$1,"dd-MMM-aa"),"")</f>
      </c>
      <c r="DB244" s="496" t="str">
        <f> IF(DB264&lt;&gt;"",TEXT(AUX!DF$1,"dd-MMM-aa"),"")</f>
      </c>
      <c r="DC244" s="496" t="str">
        <f> IF(DC264&lt;&gt;"",TEXT(AUX!DG$1,"dd-MMM-aa"),"")</f>
      </c>
      <c r="DD244" s="496" t="str">
        <f> IF(DD264&lt;&gt;"",TEXT(AUX!DH$1,"dd-MMM-aa"),"")</f>
      </c>
      <c r="DE244" s="496" t="str">
        <f> IF(DE264&lt;&gt;"",TEXT(AUX!DI$1,"dd-MMM-aa"),"")</f>
      </c>
      <c r="DF244" s="496" t="str">
        <f> IF(DF264&lt;&gt;"",TEXT(AUX!DJ$1,"dd-MMM-aa"),"")</f>
      </c>
      <c r="DG244" s="496" t="str">
        <f> IF(DG264&lt;&gt;"",TEXT(AUX!DK$1,"dd-MMM-aa"),"")</f>
      </c>
      <c r="DH244" s="496" t="str">
        <f> IF(DH264&lt;&gt;"",TEXT(AUX!DL$1,"dd-MMM-aa"),"")</f>
      </c>
      <c r="DI244" s="496" t="str">
        <f> IF(DI264&lt;&gt;"",TEXT(AUX!DM$1,"dd-MMM-aa"),"")</f>
      </c>
      <c r="DJ244" s="496" t="str">
        <f> IF(DJ264&lt;&gt;"",TEXT(AUX!DN$1,"dd-MMM-aa"),"")</f>
      </c>
      <c r="DK244" s="496" t="str">
        <f> IF(DK264&lt;&gt;"",TEXT(AUX!DO$1,"dd-MMM-aa"),"")</f>
      </c>
      <c r="DL244" s="496" t="str">
        <f> IF(DL264&lt;&gt;"",TEXT(AUX!DP$1,"dd-MMM-aa"),"")</f>
      </c>
      <c r="DM244" s="496" t="str">
        <f> IF(DM264&lt;&gt;"",TEXT(AUX!DQ$1,"dd-MMM-aa"),"")</f>
      </c>
      <c r="DN244" s="496" t="str">
        <f> IF(DN264&lt;&gt;"",TEXT(AUX!DR$1,"dd-MMM-aa"),"")</f>
      </c>
      <c r="DO244" s="496" t="str">
        <f> IF(DO264&lt;&gt;"",TEXT(AUX!DS$1,"dd-MMM-aa"),"")</f>
      </c>
      <c r="DP244" s="496" t="str">
        <f> IF(DP264&lt;&gt;"",TEXT(AUX!DT$1,"dd-MMM-aa"),"")</f>
      </c>
      <c r="DQ244" s="496" t="str">
        <f> IF(DQ264&lt;&gt;"",TEXT(AUX!DU$1,"dd-MMM-aa"),"")</f>
      </c>
      <c r="DR244" s="496" t="str">
        <f> IF(DR264&lt;&gt;"",TEXT(AUX!DV$1,"dd-MMM-aa"),"")</f>
      </c>
      <c r="DS244" s="496" t="str">
        <f> IF(DS264&lt;&gt;"",TEXT(AUX!DW$1,"dd-MMM-aa"),"")</f>
      </c>
      <c r="DT244" s="496" t="str">
        <f> IF(DT264&lt;&gt;"",TEXT(AUX!DX$1,"dd-MMM-aa"),"")</f>
      </c>
      <c r="DU244" s="496" t="str">
        <f> IF(DU264&lt;&gt;"",TEXT(AUX!DY$1,"dd-MMM-aa"),"")</f>
      </c>
      <c r="DV244" s="496" t="str">
        <f> IF(DV264&lt;&gt;"",TEXT(AUX!DZ$1,"dd-MMM-aa"),"")</f>
      </c>
      <c r="DW244" s="496" t="str">
        <f> IF(DW264&lt;&gt;"",TEXT(AUX!EA$1,"dd-MMM-aa"),"")</f>
      </c>
      <c r="DX244" s="496" t="str">
        <f> IF(DX264&lt;&gt;"",TEXT(AUX!EB$1,"dd-MMM-aa"),"")</f>
      </c>
      <c r="DY244" s="496" t="str">
        <f> IF(DY264&lt;&gt;"",TEXT(AUX!EC$1,"dd-MMM-aa"),"")</f>
      </c>
      <c r="DZ244" s="496" t="str">
        <f> IF(DZ264&lt;&gt;"",TEXT(AUX!ED$1,"dd-MMM-aa"),"")</f>
      </c>
      <c r="EA244" s="496" t="str">
        <f> IF(EA264&lt;&gt;"",TEXT(AUX!EE$1,"dd-MMM-aa"),"")</f>
      </c>
      <c r="EB244" s="496" t="str">
        <f> IF(EB264&lt;&gt;"",TEXT(AUX!EF$1,"dd-MMM-aa"),"")</f>
      </c>
      <c r="EC244" s="496" t="str">
        <f> IF(EC264&lt;&gt;"",TEXT(AUX!EG$1,"dd-MMM-aa"),"")</f>
      </c>
      <c r="ED244" s="496" t="str">
        <f> IF(ED264&lt;&gt;"",TEXT(AUX!EH$1,"dd-MMM-aa"),"")</f>
      </c>
      <c r="EE244" s="496" t="str">
        <f> IF(EE264&lt;&gt;"",TEXT(AUX!EI$1,"dd-MMM-aa"),"")</f>
      </c>
      <c r="EF244" s="496" t="str">
        <f> IF(EF264&lt;&gt;"",TEXT(AUX!EJ$1,"dd-MMM-aa"),"")</f>
      </c>
      <c r="EG244" s="496" t="str">
        <f> IF(EG264&lt;&gt;"",TEXT(AUX!EK$1,"dd-MMM-aa"),"")</f>
      </c>
      <c r="EH244" s="496" t="str">
        <f> IF(EH264&lt;&gt;"",TEXT(AUX!EL$1,"dd-MMM-aa"),"")</f>
      </c>
      <c r="EI244" s="496" t="str">
        <f> IF(EI264&lt;&gt;"",TEXT(AUX!EM$1,"dd-MMM-aa"),"")</f>
      </c>
      <c r="EJ244" s="496" t="str">
        <f> IF(EJ264&lt;&gt;"",TEXT(AUX!EN$1,"dd-MMM-aa"),"")</f>
      </c>
      <c r="EK244" s="496" t="str">
        <f> IF(EK264&lt;&gt;"",TEXT(AUX!EO$1,"dd-MMM-aa"),"")</f>
      </c>
      <c r="EL244" s="496" t="str">
        <f> IF(EL264&lt;&gt;"",TEXT(AUX!EP$1,"dd-MMM-aa"),"")</f>
      </c>
      <c r="EM244" s="496" t="str">
        <f> IF(EM264&lt;&gt;"",TEXT(AUX!EQ$1,"dd-MMM-aa"),"")</f>
      </c>
      <c r="EN244" s="496" t="str">
        <f> IF(EN264&lt;&gt;"",TEXT(AUX!ER$1,"dd-MMM-aa"),"")</f>
      </c>
      <c r="EO244" s="496" t="str">
        <f> IF(EO264&lt;&gt;"",TEXT(AUX!ES$1,"dd-MMM-aa"),"")</f>
      </c>
      <c r="EP244" s="496" t="str">
        <f> IF(EP264&lt;&gt;"",TEXT(AUX!ET$1,"dd-MMM-aa"),"")</f>
      </c>
      <c r="EQ244" s="496" t="str">
        <f> IF(EQ264&lt;&gt;"",TEXT(AUX!EU$1,"dd-MMM-aa"),"")</f>
      </c>
      <c r="ER244" s="496" t="str">
        <f> IF(ER264&lt;&gt;"",TEXT(AUX!EV$1,"dd-MMM-aa"),"")</f>
      </c>
      <c r="ES244" s="496" t="str">
        <f> IF(ES264&lt;&gt;"",TEXT(AUX!EW$1,"dd-MMM-aa"),"")</f>
      </c>
      <c r="ET244" s="496" t="str">
        <f> IF(ET264&lt;&gt;"",TEXT(AUX!EX$1,"dd-MMM-aa"),"")</f>
      </c>
      <c r="EU244" s="496" t="str">
        <f> IF(EU264&lt;&gt;"",TEXT(AUX!EY$1,"dd-MMM-aa"),"")</f>
      </c>
      <c r="EV244" s="496" t="str">
        <f> IF(EV264&lt;&gt;"",TEXT(AUX!EZ$1,"dd-MMM-aa"),"")</f>
      </c>
      <c r="EW244" s="496" t="str">
        <f> IF(EW264&lt;&gt;"",TEXT(AUX!FA$1,"dd-MMM-aa"),"")</f>
      </c>
      <c r="EX244" s="496" t="str">
        <f> IF(EX264&lt;&gt;"",TEXT(AUX!FB$1,"dd-MMM-aa"),"")</f>
      </c>
      <c r="EY244" s="496" t="str">
        <f> IF(EY264&lt;&gt;"",TEXT(AUX!FC$1,"dd-MMM-aa"),"")</f>
      </c>
      <c r="EZ244" s="496" t="str">
        <f> IF(EZ264&lt;&gt;"",TEXT(AUX!FD$1,"dd-MMM-aa"),"")</f>
      </c>
      <c r="FA244" s="496" t="str">
        <f> IF(FA264&lt;&gt;"",TEXT(AUX!FE$1,"dd-MMM-aa"),"")</f>
      </c>
      <c r="FB244" s="496" t="str">
        <f> IF(FB264&lt;&gt;"",TEXT(AUX!FF$1,"dd-MMM-aa"),"")</f>
      </c>
      <c r="FC244" s="496" t="str">
        <f> IF(FC264&lt;&gt;"",TEXT(AUX!FG$1,"dd-MMM-aa"),"")</f>
      </c>
      <c r="FD244" s="496" t="str">
        <f> IF(FD264&lt;&gt;"",TEXT(AUX!FH$1,"dd-MMM-aa"),"")</f>
      </c>
      <c r="FE244" s="496" t="str">
        <f> IF(FE264&lt;&gt;"",TEXT(AUX!FI$1,"dd-MMM-aa"),"")</f>
      </c>
      <c r="FF244" s="496" t="str">
        <f> IF(FF264&lt;&gt;"",TEXT(AUX!FJ$1,"dd-MMM-aa"),"")</f>
      </c>
      <c r="FG244" s="496" t="str">
        <f> IF(FG264&lt;&gt;"",TEXT(AUX!FK$1,"dd-MMM-aa"),"")</f>
      </c>
      <c r="FH244" s="496" t="str">
        <f> IF(FH264&lt;&gt;"",TEXT(AUX!FL$1,"dd-MMM-aa"),"")</f>
      </c>
      <c r="FI244" s="496" t="str">
        <f> IF(FI264&lt;&gt;"",TEXT(AUX!FM$1,"dd-MMM-aa"),"")</f>
      </c>
      <c r="FJ244" s="496" t="str">
        <f> IF(FJ264&lt;&gt;"",TEXT(AUX!FN$1,"dd-MMM-aa"),"")</f>
      </c>
      <c r="FK244" s="496" t="str">
        <f> IF(FK264&lt;&gt;"",TEXT(AUX!FO$1,"dd-MMM-aa"),"")</f>
      </c>
      <c r="FL244" s="496" t="str">
        <f> IF(FL264&lt;&gt;"",TEXT(AUX!FP$1,"dd-MMM-aa"),"")</f>
      </c>
      <c r="FM244" s="496" t="str">
        <f> IF(FM264&lt;&gt;"",TEXT(AUX!FQ$1,"dd-MMM-aa"),"")</f>
      </c>
      <c r="FN244" s="496" t="str">
        <f> IF(FN264&lt;&gt;"",TEXT(AUX!FR$1,"dd-MMM-aa"),"")</f>
      </c>
      <c r="FO244" s="496" t="str">
        <f> IF(FO264&lt;&gt;"",TEXT(AUX!FS$1,"dd-MMM-aa"),"")</f>
      </c>
      <c r="FP244" s="496" t="str">
        <f> IF(FP264&lt;&gt;"",TEXT(AUX!FT$1,"dd-MMM-aa"),"")</f>
      </c>
      <c r="FQ244" s="496" t="str">
        <f> IF(FQ264&lt;&gt;"",TEXT(AUX!FU$1,"dd-MMM-aa"),"")</f>
      </c>
      <c r="FR244" s="496" t="str">
        <f> IF(FR264&lt;&gt;"",TEXT(AUX!FV$1,"dd-MMM-aa"),"")</f>
      </c>
      <c r="FS244" s="496" t="str">
        <f> IF(FS264&lt;&gt;"",TEXT(AUX!FW$1,"dd-MMM-aa"),"")</f>
      </c>
      <c r="FT244" s="496" t="str">
        <f> IF(FT264&lt;&gt;"",TEXT(AUX!FX$1,"dd-MMM-aa"),"")</f>
      </c>
      <c r="FU244" s="496" t="str">
        <f> IF(FU264&lt;&gt;"",TEXT(AUX!FY$1,"dd-MMM-aa"),"")</f>
      </c>
      <c r="FV244" s="496" t="str">
        <f> IF(FV264&lt;&gt;"",TEXT(AUX!FZ$1,"dd-MMM-aa"),"")</f>
      </c>
      <c r="FW244" s="496" t="str">
        <f> IF(FW264&lt;&gt;"",TEXT(AUX!GA$1,"dd-MMM-aa"),"")</f>
      </c>
      <c r="FX244" s="496" t="str">
        <f> IF(FX264&lt;&gt;"",TEXT(AUX!GB$1,"dd-MMM-aa"),"")</f>
      </c>
      <c r="FY244" s="496" t="str">
        <f> IF(FY264&lt;&gt;"",TEXT(AUX!GC$1,"dd-MMM-aa"),"")</f>
      </c>
      <c r="FZ244" s="496" t="str">
        <f> IF(FZ264&lt;&gt;"",TEXT(AUX!GD$1,"dd-MMM-aa"),"")</f>
      </c>
      <c r="GA244" s="496" t="str">
        <f> IF(GA264&lt;&gt;"",TEXT(AUX!GE$1,"dd-MMM-aa"),"")</f>
      </c>
      <c r="GB244" s="496" t="str">
        <f> IF(GB264&lt;&gt;"",TEXT(AUX!GF$1,"dd-MMM-aa"),"")</f>
      </c>
      <c r="GC244" s="496" t="str">
        <f> IF(GC264&lt;&gt;"",TEXT(AUX!GG$1,"dd-MMM-aa"),"")</f>
      </c>
      <c r="GD244" s="496" t="str">
        <f> IF(GD264&lt;&gt;"",TEXT(AUX!GH$1,"dd-MMM-aa"),"")</f>
      </c>
      <c r="GE244" s="496" t="str">
        <f> IF(GE264&lt;&gt;"",TEXT(AUX!GI$1,"dd-MMM-aa"),"")</f>
      </c>
      <c r="GF244" s="496" t="str">
        <f> IF(GF264&lt;&gt;"",TEXT(AUX!GJ$1,"dd-MMM-aa"),"")</f>
      </c>
      <c r="GG244" s="496" t="str">
        <f> IF(GG264&lt;&gt;"",TEXT(AUX!GK$1,"dd-MMM-aa"),"")</f>
      </c>
      <c r="GH244" s="496" t="str">
        <f> IF(GH264&lt;&gt;"",TEXT(AUX!GL$1,"dd-MMM-aa"),"")</f>
      </c>
      <c r="GI244" s="496" t="str">
        <f> IF(GI264&lt;&gt;"",TEXT(AUX!GM$1,"dd-MMM-aa"),"")</f>
      </c>
      <c r="GJ244" s="496" t="str">
        <f> IF(GJ264&lt;&gt;"",TEXT(AUX!GN$1,"dd-MMM-aa"),"")</f>
      </c>
      <c r="GK244" s="496" t="str">
        <f> IF(GK264&lt;&gt;"",TEXT(AUX!GO$1,"dd-MMM-aa"),"")</f>
      </c>
      <c r="GL244" s="496" t="str">
        <f> IF(GL264&lt;&gt;"",TEXT(AUX!GP$1,"dd-MMM-aa"),"")</f>
      </c>
      <c r="GM244" s="496" t="str">
        <f> IF(GM264&lt;&gt;"",TEXT(AUX!GQ$1,"dd-MMM-aa"),"")</f>
      </c>
      <c r="GN244" s="496" t="str">
        <f> IF(GN264&lt;&gt;"",TEXT(AUX!GR$1,"dd-MMM-aa"),"")</f>
      </c>
      <c r="GO244" s="496" t="str">
        <f> IF(GO264&lt;&gt;"",TEXT(AUX!GS$1,"dd-MMM-aa"),"")</f>
      </c>
      <c r="GP244" s="496" t="str">
        <f> IF(GP264&lt;&gt;"",TEXT(AUX!GT$1,"dd-MMM-aa"),"")</f>
      </c>
      <c r="GQ244" s="496" t="str">
        <f> IF(GQ264&lt;&gt;"",TEXT(AUX!GU$1,"dd-MMM-aa"),"")</f>
      </c>
      <c r="GR244" s="496" t="str">
        <f> IF(GR264&lt;&gt;"",TEXT(AUX!GV$1,"dd-MMM-aa"),"")</f>
      </c>
      <c r="GS244" s="496" t="str">
        <f> IF(GS264&lt;&gt;"",TEXT(AUX!GW$1,"dd-MMM-aa"),"")</f>
      </c>
      <c r="GT244" s="496" t="str">
        <f> IF(GT264&lt;&gt;"",TEXT(AUX!GX$1,"dd-MMM-aa"),"")</f>
      </c>
      <c r="GU244" s="496" t="str">
        <f> IF(GU264&lt;&gt;"",TEXT(AUX!GY$1,"dd-MMM-aa"),"")</f>
      </c>
      <c r="GV244" s="496" t="str">
        <f> IF(GV264&lt;&gt;"",TEXT(AUX!GZ$1,"dd-MMM-aa"),"")</f>
      </c>
      <c r="GW244" s="496" t="str">
        <f> IF(GW264&lt;&gt;"",TEXT(AUX!HA$1,"dd-MMM-aa"),"")</f>
      </c>
      <c r="GX244" s="496" t="str">
        <f> IF(GX264&lt;&gt;"",TEXT(AUX!HB$1,"dd-MMM-aa"),"")</f>
      </c>
      <c r="GY244" s="496" t="str">
        <f> IF(GY264&lt;&gt;"",TEXT(AUX!HC$1,"dd-MMM-aa"),"")</f>
      </c>
      <c r="GZ244" s="496" t="str">
        <f> IF(GZ264&lt;&gt;"",TEXT(AUX!HD$1,"dd-MMM-aa"),"")</f>
      </c>
      <c r="HA244" s="496" t="str">
        <f> IF(HA264&lt;&gt;"",TEXT(AUX!HE$1,"dd-MMM-aa"),"")</f>
      </c>
      <c r="HB244" s="496" t="str">
        <f> IF(HB264&lt;&gt;"",TEXT(AUX!HF$1,"dd-MMM-aa"),"")</f>
      </c>
      <c r="HC244" s="496" t="str">
        <f> IF(HC264&lt;&gt;"",TEXT(AUX!HG$1,"dd-MMM-aa"),"")</f>
      </c>
      <c r="HD244" s="496" t="str">
        <f> IF(HD264&lt;&gt;"",TEXT(AUX!HH$1,"dd-MMM-aa"),"")</f>
      </c>
      <c r="HE244" s="496" t="str">
        <f> IF(HE264&lt;&gt;"",TEXT(AUX!HI$1,"dd-MMM-aa"),"")</f>
      </c>
      <c r="HF244" s="496" t="str">
        <f> IF(HF264&lt;&gt;"",TEXT(AUX!HJ$1,"dd-MMM-aa"),"")</f>
      </c>
      <c r="HG244" s="496" t="str">
        <f> IF(HG264&lt;&gt;"",TEXT(AUX!HK$1,"dd-MMM-aa"),"")</f>
      </c>
      <c r="HH244" s="496" t="str">
        <f> IF(HH264&lt;&gt;"",TEXT(AUX!HL$1,"dd-MMM-aa"),"")</f>
      </c>
      <c r="HI244" s="496" t="str">
        <f> IF(HI264&lt;&gt;"",TEXT(AUX!HM$1,"dd-MMM-aa"),"")</f>
      </c>
      <c r="HJ244" s="496" t="str">
        <f> IF(HJ264&lt;&gt;"",TEXT(AUX!HN$1,"dd-MMM-aa"),"")</f>
      </c>
      <c r="HK244" s="496" t="str">
        <f> IF(HK264&lt;&gt;"",TEXT(AUX!HO$1,"dd-MMM-aa"),"")</f>
      </c>
      <c r="HL244" s="496" t="str">
        <f> IF(HL264&lt;&gt;"",TEXT(AUX!HP$1,"dd-MMM-aa"),"")</f>
      </c>
      <c r="HM244" s="496" t="str">
        <f> IF(HM264&lt;&gt;"",TEXT(AUX!HQ$1,"dd-MMM-aa"),"")</f>
      </c>
      <c r="HN244" s="496" t="str">
        <f> IF(HN264&lt;&gt;"",TEXT(AUX!HR$1,"dd-MMM-aa"),"")</f>
      </c>
      <c r="HO244" s="496" t="str">
        <f> IF(HO264&lt;&gt;"",TEXT(AUX!HS$1,"dd-MMM-aa"),"")</f>
      </c>
      <c r="HP244" s="496" t="str">
        <f> IF(HP264&lt;&gt;"",TEXT(AUX!HT$1,"dd-MMM-aa"),"")</f>
      </c>
      <c r="HQ244" s="496" t="str">
        <f> IF(HQ264&lt;&gt;"",TEXT(AUX!HU$1,"dd-MMM-aa"),"")</f>
      </c>
      <c r="HR244" s="496" t="str">
        <f> IF(HR264&lt;&gt;"",TEXT(AUX!HV$1,"dd-MMM-aa"),"")</f>
      </c>
      <c r="HS244" s="496" t="str">
        <f> IF(HS264&lt;&gt;"",TEXT(AUX!HW$1,"dd-MMM-aa"),"")</f>
      </c>
      <c r="HT244" s="496" t="str">
        <f> IF(HT264&lt;&gt;"",TEXT(AUX!HX$1,"dd-MMM-aa"),"")</f>
      </c>
      <c r="HU244" s="496" t="str">
        <f> IF(HU264&lt;&gt;"",TEXT(AUX!HY$1,"dd-MMM-aa"),"")</f>
      </c>
      <c r="HV244" s="496" t="str">
        <f> IF(HV264&lt;&gt;"",TEXT(AUX!HZ$1,"dd-MMM-aa"),"")</f>
      </c>
      <c r="HW244" s="496" t="str">
        <f> IF(HW264&lt;&gt;"",TEXT(AUX!IA$1,"dd-MMM-aa"),"")</f>
      </c>
      <c r="HX244" s="496" t="str">
        <f> IF(HX264&lt;&gt;"",TEXT(AUX!IB$1,"dd-MMM-aa"),"")</f>
      </c>
      <c r="HY244" s="496" t="str">
        <f> IF(HY264&lt;&gt;"",TEXT(AUX!IC$1,"dd-MMM-aa"),"")</f>
      </c>
      <c r="HZ244" s="496" t="str">
        <f> IF(HZ264&lt;&gt;"",TEXT(AUX!ID$1,"dd-MMM-aa"),"")</f>
      </c>
      <c r="IA244" s="496" t="str">
        <f> IF(IA264&lt;&gt;"",TEXT(AUX!IE$1,"dd-MMM-aa"),"")</f>
      </c>
      <c r="IB244" s="496" t="str">
        <f> IF(IB264&lt;&gt;"",TEXT(AUX!IF$1,"dd-MMM-aa"),"")</f>
      </c>
      <c r="IC244" s="496" t="str">
        <f> IF(IC264&lt;&gt;"",TEXT(AUX!IG$1,"dd-MMM-aa"),"")</f>
      </c>
      <c r="ID244" s="496" t="str">
        <f> IF(ID264&lt;&gt;"",TEXT(AUX!IH$1,"dd-MMM-aa"),"")</f>
      </c>
      <c r="IE244" s="496" t="str">
        <f> IF(IE264&lt;&gt;"",TEXT(AUX!II$1,"dd-MMM-aa"),"")</f>
      </c>
      <c r="IF244" s="496" t="str">
        <f> IF(IF264&lt;&gt;"",TEXT(AUX!IJ$1,"dd-MMM-aa"),"")</f>
      </c>
      <c r="IG244" s="496" t="str">
        <f> IF(IG264&lt;&gt;"",TEXT(AUX!IK$1,"dd-MMM-aa"),"")</f>
      </c>
      <c r="IH244" s="496" t="str">
        <f> IF(IH264&lt;&gt;"",TEXT(AUX!IL$1,"dd-MMM-aa"),"")</f>
      </c>
      <c r="II244" s="496" t="str">
        <f> IF(II264&lt;&gt;"",TEXT(AUX!IM$1,"dd-MMM-aa"),"")</f>
      </c>
      <c r="IJ244" s="496" t="str">
        <f> IF(IJ264&lt;&gt;"",TEXT(AUX!IN$1,"dd-MMM-aa"),"")</f>
      </c>
      <c r="IK244" s="496" t="str">
        <f> IF(IK264&lt;&gt;"",TEXT(AUX!IO$1,"dd-MMM-aa"),"")</f>
      </c>
      <c r="IL244" s="496" t="str">
        <f> IF(IL264&lt;&gt;"",TEXT(AUX!IP$1,"dd-MMM-aa"),"")</f>
      </c>
      <c r="IM244" s="496" t="str">
        <f> IF(IM264&lt;&gt;"",TEXT(AUX!IQ$1,"dd-MMM-aa"),"")</f>
      </c>
      <c r="IN244" s="496" t="str">
        <f> IF(IN264&lt;&gt;"",TEXT(AUX!IR$1,"dd-MMM-aa"),"")</f>
      </c>
      <c r="IO244" s="496" t="str">
        <f> IF(IO264&lt;&gt;"",TEXT(AUX!IS$1,"dd-MMM-aa"),"")</f>
      </c>
      <c r="IP244" s="496" t="str">
        <f> IF(IP264&lt;&gt;"",TEXT(AUX!IT$1,"dd-MMM-aa"),"")</f>
      </c>
      <c r="IQ244" s="496" t="str">
        <f> IF(IQ264&lt;&gt;"",TEXT(AUX!IU$1,"dd-MMM-aa"),"")</f>
      </c>
      <c r="IR244" s="496" t="str">
        <f> IF(IR264&lt;&gt;"",TEXT(AUX!IV$1,"dd-MMM-aa"),"")</f>
      </c>
      <c r="IS244" s="496" t="str">
        <f> IF(IS264&lt;&gt;"",TEXT(AUX!#REF!,"dd-MMM-aa"),"")</f>
      </c>
      <c r="IT244" s="496" t="str">
        <f> IF(IT264&lt;&gt;"",TEXT(AUX!#REF!,"dd-MMM-aa"),"")</f>
      </c>
      <c r="IU244" s="496" t="str">
        <f> IF(IU264&lt;&gt;"",TEXT(AUX!#REF!,"dd-MMM-aa"),"")</f>
      </c>
      <c r="IV244" s="496" t="str">
        <f> IF(IV264&lt;&gt;"",TEXT(AUX!#REF!,"dd-MMM-aa"),"")</f>
      </c>
    </row>
    <row r="245" hidden="1">
      <c r="B245" s="838" t="s">
        <v>8</v>
      </c>
      <c r="C245" s="839">
        <f>C152 + C175</f>
        <v>21171</v>
      </c>
      <c r="D245" s="839">
        <f>D152 + D175</f>
        <v>20422</v>
      </c>
      <c r="E245" s="839">
        <f>E152 + E175</f>
        <v>25886</v>
      </c>
      <c r="F245" s="839">
        <f>F152 + F175</f>
        <v>26300</v>
      </c>
      <c r="G245" s="839">
        <f>G152 + G175</f>
        <v>25805</v>
      </c>
      <c r="H245" s="839">
        <f>H152 + H175</f>
        <v>26689</v>
      </c>
      <c r="I245" s="839">
        <f>I152 + I175</f>
        <v>25699</v>
      </c>
      <c r="J245" s="839">
        <f>J152 + J175</f>
        <v>25312</v>
      </c>
      <c r="K245" s="839">
        <f>K152 + K175</f>
        <v>24113</v>
      </c>
      <c r="L245" s="839">
        <f>L152 + L175</f>
        <v>25290</v>
      </c>
      <c r="M245" s="839">
        <f>M152 + M175</f>
        <v>24312</v>
      </c>
      <c r="N245" s="839">
        <f>N152 + N175</f>
        <v>23827</v>
      </c>
      <c r="O245" s="839">
        <f>O152 + O175</f>
        <v>22677</v>
      </c>
      <c r="P245" s="839">
        <f>P152 + P175</f>
        <v>24380</v>
      </c>
      <c r="Q245" s="839">
        <f>Q152 + Q175</f>
        <v>21288</v>
      </c>
      <c r="R245" s="839">
        <f>R152 + R175</f>
        <v>21179</v>
      </c>
      <c r="S245" s="839">
        <f>S152 + S175</f>
        <v>22661</v>
      </c>
      <c r="T245" s="839">
        <f>T152 + T175</f>
        <v>22694</v>
      </c>
      <c r="U245" s="839">
        <f>U152 + U175</f>
        <v>22484</v>
      </c>
      <c r="V245" s="839">
        <f>V152 + V175</f>
        <v>19410</v>
      </c>
      <c r="W245" s="839">
        <f>W152 + W175</f>
        <v>18182</v>
      </c>
      <c r="X245" s="839">
        <f>X152 + X175</f>
        <v>17191</v>
      </c>
      <c r="Y245" s="839">
        <f>Y152 + Y175</f>
        <v>14111</v>
      </c>
      <c r="Z245" s="839">
        <f>Z152 + Z175</f>
        <v>12231</v>
      </c>
      <c r="AA245" s="839">
        <f>AA152 + AA175</f>
        <v>12192</v>
      </c>
      <c r="AB245" s="840">
        <f>AB152 + AB175</f>
        <v>12154</v>
      </c>
      <c r="AC245" s="841">
        <f>AC152 + AC175</f>
        <v>12265</v>
      </c>
      <c r="AD245" s="841">
        <f>AD152 + AD175</f>
        <v>11182</v>
      </c>
      <c r="AE245" s="841">
        <f>AE152 + AE175</f>
        <v>11188</v>
      </c>
      <c r="AF245" s="841">
        <f>AF152 + AF175</f>
        <v>10646</v>
      </c>
      <c r="AG245" s="841">
        <f>AG152 + AG175</f>
        <v>8429</v>
      </c>
      <c r="AH245" s="841">
        <f>AH152 + AH175</f>
        <v>8019</v>
      </c>
      <c r="AI245" s="841">
        <f>AI152 + AI175</f>
        <v>7767</v>
      </c>
      <c r="AJ245" s="841">
        <f>AJ152 + AJ175</f>
        <v>7206</v>
      </c>
      <c r="AK245" s="841">
        <f>AK152 + AK175</f>
        <v>6903</v>
      </c>
      <c r="AL245" s="841">
        <f>AL152 + AL175</f>
        <v>6908</v>
      </c>
      <c r="AM245" s="841">
        <f>AM152 + AM175</f>
        <v>7141</v>
      </c>
      <c r="AN245" s="841">
        <f>AN152 + AN175</f>
        <v>7110</v>
      </c>
      <c r="AO245" s="841">
        <f>AO152 + AO175</f>
        <v>7153</v>
      </c>
      <c r="AP245" s="841">
        <f>AP152 + AP175</f>
        <v>6763</v>
      </c>
    </row>
    <row r="246" hidden="1">
      <c r="B246" s="842" t="s">
        <v>9</v>
      </c>
      <c r="C246" s="839">
        <f>C153 + C176</f>
        <v>87255</v>
      </c>
      <c r="D246" s="839">
        <f>D153 + D176</f>
        <v>87029</v>
      </c>
      <c r="E246" s="839">
        <f>E153 + E176</f>
        <v>86557</v>
      </c>
      <c r="F246" s="839">
        <f>F153 + F176</f>
        <v>89215</v>
      </c>
      <c r="G246" s="839">
        <f>G153 + G176</f>
        <v>89233</v>
      </c>
      <c r="H246" s="839">
        <f>H153 + H176</f>
        <v>89233</v>
      </c>
      <c r="I246" s="839">
        <f>I153 + I176</f>
        <v>93019</v>
      </c>
      <c r="J246" s="839">
        <f>J153 + J176</f>
        <v>99730</v>
      </c>
      <c r="K246" s="839">
        <f>K153 + K176</f>
        <v>101646</v>
      </c>
      <c r="L246" s="839">
        <f>L153 + L176</f>
        <v>101993</v>
      </c>
      <c r="M246" s="839">
        <f>M153 + M176</f>
        <v>101380</v>
      </c>
      <c r="N246" s="839">
        <f>N153 + N176</f>
        <v>101131</v>
      </c>
      <c r="O246" s="839">
        <f>O153 + O176</f>
        <v>101131</v>
      </c>
      <c r="P246" s="839">
        <f>P153 + P176</f>
        <v>122056</v>
      </c>
      <c r="Q246" s="839">
        <f>Q153 + Q176</f>
        <v>124297</v>
      </c>
      <c r="R246" s="839">
        <f>R153 + R176</f>
        <v>126479</v>
      </c>
      <c r="S246" s="839">
        <f>S153 + S176</f>
        <v>128234</v>
      </c>
      <c r="T246" s="839">
        <f>T153 + T176</f>
        <v>127086</v>
      </c>
      <c r="U246" s="839">
        <f>U153 + U176</f>
        <v>127736</v>
      </c>
      <c r="V246" s="839">
        <f>V153 + V176</f>
        <v>124728</v>
      </c>
      <c r="W246" s="839">
        <f>W153 + W176</f>
        <v>118897</v>
      </c>
      <c r="X246" s="839">
        <f>X153 + X176</f>
        <v>116286</v>
      </c>
      <c r="Y246" s="839">
        <f>Y153 + Y176</f>
        <v>107817</v>
      </c>
      <c r="Z246" s="839">
        <f>Z153 + Z176</f>
        <v>103213</v>
      </c>
      <c r="AA246" s="839">
        <f>AA153 + AA176</f>
        <v>101929</v>
      </c>
      <c r="AB246" s="839">
        <f>AB153 + AB176</f>
        <v>97982</v>
      </c>
      <c r="AC246" s="841">
        <f>AC153 + AC176</f>
        <v>96048</v>
      </c>
      <c r="AD246" s="841">
        <f>AD153 + AD176</f>
        <v>94950</v>
      </c>
      <c r="AE246" s="841">
        <f>AE153 + AE176</f>
        <v>93954</v>
      </c>
      <c r="AF246" s="841">
        <f>AF153 + AF176</f>
        <v>95114</v>
      </c>
      <c r="AG246" s="841">
        <f>AG153 + AG176</f>
        <v>100170</v>
      </c>
      <c r="AH246" s="841">
        <f>AH153 + AH176</f>
        <v>91528</v>
      </c>
      <c r="AI246" s="841">
        <f>AI153 + AI176</f>
        <v>87615</v>
      </c>
      <c r="AJ246" s="841">
        <f>AJ153 + AJ176</f>
        <v>86688</v>
      </c>
      <c r="AK246" s="841">
        <f>AK153 + AK176</f>
        <v>80394</v>
      </c>
      <c r="AL246" s="841">
        <f>AL153 + AL176</f>
        <v>80101</v>
      </c>
      <c r="AM246" s="841">
        <f>AM153 + AM176</f>
        <v>73061</v>
      </c>
      <c r="AN246" s="841">
        <f>AN153 + AN176</f>
        <v>68679</v>
      </c>
      <c r="AO246" s="841">
        <f>AO153 + AO176</f>
        <v>68046</v>
      </c>
      <c r="AP246" s="841">
        <f>AP153 + AP176</f>
        <v>67077</v>
      </c>
    </row>
    <row r="247" hidden="1">
      <c r="B247" s="842" t="s">
        <v>10</v>
      </c>
      <c r="C247" s="839">
        <f>C154 + C177</f>
        <v>7041</v>
      </c>
      <c r="D247" s="839">
        <f>D154 + D177</f>
        <v>7041</v>
      </c>
      <c r="E247" s="839">
        <f>E154 + E177</f>
        <v>6656</v>
      </c>
      <c r="F247" s="839">
        <f>F154 + F177</f>
        <v>6656</v>
      </c>
      <c r="G247" s="839">
        <f>G154 + G177</f>
        <v>6457</v>
      </c>
      <c r="H247" s="839">
        <f>H154 + H177</f>
        <v>6139</v>
      </c>
      <c r="I247" s="839">
        <f>I154 + I177</f>
        <v>5279</v>
      </c>
      <c r="J247" s="839">
        <f>J154 + J177</f>
        <v>5279</v>
      </c>
      <c r="K247" s="839">
        <f>K154 + K177</f>
        <v>4465</v>
      </c>
      <c r="L247" s="839">
        <f>L154 + L177</f>
        <v>4420</v>
      </c>
      <c r="M247" s="839">
        <f>M154 + M177</f>
        <v>4145</v>
      </c>
      <c r="N247" s="839">
        <f>N154 + N177</f>
        <v>4145</v>
      </c>
      <c r="O247" s="839">
        <f>O154 + O177</f>
        <v>4158</v>
      </c>
      <c r="P247" s="839">
        <f>P154 + P177</f>
        <v>4158</v>
      </c>
      <c r="Q247" s="839">
        <f>Q154 + Q177</f>
        <v>2345</v>
      </c>
      <c r="R247" s="839">
        <f>R154 + R177</f>
        <v>2895</v>
      </c>
      <c r="S247" s="839">
        <f>S154 + S177</f>
        <v>2895</v>
      </c>
      <c r="T247" s="839">
        <f>T154 + T177</f>
        <v>2395</v>
      </c>
      <c r="U247" s="839">
        <f>U154 + U177</f>
        <v>2220</v>
      </c>
      <c r="V247" s="839">
        <f>V154 + V177</f>
        <v>2220</v>
      </c>
      <c r="W247" s="839">
        <f>W154 + W177</f>
        <v>2217</v>
      </c>
      <c r="X247" s="839">
        <f>X154 + X177</f>
        <v>1667</v>
      </c>
      <c r="Y247" s="839">
        <f>Y154 + Y177</f>
        <v>1621</v>
      </c>
      <c r="Z247" s="839">
        <f>Z154 + Z177</f>
        <v>1621</v>
      </c>
      <c r="AA247" s="839">
        <f>AA154 + AA177</f>
        <v>1553</v>
      </c>
      <c r="AB247" s="839">
        <f>AB154 + AB177</f>
        <v>1553</v>
      </c>
      <c r="AC247" s="841">
        <f>AC154 + AC177</f>
        <v>1570</v>
      </c>
      <c r="AD247" s="841">
        <f>AD154 + AD177</f>
        <v>1570</v>
      </c>
      <c r="AE247" s="841">
        <f>AE154 + AE177</f>
        <v>1550</v>
      </c>
      <c r="AF247" s="841">
        <f>AF154 + AF177</f>
        <v>1550</v>
      </c>
      <c r="AG247" s="841">
        <f>AG154 + AG177</f>
        <v>1565</v>
      </c>
      <c r="AH247" s="841">
        <f>AH154 + AH177</f>
        <v>1090</v>
      </c>
      <c r="AI247" s="841">
        <f>AI154 + AI177</f>
        <v>1075</v>
      </c>
      <c r="AJ247" s="841">
        <f>AJ154 + AJ177</f>
        <v>1075</v>
      </c>
      <c r="AK247" s="841">
        <f>AK154 + AK177</f>
        <v>1091</v>
      </c>
      <c r="AL247" s="841">
        <f>AL154 + AL177</f>
        <v>1094</v>
      </c>
      <c r="AM247" s="841">
        <f>AM154 + AM177</f>
        <v>152</v>
      </c>
      <c r="AN247" s="841">
        <f>AN154 + AN177</f>
        <v>145</v>
      </c>
      <c r="AO247" s="841">
        <f>AO154 + AO177</f>
        <v>175</v>
      </c>
      <c r="AP247" s="841">
        <f>AP154 + AP177</f>
        <v>175</v>
      </c>
    </row>
    <row r="248" hidden="1">
      <c r="B248" s="842" t="s">
        <v>11</v>
      </c>
      <c r="C248" s="839">
        <f>C155 + C178</f>
        <v>4356</v>
      </c>
      <c r="D248" s="839">
        <f>D155 + D178</f>
        <v>4039</v>
      </c>
      <c r="E248" s="839">
        <f>E155 + E178</f>
        <v>3921</v>
      </c>
      <c r="F248" s="839">
        <f>F155 + F178</f>
        <v>3715</v>
      </c>
      <c r="G248" s="839">
        <f>G155 + G178</f>
        <v>3402</v>
      </c>
      <c r="H248" s="839">
        <f>H155 + H178</f>
        <v>2613</v>
      </c>
      <c r="I248" s="839">
        <f>I155 + I178</f>
        <v>2309</v>
      </c>
      <c r="J248" s="839">
        <f>J155 + J178</f>
        <v>1950</v>
      </c>
      <c r="K248" s="839">
        <f>K155 + K178</f>
        <v>1782</v>
      </c>
      <c r="L248" s="839">
        <f>L155 + L178</f>
        <v>1929</v>
      </c>
      <c r="M248" s="839">
        <f>M155 + M178</f>
        <v>1799</v>
      </c>
      <c r="N248" s="839">
        <f>N155 + N178</f>
        <v>1633</v>
      </c>
      <c r="O248" s="839">
        <f>O155 + O178</f>
        <v>1731</v>
      </c>
      <c r="P248" s="839">
        <f>P155 + P178</f>
        <v>1903</v>
      </c>
      <c r="Q248" s="839">
        <f>Q155 + Q178</f>
        <v>1846</v>
      </c>
      <c r="R248" s="839">
        <f>R155 + R178</f>
        <v>1896</v>
      </c>
      <c r="S248" s="839">
        <f>S155 + S178</f>
        <v>1973</v>
      </c>
      <c r="T248" s="839">
        <f>T155 + T178</f>
        <v>1979</v>
      </c>
      <c r="U248" s="839">
        <f>U155 + U178</f>
        <v>1710</v>
      </c>
      <c r="V248" s="839">
        <f>V155 + V178</f>
        <v>1718</v>
      </c>
      <c r="W248" s="839">
        <f>W155 + W178</f>
        <v>1622</v>
      </c>
      <c r="X248" s="839">
        <f>X155 + X178</f>
        <v>1597</v>
      </c>
      <c r="Y248" s="839">
        <f>Y155 + Y178</f>
        <v>1525</v>
      </c>
      <c r="Z248" s="839">
        <f>Z155 + Z178</f>
        <v>1580</v>
      </c>
      <c r="AA248" s="839">
        <f>AA155 + AA178</f>
        <v>1383</v>
      </c>
      <c r="AB248" s="839">
        <f>AB155 + AB178</f>
        <v>1400</v>
      </c>
      <c r="AC248" s="841">
        <f>AC155 + AC178</f>
        <v>1519</v>
      </c>
      <c r="AD248" s="841">
        <f>AD155 + AD178</f>
        <v>1578</v>
      </c>
      <c r="AE248" s="841">
        <f>AE155 + AE178</f>
        <v>1511</v>
      </c>
      <c r="AF248" s="841">
        <f>AF155 + AF178</f>
        <v>1563</v>
      </c>
      <c r="AG248" s="841">
        <f>AG155 + AG178</f>
        <v>1392</v>
      </c>
      <c r="AH248" s="841">
        <f>AH155 + AH178</f>
        <v>1446</v>
      </c>
      <c r="AI248" s="841">
        <f>AI155 + AI178</f>
        <v>1476</v>
      </c>
      <c r="AJ248" s="841">
        <f>AJ155 + AJ178</f>
        <v>1560</v>
      </c>
      <c r="AK248" s="841">
        <f>AK155 + AK178</f>
        <v>1541</v>
      </c>
      <c r="AL248" s="841">
        <f>AL155 + AL178</f>
        <v>1583</v>
      </c>
      <c r="AM248" s="841">
        <f>AM155 + AM178</f>
        <v>1596</v>
      </c>
      <c r="AN248" s="841">
        <f>AN155 + AN178</f>
        <v>1664</v>
      </c>
      <c r="AO248" s="841">
        <f>AO155 + AO178</f>
        <v>1724</v>
      </c>
      <c r="AP248" s="841">
        <f>AP155 + AP178</f>
        <v>1823</v>
      </c>
    </row>
    <row r="249" hidden="1">
      <c r="B249" s="842" t="s">
        <v>12</v>
      </c>
      <c r="C249" s="839">
        <f>C156 + C179</f>
        <v>21939</v>
      </c>
      <c r="D249" s="839">
        <f>D156 + D179</f>
        <v>23971</v>
      </c>
      <c r="E249" s="839">
        <f>E156 + E179</f>
        <v>26698</v>
      </c>
      <c r="F249" s="839">
        <f>F156 + F179</f>
        <v>25767</v>
      </c>
      <c r="G249" s="839">
        <f>G156 + G179</f>
        <v>26101</v>
      </c>
      <c r="H249" s="839">
        <f>H156 + H179</f>
        <v>26302</v>
      </c>
      <c r="I249" s="839">
        <f>I156 + I179</f>
        <v>25616</v>
      </c>
      <c r="J249" s="839">
        <f>J156 + J179</f>
        <v>22109</v>
      </c>
      <c r="K249" s="839">
        <f>K156 + K179</f>
        <v>22131</v>
      </c>
      <c r="L249" s="839">
        <f>L156 + L179</f>
        <v>21585</v>
      </c>
      <c r="M249" s="839">
        <f>M156 + M179</f>
        <v>21732</v>
      </c>
      <c r="N249" s="839">
        <f>N156 + N179</f>
        <v>20395</v>
      </c>
      <c r="O249" s="839">
        <f>O156 + O179</f>
        <v>17215</v>
      </c>
      <c r="P249" s="839">
        <f>P156 + P179</f>
        <v>16792</v>
      </c>
      <c r="Q249" s="839">
        <f>Q156 + Q179</f>
        <v>15609</v>
      </c>
      <c r="R249" s="839">
        <f>R156 + R179</f>
        <v>15179</v>
      </c>
      <c r="S249" s="839">
        <f>S156 + S179</f>
        <v>13427</v>
      </c>
      <c r="T249" s="839">
        <f>T156 + T179</f>
        <v>12650</v>
      </c>
      <c r="U249" s="839">
        <f>U156 + U179</f>
        <v>11756</v>
      </c>
      <c r="V249" s="839">
        <f>V156 + V179</f>
        <v>11804</v>
      </c>
      <c r="W249" s="839">
        <f>W156 + W179</f>
        <v>11216</v>
      </c>
      <c r="X249" s="839">
        <f>X156 + X179</f>
        <v>10372</v>
      </c>
      <c r="Y249" s="839">
        <f>Y156 + Y179</f>
        <v>8467</v>
      </c>
      <c r="Z249" s="839">
        <f>Z156 + Z179</f>
        <v>8434</v>
      </c>
      <c r="AA249" s="839">
        <f>AA156 + AA179</f>
        <v>9442</v>
      </c>
      <c r="AB249" s="839">
        <f>AB156 + AB179</f>
        <v>9849</v>
      </c>
      <c r="AC249" s="841">
        <f>AC156 + AC179</f>
        <v>9161</v>
      </c>
      <c r="AD249" s="841">
        <f>AD156 + AD179</f>
        <v>8224</v>
      </c>
      <c r="AE249" s="841">
        <f>AE156 + AE179</f>
        <v>7591</v>
      </c>
      <c r="AF249" s="841">
        <f>AF156 + AF179</f>
        <v>7134</v>
      </c>
      <c r="AG249" s="841">
        <f>AG156 + AG179</f>
        <v>6946</v>
      </c>
      <c r="AH249" s="841">
        <f>AH156 + AH179</f>
        <v>6233</v>
      </c>
      <c r="AI249" s="841">
        <f>AI156 + AI179</f>
        <v>5823</v>
      </c>
      <c r="AJ249" s="841">
        <f>AJ156 + AJ179</f>
        <v>6811</v>
      </c>
      <c r="AK249" s="841">
        <f>AK156 + AK179</f>
        <v>5537</v>
      </c>
      <c r="AL249" s="841">
        <f>AL156 + AL179</f>
        <v>5535</v>
      </c>
      <c r="AM249" s="841">
        <f>AM156 + AM179</f>
        <v>5270</v>
      </c>
      <c r="AN249" s="841">
        <f>AN156 + AN179</f>
        <v>5272</v>
      </c>
      <c r="AO249" s="841">
        <f>AO156 + AO179</f>
        <v>5250</v>
      </c>
      <c r="AP249" s="841">
        <f>AP156 + AP179</f>
        <v>5481</v>
      </c>
    </row>
    <row r="250" hidden="1">
      <c r="B250" s="842" t="s">
        <v>13</v>
      </c>
      <c r="C250" s="839">
        <f>C157 + C180</f>
        <v>12464</v>
      </c>
      <c r="D250" s="839">
        <f>D157 + D180</f>
        <v>12513</v>
      </c>
      <c r="E250" s="839">
        <f>E157 + E180</f>
        <v>11016</v>
      </c>
      <c r="F250" s="839">
        <f>F157 + F180</f>
        <v>11506</v>
      </c>
      <c r="G250" s="839">
        <f>G157 + G180</f>
        <v>13890</v>
      </c>
      <c r="H250" s="839">
        <f>H157 + H180</f>
        <v>13568</v>
      </c>
      <c r="I250" s="839">
        <f>I157 + I180</f>
        <v>13690</v>
      </c>
      <c r="J250" s="839">
        <f>J157 + J180</f>
        <v>13800</v>
      </c>
      <c r="K250" s="839">
        <f>K157 + K180</f>
        <v>10217</v>
      </c>
      <c r="L250" s="839">
        <f>L157 + L180</f>
        <v>9256</v>
      </c>
      <c r="M250" s="839">
        <f>M157 + M180</f>
        <v>8492</v>
      </c>
      <c r="N250" s="839">
        <f>N157 + N180</f>
        <v>8393</v>
      </c>
      <c r="O250" s="839">
        <f>O157 + O180</f>
        <v>7368</v>
      </c>
      <c r="P250" s="839">
        <f>P157 + P180</f>
        <v>7594</v>
      </c>
      <c r="Q250" s="839">
        <f>Q157 + Q180</f>
        <v>8744</v>
      </c>
      <c r="R250" s="839">
        <f>R157 + R180</f>
        <v>8765</v>
      </c>
      <c r="S250" s="839">
        <f>S157 + S180</f>
        <v>9137</v>
      </c>
      <c r="T250" s="839">
        <f>T157 + T180</f>
        <v>9522</v>
      </c>
      <c r="U250" s="839">
        <f>U157 + U180</f>
        <v>9132</v>
      </c>
      <c r="V250" s="839">
        <f>V157 + V180</f>
        <v>9246</v>
      </c>
      <c r="W250" s="839">
        <f>W157 + W180</f>
        <v>7708</v>
      </c>
      <c r="X250" s="839">
        <f>X157 + X180</f>
        <v>9062</v>
      </c>
      <c r="Y250" s="839">
        <f>Y157 + Y180</f>
        <v>9187</v>
      </c>
      <c r="Z250" s="839">
        <f>Z157 + Z180</f>
        <v>8590</v>
      </c>
      <c r="AA250" s="839">
        <f>AA157 + AA180</f>
        <v>8858</v>
      </c>
      <c r="AB250" s="839">
        <f>AB157 + AB180</f>
        <v>8098</v>
      </c>
      <c r="AC250" s="841">
        <f>AC157 + AC180</f>
        <v>8084</v>
      </c>
      <c r="AD250" s="841">
        <f>AD157 + AD180</f>
        <v>8100</v>
      </c>
      <c r="AE250" s="841">
        <f>AE157 + AE180</f>
        <v>7994</v>
      </c>
      <c r="AF250" s="841">
        <f>AF157 + AF180</f>
        <v>7993</v>
      </c>
      <c r="AG250" s="841">
        <f>AG157 + AG180</f>
        <v>7035</v>
      </c>
      <c r="AH250" s="841">
        <f>AH157 + AH180</f>
        <v>7021</v>
      </c>
      <c r="AI250" s="841">
        <f>AI157 + AI180</f>
        <v>7144</v>
      </c>
      <c r="AJ250" s="841">
        <f>AJ157 + AJ180</f>
        <v>5963</v>
      </c>
      <c r="AK250" s="841">
        <f>AK157 + AK180</f>
        <v>6025</v>
      </c>
      <c r="AL250" s="841">
        <f>AL157 + AL180</f>
        <v>6031</v>
      </c>
      <c r="AM250" s="841">
        <f>AM157 + AM180</f>
        <v>6057</v>
      </c>
      <c r="AN250" s="841">
        <f>AN157 + AN180</f>
        <v>6064</v>
      </c>
      <c r="AO250" s="841">
        <f>AO157 + AO180</f>
        <v>6123</v>
      </c>
      <c r="AP250" s="841">
        <f>AP157 + AP180</f>
        <v>6150</v>
      </c>
    </row>
    <row r="251" hidden="1">
      <c r="B251" s="842" t="s">
        <v>109</v>
      </c>
      <c r="C251" s="839">
        <f>C158 + C181</f>
        <v>130396</v>
      </c>
      <c r="D251" s="839">
        <f>D158 + D181</f>
        <v>128666</v>
      </c>
      <c r="E251" s="839">
        <f>E158 + E181</f>
        <v>165033</v>
      </c>
      <c r="F251" s="839">
        <f>F158 + F181</f>
        <v>158283</v>
      </c>
      <c r="G251" s="839">
        <f>G158 + G181</f>
        <v>117842</v>
      </c>
      <c r="H251" s="839">
        <f>H158 + H181</f>
        <v>116122</v>
      </c>
      <c r="I251" s="839">
        <f>I158 + I181</f>
        <v>163838</v>
      </c>
      <c r="J251" s="839">
        <f>J158 + J181</f>
        <v>156179</v>
      </c>
      <c r="K251" s="839">
        <f>K158 + K181</f>
        <v>95049</v>
      </c>
      <c r="L251" s="839">
        <f>L158 + L181</f>
        <v>94059</v>
      </c>
      <c r="M251" s="839">
        <f>M158 + M181</f>
        <v>89896</v>
      </c>
      <c r="N251" s="839">
        <f>N158 + N181</f>
        <v>89205</v>
      </c>
      <c r="O251" s="839">
        <f>O158 + O181</f>
        <v>87247</v>
      </c>
      <c r="P251" s="839">
        <f>P158 + P181</f>
        <v>86242</v>
      </c>
      <c r="Q251" s="839">
        <f>Q158 + Q181</f>
        <v>86911</v>
      </c>
      <c r="R251" s="839">
        <f>R158 + R181</f>
        <v>84019</v>
      </c>
      <c r="S251" s="839">
        <f>S158 + S181</f>
        <v>83854</v>
      </c>
      <c r="T251" s="839">
        <f>T158 + T181</f>
        <v>80331</v>
      </c>
      <c r="U251" s="839">
        <f>U158 + U181</f>
        <v>74122</v>
      </c>
      <c r="V251" s="839">
        <f>V158 + V181</f>
        <v>72463</v>
      </c>
      <c r="W251" s="839">
        <f>W158 + W181</f>
        <v>63803</v>
      </c>
      <c r="X251" s="839">
        <f>X158 + X181</f>
        <v>62164</v>
      </c>
      <c r="Y251" s="839">
        <f>Y158 + Y181</f>
        <v>59304</v>
      </c>
      <c r="Z251" s="839">
        <f>Z158 + Z181</f>
        <v>57825</v>
      </c>
      <c r="AA251" s="839">
        <f>AA158 + AA181</f>
        <v>56637</v>
      </c>
      <c r="AB251" s="839">
        <f>AB158 + AB181</f>
        <v>56713</v>
      </c>
      <c r="AC251" s="841">
        <f>AC158 + AC181</f>
        <v>54123</v>
      </c>
      <c r="AD251" s="841">
        <f>AD158 + AD181</f>
        <v>54003</v>
      </c>
      <c r="AE251" s="841">
        <f>AE158 + AE181</f>
        <v>53713</v>
      </c>
      <c r="AF251" s="841">
        <f>AF158 + AF181</f>
        <v>53164</v>
      </c>
      <c r="AG251" s="841">
        <f>AG158 + AG181</f>
        <v>51235</v>
      </c>
      <c r="AH251" s="841">
        <f>AH158 + AH181</f>
        <v>50682</v>
      </c>
      <c r="AI251" s="841">
        <f>AI158 + AI181</f>
        <v>50083</v>
      </c>
      <c r="AJ251" s="841">
        <f>AJ158 + AJ181</f>
        <v>48030</v>
      </c>
      <c r="AK251" s="841">
        <f>AK158 + AK181</f>
        <v>45858</v>
      </c>
      <c r="AL251" s="841">
        <f>AL158 + AL181</f>
        <v>43950</v>
      </c>
      <c r="AM251" s="841">
        <f>AM158 + AM181</f>
        <v>41690</v>
      </c>
      <c r="AN251" s="841">
        <f>AN158 + AN181</f>
        <v>41668</v>
      </c>
      <c r="AO251" s="841">
        <f>AO158 + AO181</f>
        <v>55365</v>
      </c>
      <c r="AP251" s="841">
        <f>AP158 + AP181</f>
        <v>54526</v>
      </c>
    </row>
    <row r="252" hidden="1">
      <c r="B252" s="842" t="s">
        <v>110</v>
      </c>
      <c r="C252" s="839">
        <f>C159 + C182</f>
        <v>139981</v>
      </c>
      <c r="D252" s="839">
        <f>D159 + D182</f>
        <v>142462</v>
      </c>
      <c r="E252" s="839">
        <f>E159 + E182</f>
        <v>145917</v>
      </c>
      <c r="F252" s="839">
        <f>F159 + F182</f>
        <v>152156</v>
      </c>
      <c r="G252" s="839">
        <f>G159 + G182</f>
        <v>155742</v>
      </c>
      <c r="H252" s="839">
        <f>H159 + H182</f>
        <v>156703</v>
      </c>
      <c r="I252" s="839">
        <f>I159 + I182</f>
        <v>154985</v>
      </c>
      <c r="J252" s="839">
        <f>J159 + J182</f>
        <v>157402</v>
      </c>
      <c r="K252" s="839">
        <f>K159 + K182</f>
        <v>148452</v>
      </c>
      <c r="L252" s="839">
        <f>L159 + L182</f>
        <v>149542</v>
      </c>
      <c r="M252" s="839">
        <f>M159 + M182</f>
        <v>146799</v>
      </c>
      <c r="N252" s="839">
        <f>N159 + N182</f>
        <v>136781</v>
      </c>
      <c r="O252" s="839">
        <f>O159 + O182</f>
        <v>144492</v>
      </c>
      <c r="P252" s="839">
        <f>P159 + P182</f>
        <v>141875</v>
      </c>
      <c r="Q252" s="839">
        <f>Q159 + Q182</f>
        <v>140681</v>
      </c>
      <c r="R252" s="839">
        <f>R159 + R182</f>
        <v>138728</v>
      </c>
      <c r="S252" s="839">
        <f>S159 + S182</f>
        <v>141272</v>
      </c>
      <c r="T252" s="839">
        <f>T159 + T182</f>
        <v>149401</v>
      </c>
      <c r="U252" s="839">
        <f>U159 + U182</f>
        <v>159721</v>
      </c>
      <c r="V252" s="839">
        <f>V159 + V182</f>
        <v>160472</v>
      </c>
      <c r="W252" s="839">
        <f>W159 + W182</f>
        <v>174277</v>
      </c>
      <c r="X252" s="839">
        <f>X159 + X182</f>
        <v>178821</v>
      </c>
      <c r="Y252" s="839">
        <f>Y159 + Y182</f>
        <v>190857</v>
      </c>
      <c r="Z252" s="839">
        <f>Z159 + Z182</f>
        <v>189447</v>
      </c>
      <c r="AA252" s="839">
        <f>AA159 + AA182</f>
        <v>177737</v>
      </c>
      <c r="AB252" s="839">
        <f>AB159 + AB182</f>
        <v>177953</v>
      </c>
      <c r="AC252" s="841">
        <f>AC159 + AC182</f>
        <v>176310</v>
      </c>
      <c r="AD252" s="841">
        <f>AD159 + AD182</f>
        <v>177370</v>
      </c>
      <c r="AE252" s="841">
        <f>AE159 + AE182</f>
        <v>177978</v>
      </c>
      <c r="AF252" s="841">
        <f>AF159 + AF182</f>
        <v>179099</v>
      </c>
      <c r="AG252" s="841">
        <f>AG159 + AG182</f>
        <v>175394</v>
      </c>
      <c r="AH252" s="841">
        <f>AH159 + AH182</f>
        <v>175476</v>
      </c>
      <c r="AI252" s="841">
        <f>AI159 + AI182</f>
        <v>178411</v>
      </c>
      <c r="AJ252" s="841">
        <f>AJ159 + AJ182</f>
        <v>176165</v>
      </c>
      <c r="AK252" s="841">
        <f>AK159 + AK182</f>
        <v>173717</v>
      </c>
      <c r="AL252" s="841">
        <f>AL159 + AL182</f>
        <v>171760</v>
      </c>
      <c r="AM252" s="841">
        <f>AM159 + AM182</f>
        <v>167376</v>
      </c>
      <c r="AN252" s="841">
        <f>AN159 + AN182</f>
        <v>166795</v>
      </c>
      <c r="AO252" s="841">
        <f>AO159 + AO182</f>
        <v>158921</v>
      </c>
      <c r="AP252" s="841">
        <f>AP159 + AP182</f>
        <v>158744</v>
      </c>
    </row>
    <row r="253" hidden="1">
      <c r="B253" s="842" t="s">
        <v>16</v>
      </c>
      <c r="C253" s="839">
        <f>C160 + C183</f>
        <v>277946</v>
      </c>
      <c r="D253" s="839">
        <f>D160 + D183</f>
        <v>30797</v>
      </c>
      <c r="E253" s="839">
        <f>E160 + E183</f>
        <v>287481</v>
      </c>
      <c r="F253" s="839">
        <f>F160 + F183</f>
        <v>289134</v>
      </c>
      <c r="G253" s="839">
        <f>G160 + G183</f>
        <v>301059</v>
      </c>
      <c r="H253" s="839">
        <f>H160 + H183</f>
        <v>299191</v>
      </c>
      <c r="I253" s="839">
        <f>I160 + I183</f>
        <v>287254</v>
      </c>
      <c r="J253" s="839">
        <f>J160 + J183</f>
        <v>283024</v>
      </c>
      <c r="K253" s="839">
        <f>K160 + K183</f>
        <v>285984</v>
      </c>
      <c r="L253" s="839">
        <f>L160 + L183</f>
        <v>284361</v>
      </c>
      <c r="M253" s="839">
        <f>M160 + M183</f>
        <v>281992</v>
      </c>
      <c r="N253" s="839">
        <f>N160 + N183</f>
        <v>277270</v>
      </c>
      <c r="O253" s="839">
        <f>O160 + O183</f>
        <v>268185</v>
      </c>
      <c r="P253" s="839">
        <f>P160 + P183</f>
        <v>245330</v>
      </c>
      <c r="Q253" s="839">
        <f>Q160 + Q183</f>
        <v>253581</v>
      </c>
      <c r="R253" s="839">
        <f>R160 + R183</f>
        <v>231527</v>
      </c>
      <c r="S253" s="839">
        <f>S160 + S183</f>
        <v>224862</v>
      </c>
      <c r="T253" s="839">
        <f>T160 + T183</f>
        <v>223272</v>
      </c>
      <c r="U253" s="839">
        <f>U160 + U183</f>
        <v>226933</v>
      </c>
      <c r="V253" s="839">
        <f>V160 + V183</f>
        <v>222040</v>
      </c>
      <c r="W253" s="839">
        <f>W160 + W183</f>
        <v>222040</v>
      </c>
      <c r="X253" s="839">
        <f>X160 + X183</f>
        <v>222040</v>
      </c>
      <c r="Y253" s="839">
        <f>Y160 + Y183</f>
        <v>222040</v>
      </c>
      <c r="Z253" s="839">
        <f>Z160 + Z183</f>
        <v>222040</v>
      </c>
      <c r="AA253" s="839">
        <f>AA160 + AA183</f>
        <v>182493</v>
      </c>
      <c r="AB253" s="839">
        <f>AB160 + AB183</f>
        <v>176421</v>
      </c>
      <c r="AC253" s="841">
        <f>AC160 + AC183</f>
        <v>168647</v>
      </c>
      <c r="AD253" s="841">
        <f>AD160 + AD183</f>
        <v>165044</v>
      </c>
      <c r="AE253" s="841">
        <f>AE160 + AE183</f>
        <v>158975</v>
      </c>
      <c r="AF253" s="841">
        <f>AF160 + AF183</f>
        <v>141054</v>
      </c>
      <c r="AG253" s="841">
        <f>AG160 + AG183</f>
        <v>146144</v>
      </c>
      <c r="AH253" s="841">
        <f>AH160 + AH183</f>
        <v>145125</v>
      </c>
      <c r="AI253" s="841">
        <f>AI160 + AI183</f>
        <v>134164</v>
      </c>
      <c r="AJ253" s="841">
        <f>AJ160 + AJ183</f>
        <v>130543</v>
      </c>
      <c r="AK253" s="841">
        <f>AK160 + AK183</f>
        <v>122014</v>
      </c>
      <c r="AL253" s="841">
        <f>AL160 + AL183</f>
        <v>118664</v>
      </c>
      <c r="AM253" s="841">
        <f>AM160 + AM183</f>
        <v>114302</v>
      </c>
      <c r="AN253" s="841">
        <f>AN160 + AN183</f>
        <v>111653</v>
      </c>
      <c r="AO253" s="841">
        <f>AO160 + AO183</f>
        <v>110426</v>
      </c>
      <c r="AP253" s="841">
        <f>AP160 + AP183</f>
        <v>107034</v>
      </c>
    </row>
    <row r="254" hidden="1">
      <c r="B254" s="842" t="s">
        <v>17</v>
      </c>
      <c r="C254" s="839">
        <f>C161 + C184</f>
        <v>8339</v>
      </c>
      <c r="D254" s="839">
        <f>D161 + D184</f>
        <v>8950</v>
      </c>
      <c r="E254" s="839">
        <f>E161 + E184</f>
        <v>8621</v>
      </c>
      <c r="F254" s="839">
        <f>F161 + F184</f>
        <v>11251</v>
      </c>
      <c r="G254" s="839">
        <f>G161 + G184</f>
        <v>10929</v>
      </c>
      <c r="H254" s="839">
        <f>H161 + H184</f>
        <v>10812</v>
      </c>
      <c r="I254" s="839">
        <f>I161 + I184</f>
        <v>9757</v>
      </c>
      <c r="J254" s="839">
        <f>J161 + J184</f>
        <v>8949</v>
      </c>
      <c r="K254" s="839">
        <f>K161 + K184</f>
        <v>14594</v>
      </c>
      <c r="L254" s="839">
        <f>L161 + L184</f>
        <v>11951</v>
      </c>
      <c r="M254" s="839">
        <f>M161 + M184</f>
        <v>8206</v>
      </c>
      <c r="N254" s="839">
        <f>N161 + N184</f>
        <v>7053</v>
      </c>
      <c r="O254" s="839">
        <f>O161 + O184</f>
        <v>11643</v>
      </c>
      <c r="P254" s="839">
        <f>P161 + P184</f>
        <v>6932</v>
      </c>
      <c r="Q254" s="839">
        <f>Q161 + Q184</f>
        <v>5490</v>
      </c>
      <c r="R254" s="839">
        <f>R161 + R184</f>
        <v>5231</v>
      </c>
      <c r="S254" s="839">
        <f>S161 + S184</f>
        <v>5520</v>
      </c>
      <c r="T254" s="839">
        <f>T161 + T184</f>
        <v>5560</v>
      </c>
      <c r="U254" s="839">
        <f>U161 + U184</f>
        <v>5790</v>
      </c>
      <c r="V254" s="839">
        <f>V161 + V184</f>
        <v>6200</v>
      </c>
      <c r="W254" s="839">
        <f>W161 + W184</f>
        <v>4921</v>
      </c>
      <c r="X254" s="839">
        <f>X161 + X184</f>
        <v>4981</v>
      </c>
      <c r="Y254" s="839">
        <f>Y161 + Y184</f>
        <v>5596</v>
      </c>
      <c r="Z254" s="839">
        <f>Z161 + Z184</f>
        <v>5596</v>
      </c>
      <c r="AA254" s="839">
        <f>AA161 + AA184</f>
        <v>5021</v>
      </c>
      <c r="AB254" s="839">
        <f>AB161 + AB184</f>
        <v>5066</v>
      </c>
      <c r="AC254" s="841">
        <f>AC161 + AC184</f>
        <v>4830</v>
      </c>
      <c r="AD254" s="841">
        <f>AD161 + AD184</f>
        <v>4830</v>
      </c>
      <c r="AE254" s="841">
        <f>AE161 + AE184</f>
        <v>4467</v>
      </c>
      <c r="AF254" s="841">
        <f>AF161 + AF184</f>
        <v>4345</v>
      </c>
      <c r="AG254" s="841">
        <f>AG161 + AG184</f>
        <v>4144</v>
      </c>
      <c r="AH254" s="841">
        <f>AH161 + AH184</f>
        <v>4044</v>
      </c>
      <c r="AI254" s="841">
        <f>AI161 + AI184</f>
        <v>3943</v>
      </c>
      <c r="AJ254" s="841">
        <f>AJ161 + AJ184</f>
        <v>3946</v>
      </c>
      <c r="AK254" s="841">
        <f>AK161 + AK184</f>
        <v>3939</v>
      </c>
      <c r="AL254" s="841">
        <f>AL161 + AL184</f>
        <v>3955</v>
      </c>
      <c r="AM254" s="841">
        <f>AM161 + AM184</f>
        <v>4157</v>
      </c>
      <c r="AN254" s="841">
        <f>AN161 + AN184</f>
        <v>4163</v>
      </c>
      <c r="AO254" s="841">
        <f>AO161 + AO184</f>
        <v>4167</v>
      </c>
      <c r="AP254" s="841">
        <f>AP161 + AP184</f>
        <v>4167</v>
      </c>
    </row>
    <row r="255" hidden="1">
      <c r="B255" s="842" t="s">
        <v>18</v>
      </c>
      <c r="C255" s="839">
        <f>C162 + C185</f>
        <v>0</v>
      </c>
      <c r="D255" s="839">
        <f>D162 + D185</f>
        <v>12954</v>
      </c>
      <c r="E255" s="839">
        <f>E162 + E185</f>
        <v>24340</v>
      </c>
      <c r="F255" s="839">
        <f>F162 + F185</f>
        <v>45836</v>
      </c>
      <c r="G255" s="839">
        <f>G162 + G185</f>
        <v>164314</v>
      </c>
      <c r="H255" s="839">
        <f>H162 + H185</f>
        <v>163186</v>
      </c>
      <c r="I255" s="839">
        <f>I162 + I185</f>
        <v>160214</v>
      </c>
      <c r="J255" s="839">
        <f>J162 + J185</f>
        <v>147324</v>
      </c>
      <c r="K255" s="839">
        <f>K162 + K185</f>
        <v>148496</v>
      </c>
      <c r="L255" s="839">
        <f>L162 + L185</f>
        <v>146829</v>
      </c>
      <c r="M255" s="839">
        <f>M162 + M185</f>
        <v>150447</v>
      </c>
      <c r="N255" s="839">
        <f>N162 + N185</f>
        <v>149830</v>
      </c>
      <c r="O255" s="839">
        <f>O162 + O185</f>
        <v>148521</v>
      </c>
      <c r="P255" s="839">
        <f>P162 + P185</f>
        <v>148792</v>
      </c>
      <c r="Q255" s="839">
        <f>Q162 + Q185</f>
        <v>145982</v>
      </c>
      <c r="R255" s="839">
        <f>R162 + R185</f>
        <v>143217</v>
      </c>
      <c r="S255" s="839">
        <f>S162 + S185</f>
        <v>156115</v>
      </c>
      <c r="T255" s="839">
        <f>T162 + T185</f>
        <v>156538</v>
      </c>
      <c r="U255" s="839">
        <f>U162 + U185</f>
        <v>152785</v>
      </c>
      <c r="V255" s="839">
        <f>V162 + V185</f>
        <v>142416</v>
      </c>
      <c r="W255" s="839">
        <f>W162 + W185</f>
        <v>141397</v>
      </c>
      <c r="X255" s="839">
        <f>X162 + X185</f>
        <v>138576</v>
      </c>
      <c r="Y255" s="839">
        <f>Y162 + Y185</f>
        <v>131206</v>
      </c>
      <c r="Z255" s="839">
        <f>Z162 + Z185</f>
        <v>128158</v>
      </c>
      <c r="AA255" s="839">
        <f>AA162 + AA185</f>
        <v>121798</v>
      </c>
      <c r="AB255" s="839">
        <f>AB162 + AB185</f>
        <v>121714</v>
      </c>
      <c r="AC255" s="841">
        <f>AC162 + AC185</f>
        <v>122530</v>
      </c>
      <c r="AD255" s="841">
        <f>AD162 + AD185</f>
        <v>122051</v>
      </c>
      <c r="AE255" s="841">
        <f>AE162 + AE185</f>
        <v>215395</v>
      </c>
      <c r="AF255" s="841">
        <f>AF162 + AF185</f>
        <v>213104</v>
      </c>
      <c r="AG255" s="841">
        <f>AG162 + AG185</f>
        <v>216903</v>
      </c>
      <c r="AH255" s="841">
        <f>AH162 + AH185</f>
        <v>213072</v>
      </c>
      <c r="AI255" s="841">
        <f>AI162 + AI185</f>
        <v>112235</v>
      </c>
      <c r="AJ255" s="841">
        <f>AJ162 + AJ185</f>
        <v>112207</v>
      </c>
      <c r="AK255" s="841">
        <f>AK162 + AK185</f>
        <v>107119</v>
      </c>
      <c r="AL255" s="841">
        <f>AL162 + AL185</f>
        <v>104864</v>
      </c>
      <c r="AM255" s="841">
        <f>AM162 + AM185</f>
        <v>101572</v>
      </c>
      <c r="AN255" s="841">
        <f>AN162 + AN185</f>
        <v>99672</v>
      </c>
      <c r="AO255" s="841">
        <f>AO162 + AO185</f>
        <v>95788</v>
      </c>
      <c r="AP255" s="841">
        <f>AP162 + AP185</f>
        <v>95474</v>
      </c>
    </row>
    <row r="256" hidden="1">
      <c r="B256" s="842" t="s">
        <v>19</v>
      </c>
      <c r="C256" s="839">
        <f>C163 + C186</f>
        <v>3094</v>
      </c>
      <c r="D256" s="839">
        <f>D163 + D186</f>
        <v>3569</v>
      </c>
      <c r="E256" s="839">
        <f>E163 + E186</f>
        <v>2047</v>
      </c>
      <c r="F256" s="839">
        <f>F163 + F186</f>
        <v>2047</v>
      </c>
      <c r="G256" s="839">
        <f>G163 + G186</f>
        <v>2999</v>
      </c>
      <c r="H256" s="839">
        <f>H163 + H186</f>
        <v>3177</v>
      </c>
      <c r="I256" s="839">
        <f>I163 + I186</f>
        <v>2921</v>
      </c>
      <c r="J256" s="839">
        <f>J163 + J186</f>
        <v>2919</v>
      </c>
      <c r="K256" s="839">
        <f>K163 + K186</f>
        <v>2994</v>
      </c>
      <c r="L256" s="839">
        <f>L163 + L186</f>
        <v>2989</v>
      </c>
      <c r="M256" s="839">
        <f>M163 + M186</f>
        <v>2760</v>
      </c>
      <c r="N256" s="839">
        <f>N163 + N186</f>
        <v>2763</v>
      </c>
      <c r="O256" s="839">
        <f>O163 + O186</f>
        <v>1949</v>
      </c>
      <c r="P256" s="839">
        <f>P163 + P186</f>
        <v>1149</v>
      </c>
      <c r="Q256" s="839">
        <f>Q163 + Q186</f>
        <v>1060</v>
      </c>
      <c r="R256" s="839">
        <f>R163 + R186</f>
        <v>1060</v>
      </c>
      <c r="S256" s="839">
        <f>S163 + S186</f>
        <v>1139</v>
      </c>
      <c r="T256" s="839">
        <f>T163 + T186</f>
        <v>1139</v>
      </c>
      <c r="U256" s="839">
        <f>U163 + U186</f>
        <v>1068</v>
      </c>
      <c r="V256" s="839">
        <f>V163 + V186</f>
        <v>1384</v>
      </c>
      <c r="W256" s="839">
        <f>W163 + W186</f>
        <v>1281</v>
      </c>
      <c r="X256" s="839">
        <f>X163 + X186</f>
        <v>1246</v>
      </c>
      <c r="Y256" s="839">
        <f>Y163 + Y186</f>
        <v>967</v>
      </c>
      <c r="Z256" s="839">
        <f>Z163 + Z186</f>
        <v>962</v>
      </c>
      <c r="AA256" s="839">
        <f>AA163 + AA186</f>
        <v>1342</v>
      </c>
      <c r="AB256" s="839">
        <f>AB163 + AB186</f>
        <v>1354</v>
      </c>
      <c r="AC256" s="841">
        <f>AC163 + AC186</f>
        <v>1357</v>
      </c>
      <c r="AD256" s="841">
        <f>AD163 + AD186</f>
        <v>1357</v>
      </c>
      <c r="AE256" s="841">
        <f>AE163 + AE186</f>
        <v>1292</v>
      </c>
      <c r="AF256" s="841">
        <f>AF163 + AF186</f>
        <v>1290</v>
      </c>
      <c r="AG256" s="841">
        <f>AG163 + AG186</f>
        <v>808</v>
      </c>
      <c r="AH256" s="841">
        <f>AH163 + AH186</f>
        <v>808</v>
      </c>
      <c r="AI256" s="841">
        <f>AI163 + AI186</f>
        <v>877</v>
      </c>
      <c r="AJ256" s="841">
        <f>AJ163 + AJ186</f>
        <v>870</v>
      </c>
      <c r="AK256" s="841">
        <f>AK163 + AK186</f>
        <v>843</v>
      </c>
      <c r="AL256" s="841">
        <f>AL163 + AL186</f>
        <v>843</v>
      </c>
      <c r="AM256" s="841">
        <f>AM163 + AM186</f>
        <v>991</v>
      </c>
      <c r="AN256" s="841">
        <f>AN163 + AN186</f>
        <v>983</v>
      </c>
      <c r="AO256" s="841">
        <f>AO163 + AO186</f>
        <v>1084</v>
      </c>
      <c r="AP256" s="841">
        <f>AP163 + AP186</f>
        <v>1081</v>
      </c>
    </row>
    <row r="257" hidden="1">
      <c r="B257" s="842" t="s">
        <v>20</v>
      </c>
      <c r="C257" s="839">
        <f>C164 + C187</f>
        <v>22437</v>
      </c>
      <c r="D257" s="839">
        <f>D164 + D187</f>
        <v>23037</v>
      </c>
      <c r="E257" s="839">
        <f>E164 + E187</f>
        <v>23057</v>
      </c>
      <c r="F257" s="839">
        <f>F164 + F187</f>
        <v>26942</v>
      </c>
      <c r="G257" s="839">
        <f>G164 + G187</f>
        <v>31572</v>
      </c>
      <c r="H257" s="839">
        <f>H164 + H187</f>
        <v>31549</v>
      </c>
      <c r="I257" s="839">
        <f>I164 + I187</f>
        <v>28714</v>
      </c>
      <c r="J257" s="839">
        <f>J164 + J187</f>
        <v>28714</v>
      </c>
      <c r="K257" s="839">
        <f>K164 + K187</f>
        <v>28277</v>
      </c>
      <c r="L257" s="839">
        <f>L164 + L187</f>
        <v>28317</v>
      </c>
      <c r="M257" s="839">
        <f>M164 + M187</f>
        <v>26654</v>
      </c>
      <c r="N257" s="839">
        <f>N164 + N187</f>
        <v>23286</v>
      </c>
      <c r="O257" s="839">
        <f>O164 + O187</f>
        <v>22712</v>
      </c>
      <c r="P257" s="839">
        <f>P164 + P187</f>
        <v>22712</v>
      </c>
      <c r="Q257" s="839">
        <f>Q164 + Q187</f>
        <v>20225</v>
      </c>
      <c r="R257" s="839">
        <f>R164 + R187</f>
        <v>20743</v>
      </c>
      <c r="S257" s="839">
        <f>S164 + S187</f>
        <v>24603</v>
      </c>
      <c r="T257" s="839">
        <f>T164 + T187</f>
        <v>24605</v>
      </c>
      <c r="U257" s="839">
        <f>U164 + U187</f>
        <v>24374</v>
      </c>
      <c r="V257" s="839">
        <f>V164 + V187</f>
        <v>23174</v>
      </c>
      <c r="W257" s="839">
        <f>W164 + W187</f>
        <v>20896</v>
      </c>
      <c r="X257" s="839">
        <f>X164 + X187</f>
        <v>21071</v>
      </c>
      <c r="Y257" s="839">
        <f>Y164 + Y187</f>
        <v>16208</v>
      </c>
      <c r="Z257" s="839">
        <f>Z164 + Z187</f>
        <v>16208</v>
      </c>
      <c r="AA257" s="839">
        <f>AA164 + AA187</f>
        <v>16059</v>
      </c>
      <c r="AB257" s="839">
        <f>AB164 + AB187</f>
        <v>16059</v>
      </c>
      <c r="AC257" s="841">
        <f>AC164 + AC187</f>
        <v>12525</v>
      </c>
      <c r="AD257" s="841">
        <f>AD164 + AD187</f>
        <v>12525</v>
      </c>
      <c r="AE257" s="841">
        <f>AE164 + AE187</f>
        <v>13368</v>
      </c>
      <c r="AF257" s="841">
        <f>AF164 + AF187</f>
        <v>13318</v>
      </c>
      <c r="AG257" s="841">
        <f>AG164 + AG187</f>
        <v>4846</v>
      </c>
      <c r="AH257" s="841">
        <f>AH164 + AH187</f>
        <v>4846</v>
      </c>
      <c r="AI257" s="841">
        <f>AI164 + AI187</f>
        <v>17280</v>
      </c>
      <c r="AJ257" s="841">
        <f>AJ164 + AJ187</f>
        <v>17269</v>
      </c>
      <c r="AK257" s="841">
        <f>AK164 + AK187</f>
        <v>9944</v>
      </c>
      <c r="AL257" s="841">
        <f>AL164 + AL187</f>
        <v>8077</v>
      </c>
      <c r="AM257" s="841">
        <f>AM164 + AM187</f>
        <v>14243</v>
      </c>
      <c r="AN257" s="841">
        <f>AN164 + AN187</f>
        <v>14231</v>
      </c>
      <c r="AO257" s="841">
        <f>AO164 + AO187</f>
        <v>14947</v>
      </c>
      <c r="AP257" s="841">
        <f>AP164 + AP187</f>
        <v>14965</v>
      </c>
    </row>
    <row r="258" hidden="1">
      <c r="B258" s="842" t="s">
        <v>21</v>
      </c>
      <c r="C258" s="839">
        <f>C165 + C188</f>
        <v>31957</v>
      </c>
      <c r="D258" s="839">
        <f>D165 + D188</f>
        <v>33327</v>
      </c>
      <c r="E258" s="839">
        <f>E165 + E188</f>
        <v>35311</v>
      </c>
      <c r="F258" s="839">
        <f>F165 + F188</f>
        <v>36061</v>
      </c>
      <c r="G258" s="839">
        <f>G165 + G188</f>
        <v>35616</v>
      </c>
      <c r="H258" s="839">
        <f>H165 + H188</f>
        <v>35264</v>
      </c>
      <c r="I258" s="839">
        <f>I165 + I188</f>
        <v>32515</v>
      </c>
      <c r="J258" s="839">
        <f>J165 + J188</f>
        <v>32526</v>
      </c>
      <c r="K258" s="839">
        <f>K165 + K188</f>
        <v>30953</v>
      </c>
      <c r="L258" s="839">
        <f>L165 + L188</f>
        <v>30956</v>
      </c>
      <c r="M258" s="839">
        <f>M165 + M188</f>
        <v>30658</v>
      </c>
      <c r="N258" s="839">
        <f>N165 + N188</f>
        <v>30182</v>
      </c>
      <c r="O258" s="839">
        <f>O165 + O188</f>
        <v>29254</v>
      </c>
      <c r="P258" s="839">
        <f>P165 + P188</f>
        <v>29251</v>
      </c>
      <c r="Q258" s="839">
        <f>Q165 + Q188</f>
        <v>27803</v>
      </c>
      <c r="R258" s="839">
        <f>R165 + R188</f>
        <v>26425</v>
      </c>
      <c r="S258" s="839">
        <f>S165 + S188</f>
        <v>24983</v>
      </c>
      <c r="T258" s="839">
        <f>T165 + T188</f>
        <v>22713</v>
      </c>
      <c r="U258" s="839">
        <f>U165 + U188</f>
        <v>21377</v>
      </c>
      <c r="V258" s="839">
        <f>V165 + V188</f>
        <v>20007</v>
      </c>
      <c r="W258" s="839">
        <f>W165 + W188</f>
        <v>19147</v>
      </c>
      <c r="X258" s="839">
        <f>X165 + X188</f>
        <v>19091</v>
      </c>
      <c r="Y258" s="839">
        <f>Y165 + Y188</f>
        <v>18526</v>
      </c>
      <c r="Z258" s="839">
        <f>Z165 + Z188</f>
        <v>18521</v>
      </c>
      <c r="AA258" s="839">
        <f>AA165 + AA188</f>
        <v>18573</v>
      </c>
      <c r="AB258" s="839">
        <f>AB165 + AB188</f>
        <v>18573</v>
      </c>
      <c r="AC258" s="841">
        <f>AC165 + AC188</f>
        <v>18436</v>
      </c>
      <c r="AD258" s="841">
        <f>AD165 + AD188</f>
        <v>17499</v>
      </c>
      <c r="AE258" s="841">
        <f>AE165 + AE188</f>
        <v>16657</v>
      </c>
      <c r="AF258" s="841">
        <f>AF165 + AF188</f>
        <v>16655</v>
      </c>
      <c r="AG258" s="841">
        <f>AG165 + AG188</f>
        <v>16638</v>
      </c>
      <c r="AH258" s="841">
        <f>AH165 + AH188</f>
        <v>16611</v>
      </c>
      <c r="AI258" s="841">
        <f>AI165 + AI188</f>
        <v>17642</v>
      </c>
      <c r="AJ258" s="841">
        <f>AJ165 + AJ188</f>
        <v>16824</v>
      </c>
      <c r="AK258" s="841">
        <f>AK165 + AK188</f>
        <v>14927</v>
      </c>
      <c r="AL258" s="841">
        <f>AL165 + AL188</f>
        <v>14933</v>
      </c>
      <c r="AM258" s="841">
        <f>AM165 + AM188</f>
        <v>14862</v>
      </c>
      <c r="AN258" s="841">
        <f>AN165 + AN188</f>
        <v>12865</v>
      </c>
      <c r="AO258" s="841">
        <f>AO165 + AO188</f>
        <v>11873</v>
      </c>
      <c r="AP258" s="841">
        <f>AP165 + AP188</f>
        <v>11873</v>
      </c>
    </row>
    <row r="259" hidden="1">
      <c r="B259" s="842" t="s">
        <v>22</v>
      </c>
      <c r="C259" s="839">
        <f>C166 + C189</f>
        <v>0</v>
      </c>
      <c r="D259" s="839">
        <f>D166 + D189</f>
        <v>0</v>
      </c>
      <c r="E259" s="839">
        <f>E166 + E189</f>
        <v>0</v>
      </c>
      <c r="F259" s="839">
        <f>F166 + F189</f>
        <v>0</v>
      </c>
      <c r="G259" s="839">
        <f>G166 + G189</f>
        <v>0</v>
      </c>
      <c r="H259" s="839">
        <f>H166 + H189</f>
        <v>0</v>
      </c>
      <c r="I259" s="839">
        <f>I166 + I189</f>
        <v>0</v>
      </c>
      <c r="J259" s="839">
        <f>J166 + J189</f>
        <v>0</v>
      </c>
      <c r="K259" s="839">
        <f>K166 + K189</f>
        <v>13084</v>
      </c>
      <c r="L259" s="839">
        <f>L166 + L189</f>
        <v>10934</v>
      </c>
      <c r="M259" s="839">
        <f>M166 + M189</f>
        <v>12398</v>
      </c>
      <c r="N259" s="839">
        <f>N166 + N189</f>
        <v>12398</v>
      </c>
      <c r="O259" s="839">
        <f>O166 + O189</f>
        <v>13940</v>
      </c>
      <c r="P259" s="839">
        <f>P166 + P189</f>
        <v>24345</v>
      </c>
      <c r="Q259" s="839">
        <f>Q166 + Q189</f>
        <v>24030</v>
      </c>
      <c r="R259" s="839">
        <f>R166 + R189</f>
        <v>23885</v>
      </c>
      <c r="S259" s="839">
        <f>S166 + S189</f>
        <v>22437</v>
      </c>
      <c r="T259" s="839">
        <f>T166 + T189</f>
        <v>22087</v>
      </c>
      <c r="U259" s="839">
        <f>U166 + U189</f>
        <v>22838</v>
      </c>
      <c r="V259" s="839">
        <f>V166 + V189</f>
        <v>22644</v>
      </c>
      <c r="W259" s="839">
        <f>W166 + W189</f>
        <v>23854</v>
      </c>
      <c r="X259" s="839">
        <f>X166 + X189</f>
        <v>23840</v>
      </c>
      <c r="Y259" s="839">
        <f>Y166 + Y189</f>
        <v>21109</v>
      </c>
      <c r="Z259" s="839">
        <f>Z166 + Z189</f>
        <v>21139</v>
      </c>
      <c r="AA259" s="839">
        <f>AA166 + AA189</f>
        <v>23389</v>
      </c>
      <c r="AB259" s="839">
        <f>AB166 + AB189</f>
        <v>20839</v>
      </c>
      <c r="AC259" s="841">
        <f>AC166 + AC189</f>
        <v>19788</v>
      </c>
      <c r="AD259" s="841">
        <f>AD166 + AD189</f>
        <v>19788</v>
      </c>
      <c r="AE259" s="841">
        <f>AE166 + AE189</f>
        <v>20454</v>
      </c>
      <c r="AF259" s="841">
        <f>AF166 + AF189</f>
        <v>19904</v>
      </c>
      <c r="AG259" s="841">
        <f>AG166 + AG189</f>
        <v>19592</v>
      </c>
      <c r="AH259" s="841">
        <f>AH166 + AH189</f>
        <v>19592</v>
      </c>
      <c r="AI259" s="841">
        <f>AI166 + AI189</f>
        <v>18290</v>
      </c>
      <c r="AJ259" s="841">
        <f>AJ166 + AJ189</f>
        <v>18291</v>
      </c>
      <c r="AK259" s="841">
        <f>AK166 + AK189</f>
        <v>17600</v>
      </c>
      <c r="AL259" s="841">
        <f>AL166 + AL189</f>
        <v>16340</v>
      </c>
      <c r="AM259" s="841">
        <f>AM166 + AM189</f>
        <v>14215</v>
      </c>
      <c r="AN259" s="841">
        <f>AN166 + AN189</f>
        <v>12656</v>
      </c>
      <c r="AO259" s="841">
        <f>AO166 + AO189</f>
        <v>13645</v>
      </c>
      <c r="AP259" s="841">
        <f>AP166 + AP189</f>
        <v>13642</v>
      </c>
    </row>
    <row r="260" hidden="1">
      <c r="B260" s="842" t="s">
        <v>23</v>
      </c>
      <c r="C260" s="839">
        <f>C167 + C190</f>
        <v>12198</v>
      </c>
      <c r="D260" s="839">
        <f>D167 + D190</f>
        <v>12201</v>
      </c>
      <c r="E260" s="839">
        <f>E167 + E190</f>
        <v>12036</v>
      </c>
      <c r="F260" s="839">
        <f>F167 + F190</f>
        <v>11886</v>
      </c>
      <c r="G260" s="839">
        <f>G167 + G190</f>
        <v>12278</v>
      </c>
      <c r="H260" s="839">
        <f>H167 + H190</f>
        <v>12278</v>
      </c>
      <c r="I260" s="839">
        <f>I167 + I190</f>
        <v>12092</v>
      </c>
      <c r="J260" s="839">
        <f>J167 + J190</f>
        <v>12092</v>
      </c>
      <c r="K260" s="839">
        <f>K167 + K190</f>
        <v>10974</v>
      </c>
      <c r="L260" s="839">
        <f>L167 + L190</f>
        <v>10974</v>
      </c>
      <c r="M260" s="839">
        <f>M167 + M190</f>
        <v>11141</v>
      </c>
      <c r="N260" s="839">
        <f>N167 + N190</f>
        <v>11141</v>
      </c>
      <c r="O260" s="839">
        <f>O167 + O190</f>
        <v>11147</v>
      </c>
      <c r="P260" s="839">
        <f>P167 + P190</f>
        <v>11147</v>
      </c>
      <c r="Q260" s="839">
        <f>Q167 + Q190</f>
        <v>11418</v>
      </c>
      <c r="R260" s="839">
        <f>R167 + R190</f>
        <v>11421</v>
      </c>
      <c r="S260" s="839">
        <f>S167 + S190</f>
        <v>9872</v>
      </c>
      <c r="T260" s="839">
        <f>T167 + T190</f>
        <v>9872</v>
      </c>
      <c r="U260" s="839">
        <f>U167 + U190</f>
        <v>10015</v>
      </c>
      <c r="V260" s="839">
        <f>V167 + V190</f>
        <v>9708</v>
      </c>
      <c r="W260" s="839">
        <f>W167 + W190</f>
        <v>9580</v>
      </c>
      <c r="X260" s="839">
        <f>X167 + X190</f>
        <v>9580</v>
      </c>
      <c r="Y260" s="839">
        <f>Y167 + Y190</f>
        <v>8788</v>
      </c>
      <c r="Z260" s="839">
        <f>Z167 + Z190</f>
        <v>8788</v>
      </c>
      <c r="AA260" s="839">
        <f>AA167 + AA190</f>
        <v>7990</v>
      </c>
      <c r="AB260" s="839">
        <f>AB167 + AB190</f>
        <v>7990</v>
      </c>
      <c r="AC260" s="841">
        <f>AC167 + AC190</f>
        <v>8149</v>
      </c>
      <c r="AD260" s="841">
        <f>AD167 + AD190</f>
        <v>8149</v>
      </c>
      <c r="AE260" s="841">
        <f>AE167 + AE190</f>
        <v>8860</v>
      </c>
      <c r="AF260" s="841">
        <f>AF167 + AF190</f>
        <v>8860</v>
      </c>
      <c r="AG260" s="841">
        <f>AG167 + AG190</f>
        <v>7806</v>
      </c>
      <c r="AH260" s="841">
        <f>AH167 + AH190</f>
        <v>7006</v>
      </c>
      <c r="AI260" s="841">
        <f>AI167 + AI190</f>
        <v>7173</v>
      </c>
      <c r="AJ260" s="841">
        <f>AJ167 + AJ190</f>
        <v>7173</v>
      </c>
      <c r="AK260" s="841">
        <f>AK167 + AK190</f>
        <v>6411</v>
      </c>
      <c r="AL260" s="841">
        <f>AL167 + AL190</f>
        <v>5911</v>
      </c>
      <c r="AM260" s="841">
        <f>AM167 + AM190</f>
        <v>5104</v>
      </c>
      <c r="AN260" s="841">
        <f>AN167 + AN190</f>
        <v>5104</v>
      </c>
      <c r="AO260" s="841">
        <f>AO167 + AO190</f>
        <v>5132</v>
      </c>
      <c r="AP260" s="841">
        <f>AP167 + AP190</f>
        <v>5132</v>
      </c>
    </row>
    <row r="261" hidden="1">
      <c r="B261" s="843" t="s">
        <v>24</v>
      </c>
      <c r="C261" s="839">
        <f>C168 + C191</f>
        <v>155696</v>
      </c>
      <c r="D261" s="839">
        <f>D168 + D191</f>
        <v>155918</v>
      </c>
      <c r="E261" s="839">
        <f>E168 + E191</f>
        <v>160898</v>
      </c>
      <c r="F261" s="839">
        <f>F168 + F191</f>
        <v>158270</v>
      </c>
      <c r="G261" s="839">
        <f>G168 + G191</f>
        <v>144091</v>
      </c>
      <c r="H261" s="839">
        <f>H168 + H191</f>
        <v>133079</v>
      </c>
      <c r="I261" s="839">
        <f>I168 + I191</f>
        <v>131612</v>
      </c>
      <c r="J261" s="839">
        <f>J168 + J191</f>
        <v>129301</v>
      </c>
      <c r="K261" s="839">
        <f>K168 + K191</f>
        <v>124910</v>
      </c>
      <c r="L261" s="839">
        <f>L168 + L191</f>
        <v>124268</v>
      </c>
      <c r="M261" s="839">
        <f>M168 + M191</f>
        <v>122039</v>
      </c>
      <c r="N261" s="839">
        <f>N168 + N191</f>
        <v>123478</v>
      </c>
      <c r="O261" s="839">
        <f>O168 + O191</f>
        <v>124498</v>
      </c>
      <c r="P261" s="839">
        <f>P168 + P191</f>
        <v>126675</v>
      </c>
      <c r="Q261" s="839">
        <f>Q168 + Q191</f>
        <v>127039</v>
      </c>
      <c r="R261" s="839">
        <f>R168 + R191</f>
        <v>121526</v>
      </c>
      <c r="S261" s="839">
        <f>S168 + S191</f>
        <v>114548</v>
      </c>
      <c r="T261" s="839">
        <f>T168 + T191</f>
        <v>114252</v>
      </c>
      <c r="U261" s="839">
        <f>U168 + U191</f>
        <v>116114</v>
      </c>
      <c r="V261" s="839">
        <f>V168 + V191</f>
        <v>113954</v>
      </c>
      <c r="W261" s="839">
        <f>W168 + W191</f>
        <v>107949</v>
      </c>
      <c r="X261" s="839">
        <f>X168 + X191</f>
        <v>106765</v>
      </c>
      <c r="Y261" s="839">
        <f>Y168 + Y191</f>
        <v>104688</v>
      </c>
      <c r="Z261" s="839">
        <f>Z168 + Z191</f>
        <v>101895</v>
      </c>
      <c r="AA261" s="839">
        <f>AA168 + AA191</f>
        <v>101188</v>
      </c>
      <c r="AB261" s="839">
        <f>AB168 + AB191</f>
        <v>97423</v>
      </c>
      <c r="AC261" s="841">
        <f>AC168 + AC191</f>
        <v>96914</v>
      </c>
      <c r="AD261" s="841">
        <f>AD168 + AD191</f>
        <v>94841</v>
      </c>
      <c r="AE261" s="841">
        <f>AE168 + AE191</f>
        <v>92338</v>
      </c>
      <c r="AF261" s="841">
        <f>AF168 + AF191</f>
        <v>93439</v>
      </c>
      <c r="AG261" s="841">
        <f>AG168 + AG191</f>
        <v>92245</v>
      </c>
      <c r="AH261" s="841">
        <f>AH168 + AH191</f>
        <v>87876</v>
      </c>
      <c r="AI261" s="841">
        <f>AI168 + AI191</f>
        <v>79893</v>
      </c>
      <c r="AJ261" s="841">
        <f>AJ168 + AJ191</f>
        <v>75896</v>
      </c>
      <c r="AK261" s="841">
        <f>AK168 + AK191</f>
        <v>75154</v>
      </c>
      <c r="AL261" s="841">
        <f>AL168 + AL191</f>
        <v>74143</v>
      </c>
      <c r="AM261" s="841">
        <f>AM168 + AM191</f>
        <v>69621</v>
      </c>
      <c r="AN261" s="841">
        <f>AN168 + AN191</f>
        <v>67100</v>
      </c>
      <c r="AO261" s="841">
        <f>AO168 + AO191</f>
        <v>65547</v>
      </c>
      <c r="AP261" s="841">
        <f>AP168 + AP191</f>
        <v>65540</v>
      </c>
    </row>
    <row r="262" hidden="1">
      <c r="B262" s="842" t="s">
        <v>25</v>
      </c>
      <c r="C262" s="839">
        <f>C169 + C192</f>
        <v>0</v>
      </c>
      <c r="D262" s="839">
        <f>D169 + D192</f>
        <v>0</v>
      </c>
      <c r="E262" s="839">
        <f>E169 + E192</f>
        <v>0</v>
      </c>
      <c r="F262" s="839">
        <f>F169 + F192</f>
        <v>0</v>
      </c>
      <c r="G262" s="839">
        <f>G169 + G192</f>
        <v>0</v>
      </c>
      <c r="H262" s="839">
        <f>H169 + H192</f>
        <v>0</v>
      </c>
      <c r="I262" s="839">
        <f>I169 + I192</f>
        <v>0</v>
      </c>
      <c r="J262" s="839">
        <f>J169 + J192</f>
        <v>0</v>
      </c>
      <c r="K262" s="839">
        <f>K169 + K192</f>
        <v>0</v>
      </c>
      <c r="L262" s="839">
        <f>L169 + L192</f>
        <v>0</v>
      </c>
      <c r="M262" s="839">
        <f>M169 + M192</f>
        <v>0</v>
      </c>
      <c r="N262" s="839">
        <f>N169 + N192</f>
        <v>0</v>
      </c>
      <c r="O262" s="839">
        <f>O169 + O192</f>
        <v>0</v>
      </c>
      <c r="P262" s="839">
        <f>P169 + P192</f>
        <v>0</v>
      </c>
      <c r="Q262" s="839">
        <f>Q169 + Q192</f>
        <v>0</v>
      </c>
      <c r="R262" s="839">
        <f>R169 + R192</f>
        <v>0</v>
      </c>
      <c r="S262" s="839">
        <f>S169 + S192</f>
        <v>0</v>
      </c>
      <c r="T262" s="839">
        <f>T169 + T192</f>
        <v>0</v>
      </c>
      <c r="U262" s="839">
        <f>U169 + U192</f>
        <v>0</v>
      </c>
      <c r="V262" s="839">
        <f>V169 + V192</f>
        <v>0</v>
      </c>
      <c r="W262" s="839">
        <f>W169 + W192</f>
        <v>0</v>
      </c>
      <c r="X262" s="839">
        <f>X169 + X192</f>
        <v>0</v>
      </c>
      <c r="Y262" s="839">
        <f>Y169 + Y192</f>
        <v>0</v>
      </c>
      <c r="Z262" s="839">
        <f>Z169 + Z192</f>
        <v>0</v>
      </c>
      <c r="AA262" s="839">
        <f>AA169 + AA192</f>
        <v>0</v>
      </c>
      <c r="AB262" s="839">
        <f>AB169 + AB192</f>
        <v>0</v>
      </c>
      <c r="AC262" s="841">
        <f>AC169 + AC192</f>
        <v>0</v>
      </c>
      <c r="AD262" s="841">
        <f>AD169 + AD192</f>
        <v>0</v>
      </c>
      <c r="AE262" s="841">
        <f>AE169 + AE192</f>
        <v>0</v>
      </c>
      <c r="AF262" s="841">
        <f>AF169 + AF192</f>
        <v>0</v>
      </c>
      <c r="AG262" s="841">
        <f>AG169 + AG192</f>
        <v>0</v>
      </c>
      <c r="AH262" s="841">
        <f>AH169 + AH192</f>
        <v>0</v>
      </c>
      <c r="AI262" s="841">
        <f>AI169 + AI192</f>
        <v>0</v>
      </c>
      <c r="AJ262" s="841">
        <f>AJ169 + AJ192</f>
        <v>0</v>
      </c>
      <c r="AK262" s="841">
        <f>AK169 + AK192</f>
        <v>0</v>
      </c>
      <c r="AL262" s="841">
        <f>AL169 + AL192</f>
        <v>0</v>
      </c>
      <c r="AM262" s="841">
        <f>AM169 + AM192</f>
        <v>0</v>
      </c>
      <c r="AN262" s="841">
        <f>AN169 + AN192</f>
        <v>0</v>
      </c>
      <c r="AO262" s="841">
        <f>AO169 + AO192</f>
        <v>0</v>
      </c>
      <c r="AP262" s="841">
        <f>AP169 + AP192</f>
        <v>0</v>
      </c>
    </row>
    <row r="263" hidden="1" ht="13.5">
      <c r="B263" s="844" t="s">
        <v>26</v>
      </c>
      <c r="C263" s="839">
        <f>C170 + C193</f>
        <v>0</v>
      </c>
      <c r="D263" s="839">
        <f>D170 + D193</f>
        <v>0</v>
      </c>
      <c r="E263" s="839">
        <f>E170 + E193</f>
        <v>0</v>
      </c>
      <c r="F263" s="839">
        <f>F170 + F193</f>
        <v>0</v>
      </c>
      <c r="G263" s="839">
        <f>G170 + G193</f>
        <v>0</v>
      </c>
      <c r="H263" s="839">
        <f>H170 + H193</f>
        <v>0</v>
      </c>
      <c r="I263" s="839">
        <f>I170 + I193</f>
        <v>0</v>
      </c>
      <c r="J263" s="839">
        <f>J170 + J193</f>
        <v>0</v>
      </c>
      <c r="K263" s="839">
        <f>K170 + K193</f>
        <v>0</v>
      </c>
      <c r="L263" s="839">
        <f>L170 + L193</f>
        <v>0</v>
      </c>
      <c r="M263" s="839">
        <f>M170 + M193</f>
        <v>0</v>
      </c>
      <c r="N263" s="839">
        <f>N170 + N193</f>
        <v>0</v>
      </c>
      <c r="O263" s="839">
        <f>O170 + O193</f>
        <v>0</v>
      </c>
      <c r="P263" s="839">
        <f>P170 + P193</f>
        <v>0</v>
      </c>
      <c r="Q263" s="839">
        <f>Q170 + Q193</f>
        <v>0</v>
      </c>
      <c r="R263" s="839">
        <f>R170 + R193</f>
        <v>0</v>
      </c>
      <c r="S263" s="839">
        <f>S170 + S193</f>
        <v>0</v>
      </c>
      <c r="T263" s="839">
        <f>T170 + T193</f>
        <v>0</v>
      </c>
      <c r="U263" s="839">
        <f>U170 + U193</f>
        <v>0</v>
      </c>
      <c r="V263" s="839">
        <f>V170 + V193</f>
        <v>0</v>
      </c>
      <c r="W263" s="839">
        <f>W170 + W193</f>
        <v>0</v>
      </c>
      <c r="X263" s="839">
        <f>X170 + X193</f>
        <v>0</v>
      </c>
      <c r="Y263" s="839">
        <f>Y170 + Y193</f>
        <v>0</v>
      </c>
      <c r="Z263" s="839">
        <f>Z170 + Z193</f>
        <v>0</v>
      </c>
      <c r="AA263" s="839">
        <f>AA170 + AA193</f>
        <v>0</v>
      </c>
      <c r="AB263" s="845">
        <f>AB170 + AB193</f>
        <v>0</v>
      </c>
      <c r="AC263" s="841">
        <f>AC170 + AC193</f>
        <v>0</v>
      </c>
      <c r="AD263" s="841">
        <f>AD170 + AD193</f>
        <v>0</v>
      </c>
      <c r="AE263" s="841">
        <f>AE170 + AE193</f>
        <v>0</v>
      </c>
      <c r="AF263" s="841">
        <f>AF170 + AF193</f>
        <v>0</v>
      </c>
      <c r="AG263" s="841">
        <f>AG170 + AG193</f>
        <v>0</v>
      </c>
      <c r="AH263" s="841">
        <f>AH170 + AH193</f>
        <v>0</v>
      </c>
      <c r="AI263" s="841">
        <f>AI170 + AI193</f>
        <v>0</v>
      </c>
      <c r="AJ263" s="841">
        <f>AJ170 + AJ193</f>
        <v>0</v>
      </c>
      <c r="AK263" s="841">
        <f>AK170 + AK193</f>
        <v>0</v>
      </c>
      <c r="AL263" s="841">
        <f>AL170 + AL193</f>
        <v>0</v>
      </c>
      <c r="AM263" s="841">
        <f>AM170 + AM193</f>
        <v>0</v>
      </c>
      <c r="AN263" s="841">
        <f>AN170 + AN193</f>
        <v>0</v>
      </c>
      <c r="AO263" s="841">
        <f>AO170 + AO193</f>
        <v>0</v>
      </c>
      <c r="AP263" s="841">
        <f>AP170 + AP193</f>
        <v>0</v>
      </c>
    </row>
    <row r="264" hidden="1" ht="13.5">
      <c r="B264" s="128" t="s">
        <v>7</v>
      </c>
      <c r="C264" s="129" t="str">
        <f>IF(SUM(C245:C263)&lt;&gt;0,SUM(C245:C263),"")</f>
      </c>
      <c r="D264" s="129" t="str">
        <f ref="D264:AA264" t="shared" si="30">IF(SUM(D245:D263)&lt;&gt;0,SUM(D245:D263),"")</f>
      </c>
      <c r="E264" s="129" t="str">
        <f t="shared" si="30"/>
      </c>
      <c r="F264" s="129" t="str">
        <f t="shared" si="30"/>
      </c>
      <c r="G264" s="129" t="str">
        <f t="shared" si="30"/>
      </c>
      <c r="H264" s="129" t="str">
        <f t="shared" si="30"/>
      </c>
      <c r="I264" s="129" t="str">
        <f t="shared" si="30"/>
      </c>
      <c r="J264" s="129" t="str">
        <f t="shared" si="30"/>
      </c>
      <c r="K264" s="129" t="str">
        <f t="shared" si="30"/>
      </c>
      <c r="L264" s="129" t="str">
        <f t="shared" si="30"/>
      </c>
      <c r="M264" s="129" t="str">
        <f t="shared" si="30"/>
      </c>
      <c r="N264" s="129" t="str">
        <f t="shared" si="30"/>
      </c>
      <c r="O264" s="129" t="str">
        <f t="shared" si="30"/>
      </c>
      <c r="P264" s="129" t="str">
        <f t="shared" si="30"/>
      </c>
      <c r="Q264" s="129" t="str">
        <f t="shared" si="30"/>
      </c>
      <c r="R264" s="129" t="str">
        <f t="shared" si="30"/>
      </c>
      <c r="S264" s="129" t="str">
        <f t="shared" si="30"/>
      </c>
      <c r="T264" s="129" t="str">
        <f t="shared" si="30"/>
      </c>
      <c r="U264" s="129" t="str">
        <f t="shared" si="30"/>
      </c>
      <c r="V264" s="129" t="str">
        <f t="shared" si="30"/>
      </c>
      <c r="W264" s="129" t="str">
        <f t="shared" si="30"/>
      </c>
      <c r="X264" s="129" t="str">
        <f t="shared" si="30"/>
      </c>
      <c r="Y264" s="129" t="str">
        <f t="shared" si="30"/>
      </c>
      <c r="Z264" s="129" t="str">
        <f t="shared" si="30"/>
      </c>
      <c r="AA264" s="129" t="str">
        <f t="shared" si="30"/>
      </c>
      <c r="AB264" s="130" t="str">
        <f>IF(SUM(AB245:AB263)&lt;&gt;0,SUM(AB245:AB263),"")</f>
      </c>
      <c r="AC264" s="91" t="str">
        <f ref="AC264:CN264" t="shared" si="31">IF(SUM(AC245:AC263)&lt;&gt;0,SUM(AC245:AC263),"")</f>
      </c>
      <c r="AD264" s="91" t="str">
        <f t="shared" si="31"/>
      </c>
      <c r="AE264" s="91" t="str">
        <f t="shared" si="31"/>
      </c>
      <c r="AF264" s="91" t="str">
        <f t="shared" si="31"/>
      </c>
      <c r="AG264" s="91" t="str">
        <f t="shared" si="31"/>
      </c>
      <c r="AH264" s="91" t="str">
        <f t="shared" si="31"/>
      </c>
      <c r="AI264" s="91" t="str">
        <f t="shared" si="31"/>
      </c>
      <c r="AJ264" s="91" t="str">
        <f t="shared" si="31"/>
      </c>
      <c r="AK264" s="91" t="str">
        <f t="shared" si="31"/>
      </c>
      <c r="AL264" s="91" t="str">
        <f t="shared" si="31"/>
      </c>
      <c r="AM264" s="91" t="str">
        <f t="shared" si="31"/>
      </c>
      <c r="AN264" s="91" t="str">
        <f t="shared" si="31"/>
      </c>
      <c r="AO264" s="91" t="str">
        <f t="shared" si="31"/>
      </c>
      <c r="AP264" s="91" t="str">
        <f t="shared" si="31"/>
      </c>
      <c r="AQ264" s="91" t="str">
        <f t="shared" si="31"/>
      </c>
      <c r="AR264" s="91" t="str">
        <f t="shared" si="31"/>
      </c>
      <c r="AS264" s="91" t="str">
        <f t="shared" si="31"/>
      </c>
      <c r="AT264" s="91" t="str">
        <f t="shared" si="31"/>
      </c>
      <c r="AU264" s="91" t="str">
        <f t="shared" si="31"/>
      </c>
      <c r="AV264" s="91" t="str">
        <f t="shared" si="31"/>
      </c>
      <c r="AW264" s="91" t="str">
        <f t="shared" si="31"/>
      </c>
      <c r="AX264" s="91" t="str">
        <f t="shared" si="31"/>
      </c>
      <c r="AY264" s="91" t="str">
        <f t="shared" si="31"/>
      </c>
      <c r="AZ264" s="91" t="str">
        <f t="shared" si="31"/>
      </c>
      <c r="BA264" s="91" t="str">
        <f t="shared" si="31"/>
      </c>
      <c r="BB264" s="91" t="str">
        <f t="shared" si="31"/>
      </c>
      <c r="BC264" s="91" t="str">
        <f t="shared" si="31"/>
      </c>
      <c r="BD264" s="91" t="str">
        <f t="shared" si="31"/>
      </c>
      <c r="BE264" s="91" t="str">
        <f t="shared" si="31"/>
      </c>
      <c r="BF264" s="91" t="str">
        <f t="shared" si="31"/>
      </c>
      <c r="BG264" s="91" t="str">
        <f t="shared" si="31"/>
      </c>
      <c r="BH264" s="91" t="str">
        <f t="shared" si="31"/>
      </c>
      <c r="BI264" s="91" t="str">
        <f t="shared" si="31"/>
      </c>
      <c r="BJ264" s="91" t="str">
        <f t="shared" si="31"/>
      </c>
      <c r="BK264" s="91" t="str">
        <f t="shared" si="31"/>
      </c>
      <c r="BL264" s="91" t="str">
        <f t="shared" si="31"/>
      </c>
      <c r="BM264" s="91" t="str">
        <f t="shared" si="31"/>
      </c>
      <c r="BN264" s="91" t="str">
        <f t="shared" si="31"/>
      </c>
      <c r="BO264" s="91" t="str">
        <f t="shared" si="31"/>
      </c>
      <c r="BP264" s="91" t="str">
        <f t="shared" si="31"/>
      </c>
      <c r="BQ264" s="91" t="str">
        <f t="shared" si="31"/>
      </c>
      <c r="BR264" s="91" t="str">
        <f t="shared" si="31"/>
      </c>
      <c r="BS264" s="91" t="str">
        <f t="shared" si="31"/>
      </c>
      <c r="BT264" s="91" t="str">
        <f t="shared" si="31"/>
      </c>
      <c r="BU264" s="91" t="str">
        <f t="shared" si="31"/>
      </c>
      <c r="BV264" s="91" t="str">
        <f t="shared" si="31"/>
      </c>
      <c r="BW264" s="91" t="str">
        <f t="shared" si="31"/>
      </c>
      <c r="BX264" s="91" t="str">
        <f t="shared" si="31"/>
      </c>
      <c r="BY264" s="91" t="str">
        <f t="shared" si="31"/>
      </c>
      <c r="BZ264" s="91" t="str">
        <f t="shared" si="31"/>
      </c>
      <c r="CA264" s="91" t="str">
        <f t="shared" si="31"/>
      </c>
      <c r="CB264" s="91" t="str">
        <f t="shared" si="31"/>
      </c>
      <c r="CC264" s="91" t="str">
        <f t="shared" si="31"/>
      </c>
      <c r="CD264" s="91" t="str">
        <f t="shared" si="31"/>
      </c>
      <c r="CE264" s="91" t="str">
        <f t="shared" si="31"/>
      </c>
      <c r="CF264" s="91" t="str">
        <f t="shared" si="31"/>
      </c>
      <c r="CG264" s="91" t="str">
        <f t="shared" si="31"/>
      </c>
      <c r="CH264" s="91" t="str">
        <f t="shared" si="31"/>
      </c>
      <c r="CI264" s="91" t="str">
        <f t="shared" si="31"/>
      </c>
      <c r="CJ264" s="91" t="str">
        <f t="shared" si="31"/>
      </c>
      <c r="CK264" s="91" t="str">
        <f t="shared" si="31"/>
      </c>
      <c r="CL264" s="91" t="str">
        <f t="shared" si="31"/>
      </c>
      <c r="CM264" s="91" t="str">
        <f t="shared" si="31"/>
      </c>
      <c r="CN264" s="91" t="str">
        <f t="shared" si="31"/>
      </c>
      <c r="CO264" s="91" t="str">
        <f ref="CO264:EZ264" t="shared" si="32">IF(SUM(CO245:CO263)&lt;&gt;0,SUM(CO245:CO263),"")</f>
      </c>
      <c r="CP264" s="91" t="str">
        <f t="shared" si="32"/>
      </c>
      <c r="CQ264" s="91" t="str">
        <f t="shared" si="32"/>
      </c>
      <c r="CR264" s="91" t="str">
        <f t="shared" si="32"/>
      </c>
      <c r="CS264" s="91" t="str">
        <f t="shared" si="32"/>
      </c>
      <c r="CT264" s="91" t="str">
        <f t="shared" si="32"/>
      </c>
      <c r="CU264" s="91" t="str">
        <f t="shared" si="32"/>
      </c>
      <c r="CV264" s="91" t="str">
        <f t="shared" si="32"/>
      </c>
      <c r="CW264" s="91" t="str">
        <f t="shared" si="32"/>
      </c>
      <c r="CX264" s="91" t="str">
        <f t="shared" si="32"/>
      </c>
      <c r="CY264" s="91" t="str">
        <f t="shared" si="32"/>
      </c>
      <c r="CZ264" s="91" t="str">
        <f t="shared" si="32"/>
      </c>
      <c r="DA264" s="91" t="str">
        <f t="shared" si="32"/>
      </c>
      <c r="DB264" s="91" t="str">
        <f t="shared" si="32"/>
      </c>
      <c r="DC264" s="91" t="str">
        <f t="shared" si="32"/>
      </c>
      <c r="DD264" s="91" t="str">
        <f t="shared" si="32"/>
      </c>
      <c r="DE264" s="91" t="str">
        <f t="shared" si="32"/>
      </c>
      <c r="DF264" s="91" t="str">
        <f t="shared" si="32"/>
      </c>
      <c r="DG264" s="91" t="str">
        <f t="shared" si="32"/>
      </c>
      <c r="DH264" s="91" t="str">
        <f t="shared" si="32"/>
      </c>
      <c r="DI264" s="91" t="str">
        <f t="shared" si="32"/>
      </c>
      <c r="DJ264" s="91" t="str">
        <f t="shared" si="32"/>
      </c>
      <c r="DK264" s="91" t="str">
        <f t="shared" si="32"/>
      </c>
      <c r="DL264" s="91" t="str">
        <f t="shared" si="32"/>
      </c>
      <c r="DM264" s="91" t="str">
        <f t="shared" si="32"/>
      </c>
      <c r="DN264" s="91" t="str">
        <f t="shared" si="32"/>
      </c>
      <c r="DO264" s="91" t="str">
        <f t="shared" si="32"/>
      </c>
      <c r="DP264" s="91" t="str">
        <f t="shared" si="32"/>
      </c>
      <c r="DQ264" s="91" t="str">
        <f t="shared" si="32"/>
      </c>
      <c r="DR264" s="91" t="str">
        <f t="shared" si="32"/>
      </c>
      <c r="DS264" s="91" t="str">
        <f t="shared" si="32"/>
      </c>
      <c r="DT264" s="91" t="str">
        <f t="shared" si="32"/>
      </c>
      <c r="DU264" s="91" t="str">
        <f t="shared" si="32"/>
      </c>
      <c r="DV264" s="91" t="str">
        <f t="shared" si="32"/>
      </c>
      <c r="DW264" s="91" t="str">
        <f t="shared" si="32"/>
      </c>
      <c r="DX264" s="91" t="str">
        <f t="shared" si="32"/>
      </c>
      <c r="DY264" s="91" t="str">
        <f t="shared" si="32"/>
      </c>
      <c r="DZ264" s="91" t="str">
        <f t="shared" si="32"/>
      </c>
      <c r="EA264" s="91" t="str">
        <f t="shared" si="32"/>
      </c>
      <c r="EB264" s="91" t="str">
        <f t="shared" si="32"/>
      </c>
      <c r="EC264" s="91" t="str">
        <f t="shared" si="32"/>
      </c>
      <c r="ED264" s="91" t="str">
        <f t="shared" si="32"/>
      </c>
      <c r="EE264" s="91" t="str">
        <f t="shared" si="32"/>
      </c>
      <c r="EF264" s="91" t="str">
        <f t="shared" si="32"/>
      </c>
      <c r="EG264" s="91" t="str">
        <f t="shared" si="32"/>
      </c>
      <c r="EH264" s="91" t="str">
        <f t="shared" si="32"/>
      </c>
      <c r="EI264" s="91" t="str">
        <f t="shared" si="32"/>
      </c>
      <c r="EJ264" s="91" t="str">
        <f t="shared" si="32"/>
      </c>
      <c r="EK264" s="91" t="str">
        <f t="shared" si="32"/>
      </c>
      <c r="EL264" s="91" t="str">
        <f t="shared" si="32"/>
      </c>
      <c r="EM264" s="91" t="str">
        <f t="shared" si="32"/>
      </c>
      <c r="EN264" s="91" t="str">
        <f t="shared" si="32"/>
      </c>
      <c r="EO264" s="91" t="str">
        <f t="shared" si="32"/>
      </c>
      <c r="EP264" s="91" t="str">
        <f t="shared" si="32"/>
      </c>
      <c r="EQ264" s="91" t="str">
        <f t="shared" si="32"/>
      </c>
      <c r="ER264" s="91" t="str">
        <f t="shared" si="32"/>
      </c>
      <c r="ES264" s="91" t="str">
        <f t="shared" si="32"/>
      </c>
      <c r="ET264" s="91" t="str">
        <f t="shared" si="32"/>
      </c>
      <c r="EU264" s="91" t="str">
        <f t="shared" si="32"/>
      </c>
      <c r="EV264" s="91" t="str">
        <f t="shared" si="32"/>
      </c>
      <c r="EW264" s="91" t="str">
        <f t="shared" si="32"/>
      </c>
      <c r="EX264" s="91" t="str">
        <f t="shared" si="32"/>
      </c>
      <c r="EY264" s="91" t="str">
        <f t="shared" si="32"/>
      </c>
      <c r="EZ264" s="91" t="str">
        <f t="shared" si="32"/>
      </c>
      <c r="FA264" s="91" t="str">
        <f ref="FA264:HL264" t="shared" si="33">IF(SUM(FA245:FA263)&lt;&gt;0,SUM(FA245:FA263),"")</f>
      </c>
      <c r="FB264" s="91" t="str">
        <f t="shared" si="33"/>
      </c>
      <c r="FC264" s="91" t="str">
        <f t="shared" si="33"/>
      </c>
      <c r="FD264" s="91" t="str">
        <f t="shared" si="33"/>
      </c>
      <c r="FE264" s="91" t="str">
        <f t="shared" si="33"/>
      </c>
      <c r="FF264" s="91" t="str">
        <f t="shared" si="33"/>
      </c>
      <c r="FG264" s="91" t="str">
        <f t="shared" si="33"/>
      </c>
      <c r="FH264" s="91" t="str">
        <f t="shared" si="33"/>
      </c>
      <c r="FI264" s="91" t="str">
        <f t="shared" si="33"/>
      </c>
      <c r="FJ264" s="91" t="str">
        <f t="shared" si="33"/>
      </c>
      <c r="FK264" s="91" t="str">
        <f t="shared" si="33"/>
      </c>
      <c r="FL264" s="91" t="str">
        <f t="shared" si="33"/>
      </c>
      <c r="FM264" s="91" t="str">
        <f t="shared" si="33"/>
      </c>
      <c r="FN264" s="91" t="str">
        <f t="shared" si="33"/>
      </c>
      <c r="FO264" s="91" t="str">
        <f t="shared" si="33"/>
      </c>
      <c r="FP264" s="91" t="str">
        <f t="shared" si="33"/>
      </c>
      <c r="FQ264" s="91" t="str">
        <f t="shared" si="33"/>
      </c>
      <c r="FR264" s="91" t="str">
        <f t="shared" si="33"/>
      </c>
      <c r="FS264" s="91" t="str">
        <f t="shared" si="33"/>
      </c>
      <c r="FT264" s="91" t="str">
        <f t="shared" si="33"/>
      </c>
      <c r="FU264" s="91" t="str">
        <f t="shared" si="33"/>
      </c>
      <c r="FV264" s="91" t="str">
        <f t="shared" si="33"/>
      </c>
      <c r="FW264" s="91" t="str">
        <f t="shared" si="33"/>
      </c>
      <c r="FX264" s="91" t="str">
        <f t="shared" si="33"/>
      </c>
      <c r="FY264" s="91" t="str">
        <f t="shared" si="33"/>
      </c>
      <c r="FZ264" s="91" t="str">
        <f t="shared" si="33"/>
      </c>
      <c r="GA264" s="91" t="str">
        <f t="shared" si="33"/>
      </c>
      <c r="GB264" s="91" t="str">
        <f t="shared" si="33"/>
      </c>
      <c r="GC264" s="91" t="str">
        <f t="shared" si="33"/>
      </c>
      <c r="GD264" s="91" t="str">
        <f t="shared" si="33"/>
      </c>
      <c r="GE264" s="91" t="str">
        <f t="shared" si="33"/>
      </c>
      <c r="GF264" s="91" t="str">
        <f t="shared" si="33"/>
      </c>
      <c r="GG264" s="91" t="str">
        <f t="shared" si="33"/>
      </c>
      <c r="GH264" s="91" t="str">
        <f t="shared" si="33"/>
      </c>
      <c r="GI264" s="91" t="str">
        <f t="shared" si="33"/>
      </c>
      <c r="GJ264" s="91" t="str">
        <f t="shared" si="33"/>
      </c>
      <c r="GK264" s="91" t="str">
        <f t="shared" si="33"/>
      </c>
      <c r="GL264" s="91" t="str">
        <f t="shared" si="33"/>
      </c>
      <c r="GM264" s="91" t="str">
        <f t="shared" si="33"/>
      </c>
      <c r="GN264" s="91" t="str">
        <f t="shared" si="33"/>
      </c>
      <c r="GO264" s="91" t="str">
        <f t="shared" si="33"/>
      </c>
      <c r="GP264" s="91" t="str">
        <f t="shared" si="33"/>
      </c>
      <c r="GQ264" s="91" t="str">
        <f t="shared" si="33"/>
      </c>
      <c r="GR264" s="91" t="str">
        <f t="shared" si="33"/>
      </c>
      <c r="GS264" s="91" t="str">
        <f t="shared" si="33"/>
      </c>
      <c r="GT264" s="91" t="str">
        <f t="shared" si="33"/>
      </c>
      <c r="GU264" s="91" t="str">
        <f t="shared" si="33"/>
      </c>
      <c r="GV264" s="91" t="str">
        <f t="shared" si="33"/>
      </c>
      <c r="GW264" s="91" t="str">
        <f t="shared" si="33"/>
      </c>
      <c r="GX264" s="91" t="str">
        <f t="shared" si="33"/>
      </c>
      <c r="GY264" s="91" t="str">
        <f t="shared" si="33"/>
      </c>
      <c r="GZ264" s="91" t="str">
        <f t="shared" si="33"/>
      </c>
      <c r="HA264" s="91" t="str">
        <f t="shared" si="33"/>
      </c>
      <c r="HB264" s="91" t="str">
        <f t="shared" si="33"/>
      </c>
      <c r="HC264" s="91" t="str">
        <f t="shared" si="33"/>
      </c>
      <c r="HD264" s="91" t="str">
        <f t="shared" si="33"/>
      </c>
      <c r="HE264" s="91" t="str">
        <f t="shared" si="33"/>
      </c>
      <c r="HF264" s="91" t="str">
        <f t="shared" si="33"/>
      </c>
      <c r="HG264" s="91" t="str">
        <f t="shared" si="33"/>
      </c>
      <c r="HH264" s="91" t="str">
        <f t="shared" si="33"/>
      </c>
      <c r="HI264" s="91" t="str">
        <f t="shared" si="33"/>
      </c>
      <c r="HJ264" s="91" t="str">
        <f t="shared" si="33"/>
      </c>
      <c r="HK264" s="91" t="str">
        <f t="shared" si="33"/>
      </c>
      <c r="HL264" s="91" t="str">
        <f t="shared" si="33"/>
      </c>
      <c r="HM264" s="91" t="str">
        <f ref="HM264:IV264" t="shared" si="34">IF(SUM(HM245:HM263)&lt;&gt;0,SUM(HM245:HM263),"")</f>
      </c>
      <c r="HN264" s="91" t="str">
        <f t="shared" si="34"/>
      </c>
      <c r="HO264" s="91" t="str">
        <f t="shared" si="34"/>
      </c>
      <c r="HP264" s="91" t="str">
        <f t="shared" si="34"/>
      </c>
      <c r="HQ264" s="91" t="str">
        <f t="shared" si="34"/>
      </c>
      <c r="HR264" s="91" t="str">
        <f t="shared" si="34"/>
      </c>
      <c r="HS264" s="91" t="str">
        <f t="shared" si="34"/>
      </c>
      <c r="HT264" s="91" t="str">
        <f t="shared" si="34"/>
      </c>
      <c r="HU264" s="91" t="str">
        <f t="shared" si="34"/>
      </c>
      <c r="HV264" s="91" t="str">
        <f t="shared" si="34"/>
      </c>
      <c r="HW264" s="91" t="str">
        <f t="shared" si="34"/>
      </c>
      <c r="HX264" s="91" t="str">
        <f t="shared" si="34"/>
      </c>
      <c r="HY264" s="91" t="str">
        <f t="shared" si="34"/>
      </c>
      <c r="HZ264" s="91" t="str">
        <f t="shared" si="34"/>
      </c>
      <c r="IA264" s="91" t="str">
        <f t="shared" si="34"/>
      </c>
      <c r="IB264" s="91" t="str">
        <f t="shared" si="34"/>
      </c>
      <c r="IC264" s="91" t="str">
        <f t="shared" si="34"/>
      </c>
      <c r="ID264" s="91" t="str">
        <f t="shared" si="34"/>
      </c>
      <c r="IE264" s="91" t="str">
        <f t="shared" si="34"/>
      </c>
      <c r="IF264" s="91" t="str">
        <f t="shared" si="34"/>
      </c>
      <c r="IG264" s="91" t="str">
        <f t="shared" si="34"/>
      </c>
      <c r="IH264" s="91" t="str">
        <f t="shared" si="34"/>
      </c>
      <c r="II264" s="91" t="str">
        <f t="shared" si="34"/>
      </c>
      <c r="IJ264" s="91" t="str">
        <f t="shared" si="34"/>
      </c>
      <c r="IK264" s="91" t="str">
        <f t="shared" si="34"/>
      </c>
      <c r="IL264" s="91" t="str">
        <f t="shared" si="34"/>
      </c>
      <c r="IM264" s="91" t="str">
        <f t="shared" si="34"/>
      </c>
      <c r="IN264" s="91" t="str">
        <f t="shared" si="34"/>
      </c>
      <c r="IO264" s="91" t="str">
        <f t="shared" si="34"/>
      </c>
      <c r="IP264" s="91" t="str">
        <f t="shared" si="34"/>
      </c>
      <c r="IQ264" s="91" t="str">
        <f t="shared" si="34"/>
      </c>
      <c r="IR264" s="91" t="str">
        <f t="shared" si="34"/>
      </c>
      <c r="IS264" s="91" t="str">
        <f t="shared" si="34"/>
      </c>
      <c r="IT264" s="91" t="str">
        <f t="shared" si="34"/>
      </c>
      <c r="IU264" s="91" t="str">
        <f t="shared" si="34"/>
      </c>
      <c r="IV264" s="91" t="str">
        <f t="shared" si="34"/>
      </c>
    </row>
    <row r="265" hidden="1" ht="13.5"/>
    <row r="266" hidden="1" ht="15" customHeight="1">
      <c r="C266" s="686" t="s">
        <v>250</v>
      </c>
      <c r="D266" s="687"/>
      <c r="E266" s="687"/>
      <c r="F266" s="687"/>
      <c r="G266" s="687"/>
      <c r="H266" s="687"/>
      <c r="I266" s="687"/>
      <c r="J266" s="687"/>
      <c r="K266" s="687"/>
      <c r="L266" s="687"/>
      <c r="M266" s="687"/>
      <c r="N266" s="687"/>
      <c r="O266" s="687"/>
      <c r="P266" s="687"/>
      <c r="Q266" s="687"/>
      <c r="R266" s="687"/>
      <c r="S266" s="687"/>
      <c r="T266" s="687"/>
      <c r="U266" s="687"/>
      <c r="V266" s="687"/>
      <c r="W266" s="687"/>
      <c r="X266" s="687"/>
      <c r="Y266" s="687"/>
      <c r="Z266" s="687"/>
      <c r="AA266" s="687"/>
      <c r="AB266" s="688"/>
    </row>
    <row r="267" hidden="1" ht="13.5">
      <c r="C267" s="435" t="str">
        <f> IF(C287&lt;&gt;"",TEXT(AUX!G$1,"dd-MMM-aa"),"")</f>
      </c>
      <c r="D267" s="435" t="str">
        <f> IF(D287&lt;&gt;"",TEXT(AUX!H$1,"dd-MMM-aa"),"")</f>
      </c>
      <c r="E267" s="435" t="str">
        <f> IF(E287&lt;&gt;"",TEXT(AUX!I$1,"dd-MMM-aa"),"")</f>
      </c>
      <c r="F267" s="435" t="str">
        <f> IF(F287&lt;&gt;"",TEXT(AUX!J$1,"dd-MMM-aa"),"")</f>
      </c>
      <c r="G267" s="435" t="str">
        <f> IF(G287&lt;&gt;"",TEXT(AUX!K$1,"dd-MMM-aa"),"")</f>
      </c>
      <c r="H267" s="435" t="str">
        <f> IF(H287&lt;&gt;"",TEXT(AUX!L$1,"dd-MMM-aa"),"")</f>
      </c>
      <c r="I267" s="435" t="str">
        <f> IF(I287&lt;&gt;"",TEXT(AUX!M$1,"dd-MMM-aa"),"")</f>
      </c>
      <c r="J267" s="435" t="str">
        <f> IF(J287&lt;&gt;"",TEXT(AUX!N$1,"dd-MMM-aa"),"")</f>
      </c>
      <c r="K267" s="435" t="str">
        <f> IF(K287&lt;&gt;"",TEXT(AUX!O$1,"dd-MMM-aa"),"")</f>
      </c>
      <c r="L267" s="435" t="str">
        <f> IF(L287&lt;&gt;"",TEXT(AUX!P$1,"dd-MMM-aa"),"")</f>
      </c>
      <c r="M267" s="435" t="str">
        <f> IF(M287&lt;&gt;"",TEXT(AUX!Q$1,"dd-MMM-aa"),"")</f>
      </c>
      <c r="N267" s="435" t="str">
        <f> IF(N287&lt;&gt;"",TEXT(AUX!R$1,"dd-MMM-aa"),"")</f>
      </c>
      <c r="O267" s="435" t="str">
        <f> IF(O287&lt;&gt;"",TEXT(AUX!S$1,"dd-MMM-aa"),"")</f>
      </c>
      <c r="P267" s="435" t="str">
        <f> IF(P287&lt;&gt;"",TEXT(AUX!T$1,"dd-MMM-aa"),"")</f>
      </c>
      <c r="Q267" s="435" t="str">
        <f> IF(Q287&lt;&gt;"",TEXT(AUX!U$1,"dd-MMM-aa"),"")</f>
      </c>
      <c r="R267" s="435" t="str">
        <f> IF(R287&lt;&gt;"",TEXT(AUX!V$1,"dd-MMM-aa"),"")</f>
      </c>
      <c r="S267" s="435" t="str">
        <f> IF(S287&lt;&gt;"",TEXT(AUX!W$1,"dd-MMM-aa"),"")</f>
      </c>
      <c r="T267" s="435" t="str">
        <f> IF(T287&lt;&gt;"",TEXT(AUX!X$1,"dd-MMM-aa"),"")</f>
      </c>
      <c r="U267" s="435" t="str">
        <f> IF(U287&lt;&gt;"",TEXT(AUX!Y$1,"dd-MMM-aa"),"")</f>
      </c>
      <c r="V267" s="435" t="str">
        <f> IF(V287&lt;&gt;"",TEXT(AUX!Z$1,"dd-MMM-aa"),"")</f>
      </c>
      <c r="W267" s="435" t="str">
        <f> IF(W287&lt;&gt;"",TEXT(AUX!AA$1,"dd-MMM-aa"),"")</f>
      </c>
      <c r="X267" s="435" t="str">
        <f> IF(X287&lt;&gt;"",TEXT(AUX!AB$1,"dd-MMM-aa"),"")</f>
      </c>
      <c r="Y267" s="435" t="str">
        <f> IF(Y287&lt;&gt;"",TEXT(AUX!AC$1,"dd-MMM-aa"),"")</f>
      </c>
      <c r="Z267" s="435" t="str">
        <f> IF(Z287&lt;&gt;"",TEXT(AUX!AD$1,"dd-MMM-aa"),"")</f>
      </c>
      <c r="AA267" s="435" t="str">
        <f> IF(AA287&lt;&gt;"",TEXT(AUX!AE$1,"dd-MMM-aa"),"")</f>
      </c>
      <c r="AB267" s="497" t="str">
        <f> IF(AB287&lt;&gt;"",TEXT(AUX!AF$1,"dd-MMM-aa"),"")</f>
      </c>
      <c r="AC267" s="496" t="str">
        <f> IF(AC287&lt;&gt;"",TEXT(AUX!AG$1,"dd-MMM-aa"),"")</f>
      </c>
      <c r="AD267" s="496" t="str">
        <f> IF(AD287&lt;&gt;"",TEXT(AUX!AH$1,"dd-MMM-aa"),"")</f>
      </c>
      <c r="AE267" s="496" t="str">
        <f> IF(AE287&lt;&gt;"",TEXT(AUX!AI$1,"dd-MMM-aa"),"")</f>
      </c>
      <c r="AF267" s="496" t="str">
        <f> IF(AF287&lt;&gt;"",TEXT(AUX!AJ$1,"dd-MMM-aa"),"")</f>
      </c>
      <c r="AG267" s="496" t="str">
        <f> IF(AG287&lt;&gt;"",TEXT(AUX!AK$1,"dd-MMM-aa"),"")</f>
      </c>
      <c r="AH267" s="496" t="str">
        <f> IF(AH287&lt;&gt;"",TEXT(AUX!AL$1,"dd-MMM-aa"),"")</f>
      </c>
      <c r="AI267" s="496" t="str">
        <f> IF(AI287&lt;&gt;"",TEXT(AUX!AM$1,"dd-MMM-aa"),"")</f>
      </c>
      <c r="AJ267" s="496" t="str">
        <f> IF(AJ287&lt;&gt;"",TEXT(AUX!AN$1,"dd-MMM-aa"),"")</f>
      </c>
      <c r="AK267" s="496" t="str">
        <f> IF(AK287&lt;&gt;"",TEXT(AUX!AO$1,"dd-MMM-aa"),"")</f>
      </c>
      <c r="AL267" s="496" t="str">
        <f> IF(AL287&lt;&gt;"",TEXT(AUX!AP$1,"dd-MMM-aa"),"")</f>
      </c>
      <c r="AM267" s="496" t="str">
        <f> IF(AM287&lt;&gt;"",TEXT(AUX!AQ$1,"dd-MMM-aa"),"")</f>
      </c>
      <c r="AN267" s="496" t="str">
        <f> IF(AN287&lt;&gt;"",TEXT(AUX!AR$1,"dd-MMM-aa"),"")</f>
      </c>
      <c r="AO267" s="496" t="str">
        <f> IF(AO287&lt;&gt;"",TEXT(AUX!AS$1,"dd-MMM-aa"),"")</f>
      </c>
      <c r="AP267" s="496" t="str">
        <f> IF(AP287&lt;&gt;"",TEXT(AUX!AT$1,"dd-MMM-aa"),"")</f>
      </c>
      <c r="AQ267" s="496" t="str">
        <f> IF(AQ287&lt;&gt;"",TEXT(AUX!AU$1,"dd-MMM-aa"),"")</f>
      </c>
      <c r="AR267" s="496" t="str">
        <f> IF(AR287&lt;&gt;"",TEXT(AUX!AV$1,"dd-MMM-aa"),"")</f>
      </c>
      <c r="AS267" s="496" t="str">
        <f> IF(AS287&lt;&gt;"",TEXT(AUX!AW$1,"dd-MMM-aa"),"")</f>
      </c>
      <c r="AT267" s="496" t="str">
        <f> IF(AT287&lt;&gt;"",TEXT(AUX!AX$1,"dd-MMM-aa"),"")</f>
      </c>
      <c r="AU267" s="496" t="str">
        <f> IF(AU287&lt;&gt;"",TEXT(AUX!AY$1,"dd-MMM-aa"),"")</f>
      </c>
      <c r="AV267" s="496" t="str">
        <f> IF(AV287&lt;&gt;"",TEXT(AUX!AZ$1,"dd-MMM-aa"),"")</f>
      </c>
      <c r="AW267" s="496" t="str">
        <f> IF(AW287&lt;&gt;"",TEXT(AUX!BA$1,"dd-MMM-aa"),"")</f>
      </c>
      <c r="AX267" s="496" t="str">
        <f> IF(AX287&lt;&gt;"",TEXT(AUX!BB$1,"dd-MMM-aa"),"")</f>
      </c>
      <c r="AY267" s="496" t="str">
        <f> IF(AY287&lt;&gt;"",TEXT(AUX!BC$1,"dd-MMM-aa"),"")</f>
      </c>
      <c r="AZ267" s="496" t="str">
        <f> IF(AZ287&lt;&gt;"",TEXT(AUX!BD$1,"dd-MMM-aa"),"")</f>
      </c>
      <c r="BA267" s="496" t="str">
        <f> IF(BA287&lt;&gt;"",TEXT(AUX!BE$1,"dd-MMM-aa"),"")</f>
      </c>
      <c r="BB267" s="496" t="str">
        <f> IF(BB287&lt;&gt;"",TEXT(AUX!BF$1,"dd-MMM-aa"),"")</f>
      </c>
      <c r="BC267" s="496" t="str">
        <f> IF(BC287&lt;&gt;"",TEXT(AUX!BG$1,"dd-MMM-aa"),"")</f>
      </c>
      <c r="BD267" s="496" t="str">
        <f> IF(BD287&lt;&gt;"",TEXT(AUX!BH$1,"dd-MMM-aa"),"")</f>
      </c>
      <c r="BE267" s="496" t="str">
        <f> IF(BE287&lt;&gt;"",TEXT(AUX!BI$1,"dd-MMM-aa"),"")</f>
      </c>
      <c r="BF267" s="496" t="str">
        <f> IF(BF287&lt;&gt;"",TEXT(AUX!BJ$1,"dd-MMM-aa"),"")</f>
      </c>
      <c r="BG267" s="496" t="str">
        <f> IF(BG287&lt;&gt;"",TEXT(AUX!BK$1,"dd-MMM-aa"),"")</f>
      </c>
      <c r="BH267" s="496" t="str">
        <f> IF(BH287&lt;&gt;"",TEXT(AUX!BL$1,"dd-MMM-aa"),"")</f>
      </c>
      <c r="BI267" s="496" t="str">
        <f> IF(BI287&lt;&gt;"",TEXT(AUX!BM$1,"dd-MMM-aa"),"")</f>
      </c>
      <c r="BJ267" s="496" t="str">
        <f> IF(BJ287&lt;&gt;"",TEXT(AUX!BN$1,"dd-MMM-aa"),"")</f>
      </c>
      <c r="BK267" s="496" t="str">
        <f> IF(BK287&lt;&gt;"",TEXT(AUX!BO$1,"dd-MMM-aa"),"")</f>
      </c>
      <c r="BL267" s="496" t="str">
        <f> IF(BL287&lt;&gt;"",TEXT(AUX!BP$1,"dd-MMM-aa"),"")</f>
      </c>
      <c r="BM267" s="496" t="str">
        <f> IF(BM287&lt;&gt;"",TEXT(AUX!BQ$1,"dd-MMM-aa"),"")</f>
      </c>
      <c r="BN267" s="496" t="str">
        <f> IF(BN287&lt;&gt;"",TEXT(AUX!BR$1,"dd-MMM-aa"),"")</f>
      </c>
      <c r="BO267" s="496" t="str">
        <f> IF(BO287&lt;&gt;"",TEXT(AUX!BS$1,"dd-MMM-aa"),"")</f>
      </c>
      <c r="BP267" s="496" t="str">
        <f> IF(BP287&lt;&gt;"",TEXT(AUX!BT$1,"dd-MMM-aa"),"")</f>
      </c>
      <c r="BQ267" s="496" t="str">
        <f> IF(BQ287&lt;&gt;"",TEXT(AUX!BU$1,"dd-MMM-aa"),"")</f>
      </c>
      <c r="BR267" s="496" t="str">
        <f> IF(BR287&lt;&gt;"",TEXT(AUX!BV$1,"dd-MMM-aa"),"")</f>
      </c>
      <c r="BS267" s="496" t="str">
        <f> IF(BS287&lt;&gt;"",TEXT(AUX!BW$1,"dd-MMM-aa"),"")</f>
      </c>
      <c r="BT267" s="496" t="str">
        <f> IF(BT287&lt;&gt;"",TEXT(AUX!BX$1,"dd-MMM-aa"),"")</f>
      </c>
      <c r="BU267" s="496" t="str">
        <f> IF(BU287&lt;&gt;"",TEXT(AUX!BY$1,"dd-MMM-aa"),"")</f>
      </c>
      <c r="BV267" s="496" t="str">
        <f> IF(BV287&lt;&gt;"",TEXT(AUX!BZ$1,"dd-MMM-aa"),"")</f>
      </c>
      <c r="BW267" s="496" t="str">
        <f> IF(BW287&lt;&gt;"",TEXT(AUX!CA$1,"dd-MMM-aa"),"")</f>
      </c>
      <c r="BX267" s="496" t="str">
        <f> IF(BX287&lt;&gt;"",TEXT(AUX!CB$1,"dd-MMM-aa"),"")</f>
      </c>
      <c r="BY267" s="496" t="str">
        <f> IF(BY287&lt;&gt;"",TEXT(AUX!CC$1,"dd-MMM-aa"),"")</f>
      </c>
      <c r="BZ267" s="496" t="str">
        <f> IF(BZ287&lt;&gt;"",TEXT(AUX!CD$1,"dd-MMM-aa"),"")</f>
      </c>
      <c r="CA267" s="496" t="str">
        <f> IF(CA287&lt;&gt;"",TEXT(AUX!CE$1,"dd-MMM-aa"),"")</f>
      </c>
      <c r="CB267" s="496" t="str">
        <f> IF(CB287&lt;&gt;"",TEXT(AUX!CF$1,"dd-MMM-aa"),"")</f>
      </c>
      <c r="CC267" s="496" t="str">
        <f> IF(CC287&lt;&gt;"",TEXT(AUX!CG$1,"dd-MMM-aa"),"")</f>
      </c>
      <c r="CD267" s="496" t="str">
        <f> IF(CD287&lt;&gt;"",TEXT(AUX!CH$1,"dd-MMM-aa"),"")</f>
      </c>
      <c r="CE267" s="496" t="str">
        <f> IF(CE287&lt;&gt;"",TEXT(AUX!CI$1,"dd-MMM-aa"),"")</f>
      </c>
      <c r="CF267" s="496" t="str">
        <f> IF(CF287&lt;&gt;"",TEXT(AUX!CJ$1,"dd-MMM-aa"),"")</f>
      </c>
      <c r="CG267" s="496" t="str">
        <f> IF(CG287&lt;&gt;"",TEXT(AUX!CK$1,"dd-MMM-aa"),"")</f>
      </c>
      <c r="CH267" s="496" t="str">
        <f> IF(CH287&lt;&gt;"",TEXT(AUX!CL$1,"dd-MMM-aa"),"")</f>
      </c>
      <c r="CI267" s="496" t="str">
        <f> IF(CI287&lt;&gt;"",TEXT(AUX!CM$1,"dd-MMM-aa"),"")</f>
      </c>
      <c r="CJ267" s="496" t="str">
        <f> IF(CJ287&lt;&gt;"",TEXT(AUX!CN$1,"dd-MMM-aa"),"")</f>
      </c>
      <c r="CK267" s="496" t="str">
        <f> IF(CK287&lt;&gt;"",TEXT(AUX!CO$1,"dd-MMM-aa"),"")</f>
      </c>
      <c r="CL267" s="496" t="str">
        <f> IF(CL287&lt;&gt;"",TEXT(AUX!CP$1,"dd-MMM-aa"),"")</f>
      </c>
      <c r="CM267" s="496" t="str">
        <f> IF(CM287&lt;&gt;"",TEXT(AUX!CQ$1,"dd-MMM-aa"),"")</f>
      </c>
      <c r="CN267" s="496" t="str">
        <f> IF(CN287&lt;&gt;"",TEXT(AUX!CR$1,"dd-MMM-aa"),"")</f>
      </c>
      <c r="CO267" s="496" t="str">
        <f> IF(CO287&lt;&gt;"",TEXT(AUX!CS$1,"dd-MMM-aa"),"")</f>
      </c>
      <c r="CP267" s="496" t="str">
        <f> IF(CP287&lt;&gt;"",TEXT(AUX!CT$1,"dd-MMM-aa"),"")</f>
      </c>
      <c r="CQ267" s="496" t="str">
        <f> IF(CQ287&lt;&gt;"",TEXT(AUX!CU$1,"dd-MMM-aa"),"")</f>
      </c>
      <c r="CR267" s="496" t="str">
        <f> IF(CR287&lt;&gt;"",TEXT(AUX!CV$1,"dd-MMM-aa"),"")</f>
      </c>
      <c r="CS267" s="496" t="str">
        <f> IF(CS287&lt;&gt;"",TEXT(AUX!CW$1,"dd-MMM-aa"),"")</f>
      </c>
      <c r="CT267" s="496" t="str">
        <f> IF(CT287&lt;&gt;"",TEXT(AUX!CX$1,"dd-MMM-aa"),"")</f>
      </c>
      <c r="CU267" s="496" t="str">
        <f> IF(CU287&lt;&gt;"",TEXT(AUX!CY$1,"dd-MMM-aa"),"")</f>
      </c>
      <c r="CV267" s="496" t="str">
        <f> IF(CV287&lt;&gt;"",TEXT(AUX!CZ$1,"dd-MMM-aa"),"")</f>
      </c>
      <c r="CW267" s="496" t="str">
        <f> IF(CW287&lt;&gt;"",TEXT(AUX!DA$1,"dd-MMM-aa"),"")</f>
      </c>
      <c r="CX267" s="496" t="str">
        <f> IF(CX287&lt;&gt;"",TEXT(AUX!DB$1,"dd-MMM-aa"),"")</f>
      </c>
      <c r="CY267" s="496" t="str">
        <f> IF(CY287&lt;&gt;"",TEXT(AUX!DC$1,"dd-MMM-aa"),"")</f>
      </c>
      <c r="CZ267" s="496" t="str">
        <f> IF(CZ287&lt;&gt;"",TEXT(AUX!DD$1,"dd-MMM-aa"),"")</f>
      </c>
      <c r="DA267" s="496" t="str">
        <f> IF(DA287&lt;&gt;"",TEXT(AUX!DE$1,"dd-MMM-aa"),"")</f>
      </c>
      <c r="DB267" s="496" t="str">
        <f> IF(DB287&lt;&gt;"",TEXT(AUX!DF$1,"dd-MMM-aa"),"")</f>
      </c>
      <c r="DC267" s="496" t="str">
        <f> IF(DC287&lt;&gt;"",TEXT(AUX!DG$1,"dd-MMM-aa"),"")</f>
      </c>
      <c r="DD267" s="496" t="str">
        <f> IF(DD287&lt;&gt;"",TEXT(AUX!DH$1,"dd-MMM-aa"),"")</f>
      </c>
      <c r="DE267" s="496" t="str">
        <f> IF(DE287&lt;&gt;"",TEXT(AUX!DI$1,"dd-MMM-aa"),"")</f>
      </c>
      <c r="DF267" s="496" t="str">
        <f> IF(DF287&lt;&gt;"",TEXT(AUX!DJ$1,"dd-MMM-aa"),"")</f>
      </c>
      <c r="DG267" s="496" t="str">
        <f> IF(DG287&lt;&gt;"",TEXT(AUX!DK$1,"dd-MMM-aa"),"")</f>
      </c>
      <c r="DH267" s="496" t="str">
        <f> IF(DH287&lt;&gt;"",TEXT(AUX!DL$1,"dd-MMM-aa"),"")</f>
      </c>
      <c r="DI267" s="496" t="str">
        <f> IF(DI287&lt;&gt;"",TEXT(AUX!DM$1,"dd-MMM-aa"),"")</f>
      </c>
      <c r="DJ267" s="496" t="str">
        <f> IF(DJ287&lt;&gt;"",TEXT(AUX!DN$1,"dd-MMM-aa"),"")</f>
      </c>
      <c r="DK267" s="496" t="str">
        <f> IF(DK287&lt;&gt;"",TEXT(AUX!DO$1,"dd-MMM-aa"),"")</f>
      </c>
      <c r="DL267" s="496" t="str">
        <f> IF(DL287&lt;&gt;"",TEXT(AUX!DP$1,"dd-MMM-aa"),"")</f>
      </c>
      <c r="DM267" s="496" t="str">
        <f> IF(DM287&lt;&gt;"",TEXT(AUX!DQ$1,"dd-MMM-aa"),"")</f>
      </c>
      <c r="DN267" s="496" t="str">
        <f> IF(DN287&lt;&gt;"",TEXT(AUX!DR$1,"dd-MMM-aa"),"")</f>
      </c>
      <c r="DO267" s="496" t="str">
        <f> IF(DO287&lt;&gt;"",TEXT(AUX!DS$1,"dd-MMM-aa"),"")</f>
      </c>
      <c r="DP267" s="496" t="str">
        <f> IF(DP287&lt;&gt;"",TEXT(AUX!DT$1,"dd-MMM-aa"),"")</f>
      </c>
      <c r="DQ267" s="496" t="str">
        <f> IF(DQ287&lt;&gt;"",TEXT(AUX!DU$1,"dd-MMM-aa"),"")</f>
      </c>
      <c r="DR267" s="496" t="str">
        <f> IF(DR287&lt;&gt;"",TEXT(AUX!DV$1,"dd-MMM-aa"),"")</f>
      </c>
      <c r="DS267" s="496" t="str">
        <f> IF(DS287&lt;&gt;"",TEXT(AUX!DW$1,"dd-MMM-aa"),"")</f>
      </c>
      <c r="DT267" s="496" t="str">
        <f> IF(DT287&lt;&gt;"",TEXT(AUX!DX$1,"dd-MMM-aa"),"")</f>
      </c>
      <c r="DU267" s="496" t="str">
        <f> IF(DU287&lt;&gt;"",TEXT(AUX!DY$1,"dd-MMM-aa"),"")</f>
      </c>
      <c r="DV267" s="496" t="str">
        <f> IF(DV287&lt;&gt;"",TEXT(AUX!DZ$1,"dd-MMM-aa"),"")</f>
      </c>
      <c r="DW267" s="496" t="str">
        <f> IF(DW287&lt;&gt;"",TEXT(AUX!EA$1,"dd-MMM-aa"),"")</f>
      </c>
      <c r="DX267" s="496" t="str">
        <f> IF(DX287&lt;&gt;"",TEXT(AUX!EB$1,"dd-MMM-aa"),"")</f>
      </c>
      <c r="DY267" s="496" t="str">
        <f> IF(DY287&lt;&gt;"",TEXT(AUX!EC$1,"dd-MMM-aa"),"")</f>
      </c>
      <c r="DZ267" s="496" t="str">
        <f> IF(DZ287&lt;&gt;"",TEXT(AUX!ED$1,"dd-MMM-aa"),"")</f>
      </c>
      <c r="EA267" s="496" t="str">
        <f> IF(EA287&lt;&gt;"",TEXT(AUX!EE$1,"dd-MMM-aa"),"")</f>
      </c>
      <c r="EB267" s="496" t="str">
        <f> IF(EB287&lt;&gt;"",TEXT(AUX!EF$1,"dd-MMM-aa"),"")</f>
      </c>
      <c r="EC267" s="496" t="str">
        <f> IF(EC287&lt;&gt;"",TEXT(AUX!EG$1,"dd-MMM-aa"),"")</f>
      </c>
      <c r="ED267" s="496" t="str">
        <f> IF(ED287&lt;&gt;"",TEXT(AUX!EH$1,"dd-MMM-aa"),"")</f>
      </c>
      <c r="EE267" s="496" t="str">
        <f> IF(EE287&lt;&gt;"",TEXT(AUX!EI$1,"dd-MMM-aa"),"")</f>
      </c>
      <c r="EF267" s="496" t="str">
        <f> IF(EF287&lt;&gt;"",TEXT(AUX!EJ$1,"dd-MMM-aa"),"")</f>
      </c>
      <c r="EG267" s="496" t="str">
        <f> IF(EG287&lt;&gt;"",TEXT(AUX!EK$1,"dd-MMM-aa"),"")</f>
      </c>
      <c r="EH267" s="496" t="str">
        <f> IF(EH287&lt;&gt;"",TEXT(AUX!EL$1,"dd-MMM-aa"),"")</f>
      </c>
      <c r="EI267" s="496" t="str">
        <f> IF(EI287&lt;&gt;"",TEXT(AUX!EM$1,"dd-MMM-aa"),"")</f>
      </c>
      <c r="EJ267" s="496" t="str">
        <f> IF(EJ287&lt;&gt;"",TEXT(AUX!EN$1,"dd-MMM-aa"),"")</f>
      </c>
      <c r="EK267" s="496" t="str">
        <f> IF(EK287&lt;&gt;"",TEXT(AUX!EO$1,"dd-MMM-aa"),"")</f>
      </c>
      <c r="EL267" s="496" t="str">
        <f> IF(EL287&lt;&gt;"",TEXT(AUX!EP$1,"dd-MMM-aa"),"")</f>
      </c>
      <c r="EM267" s="496" t="str">
        <f> IF(EM287&lt;&gt;"",TEXT(AUX!EQ$1,"dd-MMM-aa"),"")</f>
      </c>
      <c r="EN267" s="496" t="str">
        <f> IF(EN287&lt;&gt;"",TEXT(AUX!ER$1,"dd-MMM-aa"),"")</f>
      </c>
      <c r="EO267" s="496" t="str">
        <f> IF(EO287&lt;&gt;"",TEXT(AUX!ES$1,"dd-MMM-aa"),"")</f>
      </c>
      <c r="EP267" s="496" t="str">
        <f> IF(EP287&lt;&gt;"",TEXT(AUX!ET$1,"dd-MMM-aa"),"")</f>
      </c>
      <c r="EQ267" s="496" t="str">
        <f> IF(EQ287&lt;&gt;"",TEXT(AUX!EU$1,"dd-MMM-aa"),"")</f>
      </c>
      <c r="ER267" s="496" t="str">
        <f> IF(ER287&lt;&gt;"",TEXT(AUX!EV$1,"dd-MMM-aa"),"")</f>
      </c>
      <c r="ES267" s="496" t="str">
        <f> IF(ES287&lt;&gt;"",TEXT(AUX!EW$1,"dd-MMM-aa"),"")</f>
      </c>
      <c r="ET267" s="496" t="str">
        <f> IF(ET287&lt;&gt;"",TEXT(AUX!EX$1,"dd-MMM-aa"),"")</f>
      </c>
      <c r="EU267" s="496" t="str">
        <f> IF(EU287&lt;&gt;"",TEXT(AUX!EY$1,"dd-MMM-aa"),"")</f>
      </c>
      <c r="EV267" s="496" t="str">
        <f> IF(EV287&lt;&gt;"",TEXT(AUX!EZ$1,"dd-MMM-aa"),"")</f>
      </c>
      <c r="EW267" s="496" t="str">
        <f> IF(EW287&lt;&gt;"",TEXT(AUX!FA$1,"dd-MMM-aa"),"")</f>
      </c>
      <c r="EX267" s="496" t="str">
        <f> IF(EX287&lt;&gt;"",TEXT(AUX!FB$1,"dd-MMM-aa"),"")</f>
      </c>
      <c r="EY267" s="496" t="str">
        <f> IF(EY287&lt;&gt;"",TEXT(AUX!FC$1,"dd-MMM-aa"),"")</f>
      </c>
      <c r="EZ267" s="496" t="str">
        <f> IF(EZ287&lt;&gt;"",TEXT(AUX!FD$1,"dd-MMM-aa"),"")</f>
      </c>
      <c r="FA267" s="496" t="str">
        <f> IF(FA287&lt;&gt;"",TEXT(AUX!FE$1,"dd-MMM-aa"),"")</f>
      </c>
      <c r="FB267" s="496" t="str">
        <f> IF(FB287&lt;&gt;"",TEXT(AUX!FF$1,"dd-MMM-aa"),"")</f>
      </c>
      <c r="FC267" s="496" t="str">
        <f> IF(FC287&lt;&gt;"",TEXT(AUX!FG$1,"dd-MMM-aa"),"")</f>
      </c>
      <c r="FD267" s="496" t="str">
        <f> IF(FD287&lt;&gt;"",TEXT(AUX!FH$1,"dd-MMM-aa"),"")</f>
      </c>
      <c r="FE267" s="496" t="str">
        <f> IF(FE287&lt;&gt;"",TEXT(AUX!FI$1,"dd-MMM-aa"),"")</f>
      </c>
      <c r="FF267" s="496" t="str">
        <f> IF(FF287&lt;&gt;"",TEXT(AUX!FJ$1,"dd-MMM-aa"),"")</f>
      </c>
      <c r="FG267" s="496" t="str">
        <f> IF(FG287&lt;&gt;"",TEXT(AUX!FK$1,"dd-MMM-aa"),"")</f>
      </c>
      <c r="FH267" s="496" t="str">
        <f> IF(FH287&lt;&gt;"",TEXT(AUX!FL$1,"dd-MMM-aa"),"")</f>
      </c>
      <c r="FI267" s="496" t="str">
        <f> IF(FI287&lt;&gt;"",TEXT(AUX!FM$1,"dd-MMM-aa"),"")</f>
      </c>
      <c r="FJ267" s="496" t="str">
        <f> IF(FJ287&lt;&gt;"",TEXT(AUX!FN$1,"dd-MMM-aa"),"")</f>
      </c>
      <c r="FK267" s="496" t="str">
        <f> IF(FK287&lt;&gt;"",TEXT(AUX!FO$1,"dd-MMM-aa"),"")</f>
      </c>
      <c r="FL267" s="496" t="str">
        <f> IF(FL287&lt;&gt;"",TEXT(AUX!FP$1,"dd-MMM-aa"),"")</f>
      </c>
      <c r="FM267" s="496" t="str">
        <f> IF(FM287&lt;&gt;"",TEXT(AUX!FQ$1,"dd-MMM-aa"),"")</f>
      </c>
      <c r="FN267" s="496" t="str">
        <f> IF(FN287&lt;&gt;"",TEXT(AUX!FR$1,"dd-MMM-aa"),"")</f>
      </c>
      <c r="FO267" s="496" t="str">
        <f> IF(FO287&lt;&gt;"",TEXT(AUX!FS$1,"dd-MMM-aa"),"")</f>
      </c>
      <c r="FP267" s="496" t="str">
        <f> IF(FP287&lt;&gt;"",TEXT(AUX!FT$1,"dd-MMM-aa"),"")</f>
      </c>
      <c r="FQ267" s="496" t="str">
        <f> IF(FQ287&lt;&gt;"",TEXT(AUX!FU$1,"dd-MMM-aa"),"")</f>
      </c>
      <c r="FR267" s="496" t="str">
        <f> IF(FR287&lt;&gt;"",TEXT(AUX!FV$1,"dd-MMM-aa"),"")</f>
      </c>
      <c r="FS267" s="496" t="str">
        <f> IF(FS287&lt;&gt;"",TEXT(AUX!FW$1,"dd-MMM-aa"),"")</f>
      </c>
      <c r="FT267" s="496" t="str">
        <f> IF(FT287&lt;&gt;"",TEXT(AUX!FX$1,"dd-MMM-aa"),"")</f>
      </c>
      <c r="FU267" s="496" t="str">
        <f> IF(FU287&lt;&gt;"",TEXT(AUX!FY$1,"dd-MMM-aa"),"")</f>
      </c>
      <c r="FV267" s="496" t="str">
        <f> IF(FV287&lt;&gt;"",TEXT(AUX!FZ$1,"dd-MMM-aa"),"")</f>
      </c>
      <c r="FW267" s="496" t="str">
        <f> IF(FW287&lt;&gt;"",TEXT(AUX!GA$1,"dd-MMM-aa"),"")</f>
      </c>
      <c r="FX267" s="496" t="str">
        <f> IF(FX287&lt;&gt;"",TEXT(AUX!GB$1,"dd-MMM-aa"),"")</f>
      </c>
      <c r="FY267" s="496" t="str">
        <f> IF(FY287&lt;&gt;"",TEXT(AUX!GC$1,"dd-MMM-aa"),"")</f>
      </c>
      <c r="FZ267" s="496" t="str">
        <f> IF(FZ287&lt;&gt;"",TEXT(AUX!GD$1,"dd-MMM-aa"),"")</f>
      </c>
      <c r="GA267" s="496" t="str">
        <f> IF(GA287&lt;&gt;"",TEXT(AUX!GE$1,"dd-MMM-aa"),"")</f>
      </c>
      <c r="GB267" s="496" t="str">
        <f> IF(GB287&lt;&gt;"",TEXT(AUX!GF$1,"dd-MMM-aa"),"")</f>
      </c>
      <c r="GC267" s="496" t="str">
        <f> IF(GC287&lt;&gt;"",TEXT(AUX!GG$1,"dd-MMM-aa"),"")</f>
      </c>
      <c r="GD267" s="496" t="str">
        <f> IF(GD287&lt;&gt;"",TEXT(AUX!GH$1,"dd-MMM-aa"),"")</f>
      </c>
      <c r="GE267" s="496" t="str">
        <f> IF(GE287&lt;&gt;"",TEXT(AUX!GI$1,"dd-MMM-aa"),"")</f>
      </c>
      <c r="GF267" s="496" t="str">
        <f> IF(GF287&lt;&gt;"",TEXT(AUX!GJ$1,"dd-MMM-aa"),"")</f>
      </c>
      <c r="GG267" s="496" t="str">
        <f> IF(GG287&lt;&gt;"",TEXT(AUX!GK$1,"dd-MMM-aa"),"")</f>
      </c>
      <c r="GH267" s="496" t="str">
        <f> IF(GH287&lt;&gt;"",TEXT(AUX!GL$1,"dd-MMM-aa"),"")</f>
      </c>
      <c r="GI267" s="496" t="str">
        <f> IF(GI287&lt;&gt;"",TEXT(AUX!GM$1,"dd-MMM-aa"),"")</f>
      </c>
      <c r="GJ267" s="496" t="str">
        <f> IF(GJ287&lt;&gt;"",TEXT(AUX!GN$1,"dd-MMM-aa"),"")</f>
      </c>
      <c r="GK267" s="496" t="str">
        <f> IF(GK287&lt;&gt;"",TEXT(AUX!GO$1,"dd-MMM-aa"),"")</f>
      </c>
      <c r="GL267" s="496" t="str">
        <f> IF(GL287&lt;&gt;"",TEXT(AUX!GP$1,"dd-MMM-aa"),"")</f>
      </c>
      <c r="GM267" s="496" t="str">
        <f> IF(GM287&lt;&gt;"",TEXT(AUX!GQ$1,"dd-MMM-aa"),"")</f>
      </c>
      <c r="GN267" s="496" t="str">
        <f> IF(GN287&lt;&gt;"",TEXT(AUX!GR$1,"dd-MMM-aa"),"")</f>
      </c>
      <c r="GO267" s="496" t="str">
        <f> IF(GO287&lt;&gt;"",TEXT(AUX!GS$1,"dd-MMM-aa"),"")</f>
      </c>
      <c r="GP267" s="496" t="str">
        <f> IF(GP287&lt;&gt;"",TEXT(AUX!GT$1,"dd-MMM-aa"),"")</f>
      </c>
      <c r="GQ267" s="496" t="str">
        <f> IF(GQ287&lt;&gt;"",TEXT(AUX!GU$1,"dd-MMM-aa"),"")</f>
      </c>
      <c r="GR267" s="496" t="str">
        <f> IF(GR287&lt;&gt;"",TEXT(AUX!GV$1,"dd-MMM-aa"),"")</f>
      </c>
      <c r="GS267" s="496" t="str">
        <f> IF(GS287&lt;&gt;"",TEXT(AUX!GW$1,"dd-MMM-aa"),"")</f>
      </c>
      <c r="GT267" s="496" t="str">
        <f> IF(GT287&lt;&gt;"",TEXT(AUX!GX$1,"dd-MMM-aa"),"")</f>
      </c>
      <c r="GU267" s="496" t="str">
        <f> IF(GU287&lt;&gt;"",TEXT(AUX!GY$1,"dd-MMM-aa"),"")</f>
      </c>
      <c r="GV267" s="496" t="str">
        <f> IF(GV287&lt;&gt;"",TEXT(AUX!GZ$1,"dd-MMM-aa"),"")</f>
      </c>
      <c r="GW267" s="496" t="str">
        <f> IF(GW287&lt;&gt;"",TEXT(AUX!HA$1,"dd-MMM-aa"),"")</f>
      </c>
      <c r="GX267" s="496" t="str">
        <f> IF(GX287&lt;&gt;"",TEXT(AUX!HB$1,"dd-MMM-aa"),"")</f>
      </c>
      <c r="GY267" s="496" t="str">
        <f> IF(GY287&lt;&gt;"",TEXT(AUX!HC$1,"dd-MMM-aa"),"")</f>
      </c>
      <c r="GZ267" s="496" t="str">
        <f> IF(GZ287&lt;&gt;"",TEXT(AUX!HD$1,"dd-MMM-aa"),"")</f>
      </c>
      <c r="HA267" s="496" t="str">
        <f> IF(HA287&lt;&gt;"",TEXT(AUX!HE$1,"dd-MMM-aa"),"")</f>
      </c>
      <c r="HB267" s="496" t="str">
        <f> IF(HB287&lt;&gt;"",TEXT(AUX!HF$1,"dd-MMM-aa"),"")</f>
      </c>
      <c r="HC267" s="496" t="str">
        <f> IF(HC287&lt;&gt;"",TEXT(AUX!HG$1,"dd-MMM-aa"),"")</f>
      </c>
      <c r="HD267" s="496" t="str">
        <f> IF(HD287&lt;&gt;"",TEXT(AUX!HH$1,"dd-MMM-aa"),"")</f>
      </c>
      <c r="HE267" s="496" t="str">
        <f> IF(HE287&lt;&gt;"",TEXT(AUX!HI$1,"dd-MMM-aa"),"")</f>
      </c>
      <c r="HF267" s="496" t="str">
        <f> IF(HF287&lt;&gt;"",TEXT(AUX!HJ$1,"dd-MMM-aa"),"")</f>
      </c>
      <c r="HG267" s="496" t="str">
        <f> IF(HG287&lt;&gt;"",TEXT(AUX!HK$1,"dd-MMM-aa"),"")</f>
      </c>
      <c r="HH267" s="496" t="str">
        <f> IF(HH287&lt;&gt;"",TEXT(AUX!HL$1,"dd-MMM-aa"),"")</f>
      </c>
      <c r="HI267" s="496" t="str">
        <f> IF(HI287&lt;&gt;"",TEXT(AUX!HM$1,"dd-MMM-aa"),"")</f>
      </c>
      <c r="HJ267" s="496" t="str">
        <f> IF(HJ287&lt;&gt;"",TEXT(AUX!HN$1,"dd-MMM-aa"),"")</f>
      </c>
      <c r="HK267" s="496" t="str">
        <f> IF(HK287&lt;&gt;"",TEXT(AUX!HO$1,"dd-MMM-aa"),"")</f>
      </c>
      <c r="HL267" s="496" t="str">
        <f> IF(HL287&lt;&gt;"",TEXT(AUX!HP$1,"dd-MMM-aa"),"")</f>
      </c>
      <c r="HM267" s="496" t="str">
        <f> IF(HM287&lt;&gt;"",TEXT(AUX!HQ$1,"dd-MMM-aa"),"")</f>
      </c>
      <c r="HN267" s="496" t="str">
        <f> IF(HN287&lt;&gt;"",TEXT(AUX!HR$1,"dd-MMM-aa"),"")</f>
      </c>
      <c r="HO267" s="496" t="str">
        <f> IF(HO287&lt;&gt;"",TEXT(AUX!HS$1,"dd-MMM-aa"),"")</f>
      </c>
      <c r="HP267" s="496" t="str">
        <f> IF(HP287&lt;&gt;"",TEXT(AUX!HT$1,"dd-MMM-aa"),"")</f>
      </c>
      <c r="HQ267" s="496" t="str">
        <f> IF(HQ287&lt;&gt;"",TEXT(AUX!HU$1,"dd-MMM-aa"),"")</f>
      </c>
      <c r="HR267" s="496" t="str">
        <f> IF(HR287&lt;&gt;"",TEXT(AUX!HV$1,"dd-MMM-aa"),"")</f>
      </c>
      <c r="HS267" s="496" t="str">
        <f> IF(HS287&lt;&gt;"",TEXT(AUX!HW$1,"dd-MMM-aa"),"")</f>
      </c>
      <c r="HT267" s="496" t="str">
        <f> IF(HT287&lt;&gt;"",TEXT(AUX!HX$1,"dd-MMM-aa"),"")</f>
      </c>
      <c r="HU267" s="496" t="str">
        <f> IF(HU287&lt;&gt;"",TEXT(AUX!HY$1,"dd-MMM-aa"),"")</f>
      </c>
      <c r="HV267" s="496" t="str">
        <f> IF(HV287&lt;&gt;"",TEXT(AUX!HZ$1,"dd-MMM-aa"),"")</f>
      </c>
      <c r="HW267" s="496" t="str">
        <f> IF(HW287&lt;&gt;"",TEXT(AUX!IA$1,"dd-MMM-aa"),"")</f>
      </c>
      <c r="HX267" s="496" t="str">
        <f> IF(HX287&lt;&gt;"",TEXT(AUX!IB$1,"dd-MMM-aa"),"")</f>
      </c>
      <c r="HY267" s="496" t="str">
        <f> IF(HY287&lt;&gt;"",TEXT(AUX!IC$1,"dd-MMM-aa"),"")</f>
      </c>
      <c r="HZ267" s="496" t="str">
        <f> IF(HZ287&lt;&gt;"",TEXT(AUX!ID$1,"dd-MMM-aa"),"")</f>
      </c>
      <c r="IA267" s="496" t="str">
        <f> IF(IA287&lt;&gt;"",TEXT(AUX!IE$1,"dd-MMM-aa"),"")</f>
      </c>
      <c r="IB267" s="496" t="str">
        <f> IF(IB287&lt;&gt;"",TEXT(AUX!IF$1,"dd-MMM-aa"),"")</f>
      </c>
      <c r="IC267" s="496" t="str">
        <f> IF(IC287&lt;&gt;"",TEXT(AUX!IG$1,"dd-MMM-aa"),"")</f>
      </c>
      <c r="ID267" s="496" t="str">
        <f> IF(ID287&lt;&gt;"",TEXT(AUX!IH$1,"dd-MMM-aa"),"")</f>
      </c>
      <c r="IE267" s="496" t="str">
        <f> IF(IE287&lt;&gt;"",TEXT(AUX!II$1,"dd-MMM-aa"),"")</f>
      </c>
      <c r="IF267" s="496" t="str">
        <f> IF(IF287&lt;&gt;"",TEXT(AUX!IJ$1,"dd-MMM-aa"),"")</f>
      </c>
      <c r="IG267" s="496" t="str">
        <f> IF(IG287&lt;&gt;"",TEXT(AUX!IK$1,"dd-MMM-aa"),"")</f>
      </c>
      <c r="IH267" s="496" t="str">
        <f> IF(IH287&lt;&gt;"",TEXT(AUX!IL$1,"dd-MMM-aa"),"")</f>
      </c>
      <c r="II267" s="496" t="str">
        <f> IF(II287&lt;&gt;"",TEXT(AUX!IM$1,"dd-MMM-aa"),"")</f>
      </c>
      <c r="IJ267" s="496" t="str">
        <f> IF(IJ287&lt;&gt;"",TEXT(AUX!IN$1,"dd-MMM-aa"),"")</f>
      </c>
      <c r="IK267" s="496" t="str">
        <f> IF(IK287&lt;&gt;"",TEXT(AUX!IO$1,"dd-MMM-aa"),"")</f>
      </c>
      <c r="IL267" s="496" t="str">
        <f> IF(IL287&lt;&gt;"",TEXT(AUX!IP$1,"dd-MMM-aa"),"")</f>
      </c>
      <c r="IM267" s="496" t="str">
        <f> IF(IM287&lt;&gt;"",TEXT(AUX!IQ$1,"dd-MMM-aa"),"")</f>
      </c>
      <c r="IN267" s="496" t="str">
        <f> IF(IN287&lt;&gt;"",TEXT(AUX!IR$1,"dd-MMM-aa"),"")</f>
      </c>
      <c r="IO267" s="496" t="str">
        <f> IF(IO287&lt;&gt;"",TEXT(AUX!IS$1,"dd-MMM-aa"),"")</f>
      </c>
      <c r="IP267" s="496" t="str">
        <f> IF(IP287&lt;&gt;"",TEXT(AUX!IT$1,"dd-MMM-aa"),"")</f>
      </c>
      <c r="IQ267" s="496" t="str">
        <f> IF(IQ287&lt;&gt;"",TEXT(AUX!IU$1,"dd-MMM-aa"),"")</f>
      </c>
      <c r="IR267" s="496" t="str">
        <f> IF(IR287&lt;&gt;"",TEXT(AUX!IV$1,"dd-MMM-aa"),"")</f>
      </c>
      <c r="IS267" s="496" t="str">
        <f> IF(IS287&lt;&gt;"",TEXT(AUX!#REF!,"dd-MMM-aa"),"")</f>
      </c>
      <c r="IT267" s="496" t="str">
        <f> IF(IT287&lt;&gt;"",TEXT(AUX!#REF!,"dd-MMM-aa"),"")</f>
      </c>
      <c r="IU267" s="496" t="str">
        <f> IF(IU287&lt;&gt;"",TEXT(AUX!#REF!,"dd-MMM-aa"),"")</f>
      </c>
      <c r="IV267" s="496" t="str">
        <f> IF(IV287&lt;&gt;"",TEXT(AUX!#REF!,"dd-MMM-aa"),"")</f>
      </c>
    </row>
    <row r="268" hidden="1">
      <c r="B268" s="838" t="s">
        <v>8</v>
      </c>
      <c r="C268" s="839">
        <f>C106 + C129 + C222</f>
        <v>74641</v>
      </c>
      <c r="D268" s="839">
        <f>D106 + D129 + D222</f>
        <v>73380</v>
      </c>
      <c r="E268" s="839">
        <f>E106 + E129 + E222</f>
        <v>105866</v>
      </c>
      <c r="F268" s="839">
        <f>F106 + F129 + F222</f>
        <v>113009</v>
      </c>
      <c r="G268" s="839">
        <f>G106 + G129 + G222</f>
        <v>128404</v>
      </c>
      <c r="H268" s="839">
        <f>H106 + H129 + H222</f>
        <v>126788</v>
      </c>
      <c r="I268" s="839">
        <f>I106 + I129 + I222</f>
        <v>121856</v>
      </c>
      <c r="J268" s="839">
        <f>J106 + J129 + J222</f>
        <v>115862</v>
      </c>
      <c r="K268" s="839">
        <f>K106 + K129 + K222</f>
        <v>116447</v>
      </c>
      <c r="L268" s="839">
        <f>L106 + L129 + L222</f>
        <v>114201</v>
      </c>
      <c r="M268" s="839">
        <f>M106 + M129 + M222</f>
        <v>91855</v>
      </c>
      <c r="N268" s="839">
        <f>N106 + N129 + N222</f>
        <v>81142</v>
      </c>
      <c r="O268" s="839">
        <f>O106 + O129 + O222</f>
        <v>92473</v>
      </c>
      <c r="P268" s="839">
        <f>P106 + P129 + P222</f>
        <v>90066</v>
      </c>
      <c r="Q268" s="839">
        <f>Q106 + Q129 + Q222</f>
        <v>89011</v>
      </c>
      <c r="R268" s="839">
        <f>R106 + R129 + R222</f>
        <v>83663</v>
      </c>
      <c r="S268" s="839">
        <f>S106 + S129 + S222</f>
        <v>81418</v>
      </c>
      <c r="T268" s="839">
        <f>T106 + T129 + T222</f>
        <v>94509</v>
      </c>
      <c r="U268" s="839">
        <f>U106 + U129 + U222</f>
        <v>89267</v>
      </c>
      <c r="V268" s="839">
        <f>V106 + V129 + V222</f>
        <v>63939</v>
      </c>
      <c r="W268" s="839">
        <f>W106 + W129 + W222</f>
        <v>56905</v>
      </c>
      <c r="X268" s="839">
        <f>X106 + X129 + X222</f>
        <v>52689</v>
      </c>
      <c r="Y268" s="839">
        <f>Y106 + Y129 + Y222</f>
        <v>44045</v>
      </c>
      <c r="Z268" s="839">
        <f>Z106 + Z129 + Z222</f>
        <v>31909</v>
      </c>
      <c r="AA268" s="839">
        <f>AA106 + AA129 + AA222</f>
        <v>34033</v>
      </c>
      <c r="AB268" s="840">
        <f>AB106 + AB129 + AB222</f>
        <v>33956</v>
      </c>
      <c r="AC268" s="841">
        <f>AC106 + AC129 + AC222</f>
        <v>27065</v>
      </c>
      <c r="AD268" s="841">
        <f>AD106 + AD129 + AD222</f>
        <v>21540</v>
      </c>
      <c r="AE268" s="841">
        <f>AE106 + AE129 + AE222</f>
        <v>21394</v>
      </c>
      <c r="AF268" s="841">
        <f>AF106 + AF129 + AF222</f>
        <v>17842</v>
      </c>
      <c r="AG268" s="841">
        <f>AG106 + AG129 + AG222</f>
        <v>20178</v>
      </c>
      <c r="AH268" s="841">
        <f>AH106 + AH129 + AH222</f>
        <v>17818</v>
      </c>
      <c r="AI268" s="841">
        <f>AI106 + AI129 + AI222</f>
        <v>16065</v>
      </c>
      <c r="AJ268" s="841">
        <f>AJ106 + AJ129 + AJ222</f>
        <v>12452</v>
      </c>
      <c r="AK268" s="841">
        <f>AK106 + AK129 + AK222</f>
        <v>12311</v>
      </c>
      <c r="AL268" s="841">
        <f>AL106 + AL129 + AL222</f>
        <v>15105</v>
      </c>
      <c r="AM268" s="841">
        <f>AM106 + AM129 + AM222</f>
        <v>10921</v>
      </c>
      <c r="AN268" s="841">
        <f>AN106 + AN129 + AN222</f>
        <v>14454</v>
      </c>
      <c r="AO268" s="841">
        <f>AO106 + AO129 + AO222</f>
        <v>12091</v>
      </c>
      <c r="AP268" s="841">
        <f>AP106 + AP129 + AP222</f>
        <v>14793</v>
      </c>
    </row>
    <row r="269" hidden="1">
      <c r="B269" s="842" t="s">
        <v>9</v>
      </c>
      <c r="C269" s="839">
        <f>C107 + C130 + C223</f>
        <v>22730</v>
      </c>
      <c r="D269" s="839">
        <f>D107 + D130 + D223</f>
        <v>22210</v>
      </c>
      <c r="E269" s="839">
        <f>E107 + E130 + E223</f>
        <v>27180</v>
      </c>
      <c r="F269" s="839">
        <f>F107 + F130 + F223</f>
        <v>34478</v>
      </c>
      <c r="G269" s="839">
        <f>G107 + G130 + G223</f>
        <v>34734</v>
      </c>
      <c r="H269" s="839">
        <f>H107 + H130 + H223</f>
        <v>34734</v>
      </c>
      <c r="I269" s="839">
        <f>I107 + I130 + I223</f>
        <v>41706</v>
      </c>
      <c r="J269" s="839">
        <f>J107 + J130 + J223</f>
        <v>43960</v>
      </c>
      <c r="K269" s="839">
        <f>K107 + K130 + K223</f>
        <v>46525</v>
      </c>
      <c r="L269" s="839">
        <f>L107 + L130 + L223</f>
        <v>46475</v>
      </c>
      <c r="M269" s="839">
        <f>M107 + M130 + M223</f>
        <v>46698</v>
      </c>
      <c r="N269" s="839">
        <f>N107 + N130 + N223</f>
        <v>46807</v>
      </c>
      <c r="O269" s="839">
        <f>O107 + O130 + O223</f>
        <v>46807</v>
      </c>
      <c r="P269" s="839">
        <f>P107 + P130 + P223</f>
        <v>553513</v>
      </c>
      <c r="Q269" s="839">
        <f>Q107 + Q130 + Q223</f>
        <v>380997</v>
      </c>
      <c r="R269" s="839">
        <f>R107 + R130 + R223</f>
        <v>311042</v>
      </c>
      <c r="S269" s="839">
        <f>S107 + S130 + S223</f>
        <v>462386</v>
      </c>
      <c r="T269" s="839">
        <f>T107 + T130 + T223</f>
        <v>465998</v>
      </c>
      <c r="U269" s="839">
        <f>U107 + U130 + U223</f>
        <v>452887</v>
      </c>
      <c r="V269" s="839">
        <f>V107 + V130 + V223</f>
        <v>454503</v>
      </c>
      <c r="W269" s="839">
        <f>W107 + W130 + W223</f>
        <v>509781</v>
      </c>
      <c r="X269" s="839">
        <f>X107 + X130 + X223</f>
        <v>492308</v>
      </c>
      <c r="Y269" s="839">
        <f>Y107 + Y130 + Y223</f>
        <v>428411</v>
      </c>
      <c r="Z269" s="839">
        <f>Z107 + Z130 + Z223</f>
        <v>396036</v>
      </c>
      <c r="AA269" s="839">
        <f>AA107 + AA130 + AA223</f>
        <v>488464</v>
      </c>
      <c r="AB269" s="839">
        <f>AB107 + AB130 + AB223</f>
        <v>477010</v>
      </c>
      <c r="AC269" s="841">
        <f>AC107 + AC130 + AC223</f>
        <v>465088</v>
      </c>
      <c r="AD269" s="841">
        <f>AD107 + AD130 + AD223</f>
        <v>457763</v>
      </c>
      <c r="AE269" s="841">
        <f>AE107 + AE130 + AE223</f>
        <v>466295</v>
      </c>
      <c r="AF269" s="841">
        <f>AF107 + AF130 + AF223</f>
        <v>479375</v>
      </c>
      <c r="AG269" s="841">
        <f>AG107 + AG130 + AG223</f>
        <v>451478</v>
      </c>
      <c r="AH269" s="841">
        <f>AH107 + AH130 + AH223</f>
        <v>441862</v>
      </c>
      <c r="AI269" s="841">
        <f>AI107 + AI130 + AI223</f>
        <v>426412</v>
      </c>
      <c r="AJ269" s="841">
        <f>AJ107 + AJ130 + AJ223</f>
        <v>422312</v>
      </c>
      <c r="AK269" s="841">
        <f>AK107 + AK130 + AK223</f>
        <v>381851</v>
      </c>
      <c r="AL269" s="841">
        <f>AL107 + AL130 + AL223</f>
        <v>381831</v>
      </c>
      <c r="AM269" s="841">
        <f>AM107 + AM130 + AM223</f>
        <v>382588</v>
      </c>
      <c r="AN269" s="841">
        <f>AN107 + AN130 + AN223</f>
        <v>363545</v>
      </c>
      <c r="AO269" s="841">
        <f>AO107 + AO130 + AO223</f>
        <v>363834</v>
      </c>
      <c r="AP269" s="841">
        <f>AP107 + AP130 + AP223</f>
        <v>361077</v>
      </c>
    </row>
    <row r="270" hidden="1">
      <c r="B270" s="842" t="s">
        <v>10</v>
      </c>
      <c r="C270" s="839">
        <f>C108 + C131 + C224</f>
        <v>65452</v>
      </c>
      <c r="D270" s="839">
        <f>D108 + D131 + D224</f>
        <v>65452</v>
      </c>
      <c r="E270" s="839">
        <f>E108 + E131 + E224</f>
        <v>56312</v>
      </c>
      <c r="F270" s="839">
        <f>F108 + F131 + F224</f>
        <v>56312</v>
      </c>
      <c r="G270" s="839">
        <f>G108 + G131 + G224</f>
        <v>38484</v>
      </c>
      <c r="H270" s="839">
        <f>H108 + H131 + H224</f>
        <v>30116</v>
      </c>
      <c r="I270" s="839">
        <f>I108 + I131 + I224</f>
        <v>25553</v>
      </c>
      <c r="J270" s="839">
        <f>J108 + J131 + J224</f>
        <v>25553</v>
      </c>
      <c r="K270" s="839">
        <f>K108 + K131 + K224</f>
        <v>27470</v>
      </c>
      <c r="L270" s="839">
        <f>L108 + L131 + L224</f>
        <v>27250</v>
      </c>
      <c r="M270" s="839">
        <f>M108 + M131 + M224</f>
        <v>23612</v>
      </c>
      <c r="N270" s="839">
        <f>N108 + N131 + N224</f>
        <v>23612</v>
      </c>
      <c r="O270" s="839">
        <f>O108 + O131 + O224</f>
        <v>23816</v>
      </c>
      <c r="P270" s="839">
        <f>P108 + P131 + P224</f>
        <v>23816</v>
      </c>
      <c r="Q270" s="839">
        <f>Q108 + Q131 + Q224</f>
        <v>15141</v>
      </c>
      <c r="R270" s="839">
        <f>R108 + R131 + R224</f>
        <v>18241</v>
      </c>
      <c r="S270" s="839">
        <f>S108 + S131 + S224</f>
        <v>18069</v>
      </c>
      <c r="T270" s="839">
        <f>T108 + T131 + T224</f>
        <v>14709</v>
      </c>
      <c r="U270" s="839">
        <f>U108 + U131 + U224</f>
        <v>13966</v>
      </c>
      <c r="V270" s="839">
        <f>V108 + V131 + V224</f>
        <v>13966</v>
      </c>
      <c r="W270" s="839">
        <f>W108 + W131 + W224</f>
        <v>13934</v>
      </c>
      <c r="X270" s="839">
        <f>X108 + X131 + X224</f>
        <v>10834</v>
      </c>
      <c r="Y270" s="839">
        <f>Y108 + Y131 + Y224</f>
        <v>10407</v>
      </c>
      <c r="Z270" s="839">
        <f>Z108 + Z131 + Z224</f>
        <v>10407</v>
      </c>
      <c r="AA270" s="839">
        <f>AA108 + AA131 + AA224</f>
        <v>9875</v>
      </c>
      <c r="AB270" s="839">
        <f>AB108 + AB131 + AB224</f>
        <v>9875</v>
      </c>
      <c r="AC270" s="841">
        <f>AC108 + AC131 + AC224</f>
        <v>10372</v>
      </c>
      <c r="AD270" s="841">
        <f>AD108 + AD131 + AD224</f>
        <v>10372</v>
      </c>
      <c r="AE270" s="841">
        <f>AE108 + AE131 + AE224</f>
        <v>9845</v>
      </c>
      <c r="AF270" s="841">
        <f>AF108 + AF131 + AF224</f>
        <v>9845</v>
      </c>
      <c r="AG270" s="841">
        <f>AG108 + AG131 + AG224</f>
        <v>9911</v>
      </c>
      <c r="AH270" s="841">
        <f>AH108 + AH131 + AH224</f>
        <v>7343</v>
      </c>
      <c r="AI270" s="841">
        <f>AI108 + AI131 + AI224</f>
        <v>7235</v>
      </c>
      <c r="AJ270" s="841">
        <f>AJ108 + AJ131 + AJ224</f>
        <v>7235</v>
      </c>
      <c r="AK270" s="841">
        <f>AK108 + AK131 + AK224</f>
        <v>7245</v>
      </c>
      <c r="AL270" s="841">
        <f>AL108 + AL131 + AL224</f>
        <v>7245</v>
      </c>
      <c r="AM270" s="841">
        <f>AM108 + AM131 + AM224</f>
        <v>214</v>
      </c>
      <c r="AN270" s="841">
        <f>AN108 + AN131 + AN224</f>
        <v>214</v>
      </c>
      <c r="AO270" s="841">
        <f>AO108 + AO131 + AO224</f>
        <v>283</v>
      </c>
      <c r="AP270" s="841">
        <f>AP108 + AP131 + AP224</f>
        <v>286</v>
      </c>
    </row>
    <row r="271" hidden="1">
      <c r="B271" s="842" t="s">
        <v>11</v>
      </c>
      <c r="C271" s="839">
        <f>C109 + C132 + C225</f>
        <v>9321</v>
      </c>
      <c r="D271" s="839">
        <f>D109 + D132 + D225</f>
        <v>9341</v>
      </c>
      <c r="E271" s="839">
        <f>E109 + E132 + E225</f>
        <v>9097</v>
      </c>
      <c r="F271" s="839">
        <f>F109 + F132 + F225</f>
        <v>8061</v>
      </c>
      <c r="G271" s="839">
        <f>G109 + G132 + G225</f>
        <v>6979</v>
      </c>
      <c r="H271" s="839">
        <f>H109 + H132 + H225</f>
        <v>5124</v>
      </c>
      <c r="I271" s="839">
        <f>I109 + I132 + I225</f>
        <v>3679</v>
      </c>
      <c r="J271" s="839">
        <f>J109 + J132 + J225</f>
        <v>3522</v>
      </c>
      <c r="K271" s="839">
        <f>K109 + K132 + K225</f>
        <v>2324</v>
      </c>
      <c r="L271" s="839">
        <f>L109 + L132 + L225</f>
        <v>2204</v>
      </c>
      <c r="M271" s="839">
        <f>M109 + M132 + M225</f>
        <v>1840</v>
      </c>
      <c r="N271" s="839">
        <f>N109 + N132 + N225</f>
        <v>1904</v>
      </c>
      <c r="O271" s="839">
        <f>O109 + O132 + O225</f>
        <v>2343</v>
      </c>
      <c r="P271" s="839">
        <f>P109 + P132 + P225</f>
        <v>2419</v>
      </c>
      <c r="Q271" s="839">
        <f>Q109 + Q132 + Q225</f>
        <v>2246</v>
      </c>
      <c r="R271" s="839">
        <f>R109 + R132 + R225</f>
        <v>2265</v>
      </c>
      <c r="S271" s="839">
        <f>S109 + S132 + S225</f>
        <v>2369</v>
      </c>
      <c r="T271" s="839">
        <f>T109 + T132 + T225</f>
        <v>2368</v>
      </c>
      <c r="U271" s="839">
        <f>U109 + U132 + U225</f>
        <v>1822</v>
      </c>
      <c r="V271" s="839">
        <f>V109 + V132 + V225</f>
        <v>1859</v>
      </c>
      <c r="W271" s="839">
        <f>W109 + W132 + W225</f>
        <v>1632</v>
      </c>
      <c r="X271" s="839">
        <f>X109 + X132 + X225</f>
        <v>1603</v>
      </c>
      <c r="Y271" s="839">
        <f>Y109 + Y132 + Y225</f>
        <v>1524</v>
      </c>
      <c r="Z271" s="839">
        <f>Z109 + Z132 + Z225</f>
        <v>1536</v>
      </c>
      <c r="AA271" s="839">
        <f>AA109 + AA132 + AA225</f>
        <v>1907</v>
      </c>
      <c r="AB271" s="839">
        <f>AB109 + AB132 + AB225</f>
        <v>1900</v>
      </c>
      <c r="AC271" s="841">
        <f>AC109 + AC132 + AC225</f>
        <v>1409</v>
      </c>
      <c r="AD271" s="841">
        <f>AD109 + AD132 + AD225</f>
        <v>1404</v>
      </c>
      <c r="AE271" s="841">
        <f>AE109 + AE132 + AE225</f>
        <v>1278</v>
      </c>
      <c r="AF271" s="841">
        <f>AF109 + AF132 + AF225</f>
        <v>1319</v>
      </c>
      <c r="AG271" s="841">
        <f>AG109 + AG132 + AG225</f>
        <v>1409</v>
      </c>
      <c r="AH271" s="841">
        <f>AH109 + AH132 + AH225</f>
        <v>1460</v>
      </c>
      <c r="AI271" s="841">
        <f>AI109 + AI132 + AI225</f>
        <v>1390</v>
      </c>
      <c r="AJ271" s="841">
        <f>AJ109 + AJ132 + AJ225</f>
        <v>1485</v>
      </c>
      <c r="AK271" s="841">
        <f>AK109 + AK132 + AK225</f>
        <v>1107</v>
      </c>
      <c r="AL271" s="841">
        <f>AL109 + AL132 + AL225</f>
        <v>1111</v>
      </c>
      <c r="AM271" s="841">
        <f>AM109 + AM132 + AM225</f>
        <v>1190</v>
      </c>
      <c r="AN271" s="841">
        <f>AN109 + AN132 + AN225</f>
        <v>1204</v>
      </c>
      <c r="AO271" s="841">
        <f>AO109 + AO132 + AO225</f>
        <v>1187</v>
      </c>
      <c r="AP271" s="841">
        <f>AP109 + AP132 + AP225</f>
        <v>1149</v>
      </c>
    </row>
    <row r="272" hidden="1">
      <c r="B272" s="842" t="s">
        <v>12</v>
      </c>
      <c r="C272" s="839">
        <f>C110 + C133 + C226</f>
        <v>67161</v>
      </c>
      <c r="D272" s="839">
        <f>D110 + D133 + D226</f>
        <v>67998</v>
      </c>
      <c r="E272" s="839">
        <f>E110 + E133 + E226</f>
        <v>75167</v>
      </c>
      <c r="F272" s="839">
        <f>F110 + F133 + F226</f>
        <v>68785</v>
      </c>
      <c r="G272" s="839">
        <f>G110 + G133 + G226</f>
        <v>75639</v>
      </c>
      <c r="H272" s="839">
        <f>H110 + H133 + H226</f>
        <v>73177</v>
      </c>
      <c r="I272" s="839">
        <f>I110 + I133 + I226</f>
        <v>73195</v>
      </c>
      <c r="J272" s="839">
        <f>J110 + J133 + J226</f>
        <v>67710</v>
      </c>
      <c r="K272" s="839">
        <f>K110 + K133 + K226</f>
        <v>68766</v>
      </c>
      <c r="L272" s="839">
        <f>L110 + L133 + L226</f>
        <v>57241</v>
      </c>
      <c r="M272" s="839">
        <f>M110 + M133 + M226</f>
        <v>64082</v>
      </c>
      <c r="N272" s="839">
        <f>N110 + N133 + N226</f>
        <v>56611</v>
      </c>
      <c r="O272" s="839">
        <f>O110 + O133 + O226</f>
        <v>48151</v>
      </c>
      <c r="P272" s="839">
        <f>P110 + P133 + P226</f>
        <v>47499</v>
      </c>
      <c r="Q272" s="839">
        <f>Q110 + Q133 + Q226</f>
        <v>43985</v>
      </c>
      <c r="R272" s="839">
        <f>R110 + R133 + R226</f>
        <v>43908</v>
      </c>
      <c r="S272" s="839">
        <f>S110 + S133 + S226</f>
        <v>39446</v>
      </c>
      <c r="T272" s="839">
        <f>T110 + T133 + T226</f>
        <v>38007</v>
      </c>
      <c r="U272" s="839">
        <f>U110 + U133 + U226</f>
        <v>35465</v>
      </c>
      <c r="V272" s="839">
        <f>V110 + V133 + V226</f>
        <v>35236</v>
      </c>
      <c r="W272" s="839">
        <f>W110 + W133 + W226</f>
        <v>32031</v>
      </c>
      <c r="X272" s="839">
        <f>X110 + X133 + X226</f>
        <v>30241</v>
      </c>
      <c r="Y272" s="839">
        <f>Y110 + Y133 + Y226</f>
        <v>28511</v>
      </c>
      <c r="Z272" s="839">
        <f>Z110 + Z133 + Z226</f>
        <v>27857</v>
      </c>
      <c r="AA272" s="839">
        <f>AA110 + AA133 + AA226</f>
        <v>29902</v>
      </c>
      <c r="AB272" s="839">
        <f>AB110 + AB133 + AB226</f>
        <v>30223</v>
      </c>
      <c r="AC272" s="841">
        <f>AC110 + AC133 + AC226</f>
        <v>27251</v>
      </c>
      <c r="AD272" s="841">
        <f>AD110 + AD133 + AD226</f>
        <v>24711</v>
      </c>
      <c r="AE272" s="841">
        <f>AE110 + AE133 + AE226</f>
        <v>23705</v>
      </c>
      <c r="AF272" s="841">
        <f>AF110 + AF133 + AF226</f>
        <v>23416</v>
      </c>
      <c r="AG272" s="841">
        <f>AG110 + AG133 + AG226</f>
        <v>20274</v>
      </c>
      <c r="AH272" s="841">
        <f>AH110 + AH133 + AH226</f>
        <v>18129</v>
      </c>
      <c r="AI272" s="841">
        <f>AI110 + AI133 + AI226</f>
        <v>19610</v>
      </c>
      <c r="AJ272" s="841">
        <f>AJ110 + AJ133 + AJ226</f>
        <v>18079</v>
      </c>
      <c r="AK272" s="841">
        <f>AK110 + AK133 + AK226</f>
        <v>18247</v>
      </c>
      <c r="AL272" s="841">
        <f>AL110 + AL133 + AL226</f>
        <v>16777</v>
      </c>
      <c r="AM272" s="841">
        <f>AM110 + AM133 + AM226</f>
        <v>16507</v>
      </c>
      <c r="AN272" s="841">
        <f>AN110 + AN133 + AN226</f>
        <v>16524</v>
      </c>
      <c r="AO272" s="841">
        <f>AO110 + AO133 + AO226</f>
        <v>19283</v>
      </c>
      <c r="AP272" s="841">
        <f>AP110 + AP133 + AP226</f>
        <v>19565</v>
      </c>
    </row>
    <row r="273" hidden="1">
      <c r="B273" s="842" t="s">
        <v>13</v>
      </c>
      <c r="C273" s="839">
        <f>C111 + C134 + C227</f>
        <v>54022</v>
      </c>
      <c r="D273" s="839">
        <f>D111 + D134 + D227</f>
        <v>54061</v>
      </c>
      <c r="E273" s="839">
        <f>E111 + E134 + E227</f>
        <v>75665</v>
      </c>
      <c r="F273" s="839">
        <f>F111 + F134 + F227</f>
        <v>77219</v>
      </c>
      <c r="G273" s="839">
        <f>G111 + G134 + G227</f>
        <v>77166</v>
      </c>
      <c r="H273" s="839">
        <f>H111 + H134 + H227</f>
        <v>75866</v>
      </c>
      <c r="I273" s="839">
        <f>I111 + I134 + I227</f>
        <v>76585</v>
      </c>
      <c r="J273" s="839">
        <f>J111 + J134 + J227</f>
        <v>76600</v>
      </c>
      <c r="K273" s="839">
        <f>K111 + K134 + K227</f>
        <v>64318</v>
      </c>
      <c r="L273" s="839">
        <f>L111 + L134 + L227</f>
        <v>55797</v>
      </c>
      <c r="M273" s="839">
        <f>M111 + M134 + M227</f>
        <v>26095</v>
      </c>
      <c r="N273" s="839">
        <f>N111 + N134 + N227</f>
        <v>25212</v>
      </c>
      <c r="O273" s="839">
        <f>O111 + O134 + O227</f>
        <v>47420</v>
      </c>
      <c r="P273" s="839">
        <f>P111 + P134 + P227</f>
        <v>48229</v>
      </c>
      <c r="Q273" s="839">
        <f>Q111 + Q134 + Q227</f>
        <v>43275</v>
      </c>
      <c r="R273" s="839">
        <f>R111 + R134 + R227</f>
        <v>46315</v>
      </c>
      <c r="S273" s="839">
        <f>S111 + S134 + S227</f>
        <v>63866</v>
      </c>
      <c r="T273" s="839">
        <f>T111 + T134 + T227</f>
        <v>63680</v>
      </c>
      <c r="U273" s="839">
        <f>U111 + U134 + U227</f>
        <v>65720</v>
      </c>
      <c r="V273" s="839">
        <f>V111 + V134 + V227</f>
        <v>65504</v>
      </c>
      <c r="W273" s="839">
        <f>W111 + W134 + W227</f>
        <v>42596</v>
      </c>
      <c r="X273" s="839">
        <f>X111 + X134 + X227</f>
        <v>53284</v>
      </c>
      <c r="Y273" s="839">
        <f>Y111 + Y134 + Y227</f>
        <v>70796</v>
      </c>
      <c r="Z273" s="839">
        <f>Z111 + Z134 + Z227</f>
        <v>67283</v>
      </c>
      <c r="AA273" s="839">
        <f>AA111 + AA134 + AA227</f>
        <v>77548</v>
      </c>
      <c r="AB273" s="839">
        <f>AB111 + AB134 + AB227</f>
        <v>73068</v>
      </c>
      <c r="AC273" s="841">
        <f>AC111 + AC134 + AC227</f>
        <v>63664</v>
      </c>
      <c r="AD273" s="841">
        <f>AD111 + AD134 + AD227</f>
        <v>63664</v>
      </c>
      <c r="AE273" s="841">
        <f>AE111 + AE134 + AE227</f>
        <v>57635</v>
      </c>
      <c r="AF273" s="841">
        <f>AF111 + AF134 + AF227</f>
        <v>57637</v>
      </c>
      <c r="AG273" s="841">
        <f>AG111 + AG134 + AG227</f>
        <v>44419</v>
      </c>
      <c r="AH273" s="841">
        <f>AH111 + AH134 + AH227</f>
        <v>44419</v>
      </c>
      <c r="AI273" s="841">
        <f>AI111 + AI134 + AI227</f>
        <v>47939</v>
      </c>
      <c r="AJ273" s="841">
        <f>AJ111 + AJ134 + AJ227</f>
        <v>45419</v>
      </c>
      <c r="AK273" s="841">
        <f>AK111 + AK134 + AK227</f>
        <v>46297</v>
      </c>
      <c r="AL273" s="841">
        <f>AL111 + AL134 + AL227</f>
        <v>46300</v>
      </c>
      <c r="AM273" s="841">
        <f>AM111 + AM134 + AM227</f>
        <v>44618</v>
      </c>
      <c r="AN273" s="841">
        <f>AN111 + AN134 + AN227</f>
        <v>44618</v>
      </c>
      <c r="AO273" s="841">
        <f>AO111 + AO134 + AO227</f>
        <v>45891</v>
      </c>
      <c r="AP273" s="841">
        <f>AP111 + AP134 + AP227</f>
        <v>45900</v>
      </c>
    </row>
    <row r="274" hidden="1">
      <c r="B274" s="842" t="s">
        <v>109</v>
      </c>
      <c r="C274" s="839">
        <f>C112 + C135 + C228</f>
        <v>602330</v>
      </c>
      <c r="D274" s="839">
        <f>D112 + D135 + D228</f>
        <v>587926</v>
      </c>
      <c r="E274" s="839">
        <f>E112 + E135 + E228</f>
        <v>545042</v>
      </c>
      <c r="F274" s="839">
        <f>F112 + F135 + F228</f>
        <v>515323</v>
      </c>
      <c r="G274" s="839">
        <f>G112 + G135 + G228</f>
        <v>447360</v>
      </c>
      <c r="H274" s="839">
        <f>H112 + H135 + H228</f>
        <v>451901</v>
      </c>
      <c r="I274" s="839">
        <f>I112 + I135 + I228</f>
        <v>470363</v>
      </c>
      <c r="J274" s="839">
        <f>J112 + J135 + J228</f>
        <v>448414</v>
      </c>
      <c r="K274" s="839">
        <f>K112 + K135 + K228</f>
        <v>442322</v>
      </c>
      <c r="L274" s="839">
        <f>L112 + L135 + L228</f>
        <v>442318</v>
      </c>
      <c r="M274" s="839">
        <f>M112 + M135 + M228</f>
        <v>385367</v>
      </c>
      <c r="N274" s="839">
        <f>N112 + N135 + N228</f>
        <v>386893</v>
      </c>
      <c r="O274" s="839">
        <f>O112 + O135 + O228</f>
        <v>391469</v>
      </c>
      <c r="P274" s="839">
        <f>P112 + P135 + P228</f>
        <v>392724</v>
      </c>
      <c r="Q274" s="839">
        <f>Q112 + Q135 + Q228</f>
        <v>409683</v>
      </c>
      <c r="R274" s="839">
        <f>R112 + R135 + R228</f>
        <v>391938</v>
      </c>
      <c r="S274" s="839">
        <f>S112 + S135 + S228</f>
        <v>366618</v>
      </c>
      <c r="T274" s="839">
        <f>T112 + T135 + T228</f>
        <v>358633</v>
      </c>
      <c r="U274" s="839">
        <f>U112 + U135 + U228</f>
        <v>344333</v>
      </c>
      <c r="V274" s="839">
        <f>V112 + V135 + V228</f>
        <v>345203</v>
      </c>
      <c r="W274" s="839">
        <f>W112 + W135 + W228</f>
        <v>315568</v>
      </c>
      <c r="X274" s="839">
        <f>X112 + X135 + X228</f>
        <v>296528</v>
      </c>
      <c r="Y274" s="839">
        <f>Y112 + Y135 + Y228</f>
        <v>352452</v>
      </c>
      <c r="Z274" s="839">
        <f>Z112 + Z135 + Z228</f>
        <v>349140</v>
      </c>
      <c r="AA274" s="839">
        <f>AA112 + AA135 + AA228</f>
        <v>329537</v>
      </c>
      <c r="AB274" s="839">
        <f>AB112 + AB135 + AB228</f>
        <v>332857</v>
      </c>
      <c r="AC274" s="841">
        <f>AC112 + AC135 + AC228</f>
        <v>338359</v>
      </c>
      <c r="AD274" s="841">
        <f>AD112 + AD135 + AD228</f>
        <v>336973</v>
      </c>
      <c r="AE274" s="841">
        <f>AE112 + AE135 + AE228</f>
        <v>356786</v>
      </c>
      <c r="AF274" s="841">
        <f>AF112 + AF135 + AF228</f>
        <v>352916</v>
      </c>
      <c r="AG274" s="841">
        <f>AG112 + AG135 + AG228</f>
        <v>261099</v>
      </c>
      <c r="AH274" s="841">
        <f>AH112 + AH135 + AH228</f>
        <v>273485</v>
      </c>
      <c r="AI274" s="841">
        <f>AI112 + AI135 + AI228</f>
        <v>262614</v>
      </c>
      <c r="AJ274" s="841">
        <f>AJ112 + AJ135 + AJ228</f>
        <v>252272</v>
      </c>
      <c r="AK274" s="841">
        <f>AK112 + AK135 + AK228</f>
        <v>236425</v>
      </c>
      <c r="AL274" s="841">
        <f>AL112 + AL135 + AL228</f>
        <v>227805</v>
      </c>
      <c r="AM274" s="841">
        <f>AM112 + AM135 + AM228</f>
        <v>245559</v>
      </c>
      <c r="AN274" s="841">
        <f>AN112 + AN135 + AN228</f>
        <v>245499</v>
      </c>
      <c r="AO274" s="841">
        <f>AO112 + AO135 + AO228</f>
        <v>232239</v>
      </c>
      <c r="AP274" s="841">
        <f>AP112 + AP135 + AP228</f>
        <v>224946</v>
      </c>
    </row>
    <row r="275" hidden="1">
      <c r="B275" s="842" t="s">
        <v>110</v>
      </c>
      <c r="C275" s="839">
        <f>C113 + C136 + C229</f>
        <v>779420</v>
      </c>
      <c r="D275" s="839">
        <f>D113 + D136 + D229</f>
        <v>788911</v>
      </c>
      <c r="E275" s="839">
        <f>E113 + E136 + E229</f>
        <v>807528</v>
      </c>
      <c r="F275" s="839">
        <f>F113 + F136 + F229</f>
        <v>833262</v>
      </c>
      <c r="G275" s="839">
        <f>G113 + G136 + G229</f>
        <v>818059</v>
      </c>
      <c r="H275" s="839">
        <f>H113 + H136 + H229</f>
        <v>836843</v>
      </c>
      <c r="I275" s="839">
        <f>I113 + I136 + I229</f>
        <v>809510</v>
      </c>
      <c r="J275" s="839">
        <f>J113 + J136 + J229</f>
        <v>826026</v>
      </c>
      <c r="K275" s="839">
        <f>K113 + K136 + K229</f>
        <v>829277</v>
      </c>
      <c r="L275" s="839">
        <f>L113 + L136 + L229</f>
        <v>844841</v>
      </c>
      <c r="M275" s="839">
        <f>M113 + M136 + M229</f>
        <v>900321</v>
      </c>
      <c r="N275" s="839">
        <f>N113 + N136 + N229</f>
        <v>883281</v>
      </c>
      <c r="O275" s="839">
        <f>O113 + O136 + O229</f>
        <v>947460</v>
      </c>
      <c r="P275" s="839">
        <f>P113 + P136 + P229</f>
        <v>984421</v>
      </c>
      <c r="Q275" s="839">
        <f>Q113 + Q136 + Q229</f>
        <v>922015</v>
      </c>
      <c r="R275" s="839">
        <f>R113 + R136 + R229</f>
        <v>913698</v>
      </c>
      <c r="S275" s="839">
        <f>S113 + S136 + S229</f>
        <v>920120</v>
      </c>
      <c r="T275" s="839">
        <f>T113 + T136 + T229</f>
        <v>949593</v>
      </c>
      <c r="U275" s="839">
        <f>U113 + U136 + U229</f>
        <v>1095880</v>
      </c>
      <c r="V275" s="839">
        <f>V113 + V136 + V229</f>
        <v>1091697</v>
      </c>
      <c r="W275" s="839">
        <f>W113 + W136 + W229</f>
        <v>1087482</v>
      </c>
      <c r="X275" s="839">
        <f>X113 + X136 + X229</f>
        <v>1125889</v>
      </c>
      <c r="Y275" s="839">
        <f>Y113 + Y136 + Y229</f>
        <v>1213830</v>
      </c>
      <c r="Z275" s="839">
        <f>Z113 + Z136 + Z229</f>
        <v>1200245</v>
      </c>
      <c r="AA275" s="839">
        <f>AA113 + AA136 + AA229</f>
        <v>1221622</v>
      </c>
      <c r="AB275" s="839">
        <f>AB113 + AB136 + AB229</f>
        <v>1262000</v>
      </c>
      <c r="AC275" s="841">
        <f>AC113 + AC136 + AC229</f>
        <v>1203247</v>
      </c>
      <c r="AD275" s="841">
        <f>AD113 + AD136 + AD229</f>
        <v>1198938</v>
      </c>
      <c r="AE275" s="841">
        <f>AE113 + AE136 + AE229</f>
        <v>1207089</v>
      </c>
      <c r="AF275" s="841">
        <f>AF113 + AF136 + AF229</f>
        <v>1209674</v>
      </c>
      <c r="AG275" s="841">
        <f>AG113 + AG136 + AG229</f>
        <v>1210868</v>
      </c>
      <c r="AH275" s="841">
        <f>AH113 + AH136 + AH229</f>
        <v>1209769</v>
      </c>
      <c r="AI275" s="841">
        <f>AI113 + AI136 + AI229</f>
        <v>1312034</v>
      </c>
      <c r="AJ275" s="841">
        <f>AJ113 + AJ136 + AJ229</f>
        <v>1293011</v>
      </c>
      <c r="AK275" s="841">
        <f>AK113 + AK136 + AK229</f>
        <v>1277714</v>
      </c>
      <c r="AL275" s="841">
        <f>AL113 + AL136 + AL229</f>
        <v>1263905</v>
      </c>
      <c r="AM275" s="841">
        <f>AM113 + AM136 + AM229</f>
        <v>1251982</v>
      </c>
      <c r="AN275" s="841">
        <f>AN113 + AN136 + AN229</f>
        <v>1263476</v>
      </c>
      <c r="AO275" s="841">
        <f>AO113 + AO136 + AO229</f>
        <v>1163741</v>
      </c>
      <c r="AP275" s="841">
        <f>AP113 + AP136 + AP229</f>
        <v>1162394</v>
      </c>
    </row>
    <row r="276" hidden="1">
      <c r="B276" s="842" t="s">
        <v>16</v>
      </c>
      <c r="C276" s="839">
        <f>C114 + C137 + C230</f>
        <v>1535942</v>
      </c>
      <c r="D276" s="839">
        <f>D114 + D137 + D230</f>
        <v>167653</v>
      </c>
      <c r="E276" s="839">
        <f>E114 + E137 + E230</f>
        <v>1577857</v>
      </c>
      <c r="F276" s="839">
        <f>F114 + F137 + F230</f>
        <v>1587854</v>
      </c>
      <c r="G276" s="839">
        <f>G114 + G137 + G230</f>
        <v>1651606</v>
      </c>
      <c r="H276" s="839">
        <f>H114 + H137 + H230</f>
        <v>1623599</v>
      </c>
      <c r="I276" s="839">
        <f>I114 + I137 + I230</f>
        <v>1553752</v>
      </c>
      <c r="J276" s="839">
        <f>J114 + J137 + J230</f>
        <v>1522474</v>
      </c>
      <c r="K276" s="839">
        <f>K114 + K137 + K230</f>
        <v>1548447</v>
      </c>
      <c r="L276" s="839">
        <f>L114 + L137 + L230</f>
        <v>1542109</v>
      </c>
      <c r="M276" s="839">
        <f>M114 + M137 + M230</f>
        <v>1498481</v>
      </c>
      <c r="N276" s="839">
        <f>N114 + N137 + N230</f>
        <v>1476101</v>
      </c>
      <c r="O276" s="839">
        <f>O114 + O137 + O230</f>
        <v>1492968</v>
      </c>
      <c r="P276" s="839">
        <f>P114 + P137 + P230</f>
        <v>1384069</v>
      </c>
      <c r="Q276" s="839">
        <f>Q114 + Q137 + Q230</f>
        <v>1416832</v>
      </c>
      <c r="R276" s="839">
        <f>R114 + R137 + R230</f>
        <v>1286929</v>
      </c>
      <c r="S276" s="839">
        <f>S114 + S137 + S230</f>
        <v>1244060</v>
      </c>
      <c r="T276" s="839">
        <f>T114 + T137 + T230</f>
        <v>1230734</v>
      </c>
      <c r="U276" s="839">
        <f>U114 + U137 + U230</f>
        <v>1251815</v>
      </c>
      <c r="V276" s="839">
        <f>V114 + V137 + V230</f>
        <v>1231319</v>
      </c>
      <c r="W276" s="839">
        <f>W114 + W137 + W230</f>
        <v>1231319</v>
      </c>
      <c r="X276" s="839">
        <f>X114 + X137 + X230</f>
        <v>1231319</v>
      </c>
      <c r="Y276" s="839">
        <f>Y114 + Y137 + Y230</f>
        <v>1231319</v>
      </c>
      <c r="Z276" s="839">
        <f>Z114 + Z137 + Z230</f>
        <v>1231319</v>
      </c>
      <c r="AA276" s="839">
        <f>AA114 + AA137 + AA230</f>
        <v>1027502</v>
      </c>
      <c r="AB276" s="839">
        <f>AB114 + AB137 + AB230</f>
        <v>1007081</v>
      </c>
      <c r="AC276" s="841">
        <f>AC114 + AC137 + AC230</f>
        <v>971960</v>
      </c>
      <c r="AD276" s="841">
        <f>AD114 + AD137 + AD230</f>
        <v>954016</v>
      </c>
      <c r="AE276" s="841">
        <f>AE114 + AE137 + AE230</f>
        <v>945283</v>
      </c>
      <c r="AF276" s="841">
        <f>AF114 + AF137 + AF230</f>
        <v>872133</v>
      </c>
      <c r="AG276" s="841">
        <f>AG114 + AG137 + AG230</f>
        <v>878832</v>
      </c>
      <c r="AH276" s="841">
        <f>AH114 + AH137 + AH230</f>
        <v>872589</v>
      </c>
      <c r="AI276" s="841">
        <f>AI114 + AI137 + AI230</f>
        <v>808366</v>
      </c>
      <c r="AJ276" s="841">
        <f>AJ114 + AJ137 + AJ230</f>
        <v>788243</v>
      </c>
      <c r="AK276" s="841">
        <f>AK114 + AK137 + AK230</f>
        <v>750608</v>
      </c>
      <c r="AL276" s="841">
        <f>AL114 + AL137 + AL230</f>
        <v>718514</v>
      </c>
      <c r="AM276" s="841">
        <f>AM114 + AM137 + AM230</f>
        <v>697364</v>
      </c>
      <c r="AN276" s="841">
        <f>AN114 + AN137 + AN230</f>
        <v>678066</v>
      </c>
      <c r="AO276" s="841">
        <f>AO114 + AO137 + AO230</f>
        <v>668620</v>
      </c>
      <c r="AP276" s="841">
        <f>AP114 + AP137 + AP230</f>
        <v>647830</v>
      </c>
    </row>
    <row r="277" hidden="1">
      <c r="B277" s="842" t="s">
        <v>17</v>
      </c>
      <c r="C277" s="839">
        <f>C115 + C138 + C231</f>
        <v>26331</v>
      </c>
      <c r="D277" s="839">
        <f>D115 + D138 + D231</f>
        <v>26896</v>
      </c>
      <c r="E277" s="839">
        <f>E115 + E138 + E231</f>
        <v>30374</v>
      </c>
      <c r="F277" s="839">
        <f>F115 + F138 + F231</f>
        <v>30704</v>
      </c>
      <c r="G277" s="839">
        <f>G115 + G138 + G231</f>
        <v>27084</v>
      </c>
      <c r="H277" s="839">
        <f>H115 + H138 + H231</f>
        <v>25969</v>
      </c>
      <c r="I277" s="839">
        <f>I115 + I138 + I231</f>
        <v>23328</v>
      </c>
      <c r="J277" s="839">
        <f>J115 + J138 + J231</f>
        <v>22244</v>
      </c>
      <c r="K277" s="839">
        <f>K115 + K138 + K231</f>
        <v>18485</v>
      </c>
      <c r="L277" s="839">
        <f>L115 + L138 + L231</f>
        <v>24754</v>
      </c>
      <c r="M277" s="839">
        <f>M115 + M138 + M231</f>
        <v>26762</v>
      </c>
      <c r="N277" s="839">
        <f>N115 + N138 + N231</f>
        <v>27492</v>
      </c>
      <c r="O277" s="839">
        <f>O115 + O138 + O231</f>
        <v>22051</v>
      </c>
      <c r="P277" s="839">
        <f>P115 + P138 + P231</f>
        <v>22692</v>
      </c>
      <c r="Q277" s="839">
        <f>Q115 + Q138 + Q231</f>
        <v>17041</v>
      </c>
      <c r="R277" s="839">
        <f>R115 + R138 + R231</f>
        <v>17676</v>
      </c>
      <c r="S277" s="839">
        <f>S115 + S138 + S231</f>
        <v>18195</v>
      </c>
      <c r="T277" s="839">
        <f>T115 + T138 + T231</f>
        <v>18195</v>
      </c>
      <c r="U277" s="839">
        <f>U115 + U138 + U231</f>
        <v>18798</v>
      </c>
      <c r="V277" s="839">
        <f>V115 + V138 + V231</f>
        <v>18766</v>
      </c>
      <c r="W277" s="839">
        <f>W115 + W138 + W231</f>
        <v>9654</v>
      </c>
      <c r="X277" s="839">
        <f>X115 + X138 + X231</f>
        <v>9753</v>
      </c>
      <c r="Y277" s="839">
        <f>Y115 + Y138 + Y231</f>
        <v>13729</v>
      </c>
      <c r="Z277" s="839">
        <f>Z115 + Z138 + Z231</f>
        <v>13978</v>
      </c>
      <c r="AA277" s="839">
        <f>AA115 + AA138 + AA231</f>
        <v>15543</v>
      </c>
      <c r="AB277" s="839">
        <f>AB115 + AB138 + AB231</f>
        <v>15543</v>
      </c>
      <c r="AC277" s="841">
        <f>AC115 + AC138 + AC231</f>
        <v>16044</v>
      </c>
      <c r="AD277" s="841">
        <f>AD115 + AD138 + AD231</f>
        <v>16044</v>
      </c>
      <c r="AE277" s="841">
        <f>AE115 + AE138 + AE231</f>
        <v>15139</v>
      </c>
      <c r="AF277" s="841">
        <f>AF115 + AF138 + AF231</f>
        <v>14978</v>
      </c>
      <c r="AG277" s="841">
        <f>AG115 + AG138 + AG231</f>
        <v>14352</v>
      </c>
      <c r="AH277" s="841">
        <f>AH115 + AH138 + AH231</f>
        <v>14502</v>
      </c>
      <c r="AI277" s="841">
        <f>AI115 + AI138 + AI231</f>
        <v>17221</v>
      </c>
      <c r="AJ277" s="841">
        <f>AJ115 + AJ138 + AJ231</f>
        <v>17001</v>
      </c>
      <c r="AK277" s="841">
        <f>AK115 + AK138 + AK231</f>
        <v>15701</v>
      </c>
      <c r="AL277" s="841">
        <f>AL115 + AL138 + AL231</f>
        <v>15678</v>
      </c>
      <c r="AM277" s="841">
        <f>AM115 + AM138 + AM231</f>
        <v>12123</v>
      </c>
      <c r="AN277" s="841">
        <f>AN115 + AN138 + AN231</f>
        <v>12123</v>
      </c>
      <c r="AO277" s="841">
        <f>AO115 + AO138 + AO231</f>
        <v>14589</v>
      </c>
      <c r="AP277" s="841">
        <f>AP115 + AP138 + AP231</f>
        <v>14589</v>
      </c>
    </row>
    <row r="278" hidden="1">
      <c r="B278" s="842" t="s">
        <v>18</v>
      </c>
      <c r="C278" s="839">
        <f>C116 + C139 + C232</f>
        <v>0</v>
      </c>
      <c r="D278" s="839">
        <f>D116 + D139 + D232</f>
        <v>29828</v>
      </c>
      <c r="E278" s="839">
        <f>E116 + E139 + E232</f>
        <v>65511</v>
      </c>
      <c r="F278" s="839">
        <f>F116 + F139 + F232</f>
        <v>135090</v>
      </c>
      <c r="G278" s="839">
        <f>G116 + G139 + G232</f>
        <v>507599</v>
      </c>
      <c r="H278" s="839">
        <f>H116 + H139 + H232</f>
        <v>557248</v>
      </c>
      <c r="I278" s="839">
        <f>I116 + I139 + I232</f>
        <v>721013</v>
      </c>
      <c r="J278" s="839">
        <f>J116 + J139 + J232</f>
        <v>651939</v>
      </c>
      <c r="K278" s="839">
        <f>K116 + K139 + K232</f>
        <v>725667</v>
      </c>
      <c r="L278" s="839">
        <f>L116 + L139 + L232</f>
        <v>743714</v>
      </c>
      <c r="M278" s="839">
        <f>M116 + M139 + M232</f>
        <v>954788</v>
      </c>
      <c r="N278" s="839">
        <f>N116 + N139 + N232</f>
        <v>934166</v>
      </c>
      <c r="O278" s="839">
        <f>O116 + O139 + O232</f>
        <v>949945</v>
      </c>
      <c r="P278" s="839">
        <f>P116 + P139 + P232</f>
        <v>925785</v>
      </c>
      <c r="Q278" s="839">
        <f>Q116 + Q139 + Q232</f>
        <v>1033004</v>
      </c>
      <c r="R278" s="839">
        <f>R116 + R139 + R232</f>
        <v>1011553</v>
      </c>
      <c r="S278" s="839">
        <f>S116 + S139 + S232</f>
        <v>1037928</v>
      </c>
      <c r="T278" s="839">
        <f>T116 + T139 + T232</f>
        <v>1030929</v>
      </c>
      <c r="U278" s="839">
        <f>U116 + U139 + U232</f>
        <v>1075355</v>
      </c>
      <c r="V278" s="839">
        <f>V116 + V139 + V232</f>
        <v>1100832</v>
      </c>
      <c r="W278" s="839">
        <f>W116 + W139 + W232</f>
        <v>1123284</v>
      </c>
      <c r="X278" s="839">
        <f>X116 + X139 + X232</f>
        <v>1101025</v>
      </c>
      <c r="Y278" s="839">
        <f>Y116 + Y139 + Y232</f>
        <v>930442</v>
      </c>
      <c r="Z278" s="839">
        <f>Z116 + Z139 + Z232</f>
        <v>827369</v>
      </c>
      <c r="AA278" s="839">
        <f>AA116 + AA139 + AA232</f>
        <v>842266</v>
      </c>
      <c r="AB278" s="839">
        <f>AB116 + AB139 + AB232</f>
        <v>789235</v>
      </c>
      <c r="AC278" s="841">
        <f>AC116 + AC139 + AC232</f>
        <v>863816</v>
      </c>
      <c r="AD278" s="841">
        <f>AD116 + AD139 + AD232</f>
        <v>834915</v>
      </c>
      <c r="AE278" s="841">
        <f>AE116 + AE139 + AE232</f>
        <v>898849</v>
      </c>
      <c r="AF278" s="841">
        <f>AF116 + AF139 + AF232</f>
        <v>884413</v>
      </c>
      <c r="AG278" s="841">
        <f>AG116 + AG139 + AG232</f>
        <v>817589</v>
      </c>
      <c r="AH278" s="841">
        <f>AH116 + AH139 + AH232</f>
        <v>792119</v>
      </c>
      <c r="AI278" s="841">
        <f>AI116 + AI139 + AI232</f>
        <v>708833</v>
      </c>
      <c r="AJ278" s="841">
        <f>AJ116 + AJ139 + AJ232</f>
        <v>702483</v>
      </c>
      <c r="AK278" s="841">
        <f>AK116 + AK139 + AK232</f>
        <v>716330</v>
      </c>
      <c r="AL278" s="841">
        <f>AL116 + AL139 + AL232</f>
        <v>712918</v>
      </c>
      <c r="AM278" s="841">
        <f>AM116 + AM139 + AM232</f>
        <v>661566</v>
      </c>
      <c r="AN278" s="841">
        <f>AN116 + AN139 + AN232</f>
        <v>648266</v>
      </c>
      <c r="AO278" s="841">
        <f>AO116 + AO139 + AO232</f>
        <v>524699</v>
      </c>
      <c r="AP278" s="841">
        <f>AP116 + AP139 + AP232</f>
        <v>524669</v>
      </c>
    </row>
    <row r="279" hidden="1">
      <c r="B279" s="842" t="s">
        <v>19</v>
      </c>
      <c r="C279" s="839">
        <f>C117 + C140 + C233</f>
        <v>1339</v>
      </c>
      <c r="D279" s="839">
        <f>D117 + D140 + D233</f>
        <v>8532</v>
      </c>
      <c r="E279" s="839">
        <f>E117 + E140 + E233</f>
        <v>15561</v>
      </c>
      <c r="F279" s="839">
        <f>F117 + F140 + F233</f>
        <v>15561</v>
      </c>
      <c r="G279" s="839">
        <f>G117 + G140 + G233</f>
        <v>11891</v>
      </c>
      <c r="H279" s="839">
        <f>H117 + H140 + H233</f>
        <v>11413</v>
      </c>
      <c r="I279" s="839">
        <f>I117 + I140 + I233</f>
        <v>10327</v>
      </c>
      <c r="J279" s="839">
        <f>J117 + J140 + J233</f>
        <v>10344</v>
      </c>
      <c r="K279" s="839">
        <f>K117 + K140 + K233</f>
        <v>10115</v>
      </c>
      <c r="L279" s="839">
        <f>L117 + L140 + L233</f>
        <v>9611</v>
      </c>
      <c r="M279" s="839">
        <f>M117 + M140 + M233</f>
        <v>2547</v>
      </c>
      <c r="N279" s="839">
        <f>N117 + N140 + N233</f>
        <v>2552</v>
      </c>
      <c r="O279" s="839">
        <f>O117 + O140 + O233</f>
        <v>7954</v>
      </c>
      <c r="P279" s="839">
        <f>P117 + P140 + P233</f>
        <v>4704</v>
      </c>
      <c r="Q279" s="839">
        <f>Q117 + Q140 + Q233</f>
        <v>4148</v>
      </c>
      <c r="R279" s="839">
        <f>R117 + R140 + R233</f>
        <v>4148</v>
      </c>
      <c r="S279" s="839">
        <f>S117 + S140 + S233</f>
        <v>5523</v>
      </c>
      <c r="T279" s="839">
        <f>T117 + T140 + T233</f>
        <v>5535</v>
      </c>
      <c r="U279" s="839">
        <f>U117 + U140 + U233</f>
        <v>4349</v>
      </c>
      <c r="V279" s="839">
        <f>V117 + V140 + V233</f>
        <v>4401</v>
      </c>
      <c r="W279" s="839">
        <f>W117 + W140 + W233</f>
        <v>3053</v>
      </c>
      <c r="X279" s="839">
        <f>X117 + X140 + X233</f>
        <v>3023</v>
      </c>
      <c r="Y279" s="839">
        <f>Y117 + Y140 + Y233</f>
        <v>2476</v>
      </c>
      <c r="Z279" s="839">
        <f>Z117 + Z140 + Z233</f>
        <v>2576</v>
      </c>
      <c r="AA279" s="839">
        <f>AA117 + AA140 + AA233</f>
        <v>2535</v>
      </c>
      <c r="AB279" s="839">
        <f>AB117 + AB140 + AB233</f>
        <v>2425</v>
      </c>
      <c r="AC279" s="841">
        <f>AC117 + AC140 + AC233</f>
        <v>2463</v>
      </c>
      <c r="AD279" s="841">
        <f>AD117 + AD140 + AD233</f>
        <v>2463</v>
      </c>
      <c r="AE279" s="841">
        <f>AE117 + AE140 + AE233</f>
        <v>1954</v>
      </c>
      <c r="AF279" s="841">
        <f>AF117 + AF140 + AF233</f>
        <v>1946</v>
      </c>
      <c r="AG279" s="841">
        <f>AG117 + AG140 + AG233</f>
        <v>3609</v>
      </c>
      <c r="AH279" s="841">
        <f>AH117 + AH140 + AH233</f>
        <v>3529</v>
      </c>
      <c r="AI279" s="841">
        <f>AI117 + AI140 + AI233</f>
        <v>3527</v>
      </c>
      <c r="AJ279" s="841">
        <f>AJ117 + AJ140 + AJ233</f>
        <v>3528</v>
      </c>
      <c r="AK279" s="841">
        <f>AK117 + AK140 + AK233</f>
        <v>3586</v>
      </c>
      <c r="AL279" s="841">
        <f>AL117 + AL140 + AL233</f>
        <v>3586</v>
      </c>
      <c r="AM279" s="841">
        <f>AM117 + AM140 + AM233</f>
        <v>3580</v>
      </c>
      <c r="AN279" s="841">
        <f>AN117 + AN140 + AN233</f>
        <v>3605</v>
      </c>
      <c r="AO279" s="841">
        <f>AO117 + AO140 + AO233</f>
        <v>2876</v>
      </c>
      <c r="AP279" s="841">
        <f>AP117 + AP140 + AP233</f>
        <v>2870</v>
      </c>
    </row>
    <row r="280" hidden="1">
      <c r="B280" s="842" t="s">
        <v>20</v>
      </c>
      <c r="C280" s="839">
        <f>C118 + C141 + C234</f>
        <v>132517</v>
      </c>
      <c r="D280" s="839">
        <f>D118 + D141 + D234</f>
        <v>134017</v>
      </c>
      <c r="E280" s="839">
        <f>E118 + E141 + E234</f>
        <v>134467</v>
      </c>
      <c r="F280" s="839">
        <f>F118 + F141 + F234</f>
        <v>154503</v>
      </c>
      <c r="G280" s="839">
        <f>G118 + G141 + G234</f>
        <v>128991</v>
      </c>
      <c r="H280" s="839">
        <f>H118 + H141 + H234</f>
        <v>129433</v>
      </c>
      <c r="I280" s="839">
        <f>I118 + I141 + I234</f>
        <v>123166</v>
      </c>
      <c r="J280" s="839">
        <f>J118 + J141 + J234</f>
        <v>123166</v>
      </c>
      <c r="K280" s="839">
        <f>K118 + K141 + K234</f>
        <v>112031</v>
      </c>
      <c r="L280" s="839">
        <f>L118 + L141 + L234</f>
        <v>112191</v>
      </c>
      <c r="M280" s="839">
        <f>M118 + M141 + M234</f>
        <v>112918</v>
      </c>
      <c r="N280" s="839">
        <f>N118 + N141 + N234</f>
        <v>105728</v>
      </c>
      <c r="O280" s="839">
        <f>O118 + O141 + O234</f>
        <v>120012</v>
      </c>
      <c r="P280" s="839">
        <f>P118 + P141 + P234</f>
        <v>120012</v>
      </c>
      <c r="Q280" s="839">
        <f>Q118 + Q141 + Q234</f>
        <v>100425</v>
      </c>
      <c r="R280" s="839">
        <f>R118 + R141 + R234</f>
        <v>100184</v>
      </c>
      <c r="S280" s="839">
        <f>S118 + S141 + S234</f>
        <v>127026</v>
      </c>
      <c r="T280" s="839">
        <f>T118 + T141 + T234</f>
        <v>124256</v>
      </c>
      <c r="U280" s="839">
        <f>U118 + U141 + U234</f>
        <v>127384</v>
      </c>
      <c r="V280" s="839">
        <f>V118 + V141 + V234</f>
        <v>118581</v>
      </c>
      <c r="W280" s="839">
        <f>W118 + W141 + W234</f>
        <v>68010</v>
      </c>
      <c r="X280" s="839">
        <f>X118 + X141 + X234</f>
        <v>69500</v>
      </c>
      <c r="Y280" s="839">
        <f>Y118 + Y141 + Y234</f>
        <v>64745</v>
      </c>
      <c r="Z280" s="839">
        <f>Z118 + Z141 + Z234</f>
        <v>71745</v>
      </c>
      <c r="AA280" s="839">
        <f>AA118 + AA141 + AA234</f>
        <v>88640</v>
      </c>
      <c r="AB280" s="839">
        <f>AB118 + AB141 + AB234</f>
        <v>88640</v>
      </c>
      <c r="AC280" s="841">
        <f>AC118 + AC141 + AC234</f>
        <v>65173</v>
      </c>
      <c r="AD280" s="841">
        <f>AD118 + AD141 + AD234</f>
        <v>65182</v>
      </c>
      <c r="AE280" s="841">
        <f>AE118 + AE141 + AE234</f>
        <v>104712</v>
      </c>
      <c r="AF280" s="841">
        <f>AF118 + AF141 + AF234</f>
        <v>104612</v>
      </c>
      <c r="AG280" s="841">
        <f>AG118 + AG141 + AG234</f>
        <v>51316</v>
      </c>
      <c r="AH280" s="841">
        <f>AH118 + AH141 + AH234</f>
        <v>51316</v>
      </c>
      <c r="AI280" s="841">
        <f>AI118 + AI141 + AI234</f>
        <v>99428</v>
      </c>
      <c r="AJ280" s="841">
        <f>AJ118 + AJ141 + AJ234</f>
        <v>99618</v>
      </c>
      <c r="AK280" s="841">
        <f>AK118 + AK141 + AK234</f>
        <v>60431</v>
      </c>
      <c r="AL280" s="841">
        <f>AL118 + AL141 + AL234</f>
        <v>56131</v>
      </c>
      <c r="AM280" s="841">
        <f>AM118 + AM141 + AM234</f>
        <v>76610</v>
      </c>
      <c r="AN280" s="841">
        <f>AN118 + AN141 + AN234</f>
        <v>77010</v>
      </c>
      <c r="AO280" s="841">
        <f>AO118 + AO141 + AO234</f>
        <v>64719</v>
      </c>
      <c r="AP280" s="841">
        <f>AP118 + AP141 + AP234</f>
        <v>64819</v>
      </c>
    </row>
    <row r="281" hidden="1">
      <c r="B281" s="842" t="s">
        <v>21</v>
      </c>
      <c r="C281" s="839">
        <f>C119 + C142 + C235</f>
        <v>225726</v>
      </c>
      <c r="D281" s="839">
        <f>D119 + D142 + D235</f>
        <v>236728</v>
      </c>
      <c r="E281" s="839">
        <f>E119 + E142 + E235</f>
        <v>220516</v>
      </c>
      <c r="F281" s="839">
        <f>F119 + F142 + F235</f>
        <v>234416</v>
      </c>
      <c r="G281" s="839">
        <f>G119 + G142 + G235</f>
        <v>270855</v>
      </c>
      <c r="H281" s="839">
        <f>H119 + H142 + H235</f>
        <v>269655</v>
      </c>
      <c r="I281" s="839">
        <f>I119 + I142 + I235</f>
        <v>263770</v>
      </c>
      <c r="J281" s="839">
        <f>J119 + J142 + J235</f>
        <v>263791</v>
      </c>
      <c r="K281" s="839">
        <f>K119 + K142 + K235</f>
        <v>241358</v>
      </c>
      <c r="L281" s="839">
        <f>L119 + L142 + L235</f>
        <v>241333</v>
      </c>
      <c r="M281" s="839">
        <f>M119 + M142 + M235</f>
        <v>244515</v>
      </c>
      <c r="N281" s="839">
        <f>N119 + N142 + N235</f>
        <v>246200</v>
      </c>
      <c r="O281" s="839">
        <f>O119 + O142 + O235</f>
        <v>197729</v>
      </c>
      <c r="P281" s="839">
        <f>P119 + P142 + P235</f>
        <v>201352</v>
      </c>
      <c r="Q281" s="839">
        <f>Q119 + Q142 + Q235</f>
        <v>185298</v>
      </c>
      <c r="R281" s="839">
        <f>R119 + R142 + R235</f>
        <v>177998</v>
      </c>
      <c r="S281" s="839">
        <f>S119 + S142 + S235</f>
        <v>151541</v>
      </c>
      <c r="T281" s="839">
        <f>T119 + T142 + T235</f>
        <v>133741</v>
      </c>
      <c r="U281" s="839">
        <f>U119 + U142 + U235</f>
        <v>128753</v>
      </c>
      <c r="V281" s="839">
        <f>V119 + V142 + V235</f>
        <v>124553</v>
      </c>
      <c r="W281" s="839">
        <f>W119 + W142 + W235</f>
        <v>102891</v>
      </c>
      <c r="X281" s="839">
        <f>X119 + X142 + X235</f>
        <v>118891</v>
      </c>
      <c r="Y281" s="839">
        <f>Y119 + Y142 + Y235</f>
        <v>129526</v>
      </c>
      <c r="Z281" s="839">
        <f>Z119 + Z142 + Z235</f>
        <v>129531</v>
      </c>
      <c r="AA281" s="839">
        <f>AA119 + AA142 + AA235</f>
        <v>134294</v>
      </c>
      <c r="AB281" s="839">
        <f>AB119 + AB142 + AB235</f>
        <v>134296</v>
      </c>
      <c r="AC281" s="841">
        <f>AC119 + AC142 + AC235</f>
        <v>139303</v>
      </c>
      <c r="AD281" s="841">
        <f>AD119 + AD142 + AD235</f>
        <v>132303</v>
      </c>
      <c r="AE281" s="841">
        <f>AE119 + AE142 + AE235</f>
        <v>131410</v>
      </c>
      <c r="AF281" s="841">
        <f>AF119 + AF142 + AF235</f>
        <v>131665</v>
      </c>
      <c r="AG281" s="841">
        <f>AG119 + AG142 + AG235</f>
        <v>139580</v>
      </c>
      <c r="AH281" s="841">
        <f>AH119 + AH142 + AH235</f>
        <v>139577</v>
      </c>
      <c r="AI281" s="841">
        <f>AI119 + AI142 + AI235</f>
        <v>134262</v>
      </c>
      <c r="AJ281" s="841">
        <f>AJ119 + AJ142 + AJ235</f>
        <v>129949</v>
      </c>
      <c r="AK281" s="841">
        <f>AK119 + AK142 + AK235</f>
        <v>130400</v>
      </c>
      <c r="AL281" s="841">
        <f>AL119 + AL142 + AL235</f>
        <v>130400</v>
      </c>
      <c r="AM281" s="841">
        <f>AM119 + AM142 + AM235</f>
        <v>61516</v>
      </c>
      <c r="AN281" s="841">
        <f>AN119 + AN142 + AN235</f>
        <v>37016</v>
      </c>
      <c r="AO281" s="841">
        <f>AO119 + AO142 + AO235</f>
        <v>82791</v>
      </c>
      <c r="AP281" s="841">
        <f>AP119 + AP142 + AP235</f>
        <v>82791</v>
      </c>
    </row>
    <row r="282" hidden="1">
      <c r="B282" s="842" t="s">
        <v>22</v>
      </c>
      <c r="C282" s="839">
        <f>C120 + C143 + C236</f>
        <v>0</v>
      </c>
      <c r="D282" s="839">
        <f>D120 + D143 + D236</f>
        <v>0</v>
      </c>
      <c r="E282" s="839">
        <f>E120 + E143 + E236</f>
        <v>0</v>
      </c>
      <c r="F282" s="839">
        <f>F120 + F143 + F236</f>
        <v>0</v>
      </c>
      <c r="G282" s="839">
        <f>G120 + G143 + G236</f>
        <v>0</v>
      </c>
      <c r="H282" s="839">
        <f>H120 + H143 + H236</f>
        <v>0</v>
      </c>
      <c r="I282" s="839">
        <f>I120 + I143 + I236</f>
        <v>0</v>
      </c>
      <c r="J282" s="839">
        <f>J120 + J143 + J236</f>
        <v>0</v>
      </c>
      <c r="K282" s="839">
        <f>K120 + K143 + K236</f>
        <v>0</v>
      </c>
      <c r="L282" s="839">
        <f>L120 + L143 + L236</f>
        <v>0</v>
      </c>
      <c r="M282" s="839">
        <f>M120 + M143 + M236</f>
        <v>0</v>
      </c>
      <c r="N282" s="839">
        <f>N120 + N143 + N236</f>
        <v>0</v>
      </c>
      <c r="O282" s="839">
        <f>O120 + O143 + O236</f>
        <v>10700</v>
      </c>
      <c r="P282" s="839">
        <f>P120 + P143 + P236</f>
        <v>84576</v>
      </c>
      <c r="Q282" s="839">
        <f>Q120 + Q143 + Q236</f>
        <v>489871</v>
      </c>
      <c r="R282" s="839">
        <f>R120 + R143 + R236</f>
        <v>488371</v>
      </c>
      <c r="S282" s="839">
        <f>S120 + S143 + S236</f>
        <v>90158</v>
      </c>
      <c r="T282" s="839">
        <f>T120 + T143 + T236</f>
        <v>90158</v>
      </c>
      <c r="U282" s="839">
        <f>U120 + U143 + U236</f>
        <v>170141</v>
      </c>
      <c r="V282" s="839">
        <f>V120 + V143 + V236</f>
        <v>170949</v>
      </c>
      <c r="W282" s="839">
        <f>W120 + W143 + W236</f>
        <v>160504</v>
      </c>
      <c r="X282" s="839">
        <f>X120 + X143 + X236</f>
        <v>160503</v>
      </c>
      <c r="Y282" s="839">
        <f>Y120 + Y143 + Y236</f>
        <v>184661</v>
      </c>
      <c r="Z282" s="839">
        <f>Z120 + Z143 + Z236</f>
        <v>180161</v>
      </c>
      <c r="AA282" s="839">
        <f>AA120 + AA143 + AA236</f>
        <v>164465</v>
      </c>
      <c r="AB282" s="839">
        <f>AB120 + AB143 + AB236</f>
        <v>144465</v>
      </c>
      <c r="AC282" s="841">
        <f>AC120 + AC143 + AC236</f>
        <v>149174</v>
      </c>
      <c r="AD282" s="841">
        <f>AD120 + AD143 + AD236</f>
        <v>149174</v>
      </c>
      <c r="AE282" s="841">
        <f>AE120 + AE143 + AE236</f>
        <v>152141</v>
      </c>
      <c r="AF282" s="841">
        <f>AF120 + AF143 + AF236</f>
        <v>148016</v>
      </c>
      <c r="AG282" s="841">
        <f>AG120 + AG143 + AG236</f>
        <v>105445</v>
      </c>
      <c r="AH282" s="841">
        <f>AH120 + AH143 + AH236</f>
        <v>105445</v>
      </c>
      <c r="AI282" s="841">
        <f>AI120 + AI143 + AI236</f>
        <v>143823</v>
      </c>
      <c r="AJ282" s="841">
        <f>AJ120 + AJ143 + AJ236</f>
        <v>143821</v>
      </c>
      <c r="AK282" s="841">
        <f>AK120 + AK143 + AK236</f>
        <v>99485</v>
      </c>
      <c r="AL282" s="841">
        <f>AL120 + AL143 + AL236</f>
        <v>94229</v>
      </c>
      <c r="AM282" s="841">
        <f>AM120 + AM143 + AM236</f>
        <v>83639</v>
      </c>
      <c r="AN282" s="841">
        <f>AN120 + AN143 + AN236</f>
        <v>66133</v>
      </c>
      <c r="AO282" s="841">
        <f>AO120 + AO143 + AO236</f>
        <v>71347</v>
      </c>
      <c r="AP282" s="841">
        <f>AP120 + AP143 + AP236</f>
        <v>71347</v>
      </c>
    </row>
    <row r="283" hidden="1">
      <c r="B283" s="842" t="s">
        <v>23</v>
      </c>
      <c r="C283" s="839">
        <f>C121 + C144 + C237</f>
        <v>63040</v>
      </c>
      <c r="D283" s="839">
        <f>D121 + D144 + D237</f>
        <v>63040</v>
      </c>
      <c r="E283" s="839">
        <f>E121 + E144 + E237</f>
        <v>60601</v>
      </c>
      <c r="F283" s="839">
        <f>F121 + F144 + F237</f>
        <v>59851</v>
      </c>
      <c r="G283" s="839">
        <f>G121 + G144 + G237</f>
        <v>65000</v>
      </c>
      <c r="H283" s="839">
        <f>H121 + H144 + H237</f>
        <v>65000</v>
      </c>
      <c r="I283" s="839">
        <f>I121 + I144 + I237</f>
        <v>67302</v>
      </c>
      <c r="J283" s="839">
        <f>J121 + J144 + J237</f>
        <v>67302</v>
      </c>
      <c r="K283" s="839">
        <f>K121 + K144 + K237</f>
        <v>57463</v>
      </c>
      <c r="L283" s="839">
        <f>L121 + L144 + L237</f>
        <v>57463</v>
      </c>
      <c r="M283" s="839">
        <f>M121 + M144 + M237</f>
        <v>55884</v>
      </c>
      <c r="N283" s="839">
        <f>N121 + N144 + N237</f>
        <v>55884</v>
      </c>
      <c r="O283" s="839">
        <f>O121 + O144 + O237</f>
        <v>110718</v>
      </c>
      <c r="P283" s="839">
        <f>P121 + P144 + P237</f>
        <v>111318</v>
      </c>
      <c r="Q283" s="839">
        <f>Q121 + Q144 + Q237</f>
        <v>59848</v>
      </c>
      <c r="R283" s="839">
        <f>R121 + R144 + R237</f>
        <v>59848</v>
      </c>
      <c r="S283" s="839">
        <f>S121 + S144 + S237</f>
        <v>50750</v>
      </c>
      <c r="T283" s="839">
        <f>T121 + T144 + T237</f>
        <v>50750</v>
      </c>
      <c r="U283" s="839">
        <f>U121 + U144 + U237</f>
        <v>63092</v>
      </c>
      <c r="V283" s="839">
        <f>V121 + V144 + V237</f>
        <v>61132</v>
      </c>
      <c r="W283" s="839">
        <f>W121 + W144 + W237</f>
        <v>54873</v>
      </c>
      <c r="X283" s="839">
        <f>X121 + X144 + X237</f>
        <v>54873</v>
      </c>
      <c r="Y283" s="839">
        <f>Y121 + Y144 + Y237</f>
        <v>57671</v>
      </c>
      <c r="Z283" s="839">
        <f>Z121 + Z144 + Z237</f>
        <v>57671</v>
      </c>
      <c r="AA283" s="839">
        <f>AA121 + AA144 + AA237</f>
        <v>47721</v>
      </c>
      <c r="AB283" s="839">
        <f>AB121 + AB144 + AB237</f>
        <v>47721</v>
      </c>
      <c r="AC283" s="841">
        <f>AC121 + AC144 + AC237</f>
        <v>46349</v>
      </c>
      <c r="AD283" s="841">
        <f>AD121 + AD144 + AD237</f>
        <v>46349</v>
      </c>
      <c r="AE283" s="841">
        <f>AE121 + AE144 + AE237</f>
        <v>54714</v>
      </c>
      <c r="AF283" s="841">
        <f>AF121 + AF144 + AF237</f>
        <v>54714</v>
      </c>
      <c r="AG283" s="841">
        <f>AG121 + AG144 + AG237</f>
        <v>49874</v>
      </c>
      <c r="AH283" s="841">
        <f>AH121 + AH144 + AH237</f>
        <v>46374</v>
      </c>
      <c r="AI283" s="841">
        <f>AI121 + AI144 + AI237</f>
        <v>47318</v>
      </c>
      <c r="AJ283" s="841">
        <f>AJ121 + AJ144 + AJ237</f>
        <v>47318</v>
      </c>
      <c r="AK283" s="841">
        <f>AK121 + AK144 + AK237</f>
        <v>42934</v>
      </c>
      <c r="AL283" s="841">
        <f>AL121 + AL144 + AL237</f>
        <v>40784</v>
      </c>
      <c r="AM283" s="841">
        <f>AM121 + AM144 + AM237</f>
        <v>34090</v>
      </c>
      <c r="AN283" s="841">
        <f>AN121 + AN144 + AN237</f>
        <v>34090</v>
      </c>
      <c r="AO283" s="841">
        <f>AO121 + AO144 + AO237</f>
        <v>35443</v>
      </c>
      <c r="AP283" s="841">
        <f>AP121 + AP144 + AP237</f>
        <v>35443</v>
      </c>
    </row>
    <row r="284" hidden="1">
      <c r="B284" s="843" t="s">
        <v>24</v>
      </c>
      <c r="C284" s="839">
        <f>C122 + C145 + C238</f>
        <v>587505</v>
      </c>
      <c r="D284" s="839">
        <f>D122 + D145 + D238</f>
        <v>581687</v>
      </c>
      <c r="E284" s="839">
        <f>E122 + E145 + E238</f>
        <v>643888</v>
      </c>
      <c r="F284" s="839">
        <f>F122 + F145 + F238</f>
        <v>644498</v>
      </c>
      <c r="G284" s="839">
        <f>G122 + G145 + G238</f>
        <v>563363</v>
      </c>
      <c r="H284" s="839">
        <f>H122 + H145 + H238</f>
        <v>529148</v>
      </c>
      <c r="I284" s="839">
        <f>I122 + I145 + I238</f>
        <v>524679</v>
      </c>
      <c r="J284" s="839">
        <f>J122 + J145 + J238</f>
        <v>525040</v>
      </c>
      <c r="K284" s="839">
        <f>K122 + K145 + K238</f>
        <v>533251</v>
      </c>
      <c r="L284" s="839">
        <f>L122 + L145 + L238</f>
        <v>530056</v>
      </c>
      <c r="M284" s="839">
        <f>M122 + M145 + M238</f>
        <v>538858</v>
      </c>
      <c r="N284" s="839">
        <f>N122 + N145 + N238</f>
        <v>536350</v>
      </c>
      <c r="O284" s="839">
        <f>O122 + O145 + O238</f>
        <v>529086</v>
      </c>
      <c r="P284" s="839">
        <f>P122 + P145 + P238</f>
        <v>553802</v>
      </c>
      <c r="Q284" s="839">
        <f>Q122 + Q145 + Q238</f>
        <v>562952</v>
      </c>
      <c r="R284" s="839">
        <f>R122 + R145 + R238</f>
        <v>529436</v>
      </c>
      <c r="S284" s="839">
        <f>S122 + S145 + S238</f>
        <v>517008</v>
      </c>
      <c r="T284" s="839">
        <f>T122 + T145 + T238</f>
        <v>516821</v>
      </c>
      <c r="U284" s="839">
        <f>U122 + U145 + U238</f>
        <v>527033</v>
      </c>
      <c r="V284" s="839">
        <f>V122 + V145 + V238</f>
        <v>515161</v>
      </c>
      <c r="W284" s="839">
        <f>W122 + W145 + W238</f>
        <v>525210</v>
      </c>
      <c r="X284" s="839">
        <f>X122 + X145 + X238</f>
        <v>520005</v>
      </c>
      <c r="Y284" s="839">
        <f>Y122 + Y145 + Y238</f>
        <v>481246</v>
      </c>
      <c r="Z284" s="839">
        <f>Z122 + Z145 + Z238</f>
        <v>462333</v>
      </c>
      <c r="AA284" s="839">
        <f>AA122 + AA145 + AA238</f>
        <v>448956</v>
      </c>
      <c r="AB284" s="839">
        <f>AB122 + AB145 + AB238</f>
        <v>432805</v>
      </c>
      <c r="AC284" s="841">
        <f>AC122 + AC145 + AC238</f>
        <v>438913</v>
      </c>
      <c r="AD284" s="841">
        <f>AD122 + AD145 + AD238</f>
        <v>430025</v>
      </c>
      <c r="AE284" s="841">
        <f>AE122 + AE145 + AE238</f>
        <v>432986</v>
      </c>
      <c r="AF284" s="841">
        <f>AF122 + AF145 + AF238</f>
        <v>434218</v>
      </c>
      <c r="AG284" s="841">
        <f>AG122 + AG145 + AG238</f>
        <v>426472</v>
      </c>
      <c r="AH284" s="841">
        <f>AH122 + AH145 + AH238</f>
        <v>405646</v>
      </c>
      <c r="AI284" s="841">
        <f>AI122 + AI145 + AI238</f>
        <v>383521</v>
      </c>
      <c r="AJ284" s="841">
        <f>AJ122 + AJ145 + AJ238</f>
        <v>351644</v>
      </c>
      <c r="AK284" s="841">
        <f>AK122 + AK145 + AK238</f>
        <v>333306</v>
      </c>
      <c r="AL284" s="841">
        <f>AL122 + AL145 + AL238</f>
        <v>320227</v>
      </c>
      <c r="AM284" s="841">
        <f>AM122 + AM145 + AM238</f>
        <v>306513</v>
      </c>
      <c r="AN284" s="841">
        <f>AN122 + AN145 + AN238</f>
        <v>298397</v>
      </c>
      <c r="AO284" s="841">
        <f>AO122 + AO145 + AO238</f>
        <v>304994</v>
      </c>
      <c r="AP284" s="841">
        <f>AP122 + AP145 + AP238</f>
        <v>304929</v>
      </c>
    </row>
    <row r="285" hidden="1">
      <c r="B285" s="842" t="s">
        <v>25</v>
      </c>
      <c r="C285" s="839">
        <f>C123 + C146 + C239</f>
        <v>0</v>
      </c>
      <c r="D285" s="839">
        <f>D123 + D146 + D239</f>
        <v>0</v>
      </c>
      <c r="E285" s="839">
        <f>E123 + E146 + E239</f>
        <v>0</v>
      </c>
      <c r="F285" s="839">
        <f>F123 + F146 + F239</f>
        <v>0</v>
      </c>
      <c r="G285" s="839">
        <f>G123 + G146 + G239</f>
        <v>0</v>
      </c>
      <c r="H285" s="839">
        <f>H123 + H146 + H239</f>
        <v>0</v>
      </c>
      <c r="I285" s="839">
        <f>I123 + I146 + I239</f>
        <v>0</v>
      </c>
      <c r="J285" s="839">
        <f>J123 + J146 + J239</f>
        <v>0</v>
      </c>
      <c r="K285" s="839">
        <f>K123 + K146 + K239</f>
        <v>0</v>
      </c>
      <c r="L285" s="839">
        <f>L123 + L146 + L239</f>
        <v>0</v>
      </c>
      <c r="M285" s="839">
        <f>M123 + M146 + M239</f>
        <v>0</v>
      </c>
      <c r="N285" s="839">
        <f>N123 + N146 + N239</f>
        <v>0</v>
      </c>
      <c r="O285" s="839">
        <f>O123 + O146 + O239</f>
        <v>0</v>
      </c>
      <c r="P285" s="839">
        <f>P123 + P146 + P239</f>
        <v>0</v>
      </c>
      <c r="Q285" s="839">
        <f>Q123 + Q146 + Q239</f>
        <v>0</v>
      </c>
      <c r="R285" s="839">
        <f>R123 + R146 + R239</f>
        <v>0</v>
      </c>
      <c r="S285" s="839">
        <f>S123 + S146 + S239</f>
        <v>0</v>
      </c>
      <c r="T285" s="839">
        <f>T123 + T146 + T239</f>
        <v>0</v>
      </c>
      <c r="U285" s="839">
        <f>U123 + U146 + U239</f>
        <v>0</v>
      </c>
      <c r="V285" s="839">
        <f>V123 + V146 + V239</f>
        <v>0</v>
      </c>
      <c r="W285" s="839">
        <f>W123 + W146 + W239</f>
        <v>0</v>
      </c>
      <c r="X285" s="839">
        <f>X123 + X146 + X239</f>
        <v>0</v>
      </c>
      <c r="Y285" s="839">
        <f>Y123 + Y146 + Y239</f>
        <v>0</v>
      </c>
      <c r="Z285" s="839">
        <f>Z123 + Z146 + Z239</f>
        <v>0</v>
      </c>
      <c r="AA285" s="839">
        <f>AA123 + AA146 + AA239</f>
        <v>0</v>
      </c>
      <c r="AB285" s="839">
        <f>AB123 + AB146 + AB239</f>
        <v>0</v>
      </c>
      <c r="AC285" s="841">
        <f>AC123 + AC146 + AC239</f>
        <v>0</v>
      </c>
      <c r="AD285" s="841">
        <f>AD123 + AD146 + AD239</f>
        <v>0</v>
      </c>
      <c r="AE285" s="841">
        <f>AE123 + AE146 + AE239</f>
        <v>0</v>
      </c>
      <c r="AF285" s="841">
        <f>AF123 + AF146 + AF239</f>
        <v>0</v>
      </c>
      <c r="AG285" s="841">
        <f>AG123 + AG146 + AG239</f>
        <v>0</v>
      </c>
      <c r="AH285" s="841">
        <f>AH123 + AH146 + AH239</f>
        <v>0</v>
      </c>
      <c r="AI285" s="841">
        <f>AI123 + AI146 + AI239</f>
        <v>0</v>
      </c>
      <c r="AJ285" s="841">
        <f>AJ123 + AJ146 + AJ239</f>
        <v>0</v>
      </c>
      <c r="AK285" s="841">
        <f>AK123 + AK146 + AK239</f>
        <v>0</v>
      </c>
      <c r="AL285" s="841">
        <f>AL123 + AL146 + AL239</f>
        <v>0</v>
      </c>
      <c r="AM285" s="841">
        <f>AM123 + AM146 + AM239</f>
        <v>0</v>
      </c>
      <c r="AN285" s="841">
        <f>AN123 + AN146 + AN239</f>
        <v>0</v>
      </c>
      <c r="AO285" s="841">
        <f>AO123 + AO146 + AO239</f>
        <v>0</v>
      </c>
      <c r="AP285" s="841">
        <f>AP123 + AP146 + AP239</f>
        <v>0</v>
      </c>
    </row>
    <row r="286" hidden="1" ht="13.5">
      <c r="B286" s="844" t="s">
        <v>26</v>
      </c>
      <c r="C286" s="839">
        <f>C124 + C147 + C240</f>
        <v>0</v>
      </c>
      <c r="D286" s="839">
        <f>D124 + D147 + D240</f>
        <v>0</v>
      </c>
      <c r="E286" s="839">
        <f>E124 + E147 + E240</f>
        <v>0</v>
      </c>
      <c r="F286" s="839">
        <f>F124 + F147 + F240</f>
        <v>0</v>
      </c>
      <c r="G286" s="839">
        <f>G124 + G147 + G240</f>
        <v>0</v>
      </c>
      <c r="H286" s="839">
        <f>H124 + H147 + H240</f>
        <v>0</v>
      </c>
      <c r="I286" s="839">
        <f>I124 + I147 + I240</f>
        <v>0</v>
      </c>
      <c r="J286" s="839">
        <f>J124 + J147 + J240</f>
        <v>0</v>
      </c>
      <c r="K286" s="839">
        <f>K124 + K147 + K240</f>
        <v>0</v>
      </c>
      <c r="L286" s="839">
        <f>L124 + L147 + L240</f>
        <v>0</v>
      </c>
      <c r="M286" s="839">
        <f>M124 + M147 + M240</f>
        <v>0</v>
      </c>
      <c r="N286" s="839">
        <f>N124 + N147 + N240</f>
        <v>0</v>
      </c>
      <c r="O286" s="839">
        <f>O124 + O147 + O240</f>
        <v>0</v>
      </c>
      <c r="P286" s="839">
        <f>P124 + P147 + P240</f>
        <v>0</v>
      </c>
      <c r="Q286" s="839">
        <f>Q124 + Q147 + Q240</f>
        <v>0</v>
      </c>
      <c r="R286" s="839">
        <f>R124 + R147 + R240</f>
        <v>0</v>
      </c>
      <c r="S286" s="839">
        <f>S124 + S147 + S240</f>
        <v>0</v>
      </c>
      <c r="T286" s="839">
        <f>T124 + T147 + T240</f>
        <v>0</v>
      </c>
      <c r="U286" s="839">
        <f>U124 + U147 + U240</f>
        <v>0</v>
      </c>
      <c r="V286" s="839">
        <f>V124 + V147 + V240</f>
        <v>0</v>
      </c>
      <c r="W286" s="839">
        <f>W124 + W147 + W240</f>
        <v>0</v>
      </c>
      <c r="X286" s="839">
        <f>X124 + X147 + X240</f>
        <v>0</v>
      </c>
      <c r="Y286" s="839">
        <f>Y124 + Y147 + Y240</f>
        <v>0</v>
      </c>
      <c r="Z286" s="839">
        <f>Z124 + Z147 + Z240</f>
        <v>0</v>
      </c>
      <c r="AA286" s="839">
        <f>AA124 + AA147 + AA240</f>
        <v>0</v>
      </c>
      <c r="AB286" s="845">
        <f>AB124 + AB147 + AB240</f>
        <v>0</v>
      </c>
      <c r="AC286" s="841">
        <f>AC124 + AC147 + AC240</f>
        <v>0</v>
      </c>
      <c r="AD286" s="841">
        <f>AD124 + AD147 + AD240</f>
        <v>0</v>
      </c>
      <c r="AE286" s="841">
        <f>AE124 + AE147 + AE240</f>
        <v>0</v>
      </c>
      <c r="AF286" s="841">
        <f>AF124 + AF147 + AF240</f>
        <v>0</v>
      </c>
      <c r="AG286" s="841">
        <f>AG124 + AG147 + AG240</f>
        <v>0</v>
      </c>
      <c r="AH286" s="841">
        <f>AH124 + AH147 + AH240</f>
        <v>0</v>
      </c>
      <c r="AI286" s="841">
        <f>AI124 + AI147 + AI240</f>
        <v>0</v>
      </c>
      <c r="AJ286" s="841">
        <f>AJ124 + AJ147 + AJ240</f>
        <v>0</v>
      </c>
      <c r="AK286" s="841">
        <f>AK124 + AK147 + AK240</f>
        <v>0</v>
      </c>
      <c r="AL286" s="841">
        <f>AL124 + AL147 + AL240</f>
        <v>0</v>
      </c>
      <c r="AM286" s="841">
        <f>AM124 + AM147 + AM240</f>
        <v>0</v>
      </c>
      <c r="AN286" s="841">
        <f>AN124 + AN147 + AN240</f>
        <v>0</v>
      </c>
      <c r="AO286" s="841">
        <f>AO124 + AO147 + AO240</f>
        <v>0</v>
      </c>
      <c r="AP286" s="841">
        <f>AP124 + AP147 + AP240</f>
        <v>0</v>
      </c>
    </row>
    <row r="287" hidden="1" ht="13.5">
      <c r="B287" s="128" t="s">
        <v>7</v>
      </c>
      <c r="C287" s="129" t="str">
        <f>IF(SUM(C268:C286)&lt;&gt;0,SUM(C268:C286),"")</f>
      </c>
      <c r="D287" s="129" t="str">
        <f ref="D287:AA287" t="shared" si="35">IF(SUM(D268:D286)&lt;&gt;0,SUM(D268:D286),"")</f>
      </c>
      <c r="E287" s="129" t="str">
        <f t="shared" si="35"/>
      </c>
      <c r="F287" s="129" t="str">
        <f t="shared" si="35"/>
      </c>
      <c r="G287" s="129" t="str">
        <f t="shared" si="35"/>
      </c>
      <c r="H287" s="129" t="str">
        <f t="shared" si="35"/>
      </c>
      <c r="I287" s="129" t="str">
        <f t="shared" si="35"/>
      </c>
      <c r="J287" s="129" t="str">
        <f t="shared" si="35"/>
      </c>
      <c r="K287" s="129" t="str">
        <f t="shared" si="35"/>
      </c>
      <c r="L287" s="129" t="str">
        <f t="shared" si="35"/>
      </c>
      <c r="M287" s="129" t="str">
        <f t="shared" si="35"/>
      </c>
      <c r="N287" s="129" t="str">
        <f t="shared" si="35"/>
      </c>
      <c r="O287" s="129" t="str">
        <f t="shared" si="35"/>
      </c>
      <c r="P287" s="129" t="str">
        <f t="shared" si="35"/>
      </c>
      <c r="Q287" s="129" t="str">
        <f t="shared" si="35"/>
      </c>
      <c r="R287" s="129" t="str">
        <f t="shared" si="35"/>
      </c>
      <c r="S287" s="129" t="str">
        <f t="shared" si="35"/>
      </c>
      <c r="T287" s="129" t="str">
        <f t="shared" si="35"/>
      </c>
      <c r="U287" s="129" t="str">
        <f t="shared" si="35"/>
      </c>
      <c r="V287" s="129" t="str">
        <f t="shared" si="35"/>
      </c>
      <c r="W287" s="129" t="str">
        <f t="shared" si="35"/>
      </c>
      <c r="X287" s="129" t="str">
        <f t="shared" si="35"/>
      </c>
      <c r="Y287" s="129" t="str">
        <f t="shared" si="35"/>
      </c>
      <c r="Z287" s="129" t="str">
        <f t="shared" si="35"/>
      </c>
      <c r="AA287" s="129" t="str">
        <f t="shared" si="35"/>
      </c>
      <c r="AB287" s="130" t="str">
        <f>IF(SUM(AB268:AB286)&lt;&gt;0,SUM(AB268:AB286),"")</f>
      </c>
      <c r="AC287" s="91" t="str">
        <f ref="AC287:CN287" t="shared" si="36">IF(SUM(AC268:AC286)&lt;&gt;0,SUM(AC268:AC286),"")</f>
      </c>
      <c r="AD287" s="91" t="str">
        <f t="shared" si="36"/>
      </c>
      <c r="AE287" s="91" t="str">
        <f t="shared" si="36"/>
      </c>
      <c r="AF287" s="91" t="str">
        <f t="shared" si="36"/>
      </c>
      <c r="AG287" s="91" t="str">
        <f t="shared" si="36"/>
      </c>
      <c r="AH287" s="91" t="str">
        <f t="shared" si="36"/>
      </c>
      <c r="AI287" s="91" t="str">
        <f t="shared" si="36"/>
      </c>
      <c r="AJ287" s="91" t="str">
        <f t="shared" si="36"/>
      </c>
      <c r="AK287" s="91" t="str">
        <f t="shared" si="36"/>
      </c>
      <c r="AL287" s="91" t="str">
        <f t="shared" si="36"/>
      </c>
      <c r="AM287" s="91" t="str">
        <f t="shared" si="36"/>
      </c>
      <c r="AN287" s="91" t="str">
        <f t="shared" si="36"/>
      </c>
      <c r="AO287" s="91" t="str">
        <f t="shared" si="36"/>
      </c>
      <c r="AP287" s="91" t="str">
        <f t="shared" si="36"/>
      </c>
      <c r="AQ287" s="91" t="str">
        <f t="shared" si="36"/>
      </c>
      <c r="AR287" s="91" t="str">
        <f t="shared" si="36"/>
      </c>
      <c r="AS287" s="91" t="str">
        <f t="shared" si="36"/>
      </c>
      <c r="AT287" s="91" t="str">
        <f t="shared" si="36"/>
      </c>
      <c r="AU287" s="91" t="str">
        <f t="shared" si="36"/>
      </c>
      <c r="AV287" s="91" t="str">
        <f t="shared" si="36"/>
      </c>
      <c r="AW287" s="91" t="str">
        <f t="shared" si="36"/>
      </c>
      <c r="AX287" s="91" t="str">
        <f t="shared" si="36"/>
      </c>
      <c r="AY287" s="91" t="str">
        <f t="shared" si="36"/>
      </c>
      <c r="AZ287" s="91" t="str">
        <f t="shared" si="36"/>
      </c>
      <c r="BA287" s="91" t="str">
        <f t="shared" si="36"/>
      </c>
      <c r="BB287" s="91" t="str">
        <f t="shared" si="36"/>
      </c>
      <c r="BC287" s="91" t="str">
        <f t="shared" si="36"/>
      </c>
      <c r="BD287" s="91" t="str">
        <f t="shared" si="36"/>
      </c>
      <c r="BE287" s="91" t="str">
        <f t="shared" si="36"/>
      </c>
      <c r="BF287" s="91" t="str">
        <f t="shared" si="36"/>
      </c>
      <c r="BG287" s="91" t="str">
        <f t="shared" si="36"/>
      </c>
      <c r="BH287" s="91" t="str">
        <f t="shared" si="36"/>
      </c>
      <c r="BI287" s="91" t="str">
        <f t="shared" si="36"/>
      </c>
      <c r="BJ287" s="91" t="str">
        <f t="shared" si="36"/>
      </c>
      <c r="BK287" s="91" t="str">
        <f t="shared" si="36"/>
      </c>
      <c r="BL287" s="91" t="str">
        <f t="shared" si="36"/>
      </c>
      <c r="BM287" s="91" t="str">
        <f t="shared" si="36"/>
      </c>
      <c r="BN287" s="91" t="str">
        <f t="shared" si="36"/>
      </c>
      <c r="BO287" s="91" t="str">
        <f t="shared" si="36"/>
      </c>
      <c r="BP287" s="91" t="str">
        <f t="shared" si="36"/>
      </c>
      <c r="BQ287" s="91" t="str">
        <f t="shared" si="36"/>
      </c>
      <c r="BR287" s="91" t="str">
        <f t="shared" si="36"/>
      </c>
      <c r="BS287" s="91" t="str">
        <f t="shared" si="36"/>
      </c>
      <c r="BT287" s="91" t="str">
        <f t="shared" si="36"/>
      </c>
      <c r="BU287" s="91" t="str">
        <f t="shared" si="36"/>
      </c>
      <c r="BV287" s="91" t="str">
        <f t="shared" si="36"/>
      </c>
      <c r="BW287" s="91" t="str">
        <f t="shared" si="36"/>
      </c>
      <c r="BX287" s="91" t="str">
        <f t="shared" si="36"/>
      </c>
      <c r="BY287" s="91" t="str">
        <f t="shared" si="36"/>
      </c>
      <c r="BZ287" s="91" t="str">
        <f t="shared" si="36"/>
      </c>
      <c r="CA287" s="91" t="str">
        <f t="shared" si="36"/>
      </c>
      <c r="CB287" s="91" t="str">
        <f t="shared" si="36"/>
      </c>
      <c r="CC287" s="91" t="str">
        <f t="shared" si="36"/>
      </c>
      <c r="CD287" s="91" t="str">
        <f t="shared" si="36"/>
      </c>
      <c r="CE287" s="91" t="str">
        <f t="shared" si="36"/>
      </c>
      <c r="CF287" s="91" t="str">
        <f t="shared" si="36"/>
      </c>
      <c r="CG287" s="91" t="str">
        <f t="shared" si="36"/>
      </c>
      <c r="CH287" s="91" t="str">
        <f t="shared" si="36"/>
      </c>
      <c r="CI287" s="91" t="str">
        <f t="shared" si="36"/>
      </c>
      <c r="CJ287" s="91" t="str">
        <f t="shared" si="36"/>
      </c>
      <c r="CK287" s="91" t="str">
        <f t="shared" si="36"/>
      </c>
      <c r="CL287" s="91" t="str">
        <f t="shared" si="36"/>
      </c>
      <c r="CM287" s="91" t="str">
        <f t="shared" si="36"/>
      </c>
      <c r="CN287" s="91" t="str">
        <f t="shared" si="36"/>
      </c>
      <c r="CO287" s="91" t="str">
        <f ref="CO287:EZ287" t="shared" si="37">IF(SUM(CO268:CO286)&lt;&gt;0,SUM(CO268:CO286),"")</f>
      </c>
      <c r="CP287" s="91" t="str">
        <f t="shared" si="37"/>
      </c>
      <c r="CQ287" s="91" t="str">
        <f t="shared" si="37"/>
      </c>
      <c r="CR287" s="91" t="str">
        <f t="shared" si="37"/>
      </c>
      <c r="CS287" s="91" t="str">
        <f t="shared" si="37"/>
      </c>
      <c r="CT287" s="91" t="str">
        <f t="shared" si="37"/>
      </c>
      <c r="CU287" s="91" t="str">
        <f t="shared" si="37"/>
      </c>
      <c r="CV287" s="91" t="str">
        <f t="shared" si="37"/>
      </c>
      <c r="CW287" s="91" t="str">
        <f t="shared" si="37"/>
      </c>
      <c r="CX287" s="91" t="str">
        <f t="shared" si="37"/>
      </c>
      <c r="CY287" s="91" t="str">
        <f t="shared" si="37"/>
      </c>
      <c r="CZ287" s="91" t="str">
        <f t="shared" si="37"/>
      </c>
      <c r="DA287" s="91" t="str">
        <f t="shared" si="37"/>
      </c>
      <c r="DB287" s="91" t="str">
        <f t="shared" si="37"/>
      </c>
      <c r="DC287" s="91" t="str">
        <f t="shared" si="37"/>
      </c>
      <c r="DD287" s="91" t="str">
        <f t="shared" si="37"/>
      </c>
      <c r="DE287" s="91" t="str">
        <f t="shared" si="37"/>
      </c>
      <c r="DF287" s="91" t="str">
        <f t="shared" si="37"/>
      </c>
      <c r="DG287" s="91" t="str">
        <f t="shared" si="37"/>
      </c>
      <c r="DH287" s="91" t="str">
        <f t="shared" si="37"/>
      </c>
      <c r="DI287" s="91" t="str">
        <f t="shared" si="37"/>
      </c>
      <c r="DJ287" s="91" t="str">
        <f t="shared" si="37"/>
      </c>
      <c r="DK287" s="91" t="str">
        <f t="shared" si="37"/>
      </c>
      <c r="DL287" s="91" t="str">
        <f t="shared" si="37"/>
      </c>
      <c r="DM287" s="91" t="str">
        <f t="shared" si="37"/>
      </c>
      <c r="DN287" s="91" t="str">
        <f t="shared" si="37"/>
      </c>
      <c r="DO287" s="91" t="str">
        <f t="shared" si="37"/>
      </c>
      <c r="DP287" s="91" t="str">
        <f t="shared" si="37"/>
      </c>
      <c r="DQ287" s="91" t="str">
        <f t="shared" si="37"/>
      </c>
      <c r="DR287" s="91" t="str">
        <f t="shared" si="37"/>
      </c>
      <c r="DS287" s="91" t="str">
        <f t="shared" si="37"/>
      </c>
      <c r="DT287" s="91" t="str">
        <f t="shared" si="37"/>
      </c>
      <c r="DU287" s="91" t="str">
        <f t="shared" si="37"/>
      </c>
      <c r="DV287" s="91" t="str">
        <f t="shared" si="37"/>
      </c>
      <c r="DW287" s="91" t="str">
        <f t="shared" si="37"/>
      </c>
      <c r="DX287" s="91" t="str">
        <f t="shared" si="37"/>
      </c>
      <c r="DY287" s="91" t="str">
        <f t="shared" si="37"/>
      </c>
      <c r="DZ287" s="91" t="str">
        <f t="shared" si="37"/>
      </c>
      <c r="EA287" s="91" t="str">
        <f t="shared" si="37"/>
      </c>
      <c r="EB287" s="91" t="str">
        <f t="shared" si="37"/>
      </c>
      <c r="EC287" s="91" t="str">
        <f t="shared" si="37"/>
      </c>
      <c r="ED287" s="91" t="str">
        <f t="shared" si="37"/>
      </c>
      <c r="EE287" s="91" t="str">
        <f t="shared" si="37"/>
      </c>
      <c r="EF287" s="91" t="str">
        <f t="shared" si="37"/>
      </c>
      <c r="EG287" s="91" t="str">
        <f t="shared" si="37"/>
      </c>
      <c r="EH287" s="91" t="str">
        <f t="shared" si="37"/>
      </c>
      <c r="EI287" s="91" t="str">
        <f t="shared" si="37"/>
      </c>
      <c r="EJ287" s="91" t="str">
        <f t="shared" si="37"/>
      </c>
      <c r="EK287" s="91" t="str">
        <f t="shared" si="37"/>
      </c>
      <c r="EL287" s="91" t="str">
        <f t="shared" si="37"/>
      </c>
      <c r="EM287" s="91" t="str">
        <f t="shared" si="37"/>
      </c>
      <c r="EN287" s="91" t="str">
        <f t="shared" si="37"/>
      </c>
      <c r="EO287" s="91" t="str">
        <f t="shared" si="37"/>
      </c>
      <c r="EP287" s="91" t="str">
        <f t="shared" si="37"/>
      </c>
      <c r="EQ287" s="91" t="str">
        <f t="shared" si="37"/>
      </c>
      <c r="ER287" s="91" t="str">
        <f t="shared" si="37"/>
      </c>
      <c r="ES287" s="91" t="str">
        <f t="shared" si="37"/>
      </c>
      <c r="ET287" s="91" t="str">
        <f t="shared" si="37"/>
      </c>
      <c r="EU287" s="91" t="str">
        <f t="shared" si="37"/>
      </c>
      <c r="EV287" s="91" t="str">
        <f t="shared" si="37"/>
      </c>
      <c r="EW287" s="91" t="str">
        <f t="shared" si="37"/>
      </c>
      <c r="EX287" s="91" t="str">
        <f t="shared" si="37"/>
      </c>
      <c r="EY287" s="91" t="str">
        <f t="shared" si="37"/>
      </c>
      <c r="EZ287" s="91" t="str">
        <f t="shared" si="37"/>
      </c>
      <c r="FA287" s="91" t="str">
        <f ref="FA287:HL287" t="shared" si="38">IF(SUM(FA268:FA286)&lt;&gt;0,SUM(FA268:FA286),"")</f>
      </c>
      <c r="FB287" s="91" t="str">
        <f t="shared" si="38"/>
      </c>
      <c r="FC287" s="91" t="str">
        <f t="shared" si="38"/>
      </c>
      <c r="FD287" s="91" t="str">
        <f t="shared" si="38"/>
      </c>
      <c r="FE287" s="91" t="str">
        <f t="shared" si="38"/>
      </c>
      <c r="FF287" s="91" t="str">
        <f t="shared" si="38"/>
      </c>
      <c r="FG287" s="91" t="str">
        <f t="shared" si="38"/>
      </c>
      <c r="FH287" s="91" t="str">
        <f t="shared" si="38"/>
      </c>
      <c r="FI287" s="91" t="str">
        <f t="shared" si="38"/>
      </c>
      <c r="FJ287" s="91" t="str">
        <f t="shared" si="38"/>
      </c>
      <c r="FK287" s="91" t="str">
        <f t="shared" si="38"/>
      </c>
      <c r="FL287" s="91" t="str">
        <f t="shared" si="38"/>
      </c>
      <c r="FM287" s="91" t="str">
        <f t="shared" si="38"/>
      </c>
      <c r="FN287" s="91" t="str">
        <f t="shared" si="38"/>
      </c>
      <c r="FO287" s="91" t="str">
        <f t="shared" si="38"/>
      </c>
      <c r="FP287" s="91" t="str">
        <f t="shared" si="38"/>
      </c>
      <c r="FQ287" s="91" t="str">
        <f t="shared" si="38"/>
      </c>
      <c r="FR287" s="91" t="str">
        <f t="shared" si="38"/>
      </c>
      <c r="FS287" s="91" t="str">
        <f t="shared" si="38"/>
      </c>
      <c r="FT287" s="91" t="str">
        <f t="shared" si="38"/>
      </c>
      <c r="FU287" s="91" t="str">
        <f t="shared" si="38"/>
      </c>
      <c r="FV287" s="91" t="str">
        <f t="shared" si="38"/>
      </c>
      <c r="FW287" s="91" t="str">
        <f t="shared" si="38"/>
      </c>
      <c r="FX287" s="91" t="str">
        <f t="shared" si="38"/>
      </c>
      <c r="FY287" s="91" t="str">
        <f t="shared" si="38"/>
      </c>
      <c r="FZ287" s="91" t="str">
        <f t="shared" si="38"/>
      </c>
      <c r="GA287" s="91" t="str">
        <f t="shared" si="38"/>
      </c>
      <c r="GB287" s="91" t="str">
        <f t="shared" si="38"/>
      </c>
      <c r="GC287" s="91" t="str">
        <f t="shared" si="38"/>
      </c>
      <c r="GD287" s="91" t="str">
        <f t="shared" si="38"/>
      </c>
      <c r="GE287" s="91" t="str">
        <f t="shared" si="38"/>
      </c>
      <c r="GF287" s="91" t="str">
        <f t="shared" si="38"/>
      </c>
      <c r="GG287" s="91" t="str">
        <f t="shared" si="38"/>
      </c>
      <c r="GH287" s="91" t="str">
        <f t="shared" si="38"/>
      </c>
      <c r="GI287" s="91" t="str">
        <f t="shared" si="38"/>
      </c>
      <c r="GJ287" s="91" t="str">
        <f t="shared" si="38"/>
      </c>
      <c r="GK287" s="91" t="str">
        <f t="shared" si="38"/>
      </c>
      <c r="GL287" s="91" t="str">
        <f t="shared" si="38"/>
      </c>
      <c r="GM287" s="91" t="str">
        <f t="shared" si="38"/>
      </c>
      <c r="GN287" s="91" t="str">
        <f t="shared" si="38"/>
      </c>
      <c r="GO287" s="91" t="str">
        <f t="shared" si="38"/>
      </c>
      <c r="GP287" s="91" t="str">
        <f t="shared" si="38"/>
      </c>
      <c r="GQ287" s="91" t="str">
        <f t="shared" si="38"/>
      </c>
      <c r="GR287" s="91" t="str">
        <f t="shared" si="38"/>
      </c>
      <c r="GS287" s="91" t="str">
        <f t="shared" si="38"/>
      </c>
      <c r="GT287" s="91" t="str">
        <f t="shared" si="38"/>
      </c>
      <c r="GU287" s="91" t="str">
        <f t="shared" si="38"/>
      </c>
      <c r="GV287" s="91" t="str">
        <f t="shared" si="38"/>
      </c>
      <c r="GW287" s="91" t="str">
        <f t="shared" si="38"/>
      </c>
      <c r="GX287" s="91" t="str">
        <f t="shared" si="38"/>
      </c>
      <c r="GY287" s="91" t="str">
        <f t="shared" si="38"/>
      </c>
      <c r="GZ287" s="91" t="str">
        <f t="shared" si="38"/>
      </c>
      <c r="HA287" s="91" t="str">
        <f t="shared" si="38"/>
      </c>
      <c r="HB287" s="91" t="str">
        <f t="shared" si="38"/>
      </c>
      <c r="HC287" s="91" t="str">
        <f t="shared" si="38"/>
      </c>
      <c r="HD287" s="91" t="str">
        <f t="shared" si="38"/>
      </c>
      <c r="HE287" s="91" t="str">
        <f t="shared" si="38"/>
      </c>
      <c r="HF287" s="91" t="str">
        <f t="shared" si="38"/>
      </c>
      <c r="HG287" s="91" t="str">
        <f t="shared" si="38"/>
      </c>
      <c r="HH287" s="91" t="str">
        <f t="shared" si="38"/>
      </c>
      <c r="HI287" s="91" t="str">
        <f t="shared" si="38"/>
      </c>
      <c r="HJ287" s="91" t="str">
        <f t="shared" si="38"/>
      </c>
      <c r="HK287" s="91" t="str">
        <f t="shared" si="38"/>
      </c>
      <c r="HL287" s="91" t="str">
        <f t="shared" si="38"/>
      </c>
      <c r="HM287" s="91" t="str">
        <f ref="HM287:IV287" t="shared" si="39">IF(SUM(HM268:HM286)&lt;&gt;0,SUM(HM268:HM286),"")</f>
      </c>
      <c r="HN287" s="91" t="str">
        <f t="shared" si="39"/>
      </c>
      <c r="HO287" s="91" t="str">
        <f t="shared" si="39"/>
      </c>
      <c r="HP287" s="91" t="str">
        <f t="shared" si="39"/>
      </c>
      <c r="HQ287" s="91" t="str">
        <f t="shared" si="39"/>
      </c>
      <c r="HR287" s="91" t="str">
        <f t="shared" si="39"/>
      </c>
      <c r="HS287" s="91" t="str">
        <f t="shared" si="39"/>
      </c>
      <c r="HT287" s="91" t="str">
        <f t="shared" si="39"/>
      </c>
      <c r="HU287" s="91" t="str">
        <f t="shared" si="39"/>
      </c>
      <c r="HV287" s="91" t="str">
        <f t="shared" si="39"/>
      </c>
      <c r="HW287" s="91" t="str">
        <f t="shared" si="39"/>
      </c>
      <c r="HX287" s="91" t="str">
        <f t="shared" si="39"/>
      </c>
      <c r="HY287" s="91" t="str">
        <f t="shared" si="39"/>
      </c>
      <c r="HZ287" s="91" t="str">
        <f t="shared" si="39"/>
      </c>
      <c r="IA287" s="91" t="str">
        <f t="shared" si="39"/>
      </c>
      <c r="IB287" s="91" t="str">
        <f t="shared" si="39"/>
      </c>
      <c r="IC287" s="91" t="str">
        <f t="shared" si="39"/>
      </c>
      <c r="ID287" s="91" t="str">
        <f t="shared" si="39"/>
      </c>
      <c r="IE287" s="91" t="str">
        <f t="shared" si="39"/>
      </c>
      <c r="IF287" s="91" t="str">
        <f t="shared" si="39"/>
      </c>
      <c r="IG287" s="91" t="str">
        <f t="shared" si="39"/>
      </c>
      <c r="IH287" s="91" t="str">
        <f t="shared" si="39"/>
      </c>
      <c r="II287" s="91" t="str">
        <f t="shared" si="39"/>
      </c>
      <c r="IJ287" s="91" t="str">
        <f t="shared" si="39"/>
      </c>
      <c r="IK287" s="91" t="str">
        <f t="shared" si="39"/>
      </c>
      <c r="IL287" s="91" t="str">
        <f t="shared" si="39"/>
      </c>
      <c r="IM287" s="91" t="str">
        <f t="shared" si="39"/>
      </c>
      <c r="IN287" s="91" t="str">
        <f t="shared" si="39"/>
      </c>
      <c r="IO287" s="91" t="str">
        <f t="shared" si="39"/>
      </c>
      <c r="IP287" s="91" t="str">
        <f t="shared" si="39"/>
      </c>
      <c r="IQ287" s="91" t="str">
        <f t="shared" si="39"/>
      </c>
      <c r="IR287" s="91" t="str">
        <f t="shared" si="39"/>
      </c>
      <c r="IS287" s="91" t="str">
        <f t="shared" si="39"/>
      </c>
      <c r="IT287" s="91" t="str">
        <f t="shared" si="39"/>
      </c>
      <c r="IU287" s="91" t="str">
        <f t="shared" si="39"/>
      </c>
      <c r="IV287" s="91" t="str">
        <f t="shared" si="39"/>
      </c>
    </row>
    <row r="288" hidden="1" ht="13.5"/>
    <row r="289" hidden="1">
      <c r="B289" s="509" t="s">
        <v>8</v>
      </c>
      <c r="C289" s="505" t="e">
        <f>INDIRECT(ADDRESS(198,MATCH(9000000000+307,'14.1- CONEJOS (CENSO)'!198:198,1),1,,"14.1- CONEJOS (CENSO)"))</f>
        <v>#N/A</v>
      </c>
    </row>
    <row r="290" hidden="1">
      <c r="B290" s="507" t="s">
        <v>9</v>
      </c>
      <c r="C290" s="505" t="e">
        <f>INDIRECT(ADDRESS(199,MATCH(9000000000+307,'14.1- CONEJOS (CENSO)'!199:199,1),1,,"14.1- CONEJOS (CENSO)"))</f>
        <v>#N/A</v>
      </c>
    </row>
    <row r="291" hidden="1">
      <c r="B291" s="507" t="s">
        <v>10</v>
      </c>
      <c r="C291" s="505" t="e">
        <f>INDIRECT(ADDRESS(200,MATCH(9000000000+307,'14.1- CONEJOS (CENSO)'!200:200,1),1,,"14.1- CONEJOS (CENSO)"))</f>
        <v>#N/A</v>
      </c>
    </row>
    <row r="292" hidden="1">
      <c r="B292" s="507" t="s">
        <v>11</v>
      </c>
      <c r="C292" s="505" t="e">
        <f>INDIRECT(ADDRESS(201,MATCH(9000000000+307,'14.1- CONEJOS (CENSO)'!201:201,1),1,,"14.1- CONEJOS (CENSO)"))</f>
        <v>#N/A</v>
      </c>
    </row>
    <row r="293" hidden="1">
      <c r="B293" s="507" t="s">
        <v>12</v>
      </c>
      <c r="C293" s="505" t="e">
        <f>INDIRECT(ADDRESS(202,MATCH(9000000000+307,'14.1- CONEJOS (CENSO)'!202:202,1),1,,"14.1- CONEJOS (CENSO)"))</f>
        <v>#N/A</v>
      </c>
    </row>
    <row r="294" hidden="1">
      <c r="B294" s="507" t="s">
        <v>13</v>
      </c>
      <c r="C294" s="505" t="e">
        <f>INDIRECT(ADDRESS(203,MATCH(9000000000+307,'14.1- CONEJOS (CENSO)'!203:203,1),1,,"14.1- CONEJOS (CENSO)"))</f>
        <v>#N/A</v>
      </c>
    </row>
    <row r="295" hidden="1">
      <c r="B295" s="507" t="s">
        <v>109</v>
      </c>
      <c r="C295" s="505" t="e">
        <f>INDIRECT(ADDRESS(204,MATCH(9000000000+307,'14.1- CONEJOS (CENSO)'!204:204,1),1,,"14.1- CONEJOS (CENSO)"))</f>
        <v>#N/A</v>
      </c>
    </row>
    <row r="296" hidden="1">
      <c r="B296" s="507" t="s">
        <v>110</v>
      </c>
      <c r="C296" s="505" t="e">
        <f>INDIRECT(ADDRESS(205,MATCH(9000000000+307,'14.1- CONEJOS (CENSO)'!205:205,1),1,,"14.1- CONEJOS (CENSO)"))</f>
        <v>#N/A</v>
      </c>
    </row>
    <row r="297" hidden="1">
      <c r="B297" s="507" t="s">
        <v>16</v>
      </c>
      <c r="C297" s="505" t="e">
        <f>INDIRECT(ADDRESS(206,MATCH(9000000000+307,'14.1- CONEJOS (CENSO)'!206:206,1),1,,"14.1- CONEJOS (CENSO)"))</f>
        <v>#N/A</v>
      </c>
    </row>
    <row r="298" hidden="1">
      <c r="B298" s="507" t="s">
        <v>17</v>
      </c>
      <c r="C298" s="505" t="e">
        <f>INDIRECT(ADDRESS(207,MATCH(9000000000+307,'14.1- CONEJOS (CENSO)'!207:207,1),1,,"14.1- CONEJOS (CENSO)"))</f>
        <v>#N/A</v>
      </c>
    </row>
    <row r="299" hidden="1">
      <c r="B299" s="507" t="s">
        <v>18</v>
      </c>
      <c r="C299" s="505" t="e">
        <f>INDIRECT(ADDRESS(208,MATCH(9000000000+307,'14.1- CONEJOS (CENSO)'!208:208,1),1,,"14.1- CONEJOS (CENSO)"))</f>
        <v>#N/A</v>
      </c>
    </row>
    <row r="300" hidden="1">
      <c r="B300" s="507" t="s">
        <v>19</v>
      </c>
      <c r="C300" s="505" t="e">
        <f>INDIRECT(ADDRESS(209,MATCH(9000000000+307,'14.1- CONEJOS (CENSO)'!209:209,1),1,,"14.1- CONEJOS (CENSO)"))</f>
        <v>#N/A</v>
      </c>
    </row>
    <row r="301" hidden="1">
      <c r="B301" s="507" t="s">
        <v>20</v>
      </c>
      <c r="C301" s="505" t="e">
        <f>INDIRECT(ADDRESS(210,MATCH(9000000000+307,'14.1- CONEJOS (CENSO)'!210:210,1),1,,"14.1- CONEJOS (CENSO)"))</f>
        <v>#N/A</v>
      </c>
    </row>
    <row r="302" hidden="1">
      <c r="B302" s="507" t="s">
        <v>21</v>
      </c>
      <c r="C302" s="505" t="e">
        <f>INDIRECT(ADDRESS(211,MATCH(9000000000+307,'14.1- CONEJOS (CENSO)'!211:211,1),1,,"14.1- CONEJOS (CENSO)"))</f>
        <v>#N/A</v>
      </c>
    </row>
    <row r="303" hidden="1">
      <c r="B303" s="507" t="s">
        <v>22</v>
      </c>
      <c r="C303" s="505" t="e">
        <f>INDIRECT(ADDRESS(212,MATCH(9000000000+307,'14.1- CONEJOS (CENSO)'!212:212,1),1,,"14.1- CONEJOS (CENSO)"))</f>
        <v>#N/A</v>
      </c>
    </row>
    <row r="304" hidden="1">
      <c r="B304" s="507" t="s">
        <v>23</v>
      </c>
      <c r="C304" s="505" t="e">
        <f>INDIRECT(ADDRESS(213,MATCH(9000000000+307,'14.1- CONEJOS (CENSO)'!213:213,1),1,,"14.1- CONEJOS (CENSO)"))</f>
        <v>#N/A</v>
      </c>
    </row>
    <row r="305" hidden="1">
      <c r="B305" s="508" t="s">
        <v>24</v>
      </c>
      <c r="C305" s="505" t="e">
        <f>INDIRECT(ADDRESS(214,MATCH(9000000000+307,'14.1- CONEJOS (CENSO)'!214:214,1),1,,"14.1- CONEJOS (CENSO)"))</f>
        <v>#N/A</v>
      </c>
    </row>
    <row r="306" hidden="1">
      <c r="B306" s="507" t="s">
        <v>25</v>
      </c>
      <c r="C306" s="505" t="e">
        <f>INDIRECT(ADDRESS(215,MATCH(9000000000+307,'14.1- CONEJOS (CENSO)'!215:215,1),1,,"14.1- CONEJOS (CENSO)"))</f>
        <v>#N/A</v>
      </c>
    </row>
    <row r="307" hidden="1" ht="13.5">
      <c r="B307" s="506" t="s">
        <v>26</v>
      </c>
      <c r="C307" s="505" t="e">
        <f>INDIRECT(ADDRESS(216,MATCH(9000000000+307,'14.1- CONEJOS (CENSO)'!216:216,1),1,,"14.1- CONEJOS (CENSO)"))</f>
        <v>#N/A</v>
      </c>
    </row>
  </sheetData>
  <sheetProtection sheet="1" autoFilter="0" objects="1" scenarios="1" sort="0" password="ed66"/>
  <mergeCells>
    <mergeCell ref="C150:AB150"/>
    <mergeCell ref="C173:AB173"/>
    <mergeCell ref="C220:AB220"/>
    <mergeCell ref="C243:AB243"/>
    <mergeCell ref="C266:AB266"/>
    <mergeCell ref="C196:AB196"/>
    <mergeCell ref="C104:AB104"/>
    <mergeCell ref="C127:AB127"/>
    <mergeCell ref="C20:M20"/>
    <mergeCell ref="B9:E9"/>
    <mergeCell ref="C14:M14"/>
    <mergeCell ref="C15:M15"/>
    <mergeCell ref="C18:M18"/>
    <mergeCell ref="C22:M22"/>
  </mergeCells>
  <phoneticPr fontId="44" type="noConversion"/>
  <printOptions horizontalCentered="1"/>
  <pageMargins left="0.78740157480314965" right="0.78740157480314965" top="0.98425196850393704" bottom="0.98425196850393704" header="0" footer="0"/>
  <pageSetup paperSize="9" scale="50" orientation="portrait"/>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10593" r:id="rId4" name="Drop Down 1">
              <controlPr defaultSize="0" autoLine="0" autoPict="0">
                <anchor moveWithCells="1">
                  <from>
                    <xdr:col>5</xdr:col>
                    <xdr:colOff>9525</xdr:colOff>
                    <xdr:row>7</xdr:row>
                    <xdr:rowOff>9525</xdr:rowOff>
                  </from>
                  <to>
                    <xdr:col>7</xdr:col>
                    <xdr:colOff>209550</xdr:colOff>
                    <xdr:row>9</xdr:row>
                    <xdr:rowOff>9525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ontainsText" priority="17" operator="containsText" id="{DB9ACAB4-AFA8-4E65-A2AA-AB829820844A}">
            <xm:f>NOT(ISERROR(SEARCH("",AC217)))</xm:f>
            <xm:f>""</xm:f>
            <x14:dxf>
              <numFmt numFmtId="3" formatCode="#,##0"/>
              <border>
                <left style="thin">
                  <color auto="1"/>
                </left>
                <right style="thin">
                  <color auto="1"/>
                </right>
                <top style="thin">
                  <color auto="1"/>
                </top>
                <bottom style="thin">
                  <color auto="1"/>
                </bottom>
                <vertical/>
                <horizontal/>
              </border>
            </x14:dxf>
          </x14:cfRule>
          <xm:sqref>AC217:IV217</xm:sqref>
        </x14:conditionalFormatting>
        <x14:conditionalFormatting xmlns:xm="http://schemas.microsoft.com/office/excel/2006/main">
          <x14:cfRule type="containsText" priority="16" operator="containsText" id="{ECB35A64-EF67-47B1-9725-AAC5DDD92EA1}">
            <xm:f>NOT(ISERROR(SEARCH("",C198)))</xm:f>
            <xm:f>""</xm:f>
            <x14:dxf>
              <numFmt numFmtId="3" formatCode="#,##0"/>
              <border>
                <right style="thin">
                  <color auto="1"/>
                </right>
                <top style="thin">
                  <color auto="1"/>
                </top>
                <bottom style="thin">
                  <color auto="1"/>
                </bottom>
                <vertical/>
                <horizontal/>
              </border>
            </x14:dxf>
          </x14:cfRule>
          <xm:sqref>C198:IV216</xm:sqref>
        </x14:conditionalFormatting>
        <x14:conditionalFormatting xmlns:xm="http://schemas.microsoft.com/office/excel/2006/main">
          <x14:cfRule type="containsText" priority="19" operator="containsText" id="{4D6BE978-CCC4-45D2-8901-E1E0F072459D}">
            <xm:f>NOT(ISERROR(SEARCH("",AD174)))</xm:f>
            <xm:f>""</xm:f>
            <x14:dxf>
              <numFmt numFmtId="3" formatCode="#,##0"/>
              <border>
                <left style="thin">
                  <color auto="1"/>
                </left>
                <right style="thin">
                  <color auto="1"/>
                </right>
                <top style="thin">
                  <color auto="1"/>
                </top>
                <bottom style="thin">
                  <color auto="1"/>
                </bottom>
                <vertical/>
                <horizontal/>
              </border>
            </x14:dxf>
          </x14:cfRule>
          <xm:sqref>AD174:AG174 AI174:AL174 AN174:AQ174 AS174:AV174 AX174:BA174 BC174:BF174 BH174:BK174 BM174:BP174 BR174:BU174 BW174:BZ174 CB174:CE174 CG174:CJ174 CL174:CO174 CQ174:CT174 CV174:CY174 DA174:DD174 DF174:DI174 DK174:DN174 DP174:DS174 DU174:DX174 DZ174:EC174 EE174:EH174 EJ174:EM174 EO174:ER174 ET174:EW174 EY174:FB174 FD174:FG174 FI174:FL174 FN174:FQ174 FS174:FV174 FX174:GA174 GC174:GF174 GH174:GK174 GM174:GP174 GR174:GU174 GW174:GZ174 HB174:HE174 HG174:HJ174 HL174:HO174 HQ174:HT174 HV174:HY174 IA174:ID174 IF174:II174 IK174:IN174 IP174:IS174 IU174:IV174</xm:sqref>
        </x14:conditionalFormatting>
        <x14:conditionalFormatting xmlns:xm="http://schemas.microsoft.com/office/excel/2006/main">
          <x14:cfRule type="containsText" priority="21" operator="containsText" id="{E2F01B36-7ABB-410A-AA10-E28C8273E784}">
            <xm:f>NOT(ISERROR(SEARCH("",AC194)))</xm:f>
            <xm:f>""</xm:f>
            <x14:dxf>
              <numFmt numFmtId="3" formatCode="#,##0"/>
              <border>
                <left style="thin">
                  <color auto="1"/>
                </left>
                <right style="thin">
                  <color auto="1"/>
                </right>
                <top style="thin">
                  <color auto="1"/>
                </top>
                <bottom style="thin">
                  <color auto="1"/>
                </bottom>
                <vertical/>
                <horizontal/>
              </border>
            </x14:dxf>
          </x14:cfRule>
          <xm:sqref>AC194:IV194</xm:sqref>
        </x14:conditionalFormatting>
        <x14:conditionalFormatting xmlns:xm="http://schemas.microsoft.com/office/excel/2006/main">
          <x14:cfRule type="containsText" priority="20" operator="containsText" id="{374E1CDE-02F0-41F6-A68A-67B1A15C43E2}">
            <xm:f>NOT(ISERROR(SEARCH("",C175)))</xm:f>
            <xm:f>""</xm:f>
            <x14:dxf>
              <numFmt numFmtId="3" formatCode="#,##0"/>
              <border>
                <right style="thin">
                  <color auto="1"/>
                </right>
                <top style="thin">
                  <color auto="1"/>
                </top>
                <bottom style="thin">
                  <color auto="1"/>
                </bottom>
                <vertical/>
                <horizontal/>
              </border>
            </x14:dxf>
          </x14:cfRule>
          <xm:sqref>C175:IV193</xm:sqref>
        </x14:conditionalFormatting>
        <x14:conditionalFormatting xmlns:xm="http://schemas.microsoft.com/office/excel/2006/main">
          <x14:cfRule type="containsText" priority="23" operator="containsText" id="{CB9B8EFA-A62B-4AFB-ABDA-34A928C1CA15}">
            <xm:f>NOT(ISERROR(SEARCH("",AD151)))</xm:f>
            <xm:f>""</xm:f>
            <x14:dxf>
              <numFmt numFmtId="3" formatCode="#,##0"/>
              <border>
                <left style="thin">
                  <color auto="1"/>
                </left>
                <right style="thin">
                  <color auto="1"/>
                </right>
                <top style="thin">
                  <color auto="1"/>
                </top>
                <bottom style="thin">
                  <color auto="1"/>
                </bottom>
                <vertical/>
                <horizontal/>
              </border>
            </x14:dxf>
          </x14:cfRule>
          <xm:sqref>AD151:AG151 AI151:AL151 AN151:AQ151 AS151:AV151 AX151:BA151 BC151:BF151 BH151:BK151 BM151:BP151 BR151:BU151 BW151:BZ151 CB151:CE151 CG151:CJ151 CL151:CO151 CQ151:CT151 CV151:CY151 DA151:DD151 DF151:DI151 DK151:DN151 DP151:DS151 DU151:DX151 DZ151:EC151 EE151:EH151 EJ151:EM151 EO151:ER151 ET151:EW151 EY151:FB151 FD151:FG151 FI151:FL151 FN151:FQ151 FS151:FV151 FX151:GA151 GC151:GF151 GH151:GK151 GM151:GP151 GR151:GU151 GW151:GZ151 HB151:HE151 HG151:HJ151 HL151:HO151 HQ151:HT151 HV151:HY151 IA151:ID151 IF151:II151 IK151:IN151 IP151:IS151 IU151:IV151</xm:sqref>
        </x14:conditionalFormatting>
        <x14:conditionalFormatting xmlns:xm="http://schemas.microsoft.com/office/excel/2006/main">
          <x14:cfRule type="containsText" priority="25" operator="containsText" id="{C2A9E72E-40DF-4855-ADF7-127CB8C0F29A}">
            <xm:f>NOT(ISERROR(SEARCH("",AC171)))</xm:f>
            <xm:f>""</xm:f>
            <x14:dxf>
              <numFmt numFmtId="3" formatCode="#,##0"/>
              <border>
                <left style="thin">
                  <color auto="1"/>
                </left>
                <right style="thin">
                  <color auto="1"/>
                </right>
                <top style="thin">
                  <color auto="1"/>
                </top>
                <bottom style="thin">
                  <color auto="1"/>
                </bottom>
                <vertical/>
                <horizontal/>
              </border>
            </x14:dxf>
          </x14:cfRule>
          <xm:sqref>AC171:IV171</xm:sqref>
        </x14:conditionalFormatting>
        <x14:conditionalFormatting xmlns:xm="http://schemas.microsoft.com/office/excel/2006/main">
          <x14:cfRule type="containsText" priority="24" operator="containsText" id="{9B323CAA-7F16-4142-9E28-C0327F1C9CE6}">
            <xm:f>NOT(ISERROR(SEARCH("",C152)))</xm:f>
            <xm:f>""</xm:f>
            <x14:dxf>
              <numFmt numFmtId="3" formatCode="#,##0"/>
              <border>
                <right style="thin">
                  <color auto="1"/>
                </right>
                <top style="thin">
                  <color auto="1"/>
                </top>
                <bottom style="thin">
                  <color auto="1"/>
                </bottom>
                <vertical/>
                <horizontal/>
              </border>
            </x14:dxf>
          </x14:cfRule>
          <xm:sqref>C152:IV170</xm:sqref>
        </x14:conditionalFormatting>
        <x14:conditionalFormatting xmlns:xm="http://schemas.microsoft.com/office/excel/2006/main">
          <x14:cfRule type="containsText" priority="27" operator="containsText" id="{A1AE9A00-9BCA-47B3-B969-41FAC6F45C48}">
            <xm:f>NOT(ISERROR(SEARCH("",AD128)))</xm:f>
            <xm:f>""</xm:f>
            <x14:dxf>
              <numFmt numFmtId="3" formatCode="#,##0"/>
              <border>
                <left style="thin">
                  <color auto="1"/>
                </left>
                <right style="thin">
                  <color auto="1"/>
                </right>
                <top style="thin">
                  <color auto="1"/>
                </top>
                <bottom style="thin">
                  <color auto="1"/>
                </bottom>
                <vertical/>
                <horizontal/>
              </border>
            </x14:dxf>
          </x14:cfRule>
          <xm:sqref>AD128:AG128 AI128:AL128 AN128:AQ128 AS128:AV128 AX128:BA128 BC128:BF128 BH128:BK128 BM128:BP128 BR128:BU128 BW128:BZ128 CB128:CE128 CG128:CJ128 CL128:CO128 CQ128:CT128 CV128:CY128 DA128:DD128 DF128:DI128 DK128:DN128 DP128:DS128 DU128:DX128 DZ128:EC128 EE128:EH128 EJ128:EM128 EO128:ER128 ET128:EW128 EY128:FB128 FD128:FG128 FI128:FL128 FN128:FQ128 FS128:FV128 FX128:GA128 GC128:GF128 GH128:GK128 GM128:GP128 GR128:GU128 GW128:GZ128 HB128:HE128 HG128:HJ128 HL128:HO128 HQ128:HT128 HV128:HY128 IA128:ID128 IF128:II128 IK128:IN128 IP128:IS128 IU128:IV128</xm:sqref>
        </x14:conditionalFormatting>
        <x14:conditionalFormatting xmlns:xm="http://schemas.microsoft.com/office/excel/2006/main">
          <x14:cfRule type="containsText" priority="29" operator="containsText" id="{7D74D7F5-2477-4870-B5B4-291AB3FC4280}">
            <xm:f>NOT(ISERROR(SEARCH("",AC148)))</xm:f>
            <xm:f>""</xm:f>
            <x14:dxf>
              <numFmt numFmtId="3" formatCode="#,##0"/>
              <border>
                <left style="thin">
                  <color auto="1"/>
                </left>
                <right style="thin">
                  <color auto="1"/>
                </right>
                <top style="thin">
                  <color auto="1"/>
                </top>
                <bottom style="thin">
                  <color auto="1"/>
                </bottom>
                <vertical/>
                <horizontal/>
              </border>
            </x14:dxf>
          </x14:cfRule>
          <xm:sqref>AC148:IV148</xm:sqref>
        </x14:conditionalFormatting>
        <x14:conditionalFormatting xmlns:xm="http://schemas.microsoft.com/office/excel/2006/main">
          <x14:cfRule type="containsText" priority="28" operator="containsText" id="{D282964C-8D9A-44B6-824F-60D22532DFBA}">
            <xm:f>NOT(ISERROR(SEARCH("",C129)))</xm:f>
            <xm:f>""</xm:f>
            <x14:dxf>
              <numFmt numFmtId="3" formatCode="#,##0"/>
              <border>
                <right style="thin">
                  <color auto="1"/>
                </right>
                <top style="thin">
                  <color auto="1"/>
                </top>
                <bottom style="thin">
                  <color auto="1"/>
                </bottom>
                <vertical/>
                <horizontal/>
              </border>
            </x14:dxf>
          </x14:cfRule>
          <xm:sqref>C129:IV147</xm:sqref>
        </x14:conditionalFormatting>
        <x14:conditionalFormatting xmlns:xm="http://schemas.microsoft.com/office/excel/2006/main">
          <x14:cfRule type="containsText" priority="31" operator="containsText" id="{D1EBB9D5-413F-4BE0-BED3-EF5D7D086E5A}">
            <xm:f>NOT(ISERROR(SEARCH("",AD105)))</xm:f>
            <xm:f>""</xm:f>
            <x14:dxf>
              <numFmt numFmtId="3" formatCode="#,##0"/>
              <border>
                <left style="thin">
                  <color auto="1"/>
                </left>
                <right style="thin">
                  <color auto="1"/>
                </right>
                <top style="thin">
                  <color auto="1"/>
                </top>
                <bottom style="thin">
                  <color auto="1"/>
                </bottom>
                <vertical/>
                <horizontal/>
              </border>
            </x14:dxf>
          </x14:cfRule>
          <xm:sqref>AD105:AG105 AI105:AL105 AN105:AQ105 AS105:AV105 AX105:BA105 BC105:BF105 BH105:BK105 BM105:BP105 BR105:BU105 BW105:BZ105 CB105:CE105 CG105:CJ105 CL105:CO105 CQ105:CT105 CV105:CY105 DA105:DD105 DF105:DI105 DK105:DN105 DP105:DS105 DU105:DX105 DZ105:EC105 EE105:EH105 EJ105:EM105 EO105:ER105 ET105:EW105 EY105:FB105 FD105:FG105 FI105:FL105 FN105:FQ105 FS105:FV105 FX105:GA105 GC105:GF105 GH105:GK105 GM105:GP105 GR105:GU105 GW105:GZ105 HB105:HE105 HG105:HJ105 HL105:HO105 HQ105:HT105 HV105:HY105 IA105:ID105 IF105:II105 IK105:IN105 IP105:IS105 IU105:IV105</xm:sqref>
        </x14:conditionalFormatting>
        <x14:conditionalFormatting xmlns:xm="http://schemas.microsoft.com/office/excel/2006/main">
          <x14:cfRule type="containsText" priority="33" operator="containsText" id="{E15EFEC5-52AD-4D30-B35E-36E4E43D0C51}">
            <xm:f>NOT(ISERROR(SEARCH("",AC125)))</xm:f>
            <xm:f>""</xm:f>
            <x14:dxf>
              <numFmt numFmtId="3" formatCode="#,##0"/>
              <border>
                <left style="thin">
                  <color auto="1"/>
                </left>
                <right style="thin">
                  <color auto="1"/>
                </right>
                <top style="thin">
                  <color auto="1"/>
                </top>
                <bottom style="thin">
                  <color auto="1"/>
                </bottom>
                <vertical/>
                <horizontal/>
              </border>
            </x14:dxf>
          </x14:cfRule>
          <xm:sqref>AC125:IV125</xm:sqref>
        </x14:conditionalFormatting>
        <x14:conditionalFormatting xmlns:xm="http://schemas.microsoft.com/office/excel/2006/main">
          <x14:cfRule type="containsText" priority="32" operator="containsText" id="{FA0BECAF-9F4E-4E6B-A267-6C7FDE5D1296}">
            <xm:f>NOT(ISERROR(SEARCH("",C106)))</xm:f>
            <xm:f>""</xm:f>
            <x14:dxf>
              <numFmt numFmtId="3" formatCode="#,##0"/>
              <border>
                <right style="thin">
                  <color auto="1"/>
                </right>
                <top style="thin">
                  <color auto="1"/>
                </top>
                <bottom style="thin">
                  <color auto="1"/>
                </bottom>
                <vertical/>
                <horizontal/>
              </border>
            </x14:dxf>
          </x14:cfRule>
          <xm:sqref>C106:IV124</xm:sqref>
        </x14:conditionalFormatting>
        <x14:conditionalFormatting xmlns:xm="http://schemas.microsoft.com/office/excel/2006/main">
          <x14:cfRule type="containsText" priority="30" operator="containsText" id="{8F7E4148-F8A6-4A70-961E-5B75328AA98F}">
            <xm:f>NOT(ISERROR(SEARCH("",AC105)))</xm:f>
            <xm:f>""</xm:f>
            <x14:dxf>
              <numFmt numFmtId="3" formatCode="#,##0"/>
              <border>
                <left style="thin">
                  <color auto="1"/>
                </left>
                <right style="thin">
                  <color auto="1"/>
                </right>
                <top style="thin">
                  <color auto="1"/>
                </top>
                <bottom style="thin">
                  <color auto="1"/>
                </bottom>
                <vertical/>
                <horizontal/>
              </border>
            </x14:dxf>
          </x14:cfRule>
          <xm:sqref>AC105 AH105 AM105 AR105 AW105 BB105 BG105 BL105 BQ105 BV105 CA105 CF105 CK105 CP105 CU105 CZ105 DE105 DJ105 DO105 DT105 DY105 ED105 EI105 EN105 ES105 EX105 FC105 FH105 FM105 FR105 FW105 GB105 GG105 GL105 GQ105 GV105 HA105 HF105 HK105 HP105 HU105 HZ105 IE105 IJ105 IO105 IT105</xm:sqref>
        </x14:conditionalFormatting>
        <x14:conditionalFormatting xmlns:xm="http://schemas.microsoft.com/office/excel/2006/main">
          <x14:cfRule type="containsText" priority="26" operator="containsText" id="{D2FAB301-AEC5-4827-96F5-DC4D802846F2}">
            <xm:f>NOT(ISERROR(SEARCH("",AC128)))</xm:f>
            <xm:f>""</xm:f>
            <x14:dxf>
              <numFmt numFmtId="3" formatCode="#,##0"/>
              <border>
                <left style="thin">
                  <color auto="1"/>
                </left>
                <right style="thin">
                  <color auto="1"/>
                </right>
                <top style="thin">
                  <color auto="1"/>
                </top>
                <bottom style="thin">
                  <color auto="1"/>
                </bottom>
                <vertical/>
                <horizontal/>
              </border>
            </x14:dxf>
          </x14:cfRule>
          <xm:sqref>AC128 AH128 AM128 AR128 AW128 BB128 BG128 BL128 BQ128 BV128 CA128 CF128 CK128 CP128 CU128 CZ128 DE128 DJ128 DO128 DT128 DY128 ED128 EI128 EN128 ES128 EX128 FC128 FH128 FM128 FR128 FW128 GB128 GG128 GL128 GQ128 GV128 HA128 HF128 HK128 HP128 HU128 HZ128 IE128 IJ128 IO128 IT128</xm:sqref>
        </x14:conditionalFormatting>
        <x14:conditionalFormatting xmlns:xm="http://schemas.microsoft.com/office/excel/2006/main">
          <x14:cfRule type="containsText" priority="22" operator="containsText" id="{29E9B7AA-B2A0-4432-AB4A-76B7E289E57D}">
            <xm:f>NOT(ISERROR(SEARCH("",AC151)))</xm:f>
            <xm:f>""</xm:f>
            <x14:dxf>
              <numFmt numFmtId="3" formatCode="#,##0"/>
              <border>
                <left style="thin">
                  <color auto="1"/>
                </left>
                <right style="thin">
                  <color auto="1"/>
                </right>
                <top style="thin">
                  <color auto="1"/>
                </top>
                <bottom style="thin">
                  <color auto="1"/>
                </bottom>
                <vertical/>
                <horizontal/>
              </border>
            </x14:dxf>
          </x14:cfRule>
          <xm:sqref>AC151 AH151 AM151 AR151 AW151 BB151 BG151 BL151 BQ151 BV151 CA151 CF151 CK151 CP151 CU151 CZ151 DE151 DJ151 DO151 DT151 DY151 ED151 EI151 EN151 ES151 EX151 FC151 FH151 FM151 FR151 FW151 GB151 GG151 GL151 GQ151 GV151 HA151 HF151 HK151 HP151 HU151 HZ151 IE151 IJ151 IO151 IT151</xm:sqref>
        </x14:conditionalFormatting>
        <x14:conditionalFormatting xmlns:xm="http://schemas.microsoft.com/office/excel/2006/main">
          <x14:cfRule type="containsText" priority="18" operator="containsText" id="{F89C445E-473E-4B5F-A794-572682BE737B}">
            <xm:f>NOT(ISERROR(SEARCH("",AC174)))</xm:f>
            <xm:f>""</xm:f>
            <x14:dxf>
              <numFmt numFmtId="3" formatCode="#,##0"/>
              <border>
                <left style="thin">
                  <color auto="1"/>
                </left>
                <right style="thin">
                  <color auto="1"/>
                </right>
                <top style="thin">
                  <color auto="1"/>
                </top>
                <bottom style="thin">
                  <color auto="1"/>
                </bottom>
                <vertical/>
                <horizontal/>
              </border>
            </x14:dxf>
          </x14:cfRule>
          <xm:sqref>AC174 AH174 AM174 AR174 AW174 BB174 BG174 BL174 BQ174 BV174 CA174 CF174 CK174 CP174 CU174 CZ174 DE174 DJ174 DO174 DT174 DY174 ED174 EI174 EN174 ES174 EX174 FC174 FH174 FM174 FR174 FW174 GB174 GG174 GL174 GQ174 GV174 HA174 HF174 HK174 HP174 HU174 HZ174 IE174 IJ174 IO174 IT174</xm:sqref>
        </x14:conditionalFormatting>
        <x14:conditionalFormatting xmlns:xm="http://schemas.microsoft.com/office/excel/2006/main">
          <x14:cfRule type="containsText" priority="15" operator="containsText" id="{178D3E03-1C2B-4667-882A-3A8378C7DE45}">
            <xm:f>NOT(ISERROR(SEARCH("",AD197)))</xm:f>
            <xm:f>""</xm:f>
            <x14:dxf>
              <numFmt numFmtId="3" formatCode="#,##0"/>
              <border>
                <left style="thin">
                  <color auto="1"/>
                </left>
                <right style="thin">
                  <color auto="1"/>
                </right>
                <top style="thin">
                  <color auto="1"/>
                </top>
                <bottom style="thin">
                  <color auto="1"/>
                </bottom>
                <vertical/>
                <horizontal/>
              </border>
            </x14:dxf>
          </x14:cfRule>
          <xm:sqref>AD197:AG197 AI197:AL197 AN197:AQ197 AS197:AV197 AX197:BA197 BC197:BF197 BH197:BK197 BM197:BP197 BR197:BU197 BW197:BZ197 CB197:CE197 CG197:CJ197 CL197:CO197 CQ197:CT197 CV197:CY197 DA197:DD197 DF197:DI197 DK197:DN197 DP197:DS197 DU197:DX197 DZ197:EC197 EE197:EH197 EJ197:EM197 EO197:ER197 ET197:EW197 EY197:FB197 FD197:FG197 FI197:FL197 FN197:FQ197 FS197:FV197 FX197:GA197 GC197:GF197 GH197:GK197 GM197:GP197 GR197:GU197 GW197:GZ197 HB197:HE197 HG197:HJ197 HL197:HO197 HQ197:HT197 HV197:HY197 IA197:ID197 IF197:II197 IK197:IN197 IP197:IS197 IU197:IV197</xm:sqref>
        </x14:conditionalFormatting>
        <x14:conditionalFormatting xmlns:xm="http://schemas.microsoft.com/office/excel/2006/main">
          <x14:cfRule type="containsText" priority="14" operator="containsText" id="{F64F15E0-A852-44C7-8578-A0E250D044DF}">
            <xm:f>NOT(ISERROR(SEARCH("",AC197)))</xm:f>
            <xm:f>""</xm:f>
            <x14:dxf>
              <numFmt numFmtId="3" formatCode="#,##0"/>
              <border>
                <left style="thin">
                  <color auto="1"/>
                </left>
                <right style="thin">
                  <color auto="1"/>
                </right>
                <top style="thin">
                  <color auto="1"/>
                </top>
                <bottom style="thin">
                  <color auto="1"/>
                </bottom>
                <vertical/>
                <horizontal/>
              </border>
            </x14:dxf>
          </x14:cfRule>
          <xm:sqref>AC197 AH197 AM197 AR197 AW197 BB197 BG197 BL197 BQ197 BV197 CA197 CF197 CK197 CP197 CU197 CZ197 DE197 DJ197 DO197 DT197 DY197 ED197 EI197 EN197 ES197 EX197 FC197 FH197 FM197 FR197 FW197 GB197 GG197 GL197 GQ197 GV197 HA197 HF197 HK197 HP197 HU197 HZ197 IE197 IJ197 IO197 IT197</xm:sqref>
        </x14:conditionalFormatting>
        <x14:conditionalFormatting xmlns:xm="http://schemas.microsoft.com/office/excel/2006/main">
          <x14:cfRule type="containsText" priority="13" operator="containsText" id="{D92FD873-655C-48B8-A416-0F28ED3FD1BC}">
            <xm:f>NOT(ISERROR(SEARCH("",AC241)))</xm:f>
            <xm:f>""</xm:f>
            <x14:dxf>
              <numFmt numFmtId="3" formatCode="#,##0"/>
              <border>
                <left style="thin">
                  <color auto="1"/>
                </left>
                <right style="thin">
                  <color auto="1"/>
                </right>
                <top style="thin">
                  <color auto="1"/>
                </top>
                <bottom style="thin">
                  <color auto="1"/>
                </bottom>
                <vertical/>
                <horizontal/>
              </border>
            </x14:dxf>
          </x14:cfRule>
          <xm:sqref>AC241:IV241</xm:sqref>
        </x14:conditionalFormatting>
        <x14:conditionalFormatting xmlns:xm="http://schemas.microsoft.com/office/excel/2006/main">
          <x14:cfRule type="containsText" priority="12" operator="containsText" id="{80C0CD22-978C-49C1-95B7-16202F49EA67}">
            <xm:f>NOT(ISERROR(SEARCH("",C222)))</xm:f>
            <xm:f>""</xm:f>
            <x14:dxf>
              <numFmt numFmtId="3" formatCode="#,##0"/>
              <border>
                <right style="thin">
                  <color auto="1"/>
                </right>
                <top style="thin">
                  <color auto="1"/>
                </top>
                <bottom style="thin">
                  <color auto="1"/>
                </bottom>
                <vertical/>
                <horizontal/>
              </border>
            </x14:dxf>
          </x14:cfRule>
          <xm:sqref>C222:IV240</xm:sqref>
        </x14:conditionalFormatting>
        <x14:conditionalFormatting xmlns:xm="http://schemas.microsoft.com/office/excel/2006/main">
          <x14:cfRule type="containsText" priority="11" operator="containsText" id="{4989FB42-0696-4AB4-8927-07E7C33CC97F}">
            <xm:f>NOT(ISERROR(SEARCH("",AD221)))</xm:f>
            <xm:f>""</xm:f>
            <x14:dxf>
              <numFmt numFmtId="3" formatCode="#,##0"/>
              <border>
                <left style="thin">
                  <color auto="1"/>
                </left>
                <right style="thin">
                  <color auto="1"/>
                </right>
                <top style="thin">
                  <color auto="1"/>
                </top>
                <bottom style="thin">
                  <color auto="1"/>
                </bottom>
                <vertical/>
                <horizontal/>
              </border>
            </x14:dxf>
          </x14:cfRule>
          <xm:sqref>AD221:AG221 AI221:AL221 AN221:AQ221 AS221:AV221 AX221:BA221 BC221:BF221 BH221:BK221 BM221:BP221 BR221:BU221 BW221:BZ221 CB221:CE221 CG221:CJ221 CL221:CO221 CQ221:CT221 CV221:CY221 DA221:DD221 DF221:DI221 DK221:DN221 DP221:DS221 DU221:DX221 DZ221:EC221 EE221:EH221 EJ221:EM221 EO221:ER221 ET221:EW221 EY221:FB221 FD221:FG221 FI221:FL221 FN221:FQ221 FS221:FV221 FX221:GA221 GC221:GF221 GH221:GK221 GM221:GP221 GR221:GU221 GW221:GZ221 HB221:HE221 HG221:HJ221 HL221:HO221 HQ221:HT221 HV221:HY221 IA221:ID221 IF221:II221 IK221:IN221 IP221:IS221 IU221:IV221</xm:sqref>
        </x14:conditionalFormatting>
        <x14:conditionalFormatting xmlns:xm="http://schemas.microsoft.com/office/excel/2006/main">
          <x14:cfRule type="containsText" priority="10" operator="containsText" id="{0BDF1D6E-F1B7-48C5-9331-6F6FA13641C3}">
            <xm:f>NOT(ISERROR(SEARCH("",AC221)))</xm:f>
            <xm:f>""</xm:f>
            <x14:dxf>
              <numFmt numFmtId="3" formatCode="#,##0"/>
              <border>
                <left style="thin">
                  <color auto="1"/>
                </left>
                <right style="thin">
                  <color auto="1"/>
                </right>
                <top style="thin">
                  <color auto="1"/>
                </top>
                <bottom style="thin">
                  <color auto="1"/>
                </bottom>
                <vertical/>
                <horizontal/>
              </border>
            </x14:dxf>
          </x14:cfRule>
          <xm:sqref>AC221 AH221 AM221 AR221 AW221 BB221 BG221 BL221 BQ221 BV221 CA221 CF221 CK221 CP221 CU221 CZ221 DE221 DJ221 DO221 DT221 DY221 ED221 EI221 EN221 ES221 EX221 FC221 FH221 FM221 FR221 FW221 GB221 GG221 GL221 GQ221 GV221 HA221 HF221 HK221 HP221 HU221 HZ221 IE221 IJ221 IO221 IT221</xm:sqref>
        </x14:conditionalFormatting>
        <x14:conditionalFormatting xmlns:xm="http://schemas.microsoft.com/office/excel/2006/main">
          <x14:cfRule type="containsText" priority="9" operator="containsText" id="{805BA83A-7089-439D-A920-1A485CD7AD41}">
            <xm:f>NOT(ISERROR(SEARCH("",AC264)))</xm:f>
            <xm:f>""</xm:f>
            <x14:dxf>
              <numFmt numFmtId="3" formatCode="#,##0"/>
              <border>
                <left style="thin">
                  <color auto="1"/>
                </left>
                <right style="thin">
                  <color auto="1"/>
                </right>
                <top style="thin">
                  <color auto="1"/>
                </top>
                <bottom style="thin">
                  <color auto="1"/>
                </bottom>
                <vertical/>
                <horizontal/>
              </border>
            </x14:dxf>
          </x14:cfRule>
          <xm:sqref>AC264:IV264</xm:sqref>
        </x14:conditionalFormatting>
        <x14:conditionalFormatting xmlns:xm="http://schemas.microsoft.com/office/excel/2006/main">
          <x14:cfRule type="containsText" priority="8" operator="containsText" id="{DB27E812-14D6-49ED-845A-23F8D1D84060}">
            <xm:f>NOT(ISERROR(SEARCH("",C245)))</xm:f>
            <xm:f>""</xm:f>
            <x14:dxf>
              <numFmt numFmtId="3" formatCode="#,##0"/>
              <border>
                <right style="thin">
                  <color auto="1"/>
                </right>
                <top style="thin">
                  <color auto="1"/>
                </top>
                <bottom style="thin">
                  <color auto="1"/>
                </bottom>
                <vertical/>
                <horizontal/>
              </border>
            </x14:dxf>
          </x14:cfRule>
          <xm:sqref>C245:IV263</xm:sqref>
        </x14:conditionalFormatting>
        <x14:conditionalFormatting xmlns:xm="http://schemas.microsoft.com/office/excel/2006/main">
          <x14:cfRule type="containsText" priority="7" operator="containsText" id="{88F60040-12B5-4877-9664-868A88A0584E}">
            <xm:f>NOT(ISERROR(SEARCH("",AD244)))</xm:f>
            <xm:f>""</xm:f>
            <x14:dxf>
              <numFmt numFmtId="3" formatCode="#,##0"/>
              <border>
                <left style="thin">
                  <color auto="1"/>
                </left>
                <right style="thin">
                  <color auto="1"/>
                </right>
                <top style="thin">
                  <color auto="1"/>
                </top>
                <bottom style="thin">
                  <color auto="1"/>
                </bottom>
                <vertical/>
                <horizontal/>
              </border>
            </x14:dxf>
          </x14:cfRule>
          <xm:sqref>AD244:AG244 AI244:AL244 AN244:AQ244 AS244:AV244 AX244:BA244 BC244:BF244 BH244:BK244 BM244:BP244 BR244:BU244 BW244:BZ244 CB244:CE244 CG244:CJ244 CL244:CO244 CQ244:CT244 CV244:CY244 DA244:DD244 DF244:DI244 DK244:DN244 DP244:DS244 DU244:DX244 DZ244:EC244 EE244:EH244 EJ244:EM244 EO244:ER244 ET244:EW244 EY244:FB244 FD244:FG244 FI244:FL244 FN244:FQ244 FS244:FV244 FX244:GA244 GC244:GF244 GH244:GK244 GM244:GP244 GR244:GU244 GW244:GZ244 HB244:HE244 HG244:HJ244 HL244:HO244 HQ244:HT244 HV244:HY244 IA244:ID244 IF244:II244 IK244:IN244 IP244:IS244 IU244:IV244</xm:sqref>
        </x14:conditionalFormatting>
        <x14:conditionalFormatting xmlns:xm="http://schemas.microsoft.com/office/excel/2006/main">
          <x14:cfRule type="containsText" priority="6" operator="containsText" id="{9B9E17B8-32E6-48F7-8F40-CF0768656314}">
            <xm:f>NOT(ISERROR(SEARCH("",AC244)))</xm:f>
            <xm:f>""</xm:f>
            <x14:dxf>
              <numFmt numFmtId="3" formatCode="#,##0"/>
              <border>
                <left style="thin">
                  <color auto="1"/>
                </left>
                <right style="thin">
                  <color auto="1"/>
                </right>
                <top style="thin">
                  <color auto="1"/>
                </top>
                <bottom style="thin">
                  <color auto="1"/>
                </bottom>
                <vertical/>
                <horizontal/>
              </border>
            </x14:dxf>
          </x14:cfRule>
          <xm:sqref>AC244 AH244 AM244 AR244 AW244 BB244 BG244 BL244 BQ244 BV244 CA244 CF244 CK244 CP244 CU244 CZ244 DE244 DJ244 DO244 DT244 DY244 ED244 EI244 EN244 ES244 EX244 FC244 FH244 FM244 FR244 FW244 GB244 GG244 GL244 GQ244 GV244 HA244 HF244 HK244 HP244 HU244 HZ244 IE244 IJ244 IO244 IT244</xm:sqref>
        </x14:conditionalFormatting>
        <x14:conditionalFormatting xmlns:xm="http://schemas.microsoft.com/office/excel/2006/main">
          <x14:cfRule type="containsText" priority="5" operator="containsText" id="{55F9CC9A-B3F5-4094-86AD-CCB525DE0419}">
            <xm:f>NOT(ISERROR(SEARCH("",AC287)))</xm:f>
            <xm:f>""</xm:f>
            <x14:dxf>
              <numFmt numFmtId="3" formatCode="#,##0"/>
              <border>
                <left style="thin">
                  <color auto="1"/>
                </left>
                <right style="thin">
                  <color auto="1"/>
                </right>
                <top style="thin">
                  <color auto="1"/>
                </top>
                <bottom style="thin">
                  <color auto="1"/>
                </bottom>
                <vertical/>
                <horizontal/>
              </border>
            </x14:dxf>
          </x14:cfRule>
          <xm:sqref>AC287:IV287</xm:sqref>
        </x14:conditionalFormatting>
        <x14:conditionalFormatting xmlns:xm="http://schemas.microsoft.com/office/excel/2006/main">
          <x14:cfRule type="containsText" priority="4" operator="containsText" id="{4575BE9E-FC7D-4209-972A-85F79BDA33C2}">
            <xm:f>NOT(ISERROR(SEARCH("",C268)))</xm:f>
            <xm:f>""</xm:f>
            <x14:dxf>
              <numFmt numFmtId="3" formatCode="#,##0"/>
              <border>
                <right style="thin">
                  <color auto="1"/>
                </right>
                <top style="thin">
                  <color auto="1"/>
                </top>
                <bottom style="thin">
                  <color auto="1"/>
                </bottom>
                <vertical/>
                <horizontal/>
              </border>
            </x14:dxf>
          </x14:cfRule>
          <xm:sqref>C268:IV286</xm:sqref>
        </x14:conditionalFormatting>
        <x14:conditionalFormatting xmlns:xm="http://schemas.microsoft.com/office/excel/2006/main">
          <x14:cfRule type="containsText" priority="3" operator="containsText" id="{AF44BBFF-B7F8-498E-B156-B370E17ECECE}">
            <xm:f>NOT(ISERROR(SEARCH("",AD267)))</xm:f>
            <xm:f>""</xm:f>
            <x14:dxf>
              <numFmt numFmtId="3" formatCode="#,##0"/>
              <border>
                <left style="thin">
                  <color auto="1"/>
                </left>
                <right style="thin">
                  <color auto="1"/>
                </right>
                <top style="thin">
                  <color auto="1"/>
                </top>
                <bottom style="thin">
                  <color auto="1"/>
                </bottom>
                <vertical/>
                <horizontal/>
              </border>
            </x14:dxf>
          </x14:cfRule>
          <xm:sqref>AD267:AG267 AI267:AL267 AN267:AQ267 AS267:AV267 AX267:BA267 BC267:BF267 BH267:BK267 BM267:BP267 BR267:BU267 BW267:BZ267 CB267:CE267 CG267:CJ267 CL267:CO267 CQ267:CT267 CV267:CY267 DA267:DD267 DF267:DI267 DK267:DN267 DP267:DS267 DU267:DX267 DZ267:EC267 EE267:EH267 EJ267:EM267 EO267:ER267 ET267:EW267 EY267:FB267 FD267:FG267 FI267:FL267 FN267:FQ267 FS267:FV267 FX267:GA267 GC267:GF267 GH267:GK267 GM267:GP267 GR267:GU267 GW267:GZ267 HB267:HE267 HG267:HJ267 HL267:HO267 HQ267:HT267 HV267:HY267 IA267:ID267 IF267:II267 IK267:IN267 IP267:IS267 IU267:IV267</xm:sqref>
        </x14:conditionalFormatting>
        <x14:conditionalFormatting xmlns:xm="http://schemas.microsoft.com/office/excel/2006/main">
          <x14:cfRule type="containsText" priority="2" operator="containsText" id="{DED96E3F-19AE-4846-8A1A-1006D84B7832}">
            <xm:f>NOT(ISERROR(SEARCH("",AC267)))</xm:f>
            <xm:f>""</xm:f>
            <x14:dxf>
              <numFmt numFmtId="3" formatCode="#,##0"/>
              <border>
                <left style="thin">
                  <color auto="1"/>
                </left>
                <right style="thin">
                  <color auto="1"/>
                </right>
                <top style="thin">
                  <color auto="1"/>
                </top>
                <bottom style="thin">
                  <color auto="1"/>
                </bottom>
                <vertical/>
                <horizontal/>
              </border>
            </x14:dxf>
          </x14:cfRule>
          <xm:sqref>AC267 AH267 AM267 AR267 AW267 BB267 BG267 BL267 BQ267 BV267 CA267 CF267 CK267 CP267 CU267 CZ267 DE267 DJ267 DO267 DT267 DY267 ED267 EI267 EN267 ES267 EX267 FC267 FH267 FM267 FR267 FW267 GB267 GG267 GL267 GQ267 GV267 HA267 HF267 HK267 HP267 HU267 HZ267 IE267 IJ267 IO267 IT267</xm:sqref>
        </x14:conditionalFormatting>
        <x14:conditionalFormatting xmlns:xm="http://schemas.microsoft.com/office/excel/2006/main">
          <x14:cfRule type="containsText" priority="1" operator="containsText" id="{3BB6149B-2444-4152-B3E9-15EC7F198722}">
            <xm:f>NOT(ISERROR(SEARCH("",C289)))</xm:f>
            <xm:f>""</xm:f>
            <x14:dxf>
              <numFmt numFmtId="3" formatCode="#,##0"/>
              <border>
                <right style="thin">
                  <color auto="1"/>
                </right>
                <top style="thin">
                  <color auto="1"/>
                </top>
                <bottom style="thin">
                  <color auto="1"/>
                </bottom>
                <vertical/>
                <horizontal/>
              </border>
            </x14:dxf>
          </x14:cfRule>
          <xm:sqref>C289:C307</xm:sqref>
        </x14:conditionalFormatting>
      </x14:conditionalFormattings>
    </ext>
  </extLst>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mc:Ignorable="x14ac xr">
  <sheetPr codeName="Hoja27">
    <tabColor indexed="13"/>
  </sheetPr>
  <dimension ref="A1:IV413"/>
  <sheetViews>
    <sheetView showGridLines="0" view="pageBreakPreview" zoomScaleNormal="100" zoomScaleSheetLayoutView="100" workbookViewId="0">
      <pane ySplit="9" topLeftCell="A10" activePane="bottomLeft" state="frozen"/>
      <selection pane="bottomLeft" activeCell="A10" sqref="A10"/>
    </sheetView>
  </sheetViews>
  <sheetFormatPr baseColWidth="10" defaultRowHeight="12.75"/>
  <cols>
    <col min="1" max="1" width="11" customWidth="1" style="51"/>
    <col min="2" max="2" bestFit="1" width="19.5703125" customWidth="1" style="51"/>
    <col min="3" max="12" width="11.7109375" customWidth="1" style="51"/>
    <col min="13" max="13" width="13.7109375" customWidth="1" style="51"/>
    <col min="14" max="14" width="11.42578125" customWidth="1" style="51"/>
    <col min="15" max="15" width="8.42578125" customWidth="1" style="51"/>
    <col min="16" max="16384" width="11.42578125" customWidth="1" style="51"/>
  </cols>
  <sheetData>
    <row r="1">
      <c r="A1" s="46"/>
      <c r="B1" s="47"/>
      <c r="C1" s="47"/>
      <c r="D1" s="47"/>
      <c r="E1" s="47"/>
      <c r="F1" s="47"/>
      <c r="G1" s="47"/>
      <c r="H1" s="47"/>
      <c r="I1" s="47"/>
      <c r="J1" s="47"/>
      <c r="K1" s="47"/>
      <c r="L1" s="47"/>
      <c r="M1" s="47"/>
      <c r="N1" s="47"/>
      <c r="O1" s="48"/>
      <c r="P1" s="49"/>
      <c r="Q1" s="50"/>
    </row>
    <row r="2">
      <c r="A2" s="52"/>
      <c r="B2" s="49"/>
      <c r="C2" s="49"/>
      <c r="D2" s="49"/>
      <c r="E2" s="49"/>
      <c r="F2" s="49"/>
      <c r="G2" s="49"/>
      <c r="H2" s="49"/>
      <c r="I2" s="49"/>
      <c r="J2" s="49"/>
      <c r="K2" s="49"/>
      <c r="L2" s="49"/>
      <c r="M2" s="49"/>
      <c r="N2" s="49"/>
      <c r="O2" s="53"/>
      <c r="P2" s="49"/>
      <c r="Q2" s="50"/>
    </row>
    <row r="3">
      <c r="A3" s="52"/>
      <c r="B3" s="49"/>
      <c r="C3" s="49"/>
      <c r="D3" s="49"/>
      <c r="E3" s="49"/>
      <c r="F3" s="49"/>
      <c r="G3" s="49"/>
      <c r="H3" s="49"/>
      <c r="I3" s="49"/>
      <c r="J3" s="49"/>
      <c r="K3" s="49"/>
      <c r="L3" s="49"/>
      <c r="M3" s="49"/>
      <c r="N3" s="49"/>
      <c r="O3" s="53"/>
      <c r="P3" s="49"/>
      <c r="Q3" s="50"/>
    </row>
    <row r="4">
      <c r="A4" s="52"/>
      <c r="B4" s="49"/>
      <c r="C4" s="49"/>
      <c r="D4" s="49"/>
      <c r="E4" s="49"/>
      <c r="F4" s="49"/>
      <c r="G4" s="49"/>
      <c r="H4" s="49"/>
      <c r="I4" s="49"/>
      <c r="J4" s="49"/>
      <c r="K4" s="49"/>
      <c r="L4" s="49"/>
      <c r="M4" s="49"/>
      <c r="N4" s="49"/>
      <c r="O4" s="53"/>
      <c r="P4" s="49"/>
      <c r="Q4" s="50"/>
    </row>
    <row r="5">
      <c r="A5" s="52"/>
      <c r="B5" s="49"/>
      <c r="C5" s="49"/>
      <c r="D5" s="49"/>
      <c r="E5" s="49"/>
      <c r="F5" s="49"/>
      <c r="G5" s="49"/>
      <c r="H5" s="49"/>
      <c r="I5" s="49"/>
      <c r="J5" s="49"/>
      <c r="K5" s="49"/>
      <c r="L5" s="49"/>
      <c r="M5" s="49"/>
      <c r="N5" s="49"/>
      <c r="O5" s="53"/>
      <c r="P5" s="49"/>
      <c r="Q5" s="50"/>
    </row>
    <row r="6" ht="13.5">
      <c r="A6" s="54"/>
      <c r="B6" s="55"/>
      <c r="C6" s="55"/>
      <c r="D6" s="55"/>
      <c r="E6" s="55"/>
      <c r="F6" s="55"/>
      <c r="G6" s="55"/>
      <c r="H6" s="55"/>
      <c r="I6" s="55"/>
      <c r="J6" s="55"/>
      <c r="K6" s="55"/>
      <c r="L6" s="55"/>
      <c r="M6" s="55"/>
      <c r="N6" s="55"/>
      <c r="O6" s="56"/>
      <c r="P6" s="49"/>
      <c r="Q6" s="50"/>
    </row>
    <row r="7" s="57" customFormat="1">
      <c r="O7" s="58"/>
      <c r="P7" s="58"/>
      <c r="Q7" s="58"/>
    </row>
    <row r="8">
      <c r="F8" s="131">
        <v>20</v>
      </c>
      <c r="I8" s="51" t="s">
        <v>100</v>
      </c>
      <c r="J8" s="51" t="e">
        <f>LOOKUP(AUX!$E$10,AUX!$B:$B,AUX!$A:$A)</f>
        <v>#N/A</v>
      </c>
      <c r="O8" s="50"/>
      <c r="P8" s="50"/>
      <c r="Q8" s="50"/>
    </row>
    <row r="9">
      <c r="B9" s="597" t="s">
        <v>101</v>
      </c>
      <c r="C9" s="597"/>
      <c r="D9" s="597"/>
      <c r="E9" s="597"/>
      <c r="I9" s="51" t="s">
        <v>1</v>
      </c>
      <c r="J9" s="51" t="str">
        <f>LOOKUP(AUX!$E$11,AUX!$E1:$E5,AUX!$D1:$D5)</f>
        <v>6 meses</v>
      </c>
      <c r="O9" s="50"/>
      <c r="P9" s="50"/>
      <c r="Q9" s="50"/>
    </row>
    <row r="10">
      <c r="O10" s="50"/>
      <c r="P10" s="50"/>
      <c r="Q10" s="50"/>
    </row>
    <row r="11">
      <c r="O11" s="50"/>
      <c r="P11" s="50"/>
      <c r="Q11" s="50"/>
    </row>
    <row r="12">
      <c r="O12" s="50"/>
      <c r="P12" s="50"/>
      <c r="Q12" s="50"/>
    </row>
    <row r="13" ht="13.5"/>
    <row r="14" ht="16.5" customHeight="1">
      <c r="C14" s="810" t="s">
        <v>102</v>
      </c>
      <c r="D14" s="811"/>
      <c r="E14" s="811"/>
      <c r="F14" s="811"/>
      <c r="G14" s="811"/>
      <c r="H14" s="811"/>
      <c r="I14" s="811"/>
      <c r="J14" s="811"/>
      <c r="K14" s="811"/>
      <c r="L14" s="811"/>
      <c r="M14" s="812"/>
      <c r="N14" s="202"/>
      <c r="O14" s="335"/>
      <c r="P14" s="335"/>
    </row>
    <row r="15" ht="15">
      <c r="B15" s="164"/>
      <c r="C15" s="816" t="s">
        <v>103</v>
      </c>
      <c r="D15" s="817"/>
      <c r="E15" s="817"/>
      <c r="F15" s="817"/>
      <c r="G15" s="817"/>
      <c r="H15" s="817"/>
      <c r="I15" s="817"/>
      <c r="J15" s="817"/>
      <c r="K15" s="817"/>
      <c r="L15" s="817"/>
      <c r="M15" s="818"/>
      <c r="N15" s="335"/>
      <c r="O15" s="335"/>
      <c r="P15" s="335"/>
    </row>
    <row r="16">
      <c r="C16" s="141"/>
      <c r="D16" s="142"/>
      <c r="E16" s="142"/>
      <c r="F16" s="142"/>
      <c r="G16" s="142"/>
      <c r="H16" s="142"/>
      <c r="I16" s="142"/>
      <c r="J16" s="142"/>
      <c r="K16" s="142"/>
      <c r="L16" s="142"/>
      <c r="M16" s="362"/>
      <c r="N16" s="335"/>
      <c r="O16" s="335"/>
      <c r="P16" s="335"/>
    </row>
    <row r="17" ht="15.75" customHeight="1">
      <c r="B17" s="209"/>
      <c r="C17" s="145" t="e">
        <f>INDEX(AUX!$G$1:$IV$1,1,AUX!$E$10+(AUX!$E$11*AUX!G$2))</f>
        <v>#VALUE!</v>
      </c>
      <c r="D17" s="146">
        <f>INDEX(AUX!$G$1:$IV$1,1,AUX!$E$10+(AUX!$E$11*AUX!H$2))</f>
        <v>38899</v>
      </c>
      <c r="E17" s="146">
        <f>INDEX(AUX!$G$1:$IV$1,1,AUX!$E$10+(AUX!$E$11*AUX!I$2))</f>
        <v>39083</v>
      </c>
      <c r="F17" s="146">
        <f>INDEX(AUX!$G$1:$IV$1,1,AUX!$E$10+(AUX!$E$11*AUX!J$2))</f>
        <v>39264</v>
      </c>
      <c r="G17" s="146">
        <f>INDEX(AUX!$G$1:$IV$1,1,AUX!$E$10+(AUX!$E$11*AUX!K$2))</f>
        <v>39448</v>
      </c>
      <c r="H17" s="146">
        <f>INDEX(AUX!$G$1:$IV$1,1,AUX!$E$10+(AUX!$E$11*AUX!L$2))</f>
        <v>39630</v>
      </c>
      <c r="I17" s="146">
        <f>INDEX(AUX!$G$1:$IV$1,1,AUX!$E$10+(AUX!$E$11*AUX!M$2))</f>
        <v>39814</v>
      </c>
      <c r="J17" s="146">
        <f>INDEX(AUX!$G$1:$IV$1,1,AUX!$E$10+(AUX!$E$11*AUX!N$2))</f>
        <v>39995</v>
      </c>
      <c r="K17" s="146">
        <f>INDEX(AUX!$G$1:$IV$1,1,AUX!$E$10+(AUX!$E$11*AUX!O$2))</f>
        <v>40179</v>
      </c>
      <c r="L17" s="146">
        <f>INDEX(AUX!$G$1:$IV$1,1,AUX!$E$10+(AUX!$E$11*AUX!P$2))</f>
        <v>40360</v>
      </c>
      <c r="M17" s="147">
        <f>INDEX(AUX!$G$1:$IV$1,1,AUX!$E$10+(AUX!$E$11*AUX!Q$2))</f>
        <v>40544</v>
      </c>
      <c r="N17" s="208"/>
    </row>
    <row r="18" ht="15.75" customHeight="1">
      <c r="B18" s="288"/>
      <c r="C18" s="807" t="s">
        <v>104</v>
      </c>
      <c r="D18" s="808"/>
      <c r="E18" s="808"/>
      <c r="F18" s="808"/>
      <c r="G18" s="808"/>
      <c r="H18" s="808"/>
      <c r="I18" s="808"/>
      <c r="J18" s="808"/>
      <c r="K18" s="808"/>
      <c r="L18" s="808"/>
      <c r="M18" s="809"/>
      <c r="N18" s="208"/>
      <c r="O18" s="208"/>
    </row>
    <row r="19" ht="15.75" customHeight="1">
      <c r="B19" s="452" t="str">
        <f>INDEX($B$154:$H$173,$F$8,1)</f>
        <v>Total</v>
      </c>
      <c r="C19" s="289" t="str">
        <f>IF(INDEX($C$128:$II$147,$F$8,AUX!$E$10+(AUX!$E$11*AUX!G$2))="","--",INDEX($C$128:$II$147,$F$8,AUX!$E$10+(AUX!$E$11*AUX!G$2)))</f>
        <v>--</v>
      </c>
      <c r="D19" s="290" t="str">
        <f>IF(INDEX($C$128:$II$147,$F$8,AUX!$E$10+(AUX!$E$11*AUX!H$2))="","--",INDEX($C$128:$II$147,$F$8,AUX!$E$10+(AUX!$E$11*AUX!H$2)))</f>
        <v>--</v>
      </c>
      <c r="E19" s="290" t="str">
        <f>IF(INDEX($C$128:$II$147,$F$8,AUX!$E$10+(AUX!$E$11*AUX!I$2))="","--",INDEX($C$128:$II$147,$F$8,AUX!$E$10+(AUX!$E$11*AUX!I$2)))</f>
        <v>--</v>
      </c>
      <c r="F19" s="290" t="str">
        <f>IF(INDEX($C$128:$II$147,$F$8,AUX!$E$10+(AUX!$E$11*AUX!J$2))="","--",INDEX($C$128:$II$147,$F$8,AUX!$E$10+(AUX!$E$11*AUX!J$2)))</f>
        <v>--</v>
      </c>
      <c r="G19" s="290" t="str">
        <f>IF(INDEX($C$128:$II$147,$F$8,AUX!$E$10+(AUX!$E$11*AUX!K$2))="","--",INDEX($C$128:$II$147,$F$8,AUX!$E$10+(AUX!$E$11*AUX!K$2)))</f>
        <v>--</v>
      </c>
      <c r="H19" s="290" t="str">
        <f>IF(INDEX($C$128:$II$147,$F$8,AUX!$E$10+(AUX!$E$11*AUX!L$2))="","--",INDEX($C$128:$II$147,$F$8,AUX!$E$10+(AUX!$E$11*AUX!L$2)))</f>
        <v>--</v>
      </c>
      <c r="I19" s="290" t="str">
        <f>IF(INDEX($C$128:$II$147,$F$8,AUX!$E$10+(AUX!$E$11*AUX!M$2))="","--",INDEX($C$128:$II$147,$F$8,AUX!$E$10+(AUX!$E$11*AUX!M$2)))</f>
        <v>--</v>
      </c>
      <c r="J19" s="290" t="str">
        <f>IF(INDEX($C$128:$II$147,$F$8,AUX!$E$10+(AUX!$E$11*AUX!N$2))="","--",INDEX($C$128:$II$147,$F$8,AUX!$E$10+(AUX!$E$11*AUX!N$2)))</f>
        <v>--</v>
      </c>
      <c r="K19" s="290" t="str">
        <f>IF(INDEX($C$128:$II$147,$F$8,AUX!$E$10+(AUX!$E$11*AUX!O$2))="","--",INDEX($C$128:$II$147,$F$8,AUX!$E$10+(AUX!$E$11*AUX!O$2)))</f>
        <v>--</v>
      </c>
      <c r="L19" s="290" t="str">
        <f>IF(INDEX($C$128:$II$147,$F$8,AUX!$E$10+(AUX!$E$11*AUX!P$2))="","--",INDEX($C$128:$II$147,$F$8,AUX!$E$10+(AUX!$E$11*AUX!P$2)))</f>
        <v>--</v>
      </c>
      <c r="M19" s="291" t="str">
        <f>IF(INDEX($C$128:$II$147,$F$8,AUX!$E$10+(AUX!$E$11*AUX!Q$2))="","--",INDEX($C$128:$II$147,$F$8,AUX!$E$10+(AUX!$E$11*AUX!Q$2)))</f>
        <v>--</v>
      </c>
      <c r="N19" s="208"/>
    </row>
    <row r="20" ht="15.75" customHeight="1">
      <c r="B20" s="209"/>
      <c r="C20" s="807" t="s">
        <v>105</v>
      </c>
      <c r="D20" s="808"/>
      <c r="E20" s="808"/>
      <c r="F20" s="808"/>
      <c r="G20" s="808"/>
      <c r="H20" s="808"/>
      <c r="I20" s="808"/>
      <c r="J20" s="808"/>
      <c r="K20" s="808"/>
      <c r="L20" s="808"/>
      <c r="M20" s="809"/>
      <c r="N20" s="208"/>
      <c r="O20" s="208"/>
    </row>
    <row r="21" ht="15.75" customHeight="1">
      <c r="B21" s="209"/>
      <c r="C21" s="289" t="str">
        <f>IF(INDEX($C$276:$II$295,$F$8,AUX!$E$10+(AUX!$E$11*AUX!G$2))="","--",INDEX($C$276:$II$295,$F$8,AUX!$E$10+(AUX!$E$11*AUX!G$2)))</f>
        <v>--</v>
      </c>
      <c r="D21" s="290" t="str">
        <f>IF(INDEX($C$276:$II$295,$F$8,AUX!$E$10+(AUX!$E$11*AUX!H$2))="","--",INDEX($C$276:$II$295,$F$8,AUX!$E$10+(AUX!$E$11*AUX!H$2)))</f>
        <v>--</v>
      </c>
      <c r="E21" s="290" t="str">
        <f>IF(INDEX($C$276:$II$295,$F$8,AUX!$E$10+(AUX!$E$11*AUX!I$2))="","--",INDEX($C$276:$II$295,$F$8,AUX!$E$10+(AUX!$E$11*AUX!I$2)))</f>
        <v>--</v>
      </c>
      <c r="F21" s="290" t="str">
        <f>IF(INDEX($C$276:$II$295,$F$8,AUX!$E$10+(AUX!$E$11*AUX!J$2))="","--",INDEX($C$276:$II$295,$F$8,AUX!$E$10+(AUX!$E$11*AUX!J$2)))</f>
        <v>--</v>
      </c>
      <c r="G21" s="290" t="str">
        <f>IF(INDEX($C$276:$II$295,$F$8,AUX!$E$10+(AUX!$E$11*AUX!K$2))="","--",INDEX($C$276:$II$295,$F$8,AUX!$E$10+(AUX!$E$11*AUX!K$2)))</f>
        <v>--</v>
      </c>
      <c r="H21" s="290" t="str">
        <f>IF(INDEX($C$276:$II$295,$F$8,AUX!$E$10+(AUX!$E$11*AUX!L$2))="","--",INDEX($C$276:$II$295,$F$8,AUX!$E$10+(AUX!$E$11*AUX!L$2)))</f>
        <v>--</v>
      </c>
      <c r="I21" s="290" t="str">
        <f>IF(INDEX($C$276:$II$295,$F$8,AUX!$E$10+(AUX!$E$11*AUX!M$2))="","--",INDEX($C$276:$II$295,$F$8,AUX!$E$10+(AUX!$E$11*AUX!M$2)))</f>
        <v>--</v>
      </c>
      <c r="J21" s="290" t="str">
        <f>IF(INDEX($C$276:$II$295,$F$8,AUX!$E$10+(AUX!$E$11*AUX!N$2))="","--",INDEX($C$276:$II$295,$F$8,AUX!$E$10+(AUX!$E$11*AUX!N$2)))</f>
        <v>--</v>
      </c>
      <c r="K21" s="290" t="str">
        <f>IF(INDEX($C$276:$II$295,$F$8,AUX!$E$10+(AUX!$E$11*AUX!O$2))="","--",INDEX($C$276:$II$295,$F$8,AUX!$E$10+(AUX!$E$11*AUX!O$2)))</f>
        <v>--</v>
      </c>
      <c r="L21" s="290" t="str">
        <f>IF(INDEX($C$276:$II$295,$F$8,AUX!$E$10+(AUX!$E$11*AUX!P$2))="","--",INDEX($C$276:$II$295,$F$8,AUX!$E$10+(AUX!$E$11*AUX!P$2)))</f>
        <v>--</v>
      </c>
      <c r="M21" s="291" t="str">
        <f>IF(INDEX($C$276:$II$295,$F$8,AUX!$E$10+(AUX!$E$11*AUX!Q$2))="","--",INDEX($C$276:$II$295,$F$8,AUX!$E$10+(AUX!$E$11*AUX!Q$2)))</f>
        <v>--</v>
      </c>
      <c r="N21" s="208"/>
    </row>
    <row r="22" ht="15.75" customHeight="1">
      <c r="B22" s="209"/>
      <c r="C22" s="807" t="s">
        <v>106</v>
      </c>
      <c r="D22" s="808"/>
      <c r="E22" s="808"/>
      <c r="F22" s="808"/>
      <c r="G22" s="808"/>
      <c r="H22" s="808"/>
      <c r="I22" s="808"/>
      <c r="J22" s="808"/>
      <c r="K22" s="808"/>
      <c r="L22" s="808"/>
      <c r="M22" s="809"/>
      <c r="N22" s="208"/>
      <c r="O22" s="208"/>
    </row>
    <row r="23" ht="15.75" customHeight="1">
      <c r="B23" s="209"/>
      <c r="C23" s="292" t="str">
        <f>IF(INDEX($C$104:$II$123,$F$8,AUX!$E$10+(AUX!$E$11*AUX!G$2))="","--",INDEX($C$104:$II$123,$F$8,AUX!$E$10+(AUX!$E$11*AUX!G$2)))</f>
        <v>--</v>
      </c>
      <c r="D23" s="293" t="str">
        <f>IF(INDEX($C$104:$II$123,$F$8,AUX!$E$10+(AUX!$E$11*AUX!H$2))="","--",INDEX($C$104:$II$123,$F$8,AUX!$E$10+(AUX!$E$11*AUX!H$2)))</f>
        <v>--</v>
      </c>
      <c r="E23" s="293" t="str">
        <f>IF(INDEX($C$104:$II$123,$F$8,AUX!$E$10+(AUX!$E$11*AUX!I$2))="","--",INDEX($C$104:$II$123,$F$8,AUX!$E$10+(AUX!$E$11*AUX!I$2)))</f>
        <v>--</v>
      </c>
      <c r="F23" s="293" t="str">
        <f>IF(INDEX($C$104:$II$123,$F$8,AUX!$E$10+(AUX!$E$11*AUX!J$2))="","--",INDEX($C$104:$II$123,$F$8,AUX!$E$10+(AUX!$E$11*AUX!J$2)))</f>
        <v>--</v>
      </c>
      <c r="G23" s="293" t="str">
        <f>IF(INDEX($C$104:$II$123,$F$8,AUX!$E$10+(AUX!$E$11*AUX!K$2))="","--",INDEX($C$104:$II$123,$F$8,AUX!$E$10+(AUX!$E$11*AUX!K$2)))</f>
        <v>--</v>
      </c>
      <c r="H23" s="293" t="str">
        <f>IF(INDEX($C$104:$II$123,$F$8,AUX!$E$10+(AUX!$E$11*AUX!L$2))="","--",INDEX($C$104:$II$123,$F$8,AUX!$E$10+(AUX!$E$11*AUX!L$2)))</f>
        <v>--</v>
      </c>
      <c r="I23" s="293" t="str">
        <f>IF(INDEX($C$104:$II$123,$F$8,AUX!$E$10+(AUX!$E$11*AUX!M$2))="","--",INDEX($C$104:$II$123,$F$8,AUX!$E$10+(AUX!$E$11*AUX!M$2)))</f>
        <v>--</v>
      </c>
      <c r="J23" s="293" t="str">
        <f>IF(INDEX($C$104:$II$123,$F$8,AUX!$E$10+(AUX!$E$11*AUX!N$2))="","--",INDEX($C$104:$II$123,$F$8,AUX!$E$10+(AUX!$E$11*AUX!N$2)))</f>
        <v>--</v>
      </c>
      <c r="K23" s="293" t="str">
        <f>IF(INDEX($C$104:$II$123,$F$8,AUX!$E$10+(AUX!$E$11*AUX!O$2))="","--",INDEX($C$104:$II$123,$F$8,AUX!$E$10+(AUX!$E$11*AUX!O$2)))</f>
        <v>--</v>
      </c>
      <c r="L23" s="293" t="str">
        <f>IF(INDEX($C$104:$II$123,$F$8,AUX!$E$10+(AUX!$E$11*AUX!P$2))="","--",INDEX($C$104:$II$123,$F$8,AUX!$E$10+(AUX!$E$11*AUX!P$2)))</f>
        <v>--</v>
      </c>
      <c r="M23" s="294" t="str">
        <f>IF(INDEX($C$104:$II$123,$F$8,AUX!$E$10+(AUX!$E$11*AUX!Q$2))="","--",INDEX($C$104:$II$123,$F$8,AUX!$E$10+(AUX!$E$11*AUX!Q$2)))</f>
        <v>--</v>
      </c>
    </row>
    <row r="24" ht="13.5">
      <c r="C24" s="354"/>
      <c r="D24" s="354"/>
      <c r="E24" s="354"/>
      <c r="F24" s="354"/>
      <c r="G24" s="354"/>
      <c r="H24" s="354"/>
      <c r="I24" s="354"/>
      <c r="J24" s="354"/>
    </row>
    <row r="25" ht="12.75" customHeight="1">
      <c r="C25" s="748" t="s">
        <v>107</v>
      </c>
      <c r="D25" s="774"/>
      <c r="E25" s="774"/>
      <c r="F25" s="774"/>
      <c r="G25" s="774"/>
      <c r="H25" s="774"/>
      <c r="I25" s="774"/>
      <c r="J25" s="774"/>
      <c r="K25" s="774"/>
      <c r="L25" s="774"/>
      <c r="M25" s="775"/>
    </row>
    <row r="26" ht="13.5">
      <c r="C26" s="776"/>
      <c r="D26" s="777"/>
      <c r="E26" s="777"/>
      <c r="F26" s="777"/>
      <c r="G26" s="777"/>
      <c r="H26" s="777"/>
      <c r="I26" s="777"/>
      <c r="J26" s="777"/>
      <c r="K26" s="777"/>
      <c r="L26" s="777"/>
      <c r="M26" s="778"/>
    </row>
    <row r="27">
      <c r="C27" s="354"/>
      <c r="D27" s="354"/>
      <c r="E27" s="354"/>
      <c r="F27" s="354"/>
      <c r="G27" s="354"/>
      <c r="H27" s="354"/>
      <c r="I27" s="354"/>
      <c r="J27" s="354"/>
    </row>
    <row r="28">
      <c r="C28" s="336"/>
      <c r="D28" s="336"/>
      <c r="E28" s="336"/>
      <c r="F28" s="336"/>
      <c r="G28" s="336"/>
      <c r="H28" s="336"/>
      <c r="I28" s="336"/>
      <c r="J28" s="336"/>
    </row>
    <row r="102" hidden="1" ht="13.5">
      <c r="C102" s="686" t="s">
        <v>108</v>
      </c>
      <c r="D102" s="687"/>
      <c r="E102" s="687"/>
      <c r="F102" s="687"/>
      <c r="G102" s="687"/>
      <c r="H102" s="687"/>
      <c r="I102" s="687"/>
      <c r="J102" s="687"/>
      <c r="K102" s="687"/>
      <c r="L102" s="687"/>
      <c r="M102" s="687"/>
      <c r="N102" s="687"/>
      <c r="O102" s="687"/>
      <c r="P102" s="687"/>
      <c r="Q102" s="687"/>
      <c r="R102" s="687"/>
      <c r="S102" s="687"/>
      <c r="T102" s="687"/>
      <c r="U102" s="687"/>
      <c r="V102" s="687"/>
      <c r="W102" s="687"/>
      <c r="X102" s="687"/>
      <c r="Y102" s="687"/>
      <c r="Z102" s="687"/>
      <c r="AA102" s="687"/>
      <c r="AB102" s="688"/>
    </row>
    <row r="103" hidden="1" ht="15" customHeight="1">
      <c r="C103" s="435" t="str">
        <f> IF(C123&lt;&gt;"",TEXT(AUX!G$1,"dd-MMM-aa"),"")</f>
      </c>
      <c r="D103" s="435" t="str">
        <f> IF(D123&lt;&gt;"",TEXT(AUX!H$1,"dd-MMM-aa"),"")</f>
      </c>
      <c r="E103" s="435" t="str">
        <f> IF(E123&lt;&gt;"",TEXT(AUX!I$1,"dd-MMM-aa"),"")</f>
      </c>
      <c r="F103" s="435" t="str">
        <f> IF(F123&lt;&gt;"",TEXT(AUX!J$1,"dd-MMM-aa"),"")</f>
      </c>
      <c r="G103" s="435" t="str">
        <f> IF(G123&lt;&gt;"",TEXT(AUX!K$1,"dd-MMM-aa"),"")</f>
      </c>
      <c r="H103" s="435" t="str">
        <f> IF(H123&lt;&gt;"",TEXT(AUX!L$1,"dd-MMM-aa"),"")</f>
      </c>
      <c r="I103" s="435" t="str">
        <f> IF(I123&lt;&gt;"",TEXT(AUX!M$1,"dd-MMM-aa"),"")</f>
      </c>
      <c r="J103" s="435" t="str">
        <f> IF(J123&lt;&gt;"",TEXT(AUX!N$1,"dd-MMM-aa"),"")</f>
      </c>
      <c r="K103" s="435" t="str">
        <f> IF(K123&lt;&gt;"",TEXT(AUX!O$1,"dd-MMM-aa"),"")</f>
      </c>
      <c r="L103" s="435" t="str">
        <f> IF(L123&lt;&gt;"",TEXT(AUX!P$1,"dd-MMM-aa"),"")</f>
      </c>
      <c r="M103" s="435" t="str">
        <f> IF(M123&lt;&gt;"",TEXT(AUX!Q$1,"dd-MMM-aa"),"")</f>
      </c>
      <c r="N103" s="435" t="str">
        <f> IF(N123&lt;&gt;"",TEXT(AUX!R$1,"dd-MMM-aa"),"")</f>
      </c>
      <c r="O103" s="435" t="str">
        <f> IF(O123&lt;&gt;"",TEXT(AUX!S$1,"dd-MMM-aa"),"")</f>
      </c>
      <c r="P103" s="435" t="str">
        <f> IF(P123&lt;&gt;"",TEXT(AUX!T$1,"dd-MMM-aa"),"")</f>
      </c>
      <c r="Q103" s="435" t="str">
        <f> IF(Q123&lt;&gt;"",TEXT(AUX!U$1,"dd-MMM-aa"),"")</f>
      </c>
      <c r="R103" s="435" t="str">
        <f> IF(R123&lt;&gt;"",TEXT(AUX!V$1,"dd-MMM-aa"),"")</f>
      </c>
      <c r="S103" s="435" t="str">
        <f> IF(S123&lt;&gt;"",TEXT(AUX!W$1,"dd-MMM-aa"),"")</f>
      </c>
      <c r="T103" s="435" t="str">
        <f> IF(T123&lt;&gt;"",TEXT(AUX!X$1,"dd-MMM-aa"),"")</f>
      </c>
      <c r="U103" s="435" t="str">
        <f> IF(U123&lt;&gt;"",TEXT(AUX!Y$1,"dd-MMM-aa"),"")</f>
      </c>
      <c r="V103" s="435" t="str">
        <f> IF(V123&lt;&gt;"",TEXT(AUX!Z$1,"dd-MMM-aa"),"")</f>
      </c>
      <c r="W103" s="435" t="str">
        <f> IF(W123&lt;&gt;"",TEXT(AUX!AA$1,"dd-MMM-aa"),"")</f>
      </c>
      <c r="X103" s="435" t="str">
        <f> IF(X123&lt;&gt;"",TEXT(AUX!AB$1,"dd-MMM-aa"),"")</f>
      </c>
      <c r="Y103" s="435" t="str">
        <f> IF(Y123&lt;&gt;"",TEXT(AUX!AC$1,"dd-MMM-aa"),"")</f>
      </c>
      <c r="Z103" s="435" t="str">
        <f> IF(Z123&lt;&gt;"",TEXT(AUX!AD$1,"dd-MMM-aa"),"")</f>
      </c>
      <c r="AA103" s="435" t="str">
        <f> IF(AA123&lt;&gt;"",TEXT(AUX!AE$1,"dd-MMM-aa"),"")</f>
      </c>
      <c r="AB103" s="497" t="str">
        <f> IF(AB123&lt;&gt;"",TEXT(AUX!AF$1,"dd-MMM-aa"),"")</f>
      </c>
      <c r="AC103" s="496" t="str">
        <f> IF(AC123&lt;&gt;"",TEXT(AUX!AG$1,"dd-MMM-aa"),"")</f>
      </c>
      <c r="AD103" s="496" t="str">
        <f> IF(AD123&lt;&gt;"",TEXT(AUX!AH$1,"dd-MMM-aa"),"")</f>
      </c>
      <c r="AE103" s="496" t="str">
        <f> IF(AE123&lt;&gt;"",TEXT(AUX!AI$1,"dd-MMM-aa"),"")</f>
      </c>
      <c r="AF103" s="496" t="str">
        <f> IF(AF123&lt;&gt;"",TEXT(AUX!AJ$1,"dd-MMM-aa"),"")</f>
      </c>
      <c r="AG103" s="496" t="str">
        <f> IF(AG123&lt;&gt;"",TEXT(AUX!AK$1,"dd-MMM-aa"),"")</f>
      </c>
      <c r="AH103" s="496" t="str">
        <f> IF(AH123&lt;&gt;"",TEXT(AUX!AL$1,"dd-MMM-aa"),"")</f>
      </c>
      <c r="AI103" s="496" t="str">
        <f> IF(AI123&lt;&gt;"",TEXT(AUX!AM$1,"dd-MMM-aa"),"")</f>
      </c>
      <c r="AJ103" s="496" t="str">
        <f> IF(AJ123&lt;&gt;"",TEXT(AUX!AN$1,"dd-MMM-aa"),"")</f>
      </c>
      <c r="AK103" s="496" t="str">
        <f> IF(AK123&lt;&gt;"",TEXT(AUX!AO$1,"dd-MMM-aa"),"")</f>
      </c>
      <c r="AL103" s="496" t="str">
        <f> IF(AL123&lt;&gt;"",TEXT(AUX!AP$1,"dd-MMM-aa"),"")</f>
      </c>
      <c r="AM103" s="496" t="str">
        <f> IF(AM123&lt;&gt;"",TEXT(AUX!AQ$1,"dd-MMM-aa"),"")</f>
      </c>
      <c r="AN103" s="496" t="str">
        <f> IF(AN123&lt;&gt;"",TEXT(AUX!AR$1,"dd-MMM-aa"),"")</f>
      </c>
      <c r="AO103" s="496" t="str">
        <f> IF(AO123&lt;&gt;"",TEXT(AUX!AS$1,"dd-MMM-aa"),"")</f>
      </c>
      <c r="AP103" s="496" t="str">
        <f> IF(AP123&lt;&gt;"",TEXT(AUX!AT$1,"dd-MMM-aa"),"")</f>
      </c>
      <c r="AQ103" s="496" t="str">
        <f> IF(AQ123&lt;&gt;"",TEXT(AUX!AU$1,"dd-MMM-aa"),"")</f>
      </c>
      <c r="AR103" s="496" t="str">
        <f> IF(AR123&lt;&gt;"",TEXT(AUX!AV$1,"dd-MMM-aa"),"")</f>
      </c>
      <c r="AS103" s="496" t="str">
        <f> IF(AS123&lt;&gt;"",TEXT(AUX!AW$1,"dd-MMM-aa"),"")</f>
      </c>
      <c r="AT103" s="496" t="str">
        <f> IF(AT123&lt;&gt;"",TEXT(AUX!AX$1,"dd-MMM-aa"),"")</f>
      </c>
      <c r="AU103" s="496" t="str">
        <f> IF(AU123&lt;&gt;"",TEXT(AUX!AY$1,"dd-MMM-aa"),"")</f>
      </c>
      <c r="AV103" s="496" t="str">
        <f> IF(AV123&lt;&gt;"",TEXT(AUX!AZ$1,"dd-MMM-aa"),"")</f>
      </c>
      <c r="AW103" s="496" t="str">
        <f> IF(AW123&lt;&gt;"",TEXT(AUX!BA$1,"dd-MMM-aa"),"")</f>
      </c>
      <c r="AX103" s="496" t="str">
        <f> IF(AX123&lt;&gt;"",TEXT(AUX!BB$1,"dd-MMM-aa"),"")</f>
      </c>
      <c r="AY103" s="496" t="str">
        <f> IF(AY123&lt;&gt;"",TEXT(AUX!BC$1,"dd-MMM-aa"),"")</f>
      </c>
      <c r="AZ103" s="496" t="str">
        <f> IF(AZ123&lt;&gt;"",TEXT(AUX!BD$1,"dd-MMM-aa"),"")</f>
      </c>
      <c r="BA103" s="496" t="str">
        <f> IF(BA123&lt;&gt;"",TEXT(AUX!BE$1,"dd-MMM-aa"),"")</f>
      </c>
      <c r="BB103" s="496" t="str">
        <f> IF(BB123&lt;&gt;"",TEXT(AUX!BF$1,"dd-MMM-aa"),"")</f>
      </c>
      <c r="BC103" s="496" t="str">
        <f> IF(BC123&lt;&gt;"",TEXT(AUX!BG$1,"dd-MMM-aa"),"")</f>
      </c>
      <c r="BD103" s="496" t="str">
        <f> IF(BD123&lt;&gt;"",TEXT(AUX!BH$1,"dd-MMM-aa"),"")</f>
      </c>
      <c r="BE103" s="496" t="str">
        <f> IF(BE123&lt;&gt;"",TEXT(AUX!BI$1,"dd-MMM-aa"),"")</f>
      </c>
      <c r="BF103" s="496" t="str">
        <f> IF(BF123&lt;&gt;"",TEXT(AUX!BJ$1,"dd-MMM-aa"),"")</f>
      </c>
      <c r="BG103" s="496" t="str">
        <f> IF(BG123&lt;&gt;"",TEXT(AUX!BK$1,"dd-MMM-aa"),"")</f>
      </c>
      <c r="BH103" s="496" t="str">
        <f> IF(BH123&lt;&gt;"",TEXT(AUX!BL$1,"dd-MMM-aa"),"")</f>
      </c>
      <c r="BI103" s="496" t="str">
        <f> IF(BI123&lt;&gt;"",TEXT(AUX!BM$1,"dd-MMM-aa"),"")</f>
      </c>
      <c r="BJ103" s="496" t="str">
        <f> IF(BJ123&lt;&gt;"",TEXT(AUX!BN$1,"dd-MMM-aa"),"")</f>
      </c>
      <c r="BK103" s="496" t="str">
        <f> IF(BK123&lt;&gt;"",TEXT(AUX!BO$1,"dd-MMM-aa"),"")</f>
      </c>
      <c r="BL103" s="496" t="str">
        <f> IF(BL123&lt;&gt;"",TEXT(AUX!BP$1,"dd-MMM-aa"),"")</f>
      </c>
      <c r="BM103" s="496" t="str">
        <f> IF(BM123&lt;&gt;"",TEXT(AUX!BQ$1,"dd-MMM-aa"),"")</f>
      </c>
      <c r="BN103" s="496" t="str">
        <f> IF(BN123&lt;&gt;"",TEXT(AUX!BR$1,"dd-MMM-aa"),"")</f>
      </c>
      <c r="BO103" s="496" t="str">
        <f> IF(BO123&lt;&gt;"",TEXT(AUX!BS$1,"dd-MMM-aa"),"")</f>
      </c>
      <c r="BP103" s="496" t="str">
        <f> IF(BP123&lt;&gt;"",TEXT(AUX!BT$1,"dd-MMM-aa"),"")</f>
      </c>
      <c r="BQ103" s="496" t="str">
        <f> IF(BQ123&lt;&gt;"",TEXT(AUX!BU$1,"dd-MMM-aa"),"")</f>
      </c>
      <c r="BR103" s="496" t="str">
        <f> IF(BR123&lt;&gt;"",TEXT(AUX!BV$1,"dd-MMM-aa"),"")</f>
      </c>
      <c r="BS103" s="496" t="str">
        <f> IF(BS123&lt;&gt;"",TEXT(AUX!BW$1,"dd-MMM-aa"),"")</f>
      </c>
      <c r="BT103" s="496" t="str">
        <f> IF(BT123&lt;&gt;"",TEXT(AUX!BX$1,"dd-MMM-aa"),"")</f>
      </c>
      <c r="BU103" s="496" t="str">
        <f> IF(BU123&lt;&gt;"",TEXT(AUX!BY$1,"dd-MMM-aa"),"")</f>
      </c>
      <c r="BV103" s="496" t="str">
        <f> IF(BV123&lt;&gt;"",TEXT(AUX!BZ$1,"dd-MMM-aa"),"")</f>
      </c>
      <c r="BW103" s="496" t="str">
        <f> IF(BW123&lt;&gt;"",TEXT(AUX!CA$1,"dd-MMM-aa"),"")</f>
      </c>
      <c r="BX103" s="496" t="str">
        <f> IF(BX123&lt;&gt;"",TEXT(AUX!CB$1,"dd-MMM-aa"),"")</f>
      </c>
      <c r="BY103" s="496" t="str">
        <f> IF(BY123&lt;&gt;"",TEXT(AUX!CC$1,"dd-MMM-aa"),"")</f>
      </c>
      <c r="BZ103" s="496" t="str">
        <f> IF(BZ123&lt;&gt;"",TEXT(AUX!CD$1,"dd-MMM-aa"),"")</f>
      </c>
      <c r="CA103" s="496" t="str">
        <f> IF(CA123&lt;&gt;"",TEXT(AUX!CE$1,"dd-MMM-aa"),"")</f>
      </c>
      <c r="CB103" s="496" t="str">
        <f> IF(CB123&lt;&gt;"",TEXT(AUX!CF$1,"dd-MMM-aa"),"")</f>
      </c>
      <c r="CC103" s="496" t="str">
        <f> IF(CC123&lt;&gt;"",TEXT(AUX!CG$1,"dd-MMM-aa"),"")</f>
      </c>
      <c r="CD103" s="496" t="str">
        <f> IF(CD123&lt;&gt;"",TEXT(AUX!CH$1,"dd-MMM-aa"),"")</f>
      </c>
      <c r="CE103" s="496" t="str">
        <f> IF(CE123&lt;&gt;"",TEXT(AUX!CI$1,"dd-MMM-aa"),"")</f>
      </c>
      <c r="CF103" s="496" t="str">
        <f> IF(CF123&lt;&gt;"",TEXT(AUX!CJ$1,"dd-MMM-aa"),"")</f>
      </c>
      <c r="CG103" s="496" t="str">
        <f> IF(CG123&lt;&gt;"",TEXT(AUX!CK$1,"dd-MMM-aa"),"")</f>
      </c>
      <c r="CH103" s="496" t="str">
        <f> IF(CH123&lt;&gt;"",TEXT(AUX!CL$1,"dd-MMM-aa"),"")</f>
      </c>
      <c r="CI103" s="496" t="str">
        <f> IF(CI123&lt;&gt;"",TEXT(AUX!CM$1,"dd-MMM-aa"),"")</f>
      </c>
      <c r="CJ103" s="496" t="str">
        <f> IF(CJ123&lt;&gt;"",TEXT(AUX!CN$1,"dd-MMM-aa"),"")</f>
      </c>
      <c r="CK103" s="496" t="str">
        <f> IF(CK123&lt;&gt;"",TEXT(AUX!CO$1,"dd-MMM-aa"),"")</f>
      </c>
      <c r="CL103" s="496" t="str">
        <f> IF(CL123&lt;&gt;"",TEXT(AUX!CP$1,"dd-MMM-aa"),"")</f>
      </c>
      <c r="CM103" s="496" t="str">
        <f> IF(CM123&lt;&gt;"",TEXT(AUX!CQ$1,"dd-MMM-aa"),"")</f>
      </c>
      <c r="CN103" s="496" t="str">
        <f> IF(CN123&lt;&gt;"",TEXT(AUX!CR$1,"dd-MMM-aa"),"")</f>
      </c>
      <c r="CO103" s="496" t="str">
        <f> IF(CO123&lt;&gt;"",TEXT(AUX!CS$1,"dd-MMM-aa"),"")</f>
      </c>
      <c r="CP103" s="496" t="str">
        <f> IF(CP123&lt;&gt;"",TEXT(AUX!CT$1,"dd-MMM-aa"),"")</f>
      </c>
      <c r="CQ103" s="496" t="str">
        <f> IF(CQ123&lt;&gt;"",TEXT(AUX!CU$1,"dd-MMM-aa"),"")</f>
      </c>
      <c r="CR103" s="496" t="str">
        <f> IF(CR123&lt;&gt;"",TEXT(AUX!CV$1,"dd-MMM-aa"),"")</f>
      </c>
      <c r="CS103" s="496" t="str">
        <f> IF(CS123&lt;&gt;"",TEXT(AUX!CW$1,"dd-MMM-aa"),"")</f>
      </c>
      <c r="CT103" s="496" t="str">
        <f> IF(CT123&lt;&gt;"",TEXT(AUX!CX$1,"dd-MMM-aa"),"")</f>
      </c>
      <c r="CU103" s="496" t="str">
        <f> IF(CU123&lt;&gt;"",TEXT(AUX!CY$1,"dd-MMM-aa"),"")</f>
      </c>
      <c r="CV103" s="496" t="str">
        <f> IF(CV123&lt;&gt;"",TEXT(AUX!CZ$1,"dd-MMM-aa"),"")</f>
      </c>
      <c r="CW103" s="496" t="str">
        <f> IF(CW123&lt;&gt;"",TEXT(AUX!DA$1,"dd-MMM-aa"),"")</f>
      </c>
      <c r="CX103" s="496" t="str">
        <f> IF(CX123&lt;&gt;"",TEXT(AUX!DB$1,"dd-MMM-aa"),"")</f>
      </c>
      <c r="CY103" s="496" t="str">
        <f> IF(CY123&lt;&gt;"",TEXT(AUX!DC$1,"dd-MMM-aa"),"")</f>
      </c>
      <c r="CZ103" s="496" t="str">
        <f> IF(CZ123&lt;&gt;"",TEXT(AUX!DD$1,"dd-MMM-aa"),"")</f>
      </c>
      <c r="DA103" s="496" t="str">
        <f> IF(DA123&lt;&gt;"",TEXT(AUX!DE$1,"dd-MMM-aa"),"")</f>
      </c>
      <c r="DB103" s="496" t="str">
        <f> IF(DB123&lt;&gt;"",TEXT(AUX!DF$1,"dd-MMM-aa"),"")</f>
      </c>
      <c r="DC103" s="496" t="str">
        <f> IF(DC123&lt;&gt;"",TEXT(AUX!DG$1,"dd-MMM-aa"),"")</f>
      </c>
      <c r="DD103" s="496" t="str">
        <f> IF(DD123&lt;&gt;"",TEXT(AUX!DH$1,"dd-MMM-aa"),"")</f>
      </c>
      <c r="DE103" s="496" t="str">
        <f> IF(DE123&lt;&gt;"",TEXT(AUX!DI$1,"dd-MMM-aa"),"")</f>
      </c>
      <c r="DF103" s="496" t="str">
        <f> IF(DF123&lt;&gt;"",TEXT(AUX!DJ$1,"dd-MMM-aa"),"")</f>
      </c>
      <c r="DG103" s="496" t="str">
        <f> IF(DG123&lt;&gt;"",TEXT(AUX!DK$1,"dd-MMM-aa"),"")</f>
      </c>
      <c r="DH103" s="496" t="str">
        <f> IF(DH123&lt;&gt;"",TEXT(AUX!DL$1,"dd-MMM-aa"),"")</f>
      </c>
      <c r="DI103" s="496" t="str">
        <f> IF(DI123&lt;&gt;"",TEXT(AUX!DM$1,"dd-MMM-aa"),"")</f>
      </c>
      <c r="DJ103" s="496" t="str">
        <f> IF(DJ123&lt;&gt;"",TEXT(AUX!DN$1,"dd-MMM-aa"),"")</f>
      </c>
      <c r="DK103" s="496" t="str">
        <f> IF(DK123&lt;&gt;"",TEXT(AUX!DO$1,"dd-MMM-aa"),"")</f>
      </c>
      <c r="DL103" s="496" t="str">
        <f> IF(DL123&lt;&gt;"",TEXT(AUX!DP$1,"dd-MMM-aa"),"")</f>
      </c>
      <c r="DM103" s="496" t="str">
        <f> IF(DM123&lt;&gt;"",TEXT(AUX!DQ$1,"dd-MMM-aa"),"")</f>
      </c>
      <c r="DN103" s="496" t="str">
        <f> IF(DN123&lt;&gt;"",TEXT(AUX!DR$1,"dd-MMM-aa"),"")</f>
      </c>
      <c r="DO103" s="496" t="str">
        <f> IF(DO123&lt;&gt;"",TEXT(AUX!DS$1,"dd-MMM-aa"),"")</f>
      </c>
      <c r="DP103" s="496" t="str">
        <f> IF(DP123&lt;&gt;"",TEXT(AUX!DT$1,"dd-MMM-aa"),"")</f>
      </c>
      <c r="DQ103" s="496" t="str">
        <f> IF(DQ123&lt;&gt;"",TEXT(AUX!DU$1,"dd-MMM-aa"),"")</f>
      </c>
      <c r="DR103" s="496" t="str">
        <f> IF(DR123&lt;&gt;"",TEXT(AUX!DV$1,"dd-MMM-aa"),"")</f>
      </c>
      <c r="DS103" s="496" t="str">
        <f> IF(DS123&lt;&gt;"",TEXT(AUX!DW$1,"dd-MMM-aa"),"")</f>
      </c>
      <c r="DT103" s="496" t="str">
        <f> IF(DT123&lt;&gt;"",TEXT(AUX!DX$1,"dd-MMM-aa"),"")</f>
      </c>
      <c r="DU103" s="496" t="str">
        <f> IF(DU123&lt;&gt;"",TEXT(AUX!DY$1,"dd-MMM-aa"),"")</f>
      </c>
      <c r="DV103" s="496" t="str">
        <f> IF(DV123&lt;&gt;"",TEXT(AUX!DZ$1,"dd-MMM-aa"),"")</f>
      </c>
      <c r="DW103" s="496" t="str">
        <f> IF(DW123&lt;&gt;"",TEXT(AUX!EA$1,"dd-MMM-aa"),"")</f>
      </c>
      <c r="DX103" s="496" t="str">
        <f> IF(DX123&lt;&gt;"",TEXT(AUX!EB$1,"dd-MMM-aa"),"")</f>
      </c>
      <c r="DY103" s="496" t="str">
        <f> IF(DY123&lt;&gt;"",TEXT(AUX!EC$1,"dd-MMM-aa"),"")</f>
      </c>
      <c r="DZ103" s="496" t="str">
        <f> IF(DZ123&lt;&gt;"",TEXT(AUX!ED$1,"dd-MMM-aa"),"")</f>
      </c>
      <c r="EA103" s="496" t="str">
        <f> IF(EA123&lt;&gt;"",TEXT(AUX!EE$1,"dd-MMM-aa"),"")</f>
      </c>
      <c r="EB103" s="496" t="str">
        <f> IF(EB123&lt;&gt;"",TEXT(AUX!EF$1,"dd-MMM-aa"),"")</f>
      </c>
      <c r="EC103" s="496" t="str">
        <f> IF(EC123&lt;&gt;"",TEXT(AUX!EG$1,"dd-MMM-aa"),"")</f>
      </c>
      <c r="ED103" s="496" t="str">
        <f> IF(ED123&lt;&gt;"",TEXT(AUX!EH$1,"dd-MMM-aa"),"")</f>
      </c>
      <c r="EE103" s="496" t="str">
        <f> IF(EE123&lt;&gt;"",TEXT(AUX!EI$1,"dd-MMM-aa"),"")</f>
      </c>
      <c r="EF103" s="496" t="str">
        <f> IF(EF123&lt;&gt;"",TEXT(AUX!EJ$1,"dd-MMM-aa"),"")</f>
      </c>
      <c r="EG103" s="496" t="str">
        <f> IF(EG123&lt;&gt;"",TEXT(AUX!EK$1,"dd-MMM-aa"),"")</f>
      </c>
      <c r="EH103" s="496" t="str">
        <f> IF(EH123&lt;&gt;"",TEXT(AUX!EL$1,"dd-MMM-aa"),"")</f>
      </c>
      <c r="EI103" s="496" t="str">
        <f> IF(EI123&lt;&gt;"",TEXT(AUX!EM$1,"dd-MMM-aa"),"")</f>
      </c>
      <c r="EJ103" s="496" t="str">
        <f> IF(EJ123&lt;&gt;"",TEXT(AUX!EN$1,"dd-MMM-aa"),"")</f>
      </c>
      <c r="EK103" s="496" t="str">
        <f> IF(EK123&lt;&gt;"",TEXT(AUX!EO$1,"dd-MMM-aa"),"")</f>
      </c>
      <c r="EL103" s="496" t="str">
        <f> IF(EL123&lt;&gt;"",TEXT(AUX!EP$1,"dd-MMM-aa"),"")</f>
      </c>
      <c r="EM103" s="496" t="str">
        <f> IF(EM123&lt;&gt;"",TEXT(AUX!EQ$1,"dd-MMM-aa"),"")</f>
      </c>
      <c r="EN103" s="496" t="str">
        <f> IF(EN123&lt;&gt;"",TEXT(AUX!ER$1,"dd-MMM-aa"),"")</f>
      </c>
      <c r="EO103" s="496" t="str">
        <f> IF(EO123&lt;&gt;"",TEXT(AUX!ES$1,"dd-MMM-aa"),"")</f>
      </c>
      <c r="EP103" s="496" t="str">
        <f> IF(EP123&lt;&gt;"",TEXT(AUX!ET$1,"dd-MMM-aa"),"")</f>
      </c>
      <c r="EQ103" s="496" t="str">
        <f> IF(EQ123&lt;&gt;"",TEXT(AUX!EU$1,"dd-MMM-aa"),"")</f>
      </c>
      <c r="ER103" s="496" t="str">
        <f> IF(ER123&lt;&gt;"",TEXT(AUX!EV$1,"dd-MMM-aa"),"")</f>
      </c>
      <c r="ES103" s="496" t="str">
        <f> IF(ES123&lt;&gt;"",TEXT(AUX!EW$1,"dd-MMM-aa"),"")</f>
      </c>
      <c r="ET103" s="496" t="str">
        <f> IF(ET123&lt;&gt;"",TEXT(AUX!EX$1,"dd-MMM-aa"),"")</f>
      </c>
      <c r="EU103" s="496" t="str">
        <f> IF(EU123&lt;&gt;"",TEXT(AUX!EY$1,"dd-MMM-aa"),"")</f>
      </c>
      <c r="EV103" s="496" t="str">
        <f> IF(EV123&lt;&gt;"",TEXT(AUX!EZ$1,"dd-MMM-aa"),"")</f>
      </c>
      <c r="EW103" s="496" t="str">
        <f> IF(EW123&lt;&gt;"",TEXT(AUX!FA$1,"dd-MMM-aa"),"")</f>
      </c>
      <c r="EX103" s="496" t="str">
        <f> IF(EX123&lt;&gt;"",TEXT(AUX!FB$1,"dd-MMM-aa"),"")</f>
      </c>
      <c r="EY103" s="496" t="str">
        <f> IF(EY123&lt;&gt;"",TEXT(AUX!FC$1,"dd-MMM-aa"),"")</f>
      </c>
      <c r="EZ103" s="496" t="str">
        <f> IF(EZ123&lt;&gt;"",TEXT(AUX!FD$1,"dd-MMM-aa"),"")</f>
      </c>
      <c r="FA103" s="496" t="str">
        <f> IF(FA123&lt;&gt;"",TEXT(AUX!FE$1,"dd-MMM-aa"),"")</f>
      </c>
      <c r="FB103" s="496" t="str">
        <f> IF(FB123&lt;&gt;"",TEXT(AUX!FF$1,"dd-MMM-aa"),"")</f>
      </c>
      <c r="FC103" s="496" t="str">
        <f> IF(FC123&lt;&gt;"",TEXT(AUX!FG$1,"dd-MMM-aa"),"")</f>
      </c>
      <c r="FD103" s="496" t="str">
        <f> IF(FD123&lt;&gt;"",TEXT(AUX!FH$1,"dd-MMM-aa"),"")</f>
      </c>
      <c r="FE103" s="496" t="str">
        <f> IF(FE123&lt;&gt;"",TEXT(AUX!FI$1,"dd-MMM-aa"),"")</f>
      </c>
      <c r="FF103" s="496" t="str">
        <f> IF(FF123&lt;&gt;"",TEXT(AUX!FJ$1,"dd-MMM-aa"),"")</f>
      </c>
      <c r="FG103" s="496" t="str">
        <f> IF(FG123&lt;&gt;"",TEXT(AUX!FK$1,"dd-MMM-aa"),"")</f>
      </c>
      <c r="FH103" s="496" t="str">
        <f> IF(FH123&lt;&gt;"",TEXT(AUX!FL$1,"dd-MMM-aa"),"")</f>
      </c>
      <c r="FI103" s="496" t="str">
        <f> IF(FI123&lt;&gt;"",TEXT(AUX!FM$1,"dd-MMM-aa"),"")</f>
      </c>
      <c r="FJ103" s="496" t="str">
        <f> IF(FJ123&lt;&gt;"",TEXT(AUX!FN$1,"dd-MMM-aa"),"")</f>
      </c>
      <c r="FK103" s="496" t="str">
        <f> IF(FK123&lt;&gt;"",TEXT(AUX!FO$1,"dd-MMM-aa"),"")</f>
      </c>
      <c r="FL103" s="496" t="str">
        <f> IF(FL123&lt;&gt;"",TEXT(AUX!FP$1,"dd-MMM-aa"),"")</f>
      </c>
      <c r="FM103" s="496" t="str">
        <f> IF(FM123&lt;&gt;"",TEXT(AUX!FQ$1,"dd-MMM-aa"),"")</f>
      </c>
      <c r="FN103" s="496" t="str">
        <f> IF(FN123&lt;&gt;"",TEXT(AUX!FR$1,"dd-MMM-aa"),"")</f>
      </c>
      <c r="FO103" s="496" t="str">
        <f> IF(FO123&lt;&gt;"",TEXT(AUX!FS$1,"dd-MMM-aa"),"")</f>
      </c>
      <c r="FP103" s="496" t="str">
        <f> IF(FP123&lt;&gt;"",TEXT(AUX!FT$1,"dd-MMM-aa"),"")</f>
      </c>
      <c r="FQ103" s="496" t="str">
        <f> IF(FQ123&lt;&gt;"",TEXT(AUX!FU$1,"dd-MMM-aa"),"")</f>
      </c>
      <c r="FR103" s="496" t="str">
        <f> IF(FR123&lt;&gt;"",TEXT(AUX!FV$1,"dd-MMM-aa"),"")</f>
      </c>
      <c r="FS103" s="496" t="str">
        <f> IF(FS123&lt;&gt;"",TEXT(AUX!FW$1,"dd-MMM-aa"),"")</f>
      </c>
      <c r="FT103" s="496" t="str">
        <f> IF(FT123&lt;&gt;"",TEXT(AUX!FX$1,"dd-MMM-aa"),"")</f>
      </c>
      <c r="FU103" s="496" t="str">
        <f> IF(FU123&lt;&gt;"",TEXT(AUX!FY$1,"dd-MMM-aa"),"")</f>
      </c>
      <c r="FV103" s="496" t="str">
        <f> IF(FV123&lt;&gt;"",TEXT(AUX!FZ$1,"dd-MMM-aa"),"")</f>
      </c>
      <c r="FW103" s="496" t="str">
        <f> IF(FW123&lt;&gt;"",TEXT(AUX!GA$1,"dd-MMM-aa"),"")</f>
      </c>
      <c r="FX103" s="496" t="str">
        <f> IF(FX123&lt;&gt;"",TEXT(AUX!GB$1,"dd-MMM-aa"),"")</f>
      </c>
      <c r="FY103" s="496" t="str">
        <f> IF(FY123&lt;&gt;"",TEXT(AUX!GC$1,"dd-MMM-aa"),"")</f>
      </c>
      <c r="FZ103" s="496" t="str">
        <f> IF(FZ123&lt;&gt;"",TEXT(AUX!GD$1,"dd-MMM-aa"),"")</f>
      </c>
      <c r="GA103" s="496" t="str">
        <f> IF(GA123&lt;&gt;"",TEXT(AUX!GE$1,"dd-MMM-aa"),"")</f>
      </c>
      <c r="GB103" s="496" t="str">
        <f> IF(GB123&lt;&gt;"",TEXT(AUX!GF$1,"dd-MMM-aa"),"")</f>
      </c>
      <c r="GC103" s="496" t="str">
        <f> IF(GC123&lt;&gt;"",TEXT(AUX!GG$1,"dd-MMM-aa"),"")</f>
      </c>
      <c r="GD103" s="496" t="str">
        <f> IF(GD123&lt;&gt;"",TEXT(AUX!GH$1,"dd-MMM-aa"),"")</f>
      </c>
      <c r="GE103" s="496" t="str">
        <f> IF(GE123&lt;&gt;"",TEXT(AUX!GI$1,"dd-MMM-aa"),"")</f>
      </c>
      <c r="GF103" s="496" t="str">
        <f> IF(GF123&lt;&gt;"",TEXT(AUX!GJ$1,"dd-MMM-aa"),"")</f>
      </c>
      <c r="GG103" s="496" t="str">
        <f> IF(GG123&lt;&gt;"",TEXT(AUX!GK$1,"dd-MMM-aa"),"")</f>
      </c>
      <c r="GH103" s="496" t="str">
        <f> IF(GH123&lt;&gt;"",TEXT(AUX!GL$1,"dd-MMM-aa"),"")</f>
      </c>
      <c r="GI103" s="496" t="str">
        <f> IF(GI123&lt;&gt;"",TEXT(AUX!GM$1,"dd-MMM-aa"),"")</f>
      </c>
      <c r="GJ103" s="496" t="str">
        <f> IF(GJ123&lt;&gt;"",TEXT(AUX!GN$1,"dd-MMM-aa"),"")</f>
      </c>
      <c r="GK103" s="496" t="str">
        <f> IF(GK123&lt;&gt;"",TEXT(AUX!GO$1,"dd-MMM-aa"),"")</f>
      </c>
      <c r="GL103" s="496" t="str">
        <f> IF(GL123&lt;&gt;"",TEXT(AUX!GP$1,"dd-MMM-aa"),"")</f>
      </c>
      <c r="GM103" s="496" t="str">
        <f> IF(GM123&lt;&gt;"",TEXT(AUX!GQ$1,"dd-MMM-aa"),"")</f>
      </c>
      <c r="GN103" s="496" t="str">
        <f> IF(GN123&lt;&gt;"",TEXT(AUX!GR$1,"dd-MMM-aa"),"")</f>
      </c>
      <c r="GO103" s="496" t="str">
        <f> IF(GO123&lt;&gt;"",TEXT(AUX!GS$1,"dd-MMM-aa"),"")</f>
      </c>
      <c r="GP103" s="496" t="str">
        <f> IF(GP123&lt;&gt;"",TEXT(AUX!GT$1,"dd-MMM-aa"),"")</f>
      </c>
      <c r="GQ103" s="496" t="str">
        <f> IF(GQ123&lt;&gt;"",TEXT(AUX!GU$1,"dd-MMM-aa"),"")</f>
      </c>
      <c r="GR103" s="496" t="str">
        <f> IF(GR123&lt;&gt;"",TEXT(AUX!GV$1,"dd-MMM-aa"),"")</f>
      </c>
      <c r="GS103" s="496" t="str">
        <f> IF(GS123&lt;&gt;"",TEXT(AUX!GW$1,"dd-MMM-aa"),"")</f>
      </c>
      <c r="GT103" s="496" t="str">
        <f> IF(GT123&lt;&gt;"",TEXT(AUX!GX$1,"dd-MMM-aa"),"")</f>
      </c>
      <c r="GU103" s="496" t="str">
        <f> IF(GU123&lt;&gt;"",TEXT(AUX!GY$1,"dd-MMM-aa"),"")</f>
      </c>
      <c r="GV103" s="496" t="str">
        <f> IF(GV123&lt;&gt;"",TEXT(AUX!GZ$1,"dd-MMM-aa"),"")</f>
      </c>
      <c r="GW103" s="496" t="str">
        <f> IF(GW123&lt;&gt;"",TEXT(AUX!HA$1,"dd-MMM-aa"),"")</f>
      </c>
      <c r="GX103" s="496" t="str">
        <f> IF(GX123&lt;&gt;"",TEXT(AUX!HB$1,"dd-MMM-aa"),"")</f>
      </c>
      <c r="GY103" s="496" t="str">
        <f> IF(GY123&lt;&gt;"",TEXT(AUX!HC$1,"dd-MMM-aa"),"")</f>
      </c>
      <c r="GZ103" s="496" t="str">
        <f> IF(GZ123&lt;&gt;"",TEXT(AUX!HD$1,"dd-MMM-aa"),"")</f>
      </c>
      <c r="HA103" s="496" t="str">
        <f> IF(HA123&lt;&gt;"",TEXT(AUX!HE$1,"dd-MMM-aa"),"")</f>
      </c>
      <c r="HB103" s="496" t="str">
        <f> IF(HB123&lt;&gt;"",TEXT(AUX!HF$1,"dd-MMM-aa"),"")</f>
      </c>
      <c r="HC103" s="496" t="str">
        <f> IF(HC123&lt;&gt;"",TEXT(AUX!HG$1,"dd-MMM-aa"),"")</f>
      </c>
      <c r="HD103" s="496" t="str">
        <f> IF(HD123&lt;&gt;"",TEXT(AUX!HH$1,"dd-MMM-aa"),"")</f>
      </c>
      <c r="HE103" s="496" t="str">
        <f> IF(HE123&lt;&gt;"",TEXT(AUX!HI$1,"dd-MMM-aa"),"")</f>
      </c>
      <c r="HF103" s="496" t="str">
        <f> IF(HF123&lt;&gt;"",TEXT(AUX!HJ$1,"dd-MMM-aa"),"")</f>
      </c>
      <c r="HG103" s="496" t="str">
        <f> IF(HG123&lt;&gt;"",TEXT(AUX!HK$1,"dd-MMM-aa"),"")</f>
      </c>
      <c r="HH103" s="496" t="str">
        <f> IF(HH123&lt;&gt;"",TEXT(AUX!HL$1,"dd-MMM-aa"),"")</f>
      </c>
      <c r="HI103" s="496" t="str">
        <f> IF(HI123&lt;&gt;"",TEXT(AUX!HM$1,"dd-MMM-aa"),"")</f>
      </c>
      <c r="HJ103" s="496" t="str">
        <f> IF(HJ123&lt;&gt;"",TEXT(AUX!HN$1,"dd-MMM-aa"),"")</f>
      </c>
      <c r="HK103" s="496" t="str">
        <f> IF(HK123&lt;&gt;"",TEXT(AUX!HO$1,"dd-MMM-aa"),"")</f>
      </c>
      <c r="HL103" s="496" t="str">
        <f> IF(HL123&lt;&gt;"",TEXT(AUX!HP$1,"dd-MMM-aa"),"")</f>
      </c>
      <c r="HM103" s="496" t="str">
        <f> IF(HM123&lt;&gt;"",TEXT(AUX!HQ$1,"dd-MMM-aa"),"")</f>
      </c>
      <c r="HN103" s="496" t="str">
        <f> IF(HN123&lt;&gt;"",TEXT(AUX!HR$1,"dd-MMM-aa"),"")</f>
      </c>
      <c r="HO103" s="496" t="str">
        <f> IF(HO123&lt;&gt;"",TEXT(AUX!HS$1,"dd-MMM-aa"),"")</f>
      </c>
      <c r="HP103" s="496" t="str">
        <f> IF(HP123&lt;&gt;"",TEXT(AUX!HT$1,"dd-MMM-aa"),"")</f>
      </c>
      <c r="HQ103" s="496" t="str">
        <f> IF(HQ123&lt;&gt;"",TEXT(AUX!HU$1,"dd-MMM-aa"),"")</f>
      </c>
      <c r="HR103" s="496" t="str">
        <f> IF(HR123&lt;&gt;"",TEXT(AUX!HV$1,"dd-MMM-aa"),"")</f>
      </c>
      <c r="HS103" s="496" t="str">
        <f> IF(HS123&lt;&gt;"",TEXT(AUX!HW$1,"dd-MMM-aa"),"")</f>
      </c>
      <c r="HT103" s="496" t="str">
        <f> IF(HT123&lt;&gt;"",TEXT(AUX!HX$1,"dd-MMM-aa"),"")</f>
      </c>
      <c r="HU103" s="496" t="str">
        <f> IF(HU123&lt;&gt;"",TEXT(AUX!HY$1,"dd-MMM-aa"),"")</f>
      </c>
      <c r="HV103" s="496" t="str">
        <f> IF(HV123&lt;&gt;"",TEXT(AUX!HZ$1,"dd-MMM-aa"),"")</f>
      </c>
      <c r="HW103" s="496" t="str">
        <f> IF(HW123&lt;&gt;"",TEXT(AUX!IA$1,"dd-MMM-aa"),"")</f>
      </c>
      <c r="HX103" s="496" t="str">
        <f> IF(HX123&lt;&gt;"",TEXT(AUX!IB$1,"dd-MMM-aa"),"")</f>
      </c>
      <c r="HY103" s="496" t="str">
        <f> IF(HY123&lt;&gt;"",TEXT(AUX!IC$1,"dd-MMM-aa"),"")</f>
      </c>
      <c r="HZ103" s="496" t="str">
        <f> IF(HZ123&lt;&gt;"",TEXT(AUX!ID$1,"dd-MMM-aa"),"")</f>
      </c>
      <c r="IA103" s="496" t="str">
        <f> IF(IA123&lt;&gt;"",TEXT(AUX!IE$1,"dd-MMM-aa"),"")</f>
      </c>
      <c r="IB103" s="496" t="str">
        <f> IF(IB123&lt;&gt;"",TEXT(AUX!IF$1,"dd-MMM-aa"),"")</f>
      </c>
      <c r="IC103" s="496" t="str">
        <f> IF(IC123&lt;&gt;"",TEXT(AUX!IG$1,"dd-MMM-aa"),"")</f>
      </c>
      <c r="ID103" s="496" t="str">
        <f> IF(ID123&lt;&gt;"",TEXT(AUX!IH$1,"dd-MMM-aa"),"")</f>
      </c>
      <c r="IE103" s="496" t="str">
        <f> IF(IE123&lt;&gt;"",TEXT(AUX!II$1,"dd-MMM-aa"),"")</f>
      </c>
      <c r="IF103" s="496" t="str">
        <f> IF(IF123&lt;&gt;"",TEXT(AUX!IJ$1,"dd-MMM-aa"),"")</f>
      </c>
      <c r="IG103" s="496" t="str">
        <f> IF(IG123&lt;&gt;"",TEXT(AUX!IK$1,"dd-MMM-aa"),"")</f>
      </c>
      <c r="IH103" s="496" t="str">
        <f> IF(IH123&lt;&gt;"",TEXT(AUX!IL$1,"dd-MMM-aa"),"")</f>
      </c>
      <c r="II103" s="496" t="str">
        <f> IF(II123&lt;&gt;"",TEXT(AUX!IM$1,"dd-MMM-aa"),"")</f>
      </c>
      <c r="IJ103" s="496" t="str">
        <f> IF(IJ123&lt;&gt;"",TEXT(AUX!IN$1,"dd-MMM-aa"),"")</f>
      </c>
      <c r="IK103" s="496" t="str">
        <f> IF(IK123&lt;&gt;"",TEXT(AUX!IO$1,"dd-MMM-aa"),"")</f>
      </c>
      <c r="IL103" s="496" t="str">
        <f> IF(IL123&lt;&gt;"",TEXT(AUX!IP$1,"dd-MMM-aa"),"")</f>
      </c>
      <c r="IM103" s="496" t="str">
        <f> IF(IM123&lt;&gt;"",TEXT(AUX!IQ$1,"dd-MMM-aa"),"")</f>
      </c>
      <c r="IN103" s="496" t="str">
        <f> IF(IN123&lt;&gt;"",TEXT(AUX!IR$1,"dd-MMM-aa"),"")</f>
      </c>
      <c r="IO103" s="496" t="str">
        <f> IF(IO123&lt;&gt;"",TEXT(AUX!IS$1,"dd-MMM-aa"),"")</f>
      </c>
      <c r="IP103" s="496" t="str">
        <f> IF(IP123&lt;&gt;"",TEXT(AUX!IT$1,"dd-MMM-aa"),"")</f>
      </c>
      <c r="IQ103" s="496" t="str">
        <f> IF(IQ123&lt;&gt;"",TEXT(AUX!IU$1,"dd-MMM-aa"),"")</f>
      </c>
      <c r="IR103" s="496" t="str">
        <f> IF(IR123&lt;&gt;"",TEXT(AUX!IV$1,"dd-MMM-aa"),"")</f>
      </c>
      <c r="IS103" s="496" t="str">
        <f> IF(IS123&lt;&gt;"",TEXT(AUX!#REF!,"dd-MMM-aa"),"")</f>
      </c>
      <c r="IT103" s="496" t="str">
        <f> IF(IT123&lt;&gt;"",TEXT(AUX!#REF!,"dd-MMM-aa"),"")</f>
      </c>
      <c r="IU103" s="496" t="str">
        <f> IF(IU123&lt;&gt;"",TEXT(AUX!#REF!,"dd-MMM-aa"),"")</f>
      </c>
      <c r="IV103" s="496" t="str">
        <f> IF(IV123&lt;&gt;"",TEXT(AUX!#REF!,"dd-MMM-aa"),"")</f>
      </c>
    </row>
    <row r="104" hidden="1" ht="12.75" customHeight="1">
      <c r="B104" s="822" t="s">
        <v>8</v>
      </c>
      <c r="C104" s="823">
        <v>74</v>
      </c>
      <c r="D104" s="823">
        <v>73</v>
      </c>
      <c r="E104" s="823">
        <v>89</v>
      </c>
      <c r="F104" s="823">
        <v>96</v>
      </c>
      <c r="G104" s="823">
        <v>100</v>
      </c>
      <c r="H104" s="823">
        <v>142</v>
      </c>
      <c r="I104" s="823">
        <v>156</v>
      </c>
      <c r="J104" s="823">
        <v>163</v>
      </c>
      <c r="K104" s="823">
        <v>171</v>
      </c>
      <c r="L104" s="823">
        <v>175</v>
      </c>
      <c r="M104" s="823">
        <v>185</v>
      </c>
      <c r="N104" s="823">
        <v>190</v>
      </c>
      <c r="O104" s="823">
        <v>188</v>
      </c>
      <c r="P104" s="823">
        <v>207</v>
      </c>
      <c r="Q104" s="823">
        <v>206</v>
      </c>
      <c r="R104" s="823">
        <v>210</v>
      </c>
      <c r="S104" s="823">
        <v>220</v>
      </c>
      <c r="T104" s="823">
        <v>227</v>
      </c>
      <c r="U104" s="823">
        <v>233</v>
      </c>
      <c r="V104" s="823">
        <v>245</v>
      </c>
      <c r="W104" s="823">
        <v>243</v>
      </c>
      <c r="X104" s="823">
        <v>251</v>
      </c>
      <c r="Y104" s="823">
        <v>253</v>
      </c>
      <c r="Z104" s="823">
        <v>649</v>
      </c>
      <c r="AA104" s="823">
        <v>655</v>
      </c>
      <c r="AB104" s="824">
        <v>659</v>
      </c>
      <c r="AC104" s="825">
        <v>664</v>
      </c>
      <c r="AD104" s="825">
        <v>667</v>
      </c>
      <c r="AE104" s="825">
        <v>664</v>
      </c>
      <c r="AF104" s="825">
        <v>665</v>
      </c>
      <c r="AG104" s="825">
        <v>687</v>
      </c>
      <c r="AH104" s="825">
        <v>690</v>
      </c>
      <c r="AI104" s="825">
        <v>716</v>
      </c>
      <c r="AJ104" s="825">
        <v>735</v>
      </c>
      <c r="AK104" s="825">
        <v>751</v>
      </c>
      <c r="AL104" s="825">
        <v>781</v>
      </c>
      <c r="AM104" s="825">
        <v>800</v>
      </c>
      <c r="AN104" s="825">
        <v>741</v>
      </c>
      <c r="AO104" s="825">
        <v>773</v>
      </c>
      <c r="AP104" s="825">
        <v>810</v>
      </c>
    </row>
    <row r="105" hidden="1" ht="12.75" customHeight="1">
      <c r="B105" s="826" t="s">
        <v>9</v>
      </c>
      <c r="C105" s="827">
        <v>451</v>
      </c>
      <c r="D105" s="827">
        <v>445</v>
      </c>
      <c r="E105" s="827">
        <v>423</v>
      </c>
      <c r="F105" s="827">
        <v>408</v>
      </c>
      <c r="G105" s="827">
        <v>396</v>
      </c>
      <c r="H105" s="827">
        <v>385</v>
      </c>
      <c r="I105" s="827">
        <v>376</v>
      </c>
      <c r="J105" s="827">
        <v>370</v>
      </c>
      <c r="K105" s="827">
        <v>366</v>
      </c>
      <c r="L105" s="827">
        <v>362</v>
      </c>
      <c r="M105" s="827">
        <v>359</v>
      </c>
      <c r="N105" s="827">
        <v>359</v>
      </c>
      <c r="O105" s="827">
        <v>259</v>
      </c>
      <c r="P105" s="827">
        <v>269</v>
      </c>
      <c r="Q105" s="827">
        <v>273</v>
      </c>
      <c r="R105" s="827">
        <v>265</v>
      </c>
      <c r="S105" s="827">
        <v>263</v>
      </c>
      <c r="T105" s="827">
        <v>268</v>
      </c>
      <c r="U105" s="827">
        <v>263</v>
      </c>
      <c r="V105" s="827">
        <v>249</v>
      </c>
      <c r="W105" s="827">
        <v>241</v>
      </c>
      <c r="X105" s="827">
        <v>236</v>
      </c>
      <c r="Y105" s="827">
        <v>227</v>
      </c>
      <c r="Z105" s="827">
        <v>216</v>
      </c>
      <c r="AA105" s="827">
        <v>212</v>
      </c>
      <c r="AB105" s="827">
        <v>198</v>
      </c>
      <c r="AC105" s="828">
        <v>196</v>
      </c>
      <c r="AD105" s="828">
        <v>188</v>
      </c>
      <c r="AE105" s="828">
        <v>188</v>
      </c>
      <c r="AF105" s="828">
        <v>182</v>
      </c>
      <c r="AG105" s="828">
        <v>182</v>
      </c>
      <c r="AH105" s="828">
        <v>178</v>
      </c>
      <c r="AI105" s="828">
        <v>173</v>
      </c>
      <c r="AJ105" s="828">
        <v>170</v>
      </c>
      <c r="AK105" s="828">
        <v>166</v>
      </c>
      <c r="AL105" s="828">
        <v>164</v>
      </c>
      <c r="AM105" s="828">
        <v>146</v>
      </c>
      <c r="AN105" s="828">
        <v>135</v>
      </c>
      <c r="AO105" s="828">
        <v>136</v>
      </c>
      <c r="AP105" s="828">
        <v>129</v>
      </c>
    </row>
    <row r="106" hidden="1" ht="12.75" customHeight="1">
      <c r="B106" s="829" t="s">
        <v>10</v>
      </c>
      <c r="C106" s="823">
        <v>77</v>
      </c>
      <c r="D106" s="823">
        <v>76</v>
      </c>
      <c r="E106" s="823">
        <v>73</v>
      </c>
      <c r="F106" s="823">
        <v>73</v>
      </c>
      <c r="G106" s="823">
        <v>65</v>
      </c>
      <c r="H106" s="823">
        <v>34</v>
      </c>
      <c r="I106" s="823">
        <v>34</v>
      </c>
      <c r="J106" s="823">
        <v>34</v>
      </c>
      <c r="K106" s="823">
        <v>26</v>
      </c>
      <c r="L106" s="823">
        <v>25</v>
      </c>
      <c r="M106" s="823">
        <v>25</v>
      </c>
      <c r="N106" s="823">
        <v>25</v>
      </c>
      <c r="O106" s="823">
        <v>25</v>
      </c>
      <c r="P106" s="823">
        <v>36</v>
      </c>
      <c r="Q106" s="823">
        <v>28</v>
      </c>
      <c r="R106" s="823">
        <v>37</v>
      </c>
      <c r="S106" s="823">
        <v>37</v>
      </c>
      <c r="T106" s="823">
        <v>39</v>
      </c>
      <c r="U106" s="823">
        <v>46</v>
      </c>
      <c r="V106" s="823">
        <v>48</v>
      </c>
      <c r="W106" s="823">
        <v>55</v>
      </c>
      <c r="X106" s="823">
        <v>55</v>
      </c>
      <c r="Y106" s="823">
        <v>57</v>
      </c>
      <c r="Z106" s="823">
        <v>60</v>
      </c>
      <c r="AA106" s="823">
        <v>63</v>
      </c>
      <c r="AB106" s="823">
        <v>64</v>
      </c>
      <c r="AC106" s="825">
        <v>67</v>
      </c>
      <c r="AD106" s="825">
        <v>69</v>
      </c>
      <c r="AE106" s="825">
        <v>74</v>
      </c>
      <c r="AF106" s="825">
        <v>79</v>
      </c>
      <c r="AG106" s="825">
        <v>81</v>
      </c>
      <c r="AH106" s="825">
        <v>84</v>
      </c>
      <c r="AI106" s="825">
        <v>86</v>
      </c>
      <c r="AJ106" s="825">
        <v>90</v>
      </c>
      <c r="AK106" s="825">
        <v>91</v>
      </c>
      <c r="AL106" s="825">
        <v>95</v>
      </c>
      <c r="AM106" s="825">
        <v>99</v>
      </c>
      <c r="AN106" s="825">
        <v>104</v>
      </c>
      <c r="AO106" s="825">
        <v>109</v>
      </c>
      <c r="AP106" s="825">
        <v>110</v>
      </c>
    </row>
    <row r="107" hidden="1" ht="12.75" customHeight="1">
      <c r="B107" s="826" t="s">
        <v>11</v>
      </c>
      <c r="C107" s="827">
        <v>469</v>
      </c>
      <c r="D107" s="827">
        <v>437</v>
      </c>
      <c r="E107" s="827">
        <v>432</v>
      </c>
      <c r="F107" s="827">
        <v>434</v>
      </c>
      <c r="G107" s="827">
        <v>148</v>
      </c>
      <c r="H107" s="827">
        <v>130</v>
      </c>
      <c r="I107" s="827">
        <v>137</v>
      </c>
      <c r="J107" s="827">
        <v>109</v>
      </c>
      <c r="K107" s="827">
        <v>55</v>
      </c>
      <c r="L107" s="827">
        <v>25</v>
      </c>
      <c r="M107" s="827">
        <v>29</v>
      </c>
      <c r="N107" s="827">
        <v>25</v>
      </c>
      <c r="O107" s="827">
        <v>27</v>
      </c>
      <c r="P107" s="827">
        <v>29</v>
      </c>
      <c r="Q107" s="827">
        <v>30</v>
      </c>
      <c r="R107" s="827">
        <v>27</v>
      </c>
      <c r="S107" s="827">
        <v>27</v>
      </c>
      <c r="T107" s="827">
        <v>27</v>
      </c>
      <c r="U107" s="827">
        <v>27</v>
      </c>
      <c r="V107" s="827">
        <v>29</v>
      </c>
      <c r="W107" s="827">
        <v>29</v>
      </c>
      <c r="X107" s="827">
        <v>29</v>
      </c>
      <c r="Y107" s="827">
        <v>27</v>
      </c>
      <c r="Z107" s="827">
        <v>27</v>
      </c>
      <c r="AA107" s="827">
        <v>30</v>
      </c>
      <c r="AB107" s="827">
        <v>31</v>
      </c>
      <c r="AC107" s="828">
        <v>32</v>
      </c>
      <c r="AD107" s="828">
        <v>35</v>
      </c>
      <c r="AE107" s="828">
        <v>37</v>
      </c>
      <c r="AF107" s="828">
        <v>37</v>
      </c>
      <c r="AG107" s="828">
        <v>39</v>
      </c>
      <c r="AH107" s="828">
        <v>39</v>
      </c>
      <c r="AI107" s="828">
        <v>42</v>
      </c>
      <c r="AJ107" s="828">
        <v>43</v>
      </c>
      <c r="AK107" s="828">
        <v>46</v>
      </c>
      <c r="AL107" s="828">
        <v>48</v>
      </c>
      <c r="AM107" s="828">
        <v>49</v>
      </c>
      <c r="AN107" s="828">
        <v>49</v>
      </c>
      <c r="AO107" s="828">
        <v>49</v>
      </c>
      <c r="AP107" s="828">
        <v>53</v>
      </c>
    </row>
    <row r="108" hidden="1" ht="12.75" customHeight="1">
      <c r="B108" s="829" t="s">
        <v>12</v>
      </c>
      <c r="C108" s="823">
        <v>245</v>
      </c>
      <c r="D108" s="823">
        <v>261</v>
      </c>
      <c r="E108" s="823">
        <v>281</v>
      </c>
      <c r="F108" s="823">
        <v>286</v>
      </c>
      <c r="G108" s="823">
        <v>290</v>
      </c>
      <c r="H108" s="823">
        <v>300</v>
      </c>
      <c r="I108" s="823">
        <v>312</v>
      </c>
      <c r="J108" s="823">
        <v>220</v>
      </c>
      <c r="K108" s="823">
        <v>212</v>
      </c>
      <c r="L108" s="823">
        <v>210</v>
      </c>
      <c r="M108" s="823">
        <v>191</v>
      </c>
      <c r="N108" s="823">
        <v>195</v>
      </c>
      <c r="O108" s="823">
        <v>191</v>
      </c>
      <c r="P108" s="823">
        <v>186</v>
      </c>
      <c r="Q108" s="823">
        <v>180</v>
      </c>
      <c r="R108" s="823">
        <v>179</v>
      </c>
      <c r="S108" s="823">
        <v>163</v>
      </c>
      <c r="T108" s="823">
        <v>164</v>
      </c>
      <c r="U108" s="823">
        <v>156</v>
      </c>
      <c r="V108" s="823">
        <v>156</v>
      </c>
      <c r="W108" s="823">
        <v>147</v>
      </c>
      <c r="X108" s="823">
        <v>146</v>
      </c>
      <c r="Y108" s="823">
        <v>135</v>
      </c>
      <c r="Z108" s="823">
        <v>130</v>
      </c>
      <c r="AA108" s="823">
        <v>126</v>
      </c>
      <c r="AB108" s="823">
        <v>134</v>
      </c>
      <c r="AC108" s="825">
        <v>132</v>
      </c>
      <c r="AD108" s="825">
        <v>126</v>
      </c>
      <c r="AE108" s="825">
        <v>120</v>
      </c>
      <c r="AF108" s="825">
        <v>121</v>
      </c>
      <c r="AG108" s="825">
        <v>122</v>
      </c>
      <c r="AH108" s="825">
        <v>118</v>
      </c>
      <c r="AI108" s="825">
        <v>115</v>
      </c>
      <c r="AJ108" s="825">
        <v>111</v>
      </c>
      <c r="AK108" s="825">
        <v>109</v>
      </c>
      <c r="AL108" s="825">
        <v>115</v>
      </c>
      <c r="AM108" s="825">
        <v>114</v>
      </c>
      <c r="AN108" s="825">
        <v>112</v>
      </c>
      <c r="AO108" s="825">
        <v>112</v>
      </c>
      <c r="AP108" s="825">
        <v>111</v>
      </c>
    </row>
    <row r="109" hidden="1" ht="12.75" customHeight="1">
      <c r="B109" s="826" t="s">
        <v>13</v>
      </c>
      <c r="C109" s="827">
        <v>36</v>
      </c>
      <c r="D109" s="827">
        <v>30</v>
      </c>
      <c r="E109" s="827">
        <v>34</v>
      </c>
      <c r="F109" s="827">
        <v>38</v>
      </c>
      <c r="G109" s="827">
        <v>41</v>
      </c>
      <c r="H109" s="827">
        <v>43</v>
      </c>
      <c r="I109" s="827">
        <v>46</v>
      </c>
      <c r="J109" s="827">
        <v>52</v>
      </c>
      <c r="K109" s="827">
        <v>55</v>
      </c>
      <c r="L109" s="827">
        <v>46</v>
      </c>
      <c r="M109" s="827">
        <v>49</v>
      </c>
      <c r="N109" s="827">
        <v>32</v>
      </c>
      <c r="O109" s="827">
        <v>36</v>
      </c>
      <c r="P109" s="827">
        <v>37</v>
      </c>
      <c r="Q109" s="827">
        <v>40</v>
      </c>
      <c r="R109" s="827">
        <v>40</v>
      </c>
      <c r="S109" s="827">
        <v>42</v>
      </c>
      <c r="T109" s="827">
        <v>41</v>
      </c>
      <c r="U109" s="827">
        <v>39</v>
      </c>
      <c r="V109" s="827">
        <v>39</v>
      </c>
      <c r="W109" s="827">
        <v>40</v>
      </c>
      <c r="X109" s="827">
        <v>38</v>
      </c>
      <c r="Y109" s="827">
        <v>39</v>
      </c>
      <c r="Z109" s="827">
        <v>32</v>
      </c>
      <c r="AA109" s="827">
        <v>34</v>
      </c>
      <c r="AB109" s="827">
        <v>31</v>
      </c>
      <c r="AC109" s="828">
        <v>32</v>
      </c>
      <c r="AD109" s="828">
        <v>32</v>
      </c>
      <c r="AE109" s="828">
        <v>32</v>
      </c>
      <c r="AF109" s="828">
        <v>29</v>
      </c>
      <c r="AG109" s="828">
        <v>29</v>
      </c>
      <c r="AH109" s="828">
        <v>29</v>
      </c>
      <c r="AI109" s="828">
        <v>35</v>
      </c>
      <c r="AJ109" s="828">
        <v>32</v>
      </c>
      <c r="AK109" s="828">
        <v>34</v>
      </c>
      <c r="AL109" s="828">
        <v>33</v>
      </c>
      <c r="AM109" s="828">
        <v>33</v>
      </c>
      <c r="AN109" s="828">
        <v>33</v>
      </c>
      <c r="AO109" s="828">
        <v>34</v>
      </c>
      <c r="AP109" s="828">
        <v>38</v>
      </c>
    </row>
    <row r="110" hidden="1" ht="12.75" customHeight="1">
      <c r="B110" s="829" t="s">
        <v>109</v>
      </c>
      <c r="C110" s="823">
        <v>359</v>
      </c>
      <c r="D110" s="823">
        <v>333</v>
      </c>
      <c r="E110" s="823">
        <v>315</v>
      </c>
      <c r="F110" s="823">
        <v>302</v>
      </c>
      <c r="G110" s="823">
        <v>282</v>
      </c>
      <c r="H110" s="823">
        <v>254</v>
      </c>
      <c r="I110" s="823">
        <v>246</v>
      </c>
      <c r="J110" s="823">
        <v>228</v>
      </c>
      <c r="K110" s="823">
        <v>229</v>
      </c>
      <c r="L110" s="823">
        <v>225</v>
      </c>
      <c r="M110" s="823">
        <v>218</v>
      </c>
      <c r="N110" s="823">
        <v>224</v>
      </c>
      <c r="O110" s="823">
        <v>226</v>
      </c>
      <c r="P110" s="823">
        <v>232</v>
      </c>
      <c r="Q110" s="823">
        <v>232</v>
      </c>
      <c r="R110" s="823">
        <v>220</v>
      </c>
      <c r="S110" s="823">
        <v>220</v>
      </c>
      <c r="T110" s="823">
        <v>222</v>
      </c>
      <c r="U110" s="823">
        <v>217</v>
      </c>
      <c r="V110" s="823">
        <v>511</v>
      </c>
      <c r="W110" s="823">
        <v>498</v>
      </c>
      <c r="X110" s="823">
        <v>498</v>
      </c>
      <c r="Y110" s="823">
        <v>500</v>
      </c>
      <c r="Z110" s="823">
        <v>506</v>
      </c>
      <c r="AA110" s="823">
        <v>509</v>
      </c>
      <c r="AB110" s="823">
        <v>516</v>
      </c>
      <c r="AC110" s="825">
        <v>535</v>
      </c>
      <c r="AD110" s="825">
        <v>551</v>
      </c>
      <c r="AE110" s="825">
        <v>558</v>
      </c>
      <c r="AF110" s="825">
        <v>555</v>
      </c>
      <c r="AG110" s="825">
        <v>582</v>
      </c>
      <c r="AH110" s="825">
        <v>582</v>
      </c>
      <c r="AI110" s="825">
        <v>594</v>
      </c>
      <c r="AJ110" s="825">
        <v>612</v>
      </c>
      <c r="AK110" s="825">
        <v>609</v>
      </c>
      <c r="AL110" s="825">
        <v>609</v>
      </c>
      <c r="AM110" s="825">
        <v>640</v>
      </c>
      <c r="AN110" s="825">
        <v>650</v>
      </c>
      <c r="AO110" s="825">
        <v>673</v>
      </c>
      <c r="AP110" s="825">
        <v>689</v>
      </c>
    </row>
    <row r="111" hidden="1" ht="12.75" customHeight="1">
      <c r="B111" s="826" t="s">
        <v>110</v>
      </c>
      <c r="C111" s="827">
        <v>311</v>
      </c>
      <c r="D111" s="827">
        <v>314</v>
      </c>
      <c r="E111" s="827">
        <v>326</v>
      </c>
      <c r="F111" s="827">
        <v>337</v>
      </c>
      <c r="G111" s="827">
        <v>343</v>
      </c>
      <c r="H111" s="827">
        <v>340</v>
      </c>
      <c r="I111" s="827">
        <v>298</v>
      </c>
      <c r="J111" s="827">
        <v>303</v>
      </c>
      <c r="K111" s="827">
        <v>301</v>
      </c>
      <c r="L111" s="827">
        <v>300</v>
      </c>
      <c r="M111" s="827">
        <v>302</v>
      </c>
      <c r="N111" s="827">
        <v>282</v>
      </c>
      <c r="O111" s="827">
        <v>281</v>
      </c>
      <c r="P111" s="827">
        <v>287</v>
      </c>
      <c r="Q111" s="827">
        <v>282</v>
      </c>
      <c r="R111" s="827">
        <v>287</v>
      </c>
      <c r="S111" s="827">
        <v>298</v>
      </c>
      <c r="T111" s="827">
        <v>294</v>
      </c>
      <c r="U111" s="827">
        <v>303</v>
      </c>
      <c r="V111" s="827">
        <v>305</v>
      </c>
      <c r="W111" s="827">
        <v>304</v>
      </c>
      <c r="X111" s="827">
        <v>311</v>
      </c>
      <c r="Y111" s="827">
        <v>304</v>
      </c>
      <c r="Z111" s="827">
        <v>300</v>
      </c>
      <c r="AA111" s="827">
        <v>298</v>
      </c>
      <c r="AB111" s="827">
        <v>300</v>
      </c>
      <c r="AC111" s="828">
        <v>291</v>
      </c>
      <c r="AD111" s="828">
        <v>292</v>
      </c>
      <c r="AE111" s="828">
        <v>288</v>
      </c>
      <c r="AF111" s="828">
        <v>288</v>
      </c>
      <c r="AG111" s="828">
        <v>287</v>
      </c>
      <c r="AH111" s="828">
        <v>290</v>
      </c>
      <c r="AI111" s="828">
        <v>282</v>
      </c>
      <c r="AJ111" s="828">
        <v>288</v>
      </c>
      <c r="AK111" s="828">
        <v>287</v>
      </c>
      <c r="AL111" s="828">
        <v>283</v>
      </c>
      <c r="AM111" s="828">
        <v>272</v>
      </c>
      <c r="AN111" s="828">
        <v>273</v>
      </c>
      <c r="AO111" s="828">
        <v>272</v>
      </c>
      <c r="AP111" s="828">
        <v>269</v>
      </c>
    </row>
    <row r="112" hidden="1" ht="12.75" customHeight="1">
      <c r="B112" s="829" t="s">
        <v>16</v>
      </c>
      <c r="C112" s="823">
        <v>2264</v>
      </c>
      <c r="D112" s="823">
        <v>2239</v>
      </c>
      <c r="E112" s="823">
        <v>2143</v>
      </c>
      <c r="F112" s="823">
        <v>2091</v>
      </c>
      <c r="G112" s="823">
        <v>2056</v>
      </c>
      <c r="H112" s="823">
        <v>1998</v>
      </c>
      <c r="I112" s="823">
        <v>1888</v>
      </c>
      <c r="J112" s="823">
        <v>1623</v>
      </c>
      <c r="K112" s="823">
        <v>1531</v>
      </c>
      <c r="L112" s="823">
        <v>1494</v>
      </c>
      <c r="M112" s="823">
        <v>1447</v>
      </c>
      <c r="N112" s="823">
        <v>1382</v>
      </c>
      <c r="O112" s="823">
        <v>1326</v>
      </c>
      <c r="P112" s="823">
        <v>1304</v>
      </c>
      <c r="Q112" s="823">
        <v>1264</v>
      </c>
      <c r="R112" s="823">
        <v>1151</v>
      </c>
      <c r="S112" s="823">
        <v>1094</v>
      </c>
      <c r="T112" s="823">
        <v>1046</v>
      </c>
      <c r="U112" s="823">
        <v>911</v>
      </c>
      <c r="V112" s="823">
        <v>884</v>
      </c>
      <c r="W112" s="823">
        <v>824</v>
      </c>
      <c r="X112" s="823">
        <v>808</v>
      </c>
      <c r="Y112" s="823">
        <v>751</v>
      </c>
      <c r="Z112" s="823">
        <v>728</v>
      </c>
      <c r="AA112" s="823">
        <v>712</v>
      </c>
      <c r="AB112" s="823">
        <v>699</v>
      </c>
      <c r="AC112" s="825">
        <v>675</v>
      </c>
      <c r="AD112" s="825">
        <v>642</v>
      </c>
      <c r="AE112" s="825">
        <v>627</v>
      </c>
      <c r="AF112" s="825">
        <v>614</v>
      </c>
      <c r="AG112" s="825">
        <v>582</v>
      </c>
      <c r="AH112" s="825">
        <v>572</v>
      </c>
      <c r="AI112" s="825">
        <v>542</v>
      </c>
      <c r="AJ112" s="825">
        <v>528</v>
      </c>
      <c r="AK112" s="825">
        <v>504</v>
      </c>
      <c r="AL112" s="825">
        <v>493</v>
      </c>
      <c r="AM112" s="825">
        <v>466</v>
      </c>
      <c r="AN112" s="825">
        <v>453</v>
      </c>
      <c r="AO112" s="825">
        <v>450</v>
      </c>
      <c r="AP112" s="825">
        <v>449</v>
      </c>
    </row>
    <row r="113" hidden="1" ht="12.75" customHeight="1">
      <c r="B113" s="826" t="s">
        <v>17</v>
      </c>
      <c r="C113" s="827">
        <v>84</v>
      </c>
      <c r="D113" s="827">
        <v>93</v>
      </c>
      <c r="E113" s="827">
        <v>108</v>
      </c>
      <c r="F113" s="827">
        <v>115</v>
      </c>
      <c r="G113" s="827">
        <v>155</v>
      </c>
      <c r="H113" s="827">
        <v>180</v>
      </c>
      <c r="I113" s="827">
        <v>185</v>
      </c>
      <c r="J113" s="827">
        <v>196</v>
      </c>
      <c r="K113" s="827">
        <v>200</v>
      </c>
      <c r="L113" s="827">
        <v>211</v>
      </c>
      <c r="M113" s="827">
        <v>213</v>
      </c>
      <c r="N113" s="827">
        <v>217</v>
      </c>
      <c r="O113" s="827">
        <v>219</v>
      </c>
      <c r="P113" s="827">
        <v>221</v>
      </c>
      <c r="Q113" s="827">
        <v>210</v>
      </c>
      <c r="R113" s="827">
        <v>213</v>
      </c>
      <c r="S113" s="827">
        <v>221</v>
      </c>
      <c r="T113" s="827">
        <v>229</v>
      </c>
      <c r="U113" s="827">
        <v>235</v>
      </c>
      <c r="V113" s="827">
        <v>252</v>
      </c>
      <c r="W113" s="827">
        <v>271</v>
      </c>
      <c r="X113" s="827">
        <v>276</v>
      </c>
      <c r="Y113" s="827">
        <v>285</v>
      </c>
      <c r="Z113" s="827">
        <v>294</v>
      </c>
      <c r="AA113" s="827">
        <v>305</v>
      </c>
      <c r="AB113" s="827">
        <v>299</v>
      </c>
      <c r="AC113" s="828">
        <v>309</v>
      </c>
      <c r="AD113" s="828">
        <v>315</v>
      </c>
      <c r="AE113" s="828">
        <v>322</v>
      </c>
      <c r="AF113" s="828">
        <v>329</v>
      </c>
      <c r="AG113" s="828">
        <v>331</v>
      </c>
      <c r="AH113" s="828">
        <v>349</v>
      </c>
      <c r="AI113" s="828">
        <v>354</v>
      </c>
      <c r="AJ113" s="828">
        <v>363</v>
      </c>
      <c r="AK113" s="828">
        <v>365</v>
      </c>
      <c r="AL113" s="828">
        <v>368</v>
      </c>
      <c r="AM113" s="828">
        <v>371</v>
      </c>
      <c r="AN113" s="828">
        <v>380</v>
      </c>
      <c r="AO113" s="828">
        <v>384</v>
      </c>
      <c r="AP113" s="828">
        <v>399</v>
      </c>
    </row>
    <row r="114" hidden="1" ht="12.75" customHeight="1">
      <c r="B114" s="829" t="s">
        <v>18</v>
      </c>
      <c r="C114" s="823">
        <v>418</v>
      </c>
      <c r="D114" s="823">
        <v>414</v>
      </c>
      <c r="E114" s="823">
        <v>375</v>
      </c>
      <c r="F114" s="823">
        <v>361</v>
      </c>
      <c r="G114" s="823">
        <v>352</v>
      </c>
      <c r="H114" s="823">
        <v>346</v>
      </c>
      <c r="I114" s="823">
        <v>344</v>
      </c>
      <c r="J114" s="823">
        <v>331</v>
      </c>
      <c r="K114" s="823">
        <v>329</v>
      </c>
      <c r="L114" s="823">
        <v>320</v>
      </c>
      <c r="M114" s="823">
        <v>317</v>
      </c>
      <c r="N114" s="823">
        <v>307</v>
      </c>
      <c r="O114" s="823">
        <v>302</v>
      </c>
      <c r="P114" s="823">
        <v>302</v>
      </c>
      <c r="Q114" s="823">
        <v>296</v>
      </c>
      <c r="R114" s="823">
        <v>288</v>
      </c>
      <c r="S114" s="823">
        <v>289</v>
      </c>
      <c r="T114" s="823">
        <v>287</v>
      </c>
      <c r="U114" s="823">
        <v>275</v>
      </c>
      <c r="V114" s="823">
        <v>274</v>
      </c>
      <c r="W114" s="823">
        <v>271</v>
      </c>
      <c r="X114" s="823">
        <v>266</v>
      </c>
      <c r="Y114" s="823">
        <v>262</v>
      </c>
      <c r="Z114" s="823">
        <v>257</v>
      </c>
      <c r="AA114" s="823">
        <v>260</v>
      </c>
      <c r="AB114" s="823">
        <v>261</v>
      </c>
      <c r="AC114" s="825">
        <v>261</v>
      </c>
      <c r="AD114" s="825">
        <v>255</v>
      </c>
      <c r="AE114" s="825">
        <v>254</v>
      </c>
      <c r="AF114" s="825">
        <v>247</v>
      </c>
      <c r="AG114" s="825">
        <v>242</v>
      </c>
      <c r="AH114" s="825">
        <v>230</v>
      </c>
      <c r="AI114" s="825">
        <v>206</v>
      </c>
      <c r="AJ114" s="825">
        <v>203</v>
      </c>
      <c r="AK114" s="825">
        <v>200</v>
      </c>
      <c r="AL114" s="825">
        <v>199</v>
      </c>
      <c r="AM114" s="825">
        <v>197</v>
      </c>
      <c r="AN114" s="825">
        <v>194</v>
      </c>
      <c r="AO114" s="825">
        <v>187</v>
      </c>
      <c r="AP114" s="825">
        <v>186</v>
      </c>
    </row>
    <row r="115" hidden="1" ht="12.75" customHeight="1">
      <c r="B115" s="826" t="s">
        <v>19</v>
      </c>
      <c r="C115" s="827">
        <v>34</v>
      </c>
      <c r="D115" s="827">
        <v>33</v>
      </c>
      <c r="E115" s="827">
        <v>36</v>
      </c>
      <c r="F115" s="827">
        <v>41</v>
      </c>
      <c r="G115" s="827">
        <v>43</v>
      </c>
      <c r="H115" s="827">
        <v>44</v>
      </c>
      <c r="I115" s="827">
        <v>48</v>
      </c>
      <c r="J115" s="827">
        <v>51</v>
      </c>
      <c r="K115" s="827">
        <v>44</v>
      </c>
      <c r="L115" s="827">
        <v>60</v>
      </c>
      <c r="M115" s="827">
        <v>44</v>
      </c>
      <c r="N115" s="827">
        <v>44</v>
      </c>
      <c r="O115" s="827">
        <v>48</v>
      </c>
      <c r="P115" s="827">
        <v>48</v>
      </c>
      <c r="Q115" s="827">
        <v>44</v>
      </c>
      <c r="R115" s="827">
        <v>48</v>
      </c>
      <c r="S115" s="827">
        <v>55</v>
      </c>
      <c r="T115" s="827">
        <v>61</v>
      </c>
      <c r="U115" s="827">
        <v>67</v>
      </c>
      <c r="V115" s="827">
        <v>72</v>
      </c>
      <c r="W115" s="827">
        <v>71</v>
      </c>
      <c r="X115" s="827">
        <v>71</v>
      </c>
      <c r="Y115" s="827">
        <v>75</v>
      </c>
      <c r="Z115" s="827">
        <v>76</v>
      </c>
      <c r="AA115" s="827">
        <v>73</v>
      </c>
      <c r="AB115" s="827">
        <v>75</v>
      </c>
      <c r="AC115" s="828">
        <v>79</v>
      </c>
      <c r="AD115" s="828">
        <v>82</v>
      </c>
      <c r="AE115" s="828">
        <v>81</v>
      </c>
      <c r="AF115" s="828">
        <v>78</v>
      </c>
      <c r="AG115" s="828">
        <v>76</v>
      </c>
      <c r="AH115" s="828">
        <v>79</v>
      </c>
      <c r="AI115" s="828">
        <v>77</v>
      </c>
      <c r="AJ115" s="828">
        <v>73</v>
      </c>
      <c r="AK115" s="828">
        <v>76</v>
      </c>
      <c r="AL115" s="828">
        <v>77</v>
      </c>
      <c r="AM115" s="828">
        <v>84</v>
      </c>
      <c r="AN115" s="828">
        <v>93</v>
      </c>
      <c r="AO115" s="828">
        <v>93</v>
      </c>
      <c r="AP115" s="828">
        <v>97</v>
      </c>
    </row>
    <row r="116" hidden="1" ht="12.75" customHeight="1">
      <c r="B116" s="829" t="s">
        <v>20</v>
      </c>
      <c r="C116" s="823">
        <v>49</v>
      </c>
      <c r="D116" s="823">
        <v>51</v>
      </c>
      <c r="E116" s="823">
        <v>55</v>
      </c>
      <c r="F116" s="823">
        <v>58</v>
      </c>
      <c r="G116" s="823">
        <v>59</v>
      </c>
      <c r="H116" s="823">
        <v>59</v>
      </c>
      <c r="I116" s="823">
        <v>60</v>
      </c>
      <c r="J116" s="823">
        <v>59</v>
      </c>
      <c r="K116" s="823">
        <v>60</v>
      </c>
      <c r="L116" s="823">
        <v>51</v>
      </c>
      <c r="M116" s="823">
        <v>60</v>
      </c>
      <c r="N116" s="823">
        <v>45</v>
      </c>
      <c r="O116" s="823">
        <v>47</v>
      </c>
      <c r="P116" s="823">
        <v>49</v>
      </c>
      <c r="Q116" s="823">
        <v>51</v>
      </c>
      <c r="R116" s="823">
        <v>51</v>
      </c>
      <c r="S116" s="823">
        <v>51</v>
      </c>
      <c r="T116" s="823">
        <v>52</v>
      </c>
      <c r="U116" s="823">
        <v>53</v>
      </c>
      <c r="V116" s="823">
        <v>51</v>
      </c>
      <c r="W116" s="823">
        <v>53</v>
      </c>
      <c r="X116" s="823">
        <v>53</v>
      </c>
      <c r="Y116" s="823">
        <v>59</v>
      </c>
      <c r="Z116" s="823">
        <v>59</v>
      </c>
      <c r="AA116" s="823">
        <v>61</v>
      </c>
      <c r="AB116" s="823">
        <v>62</v>
      </c>
      <c r="AC116" s="825">
        <v>64</v>
      </c>
      <c r="AD116" s="825">
        <v>96</v>
      </c>
      <c r="AE116" s="825">
        <v>102</v>
      </c>
      <c r="AF116" s="825">
        <v>107</v>
      </c>
      <c r="AG116" s="825">
        <v>91</v>
      </c>
      <c r="AH116" s="825">
        <v>95</v>
      </c>
      <c r="AI116" s="825">
        <v>95</v>
      </c>
      <c r="AJ116" s="825">
        <v>93</v>
      </c>
      <c r="AK116" s="825">
        <v>96</v>
      </c>
      <c r="AL116" s="825">
        <v>97</v>
      </c>
      <c r="AM116" s="825">
        <v>98</v>
      </c>
      <c r="AN116" s="825">
        <v>96</v>
      </c>
      <c r="AO116" s="825">
        <v>100</v>
      </c>
      <c r="AP116" s="825">
        <v>100</v>
      </c>
    </row>
    <row r="117" hidden="1" ht="12.75" customHeight="1">
      <c r="B117" s="826" t="s">
        <v>21</v>
      </c>
      <c r="C117" s="827">
        <v>76</v>
      </c>
      <c r="D117" s="827">
        <v>74</v>
      </c>
      <c r="E117" s="827">
        <v>74</v>
      </c>
      <c r="F117" s="827">
        <v>73</v>
      </c>
      <c r="G117" s="827">
        <v>66</v>
      </c>
      <c r="H117" s="827">
        <v>62</v>
      </c>
      <c r="I117" s="827">
        <v>53</v>
      </c>
      <c r="J117" s="827">
        <v>52</v>
      </c>
      <c r="K117" s="827">
        <v>50</v>
      </c>
      <c r="L117" s="827">
        <v>33</v>
      </c>
      <c r="M117" s="827">
        <v>48</v>
      </c>
      <c r="N117" s="827">
        <v>47</v>
      </c>
      <c r="O117" s="827">
        <v>45</v>
      </c>
      <c r="P117" s="827">
        <v>48</v>
      </c>
      <c r="Q117" s="827">
        <v>47</v>
      </c>
      <c r="R117" s="827">
        <v>53</v>
      </c>
      <c r="S117" s="827">
        <v>52</v>
      </c>
      <c r="T117" s="827">
        <v>57</v>
      </c>
      <c r="U117" s="827">
        <v>54</v>
      </c>
      <c r="V117" s="827">
        <v>51</v>
      </c>
      <c r="W117" s="827">
        <v>48</v>
      </c>
      <c r="X117" s="827">
        <v>49</v>
      </c>
      <c r="Y117" s="827">
        <v>50</v>
      </c>
      <c r="Z117" s="827">
        <v>46</v>
      </c>
      <c r="AA117" s="827">
        <v>46</v>
      </c>
      <c r="AB117" s="827">
        <v>46</v>
      </c>
      <c r="AC117" s="828">
        <v>49</v>
      </c>
      <c r="AD117" s="828">
        <v>53</v>
      </c>
      <c r="AE117" s="828">
        <v>56</v>
      </c>
      <c r="AF117" s="828">
        <v>60</v>
      </c>
      <c r="AG117" s="828">
        <v>55</v>
      </c>
      <c r="AH117" s="828">
        <v>51</v>
      </c>
      <c r="AI117" s="828">
        <v>55</v>
      </c>
      <c r="AJ117" s="828">
        <v>50</v>
      </c>
      <c r="AK117" s="828">
        <v>53</v>
      </c>
      <c r="AL117" s="828">
        <v>55</v>
      </c>
      <c r="AM117" s="828">
        <v>63</v>
      </c>
      <c r="AN117" s="828">
        <v>65</v>
      </c>
      <c r="AO117" s="828">
        <v>59</v>
      </c>
      <c r="AP117" s="828">
        <v>51</v>
      </c>
    </row>
    <row r="118" hidden="1" ht="12.75" customHeight="1">
      <c r="B118" s="829" t="s">
        <v>22</v>
      </c>
      <c r="C118" s="823">
        <v>22</v>
      </c>
      <c r="D118" s="823">
        <v>22</v>
      </c>
      <c r="E118" s="823">
        <v>24</v>
      </c>
      <c r="F118" s="823">
        <v>25</v>
      </c>
      <c r="G118" s="823">
        <v>26</v>
      </c>
      <c r="H118" s="823">
        <v>28</v>
      </c>
      <c r="I118" s="823">
        <v>27</v>
      </c>
      <c r="J118" s="823">
        <v>31</v>
      </c>
      <c r="K118" s="823">
        <v>30</v>
      </c>
      <c r="L118" s="823">
        <v>21</v>
      </c>
      <c r="M118" s="823">
        <v>32</v>
      </c>
      <c r="N118" s="823">
        <v>34</v>
      </c>
      <c r="O118" s="823">
        <v>56</v>
      </c>
      <c r="P118" s="823">
        <v>43</v>
      </c>
      <c r="Q118" s="823">
        <v>41</v>
      </c>
      <c r="R118" s="823">
        <v>39</v>
      </c>
      <c r="S118" s="823">
        <v>35</v>
      </c>
      <c r="T118" s="823">
        <v>38</v>
      </c>
      <c r="U118" s="823">
        <v>39</v>
      </c>
      <c r="V118" s="823">
        <v>41</v>
      </c>
      <c r="W118" s="823">
        <v>44</v>
      </c>
      <c r="X118" s="823">
        <v>46</v>
      </c>
      <c r="Y118" s="823">
        <v>44</v>
      </c>
      <c r="Z118" s="823">
        <v>46</v>
      </c>
      <c r="AA118" s="823">
        <v>45</v>
      </c>
      <c r="AB118" s="823">
        <v>45</v>
      </c>
      <c r="AC118" s="825">
        <v>43</v>
      </c>
      <c r="AD118" s="825">
        <v>45</v>
      </c>
      <c r="AE118" s="825">
        <v>44</v>
      </c>
      <c r="AF118" s="825">
        <v>42</v>
      </c>
      <c r="AG118" s="825">
        <v>41</v>
      </c>
      <c r="AH118" s="825">
        <v>44</v>
      </c>
      <c r="AI118" s="825">
        <v>42</v>
      </c>
      <c r="AJ118" s="825">
        <v>39</v>
      </c>
      <c r="AK118" s="825">
        <v>33</v>
      </c>
      <c r="AL118" s="825">
        <v>32</v>
      </c>
      <c r="AM118" s="825">
        <v>29</v>
      </c>
      <c r="AN118" s="825">
        <v>29</v>
      </c>
      <c r="AO118" s="825">
        <v>27</v>
      </c>
      <c r="AP118" s="825">
        <v>28</v>
      </c>
    </row>
    <row r="119" hidden="1" ht="12.75" customHeight="1">
      <c r="B119" s="826" t="s">
        <v>23</v>
      </c>
      <c r="C119" s="827">
        <v>31</v>
      </c>
      <c r="D119" s="827">
        <v>30</v>
      </c>
      <c r="E119" s="827">
        <v>29</v>
      </c>
      <c r="F119" s="827">
        <v>29</v>
      </c>
      <c r="G119" s="827">
        <v>28</v>
      </c>
      <c r="H119" s="827">
        <v>28</v>
      </c>
      <c r="I119" s="827">
        <v>27</v>
      </c>
      <c r="J119" s="827">
        <v>27</v>
      </c>
      <c r="K119" s="827">
        <v>24</v>
      </c>
      <c r="L119" s="827">
        <v>43</v>
      </c>
      <c r="M119" s="827">
        <v>21</v>
      </c>
      <c r="N119" s="827">
        <v>21</v>
      </c>
      <c r="O119" s="827">
        <v>22</v>
      </c>
      <c r="P119" s="827">
        <v>22</v>
      </c>
      <c r="Q119" s="827">
        <v>22</v>
      </c>
      <c r="R119" s="827">
        <v>23</v>
      </c>
      <c r="S119" s="827">
        <v>22</v>
      </c>
      <c r="T119" s="827">
        <v>22</v>
      </c>
      <c r="U119" s="827">
        <v>22</v>
      </c>
      <c r="V119" s="827">
        <v>20</v>
      </c>
      <c r="W119" s="827">
        <v>20</v>
      </c>
      <c r="X119" s="827">
        <v>21</v>
      </c>
      <c r="Y119" s="827">
        <v>21</v>
      </c>
      <c r="Z119" s="827">
        <v>21</v>
      </c>
      <c r="AA119" s="827">
        <v>21</v>
      </c>
      <c r="AB119" s="827">
        <v>21</v>
      </c>
      <c r="AC119" s="828">
        <v>21</v>
      </c>
      <c r="AD119" s="828">
        <v>21</v>
      </c>
      <c r="AE119" s="828">
        <v>19</v>
      </c>
      <c r="AF119" s="828">
        <v>19</v>
      </c>
      <c r="AG119" s="828">
        <v>18</v>
      </c>
      <c r="AH119" s="828">
        <v>17</v>
      </c>
      <c r="AI119" s="828">
        <v>17</v>
      </c>
      <c r="AJ119" s="828">
        <v>17</v>
      </c>
      <c r="AK119" s="828">
        <v>17</v>
      </c>
      <c r="AL119" s="828">
        <v>15</v>
      </c>
      <c r="AM119" s="828">
        <v>13</v>
      </c>
      <c r="AN119" s="828">
        <v>13</v>
      </c>
      <c r="AO119" s="828">
        <v>13</v>
      </c>
      <c r="AP119" s="828">
        <v>13</v>
      </c>
    </row>
    <row r="120" hidden="1" ht="12.75" customHeight="1">
      <c r="B120" s="830" t="s">
        <v>24</v>
      </c>
      <c r="C120" s="823">
        <v>381</v>
      </c>
      <c r="D120" s="823">
        <v>362</v>
      </c>
      <c r="E120" s="823">
        <v>346</v>
      </c>
      <c r="F120" s="823">
        <v>319</v>
      </c>
      <c r="G120" s="823">
        <v>289</v>
      </c>
      <c r="H120" s="823">
        <v>272</v>
      </c>
      <c r="I120" s="823">
        <v>258</v>
      </c>
      <c r="J120" s="823">
        <v>249</v>
      </c>
      <c r="K120" s="823">
        <v>250</v>
      </c>
      <c r="L120" s="823">
        <v>249</v>
      </c>
      <c r="M120" s="823">
        <v>251</v>
      </c>
      <c r="N120" s="823">
        <v>248</v>
      </c>
      <c r="O120" s="823">
        <v>246</v>
      </c>
      <c r="P120" s="823">
        <v>243</v>
      </c>
      <c r="Q120" s="823">
        <v>241</v>
      </c>
      <c r="R120" s="823">
        <v>239</v>
      </c>
      <c r="S120" s="823">
        <v>233</v>
      </c>
      <c r="T120" s="823">
        <v>244</v>
      </c>
      <c r="U120" s="823">
        <v>304</v>
      </c>
      <c r="V120" s="823">
        <v>323</v>
      </c>
      <c r="W120" s="823">
        <v>359</v>
      </c>
      <c r="X120" s="823">
        <v>361</v>
      </c>
      <c r="Y120" s="823">
        <v>363</v>
      </c>
      <c r="Z120" s="823">
        <v>370</v>
      </c>
      <c r="AA120" s="823">
        <v>379</v>
      </c>
      <c r="AB120" s="823">
        <v>376</v>
      </c>
      <c r="AC120" s="825">
        <v>368</v>
      </c>
      <c r="AD120" s="825">
        <v>374</v>
      </c>
      <c r="AE120" s="825">
        <v>374</v>
      </c>
      <c r="AF120" s="825">
        <v>368</v>
      </c>
      <c r="AG120" s="825">
        <v>360</v>
      </c>
      <c r="AH120" s="825">
        <v>360</v>
      </c>
      <c r="AI120" s="825">
        <v>350</v>
      </c>
      <c r="AJ120" s="825">
        <v>352</v>
      </c>
      <c r="AK120" s="825">
        <v>349</v>
      </c>
      <c r="AL120" s="825">
        <v>336</v>
      </c>
      <c r="AM120" s="825">
        <v>346</v>
      </c>
      <c r="AN120" s="825">
        <v>338</v>
      </c>
      <c r="AO120" s="825">
        <v>334</v>
      </c>
      <c r="AP120" s="825">
        <v>340</v>
      </c>
    </row>
    <row r="121" hidden="1" ht="12.75" customHeight="1">
      <c r="B121" s="826" t="s">
        <v>25</v>
      </c>
      <c r="C121" s="827">
        <v>0</v>
      </c>
      <c r="D121" s="827">
        <v>0</v>
      </c>
      <c r="E121" s="827">
        <v>0</v>
      </c>
      <c r="F121" s="827">
        <v>0</v>
      </c>
      <c r="G121" s="827">
        <v>0</v>
      </c>
      <c r="H121" s="827">
        <v>0</v>
      </c>
      <c r="I121" s="827">
        <v>0</v>
      </c>
      <c r="J121" s="827">
        <v>0</v>
      </c>
      <c r="K121" s="827">
        <v>0</v>
      </c>
      <c r="L121" s="827">
        <v>0</v>
      </c>
      <c r="M121" s="827">
        <v>0</v>
      </c>
      <c r="N121" s="827">
        <v>0</v>
      </c>
      <c r="O121" s="827">
        <v>0</v>
      </c>
      <c r="P121" s="827">
        <v>0</v>
      </c>
      <c r="Q121" s="827">
        <v>0</v>
      </c>
      <c r="R121" s="827">
        <v>0</v>
      </c>
      <c r="S121" s="827">
        <v>0</v>
      </c>
      <c r="T121" s="827">
        <v>0</v>
      </c>
      <c r="U121" s="827">
        <v>0</v>
      </c>
      <c r="V121" s="827">
        <v>0</v>
      </c>
      <c r="W121" s="827">
        <v>0</v>
      </c>
      <c r="X121" s="827">
        <v>0</v>
      </c>
      <c r="Y121" s="827">
        <v>0</v>
      </c>
      <c r="Z121" s="827">
        <v>0</v>
      </c>
      <c r="AA121" s="827">
        <v>0</v>
      </c>
      <c r="AB121" s="827">
        <v>0</v>
      </c>
      <c r="AC121" s="828">
        <v>0</v>
      </c>
      <c r="AD121" s="828">
        <v>0</v>
      </c>
      <c r="AE121" s="828">
        <v>0</v>
      </c>
      <c r="AF121" s="828">
        <v>0</v>
      </c>
      <c r="AG121" s="828">
        <v>0</v>
      </c>
      <c r="AH121" s="828">
        <v>0</v>
      </c>
      <c r="AI121" s="828">
        <v>0</v>
      </c>
      <c r="AJ121" s="828">
        <v>0</v>
      </c>
      <c r="AK121" s="828">
        <v>0</v>
      </c>
      <c r="AL121" s="828">
        <v>0</v>
      </c>
      <c r="AM121" s="828">
        <v>0</v>
      </c>
      <c r="AN121" s="828">
        <v>0</v>
      </c>
      <c r="AO121" s="828">
        <v>0</v>
      </c>
      <c r="AP121" s="828">
        <v>0</v>
      </c>
    </row>
    <row r="122" hidden="1" ht="12.75" customHeight="1">
      <c r="B122" s="831" t="s">
        <v>26</v>
      </c>
      <c r="C122" s="823">
        <v>0</v>
      </c>
      <c r="D122" s="823">
        <v>0</v>
      </c>
      <c r="E122" s="823">
        <v>0</v>
      </c>
      <c r="F122" s="823">
        <v>0</v>
      </c>
      <c r="G122" s="823">
        <v>0</v>
      </c>
      <c r="H122" s="823">
        <v>0</v>
      </c>
      <c r="I122" s="823">
        <v>0</v>
      </c>
      <c r="J122" s="823">
        <v>0</v>
      </c>
      <c r="K122" s="823">
        <v>0</v>
      </c>
      <c r="L122" s="823">
        <v>0</v>
      </c>
      <c r="M122" s="823">
        <v>0</v>
      </c>
      <c r="N122" s="823">
        <v>0</v>
      </c>
      <c r="O122" s="823">
        <v>1</v>
      </c>
      <c r="P122" s="823">
        <v>1</v>
      </c>
      <c r="Q122" s="823">
        <v>1</v>
      </c>
      <c r="R122" s="823">
        <v>1</v>
      </c>
      <c r="S122" s="823">
        <v>1</v>
      </c>
      <c r="T122" s="823">
        <v>1</v>
      </c>
      <c r="U122" s="823">
        <v>1</v>
      </c>
      <c r="V122" s="823">
        <v>1</v>
      </c>
      <c r="W122" s="823">
        <v>1</v>
      </c>
      <c r="X122" s="823">
        <v>1</v>
      </c>
      <c r="Y122" s="823">
        <v>1</v>
      </c>
      <c r="Z122" s="823">
        <v>1</v>
      </c>
      <c r="AA122" s="823">
        <v>1</v>
      </c>
      <c r="AB122" s="832">
        <v>1</v>
      </c>
      <c r="AC122" s="825">
        <v>1</v>
      </c>
      <c r="AD122" s="825">
        <v>1</v>
      </c>
      <c r="AE122" s="825">
        <v>1</v>
      </c>
      <c r="AF122" s="825">
        <v>1</v>
      </c>
      <c r="AG122" s="825">
        <v>1</v>
      </c>
      <c r="AH122" s="825">
        <v>1</v>
      </c>
      <c r="AI122" s="825">
        <v>1</v>
      </c>
      <c r="AJ122" s="825">
        <v>1</v>
      </c>
      <c r="AK122" s="825">
        <v>1</v>
      </c>
      <c r="AL122" s="825">
        <v>1</v>
      </c>
      <c r="AM122" s="825">
        <v>1</v>
      </c>
      <c r="AN122" s="825">
        <v>1</v>
      </c>
      <c r="AO122" s="825">
        <v>1</v>
      </c>
      <c r="AP122" s="825">
        <v>1</v>
      </c>
    </row>
    <row r="123" hidden="1" ht="12.75" customHeight="1">
      <c r="B123" s="128" t="s">
        <v>7</v>
      </c>
      <c r="C123" s="129" t="str">
        <f>IF(SUM(C104:C122)&lt;&gt;0,SUM(C104:C122),"")</f>
      </c>
      <c r="D123" s="129" t="str">
        <f ref="D123:AA123" t="shared" si="0">IF(SUM(D104:D122)&lt;&gt;0,SUM(D104:D122),"")</f>
      </c>
      <c r="E123" s="129" t="str">
        <f t="shared" si="0"/>
      </c>
      <c r="F123" s="129" t="str">
        <f t="shared" si="0"/>
      </c>
      <c r="G123" s="129" t="str">
        <f t="shared" si="0"/>
      </c>
      <c r="H123" s="129" t="str">
        <f t="shared" si="0"/>
      </c>
      <c r="I123" s="129" t="str">
        <f t="shared" si="0"/>
      </c>
      <c r="J123" s="129" t="str">
        <f t="shared" si="0"/>
      </c>
      <c r="K123" s="129" t="str">
        <f t="shared" si="0"/>
      </c>
      <c r="L123" s="129" t="str">
        <f t="shared" si="0"/>
      </c>
      <c r="M123" s="129" t="str">
        <f t="shared" si="0"/>
      </c>
      <c r="N123" s="129" t="str">
        <f t="shared" si="0"/>
      </c>
      <c r="O123" s="129" t="str">
        <f t="shared" si="0"/>
      </c>
      <c r="P123" s="129" t="str">
        <f t="shared" si="0"/>
      </c>
      <c r="Q123" s="129" t="str">
        <f t="shared" si="0"/>
      </c>
      <c r="R123" s="129" t="str">
        <f t="shared" si="0"/>
      </c>
      <c r="S123" s="129" t="str">
        <f t="shared" si="0"/>
      </c>
      <c r="T123" s="129" t="str">
        <f t="shared" si="0"/>
      </c>
      <c r="U123" s="129" t="str">
        <f t="shared" si="0"/>
      </c>
      <c r="V123" s="129" t="str">
        <f t="shared" si="0"/>
      </c>
      <c r="W123" s="129" t="str">
        <f t="shared" si="0"/>
      </c>
      <c r="X123" s="129" t="str">
        <f t="shared" si="0"/>
      </c>
      <c r="Y123" s="129" t="str">
        <f t="shared" si="0"/>
      </c>
      <c r="Z123" s="129" t="str">
        <f t="shared" si="0"/>
      </c>
      <c r="AA123" s="129" t="str">
        <f t="shared" si="0"/>
      </c>
      <c r="AB123" s="130" t="str">
        <f>IF(SUM(AB104:AB122)&lt;&gt;0,SUM(AB104:AB122),"")</f>
      </c>
      <c r="AC123" s="91" t="str">
        <f ref="AC123:CN123" t="shared" si="1">IF(SUM(AC104:AC122)&lt;&gt;0,SUM(AC104:AC122),"")</f>
      </c>
      <c r="AD123" s="91" t="str">
        <f t="shared" si="1"/>
      </c>
      <c r="AE123" s="91" t="str">
        <f t="shared" si="1"/>
      </c>
      <c r="AF123" s="91" t="str">
        <f t="shared" si="1"/>
      </c>
      <c r="AG123" s="91" t="str">
        <f t="shared" si="1"/>
      </c>
      <c r="AH123" s="91" t="str">
        <f t="shared" si="1"/>
      </c>
      <c r="AI123" s="91" t="str">
        <f t="shared" si="1"/>
      </c>
      <c r="AJ123" s="91" t="str">
        <f t="shared" si="1"/>
      </c>
      <c r="AK123" s="91" t="str">
        <f t="shared" si="1"/>
      </c>
      <c r="AL123" s="91" t="str">
        <f t="shared" si="1"/>
      </c>
      <c r="AM123" s="91" t="str">
        <f t="shared" si="1"/>
      </c>
      <c r="AN123" s="91" t="str">
        <f t="shared" si="1"/>
      </c>
      <c r="AO123" s="91" t="str">
        <f t="shared" si="1"/>
      </c>
      <c r="AP123" s="91" t="str">
        <f t="shared" si="1"/>
      </c>
      <c r="AQ123" s="91" t="str">
        <f t="shared" si="1"/>
      </c>
      <c r="AR123" s="91" t="str">
        <f t="shared" si="1"/>
      </c>
      <c r="AS123" s="91" t="str">
        <f t="shared" si="1"/>
      </c>
      <c r="AT123" s="91" t="str">
        <f t="shared" si="1"/>
      </c>
      <c r="AU123" s="91" t="str">
        <f t="shared" si="1"/>
      </c>
      <c r="AV123" s="91" t="str">
        <f t="shared" si="1"/>
      </c>
      <c r="AW123" s="91" t="str">
        <f t="shared" si="1"/>
      </c>
      <c r="AX123" s="91" t="str">
        <f t="shared" si="1"/>
      </c>
      <c r="AY123" s="91" t="str">
        <f t="shared" si="1"/>
      </c>
      <c r="AZ123" s="91" t="str">
        <f t="shared" si="1"/>
      </c>
      <c r="BA123" s="91" t="str">
        <f t="shared" si="1"/>
      </c>
      <c r="BB123" s="91" t="str">
        <f t="shared" si="1"/>
      </c>
      <c r="BC123" s="91" t="str">
        <f t="shared" si="1"/>
      </c>
      <c r="BD123" s="91" t="str">
        <f t="shared" si="1"/>
      </c>
      <c r="BE123" s="91" t="str">
        <f t="shared" si="1"/>
      </c>
      <c r="BF123" s="91" t="str">
        <f t="shared" si="1"/>
      </c>
      <c r="BG123" s="91" t="str">
        <f t="shared" si="1"/>
      </c>
      <c r="BH123" s="91" t="str">
        <f t="shared" si="1"/>
      </c>
      <c r="BI123" s="91" t="str">
        <f t="shared" si="1"/>
      </c>
      <c r="BJ123" s="91" t="str">
        <f t="shared" si="1"/>
      </c>
      <c r="BK123" s="91" t="str">
        <f t="shared" si="1"/>
      </c>
      <c r="BL123" s="91" t="str">
        <f t="shared" si="1"/>
      </c>
      <c r="BM123" s="91" t="str">
        <f t="shared" si="1"/>
      </c>
      <c r="BN123" s="91" t="str">
        <f t="shared" si="1"/>
      </c>
      <c r="BO123" s="91" t="str">
        <f t="shared" si="1"/>
      </c>
      <c r="BP123" s="91" t="str">
        <f t="shared" si="1"/>
      </c>
      <c r="BQ123" s="91" t="str">
        <f t="shared" si="1"/>
      </c>
      <c r="BR123" s="91" t="str">
        <f t="shared" si="1"/>
      </c>
      <c r="BS123" s="91" t="str">
        <f t="shared" si="1"/>
      </c>
      <c r="BT123" s="91" t="str">
        <f t="shared" si="1"/>
      </c>
      <c r="BU123" s="91" t="str">
        <f t="shared" si="1"/>
      </c>
      <c r="BV123" s="91" t="str">
        <f t="shared" si="1"/>
      </c>
      <c r="BW123" s="91" t="str">
        <f t="shared" si="1"/>
      </c>
      <c r="BX123" s="91" t="str">
        <f t="shared" si="1"/>
      </c>
      <c r="BY123" s="91" t="str">
        <f t="shared" si="1"/>
      </c>
      <c r="BZ123" s="91" t="str">
        <f t="shared" si="1"/>
      </c>
      <c r="CA123" s="91" t="str">
        <f t="shared" si="1"/>
      </c>
      <c r="CB123" s="91" t="str">
        <f t="shared" si="1"/>
      </c>
      <c r="CC123" s="91" t="str">
        <f t="shared" si="1"/>
      </c>
      <c r="CD123" s="91" t="str">
        <f t="shared" si="1"/>
      </c>
      <c r="CE123" s="91" t="str">
        <f t="shared" si="1"/>
      </c>
      <c r="CF123" s="91" t="str">
        <f t="shared" si="1"/>
      </c>
      <c r="CG123" s="91" t="str">
        <f t="shared" si="1"/>
      </c>
      <c r="CH123" s="91" t="str">
        <f t="shared" si="1"/>
      </c>
      <c r="CI123" s="91" t="str">
        <f t="shared" si="1"/>
      </c>
      <c r="CJ123" s="91" t="str">
        <f t="shared" si="1"/>
      </c>
      <c r="CK123" s="91" t="str">
        <f t="shared" si="1"/>
      </c>
      <c r="CL123" s="91" t="str">
        <f t="shared" si="1"/>
      </c>
      <c r="CM123" s="91" t="str">
        <f t="shared" si="1"/>
      </c>
      <c r="CN123" s="91" t="str">
        <f t="shared" si="1"/>
      </c>
      <c r="CO123" s="91" t="str">
        <f ref="CO123:EZ123" t="shared" si="2">IF(SUM(CO104:CO122)&lt;&gt;0,SUM(CO104:CO122),"")</f>
      </c>
      <c r="CP123" s="91" t="str">
        <f t="shared" si="2"/>
      </c>
      <c r="CQ123" s="91" t="str">
        <f t="shared" si="2"/>
      </c>
      <c r="CR123" s="91" t="str">
        <f t="shared" si="2"/>
      </c>
      <c r="CS123" s="91" t="str">
        <f t="shared" si="2"/>
      </c>
      <c r="CT123" s="91" t="str">
        <f t="shared" si="2"/>
      </c>
      <c r="CU123" s="91" t="str">
        <f t="shared" si="2"/>
      </c>
      <c r="CV123" s="91" t="str">
        <f t="shared" si="2"/>
      </c>
      <c r="CW123" s="91" t="str">
        <f t="shared" si="2"/>
      </c>
      <c r="CX123" s="91" t="str">
        <f t="shared" si="2"/>
      </c>
      <c r="CY123" s="91" t="str">
        <f t="shared" si="2"/>
      </c>
      <c r="CZ123" s="91" t="str">
        <f t="shared" si="2"/>
      </c>
      <c r="DA123" s="91" t="str">
        <f t="shared" si="2"/>
      </c>
      <c r="DB123" s="91" t="str">
        <f t="shared" si="2"/>
      </c>
      <c r="DC123" s="91" t="str">
        <f t="shared" si="2"/>
      </c>
      <c r="DD123" s="91" t="str">
        <f t="shared" si="2"/>
      </c>
      <c r="DE123" s="91" t="str">
        <f t="shared" si="2"/>
      </c>
      <c r="DF123" s="91" t="str">
        <f t="shared" si="2"/>
      </c>
      <c r="DG123" s="91" t="str">
        <f t="shared" si="2"/>
      </c>
      <c r="DH123" s="91" t="str">
        <f t="shared" si="2"/>
      </c>
      <c r="DI123" s="91" t="str">
        <f t="shared" si="2"/>
      </c>
      <c r="DJ123" s="91" t="str">
        <f t="shared" si="2"/>
      </c>
      <c r="DK123" s="91" t="str">
        <f t="shared" si="2"/>
      </c>
      <c r="DL123" s="91" t="str">
        <f t="shared" si="2"/>
      </c>
      <c r="DM123" s="91" t="str">
        <f t="shared" si="2"/>
      </c>
      <c r="DN123" s="91" t="str">
        <f t="shared" si="2"/>
      </c>
      <c r="DO123" s="91" t="str">
        <f t="shared" si="2"/>
      </c>
      <c r="DP123" s="91" t="str">
        <f t="shared" si="2"/>
      </c>
      <c r="DQ123" s="91" t="str">
        <f t="shared" si="2"/>
      </c>
      <c r="DR123" s="91" t="str">
        <f t="shared" si="2"/>
      </c>
      <c r="DS123" s="91" t="str">
        <f t="shared" si="2"/>
      </c>
      <c r="DT123" s="91" t="str">
        <f t="shared" si="2"/>
      </c>
      <c r="DU123" s="91" t="str">
        <f t="shared" si="2"/>
      </c>
      <c r="DV123" s="91" t="str">
        <f t="shared" si="2"/>
      </c>
      <c r="DW123" s="91" t="str">
        <f t="shared" si="2"/>
      </c>
      <c r="DX123" s="91" t="str">
        <f t="shared" si="2"/>
      </c>
      <c r="DY123" s="91" t="str">
        <f t="shared" si="2"/>
      </c>
      <c r="DZ123" s="91" t="str">
        <f t="shared" si="2"/>
      </c>
      <c r="EA123" s="91" t="str">
        <f t="shared" si="2"/>
      </c>
      <c r="EB123" s="91" t="str">
        <f t="shared" si="2"/>
      </c>
      <c r="EC123" s="91" t="str">
        <f t="shared" si="2"/>
      </c>
      <c r="ED123" s="91" t="str">
        <f t="shared" si="2"/>
      </c>
      <c r="EE123" s="91" t="str">
        <f t="shared" si="2"/>
      </c>
      <c r="EF123" s="91" t="str">
        <f t="shared" si="2"/>
      </c>
      <c r="EG123" s="91" t="str">
        <f t="shared" si="2"/>
      </c>
      <c r="EH123" s="91" t="str">
        <f t="shared" si="2"/>
      </c>
      <c r="EI123" s="91" t="str">
        <f t="shared" si="2"/>
      </c>
      <c r="EJ123" s="91" t="str">
        <f t="shared" si="2"/>
      </c>
      <c r="EK123" s="91" t="str">
        <f t="shared" si="2"/>
      </c>
      <c r="EL123" s="91" t="str">
        <f t="shared" si="2"/>
      </c>
      <c r="EM123" s="91" t="str">
        <f t="shared" si="2"/>
      </c>
      <c r="EN123" s="91" t="str">
        <f t="shared" si="2"/>
      </c>
      <c r="EO123" s="91" t="str">
        <f t="shared" si="2"/>
      </c>
      <c r="EP123" s="91" t="str">
        <f t="shared" si="2"/>
      </c>
      <c r="EQ123" s="91" t="str">
        <f t="shared" si="2"/>
      </c>
      <c r="ER123" s="91" t="str">
        <f t="shared" si="2"/>
      </c>
      <c r="ES123" s="91" t="str">
        <f t="shared" si="2"/>
      </c>
      <c r="ET123" s="91" t="str">
        <f t="shared" si="2"/>
      </c>
      <c r="EU123" s="91" t="str">
        <f t="shared" si="2"/>
      </c>
      <c r="EV123" s="91" t="str">
        <f t="shared" si="2"/>
      </c>
      <c r="EW123" s="91" t="str">
        <f t="shared" si="2"/>
      </c>
      <c r="EX123" s="91" t="str">
        <f t="shared" si="2"/>
      </c>
      <c r="EY123" s="91" t="str">
        <f t="shared" si="2"/>
      </c>
      <c r="EZ123" s="91" t="str">
        <f t="shared" si="2"/>
      </c>
      <c r="FA123" s="91" t="str">
        <f ref="FA123:HL123" t="shared" si="3">IF(SUM(FA104:FA122)&lt;&gt;0,SUM(FA104:FA122),"")</f>
      </c>
      <c r="FB123" s="91" t="str">
        <f t="shared" si="3"/>
      </c>
      <c r="FC123" s="91" t="str">
        <f t="shared" si="3"/>
      </c>
      <c r="FD123" s="91" t="str">
        <f t="shared" si="3"/>
      </c>
      <c r="FE123" s="91" t="str">
        <f t="shared" si="3"/>
      </c>
      <c r="FF123" s="91" t="str">
        <f t="shared" si="3"/>
      </c>
      <c r="FG123" s="91" t="str">
        <f t="shared" si="3"/>
      </c>
      <c r="FH123" s="91" t="str">
        <f t="shared" si="3"/>
      </c>
      <c r="FI123" s="91" t="str">
        <f t="shared" si="3"/>
      </c>
      <c r="FJ123" s="91" t="str">
        <f t="shared" si="3"/>
      </c>
      <c r="FK123" s="91" t="str">
        <f t="shared" si="3"/>
      </c>
      <c r="FL123" s="91" t="str">
        <f t="shared" si="3"/>
      </c>
      <c r="FM123" s="91" t="str">
        <f t="shared" si="3"/>
      </c>
      <c r="FN123" s="91" t="str">
        <f t="shared" si="3"/>
      </c>
      <c r="FO123" s="91" t="str">
        <f t="shared" si="3"/>
      </c>
      <c r="FP123" s="91" t="str">
        <f t="shared" si="3"/>
      </c>
      <c r="FQ123" s="91" t="str">
        <f t="shared" si="3"/>
      </c>
      <c r="FR123" s="91" t="str">
        <f t="shared" si="3"/>
      </c>
      <c r="FS123" s="91" t="str">
        <f t="shared" si="3"/>
      </c>
      <c r="FT123" s="91" t="str">
        <f t="shared" si="3"/>
      </c>
      <c r="FU123" s="91" t="str">
        <f t="shared" si="3"/>
      </c>
      <c r="FV123" s="91" t="str">
        <f t="shared" si="3"/>
      </c>
      <c r="FW123" s="91" t="str">
        <f t="shared" si="3"/>
      </c>
      <c r="FX123" s="91" t="str">
        <f t="shared" si="3"/>
      </c>
      <c r="FY123" s="91" t="str">
        <f t="shared" si="3"/>
      </c>
      <c r="FZ123" s="91" t="str">
        <f t="shared" si="3"/>
      </c>
      <c r="GA123" s="91" t="str">
        <f t="shared" si="3"/>
      </c>
      <c r="GB123" s="91" t="str">
        <f t="shared" si="3"/>
      </c>
      <c r="GC123" s="91" t="str">
        <f t="shared" si="3"/>
      </c>
      <c r="GD123" s="91" t="str">
        <f t="shared" si="3"/>
      </c>
      <c r="GE123" s="91" t="str">
        <f t="shared" si="3"/>
      </c>
      <c r="GF123" s="91" t="str">
        <f t="shared" si="3"/>
      </c>
      <c r="GG123" s="91" t="str">
        <f t="shared" si="3"/>
      </c>
      <c r="GH123" s="91" t="str">
        <f t="shared" si="3"/>
      </c>
      <c r="GI123" s="91" t="str">
        <f t="shared" si="3"/>
      </c>
      <c r="GJ123" s="91" t="str">
        <f t="shared" si="3"/>
      </c>
      <c r="GK123" s="91" t="str">
        <f t="shared" si="3"/>
      </c>
      <c r="GL123" s="91" t="str">
        <f t="shared" si="3"/>
      </c>
      <c r="GM123" s="91" t="str">
        <f t="shared" si="3"/>
      </c>
      <c r="GN123" s="91" t="str">
        <f t="shared" si="3"/>
      </c>
      <c r="GO123" s="91" t="str">
        <f t="shared" si="3"/>
      </c>
      <c r="GP123" s="91" t="str">
        <f t="shared" si="3"/>
      </c>
      <c r="GQ123" s="91" t="str">
        <f t="shared" si="3"/>
      </c>
      <c r="GR123" s="91" t="str">
        <f t="shared" si="3"/>
      </c>
      <c r="GS123" s="91" t="str">
        <f t="shared" si="3"/>
      </c>
      <c r="GT123" s="91" t="str">
        <f t="shared" si="3"/>
      </c>
      <c r="GU123" s="91" t="str">
        <f t="shared" si="3"/>
      </c>
      <c r="GV123" s="91" t="str">
        <f t="shared" si="3"/>
      </c>
      <c r="GW123" s="91" t="str">
        <f t="shared" si="3"/>
      </c>
      <c r="GX123" s="91" t="str">
        <f t="shared" si="3"/>
      </c>
      <c r="GY123" s="91" t="str">
        <f t="shared" si="3"/>
      </c>
      <c r="GZ123" s="91" t="str">
        <f t="shared" si="3"/>
      </c>
      <c r="HA123" s="91" t="str">
        <f t="shared" si="3"/>
      </c>
      <c r="HB123" s="91" t="str">
        <f t="shared" si="3"/>
      </c>
      <c r="HC123" s="91" t="str">
        <f t="shared" si="3"/>
      </c>
      <c r="HD123" s="91" t="str">
        <f t="shared" si="3"/>
      </c>
      <c r="HE123" s="91" t="str">
        <f t="shared" si="3"/>
      </c>
      <c r="HF123" s="91" t="str">
        <f t="shared" si="3"/>
      </c>
      <c r="HG123" s="91" t="str">
        <f t="shared" si="3"/>
      </c>
      <c r="HH123" s="91" t="str">
        <f t="shared" si="3"/>
      </c>
      <c r="HI123" s="91" t="str">
        <f t="shared" si="3"/>
      </c>
      <c r="HJ123" s="91" t="str">
        <f t="shared" si="3"/>
      </c>
      <c r="HK123" s="91" t="str">
        <f t="shared" si="3"/>
      </c>
      <c r="HL123" s="91" t="str">
        <f t="shared" si="3"/>
      </c>
      <c r="HM123" s="91" t="str">
        <f ref="HM123:IV123" t="shared" si="4">IF(SUM(HM104:HM122)&lt;&gt;0,SUM(HM104:HM122),"")</f>
      </c>
      <c r="HN123" s="91" t="str">
        <f t="shared" si="4"/>
      </c>
      <c r="HO123" s="91" t="str">
        <f t="shared" si="4"/>
      </c>
      <c r="HP123" s="91" t="str">
        <f t="shared" si="4"/>
      </c>
      <c r="HQ123" s="91" t="str">
        <f t="shared" si="4"/>
      </c>
      <c r="HR123" s="91" t="str">
        <f t="shared" si="4"/>
      </c>
      <c r="HS123" s="91" t="str">
        <f t="shared" si="4"/>
      </c>
      <c r="HT123" s="91" t="str">
        <f t="shared" si="4"/>
      </c>
      <c r="HU123" s="91" t="str">
        <f t="shared" si="4"/>
      </c>
      <c r="HV123" s="91" t="str">
        <f t="shared" si="4"/>
      </c>
      <c r="HW123" s="91" t="str">
        <f t="shared" si="4"/>
      </c>
      <c r="HX123" s="91" t="str">
        <f t="shared" si="4"/>
      </c>
      <c r="HY123" s="91" t="str">
        <f t="shared" si="4"/>
      </c>
      <c r="HZ123" s="91" t="str">
        <f t="shared" si="4"/>
      </c>
      <c r="IA123" s="91" t="str">
        <f t="shared" si="4"/>
      </c>
      <c r="IB123" s="91" t="str">
        <f t="shared" si="4"/>
      </c>
      <c r="IC123" s="91" t="str">
        <f t="shared" si="4"/>
      </c>
      <c r="ID123" s="91" t="str">
        <f t="shared" si="4"/>
      </c>
      <c r="IE123" s="91" t="str">
        <f t="shared" si="4"/>
      </c>
      <c r="IF123" s="91" t="str">
        <f t="shared" si="4"/>
      </c>
      <c r="IG123" s="91" t="str">
        <f t="shared" si="4"/>
      </c>
      <c r="IH123" s="91" t="str">
        <f t="shared" si="4"/>
      </c>
      <c r="II123" s="91" t="str">
        <f t="shared" si="4"/>
      </c>
      <c r="IJ123" s="91" t="str">
        <f t="shared" si="4"/>
      </c>
      <c r="IK123" s="91" t="str">
        <f t="shared" si="4"/>
      </c>
      <c r="IL123" s="91" t="str">
        <f t="shared" si="4"/>
      </c>
      <c r="IM123" s="91" t="str">
        <f t="shared" si="4"/>
      </c>
      <c r="IN123" s="91" t="str">
        <f t="shared" si="4"/>
      </c>
      <c r="IO123" s="91" t="str">
        <f t="shared" si="4"/>
      </c>
      <c r="IP123" s="91" t="str">
        <f t="shared" si="4"/>
      </c>
      <c r="IQ123" s="91" t="str">
        <f t="shared" si="4"/>
      </c>
      <c r="IR123" s="91" t="str">
        <f t="shared" si="4"/>
      </c>
      <c r="IS123" s="91" t="str">
        <f t="shared" si="4"/>
      </c>
      <c r="IT123" s="91" t="str">
        <f t="shared" si="4"/>
      </c>
      <c r="IU123" s="91" t="str">
        <f t="shared" si="4"/>
      </c>
      <c r="IV123" s="91" t="str">
        <f t="shared" si="4"/>
      </c>
    </row>
    <row r="124" hidden="1"/>
    <row r="125" hidden="1" ht="13.5"/>
    <row r="126" hidden="1" ht="33" customHeight="1">
      <c r="C126" s="686" t="s">
        <v>111</v>
      </c>
      <c r="D126" s="687"/>
      <c r="E126" s="687"/>
      <c r="F126" s="687"/>
      <c r="G126" s="687"/>
      <c r="H126" s="687"/>
      <c r="I126" s="687"/>
      <c r="J126" s="687"/>
      <c r="K126" s="687"/>
      <c r="L126" s="687"/>
      <c r="M126" s="687"/>
      <c r="N126" s="687"/>
      <c r="O126" s="687"/>
      <c r="P126" s="687"/>
      <c r="Q126" s="687"/>
      <c r="R126" s="687"/>
      <c r="S126" s="687"/>
      <c r="T126" s="687"/>
      <c r="U126" s="687"/>
      <c r="V126" s="687"/>
      <c r="W126" s="687"/>
      <c r="X126" s="687"/>
      <c r="Y126" s="687"/>
      <c r="Z126" s="687"/>
      <c r="AA126" s="687"/>
      <c r="AB126" s="688"/>
    </row>
    <row r="127" hidden="1" ht="15.75" customHeight="1">
      <c r="C127" s="435" t="str">
        <f> IF(C147&lt;&gt;"",TEXT(AUX!G$1,"dd-MMM-aa"),"")</f>
      </c>
      <c r="D127" s="435" t="str">
        <f> IF(D147&lt;&gt;"",TEXT(AUX!H$1,"dd-MMM-aa"),"")</f>
      </c>
      <c r="E127" s="435" t="str">
        <f> IF(E147&lt;&gt;"",TEXT(AUX!I$1,"dd-MMM-aa"),"")</f>
      </c>
      <c r="F127" s="435" t="str">
        <f> IF(F147&lt;&gt;"",TEXT(AUX!J$1,"dd-MMM-aa"),"")</f>
      </c>
      <c r="G127" s="435" t="str">
        <f> IF(G147&lt;&gt;"",TEXT(AUX!K$1,"dd-MMM-aa"),"")</f>
      </c>
      <c r="H127" s="435" t="str">
        <f> IF(H147&lt;&gt;"",TEXT(AUX!L$1,"dd-MMM-aa"),"")</f>
      </c>
      <c r="I127" s="435" t="str">
        <f> IF(I147&lt;&gt;"",TEXT(AUX!M$1,"dd-MMM-aa"),"")</f>
      </c>
      <c r="J127" s="435" t="str">
        <f> IF(J147&lt;&gt;"",TEXT(AUX!N$1,"dd-MMM-aa"),"")</f>
      </c>
      <c r="K127" s="435" t="str">
        <f> IF(K147&lt;&gt;"",TEXT(AUX!O$1,"dd-MMM-aa"),"")</f>
      </c>
      <c r="L127" s="435" t="str">
        <f> IF(L147&lt;&gt;"",TEXT(AUX!P$1,"dd-MMM-aa"),"")</f>
      </c>
      <c r="M127" s="435" t="str">
        <f> IF(M147&lt;&gt;"",TEXT(AUX!Q$1,"dd-MMM-aa"),"")</f>
      </c>
      <c r="N127" s="435" t="str">
        <f> IF(N147&lt;&gt;"",TEXT(AUX!R$1,"dd-MMM-aa"),"")</f>
      </c>
      <c r="O127" s="435" t="str">
        <f> IF(O147&lt;&gt;"",TEXT(AUX!S$1,"dd-MMM-aa"),"")</f>
      </c>
      <c r="P127" s="435" t="str">
        <f> IF(P147&lt;&gt;"",TEXT(AUX!T$1,"dd-MMM-aa"),"")</f>
      </c>
      <c r="Q127" s="435" t="str">
        <f> IF(Q147&lt;&gt;"",TEXT(AUX!U$1,"dd-MMM-aa"),"")</f>
      </c>
      <c r="R127" s="435" t="str">
        <f> IF(R147&lt;&gt;"",TEXT(AUX!V$1,"dd-MMM-aa"),"")</f>
      </c>
      <c r="S127" s="435" t="str">
        <f> IF(S147&lt;&gt;"",TEXT(AUX!W$1,"dd-MMM-aa"),"")</f>
      </c>
      <c r="T127" s="435" t="str">
        <f> IF(T147&lt;&gt;"",TEXT(AUX!X$1,"dd-MMM-aa"),"")</f>
      </c>
      <c r="U127" s="435" t="str">
        <f> IF(U147&lt;&gt;"",TEXT(AUX!Y$1,"dd-MMM-aa"),"")</f>
      </c>
      <c r="V127" s="435" t="str">
        <f> IF(V147&lt;&gt;"",TEXT(AUX!Z$1,"dd-MMM-aa"),"")</f>
      </c>
      <c r="W127" s="435" t="str">
        <f> IF(W147&lt;&gt;"",TEXT(AUX!AA$1,"dd-MMM-aa"),"")</f>
      </c>
      <c r="X127" s="435" t="str">
        <f> IF(X147&lt;&gt;"",TEXT(AUX!AB$1,"dd-MMM-aa"),"")</f>
      </c>
      <c r="Y127" s="435" t="str">
        <f> IF(Y147&lt;&gt;"",TEXT(AUX!AC$1,"dd-MMM-aa"),"")</f>
      </c>
      <c r="Z127" s="435" t="str">
        <f> IF(Z147&lt;&gt;"",TEXT(AUX!AD$1,"dd-MMM-aa"),"")</f>
      </c>
      <c r="AA127" s="435" t="str">
        <f> IF(AA147&lt;&gt;"",TEXT(AUX!AE$1,"dd-MMM-aa"),"")</f>
      </c>
      <c r="AB127" s="497" t="str">
        <f> IF(AB147&lt;&gt;"",TEXT(AUX!AF$1,"dd-MMM-aa"),"")</f>
      </c>
      <c r="AC127" s="496" t="str">
        <f> IF(AC147&lt;&gt;"",TEXT(AUX!AG$1,"dd-MMM-aa"),"")</f>
      </c>
      <c r="AD127" s="496" t="str">
        <f> IF(AD147&lt;&gt;"",TEXT(AUX!AH$1,"dd-MMM-aa"),"")</f>
      </c>
      <c r="AE127" s="496" t="str">
        <f> IF(AE147&lt;&gt;"",TEXT(AUX!AI$1,"dd-MMM-aa"),"")</f>
      </c>
      <c r="AF127" s="496" t="str">
        <f> IF(AF147&lt;&gt;"",TEXT(AUX!AJ$1,"dd-MMM-aa"),"")</f>
      </c>
      <c r="AG127" s="496" t="str">
        <f> IF(AG147&lt;&gt;"",TEXT(AUX!AK$1,"dd-MMM-aa"),"")</f>
      </c>
      <c r="AH127" s="496" t="str">
        <f> IF(AH147&lt;&gt;"",TEXT(AUX!AL$1,"dd-MMM-aa"),"")</f>
      </c>
      <c r="AI127" s="496" t="str">
        <f> IF(AI147&lt;&gt;"",TEXT(AUX!AM$1,"dd-MMM-aa"),"")</f>
      </c>
      <c r="AJ127" s="496" t="str">
        <f> IF(AJ147&lt;&gt;"",TEXT(AUX!AN$1,"dd-MMM-aa"),"")</f>
      </c>
      <c r="AK127" s="496" t="str">
        <f> IF(AK147&lt;&gt;"",TEXT(AUX!AO$1,"dd-MMM-aa"),"")</f>
      </c>
      <c r="AL127" s="496" t="str">
        <f> IF(AL147&lt;&gt;"",TEXT(AUX!AP$1,"dd-MMM-aa"),"")</f>
      </c>
      <c r="AM127" s="496" t="str">
        <f> IF(AM147&lt;&gt;"",TEXT(AUX!AQ$1,"dd-MMM-aa"),"")</f>
      </c>
      <c r="AN127" s="496" t="str">
        <f> IF(AN147&lt;&gt;"",TEXT(AUX!AR$1,"dd-MMM-aa"),"")</f>
      </c>
      <c r="AO127" s="496" t="str">
        <f> IF(AO147&lt;&gt;"",TEXT(AUX!AS$1,"dd-MMM-aa"),"")</f>
      </c>
      <c r="AP127" s="496" t="str">
        <f> IF(AP147&lt;&gt;"",TEXT(AUX!AT$1,"dd-MMM-aa"),"")</f>
      </c>
      <c r="AQ127" s="496" t="str">
        <f> IF(AQ147&lt;&gt;"",TEXT(AUX!AU$1,"dd-MMM-aa"),"")</f>
      </c>
      <c r="AR127" s="496" t="str">
        <f> IF(AR147&lt;&gt;"",TEXT(AUX!AV$1,"dd-MMM-aa"),"")</f>
      </c>
      <c r="AS127" s="496" t="str">
        <f> IF(AS147&lt;&gt;"",TEXT(AUX!AW$1,"dd-MMM-aa"),"")</f>
      </c>
      <c r="AT127" s="496" t="str">
        <f> IF(AT147&lt;&gt;"",TEXT(AUX!AX$1,"dd-MMM-aa"),"")</f>
      </c>
      <c r="AU127" s="496" t="str">
        <f> IF(AU147&lt;&gt;"",TEXT(AUX!AY$1,"dd-MMM-aa"),"")</f>
      </c>
      <c r="AV127" s="496" t="str">
        <f> IF(AV147&lt;&gt;"",TEXT(AUX!AZ$1,"dd-MMM-aa"),"")</f>
      </c>
      <c r="AW127" s="496" t="str">
        <f> IF(AW147&lt;&gt;"",TEXT(AUX!BA$1,"dd-MMM-aa"),"")</f>
      </c>
      <c r="AX127" s="496" t="str">
        <f> IF(AX147&lt;&gt;"",TEXT(AUX!BB$1,"dd-MMM-aa"),"")</f>
      </c>
      <c r="AY127" s="496" t="str">
        <f> IF(AY147&lt;&gt;"",TEXT(AUX!BC$1,"dd-MMM-aa"),"")</f>
      </c>
      <c r="AZ127" s="496" t="str">
        <f> IF(AZ147&lt;&gt;"",TEXT(AUX!BD$1,"dd-MMM-aa"),"")</f>
      </c>
      <c r="BA127" s="496" t="str">
        <f> IF(BA147&lt;&gt;"",TEXT(AUX!BE$1,"dd-MMM-aa"),"")</f>
      </c>
      <c r="BB127" s="496" t="str">
        <f> IF(BB147&lt;&gt;"",TEXT(AUX!BF$1,"dd-MMM-aa"),"")</f>
      </c>
      <c r="BC127" s="496" t="str">
        <f> IF(BC147&lt;&gt;"",TEXT(AUX!BG$1,"dd-MMM-aa"),"")</f>
      </c>
      <c r="BD127" s="496" t="str">
        <f> IF(BD147&lt;&gt;"",TEXT(AUX!BH$1,"dd-MMM-aa"),"")</f>
      </c>
      <c r="BE127" s="496" t="str">
        <f> IF(BE147&lt;&gt;"",TEXT(AUX!BI$1,"dd-MMM-aa"),"")</f>
      </c>
      <c r="BF127" s="496" t="str">
        <f> IF(BF147&lt;&gt;"",TEXT(AUX!BJ$1,"dd-MMM-aa"),"")</f>
      </c>
      <c r="BG127" s="496" t="str">
        <f> IF(BG147&lt;&gt;"",TEXT(AUX!BK$1,"dd-MMM-aa"),"")</f>
      </c>
      <c r="BH127" s="496" t="str">
        <f> IF(BH147&lt;&gt;"",TEXT(AUX!BL$1,"dd-MMM-aa"),"")</f>
      </c>
      <c r="BI127" s="496" t="str">
        <f> IF(BI147&lt;&gt;"",TEXT(AUX!BM$1,"dd-MMM-aa"),"")</f>
      </c>
      <c r="BJ127" s="496" t="str">
        <f> IF(BJ147&lt;&gt;"",TEXT(AUX!BN$1,"dd-MMM-aa"),"")</f>
      </c>
      <c r="BK127" s="496" t="str">
        <f> IF(BK147&lt;&gt;"",TEXT(AUX!BO$1,"dd-MMM-aa"),"")</f>
      </c>
      <c r="BL127" s="496" t="str">
        <f> IF(BL147&lt;&gt;"",TEXT(AUX!BP$1,"dd-MMM-aa"),"")</f>
      </c>
      <c r="BM127" s="496" t="str">
        <f> IF(BM147&lt;&gt;"",TEXT(AUX!BQ$1,"dd-MMM-aa"),"")</f>
      </c>
      <c r="BN127" s="496" t="str">
        <f> IF(BN147&lt;&gt;"",TEXT(AUX!BR$1,"dd-MMM-aa"),"")</f>
      </c>
      <c r="BO127" s="496" t="str">
        <f> IF(BO147&lt;&gt;"",TEXT(AUX!BS$1,"dd-MMM-aa"),"")</f>
      </c>
      <c r="BP127" s="496" t="str">
        <f> IF(BP147&lt;&gt;"",TEXT(AUX!BT$1,"dd-MMM-aa"),"")</f>
      </c>
      <c r="BQ127" s="496" t="str">
        <f> IF(BQ147&lt;&gt;"",TEXT(AUX!BU$1,"dd-MMM-aa"),"")</f>
      </c>
      <c r="BR127" s="496" t="str">
        <f> IF(BR147&lt;&gt;"",TEXT(AUX!BV$1,"dd-MMM-aa"),"")</f>
      </c>
      <c r="BS127" s="496" t="str">
        <f> IF(BS147&lt;&gt;"",TEXT(AUX!BW$1,"dd-MMM-aa"),"")</f>
      </c>
      <c r="BT127" s="496" t="str">
        <f> IF(BT147&lt;&gt;"",TEXT(AUX!BX$1,"dd-MMM-aa"),"")</f>
      </c>
      <c r="BU127" s="496" t="str">
        <f> IF(BU147&lt;&gt;"",TEXT(AUX!BY$1,"dd-MMM-aa"),"")</f>
      </c>
      <c r="BV127" s="496" t="str">
        <f> IF(BV147&lt;&gt;"",TEXT(AUX!BZ$1,"dd-MMM-aa"),"")</f>
      </c>
      <c r="BW127" s="496" t="str">
        <f> IF(BW147&lt;&gt;"",TEXT(AUX!CA$1,"dd-MMM-aa"),"")</f>
      </c>
      <c r="BX127" s="496" t="str">
        <f> IF(BX147&lt;&gt;"",TEXT(AUX!CB$1,"dd-MMM-aa"),"")</f>
      </c>
      <c r="BY127" s="496" t="str">
        <f> IF(BY147&lt;&gt;"",TEXT(AUX!CC$1,"dd-MMM-aa"),"")</f>
      </c>
      <c r="BZ127" s="496" t="str">
        <f> IF(BZ147&lt;&gt;"",TEXT(AUX!CD$1,"dd-MMM-aa"),"")</f>
      </c>
      <c r="CA127" s="496" t="str">
        <f> IF(CA147&lt;&gt;"",TEXT(AUX!CE$1,"dd-MMM-aa"),"")</f>
      </c>
      <c r="CB127" s="496" t="str">
        <f> IF(CB147&lt;&gt;"",TEXT(AUX!CF$1,"dd-MMM-aa"),"")</f>
      </c>
      <c r="CC127" s="496" t="str">
        <f> IF(CC147&lt;&gt;"",TEXT(AUX!CG$1,"dd-MMM-aa"),"")</f>
      </c>
      <c r="CD127" s="496" t="str">
        <f> IF(CD147&lt;&gt;"",TEXT(AUX!CH$1,"dd-MMM-aa"),"")</f>
      </c>
      <c r="CE127" s="496" t="str">
        <f> IF(CE147&lt;&gt;"",TEXT(AUX!CI$1,"dd-MMM-aa"),"")</f>
      </c>
      <c r="CF127" s="496" t="str">
        <f> IF(CF147&lt;&gt;"",TEXT(AUX!CJ$1,"dd-MMM-aa"),"")</f>
      </c>
      <c r="CG127" s="496" t="str">
        <f> IF(CG147&lt;&gt;"",TEXT(AUX!CK$1,"dd-MMM-aa"),"")</f>
      </c>
      <c r="CH127" s="496" t="str">
        <f> IF(CH147&lt;&gt;"",TEXT(AUX!CL$1,"dd-MMM-aa"),"")</f>
      </c>
      <c r="CI127" s="496" t="str">
        <f> IF(CI147&lt;&gt;"",TEXT(AUX!CM$1,"dd-MMM-aa"),"")</f>
      </c>
      <c r="CJ127" s="496" t="str">
        <f> IF(CJ147&lt;&gt;"",TEXT(AUX!CN$1,"dd-MMM-aa"),"")</f>
      </c>
      <c r="CK127" s="496" t="str">
        <f> IF(CK147&lt;&gt;"",TEXT(AUX!CO$1,"dd-MMM-aa"),"")</f>
      </c>
      <c r="CL127" s="496" t="str">
        <f> IF(CL147&lt;&gt;"",TEXT(AUX!CP$1,"dd-MMM-aa"),"")</f>
      </c>
      <c r="CM127" s="496" t="str">
        <f> IF(CM147&lt;&gt;"",TEXT(AUX!CQ$1,"dd-MMM-aa"),"")</f>
      </c>
      <c r="CN127" s="496" t="str">
        <f> IF(CN147&lt;&gt;"",TEXT(AUX!CR$1,"dd-MMM-aa"),"")</f>
      </c>
      <c r="CO127" s="496" t="str">
        <f> IF(CO147&lt;&gt;"",TEXT(AUX!CS$1,"dd-MMM-aa"),"")</f>
      </c>
      <c r="CP127" s="496" t="str">
        <f> IF(CP147&lt;&gt;"",TEXT(AUX!CT$1,"dd-MMM-aa"),"")</f>
      </c>
      <c r="CQ127" s="496" t="str">
        <f> IF(CQ147&lt;&gt;"",TEXT(AUX!CU$1,"dd-MMM-aa"),"")</f>
      </c>
      <c r="CR127" s="496" t="str">
        <f> IF(CR147&lt;&gt;"",TEXT(AUX!CV$1,"dd-MMM-aa"),"")</f>
      </c>
      <c r="CS127" s="496" t="str">
        <f> IF(CS147&lt;&gt;"",TEXT(AUX!CW$1,"dd-MMM-aa"),"")</f>
      </c>
      <c r="CT127" s="496" t="str">
        <f> IF(CT147&lt;&gt;"",TEXT(AUX!CX$1,"dd-MMM-aa"),"")</f>
      </c>
      <c r="CU127" s="496" t="str">
        <f> IF(CU147&lt;&gt;"",TEXT(AUX!CY$1,"dd-MMM-aa"),"")</f>
      </c>
      <c r="CV127" s="496" t="str">
        <f> IF(CV147&lt;&gt;"",TEXT(AUX!CZ$1,"dd-MMM-aa"),"")</f>
      </c>
      <c r="CW127" s="496" t="str">
        <f> IF(CW147&lt;&gt;"",TEXT(AUX!DA$1,"dd-MMM-aa"),"")</f>
      </c>
      <c r="CX127" s="496" t="str">
        <f> IF(CX147&lt;&gt;"",TEXT(AUX!DB$1,"dd-MMM-aa"),"")</f>
      </c>
      <c r="CY127" s="496" t="str">
        <f> IF(CY147&lt;&gt;"",TEXT(AUX!DC$1,"dd-MMM-aa"),"")</f>
      </c>
      <c r="CZ127" s="496" t="str">
        <f> IF(CZ147&lt;&gt;"",TEXT(AUX!DD$1,"dd-MMM-aa"),"")</f>
      </c>
      <c r="DA127" s="496" t="str">
        <f> IF(DA147&lt;&gt;"",TEXT(AUX!DE$1,"dd-MMM-aa"),"")</f>
      </c>
      <c r="DB127" s="496" t="str">
        <f> IF(DB147&lt;&gt;"",TEXT(AUX!DF$1,"dd-MMM-aa"),"")</f>
      </c>
      <c r="DC127" s="496" t="str">
        <f> IF(DC147&lt;&gt;"",TEXT(AUX!DG$1,"dd-MMM-aa"),"")</f>
      </c>
      <c r="DD127" s="496" t="str">
        <f> IF(DD147&lt;&gt;"",TEXT(AUX!DH$1,"dd-MMM-aa"),"")</f>
      </c>
      <c r="DE127" s="496" t="str">
        <f> IF(DE147&lt;&gt;"",TEXT(AUX!DI$1,"dd-MMM-aa"),"")</f>
      </c>
      <c r="DF127" s="496" t="str">
        <f> IF(DF147&lt;&gt;"",TEXT(AUX!DJ$1,"dd-MMM-aa"),"")</f>
      </c>
      <c r="DG127" s="496" t="str">
        <f> IF(DG147&lt;&gt;"",TEXT(AUX!DK$1,"dd-MMM-aa"),"")</f>
      </c>
      <c r="DH127" s="496" t="str">
        <f> IF(DH147&lt;&gt;"",TEXT(AUX!DL$1,"dd-MMM-aa"),"")</f>
      </c>
      <c r="DI127" s="496" t="str">
        <f> IF(DI147&lt;&gt;"",TEXT(AUX!DM$1,"dd-MMM-aa"),"")</f>
      </c>
      <c r="DJ127" s="496" t="str">
        <f> IF(DJ147&lt;&gt;"",TEXT(AUX!DN$1,"dd-MMM-aa"),"")</f>
      </c>
      <c r="DK127" s="496" t="str">
        <f> IF(DK147&lt;&gt;"",TEXT(AUX!DO$1,"dd-MMM-aa"),"")</f>
      </c>
      <c r="DL127" s="496" t="str">
        <f> IF(DL147&lt;&gt;"",TEXT(AUX!DP$1,"dd-MMM-aa"),"")</f>
      </c>
      <c r="DM127" s="496" t="str">
        <f> IF(DM147&lt;&gt;"",TEXT(AUX!DQ$1,"dd-MMM-aa"),"")</f>
      </c>
      <c r="DN127" s="496" t="str">
        <f> IF(DN147&lt;&gt;"",TEXT(AUX!DR$1,"dd-MMM-aa"),"")</f>
      </c>
      <c r="DO127" s="496" t="str">
        <f> IF(DO147&lt;&gt;"",TEXT(AUX!DS$1,"dd-MMM-aa"),"")</f>
      </c>
      <c r="DP127" s="496" t="str">
        <f> IF(DP147&lt;&gt;"",TEXT(AUX!DT$1,"dd-MMM-aa"),"")</f>
      </c>
      <c r="DQ127" s="496" t="str">
        <f> IF(DQ147&lt;&gt;"",TEXT(AUX!DU$1,"dd-MMM-aa"),"")</f>
      </c>
      <c r="DR127" s="496" t="str">
        <f> IF(DR147&lt;&gt;"",TEXT(AUX!DV$1,"dd-MMM-aa"),"")</f>
      </c>
      <c r="DS127" s="496" t="str">
        <f> IF(DS147&lt;&gt;"",TEXT(AUX!DW$1,"dd-MMM-aa"),"")</f>
      </c>
      <c r="DT127" s="496" t="str">
        <f> IF(DT147&lt;&gt;"",TEXT(AUX!DX$1,"dd-MMM-aa"),"")</f>
      </c>
      <c r="DU127" s="496" t="str">
        <f> IF(DU147&lt;&gt;"",TEXT(AUX!DY$1,"dd-MMM-aa"),"")</f>
      </c>
      <c r="DV127" s="496" t="str">
        <f> IF(DV147&lt;&gt;"",TEXT(AUX!DZ$1,"dd-MMM-aa"),"")</f>
      </c>
      <c r="DW127" s="496" t="str">
        <f> IF(DW147&lt;&gt;"",TEXT(AUX!EA$1,"dd-MMM-aa"),"")</f>
      </c>
      <c r="DX127" s="496" t="str">
        <f> IF(DX147&lt;&gt;"",TEXT(AUX!EB$1,"dd-MMM-aa"),"")</f>
      </c>
      <c r="DY127" s="496" t="str">
        <f> IF(DY147&lt;&gt;"",TEXT(AUX!EC$1,"dd-MMM-aa"),"")</f>
      </c>
      <c r="DZ127" s="496" t="str">
        <f> IF(DZ147&lt;&gt;"",TEXT(AUX!ED$1,"dd-MMM-aa"),"")</f>
      </c>
      <c r="EA127" s="496" t="str">
        <f> IF(EA147&lt;&gt;"",TEXT(AUX!EE$1,"dd-MMM-aa"),"")</f>
      </c>
      <c r="EB127" s="496" t="str">
        <f> IF(EB147&lt;&gt;"",TEXT(AUX!EF$1,"dd-MMM-aa"),"")</f>
      </c>
      <c r="EC127" s="496" t="str">
        <f> IF(EC147&lt;&gt;"",TEXT(AUX!EG$1,"dd-MMM-aa"),"")</f>
      </c>
      <c r="ED127" s="496" t="str">
        <f> IF(ED147&lt;&gt;"",TEXT(AUX!EH$1,"dd-MMM-aa"),"")</f>
      </c>
      <c r="EE127" s="496" t="str">
        <f> IF(EE147&lt;&gt;"",TEXT(AUX!EI$1,"dd-MMM-aa"),"")</f>
      </c>
      <c r="EF127" s="496" t="str">
        <f> IF(EF147&lt;&gt;"",TEXT(AUX!EJ$1,"dd-MMM-aa"),"")</f>
      </c>
      <c r="EG127" s="496" t="str">
        <f> IF(EG147&lt;&gt;"",TEXT(AUX!EK$1,"dd-MMM-aa"),"")</f>
      </c>
      <c r="EH127" s="496" t="str">
        <f> IF(EH147&lt;&gt;"",TEXT(AUX!EL$1,"dd-MMM-aa"),"")</f>
      </c>
      <c r="EI127" s="496" t="str">
        <f> IF(EI147&lt;&gt;"",TEXT(AUX!EM$1,"dd-MMM-aa"),"")</f>
      </c>
      <c r="EJ127" s="496" t="str">
        <f> IF(EJ147&lt;&gt;"",TEXT(AUX!EN$1,"dd-MMM-aa"),"")</f>
      </c>
      <c r="EK127" s="496" t="str">
        <f> IF(EK147&lt;&gt;"",TEXT(AUX!EO$1,"dd-MMM-aa"),"")</f>
      </c>
      <c r="EL127" s="496" t="str">
        <f> IF(EL147&lt;&gt;"",TEXT(AUX!EP$1,"dd-MMM-aa"),"")</f>
      </c>
      <c r="EM127" s="496" t="str">
        <f> IF(EM147&lt;&gt;"",TEXT(AUX!EQ$1,"dd-MMM-aa"),"")</f>
      </c>
      <c r="EN127" s="496" t="str">
        <f> IF(EN147&lt;&gt;"",TEXT(AUX!ER$1,"dd-MMM-aa"),"")</f>
      </c>
      <c r="EO127" s="496" t="str">
        <f> IF(EO147&lt;&gt;"",TEXT(AUX!ES$1,"dd-MMM-aa"),"")</f>
      </c>
      <c r="EP127" s="496" t="str">
        <f> IF(EP147&lt;&gt;"",TEXT(AUX!ET$1,"dd-MMM-aa"),"")</f>
      </c>
      <c r="EQ127" s="496" t="str">
        <f> IF(EQ147&lt;&gt;"",TEXT(AUX!EU$1,"dd-MMM-aa"),"")</f>
      </c>
      <c r="ER127" s="496" t="str">
        <f> IF(ER147&lt;&gt;"",TEXT(AUX!EV$1,"dd-MMM-aa"),"")</f>
      </c>
      <c r="ES127" s="496" t="str">
        <f> IF(ES147&lt;&gt;"",TEXT(AUX!EW$1,"dd-MMM-aa"),"")</f>
      </c>
      <c r="ET127" s="496" t="str">
        <f> IF(ET147&lt;&gt;"",TEXT(AUX!EX$1,"dd-MMM-aa"),"")</f>
      </c>
      <c r="EU127" s="496" t="str">
        <f> IF(EU147&lt;&gt;"",TEXT(AUX!EY$1,"dd-MMM-aa"),"")</f>
      </c>
      <c r="EV127" s="496" t="str">
        <f> IF(EV147&lt;&gt;"",TEXT(AUX!EZ$1,"dd-MMM-aa"),"")</f>
      </c>
      <c r="EW127" s="496" t="str">
        <f> IF(EW147&lt;&gt;"",TEXT(AUX!FA$1,"dd-MMM-aa"),"")</f>
      </c>
      <c r="EX127" s="496" t="str">
        <f> IF(EX147&lt;&gt;"",TEXT(AUX!FB$1,"dd-MMM-aa"),"")</f>
      </c>
      <c r="EY127" s="496" t="str">
        <f> IF(EY147&lt;&gt;"",TEXT(AUX!FC$1,"dd-MMM-aa"),"")</f>
      </c>
      <c r="EZ127" s="496" t="str">
        <f> IF(EZ147&lt;&gt;"",TEXT(AUX!FD$1,"dd-MMM-aa"),"")</f>
      </c>
      <c r="FA127" s="496" t="str">
        <f> IF(FA147&lt;&gt;"",TEXT(AUX!FE$1,"dd-MMM-aa"),"")</f>
      </c>
      <c r="FB127" s="496" t="str">
        <f> IF(FB147&lt;&gt;"",TEXT(AUX!FF$1,"dd-MMM-aa"),"")</f>
      </c>
      <c r="FC127" s="496" t="str">
        <f> IF(FC147&lt;&gt;"",TEXT(AUX!FG$1,"dd-MMM-aa"),"")</f>
      </c>
      <c r="FD127" s="496" t="str">
        <f> IF(FD147&lt;&gt;"",TEXT(AUX!FH$1,"dd-MMM-aa"),"")</f>
      </c>
      <c r="FE127" s="496" t="str">
        <f> IF(FE147&lt;&gt;"",TEXT(AUX!FI$1,"dd-MMM-aa"),"")</f>
      </c>
      <c r="FF127" s="496" t="str">
        <f> IF(FF147&lt;&gt;"",TEXT(AUX!FJ$1,"dd-MMM-aa"),"")</f>
      </c>
      <c r="FG127" s="496" t="str">
        <f> IF(FG147&lt;&gt;"",TEXT(AUX!FK$1,"dd-MMM-aa"),"")</f>
      </c>
      <c r="FH127" s="496" t="str">
        <f> IF(FH147&lt;&gt;"",TEXT(AUX!FL$1,"dd-MMM-aa"),"")</f>
      </c>
      <c r="FI127" s="496" t="str">
        <f> IF(FI147&lt;&gt;"",TEXT(AUX!FM$1,"dd-MMM-aa"),"")</f>
      </c>
      <c r="FJ127" s="496" t="str">
        <f> IF(FJ147&lt;&gt;"",TEXT(AUX!FN$1,"dd-MMM-aa"),"")</f>
      </c>
      <c r="FK127" s="496" t="str">
        <f> IF(FK147&lt;&gt;"",TEXT(AUX!FO$1,"dd-MMM-aa"),"")</f>
      </c>
      <c r="FL127" s="496" t="str">
        <f> IF(FL147&lt;&gt;"",TEXT(AUX!FP$1,"dd-MMM-aa"),"")</f>
      </c>
      <c r="FM127" s="496" t="str">
        <f> IF(FM147&lt;&gt;"",TEXT(AUX!FQ$1,"dd-MMM-aa"),"")</f>
      </c>
      <c r="FN127" s="496" t="str">
        <f> IF(FN147&lt;&gt;"",TEXT(AUX!FR$1,"dd-MMM-aa"),"")</f>
      </c>
      <c r="FO127" s="496" t="str">
        <f> IF(FO147&lt;&gt;"",TEXT(AUX!FS$1,"dd-MMM-aa"),"")</f>
      </c>
      <c r="FP127" s="496" t="str">
        <f> IF(FP147&lt;&gt;"",TEXT(AUX!FT$1,"dd-MMM-aa"),"")</f>
      </c>
      <c r="FQ127" s="496" t="str">
        <f> IF(FQ147&lt;&gt;"",TEXT(AUX!FU$1,"dd-MMM-aa"),"")</f>
      </c>
      <c r="FR127" s="496" t="str">
        <f> IF(FR147&lt;&gt;"",TEXT(AUX!FV$1,"dd-MMM-aa"),"")</f>
      </c>
      <c r="FS127" s="496" t="str">
        <f> IF(FS147&lt;&gt;"",TEXT(AUX!FW$1,"dd-MMM-aa"),"")</f>
      </c>
      <c r="FT127" s="496" t="str">
        <f> IF(FT147&lt;&gt;"",TEXT(AUX!FX$1,"dd-MMM-aa"),"")</f>
      </c>
      <c r="FU127" s="496" t="str">
        <f> IF(FU147&lt;&gt;"",TEXT(AUX!FY$1,"dd-MMM-aa"),"")</f>
      </c>
      <c r="FV127" s="496" t="str">
        <f> IF(FV147&lt;&gt;"",TEXT(AUX!FZ$1,"dd-MMM-aa"),"")</f>
      </c>
      <c r="FW127" s="496" t="str">
        <f> IF(FW147&lt;&gt;"",TEXT(AUX!GA$1,"dd-MMM-aa"),"")</f>
      </c>
      <c r="FX127" s="496" t="str">
        <f> IF(FX147&lt;&gt;"",TEXT(AUX!GB$1,"dd-MMM-aa"),"")</f>
      </c>
      <c r="FY127" s="496" t="str">
        <f> IF(FY147&lt;&gt;"",TEXT(AUX!GC$1,"dd-MMM-aa"),"")</f>
      </c>
      <c r="FZ127" s="496" t="str">
        <f> IF(FZ147&lt;&gt;"",TEXT(AUX!GD$1,"dd-MMM-aa"),"")</f>
      </c>
      <c r="GA127" s="496" t="str">
        <f> IF(GA147&lt;&gt;"",TEXT(AUX!GE$1,"dd-MMM-aa"),"")</f>
      </c>
      <c r="GB127" s="496" t="str">
        <f> IF(GB147&lt;&gt;"",TEXT(AUX!GF$1,"dd-MMM-aa"),"")</f>
      </c>
      <c r="GC127" s="496" t="str">
        <f> IF(GC147&lt;&gt;"",TEXT(AUX!GG$1,"dd-MMM-aa"),"")</f>
      </c>
      <c r="GD127" s="496" t="str">
        <f> IF(GD147&lt;&gt;"",TEXT(AUX!GH$1,"dd-MMM-aa"),"")</f>
      </c>
      <c r="GE127" s="496" t="str">
        <f> IF(GE147&lt;&gt;"",TEXT(AUX!GI$1,"dd-MMM-aa"),"")</f>
      </c>
      <c r="GF127" s="496" t="str">
        <f> IF(GF147&lt;&gt;"",TEXT(AUX!GJ$1,"dd-MMM-aa"),"")</f>
      </c>
      <c r="GG127" s="496" t="str">
        <f> IF(GG147&lt;&gt;"",TEXT(AUX!GK$1,"dd-MMM-aa"),"")</f>
      </c>
      <c r="GH127" s="496" t="str">
        <f> IF(GH147&lt;&gt;"",TEXT(AUX!GL$1,"dd-MMM-aa"),"")</f>
      </c>
      <c r="GI127" s="496" t="str">
        <f> IF(GI147&lt;&gt;"",TEXT(AUX!GM$1,"dd-MMM-aa"),"")</f>
      </c>
      <c r="GJ127" s="496" t="str">
        <f> IF(GJ147&lt;&gt;"",TEXT(AUX!GN$1,"dd-MMM-aa"),"")</f>
      </c>
      <c r="GK127" s="496" t="str">
        <f> IF(GK147&lt;&gt;"",TEXT(AUX!GO$1,"dd-MMM-aa"),"")</f>
      </c>
      <c r="GL127" s="496" t="str">
        <f> IF(GL147&lt;&gt;"",TEXT(AUX!GP$1,"dd-MMM-aa"),"")</f>
      </c>
      <c r="GM127" s="496" t="str">
        <f> IF(GM147&lt;&gt;"",TEXT(AUX!GQ$1,"dd-MMM-aa"),"")</f>
      </c>
      <c r="GN127" s="496" t="str">
        <f> IF(GN147&lt;&gt;"",TEXT(AUX!GR$1,"dd-MMM-aa"),"")</f>
      </c>
      <c r="GO127" s="496" t="str">
        <f> IF(GO147&lt;&gt;"",TEXT(AUX!GS$1,"dd-MMM-aa"),"")</f>
      </c>
      <c r="GP127" s="496" t="str">
        <f> IF(GP147&lt;&gt;"",TEXT(AUX!GT$1,"dd-MMM-aa"),"")</f>
      </c>
      <c r="GQ127" s="496" t="str">
        <f> IF(GQ147&lt;&gt;"",TEXT(AUX!GU$1,"dd-MMM-aa"),"")</f>
      </c>
      <c r="GR127" s="496" t="str">
        <f> IF(GR147&lt;&gt;"",TEXT(AUX!GV$1,"dd-MMM-aa"),"")</f>
      </c>
      <c r="GS127" s="496" t="str">
        <f> IF(GS147&lt;&gt;"",TEXT(AUX!GW$1,"dd-MMM-aa"),"")</f>
      </c>
      <c r="GT127" s="496" t="str">
        <f> IF(GT147&lt;&gt;"",TEXT(AUX!GX$1,"dd-MMM-aa"),"")</f>
      </c>
      <c r="GU127" s="496" t="str">
        <f> IF(GU147&lt;&gt;"",TEXT(AUX!GY$1,"dd-MMM-aa"),"")</f>
      </c>
      <c r="GV127" s="496" t="str">
        <f> IF(GV147&lt;&gt;"",TEXT(AUX!GZ$1,"dd-MMM-aa"),"")</f>
      </c>
      <c r="GW127" s="496" t="str">
        <f> IF(GW147&lt;&gt;"",TEXT(AUX!HA$1,"dd-MMM-aa"),"")</f>
      </c>
      <c r="GX127" s="496" t="str">
        <f> IF(GX147&lt;&gt;"",TEXT(AUX!HB$1,"dd-MMM-aa"),"")</f>
      </c>
      <c r="GY127" s="496" t="str">
        <f> IF(GY147&lt;&gt;"",TEXT(AUX!HC$1,"dd-MMM-aa"),"")</f>
      </c>
      <c r="GZ127" s="496" t="str">
        <f> IF(GZ147&lt;&gt;"",TEXT(AUX!HD$1,"dd-MMM-aa"),"")</f>
      </c>
      <c r="HA127" s="496" t="str">
        <f> IF(HA147&lt;&gt;"",TEXT(AUX!HE$1,"dd-MMM-aa"),"")</f>
      </c>
      <c r="HB127" s="496" t="str">
        <f> IF(HB147&lt;&gt;"",TEXT(AUX!HF$1,"dd-MMM-aa"),"")</f>
      </c>
      <c r="HC127" s="496" t="str">
        <f> IF(HC147&lt;&gt;"",TEXT(AUX!HG$1,"dd-MMM-aa"),"")</f>
      </c>
      <c r="HD127" s="496" t="str">
        <f> IF(HD147&lt;&gt;"",TEXT(AUX!HH$1,"dd-MMM-aa"),"")</f>
      </c>
      <c r="HE127" s="496" t="str">
        <f> IF(HE147&lt;&gt;"",TEXT(AUX!HI$1,"dd-MMM-aa"),"")</f>
      </c>
      <c r="HF127" s="496" t="str">
        <f> IF(HF147&lt;&gt;"",TEXT(AUX!HJ$1,"dd-MMM-aa"),"")</f>
      </c>
      <c r="HG127" s="496" t="str">
        <f> IF(HG147&lt;&gt;"",TEXT(AUX!HK$1,"dd-MMM-aa"),"")</f>
      </c>
      <c r="HH127" s="496" t="str">
        <f> IF(HH147&lt;&gt;"",TEXT(AUX!HL$1,"dd-MMM-aa"),"")</f>
      </c>
      <c r="HI127" s="496" t="str">
        <f> IF(HI147&lt;&gt;"",TEXT(AUX!HM$1,"dd-MMM-aa"),"")</f>
      </c>
      <c r="HJ127" s="496" t="str">
        <f> IF(HJ147&lt;&gt;"",TEXT(AUX!HN$1,"dd-MMM-aa"),"")</f>
      </c>
      <c r="HK127" s="496" t="str">
        <f> IF(HK147&lt;&gt;"",TEXT(AUX!HO$1,"dd-MMM-aa"),"")</f>
      </c>
      <c r="HL127" s="496" t="str">
        <f> IF(HL147&lt;&gt;"",TEXT(AUX!HP$1,"dd-MMM-aa"),"")</f>
      </c>
      <c r="HM127" s="496" t="str">
        <f> IF(HM147&lt;&gt;"",TEXT(AUX!HQ$1,"dd-MMM-aa"),"")</f>
      </c>
      <c r="HN127" s="496" t="str">
        <f> IF(HN147&lt;&gt;"",TEXT(AUX!HR$1,"dd-MMM-aa"),"")</f>
      </c>
      <c r="HO127" s="496" t="str">
        <f> IF(HO147&lt;&gt;"",TEXT(AUX!HS$1,"dd-MMM-aa"),"")</f>
      </c>
      <c r="HP127" s="496" t="str">
        <f> IF(HP147&lt;&gt;"",TEXT(AUX!HT$1,"dd-MMM-aa"),"")</f>
      </c>
      <c r="HQ127" s="496" t="str">
        <f> IF(HQ147&lt;&gt;"",TEXT(AUX!HU$1,"dd-MMM-aa"),"")</f>
      </c>
      <c r="HR127" s="496" t="str">
        <f> IF(HR147&lt;&gt;"",TEXT(AUX!HV$1,"dd-MMM-aa"),"")</f>
      </c>
      <c r="HS127" s="496" t="str">
        <f> IF(HS147&lt;&gt;"",TEXT(AUX!HW$1,"dd-MMM-aa"),"")</f>
      </c>
      <c r="HT127" s="496" t="str">
        <f> IF(HT147&lt;&gt;"",TEXT(AUX!HX$1,"dd-MMM-aa"),"")</f>
      </c>
      <c r="HU127" s="496" t="str">
        <f> IF(HU147&lt;&gt;"",TEXT(AUX!HY$1,"dd-MMM-aa"),"")</f>
      </c>
      <c r="HV127" s="496" t="str">
        <f> IF(HV147&lt;&gt;"",TEXT(AUX!HZ$1,"dd-MMM-aa"),"")</f>
      </c>
      <c r="HW127" s="496" t="str">
        <f> IF(HW147&lt;&gt;"",TEXT(AUX!IA$1,"dd-MMM-aa"),"")</f>
      </c>
      <c r="HX127" s="496" t="str">
        <f> IF(HX147&lt;&gt;"",TEXT(AUX!IB$1,"dd-MMM-aa"),"")</f>
      </c>
      <c r="HY127" s="496" t="str">
        <f> IF(HY147&lt;&gt;"",TEXT(AUX!IC$1,"dd-MMM-aa"),"")</f>
      </c>
      <c r="HZ127" s="496" t="str">
        <f> IF(HZ147&lt;&gt;"",TEXT(AUX!ID$1,"dd-MMM-aa"),"")</f>
      </c>
      <c r="IA127" s="496" t="str">
        <f> IF(IA147&lt;&gt;"",TEXT(AUX!IE$1,"dd-MMM-aa"),"")</f>
      </c>
      <c r="IB127" s="496" t="str">
        <f> IF(IB147&lt;&gt;"",TEXT(AUX!IF$1,"dd-MMM-aa"),"")</f>
      </c>
      <c r="IC127" s="496" t="str">
        <f> IF(IC147&lt;&gt;"",TEXT(AUX!IG$1,"dd-MMM-aa"),"")</f>
      </c>
      <c r="ID127" s="496" t="str">
        <f> IF(ID147&lt;&gt;"",TEXT(AUX!IH$1,"dd-MMM-aa"),"")</f>
      </c>
      <c r="IE127" s="496" t="str">
        <f> IF(IE147&lt;&gt;"",TEXT(AUX!II$1,"dd-MMM-aa"),"")</f>
      </c>
      <c r="IF127" s="496" t="str">
        <f> IF(IF147&lt;&gt;"",TEXT(AUX!IJ$1,"dd-MMM-aa"),"")</f>
      </c>
      <c r="IG127" s="496" t="str">
        <f> IF(IG147&lt;&gt;"",TEXT(AUX!IK$1,"dd-MMM-aa"),"")</f>
      </c>
      <c r="IH127" s="496" t="str">
        <f> IF(IH147&lt;&gt;"",TEXT(AUX!IL$1,"dd-MMM-aa"),"")</f>
      </c>
      <c r="II127" s="496" t="str">
        <f> IF(II147&lt;&gt;"",TEXT(AUX!IM$1,"dd-MMM-aa"),"")</f>
      </c>
      <c r="IJ127" s="496" t="str">
        <f> IF(IJ147&lt;&gt;"",TEXT(AUX!IN$1,"dd-MMM-aa"),"")</f>
      </c>
      <c r="IK127" s="496" t="str">
        <f> IF(IK147&lt;&gt;"",TEXT(AUX!IO$1,"dd-MMM-aa"),"")</f>
      </c>
      <c r="IL127" s="496" t="str">
        <f> IF(IL147&lt;&gt;"",TEXT(AUX!IP$1,"dd-MMM-aa"),"")</f>
      </c>
      <c r="IM127" s="496" t="str">
        <f> IF(IM147&lt;&gt;"",TEXT(AUX!IQ$1,"dd-MMM-aa"),"")</f>
      </c>
      <c r="IN127" s="496" t="str">
        <f> IF(IN147&lt;&gt;"",TEXT(AUX!IR$1,"dd-MMM-aa"),"")</f>
      </c>
      <c r="IO127" s="496" t="str">
        <f> IF(IO147&lt;&gt;"",TEXT(AUX!IS$1,"dd-MMM-aa"),"")</f>
      </c>
      <c r="IP127" s="496" t="str">
        <f> IF(IP147&lt;&gt;"",TEXT(AUX!IT$1,"dd-MMM-aa"),"")</f>
      </c>
      <c r="IQ127" s="496" t="str">
        <f> IF(IQ147&lt;&gt;"",TEXT(AUX!IU$1,"dd-MMM-aa"),"")</f>
      </c>
      <c r="IR127" s="496" t="str">
        <f> IF(IR147&lt;&gt;"",TEXT(AUX!IV$1,"dd-MMM-aa"),"")</f>
      </c>
      <c r="IS127" s="496" t="str">
        <f> IF(IS147&lt;&gt;"",TEXT(AUX!#REF!,"dd-MMM-aa"),"")</f>
      </c>
      <c r="IT127" s="496" t="str">
        <f> IF(IT147&lt;&gt;"",TEXT(AUX!#REF!,"dd-MMM-aa"),"")</f>
      </c>
      <c r="IU127" s="496" t="str">
        <f> IF(IU147&lt;&gt;"",TEXT(AUX!#REF!,"dd-MMM-aa"),"")</f>
      </c>
      <c r="IV127" s="496" t="str">
        <f> IF(IV147&lt;&gt;"",TEXT(AUX!#REF!,"dd-MMM-aa"),"")</f>
      </c>
    </row>
    <row r="128" hidden="1">
      <c r="B128" s="838" t="s">
        <v>8</v>
      </c>
      <c r="C128" s="839">
        <f>C154 + C300 + C179 + C325 + C203 + C252</f>
        <v>0</v>
      </c>
      <c r="D128" s="839">
        <f>D154 + D300 + D179 + D325 + D203 + D252</f>
        <v>0</v>
      </c>
      <c r="E128" s="839">
        <f>E154 + E300 + E179 + E325 + E203 + E252</f>
        <v>0</v>
      </c>
      <c r="F128" s="839">
        <f>F154 + F300 + F179 + F325 + F203 + F252</f>
        <v>0</v>
      </c>
      <c r="G128" s="839">
        <f>G154 + G300 + G179 + G325 + G203 + G252</f>
        <v>0</v>
      </c>
      <c r="H128" s="839">
        <f>H154 + H300 + H179 + H325 + H203 + H252</f>
        <v>0</v>
      </c>
      <c r="I128" s="839">
        <f>I154 + I300 + I179 + I325 + I203 + I252</f>
        <v>0</v>
      </c>
      <c r="J128" s="839">
        <f>J154 + J300 + J179 + J325 + J203 + J252</f>
        <v>0</v>
      </c>
      <c r="K128" s="839">
        <f>K154 + K300 + K179 + K325 + K203 + K252</f>
        <v>0</v>
      </c>
      <c r="L128" s="839">
        <f>L154 + L300 + L179 + L325 + L203 + L252</f>
        <v>0</v>
      </c>
      <c r="M128" s="839">
        <f>M154 + M300 + M179 + M325 + M203 + M252</f>
        <v>0</v>
      </c>
      <c r="N128" s="839">
        <f>N154 + N300 + N179 + N325 + N203 + N252</f>
        <v>0</v>
      </c>
      <c r="O128" s="839">
        <f>O154 + O300 + O179 + O325 + O203 + O252</f>
        <v>0</v>
      </c>
      <c r="P128" s="839">
        <f>P154 + P300 + P179 + P325 + P203 + P252</f>
        <v>0</v>
      </c>
      <c r="Q128" s="839">
        <f>Q154 + Q300 + Q179 + Q325 + Q203 + Q252</f>
        <v>0</v>
      </c>
      <c r="R128" s="839">
        <f>R154 + R300 + R179 + R325 + R203 + R252</f>
        <v>0</v>
      </c>
      <c r="S128" s="839">
        <f>S154 + S300 + S179 + S325 + S203 + S252</f>
        <v>0</v>
      </c>
      <c r="T128" s="839">
        <f>T154 + T300 + T179 + T325 + T203 + T252</f>
        <v>0</v>
      </c>
      <c r="U128" s="839">
        <f>U154 + U300 + U179 + U325 + U203 + U252</f>
        <v>0</v>
      </c>
      <c r="V128" s="839">
        <f>V154 + V300 + V179 + V325 + V203 + V252</f>
        <v>0</v>
      </c>
      <c r="W128" s="839">
        <f>W154 + W300 + W179 + W325 + W203 + W252</f>
        <v>0</v>
      </c>
      <c r="X128" s="839">
        <f>X154 + X300 + X179 + X325 + X203 + X252</f>
        <v>0</v>
      </c>
      <c r="Y128" s="839">
        <f>Y154 + Y300 + Y179 + Y325 + Y203 + Y252</f>
        <v>0</v>
      </c>
      <c r="Z128" s="839">
        <f>Z154 + Z300 + Z179 + Z325 + Z203 + Z252</f>
        <v>0</v>
      </c>
      <c r="AA128" s="839">
        <f>AA154 + AA300 + AA179 + AA325 + AA203 + AA252</f>
        <v>0</v>
      </c>
      <c r="AB128" s="840">
        <f>AB154 + AB300 + AB179 + AB325 + AB203 + AB252</f>
        <v>0</v>
      </c>
      <c r="AC128" s="841">
        <f>AC154 + AC300 + AC179 + AC325 + AC203 + AC252</f>
        <v>0</v>
      </c>
      <c r="AD128" s="841">
        <f>AD154 + AD300 + AD179 + AD325 + AD203 + AD252</f>
        <v>0</v>
      </c>
      <c r="AE128" s="841">
        <f>AE154 + AE300 + AE179 + AE325 + AE203 + AE252</f>
        <v>0</v>
      </c>
      <c r="AF128" s="841">
        <f>AF154 + AF300 + AF179 + AF325 + AF203 + AF252</f>
        <v>0</v>
      </c>
      <c r="AG128" s="841">
        <f>AG154 + AG300 + AG179 + AG325 + AG203 + AG252</f>
        <v>0</v>
      </c>
      <c r="AH128" s="841">
        <f>AH154 + AH300 + AH179 + AH325 + AH203 + AH252</f>
        <v>0</v>
      </c>
      <c r="AI128" s="841">
        <f>AI154 + AI300 + AI179 + AI325 + AI203 + AI252</f>
        <v>0</v>
      </c>
      <c r="AJ128" s="841">
        <f>AJ154 + AJ300 + AJ179 + AJ325 + AJ203 + AJ252</f>
        <v>0</v>
      </c>
      <c r="AK128" s="841">
        <f>AK154 + AK300 + AK179 + AK325 + AK203 + AK252</f>
        <v>0</v>
      </c>
      <c r="AL128" s="841">
        <f>AL154 + AL300 + AL179 + AL325 + AL203 + AL252</f>
        <v>0</v>
      </c>
      <c r="AM128" s="841">
        <f>AM154 + AM300 + AM179 + AM325 + AM203 + AM252</f>
        <v>0</v>
      </c>
      <c r="AN128" s="841">
        <f>AN154 + AN300 + AN179 + AN325 + AN203 + AN252</f>
        <v>0</v>
      </c>
      <c r="AO128" s="841">
        <f>AO154 + AO300 + AO179 + AO325 + AO203 + AO252</f>
        <v>0</v>
      </c>
      <c r="AP128" s="841">
        <f>AP154 + AP300 + AP179 + AP325 + AP203 + AP252</f>
        <v>0</v>
      </c>
    </row>
    <row r="129" hidden="1">
      <c r="B129" s="842" t="s">
        <v>9</v>
      </c>
      <c r="C129" s="839">
        <f>C155 + C301 + C180 + C326 + C204 + C253</f>
        <v>0</v>
      </c>
      <c r="D129" s="839">
        <f>D155 + D301 + D180 + D326 + D204 + D253</f>
        <v>0</v>
      </c>
      <c r="E129" s="839">
        <f>E155 + E301 + E180 + E326 + E204 + E253</f>
        <v>0</v>
      </c>
      <c r="F129" s="839">
        <f>F155 + F301 + F180 + F326 + F204 + F253</f>
        <v>0</v>
      </c>
      <c r="G129" s="839">
        <f>G155 + G301 + G180 + G326 + G204 + G253</f>
        <v>0</v>
      </c>
      <c r="H129" s="839">
        <f>H155 + H301 + H180 + H326 + H204 + H253</f>
        <v>0</v>
      </c>
      <c r="I129" s="839">
        <f>I155 + I301 + I180 + I326 + I204 + I253</f>
        <v>0</v>
      </c>
      <c r="J129" s="839">
        <f>J155 + J301 + J180 + J326 + J204 + J253</f>
        <v>0</v>
      </c>
      <c r="K129" s="839">
        <f>K155 + K301 + K180 + K326 + K204 + K253</f>
        <v>0</v>
      </c>
      <c r="L129" s="839">
        <f>L155 + L301 + L180 + L326 + L204 + L253</f>
        <v>0</v>
      </c>
      <c r="M129" s="839">
        <f>M155 + M301 + M180 + M326 + M204 + M253</f>
        <v>0</v>
      </c>
      <c r="N129" s="839">
        <f>N155 + N301 + N180 + N326 + N204 + N253</f>
        <v>0</v>
      </c>
      <c r="O129" s="839">
        <f>O155 + O301 + O180 + O326 + O204 + O253</f>
        <v>0</v>
      </c>
      <c r="P129" s="839">
        <f>P155 + P301 + P180 + P326 + P204 + P253</f>
        <v>0</v>
      </c>
      <c r="Q129" s="839">
        <f>Q155 + Q301 + Q180 + Q326 + Q204 + Q253</f>
        <v>0</v>
      </c>
      <c r="R129" s="839">
        <f>R155 + R301 + R180 + R326 + R204 + R253</f>
        <v>0</v>
      </c>
      <c r="S129" s="839">
        <f>S155 + S301 + S180 + S326 + S204 + S253</f>
        <v>0</v>
      </c>
      <c r="T129" s="839">
        <f>T155 + T301 + T180 + T326 + T204 + T253</f>
        <v>0</v>
      </c>
      <c r="U129" s="839">
        <f>U155 + U301 + U180 + U326 + U204 + U253</f>
        <v>0</v>
      </c>
      <c r="V129" s="839">
        <f>V155 + V301 + V180 + V326 + V204 + V253</f>
        <v>0</v>
      </c>
      <c r="W129" s="839">
        <f>W155 + W301 + W180 + W326 + W204 + W253</f>
        <v>0</v>
      </c>
      <c r="X129" s="839">
        <f>X155 + X301 + X180 + X326 + X204 + X253</f>
        <v>0</v>
      </c>
      <c r="Y129" s="839">
        <f>Y155 + Y301 + Y180 + Y326 + Y204 + Y253</f>
        <v>0</v>
      </c>
      <c r="Z129" s="839">
        <f>Z155 + Z301 + Z180 + Z326 + Z204 + Z253</f>
        <v>0</v>
      </c>
      <c r="AA129" s="839">
        <f>AA155 + AA301 + AA180 + AA326 + AA204 + AA253</f>
        <v>0</v>
      </c>
      <c r="AB129" s="839">
        <f>AB155 + AB301 + AB180 + AB326 + AB204 + AB253</f>
        <v>0</v>
      </c>
      <c r="AC129" s="841">
        <f>AC155 + AC301 + AC180 + AC326 + AC204 + AC253</f>
        <v>0</v>
      </c>
      <c r="AD129" s="841">
        <f>AD155 + AD301 + AD180 + AD326 + AD204 + AD253</f>
        <v>0</v>
      </c>
      <c r="AE129" s="841">
        <f>AE155 + AE301 + AE180 + AE326 + AE204 + AE253</f>
        <v>0</v>
      </c>
      <c r="AF129" s="841">
        <f>AF155 + AF301 + AF180 + AF326 + AF204 + AF253</f>
        <v>0</v>
      </c>
      <c r="AG129" s="841">
        <f>AG155 + AG301 + AG180 + AG326 + AG204 + AG253</f>
        <v>0</v>
      </c>
      <c r="AH129" s="841">
        <f>AH155 + AH301 + AH180 + AH326 + AH204 + AH253</f>
        <v>0</v>
      </c>
      <c r="AI129" s="841">
        <f>AI155 + AI301 + AI180 + AI326 + AI204 + AI253</f>
        <v>0</v>
      </c>
      <c r="AJ129" s="841">
        <f>AJ155 + AJ301 + AJ180 + AJ326 + AJ204 + AJ253</f>
        <v>0</v>
      </c>
      <c r="AK129" s="841">
        <f>AK155 + AK301 + AK180 + AK326 + AK204 + AK253</f>
        <v>0</v>
      </c>
      <c r="AL129" s="841">
        <f>AL155 + AL301 + AL180 + AL326 + AL204 + AL253</f>
        <v>0</v>
      </c>
      <c r="AM129" s="841">
        <f>AM155 + AM301 + AM180 + AM326 + AM204 + AM253</f>
        <v>0</v>
      </c>
      <c r="AN129" s="841">
        <f>AN155 + AN301 + AN180 + AN326 + AN204 + AN253</f>
        <v>0</v>
      </c>
      <c r="AO129" s="841">
        <f>AO155 + AO301 + AO180 + AO326 + AO204 + AO253</f>
        <v>0</v>
      </c>
      <c r="AP129" s="841">
        <f>AP155 + AP301 + AP180 + AP326 + AP204 + AP253</f>
        <v>0</v>
      </c>
    </row>
    <row r="130" hidden="1">
      <c r="B130" s="842" t="s">
        <v>10</v>
      </c>
      <c r="C130" s="839">
        <f>C156 + C302 + C181 + C327 + C205 + C254</f>
        <v>0</v>
      </c>
      <c r="D130" s="839">
        <f>D156 + D302 + D181 + D327 + D205 + D254</f>
        <v>0</v>
      </c>
      <c r="E130" s="839">
        <f>E156 + E302 + E181 + E327 + E205 + E254</f>
        <v>0</v>
      </c>
      <c r="F130" s="839">
        <f>F156 + F302 + F181 + F327 + F205 + F254</f>
        <v>0</v>
      </c>
      <c r="G130" s="839">
        <f>G156 + G302 + G181 + G327 + G205 + G254</f>
        <v>0</v>
      </c>
      <c r="H130" s="839">
        <f>H156 + H302 + H181 + H327 + H205 + H254</f>
        <v>0</v>
      </c>
      <c r="I130" s="839">
        <f>I156 + I302 + I181 + I327 + I205 + I254</f>
        <v>0</v>
      </c>
      <c r="J130" s="839">
        <f>J156 + J302 + J181 + J327 + J205 + J254</f>
        <v>0</v>
      </c>
      <c r="K130" s="839">
        <f>K156 + K302 + K181 + K327 + K205 + K254</f>
        <v>0</v>
      </c>
      <c r="L130" s="839">
        <f>L156 + L302 + L181 + L327 + L205 + L254</f>
        <v>0</v>
      </c>
      <c r="M130" s="839">
        <f>M156 + M302 + M181 + M327 + M205 + M254</f>
        <v>0</v>
      </c>
      <c r="N130" s="839">
        <f>N156 + N302 + N181 + N327 + N205 + N254</f>
        <v>0</v>
      </c>
      <c r="O130" s="839">
        <f>O156 + O302 + O181 + O327 + O205 + O254</f>
        <v>0</v>
      </c>
      <c r="P130" s="839">
        <f>P156 + P302 + P181 + P327 + P205 + P254</f>
        <v>0</v>
      </c>
      <c r="Q130" s="839">
        <f>Q156 + Q302 + Q181 + Q327 + Q205 + Q254</f>
        <v>0</v>
      </c>
      <c r="R130" s="839">
        <f>R156 + R302 + R181 + R327 + R205 + R254</f>
        <v>0</v>
      </c>
      <c r="S130" s="839">
        <f>S156 + S302 + S181 + S327 + S205 + S254</f>
        <v>0</v>
      </c>
      <c r="T130" s="839">
        <f>T156 + T302 + T181 + T327 + T205 + T254</f>
        <v>0</v>
      </c>
      <c r="U130" s="839">
        <f>U156 + U302 + U181 + U327 + U205 + U254</f>
        <v>0</v>
      </c>
      <c r="V130" s="839">
        <f>V156 + V302 + V181 + V327 + V205 + V254</f>
        <v>0</v>
      </c>
      <c r="W130" s="839">
        <f>W156 + W302 + W181 + W327 + W205 + W254</f>
        <v>0</v>
      </c>
      <c r="X130" s="839">
        <f>X156 + X302 + X181 + X327 + X205 + X254</f>
        <v>0</v>
      </c>
      <c r="Y130" s="839">
        <f>Y156 + Y302 + Y181 + Y327 + Y205 + Y254</f>
        <v>0</v>
      </c>
      <c r="Z130" s="839">
        <f>Z156 + Z302 + Z181 + Z327 + Z205 + Z254</f>
        <v>0</v>
      </c>
      <c r="AA130" s="839">
        <f>AA156 + AA302 + AA181 + AA327 + AA205 + AA254</f>
        <v>0</v>
      </c>
      <c r="AB130" s="839">
        <f>AB156 + AB302 + AB181 + AB327 + AB205 + AB254</f>
        <v>0</v>
      </c>
      <c r="AC130" s="841">
        <f>AC156 + AC302 + AC181 + AC327 + AC205 + AC254</f>
        <v>0</v>
      </c>
      <c r="AD130" s="841">
        <f>AD156 + AD302 + AD181 + AD327 + AD205 + AD254</f>
        <v>0</v>
      </c>
      <c r="AE130" s="841">
        <f>AE156 + AE302 + AE181 + AE327 + AE205 + AE254</f>
        <v>0</v>
      </c>
      <c r="AF130" s="841">
        <f>AF156 + AF302 + AF181 + AF327 + AF205 + AF254</f>
        <v>0</v>
      </c>
      <c r="AG130" s="841">
        <f>AG156 + AG302 + AG181 + AG327 + AG205 + AG254</f>
        <v>0</v>
      </c>
      <c r="AH130" s="841">
        <f>AH156 + AH302 + AH181 + AH327 + AH205 + AH254</f>
        <v>0</v>
      </c>
      <c r="AI130" s="841">
        <f>AI156 + AI302 + AI181 + AI327 + AI205 + AI254</f>
        <v>0</v>
      </c>
      <c r="AJ130" s="841">
        <f>AJ156 + AJ302 + AJ181 + AJ327 + AJ205 + AJ254</f>
        <v>0</v>
      </c>
      <c r="AK130" s="841">
        <f>AK156 + AK302 + AK181 + AK327 + AK205 + AK254</f>
        <v>0</v>
      </c>
      <c r="AL130" s="841">
        <f>AL156 + AL302 + AL181 + AL327 + AL205 + AL254</f>
        <v>0</v>
      </c>
      <c r="AM130" s="841">
        <f>AM156 + AM302 + AM181 + AM327 + AM205 + AM254</f>
        <v>0</v>
      </c>
      <c r="AN130" s="841">
        <f>AN156 + AN302 + AN181 + AN327 + AN205 + AN254</f>
        <v>0</v>
      </c>
      <c r="AO130" s="841">
        <f>AO156 + AO302 + AO181 + AO327 + AO205 + AO254</f>
        <v>0</v>
      </c>
      <c r="AP130" s="841">
        <f>AP156 + AP302 + AP181 + AP327 + AP205 + AP254</f>
        <v>0</v>
      </c>
    </row>
    <row r="131" hidden="1">
      <c r="B131" s="842" t="s">
        <v>11</v>
      </c>
      <c r="C131" s="839">
        <f>C157 + C303 + C182 + C328 + C206 + C255</f>
        <v>0</v>
      </c>
      <c r="D131" s="839">
        <f>D157 + D303 + D182 + D328 + D206 + D255</f>
        <v>0</v>
      </c>
      <c r="E131" s="839">
        <f>E157 + E303 + E182 + E328 + E206 + E255</f>
        <v>0</v>
      </c>
      <c r="F131" s="839">
        <f>F157 + F303 + F182 + F328 + F206 + F255</f>
        <v>0</v>
      </c>
      <c r="G131" s="839">
        <f>G157 + G303 + G182 + G328 + G206 + G255</f>
        <v>0</v>
      </c>
      <c r="H131" s="839">
        <f>H157 + H303 + H182 + H328 + H206 + H255</f>
        <v>0</v>
      </c>
      <c r="I131" s="839">
        <f>I157 + I303 + I182 + I328 + I206 + I255</f>
        <v>0</v>
      </c>
      <c r="J131" s="839">
        <f>J157 + J303 + J182 + J328 + J206 + J255</f>
        <v>0</v>
      </c>
      <c r="K131" s="839">
        <f>K157 + K303 + K182 + K328 + K206 + K255</f>
        <v>0</v>
      </c>
      <c r="L131" s="839">
        <f>L157 + L303 + L182 + L328 + L206 + L255</f>
        <v>0</v>
      </c>
      <c r="M131" s="839">
        <f>M157 + M303 + M182 + M328 + M206 + M255</f>
        <v>0</v>
      </c>
      <c r="N131" s="839">
        <f>N157 + N303 + N182 + N328 + N206 + N255</f>
        <v>0</v>
      </c>
      <c r="O131" s="839">
        <f>O157 + O303 + O182 + O328 + O206 + O255</f>
        <v>0</v>
      </c>
      <c r="P131" s="839">
        <f>P157 + P303 + P182 + P328 + P206 + P255</f>
        <v>0</v>
      </c>
      <c r="Q131" s="839">
        <f>Q157 + Q303 + Q182 + Q328 + Q206 + Q255</f>
        <v>0</v>
      </c>
      <c r="R131" s="839">
        <f>R157 + R303 + R182 + R328 + R206 + R255</f>
        <v>0</v>
      </c>
      <c r="S131" s="839">
        <f>S157 + S303 + S182 + S328 + S206 + S255</f>
        <v>0</v>
      </c>
      <c r="T131" s="839">
        <f>T157 + T303 + T182 + T328 + T206 + T255</f>
        <v>0</v>
      </c>
      <c r="U131" s="839">
        <f>U157 + U303 + U182 + U328 + U206 + U255</f>
        <v>0</v>
      </c>
      <c r="V131" s="839">
        <f>V157 + V303 + V182 + V328 + V206 + V255</f>
        <v>0</v>
      </c>
      <c r="W131" s="839">
        <f>W157 + W303 + W182 + W328 + W206 + W255</f>
        <v>0</v>
      </c>
      <c r="X131" s="839">
        <f>X157 + X303 + X182 + X328 + X206 + X255</f>
        <v>0</v>
      </c>
      <c r="Y131" s="839">
        <f>Y157 + Y303 + Y182 + Y328 + Y206 + Y255</f>
        <v>0</v>
      </c>
      <c r="Z131" s="839">
        <f>Z157 + Z303 + Z182 + Z328 + Z206 + Z255</f>
        <v>0</v>
      </c>
      <c r="AA131" s="839">
        <f>AA157 + AA303 + AA182 + AA328 + AA206 + AA255</f>
        <v>0</v>
      </c>
      <c r="AB131" s="839">
        <f>AB157 + AB303 + AB182 + AB328 + AB206 + AB255</f>
        <v>0</v>
      </c>
      <c r="AC131" s="841">
        <f>AC157 + AC303 + AC182 + AC328 + AC206 + AC255</f>
        <v>0</v>
      </c>
      <c r="AD131" s="841">
        <f>AD157 + AD303 + AD182 + AD328 + AD206 + AD255</f>
        <v>0</v>
      </c>
      <c r="AE131" s="841">
        <f>AE157 + AE303 + AE182 + AE328 + AE206 + AE255</f>
        <v>0</v>
      </c>
      <c r="AF131" s="841">
        <f>AF157 + AF303 + AF182 + AF328 + AF206 + AF255</f>
        <v>0</v>
      </c>
      <c r="AG131" s="841">
        <f>AG157 + AG303 + AG182 + AG328 + AG206 + AG255</f>
        <v>0</v>
      </c>
      <c r="AH131" s="841">
        <f>AH157 + AH303 + AH182 + AH328 + AH206 + AH255</f>
        <v>0</v>
      </c>
      <c r="AI131" s="841">
        <f>AI157 + AI303 + AI182 + AI328 + AI206 + AI255</f>
        <v>0</v>
      </c>
      <c r="AJ131" s="841">
        <f>AJ157 + AJ303 + AJ182 + AJ328 + AJ206 + AJ255</f>
        <v>0</v>
      </c>
      <c r="AK131" s="841">
        <f>AK157 + AK303 + AK182 + AK328 + AK206 + AK255</f>
        <v>0</v>
      </c>
      <c r="AL131" s="841">
        <f>AL157 + AL303 + AL182 + AL328 + AL206 + AL255</f>
        <v>0</v>
      </c>
      <c r="AM131" s="841">
        <f>AM157 + AM303 + AM182 + AM328 + AM206 + AM255</f>
        <v>0</v>
      </c>
      <c r="AN131" s="841">
        <f>AN157 + AN303 + AN182 + AN328 + AN206 + AN255</f>
        <v>0</v>
      </c>
      <c r="AO131" s="841">
        <f>AO157 + AO303 + AO182 + AO328 + AO206 + AO255</f>
        <v>0</v>
      </c>
      <c r="AP131" s="841">
        <f>AP157 + AP303 + AP182 + AP328 + AP206 + AP255</f>
        <v>0</v>
      </c>
    </row>
    <row r="132" hidden="1">
      <c r="B132" s="842" t="s">
        <v>12</v>
      </c>
      <c r="C132" s="839">
        <f>C158 + C304 + C183 + C329 + C207 + C256</f>
        <v>0</v>
      </c>
      <c r="D132" s="839">
        <f>D158 + D304 + D183 + D329 + D207 + D256</f>
        <v>0</v>
      </c>
      <c r="E132" s="839">
        <f>E158 + E304 + E183 + E329 + E207 + E256</f>
        <v>0</v>
      </c>
      <c r="F132" s="839">
        <f>F158 + F304 + F183 + F329 + F207 + F256</f>
        <v>0</v>
      </c>
      <c r="G132" s="839">
        <f>G158 + G304 + G183 + G329 + G207 + G256</f>
        <v>0</v>
      </c>
      <c r="H132" s="839">
        <f>H158 + H304 + H183 + H329 + H207 + H256</f>
        <v>0</v>
      </c>
      <c r="I132" s="839">
        <f>I158 + I304 + I183 + I329 + I207 + I256</f>
        <v>0</v>
      </c>
      <c r="J132" s="839">
        <f>J158 + J304 + J183 + J329 + J207 + J256</f>
        <v>0</v>
      </c>
      <c r="K132" s="839">
        <f>K158 + K304 + K183 + K329 + K207 + K256</f>
        <v>0</v>
      </c>
      <c r="L132" s="839">
        <f>L158 + L304 + L183 + L329 + L207 + L256</f>
        <v>0</v>
      </c>
      <c r="M132" s="839">
        <f>M158 + M304 + M183 + M329 + M207 + M256</f>
        <v>0</v>
      </c>
      <c r="N132" s="839">
        <f>N158 + N304 + N183 + N329 + N207 + N256</f>
        <v>0</v>
      </c>
      <c r="O132" s="839">
        <f>O158 + O304 + O183 + O329 + O207 + O256</f>
        <v>0</v>
      </c>
      <c r="P132" s="839">
        <f>P158 + P304 + P183 + P329 + P207 + P256</f>
        <v>0</v>
      </c>
      <c r="Q132" s="839">
        <f>Q158 + Q304 + Q183 + Q329 + Q207 + Q256</f>
        <v>0</v>
      </c>
      <c r="R132" s="839">
        <f>R158 + R304 + R183 + R329 + R207 + R256</f>
        <v>0</v>
      </c>
      <c r="S132" s="839">
        <f>S158 + S304 + S183 + S329 + S207 + S256</f>
        <v>0</v>
      </c>
      <c r="T132" s="839">
        <f>T158 + T304 + T183 + T329 + T207 + T256</f>
        <v>0</v>
      </c>
      <c r="U132" s="839">
        <f>U158 + U304 + U183 + U329 + U207 + U256</f>
        <v>0</v>
      </c>
      <c r="V132" s="839">
        <f>V158 + V304 + V183 + V329 + V207 + V256</f>
        <v>0</v>
      </c>
      <c r="W132" s="839">
        <f>W158 + W304 + W183 + W329 + W207 + W256</f>
        <v>0</v>
      </c>
      <c r="X132" s="839">
        <f>X158 + X304 + X183 + X329 + X207 + X256</f>
        <v>0</v>
      </c>
      <c r="Y132" s="839">
        <f>Y158 + Y304 + Y183 + Y329 + Y207 + Y256</f>
        <v>0</v>
      </c>
      <c r="Z132" s="839">
        <f>Z158 + Z304 + Z183 + Z329 + Z207 + Z256</f>
        <v>0</v>
      </c>
      <c r="AA132" s="839">
        <f>AA158 + AA304 + AA183 + AA329 + AA207 + AA256</f>
        <v>0</v>
      </c>
      <c r="AB132" s="839">
        <f>AB158 + AB304 + AB183 + AB329 + AB207 + AB256</f>
        <v>0</v>
      </c>
      <c r="AC132" s="841">
        <f>AC158 + AC304 + AC183 + AC329 + AC207 + AC256</f>
        <v>0</v>
      </c>
      <c r="AD132" s="841">
        <f>AD158 + AD304 + AD183 + AD329 + AD207 + AD256</f>
        <v>0</v>
      </c>
      <c r="AE132" s="841">
        <f>AE158 + AE304 + AE183 + AE329 + AE207 + AE256</f>
        <v>0</v>
      </c>
      <c r="AF132" s="841">
        <f>AF158 + AF304 + AF183 + AF329 + AF207 + AF256</f>
        <v>0</v>
      </c>
      <c r="AG132" s="841">
        <f>AG158 + AG304 + AG183 + AG329 + AG207 + AG256</f>
        <v>0</v>
      </c>
      <c r="AH132" s="841">
        <f>AH158 + AH304 + AH183 + AH329 + AH207 + AH256</f>
        <v>0</v>
      </c>
      <c r="AI132" s="841">
        <f>AI158 + AI304 + AI183 + AI329 + AI207 + AI256</f>
        <v>0</v>
      </c>
      <c r="AJ132" s="841">
        <f>AJ158 + AJ304 + AJ183 + AJ329 + AJ207 + AJ256</f>
        <v>0</v>
      </c>
      <c r="AK132" s="841">
        <f>AK158 + AK304 + AK183 + AK329 + AK207 + AK256</f>
        <v>0</v>
      </c>
      <c r="AL132" s="841">
        <f>AL158 + AL304 + AL183 + AL329 + AL207 + AL256</f>
        <v>0</v>
      </c>
      <c r="AM132" s="841">
        <f>AM158 + AM304 + AM183 + AM329 + AM207 + AM256</f>
        <v>0</v>
      </c>
      <c r="AN132" s="841">
        <f>AN158 + AN304 + AN183 + AN329 + AN207 + AN256</f>
        <v>0</v>
      </c>
      <c r="AO132" s="841">
        <f>AO158 + AO304 + AO183 + AO329 + AO207 + AO256</f>
        <v>0</v>
      </c>
      <c r="AP132" s="841">
        <f>AP158 + AP304 + AP183 + AP329 + AP207 + AP256</f>
        <v>0</v>
      </c>
    </row>
    <row r="133" hidden="1">
      <c r="B133" s="842" t="s">
        <v>13</v>
      </c>
      <c r="C133" s="839">
        <f>C159 + C305 + C184 + C330 + C208 + C257</f>
        <v>0</v>
      </c>
      <c r="D133" s="839">
        <f>D159 + D305 + D184 + D330 + D208 + D257</f>
        <v>0</v>
      </c>
      <c r="E133" s="839">
        <f>E159 + E305 + E184 + E330 + E208 + E257</f>
        <v>0</v>
      </c>
      <c r="F133" s="839">
        <f>F159 + F305 + F184 + F330 + F208 + F257</f>
        <v>0</v>
      </c>
      <c r="G133" s="839">
        <f>G159 + G305 + G184 + G330 + G208 + G257</f>
        <v>0</v>
      </c>
      <c r="H133" s="839">
        <f>H159 + H305 + H184 + H330 + H208 + H257</f>
        <v>0</v>
      </c>
      <c r="I133" s="839">
        <f>I159 + I305 + I184 + I330 + I208 + I257</f>
        <v>0</v>
      </c>
      <c r="J133" s="839">
        <f>J159 + J305 + J184 + J330 + J208 + J257</f>
        <v>0</v>
      </c>
      <c r="K133" s="839">
        <f>K159 + K305 + K184 + K330 + K208 + K257</f>
        <v>0</v>
      </c>
      <c r="L133" s="839">
        <f>L159 + L305 + L184 + L330 + L208 + L257</f>
        <v>0</v>
      </c>
      <c r="M133" s="839">
        <f>M159 + M305 + M184 + M330 + M208 + M257</f>
        <v>0</v>
      </c>
      <c r="N133" s="839">
        <f>N159 + N305 + N184 + N330 + N208 + N257</f>
        <v>0</v>
      </c>
      <c r="O133" s="839">
        <f>O159 + O305 + O184 + O330 + O208 + O257</f>
        <v>0</v>
      </c>
      <c r="P133" s="839">
        <f>P159 + P305 + P184 + P330 + P208 + P257</f>
        <v>0</v>
      </c>
      <c r="Q133" s="839">
        <f>Q159 + Q305 + Q184 + Q330 + Q208 + Q257</f>
        <v>0</v>
      </c>
      <c r="R133" s="839">
        <f>R159 + R305 + R184 + R330 + R208 + R257</f>
        <v>0</v>
      </c>
      <c r="S133" s="839">
        <f>S159 + S305 + S184 + S330 + S208 + S257</f>
        <v>0</v>
      </c>
      <c r="T133" s="839">
        <f>T159 + T305 + T184 + T330 + T208 + T257</f>
        <v>0</v>
      </c>
      <c r="U133" s="839">
        <f>U159 + U305 + U184 + U330 + U208 + U257</f>
        <v>0</v>
      </c>
      <c r="V133" s="839">
        <f>V159 + V305 + V184 + V330 + V208 + V257</f>
        <v>0</v>
      </c>
      <c r="W133" s="839">
        <f>W159 + W305 + W184 + W330 + W208 + W257</f>
        <v>0</v>
      </c>
      <c r="X133" s="839">
        <f>X159 + X305 + X184 + X330 + X208 + X257</f>
        <v>0</v>
      </c>
      <c r="Y133" s="839">
        <f>Y159 + Y305 + Y184 + Y330 + Y208 + Y257</f>
        <v>0</v>
      </c>
      <c r="Z133" s="839">
        <f>Z159 + Z305 + Z184 + Z330 + Z208 + Z257</f>
        <v>0</v>
      </c>
      <c r="AA133" s="839">
        <f>AA159 + AA305 + AA184 + AA330 + AA208 + AA257</f>
        <v>0</v>
      </c>
      <c r="AB133" s="839">
        <f>AB159 + AB305 + AB184 + AB330 + AB208 + AB257</f>
        <v>0</v>
      </c>
      <c r="AC133" s="841">
        <f>AC159 + AC305 + AC184 + AC330 + AC208 + AC257</f>
        <v>0</v>
      </c>
      <c r="AD133" s="841">
        <f>AD159 + AD305 + AD184 + AD330 + AD208 + AD257</f>
        <v>0</v>
      </c>
      <c r="AE133" s="841">
        <f>AE159 + AE305 + AE184 + AE330 + AE208 + AE257</f>
        <v>0</v>
      </c>
      <c r="AF133" s="841">
        <f>AF159 + AF305 + AF184 + AF330 + AF208 + AF257</f>
        <v>0</v>
      </c>
      <c r="AG133" s="841">
        <f>AG159 + AG305 + AG184 + AG330 + AG208 + AG257</f>
        <v>0</v>
      </c>
      <c r="AH133" s="841">
        <f>AH159 + AH305 + AH184 + AH330 + AH208 + AH257</f>
        <v>0</v>
      </c>
      <c r="AI133" s="841">
        <f>AI159 + AI305 + AI184 + AI330 + AI208 + AI257</f>
        <v>0</v>
      </c>
      <c r="AJ133" s="841">
        <f>AJ159 + AJ305 + AJ184 + AJ330 + AJ208 + AJ257</f>
        <v>0</v>
      </c>
      <c r="AK133" s="841">
        <f>AK159 + AK305 + AK184 + AK330 + AK208 + AK257</f>
        <v>0</v>
      </c>
      <c r="AL133" s="841">
        <f>AL159 + AL305 + AL184 + AL330 + AL208 + AL257</f>
        <v>0</v>
      </c>
      <c r="AM133" s="841">
        <f>AM159 + AM305 + AM184 + AM330 + AM208 + AM257</f>
        <v>0</v>
      </c>
      <c r="AN133" s="841">
        <f>AN159 + AN305 + AN184 + AN330 + AN208 + AN257</f>
        <v>0</v>
      </c>
      <c r="AO133" s="841">
        <f>AO159 + AO305 + AO184 + AO330 + AO208 + AO257</f>
        <v>0</v>
      </c>
      <c r="AP133" s="841">
        <f>AP159 + AP305 + AP184 + AP330 + AP208 + AP257</f>
        <v>0</v>
      </c>
    </row>
    <row r="134" hidden="1">
      <c r="B134" s="842" t="s">
        <v>109</v>
      </c>
      <c r="C134" s="839">
        <f>C160 + C306 + C185 + C331 + C209 + C258</f>
        <v>0</v>
      </c>
      <c r="D134" s="839">
        <f>D160 + D306 + D185 + D331 + D209 + D258</f>
        <v>0</v>
      </c>
      <c r="E134" s="839">
        <f>E160 + E306 + E185 + E331 + E209 + E258</f>
        <v>0</v>
      </c>
      <c r="F134" s="839">
        <f>F160 + F306 + F185 + F331 + F209 + F258</f>
        <v>0</v>
      </c>
      <c r="G134" s="839">
        <f>G160 + G306 + G185 + G331 + G209 + G258</f>
        <v>0</v>
      </c>
      <c r="H134" s="839">
        <f>H160 + H306 + H185 + H331 + H209 + H258</f>
        <v>0</v>
      </c>
      <c r="I134" s="839">
        <f>I160 + I306 + I185 + I331 + I209 + I258</f>
        <v>0</v>
      </c>
      <c r="J134" s="839">
        <f>J160 + J306 + J185 + J331 + J209 + J258</f>
        <v>0</v>
      </c>
      <c r="K134" s="839">
        <f>K160 + K306 + K185 + K331 + K209 + K258</f>
        <v>0</v>
      </c>
      <c r="L134" s="839">
        <f>L160 + L306 + L185 + L331 + L209 + L258</f>
        <v>0</v>
      </c>
      <c r="M134" s="839">
        <f>M160 + M306 + M185 + M331 + M209 + M258</f>
        <v>0</v>
      </c>
      <c r="N134" s="839">
        <f>N160 + N306 + N185 + N331 + N209 + N258</f>
        <v>0</v>
      </c>
      <c r="O134" s="839">
        <f>O160 + O306 + O185 + O331 + O209 + O258</f>
        <v>0</v>
      </c>
      <c r="P134" s="839">
        <f>P160 + P306 + P185 + P331 + P209 + P258</f>
        <v>0</v>
      </c>
      <c r="Q134" s="839">
        <f>Q160 + Q306 + Q185 + Q331 + Q209 + Q258</f>
        <v>0</v>
      </c>
      <c r="R134" s="839">
        <f>R160 + R306 + R185 + R331 + R209 + R258</f>
        <v>0</v>
      </c>
      <c r="S134" s="839">
        <f>S160 + S306 + S185 + S331 + S209 + S258</f>
        <v>0</v>
      </c>
      <c r="T134" s="839">
        <f>T160 + T306 + T185 + T331 + T209 + T258</f>
        <v>0</v>
      </c>
      <c r="U134" s="839">
        <f>U160 + U306 + U185 + U331 + U209 + U258</f>
        <v>0</v>
      </c>
      <c r="V134" s="839">
        <f>V160 + V306 + V185 + V331 + V209 + V258</f>
        <v>0</v>
      </c>
      <c r="W134" s="839">
        <f>W160 + W306 + W185 + W331 + W209 + W258</f>
        <v>0</v>
      </c>
      <c r="X134" s="839">
        <f>X160 + X306 + X185 + X331 + X209 + X258</f>
        <v>0</v>
      </c>
      <c r="Y134" s="839">
        <f>Y160 + Y306 + Y185 + Y331 + Y209 + Y258</f>
        <v>0</v>
      </c>
      <c r="Z134" s="839">
        <f>Z160 + Z306 + Z185 + Z331 + Z209 + Z258</f>
        <v>0</v>
      </c>
      <c r="AA134" s="839">
        <f>AA160 + AA306 + AA185 + AA331 + AA209 + AA258</f>
        <v>0</v>
      </c>
      <c r="AB134" s="839">
        <f>AB160 + AB306 + AB185 + AB331 + AB209 + AB258</f>
        <v>0</v>
      </c>
      <c r="AC134" s="841">
        <f>AC160 + AC306 + AC185 + AC331 + AC209 + AC258</f>
        <v>0</v>
      </c>
      <c r="AD134" s="841">
        <f>AD160 + AD306 + AD185 + AD331 + AD209 + AD258</f>
        <v>0</v>
      </c>
      <c r="AE134" s="841">
        <f>AE160 + AE306 + AE185 + AE331 + AE209 + AE258</f>
        <v>0</v>
      </c>
      <c r="AF134" s="841">
        <f>AF160 + AF306 + AF185 + AF331 + AF209 + AF258</f>
        <v>0</v>
      </c>
      <c r="AG134" s="841">
        <f>AG160 + AG306 + AG185 + AG331 + AG209 + AG258</f>
        <v>0</v>
      </c>
      <c r="AH134" s="841">
        <f>AH160 + AH306 + AH185 + AH331 + AH209 + AH258</f>
        <v>0</v>
      </c>
      <c r="AI134" s="841">
        <f>AI160 + AI306 + AI185 + AI331 + AI209 + AI258</f>
        <v>0</v>
      </c>
      <c r="AJ134" s="841">
        <f>AJ160 + AJ306 + AJ185 + AJ331 + AJ209 + AJ258</f>
        <v>0</v>
      </c>
      <c r="AK134" s="841">
        <f>AK160 + AK306 + AK185 + AK331 + AK209 + AK258</f>
        <v>0</v>
      </c>
      <c r="AL134" s="841">
        <f>AL160 + AL306 + AL185 + AL331 + AL209 + AL258</f>
        <v>0</v>
      </c>
      <c r="AM134" s="841">
        <f>AM160 + AM306 + AM185 + AM331 + AM209 + AM258</f>
        <v>0</v>
      </c>
      <c r="AN134" s="841">
        <f>AN160 + AN306 + AN185 + AN331 + AN209 + AN258</f>
        <v>0</v>
      </c>
      <c r="AO134" s="841">
        <f>AO160 + AO306 + AO185 + AO331 + AO209 + AO258</f>
        <v>0</v>
      </c>
      <c r="AP134" s="841">
        <f>AP160 + AP306 + AP185 + AP331 + AP209 + AP258</f>
        <v>0</v>
      </c>
    </row>
    <row r="135" hidden="1">
      <c r="B135" s="842" t="s">
        <v>110</v>
      </c>
      <c r="C135" s="839">
        <f>C161 + C307 + C186 + C332 + C210 + C259</f>
        <v>0</v>
      </c>
      <c r="D135" s="839">
        <f>D161 + D307 + D186 + D332 + D210 + D259</f>
        <v>0</v>
      </c>
      <c r="E135" s="839">
        <f>E161 + E307 + E186 + E332 + E210 + E259</f>
        <v>0</v>
      </c>
      <c r="F135" s="839">
        <f>F161 + F307 + F186 + F332 + F210 + F259</f>
        <v>0</v>
      </c>
      <c r="G135" s="839">
        <f>G161 + G307 + G186 + G332 + G210 + G259</f>
        <v>0</v>
      </c>
      <c r="H135" s="839">
        <f>H161 + H307 + H186 + H332 + H210 + H259</f>
        <v>0</v>
      </c>
      <c r="I135" s="839">
        <f>I161 + I307 + I186 + I332 + I210 + I259</f>
        <v>0</v>
      </c>
      <c r="J135" s="839">
        <f>J161 + J307 + J186 + J332 + J210 + J259</f>
        <v>0</v>
      </c>
      <c r="K135" s="839">
        <f>K161 + K307 + K186 + K332 + K210 + K259</f>
        <v>0</v>
      </c>
      <c r="L135" s="839">
        <f>L161 + L307 + L186 + L332 + L210 + L259</f>
        <v>0</v>
      </c>
      <c r="M135" s="839">
        <f>M161 + M307 + M186 + M332 + M210 + M259</f>
        <v>0</v>
      </c>
      <c r="N135" s="839">
        <f>N161 + N307 + N186 + N332 + N210 + N259</f>
        <v>0</v>
      </c>
      <c r="O135" s="839">
        <f>O161 + O307 + O186 + O332 + O210 + O259</f>
        <v>0</v>
      </c>
      <c r="P135" s="839">
        <f>P161 + P307 + P186 + P332 + P210 + P259</f>
        <v>0</v>
      </c>
      <c r="Q135" s="839">
        <f>Q161 + Q307 + Q186 + Q332 + Q210 + Q259</f>
        <v>0</v>
      </c>
      <c r="R135" s="839">
        <f>R161 + R307 + R186 + R332 + R210 + R259</f>
        <v>0</v>
      </c>
      <c r="S135" s="839">
        <f>S161 + S307 + S186 + S332 + S210 + S259</f>
        <v>0</v>
      </c>
      <c r="T135" s="839">
        <f>T161 + T307 + T186 + T332 + T210 + T259</f>
        <v>0</v>
      </c>
      <c r="U135" s="839">
        <f>U161 + U307 + U186 + U332 + U210 + U259</f>
        <v>0</v>
      </c>
      <c r="V135" s="839">
        <f>V161 + V307 + V186 + V332 + V210 + V259</f>
        <v>0</v>
      </c>
      <c r="W135" s="839">
        <f>W161 + W307 + W186 + W332 + W210 + W259</f>
        <v>0</v>
      </c>
      <c r="X135" s="839">
        <f>X161 + X307 + X186 + X332 + X210 + X259</f>
        <v>0</v>
      </c>
      <c r="Y135" s="839">
        <f>Y161 + Y307 + Y186 + Y332 + Y210 + Y259</f>
        <v>0</v>
      </c>
      <c r="Z135" s="839">
        <f>Z161 + Z307 + Z186 + Z332 + Z210 + Z259</f>
        <v>0</v>
      </c>
      <c r="AA135" s="839">
        <f>AA161 + AA307 + AA186 + AA332 + AA210 + AA259</f>
        <v>0</v>
      </c>
      <c r="AB135" s="839">
        <f>AB161 + AB307 + AB186 + AB332 + AB210 + AB259</f>
        <v>0</v>
      </c>
      <c r="AC135" s="841">
        <f>AC161 + AC307 + AC186 + AC332 + AC210 + AC259</f>
        <v>0</v>
      </c>
      <c r="AD135" s="841">
        <f>AD161 + AD307 + AD186 + AD332 + AD210 + AD259</f>
        <v>0</v>
      </c>
      <c r="AE135" s="841">
        <f>AE161 + AE307 + AE186 + AE332 + AE210 + AE259</f>
        <v>0</v>
      </c>
      <c r="AF135" s="841">
        <f>AF161 + AF307 + AF186 + AF332 + AF210 + AF259</f>
        <v>0</v>
      </c>
      <c r="AG135" s="841">
        <f>AG161 + AG307 + AG186 + AG332 + AG210 + AG259</f>
        <v>0</v>
      </c>
      <c r="AH135" s="841">
        <f>AH161 + AH307 + AH186 + AH332 + AH210 + AH259</f>
        <v>0</v>
      </c>
      <c r="AI135" s="841">
        <f>AI161 + AI307 + AI186 + AI332 + AI210 + AI259</f>
        <v>0</v>
      </c>
      <c r="AJ135" s="841">
        <f>AJ161 + AJ307 + AJ186 + AJ332 + AJ210 + AJ259</f>
        <v>0</v>
      </c>
      <c r="AK135" s="841">
        <f>AK161 + AK307 + AK186 + AK332 + AK210 + AK259</f>
        <v>0</v>
      </c>
      <c r="AL135" s="841">
        <f>AL161 + AL307 + AL186 + AL332 + AL210 + AL259</f>
        <v>0</v>
      </c>
      <c r="AM135" s="841">
        <f>AM161 + AM307 + AM186 + AM332 + AM210 + AM259</f>
        <v>0</v>
      </c>
      <c r="AN135" s="841">
        <f>AN161 + AN307 + AN186 + AN332 + AN210 + AN259</f>
        <v>0</v>
      </c>
      <c r="AO135" s="841">
        <f>AO161 + AO307 + AO186 + AO332 + AO210 + AO259</f>
        <v>0</v>
      </c>
      <c r="AP135" s="841">
        <f>AP161 + AP307 + AP186 + AP332 + AP210 + AP259</f>
        <v>0</v>
      </c>
    </row>
    <row r="136" hidden="1">
      <c r="B136" s="842" t="s">
        <v>16</v>
      </c>
      <c r="C136" s="839">
        <f>C162 + C308 + C187 + C333 + C211 + C260</f>
        <v>0</v>
      </c>
      <c r="D136" s="839">
        <f>D162 + D308 + D187 + D333 + D211 + D260</f>
        <v>0</v>
      </c>
      <c r="E136" s="839">
        <f>E162 + E308 + E187 + E333 + E211 + E260</f>
        <v>0</v>
      </c>
      <c r="F136" s="839">
        <f>F162 + F308 + F187 + F333 + F211 + F260</f>
        <v>0</v>
      </c>
      <c r="G136" s="839">
        <f>G162 + G308 + G187 + G333 + G211 + G260</f>
        <v>0</v>
      </c>
      <c r="H136" s="839">
        <f>H162 + H308 + H187 + H333 + H211 + H260</f>
        <v>0</v>
      </c>
      <c r="I136" s="839">
        <f>I162 + I308 + I187 + I333 + I211 + I260</f>
        <v>0</v>
      </c>
      <c r="J136" s="839">
        <f>J162 + J308 + J187 + J333 + J211 + J260</f>
        <v>0</v>
      </c>
      <c r="K136" s="839">
        <f>K162 + K308 + K187 + K333 + K211 + K260</f>
        <v>0</v>
      </c>
      <c r="L136" s="839">
        <f>L162 + L308 + L187 + L333 + L211 + L260</f>
        <v>0</v>
      </c>
      <c r="M136" s="839">
        <f>M162 + M308 + M187 + M333 + M211 + M260</f>
        <v>0</v>
      </c>
      <c r="N136" s="839">
        <f>N162 + N308 + N187 + N333 + N211 + N260</f>
        <v>0</v>
      </c>
      <c r="O136" s="839">
        <f>O162 + O308 + O187 + O333 + O211 + O260</f>
        <v>0</v>
      </c>
      <c r="P136" s="839">
        <f>P162 + P308 + P187 + P333 + P211 + P260</f>
        <v>0</v>
      </c>
      <c r="Q136" s="839">
        <f>Q162 + Q308 + Q187 + Q333 + Q211 + Q260</f>
        <v>0</v>
      </c>
      <c r="R136" s="839">
        <f>R162 + R308 + R187 + R333 + R211 + R260</f>
        <v>0</v>
      </c>
      <c r="S136" s="839">
        <f>S162 + S308 + S187 + S333 + S211 + S260</f>
        <v>0</v>
      </c>
      <c r="T136" s="839">
        <f>T162 + T308 + T187 + T333 + T211 + T260</f>
        <v>0</v>
      </c>
      <c r="U136" s="839">
        <f>U162 + U308 + U187 + U333 + U211 + U260</f>
        <v>0</v>
      </c>
      <c r="V136" s="839">
        <f>V162 + V308 + V187 + V333 + V211 + V260</f>
        <v>0</v>
      </c>
      <c r="W136" s="839">
        <f>W162 + W308 + W187 + W333 + W211 + W260</f>
        <v>0</v>
      </c>
      <c r="X136" s="839">
        <f>X162 + X308 + X187 + X333 + X211 + X260</f>
        <v>0</v>
      </c>
      <c r="Y136" s="839">
        <f>Y162 + Y308 + Y187 + Y333 + Y211 + Y260</f>
        <v>0</v>
      </c>
      <c r="Z136" s="839">
        <f>Z162 + Z308 + Z187 + Z333 + Z211 + Z260</f>
        <v>0</v>
      </c>
      <c r="AA136" s="839">
        <f>AA162 + AA308 + AA187 + AA333 + AA211 + AA260</f>
        <v>0</v>
      </c>
      <c r="AB136" s="839">
        <f>AB162 + AB308 + AB187 + AB333 + AB211 + AB260</f>
        <v>0</v>
      </c>
      <c r="AC136" s="841">
        <f>AC162 + AC308 + AC187 + AC333 + AC211 + AC260</f>
        <v>0</v>
      </c>
      <c r="AD136" s="841">
        <f>AD162 + AD308 + AD187 + AD333 + AD211 + AD260</f>
        <v>0</v>
      </c>
      <c r="AE136" s="841">
        <f>AE162 + AE308 + AE187 + AE333 + AE211 + AE260</f>
        <v>0</v>
      </c>
      <c r="AF136" s="841">
        <f>AF162 + AF308 + AF187 + AF333 + AF211 + AF260</f>
        <v>0</v>
      </c>
      <c r="AG136" s="841">
        <f>AG162 + AG308 + AG187 + AG333 + AG211 + AG260</f>
        <v>0</v>
      </c>
      <c r="AH136" s="841">
        <f>AH162 + AH308 + AH187 + AH333 + AH211 + AH260</f>
        <v>0</v>
      </c>
      <c r="AI136" s="841">
        <f>AI162 + AI308 + AI187 + AI333 + AI211 + AI260</f>
        <v>0</v>
      </c>
      <c r="AJ136" s="841">
        <f>AJ162 + AJ308 + AJ187 + AJ333 + AJ211 + AJ260</f>
        <v>0</v>
      </c>
      <c r="AK136" s="841">
        <f>AK162 + AK308 + AK187 + AK333 + AK211 + AK260</f>
        <v>0</v>
      </c>
      <c r="AL136" s="841">
        <f>AL162 + AL308 + AL187 + AL333 + AL211 + AL260</f>
        <v>0</v>
      </c>
      <c r="AM136" s="841">
        <f>AM162 + AM308 + AM187 + AM333 + AM211 + AM260</f>
        <v>0</v>
      </c>
      <c r="AN136" s="841">
        <f>AN162 + AN308 + AN187 + AN333 + AN211 + AN260</f>
        <v>0</v>
      </c>
      <c r="AO136" s="841">
        <f>AO162 + AO308 + AO187 + AO333 + AO211 + AO260</f>
        <v>0</v>
      </c>
      <c r="AP136" s="841">
        <f>AP162 + AP308 + AP187 + AP333 + AP211 + AP260</f>
        <v>0</v>
      </c>
    </row>
    <row r="137" hidden="1">
      <c r="B137" s="842" t="s">
        <v>17</v>
      </c>
      <c r="C137" s="839">
        <f>C163 + C309 + C188 + C334 + C212 + C261</f>
        <v>0</v>
      </c>
      <c r="D137" s="839">
        <f>D163 + D309 + D188 + D334 + D212 + D261</f>
        <v>0</v>
      </c>
      <c r="E137" s="839">
        <f>E163 + E309 + E188 + E334 + E212 + E261</f>
        <v>0</v>
      </c>
      <c r="F137" s="839">
        <f>F163 + F309 + F188 + F334 + F212 + F261</f>
        <v>0</v>
      </c>
      <c r="G137" s="839">
        <f>G163 + G309 + G188 + G334 + G212 + G261</f>
        <v>0</v>
      </c>
      <c r="H137" s="839">
        <f>H163 + H309 + H188 + H334 + H212 + H261</f>
        <v>0</v>
      </c>
      <c r="I137" s="839">
        <f>I163 + I309 + I188 + I334 + I212 + I261</f>
        <v>0</v>
      </c>
      <c r="J137" s="839">
        <f>J163 + J309 + J188 + J334 + J212 + J261</f>
        <v>0</v>
      </c>
      <c r="K137" s="839">
        <f>K163 + K309 + K188 + K334 + K212 + K261</f>
        <v>0</v>
      </c>
      <c r="L137" s="839">
        <f>L163 + L309 + L188 + L334 + L212 + L261</f>
        <v>0</v>
      </c>
      <c r="M137" s="839">
        <f>M163 + M309 + M188 + M334 + M212 + M261</f>
        <v>0</v>
      </c>
      <c r="N137" s="839">
        <f>N163 + N309 + N188 + N334 + N212 + N261</f>
        <v>0</v>
      </c>
      <c r="O137" s="839">
        <f>O163 + O309 + O188 + O334 + O212 + O261</f>
        <v>0</v>
      </c>
      <c r="P137" s="839">
        <f>P163 + P309 + P188 + P334 + P212 + P261</f>
        <v>0</v>
      </c>
      <c r="Q137" s="839">
        <f>Q163 + Q309 + Q188 + Q334 + Q212 + Q261</f>
        <v>0</v>
      </c>
      <c r="R137" s="839">
        <f>R163 + R309 + R188 + R334 + R212 + R261</f>
        <v>0</v>
      </c>
      <c r="S137" s="839">
        <f>S163 + S309 + S188 + S334 + S212 + S261</f>
        <v>0</v>
      </c>
      <c r="T137" s="839">
        <f>T163 + T309 + T188 + T334 + T212 + T261</f>
        <v>0</v>
      </c>
      <c r="U137" s="839">
        <f>U163 + U309 + U188 + U334 + U212 + U261</f>
        <v>0</v>
      </c>
      <c r="V137" s="839">
        <f>V163 + V309 + V188 + V334 + V212 + V261</f>
        <v>0</v>
      </c>
      <c r="W137" s="839">
        <f>W163 + W309 + W188 + W334 + W212 + W261</f>
        <v>0</v>
      </c>
      <c r="X137" s="839">
        <f>X163 + X309 + X188 + X334 + X212 + X261</f>
        <v>0</v>
      </c>
      <c r="Y137" s="839">
        <f>Y163 + Y309 + Y188 + Y334 + Y212 + Y261</f>
        <v>0</v>
      </c>
      <c r="Z137" s="839">
        <f>Z163 + Z309 + Z188 + Z334 + Z212 + Z261</f>
        <v>0</v>
      </c>
      <c r="AA137" s="839">
        <f>AA163 + AA309 + AA188 + AA334 + AA212 + AA261</f>
        <v>0</v>
      </c>
      <c r="AB137" s="839">
        <f>AB163 + AB309 + AB188 + AB334 + AB212 + AB261</f>
        <v>0</v>
      </c>
      <c r="AC137" s="841">
        <f>AC163 + AC309 + AC188 + AC334 + AC212 + AC261</f>
        <v>0</v>
      </c>
      <c r="AD137" s="841">
        <f>AD163 + AD309 + AD188 + AD334 + AD212 + AD261</f>
        <v>0</v>
      </c>
      <c r="AE137" s="841">
        <f>AE163 + AE309 + AE188 + AE334 + AE212 + AE261</f>
        <v>0</v>
      </c>
      <c r="AF137" s="841">
        <f>AF163 + AF309 + AF188 + AF334 + AF212 + AF261</f>
        <v>0</v>
      </c>
      <c r="AG137" s="841">
        <f>AG163 + AG309 + AG188 + AG334 + AG212 + AG261</f>
        <v>0</v>
      </c>
      <c r="AH137" s="841">
        <f>AH163 + AH309 + AH188 + AH334 + AH212 + AH261</f>
        <v>0</v>
      </c>
      <c r="AI137" s="841">
        <f>AI163 + AI309 + AI188 + AI334 + AI212 + AI261</f>
        <v>0</v>
      </c>
      <c r="AJ137" s="841">
        <f>AJ163 + AJ309 + AJ188 + AJ334 + AJ212 + AJ261</f>
        <v>0</v>
      </c>
      <c r="AK137" s="841">
        <f>AK163 + AK309 + AK188 + AK334 + AK212 + AK261</f>
        <v>0</v>
      </c>
      <c r="AL137" s="841">
        <f>AL163 + AL309 + AL188 + AL334 + AL212 + AL261</f>
        <v>0</v>
      </c>
      <c r="AM137" s="841">
        <f>AM163 + AM309 + AM188 + AM334 + AM212 + AM261</f>
        <v>0</v>
      </c>
      <c r="AN137" s="841">
        <f>AN163 + AN309 + AN188 + AN334 + AN212 + AN261</f>
        <v>0</v>
      </c>
      <c r="AO137" s="841">
        <f>AO163 + AO309 + AO188 + AO334 + AO212 + AO261</f>
        <v>0</v>
      </c>
      <c r="AP137" s="841">
        <f>AP163 + AP309 + AP188 + AP334 + AP212 + AP261</f>
        <v>0</v>
      </c>
    </row>
    <row r="138" hidden="1">
      <c r="B138" s="842" t="s">
        <v>18</v>
      </c>
      <c r="C138" s="839">
        <f>C164 + C310 + C189 + C335 + C213 + C262</f>
        <v>0</v>
      </c>
      <c r="D138" s="839">
        <f>D164 + D310 + D189 + D335 + D213 + D262</f>
        <v>0</v>
      </c>
      <c r="E138" s="839">
        <f>E164 + E310 + E189 + E335 + E213 + E262</f>
        <v>0</v>
      </c>
      <c r="F138" s="839">
        <f>F164 + F310 + F189 + F335 + F213 + F262</f>
        <v>0</v>
      </c>
      <c r="G138" s="839">
        <f>G164 + G310 + G189 + G335 + G213 + G262</f>
        <v>0</v>
      </c>
      <c r="H138" s="839">
        <f>H164 + H310 + H189 + H335 + H213 + H262</f>
        <v>0</v>
      </c>
      <c r="I138" s="839">
        <f>I164 + I310 + I189 + I335 + I213 + I262</f>
        <v>0</v>
      </c>
      <c r="J138" s="839">
        <f>J164 + J310 + J189 + J335 + J213 + J262</f>
        <v>0</v>
      </c>
      <c r="K138" s="839">
        <f>K164 + K310 + K189 + K335 + K213 + K262</f>
        <v>0</v>
      </c>
      <c r="L138" s="839">
        <f>L164 + L310 + L189 + L335 + L213 + L262</f>
        <v>0</v>
      </c>
      <c r="M138" s="839">
        <f>M164 + M310 + M189 + M335 + M213 + M262</f>
        <v>0</v>
      </c>
      <c r="N138" s="839">
        <f>N164 + N310 + N189 + N335 + N213 + N262</f>
        <v>0</v>
      </c>
      <c r="O138" s="839">
        <f>O164 + O310 + O189 + O335 + O213 + O262</f>
        <v>0</v>
      </c>
      <c r="P138" s="839">
        <f>P164 + P310 + P189 + P335 + P213 + P262</f>
        <v>0</v>
      </c>
      <c r="Q138" s="839">
        <f>Q164 + Q310 + Q189 + Q335 + Q213 + Q262</f>
        <v>0</v>
      </c>
      <c r="R138" s="839">
        <f>R164 + R310 + R189 + R335 + R213 + R262</f>
        <v>0</v>
      </c>
      <c r="S138" s="839">
        <f>S164 + S310 + S189 + S335 + S213 + S262</f>
        <v>0</v>
      </c>
      <c r="T138" s="839">
        <f>T164 + T310 + T189 + T335 + T213 + T262</f>
        <v>0</v>
      </c>
      <c r="U138" s="839">
        <f>U164 + U310 + U189 + U335 + U213 + U262</f>
        <v>0</v>
      </c>
      <c r="V138" s="839">
        <f>V164 + V310 + V189 + V335 + V213 + V262</f>
        <v>0</v>
      </c>
      <c r="W138" s="839">
        <f>W164 + W310 + W189 + W335 + W213 + W262</f>
        <v>0</v>
      </c>
      <c r="X138" s="839">
        <f>X164 + X310 + X189 + X335 + X213 + X262</f>
        <v>0</v>
      </c>
      <c r="Y138" s="839">
        <f>Y164 + Y310 + Y189 + Y335 + Y213 + Y262</f>
        <v>0</v>
      </c>
      <c r="Z138" s="839">
        <f>Z164 + Z310 + Z189 + Z335 + Z213 + Z262</f>
        <v>0</v>
      </c>
      <c r="AA138" s="839">
        <f>AA164 + AA310 + AA189 + AA335 + AA213 + AA262</f>
        <v>0</v>
      </c>
      <c r="AB138" s="839">
        <f>AB164 + AB310 + AB189 + AB335 + AB213 + AB262</f>
        <v>0</v>
      </c>
      <c r="AC138" s="841">
        <f>AC164 + AC310 + AC189 + AC335 + AC213 + AC262</f>
        <v>0</v>
      </c>
      <c r="AD138" s="841">
        <f>AD164 + AD310 + AD189 + AD335 + AD213 + AD262</f>
        <v>0</v>
      </c>
      <c r="AE138" s="841">
        <f>AE164 + AE310 + AE189 + AE335 + AE213 + AE262</f>
        <v>0</v>
      </c>
      <c r="AF138" s="841">
        <f>AF164 + AF310 + AF189 + AF335 + AF213 + AF262</f>
        <v>0</v>
      </c>
      <c r="AG138" s="841">
        <f>AG164 + AG310 + AG189 + AG335 + AG213 + AG262</f>
        <v>0</v>
      </c>
      <c r="AH138" s="841">
        <f>AH164 + AH310 + AH189 + AH335 + AH213 + AH262</f>
        <v>0</v>
      </c>
      <c r="AI138" s="841">
        <f>AI164 + AI310 + AI189 + AI335 + AI213 + AI262</f>
        <v>0</v>
      </c>
      <c r="AJ138" s="841">
        <f>AJ164 + AJ310 + AJ189 + AJ335 + AJ213 + AJ262</f>
        <v>0</v>
      </c>
      <c r="AK138" s="841">
        <f>AK164 + AK310 + AK189 + AK335 + AK213 + AK262</f>
        <v>0</v>
      </c>
      <c r="AL138" s="841">
        <f>AL164 + AL310 + AL189 + AL335 + AL213 + AL262</f>
        <v>0</v>
      </c>
      <c r="AM138" s="841">
        <f>AM164 + AM310 + AM189 + AM335 + AM213 + AM262</f>
        <v>0</v>
      </c>
      <c r="AN138" s="841">
        <f>AN164 + AN310 + AN189 + AN335 + AN213 + AN262</f>
        <v>0</v>
      </c>
      <c r="AO138" s="841">
        <f>AO164 + AO310 + AO189 + AO335 + AO213 + AO262</f>
        <v>0</v>
      </c>
      <c r="AP138" s="841">
        <f>AP164 + AP310 + AP189 + AP335 + AP213 + AP262</f>
        <v>0</v>
      </c>
    </row>
    <row r="139" hidden="1">
      <c r="B139" s="842" t="s">
        <v>19</v>
      </c>
      <c r="C139" s="839">
        <f>C165 + C311 + C190 + C336 + C214 + C263</f>
        <v>0</v>
      </c>
      <c r="D139" s="839">
        <f>D165 + D311 + D190 + D336 + D214 + D263</f>
        <v>0</v>
      </c>
      <c r="E139" s="839">
        <f>E165 + E311 + E190 + E336 + E214 + E263</f>
        <v>0</v>
      </c>
      <c r="F139" s="839">
        <f>F165 + F311 + F190 + F336 + F214 + F263</f>
        <v>0</v>
      </c>
      <c r="G139" s="839">
        <f>G165 + G311 + G190 + G336 + G214 + G263</f>
        <v>0</v>
      </c>
      <c r="H139" s="839">
        <f>H165 + H311 + H190 + H336 + H214 + H263</f>
        <v>0</v>
      </c>
      <c r="I139" s="839">
        <f>I165 + I311 + I190 + I336 + I214 + I263</f>
        <v>0</v>
      </c>
      <c r="J139" s="839">
        <f>J165 + J311 + J190 + J336 + J214 + J263</f>
        <v>0</v>
      </c>
      <c r="K139" s="839">
        <f>K165 + K311 + K190 + K336 + K214 + K263</f>
        <v>0</v>
      </c>
      <c r="L139" s="839">
        <f>L165 + L311 + L190 + L336 + L214 + L263</f>
        <v>0</v>
      </c>
      <c r="M139" s="839">
        <f>M165 + M311 + M190 + M336 + M214 + M263</f>
        <v>0</v>
      </c>
      <c r="N139" s="839">
        <f>N165 + N311 + N190 + N336 + N214 + N263</f>
        <v>0</v>
      </c>
      <c r="O139" s="839">
        <f>O165 + O311 + O190 + O336 + O214 + O263</f>
        <v>0</v>
      </c>
      <c r="P139" s="839">
        <f>P165 + P311 + P190 + P336 + P214 + P263</f>
        <v>0</v>
      </c>
      <c r="Q139" s="839">
        <f>Q165 + Q311 + Q190 + Q336 + Q214 + Q263</f>
        <v>0</v>
      </c>
      <c r="R139" s="839">
        <f>R165 + R311 + R190 + R336 + R214 + R263</f>
        <v>0</v>
      </c>
      <c r="S139" s="839">
        <f>S165 + S311 + S190 + S336 + S214 + S263</f>
        <v>0</v>
      </c>
      <c r="T139" s="839">
        <f>T165 + T311 + T190 + T336 + T214 + T263</f>
        <v>0</v>
      </c>
      <c r="U139" s="839">
        <f>U165 + U311 + U190 + U336 + U214 + U263</f>
        <v>0</v>
      </c>
      <c r="V139" s="839">
        <f>V165 + V311 + V190 + V336 + V214 + V263</f>
        <v>0</v>
      </c>
      <c r="W139" s="839">
        <f>W165 + W311 + W190 + W336 + W214 + W263</f>
        <v>0</v>
      </c>
      <c r="X139" s="839">
        <f>X165 + X311 + X190 + X336 + X214 + X263</f>
        <v>0</v>
      </c>
      <c r="Y139" s="839">
        <f>Y165 + Y311 + Y190 + Y336 + Y214 + Y263</f>
        <v>0</v>
      </c>
      <c r="Z139" s="839">
        <f>Z165 + Z311 + Z190 + Z336 + Z214 + Z263</f>
        <v>0</v>
      </c>
      <c r="AA139" s="839">
        <f>AA165 + AA311 + AA190 + AA336 + AA214 + AA263</f>
        <v>0</v>
      </c>
      <c r="AB139" s="839">
        <f>AB165 + AB311 + AB190 + AB336 + AB214 + AB263</f>
        <v>0</v>
      </c>
      <c r="AC139" s="841">
        <f>AC165 + AC311 + AC190 + AC336 + AC214 + AC263</f>
        <v>0</v>
      </c>
      <c r="AD139" s="841">
        <f>AD165 + AD311 + AD190 + AD336 + AD214 + AD263</f>
        <v>0</v>
      </c>
      <c r="AE139" s="841">
        <f>AE165 + AE311 + AE190 + AE336 + AE214 + AE263</f>
        <v>0</v>
      </c>
      <c r="AF139" s="841">
        <f>AF165 + AF311 + AF190 + AF336 + AF214 + AF263</f>
        <v>0</v>
      </c>
      <c r="AG139" s="841">
        <f>AG165 + AG311 + AG190 + AG336 + AG214 + AG263</f>
        <v>0</v>
      </c>
      <c r="AH139" s="841">
        <f>AH165 + AH311 + AH190 + AH336 + AH214 + AH263</f>
        <v>0</v>
      </c>
      <c r="AI139" s="841">
        <f>AI165 + AI311 + AI190 + AI336 + AI214 + AI263</f>
        <v>0</v>
      </c>
      <c r="AJ139" s="841">
        <f>AJ165 + AJ311 + AJ190 + AJ336 + AJ214 + AJ263</f>
        <v>0</v>
      </c>
      <c r="AK139" s="841">
        <f>AK165 + AK311 + AK190 + AK336 + AK214 + AK263</f>
        <v>0</v>
      </c>
      <c r="AL139" s="841">
        <f>AL165 + AL311 + AL190 + AL336 + AL214 + AL263</f>
        <v>0</v>
      </c>
      <c r="AM139" s="841">
        <f>AM165 + AM311 + AM190 + AM336 + AM214 + AM263</f>
        <v>0</v>
      </c>
      <c r="AN139" s="841">
        <f>AN165 + AN311 + AN190 + AN336 + AN214 + AN263</f>
        <v>0</v>
      </c>
      <c r="AO139" s="841">
        <f>AO165 + AO311 + AO190 + AO336 + AO214 + AO263</f>
        <v>0</v>
      </c>
      <c r="AP139" s="841">
        <f>AP165 + AP311 + AP190 + AP336 + AP214 + AP263</f>
        <v>0</v>
      </c>
    </row>
    <row r="140" hidden="1">
      <c r="B140" s="842" t="s">
        <v>20</v>
      </c>
      <c r="C140" s="839">
        <f>C166 + C312 + C191 + C337 + C215 + C264</f>
        <v>0</v>
      </c>
      <c r="D140" s="839">
        <f>D166 + D312 + D191 + D337 + D215 + D264</f>
        <v>0</v>
      </c>
      <c r="E140" s="839">
        <f>E166 + E312 + E191 + E337 + E215 + E264</f>
        <v>0</v>
      </c>
      <c r="F140" s="839">
        <f>F166 + F312 + F191 + F337 + F215 + F264</f>
        <v>0</v>
      </c>
      <c r="G140" s="839">
        <f>G166 + G312 + G191 + G337 + G215 + G264</f>
        <v>0</v>
      </c>
      <c r="H140" s="839">
        <f>H166 + H312 + H191 + H337 + H215 + H264</f>
        <v>0</v>
      </c>
      <c r="I140" s="839">
        <f>I166 + I312 + I191 + I337 + I215 + I264</f>
        <v>0</v>
      </c>
      <c r="J140" s="839">
        <f>J166 + J312 + J191 + J337 + J215 + J264</f>
        <v>0</v>
      </c>
      <c r="K140" s="839">
        <f>K166 + K312 + K191 + K337 + K215 + K264</f>
        <v>0</v>
      </c>
      <c r="L140" s="839">
        <f>L166 + L312 + L191 + L337 + L215 + L264</f>
        <v>0</v>
      </c>
      <c r="M140" s="839">
        <f>M166 + M312 + M191 + M337 + M215 + M264</f>
        <v>0</v>
      </c>
      <c r="N140" s="839">
        <f>N166 + N312 + N191 + N337 + N215 + N264</f>
        <v>0</v>
      </c>
      <c r="O140" s="839">
        <f>O166 + O312 + O191 + O337 + O215 + O264</f>
        <v>0</v>
      </c>
      <c r="P140" s="839">
        <f>P166 + P312 + P191 + P337 + P215 + P264</f>
        <v>0</v>
      </c>
      <c r="Q140" s="839">
        <f>Q166 + Q312 + Q191 + Q337 + Q215 + Q264</f>
        <v>0</v>
      </c>
      <c r="R140" s="839">
        <f>R166 + R312 + R191 + R337 + R215 + R264</f>
        <v>0</v>
      </c>
      <c r="S140" s="839">
        <f>S166 + S312 + S191 + S337 + S215 + S264</f>
        <v>0</v>
      </c>
      <c r="T140" s="839">
        <f>T166 + T312 + T191 + T337 + T215 + T264</f>
        <v>0</v>
      </c>
      <c r="U140" s="839">
        <f>U166 + U312 + U191 + U337 + U215 + U264</f>
        <v>0</v>
      </c>
      <c r="V140" s="839">
        <f>V166 + V312 + V191 + V337 + V215 + V264</f>
        <v>0</v>
      </c>
      <c r="W140" s="839">
        <f>W166 + W312 + W191 + W337 + W215 + W264</f>
        <v>0</v>
      </c>
      <c r="X140" s="839">
        <f>X166 + X312 + X191 + X337 + X215 + X264</f>
        <v>0</v>
      </c>
      <c r="Y140" s="839">
        <f>Y166 + Y312 + Y191 + Y337 + Y215 + Y264</f>
        <v>0</v>
      </c>
      <c r="Z140" s="839">
        <f>Z166 + Z312 + Z191 + Z337 + Z215 + Z264</f>
        <v>0</v>
      </c>
      <c r="AA140" s="839">
        <f>AA166 + AA312 + AA191 + AA337 + AA215 + AA264</f>
        <v>0</v>
      </c>
      <c r="AB140" s="839">
        <f>AB166 + AB312 + AB191 + AB337 + AB215 + AB264</f>
        <v>0</v>
      </c>
      <c r="AC140" s="841">
        <f>AC166 + AC312 + AC191 + AC337 + AC215 + AC264</f>
        <v>0</v>
      </c>
      <c r="AD140" s="841">
        <f>AD166 + AD312 + AD191 + AD337 + AD215 + AD264</f>
        <v>0</v>
      </c>
      <c r="AE140" s="841">
        <f>AE166 + AE312 + AE191 + AE337 + AE215 + AE264</f>
        <v>0</v>
      </c>
      <c r="AF140" s="841">
        <f>AF166 + AF312 + AF191 + AF337 + AF215 + AF264</f>
        <v>0</v>
      </c>
      <c r="AG140" s="841">
        <f>AG166 + AG312 + AG191 + AG337 + AG215 + AG264</f>
        <v>0</v>
      </c>
      <c r="AH140" s="841">
        <f>AH166 + AH312 + AH191 + AH337 + AH215 + AH264</f>
        <v>0</v>
      </c>
      <c r="AI140" s="841">
        <f>AI166 + AI312 + AI191 + AI337 + AI215 + AI264</f>
        <v>0</v>
      </c>
      <c r="AJ140" s="841">
        <f>AJ166 + AJ312 + AJ191 + AJ337 + AJ215 + AJ264</f>
        <v>0</v>
      </c>
      <c r="AK140" s="841">
        <f>AK166 + AK312 + AK191 + AK337 + AK215 + AK264</f>
        <v>0</v>
      </c>
      <c r="AL140" s="841">
        <f>AL166 + AL312 + AL191 + AL337 + AL215 + AL264</f>
        <v>0</v>
      </c>
      <c r="AM140" s="841">
        <f>AM166 + AM312 + AM191 + AM337 + AM215 + AM264</f>
        <v>0</v>
      </c>
      <c r="AN140" s="841">
        <f>AN166 + AN312 + AN191 + AN337 + AN215 + AN264</f>
        <v>0</v>
      </c>
      <c r="AO140" s="841">
        <f>AO166 + AO312 + AO191 + AO337 + AO215 + AO264</f>
        <v>0</v>
      </c>
      <c r="AP140" s="841">
        <f>AP166 + AP312 + AP191 + AP337 + AP215 + AP264</f>
        <v>0</v>
      </c>
    </row>
    <row r="141" hidden="1">
      <c r="B141" s="842" t="s">
        <v>21</v>
      </c>
      <c r="C141" s="839">
        <f>C167 + C313 + C192 + C338 + C216 + C265</f>
        <v>0</v>
      </c>
      <c r="D141" s="839">
        <f>D167 + D313 + D192 + D338 + D216 + D265</f>
        <v>0</v>
      </c>
      <c r="E141" s="839">
        <f>E167 + E313 + E192 + E338 + E216 + E265</f>
        <v>0</v>
      </c>
      <c r="F141" s="839">
        <f>F167 + F313 + F192 + F338 + F216 + F265</f>
        <v>0</v>
      </c>
      <c r="G141" s="839">
        <f>G167 + G313 + G192 + G338 + G216 + G265</f>
        <v>0</v>
      </c>
      <c r="H141" s="839">
        <f>H167 + H313 + H192 + H338 + H216 + H265</f>
        <v>0</v>
      </c>
      <c r="I141" s="839">
        <f>I167 + I313 + I192 + I338 + I216 + I265</f>
        <v>0</v>
      </c>
      <c r="J141" s="839">
        <f>J167 + J313 + J192 + J338 + J216 + J265</f>
        <v>0</v>
      </c>
      <c r="K141" s="839">
        <f>K167 + K313 + K192 + K338 + K216 + K265</f>
        <v>0</v>
      </c>
      <c r="L141" s="839">
        <f>L167 + L313 + L192 + L338 + L216 + L265</f>
        <v>0</v>
      </c>
      <c r="M141" s="839">
        <f>M167 + M313 + M192 + M338 + M216 + M265</f>
        <v>0</v>
      </c>
      <c r="N141" s="839">
        <f>N167 + N313 + N192 + N338 + N216 + N265</f>
        <v>0</v>
      </c>
      <c r="O141" s="839">
        <f>O167 + O313 + O192 + O338 + O216 + O265</f>
        <v>0</v>
      </c>
      <c r="P141" s="839">
        <f>P167 + P313 + P192 + P338 + P216 + P265</f>
        <v>0</v>
      </c>
      <c r="Q141" s="839">
        <f>Q167 + Q313 + Q192 + Q338 + Q216 + Q265</f>
        <v>0</v>
      </c>
      <c r="R141" s="839">
        <f>R167 + R313 + R192 + R338 + R216 + R265</f>
        <v>0</v>
      </c>
      <c r="S141" s="839">
        <f>S167 + S313 + S192 + S338 + S216 + S265</f>
        <v>0</v>
      </c>
      <c r="T141" s="839">
        <f>T167 + T313 + T192 + T338 + T216 + T265</f>
        <v>0</v>
      </c>
      <c r="U141" s="839">
        <f>U167 + U313 + U192 + U338 + U216 + U265</f>
        <v>0</v>
      </c>
      <c r="V141" s="839">
        <f>V167 + V313 + V192 + V338 + V216 + V265</f>
        <v>0</v>
      </c>
      <c r="W141" s="839">
        <f>W167 + W313 + W192 + W338 + W216 + W265</f>
        <v>0</v>
      </c>
      <c r="X141" s="839">
        <f>X167 + X313 + X192 + X338 + X216 + X265</f>
        <v>0</v>
      </c>
      <c r="Y141" s="839">
        <f>Y167 + Y313 + Y192 + Y338 + Y216 + Y265</f>
        <v>0</v>
      </c>
      <c r="Z141" s="839">
        <f>Z167 + Z313 + Z192 + Z338 + Z216 + Z265</f>
        <v>0</v>
      </c>
      <c r="AA141" s="839">
        <f>AA167 + AA313 + AA192 + AA338 + AA216 + AA265</f>
        <v>0</v>
      </c>
      <c r="AB141" s="839">
        <f>AB167 + AB313 + AB192 + AB338 + AB216 + AB265</f>
        <v>0</v>
      </c>
      <c r="AC141" s="841">
        <f>AC167 + AC313 + AC192 + AC338 + AC216 + AC265</f>
        <v>0</v>
      </c>
      <c r="AD141" s="841">
        <f>AD167 + AD313 + AD192 + AD338 + AD216 + AD265</f>
        <v>0</v>
      </c>
      <c r="AE141" s="841">
        <f>AE167 + AE313 + AE192 + AE338 + AE216 + AE265</f>
        <v>0</v>
      </c>
      <c r="AF141" s="841">
        <f>AF167 + AF313 + AF192 + AF338 + AF216 + AF265</f>
        <v>0</v>
      </c>
      <c r="AG141" s="841">
        <f>AG167 + AG313 + AG192 + AG338 + AG216 + AG265</f>
        <v>0</v>
      </c>
      <c r="AH141" s="841">
        <f>AH167 + AH313 + AH192 + AH338 + AH216 + AH265</f>
        <v>0</v>
      </c>
      <c r="AI141" s="841">
        <f>AI167 + AI313 + AI192 + AI338 + AI216 + AI265</f>
        <v>0</v>
      </c>
      <c r="AJ141" s="841">
        <f>AJ167 + AJ313 + AJ192 + AJ338 + AJ216 + AJ265</f>
        <v>0</v>
      </c>
      <c r="AK141" s="841">
        <f>AK167 + AK313 + AK192 + AK338 + AK216 + AK265</f>
        <v>0</v>
      </c>
      <c r="AL141" s="841">
        <f>AL167 + AL313 + AL192 + AL338 + AL216 + AL265</f>
        <v>0</v>
      </c>
      <c r="AM141" s="841">
        <f>AM167 + AM313 + AM192 + AM338 + AM216 + AM265</f>
        <v>0</v>
      </c>
      <c r="AN141" s="841">
        <f>AN167 + AN313 + AN192 + AN338 + AN216 + AN265</f>
        <v>0</v>
      </c>
      <c r="AO141" s="841">
        <f>AO167 + AO313 + AO192 + AO338 + AO216 + AO265</f>
        <v>0</v>
      </c>
      <c r="AP141" s="841">
        <f>AP167 + AP313 + AP192 + AP338 + AP216 + AP265</f>
        <v>0</v>
      </c>
    </row>
    <row r="142" hidden="1">
      <c r="B142" s="842" t="s">
        <v>22</v>
      </c>
      <c r="C142" s="839">
        <f>C168 + C314 + C193 + C339 + C217 + C266</f>
        <v>0</v>
      </c>
      <c r="D142" s="839">
        <f>D168 + D314 + D193 + D339 + D217 + D266</f>
        <v>0</v>
      </c>
      <c r="E142" s="839">
        <f>E168 + E314 + E193 + E339 + E217 + E266</f>
        <v>0</v>
      </c>
      <c r="F142" s="839">
        <f>F168 + F314 + F193 + F339 + F217 + F266</f>
        <v>0</v>
      </c>
      <c r="G142" s="839">
        <f>G168 + G314 + G193 + G339 + G217 + G266</f>
        <v>0</v>
      </c>
      <c r="H142" s="839">
        <f>H168 + H314 + H193 + H339 + H217 + H266</f>
        <v>0</v>
      </c>
      <c r="I142" s="839">
        <f>I168 + I314 + I193 + I339 + I217 + I266</f>
        <v>0</v>
      </c>
      <c r="J142" s="839">
        <f>J168 + J314 + J193 + J339 + J217 + J266</f>
        <v>0</v>
      </c>
      <c r="K142" s="839">
        <f>K168 + K314 + K193 + K339 + K217 + K266</f>
        <v>0</v>
      </c>
      <c r="L142" s="839">
        <f>L168 + L314 + L193 + L339 + L217 + L266</f>
        <v>0</v>
      </c>
      <c r="M142" s="839">
        <f>M168 + M314 + M193 + M339 + M217 + M266</f>
        <v>0</v>
      </c>
      <c r="N142" s="839">
        <f>N168 + N314 + N193 + N339 + N217 + N266</f>
        <v>0</v>
      </c>
      <c r="O142" s="839">
        <f>O168 + O314 + O193 + O339 + O217 + O266</f>
        <v>0</v>
      </c>
      <c r="P142" s="839">
        <f>P168 + P314 + P193 + P339 + P217 + P266</f>
        <v>0</v>
      </c>
      <c r="Q142" s="839">
        <f>Q168 + Q314 + Q193 + Q339 + Q217 + Q266</f>
        <v>0</v>
      </c>
      <c r="R142" s="839">
        <f>R168 + R314 + R193 + R339 + R217 + R266</f>
        <v>0</v>
      </c>
      <c r="S142" s="839">
        <f>S168 + S314 + S193 + S339 + S217 + S266</f>
        <v>0</v>
      </c>
      <c r="T142" s="839">
        <f>T168 + T314 + T193 + T339 + T217 + T266</f>
        <v>0</v>
      </c>
      <c r="U142" s="839">
        <f>U168 + U314 + U193 + U339 + U217 + U266</f>
        <v>0</v>
      </c>
      <c r="V142" s="839">
        <f>V168 + V314 + V193 + V339 + V217 + V266</f>
        <v>0</v>
      </c>
      <c r="W142" s="839">
        <f>W168 + W314 + W193 + W339 + W217 + W266</f>
        <v>0</v>
      </c>
      <c r="X142" s="839">
        <f>X168 + X314 + X193 + X339 + X217 + X266</f>
        <v>0</v>
      </c>
      <c r="Y142" s="839">
        <f>Y168 + Y314 + Y193 + Y339 + Y217 + Y266</f>
        <v>0</v>
      </c>
      <c r="Z142" s="839">
        <f>Z168 + Z314 + Z193 + Z339 + Z217 + Z266</f>
        <v>0</v>
      </c>
      <c r="AA142" s="839">
        <f>AA168 + AA314 + AA193 + AA339 + AA217 + AA266</f>
        <v>0</v>
      </c>
      <c r="AB142" s="839">
        <f>AB168 + AB314 + AB193 + AB339 + AB217 + AB266</f>
        <v>0</v>
      </c>
      <c r="AC142" s="841">
        <f>AC168 + AC314 + AC193 + AC339 + AC217 + AC266</f>
        <v>0</v>
      </c>
      <c r="AD142" s="841">
        <f>AD168 + AD314 + AD193 + AD339 + AD217 + AD266</f>
        <v>0</v>
      </c>
      <c r="AE142" s="841">
        <f>AE168 + AE314 + AE193 + AE339 + AE217 + AE266</f>
        <v>0</v>
      </c>
      <c r="AF142" s="841">
        <f>AF168 + AF314 + AF193 + AF339 + AF217 + AF266</f>
        <v>0</v>
      </c>
      <c r="AG142" s="841">
        <f>AG168 + AG314 + AG193 + AG339 + AG217 + AG266</f>
        <v>0</v>
      </c>
      <c r="AH142" s="841">
        <f>AH168 + AH314 + AH193 + AH339 + AH217 + AH266</f>
        <v>0</v>
      </c>
      <c r="AI142" s="841">
        <f>AI168 + AI314 + AI193 + AI339 + AI217 + AI266</f>
        <v>0</v>
      </c>
      <c r="AJ142" s="841">
        <f>AJ168 + AJ314 + AJ193 + AJ339 + AJ217 + AJ266</f>
        <v>0</v>
      </c>
      <c r="AK142" s="841">
        <f>AK168 + AK314 + AK193 + AK339 + AK217 + AK266</f>
        <v>0</v>
      </c>
      <c r="AL142" s="841">
        <f>AL168 + AL314 + AL193 + AL339 + AL217 + AL266</f>
        <v>0</v>
      </c>
      <c r="AM142" s="841">
        <f>AM168 + AM314 + AM193 + AM339 + AM217 + AM266</f>
        <v>0</v>
      </c>
      <c r="AN142" s="841">
        <f>AN168 + AN314 + AN193 + AN339 + AN217 + AN266</f>
        <v>0</v>
      </c>
      <c r="AO142" s="841">
        <f>AO168 + AO314 + AO193 + AO339 + AO217 + AO266</f>
        <v>0</v>
      </c>
      <c r="AP142" s="841">
        <f>AP168 + AP314 + AP193 + AP339 + AP217 + AP266</f>
        <v>0</v>
      </c>
    </row>
    <row r="143" hidden="1">
      <c r="B143" s="842" t="s">
        <v>23</v>
      </c>
      <c r="C143" s="839">
        <f>C169 + C315 + C194 + C340 + C218 + C267</f>
        <v>0</v>
      </c>
      <c r="D143" s="839">
        <f>D169 + D315 + D194 + D340 + D218 + D267</f>
        <v>0</v>
      </c>
      <c r="E143" s="839">
        <f>E169 + E315 + E194 + E340 + E218 + E267</f>
        <v>0</v>
      </c>
      <c r="F143" s="839">
        <f>F169 + F315 + F194 + F340 + F218 + F267</f>
        <v>0</v>
      </c>
      <c r="G143" s="839">
        <f>G169 + G315 + G194 + G340 + G218 + G267</f>
        <v>0</v>
      </c>
      <c r="H143" s="839">
        <f>H169 + H315 + H194 + H340 + H218 + H267</f>
        <v>0</v>
      </c>
      <c r="I143" s="839">
        <f>I169 + I315 + I194 + I340 + I218 + I267</f>
        <v>0</v>
      </c>
      <c r="J143" s="839">
        <f>J169 + J315 + J194 + J340 + J218 + J267</f>
        <v>0</v>
      </c>
      <c r="K143" s="839">
        <f>K169 + K315 + K194 + K340 + K218 + K267</f>
        <v>0</v>
      </c>
      <c r="L143" s="839">
        <f>L169 + L315 + L194 + L340 + L218 + L267</f>
        <v>0</v>
      </c>
      <c r="M143" s="839">
        <f>M169 + M315 + M194 + M340 + M218 + M267</f>
        <v>0</v>
      </c>
      <c r="N143" s="839">
        <f>N169 + N315 + N194 + N340 + N218 + N267</f>
        <v>0</v>
      </c>
      <c r="O143" s="839">
        <f>O169 + O315 + O194 + O340 + O218 + O267</f>
        <v>0</v>
      </c>
      <c r="P143" s="839">
        <f>P169 + P315 + P194 + P340 + P218 + P267</f>
        <v>0</v>
      </c>
      <c r="Q143" s="839">
        <f>Q169 + Q315 + Q194 + Q340 + Q218 + Q267</f>
        <v>0</v>
      </c>
      <c r="R143" s="839">
        <f>R169 + R315 + R194 + R340 + R218 + R267</f>
        <v>0</v>
      </c>
      <c r="S143" s="839">
        <f>S169 + S315 + S194 + S340 + S218 + S267</f>
        <v>0</v>
      </c>
      <c r="T143" s="839">
        <f>T169 + T315 + T194 + T340 + T218 + T267</f>
        <v>0</v>
      </c>
      <c r="U143" s="839">
        <f>U169 + U315 + U194 + U340 + U218 + U267</f>
        <v>0</v>
      </c>
      <c r="V143" s="839">
        <f>V169 + V315 + V194 + V340 + V218 + V267</f>
        <v>0</v>
      </c>
      <c r="W143" s="839">
        <f>W169 + W315 + W194 + W340 + W218 + W267</f>
        <v>0</v>
      </c>
      <c r="X143" s="839">
        <f>X169 + X315 + X194 + X340 + X218 + X267</f>
        <v>0</v>
      </c>
      <c r="Y143" s="839">
        <f>Y169 + Y315 + Y194 + Y340 + Y218 + Y267</f>
        <v>0</v>
      </c>
      <c r="Z143" s="839">
        <f>Z169 + Z315 + Z194 + Z340 + Z218 + Z267</f>
        <v>0</v>
      </c>
      <c r="AA143" s="839">
        <f>AA169 + AA315 + AA194 + AA340 + AA218 + AA267</f>
        <v>0</v>
      </c>
      <c r="AB143" s="839">
        <f>AB169 + AB315 + AB194 + AB340 + AB218 + AB267</f>
        <v>0</v>
      </c>
      <c r="AC143" s="841">
        <f>AC169 + AC315 + AC194 + AC340 + AC218 + AC267</f>
        <v>0</v>
      </c>
      <c r="AD143" s="841">
        <f>AD169 + AD315 + AD194 + AD340 + AD218 + AD267</f>
        <v>0</v>
      </c>
      <c r="AE143" s="841">
        <f>AE169 + AE315 + AE194 + AE340 + AE218 + AE267</f>
        <v>0</v>
      </c>
      <c r="AF143" s="841">
        <f>AF169 + AF315 + AF194 + AF340 + AF218 + AF267</f>
        <v>0</v>
      </c>
      <c r="AG143" s="841">
        <f>AG169 + AG315 + AG194 + AG340 + AG218 + AG267</f>
        <v>0</v>
      </c>
      <c r="AH143" s="841">
        <f>AH169 + AH315 + AH194 + AH340 + AH218 + AH267</f>
        <v>0</v>
      </c>
      <c r="AI143" s="841">
        <f>AI169 + AI315 + AI194 + AI340 + AI218 + AI267</f>
        <v>0</v>
      </c>
      <c r="AJ143" s="841">
        <f>AJ169 + AJ315 + AJ194 + AJ340 + AJ218 + AJ267</f>
        <v>0</v>
      </c>
      <c r="AK143" s="841">
        <f>AK169 + AK315 + AK194 + AK340 + AK218 + AK267</f>
        <v>0</v>
      </c>
      <c r="AL143" s="841">
        <f>AL169 + AL315 + AL194 + AL340 + AL218 + AL267</f>
        <v>0</v>
      </c>
      <c r="AM143" s="841">
        <f>AM169 + AM315 + AM194 + AM340 + AM218 + AM267</f>
        <v>0</v>
      </c>
      <c r="AN143" s="841">
        <f>AN169 + AN315 + AN194 + AN340 + AN218 + AN267</f>
        <v>0</v>
      </c>
      <c r="AO143" s="841">
        <f>AO169 + AO315 + AO194 + AO340 + AO218 + AO267</f>
        <v>0</v>
      </c>
      <c r="AP143" s="841">
        <f>AP169 + AP315 + AP194 + AP340 + AP218 + AP267</f>
        <v>0</v>
      </c>
    </row>
    <row r="144" hidden="1">
      <c r="B144" s="843" t="s">
        <v>24</v>
      </c>
      <c r="C144" s="839">
        <f>C170 + C316 + C195 + C341 + C219 + C268</f>
        <v>0</v>
      </c>
      <c r="D144" s="839">
        <f>D170 + D316 + D195 + D341 + D219 + D268</f>
        <v>0</v>
      </c>
      <c r="E144" s="839">
        <f>E170 + E316 + E195 + E341 + E219 + E268</f>
        <v>0</v>
      </c>
      <c r="F144" s="839">
        <f>F170 + F316 + F195 + F341 + F219 + F268</f>
        <v>0</v>
      </c>
      <c r="G144" s="839">
        <f>G170 + G316 + G195 + G341 + G219 + G268</f>
        <v>0</v>
      </c>
      <c r="H144" s="839">
        <f>H170 + H316 + H195 + H341 + H219 + H268</f>
        <v>0</v>
      </c>
      <c r="I144" s="839">
        <f>I170 + I316 + I195 + I341 + I219 + I268</f>
        <v>0</v>
      </c>
      <c r="J144" s="839">
        <f>J170 + J316 + J195 + J341 + J219 + J268</f>
        <v>0</v>
      </c>
      <c r="K144" s="839">
        <f>K170 + K316 + K195 + K341 + K219 + K268</f>
        <v>0</v>
      </c>
      <c r="L144" s="839">
        <f>L170 + L316 + L195 + L341 + L219 + L268</f>
        <v>0</v>
      </c>
      <c r="M144" s="839">
        <f>M170 + M316 + M195 + M341 + M219 + M268</f>
        <v>0</v>
      </c>
      <c r="N144" s="839">
        <f>N170 + N316 + N195 + N341 + N219 + N268</f>
        <v>0</v>
      </c>
      <c r="O144" s="839">
        <f>O170 + O316 + O195 + O341 + O219 + O268</f>
        <v>0</v>
      </c>
      <c r="P144" s="839">
        <f>P170 + P316 + P195 + P341 + P219 + P268</f>
        <v>0</v>
      </c>
      <c r="Q144" s="839">
        <f>Q170 + Q316 + Q195 + Q341 + Q219 + Q268</f>
        <v>0</v>
      </c>
      <c r="R144" s="839">
        <f>R170 + R316 + R195 + R341 + R219 + R268</f>
        <v>0</v>
      </c>
      <c r="S144" s="839">
        <f>S170 + S316 + S195 + S341 + S219 + S268</f>
        <v>0</v>
      </c>
      <c r="T144" s="839">
        <f>T170 + T316 + T195 + T341 + T219 + T268</f>
        <v>0</v>
      </c>
      <c r="U144" s="839">
        <f>U170 + U316 + U195 + U341 + U219 + U268</f>
        <v>0</v>
      </c>
      <c r="V144" s="839">
        <f>V170 + V316 + V195 + V341 + V219 + V268</f>
        <v>0</v>
      </c>
      <c r="W144" s="839">
        <f>W170 + W316 + W195 + W341 + W219 + W268</f>
        <v>0</v>
      </c>
      <c r="X144" s="839">
        <f>X170 + X316 + X195 + X341 + X219 + X268</f>
        <v>0</v>
      </c>
      <c r="Y144" s="839">
        <f>Y170 + Y316 + Y195 + Y341 + Y219 + Y268</f>
        <v>0</v>
      </c>
      <c r="Z144" s="839">
        <f>Z170 + Z316 + Z195 + Z341 + Z219 + Z268</f>
        <v>0</v>
      </c>
      <c r="AA144" s="839">
        <f>AA170 + AA316 + AA195 + AA341 + AA219 + AA268</f>
        <v>0</v>
      </c>
      <c r="AB144" s="839">
        <f>AB170 + AB316 + AB195 + AB341 + AB219 + AB268</f>
        <v>0</v>
      </c>
      <c r="AC144" s="841">
        <f>AC170 + AC316 + AC195 + AC341 + AC219 + AC268</f>
        <v>0</v>
      </c>
      <c r="AD144" s="841">
        <f>AD170 + AD316 + AD195 + AD341 + AD219 + AD268</f>
        <v>0</v>
      </c>
      <c r="AE144" s="841">
        <f>AE170 + AE316 + AE195 + AE341 + AE219 + AE268</f>
        <v>0</v>
      </c>
      <c r="AF144" s="841">
        <f>AF170 + AF316 + AF195 + AF341 + AF219 + AF268</f>
        <v>0</v>
      </c>
      <c r="AG144" s="841">
        <f>AG170 + AG316 + AG195 + AG341 + AG219 + AG268</f>
        <v>0</v>
      </c>
      <c r="AH144" s="841">
        <f>AH170 + AH316 + AH195 + AH341 + AH219 + AH268</f>
        <v>0</v>
      </c>
      <c r="AI144" s="841">
        <f>AI170 + AI316 + AI195 + AI341 + AI219 + AI268</f>
        <v>0</v>
      </c>
      <c r="AJ144" s="841">
        <f>AJ170 + AJ316 + AJ195 + AJ341 + AJ219 + AJ268</f>
        <v>0</v>
      </c>
      <c r="AK144" s="841">
        <f>AK170 + AK316 + AK195 + AK341 + AK219 + AK268</f>
        <v>0</v>
      </c>
      <c r="AL144" s="841">
        <f>AL170 + AL316 + AL195 + AL341 + AL219 + AL268</f>
        <v>0</v>
      </c>
      <c r="AM144" s="841">
        <f>AM170 + AM316 + AM195 + AM341 + AM219 + AM268</f>
        <v>0</v>
      </c>
      <c r="AN144" s="841">
        <f>AN170 + AN316 + AN195 + AN341 + AN219 + AN268</f>
        <v>0</v>
      </c>
      <c r="AO144" s="841">
        <f>AO170 + AO316 + AO195 + AO341 + AO219 + AO268</f>
        <v>0</v>
      </c>
      <c r="AP144" s="841">
        <f>AP170 + AP316 + AP195 + AP341 + AP219 + AP268</f>
        <v>0</v>
      </c>
    </row>
    <row r="145" hidden="1">
      <c r="B145" s="842" t="s">
        <v>25</v>
      </c>
      <c r="C145" s="839">
        <f>C171 + C317 + C196 + C342 + C220 + C269</f>
        <v>0</v>
      </c>
      <c r="D145" s="839">
        <f>D171 + D317 + D196 + D342 + D220 + D269</f>
        <v>0</v>
      </c>
      <c r="E145" s="839">
        <f>E171 + E317 + E196 + E342 + E220 + E269</f>
        <v>0</v>
      </c>
      <c r="F145" s="839">
        <f>F171 + F317 + F196 + F342 + F220 + F269</f>
        <v>0</v>
      </c>
      <c r="G145" s="839">
        <f>G171 + G317 + G196 + G342 + G220 + G269</f>
        <v>0</v>
      </c>
      <c r="H145" s="839">
        <f>H171 + H317 + H196 + H342 + H220 + H269</f>
        <v>0</v>
      </c>
      <c r="I145" s="839">
        <f>I171 + I317 + I196 + I342 + I220 + I269</f>
        <v>0</v>
      </c>
      <c r="J145" s="839">
        <f>J171 + J317 + J196 + J342 + J220 + J269</f>
        <v>0</v>
      </c>
      <c r="K145" s="839">
        <f>K171 + K317 + K196 + K342 + K220 + K269</f>
        <v>0</v>
      </c>
      <c r="L145" s="839">
        <f>L171 + L317 + L196 + L342 + L220 + L269</f>
        <v>0</v>
      </c>
      <c r="M145" s="839">
        <f>M171 + M317 + M196 + M342 + M220 + M269</f>
        <v>0</v>
      </c>
      <c r="N145" s="839">
        <f>N171 + N317 + N196 + N342 + N220 + N269</f>
        <v>0</v>
      </c>
      <c r="O145" s="839">
        <f>O171 + O317 + O196 + O342 + O220 + O269</f>
        <v>0</v>
      </c>
      <c r="P145" s="839">
        <f>P171 + P317 + P196 + P342 + P220 + P269</f>
        <v>0</v>
      </c>
      <c r="Q145" s="839">
        <f>Q171 + Q317 + Q196 + Q342 + Q220 + Q269</f>
        <v>0</v>
      </c>
      <c r="R145" s="839">
        <f>R171 + R317 + R196 + R342 + R220 + R269</f>
        <v>0</v>
      </c>
      <c r="S145" s="839">
        <f>S171 + S317 + S196 + S342 + S220 + S269</f>
        <v>0</v>
      </c>
      <c r="T145" s="839">
        <f>T171 + T317 + T196 + T342 + T220 + T269</f>
        <v>0</v>
      </c>
      <c r="U145" s="839">
        <f>U171 + U317 + U196 + U342 + U220 + U269</f>
        <v>0</v>
      </c>
      <c r="V145" s="839">
        <f>V171 + V317 + V196 + V342 + V220 + V269</f>
        <v>0</v>
      </c>
      <c r="W145" s="839">
        <f>W171 + W317 + W196 + W342 + W220 + W269</f>
        <v>0</v>
      </c>
      <c r="X145" s="839">
        <f>X171 + X317 + X196 + X342 + X220 + X269</f>
        <v>0</v>
      </c>
      <c r="Y145" s="839">
        <f>Y171 + Y317 + Y196 + Y342 + Y220 + Y269</f>
        <v>0</v>
      </c>
      <c r="Z145" s="839">
        <f>Z171 + Z317 + Z196 + Z342 + Z220 + Z269</f>
        <v>0</v>
      </c>
      <c r="AA145" s="839">
        <f>AA171 + AA317 + AA196 + AA342 + AA220 + AA269</f>
        <v>0</v>
      </c>
      <c r="AB145" s="839">
        <f>AB171 + AB317 + AB196 + AB342 + AB220 + AB269</f>
        <v>0</v>
      </c>
      <c r="AC145" s="841">
        <f>AC171 + AC317 + AC196 + AC342 + AC220 + AC269</f>
        <v>0</v>
      </c>
      <c r="AD145" s="841">
        <f>AD171 + AD317 + AD196 + AD342 + AD220 + AD269</f>
        <v>0</v>
      </c>
      <c r="AE145" s="841">
        <f>AE171 + AE317 + AE196 + AE342 + AE220 + AE269</f>
        <v>0</v>
      </c>
      <c r="AF145" s="841">
        <f>AF171 + AF317 + AF196 + AF342 + AF220 + AF269</f>
        <v>0</v>
      </c>
      <c r="AG145" s="841">
        <f>AG171 + AG317 + AG196 + AG342 + AG220 + AG269</f>
        <v>0</v>
      </c>
      <c r="AH145" s="841">
        <f>AH171 + AH317 + AH196 + AH342 + AH220 + AH269</f>
        <v>0</v>
      </c>
      <c r="AI145" s="841">
        <f>AI171 + AI317 + AI196 + AI342 + AI220 + AI269</f>
        <v>0</v>
      </c>
      <c r="AJ145" s="841">
        <f>AJ171 + AJ317 + AJ196 + AJ342 + AJ220 + AJ269</f>
        <v>0</v>
      </c>
      <c r="AK145" s="841">
        <f>AK171 + AK317 + AK196 + AK342 + AK220 + AK269</f>
        <v>0</v>
      </c>
      <c r="AL145" s="841">
        <f>AL171 + AL317 + AL196 + AL342 + AL220 + AL269</f>
        <v>0</v>
      </c>
      <c r="AM145" s="841">
        <f>AM171 + AM317 + AM196 + AM342 + AM220 + AM269</f>
        <v>0</v>
      </c>
      <c r="AN145" s="841">
        <f>AN171 + AN317 + AN196 + AN342 + AN220 + AN269</f>
        <v>0</v>
      </c>
      <c r="AO145" s="841">
        <f>AO171 + AO317 + AO196 + AO342 + AO220 + AO269</f>
        <v>0</v>
      </c>
      <c r="AP145" s="841">
        <f>AP171 + AP317 + AP196 + AP342 + AP220 + AP269</f>
        <v>0</v>
      </c>
    </row>
    <row r="146" hidden="1" ht="13.5">
      <c r="B146" s="844" t="s">
        <v>26</v>
      </c>
      <c r="C146" s="839">
        <f>C172 + C318 + C197 + C343 + C221 + C270</f>
        <v>0</v>
      </c>
      <c r="D146" s="839">
        <f>D172 + D318 + D197 + D343 + D221 + D270</f>
        <v>0</v>
      </c>
      <c r="E146" s="839">
        <f>E172 + E318 + E197 + E343 + E221 + E270</f>
        <v>0</v>
      </c>
      <c r="F146" s="839">
        <f>F172 + F318 + F197 + F343 + F221 + F270</f>
        <v>0</v>
      </c>
      <c r="G146" s="839">
        <f>G172 + G318 + G197 + G343 + G221 + G270</f>
        <v>0</v>
      </c>
      <c r="H146" s="839">
        <f>H172 + H318 + H197 + H343 + H221 + H270</f>
        <v>0</v>
      </c>
      <c r="I146" s="839">
        <f>I172 + I318 + I197 + I343 + I221 + I270</f>
        <v>0</v>
      </c>
      <c r="J146" s="839">
        <f>J172 + J318 + J197 + J343 + J221 + J270</f>
        <v>0</v>
      </c>
      <c r="K146" s="839">
        <f>K172 + K318 + K197 + K343 + K221 + K270</f>
        <v>0</v>
      </c>
      <c r="L146" s="839">
        <f>L172 + L318 + L197 + L343 + L221 + L270</f>
        <v>0</v>
      </c>
      <c r="M146" s="839">
        <f>M172 + M318 + M197 + M343 + M221 + M270</f>
        <v>0</v>
      </c>
      <c r="N146" s="839">
        <f>N172 + N318 + N197 + N343 + N221 + N270</f>
        <v>0</v>
      </c>
      <c r="O146" s="839">
        <f>O172 + O318 + O197 + O343 + O221 + O270</f>
        <v>0</v>
      </c>
      <c r="P146" s="839">
        <f>P172 + P318 + P197 + P343 + P221 + P270</f>
        <v>0</v>
      </c>
      <c r="Q146" s="839">
        <f>Q172 + Q318 + Q197 + Q343 + Q221 + Q270</f>
        <v>0</v>
      </c>
      <c r="R146" s="839">
        <f>R172 + R318 + R197 + R343 + R221 + R270</f>
        <v>0</v>
      </c>
      <c r="S146" s="839">
        <f>S172 + S318 + S197 + S343 + S221 + S270</f>
        <v>0</v>
      </c>
      <c r="T146" s="839">
        <f>T172 + T318 + T197 + T343 + T221 + T270</f>
        <v>0</v>
      </c>
      <c r="U146" s="839">
        <f>U172 + U318 + U197 + U343 + U221 + U270</f>
        <v>0</v>
      </c>
      <c r="V146" s="839">
        <f>V172 + V318 + V197 + V343 + V221 + V270</f>
        <v>0</v>
      </c>
      <c r="W146" s="839">
        <f>W172 + W318 + W197 + W343 + W221 + W270</f>
        <v>0</v>
      </c>
      <c r="X146" s="839">
        <f>X172 + X318 + X197 + X343 + X221 + X270</f>
        <v>0</v>
      </c>
      <c r="Y146" s="839">
        <f>Y172 + Y318 + Y197 + Y343 + Y221 + Y270</f>
        <v>0</v>
      </c>
      <c r="Z146" s="839">
        <f>Z172 + Z318 + Z197 + Z343 + Z221 + Z270</f>
        <v>0</v>
      </c>
      <c r="AA146" s="839">
        <f>AA172 + AA318 + AA197 + AA343 + AA221 + AA270</f>
        <v>0</v>
      </c>
      <c r="AB146" s="845">
        <f>AB172 + AB318 + AB197 + AB343 + AB221 + AB270</f>
        <v>0</v>
      </c>
      <c r="AC146" s="841">
        <f>AC172 + AC318 + AC197 + AC343 + AC221 + AC270</f>
        <v>0</v>
      </c>
      <c r="AD146" s="841">
        <f>AD172 + AD318 + AD197 + AD343 + AD221 + AD270</f>
        <v>0</v>
      </c>
      <c r="AE146" s="841">
        <f>AE172 + AE318 + AE197 + AE343 + AE221 + AE270</f>
        <v>0</v>
      </c>
      <c r="AF146" s="841">
        <f>AF172 + AF318 + AF197 + AF343 + AF221 + AF270</f>
        <v>0</v>
      </c>
      <c r="AG146" s="841">
        <f>AG172 + AG318 + AG197 + AG343 + AG221 + AG270</f>
        <v>0</v>
      </c>
      <c r="AH146" s="841">
        <f>AH172 + AH318 + AH197 + AH343 + AH221 + AH270</f>
        <v>0</v>
      </c>
      <c r="AI146" s="841">
        <f>AI172 + AI318 + AI197 + AI343 + AI221 + AI270</f>
        <v>0</v>
      </c>
      <c r="AJ146" s="841">
        <f>AJ172 + AJ318 + AJ197 + AJ343 + AJ221 + AJ270</f>
        <v>0</v>
      </c>
      <c r="AK146" s="841">
        <f>AK172 + AK318 + AK197 + AK343 + AK221 + AK270</f>
        <v>0</v>
      </c>
      <c r="AL146" s="841">
        <f>AL172 + AL318 + AL197 + AL343 + AL221 + AL270</f>
        <v>0</v>
      </c>
      <c r="AM146" s="841">
        <f>AM172 + AM318 + AM197 + AM343 + AM221 + AM270</f>
        <v>0</v>
      </c>
      <c r="AN146" s="841">
        <f>AN172 + AN318 + AN197 + AN343 + AN221 + AN270</f>
        <v>0</v>
      </c>
      <c r="AO146" s="841">
        <f>AO172 + AO318 + AO197 + AO343 + AO221 + AO270</f>
        <v>0</v>
      </c>
      <c r="AP146" s="841">
        <f>AP172 + AP318 + AP197 + AP343 + AP221 + AP270</f>
        <v>0</v>
      </c>
    </row>
    <row r="147" hidden="1" ht="13.5">
      <c r="B147" s="128" t="s">
        <v>7</v>
      </c>
      <c r="C147" s="129" t="str">
        <f>IF(SUM(C128:C146)&lt;&gt;0,SUM(C128:C146),"")</f>
      </c>
      <c r="D147" s="129" t="str">
        <f ref="D147:AA147" t="shared" si="5">IF(SUM(D128:D146)&lt;&gt;0,SUM(D128:D146),"")</f>
      </c>
      <c r="E147" s="129" t="str">
        <f t="shared" si="5"/>
      </c>
      <c r="F147" s="129" t="str">
        <f t="shared" si="5"/>
      </c>
      <c r="G147" s="129" t="str">
        <f t="shared" si="5"/>
      </c>
      <c r="H147" s="129" t="str">
        <f t="shared" si="5"/>
      </c>
      <c r="I147" s="129" t="str">
        <f t="shared" si="5"/>
      </c>
      <c r="J147" s="129" t="str">
        <f t="shared" si="5"/>
      </c>
      <c r="K147" s="129" t="str">
        <f t="shared" si="5"/>
      </c>
      <c r="L147" s="129" t="str">
        <f t="shared" si="5"/>
      </c>
      <c r="M147" s="129" t="str">
        <f t="shared" si="5"/>
      </c>
      <c r="N147" s="129" t="str">
        <f t="shared" si="5"/>
      </c>
      <c r="O147" s="129" t="str">
        <f t="shared" si="5"/>
      </c>
      <c r="P147" s="129" t="str">
        <f t="shared" si="5"/>
      </c>
      <c r="Q147" s="129" t="str">
        <f t="shared" si="5"/>
      </c>
      <c r="R147" s="129" t="str">
        <f t="shared" si="5"/>
      </c>
      <c r="S147" s="129" t="str">
        <f t="shared" si="5"/>
      </c>
      <c r="T147" s="129" t="str">
        <f t="shared" si="5"/>
      </c>
      <c r="U147" s="129" t="str">
        <f t="shared" si="5"/>
      </c>
      <c r="V147" s="129" t="str">
        <f t="shared" si="5"/>
      </c>
      <c r="W147" s="129" t="str">
        <f t="shared" si="5"/>
      </c>
      <c r="X147" s="129" t="str">
        <f t="shared" si="5"/>
      </c>
      <c r="Y147" s="129" t="str">
        <f t="shared" si="5"/>
      </c>
      <c r="Z147" s="129" t="str">
        <f t="shared" si="5"/>
      </c>
      <c r="AA147" s="129" t="str">
        <f t="shared" si="5"/>
      </c>
      <c r="AB147" s="130" t="str">
        <f>IF(SUM(AB128:AB146)&lt;&gt;0,SUM(AB128:AB146),"")</f>
      </c>
      <c r="AC147" s="91" t="str">
        <f ref="AC147:CN147" t="shared" si="6">IF(SUM(AC128:AC146)&lt;&gt;0,SUM(AC128:AC146),"")</f>
      </c>
      <c r="AD147" s="91" t="str">
        <f t="shared" si="6"/>
      </c>
      <c r="AE147" s="91" t="str">
        <f t="shared" si="6"/>
      </c>
      <c r="AF147" s="91" t="str">
        <f t="shared" si="6"/>
      </c>
      <c r="AG147" s="91" t="str">
        <f t="shared" si="6"/>
      </c>
      <c r="AH147" s="91" t="str">
        <f t="shared" si="6"/>
      </c>
      <c r="AI147" s="91" t="str">
        <f t="shared" si="6"/>
      </c>
      <c r="AJ147" s="91" t="str">
        <f t="shared" si="6"/>
      </c>
      <c r="AK147" s="91" t="str">
        <f t="shared" si="6"/>
      </c>
      <c r="AL147" s="91" t="str">
        <f t="shared" si="6"/>
      </c>
      <c r="AM147" s="91" t="str">
        <f t="shared" si="6"/>
      </c>
      <c r="AN147" s="91" t="str">
        <f t="shared" si="6"/>
      </c>
      <c r="AO147" s="91" t="str">
        <f t="shared" si="6"/>
      </c>
      <c r="AP147" s="91" t="str">
        <f t="shared" si="6"/>
      </c>
      <c r="AQ147" s="91" t="str">
        <f t="shared" si="6"/>
      </c>
      <c r="AR147" s="91" t="str">
        <f t="shared" si="6"/>
      </c>
      <c r="AS147" s="91" t="str">
        <f t="shared" si="6"/>
      </c>
      <c r="AT147" s="91" t="str">
        <f t="shared" si="6"/>
      </c>
      <c r="AU147" s="91" t="str">
        <f t="shared" si="6"/>
      </c>
      <c r="AV147" s="91" t="str">
        <f t="shared" si="6"/>
      </c>
      <c r="AW147" s="91" t="str">
        <f t="shared" si="6"/>
      </c>
      <c r="AX147" s="91" t="str">
        <f t="shared" si="6"/>
      </c>
      <c r="AY147" s="91" t="str">
        <f t="shared" si="6"/>
      </c>
      <c r="AZ147" s="91" t="str">
        <f t="shared" si="6"/>
      </c>
      <c r="BA147" s="91" t="str">
        <f t="shared" si="6"/>
      </c>
      <c r="BB147" s="91" t="str">
        <f t="shared" si="6"/>
      </c>
      <c r="BC147" s="91" t="str">
        <f t="shared" si="6"/>
      </c>
      <c r="BD147" s="91" t="str">
        <f t="shared" si="6"/>
      </c>
      <c r="BE147" s="91" t="str">
        <f t="shared" si="6"/>
      </c>
      <c r="BF147" s="91" t="str">
        <f t="shared" si="6"/>
      </c>
      <c r="BG147" s="91" t="str">
        <f t="shared" si="6"/>
      </c>
      <c r="BH147" s="91" t="str">
        <f t="shared" si="6"/>
      </c>
      <c r="BI147" s="91" t="str">
        <f t="shared" si="6"/>
      </c>
      <c r="BJ147" s="91" t="str">
        <f t="shared" si="6"/>
      </c>
      <c r="BK147" s="91" t="str">
        <f t="shared" si="6"/>
      </c>
      <c r="BL147" s="91" t="str">
        <f t="shared" si="6"/>
      </c>
      <c r="BM147" s="91" t="str">
        <f t="shared" si="6"/>
      </c>
      <c r="BN147" s="91" t="str">
        <f t="shared" si="6"/>
      </c>
      <c r="BO147" s="91" t="str">
        <f t="shared" si="6"/>
      </c>
      <c r="BP147" s="91" t="str">
        <f t="shared" si="6"/>
      </c>
      <c r="BQ147" s="91" t="str">
        <f t="shared" si="6"/>
      </c>
      <c r="BR147" s="91" t="str">
        <f t="shared" si="6"/>
      </c>
      <c r="BS147" s="91" t="str">
        <f t="shared" si="6"/>
      </c>
      <c r="BT147" s="91" t="str">
        <f t="shared" si="6"/>
      </c>
      <c r="BU147" s="91" t="str">
        <f t="shared" si="6"/>
      </c>
      <c r="BV147" s="91" t="str">
        <f t="shared" si="6"/>
      </c>
      <c r="BW147" s="91" t="str">
        <f t="shared" si="6"/>
      </c>
      <c r="BX147" s="91" t="str">
        <f t="shared" si="6"/>
      </c>
      <c r="BY147" s="91" t="str">
        <f t="shared" si="6"/>
      </c>
      <c r="BZ147" s="91" t="str">
        <f t="shared" si="6"/>
      </c>
      <c r="CA147" s="91" t="str">
        <f t="shared" si="6"/>
      </c>
      <c r="CB147" s="91" t="str">
        <f t="shared" si="6"/>
      </c>
      <c r="CC147" s="91" t="str">
        <f t="shared" si="6"/>
      </c>
      <c r="CD147" s="91" t="str">
        <f t="shared" si="6"/>
      </c>
      <c r="CE147" s="91" t="str">
        <f t="shared" si="6"/>
      </c>
      <c r="CF147" s="91" t="str">
        <f t="shared" si="6"/>
      </c>
      <c r="CG147" s="91" t="str">
        <f t="shared" si="6"/>
      </c>
      <c r="CH147" s="91" t="str">
        <f t="shared" si="6"/>
      </c>
      <c r="CI147" s="91" t="str">
        <f t="shared" si="6"/>
      </c>
      <c r="CJ147" s="91" t="str">
        <f t="shared" si="6"/>
      </c>
      <c r="CK147" s="91" t="str">
        <f t="shared" si="6"/>
      </c>
      <c r="CL147" s="91" t="str">
        <f t="shared" si="6"/>
      </c>
      <c r="CM147" s="91" t="str">
        <f t="shared" si="6"/>
      </c>
      <c r="CN147" s="91" t="str">
        <f t="shared" si="6"/>
      </c>
      <c r="CO147" s="91" t="str">
        <f ref="CO147:EZ147" t="shared" si="7">IF(SUM(CO128:CO146)&lt;&gt;0,SUM(CO128:CO146),"")</f>
      </c>
      <c r="CP147" s="91" t="str">
        <f t="shared" si="7"/>
      </c>
      <c r="CQ147" s="91" t="str">
        <f t="shared" si="7"/>
      </c>
      <c r="CR147" s="91" t="str">
        <f t="shared" si="7"/>
      </c>
      <c r="CS147" s="91" t="str">
        <f t="shared" si="7"/>
      </c>
      <c r="CT147" s="91" t="str">
        <f t="shared" si="7"/>
      </c>
      <c r="CU147" s="91" t="str">
        <f t="shared" si="7"/>
      </c>
      <c r="CV147" s="91" t="str">
        <f t="shared" si="7"/>
      </c>
      <c r="CW147" s="91" t="str">
        <f t="shared" si="7"/>
      </c>
      <c r="CX147" s="91" t="str">
        <f t="shared" si="7"/>
      </c>
      <c r="CY147" s="91" t="str">
        <f t="shared" si="7"/>
      </c>
      <c r="CZ147" s="91" t="str">
        <f t="shared" si="7"/>
      </c>
      <c r="DA147" s="91" t="str">
        <f t="shared" si="7"/>
      </c>
      <c r="DB147" s="91" t="str">
        <f t="shared" si="7"/>
      </c>
      <c r="DC147" s="91" t="str">
        <f t="shared" si="7"/>
      </c>
      <c r="DD147" s="91" t="str">
        <f t="shared" si="7"/>
      </c>
      <c r="DE147" s="91" t="str">
        <f t="shared" si="7"/>
      </c>
      <c r="DF147" s="91" t="str">
        <f t="shared" si="7"/>
      </c>
      <c r="DG147" s="91" t="str">
        <f t="shared" si="7"/>
      </c>
      <c r="DH147" s="91" t="str">
        <f t="shared" si="7"/>
      </c>
      <c r="DI147" s="91" t="str">
        <f t="shared" si="7"/>
      </c>
      <c r="DJ147" s="91" t="str">
        <f t="shared" si="7"/>
      </c>
      <c r="DK147" s="91" t="str">
        <f t="shared" si="7"/>
      </c>
      <c r="DL147" s="91" t="str">
        <f t="shared" si="7"/>
      </c>
      <c r="DM147" s="91" t="str">
        <f t="shared" si="7"/>
      </c>
      <c r="DN147" s="91" t="str">
        <f t="shared" si="7"/>
      </c>
      <c r="DO147" s="91" t="str">
        <f t="shared" si="7"/>
      </c>
      <c r="DP147" s="91" t="str">
        <f t="shared" si="7"/>
      </c>
      <c r="DQ147" s="91" t="str">
        <f t="shared" si="7"/>
      </c>
      <c r="DR147" s="91" t="str">
        <f t="shared" si="7"/>
      </c>
      <c r="DS147" s="91" t="str">
        <f t="shared" si="7"/>
      </c>
      <c r="DT147" s="91" t="str">
        <f t="shared" si="7"/>
      </c>
      <c r="DU147" s="91" t="str">
        <f t="shared" si="7"/>
      </c>
      <c r="DV147" s="91" t="str">
        <f t="shared" si="7"/>
      </c>
      <c r="DW147" s="91" t="str">
        <f t="shared" si="7"/>
      </c>
      <c r="DX147" s="91" t="str">
        <f t="shared" si="7"/>
      </c>
      <c r="DY147" s="91" t="str">
        <f t="shared" si="7"/>
      </c>
      <c r="DZ147" s="91" t="str">
        <f t="shared" si="7"/>
      </c>
      <c r="EA147" s="91" t="str">
        <f t="shared" si="7"/>
      </c>
      <c r="EB147" s="91" t="str">
        <f t="shared" si="7"/>
      </c>
      <c r="EC147" s="91" t="str">
        <f t="shared" si="7"/>
      </c>
      <c r="ED147" s="91" t="str">
        <f t="shared" si="7"/>
      </c>
      <c r="EE147" s="91" t="str">
        <f t="shared" si="7"/>
      </c>
      <c r="EF147" s="91" t="str">
        <f t="shared" si="7"/>
      </c>
      <c r="EG147" s="91" t="str">
        <f t="shared" si="7"/>
      </c>
      <c r="EH147" s="91" t="str">
        <f t="shared" si="7"/>
      </c>
      <c r="EI147" s="91" t="str">
        <f t="shared" si="7"/>
      </c>
      <c r="EJ147" s="91" t="str">
        <f t="shared" si="7"/>
      </c>
      <c r="EK147" s="91" t="str">
        <f t="shared" si="7"/>
      </c>
      <c r="EL147" s="91" t="str">
        <f t="shared" si="7"/>
      </c>
      <c r="EM147" s="91" t="str">
        <f t="shared" si="7"/>
      </c>
      <c r="EN147" s="91" t="str">
        <f t="shared" si="7"/>
      </c>
      <c r="EO147" s="91" t="str">
        <f t="shared" si="7"/>
      </c>
      <c r="EP147" s="91" t="str">
        <f t="shared" si="7"/>
      </c>
      <c r="EQ147" s="91" t="str">
        <f t="shared" si="7"/>
      </c>
      <c r="ER147" s="91" t="str">
        <f t="shared" si="7"/>
      </c>
      <c r="ES147" s="91" t="str">
        <f t="shared" si="7"/>
      </c>
      <c r="ET147" s="91" t="str">
        <f t="shared" si="7"/>
      </c>
      <c r="EU147" s="91" t="str">
        <f t="shared" si="7"/>
      </c>
      <c r="EV147" s="91" t="str">
        <f t="shared" si="7"/>
      </c>
      <c r="EW147" s="91" t="str">
        <f t="shared" si="7"/>
      </c>
      <c r="EX147" s="91" t="str">
        <f t="shared" si="7"/>
      </c>
      <c r="EY147" s="91" t="str">
        <f t="shared" si="7"/>
      </c>
      <c r="EZ147" s="91" t="str">
        <f t="shared" si="7"/>
      </c>
      <c r="FA147" s="91" t="str">
        <f ref="FA147:HL147" t="shared" si="8">IF(SUM(FA128:FA146)&lt;&gt;0,SUM(FA128:FA146),"")</f>
      </c>
      <c r="FB147" s="91" t="str">
        <f t="shared" si="8"/>
      </c>
      <c r="FC147" s="91" t="str">
        <f t="shared" si="8"/>
      </c>
      <c r="FD147" s="91" t="str">
        <f t="shared" si="8"/>
      </c>
      <c r="FE147" s="91" t="str">
        <f t="shared" si="8"/>
      </c>
      <c r="FF147" s="91" t="str">
        <f t="shared" si="8"/>
      </c>
      <c r="FG147" s="91" t="str">
        <f t="shared" si="8"/>
      </c>
      <c r="FH147" s="91" t="str">
        <f t="shared" si="8"/>
      </c>
      <c r="FI147" s="91" t="str">
        <f t="shared" si="8"/>
      </c>
      <c r="FJ147" s="91" t="str">
        <f t="shared" si="8"/>
      </c>
      <c r="FK147" s="91" t="str">
        <f t="shared" si="8"/>
      </c>
      <c r="FL147" s="91" t="str">
        <f t="shared" si="8"/>
      </c>
      <c r="FM147" s="91" t="str">
        <f t="shared" si="8"/>
      </c>
      <c r="FN147" s="91" t="str">
        <f t="shared" si="8"/>
      </c>
      <c r="FO147" s="91" t="str">
        <f t="shared" si="8"/>
      </c>
      <c r="FP147" s="91" t="str">
        <f t="shared" si="8"/>
      </c>
      <c r="FQ147" s="91" t="str">
        <f t="shared" si="8"/>
      </c>
      <c r="FR147" s="91" t="str">
        <f t="shared" si="8"/>
      </c>
      <c r="FS147" s="91" t="str">
        <f t="shared" si="8"/>
      </c>
      <c r="FT147" s="91" t="str">
        <f t="shared" si="8"/>
      </c>
      <c r="FU147" s="91" t="str">
        <f t="shared" si="8"/>
      </c>
      <c r="FV147" s="91" t="str">
        <f t="shared" si="8"/>
      </c>
      <c r="FW147" s="91" t="str">
        <f t="shared" si="8"/>
      </c>
      <c r="FX147" s="91" t="str">
        <f t="shared" si="8"/>
      </c>
      <c r="FY147" s="91" t="str">
        <f t="shared" si="8"/>
      </c>
      <c r="FZ147" s="91" t="str">
        <f t="shared" si="8"/>
      </c>
      <c r="GA147" s="91" t="str">
        <f t="shared" si="8"/>
      </c>
      <c r="GB147" s="91" t="str">
        <f t="shared" si="8"/>
      </c>
      <c r="GC147" s="91" t="str">
        <f t="shared" si="8"/>
      </c>
      <c r="GD147" s="91" t="str">
        <f t="shared" si="8"/>
      </c>
      <c r="GE147" s="91" t="str">
        <f t="shared" si="8"/>
      </c>
      <c r="GF147" s="91" t="str">
        <f t="shared" si="8"/>
      </c>
      <c r="GG147" s="91" t="str">
        <f t="shared" si="8"/>
      </c>
      <c r="GH147" s="91" t="str">
        <f t="shared" si="8"/>
      </c>
      <c r="GI147" s="91" t="str">
        <f t="shared" si="8"/>
      </c>
      <c r="GJ147" s="91" t="str">
        <f t="shared" si="8"/>
      </c>
      <c r="GK147" s="91" t="str">
        <f t="shared" si="8"/>
      </c>
      <c r="GL147" s="91" t="str">
        <f t="shared" si="8"/>
      </c>
      <c r="GM147" s="91" t="str">
        <f t="shared" si="8"/>
      </c>
      <c r="GN147" s="91" t="str">
        <f t="shared" si="8"/>
      </c>
      <c r="GO147" s="91" t="str">
        <f t="shared" si="8"/>
      </c>
      <c r="GP147" s="91" t="str">
        <f t="shared" si="8"/>
      </c>
      <c r="GQ147" s="91" t="str">
        <f t="shared" si="8"/>
      </c>
      <c r="GR147" s="91" t="str">
        <f t="shared" si="8"/>
      </c>
      <c r="GS147" s="91" t="str">
        <f t="shared" si="8"/>
      </c>
      <c r="GT147" s="91" t="str">
        <f t="shared" si="8"/>
      </c>
      <c r="GU147" s="91" t="str">
        <f t="shared" si="8"/>
      </c>
      <c r="GV147" s="91" t="str">
        <f t="shared" si="8"/>
      </c>
      <c r="GW147" s="91" t="str">
        <f t="shared" si="8"/>
      </c>
      <c r="GX147" s="91" t="str">
        <f t="shared" si="8"/>
      </c>
      <c r="GY147" s="91" t="str">
        <f t="shared" si="8"/>
      </c>
      <c r="GZ147" s="91" t="str">
        <f t="shared" si="8"/>
      </c>
      <c r="HA147" s="91" t="str">
        <f t="shared" si="8"/>
      </c>
      <c r="HB147" s="91" t="str">
        <f t="shared" si="8"/>
      </c>
      <c r="HC147" s="91" t="str">
        <f t="shared" si="8"/>
      </c>
      <c r="HD147" s="91" t="str">
        <f t="shared" si="8"/>
      </c>
      <c r="HE147" s="91" t="str">
        <f t="shared" si="8"/>
      </c>
      <c r="HF147" s="91" t="str">
        <f t="shared" si="8"/>
      </c>
      <c r="HG147" s="91" t="str">
        <f t="shared" si="8"/>
      </c>
      <c r="HH147" s="91" t="str">
        <f t="shared" si="8"/>
      </c>
      <c r="HI147" s="91" t="str">
        <f t="shared" si="8"/>
      </c>
      <c r="HJ147" s="91" t="str">
        <f t="shared" si="8"/>
      </c>
      <c r="HK147" s="91" t="str">
        <f t="shared" si="8"/>
      </c>
      <c r="HL147" s="91" t="str">
        <f t="shared" si="8"/>
      </c>
      <c r="HM147" s="91" t="str">
        <f ref="HM147:IV147" t="shared" si="9">IF(SUM(HM128:HM146)&lt;&gt;0,SUM(HM128:HM146),"")</f>
      </c>
      <c r="HN147" s="91" t="str">
        <f t="shared" si="9"/>
      </c>
      <c r="HO147" s="91" t="str">
        <f t="shared" si="9"/>
      </c>
      <c r="HP147" s="91" t="str">
        <f t="shared" si="9"/>
      </c>
      <c r="HQ147" s="91" t="str">
        <f t="shared" si="9"/>
      </c>
      <c r="HR147" s="91" t="str">
        <f t="shared" si="9"/>
      </c>
      <c r="HS147" s="91" t="str">
        <f t="shared" si="9"/>
      </c>
      <c r="HT147" s="91" t="str">
        <f t="shared" si="9"/>
      </c>
      <c r="HU147" s="91" t="str">
        <f t="shared" si="9"/>
      </c>
      <c r="HV147" s="91" t="str">
        <f t="shared" si="9"/>
      </c>
      <c r="HW147" s="91" t="str">
        <f t="shared" si="9"/>
      </c>
      <c r="HX147" s="91" t="str">
        <f t="shared" si="9"/>
      </c>
      <c r="HY147" s="91" t="str">
        <f t="shared" si="9"/>
      </c>
      <c r="HZ147" s="91" t="str">
        <f t="shared" si="9"/>
      </c>
      <c r="IA147" s="91" t="str">
        <f t="shared" si="9"/>
      </c>
      <c r="IB147" s="91" t="str">
        <f t="shared" si="9"/>
      </c>
      <c r="IC147" s="91" t="str">
        <f t="shared" si="9"/>
      </c>
      <c r="ID147" s="91" t="str">
        <f t="shared" si="9"/>
      </c>
      <c r="IE147" s="91" t="str">
        <f t="shared" si="9"/>
      </c>
      <c r="IF147" s="91" t="str">
        <f t="shared" si="9"/>
      </c>
      <c r="IG147" s="91" t="str">
        <f t="shared" si="9"/>
      </c>
      <c r="IH147" s="91" t="str">
        <f t="shared" si="9"/>
      </c>
      <c r="II147" s="91" t="str">
        <f t="shared" si="9"/>
      </c>
      <c r="IJ147" s="91" t="str">
        <f t="shared" si="9"/>
      </c>
      <c r="IK147" s="91" t="str">
        <f t="shared" si="9"/>
      </c>
      <c r="IL147" s="91" t="str">
        <f t="shared" si="9"/>
      </c>
      <c r="IM147" s="91" t="str">
        <f t="shared" si="9"/>
      </c>
      <c r="IN147" s="91" t="str">
        <f t="shared" si="9"/>
      </c>
      <c r="IO147" s="91" t="str">
        <f t="shared" si="9"/>
      </c>
      <c r="IP147" s="91" t="str">
        <f t="shared" si="9"/>
      </c>
      <c r="IQ147" s="91" t="str">
        <f t="shared" si="9"/>
      </c>
      <c r="IR147" s="91" t="str">
        <f t="shared" si="9"/>
      </c>
      <c r="IS147" s="91" t="str">
        <f t="shared" si="9"/>
      </c>
      <c r="IT147" s="91" t="str">
        <f t="shared" si="9"/>
      </c>
      <c r="IU147" s="91" t="str">
        <f t="shared" si="9"/>
      </c>
      <c r="IV147" s="91" t="str">
        <f t="shared" si="9"/>
      </c>
    </row>
    <row r="148" hidden="1"/>
    <row r="149" hidden="1"/>
    <row r="150" hidden="1"/>
    <row r="151" hidden="1" ht="13.5"/>
    <row r="152" hidden="1" ht="15.75" customHeight="1">
      <c r="C152" s="686" t="s">
        <v>112</v>
      </c>
      <c r="D152" s="687"/>
      <c r="E152" s="687"/>
      <c r="F152" s="687"/>
      <c r="G152" s="687"/>
      <c r="H152" s="687"/>
      <c r="I152" s="687"/>
      <c r="J152" s="687"/>
      <c r="K152" s="687"/>
      <c r="L152" s="687"/>
      <c r="M152" s="687"/>
      <c r="N152" s="687"/>
      <c r="O152" s="687"/>
      <c r="P152" s="687"/>
      <c r="Q152" s="687"/>
      <c r="R152" s="687"/>
      <c r="S152" s="687"/>
      <c r="T152" s="687"/>
      <c r="U152" s="687"/>
      <c r="V152" s="687"/>
      <c r="W152" s="687"/>
      <c r="X152" s="687"/>
      <c r="Y152" s="687"/>
      <c r="Z152" s="687"/>
      <c r="AA152" s="687"/>
      <c r="AB152" s="688"/>
    </row>
    <row r="153" hidden="1" ht="15" customHeight="1">
      <c r="C153" s="435" t="str">
        <f> IF(C173&lt;&gt;"",TEXT(AUX!G$1,"dd-MMM-aa"),"")</f>
      </c>
      <c r="D153" s="435" t="str">
        <f> IF(D173&lt;&gt;"",TEXT(AUX!H$1,"dd-MMM-aa"),"")</f>
      </c>
      <c r="E153" s="435" t="str">
        <f> IF(E173&lt;&gt;"",TEXT(AUX!I$1,"dd-MMM-aa"),"")</f>
      </c>
      <c r="F153" s="435" t="str">
        <f> IF(F173&lt;&gt;"",TEXT(AUX!J$1,"dd-MMM-aa"),"")</f>
      </c>
      <c r="G153" s="435" t="str">
        <f> IF(G173&lt;&gt;"",TEXT(AUX!K$1,"dd-MMM-aa"),"")</f>
      </c>
      <c r="H153" s="435" t="str">
        <f> IF(H173&lt;&gt;"",TEXT(AUX!L$1,"dd-MMM-aa"),"")</f>
      </c>
      <c r="I153" s="435" t="str">
        <f> IF(I173&lt;&gt;"",TEXT(AUX!M$1,"dd-MMM-aa"),"")</f>
      </c>
      <c r="J153" s="435" t="str">
        <f> IF(J173&lt;&gt;"",TEXT(AUX!N$1,"dd-MMM-aa"),"")</f>
      </c>
      <c r="K153" s="435" t="str">
        <f> IF(K173&lt;&gt;"",TEXT(AUX!O$1,"dd-MMM-aa"),"")</f>
      </c>
      <c r="L153" s="435" t="str">
        <f> IF(L173&lt;&gt;"",TEXT(AUX!P$1,"dd-MMM-aa"),"")</f>
      </c>
      <c r="M153" s="435" t="str">
        <f> IF(M173&lt;&gt;"",TEXT(AUX!Q$1,"dd-MMM-aa"),"")</f>
      </c>
      <c r="N153" s="435" t="str">
        <f> IF(N173&lt;&gt;"",TEXT(AUX!R$1,"dd-MMM-aa"),"")</f>
      </c>
      <c r="O153" s="435" t="str">
        <f> IF(O173&lt;&gt;"",TEXT(AUX!S$1,"dd-MMM-aa"),"")</f>
      </c>
      <c r="P153" s="435" t="str">
        <f> IF(P173&lt;&gt;"",TEXT(AUX!T$1,"dd-MMM-aa"),"")</f>
      </c>
      <c r="Q153" s="435" t="str">
        <f> IF(Q173&lt;&gt;"",TEXT(AUX!U$1,"dd-MMM-aa"),"")</f>
      </c>
      <c r="R153" s="435" t="str">
        <f> IF(R173&lt;&gt;"",TEXT(AUX!V$1,"dd-MMM-aa"),"")</f>
      </c>
      <c r="S153" s="435" t="str">
        <f> IF(S173&lt;&gt;"",TEXT(AUX!W$1,"dd-MMM-aa"),"")</f>
      </c>
      <c r="T153" s="435" t="str">
        <f> IF(T173&lt;&gt;"",TEXT(AUX!X$1,"dd-MMM-aa"),"")</f>
      </c>
      <c r="U153" s="435" t="str">
        <f> IF(U173&lt;&gt;"",TEXT(AUX!Y$1,"dd-MMM-aa"),"")</f>
      </c>
      <c r="V153" s="435" t="str">
        <f> IF(V173&lt;&gt;"",TEXT(AUX!Z$1,"dd-MMM-aa"),"")</f>
      </c>
      <c r="W153" s="435" t="str">
        <f> IF(W173&lt;&gt;"",TEXT(AUX!AA$1,"dd-MMM-aa"),"")</f>
      </c>
      <c r="X153" s="435" t="str">
        <f> IF(X173&lt;&gt;"",TEXT(AUX!AB$1,"dd-MMM-aa"),"")</f>
      </c>
      <c r="Y153" s="435" t="str">
        <f> IF(Y173&lt;&gt;"",TEXT(AUX!AC$1,"dd-MMM-aa"),"")</f>
      </c>
      <c r="Z153" s="435" t="str">
        <f> IF(Z173&lt;&gt;"",TEXT(AUX!AD$1,"dd-MMM-aa"),"")</f>
      </c>
      <c r="AA153" s="435" t="str">
        <f> IF(AA173&lt;&gt;"",TEXT(AUX!AE$1,"dd-MMM-aa"),"")</f>
      </c>
      <c r="AB153" s="497" t="str">
        <f> IF(AB173&lt;&gt;"",TEXT(AUX!AF$1,"dd-MMM-aa"),"")</f>
      </c>
      <c r="AC153" s="496" t="str">
        <f> IF(AC173&lt;&gt;"",TEXT(AUX!AG$1,"dd-MMM-aa"),"")</f>
      </c>
      <c r="AD153" s="496" t="str">
        <f> IF(AD173&lt;&gt;"",TEXT(AUX!AH$1,"dd-MMM-aa"),"")</f>
      </c>
      <c r="AE153" s="496" t="str">
        <f> IF(AE173&lt;&gt;"",TEXT(AUX!AI$1,"dd-MMM-aa"),"")</f>
      </c>
      <c r="AF153" s="496" t="str">
        <f> IF(AF173&lt;&gt;"",TEXT(AUX!AJ$1,"dd-MMM-aa"),"")</f>
      </c>
      <c r="AG153" s="496" t="str">
        <f> IF(AG173&lt;&gt;"",TEXT(AUX!AK$1,"dd-MMM-aa"),"")</f>
      </c>
      <c r="AH153" s="496" t="str">
        <f> IF(AH173&lt;&gt;"",TEXT(AUX!AL$1,"dd-MMM-aa"),"")</f>
      </c>
      <c r="AI153" s="496" t="str">
        <f> IF(AI173&lt;&gt;"",TEXT(AUX!AM$1,"dd-MMM-aa"),"")</f>
      </c>
      <c r="AJ153" s="496" t="str">
        <f> IF(AJ173&lt;&gt;"",TEXT(AUX!AN$1,"dd-MMM-aa"),"")</f>
      </c>
      <c r="AK153" s="496" t="str">
        <f> IF(AK173&lt;&gt;"",TEXT(AUX!AO$1,"dd-MMM-aa"),"")</f>
      </c>
      <c r="AL153" s="496" t="str">
        <f> IF(AL173&lt;&gt;"",TEXT(AUX!AP$1,"dd-MMM-aa"),"")</f>
      </c>
      <c r="AM153" s="496" t="str">
        <f> IF(AM173&lt;&gt;"",TEXT(AUX!AQ$1,"dd-MMM-aa"),"")</f>
      </c>
      <c r="AN153" s="496" t="str">
        <f> IF(AN173&lt;&gt;"",TEXT(AUX!AR$1,"dd-MMM-aa"),"")</f>
      </c>
      <c r="AO153" s="496" t="str">
        <f> IF(AO173&lt;&gt;"",TEXT(AUX!AS$1,"dd-MMM-aa"),"")</f>
      </c>
      <c r="AP153" s="496" t="str">
        <f> IF(AP173&lt;&gt;"",TEXT(AUX!AT$1,"dd-MMM-aa"),"")</f>
      </c>
      <c r="AQ153" s="496" t="str">
        <f> IF(AQ173&lt;&gt;"",TEXT(AUX!AU$1,"dd-MMM-aa"),"")</f>
      </c>
      <c r="AR153" s="496" t="str">
        <f> IF(AR173&lt;&gt;"",TEXT(AUX!AV$1,"dd-MMM-aa"),"")</f>
      </c>
      <c r="AS153" s="496" t="str">
        <f> IF(AS173&lt;&gt;"",TEXT(AUX!AW$1,"dd-MMM-aa"),"")</f>
      </c>
      <c r="AT153" s="496" t="str">
        <f> IF(AT173&lt;&gt;"",TEXT(AUX!AX$1,"dd-MMM-aa"),"")</f>
      </c>
      <c r="AU153" s="496" t="str">
        <f> IF(AU173&lt;&gt;"",TEXT(AUX!AY$1,"dd-MMM-aa"),"")</f>
      </c>
      <c r="AV153" s="496" t="str">
        <f> IF(AV173&lt;&gt;"",TEXT(AUX!AZ$1,"dd-MMM-aa"),"")</f>
      </c>
      <c r="AW153" s="496" t="str">
        <f> IF(AW173&lt;&gt;"",TEXT(AUX!BA$1,"dd-MMM-aa"),"")</f>
      </c>
      <c r="AX153" s="496" t="str">
        <f> IF(AX173&lt;&gt;"",TEXT(AUX!BB$1,"dd-MMM-aa"),"")</f>
      </c>
      <c r="AY153" s="496" t="str">
        <f> IF(AY173&lt;&gt;"",TEXT(AUX!BC$1,"dd-MMM-aa"),"")</f>
      </c>
      <c r="AZ153" s="496" t="str">
        <f> IF(AZ173&lt;&gt;"",TEXT(AUX!BD$1,"dd-MMM-aa"),"")</f>
      </c>
      <c r="BA153" s="496" t="str">
        <f> IF(BA173&lt;&gt;"",TEXT(AUX!BE$1,"dd-MMM-aa"),"")</f>
      </c>
      <c r="BB153" s="496" t="str">
        <f> IF(BB173&lt;&gt;"",TEXT(AUX!BF$1,"dd-MMM-aa"),"")</f>
      </c>
      <c r="BC153" s="496" t="str">
        <f> IF(BC173&lt;&gt;"",TEXT(AUX!BG$1,"dd-MMM-aa"),"")</f>
      </c>
      <c r="BD153" s="496" t="str">
        <f> IF(BD173&lt;&gt;"",TEXT(AUX!BH$1,"dd-MMM-aa"),"")</f>
      </c>
      <c r="BE153" s="496" t="str">
        <f> IF(BE173&lt;&gt;"",TEXT(AUX!BI$1,"dd-MMM-aa"),"")</f>
      </c>
      <c r="BF153" s="496" t="str">
        <f> IF(BF173&lt;&gt;"",TEXT(AUX!BJ$1,"dd-MMM-aa"),"")</f>
      </c>
      <c r="BG153" s="496" t="str">
        <f> IF(BG173&lt;&gt;"",TEXT(AUX!BK$1,"dd-MMM-aa"),"")</f>
      </c>
      <c r="BH153" s="496" t="str">
        <f> IF(BH173&lt;&gt;"",TEXT(AUX!BL$1,"dd-MMM-aa"),"")</f>
      </c>
      <c r="BI153" s="496" t="str">
        <f> IF(BI173&lt;&gt;"",TEXT(AUX!BM$1,"dd-MMM-aa"),"")</f>
      </c>
      <c r="BJ153" s="496" t="str">
        <f> IF(BJ173&lt;&gt;"",TEXT(AUX!BN$1,"dd-MMM-aa"),"")</f>
      </c>
      <c r="BK153" s="496" t="str">
        <f> IF(BK173&lt;&gt;"",TEXT(AUX!BO$1,"dd-MMM-aa"),"")</f>
      </c>
      <c r="BL153" s="496" t="str">
        <f> IF(BL173&lt;&gt;"",TEXT(AUX!BP$1,"dd-MMM-aa"),"")</f>
      </c>
      <c r="BM153" s="496" t="str">
        <f> IF(BM173&lt;&gt;"",TEXT(AUX!BQ$1,"dd-MMM-aa"),"")</f>
      </c>
      <c r="BN153" s="496" t="str">
        <f> IF(BN173&lt;&gt;"",TEXT(AUX!BR$1,"dd-MMM-aa"),"")</f>
      </c>
      <c r="BO153" s="496" t="str">
        <f> IF(BO173&lt;&gt;"",TEXT(AUX!BS$1,"dd-MMM-aa"),"")</f>
      </c>
      <c r="BP153" s="496" t="str">
        <f> IF(BP173&lt;&gt;"",TEXT(AUX!BT$1,"dd-MMM-aa"),"")</f>
      </c>
      <c r="BQ153" s="496" t="str">
        <f> IF(BQ173&lt;&gt;"",TEXT(AUX!BU$1,"dd-MMM-aa"),"")</f>
      </c>
      <c r="BR153" s="496" t="str">
        <f> IF(BR173&lt;&gt;"",TEXT(AUX!BV$1,"dd-MMM-aa"),"")</f>
      </c>
      <c r="BS153" s="496" t="str">
        <f> IF(BS173&lt;&gt;"",TEXT(AUX!BW$1,"dd-MMM-aa"),"")</f>
      </c>
      <c r="BT153" s="496" t="str">
        <f> IF(BT173&lt;&gt;"",TEXT(AUX!BX$1,"dd-MMM-aa"),"")</f>
      </c>
      <c r="BU153" s="496" t="str">
        <f> IF(BU173&lt;&gt;"",TEXT(AUX!BY$1,"dd-MMM-aa"),"")</f>
      </c>
      <c r="BV153" s="496" t="str">
        <f> IF(BV173&lt;&gt;"",TEXT(AUX!BZ$1,"dd-MMM-aa"),"")</f>
      </c>
      <c r="BW153" s="496" t="str">
        <f> IF(BW173&lt;&gt;"",TEXT(AUX!CA$1,"dd-MMM-aa"),"")</f>
      </c>
      <c r="BX153" s="496" t="str">
        <f> IF(BX173&lt;&gt;"",TEXT(AUX!CB$1,"dd-MMM-aa"),"")</f>
      </c>
      <c r="BY153" s="496" t="str">
        <f> IF(BY173&lt;&gt;"",TEXT(AUX!CC$1,"dd-MMM-aa"),"")</f>
      </c>
      <c r="BZ153" s="496" t="str">
        <f> IF(BZ173&lt;&gt;"",TEXT(AUX!CD$1,"dd-MMM-aa"),"")</f>
      </c>
      <c r="CA153" s="496" t="str">
        <f> IF(CA173&lt;&gt;"",TEXT(AUX!CE$1,"dd-MMM-aa"),"")</f>
      </c>
      <c r="CB153" s="496" t="str">
        <f> IF(CB173&lt;&gt;"",TEXT(AUX!CF$1,"dd-MMM-aa"),"")</f>
      </c>
      <c r="CC153" s="496" t="str">
        <f> IF(CC173&lt;&gt;"",TEXT(AUX!CG$1,"dd-MMM-aa"),"")</f>
      </c>
      <c r="CD153" s="496" t="str">
        <f> IF(CD173&lt;&gt;"",TEXT(AUX!CH$1,"dd-MMM-aa"),"")</f>
      </c>
      <c r="CE153" s="496" t="str">
        <f> IF(CE173&lt;&gt;"",TEXT(AUX!CI$1,"dd-MMM-aa"),"")</f>
      </c>
      <c r="CF153" s="496" t="str">
        <f> IF(CF173&lt;&gt;"",TEXT(AUX!CJ$1,"dd-MMM-aa"),"")</f>
      </c>
      <c r="CG153" s="496" t="str">
        <f> IF(CG173&lt;&gt;"",TEXT(AUX!CK$1,"dd-MMM-aa"),"")</f>
      </c>
      <c r="CH153" s="496" t="str">
        <f> IF(CH173&lt;&gt;"",TEXT(AUX!CL$1,"dd-MMM-aa"),"")</f>
      </c>
      <c r="CI153" s="496" t="str">
        <f> IF(CI173&lt;&gt;"",TEXT(AUX!CM$1,"dd-MMM-aa"),"")</f>
      </c>
      <c r="CJ153" s="496" t="str">
        <f> IF(CJ173&lt;&gt;"",TEXT(AUX!CN$1,"dd-MMM-aa"),"")</f>
      </c>
      <c r="CK153" s="496" t="str">
        <f> IF(CK173&lt;&gt;"",TEXT(AUX!CO$1,"dd-MMM-aa"),"")</f>
      </c>
      <c r="CL153" s="496" t="str">
        <f> IF(CL173&lt;&gt;"",TEXT(AUX!CP$1,"dd-MMM-aa"),"")</f>
      </c>
      <c r="CM153" s="496" t="str">
        <f> IF(CM173&lt;&gt;"",TEXT(AUX!CQ$1,"dd-MMM-aa"),"")</f>
      </c>
      <c r="CN153" s="496" t="str">
        <f> IF(CN173&lt;&gt;"",TEXT(AUX!CR$1,"dd-MMM-aa"),"")</f>
      </c>
      <c r="CO153" s="496" t="str">
        <f> IF(CO173&lt;&gt;"",TEXT(AUX!CS$1,"dd-MMM-aa"),"")</f>
      </c>
      <c r="CP153" s="496" t="str">
        <f> IF(CP173&lt;&gt;"",TEXT(AUX!CT$1,"dd-MMM-aa"),"")</f>
      </c>
      <c r="CQ153" s="496" t="str">
        <f> IF(CQ173&lt;&gt;"",TEXT(AUX!CU$1,"dd-MMM-aa"),"")</f>
      </c>
      <c r="CR153" s="496" t="str">
        <f> IF(CR173&lt;&gt;"",TEXT(AUX!CV$1,"dd-MMM-aa"),"")</f>
      </c>
      <c r="CS153" s="496" t="str">
        <f> IF(CS173&lt;&gt;"",TEXT(AUX!CW$1,"dd-MMM-aa"),"")</f>
      </c>
      <c r="CT153" s="496" t="str">
        <f> IF(CT173&lt;&gt;"",TEXT(AUX!CX$1,"dd-MMM-aa"),"")</f>
      </c>
      <c r="CU153" s="496" t="str">
        <f> IF(CU173&lt;&gt;"",TEXT(AUX!CY$1,"dd-MMM-aa"),"")</f>
      </c>
      <c r="CV153" s="496" t="str">
        <f> IF(CV173&lt;&gt;"",TEXT(AUX!CZ$1,"dd-MMM-aa"),"")</f>
      </c>
      <c r="CW153" s="496" t="str">
        <f> IF(CW173&lt;&gt;"",TEXT(AUX!DA$1,"dd-MMM-aa"),"")</f>
      </c>
      <c r="CX153" s="496" t="str">
        <f> IF(CX173&lt;&gt;"",TEXT(AUX!DB$1,"dd-MMM-aa"),"")</f>
      </c>
      <c r="CY153" s="496" t="str">
        <f> IF(CY173&lt;&gt;"",TEXT(AUX!DC$1,"dd-MMM-aa"),"")</f>
      </c>
      <c r="CZ153" s="496" t="str">
        <f> IF(CZ173&lt;&gt;"",TEXT(AUX!DD$1,"dd-MMM-aa"),"")</f>
      </c>
      <c r="DA153" s="496" t="str">
        <f> IF(DA173&lt;&gt;"",TEXT(AUX!DE$1,"dd-MMM-aa"),"")</f>
      </c>
      <c r="DB153" s="496" t="str">
        <f> IF(DB173&lt;&gt;"",TEXT(AUX!DF$1,"dd-MMM-aa"),"")</f>
      </c>
      <c r="DC153" s="496" t="str">
        <f> IF(DC173&lt;&gt;"",TEXT(AUX!DG$1,"dd-MMM-aa"),"")</f>
      </c>
      <c r="DD153" s="496" t="str">
        <f> IF(DD173&lt;&gt;"",TEXT(AUX!DH$1,"dd-MMM-aa"),"")</f>
      </c>
      <c r="DE153" s="496" t="str">
        <f> IF(DE173&lt;&gt;"",TEXT(AUX!DI$1,"dd-MMM-aa"),"")</f>
      </c>
      <c r="DF153" s="496" t="str">
        <f> IF(DF173&lt;&gt;"",TEXT(AUX!DJ$1,"dd-MMM-aa"),"")</f>
      </c>
      <c r="DG153" s="496" t="str">
        <f> IF(DG173&lt;&gt;"",TEXT(AUX!DK$1,"dd-MMM-aa"),"")</f>
      </c>
      <c r="DH153" s="496" t="str">
        <f> IF(DH173&lt;&gt;"",TEXT(AUX!DL$1,"dd-MMM-aa"),"")</f>
      </c>
      <c r="DI153" s="496" t="str">
        <f> IF(DI173&lt;&gt;"",TEXT(AUX!DM$1,"dd-MMM-aa"),"")</f>
      </c>
      <c r="DJ153" s="496" t="str">
        <f> IF(DJ173&lt;&gt;"",TEXT(AUX!DN$1,"dd-MMM-aa"),"")</f>
      </c>
      <c r="DK153" s="496" t="str">
        <f> IF(DK173&lt;&gt;"",TEXT(AUX!DO$1,"dd-MMM-aa"),"")</f>
      </c>
      <c r="DL153" s="496" t="str">
        <f> IF(DL173&lt;&gt;"",TEXT(AUX!DP$1,"dd-MMM-aa"),"")</f>
      </c>
      <c r="DM153" s="496" t="str">
        <f> IF(DM173&lt;&gt;"",TEXT(AUX!DQ$1,"dd-MMM-aa"),"")</f>
      </c>
      <c r="DN153" s="496" t="str">
        <f> IF(DN173&lt;&gt;"",TEXT(AUX!DR$1,"dd-MMM-aa"),"")</f>
      </c>
      <c r="DO153" s="496" t="str">
        <f> IF(DO173&lt;&gt;"",TEXT(AUX!DS$1,"dd-MMM-aa"),"")</f>
      </c>
      <c r="DP153" s="496" t="str">
        <f> IF(DP173&lt;&gt;"",TEXT(AUX!DT$1,"dd-MMM-aa"),"")</f>
      </c>
      <c r="DQ153" s="496" t="str">
        <f> IF(DQ173&lt;&gt;"",TEXT(AUX!DU$1,"dd-MMM-aa"),"")</f>
      </c>
      <c r="DR153" s="496" t="str">
        <f> IF(DR173&lt;&gt;"",TEXT(AUX!DV$1,"dd-MMM-aa"),"")</f>
      </c>
      <c r="DS153" s="496" t="str">
        <f> IF(DS173&lt;&gt;"",TEXT(AUX!DW$1,"dd-MMM-aa"),"")</f>
      </c>
      <c r="DT153" s="496" t="str">
        <f> IF(DT173&lt;&gt;"",TEXT(AUX!DX$1,"dd-MMM-aa"),"")</f>
      </c>
      <c r="DU153" s="496" t="str">
        <f> IF(DU173&lt;&gt;"",TEXT(AUX!DY$1,"dd-MMM-aa"),"")</f>
      </c>
      <c r="DV153" s="496" t="str">
        <f> IF(DV173&lt;&gt;"",TEXT(AUX!DZ$1,"dd-MMM-aa"),"")</f>
      </c>
      <c r="DW153" s="496" t="str">
        <f> IF(DW173&lt;&gt;"",TEXT(AUX!EA$1,"dd-MMM-aa"),"")</f>
      </c>
      <c r="DX153" s="496" t="str">
        <f> IF(DX173&lt;&gt;"",TEXT(AUX!EB$1,"dd-MMM-aa"),"")</f>
      </c>
      <c r="DY153" s="496" t="str">
        <f> IF(DY173&lt;&gt;"",TEXT(AUX!EC$1,"dd-MMM-aa"),"")</f>
      </c>
      <c r="DZ153" s="496" t="str">
        <f> IF(DZ173&lt;&gt;"",TEXT(AUX!ED$1,"dd-MMM-aa"),"")</f>
      </c>
      <c r="EA153" s="496" t="str">
        <f> IF(EA173&lt;&gt;"",TEXT(AUX!EE$1,"dd-MMM-aa"),"")</f>
      </c>
      <c r="EB153" s="496" t="str">
        <f> IF(EB173&lt;&gt;"",TEXT(AUX!EF$1,"dd-MMM-aa"),"")</f>
      </c>
      <c r="EC153" s="496" t="str">
        <f> IF(EC173&lt;&gt;"",TEXT(AUX!EG$1,"dd-MMM-aa"),"")</f>
      </c>
      <c r="ED153" s="496" t="str">
        <f> IF(ED173&lt;&gt;"",TEXT(AUX!EH$1,"dd-MMM-aa"),"")</f>
      </c>
      <c r="EE153" s="496" t="str">
        <f> IF(EE173&lt;&gt;"",TEXT(AUX!EI$1,"dd-MMM-aa"),"")</f>
      </c>
      <c r="EF153" s="496" t="str">
        <f> IF(EF173&lt;&gt;"",TEXT(AUX!EJ$1,"dd-MMM-aa"),"")</f>
      </c>
      <c r="EG153" s="496" t="str">
        <f> IF(EG173&lt;&gt;"",TEXT(AUX!EK$1,"dd-MMM-aa"),"")</f>
      </c>
      <c r="EH153" s="496" t="str">
        <f> IF(EH173&lt;&gt;"",TEXT(AUX!EL$1,"dd-MMM-aa"),"")</f>
      </c>
      <c r="EI153" s="496" t="str">
        <f> IF(EI173&lt;&gt;"",TEXT(AUX!EM$1,"dd-MMM-aa"),"")</f>
      </c>
      <c r="EJ153" s="496" t="str">
        <f> IF(EJ173&lt;&gt;"",TEXT(AUX!EN$1,"dd-MMM-aa"),"")</f>
      </c>
      <c r="EK153" s="496" t="str">
        <f> IF(EK173&lt;&gt;"",TEXT(AUX!EO$1,"dd-MMM-aa"),"")</f>
      </c>
      <c r="EL153" s="496" t="str">
        <f> IF(EL173&lt;&gt;"",TEXT(AUX!EP$1,"dd-MMM-aa"),"")</f>
      </c>
      <c r="EM153" s="496" t="str">
        <f> IF(EM173&lt;&gt;"",TEXT(AUX!EQ$1,"dd-MMM-aa"),"")</f>
      </c>
      <c r="EN153" s="496" t="str">
        <f> IF(EN173&lt;&gt;"",TEXT(AUX!ER$1,"dd-MMM-aa"),"")</f>
      </c>
      <c r="EO153" s="496" t="str">
        <f> IF(EO173&lt;&gt;"",TEXT(AUX!ES$1,"dd-MMM-aa"),"")</f>
      </c>
      <c r="EP153" s="496" t="str">
        <f> IF(EP173&lt;&gt;"",TEXT(AUX!ET$1,"dd-MMM-aa"),"")</f>
      </c>
      <c r="EQ153" s="496" t="str">
        <f> IF(EQ173&lt;&gt;"",TEXT(AUX!EU$1,"dd-MMM-aa"),"")</f>
      </c>
      <c r="ER153" s="496" t="str">
        <f> IF(ER173&lt;&gt;"",TEXT(AUX!EV$1,"dd-MMM-aa"),"")</f>
      </c>
      <c r="ES153" s="496" t="str">
        <f> IF(ES173&lt;&gt;"",TEXT(AUX!EW$1,"dd-MMM-aa"),"")</f>
      </c>
      <c r="ET153" s="496" t="str">
        <f> IF(ET173&lt;&gt;"",TEXT(AUX!EX$1,"dd-MMM-aa"),"")</f>
      </c>
      <c r="EU153" s="496" t="str">
        <f> IF(EU173&lt;&gt;"",TEXT(AUX!EY$1,"dd-MMM-aa"),"")</f>
      </c>
      <c r="EV153" s="496" t="str">
        <f> IF(EV173&lt;&gt;"",TEXT(AUX!EZ$1,"dd-MMM-aa"),"")</f>
      </c>
      <c r="EW153" s="496" t="str">
        <f> IF(EW173&lt;&gt;"",TEXT(AUX!FA$1,"dd-MMM-aa"),"")</f>
      </c>
      <c r="EX153" s="496" t="str">
        <f> IF(EX173&lt;&gt;"",TEXT(AUX!FB$1,"dd-MMM-aa"),"")</f>
      </c>
      <c r="EY153" s="496" t="str">
        <f> IF(EY173&lt;&gt;"",TEXT(AUX!FC$1,"dd-MMM-aa"),"")</f>
      </c>
      <c r="EZ153" s="496" t="str">
        <f> IF(EZ173&lt;&gt;"",TEXT(AUX!FD$1,"dd-MMM-aa"),"")</f>
      </c>
      <c r="FA153" s="496" t="str">
        <f> IF(FA173&lt;&gt;"",TEXT(AUX!FE$1,"dd-MMM-aa"),"")</f>
      </c>
      <c r="FB153" s="496" t="str">
        <f> IF(FB173&lt;&gt;"",TEXT(AUX!FF$1,"dd-MMM-aa"),"")</f>
      </c>
      <c r="FC153" s="496" t="str">
        <f> IF(FC173&lt;&gt;"",TEXT(AUX!FG$1,"dd-MMM-aa"),"")</f>
      </c>
      <c r="FD153" s="496" t="str">
        <f> IF(FD173&lt;&gt;"",TEXT(AUX!FH$1,"dd-MMM-aa"),"")</f>
      </c>
      <c r="FE153" s="496" t="str">
        <f> IF(FE173&lt;&gt;"",TEXT(AUX!FI$1,"dd-MMM-aa"),"")</f>
      </c>
      <c r="FF153" s="496" t="str">
        <f> IF(FF173&lt;&gt;"",TEXT(AUX!FJ$1,"dd-MMM-aa"),"")</f>
      </c>
      <c r="FG153" s="496" t="str">
        <f> IF(FG173&lt;&gt;"",TEXT(AUX!FK$1,"dd-MMM-aa"),"")</f>
      </c>
      <c r="FH153" s="496" t="str">
        <f> IF(FH173&lt;&gt;"",TEXT(AUX!FL$1,"dd-MMM-aa"),"")</f>
      </c>
      <c r="FI153" s="496" t="str">
        <f> IF(FI173&lt;&gt;"",TEXT(AUX!FM$1,"dd-MMM-aa"),"")</f>
      </c>
      <c r="FJ153" s="496" t="str">
        <f> IF(FJ173&lt;&gt;"",TEXT(AUX!FN$1,"dd-MMM-aa"),"")</f>
      </c>
      <c r="FK153" s="496" t="str">
        <f> IF(FK173&lt;&gt;"",TEXT(AUX!FO$1,"dd-MMM-aa"),"")</f>
      </c>
      <c r="FL153" s="496" t="str">
        <f> IF(FL173&lt;&gt;"",TEXT(AUX!FP$1,"dd-MMM-aa"),"")</f>
      </c>
      <c r="FM153" s="496" t="str">
        <f> IF(FM173&lt;&gt;"",TEXT(AUX!FQ$1,"dd-MMM-aa"),"")</f>
      </c>
      <c r="FN153" s="496" t="str">
        <f> IF(FN173&lt;&gt;"",TEXT(AUX!FR$1,"dd-MMM-aa"),"")</f>
      </c>
      <c r="FO153" s="496" t="str">
        <f> IF(FO173&lt;&gt;"",TEXT(AUX!FS$1,"dd-MMM-aa"),"")</f>
      </c>
      <c r="FP153" s="496" t="str">
        <f> IF(FP173&lt;&gt;"",TEXT(AUX!FT$1,"dd-MMM-aa"),"")</f>
      </c>
      <c r="FQ153" s="496" t="str">
        <f> IF(FQ173&lt;&gt;"",TEXT(AUX!FU$1,"dd-MMM-aa"),"")</f>
      </c>
      <c r="FR153" s="496" t="str">
        <f> IF(FR173&lt;&gt;"",TEXT(AUX!FV$1,"dd-MMM-aa"),"")</f>
      </c>
      <c r="FS153" s="496" t="str">
        <f> IF(FS173&lt;&gt;"",TEXT(AUX!FW$1,"dd-MMM-aa"),"")</f>
      </c>
      <c r="FT153" s="496" t="str">
        <f> IF(FT173&lt;&gt;"",TEXT(AUX!FX$1,"dd-MMM-aa"),"")</f>
      </c>
      <c r="FU153" s="496" t="str">
        <f> IF(FU173&lt;&gt;"",TEXT(AUX!FY$1,"dd-MMM-aa"),"")</f>
      </c>
      <c r="FV153" s="496" t="str">
        <f> IF(FV173&lt;&gt;"",TEXT(AUX!FZ$1,"dd-MMM-aa"),"")</f>
      </c>
      <c r="FW153" s="496" t="str">
        <f> IF(FW173&lt;&gt;"",TEXT(AUX!GA$1,"dd-MMM-aa"),"")</f>
      </c>
      <c r="FX153" s="496" t="str">
        <f> IF(FX173&lt;&gt;"",TEXT(AUX!GB$1,"dd-MMM-aa"),"")</f>
      </c>
      <c r="FY153" s="496" t="str">
        <f> IF(FY173&lt;&gt;"",TEXT(AUX!GC$1,"dd-MMM-aa"),"")</f>
      </c>
      <c r="FZ153" s="496" t="str">
        <f> IF(FZ173&lt;&gt;"",TEXT(AUX!GD$1,"dd-MMM-aa"),"")</f>
      </c>
      <c r="GA153" s="496" t="str">
        <f> IF(GA173&lt;&gt;"",TEXT(AUX!GE$1,"dd-MMM-aa"),"")</f>
      </c>
      <c r="GB153" s="496" t="str">
        <f> IF(GB173&lt;&gt;"",TEXT(AUX!GF$1,"dd-MMM-aa"),"")</f>
      </c>
      <c r="GC153" s="496" t="str">
        <f> IF(GC173&lt;&gt;"",TEXT(AUX!GG$1,"dd-MMM-aa"),"")</f>
      </c>
      <c r="GD153" s="496" t="str">
        <f> IF(GD173&lt;&gt;"",TEXT(AUX!GH$1,"dd-MMM-aa"),"")</f>
      </c>
      <c r="GE153" s="496" t="str">
        <f> IF(GE173&lt;&gt;"",TEXT(AUX!GI$1,"dd-MMM-aa"),"")</f>
      </c>
      <c r="GF153" s="496" t="str">
        <f> IF(GF173&lt;&gt;"",TEXT(AUX!GJ$1,"dd-MMM-aa"),"")</f>
      </c>
      <c r="GG153" s="496" t="str">
        <f> IF(GG173&lt;&gt;"",TEXT(AUX!GK$1,"dd-MMM-aa"),"")</f>
      </c>
      <c r="GH153" s="496" t="str">
        <f> IF(GH173&lt;&gt;"",TEXT(AUX!GL$1,"dd-MMM-aa"),"")</f>
      </c>
      <c r="GI153" s="496" t="str">
        <f> IF(GI173&lt;&gt;"",TEXT(AUX!GM$1,"dd-MMM-aa"),"")</f>
      </c>
      <c r="GJ153" s="496" t="str">
        <f> IF(GJ173&lt;&gt;"",TEXT(AUX!GN$1,"dd-MMM-aa"),"")</f>
      </c>
      <c r="GK153" s="496" t="str">
        <f> IF(GK173&lt;&gt;"",TEXT(AUX!GO$1,"dd-MMM-aa"),"")</f>
      </c>
      <c r="GL153" s="496" t="str">
        <f> IF(GL173&lt;&gt;"",TEXT(AUX!GP$1,"dd-MMM-aa"),"")</f>
      </c>
      <c r="GM153" s="496" t="str">
        <f> IF(GM173&lt;&gt;"",TEXT(AUX!GQ$1,"dd-MMM-aa"),"")</f>
      </c>
      <c r="GN153" s="496" t="str">
        <f> IF(GN173&lt;&gt;"",TEXT(AUX!GR$1,"dd-MMM-aa"),"")</f>
      </c>
      <c r="GO153" s="496" t="str">
        <f> IF(GO173&lt;&gt;"",TEXT(AUX!GS$1,"dd-MMM-aa"),"")</f>
      </c>
      <c r="GP153" s="496" t="str">
        <f> IF(GP173&lt;&gt;"",TEXT(AUX!GT$1,"dd-MMM-aa"),"")</f>
      </c>
      <c r="GQ153" s="496" t="str">
        <f> IF(GQ173&lt;&gt;"",TEXT(AUX!GU$1,"dd-MMM-aa"),"")</f>
      </c>
      <c r="GR153" s="496" t="str">
        <f> IF(GR173&lt;&gt;"",TEXT(AUX!GV$1,"dd-MMM-aa"),"")</f>
      </c>
      <c r="GS153" s="496" t="str">
        <f> IF(GS173&lt;&gt;"",TEXT(AUX!GW$1,"dd-MMM-aa"),"")</f>
      </c>
      <c r="GT153" s="496" t="str">
        <f> IF(GT173&lt;&gt;"",TEXT(AUX!GX$1,"dd-MMM-aa"),"")</f>
      </c>
      <c r="GU153" s="496" t="str">
        <f> IF(GU173&lt;&gt;"",TEXT(AUX!GY$1,"dd-MMM-aa"),"")</f>
      </c>
      <c r="GV153" s="496" t="str">
        <f> IF(GV173&lt;&gt;"",TEXT(AUX!GZ$1,"dd-MMM-aa"),"")</f>
      </c>
      <c r="GW153" s="496" t="str">
        <f> IF(GW173&lt;&gt;"",TEXT(AUX!HA$1,"dd-MMM-aa"),"")</f>
      </c>
      <c r="GX153" s="496" t="str">
        <f> IF(GX173&lt;&gt;"",TEXT(AUX!HB$1,"dd-MMM-aa"),"")</f>
      </c>
      <c r="GY153" s="496" t="str">
        <f> IF(GY173&lt;&gt;"",TEXT(AUX!HC$1,"dd-MMM-aa"),"")</f>
      </c>
      <c r="GZ153" s="496" t="str">
        <f> IF(GZ173&lt;&gt;"",TEXT(AUX!HD$1,"dd-MMM-aa"),"")</f>
      </c>
      <c r="HA153" s="496" t="str">
        <f> IF(HA173&lt;&gt;"",TEXT(AUX!HE$1,"dd-MMM-aa"),"")</f>
      </c>
      <c r="HB153" s="496" t="str">
        <f> IF(HB173&lt;&gt;"",TEXT(AUX!HF$1,"dd-MMM-aa"),"")</f>
      </c>
      <c r="HC153" s="496" t="str">
        <f> IF(HC173&lt;&gt;"",TEXT(AUX!HG$1,"dd-MMM-aa"),"")</f>
      </c>
      <c r="HD153" s="496" t="str">
        <f> IF(HD173&lt;&gt;"",TEXT(AUX!HH$1,"dd-MMM-aa"),"")</f>
      </c>
      <c r="HE153" s="496" t="str">
        <f> IF(HE173&lt;&gt;"",TEXT(AUX!HI$1,"dd-MMM-aa"),"")</f>
      </c>
      <c r="HF153" s="496" t="str">
        <f> IF(HF173&lt;&gt;"",TEXT(AUX!HJ$1,"dd-MMM-aa"),"")</f>
      </c>
      <c r="HG153" s="496" t="str">
        <f> IF(HG173&lt;&gt;"",TEXT(AUX!HK$1,"dd-MMM-aa"),"")</f>
      </c>
      <c r="HH153" s="496" t="str">
        <f> IF(HH173&lt;&gt;"",TEXT(AUX!HL$1,"dd-MMM-aa"),"")</f>
      </c>
      <c r="HI153" s="496" t="str">
        <f> IF(HI173&lt;&gt;"",TEXT(AUX!HM$1,"dd-MMM-aa"),"")</f>
      </c>
      <c r="HJ153" s="496" t="str">
        <f> IF(HJ173&lt;&gt;"",TEXT(AUX!HN$1,"dd-MMM-aa"),"")</f>
      </c>
      <c r="HK153" s="496" t="str">
        <f> IF(HK173&lt;&gt;"",TEXT(AUX!HO$1,"dd-MMM-aa"),"")</f>
      </c>
      <c r="HL153" s="496" t="str">
        <f> IF(HL173&lt;&gt;"",TEXT(AUX!HP$1,"dd-MMM-aa"),"")</f>
      </c>
      <c r="HM153" s="496" t="str">
        <f> IF(HM173&lt;&gt;"",TEXT(AUX!HQ$1,"dd-MMM-aa"),"")</f>
      </c>
      <c r="HN153" s="496" t="str">
        <f> IF(HN173&lt;&gt;"",TEXT(AUX!HR$1,"dd-MMM-aa"),"")</f>
      </c>
      <c r="HO153" s="496" t="str">
        <f> IF(HO173&lt;&gt;"",TEXT(AUX!HS$1,"dd-MMM-aa"),"")</f>
      </c>
      <c r="HP153" s="496" t="str">
        <f> IF(HP173&lt;&gt;"",TEXT(AUX!HT$1,"dd-MMM-aa"),"")</f>
      </c>
      <c r="HQ153" s="496" t="str">
        <f> IF(HQ173&lt;&gt;"",TEXT(AUX!HU$1,"dd-MMM-aa"),"")</f>
      </c>
      <c r="HR153" s="496" t="str">
        <f> IF(HR173&lt;&gt;"",TEXT(AUX!HV$1,"dd-MMM-aa"),"")</f>
      </c>
      <c r="HS153" s="496" t="str">
        <f> IF(HS173&lt;&gt;"",TEXT(AUX!HW$1,"dd-MMM-aa"),"")</f>
      </c>
      <c r="HT153" s="496" t="str">
        <f> IF(HT173&lt;&gt;"",TEXT(AUX!HX$1,"dd-MMM-aa"),"")</f>
      </c>
      <c r="HU153" s="496" t="str">
        <f> IF(HU173&lt;&gt;"",TEXT(AUX!HY$1,"dd-MMM-aa"),"")</f>
      </c>
      <c r="HV153" s="496" t="str">
        <f> IF(HV173&lt;&gt;"",TEXT(AUX!HZ$1,"dd-MMM-aa"),"")</f>
      </c>
      <c r="HW153" s="496" t="str">
        <f> IF(HW173&lt;&gt;"",TEXT(AUX!IA$1,"dd-MMM-aa"),"")</f>
      </c>
      <c r="HX153" s="496" t="str">
        <f> IF(HX173&lt;&gt;"",TEXT(AUX!IB$1,"dd-MMM-aa"),"")</f>
      </c>
      <c r="HY153" s="496" t="str">
        <f> IF(HY173&lt;&gt;"",TEXT(AUX!IC$1,"dd-MMM-aa"),"")</f>
      </c>
      <c r="HZ153" s="496" t="str">
        <f> IF(HZ173&lt;&gt;"",TEXT(AUX!ID$1,"dd-MMM-aa"),"")</f>
      </c>
      <c r="IA153" s="496" t="str">
        <f> IF(IA173&lt;&gt;"",TEXT(AUX!IE$1,"dd-MMM-aa"),"")</f>
      </c>
      <c r="IB153" s="496" t="str">
        <f> IF(IB173&lt;&gt;"",TEXT(AUX!IF$1,"dd-MMM-aa"),"")</f>
      </c>
      <c r="IC153" s="496" t="str">
        <f> IF(IC173&lt;&gt;"",TEXT(AUX!IG$1,"dd-MMM-aa"),"")</f>
      </c>
      <c r="ID153" s="496" t="str">
        <f> IF(ID173&lt;&gt;"",TEXT(AUX!IH$1,"dd-MMM-aa"),"")</f>
      </c>
      <c r="IE153" s="496" t="str">
        <f> IF(IE173&lt;&gt;"",TEXT(AUX!II$1,"dd-MMM-aa"),"")</f>
      </c>
      <c r="IF153" s="496" t="str">
        <f> IF(IF173&lt;&gt;"",TEXT(AUX!IJ$1,"dd-MMM-aa"),"")</f>
      </c>
      <c r="IG153" s="496" t="str">
        <f> IF(IG173&lt;&gt;"",TEXT(AUX!IK$1,"dd-MMM-aa"),"")</f>
      </c>
      <c r="IH153" s="496" t="str">
        <f> IF(IH173&lt;&gt;"",TEXT(AUX!IL$1,"dd-MMM-aa"),"")</f>
      </c>
      <c r="II153" s="496" t="str">
        <f> IF(II173&lt;&gt;"",TEXT(AUX!IM$1,"dd-MMM-aa"),"")</f>
      </c>
      <c r="IJ153" s="496" t="str">
        <f> IF(IJ173&lt;&gt;"",TEXT(AUX!IN$1,"dd-MMM-aa"),"")</f>
      </c>
      <c r="IK153" s="496" t="str">
        <f> IF(IK173&lt;&gt;"",TEXT(AUX!IO$1,"dd-MMM-aa"),"")</f>
      </c>
      <c r="IL153" s="496" t="str">
        <f> IF(IL173&lt;&gt;"",TEXT(AUX!IP$1,"dd-MMM-aa"),"")</f>
      </c>
      <c r="IM153" s="496" t="str">
        <f> IF(IM173&lt;&gt;"",TEXT(AUX!IQ$1,"dd-MMM-aa"),"")</f>
      </c>
      <c r="IN153" s="496" t="str">
        <f> IF(IN173&lt;&gt;"",TEXT(AUX!IR$1,"dd-MMM-aa"),"")</f>
      </c>
      <c r="IO153" s="496" t="str">
        <f> IF(IO173&lt;&gt;"",TEXT(AUX!IS$1,"dd-MMM-aa"),"")</f>
      </c>
      <c r="IP153" s="496" t="str">
        <f> IF(IP173&lt;&gt;"",TEXT(AUX!IT$1,"dd-MMM-aa"),"")</f>
      </c>
      <c r="IQ153" s="496" t="str">
        <f> IF(IQ173&lt;&gt;"",TEXT(AUX!IU$1,"dd-MMM-aa"),"")</f>
      </c>
      <c r="IR153" s="496" t="str">
        <f> IF(IR173&lt;&gt;"",TEXT(AUX!IV$1,"dd-MMM-aa"),"")</f>
      </c>
      <c r="IS153" s="496" t="str">
        <f> IF(IS173&lt;&gt;"",TEXT(AUX!#REF!,"dd-MMM-aa"),"")</f>
      </c>
      <c r="IT153" s="496" t="str">
        <f> IF(IT173&lt;&gt;"",TEXT(AUX!#REF!,"dd-MMM-aa"),"")</f>
      </c>
      <c r="IU153" s="496" t="str">
        <f> IF(IU173&lt;&gt;"",TEXT(AUX!#REF!,"dd-MMM-aa"),"")</f>
      </c>
      <c r="IV153" s="496" t="str">
        <f> IF(IV173&lt;&gt;"",TEXT(AUX!#REF!,"dd-MMM-aa"),"")</f>
      </c>
    </row>
    <row r="154" hidden="1">
      <c r="B154" s="822" t="s">
        <v>8</v>
      </c>
      <c r="C154" s="823">
        <v>1</v>
      </c>
      <c r="D154" s="823">
        <v>1</v>
      </c>
      <c r="E154" s="823">
        <v>1</v>
      </c>
      <c r="F154" s="823">
        <v>1</v>
      </c>
      <c r="G154" s="823">
        <v>1</v>
      </c>
      <c r="H154" s="823">
        <v>2</v>
      </c>
      <c r="I154" s="823">
        <v>2</v>
      </c>
      <c r="J154" s="823">
        <v>2</v>
      </c>
      <c r="K154" s="823">
        <v>3</v>
      </c>
      <c r="L154" s="823">
        <v>3</v>
      </c>
      <c r="M154" s="823">
        <v>3</v>
      </c>
      <c r="N154" s="823">
        <v>3</v>
      </c>
      <c r="O154" s="823">
        <v>3</v>
      </c>
      <c r="P154" s="823">
        <v>3</v>
      </c>
      <c r="Q154" s="823">
        <v>3</v>
      </c>
      <c r="R154" s="823">
        <v>3</v>
      </c>
      <c r="S154" s="823">
        <v>3</v>
      </c>
      <c r="T154" s="823">
        <v>3</v>
      </c>
      <c r="U154" s="823">
        <v>3</v>
      </c>
      <c r="V154" s="823">
        <v>3</v>
      </c>
      <c r="W154" s="823">
        <v>3</v>
      </c>
      <c r="X154" s="823">
        <v>3</v>
      </c>
      <c r="Y154" s="823">
        <v>3</v>
      </c>
      <c r="Z154" s="823">
        <v>392</v>
      </c>
      <c r="AA154" s="823">
        <v>396</v>
      </c>
      <c r="AB154" s="824">
        <v>395</v>
      </c>
      <c r="AC154" s="825">
        <v>398</v>
      </c>
      <c r="AD154" s="825">
        <v>405</v>
      </c>
      <c r="AE154" s="825">
        <v>403</v>
      </c>
      <c r="AF154" s="825">
        <v>401</v>
      </c>
      <c r="AG154" s="825">
        <v>418</v>
      </c>
      <c r="AH154" s="825">
        <v>422</v>
      </c>
      <c r="AI154" s="825">
        <v>447</v>
      </c>
      <c r="AJ154" s="825">
        <v>465</v>
      </c>
      <c r="AK154" s="825">
        <v>483</v>
      </c>
      <c r="AL154" s="825">
        <v>511</v>
      </c>
      <c r="AM154" s="825">
        <v>526</v>
      </c>
      <c r="AN154" s="825">
        <v>470</v>
      </c>
      <c r="AO154" s="825">
        <v>491</v>
      </c>
      <c r="AP154" s="825">
        <v>518</v>
      </c>
    </row>
    <row r="155" hidden="1">
      <c r="B155" s="826" t="s">
        <v>9</v>
      </c>
      <c r="C155" s="827">
        <v>1</v>
      </c>
      <c r="D155" s="827">
        <v>1</v>
      </c>
      <c r="E155" s="827">
        <v>1</v>
      </c>
      <c r="F155" s="827">
        <v>1</v>
      </c>
      <c r="G155" s="827">
        <v>1</v>
      </c>
      <c r="H155" s="827">
        <v>1</v>
      </c>
      <c r="I155" s="827">
        <v>1</v>
      </c>
      <c r="J155" s="827">
        <v>1</v>
      </c>
      <c r="K155" s="827">
        <v>1</v>
      </c>
      <c r="L155" s="827">
        <v>1</v>
      </c>
      <c r="M155" s="827">
        <v>1</v>
      </c>
      <c r="N155" s="827">
        <v>1</v>
      </c>
      <c r="O155" s="827">
        <v>1</v>
      </c>
      <c r="P155" s="827">
        <v>2</v>
      </c>
      <c r="Q155" s="827">
        <v>2</v>
      </c>
      <c r="R155" s="827">
        <v>1</v>
      </c>
      <c r="S155" s="827">
        <v>1</v>
      </c>
      <c r="T155" s="827">
        <v>1</v>
      </c>
      <c r="U155" s="827">
        <v>1</v>
      </c>
      <c r="V155" s="827">
        <v>1</v>
      </c>
      <c r="W155" s="827">
        <v>1</v>
      </c>
      <c r="X155" s="827">
        <v>0</v>
      </c>
      <c r="Y155" s="827">
        <v>0</v>
      </c>
      <c r="Z155" s="827">
        <v>0</v>
      </c>
      <c r="AA155" s="827">
        <v>0</v>
      </c>
      <c r="AB155" s="827">
        <v>0</v>
      </c>
      <c r="AC155" s="828">
        <v>0</v>
      </c>
      <c r="AD155" s="828">
        <v>0</v>
      </c>
      <c r="AE155" s="828">
        <v>0</v>
      </c>
      <c r="AF155" s="828">
        <v>0</v>
      </c>
      <c r="AG155" s="828">
        <v>0</v>
      </c>
      <c r="AH155" s="828">
        <v>1</v>
      </c>
      <c r="AI155" s="828">
        <v>1</v>
      </c>
      <c r="AJ155" s="828">
        <v>1</v>
      </c>
      <c r="AK155" s="828">
        <v>1</v>
      </c>
      <c r="AL155" s="828">
        <v>0</v>
      </c>
      <c r="AM155" s="828">
        <v>0</v>
      </c>
      <c r="AN155" s="828">
        <v>0</v>
      </c>
      <c r="AO155" s="828">
        <v>0</v>
      </c>
      <c r="AP155" s="828">
        <v>0</v>
      </c>
    </row>
    <row r="156" hidden="1">
      <c r="B156" s="829" t="s">
        <v>10</v>
      </c>
      <c r="C156" s="823">
        <v>0</v>
      </c>
      <c r="D156" s="823">
        <v>0</v>
      </c>
      <c r="E156" s="823">
        <v>0</v>
      </c>
      <c r="F156" s="823">
        <v>0</v>
      </c>
      <c r="G156" s="823">
        <v>0</v>
      </c>
      <c r="H156" s="823">
        <v>0</v>
      </c>
      <c r="I156" s="823">
        <v>0</v>
      </c>
      <c r="J156" s="823">
        <v>0</v>
      </c>
      <c r="K156" s="823">
        <v>0</v>
      </c>
      <c r="L156" s="823">
        <v>0</v>
      </c>
      <c r="M156" s="823">
        <v>1</v>
      </c>
      <c r="N156" s="823">
        <v>1</v>
      </c>
      <c r="O156" s="823">
        <v>1</v>
      </c>
      <c r="P156" s="823">
        <v>1</v>
      </c>
      <c r="Q156" s="823">
        <v>1</v>
      </c>
      <c r="R156" s="823">
        <v>1</v>
      </c>
      <c r="S156" s="823">
        <v>1</v>
      </c>
      <c r="T156" s="823">
        <v>1</v>
      </c>
      <c r="U156" s="823">
        <v>1</v>
      </c>
      <c r="V156" s="823">
        <v>1</v>
      </c>
      <c r="W156" s="823">
        <v>2</v>
      </c>
      <c r="X156" s="823">
        <v>2</v>
      </c>
      <c r="Y156" s="823">
        <v>2</v>
      </c>
      <c r="Z156" s="823">
        <v>2</v>
      </c>
      <c r="AA156" s="823">
        <v>2</v>
      </c>
      <c r="AB156" s="823">
        <v>2</v>
      </c>
      <c r="AC156" s="825">
        <v>2</v>
      </c>
      <c r="AD156" s="825">
        <v>2</v>
      </c>
      <c r="AE156" s="825">
        <v>2</v>
      </c>
      <c r="AF156" s="825">
        <v>2</v>
      </c>
      <c r="AG156" s="825">
        <v>2</v>
      </c>
      <c r="AH156" s="825">
        <v>2</v>
      </c>
      <c r="AI156" s="825">
        <v>2</v>
      </c>
      <c r="AJ156" s="825">
        <v>2</v>
      </c>
      <c r="AK156" s="825">
        <v>2</v>
      </c>
      <c r="AL156" s="825">
        <v>2</v>
      </c>
      <c r="AM156" s="825">
        <v>2</v>
      </c>
      <c r="AN156" s="825">
        <v>1</v>
      </c>
      <c r="AO156" s="825">
        <v>1</v>
      </c>
      <c r="AP156" s="825">
        <v>1</v>
      </c>
    </row>
    <row r="157" hidden="1">
      <c r="B157" s="826" t="s">
        <v>11</v>
      </c>
      <c r="C157" s="827">
        <v>3</v>
      </c>
      <c r="D157" s="827">
        <v>3</v>
      </c>
      <c r="E157" s="827">
        <v>7</v>
      </c>
      <c r="F157" s="827">
        <v>8</v>
      </c>
      <c r="G157" s="827">
        <v>3</v>
      </c>
      <c r="H157" s="827">
        <v>3</v>
      </c>
      <c r="I157" s="827">
        <v>3</v>
      </c>
      <c r="J157" s="827">
        <v>2</v>
      </c>
      <c r="K157" s="827">
        <v>0</v>
      </c>
      <c r="L157" s="827">
        <v>0</v>
      </c>
      <c r="M157" s="827">
        <v>0</v>
      </c>
      <c r="N157" s="827">
        <v>0</v>
      </c>
      <c r="O157" s="827">
        <v>0</v>
      </c>
      <c r="P157" s="827">
        <v>0</v>
      </c>
      <c r="Q157" s="827">
        <v>0</v>
      </c>
      <c r="R157" s="827">
        <v>0</v>
      </c>
      <c r="S157" s="827">
        <v>0</v>
      </c>
      <c r="T157" s="827">
        <v>0</v>
      </c>
      <c r="U157" s="827">
        <v>0</v>
      </c>
      <c r="V157" s="827">
        <v>0</v>
      </c>
      <c r="W157" s="827">
        <v>0</v>
      </c>
      <c r="X157" s="827">
        <v>0</v>
      </c>
      <c r="Y157" s="827">
        <v>0</v>
      </c>
      <c r="Z157" s="827">
        <v>0</v>
      </c>
      <c r="AA157" s="827">
        <v>0</v>
      </c>
      <c r="AB157" s="827">
        <v>0</v>
      </c>
      <c r="AC157" s="828">
        <v>0</v>
      </c>
      <c r="AD157" s="828">
        <v>0</v>
      </c>
      <c r="AE157" s="828">
        <v>0</v>
      </c>
      <c r="AF157" s="828">
        <v>0</v>
      </c>
      <c r="AG157" s="828">
        <v>0</v>
      </c>
      <c r="AH157" s="828">
        <v>0</v>
      </c>
      <c r="AI157" s="828">
        <v>0</v>
      </c>
      <c r="AJ157" s="828">
        <v>0</v>
      </c>
      <c r="AK157" s="828">
        <v>0</v>
      </c>
      <c r="AL157" s="828">
        <v>0</v>
      </c>
      <c r="AM157" s="828">
        <v>0</v>
      </c>
      <c r="AN157" s="828">
        <v>0</v>
      </c>
      <c r="AO157" s="828">
        <v>0</v>
      </c>
      <c r="AP157" s="828">
        <v>2</v>
      </c>
    </row>
    <row r="158" hidden="1">
      <c r="B158" s="829" t="s">
        <v>12</v>
      </c>
      <c r="C158" s="823">
        <v>3</v>
      </c>
      <c r="D158" s="823">
        <v>3</v>
      </c>
      <c r="E158" s="823">
        <v>3</v>
      </c>
      <c r="F158" s="823">
        <v>3</v>
      </c>
      <c r="G158" s="823">
        <v>4</v>
      </c>
      <c r="H158" s="823">
        <v>4</v>
      </c>
      <c r="I158" s="823">
        <v>4</v>
      </c>
      <c r="J158" s="823">
        <v>1</v>
      </c>
      <c r="K158" s="823">
        <v>1</v>
      </c>
      <c r="L158" s="823">
        <v>1</v>
      </c>
      <c r="M158" s="823">
        <v>1</v>
      </c>
      <c r="N158" s="823">
        <v>1</v>
      </c>
      <c r="O158" s="823">
        <v>1</v>
      </c>
      <c r="P158" s="823">
        <v>1</v>
      </c>
      <c r="Q158" s="823">
        <v>0</v>
      </c>
      <c r="R158" s="823">
        <v>0</v>
      </c>
      <c r="S158" s="823">
        <v>0</v>
      </c>
      <c r="T158" s="823">
        <v>0</v>
      </c>
      <c r="U158" s="823">
        <v>1</v>
      </c>
      <c r="V158" s="823">
        <v>1</v>
      </c>
      <c r="W158" s="823">
        <v>1</v>
      </c>
      <c r="X158" s="823">
        <v>1</v>
      </c>
      <c r="Y158" s="823">
        <v>1</v>
      </c>
      <c r="Z158" s="823">
        <v>1</v>
      </c>
      <c r="AA158" s="823">
        <v>1</v>
      </c>
      <c r="AB158" s="823">
        <v>2</v>
      </c>
      <c r="AC158" s="825">
        <v>1</v>
      </c>
      <c r="AD158" s="825">
        <v>1</v>
      </c>
      <c r="AE158" s="825">
        <v>1</v>
      </c>
      <c r="AF158" s="825">
        <v>1</v>
      </c>
      <c r="AG158" s="825">
        <v>1</v>
      </c>
      <c r="AH158" s="825">
        <v>1</v>
      </c>
      <c r="AI158" s="825">
        <v>1</v>
      </c>
      <c r="AJ158" s="825">
        <v>0</v>
      </c>
      <c r="AK158" s="825">
        <v>0</v>
      </c>
      <c r="AL158" s="825">
        <v>0</v>
      </c>
      <c r="AM158" s="825">
        <v>0</v>
      </c>
      <c r="AN158" s="825">
        <v>0</v>
      </c>
      <c r="AO158" s="825">
        <v>0</v>
      </c>
      <c r="AP158" s="825">
        <v>0</v>
      </c>
    </row>
    <row r="159" hidden="1">
      <c r="B159" s="826" t="s">
        <v>13</v>
      </c>
      <c r="C159" s="827">
        <v>1</v>
      </c>
      <c r="D159" s="827">
        <v>1</v>
      </c>
      <c r="E159" s="827">
        <v>1</v>
      </c>
      <c r="F159" s="827">
        <v>3</v>
      </c>
      <c r="G159" s="827">
        <v>3</v>
      </c>
      <c r="H159" s="827">
        <v>3</v>
      </c>
      <c r="I159" s="827">
        <v>3</v>
      </c>
      <c r="J159" s="827">
        <v>4</v>
      </c>
      <c r="K159" s="827">
        <v>4</v>
      </c>
      <c r="L159" s="827">
        <v>4</v>
      </c>
      <c r="M159" s="827">
        <v>4</v>
      </c>
      <c r="N159" s="827">
        <v>3</v>
      </c>
      <c r="O159" s="827">
        <v>4</v>
      </c>
      <c r="P159" s="827">
        <v>4</v>
      </c>
      <c r="Q159" s="827">
        <v>4</v>
      </c>
      <c r="R159" s="827">
        <v>3</v>
      </c>
      <c r="S159" s="827">
        <v>4</v>
      </c>
      <c r="T159" s="827">
        <v>4</v>
      </c>
      <c r="U159" s="827">
        <v>4</v>
      </c>
      <c r="V159" s="827">
        <v>4</v>
      </c>
      <c r="W159" s="827">
        <v>4</v>
      </c>
      <c r="X159" s="827">
        <v>3</v>
      </c>
      <c r="Y159" s="827">
        <v>3</v>
      </c>
      <c r="Z159" s="827">
        <v>3</v>
      </c>
      <c r="AA159" s="827">
        <v>3</v>
      </c>
      <c r="AB159" s="827">
        <v>2</v>
      </c>
      <c r="AC159" s="828">
        <v>1</v>
      </c>
      <c r="AD159" s="828">
        <v>0</v>
      </c>
      <c r="AE159" s="828">
        <v>0</v>
      </c>
      <c r="AF159" s="828">
        <v>0</v>
      </c>
      <c r="AG159" s="828">
        <v>1</v>
      </c>
      <c r="AH159" s="828">
        <v>1</v>
      </c>
      <c r="AI159" s="828">
        <v>1</v>
      </c>
      <c r="AJ159" s="828">
        <v>1</v>
      </c>
      <c r="AK159" s="828">
        <v>1</v>
      </c>
      <c r="AL159" s="828">
        <v>2</v>
      </c>
      <c r="AM159" s="828">
        <v>2</v>
      </c>
      <c r="AN159" s="828">
        <v>2</v>
      </c>
      <c r="AO159" s="828">
        <v>1</v>
      </c>
      <c r="AP159" s="828">
        <v>1</v>
      </c>
    </row>
    <row r="160" hidden="1">
      <c r="B160" s="829" t="s">
        <v>109</v>
      </c>
      <c r="C160" s="823">
        <v>1</v>
      </c>
      <c r="D160" s="823">
        <v>3</v>
      </c>
      <c r="E160" s="823">
        <v>3</v>
      </c>
      <c r="F160" s="823">
        <v>2</v>
      </c>
      <c r="G160" s="823">
        <v>2</v>
      </c>
      <c r="H160" s="823">
        <v>2</v>
      </c>
      <c r="I160" s="823">
        <v>2</v>
      </c>
      <c r="J160" s="823">
        <v>2</v>
      </c>
      <c r="K160" s="823">
        <v>2</v>
      </c>
      <c r="L160" s="823">
        <v>2</v>
      </c>
      <c r="M160" s="823">
        <v>2</v>
      </c>
      <c r="N160" s="823">
        <v>2</v>
      </c>
      <c r="O160" s="823">
        <v>2</v>
      </c>
      <c r="P160" s="823">
        <v>2</v>
      </c>
      <c r="Q160" s="823">
        <v>2</v>
      </c>
      <c r="R160" s="823">
        <v>2</v>
      </c>
      <c r="S160" s="823">
        <v>2</v>
      </c>
      <c r="T160" s="823">
        <v>1</v>
      </c>
      <c r="U160" s="823">
        <v>1</v>
      </c>
      <c r="V160" s="823">
        <v>1</v>
      </c>
      <c r="W160" s="823">
        <v>2</v>
      </c>
      <c r="X160" s="823">
        <v>2</v>
      </c>
      <c r="Y160" s="823">
        <v>2</v>
      </c>
      <c r="Z160" s="823">
        <v>1</v>
      </c>
      <c r="AA160" s="823">
        <v>1</v>
      </c>
      <c r="AB160" s="823">
        <v>1</v>
      </c>
      <c r="AC160" s="825">
        <v>1</v>
      </c>
      <c r="AD160" s="825">
        <v>1</v>
      </c>
      <c r="AE160" s="825">
        <v>1</v>
      </c>
      <c r="AF160" s="825">
        <v>1</v>
      </c>
      <c r="AG160" s="825">
        <v>1</v>
      </c>
      <c r="AH160" s="825">
        <v>1</v>
      </c>
      <c r="AI160" s="825">
        <v>1</v>
      </c>
      <c r="AJ160" s="825">
        <v>1</v>
      </c>
      <c r="AK160" s="825">
        <v>1</v>
      </c>
      <c r="AL160" s="825">
        <v>1</v>
      </c>
      <c r="AM160" s="825">
        <v>1</v>
      </c>
      <c r="AN160" s="825">
        <v>1</v>
      </c>
      <c r="AO160" s="825">
        <v>1</v>
      </c>
      <c r="AP160" s="825">
        <v>1</v>
      </c>
    </row>
    <row r="161" hidden="1">
      <c r="B161" s="826" t="s">
        <v>110</v>
      </c>
      <c r="C161" s="827">
        <v>3</v>
      </c>
      <c r="D161" s="827">
        <v>3</v>
      </c>
      <c r="E161" s="827">
        <v>3</v>
      </c>
      <c r="F161" s="827">
        <v>3</v>
      </c>
      <c r="G161" s="827">
        <v>3</v>
      </c>
      <c r="H161" s="827">
        <v>3</v>
      </c>
      <c r="I161" s="827">
        <v>2</v>
      </c>
      <c r="J161" s="827">
        <v>2</v>
      </c>
      <c r="K161" s="827">
        <v>2</v>
      </c>
      <c r="L161" s="827">
        <v>2</v>
      </c>
      <c r="M161" s="827">
        <v>3</v>
      </c>
      <c r="N161" s="827">
        <v>2</v>
      </c>
      <c r="O161" s="827">
        <v>1</v>
      </c>
      <c r="P161" s="827">
        <v>1</v>
      </c>
      <c r="Q161" s="827">
        <v>1</v>
      </c>
      <c r="R161" s="827">
        <v>1</v>
      </c>
      <c r="S161" s="827">
        <v>2</v>
      </c>
      <c r="T161" s="827">
        <v>3</v>
      </c>
      <c r="U161" s="827">
        <v>2</v>
      </c>
      <c r="V161" s="827">
        <v>2</v>
      </c>
      <c r="W161" s="827">
        <v>1</v>
      </c>
      <c r="X161" s="827">
        <v>1</v>
      </c>
      <c r="Y161" s="827">
        <v>2</v>
      </c>
      <c r="Z161" s="827">
        <v>2</v>
      </c>
      <c r="AA161" s="827">
        <v>2</v>
      </c>
      <c r="AB161" s="827">
        <v>2</v>
      </c>
      <c r="AC161" s="828">
        <v>1</v>
      </c>
      <c r="AD161" s="828">
        <v>1</v>
      </c>
      <c r="AE161" s="828">
        <v>1</v>
      </c>
      <c r="AF161" s="828">
        <v>1</v>
      </c>
      <c r="AG161" s="828">
        <v>1</v>
      </c>
      <c r="AH161" s="828">
        <v>1</v>
      </c>
      <c r="AI161" s="828">
        <v>1</v>
      </c>
      <c r="AJ161" s="828">
        <v>1</v>
      </c>
      <c r="AK161" s="828">
        <v>2</v>
      </c>
      <c r="AL161" s="828">
        <v>2</v>
      </c>
      <c r="AM161" s="828">
        <v>2</v>
      </c>
      <c r="AN161" s="828">
        <v>2</v>
      </c>
      <c r="AO161" s="828">
        <v>2</v>
      </c>
      <c r="AP161" s="828">
        <v>1</v>
      </c>
    </row>
    <row r="162" hidden="1">
      <c r="B162" s="829" t="s">
        <v>16</v>
      </c>
      <c r="C162" s="823">
        <v>1</v>
      </c>
      <c r="D162" s="823">
        <v>2</v>
      </c>
      <c r="E162" s="823">
        <v>2</v>
      </c>
      <c r="F162" s="823">
        <v>2</v>
      </c>
      <c r="G162" s="823">
        <v>3</v>
      </c>
      <c r="H162" s="823">
        <v>3</v>
      </c>
      <c r="I162" s="823">
        <v>3</v>
      </c>
      <c r="J162" s="823">
        <v>3</v>
      </c>
      <c r="K162" s="823">
        <v>3</v>
      </c>
      <c r="L162" s="823">
        <v>3</v>
      </c>
      <c r="M162" s="823">
        <v>3</v>
      </c>
      <c r="N162" s="823">
        <v>4</v>
      </c>
      <c r="O162" s="823">
        <v>3</v>
      </c>
      <c r="P162" s="823">
        <v>3</v>
      </c>
      <c r="Q162" s="823">
        <v>3</v>
      </c>
      <c r="R162" s="823">
        <v>4</v>
      </c>
      <c r="S162" s="823">
        <v>4</v>
      </c>
      <c r="T162" s="823">
        <v>4</v>
      </c>
      <c r="U162" s="823">
        <v>4</v>
      </c>
      <c r="V162" s="823">
        <v>4</v>
      </c>
      <c r="W162" s="823">
        <v>4</v>
      </c>
      <c r="X162" s="823">
        <v>4</v>
      </c>
      <c r="Y162" s="823">
        <v>4</v>
      </c>
      <c r="Z162" s="823">
        <v>4</v>
      </c>
      <c r="AA162" s="823">
        <v>4</v>
      </c>
      <c r="AB162" s="823">
        <v>5</v>
      </c>
      <c r="AC162" s="825">
        <v>5</v>
      </c>
      <c r="AD162" s="825">
        <v>5</v>
      </c>
      <c r="AE162" s="825">
        <v>5</v>
      </c>
      <c r="AF162" s="825">
        <v>5</v>
      </c>
      <c r="AG162" s="825">
        <v>5</v>
      </c>
      <c r="AH162" s="825">
        <v>6</v>
      </c>
      <c r="AI162" s="825">
        <v>6</v>
      </c>
      <c r="AJ162" s="825">
        <v>6</v>
      </c>
      <c r="AK162" s="825">
        <v>6</v>
      </c>
      <c r="AL162" s="825">
        <v>7</v>
      </c>
      <c r="AM162" s="825">
        <v>7</v>
      </c>
      <c r="AN162" s="825">
        <v>7</v>
      </c>
      <c r="AO162" s="825">
        <v>7</v>
      </c>
      <c r="AP162" s="825">
        <v>7</v>
      </c>
    </row>
    <row r="163" hidden="1">
      <c r="B163" s="826" t="s">
        <v>17</v>
      </c>
      <c r="C163" s="827">
        <v>0</v>
      </c>
      <c r="D163" s="827">
        <v>0</v>
      </c>
      <c r="E163" s="827">
        <v>0</v>
      </c>
      <c r="F163" s="827">
        <v>0</v>
      </c>
      <c r="G163" s="827">
        <v>0</v>
      </c>
      <c r="H163" s="827">
        <v>0</v>
      </c>
      <c r="I163" s="827">
        <v>0</v>
      </c>
      <c r="J163" s="827">
        <v>0</v>
      </c>
      <c r="K163" s="827">
        <v>0</v>
      </c>
      <c r="L163" s="827">
        <v>0</v>
      </c>
      <c r="M163" s="827">
        <v>0</v>
      </c>
      <c r="N163" s="827">
        <v>0</v>
      </c>
      <c r="O163" s="827">
        <v>0</v>
      </c>
      <c r="P163" s="827">
        <v>0</v>
      </c>
      <c r="Q163" s="827">
        <v>0</v>
      </c>
      <c r="R163" s="827">
        <v>0</v>
      </c>
      <c r="S163" s="827">
        <v>0</v>
      </c>
      <c r="T163" s="827">
        <v>1</v>
      </c>
      <c r="U163" s="827">
        <v>1</v>
      </c>
      <c r="V163" s="827">
        <v>1</v>
      </c>
      <c r="W163" s="827">
        <v>1</v>
      </c>
      <c r="X163" s="827">
        <v>1</v>
      </c>
      <c r="Y163" s="827">
        <v>1</v>
      </c>
      <c r="Z163" s="827">
        <v>1</v>
      </c>
      <c r="AA163" s="827">
        <v>1</v>
      </c>
      <c r="AB163" s="827">
        <v>0</v>
      </c>
      <c r="AC163" s="828">
        <v>0</v>
      </c>
      <c r="AD163" s="828">
        <v>0</v>
      </c>
      <c r="AE163" s="828">
        <v>0</v>
      </c>
      <c r="AF163" s="828">
        <v>0</v>
      </c>
      <c r="AG163" s="828">
        <v>0</v>
      </c>
      <c r="AH163" s="828">
        <v>0</v>
      </c>
      <c r="AI163" s="828">
        <v>0</v>
      </c>
      <c r="AJ163" s="828">
        <v>0</v>
      </c>
      <c r="AK163" s="828">
        <v>0</v>
      </c>
      <c r="AL163" s="828">
        <v>0</v>
      </c>
      <c r="AM163" s="828">
        <v>0</v>
      </c>
      <c r="AN163" s="828">
        <v>0</v>
      </c>
      <c r="AO163" s="828">
        <v>0</v>
      </c>
      <c r="AP163" s="828">
        <v>0</v>
      </c>
    </row>
    <row r="164" hidden="1">
      <c r="B164" s="829" t="s">
        <v>18</v>
      </c>
      <c r="C164" s="823">
        <v>0</v>
      </c>
      <c r="D164" s="823">
        <v>0</v>
      </c>
      <c r="E164" s="823">
        <v>0</v>
      </c>
      <c r="F164" s="823">
        <v>0</v>
      </c>
      <c r="G164" s="823">
        <v>0</v>
      </c>
      <c r="H164" s="823">
        <v>0</v>
      </c>
      <c r="I164" s="823">
        <v>0</v>
      </c>
      <c r="J164" s="823">
        <v>0</v>
      </c>
      <c r="K164" s="823">
        <v>0</v>
      </c>
      <c r="L164" s="823">
        <v>0</v>
      </c>
      <c r="M164" s="823">
        <v>0</v>
      </c>
      <c r="N164" s="823">
        <v>1</v>
      </c>
      <c r="O164" s="823">
        <v>1</v>
      </c>
      <c r="P164" s="823">
        <v>1</v>
      </c>
      <c r="Q164" s="823">
        <v>1</v>
      </c>
      <c r="R164" s="823">
        <v>1</v>
      </c>
      <c r="S164" s="823">
        <v>1</v>
      </c>
      <c r="T164" s="823">
        <v>1</v>
      </c>
      <c r="U164" s="823">
        <v>1</v>
      </c>
      <c r="V164" s="823">
        <v>1</v>
      </c>
      <c r="W164" s="823">
        <v>1</v>
      </c>
      <c r="X164" s="823">
        <v>1</v>
      </c>
      <c r="Y164" s="823">
        <v>1</v>
      </c>
      <c r="Z164" s="823">
        <v>1</v>
      </c>
      <c r="AA164" s="823">
        <v>1</v>
      </c>
      <c r="AB164" s="823">
        <v>1</v>
      </c>
      <c r="AC164" s="825">
        <v>1</v>
      </c>
      <c r="AD164" s="825">
        <v>1</v>
      </c>
      <c r="AE164" s="825">
        <v>1</v>
      </c>
      <c r="AF164" s="825">
        <v>1</v>
      </c>
      <c r="AG164" s="825">
        <v>1</v>
      </c>
      <c r="AH164" s="825">
        <v>1</v>
      </c>
      <c r="AI164" s="825">
        <v>1</v>
      </c>
      <c r="AJ164" s="825">
        <v>1</v>
      </c>
      <c r="AK164" s="825">
        <v>1</v>
      </c>
      <c r="AL164" s="825">
        <v>0</v>
      </c>
      <c r="AM164" s="825">
        <v>0</v>
      </c>
      <c r="AN164" s="825">
        <v>0</v>
      </c>
      <c r="AO164" s="825">
        <v>0</v>
      </c>
      <c r="AP164" s="825">
        <v>0</v>
      </c>
    </row>
    <row r="165" hidden="1">
      <c r="B165" s="826" t="s">
        <v>19</v>
      </c>
      <c r="C165" s="827">
        <v>1</v>
      </c>
      <c r="D165" s="827">
        <v>1</v>
      </c>
      <c r="E165" s="827">
        <v>1</v>
      </c>
      <c r="F165" s="827">
        <v>1</v>
      </c>
      <c r="G165" s="827">
        <v>1</v>
      </c>
      <c r="H165" s="827">
        <v>1</v>
      </c>
      <c r="I165" s="827">
        <v>1</v>
      </c>
      <c r="J165" s="827">
        <v>1</v>
      </c>
      <c r="K165" s="827">
        <v>1</v>
      </c>
      <c r="L165" s="827">
        <v>0</v>
      </c>
      <c r="M165" s="827">
        <v>2</v>
      </c>
      <c r="N165" s="827">
        <v>2</v>
      </c>
      <c r="O165" s="827">
        <v>2</v>
      </c>
      <c r="P165" s="827">
        <v>2</v>
      </c>
      <c r="Q165" s="827">
        <v>1</v>
      </c>
      <c r="R165" s="827">
        <v>1</v>
      </c>
      <c r="S165" s="827">
        <v>1</v>
      </c>
      <c r="T165" s="827">
        <v>1</v>
      </c>
      <c r="U165" s="827">
        <v>1</v>
      </c>
      <c r="V165" s="827">
        <v>1</v>
      </c>
      <c r="W165" s="827">
        <v>1</v>
      </c>
      <c r="X165" s="827">
        <v>1</v>
      </c>
      <c r="Y165" s="827">
        <v>1</v>
      </c>
      <c r="Z165" s="827">
        <v>1</v>
      </c>
      <c r="AA165" s="827">
        <v>1</v>
      </c>
      <c r="AB165" s="827">
        <v>1</v>
      </c>
      <c r="AC165" s="828">
        <v>1</v>
      </c>
      <c r="AD165" s="828">
        <v>1</v>
      </c>
      <c r="AE165" s="828">
        <v>1</v>
      </c>
      <c r="AF165" s="828">
        <v>1</v>
      </c>
      <c r="AG165" s="828">
        <v>1</v>
      </c>
      <c r="AH165" s="828">
        <v>1</v>
      </c>
      <c r="AI165" s="828">
        <v>1</v>
      </c>
      <c r="AJ165" s="828">
        <v>1</v>
      </c>
      <c r="AK165" s="828">
        <v>1</v>
      </c>
      <c r="AL165" s="828">
        <v>1</v>
      </c>
      <c r="AM165" s="828">
        <v>1</v>
      </c>
      <c r="AN165" s="828">
        <v>1</v>
      </c>
      <c r="AO165" s="828">
        <v>1</v>
      </c>
      <c r="AP165" s="828">
        <v>1</v>
      </c>
    </row>
    <row r="166" hidden="1">
      <c r="B166" s="829" t="s">
        <v>20</v>
      </c>
      <c r="C166" s="823">
        <v>0</v>
      </c>
      <c r="D166" s="823">
        <v>0</v>
      </c>
      <c r="E166" s="823">
        <v>0</v>
      </c>
      <c r="F166" s="823">
        <v>0</v>
      </c>
      <c r="G166" s="823">
        <v>0</v>
      </c>
      <c r="H166" s="823">
        <v>0</v>
      </c>
      <c r="I166" s="823">
        <v>0</v>
      </c>
      <c r="J166" s="823">
        <v>0</v>
      </c>
      <c r="K166" s="823">
        <v>0</v>
      </c>
      <c r="L166" s="823">
        <v>0</v>
      </c>
      <c r="M166" s="823">
        <v>0</v>
      </c>
      <c r="N166" s="823">
        <v>0</v>
      </c>
      <c r="O166" s="823">
        <v>0</v>
      </c>
      <c r="P166" s="823">
        <v>0</v>
      </c>
      <c r="Q166" s="823">
        <v>0</v>
      </c>
      <c r="R166" s="823">
        <v>0</v>
      </c>
      <c r="S166" s="823">
        <v>0</v>
      </c>
      <c r="T166" s="823">
        <v>0</v>
      </c>
      <c r="U166" s="823">
        <v>0</v>
      </c>
      <c r="V166" s="823">
        <v>0</v>
      </c>
      <c r="W166" s="823">
        <v>0</v>
      </c>
      <c r="X166" s="823">
        <v>0</v>
      </c>
      <c r="Y166" s="823">
        <v>0</v>
      </c>
      <c r="Z166" s="823">
        <v>0</v>
      </c>
      <c r="AA166" s="823">
        <v>0</v>
      </c>
      <c r="AB166" s="823">
        <v>0</v>
      </c>
      <c r="AC166" s="825">
        <v>0</v>
      </c>
      <c r="AD166" s="825">
        <v>0</v>
      </c>
      <c r="AE166" s="825">
        <v>0</v>
      </c>
      <c r="AF166" s="825">
        <v>0</v>
      </c>
      <c r="AG166" s="825">
        <v>0</v>
      </c>
      <c r="AH166" s="825">
        <v>0</v>
      </c>
      <c r="AI166" s="825">
        <v>0</v>
      </c>
      <c r="AJ166" s="825">
        <v>0</v>
      </c>
      <c r="AK166" s="825">
        <v>0</v>
      </c>
      <c r="AL166" s="825">
        <v>0</v>
      </c>
      <c r="AM166" s="825">
        <v>0</v>
      </c>
      <c r="AN166" s="825">
        <v>0</v>
      </c>
      <c r="AO166" s="825">
        <v>1</v>
      </c>
      <c r="AP166" s="825">
        <v>1</v>
      </c>
    </row>
    <row r="167" hidden="1">
      <c r="B167" s="826" t="s">
        <v>21</v>
      </c>
      <c r="C167" s="827">
        <v>0</v>
      </c>
      <c r="D167" s="827">
        <v>0</v>
      </c>
      <c r="E167" s="827">
        <v>0</v>
      </c>
      <c r="F167" s="827">
        <v>0</v>
      </c>
      <c r="G167" s="827">
        <v>0</v>
      </c>
      <c r="H167" s="827">
        <v>0</v>
      </c>
      <c r="I167" s="827">
        <v>0</v>
      </c>
      <c r="J167" s="827">
        <v>0</v>
      </c>
      <c r="K167" s="827">
        <v>0</v>
      </c>
      <c r="L167" s="827">
        <v>0</v>
      </c>
      <c r="M167" s="827">
        <v>0</v>
      </c>
      <c r="N167" s="827">
        <v>0</v>
      </c>
      <c r="O167" s="827">
        <v>0</v>
      </c>
      <c r="P167" s="827">
        <v>0</v>
      </c>
      <c r="Q167" s="827">
        <v>0</v>
      </c>
      <c r="R167" s="827">
        <v>0</v>
      </c>
      <c r="S167" s="827">
        <v>0</v>
      </c>
      <c r="T167" s="827">
        <v>0</v>
      </c>
      <c r="U167" s="827">
        <v>0</v>
      </c>
      <c r="V167" s="827">
        <v>0</v>
      </c>
      <c r="W167" s="827">
        <v>0</v>
      </c>
      <c r="X167" s="827">
        <v>0</v>
      </c>
      <c r="Y167" s="827">
        <v>0</v>
      </c>
      <c r="Z167" s="827">
        <v>0</v>
      </c>
      <c r="AA167" s="827">
        <v>0</v>
      </c>
      <c r="AB167" s="827">
        <v>0</v>
      </c>
      <c r="AC167" s="828">
        <v>0</v>
      </c>
      <c r="AD167" s="828">
        <v>0</v>
      </c>
      <c r="AE167" s="828">
        <v>0</v>
      </c>
      <c r="AF167" s="828">
        <v>0</v>
      </c>
      <c r="AG167" s="828">
        <v>0</v>
      </c>
      <c r="AH167" s="828">
        <v>0</v>
      </c>
      <c r="AI167" s="828">
        <v>0</v>
      </c>
      <c r="AJ167" s="828">
        <v>0</v>
      </c>
      <c r="AK167" s="828">
        <v>0</v>
      </c>
      <c r="AL167" s="828">
        <v>0</v>
      </c>
      <c r="AM167" s="828">
        <v>0</v>
      </c>
      <c r="AN167" s="828">
        <v>0</v>
      </c>
      <c r="AO167" s="828">
        <v>0</v>
      </c>
      <c r="AP167" s="828">
        <v>0</v>
      </c>
    </row>
    <row r="168" hidden="1">
      <c r="B168" s="829" t="s">
        <v>22</v>
      </c>
      <c r="C168" s="823">
        <v>0</v>
      </c>
      <c r="D168" s="823">
        <v>0</v>
      </c>
      <c r="E168" s="823">
        <v>0</v>
      </c>
      <c r="F168" s="823">
        <v>0</v>
      </c>
      <c r="G168" s="823">
        <v>0</v>
      </c>
      <c r="H168" s="823">
        <v>0</v>
      </c>
      <c r="I168" s="823">
        <v>0</v>
      </c>
      <c r="J168" s="823">
        <v>0</v>
      </c>
      <c r="K168" s="823">
        <v>0</v>
      </c>
      <c r="L168" s="823">
        <v>0</v>
      </c>
      <c r="M168" s="823">
        <v>0</v>
      </c>
      <c r="N168" s="823">
        <v>0</v>
      </c>
      <c r="O168" s="823">
        <v>0</v>
      </c>
      <c r="P168" s="823">
        <v>0</v>
      </c>
      <c r="Q168" s="823">
        <v>0</v>
      </c>
      <c r="R168" s="823">
        <v>0</v>
      </c>
      <c r="S168" s="823">
        <v>0</v>
      </c>
      <c r="T168" s="823">
        <v>0</v>
      </c>
      <c r="U168" s="823">
        <v>0</v>
      </c>
      <c r="V168" s="823">
        <v>0</v>
      </c>
      <c r="W168" s="823">
        <v>2</v>
      </c>
      <c r="X168" s="823">
        <v>2</v>
      </c>
      <c r="Y168" s="823">
        <v>2</v>
      </c>
      <c r="Z168" s="823">
        <v>1</v>
      </c>
      <c r="AA168" s="823">
        <v>1</v>
      </c>
      <c r="AB168" s="823">
        <v>1</v>
      </c>
      <c r="AC168" s="825">
        <v>0</v>
      </c>
      <c r="AD168" s="825">
        <v>0</v>
      </c>
      <c r="AE168" s="825">
        <v>0</v>
      </c>
      <c r="AF168" s="825">
        <v>0</v>
      </c>
      <c r="AG168" s="825">
        <v>0</v>
      </c>
      <c r="AH168" s="825">
        <v>0</v>
      </c>
      <c r="AI168" s="825">
        <v>0</v>
      </c>
      <c r="AJ168" s="825">
        <v>0</v>
      </c>
      <c r="AK168" s="825">
        <v>0</v>
      </c>
      <c r="AL168" s="825">
        <v>0</v>
      </c>
      <c r="AM168" s="825">
        <v>0</v>
      </c>
      <c r="AN168" s="825">
        <v>0</v>
      </c>
      <c r="AO168" s="825">
        <v>0</v>
      </c>
      <c r="AP168" s="825">
        <v>0</v>
      </c>
    </row>
    <row r="169" hidden="1">
      <c r="B169" s="826" t="s">
        <v>23</v>
      </c>
      <c r="C169" s="827">
        <v>0</v>
      </c>
      <c r="D169" s="827">
        <v>0</v>
      </c>
      <c r="E169" s="827">
        <v>0</v>
      </c>
      <c r="F169" s="827">
        <v>0</v>
      </c>
      <c r="G169" s="827">
        <v>0</v>
      </c>
      <c r="H169" s="827">
        <v>0</v>
      </c>
      <c r="I169" s="827">
        <v>0</v>
      </c>
      <c r="J169" s="827">
        <v>0</v>
      </c>
      <c r="K169" s="827">
        <v>0</v>
      </c>
      <c r="L169" s="827">
        <v>1</v>
      </c>
      <c r="M169" s="827">
        <v>0</v>
      </c>
      <c r="N169" s="827">
        <v>0</v>
      </c>
      <c r="O169" s="827">
        <v>0</v>
      </c>
      <c r="P169" s="827">
        <v>0</v>
      </c>
      <c r="Q169" s="827">
        <v>0</v>
      </c>
      <c r="R169" s="827">
        <v>0</v>
      </c>
      <c r="S169" s="827">
        <v>0</v>
      </c>
      <c r="T169" s="827">
        <v>0</v>
      </c>
      <c r="U169" s="827">
        <v>0</v>
      </c>
      <c r="V169" s="827">
        <v>0</v>
      </c>
      <c r="W169" s="827">
        <v>0</v>
      </c>
      <c r="X169" s="827">
        <v>0</v>
      </c>
      <c r="Y169" s="827">
        <v>0</v>
      </c>
      <c r="Z169" s="827">
        <v>0</v>
      </c>
      <c r="AA169" s="827">
        <v>0</v>
      </c>
      <c r="AB169" s="827">
        <v>0</v>
      </c>
      <c r="AC169" s="828">
        <v>0</v>
      </c>
      <c r="AD169" s="828">
        <v>0</v>
      </c>
      <c r="AE169" s="828">
        <v>0</v>
      </c>
      <c r="AF169" s="828">
        <v>0</v>
      </c>
      <c r="AG169" s="828">
        <v>0</v>
      </c>
      <c r="AH169" s="828">
        <v>0</v>
      </c>
      <c r="AI169" s="828">
        <v>0</v>
      </c>
      <c r="AJ169" s="828">
        <v>0</v>
      </c>
      <c r="AK169" s="828">
        <v>0</v>
      </c>
      <c r="AL169" s="828">
        <v>0</v>
      </c>
      <c r="AM169" s="828">
        <v>0</v>
      </c>
      <c r="AN169" s="828">
        <v>0</v>
      </c>
      <c r="AO169" s="828">
        <v>0</v>
      </c>
      <c r="AP169" s="828">
        <v>0</v>
      </c>
    </row>
    <row r="170" hidden="1">
      <c r="B170" s="830" t="s">
        <v>24</v>
      </c>
      <c r="C170" s="823">
        <v>0</v>
      </c>
      <c r="D170" s="823">
        <v>0</v>
      </c>
      <c r="E170" s="823">
        <v>0</v>
      </c>
      <c r="F170" s="823">
        <v>0</v>
      </c>
      <c r="G170" s="823">
        <v>0</v>
      </c>
      <c r="H170" s="823">
        <v>0</v>
      </c>
      <c r="I170" s="823">
        <v>0</v>
      </c>
      <c r="J170" s="823">
        <v>0</v>
      </c>
      <c r="K170" s="823">
        <v>0</v>
      </c>
      <c r="L170" s="823">
        <v>0</v>
      </c>
      <c r="M170" s="823">
        <v>0</v>
      </c>
      <c r="N170" s="823">
        <v>0</v>
      </c>
      <c r="O170" s="823">
        <v>0</v>
      </c>
      <c r="P170" s="823">
        <v>0</v>
      </c>
      <c r="Q170" s="823">
        <v>0</v>
      </c>
      <c r="R170" s="823">
        <v>0</v>
      </c>
      <c r="S170" s="823">
        <v>0</v>
      </c>
      <c r="T170" s="823">
        <v>0</v>
      </c>
      <c r="U170" s="823">
        <v>0</v>
      </c>
      <c r="V170" s="823">
        <v>0</v>
      </c>
      <c r="W170" s="823">
        <v>0</v>
      </c>
      <c r="X170" s="823">
        <v>0</v>
      </c>
      <c r="Y170" s="823">
        <v>0</v>
      </c>
      <c r="Z170" s="823">
        <v>0</v>
      </c>
      <c r="AA170" s="823">
        <v>0</v>
      </c>
      <c r="AB170" s="823">
        <v>0</v>
      </c>
      <c r="AC170" s="825">
        <v>1</v>
      </c>
      <c r="AD170" s="825">
        <v>1</v>
      </c>
      <c r="AE170" s="825">
        <v>1</v>
      </c>
      <c r="AF170" s="825">
        <v>1</v>
      </c>
      <c r="AG170" s="825">
        <v>2</v>
      </c>
      <c r="AH170" s="825">
        <v>2</v>
      </c>
      <c r="AI170" s="825">
        <v>1</v>
      </c>
      <c r="AJ170" s="825">
        <v>1</v>
      </c>
      <c r="AK170" s="825">
        <v>1</v>
      </c>
      <c r="AL170" s="825">
        <v>1</v>
      </c>
      <c r="AM170" s="825">
        <v>1</v>
      </c>
      <c r="AN170" s="825">
        <v>1</v>
      </c>
      <c r="AO170" s="825">
        <v>1</v>
      </c>
      <c r="AP170" s="825">
        <v>1</v>
      </c>
    </row>
    <row r="171" hidden="1">
      <c r="B171" s="826" t="s">
        <v>25</v>
      </c>
      <c r="C171" s="827">
        <v>0</v>
      </c>
      <c r="D171" s="827">
        <v>0</v>
      </c>
      <c r="E171" s="827">
        <v>0</v>
      </c>
      <c r="F171" s="827">
        <v>0</v>
      </c>
      <c r="G171" s="827">
        <v>0</v>
      </c>
      <c r="H171" s="827">
        <v>0</v>
      </c>
      <c r="I171" s="827">
        <v>0</v>
      </c>
      <c r="J171" s="827">
        <v>0</v>
      </c>
      <c r="K171" s="827">
        <v>0</v>
      </c>
      <c r="L171" s="827">
        <v>0</v>
      </c>
      <c r="M171" s="827">
        <v>0</v>
      </c>
      <c r="N171" s="827">
        <v>0</v>
      </c>
      <c r="O171" s="827">
        <v>0</v>
      </c>
      <c r="P171" s="827">
        <v>0</v>
      </c>
      <c r="Q171" s="827">
        <v>0</v>
      </c>
      <c r="R171" s="827">
        <v>0</v>
      </c>
      <c r="S171" s="827">
        <v>0</v>
      </c>
      <c r="T171" s="827">
        <v>0</v>
      </c>
      <c r="U171" s="827">
        <v>0</v>
      </c>
      <c r="V171" s="827">
        <v>0</v>
      </c>
      <c r="W171" s="827">
        <v>0</v>
      </c>
      <c r="X171" s="827">
        <v>0</v>
      </c>
      <c r="Y171" s="827">
        <v>0</v>
      </c>
      <c r="Z171" s="827">
        <v>0</v>
      </c>
      <c r="AA171" s="827">
        <v>0</v>
      </c>
      <c r="AB171" s="827">
        <v>0</v>
      </c>
      <c r="AC171" s="828">
        <v>0</v>
      </c>
      <c r="AD171" s="828">
        <v>0</v>
      </c>
      <c r="AE171" s="828">
        <v>0</v>
      </c>
      <c r="AF171" s="828">
        <v>0</v>
      </c>
      <c r="AG171" s="828">
        <v>0</v>
      </c>
      <c r="AH171" s="828">
        <v>0</v>
      </c>
      <c r="AI171" s="828">
        <v>0</v>
      </c>
      <c r="AJ171" s="828">
        <v>0</v>
      </c>
      <c r="AK171" s="828">
        <v>0</v>
      </c>
      <c r="AL171" s="828">
        <v>0</v>
      </c>
      <c r="AM171" s="828">
        <v>0</v>
      </c>
      <c r="AN171" s="828">
        <v>0</v>
      </c>
      <c r="AO171" s="828">
        <v>0</v>
      </c>
      <c r="AP171" s="828">
        <v>0</v>
      </c>
    </row>
    <row r="172" hidden="1" ht="13.5">
      <c r="B172" s="831" t="s">
        <v>26</v>
      </c>
      <c r="C172" s="823">
        <v>0</v>
      </c>
      <c r="D172" s="823">
        <v>0</v>
      </c>
      <c r="E172" s="823">
        <v>0</v>
      </c>
      <c r="F172" s="823">
        <v>0</v>
      </c>
      <c r="G172" s="823">
        <v>0</v>
      </c>
      <c r="H172" s="823">
        <v>0</v>
      </c>
      <c r="I172" s="823">
        <v>0</v>
      </c>
      <c r="J172" s="823">
        <v>0</v>
      </c>
      <c r="K172" s="823">
        <v>0</v>
      </c>
      <c r="L172" s="823">
        <v>0</v>
      </c>
      <c r="M172" s="823">
        <v>0</v>
      </c>
      <c r="N172" s="823">
        <v>0</v>
      </c>
      <c r="O172" s="823">
        <v>0</v>
      </c>
      <c r="P172" s="823">
        <v>0</v>
      </c>
      <c r="Q172" s="823">
        <v>0</v>
      </c>
      <c r="R172" s="823">
        <v>0</v>
      </c>
      <c r="S172" s="823">
        <v>0</v>
      </c>
      <c r="T172" s="823">
        <v>0</v>
      </c>
      <c r="U172" s="823">
        <v>0</v>
      </c>
      <c r="V172" s="823">
        <v>0</v>
      </c>
      <c r="W172" s="823">
        <v>0</v>
      </c>
      <c r="X172" s="823">
        <v>0</v>
      </c>
      <c r="Y172" s="823">
        <v>0</v>
      </c>
      <c r="Z172" s="823">
        <v>0</v>
      </c>
      <c r="AA172" s="823">
        <v>0</v>
      </c>
      <c r="AB172" s="832">
        <v>0</v>
      </c>
      <c r="AC172" s="825">
        <v>0</v>
      </c>
      <c r="AD172" s="825">
        <v>0</v>
      </c>
      <c r="AE172" s="825">
        <v>0</v>
      </c>
      <c r="AF172" s="825">
        <v>0</v>
      </c>
      <c r="AG172" s="825">
        <v>0</v>
      </c>
      <c r="AH172" s="825">
        <v>0</v>
      </c>
      <c r="AI172" s="825">
        <v>0</v>
      </c>
      <c r="AJ172" s="825">
        <v>0</v>
      </c>
      <c r="AK172" s="825">
        <v>0</v>
      </c>
      <c r="AL172" s="825">
        <v>0</v>
      </c>
      <c r="AM172" s="825">
        <v>0</v>
      </c>
      <c r="AN172" s="825">
        <v>0</v>
      </c>
      <c r="AO172" s="825">
        <v>0</v>
      </c>
      <c r="AP172" s="825">
        <v>0</v>
      </c>
    </row>
    <row r="173" hidden="1" ht="13.5">
      <c r="B173" s="128" t="s">
        <v>7</v>
      </c>
      <c r="C173" s="129" t="str">
        <f>IF(SUM(C154:C172)&lt;&gt;0,SUM(C154:C172),"")</f>
      </c>
      <c r="D173" s="129" t="str">
        <f ref="D173:AA173" t="shared" si="10">IF(SUM(D154:D172)&lt;&gt;0,SUM(D154:D172),"")</f>
      </c>
      <c r="E173" s="129" t="str">
        <f t="shared" si="10"/>
      </c>
      <c r="F173" s="129" t="str">
        <f t="shared" si="10"/>
      </c>
      <c r="G173" s="129" t="str">
        <f t="shared" si="10"/>
      </c>
      <c r="H173" s="129" t="str">
        <f t="shared" si="10"/>
      </c>
      <c r="I173" s="129" t="str">
        <f t="shared" si="10"/>
      </c>
      <c r="J173" s="129" t="str">
        <f t="shared" si="10"/>
      </c>
      <c r="K173" s="129" t="str">
        <f t="shared" si="10"/>
      </c>
      <c r="L173" s="129" t="str">
        <f t="shared" si="10"/>
      </c>
      <c r="M173" s="129" t="str">
        <f t="shared" si="10"/>
      </c>
      <c r="N173" s="129" t="str">
        <f t="shared" si="10"/>
      </c>
      <c r="O173" s="129" t="str">
        <f t="shared" si="10"/>
      </c>
      <c r="P173" s="129" t="str">
        <f t="shared" si="10"/>
      </c>
      <c r="Q173" s="129" t="str">
        <f t="shared" si="10"/>
      </c>
      <c r="R173" s="129" t="str">
        <f t="shared" si="10"/>
      </c>
      <c r="S173" s="129" t="str">
        <f t="shared" si="10"/>
      </c>
      <c r="T173" s="129" t="str">
        <f t="shared" si="10"/>
      </c>
      <c r="U173" s="129" t="str">
        <f t="shared" si="10"/>
      </c>
      <c r="V173" s="129" t="str">
        <f t="shared" si="10"/>
      </c>
      <c r="W173" s="129" t="str">
        <f t="shared" si="10"/>
      </c>
      <c r="X173" s="129" t="str">
        <f t="shared" si="10"/>
      </c>
      <c r="Y173" s="129" t="str">
        <f t="shared" si="10"/>
      </c>
      <c r="Z173" s="129" t="str">
        <f t="shared" si="10"/>
      </c>
      <c r="AA173" s="129" t="str">
        <f t="shared" si="10"/>
      </c>
      <c r="AB173" s="130" t="str">
        <f>IF(SUM(AB154:AB172)&lt;&gt;0,SUM(AB154:AB172),"")</f>
      </c>
      <c r="AC173" s="91" t="str">
        <f ref="AC173:CN173" t="shared" si="11">IF(SUM(AC154:AC172)&lt;&gt;0,SUM(AC154:AC172),"")</f>
      </c>
      <c r="AD173" s="91" t="str">
        <f t="shared" si="11"/>
      </c>
      <c r="AE173" s="91" t="str">
        <f t="shared" si="11"/>
      </c>
      <c r="AF173" s="91" t="str">
        <f t="shared" si="11"/>
      </c>
      <c r="AG173" s="91" t="str">
        <f t="shared" si="11"/>
      </c>
      <c r="AH173" s="91" t="str">
        <f t="shared" si="11"/>
      </c>
      <c r="AI173" s="91" t="str">
        <f t="shared" si="11"/>
      </c>
      <c r="AJ173" s="91" t="str">
        <f t="shared" si="11"/>
      </c>
      <c r="AK173" s="91" t="str">
        <f t="shared" si="11"/>
      </c>
      <c r="AL173" s="91" t="str">
        <f t="shared" si="11"/>
      </c>
      <c r="AM173" s="91" t="str">
        <f t="shared" si="11"/>
      </c>
      <c r="AN173" s="91" t="str">
        <f t="shared" si="11"/>
      </c>
      <c r="AO173" s="91" t="str">
        <f t="shared" si="11"/>
      </c>
      <c r="AP173" s="91" t="str">
        <f t="shared" si="11"/>
      </c>
      <c r="AQ173" s="91" t="str">
        <f t="shared" si="11"/>
      </c>
      <c r="AR173" s="91" t="str">
        <f t="shared" si="11"/>
      </c>
      <c r="AS173" s="91" t="str">
        <f t="shared" si="11"/>
      </c>
      <c r="AT173" s="91" t="str">
        <f t="shared" si="11"/>
      </c>
      <c r="AU173" s="91" t="str">
        <f t="shared" si="11"/>
      </c>
      <c r="AV173" s="91" t="str">
        <f t="shared" si="11"/>
      </c>
      <c r="AW173" s="91" t="str">
        <f t="shared" si="11"/>
      </c>
      <c r="AX173" s="91" t="str">
        <f t="shared" si="11"/>
      </c>
      <c r="AY173" s="91" t="str">
        <f t="shared" si="11"/>
      </c>
      <c r="AZ173" s="91" t="str">
        <f t="shared" si="11"/>
      </c>
      <c r="BA173" s="91" t="str">
        <f t="shared" si="11"/>
      </c>
      <c r="BB173" s="91" t="str">
        <f t="shared" si="11"/>
      </c>
      <c r="BC173" s="91" t="str">
        <f t="shared" si="11"/>
      </c>
      <c r="BD173" s="91" t="str">
        <f t="shared" si="11"/>
      </c>
      <c r="BE173" s="91" t="str">
        <f t="shared" si="11"/>
      </c>
      <c r="BF173" s="91" t="str">
        <f t="shared" si="11"/>
      </c>
      <c r="BG173" s="91" t="str">
        <f t="shared" si="11"/>
      </c>
      <c r="BH173" s="91" t="str">
        <f t="shared" si="11"/>
      </c>
      <c r="BI173" s="91" t="str">
        <f t="shared" si="11"/>
      </c>
      <c r="BJ173" s="91" t="str">
        <f t="shared" si="11"/>
      </c>
      <c r="BK173" s="91" t="str">
        <f t="shared" si="11"/>
      </c>
      <c r="BL173" s="91" t="str">
        <f t="shared" si="11"/>
      </c>
      <c r="BM173" s="91" t="str">
        <f t="shared" si="11"/>
      </c>
      <c r="BN173" s="91" t="str">
        <f t="shared" si="11"/>
      </c>
      <c r="BO173" s="91" t="str">
        <f t="shared" si="11"/>
      </c>
      <c r="BP173" s="91" t="str">
        <f t="shared" si="11"/>
      </c>
      <c r="BQ173" s="91" t="str">
        <f t="shared" si="11"/>
      </c>
      <c r="BR173" s="91" t="str">
        <f t="shared" si="11"/>
      </c>
      <c r="BS173" s="91" t="str">
        <f t="shared" si="11"/>
      </c>
      <c r="BT173" s="91" t="str">
        <f t="shared" si="11"/>
      </c>
      <c r="BU173" s="91" t="str">
        <f t="shared" si="11"/>
      </c>
      <c r="BV173" s="91" t="str">
        <f t="shared" si="11"/>
      </c>
      <c r="BW173" s="91" t="str">
        <f t="shared" si="11"/>
      </c>
      <c r="BX173" s="91" t="str">
        <f t="shared" si="11"/>
      </c>
      <c r="BY173" s="91" t="str">
        <f t="shared" si="11"/>
      </c>
      <c r="BZ173" s="91" t="str">
        <f t="shared" si="11"/>
      </c>
      <c r="CA173" s="91" t="str">
        <f t="shared" si="11"/>
      </c>
      <c r="CB173" s="91" t="str">
        <f t="shared" si="11"/>
      </c>
      <c r="CC173" s="91" t="str">
        <f t="shared" si="11"/>
      </c>
      <c r="CD173" s="91" t="str">
        <f t="shared" si="11"/>
      </c>
      <c r="CE173" s="91" t="str">
        <f t="shared" si="11"/>
      </c>
      <c r="CF173" s="91" t="str">
        <f t="shared" si="11"/>
      </c>
      <c r="CG173" s="91" t="str">
        <f t="shared" si="11"/>
      </c>
      <c r="CH173" s="91" t="str">
        <f t="shared" si="11"/>
      </c>
      <c r="CI173" s="91" t="str">
        <f t="shared" si="11"/>
      </c>
      <c r="CJ173" s="91" t="str">
        <f t="shared" si="11"/>
      </c>
      <c r="CK173" s="91" t="str">
        <f t="shared" si="11"/>
      </c>
      <c r="CL173" s="91" t="str">
        <f t="shared" si="11"/>
      </c>
      <c r="CM173" s="91" t="str">
        <f t="shared" si="11"/>
      </c>
      <c r="CN173" s="91" t="str">
        <f t="shared" si="11"/>
      </c>
      <c r="CO173" s="91" t="str">
        <f ref="CO173:EZ173" t="shared" si="12">IF(SUM(CO154:CO172)&lt;&gt;0,SUM(CO154:CO172),"")</f>
      </c>
      <c r="CP173" s="91" t="str">
        <f t="shared" si="12"/>
      </c>
      <c r="CQ173" s="91" t="str">
        <f t="shared" si="12"/>
      </c>
      <c r="CR173" s="91" t="str">
        <f t="shared" si="12"/>
      </c>
      <c r="CS173" s="91" t="str">
        <f t="shared" si="12"/>
      </c>
      <c r="CT173" s="91" t="str">
        <f t="shared" si="12"/>
      </c>
      <c r="CU173" s="91" t="str">
        <f t="shared" si="12"/>
      </c>
      <c r="CV173" s="91" t="str">
        <f t="shared" si="12"/>
      </c>
      <c r="CW173" s="91" t="str">
        <f t="shared" si="12"/>
      </c>
      <c r="CX173" s="91" t="str">
        <f t="shared" si="12"/>
      </c>
      <c r="CY173" s="91" t="str">
        <f t="shared" si="12"/>
      </c>
      <c r="CZ173" s="91" t="str">
        <f t="shared" si="12"/>
      </c>
      <c r="DA173" s="91" t="str">
        <f t="shared" si="12"/>
      </c>
      <c r="DB173" s="91" t="str">
        <f t="shared" si="12"/>
      </c>
      <c r="DC173" s="91" t="str">
        <f t="shared" si="12"/>
      </c>
      <c r="DD173" s="91" t="str">
        <f t="shared" si="12"/>
      </c>
      <c r="DE173" s="91" t="str">
        <f t="shared" si="12"/>
      </c>
      <c r="DF173" s="91" t="str">
        <f t="shared" si="12"/>
      </c>
      <c r="DG173" s="91" t="str">
        <f t="shared" si="12"/>
      </c>
      <c r="DH173" s="91" t="str">
        <f t="shared" si="12"/>
      </c>
      <c r="DI173" s="91" t="str">
        <f t="shared" si="12"/>
      </c>
      <c r="DJ173" s="91" t="str">
        <f t="shared" si="12"/>
      </c>
      <c r="DK173" s="91" t="str">
        <f t="shared" si="12"/>
      </c>
      <c r="DL173" s="91" t="str">
        <f t="shared" si="12"/>
      </c>
      <c r="DM173" s="91" t="str">
        <f t="shared" si="12"/>
      </c>
      <c r="DN173" s="91" t="str">
        <f t="shared" si="12"/>
      </c>
      <c r="DO173" s="91" t="str">
        <f t="shared" si="12"/>
      </c>
      <c r="DP173" s="91" t="str">
        <f t="shared" si="12"/>
      </c>
      <c r="DQ173" s="91" t="str">
        <f t="shared" si="12"/>
      </c>
      <c r="DR173" s="91" t="str">
        <f t="shared" si="12"/>
      </c>
      <c r="DS173" s="91" t="str">
        <f t="shared" si="12"/>
      </c>
      <c r="DT173" s="91" t="str">
        <f t="shared" si="12"/>
      </c>
      <c r="DU173" s="91" t="str">
        <f t="shared" si="12"/>
      </c>
      <c r="DV173" s="91" t="str">
        <f t="shared" si="12"/>
      </c>
      <c r="DW173" s="91" t="str">
        <f t="shared" si="12"/>
      </c>
      <c r="DX173" s="91" t="str">
        <f t="shared" si="12"/>
      </c>
      <c r="DY173" s="91" t="str">
        <f t="shared" si="12"/>
      </c>
      <c r="DZ173" s="91" t="str">
        <f t="shared" si="12"/>
      </c>
      <c r="EA173" s="91" t="str">
        <f t="shared" si="12"/>
      </c>
      <c r="EB173" s="91" t="str">
        <f t="shared" si="12"/>
      </c>
      <c r="EC173" s="91" t="str">
        <f t="shared" si="12"/>
      </c>
      <c r="ED173" s="91" t="str">
        <f t="shared" si="12"/>
      </c>
      <c r="EE173" s="91" t="str">
        <f t="shared" si="12"/>
      </c>
      <c r="EF173" s="91" t="str">
        <f t="shared" si="12"/>
      </c>
      <c r="EG173" s="91" t="str">
        <f t="shared" si="12"/>
      </c>
      <c r="EH173" s="91" t="str">
        <f t="shared" si="12"/>
      </c>
      <c r="EI173" s="91" t="str">
        <f t="shared" si="12"/>
      </c>
      <c r="EJ173" s="91" t="str">
        <f t="shared" si="12"/>
      </c>
      <c r="EK173" s="91" t="str">
        <f t="shared" si="12"/>
      </c>
      <c r="EL173" s="91" t="str">
        <f t="shared" si="12"/>
      </c>
      <c r="EM173" s="91" t="str">
        <f t="shared" si="12"/>
      </c>
      <c r="EN173" s="91" t="str">
        <f t="shared" si="12"/>
      </c>
      <c r="EO173" s="91" t="str">
        <f t="shared" si="12"/>
      </c>
      <c r="EP173" s="91" t="str">
        <f t="shared" si="12"/>
      </c>
      <c r="EQ173" s="91" t="str">
        <f t="shared" si="12"/>
      </c>
      <c r="ER173" s="91" t="str">
        <f t="shared" si="12"/>
      </c>
      <c r="ES173" s="91" t="str">
        <f t="shared" si="12"/>
      </c>
      <c r="ET173" s="91" t="str">
        <f t="shared" si="12"/>
      </c>
      <c r="EU173" s="91" t="str">
        <f t="shared" si="12"/>
      </c>
      <c r="EV173" s="91" t="str">
        <f t="shared" si="12"/>
      </c>
      <c r="EW173" s="91" t="str">
        <f t="shared" si="12"/>
      </c>
      <c r="EX173" s="91" t="str">
        <f t="shared" si="12"/>
      </c>
      <c r="EY173" s="91" t="str">
        <f t="shared" si="12"/>
      </c>
      <c r="EZ173" s="91" t="str">
        <f t="shared" si="12"/>
      </c>
      <c r="FA173" s="91" t="str">
        <f ref="FA173:HL173" t="shared" si="13">IF(SUM(FA154:FA172)&lt;&gt;0,SUM(FA154:FA172),"")</f>
      </c>
      <c r="FB173" s="91" t="str">
        <f t="shared" si="13"/>
      </c>
      <c r="FC173" s="91" t="str">
        <f t="shared" si="13"/>
      </c>
      <c r="FD173" s="91" t="str">
        <f t="shared" si="13"/>
      </c>
      <c r="FE173" s="91" t="str">
        <f t="shared" si="13"/>
      </c>
      <c r="FF173" s="91" t="str">
        <f t="shared" si="13"/>
      </c>
      <c r="FG173" s="91" t="str">
        <f t="shared" si="13"/>
      </c>
      <c r="FH173" s="91" t="str">
        <f t="shared" si="13"/>
      </c>
      <c r="FI173" s="91" t="str">
        <f t="shared" si="13"/>
      </c>
      <c r="FJ173" s="91" t="str">
        <f t="shared" si="13"/>
      </c>
      <c r="FK173" s="91" t="str">
        <f t="shared" si="13"/>
      </c>
      <c r="FL173" s="91" t="str">
        <f t="shared" si="13"/>
      </c>
      <c r="FM173" s="91" t="str">
        <f t="shared" si="13"/>
      </c>
      <c r="FN173" s="91" t="str">
        <f t="shared" si="13"/>
      </c>
      <c r="FO173" s="91" t="str">
        <f t="shared" si="13"/>
      </c>
      <c r="FP173" s="91" t="str">
        <f t="shared" si="13"/>
      </c>
      <c r="FQ173" s="91" t="str">
        <f t="shared" si="13"/>
      </c>
      <c r="FR173" s="91" t="str">
        <f t="shared" si="13"/>
      </c>
      <c r="FS173" s="91" t="str">
        <f t="shared" si="13"/>
      </c>
      <c r="FT173" s="91" t="str">
        <f t="shared" si="13"/>
      </c>
      <c r="FU173" s="91" t="str">
        <f t="shared" si="13"/>
      </c>
      <c r="FV173" s="91" t="str">
        <f t="shared" si="13"/>
      </c>
      <c r="FW173" s="91" t="str">
        <f t="shared" si="13"/>
      </c>
      <c r="FX173" s="91" t="str">
        <f t="shared" si="13"/>
      </c>
      <c r="FY173" s="91" t="str">
        <f t="shared" si="13"/>
      </c>
      <c r="FZ173" s="91" t="str">
        <f t="shared" si="13"/>
      </c>
      <c r="GA173" s="91" t="str">
        <f t="shared" si="13"/>
      </c>
      <c r="GB173" s="91" t="str">
        <f t="shared" si="13"/>
      </c>
      <c r="GC173" s="91" t="str">
        <f t="shared" si="13"/>
      </c>
      <c r="GD173" s="91" t="str">
        <f t="shared" si="13"/>
      </c>
      <c r="GE173" s="91" t="str">
        <f t="shared" si="13"/>
      </c>
      <c r="GF173" s="91" t="str">
        <f t="shared" si="13"/>
      </c>
      <c r="GG173" s="91" t="str">
        <f t="shared" si="13"/>
      </c>
      <c r="GH173" s="91" t="str">
        <f t="shared" si="13"/>
      </c>
      <c r="GI173" s="91" t="str">
        <f t="shared" si="13"/>
      </c>
      <c r="GJ173" s="91" t="str">
        <f t="shared" si="13"/>
      </c>
      <c r="GK173" s="91" t="str">
        <f t="shared" si="13"/>
      </c>
      <c r="GL173" s="91" t="str">
        <f t="shared" si="13"/>
      </c>
      <c r="GM173" s="91" t="str">
        <f t="shared" si="13"/>
      </c>
      <c r="GN173" s="91" t="str">
        <f t="shared" si="13"/>
      </c>
      <c r="GO173" s="91" t="str">
        <f t="shared" si="13"/>
      </c>
      <c r="GP173" s="91" t="str">
        <f t="shared" si="13"/>
      </c>
      <c r="GQ173" s="91" t="str">
        <f t="shared" si="13"/>
      </c>
      <c r="GR173" s="91" t="str">
        <f t="shared" si="13"/>
      </c>
      <c r="GS173" s="91" t="str">
        <f t="shared" si="13"/>
      </c>
      <c r="GT173" s="91" t="str">
        <f t="shared" si="13"/>
      </c>
      <c r="GU173" s="91" t="str">
        <f t="shared" si="13"/>
      </c>
      <c r="GV173" s="91" t="str">
        <f t="shared" si="13"/>
      </c>
      <c r="GW173" s="91" t="str">
        <f t="shared" si="13"/>
      </c>
      <c r="GX173" s="91" t="str">
        <f t="shared" si="13"/>
      </c>
      <c r="GY173" s="91" t="str">
        <f t="shared" si="13"/>
      </c>
      <c r="GZ173" s="91" t="str">
        <f t="shared" si="13"/>
      </c>
      <c r="HA173" s="91" t="str">
        <f t="shared" si="13"/>
      </c>
      <c r="HB173" s="91" t="str">
        <f t="shared" si="13"/>
      </c>
      <c r="HC173" s="91" t="str">
        <f t="shared" si="13"/>
      </c>
      <c r="HD173" s="91" t="str">
        <f t="shared" si="13"/>
      </c>
      <c r="HE173" s="91" t="str">
        <f t="shared" si="13"/>
      </c>
      <c r="HF173" s="91" t="str">
        <f t="shared" si="13"/>
      </c>
      <c r="HG173" s="91" t="str">
        <f t="shared" si="13"/>
      </c>
      <c r="HH173" s="91" t="str">
        <f t="shared" si="13"/>
      </c>
      <c r="HI173" s="91" t="str">
        <f t="shared" si="13"/>
      </c>
      <c r="HJ173" s="91" t="str">
        <f t="shared" si="13"/>
      </c>
      <c r="HK173" s="91" t="str">
        <f t="shared" si="13"/>
      </c>
      <c r="HL173" s="91" t="str">
        <f t="shared" si="13"/>
      </c>
      <c r="HM173" s="91" t="str">
        <f ref="HM173:IV173" t="shared" si="14">IF(SUM(HM154:HM172)&lt;&gt;0,SUM(HM154:HM172),"")</f>
      </c>
      <c r="HN173" s="91" t="str">
        <f t="shared" si="14"/>
      </c>
      <c r="HO173" s="91" t="str">
        <f t="shared" si="14"/>
      </c>
      <c r="HP173" s="91" t="str">
        <f t="shared" si="14"/>
      </c>
      <c r="HQ173" s="91" t="str">
        <f t="shared" si="14"/>
      </c>
      <c r="HR173" s="91" t="str">
        <f t="shared" si="14"/>
      </c>
      <c r="HS173" s="91" t="str">
        <f t="shared" si="14"/>
      </c>
      <c r="HT173" s="91" t="str">
        <f t="shared" si="14"/>
      </c>
      <c r="HU173" s="91" t="str">
        <f t="shared" si="14"/>
      </c>
      <c r="HV173" s="91" t="str">
        <f t="shared" si="14"/>
      </c>
      <c r="HW173" s="91" t="str">
        <f t="shared" si="14"/>
      </c>
      <c r="HX173" s="91" t="str">
        <f t="shared" si="14"/>
      </c>
      <c r="HY173" s="91" t="str">
        <f t="shared" si="14"/>
      </c>
      <c r="HZ173" s="91" t="str">
        <f t="shared" si="14"/>
      </c>
      <c r="IA173" s="91" t="str">
        <f t="shared" si="14"/>
      </c>
      <c r="IB173" s="91" t="str">
        <f t="shared" si="14"/>
      </c>
      <c r="IC173" s="91" t="str">
        <f t="shared" si="14"/>
      </c>
      <c r="ID173" s="91" t="str">
        <f t="shared" si="14"/>
      </c>
      <c r="IE173" s="91" t="str">
        <f t="shared" si="14"/>
      </c>
      <c r="IF173" s="91" t="str">
        <f t="shared" si="14"/>
      </c>
      <c r="IG173" s="91" t="str">
        <f t="shared" si="14"/>
      </c>
      <c r="IH173" s="91" t="str">
        <f t="shared" si="14"/>
      </c>
      <c r="II173" s="91" t="str">
        <f t="shared" si="14"/>
      </c>
      <c r="IJ173" s="91" t="str">
        <f t="shared" si="14"/>
      </c>
      <c r="IK173" s="91" t="str">
        <f t="shared" si="14"/>
      </c>
      <c r="IL173" s="91" t="str">
        <f t="shared" si="14"/>
      </c>
      <c r="IM173" s="91" t="str">
        <f t="shared" si="14"/>
      </c>
      <c r="IN173" s="91" t="str">
        <f t="shared" si="14"/>
      </c>
      <c r="IO173" s="91" t="str">
        <f t="shared" si="14"/>
      </c>
      <c r="IP173" s="91" t="str">
        <f t="shared" si="14"/>
      </c>
      <c r="IQ173" s="91" t="str">
        <f t="shared" si="14"/>
      </c>
      <c r="IR173" s="91" t="str">
        <f t="shared" si="14"/>
      </c>
      <c r="IS173" s="91" t="str">
        <f t="shared" si="14"/>
      </c>
      <c r="IT173" s="91" t="str">
        <f t="shared" si="14"/>
      </c>
      <c r="IU173" s="91" t="str">
        <f t="shared" si="14"/>
      </c>
      <c r="IV173" s="91" t="str">
        <f t="shared" si="14"/>
      </c>
    </row>
    <row r="174" hidden="1"/>
    <row r="175" hidden="1"/>
    <row r="176" hidden="1" ht="13.5"/>
    <row r="177" hidden="1" ht="15" customHeight="1">
      <c r="C177" s="686" t="s">
        <v>113</v>
      </c>
      <c r="D177" s="687"/>
      <c r="E177" s="687"/>
      <c r="F177" s="687"/>
      <c r="G177" s="687"/>
      <c r="H177" s="687"/>
      <c r="I177" s="687"/>
      <c r="J177" s="687"/>
      <c r="K177" s="687"/>
      <c r="L177" s="687"/>
      <c r="M177" s="687"/>
      <c r="N177" s="687"/>
      <c r="O177" s="687"/>
      <c r="P177" s="687"/>
      <c r="Q177" s="687"/>
      <c r="R177" s="687"/>
      <c r="S177" s="687"/>
      <c r="T177" s="687"/>
      <c r="U177" s="687"/>
      <c r="V177" s="687"/>
      <c r="W177" s="687"/>
      <c r="X177" s="687"/>
      <c r="Y177" s="687"/>
      <c r="Z177" s="687"/>
      <c r="AA177" s="687"/>
      <c r="AB177" s="688"/>
    </row>
    <row r="178" hidden="1" ht="15" customHeight="1">
      <c r="C178" s="435" t="str">
        <f> IF(C198&lt;&gt;"",TEXT(AUX!G$1,"dd-MMM-aa"),"")</f>
      </c>
      <c r="D178" s="435" t="str">
        <f> IF(D198&lt;&gt;"",TEXT(AUX!H$1,"dd-MMM-aa"),"")</f>
      </c>
      <c r="E178" s="435" t="str">
        <f> IF(E198&lt;&gt;"",TEXT(AUX!I$1,"dd-MMM-aa"),"")</f>
      </c>
      <c r="F178" s="435" t="str">
        <f> IF(F198&lt;&gt;"",TEXT(AUX!J$1,"dd-MMM-aa"),"")</f>
      </c>
      <c r="G178" s="435" t="str">
        <f> IF(G198&lt;&gt;"",TEXT(AUX!K$1,"dd-MMM-aa"),"")</f>
      </c>
      <c r="H178" s="435" t="str">
        <f> IF(H198&lt;&gt;"",TEXT(AUX!L$1,"dd-MMM-aa"),"")</f>
      </c>
      <c r="I178" s="435" t="str">
        <f> IF(I198&lt;&gt;"",TEXT(AUX!M$1,"dd-MMM-aa"),"")</f>
      </c>
      <c r="J178" s="435" t="str">
        <f> IF(J198&lt;&gt;"",TEXT(AUX!N$1,"dd-MMM-aa"),"")</f>
      </c>
      <c r="K178" s="435" t="str">
        <f> IF(K198&lt;&gt;"",TEXT(AUX!O$1,"dd-MMM-aa"),"")</f>
      </c>
      <c r="L178" s="435" t="str">
        <f> IF(L198&lt;&gt;"",TEXT(AUX!P$1,"dd-MMM-aa"),"")</f>
      </c>
      <c r="M178" s="435" t="str">
        <f> IF(M198&lt;&gt;"",TEXT(AUX!Q$1,"dd-MMM-aa"),"")</f>
      </c>
      <c r="N178" s="435" t="str">
        <f> IF(N198&lt;&gt;"",TEXT(AUX!R$1,"dd-MMM-aa"),"")</f>
      </c>
      <c r="O178" s="435" t="str">
        <f> IF(O198&lt;&gt;"",TEXT(AUX!S$1,"dd-MMM-aa"),"")</f>
      </c>
      <c r="P178" s="435" t="str">
        <f> IF(P198&lt;&gt;"",TEXT(AUX!T$1,"dd-MMM-aa"),"")</f>
      </c>
      <c r="Q178" s="435" t="str">
        <f> IF(Q198&lt;&gt;"",TEXT(AUX!U$1,"dd-MMM-aa"),"")</f>
      </c>
      <c r="R178" s="435" t="str">
        <f> IF(R198&lt;&gt;"",TEXT(AUX!V$1,"dd-MMM-aa"),"")</f>
      </c>
      <c r="S178" s="435" t="str">
        <f> IF(S198&lt;&gt;"",TEXT(AUX!W$1,"dd-MMM-aa"),"")</f>
      </c>
      <c r="T178" s="435" t="str">
        <f> IF(T198&lt;&gt;"",TEXT(AUX!X$1,"dd-MMM-aa"),"")</f>
      </c>
      <c r="U178" s="435" t="str">
        <f> IF(U198&lt;&gt;"",TEXT(AUX!Y$1,"dd-MMM-aa"),"")</f>
      </c>
      <c r="V178" s="435" t="str">
        <f> IF(V198&lt;&gt;"",TEXT(AUX!Z$1,"dd-MMM-aa"),"")</f>
      </c>
      <c r="W178" s="435" t="str">
        <f> IF(W198&lt;&gt;"",TEXT(AUX!AA$1,"dd-MMM-aa"),"")</f>
      </c>
      <c r="X178" s="435" t="str">
        <f> IF(X198&lt;&gt;"",TEXT(AUX!AB$1,"dd-MMM-aa"),"")</f>
      </c>
      <c r="Y178" s="435" t="str">
        <f> IF(Y198&lt;&gt;"",TEXT(AUX!AC$1,"dd-MMM-aa"),"")</f>
      </c>
      <c r="Z178" s="435" t="str">
        <f> IF(Z198&lt;&gt;"",TEXT(AUX!AD$1,"dd-MMM-aa"),"")</f>
      </c>
      <c r="AA178" s="435" t="str">
        <f> IF(AA198&lt;&gt;"",TEXT(AUX!AE$1,"dd-MMM-aa"),"")</f>
      </c>
      <c r="AB178" s="497" t="str">
        <f> IF(AB198&lt;&gt;"",TEXT(AUX!AF$1,"dd-MMM-aa"),"")</f>
      </c>
      <c r="AC178" s="496" t="str">
        <f> IF(AC198&lt;&gt;"",TEXT(AUX!AG$1,"dd-MMM-aa"),"")</f>
      </c>
      <c r="AD178" s="496" t="str">
        <f> IF(AD198&lt;&gt;"",TEXT(AUX!AH$1,"dd-MMM-aa"),"")</f>
      </c>
      <c r="AE178" s="496" t="str">
        <f> IF(AE198&lt;&gt;"",TEXT(AUX!AI$1,"dd-MMM-aa"),"")</f>
      </c>
      <c r="AF178" s="496" t="str">
        <f> IF(AF198&lt;&gt;"",TEXT(AUX!AJ$1,"dd-MMM-aa"),"")</f>
      </c>
      <c r="AG178" s="496" t="str">
        <f> IF(AG198&lt;&gt;"",TEXT(AUX!AK$1,"dd-MMM-aa"),"")</f>
      </c>
      <c r="AH178" s="496" t="str">
        <f> IF(AH198&lt;&gt;"",TEXT(AUX!AL$1,"dd-MMM-aa"),"")</f>
      </c>
      <c r="AI178" s="496" t="str">
        <f> IF(AI198&lt;&gt;"",TEXT(AUX!AM$1,"dd-MMM-aa"),"")</f>
      </c>
      <c r="AJ178" s="496" t="str">
        <f> IF(AJ198&lt;&gt;"",TEXT(AUX!AN$1,"dd-MMM-aa"),"")</f>
      </c>
      <c r="AK178" s="496" t="str">
        <f> IF(AK198&lt;&gt;"",TEXT(AUX!AO$1,"dd-MMM-aa"),"")</f>
      </c>
      <c r="AL178" s="496" t="str">
        <f> IF(AL198&lt;&gt;"",TEXT(AUX!AP$1,"dd-MMM-aa"),"")</f>
      </c>
      <c r="AM178" s="496" t="str">
        <f> IF(AM198&lt;&gt;"",TEXT(AUX!AQ$1,"dd-MMM-aa"),"")</f>
      </c>
      <c r="AN178" s="496" t="str">
        <f> IF(AN198&lt;&gt;"",TEXT(AUX!AR$1,"dd-MMM-aa"),"")</f>
      </c>
      <c r="AO178" s="496" t="str">
        <f> IF(AO198&lt;&gt;"",TEXT(AUX!AS$1,"dd-MMM-aa"),"")</f>
      </c>
      <c r="AP178" s="496" t="str">
        <f> IF(AP198&lt;&gt;"",TEXT(AUX!AT$1,"dd-MMM-aa"),"")</f>
      </c>
      <c r="AQ178" s="496" t="str">
        <f> IF(AQ198&lt;&gt;"",TEXT(AUX!AU$1,"dd-MMM-aa"),"")</f>
      </c>
      <c r="AR178" s="496" t="str">
        <f> IF(AR198&lt;&gt;"",TEXT(AUX!AV$1,"dd-MMM-aa"),"")</f>
      </c>
      <c r="AS178" s="496" t="str">
        <f> IF(AS198&lt;&gt;"",TEXT(AUX!AW$1,"dd-MMM-aa"),"")</f>
      </c>
      <c r="AT178" s="496" t="str">
        <f> IF(AT198&lt;&gt;"",TEXT(AUX!AX$1,"dd-MMM-aa"),"")</f>
      </c>
      <c r="AU178" s="496" t="str">
        <f> IF(AU198&lt;&gt;"",TEXT(AUX!AY$1,"dd-MMM-aa"),"")</f>
      </c>
      <c r="AV178" s="496" t="str">
        <f> IF(AV198&lt;&gt;"",TEXT(AUX!AZ$1,"dd-MMM-aa"),"")</f>
      </c>
      <c r="AW178" s="496" t="str">
        <f> IF(AW198&lt;&gt;"",TEXT(AUX!BA$1,"dd-MMM-aa"),"")</f>
      </c>
      <c r="AX178" s="496" t="str">
        <f> IF(AX198&lt;&gt;"",TEXT(AUX!BB$1,"dd-MMM-aa"),"")</f>
      </c>
      <c r="AY178" s="496" t="str">
        <f> IF(AY198&lt;&gt;"",TEXT(AUX!BC$1,"dd-MMM-aa"),"")</f>
      </c>
      <c r="AZ178" s="496" t="str">
        <f> IF(AZ198&lt;&gt;"",TEXT(AUX!BD$1,"dd-MMM-aa"),"")</f>
      </c>
      <c r="BA178" s="496" t="str">
        <f> IF(BA198&lt;&gt;"",TEXT(AUX!BE$1,"dd-MMM-aa"),"")</f>
      </c>
      <c r="BB178" s="496" t="str">
        <f> IF(BB198&lt;&gt;"",TEXT(AUX!BF$1,"dd-MMM-aa"),"")</f>
      </c>
      <c r="BC178" s="496" t="str">
        <f> IF(BC198&lt;&gt;"",TEXT(AUX!BG$1,"dd-MMM-aa"),"")</f>
      </c>
      <c r="BD178" s="496" t="str">
        <f> IF(BD198&lt;&gt;"",TEXT(AUX!BH$1,"dd-MMM-aa"),"")</f>
      </c>
      <c r="BE178" s="496" t="str">
        <f> IF(BE198&lt;&gt;"",TEXT(AUX!BI$1,"dd-MMM-aa"),"")</f>
      </c>
      <c r="BF178" s="496" t="str">
        <f> IF(BF198&lt;&gt;"",TEXT(AUX!BJ$1,"dd-MMM-aa"),"")</f>
      </c>
      <c r="BG178" s="496" t="str">
        <f> IF(BG198&lt;&gt;"",TEXT(AUX!BK$1,"dd-MMM-aa"),"")</f>
      </c>
      <c r="BH178" s="496" t="str">
        <f> IF(BH198&lt;&gt;"",TEXT(AUX!BL$1,"dd-MMM-aa"),"")</f>
      </c>
      <c r="BI178" s="496" t="str">
        <f> IF(BI198&lt;&gt;"",TEXT(AUX!BM$1,"dd-MMM-aa"),"")</f>
      </c>
      <c r="BJ178" s="496" t="str">
        <f> IF(BJ198&lt;&gt;"",TEXT(AUX!BN$1,"dd-MMM-aa"),"")</f>
      </c>
      <c r="BK178" s="496" t="str">
        <f> IF(BK198&lt;&gt;"",TEXT(AUX!BO$1,"dd-MMM-aa"),"")</f>
      </c>
      <c r="BL178" s="496" t="str">
        <f> IF(BL198&lt;&gt;"",TEXT(AUX!BP$1,"dd-MMM-aa"),"")</f>
      </c>
      <c r="BM178" s="496" t="str">
        <f> IF(BM198&lt;&gt;"",TEXT(AUX!BQ$1,"dd-MMM-aa"),"")</f>
      </c>
      <c r="BN178" s="496" t="str">
        <f> IF(BN198&lt;&gt;"",TEXT(AUX!BR$1,"dd-MMM-aa"),"")</f>
      </c>
      <c r="BO178" s="496" t="str">
        <f> IF(BO198&lt;&gt;"",TEXT(AUX!BS$1,"dd-MMM-aa"),"")</f>
      </c>
      <c r="BP178" s="496" t="str">
        <f> IF(BP198&lt;&gt;"",TEXT(AUX!BT$1,"dd-MMM-aa"),"")</f>
      </c>
      <c r="BQ178" s="496" t="str">
        <f> IF(BQ198&lt;&gt;"",TEXT(AUX!BU$1,"dd-MMM-aa"),"")</f>
      </c>
      <c r="BR178" s="496" t="str">
        <f> IF(BR198&lt;&gt;"",TEXT(AUX!BV$1,"dd-MMM-aa"),"")</f>
      </c>
      <c r="BS178" s="496" t="str">
        <f> IF(BS198&lt;&gt;"",TEXT(AUX!BW$1,"dd-MMM-aa"),"")</f>
      </c>
      <c r="BT178" s="496" t="str">
        <f> IF(BT198&lt;&gt;"",TEXT(AUX!BX$1,"dd-MMM-aa"),"")</f>
      </c>
      <c r="BU178" s="496" t="str">
        <f> IF(BU198&lt;&gt;"",TEXT(AUX!BY$1,"dd-MMM-aa"),"")</f>
      </c>
      <c r="BV178" s="496" t="str">
        <f> IF(BV198&lt;&gt;"",TEXT(AUX!BZ$1,"dd-MMM-aa"),"")</f>
      </c>
      <c r="BW178" s="496" t="str">
        <f> IF(BW198&lt;&gt;"",TEXT(AUX!CA$1,"dd-MMM-aa"),"")</f>
      </c>
      <c r="BX178" s="496" t="str">
        <f> IF(BX198&lt;&gt;"",TEXT(AUX!CB$1,"dd-MMM-aa"),"")</f>
      </c>
      <c r="BY178" s="496" t="str">
        <f> IF(BY198&lt;&gt;"",TEXT(AUX!CC$1,"dd-MMM-aa"),"")</f>
      </c>
      <c r="BZ178" s="496" t="str">
        <f> IF(BZ198&lt;&gt;"",TEXT(AUX!CD$1,"dd-MMM-aa"),"")</f>
      </c>
      <c r="CA178" s="496" t="str">
        <f> IF(CA198&lt;&gt;"",TEXT(AUX!CE$1,"dd-MMM-aa"),"")</f>
      </c>
      <c r="CB178" s="496" t="str">
        <f> IF(CB198&lt;&gt;"",TEXT(AUX!CF$1,"dd-MMM-aa"),"")</f>
      </c>
      <c r="CC178" s="496" t="str">
        <f> IF(CC198&lt;&gt;"",TEXT(AUX!CG$1,"dd-MMM-aa"),"")</f>
      </c>
      <c r="CD178" s="496" t="str">
        <f> IF(CD198&lt;&gt;"",TEXT(AUX!CH$1,"dd-MMM-aa"),"")</f>
      </c>
      <c r="CE178" s="496" t="str">
        <f> IF(CE198&lt;&gt;"",TEXT(AUX!CI$1,"dd-MMM-aa"),"")</f>
      </c>
      <c r="CF178" s="496" t="str">
        <f> IF(CF198&lt;&gt;"",TEXT(AUX!CJ$1,"dd-MMM-aa"),"")</f>
      </c>
      <c r="CG178" s="496" t="str">
        <f> IF(CG198&lt;&gt;"",TEXT(AUX!CK$1,"dd-MMM-aa"),"")</f>
      </c>
      <c r="CH178" s="496" t="str">
        <f> IF(CH198&lt;&gt;"",TEXT(AUX!CL$1,"dd-MMM-aa"),"")</f>
      </c>
      <c r="CI178" s="496" t="str">
        <f> IF(CI198&lt;&gt;"",TEXT(AUX!CM$1,"dd-MMM-aa"),"")</f>
      </c>
      <c r="CJ178" s="496" t="str">
        <f> IF(CJ198&lt;&gt;"",TEXT(AUX!CN$1,"dd-MMM-aa"),"")</f>
      </c>
      <c r="CK178" s="496" t="str">
        <f> IF(CK198&lt;&gt;"",TEXT(AUX!CO$1,"dd-MMM-aa"),"")</f>
      </c>
      <c r="CL178" s="496" t="str">
        <f> IF(CL198&lt;&gt;"",TEXT(AUX!CP$1,"dd-MMM-aa"),"")</f>
      </c>
      <c r="CM178" s="496" t="str">
        <f> IF(CM198&lt;&gt;"",TEXT(AUX!CQ$1,"dd-MMM-aa"),"")</f>
      </c>
      <c r="CN178" s="496" t="str">
        <f> IF(CN198&lt;&gt;"",TEXT(AUX!CR$1,"dd-MMM-aa"),"")</f>
      </c>
      <c r="CO178" s="496" t="str">
        <f> IF(CO198&lt;&gt;"",TEXT(AUX!CS$1,"dd-MMM-aa"),"")</f>
      </c>
      <c r="CP178" s="496" t="str">
        <f> IF(CP198&lt;&gt;"",TEXT(AUX!CT$1,"dd-MMM-aa"),"")</f>
      </c>
      <c r="CQ178" s="496" t="str">
        <f> IF(CQ198&lt;&gt;"",TEXT(AUX!CU$1,"dd-MMM-aa"),"")</f>
      </c>
      <c r="CR178" s="496" t="str">
        <f> IF(CR198&lt;&gt;"",TEXT(AUX!CV$1,"dd-MMM-aa"),"")</f>
      </c>
      <c r="CS178" s="496" t="str">
        <f> IF(CS198&lt;&gt;"",TEXT(AUX!CW$1,"dd-MMM-aa"),"")</f>
      </c>
      <c r="CT178" s="496" t="str">
        <f> IF(CT198&lt;&gt;"",TEXT(AUX!CX$1,"dd-MMM-aa"),"")</f>
      </c>
      <c r="CU178" s="496" t="str">
        <f> IF(CU198&lt;&gt;"",TEXT(AUX!CY$1,"dd-MMM-aa"),"")</f>
      </c>
      <c r="CV178" s="496" t="str">
        <f> IF(CV198&lt;&gt;"",TEXT(AUX!CZ$1,"dd-MMM-aa"),"")</f>
      </c>
      <c r="CW178" s="496" t="str">
        <f> IF(CW198&lt;&gt;"",TEXT(AUX!DA$1,"dd-MMM-aa"),"")</f>
      </c>
      <c r="CX178" s="496" t="str">
        <f> IF(CX198&lt;&gt;"",TEXT(AUX!DB$1,"dd-MMM-aa"),"")</f>
      </c>
      <c r="CY178" s="496" t="str">
        <f> IF(CY198&lt;&gt;"",TEXT(AUX!DC$1,"dd-MMM-aa"),"")</f>
      </c>
      <c r="CZ178" s="496" t="str">
        <f> IF(CZ198&lt;&gt;"",TEXT(AUX!DD$1,"dd-MMM-aa"),"")</f>
      </c>
      <c r="DA178" s="496" t="str">
        <f> IF(DA198&lt;&gt;"",TEXT(AUX!DE$1,"dd-MMM-aa"),"")</f>
      </c>
      <c r="DB178" s="496" t="str">
        <f> IF(DB198&lt;&gt;"",TEXT(AUX!DF$1,"dd-MMM-aa"),"")</f>
      </c>
      <c r="DC178" s="496" t="str">
        <f> IF(DC198&lt;&gt;"",TEXT(AUX!DG$1,"dd-MMM-aa"),"")</f>
      </c>
      <c r="DD178" s="496" t="str">
        <f> IF(DD198&lt;&gt;"",TEXT(AUX!DH$1,"dd-MMM-aa"),"")</f>
      </c>
      <c r="DE178" s="496" t="str">
        <f> IF(DE198&lt;&gt;"",TEXT(AUX!DI$1,"dd-MMM-aa"),"")</f>
      </c>
      <c r="DF178" s="496" t="str">
        <f> IF(DF198&lt;&gt;"",TEXT(AUX!DJ$1,"dd-MMM-aa"),"")</f>
      </c>
      <c r="DG178" s="496" t="str">
        <f> IF(DG198&lt;&gt;"",TEXT(AUX!DK$1,"dd-MMM-aa"),"")</f>
      </c>
      <c r="DH178" s="496" t="str">
        <f> IF(DH198&lt;&gt;"",TEXT(AUX!DL$1,"dd-MMM-aa"),"")</f>
      </c>
      <c r="DI178" s="496" t="str">
        <f> IF(DI198&lt;&gt;"",TEXT(AUX!DM$1,"dd-MMM-aa"),"")</f>
      </c>
      <c r="DJ178" s="496" t="str">
        <f> IF(DJ198&lt;&gt;"",TEXT(AUX!DN$1,"dd-MMM-aa"),"")</f>
      </c>
      <c r="DK178" s="496" t="str">
        <f> IF(DK198&lt;&gt;"",TEXT(AUX!DO$1,"dd-MMM-aa"),"")</f>
      </c>
      <c r="DL178" s="496" t="str">
        <f> IF(DL198&lt;&gt;"",TEXT(AUX!DP$1,"dd-MMM-aa"),"")</f>
      </c>
      <c r="DM178" s="496" t="str">
        <f> IF(DM198&lt;&gt;"",TEXT(AUX!DQ$1,"dd-MMM-aa"),"")</f>
      </c>
      <c r="DN178" s="496" t="str">
        <f> IF(DN198&lt;&gt;"",TEXT(AUX!DR$1,"dd-MMM-aa"),"")</f>
      </c>
      <c r="DO178" s="496" t="str">
        <f> IF(DO198&lt;&gt;"",TEXT(AUX!DS$1,"dd-MMM-aa"),"")</f>
      </c>
      <c r="DP178" s="496" t="str">
        <f> IF(DP198&lt;&gt;"",TEXT(AUX!DT$1,"dd-MMM-aa"),"")</f>
      </c>
      <c r="DQ178" s="496" t="str">
        <f> IF(DQ198&lt;&gt;"",TEXT(AUX!DU$1,"dd-MMM-aa"),"")</f>
      </c>
      <c r="DR178" s="496" t="str">
        <f> IF(DR198&lt;&gt;"",TEXT(AUX!DV$1,"dd-MMM-aa"),"")</f>
      </c>
      <c r="DS178" s="496" t="str">
        <f> IF(DS198&lt;&gt;"",TEXT(AUX!DW$1,"dd-MMM-aa"),"")</f>
      </c>
      <c r="DT178" s="496" t="str">
        <f> IF(DT198&lt;&gt;"",TEXT(AUX!DX$1,"dd-MMM-aa"),"")</f>
      </c>
      <c r="DU178" s="496" t="str">
        <f> IF(DU198&lt;&gt;"",TEXT(AUX!DY$1,"dd-MMM-aa"),"")</f>
      </c>
      <c r="DV178" s="496" t="str">
        <f> IF(DV198&lt;&gt;"",TEXT(AUX!DZ$1,"dd-MMM-aa"),"")</f>
      </c>
      <c r="DW178" s="496" t="str">
        <f> IF(DW198&lt;&gt;"",TEXT(AUX!EA$1,"dd-MMM-aa"),"")</f>
      </c>
      <c r="DX178" s="496" t="str">
        <f> IF(DX198&lt;&gt;"",TEXT(AUX!EB$1,"dd-MMM-aa"),"")</f>
      </c>
      <c r="DY178" s="496" t="str">
        <f> IF(DY198&lt;&gt;"",TEXT(AUX!EC$1,"dd-MMM-aa"),"")</f>
      </c>
      <c r="DZ178" s="496" t="str">
        <f> IF(DZ198&lt;&gt;"",TEXT(AUX!ED$1,"dd-MMM-aa"),"")</f>
      </c>
      <c r="EA178" s="496" t="str">
        <f> IF(EA198&lt;&gt;"",TEXT(AUX!EE$1,"dd-MMM-aa"),"")</f>
      </c>
      <c r="EB178" s="496" t="str">
        <f> IF(EB198&lt;&gt;"",TEXT(AUX!EF$1,"dd-MMM-aa"),"")</f>
      </c>
      <c r="EC178" s="496" t="str">
        <f> IF(EC198&lt;&gt;"",TEXT(AUX!EG$1,"dd-MMM-aa"),"")</f>
      </c>
      <c r="ED178" s="496" t="str">
        <f> IF(ED198&lt;&gt;"",TEXT(AUX!EH$1,"dd-MMM-aa"),"")</f>
      </c>
      <c r="EE178" s="496" t="str">
        <f> IF(EE198&lt;&gt;"",TEXT(AUX!EI$1,"dd-MMM-aa"),"")</f>
      </c>
      <c r="EF178" s="496" t="str">
        <f> IF(EF198&lt;&gt;"",TEXT(AUX!EJ$1,"dd-MMM-aa"),"")</f>
      </c>
      <c r="EG178" s="496" t="str">
        <f> IF(EG198&lt;&gt;"",TEXT(AUX!EK$1,"dd-MMM-aa"),"")</f>
      </c>
      <c r="EH178" s="496" t="str">
        <f> IF(EH198&lt;&gt;"",TEXT(AUX!EL$1,"dd-MMM-aa"),"")</f>
      </c>
      <c r="EI178" s="496" t="str">
        <f> IF(EI198&lt;&gt;"",TEXT(AUX!EM$1,"dd-MMM-aa"),"")</f>
      </c>
      <c r="EJ178" s="496" t="str">
        <f> IF(EJ198&lt;&gt;"",TEXT(AUX!EN$1,"dd-MMM-aa"),"")</f>
      </c>
      <c r="EK178" s="496" t="str">
        <f> IF(EK198&lt;&gt;"",TEXT(AUX!EO$1,"dd-MMM-aa"),"")</f>
      </c>
      <c r="EL178" s="496" t="str">
        <f> IF(EL198&lt;&gt;"",TEXT(AUX!EP$1,"dd-MMM-aa"),"")</f>
      </c>
      <c r="EM178" s="496" t="str">
        <f> IF(EM198&lt;&gt;"",TEXT(AUX!EQ$1,"dd-MMM-aa"),"")</f>
      </c>
      <c r="EN178" s="496" t="str">
        <f> IF(EN198&lt;&gt;"",TEXT(AUX!ER$1,"dd-MMM-aa"),"")</f>
      </c>
      <c r="EO178" s="496" t="str">
        <f> IF(EO198&lt;&gt;"",TEXT(AUX!ES$1,"dd-MMM-aa"),"")</f>
      </c>
      <c r="EP178" s="496" t="str">
        <f> IF(EP198&lt;&gt;"",TEXT(AUX!ET$1,"dd-MMM-aa"),"")</f>
      </c>
      <c r="EQ178" s="496" t="str">
        <f> IF(EQ198&lt;&gt;"",TEXT(AUX!EU$1,"dd-MMM-aa"),"")</f>
      </c>
      <c r="ER178" s="496" t="str">
        <f> IF(ER198&lt;&gt;"",TEXT(AUX!EV$1,"dd-MMM-aa"),"")</f>
      </c>
      <c r="ES178" s="496" t="str">
        <f> IF(ES198&lt;&gt;"",TEXT(AUX!EW$1,"dd-MMM-aa"),"")</f>
      </c>
      <c r="ET178" s="496" t="str">
        <f> IF(ET198&lt;&gt;"",TEXT(AUX!EX$1,"dd-MMM-aa"),"")</f>
      </c>
      <c r="EU178" s="496" t="str">
        <f> IF(EU198&lt;&gt;"",TEXT(AUX!EY$1,"dd-MMM-aa"),"")</f>
      </c>
      <c r="EV178" s="496" t="str">
        <f> IF(EV198&lt;&gt;"",TEXT(AUX!EZ$1,"dd-MMM-aa"),"")</f>
      </c>
      <c r="EW178" s="496" t="str">
        <f> IF(EW198&lt;&gt;"",TEXT(AUX!FA$1,"dd-MMM-aa"),"")</f>
      </c>
      <c r="EX178" s="496" t="str">
        <f> IF(EX198&lt;&gt;"",TEXT(AUX!FB$1,"dd-MMM-aa"),"")</f>
      </c>
      <c r="EY178" s="496" t="str">
        <f> IF(EY198&lt;&gt;"",TEXT(AUX!FC$1,"dd-MMM-aa"),"")</f>
      </c>
      <c r="EZ178" s="496" t="str">
        <f> IF(EZ198&lt;&gt;"",TEXT(AUX!FD$1,"dd-MMM-aa"),"")</f>
      </c>
      <c r="FA178" s="496" t="str">
        <f> IF(FA198&lt;&gt;"",TEXT(AUX!FE$1,"dd-MMM-aa"),"")</f>
      </c>
      <c r="FB178" s="496" t="str">
        <f> IF(FB198&lt;&gt;"",TEXT(AUX!FF$1,"dd-MMM-aa"),"")</f>
      </c>
      <c r="FC178" s="496" t="str">
        <f> IF(FC198&lt;&gt;"",TEXT(AUX!FG$1,"dd-MMM-aa"),"")</f>
      </c>
      <c r="FD178" s="496" t="str">
        <f> IF(FD198&lt;&gt;"",TEXT(AUX!FH$1,"dd-MMM-aa"),"")</f>
      </c>
      <c r="FE178" s="496" t="str">
        <f> IF(FE198&lt;&gt;"",TEXT(AUX!FI$1,"dd-MMM-aa"),"")</f>
      </c>
      <c r="FF178" s="496" t="str">
        <f> IF(FF198&lt;&gt;"",TEXT(AUX!FJ$1,"dd-MMM-aa"),"")</f>
      </c>
      <c r="FG178" s="496" t="str">
        <f> IF(FG198&lt;&gt;"",TEXT(AUX!FK$1,"dd-MMM-aa"),"")</f>
      </c>
      <c r="FH178" s="496" t="str">
        <f> IF(FH198&lt;&gt;"",TEXT(AUX!FL$1,"dd-MMM-aa"),"")</f>
      </c>
      <c r="FI178" s="496" t="str">
        <f> IF(FI198&lt;&gt;"",TEXT(AUX!FM$1,"dd-MMM-aa"),"")</f>
      </c>
      <c r="FJ178" s="496" t="str">
        <f> IF(FJ198&lt;&gt;"",TEXT(AUX!FN$1,"dd-MMM-aa"),"")</f>
      </c>
      <c r="FK178" s="496" t="str">
        <f> IF(FK198&lt;&gt;"",TEXT(AUX!FO$1,"dd-MMM-aa"),"")</f>
      </c>
      <c r="FL178" s="496" t="str">
        <f> IF(FL198&lt;&gt;"",TEXT(AUX!FP$1,"dd-MMM-aa"),"")</f>
      </c>
      <c r="FM178" s="496" t="str">
        <f> IF(FM198&lt;&gt;"",TEXT(AUX!FQ$1,"dd-MMM-aa"),"")</f>
      </c>
      <c r="FN178" s="496" t="str">
        <f> IF(FN198&lt;&gt;"",TEXT(AUX!FR$1,"dd-MMM-aa"),"")</f>
      </c>
      <c r="FO178" s="496" t="str">
        <f> IF(FO198&lt;&gt;"",TEXT(AUX!FS$1,"dd-MMM-aa"),"")</f>
      </c>
      <c r="FP178" s="496" t="str">
        <f> IF(FP198&lt;&gt;"",TEXT(AUX!FT$1,"dd-MMM-aa"),"")</f>
      </c>
      <c r="FQ178" s="496" t="str">
        <f> IF(FQ198&lt;&gt;"",TEXT(AUX!FU$1,"dd-MMM-aa"),"")</f>
      </c>
      <c r="FR178" s="496" t="str">
        <f> IF(FR198&lt;&gt;"",TEXT(AUX!FV$1,"dd-MMM-aa"),"")</f>
      </c>
      <c r="FS178" s="496" t="str">
        <f> IF(FS198&lt;&gt;"",TEXT(AUX!FW$1,"dd-MMM-aa"),"")</f>
      </c>
      <c r="FT178" s="496" t="str">
        <f> IF(FT198&lt;&gt;"",TEXT(AUX!FX$1,"dd-MMM-aa"),"")</f>
      </c>
      <c r="FU178" s="496" t="str">
        <f> IF(FU198&lt;&gt;"",TEXT(AUX!FY$1,"dd-MMM-aa"),"")</f>
      </c>
      <c r="FV178" s="496" t="str">
        <f> IF(FV198&lt;&gt;"",TEXT(AUX!FZ$1,"dd-MMM-aa"),"")</f>
      </c>
      <c r="FW178" s="496" t="str">
        <f> IF(FW198&lt;&gt;"",TEXT(AUX!GA$1,"dd-MMM-aa"),"")</f>
      </c>
      <c r="FX178" s="496" t="str">
        <f> IF(FX198&lt;&gt;"",TEXT(AUX!GB$1,"dd-MMM-aa"),"")</f>
      </c>
      <c r="FY178" s="496" t="str">
        <f> IF(FY198&lt;&gt;"",TEXT(AUX!GC$1,"dd-MMM-aa"),"")</f>
      </c>
      <c r="FZ178" s="496" t="str">
        <f> IF(FZ198&lt;&gt;"",TEXT(AUX!GD$1,"dd-MMM-aa"),"")</f>
      </c>
      <c r="GA178" s="496" t="str">
        <f> IF(GA198&lt;&gt;"",TEXT(AUX!GE$1,"dd-MMM-aa"),"")</f>
      </c>
      <c r="GB178" s="496" t="str">
        <f> IF(GB198&lt;&gt;"",TEXT(AUX!GF$1,"dd-MMM-aa"),"")</f>
      </c>
      <c r="GC178" s="496" t="str">
        <f> IF(GC198&lt;&gt;"",TEXT(AUX!GG$1,"dd-MMM-aa"),"")</f>
      </c>
      <c r="GD178" s="496" t="str">
        <f> IF(GD198&lt;&gt;"",TEXT(AUX!GH$1,"dd-MMM-aa"),"")</f>
      </c>
      <c r="GE178" s="496" t="str">
        <f> IF(GE198&lt;&gt;"",TEXT(AUX!GI$1,"dd-MMM-aa"),"")</f>
      </c>
      <c r="GF178" s="496" t="str">
        <f> IF(GF198&lt;&gt;"",TEXT(AUX!GJ$1,"dd-MMM-aa"),"")</f>
      </c>
      <c r="GG178" s="496" t="str">
        <f> IF(GG198&lt;&gt;"",TEXT(AUX!GK$1,"dd-MMM-aa"),"")</f>
      </c>
      <c r="GH178" s="496" t="str">
        <f> IF(GH198&lt;&gt;"",TEXT(AUX!GL$1,"dd-MMM-aa"),"")</f>
      </c>
      <c r="GI178" s="496" t="str">
        <f> IF(GI198&lt;&gt;"",TEXT(AUX!GM$1,"dd-MMM-aa"),"")</f>
      </c>
      <c r="GJ178" s="496" t="str">
        <f> IF(GJ198&lt;&gt;"",TEXT(AUX!GN$1,"dd-MMM-aa"),"")</f>
      </c>
      <c r="GK178" s="496" t="str">
        <f> IF(GK198&lt;&gt;"",TEXT(AUX!GO$1,"dd-MMM-aa"),"")</f>
      </c>
      <c r="GL178" s="496" t="str">
        <f> IF(GL198&lt;&gt;"",TEXT(AUX!GP$1,"dd-MMM-aa"),"")</f>
      </c>
      <c r="GM178" s="496" t="str">
        <f> IF(GM198&lt;&gt;"",TEXT(AUX!GQ$1,"dd-MMM-aa"),"")</f>
      </c>
      <c r="GN178" s="496" t="str">
        <f> IF(GN198&lt;&gt;"",TEXT(AUX!GR$1,"dd-MMM-aa"),"")</f>
      </c>
      <c r="GO178" s="496" t="str">
        <f> IF(GO198&lt;&gt;"",TEXT(AUX!GS$1,"dd-MMM-aa"),"")</f>
      </c>
      <c r="GP178" s="496" t="str">
        <f> IF(GP198&lt;&gt;"",TEXT(AUX!GT$1,"dd-MMM-aa"),"")</f>
      </c>
      <c r="GQ178" s="496" t="str">
        <f> IF(GQ198&lt;&gt;"",TEXT(AUX!GU$1,"dd-MMM-aa"),"")</f>
      </c>
      <c r="GR178" s="496" t="str">
        <f> IF(GR198&lt;&gt;"",TEXT(AUX!GV$1,"dd-MMM-aa"),"")</f>
      </c>
      <c r="GS178" s="496" t="str">
        <f> IF(GS198&lt;&gt;"",TEXT(AUX!GW$1,"dd-MMM-aa"),"")</f>
      </c>
      <c r="GT178" s="496" t="str">
        <f> IF(GT198&lt;&gt;"",TEXT(AUX!GX$1,"dd-MMM-aa"),"")</f>
      </c>
      <c r="GU178" s="496" t="str">
        <f> IF(GU198&lt;&gt;"",TEXT(AUX!GY$1,"dd-MMM-aa"),"")</f>
      </c>
      <c r="GV178" s="496" t="str">
        <f> IF(GV198&lt;&gt;"",TEXT(AUX!GZ$1,"dd-MMM-aa"),"")</f>
      </c>
      <c r="GW178" s="496" t="str">
        <f> IF(GW198&lt;&gt;"",TEXT(AUX!HA$1,"dd-MMM-aa"),"")</f>
      </c>
      <c r="GX178" s="496" t="str">
        <f> IF(GX198&lt;&gt;"",TEXT(AUX!HB$1,"dd-MMM-aa"),"")</f>
      </c>
      <c r="GY178" s="496" t="str">
        <f> IF(GY198&lt;&gt;"",TEXT(AUX!HC$1,"dd-MMM-aa"),"")</f>
      </c>
      <c r="GZ178" s="496" t="str">
        <f> IF(GZ198&lt;&gt;"",TEXT(AUX!HD$1,"dd-MMM-aa"),"")</f>
      </c>
      <c r="HA178" s="496" t="str">
        <f> IF(HA198&lt;&gt;"",TEXT(AUX!HE$1,"dd-MMM-aa"),"")</f>
      </c>
      <c r="HB178" s="496" t="str">
        <f> IF(HB198&lt;&gt;"",TEXT(AUX!HF$1,"dd-MMM-aa"),"")</f>
      </c>
      <c r="HC178" s="496" t="str">
        <f> IF(HC198&lt;&gt;"",TEXT(AUX!HG$1,"dd-MMM-aa"),"")</f>
      </c>
      <c r="HD178" s="496" t="str">
        <f> IF(HD198&lt;&gt;"",TEXT(AUX!HH$1,"dd-MMM-aa"),"")</f>
      </c>
      <c r="HE178" s="496" t="str">
        <f> IF(HE198&lt;&gt;"",TEXT(AUX!HI$1,"dd-MMM-aa"),"")</f>
      </c>
      <c r="HF178" s="496" t="str">
        <f> IF(HF198&lt;&gt;"",TEXT(AUX!HJ$1,"dd-MMM-aa"),"")</f>
      </c>
      <c r="HG178" s="496" t="str">
        <f> IF(HG198&lt;&gt;"",TEXT(AUX!HK$1,"dd-MMM-aa"),"")</f>
      </c>
      <c r="HH178" s="496" t="str">
        <f> IF(HH198&lt;&gt;"",TEXT(AUX!HL$1,"dd-MMM-aa"),"")</f>
      </c>
      <c r="HI178" s="496" t="str">
        <f> IF(HI198&lt;&gt;"",TEXT(AUX!HM$1,"dd-MMM-aa"),"")</f>
      </c>
      <c r="HJ178" s="496" t="str">
        <f> IF(HJ198&lt;&gt;"",TEXT(AUX!HN$1,"dd-MMM-aa"),"")</f>
      </c>
      <c r="HK178" s="496" t="str">
        <f> IF(HK198&lt;&gt;"",TEXT(AUX!HO$1,"dd-MMM-aa"),"")</f>
      </c>
      <c r="HL178" s="496" t="str">
        <f> IF(HL198&lt;&gt;"",TEXT(AUX!HP$1,"dd-MMM-aa"),"")</f>
      </c>
      <c r="HM178" s="496" t="str">
        <f> IF(HM198&lt;&gt;"",TEXT(AUX!HQ$1,"dd-MMM-aa"),"")</f>
      </c>
      <c r="HN178" s="496" t="str">
        <f> IF(HN198&lt;&gt;"",TEXT(AUX!HR$1,"dd-MMM-aa"),"")</f>
      </c>
      <c r="HO178" s="496" t="str">
        <f> IF(HO198&lt;&gt;"",TEXT(AUX!HS$1,"dd-MMM-aa"),"")</f>
      </c>
      <c r="HP178" s="496" t="str">
        <f> IF(HP198&lt;&gt;"",TEXT(AUX!HT$1,"dd-MMM-aa"),"")</f>
      </c>
      <c r="HQ178" s="496" t="str">
        <f> IF(HQ198&lt;&gt;"",TEXT(AUX!HU$1,"dd-MMM-aa"),"")</f>
      </c>
      <c r="HR178" s="496" t="str">
        <f> IF(HR198&lt;&gt;"",TEXT(AUX!HV$1,"dd-MMM-aa"),"")</f>
      </c>
      <c r="HS178" s="496" t="str">
        <f> IF(HS198&lt;&gt;"",TEXT(AUX!HW$1,"dd-MMM-aa"),"")</f>
      </c>
      <c r="HT178" s="496" t="str">
        <f> IF(HT198&lt;&gt;"",TEXT(AUX!HX$1,"dd-MMM-aa"),"")</f>
      </c>
      <c r="HU178" s="496" t="str">
        <f> IF(HU198&lt;&gt;"",TEXT(AUX!HY$1,"dd-MMM-aa"),"")</f>
      </c>
      <c r="HV178" s="496" t="str">
        <f> IF(HV198&lt;&gt;"",TEXT(AUX!HZ$1,"dd-MMM-aa"),"")</f>
      </c>
      <c r="HW178" s="496" t="str">
        <f> IF(HW198&lt;&gt;"",TEXT(AUX!IA$1,"dd-MMM-aa"),"")</f>
      </c>
      <c r="HX178" s="496" t="str">
        <f> IF(HX198&lt;&gt;"",TEXT(AUX!IB$1,"dd-MMM-aa"),"")</f>
      </c>
      <c r="HY178" s="496" t="str">
        <f> IF(HY198&lt;&gt;"",TEXT(AUX!IC$1,"dd-MMM-aa"),"")</f>
      </c>
      <c r="HZ178" s="496" t="str">
        <f> IF(HZ198&lt;&gt;"",TEXT(AUX!ID$1,"dd-MMM-aa"),"")</f>
      </c>
      <c r="IA178" s="496" t="str">
        <f> IF(IA198&lt;&gt;"",TEXT(AUX!IE$1,"dd-MMM-aa"),"")</f>
      </c>
      <c r="IB178" s="496" t="str">
        <f> IF(IB198&lt;&gt;"",TEXT(AUX!IF$1,"dd-MMM-aa"),"")</f>
      </c>
      <c r="IC178" s="496" t="str">
        <f> IF(IC198&lt;&gt;"",TEXT(AUX!IG$1,"dd-MMM-aa"),"")</f>
      </c>
      <c r="ID178" s="496" t="str">
        <f> IF(ID198&lt;&gt;"",TEXT(AUX!IH$1,"dd-MMM-aa"),"")</f>
      </c>
      <c r="IE178" s="496" t="str">
        <f> IF(IE198&lt;&gt;"",TEXT(AUX!II$1,"dd-MMM-aa"),"")</f>
      </c>
      <c r="IF178" s="496" t="str">
        <f> IF(IF198&lt;&gt;"",TEXT(AUX!IJ$1,"dd-MMM-aa"),"")</f>
      </c>
      <c r="IG178" s="496" t="str">
        <f> IF(IG198&lt;&gt;"",TEXT(AUX!IK$1,"dd-MMM-aa"),"")</f>
      </c>
      <c r="IH178" s="496" t="str">
        <f> IF(IH198&lt;&gt;"",TEXT(AUX!IL$1,"dd-MMM-aa"),"")</f>
      </c>
      <c r="II178" s="496" t="str">
        <f> IF(II198&lt;&gt;"",TEXT(AUX!IM$1,"dd-MMM-aa"),"")</f>
      </c>
      <c r="IJ178" s="496" t="str">
        <f> IF(IJ198&lt;&gt;"",TEXT(AUX!IN$1,"dd-MMM-aa"),"")</f>
      </c>
      <c r="IK178" s="496" t="str">
        <f> IF(IK198&lt;&gt;"",TEXT(AUX!IO$1,"dd-MMM-aa"),"")</f>
      </c>
      <c r="IL178" s="496" t="str">
        <f> IF(IL198&lt;&gt;"",TEXT(AUX!IP$1,"dd-MMM-aa"),"")</f>
      </c>
      <c r="IM178" s="496" t="str">
        <f> IF(IM198&lt;&gt;"",TEXT(AUX!IQ$1,"dd-MMM-aa"),"")</f>
      </c>
      <c r="IN178" s="496" t="str">
        <f> IF(IN198&lt;&gt;"",TEXT(AUX!IR$1,"dd-MMM-aa"),"")</f>
      </c>
      <c r="IO178" s="496" t="str">
        <f> IF(IO198&lt;&gt;"",TEXT(AUX!IS$1,"dd-MMM-aa"),"")</f>
      </c>
      <c r="IP178" s="496" t="str">
        <f> IF(IP198&lt;&gt;"",TEXT(AUX!IT$1,"dd-MMM-aa"),"")</f>
      </c>
      <c r="IQ178" s="496" t="str">
        <f> IF(IQ198&lt;&gt;"",TEXT(AUX!IU$1,"dd-MMM-aa"),"")</f>
      </c>
      <c r="IR178" s="496" t="str">
        <f> IF(IR198&lt;&gt;"",TEXT(AUX!IV$1,"dd-MMM-aa"),"")</f>
      </c>
      <c r="IS178" s="496" t="str">
        <f> IF(IS198&lt;&gt;"",TEXT(AUX!#REF!,"dd-MMM-aa"),"")</f>
      </c>
      <c r="IT178" s="496" t="str">
        <f> IF(IT198&lt;&gt;"",TEXT(AUX!#REF!,"dd-MMM-aa"),"")</f>
      </c>
      <c r="IU178" s="496" t="str">
        <f> IF(IU198&lt;&gt;"",TEXT(AUX!#REF!,"dd-MMM-aa"),"")</f>
      </c>
      <c r="IV178" s="496" t="str">
        <f> IF(IV198&lt;&gt;"",TEXT(AUX!#REF!,"dd-MMM-aa"),"")</f>
      </c>
    </row>
    <row r="179" hidden="1">
      <c r="B179" s="833" t="s">
        <v>8</v>
      </c>
      <c r="C179" s="827">
        <v>0</v>
      </c>
      <c r="D179" s="827">
        <v>0</v>
      </c>
      <c r="E179" s="827">
        <v>0</v>
      </c>
      <c r="F179" s="827">
        <v>0</v>
      </c>
      <c r="G179" s="827">
        <v>0</v>
      </c>
      <c r="H179" s="827">
        <v>0</v>
      </c>
      <c r="I179" s="827">
        <v>0</v>
      </c>
      <c r="J179" s="827">
        <v>0</v>
      </c>
      <c r="K179" s="827">
        <v>0</v>
      </c>
      <c r="L179" s="827">
        <v>0</v>
      </c>
      <c r="M179" s="827">
        <v>0</v>
      </c>
      <c r="N179" s="827">
        <v>0</v>
      </c>
      <c r="O179" s="827">
        <v>0</v>
      </c>
      <c r="P179" s="827">
        <v>0</v>
      </c>
      <c r="Q179" s="827">
        <v>0</v>
      </c>
      <c r="R179" s="827">
        <v>0</v>
      </c>
      <c r="S179" s="827">
        <v>0</v>
      </c>
      <c r="T179" s="827">
        <v>0</v>
      </c>
      <c r="U179" s="827">
        <v>0</v>
      </c>
      <c r="V179" s="827">
        <v>0</v>
      </c>
      <c r="W179" s="827">
        <v>0</v>
      </c>
      <c r="X179" s="827">
        <v>0</v>
      </c>
      <c r="Y179" s="827">
        <v>0</v>
      </c>
      <c r="Z179" s="827">
        <v>0</v>
      </c>
      <c r="AA179" s="827">
        <v>0</v>
      </c>
      <c r="AB179" s="834">
        <v>0</v>
      </c>
      <c r="AC179" s="828">
        <v>0</v>
      </c>
      <c r="AD179" s="828">
        <v>0</v>
      </c>
      <c r="AE179" s="828">
        <v>0</v>
      </c>
      <c r="AF179" s="828">
        <v>0</v>
      </c>
      <c r="AG179" s="828">
        <v>0</v>
      </c>
      <c r="AH179" s="828">
        <v>0</v>
      </c>
      <c r="AI179" s="828">
        <v>0</v>
      </c>
      <c r="AJ179" s="828">
        <v>0</v>
      </c>
      <c r="AK179" s="828">
        <v>0</v>
      </c>
      <c r="AL179" s="828">
        <v>0</v>
      </c>
      <c r="AM179" s="828">
        <v>0</v>
      </c>
      <c r="AN179" s="828">
        <v>0</v>
      </c>
      <c r="AO179" s="828">
        <v>0</v>
      </c>
      <c r="AP179" s="828">
        <v>0</v>
      </c>
    </row>
    <row r="180" hidden="1">
      <c r="B180" s="829" t="s">
        <v>9</v>
      </c>
      <c r="C180" s="823">
        <v>0</v>
      </c>
      <c r="D180" s="823">
        <v>0</v>
      </c>
      <c r="E180" s="823">
        <v>0</v>
      </c>
      <c r="F180" s="823">
        <v>0</v>
      </c>
      <c r="G180" s="823">
        <v>0</v>
      </c>
      <c r="H180" s="823">
        <v>0</v>
      </c>
      <c r="I180" s="823">
        <v>0</v>
      </c>
      <c r="J180" s="823">
        <v>0</v>
      </c>
      <c r="K180" s="823">
        <v>0</v>
      </c>
      <c r="L180" s="823">
        <v>0</v>
      </c>
      <c r="M180" s="823">
        <v>0</v>
      </c>
      <c r="N180" s="823">
        <v>0</v>
      </c>
      <c r="O180" s="823">
        <v>0</v>
      </c>
      <c r="P180" s="823">
        <v>0</v>
      </c>
      <c r="Q180" s="823">
        <v>0</v>
      </c>
      <c r="R180" s="823">
        <v>0</v>
      </c>
      <c r="S180" s="823">
        <v>0</v>
      </c>
      <c r="T180" s="823">
        <v>0</v>
      </c>
      <c r="U180" s="823">
        <v>0</v>
      </c>
      <c r="V180" s="823">
        <v>0</v>
      </c>
      <c r="W180" s="823">
        <v>0</v>
      </c>
      <c r="X180" s="823">
        <v>0</v>
      </c>
      <c r="Y180" s="823">
        <v>0</v>
      </c>
      <c r="Z180" s="823">
        <v>0</v>
      </c>
      <c r="AA180" s="823">
        <v>0</v>
      </c>
      <c r="AB180" s="823">
        <v>0</v>
      </c>
      <c r="AC180" s="825">
        <v>0</v>
      </c>
      <c r="AD180" s="825">
        <v>0</v>
      </c>
      <c r="AE180" s="825">
        <v>0</v>
      </c>
      <c r="AF180" s="825">
        <v>0</v>
      </c>
      <c r="AG180" s="825">
        <v>0</v>
      </c>
      <c r="AH180" s="825">
        <v>0</v>
      </c>
      <c r="AI180" s="825">
        <v>0</v>
      </c>
      <c r="AJ180" s="825">
        <v>0</v>
      </c>
      <c r="AK180" s="825">
        <v>0</v>
      </c>
      <c r="AL180" s="825">
        <v>0</v>
      </c>
      <c r="AM180" s="825">
        <v>0</v>
      </c>
      <c r="AN180" s="825">
        <v>0</v>
      </c>
      <c r="AO180" s="825">
        <v>0</v>
      </c>
      <c r="AP180" s="825">
        <v>0</v>
      </c>
    </row>
    <row r="181" hidden="1">
      <c r="B181" s="826" t="s">
        <v>10</v>
      </c>
      <c r="C181" s="827">
        <v>0</v>
      </c>
      <c r="D181" s="827">
        <v>0</v>
      </c>
      <c r="E181" s="827">
        <v>0</v>
      </c>
      <c r="F181" s="827">
        <v>0</v>
      </c>
      <c r="G181" s="827">
        <v>0</v>
      </c>
      <c r="H181" s="827">
        <v>0</v>
      </c>
      <c r="I181" s="827">
        <v>0</v>
      </c>
      <c r="J181" s="827">
        <v>0</v>
      </c>
      <c r="K181" s="827">
        <v>0</v>
      </c>
      <c r="L181" s="827">
        <v>0</v>
      </c>
      <c r="M181" s="827">
        <v>0</v>
      </c>
      <c r="N181" s="827">
        <v>0</v>
      </c>
      <c r="O181" s="827">
        <v>0</v>
      </c>
      <c r="P181" s="827">
        <v>0</v>
      </c>
      <c r="Q181" s="827">
        <v>0</v>
      </c>
      <c r="R181" s="827">
        <v>0</v>
      </c>
      <c r="S181" s="827">
        <v>0</v>
      </c>
      <c r="T181" s="827">
        <v>0</v>
      </c>
      <c r="U181" s="827">
        <v>0</v>
      </c>
      <c r="V181" s="827">
        <v>0</v>
      </c>
      <c r="W181" s="827">
        <v>0</v>
      </c>
      <c r="X181" s="827">
        <v>0</v>
      </c>
      <c r="Y181" s="827">
        <v>0</v>
      </c>
      <c r="Z181" s="827">
        <v>0</v>
      </c>
      <c r="AA181" s="827">
        <v>0</v>
      </c>
      <c r="AB181" s="827">
        <v>0</v>
      </c>
      <c r="AC181" s="828">
        <v>0</v>
      </c>
      <c r="AD181" s="828">
        <v>0</v>
      </c>
      <c r="AE181" s="828">
        <v>0</v>
      </c>
      <c r="AF181" s="828">
        <v>0</v>
      </c>
      <c r="AG181" s="828">
        <v>0</v>
      </c>
      <c r="AH181" s="828">
        <v>0</v>
      </c>
      <c r="AI181" s="828">
        <v>0</v>
      </c>
      <c r="AJ181" s="828">
        <v>0</v>
      </c>
      <c r="AK181" s="828">
        <v>0</v>
      </c>
      <c r="AL181" s="828">
        <v>0</v>
      </c>
      <c r="AM181" s="828">
        <v>0</v>
      </c>
      <c r="AN181" s="828">
        <v>0</v>
      </c>
      <c r="AO181" s="828">
        <v>0</v>
      </c>
      <c r="AP181" s="828">
        <v>0</v>
      </c>
    </row>
    <row r="182" hidden="1">
      <c r="B182" s="829" t="s">
        <v>11</v>
      </c>
      <c r="C182" s="823">
        <v>0</v>
      </c>
      <c r="D182" s="823">
        <v>0</v>
      </c>
      <c r="E182" s="823">
        <v>0</v>
      </c>
      <c r="F182" s="823">
        <v>0</v>
      </c>
      <c r="G182" s="823">
        <v>0</v>
      </c>
      <c r="H182" s="823">
        <v>0</v>
      </c>
      <c r="I182" s="823">
        <v>0</v>
      </c>
      <c r="J182" s="823">
        <v>0</v>
      </c>
      <c r="K182" s="823">
        <v>0</v>
      </c>
      <c r="L182" s="823">
        <v>0</v>
      </c>
      <c r="M182" s="823">
        <v>0</v>
      </c>
      <c r="N182" s="823">
        <v>0</v>
      </c>
      <c r="O182" s="823">
        <v>0</v>
      </c>
      <c r="P182" s="823">
        <v>0</v>
      </c>
      <c r="Q182" s="823">
        <v>0</v>
      </c>
      <c r="R182" s="823">
        <v>0</v>
      </c>
      <c r="S182" s="823">
        <v>0</v>
      </c>
      <c r="T182" s="823">
        <v>0</v>
      </c>
      <c r="U182" s="823">
        <v>0</v>
      </c>
      <c r="V182" s="823">
        <v>0</v>
      </c>
      <c r="W182" s="823">
        <v>0</v>
      </c>
      <c r="X182" s="823">
        <v>0</v>
      </c>
      <c r="Y182" s="823">
        <v>0</v>
      </c>
      <c r="Z182" s="823">
        <v>0</v>
      </c>
      <c r="AA182" s="823">
        <v>0</v>
      </c>
      <c r="AB182" s="823">
        <v>0</v>
      </c>
      <c r="AC182" s="825">
        <v>0</v>
      </c>
      <c r="AD182" s="825">
        <v>0</v>
      </c>
      <c r="AE182" s="825">
        <v>0</v>
      </c>
      <c r="AF182" s="825">
        <v>0</v>
      </c>
      <c r="AG182" s="825">
        <v>0</v>
      </c>
      <c r="AH182" s="825">
        <v>0</v>
      </c>
      <c r="AI182" s="825">
        <v>0</v>
      </c>
      <c r="AJ182" s="825">
        <v>0</v>
      </c>
      <c r="AK182" s="825">
        <v>0</v>
      </c>
      <c r="AL182" s="825">
        <v>0</v>
      </c>
      <c r="AM182" s="825">
        <v>0</v>
      </c>
      <c r="AN182" s="825">
        <v>0</v>
      </c>
      <c r="AO182" s="825">
        <v>0</v>
      </c>
      <c r="AP182" s="825">
        <v>0</v>
      </c>
    </row>
    <row r="183" hidden="1">
      <c r="B183" s="826" t="s">
        <v>12</v>
      </c>
      <c r="C183" s="827">
        <v>0</v>
      </c>
      <c r="D183" s="827">
        <v>0</v>
      </c>
      <c r="E183" s="827">
        <v>0</v>
      </c>
      <c r="F183" s="827">
        <v>0</v>
      </c>
      <c r="G183" s="827">
        <v>0</v>
      </c>
      <c r="H183" s="827">
        <v>0</v>
      </c>
      <c r="I183" s="827">
        <v>0</v>
      </c>
      <c r="J183" s="827">
        <v>0</v>
      </c>
      <c r="K183" s="827">
        <v>0</v>
      </c>
      <c r="L183" s="827">
        <v>0</v>
      </c>
      <c r="M183" s="827">
        <v>0</v>
      </c>
      <c r="N183" s="827">
        <v>0</v>
      </c>
      <c r="O183" s="827">
        <v>0</v>
      </c>
      <c r="P183" s="827">
        <v>0</v>
      </c>
      <c r="Q183" s="827">
        <v>0</v>
      </c>
      <c r="R183" s="827">
        <v>0</v>
      </c>
      <c r="S183" s="827">
        <v>0</v>
      </c>
      <c r="T183" s="827">
        <v>0</v>
      </c>
      <c r="U183" s="827">
        <v>0</v>
      </c>
      <c r="V183" s="827">
        <v>0</v>
      </c>
      <c r="W183" s="827">
        <v>0</v>
      </c>
      <c r="X183" s="827">
        <v>0</v>
      </c>
      <c r="Y183" s="827">
        <v>0</v>
      </c>
      <c r="Z183" s="827">
        <v>0</v>
      </c>
      <c r="AA183" s="827">
        <v>0</v>
      </c>
      <c r="AB183" s="827">
        <v>0</v>
      </c>
      <c r="AC183" s="828">
        <v>0</v>
      </c>
      <c r="AD183" s="828">
        <v>0</v>
      </c>
      <c r="AE183" s="828">
        <v>0</v>
      </c>
      <c r="AF183" s="828">
        <v>0</v>
      </c>
      <c r="AG183" s="828">
        <v>0</v>
      </c>
      <c r="AH183" s="828">
        <v>0</v>
      </c>
      <c r="AI183" s="828">
        <v>0</v>
      </c>
      <c r="AJ183" s="828">
        <v>0</v>
      </c>
      <c r="AK183" s="828">
        <v>0</v>
      </c>
      <c r="AL183" s="828">
        <v>0</v>
      </c>
      <c r="AM183" s="828">
        <v>0</v>
      </c>
      <c r="AN183" s="828">
        <v>0</v>
      </c>
      <c r="AO183" s="828">
        <v>0</v>
      </c>
      <c r="AP183" s="828">
        <v>0</v>
      </c>
    </row>
    <row r="184" hidden="1">
      <c r="B184" s="829" t="s">
        <v>13</v>
      </c>
      <c r="C184" s="823">
        <v>0</v>
      </c>
      <c r="D184" s="823">
        <v>0</v>
      </c>
      <c r="E184" s="823">
        <v>0</v>
      </c>
      <c r="F184" s="823">
        <v>0</v>
      </c>
      <c r="G184" s="823">
        <v>0</v>
      </c>
      <c r="H184" s="823">
        <v>0</v>
      </c>
      <c r="I184" s="823">
        <v>0</v>
      </c>
      <c r="J184" s="823">
        <v>0</v>
      </c>
      <c r="K184" s="823">
        <v>0</v>
      </c>
      <c r="L184" s="823">
        <v>0</v>
      </c>
      <c r="M184" s="823">
        <v>0</v>
      </c>
      <c r="N184" s="823">
        <v>0</v>
      </c>
      <c r="O184" s="823">
        <v>0</v>
      </c>
      <c r="P184" s="823">
        <v>0</v>
      </c>
      <c r="Q184" s="823">
        <v>0</v>
      </c>
      <c r="R184" s="823">
        <v>0</v>
      </c>
      <c r="S184" s="823">
        <v>0</v>
      </c>
      <c r="T184" s="823">
        <v>0</v>
      </c>
      <c r="U184" s="823">
        <v>0</v>
      </c>
      <c r="V184" s="823">
        <v>0</v>
      </c>
      <c r="W184" s="823">
        <v>0</v>
      </c>
      <c r="X184" s="823">
        <v>0</v>
      </c>
      <c r="Y184" s="823">
        <v>0</v>
      </c>
      <c r="Z184" s="823">
        <v>0</v>
      </c>
      <c r="AA184" s="823">
        <v>0</v>
      </c>
      <c r="AB184" s="823">
        <v>0</v>
      </c>
      <c r="AC184" s="825">
        <v>0</v>
      </c>
      <c r="AD184" s="825">
        <v>0</v>
      </c>
      <c r="AE184" s="825">
        <v>0</v>
      </c>
      <c r="AF184" s="825">
        <v>0</v>
      </c>
      <c r="AG184" s="825">
        <v>0</v>
      </c>
      <c r="AH184" s="825">
        <v>0</v>
      </c>
      <c r="AI184" s="825">
        <v>0</v>
      </c>
      <c r="AJ184" s="825">
        <v>0</v>
      </c>
      <c r="AK184" s="825">
        <v>0</v>
      </c>
      <c r="AL184" s="825">
        <v>0</v>
      </c>
      <c r="AM184" s="825">
        <v>0</v>
      </c>
      <c r="AN184" s="825">
        <v>0</v>
      </c>
      <c r="AO184" s="825">
        <v>0</v>
      </c>
      <c r="AP184" s="825">
        <v>0</v>
      </c>
    </row>
    <row r="185" hidden="1">
      <c r="B185" s="826" t="s">
        <v>109</v>
      </c>
      <c r="C185" s="827">
        <v>0</v>
      </c>
      <c r="D185" s="827">
        <v>0</v>
      </c>
      <c r="E185" s="827">
        <v>0</v>
      </c>
      <c r="F185" s="827">
        <v>0</v>
      </c>
      <c r="G185" s="827">
        <v>0</v>
      </c>
      <c r="H185" s="827">
        <v>0</v>
      </c>
      <c r="I185" s="827">
        <v>0</v>
      </c>
      <c r="J185" s="827">
        <v>0</v>
      </c>
      <c r="K185" s="827">
        <v>0</v>
      </c>
      <c r="L185" s="827">
        <v>0</v>
      </c>
      <c r="M185" s="827">
        <v>0</v>
      </c>
      <c r="N185" s="827">
        <v>0</v>
      </c>
      <c r="O185" s="827">
        <v>0</v>
      </c>
      <c r="P185" s="827">
        <v>0</v>
      </c>
      <c r="Q185" s="827">
        <v>0</v>
      </c>
      <c r="R185" s="827">
        <v>0</v>
      </c>
      <c r="S185" s="827">
        <v>0</v>
      </c>
      <c r="T185" s="827">
        <v>0</v>
      </c>
      <c r="U185" s="827">
        <v>0</v>
      </c>
      <c r="V185" s="827">
        <v>0</v>
      </c>
      <c r="W185" s="827">
        <v>0</v>
      </c>
      <c r="X185" s="827">
        <v>0</v>
      </c>
      <c r="Y185" s="827">
        <v>0</v>
      </c>
      <c r="Z185" s="827">
        <v>0</v>
      </c>
      <c r="AA185" s="827">
        <v>0</v>
      </c>
      <c r="AB185" s="827">
        <v>0</v>
      </c>
      <c r="AC185" s="828">
        <v>0</v>
      </c>
      <c r="AD185" s="828">
        <v>0</v>
      </c>
      <c r="AE185" s="828">
        <v>0</v>
      </c>
      <c r="AF185" s="828">
        <v>0</v>
      </c>
      <c r="AG185" s="828">
        <v>0</v>
      </c>
      <c r="AH185" s="828">
        <v>0</v>
      </c>
      <c r="AI185" s="828">
        <v>0</v>
      </c>
      <c r="AJ185" s="828">
        <v>0</v>
      </c>
      <c r="AK185" s="828">
        <v>0</v>
      </c>
      <c r="AL185" s="828">
        <v>0</v>
      </c>
      <c r="AM185" s="828">
        <v>0</v>
      </c>
      <c r="AN185" s="828">
        <v>0</v>
      </c>
      <c r="AO185" s="828">
        <v>0</v>
      </c>
      <c r="AP185" s="828">
        <v>0</v>
      </c>
    </row>
    <row r="186" hidden="1">
      <c r="B186" s="829" t="s">
        <v>110</v>
      </c>
      <c r="C186" s="823">
        <v>1</v>
      </c>
      <c r="D186" s="823">
        <v>1</v>
      </c>
      <c r="E186" s="823">
        <v>1</v>
      </c>
      <c r="F186" s="823">
        <v>1</v>
      </c>
      <c r="G186" s="823">
        <v>1</v>
      </c>
      <c r="H186" s="823">
        <v>1</v>
      </c>
      <c r="I186" s="823">
        <v>0</v>
      </c>
      <c r="J186" s="823">
        <v>0</v>
      </c>
      <c r="K186" s="823">
        <v>0</v>
      </c>
      <c r="L186" s="823">
        <v>0</v>
      </c>
      <c r="M186" s="823">
        <v>0</v>
      </c>
      <c r="N186" s="823">
        <v>0</v>
      </c>
      <c r="O186" s="823">
        <v>0</v>
      </c>
      <c r="P186" s="823">
        <v>0</v>
      </c>
      <c r="Q186" s="823">
        <v>1</v>
      </c>
      <c r="R186" s="823">
        <v>1</v>
      </c>
      <c r="S186" s="823">
        <v>1</v>
      </c>
      <c r="T186" s="823">
        <v>1</v>
      </c>
      <c r="U186" s="823">
        <v>1</v>
      </c>
      <c r="V186" s="823">
        <v>1</v>
      </c>
      <c r="W186" s="823">
        <v>1</v>
      </c>
      <c r="X186" s="823">
        <v>1</v>
      </c>
      <c r="Y186" s="823">
        <v>1</v>
      </c>
      <c r="Z186" s="823">
        <v>1</v>
      </c>
      <c r="AA186" s="823">
        <v>0</v>
      </c>
      <c r="AB186" s="823">
        <v>0</v>
      </c>
      <c r="AC186" s="825">
        <v>0</v>
      </c>
      <c r="AD186" s="825">
        <v>0</v>
      </c>
      <c r="AE186" s="825">
        <v>0</v>
      </c>
      <c r="AF186" s="825">
        <v>0</v>
      </c>
      <c r="AG186" s="825">
        <v>0</v>
      </c>
      <c r="AH186" s="825">
        <v>0</v>
      </c>
      <c r="AI186" s="825">
        <v>0</v>
      </c>
      <c r="AJ186" s="825">
        <v>0</v>
      </c>
      <c r="AK186" s="825">
        <v>0</v>
      </c>
      <c r="AL186" s="825">
        <v>0</v>
      </c>
      <c r="AM186" s="825">
        <v>0</v>
      </c>
      <c r="AN186" s="825">
        <v>0</v>
      </c>
      <c r="AO186" s="825">
        <v>0</v>
      </c>
      <c r="AP186" s="825">
        <v>0</v>
      </c>
    </row>
    <row r="187" hidden="1">
      <c r="B187" s="826" t="s">
        <v>16</v>
      </c>
      <c r="C187" s="827">
        <v>1</v>
      </c>
      <c r="D187" s="827">
        <v>1</v>
      </c>
      <c r="E187" s="827">
        <v>1</v>
      </c>
      <c r="F187" s="827">
        <v>1</v>
      </c>
      <c r="G187" s="827">
        <v>1</v>
      </c>
      <c r="H187" s="827">
        <v>1</v>
      </c>
      <c r="I187" s="827">
        <v>1</v>
      </c>
      <c r="J187" s="827">
        <v>1</v>
      </c>
      <c r="K187" s="827">
        <v>1</v>
      </c>
      <c r="L187" s="827">
        <v>1</v>
      </c>
      <c r="M187" s="827">
        <v>1</v>
      </c>
      <c r="N187" s="827">
        <v>1</v>
      </c>
      <c r="O187" s="827">
        <v>0</v>
      </c>
      <c r="P187" s="827">
        <v>0</v>
      </c>
      <c r="Q187" s="827">
        <v>0</v>
      </c>
      <c r="R187" s="827">
        <v>0</v>
      </c>
      <c r="S187" s="827">
        <v>0</v>
      </c>
      <c r="T187" s="827">
        <v>0</v>
      </c>
      <c r="U187" s="827">
        <v>0</v>
      </c>
      <c r="V187" s="827">
        <v>0</v>
      </c>
      <c r="W187" s="827">
        <v>0</v>
      </c>
      <c r="X187" s="827">
        <v>0</v>
      </c>
      <c r="Y187" s="827">
        <v>0</v>
      </c>
      <c r="Z187" s="827">
        <v>0</v>
      </c>
      <c r="AA187" s="827">
        <v>0</v>
      </c>
      <c r="AB187" s="827">
        <v>0</v>
      </c>
      <c r="AC187" s="828">
        <v>0</v>
      </c>
      <c r="AD187" s="828">
        <v>0</v>
      </c>
      <c r="AE187" s="828">
        <v>0</v>
      </c>
      <c r="AF187" s="828">
        <v>0</v>
      </c>
      <c r="AG187" s="828">
        <v>0</v>
      </c>
      <c r="AH187" s="828">
        <v>0</v>
      </c>
      <c r="AI187" s="828">
        <v>0</v>
      </c>
      <c r="AJ187" s="828">
        <v>0</v>
      </c>
      <c r="AK187" s="828">
        <v>0</v>
      </c>
      <c r="AL187" s="828">
        <v>0</v>
      </c>
      <c r="AM187" s="828">
        <v>0</v>
      </c>
      <c r="AN187" s="828">
        <v>0</v>
      </c>
      <c r="AO187" s="828">
        <v>0</v>
      </c>
      <c r="AP187" s="828">
        <v>0</v>
      </c>
    </row>
    <row r="188" hidden="1">
      <c r="B188" s="829" t="s">
        <v>17</v>
      </c>
      <c r="C188" s="823">
        <v>0</v>
      </c>
      <c r="D188" s="823">
        <v>0</v>
      </c>
      <c r="E188" s="823">
        <v>0</v>
      </c>
      <c r="F188" s="823">
        <v>0</v>
      </c>
      <c r="G188" s="823">
        <v>0</v>
      </c>
      <c r="H188" s="823">
        <v>0</v>
      </c>
      <c r="I188" s="823">
        <v>0</v>
      </c>
      <c r="J188" s="823">
        <v>0</v>
      </c>
      <c r="K188" s="823">
        <v>0</v>
      </c>
      <c r="L188" s="823">
        <v>0</v>
      </c>
      <c r="M188" s="823">
        <v>0</v>
      </c>
      <c r="N188" s="823">
        <v>0</v>
      </c>
      <c r="O188" s="823">
        <v>0</v>
      </c>
      <c r="P188" s="823">
        <v>0</v>
      </c>
      <c r="Q188" s="823">
        <v>0</v>
      </c>
      <c r="R188" s="823">
        <v>0</v>
      </c>
      <c r="S188" s="823">
        <v>0</v>
      </c>
      <c r="T188" s="823">
        <v>0</v>
      </c>
      <c r="U188" s="823">
        <v>0</v>
      </c>
      <c r="V188" s="823">
        <v>0</v>
      </c>
      <c r="W188" s="823">
        <v>0</v>
      </c>
      <c r="X188" s="823">
        <v>0</v>
      </c>
      <c r="Y188" s="823">
        <v>0</v>
      </c>
      <c r="Z188" s="823">
        <v>0</v>
      </c>
      <c r="AA188" s="823">
        <v>0</v>
      </c>
      <c r="AB188" s="823">
        <v>0</v>
      </c>
      <c r="AC188" s="825">
        <v>0</v>
      </c>
      <c r="AD188" s="825">
        <v>0</v>
      </c>
      <c r="AE188" s="825">
        <v>0</v>
      </c>
      <c r="AF188" s="825">
        <v>0</v>
      </c>
      <c r="AG188" s="825">
        <v>0</v>
      </c>
      <c r="AH188" s="825">
        <v>0</v>
      </c>
      <c r="AI188" s="825">
        <v>0</v>
      </c>
      <c r="AJ188" s="825">
        <v>0</v>
      </c>
      <c r="AK188" s="825">
        <v>0</v>
      </c>
      <c r="AL188" s="825">
        <v>0</v>
      </c>
      <c r="AM188" s="825">
        <v>0</v>
      </c>
      <c r="AN188" s="825">
        <v>0</v>
      </c>
      <c r="AO188" s="825">
        <v>0</v>
      </c>
      <c r="AP188" s="825">
        <v>0</v>
      </c>
    </row>
    <row r="189" hidden="1">
      <c r="B189" s="826" t="s">
        <v>18</v>
      </c>
      <c r="C189" s="827">
        <v>0</v>
      </c>
      <c r="D189" s="827">
        <v>0</v>
      </c>
      <c r="E189" s="827">
        <v>0</v>
      </c>
      <c r="F189" s="827">
        <v>0</v>
      </c>
      <c r="G189" s="827">
        <v>0</v>
      </c>
      <c r="H189" s="827">
        <v>0</v>
      </c>
      <c r="I189" s="827">
        <v>0</v>
      </c>
      <c r="J189" s="827">
        <v>0</v>
      </c>
      <c r="K189" s="827">
        <v>0</v>
      </c>
      <c r="L189" s="827">
        <v>0</v>
      </c>
      <c r="M189" s="827">
        <v>0</v>
      </c>
      <c r="N189" s="827">
        <v>0</v>
      </c>
      <c r="O189" s="827">
        <v>0</v>
      </c>
      <c r="P189" s="827">
        <v>0</v>
      </c>
      <c r="Q189" s="827">
        <v>0</v>
      </c>
      <c r="R189" s="827">
        <v>0</v>
      </c>
      <c r="S189" s="827">
        <v>0</v>
      </c>
      <c r="T189" s="827">
        <v>0</v>
      </c>
      <c r="U189" s="827">
        <v>0</v>
      </c>
      <c r="V189" s="827">
        <v>0</v>
      </c>
      <c r="W189" s="827">
        <v>0</v>
      </c>
      <c r="X189" s="827">
        <v>0</v>
      </c>
      <c r="Y189" s="827">
        <v>0</v>
      </c>
      <c r="Z189" s="827">
        <v>0</v>
      </c>
      <c r="AA189" s="827">
        <v>0</v>
      </c>
      <c r="AB189" s="827">
        <v>0</v>
      </c>
      <c r="AC189" s="828">
        <v>0</v>
      </c>
      <c r="AD189" s="828">
        <v>0</v>
      </c>
      <c r="AE189" s="828">
        <v>0</v>
      </c>
      <c r="AF189" s="828">
        <v>0</v>
      </c>
      <c r="AG189" s="828">
        <v>0</v>
      </c>
      <c r="AH189" s="828">
        <v>0</v>
      </c>
      <c r="AI189" s="828">
        <v>0</v>
      </c>
      <c r="AJ189" s="828">
        <v>0</v>
      </c>
      <c r="AK189" s="828">
        <v>0</v>
      </c>
      <c r="AL189" s="828">
        <v>0</v>
      </c>
      <c r="AM189" s="828">
        <v>0</v>
      </c>
      <c r="AN189" s="828">
        <v>0</v>
      </c>
      <c r="AO189" s="828">
        <v>0</v>
      </c>
      <c r="AP189" s="828">
        <v>0</v>
      </c>
    </row>
    <row r="190" hidden="1">
      <c r="B190" s="829" t="s">
        <v>19</v>
      </c>
      <c r="C190" s="823">
        <v>0</v>
      </c>
      <c r="D190" s="823">
        <v>0</v>
      </c>
      <c r="E190" s="823">
        <v>0</v>
      </c>
      <c r="F190" s="823">
        <v>0</v>
      </c>
      <c r="G190" s="823">
        <v>0</v>
      </c>
      <c r="H190" s="823">
        <v>0</v>
      </c>
      <c r="I190" s="823">
        <v>0</v>
      </c>
      <c r="J190" s="823">
        <v>0</v>
      </c>
      <c r="K190" s="823">
        <v>0</v>
      </c>
      <c r="L190" s="823">
        <v>0</v>
      </c>
      <c r="M190" s="823">
        <v>0</v>
      </c>
      <c r="N190" s="823">
        <v>0</v>
      </c>
      <c r="O190" s="823">
        <v>0</v>
      </c>
      <c r="P190" s="823">
        <v>0</v>
      </c>
      <c r="Q190" s="823">
        <v>0</v>
      </c>
      <c r="R190" s="823">
        <v>0</v>
      </c>
      <c r="S190" s="823">
        <v>0</v>
      </c>
      <c r="T190" s="823">
        <v>0</v>
      </c>
      <c r="U190" s="823">
        <v>0</v>
      </c>
      <c r="V190" s="823">
        <v>0</v>
      </c>
      <c r="W190" s="823">
        <v>0</v>
      </c>
      <c r="X190" s="823">
        <v>0</v>
      </c>
      <c r="Y190" s="823">
        <v>0</v>
      </c>
      <c r="Z190" s="823">
        <v>0</v>
      </c>
      <c r="AA190" s="823">
        <v>0</v>
      </c>
      <c r="AB190" s="823">
        <v>0</v>
      </c>
      <c r="AC190" s="825">
        <v>0</v>
      </c>
      <c r="AD190" s="825">
        <v>0</v>
      </c>
      <c r="AE190" s="825">
        <v>0</v>
      </c>
      <c r="AF190" s="825">
        <v>0</v>
      </c>
      <c r="AG190" s="825">
        <v>0</v>
      </c>
      <c r="AH190" s="825">
        <v>0</v>
      </c>
      <c r="AI190" s="825">
        <v>0</v>
      </c>
      <c r="AJ190" s="825">
        <v>0</v>
      </c>
      <c r="AK190" s="825">
        <v>0</v>
      </c>
      <c r="AL190" s="825">
        <v>0</v>
      </c>
      <c r="AM190" s="825">
        <v>0</v>
      </c>
      <c r="AN190" s="825">
        <v>0</v>
      </c>
      <c r="AO190" s="825">
        <v>0</v>
      </c>
      <c r="AP190" s="825">
        <v>0</v>
      </c>
    </row>
    <row r="191" hidden="1">
      <c r="B191" s="826" t="s">
        <v>20</v>
      </c>
      <c r="C191" s="827">
        <v>0</v>
      </c>
      <c r="D191" s="827">
        <v>0</v>
      </c>
      <c r="E191" s="827">
        <v>0</v>
      </c>
      <c r="F191" s="827">
        <v>0</v>
      </c>
      <c r="G191" s="827">
        <v>0</v>
      </c>
      <c r="H191" s="827">
        <v>0</v>
      </c>
      <c r="I191" s="827">
        <v>0</v>
      </c>
      <c r="J191" s="827">
        <v>0</v>
      </c>
      <c r="K191" s="827">
        <v>0</v>
      </c>
      <c r="L191" s="827">
        <v>0</v>
      </c>
      <c r="M191" s="827">
        <v>0</v>
      </c>
      <c r="N191" s="827">
        <v>0</v>
      </c>
      <c r="O191" s="827">
        <v>0</v>
      </c>
      <c r="P191" s="827">
        <v>0</v>
      </c>
      <c r="Q191" s="827">
        <v>0</v>
      </c>
      <c r="R191" s="827">
        <v>0</v>
      </c>
      <c r="S191" s="827">
        <v>0</v>
      </c>
      <c r="T191" s="827">
        <v>0</v>
      </c>
      <c r="U191" s="827">
        <v>0</v>
      </c>
      <c r="V191" s="827">
        <v>0</v>
      </c>
      <c r="W191" s="827">
        <v>0</v>
      </c>
      <c r="X191" s="827">
        <v>0</v>
      </c>
      <c r="Y191" s="827">
        <v>0</v>
      </c>
      <c r="Z191" s="827">
        <v>0</v>
      </c>
      <c r="AA191" s="827">
        <v>0</v>
      </c>
      <c r="AB191" s="827">
        <v>0</v>
      </c>
      <c r="AC191" s="828">
        <v>0</v>
      </c>
      <c r="AD191" s="828">
        <v>0</v>
      </c>
      <c r="AE191" s="828">
        <v>0</v>
      </c>
      <c r="AF191" s="828">
        <v>0</v>
      </c>
      <c r="AG191" s="828">
        <v>0</v>
      </c>
      <c r="AH191" s="828">
        <v>0</v>
      </c>
      <c r="AI191" s="828">
        <v>0</v>
      </c>
      <c r="AJ191" s="828">
        <v>0</v>
      </c>
      <c r="AK191" s="828">
        <v>0</v>
      </c>
      <c r="AL191" s="828">
        <v>0</v>
      </c>
      <c r="AM191" s="828">
        <v>0</v>
      </c>
      <c r="AN191" s="828">
        <v>0</v>
      </c>
      <c r="AO191" s="828">
        <v>0</v>
      </c>
      <c r="AP191" s="828">
        <v>0</v>
      </c>
    </row>
    <row r="192" hidden="1">
      <c r="B192" s="829" t="s">
        <v>21</v>
      </c>
      <c r="C192" s="823">
        <v>0</v>
      </c>
      <c r="D192" s="823">
        <v>0</v>
      </c>
      <c r="E192" s="823">
        <v>0</v>
      </c>
      <c r="F192" s="823">
        <v>0</v>
      </c>
      <c r="G192" s="823">
        <v>0</v>
      </c>
      <c r="H192" s="823">
        <v>0</v>
      </c>
      <c r="I192" s="823">
        <v>0</v>
      </c>
      <c r="J192" s="823">
        <v>0</v>
      </c>
      <c r="K192" s="823">
        <v>0</v>
      </c>
      <c r="L192" s="823">
        <v>0</v>
      </c>
      <c r="M192" s="823">
        <v>0</v>
      </c>
      <c r="N192" s="823">
        <v>0</v>
      </c>
      <c r="O192" s="823">
        <v>0</v>
      </c>
      <c r="P192" s="823">
        <v>0</v>
      </c>
      <c r="Q192" s="823">
        <v>0</v>
      </c>
      <c r="R192" s="823">
        <v>0</v>
      </c>
      <c r="S192" s="823">
        <v>0</v>
      </c>
      <c r="T192" s="823">
        <v>0</v>
      </c>
      <c r="U192" s="823">
        <v>0</v>
      </c>
      <c r="V192" s="823">
        <v>0</v>
      </c>
      <c r="W192" s="823">
        <v>0</v>
      </c>
      <c r="X192" s="823">
        <v>0</v>
      </c>
      <c r="Y192" s="823">
        <v>0</v>
      </c>
      <c r="Z192" s="823">
        <v>0</v>
      </c>
      <c r="AA192" s="823">
        <v>0</v>
      </c>
      <c r="AB192" s="823">
        <v>0</v>
      </c>
      <c r="AC192" s="825">
        <v>0</v>
      </c>
      <c r="AD192" s="825">
        <v>0</v>
      </c>
      <c r="AE192" s="825">
        <v>0</v>
      </c>
      <c r="AF192" s="825">
        <v>0</v>
      </c>
      <c r="AG192" s="825">
        <v>0</v>
      </c>
      <c r="AH192" s="825">
        <v>0</v>
      </c>
      <c r="AI192" s="825">
        <v>0</v>
      </c>
      <c r="AJ192" s="825">
        <v>0</v>
      </c>
      <c r="AK192" s="825">
        <v>0</v>
      </c>
      <c r="AL192" s="825">
        <v>0</v>
      </c>
      <c r="AM192" s="825">
        <v>0</v>
      </c>
      <c r="AN192" s="825">
        <v>0</v>
      </c>
      <c r="AO192" s="825">
        <v>0</v>
      </c>
      <c r="AP192" s="825">
        <v>0</v>
      </c>
    </row>
    <row r="193" hidden="1">
      <c r="B193" s="826" t="s">
        <v>22</v>
      </c>
      <c r="C193" s="827">
        <v>0</v>
      </c>
      <c r="D193" s="827">
        <v>0</v>
      </c>
      <c r="E193" s="827">
        <v>0</v>
      </c>
      <c r="F193" s="827">
        <v>0</v>
      </c>
      <c r="G193" s="827">
        <v>0</v>
      </c>
      <c r="H193" s="827">
        <v>0</v>
      </c>
      <c r="I193" s="827">
        <v>0</v>
      </c>
      <c r="J193" s="827">
        <v>0</v>
      </c>
      <c r="K193" s="827">
        <v>0</v>
      </c>
      <c r="L193" s="827">
        <v>0</v>
      </c>
      <c r="M193" s="827">
        <v>0</v>
      </c>
      <c r="N193" s="827">
        <v>0</v>
      </c>
      <c r="O193" s="827">
        <v>0</v>
      </c>
      <c r="P193" s="827">
        <v>0</v>
      </c>
      <c r="Q193" s="827">
        <v>0</v>
      </c>
      <c r="R193" s="827">
        <v>0</v>
      </c>
      <c r="S193" s="827">
        <v>0</v>
      </c>
      <c r="T193" s="827">
        <v>0</v>
      </c>
      <c r="U193" s="827">
        <v>0</v>
      </c>
      <c r="V193" s="827">
        <v>0</v>
      </c>
      <c r="W193" s="827">
        <v>0</v>
      </c>
      <c r="X193" s="827">
        <v>0</v>
      </c>
      <c r="Y193" s="827">
        <v>0</v>
      </c>
      <c r="Z193" s="827">
        <v>0</v>
      </c>
      <c r="AA193" s="827">
        <v>0</v>
      </c>
      <c r="AB193" s="827">
        <v>0</v>
      </c>
      <c r="AC193" s="828">
        <v>0</v>
      </c>
      <c r="AD193" s="828">
        <v>0</v>
      </c>
      <c r="AE193" s="828">
        <v>0</v>
      </c>
      <c r="AF193" s="828">
        <v>0</v>
      </c>
      <c r="AG193" s="828">
        <v>0</v>
      </c>
      <c r="AH193" s="828">
        <v>0</v>
      </c>
      <c r="AI193" s="828">
        <v>0</v>
      </c>
      <c r="AJ193" s="828">
        <v>0</v>
      </c>
      <c r="AK193" s="828">
        <v>0</v>
      </c>
      <c r="AL193" s="828">
        <v>0</v>
      </c>
      <c r="AM193" s="828">
        <v>0</v>
      </c>
      <c r="AN193" s="828">
        <v>0</v>
      </c>
      <c r="AO193" s="828">
        <v>0</v>
      </c>
      <c r="AP193" s="828">
        <v>0</v>
      </c>
    </row>
    <row r="194" hidden="1">
      <c r="B194" s="829" t="s">
        <v>23</v>
      </c>
      <c r="C194" s="823">
        <v>0</v>
      </c>
      <c r="D194" s="823">
        <v>0</v>
      </c>
      <c r="E194" s="823">
        <v>0</v>
      </c>
      <c r="F194" s="823">
        <v>0</v>
      </c>
      <c r="G194" s="823">
        <v>0</v>
      </c>
      <c r="H194" s="823">
        <v>0</v>
      </c>
      <c r="I194" s="823">
        <v>0</v>
      </c>
      <c r="J194" s="823">
        <v>0</v>
      </c>
      <c r="K194" s="823">
        <v>0</v>
      </c>
      <c r="L194" s="823">
        <v>0</v>
      </c>
      <c r="M194" s="823">
        <v>0</v>
      </c>
      <c r="N194" s="823">
        <v>0</v>
      </c>
      <c r="O194" s="823">
        <v>0</v>
      </c>
      <c r="P194" s="823">
        <v>0</v>
      </c>
      <c r="Q194" s="823">
        <v>0</v>
      </c>
      <c r="R194" s="823">
        <v>0</v>
      </c>
      <c r="S194" s="823">
        <v>0</v>
      </c>
      <c r="T194" s="823">
        <v>0</v>
      </c>
      <c r="U194" s="823">
        <v>0</v>
      </c>
      <c r="V194" s="823">
        <v>0</v>
      </c>
      <c r="W194" s="823">
        <v>0</v>
      </c>
      <c r="X194" s="823">
        <v>0</v>
      </c>
      <c r="Y194" s="823">
        <v>0</v>
      </c>
      <c r="Z194" s="823">
        <v>0</v>
      </c>
      <c r="AA194" s="823">
        <v>0</v>
      </c>
      <c r="AB194" s="823">
        <v>0</v>
      </c>
      <c r="AC194" s="825">
        <v>0</v>
      </c>
      <c r="AD194" s="825">
        <v>0</v>
      </c>
      <c r="AE194" s="825">
        <v>0</v>
      </c>
      <c r="AF194" s="825">
        <v>0</v>
      </c>
      <c r="AG194" s="825">
        <v>0</v>
      </c>
      <c r="AH194" s="825">
        <v>0</v>
      </c>
      <c r="AI194" s="825">
        <v>0</v>
      </c>
      <c r="AJ194" s="825">
        <v>0</v>
      </c>
      <c r="AK194" s="825">
        <v>0</v>
      </c>
      <c r="AL194" s="825">
        <v>0</v>
      </c>
      <c r="AM194" s="825">
        <v>0</v>
      </c>
      <c r="AN194" s="825">
        <v>0</v>
      </c>
      <c r="AO194" s="825">
        <v>0</v>
      </c>
      <c r="AP194" s="825">
        <v>0</v>
      </c>
    </row>
    <row r="195" hidden="1">
      <c r="B195" s="835" t="s">
        <v>24</v>
      </c>
      <c r="C195" s="827">
        <v>0</v>
      </c>
      <c r="D195" s="827">
        <v>0</v>
      </c>
      <c r="E195" s="827">
        <v>0</v>
      </c>
      <c r="F195" s="827">
        <v>0</v>
      </c>
      <c r="G195" s="827">
        <v>0</v>
      </c>
      <c r="H195" s="827">
        <v>0</v>
      </c>
      <c r="I195" s="827">
        <v>0</v>
      </c>
      <c r="J195" s="827">
        <v>0</v>
      </c>
      <c r="K195" s="827">
        <v>0</v>
      </c>
      <c r="L195" s="827">
        <v>0</v>
      </c>
      <c r="M195" s="827">
        <v>0</v>
      </c>
      <c r="N195" s="827">
        <v>0</v>
      </c>
      <c r="O195" s="827">
        <v>0</v>
      </c>
      <c r="P195" s="827">
        <v>0</v>
      </c>
      <c r="Q195" s="827">
        <v>0</v>
      </c>
      <c r="R195" s="827">
        <v>0</v>
      </c>
      <c r="S195" s="827">
        <v>0</v>
      </c>
      <c r="T195" s="827">
        <v>0</v>
      </c>
      <c r="U195" s="827">
        <v>0</v>
      </c>
      <c r="V195" s="827">
        <v>0</v>
      </c>
      <c r="W195" s="827">
        <v>0</v>
      </c>
      <c r="X195" s="827">
        <v>0</v>
      </c>
      <c r="Y195" s="827">
        <v>0</v>
      </c>
      <c r="Z195" s="827">
        <v>0</v>
      </c>
      <c r="AA195" s="827">
        <v>0</v>
      </c>
      <c r="AB195" s="827">
        <v>0</v>
      </c>
      <c r="AC195" s="828">
        <v>0</v>
      </c>
      <c r="AD195" s="828">
        <v>0</v>
      </c>
      <c r="AE195" s="828">
        <v>0</v>
      </c>
      <c r="AF195" s="828">
        <v>0</v>
      </c>
      <c r="AG195" s="828">
        <v>0</v>
      </c>
      <c r="AH195" s="828">
        <v>0</v>
      </c>
      <c r="AI195" s="828">
        <v>0</v>
      </c>
      <c r="AJ195" s="828">
        <v>0</v>
      </c>
      <c r="AK195" s="828">
        <v>0</v>
      </c>
      <c r="AL195" s="828">
        <v>0</v>
      </c>
      <c r="AM195" s="828">
        <v>0</v>
      </c>
      <c r="AN195" s="828">
        <v>0</v>
      </c>
      <c r="AO195" s="828">
        <v>0</v>
      </c>
      <c r="AP195" s="828">
        <v>0</v>
      </c>
    </row>
    <row r="196" hidden="1">
      <c r="B196" s="829" t="s">
        <v>25</v>
      </c>
      <c r="C196" s="823">
        <v>0</v>
      </c>
      <c r="D196" s="823">
        <v>0</v>
      </c>
      <c r="E196" s="823">
        <v>0</v>
      </c>
      <c r="F196" s="823">
        <v>0</v>
      </c>
      <c r="G196" s="823">
        <v>0</v>
      </c>
      <c r="H196" s="823">
        <v>0</v>
      </c>
      <c r="I196" s="823">
        <v>0</v>
      </c>
      <c r="J196" s="823">
        <v>0</v>
      </c>
      <c r="K196" s="823">
        <v>0</v>
      </c>
      <c r="L196" s="823">
        <v>0</v>
      </c>
      <c r="M196" s="823">
        <v>0</v>
      </c>
      <c r="N196" s="823">
        <v>0</v>
      </c>
      <c r="O196" s="823">
        <v>0</v>
      </c>
      <c r="P196" s="823">
        <v>0</v>
      </c>
      <c r="Q196" s="823">
        <v>0</v>
      </c>
      <c r="R196" s="823">
        <v>0</v>
      </c>
      <c r="S196" s="823">
        <v>0</v>
      </c>
      <c r="T196" s="823">
        <v>0</v>
      </c>
      <c r="U196" s="823">
        <v>0</v>
      </c>
      <c r="V196" s="823">
        <v>0</v>
      </c>
      <c r="W196" s="823">
        <v>0</v>
      </c>
      <c r="X196" s="823">
        <v>0</v>
      </c>
      <c r="Y196" s="823">
        <v>0</v>
      </c>
      <c r="Z196" s="823">
        <v>0</v>
      </c>
      <c r="AA196" s="823">
        <v>0</v>
      </c>
      <c r="AB196" s="823">
        <v>0</v>
      </c>
      <c r="AC196" s="825">
        <v>0</v>
      </c>
      <c r="AD196" s="825">
        <v>0</v>
      </c>
      <c r="AE196" s="825">
        <v>0</v>
      </c>
      <c r="AF196" s="825">
        <v>0</v>
      </c>
      <c r="AG196" s="825">
        <v>0</v>
      </c>
      <c r="AH196" s="825">
        <v>0</v>
      </c>
      <c r="AI196" s="825">
        <v>0</v>
      </c>
      <c r="AJ196" s="825">
        <v>0</v>
      </c>
      <c r="AK196" s="825">
        <v>0</v>
      </c>
      <c r="AL196" s="825">
        <v>0</v>
      </c>
      <c r="AM196" s="825">
        <v>0</v>
      </c>
      <c r="AN196" s="825">
        <v>0</v>
      </c>
      <c r="AO196" s="825">
        <v>0</v>
      </c>
      <c r="AP196" s="825">
        <v>0</v>
      </c>
    </row>
    <row r="197" hidden="1" ht="13.5">
      <c r="B197" s="836" t="s">
        <v>26</v>
      </c>
      <c r="C197" s="827">
        <v>0</v>
      </c>
      <c r="D197" s="827">
        <v>0</v>
      </c>
      <c r="E197" s="827">
        <v>0</v>
      </c>
      <c r="F197" s="827">
        <v>0</v>
      </c>
      <c r="G197" s="827">
        <v>0</v>
      </c>
      <c r="H197" s="827">
        <v>0</v>
      </c>
      <c r="I197" s="827">
        <v>0</v>
      </c>
      <c r="J197" s="827">
        <v>0</v>
      </c>
      <c r="K197" s="827">
        <v>0</v>
      </c>
      <c r="L197" s="827">
        <v>0</v>
      </c>
      <c r="M197" s="827">
        <v>0</v>
      </c>
      <c r="N197" s="827">
        <v>0</v>
      </c>
      <c r="O197" s="827">
        <v>0</v>
      </c>
      <c r="P197" s="827">
        <v>0</v>
      </c>
      <c r="Q197" s="827">
        <v>0</v>
      </c>
      <c r="R197" s="827">
        <v>0</v>
      </c>
      <c r="S197" s="827">
        <v>0</v>
      </c>
      <c r="T197" s="827">
        <v>0</v>
      </c>
      <c r="U197" s="827">
        <v>0</v>
      </c>
      <c r="V197" s="827">
        <v>0</v>
      </c>
      <c r="W197" s="827">
        <v>0</v>
      </c>
      <c r="X197" s="827">
        <v>0</v>
      </c>
      <c r="Y197" s="827">
        <v>0</v>
      </c>
      <c r="Z197" s="827">
        <v>0</v>
      </c>
      <c r="AA197" s="827">
        <v>0</v>
      </c>
      <c r="AB197" s="837">
        <v>0</v>
      </c>
      <c r="AC197" s="828">
        <v>0</v>
      </c>
      <c r="AD197" s="828">
        <v>0</v>
      </c>
      <c r="AE197" s="828">
        <v>0</v>
      </c>
      <c r="AF197" s="828">
        <v>0</v>
      </c>
      <c r="AG197" s="828">
        <v>0</v>
      </c>
      <c r="AH197" s="828">
        <v>0</v>
      </c>
      <c r="AI197" s="828">
        <v>0</v>
      </c>
      <c r="AJ197" s="828">
        <v>0</v>
      </c>
      <c r="AK197" s="828">
        <v>0</v>
      </c>
      <c r="AL197" s="828">
        <v>0</v>
      </c>
      <c r="AM197" s="828">
        <v>0</v>
      </c>
      <c r="AN197" s="828">
        <v>0</v>
      </c>
      <c r="AO197" s="828">
        <v>0</v>
      </c>
      <c r="AP197" s="828">
        <v>0</v>
      </c>
    </row>
    <row r="198" hidden="1" ht="13.5">
      <c r="B198" s="128" t="s">
        <v>7</v>
      </c>
      <c r="C198" s="129" t="str">
        <f>IF(SUM(C179:C197)&lt;&gt;0,SUM(C179:C197),"")</f>
      </c>
      <c r="D198" s="129" t="str">
        <f ref="D198:AA198" t="shared" si="15">IF(SUM(D179:D197)&lt;&gt;0,SUM(D179:D197),"")</f>
      </c>
      <c r="E198" s="129" t="str">
        <f t="shared" si="15"/>
      </c>
      <c r="F198" s="129" t="str">
        <f t="shared" si="15"/>
      </c>
      <c r="G198" s="129" t="str">
        <f t="shared" si="15"/>
      </c>
      <c r="H198" s="129" t="str">
        <f t="shared" si="15"/>
      </c>
      <c r="I198" s="129" t="str">
        <f t="shared" si="15"/>
      </c>
      <c r="J198" s="129" t="str">
        <f t="shared" si="15"/>
      </c>
      <c r="K198" s="129" t="str">
        <f t="shared" si="15"/>
      </c>
      <c r="L198" s="129" t="str">
        <f t="shared" si="15"/>
      </c>
      <c r="M198" s="129" t="str">
        <f t="shared" si="15"/>
      </c>
      <c r="N198" s="129" t="str">
        <f t="shared" si="15"/>
      </c>
      <c r="O198" s="129" t="str">
        <f t="shared" si="15"/>
      </c>
      <c r="P198" s="129" t="str">
        <f t="shared" si="15"/>
      </c>
      <c r="Q198" s="129" t="str">
        <f t="shared" si="15"/>
      </c>
      <c r="R198" s="129" t="str">
        <f t="shared" si="15"/>
      </c>
      <c r="S198" s="129" t="str">
        <f t="shared" si="15"/>
      </c>
      <c r="T198" s="129" t="str">
        <f t="shared" si="15"/>
      </c>
      <c r="U198" s="129" t="str">
        <f t="shared" si="15"/>
      </c>
      <c r="V198" s="129" t="str">
        <f t="shared" si="15"/>
      </c>
      <c r="W198" s="129" t="str">
        <f t="shared" si="15"/>
      </c>
      <c r="X198" s="129" t="str">
        <f t="shared" si="15"/>
      </c>
      <c r="Y198" s="129" t="str">
        <f t="shared" si="15"/>
      </c>
      <c r="Z198" s="129" t="str">
        <f t="shared" si="15"/>
      </c>
      <c r="AA198" s="129" t="str">
        <f t="shared" si="15"/>
      </c>
      <c r="AB198" s="130" t="str">
        <f>IF(SUM(AB179:AB197)&lt;&gt;0,SUM(AB179:AB197),"")</f>
      </c>
      <c r="AC198" s="91" t="str">
        <f ref="AC198:CN198" t="shared" si="16">IF(SUM(AC179:AC197)&lt;&gt;0,SUM(AC179:AC197),"")</f>
      </c>
      <c r="AD198" s="91" t="str">
        <f t="shared" si="16"/>
      </c>
      <c r="AE198" s="91" t="str">
        <f t="shared" si="16"/>
      </c>
      <c r="AF198" s="91" t="str">
        <f t="shared" si="16"/>
      </c>
      <c r="AG198" s="91" t="str">
        <f t="shared" si="16"/>
      </c>
      <c r="AH198" s="91" t="str">
        <f t="shared" si="16"/>
      </c>
      <c r="AI198" s="91" t="str">
        <f t="shared" si="16"/>
      </c>
      <c r="AJ198" s="91" t="str">
        <f t="shared" si="16"/>
      </c>
      <c r="AK198" s="91" t="str">
        <f t="shared" si="16"/>
      </c>
      <c r="AL198" s="91" t="str">
        <f t="shared" si="16"/>
      </c>
      <c r="AM198" s="91" t="str">
        <f t="shared" si="16"/>
      </c>
      <c r="AN198" s="91" t="str">
        <f t="shared" si="16"/>
      </c>
      <c r="AO198" s="91" t="str">
        <f t="shared" si="16"/>
      </c>
      <c r="AP198" s="91" t="str">
        <f t="shared" si="16"/>
      </c>
      <c r="AQ198" s="91" t="str">
        <f t="shared" si="16"/>
      </c>
      <c r="AR198" s="91" t="str">
        <f t="shared" si="16"/>
      </c>
      <c r="AS198" s="91" t="str">
        <f t="shared" si="16"/>
      </c>
      <c r="AT198" s="91" t="str">
        <f t="shared" si="16"/>
      </c>
      <c r="AU198" s="91" t="str">
        <f t="shared" si="16"/>
      </c>
      <c r="AV198" s="91" t="str">
        <f t="shared" si="16"/>
      </c>
      <c r="AW198" s="91" t="str">
        <f t="shared" si="16"/>
      </c>
      <c r="AX198" s="91" t="str">
        <f t="shared" si="16"/>
      </c>
      <c r="AY198" s="91" t="str">
        <f t="shared" si="16"/>
      </c>
      <c r="AZ198" s="91" t="str">
        <f t="shared" si="16"/>
      </c>
      <c r="BA198" s="91" t="str">
        <f t="shared" si="16"/>
      </c>
      <c r="BB198" s="91" t="str">
        <f t="shared" si="16"/>
      </c>
      <c r="BC198" s="91" t="str">
        <f t="shared" si="16"/>
      </c>
      <c r="BD198" s="91" t="str">
        <f t="shared" si="16"/>
      </c>
      <c r="BE198" s="91" t="str">
        <f t="shared" si="16"/>
      </c>
      <c r="BF198" s="91" t="str">
        <f t="shared" si="16"/>
      </c>
      <c r="BG198" s="91" t="str">
        <f t="shared" si="16"/>
      </c>
      <c r="BH198" s="91" t="str">
        <f t="shared" si="16"/>
      </c>
      <c r="BI198" s="91" t="str">
        <f t="shared" si="16"/>
      </c>
      <c r="BJ198" s="91" t="str">
        <f t="shared" si="16"/>
      </c>
      <c r="BK198" s="91" t="str">
        <f t="shared" si="16"/>
      </c>
      <c r="BL198" s="91" t="str">
        <f t="shared" si="16"/>
      </c>
      <c r="BM198" s="91" t="str">
        <f t="shared" si="16"/>
      </c>
      <c r="BN198" s="91" t="str">
        <f t="shared" si="16"/>
      </c>
      <c r="BO198" s="91" t="str">
        <f t="shared" si="16"/>
      </c>
      <c r="BP198" s="91" t="str">
        <f t="shared" si="16"/>
      </c>
      <c r="BQ198" s="91" t="str">
        <f t="shared" si="16"/>
      </c>
      <c r="BR198" s="91" t="str">
        <f t="shared" si="16"/>
      </c>
      <c r="BS198" s="91" t="str">
        <f t="shared" si="16"/>
      </c>
      <c r="BT198" s="91" t="str">
        <f t="shared" si="16"/>
      </c>
      <c r="BU198" s="91" t="str">
        <f t="shared" si="16"/>
      </c>
      <c r="BV198" s="91" t="str">
        <f t="shared" si="16"/>
      </c>
      <c r="BW198" s="91" t="str">
        <f t="shared" si="16"/>
      </c>
      <c r="BX198" s="91" t="str">
        <f t="shared" si="16"/>
      </c>
      <c r="BY198" s="91" t="str">
        <f t="shared" si="16"/>
      </c>
      <c r="BZ198" s="91" t="str">
        <f t="shared" si="16"/>
      </c>
      <c r="CA198" s="91" t="str">
        <f t="shared" si="16"/>
      </c>
      <c r="CB198" s="91" t="str">
        <f t="shared" si="16"/>
      </c>
      <c r="CC198" s="91" t="str">
        <f t="shared" si="16"/>
      </c>
      <c r="CD198" s="91" t="str">
        <f t="shared" si="16"/>
      </c>
      <c r="CE198" s="91" t="str">
        <f t="shared" si="16"/>
      </c>
      <c r="CF198" s="91" t="str">
        <f t="shared" si="16"/>
      </c>
      <c r="CG198" s="91" t="str">
        <f t="shared" si="16"/>
      </c>
      <c r="CH198" s="91" t="str">
        <f t="shared" si="16"/>
      </c>
      <c r="CI198" s="91" t="str">
        <f t="shared" si="16"/>
      </c>
      <c r="CJ198" s="91" t="str">
        <f t="shared" si="16"/>
      </c>
      <c r="CK198" s="91" t="str">
        <f t="shared" si="16"/>
      </c>
      <c r="CL198" s="91" t="str">
        <f t="shared" si="16"/>
      </c>
      <c r="CM198" s="91" t="str">
        <f t="shared" si="16"/>
      </c>
      <c r="CN198" s="91" t="str">
        <f t="shared" si="16"/>
      </c>
      <c r="CO198" s="91" t="str">
        <f ref="CO198:EZ198" t="shared" si="17">IF(SUM(CO179:CO197)&lt;&gt;0,SUM(CO179:CO197),"")</f>
      </c>
      <c r="CP198" s="91" t="str">
        <f t="shared" si="17"/>
      </c>
      <c r="CQ198" s="91" t="str">
        <f t="shared" si="17"/>
      </c>
      <c r="CR198" s="91" t="str">
        <f t="shared" si="17"/>
      </c>
      <c r="CS198" s="91" t="str">
        <f t="shared" si="17"/>
      </c>
      <c r="CT198" s="91" t="str">
        <f t="shared" si="17"/>
      </c>
      <c r="CU198" s="91" t="str">
        <f t="shared" si="17"/>
      </c>
      <c r="CV198" s="91" t="str">
        <f t="shared" si="17"/>
      </c>
      <c r="CW198" s="91" t="str">
        <f t="shared" si="17"/>
      </c>
      <c r="CX198" s="91" t="str">
        <f t="shared" si="17"/>
      </c>
      <c r="CY198" s="91" t="str">
        <f t="shared" si="17"/>
      </c>
      <c r="CZ198" s="91" t="str">
        <f t="shared" si="17"/>
      </c>
      <c r="DA198" s="91" t="str">
        <f t="shared" si="17"/>
      </c>
      <c r="DB198" s="91" t="str">
        <f t="shared" si="17"/>
      </c>
      <c r="DC198" s="91" t="str">
        <f t="shared" si="17"/>
      </c>
      <c r="DD198" s="91" t="str">
        <f t="shared" si="17"/>
      </c>
      <c r="DE198" s="91" t="str">
        <f t="shared" si="17"/>
      </c>
      <c r="DF198" s="91" t="str">
        <f t="shared" si="17"/>
      </c>
      <c r="DG198" s="91" t="str">
        <f t="shared" si="17"/>
      </c>
      <c r="DH198" s="91" t="str">
        <f t="shared" si="17"/>
      </c>
      <c r="DI198" s="91" t="str">
        <f t="shared" si="17"/>
      </c>
      <c r="DJ198" s="91" t="str">
        <f t="shared" si="17"/>
      </c>
      <c r="DK198" s="91" t="str">
        <f t="shared" si="17"/>
      </c>
      <c r="DL198" s="91" t="str">
        <f t="shared" si="17"/>
      </c>
      <c r="DM198" s="91" t="str">
        <f t="shared" si="17"/>
      </c>
      <c r="DN198" s="91" t="str">
        <f t="shared" si="17"/>
      </c>
      <c r="DO198" s="91" t="str">
        <f t="shared" si="17"/>
      </c>
      <c r="DP198" s="91" t="str">
        <f t="shared" si="17"/>
      </c>
      <c r="DQ198" s="91" t="str">
        <f t="shared" si="17"/>
      </c>
      <c r="DR198" s="91" t="str">
        <f t="shared" si="17"/>
      </c>
      <c r="DS198" s="91" t="str">
        <f t="shared" si="17"/>
      </c>
      <c r="DT198" s="91" t="str">
        <f t="shared" si="17"/>
      </c>
      <c r="DU198" s="91" t="str">
        <f t="shared" si="17"/>
      </c>
      <c r="DV198" s="91" t="str">
        <f t="shared" si="17"/>
      </c>
      <c r="DW198" s="91" t="str">
        <f t="shared" si="17"/>
      </c>
      <c r="DX198" s="91" t="str">
        <f t="shared" si="17"/>
      </c>
      <c r="DY198" s="91" t="str">
        <f t="shared" si="17"/>
      </c>
      <c r="DZ198" s="91" t="str">
        <f t="shared" si="17"/>
      </c>
      <c r="EA198" s="91" t="str">
        <f t="shared" si="17"/>
      </c>
      <c r="EB198" s="91" t="str">
        <f t="shared" si="17"/>
      </c>
      <c r="EC198" s="91" t="str">
        <f t="shared" si="17"/>
      </c>
      <c r="ED198" s="91" t="str">
        <f t="shared" si="17"/>
      </c>
      <c r="EE198" s="91" t="str">
        <f t="shared" si="17"/>
      </c>
      <c r="EF198" s="91" t="str">
        <f t="shared" si="17"/>
      </c>
      <c r="EG198" s="91" t="str">
        <f t="shared" si="17"/>
      </c>
      <c r="EH198" s="91" t="str">
        <f t="shared" si="17"/>
      </c>
      <c r="EI198" s="91" t="str">
        <f t="shared" si="17"/>
      </c>
      <c r="EJ198" s="91" t="str">
        <f t="shared" si="17"/>
      </c>
      <c r="EK198" s="91" t="str">
        <f t="shared" si="17"/>
      </c>
      <c r="EL198" s="91" t="str">
        <f t="shared" si="17"/>
      </c>
      <c r="EM198" s="91" t="str">
        <f t="shared" si="17"/>
      </c>
      <c r="EN198" s="91" t="str">
        <f t="shared" si="17"/>
      </c>
      <c r="EO198" s="91" t="str">
        <f t="shared" si="17"/>
      </c>
      <c r="EP198" s="91" t="str">
        <f t="shared" si="17"/>
      </c>
      <c r="EQ198" s="91" t="str">
        <f t="shared" si="17"/>
      </c>
      <c r="ER198" s="91" t="str">
        <f t="shared" si="17"/>
      </c>
      <c r="ES198" s="91" t="str">
        <f t="shared" si="17"/>
      </c>
      <c r="ET198" s="91" t="str">
        <f t="shared" si="17"/>
      </c>
      <c r="EU198" s="91" t="str">
        <f t="shared" si="17"/>
      </c>
      <c r="EV198" s="91" t="str">
        <f t="shared" si="17"/>
      </c>
      <c r="EW198" s="91" t="str">
        <f t="shared" si="17"/>
      </c>
      <c r="EX198" s="91" t="str">
        <f t="shared" si="17"/>
      </c>
      <c r="EY198" s="91" t="str">
        <f t="shared" si="17"/>
      </c>
      <c r="EZ198" s="91" t="str">
        <f t="shared" si="17"/>
      </c>
      <c r="FA198" s="91" t="str">
        <f ref="FA198:HL198" t="shared" si="18">IF(SUM(FA179:FA197)&lt;&gt;0,SUM(FA179:FA197),"")</f>
      </c>
      <c r="FB198" s="91" t="str">
        <f t="shared" si="18"/>
      </c>
      <c r="FC198" s="91" t="str">
        <f t="shared" si="18"/>
      </c>
      <c r="FD198" s="91" t="str">
        <f t="shared" si="18"/>
      </c>
      <c r="FE198" s="91" t="str">
        <f t="shared" si="18"/>
      </c>
      <c r="FF198" s="91" t="str">
        <f t="shared" si="18"/>
      </c>
      <c r="FG198" s="91" t="str">
        <f t="shared" si="18"/>
      </c>
      <c r="FH198" s="91" t="str">
        <f t="shared" si="18"/>
      </c>
      <c r="FI198" s="91" t="str">
        <f t="shared" si="18"/>
      </c>
      <c r="FJ198" s="91" t="str">
        <f t="shared" si="18"/>
      </c>
      <c r="FK198" s="91" t="str">
        <f t="shared" si="18"/>
      </c>
      <c r="FL198" s="91" t="str">
        <f t="shared" si="18"/>
      </c>
      <c r="FM198" s="91" t="str">
        <f t="shared" si="18"/>
      </c>
      <c r="FN198" s="91" t="str">
        <f t="shared" si="18"/>
      </c>
      <c r="FO198" s="91" t="str">
        <f t="shared" si="18"/>
      </c>
      <c r="FP198" s="91" t="str">
        <f t="shared" si="18"/>
      </c>
      <c r="FQ198" s="91" t="str">
        <f t="shared" si="18"/>
      </c>
      <c r="FR198" s="91" t="str">
        <f t="shared" si="18"/>
      </c>
      <c r="FS198" s="91" t="str">
        <f t="shared" si="18"/>
      </c>
      <c r="FT198" s="91" t="str">
        <f t="shared" si="18"/>
      </c>
      <c r="FU198" s="91" t="str">
        <f t="shared" si="18"/>
      </c>
      <c r="FV198" s="91" t="str">
        <f t="shared" si="18"/>
      </c>
      <c r="FW198" s="91" t="str">
        <f t="shared" si="18"/>
      </c>
      <c r="FX198" s="91" t="str">
        <f t="shared" si="18"/>
      </c>
      <c r="FY198" s="91" t="str">
        <f t="shared" si="18"/>
      </c>
      <c r="FZ198" s="91" t="str">
        <f t="shared" si="18"/>
      </c>
      <c r="GA198" s="91" t="str">
        <f t="shared" si="18"/>
      </c>
      <c r="GB198" s="91" t="str">
        <f t="shared" si="18"/>
      </c>
      <c r="GC198" s="91" t="str">
        <f t="shared" si="18"/>
      </c>
      <c r="GD198" s="91" t="str">
        <f t="shared" si="18"/>
      </c>
      <c r="GE198" s="91" t="str">
        <f t="shared" si="18"/>
      </c>
      <c r="GF198" s="91" t="str">
        <f t="shared" si="18"/>
      </c>
      <c r="GG198" s="91" t="str">
        <f t="shared" si="18"/>
      </c>
      <c r="GH198" s="91" t="str">
        <f t="shared" si="18"/>
      </c>
      <c r="GI198" s="91" t="str">
        <f t="shared" si="18"/>
      </c>
      <c r="GJ198" s="91" t="str">
        <f t="shared" si="18"/>
      </c>
      <c r="GK198" s="91" t="str">
        <f t="shared" si="18"/>
      </c>
      <c r="GL198" s="91" t="str">
        <f t="shared" si="18"/>
      </c>
      <c r="GM198" s="91" t="str">
        <f t="shared" si="18"/>
      </c>
      <c r="GN198" s="91" t="str">
        <f t="shared" si="18"/>
      </c>
      <c r="GO198" s="91" t="str">
        <f t="shared" si="18"/>
      </c>
      <c r="GP198" s="91" t="str">
        <f t="shared" si="18"/>
      </c>
      <c r="GQ198" s="91" t="str">
        <f t="shared" si="18"/>
      </c>
      <c r="GR198" s="91" t="str">
        <f t="shared" si="18"/>
      </c>
      <c r="GS198" s="91" t="str">
        <f t="shared" si="18"/>
      </c>
      <c r="GT198" s="91" t="str">
        <f t="shared" si="18"/>
      </c>
      <c r="GU198" s="91" t="str">
        <f t="shared" si="18"/>
      </c>
      <c r="GV198" s="91" t="str">
        <f t="shared" si="18"/>
      </c>
      <c r="GW198" s="91" t="str">
        <f t="shared" si="18"/>
      </c>
      <c r="GX198" s="91" t="str">
        <f t="shared" si="18"/>
      </c>
      <c r="GY198" s="91" t="str">
        <f t="shared" si="18"/>
      </c>
      <c r="GZ198" s="91" t="str">
        <f t="shared" si="18"/>
      </c>
      <c r="HA198" s="91" t="str">
        <f t="shared" si="18"/>
      </c>
      <c r="HB198" s="91" t="str">
        <f t="shared" si="18"/>
      </c>
      <c r="HC198" s="91" t="str">
        <f t="shared" si="18"/>
      </c>
      <c r="HD198" s="91" t="str">
        <f t="shared" si="18"/>
      </c>
      <c r="HE198" s="91" t="str">
        <f t="shared" si="18"/>
      </c>
      <c r="HF198" s="91" t="str">
        <f t="shared" si="18"/>
      </c>
      <c r="HG198" s="91" t="str">
        <f t="shared" si="18"/>
      </c>
      <c r="HH198" s="91" t="str">
        <f t="shared" si="18"/>
      </c>
      <c r="HI198" s="91" t="str">
        <f t="shared" si="18"/>
      </c>
      <c r="HJ198" s="91" t="str">
        <f t="shared" si="18"/>
      </c>
      <c r="HK198" s="91" t="str">
        <f t="shared" si="18"/>
      </c>
      <c r="HL198" s="91" t="str">
        <f t="shared" si="18"/>
      </c>
      <c r="HM198" s="91" t="str">
        <f ref="HM198:IV198" t="shared" si="19">IF(SUM(HM179:HM197)&lt;&gt;0,SUM(HM179:HM197),"")</f>
      </c>
      <c r="HN198" s="91" t="str">
        <f t="shared" si="19"/>
      </c>
      <c r="HO198" s="91" t="str">
        <f t="shared" si="19"/>
      </c>
      <c r="HP198" s="91" t="str">
        <f t="shared" si="19"/>
      </c>
      <c r="HQ198" s="91" t="str">
        <f t="shared" si="19"/>
      </c>
      <c r="HR198" s="91" t="str">
        <f t="shared" si="19"/>
      </c>
      <c r="HS198" s="91" t="str">
        <f t="shared" si="19"/>
      </c>
      <c r="HT198" s="91" t="str">
        <f t="shared" si="19"/>
      </c>
      <c r="HU198" s="91" t="str">
        <f t="shared" si="19"/>
      </c>
      <c r="HV198" s="91" t="str">
        <f t="shared" si="19"/>
      </c>
      <c r="HW198" s="91" t="str">
        <f t="shared" si="19"/>
      </c>
      <c r="HX198" s="91" t="str">
        <f t="shared" si="19"/>
      </c>
      <c r="HY198" s="91" t="str">
        <f t="shared" si="19"/>
      </c>
      <c r="HZ198" s="91" t="str">
        <f t="shared" si="19"/>
      </c>
      <c r="IA198" s="91" t="str">
        <f t="shared" si="19"/>
      </c>
      <c r="IB198" s="91" t="str">
        <f t="shared" si="19"/>
      </c>
      <c r="IC198" s="91" t="str">
        <f t="shared" si="19"/>
      </c>
      <c r="ID198" s="91" t="str">
        <f t="shared" si="19"/>
      </c>
      <c r="IE198" s="91" t="str">
        <f t="shared" si="19"/>
      </c>
      <c r="IF198" s="91" t="str">
        <f t="shared" si="19"/>
      </c>
      <c r="IG198" s="91" t="str">
        <f t="shared" si="19"/>
      </c>
      <c r="IH198" s="91" t="str">
        <f t="shared" si="19"/>
      </c>
      <c r="II198" s="91" t="str">
        <f t="shared" si="19"/>
      </c>
      <c r="IJ198" s="91" t="str">
        <f t="shared" si="19"/>
      </c>
      <c r="IK198" s="91" t="str">
        <f t="shared" si="19"/>
      </c>
      <c r="IL198" s="91" t="str">
        <f t="shared" si="19"/>
      </c>
      <c r="IM198" s="91" t="str">
        <f t="shared" si="19"/>
      </c>
      <c r="IN198" s="91" t="str">
        <f t="shared" si="19"/>
      </c>
      <c r="IO198" s="91" t="str">
        <f t="shared" si="19"/>
      </c>
      <c r="IP198" s="91" t="str">
        <f t="shared" si="19"/>
      </c>
      <c r="IQ198" s="91" t="str">
        <f t="shared" si="19"/>
      </c>
      <c r="IR198" s="91" t="str">
        <f t="shared" si="19"/>
      </c>
      <c r="IS198" s="91" t="str">
        <f t="shared" si="19"/>
      </c>
      <c r="IT198" s="91" t="str">
        <f t="shared" si="19"/>
      </c>
      <c r="IU198" s="91" t="str">
        <f t="shared" si="19"/>
      </c>
      <c r="IV198" s="91" t="str">
        <f t="shared" si="19"/>
      </c>
    </row>
    <row r="199" hidden="1"/>
    <row r="200" hidden="1" ht="15" customHeight="1"/>
    <row r="201" hidden="1" ht="15.75" customHeight="1">
      <c r="C201" s="686" t="s">
        <v>114</v>
      </c>
      <c r="D201" s="687"/>
      <c r="E201" s="687"/>
      <c r="F201" s="687"/>
      <c r="G201" s="687"/>
      <c r="H201" s="687"/>
      <c r="I201" s="687"/>
      <c r="J201" s="687"/>
      <c r="K201" s="687"/>
      <c r="L201" s="687"/>
      <c r="M201" s="687"/>
      <c r="N201" s="687"/>
      <c r="O201" s="687"/>
      <c r="P201" s="687"/>
      <c r="Q201" s="687"/>
      <c r="R201" s="687"/>
      <c r="S201" s="687"/>
      <c r="T201" s="687"/>
      <c r="U201" s="687"/>
      <c r="V201" s="687"/>
      <c r="W201" s="687"/>
      <c r="X201" s="687"/>
      <c r="Y201" s="687"/>
      <c r="Z201" s="687"/>
      <c r="AA201" s="687"/>
      <c r="AB201" s="688"/>
    </row>
    <row r="202" hidden="1" ht="15" customHeight="1">
      <c r="C202" s="435" t="str">
        <f> IF(C222&lt;&gt;"",TEXT(AUX!G$1,"dd-MMM-aa"),"")</f>
      </c>
      <c r="D202" s="435" t="str">
        <f> IF(D222&lt;&gt;"",TEXT(AUX!H$1,"dd-MMM-aa"),"")</f>
      </c>
      <c r="E202" s="435" t="str">
        <f> IF(E222&lt;&gt;"",TEXT(AUX!I$1,"dd-MMM-aa"),"")</f>
      </c>
      <c r="F202" s="435" t="str">
        <f> IF(F222&lt;&gt;"",TEXT(AUX!J$1,"dd-MMM-aa"),"")</f>
      </c>
      <c r="G202" s="435" t="str">
        <f> IF(G222&lt;&gt;"",TEXT(AUX!K$1,"dd-MMM-aa"),"")</f>
      </c>
      <c r="H202" s="435" t="str">
        <f> IF(H222&lt;&gt;"",TEXT(AUX!L$1,"dd-MMM-aa"),"")</f>
      </c>
      <c r="I202" s="435" t="str">
        <f> IF(I222&lt;&gt;"",TEXT(AUX!M$1,"dd-MMM-aa"),"")</f>
      </c>
      <c r="J202" s="435" t="str">
        <f> IF(J222&lt;&gt;"",TEXT(AUX!N$1,"dd-MMM-aa"),"")</f>
      </c>
      <c r="K202" s="435" t="str">
        <f> IF(K222&lt;&gt;"",TEXT(AUX!O$1,"dd-MMM-aa"),"")</f>
      </c>
      <c r="L202" s="435" t="str">
        <f> IF(L222&lt;&gt;"",TEXT(AUX!P$1,"dd-MMM-aa"),"")</f>
      </c>
      <c r="M202" s="435" t="str">
        <f> IF(M222&lt;&gt;"",TEXT(AUX!Q$1,"dd-MMM-aa"),"")</f>
      </c>
      <c r="N202" s="435" t="str">
        <f> IF(N222&lt;&gt;"",TEXT(AUX!R$1,"dd-MMM-aa"),"")</f>
      </c>
      <c r="O202" s="435" t="str">
        <f> IF(O222&lt;&gt;"",TEXT(AUX!S$1,"dd-MMM-aa"),"")</f>
      </c>
      <c r="P202" s="435" t="str">
        <f> IF(P222&lt;&gt;"",TEXT(AUX!T$1,"dd-MMM-aa"),"")</f>
      </c>
      <c r="Q202" s="435" t="str">
        <f> IF(Q222&lt;&gt;"",TEXT(AUX!U$1,"dd-MMM-aa"),"")</f>
      </c>
      <c r="R202" s="435" t="str">
        <f> IF(R222&lt;&gt;"",TEXT(AUX!V$1,"dd-MMM-aa"),"")</f>
      </c>
      <c r="S202" s="435" t="str">
        <f> IF(S222&lt;&gt;"",TEXT(AUX!W$1,"dd-MMM-aa"),"")</f>
      </c>
      <c r="T202" s="435" t="str">
        <f> IF(T222&lt;&gt;"",TEXT(AUX!X$1,"dd-MMM-aa"),"")</f>
      </c>
      <c r="U202" s="435" t="str">
        <f> IF(U222&lt;&gt;"",TEXT(AUX!Y$1,"dd-MMM-aa"),"")</f>
      </c>
      <c r="V202" s="435" t="str">
        <f> IF(V222&lt;&gt;"",TEXT(AUX!Z$1,"dd-MMM-aa"),"")</f>
      </c>
      <c r="W202" s="435" t="str">
        <f> IF(W222&lt;&gt;"",TEXT(AUX!AA$1,"dd-MMM-aa"),"")</f>
      </c>
      <c r="X202" s="435" t="str">
        <f> IF(X222&lt;&gt;"",TEXT(AUX!AB$1,"dd-MMM-aa"),"")</f>
      </c>
      <c r="Y202" s="435" t="str">
        <f> IF(Y222&lt;&gt;"",TEXT(AUX!AC$1,"dd-MMM-aa"),"")</f>
      </c>
      <c r="Z202" s="435" t="str">
        <f> IF(Z222&lt;&gt;"",TEXT(AUX!AD$1,"dd-MMM-aa"),"")</f>
      </c>
      <c r="AA202" s="435" t="str">
        <f> IF(AA222&lt;&gt;"",TEXT(AUX!AE$1,"dd-MMM-aa"),"")</f>
      </c>
      <c r="AB202" s="497" t="str">
        <f> IF(AB222&lt;&gt;"",TEXT(AUX!AF$1,"dd-MMM-aa"),"")</f>
      </c>
      <c r="AC202" s="496" t="str">
        <f> IF(AC222&lt;&gt;"",TEXT(AUX!AG$1,"dd-MMM-aa"),"")</f>
      </c>
      <c r="AD202" s="496" t="str">
        <f> IF(AD222&lt;&gt;"",TEXT(AUX!AH$1,"dd-MMM-aa"),"")</f>
      </c>
      <c r="AE202" s="496" t="str">
        <f> IF(AE222&lt;&gt;"",TEXT(AUX!AI$1,"dd-MMM-aa"),"")</f>
      </c>
      <c r="AF202" s="496" t="str">
        <f> IF(AF222&lt;&gt;"",TEXT(AUX!AJ$1,"dd-MMM-aa"),"")</f>
      </c>
      <c r="AG202" s="496" t="str">
        <f> IF(AG222&lt;&gt;"",TEXT(AUX!AK$1,"dd-MMM-aa"),"")</f>
      </c>
      <c r="AH202" s="496" t="str">
        <f> IF(AH222&lt;&gt;"",TEXT(AUX!AL$1,"dd-MMM-aa"),"")</f>
      </c>
      <c r="AI202" s="496" t="str">
        <f> IF(AI222&lt;&gt;"",TEXT(AUX!AM$1,"dd-MMM-aa"),"")</f>
      </c>
      <c r="AJ202" s="496" t="str">
        <f> IF(AJ222&lt;&gt;"",TEXT(AUX!AN$1,"dd-MMM-aa"),"")</f>
      </c>
      <c r="AK202" s="496" t="str">
        <f> IF(AK222&lt;&gt;"",TEXT(AUX!AO$1,"dd-MMM-aa"),"")</f>
      </c>
      <c r="AL202" s="496" t="str">
        <f> IF(AL222&lt;&gt;"",TEXT(AUX!AP$1,"dd-MMM-aa"),"")</f>
      </c>
      <c r="AM202" s="496" t="str">
        <f> IF(AM222&lt;&gt;"",TEXT(AUX!AQ$1,"dd-MMM-aa"),"")</f>
      </c>
      <c r="AN202" s="496" t="str">
        <f> IF(AN222&lt;&gt;"",TEXT(AUX!AR$1,"dd-MMM-aa"),"")</f>
      </c>
      <c r="AO202" s="496" t="str">
        <f> IF(AO222&lt;&gt;"",TEXT(AUX!AS$1,"dd-MMM-aa"),"")</f>
      </c>
      <c r="AP202" s="496" t="str">
        <f> IF(AP222&lt;&gt;"",TEXT(AUX!AT$1,"dd-MMM-aa"),"")</f>
      </c>
      <c r="AQ202" s="496" t="str">
        <f> IF(AQ222&lt;&gt;"",TEXT(AUX!AU$1,"dd-MMM-aa"),"")</f>
      </c>
      <c r="AR202" s="496" t="str">
        <f> IF(AR222&lt;&gt;"",TEXT(AUX!AV$1,"dd-MMM-aa"),"")</f>
      </c>
      <c r="AS202" s="496" t="str">
        <f> IF(AS222&lt;&gt;"",TEXT(AUX!AW$1,"dd-MMM-aa"),"")</f>
      </c>
      <c r="AT202" s="496" t="str">
        <f> IF(AT222&lt;&gt;"",TEXT(AUX!AX$1,"dd-MMM-aa"),"")</f>
      </c>
      <c r="AU202" s="496" t="str">
        <f> IF(AU222&lt;&gt;"",TEXT(AUX!AY$1,"dd-MMM-aa"),"")</f>
      </c>
      <c r="AV202" s="496" t="str">
        <f> IF(AV222&lt;&gt;"",TEXT(AUX!AZ$1,"dd-MMM-aa"),"")</f>
      </c>
      <c r="AW202" s="496" t="str">
        <f> IF(AW222&lt;&gt;"",TEXT(AUX!BA$1,"dd-MMM-aa"),"")</f>
      </c>
      <c r="AX202" s="496" t="str">
        <f> IF(AX222&lt;&gt;"",TEXT(AUX!BB$1,"dd-MMM-aa"),"")</f>
      </c>
      <c r="AY202" s="496" t="str">
        <f> IF(AY222&lt;&gt;"",TEXT(AUX!BC$1,"dd-MMM-aa"),"")</f>
      </c>
      <c r="AZ202" s="496" t="str">
        <f> IF(AZ222&lt;&gt;"",TEXT(AUX!BD$1,"dd-MMM-aa"),"")</f>
      </c>
      <c r="BA202" s="496" t="str">
        <f> IF(BA222&lt;&gt;"",TEXT(AUX!BE$1,"dd-MMM-aa"),"")</f>
      </c>
      <c r="BB202" s="496" t="str">
        <f> IF(BB222&lt;&gt;"",TEXT(AUX!BF$1,"dd-MMM-aa"),"")</f>
      </c>
      <c r="BC202" s="496" t="str">
        <f> IF(BC222&lt;&gt;"",TEXT(AUX!BG$1,"dd-MMM-aa"),"")</f>
      </c>
      <c r="BD202" s="496" t="str">
        <f> IF(BD222&lt;&gt;"",TEXT(AUX!BH$1,"dd-MMM-aa"),"")</f>
      </c>
      <c r="BE202" s="496" t="str">
        <f> IF(BE222&lt;&gt;"",TEXT(AUX!BI$1,"dd-MMM-aa"),"")</f>
      </c>
      <c r="BF202" s="496" t="str">
        <f> IF(BF222&lt;&gt;"",TEXT(AUX!BJ$1,"dd-MMM-aa"),"")</f>
      </c>
      <c r="BG202" s="496" t="str">
        <f> IF(BG222&lt;&gt;"",TEXT(AUX!BK$1,"dd-MMM-aa"),"")</f>
      </c>
      <c r="BH202" s="496" t="str">
        <f> IF(BH222&lt;&gt;"",TEXT(AUX!BL$1,"dd-MMM-aa"),"")</f>
      </c>
      <c r="BI202" s="496" t="str">
        <f> IF(BI222&lt;&gt;"",TEXT(AUX!BM$1,"dd-MMM-aa"),"")</f>
      </c>
      <c r="BJ202" s="496" t="str">
        <f> IF(BJ222&lt;&gt;"",TEXT(AUX!BN$1,"dd-MMM-aa"),"")</f>
      </c>
      <c r="BK202" s="496" t="str">
        <f> IF(BK222&lt;&gt;"",TEXT(AUX!BO$1,"dd-MMM-aa"),"")</f>
      </c>
      <c r="BL202" s="496" t="str">
        <f> IF(BL222&lt;&gt;"",TEXT(AUX!BP$1,"dd-MMM-aa"),"")</f>
      </c>
      <c r="BM202" s="496" t="str">
        <f> IF(BM222&lt;&gt;"",TEXT(AUX!BQ$1,"dd-MMM-aa"),"")</f>
      </c>
      <c r="BN202" s="496" t="str">
        <f> IF(BN222&lt;&gt;"",TEXT(AUX!BR$1,"dd-MMM-aa"),"")</f>
      </c>
      <c r="BO202" s="496" t="str">
        <f> IF(BO222&lt;&gt;"",TEXT(AUX!BS$1,"dd-MMM-aa"),"")</f>
      </c>
      <c r="BP202" s="496" t="str">
        <f> IF(BP222&lt;&gt;"",TEXT(AUX!BT$1,"dd-MMM-aa"),"")</f>
      </c>
      <c r="BQ202" s="496" t="str">
        <f> IF(BQ222&lt;&gt;"",TEXT(AUX!BU$1,"dd-MMM-aa"),"")</f>
      </c>
      <c r="BR202" s="496" t="str">
        <f> IF(BR222&lt;&gt;"",TEXT(AUX!BV$1,"dd-MMM-aa"),"")</f>
      </c>
      <c r="BS202" s="496" t="str">
        <f> IF(BS222&lt;&gt;"",TEXT(AUX!BW$1,"dd-MMM-aa"),"")</f>
      </c>
      <c r="BT202" s="496" t="str">
        <f> IF(BT222&lt;&gt;"",TEXT(AUX!BX$1,"dd-MMM-aa"),"")</f>
      </c>
      <c r="BU202" s="496" t="str">
        <f> IF(BU222&lt;&gt;"",TEXT(AUX!BY$1,"dd-MMM-aa"),"")</f>
      </c>
      <c r="BV202" s="496" t="str">
        <f> IF(BV222&lt;&gt;"",TEXT(AUX!BZ$1,"dd-MMM-aa"),"")</f>
      </c>
      <c r="BW202" s="496" t="str">
        <f> IF(BW222&lt;&gt;"",TEXT(AUX!CA$1,"dd-MMM-aa"),"")</f>
      </c>
      <c r="BX202" s="496" t="str">
        <f> IF(BX222&lt;&gt;"",TEXT(AUX!CB$1,"dd-MMM-aa"),"")</f>
      </c>
      <c r="BY202" s="496" t="str">
        <f> IF(BY222&lt;&gt;"",TEXT(AUX!CC$1,"dd-MMM-aa"),"")</f>
      </c>
      <c r="BZ202" s="496" t="str">
        <f> IF(BZ222&lt;&gt;"",TEXT(AUX!CD$1,"dd-MMM-aa"),"")</f>
      </c>
      <c r="CA202" s="496" t="str">
        <f> IF(CA222&lt;&gt;"",TEXT(AUX!CE$1,"dd-MMM-aa"),"")</f>
      </c>
      <c r="CB202" s="496" t="str">
        <f> IF(CB222&lt;&gt;"",TEXT(AUX!CF$1,"dd-MMM-aa"),"")</f>
      </c>
      <c r="CC202" s="496" t="str">
        <f> IF(CC222&lt;&gt;"",TEXT(AUX!CG$1,"dd-MMM-aa"),"")</f>
      </c>
      <c r="CD202" s="496" t="str">
        <f> IF(CD222&lt;&gt;"",TEXT(AUX!CH$1,"dd-MMM-aa"),"")</f>
      </c>
      <c r="CE202" s="496" t="str">
        <f> IF(CE222&lt;&gt;"",TEXT(AUX!CI$1,"dd-MMM-aa"),"")</f>
      </c>
      <c r="CF202" s="496" t="str">
        <f> IF(CF222&lt;&gt;"",TEXT(AUX!CJ$1,"dd-MMM-aa"),"")</f>
      </c>
      <c r="CG202" s="496" t="str">
        <f> IF(CG222&lt;&gt;"",TEXT(AUX!CK$1,"dd-MMM-aa"),"")</f>
      </c>
      <c r="CH202" s="496" t="str">
        <f> IF(CH222&lt;&gt;"",TEXT(AUX!CL$1,"dd-MMM-aa"),"")</f>
      </c>
      <c r="CI202" s="496" t="str">
        <f> IF(CI222&lt;&gt;"",TEXT(AUX!CM$1,"dd-MMM-aa"),"")</f>
      </c>
      <c r="CJ202" s="496" t="str">
        <f> IF(CJ222&lt;&gt;"",TEXT(AUX!CN$1,"dd-MMM-aa"),"")</f>
      </c>
      <c r="CK202" s="496" t="str">
        <f> IF(CK222&lt;&gt;"",TEXT(AUX!CO$1,"dd-MMM-aa"),"")</f>
      </c>
      <c r="CL202" s="496" t="str">
        <f> IF(CL222&lt;&gt;"",TEXT(AUX!CP$1,"dd-MMM-aa"),"")</f>
      </c>
      <c r="CM202" s="496" t="str">
        <f> IF(CM222&lt;&gt;"",TEXT(AUX!CQ$1,"dd-MMM-aa"),"")</f>
      </c>
      <c r="CN202" s="496" t="str">
        <f> IF(CN222&lt;&gt;"",TEXT(AUX!CR$1,"dd-MMM-aa"),"")</f>
      </c>
      <c r="CO202" s="496" t="str">
        <f> IF(CO222&lt;&gt;"",TEXT(AUX!CS$1,"dd-MMM-aa"),"")</f>
      </c>
      <c r="CP202" s="496" t="str">
        <f> IF(CP222&lt;&gt;"",TEXT(AUX!CT$1,"dd-MMM-aa"),"")</f>
      </c>
      <c r="CQ202" s="496" t="str">
        <f> IF(CQ222&lt;&gt;"",TEXT(AUX!CU$1,"dd-MMM-aa"),"")</f>
      </c>
      <c r="CR202" s="496" t="str">
        <f> IF(CR222&lt;&gt;"",TEXT(AUX!CV$1,"dd-MMM-aa"),"")</f>
      </c>
      <c r="CS202" s="496" t="str">
        <f> IF(CS222&lt;&gt;"",TEXT(AUX!CW$1,"dd-MMM-aa"),"")</f>
      </c>
      <c r="CT202" s="496" t="str">
        <f> IF(CT222&lt;&gt;"",TEXT(AUX!CX$1,"dd-MMM-aa"),"")</f>
      </c>
      <c r="CU202" s="496" t="str">
        <f> IF(CU222&lt;&gt;"",TEXT(AUX!CY$1,"dd-MMM-aa"),"")</f>
      </c>
      <c r="CV202" s="496" t="str">
        <f> IF(CV222&lt;&gt;"",TEXT(AUX!CZ$1,"dd-MMM-aa"),"")</f>
      </c>
      <c r="CW202" s="496" t="str">
        <f> IF(CW222&lt;&gt;"",TEXT(AUX!DA$1,"dd-MMM-aa"),"")</f>
      </c>
      <c r="CX202" s="496" t="str">
        <f> IF(CX222&lt;&gt;"",TEXT(AUX!DB$1,"dd-MMM-aa"),"")</f>
      </c>
      <c r="CY202" s="496" t="str">
        <f> IF(CY222&lt;&gt;"",TEXT(AUX!DC$1,"dd-MMM-aa"),"")</f>
      </c>
      <c r="CZ202" s="496" t="str">
        <f> IF(CZ222&lt;&gt;"",TEXT(AUX!DD$1,"dd-MMM-aa"),"")</f>
      </c>
      <c r="DA202" s="496" t="str">
        <f> IF(DA222&lt;&gt;"",TEXT(AUX!DE$1,"dd-MMM-aa"),"")</f>
      </c>
      <c r="DB202" s="496" t="str">
        <f> IF(DB222&lt;&gt;"",TEXT(AUX!DF$1,"dd-MMM-aa"),"")</f>
      </c>
      <c r="DC202" s="496" t="str">
        <f> IF(DC222&lt;&gt;"",TEXT(AUX!DG$1,"dd-MMM-aa"),"")</f>
      </c>
      <c r="DD202" s="496" t="str">
        <f> IF(DD222&lt;&gt;"",TEXT(AUX!DH$1,"dd-MMM-aa"),"")</f>
      </c>
      <c r="DE202" s="496" t="str">
        <f> IF(DE222&lt;&gt;"",TEXT(AUX!DI$1,"dd-MMM-aa"),"")</f>
      </c>
      <c r="DF202" s="496" t="str">
        <f> IF(DF222&lt;&gt;"",TEXT(AUX!DJ$1,"dd-MMM-aa"),"")</f>
      </c>
      <c r="DG202" s="496" t="str">
        <f> IF(DG222&lt;&gt;"",TEXT(AUX!DK$1,"dd-MMM-aa"),"")</f>
      </c>
      <c r="DH202" s="496" t="str">
        <f> IF(DH222&lt;&gt;"",TEXT(AUX!DL$1,"dd-MMM-aa"),"")</f>
      </c>
      <c r="DI202" s="496" t="str">
        <f> IF(DI222&lt;&gt;"",TEXT(AUX!DM$1,"dd-MMM-aa"),"")</f>
      </c>
      <c r="DJ202" s="496" t="str">
        <f> IF(DJ222&lt;&gt;"",TEXT(AUX!DN$1,"dd-MMM-aa"),"")</f>
      </c>
      <c r="DK202" s="496" t="str">
        <f> IF(DK222&lt;&gt;"",TEXT(AUX!DO$1,"dd-MMM-aa"),"")</f>
      </c>
      <c r="DL202" s="496" t="str">
        <f> IF(DL222&lt;&gt;"",TEXT(AUX!DP$1,"dd-MMM-aa"),"")</f>
      </c>
      <c r="DM202" s="496" t="str">
        <f> IF(DM222&lt;&gt;"",TEXT(AUX!DQ$1,"dd-MMM-aa"),"")</f>
      </c>
      <c r="DN202" s="496" t="str">
        <f> IF(DN222&lt;&gt;"",TEXT(AUX!DR$1,"dd-MMM-aa"),"")</f>
      </c>
      <c r="DO202" s="496" t="str">
        <f> IF(DO222&lt;&gt;"",TEXT(AUX!DS$1,"dd-MMM-aa"),"")</f>
      </c>
      <c r="DP202" s="496" t="str">
        <f> IF(DP222&lt;&gt;"",TEXT(AUX!DT$1,"dd-MMM-aa"),"")</f>
      </c>
      <c r="DQ202" s="496" t="str">
        <f> IF(DQ222&lt;&gt;"",TEXT(AUX!DU$1,"dd-MMM-aa"),"")</f>
      </c>
      <c r="DR202" s="496" t="str">
        <f> IF(DR222&lt;&gt;"",TEXT(AUX!DV$1,"dd-MMM-aa"),"")</f>
      </c>
      <c r="DS202" s="496" t="str">
        <f> IF(DS222&lt;&gt;"",TEXT(AUX!DW$1,"dd-MMM-aa"),"")</f>
      </c>
      <c r="DT202" s="496" t="str">
        <f> IF(DT222&lt;&gt;"",TEXT(AUX!DX$1,"dd-MMM-aa"),"")</f>
      </c>
      <c r="DU202" s="496" t="str">
        <f> IF(DU222&lt;&gt;"",TEXT(AUX!DY$1,"dd-MMM-aa"),"")</f>
      </c>
      <c r="DV202" s="496" t="str">
        <f> IF(DV222&lt;&gt;"",TEXT(AUX!DZ$1,"dd-MMM-aa"),"")</f>
      </c>
      <c r="DW202" s="496" t="str">
        <f> IF(DW222&lt;&gt;"",TEXT(AUX!EA$1,"dd-MMM-aa"),"")</f>
      </c>
      <c r="DX202" s="496" t="str">
        <f> IF(DX222&lt;&gt;"",TEXT(AUX!EB$1,"dd-MMM-aa"),"")</f>
      </c>
      <c r="DY202" s="496" t="str">
        <f> IF(DY222&lt;&gt;"",TEXT(AUX!EC$1,"dd-MMM-aa"),"")</f>
      </c>
      <c r="DZ202" s="496" t="str">
        <f> IF(DZ222&lt;&gt;"",TEXT(AUX!ED$1,"dd-MMM-aa"),"")</f>
      </c>
      <c r="EA202" s="496" t="str">
        <f> IF(EA222&lt;&gt;"",TEXT(AUX!EE$1,"dd-MMM-aa"),"")</f>
      </c>
      <c r="EB202" s="496" t="str">
        <f> IF(EB222&lt;&gt;"",TEXT(AUX!EF$1,"dd-MMM-aa"),"")</f>
      </c>
      <c r="EC202" s="496" t="str">
        <f> IF(EC222&lt;&gt;"",TEXT(AUX!EG$1,"dd-MMM-aa"),"")</f>
      </c>
      <c r="ED202" s="496" t="str">
        <f> IF(ED222&lt;&gt;"",TEXT(AUX!EH$1,"dd-MMM-aa"),"")</f>
      </c>
      <c r="EE202" s="496" t="str">
        <f> IF(EE222&lt;&gt;"",TEXT(AUX!EI$1,"dd-MMM-aa"),"")</f>
      </c>
      <c r="EF202" s="496" t="str">
        <f> IF(EF222&lt;&gt;"",TEXT(AUX!EJ$1,"dd-MMM-aa"),"")</f>
      </c>
      <c r="EG202" s="496" t="str">
        <f> IF(EG222&lt;&gt;"",TEXT(AUX!EK$1,"dd-MMM-aa"),"")</f>
      </c>
      <c r="EH202" s="496" t="str">
        <f> IF(EH222&lt;&gt;"",TEXT(AUX!EL$1,"dd-MMM-aa"),"")</f>
      </c>
      <c r="EI202" s="496" t="str">
        <f> IF(EI222&lt;&gt;"",TEXT(AUX!EM$1,"dd-MMM-aa"),"")</f>
      </c>
      <c r="EJ202" s="496" t="str">
        <f> IF(EJ222&lt;&gt;"",TEXT(AUX!EN$1,"dd-MMM-aa"),"")</f>
      </c>
      <c r="EK202" s="496" t="str">
        <f> IF(EK222&lt;&gt;"",TEXT(AUX!EO$1,"dd-MMM-aa"),"")</f>
      </c>
      <c r="EL202" s="496" t="str">
        <f> IF(EL222&lt;&gt;"",TEXT(AUX!EP$1,"dd-MMM-aa"),"")</f>
      </c>
      <c r="EM202" s="496" t="str">
        <f> IF(EM222&lt;&gt;"",TEXT(AUX!EQ$1,"dd-MMM-aa"),"")</f>
      </c>
      <c r="EN202" s="496" t="str">
        <f> IF(EN222&lt;&gt;"",TEXT(AUX!ER$1,"dd-MMM-aa"),"")</f>
      </c>
      <c r="EO202" s="496" t="str">
        <f> IF(EO222&lt;&gt;"",TEXT(AUX!ES$1,"dd-MMM-aa"),"")</f>
      </c>
      <c r="EP202" s="496" t="str">
        <f> IF(EP222&lt;&gt;"",TEXT(AUX!ET$1,"dd-MMM-aa"),"")</f>
      </c>
      <c r="EQ202" s="496" t="str">
        <f> IF(EQ222&lt;&gt;"",TEXT(AUX!EU$1,"dd-MMM-aa"),"")</f>
      </c>
      <c r="ER202" s="496" t="str">
        <f> IF(ER222&lt;&gt;"",TEXT(AUX!EV$1,"dd-MMM-aa"),"")</f>
      </c>
      <c r="ES202" s="496" t="str">
        <f> IF(ES222&lt;&gt;"",TEXT(AUX!EW$1,"dd-MMM-aa"),"")</f>
      </c>
      <c r="ET202" s="496" t="str">
        <f> IF(ET222&lt;&gt;"",TEXT(AUX!EX$1,"dd-MMM-aa"),"")</f>
      </c>
      <c r="EU202" s="496" t="str">
        <f> IF(EU222&lt;&gt;"",TEXT(AUX!EY$1,"dd-MMM-aa"),"")</f>
      </c>
      <c r="EV202" s="496" t="str">
        <f> IF(EV222&lt;&gt;"",TEXT(AUX!EZ$1,"dd-MMM-aa"),"")</f>
      </c>
      <c r="EW202" s="496" t="str">
        <f> IF(EW222&lt;&gt;"",TEXT(AUX!FA$1,"dd-MMM-aa"),"")</f>
      </c>
      <c r="EX202" s="496" t="str">
        <f> IF(EX222&lt;&gt;"",TEXT(AUX!FB$1,"dd-MMM-aa"),"")</f>
      </c>
      <c r="EY202" s="496" t="str">
        <f> IF(EY222&lt;&gt;"",TEXT(AUX!FC$1,"dd-MMM-aa"),"")</f>
      </c>
      <c r="EZ202" s="496" t="str">
        <f> IF(EZ222&lt;&gt;"",TEXT(AUX!FD$1,"dd-MMM-aa"),"")</f>
      </c>
      <c r="FA202" s="496" t="str">
        <f> IF(FA222&lt;&gt;"",TEXT(AUX!FE$1,"dd-MMM-aa"),"")</f>
      </c>
      <c r="FB202" s="496" t="str">
        <f> IF(FB222&lt;&gt;"",TEXT(AUX!FF$1,"dd-MMM-aa"),"")</f>
      </c>
      <c r="FC202" s="496" t="str">
        <f> IF(FC222&lt;&gt;"",TEXT(AUX!FG$1,"dd-MMM-aa"),"")</f>
      </c>
      <c r="FD202" s="496" t="str">
        <f> IF(FD222&lt;&gt;"",TEXT(AUX!FH$1,"dd-MMM-aa"),"")</f>
      </c>
      <c r="FE202" s="496" t="str">
        <f> IF(FE222&lt;&gt;"",TEXT(AUX!FI$1,"dd-MMM-aa"),"")</f>
      </c>
      <c r="FF202" s="496" t="str">
        <f> IF(FF222&lt;&gt;"",TEXT(AUX!FJ$1,"dd-MMM-aa"),"")</f>
      </c>
      <c r="FG202" s="496" t="str">
        <f> IF(FG222&lt;&gt;"",TEXT(AUX!FK$1,"dd-MMM-aa"),"")</f>
      </c>
      <c r="FH202" s="496" t="str">
        <f> IF(FH222&lt;&gt;"",TEXT(AUX!FL$1,"dd-MMM-aa"),"")</f>
      </c>
      <c r="FI202" s="496" t="str">
        <f> IF(FI222&lt;&gt;"",TEXT(AUX!FM$1,"dd-MMM-aa"),"")</f>
      </c>
      <c r="FJ202" s="496" t="str">
        <f> IF(FJ222&lt;&gt;"",TEXT(AUX!FN$1,"dd-MMM-aa"),"")</f>
      </c>
      <c r="FK202" s="496" t="str">
        <f> IF(FK222&lt;&gt;"",TEXT(AUX!FO$1,"dd-MMM-aa"),"")</f>
      </c>
      <c r="FL202" s="496" t="str">
        <f> IF(FL222&lt;&gt;"",TEXT(AUX!FP$1,"dd-MMM-aa"),"")</f>
      </c>
      <c r="FM202" s="496" t="str">
        <f> IF(FM222&lt;&gt;"",TEXT(AUX!FQ$1,"dd-MMM-aa"),"")</f>
      </c>
      <c r="FN202" s="496" t="str">
        <f> IF(FN222&lt;&gt;"",TEXT(AUX!FR$1,"dd-MMM-aa"),"")</f>
      </c>
      <c r="FO202" s="496" t="str">
        <f> IF(FO222&lt;&gt;"",TEXT(AUX!FS$1,"dd-MMM-aa"),"")</f>
      </c>
      <c r="FP202" s="496" t="str">
        <f> IF(FP222&lt;&gt;"",TEXT(AUX!FT$1,"dd-MMM-aa"),"")</f>
      </c>
      <c r="FQ202" s="496" t="str">
        <f> IF(FQ222&lt;&gt;"",TEXT(AUX!FU$1,"dd-MMM-aa"),"")</f>
      </c>
      <c r="FR202" s="496" t="str">
        <f> IF(FR222&lt;&gt;"",TEXT(AUX!FV$1,"dd-MMM-aa"),"")</f>
      </c>
      <c r="FS202" s="496" t="str">
        <f> IF(FS222&lt;&gt;"",TEXT(AUX!FW$1,"dd-MMM-aa"),"")</f>
      </c>
      <c r="FT202" s="496" t="str">
        <f> IF(FT222&lt;&gt;"",TEXT(AUX!FX$1,"dd-MMM-aa"),"")</f>
      </c>
      <c r="FU202" s="496" t="str">
        <f> IF(FU222&lt;&gt;"",TEXT(AUX!FY$1,"dd-MMM-aa"),"")</f>
      </c>
      <c r="FV202" s="496" t="str">
        <f> IF(FV222&lt;&gt;"",TEXT(AUX!FZ$1,"dd-MMM-aa"),"")</f>
      </c>
      <c r="FW202" s="496" t="str">
        <f> IF(FW222&lt;&gt;"",TEXT(AUX!GA$1,"dd-MMM-aa"),"")</f>
      </c>
      <c r="FX202" s="496" t="str">
        <f> IF(FX222&lt;&gt;"",TEXT(AUX!GB$1,"dd-MMM-aa"),"")</f>
      </c>
      <c r="FY202" s="496" t="str">
        <f> IF(FY222&lt;&gt;"",TEXT(AUX!GC$1,"dd-MMM-aa"),"")</f>
      </c>
      <c r="FZ202" s="496" t="str">
        <f> IF(FZ222&lt;&gt;"",TEXT(AUX!GD$1,"dd-MMM-aa"),"")</f>
      </c>
      <c r="GA202" s="496" t="str">
        <f> IF(GA222&lt;&gt;"",TEXT(AUX!GE$1,"dd-MMM-aa"),"")</f>
      </c>
      <c r="GB202" s="496" t="str">
        <f> IF(GB222&lt;&gt;"",TEXT(AUX!GF$1,"dd-MMM-aa"),"")</f>
      </c>
      <c r="GC202" s="496" t="str">
        <f> IF(GC222&lt;&gt;"",TEXT(AUX!GG$1,"dd-MMM-aa"),"")</f>
      </c>
      <c r="GD202" s="496" t="str">
        <f> IF(GD222&lt;&gt;"",TEXT(AUX!GH$1,"dd-MMM-aa"),"")</f>
      </c>
      <c r="GE202" s="496" t="str">
        <f> IF(GE222&lt;&gt;"",TEXT(AUX!GI$1,"dd-MMM-aa"),"")</f>
      </c>
      <c r="GF202" s="496" t="str">
        <f> IF(GF222&lt;&gt;"",TEXT(AUX!GJ$1,"dd-MMM-aa"),"")</f>
      </c>
      <c r="GG202" s="496" t="str">
        <f> IF(GG222&lt;&gt;"",TEXT(AUX!GK$1,"dd-MMM-aa"),"")</f>
      </c>
      <c r="GH202" s="496" t="str">
        <f> IF(GH222&lt;&gt;"",TEXT(AUX!GL$1,"dd-MMM-aa"),"")</f>
      </c>
      <c r="GI202" s="496" t="str">
        <f> IF(GI222&lt;&gt;"",TEXT(AUX!GM$1,"dd-MMM-aa"),"")</f>
      </c>
      <c r="GJ202" s="496" t="str">
        <f> IF(GJ222&lt;&gt;"",TEXT(AUX!GN$1,"dd-MMM-aa"),"")</f>
      </c>
      <c r="GK202" s="496" t="str">
        <f> IF(GK222&lt;&gt;"",TEXT(AUX!GO$1,"dd-MMM-aa"),"")</f>
      </c>
      <c r="GL202" s="496" t="str">
        <f> IF(GL222&lt;&gt;"",TEXT(AUX!GP$1,"dd-MMM-aa"),"")</f>
      </c>
      <c r="GM202" s="496" t="str">
        <f> IF(GM222&lt;&gt;"",TEXT(AUX!GQ$1,"dd-MMM-aa"),"")</f>
      </c>
      <c r="GN202" s="496" t="str">
        <f> IF(GN222&lt;&gt;"",TEXT(AUX!GR$1,"dd-MMM-aa"),"")</f>
      </c>
      <c r="GO202" s="496" t="str">
        <f> IF(GO222&lt;&gt;"",TEXT(AUX!GS$1,"dd-MMM-aa"),"")</f>
      </c>
      <c r="GP202" s="496" t="str">
        <f> IF(GP222&lt;&gt;"",TEXT(AUX!GT$1,"dd-MMM-aa"),"")</f>
      </c>
      <c r="GQ202" s="496" t="str">
        <f> IF(GQ222&lt;&gt;"",TEXT(AUX!GU$1,"dd-MMM-aa"),"")</f>
      </c>
      <c r="GR202" s="496" t="str">
        <f> IF(GR222&lt;&gt;"",TEXT(AUX!GV$1,"dd-MMM-aa"),"")</f>
      </c>
      <c r="GS202" s="496" t="str">
        <f> IF(GS222&lt;&gt;"",TEXT(AUX!GW$1,"dd-MMM-aa"),"")</f>
      </c>
      <c r="GT202" s="496" t="str">
        <f> IF(GT222&lt;&gt;"",TEXT(AUX!GX$1,"dd-MMM-aa"),"")</f>
      </c>
      <c r="GU202" s="496" t="str">
        <f> IF(GU222&lt;&gt;"",TEXT(AUX!GY$1,"dd-MMM-aa"),"")</f>
      </c>
      <c r="GV202" s="496" t="str">
        <f> IF(GV222&lt;&gt;"",TEXT(AUX!GZ$1,"dd-MMM-aa"),"")</f>
      </c>
      <c r="GW202" s="496" t="str">
        <f> IF(GW222&lt;&gt;"",TEXT(AUX!HA$1,"dd-MMM-aa"),"")</f>
      </c>
      <c r="GX202" s="496" t="str">
        <f> IF(GX222&lt;&gt;"",TEXT(AUX!HB$1,"dd-MMM-aa"),"")</f>
      </c>
      <c r="GY202" s="496" t="str">
        <f> IF(GY222&lt;&gt;"",TEXT(AUX!HC$1,"dd-MMM-aa"),"")</f>
      </c>
      <c r="GZ202" s="496" t="str">
        <f> IF(GZ222&lt;&gt;"",TEXT(AUX!HD$1,"dd-MMM-aa"),"")</f>
      </c>
      <c r="HA202" s="496" t="str">
        <f> IF(HA222&lt;&gt;"",TEXT(AUX!HE$1,"dd-MMM-aa"),"")</f>
      </c>
      <c r="HB202" s="496" t="str">
        <f> IF(HB222&lt;&gt;"",TEXT(AUX!HF$1,"dd-MMM-aa"),"")</f>
      </c>
      <c r="HC202" s="496" t="str">
        <f> IF(HC222&lt;&gt;"",TEXT(AUX!HG$1,"dd-MMM-aa"),"")</f>
      </c>
      <c r="HD202" s="496" t="str">
        <f> IF(HD222&lt;&gt;"",TEXT(AUX!HH$1,"dd-MMM-aa"),"")</f>
      </c>
      <c r="HE202" s="496" t="str">
        <f> IF(HE222&lt;&gt;"",TEXT(AUX!HI$1,"dd-MMM-aa"),"")</f>
      </c>
      <c r="HF202" s="496" t="str">
        <f> IF(HF222&lt;&gt;"",TEXT(AUX!HJ$1,"dd-MMM-aa"),"")</f>
      </c>
      <c r="HG202" s="496" t="str">
        <f> IF(HG222&lt;&gt;"",TEXT(AUX!HK$1,"dd-MMM-aa"),"")</f>
      </c>
      <c r="HH202" s="496" t="str">
        <f> IF(HH222&lt;&gt;"",TEXT(AUX!HL$1,"dd-MMM-aa"),"")</f>
      </c>
      <c r="HI202" s="496" t="str">
        <f> IF(HI222&lt;&gt;"",TEXT(AUX!HM$1,"dd-MMM-aa"),"")</f>
      </c>
      <c r="HJ202" s="496" t="str">
        <f> IF(HJ222&lt;&gt;"",TEXT(AUX!HN$1,"dd-MMM-aa"),"")</f>
      </c>
      <c r="HK202" s="496" t="str">
        <f> IF(HK222&lt;&gt;"",TEXT(AUX!HO$1,"dd-MMM-aa"),"")</f>
      </c>
      <c r="HL202" s="496" t="str">
        <f> IF(HL222&lt;&gt;"",TEXT(AUX!HP$1,"dd-MMM-aa"),"")</f>
      </c>
      <c r="HM202" s="496" t="str">
        <f> IF(HM222&lt;&gt;"",TEXT(AUX!HQ$1,"dd-MMM-aa"),"")</f>
      </c>
      <c r="HN202" s="496" t="str">
        <f> IF(HN222&lt;&gt;"",TEXT(AUX!HR$1,"dd-MMM-aa"),"")</f>
      </c>
      <c r="HO202" s="496" t="str">
        <f> IF(HO222&lt;&gt;"",TEXT(AUX!HS$1,"dd-MMM-aa"),"")</f>
      </c>
      <c r="HP202" s="496" t="str">
        <f> IF(HP222&lt;&gt;"",TEXT(AUX!HT$1,"dd-MMM-aa"),"")</f>
      </c>
      <c r="HQ202" s="496" t="str">
        <f> IF(HQ222&lt;&gt;"",TEXT(AUX!HU$1,"dd-MMM-aa"),"")</f>
      </c>
      <c r="HR202" s="496" t="str">
        <f> IF(HR222&lt;&gt;"",TEXT(AUX!HV$1,"dd-MMM-aa"),"")</f>
      </c>
      <c r="HS202" s="496" t="str">
        <f> IF(HS222&lt;&gt;"",TEXT(AUX!HW$1,"dd-MMM-aa"),"")</f>
      </c>
      <c r="HT202" s="496" t="str">
        <f> IF(HT222&lt;&gt;"",TEXT(AUX!HX$1,"dd-MMM-aa"),"")</f>
      </c>
      <c r="HU202" s="496" t="str">
        <f> IF(HU222&lt;&gt;"",TEXT(AUX!HY$1,"dd-MMM-aa"),"")</f>
      </c>
      <c r="HV202" s="496" t="str">
        <f> IF(HV222&lt;&gt;"",TEXT(AUX!HZ$1,"dd-MMM-aa"),"")</f>
      </c>
      <c r="HW202" s="496" t="str">
        <f> IF(HW222&lt;&gt;"",TEXT(AUX!IA$1,"dd-MMM-aa"),"")</f>
      </c>
      <c r="HX202" s="496" t="str">
        <f> IF(HX222&lt;&gt;"",TEXT(AUX!IB$1,"dd-MMM-aa"),"")</f>
      </c>
      <c r="HY202" s="496" t="str">
        <f> IF(HY222&lt;&gt;"",TEXT(AUX!IC$1,"dd-MMM-aa"),"")</f>
      </c>
      <c r="HZ202" s="496" t="str">
        <f> IF(HZ222&lt;&gt;"",TEXT(AUX!ID$1,"dd-MMM-aa"),"")</f>
      </c>
      <c r="IA202" s="496" t="str">
        <f> IF(IA222&lt;&gt;"",TEXT(AUX!IE$1,"dd-MMM-aa"),"")</f>
      </c>
      <c r="IB202" s="496" t="str">
        <f> IF(IB222&lt;&gt;"",TEXT(AUX!IF$1,"dd-MMM-aa"),"")</f>
      </c>
      <c r="IC202" s="496" t="str">
        <f> IF(IC222&lt;&gt;"",TEXT(AUX!IG$1,"dd-MMM-aa"),"")</f>
      </c>
      <c r="ID202" s="496" t="str">
        <f> IF(ID222&lt;&gt;"",TEXT(AUX!IH$1,"dd-MMM-aa"),"")</f>
      </c>
      <c r="IE202" s="496" t="str">
        <f> IF(IE222&lt;&gt;"",TEXT(AUX!II$1,"dd-MMM-aa"),"")</f>
      </c>
      <c r="IF202" s="496" t="str">
        <f> IF(IF222&lt;&gt;"",TEXT(AUX!IJ$1,"dd-MMM-aa"),"")</f>
      </c>
      <c r="IG202" s="496" t="str">
        <f> IF(IG222&lt;&gt;"",TEXT(AUX!IK$1,"dd-MMM-aa"),"")</f>
      </c>
      <c r="IH202" s="496" t="str">
        <f> IF(IH222&lt;&gt;"",TEXT(AUX!IL$1,"dd-MMM-aa"),"")</f>
      </c>
      <c r="II202" s="496" t="str">
        <f> IF(II222&lt;&gt;"",TEXT(AUX!IM$1,"dd-MMM-aa"),"")</f>
      </c>
      <c r="IJ202" s="496" t="str">
        <f> IF(IJ222&lt;&gt;"",TEXT(AUX!IN$1,"dd-MMM-aa"),"")</f>
      </c>
      <c r="IK202" s="496" t="str">
        <f> IF(IK222&lt;&gt;"",TEXT(AUX!IO$1,"dd-MMM-aa"),"")</f>
      </c>
      <c r="IL202" s="496" t="str">
        <f> IF(IL222&lt;&gt;"",TEXT(AUX!IP$1,"dd-MMM-aa"),"")</f>
      </c>
      <c r="IM202" s="496" t="str">
        <f> IF(IM222&lt;&gt;"",TEXT(AUX!IQ$1,"dd-MMM-aa"),"")</f>
      </c>
      <c r="IN202" s="496" t="str">
        <f> IF(IN222&lt;&gt;"",TEXT(AUX!IR$1,"dd-MMM-aa"),"")</f>
      </c>
      <c r="IO202" s="496" t="str">
        <f> IF(IO222&lt;&gt;"",TEXT(AUX!IS$1,"dd-MMM-aa"),"")</f>
      </c>
      <c r="IP202" s="496" t="str">
        <f> IF(IP222&lt;&gt;"",TEXT(AUX!IT$1,"dd-MMM-aa"),"")</f>
      </c>
      <c r="IQ202" s="496" t="str">
        <f> IF(IQ222&lt;&gt;"",TEXT(AUX!IU$1,"dd-MMM-aa"),"")</f>
      </c>
      <c r="IR202" s="496" t="str">
        <f> IF(IR222&lt;&gt;"",TEXT(AUX!IV$1,"dd-MMM-aa"),"")</f>
      </c>
      <c r="IS202" s="496" t="str">
        <f> IF(IS222&lt;&gt;"",TEXT(AUX!#REF!,"dd-MMM-aa"),"")</f>
      </c>
      <c r="IT202" s="496" t="str">
        <f> IF(IT222&lt;&gt;"",TEXT(AUX!#REF!,"dd-MMM-aa"),"")</f>
      </c>
      <c r="IU202" s="496" t="str">
        <f> IF(IU222&lt;&gt;"",TEXT(AUX!#REF!,"dd-MMM-aa"),"")</f>
      </c>
      <c r="IV202" s="496" t="str">
        <f> IF(IV222&lt;&gt;"",TEXT(AUX!#REF!,"dd-MMM-aa"),"")</f>
      </c>
    </row>
    <row r="203" hidden="1">
      <c r="B203" s="833" t="s">
        <v>8</v>
      </c>
      <c r="C203" s="827">
        <v>14</v>
      </c>
      <c r="D203" s="827">
        <v>14</v>
      </c>
      <c r="E203" s="827">
        <v>15</v>
      </c>
      <c r="F203" s="827">
        <v>15</v>
      </c>
      <c r="G203" s="827">
        <v>17</v>
      </c>
      <c r="H203" s="827">
        <v>18</v>
      </c>
      <c r="I203" s="827">
        <v>23</v>
      </c>
      <c r="J203" s="827">
        <v>23</v>
      </c>
      <c r="K203" s="827">
        <v>25</v>
      </c>
      <c r="L203" s="827">
        <v>25</v>
      </c>
      <c r="M203" s="827">
        <v>26</v>
      </c>
      <c r="N203" s="827">
        <v>27</v>
      </c>
      <c r="O203" s="827">
        <v>27</v>
      </c>
      <c r="P203" s="827">
        <v>27</v>
      </c>
      <c r="Q203" s="827">
        <v>27</v>
      </c>
      <c r="R203" s="827">
        <v>26</v>
      </c>
      <c r="S203" s="827">
        <v>27</v>
      </c>
      <c r="T203" s="827">
        <v>26</v>
      </c>
      <c r="U203" s="827">
        <v>25</v>
      </c>
      <c r="V203" s="827">
        <v>24</v>
      </c>
      <c r="W203" s="827">
        <v>23</v>
      </c>
      <c r="X203" s="827">
        <v>22</v>
      </c>
      <c r="Y203" s="827">
        <v>22</v>
      </c>
      <c r="Z203" s="827">
        <v>22</v>
      </c>
      <c r="AA203" s="827">
        <v>22</v>
      </c>
      <c r="AB203" s="834">
        <v>22</v>
      </c>
      <c r="AC203" s="828">
        <v>23</v>
      </c>
      <c r="AD203" s="828">
        <v>23</v>
      </c>
      <c r="AE203" s="828">
        <v>23</v>
      </c>
      <c r="AF203" s="828">
        <v>22</v>
      </c>
      <c r="AG203" s="828">
        <v>22</v>
      </c>
      <c r="AH203" s="828">
        <v>21</v>
      </c>
      <c r="AI203" s="828">
        <v>21</v>
      </c>
      <c r="AJ203" s="828">
        <v>21</v>
      </c>
      <c r="AK203" s="828">
        <v>21</v>
      </c>
      <c r="AL203" s="828">
        <v>21</v>
      </c>
      <c r="AM203" s="828">
        <v>21</v>
      </c>
      <c r="AN203" s="828">
        <v>21</v>
      </c>
      <c r="AO203" s="828">
        <v>21</v>
      </c>
      <c r="AP203" s="828">
        <v>21</v>
      </c>
    </row>
    <row r="204" hidden="1">
      <c r="B204" s="829" t="s">
        <v>9</v>
      </c>
      <c r="C204" s="823">
        <v>1</v>
      </c>
      <c r="D204" s="823">
        <v>1</v>
      </c>
      <c r="E204" s="823">
        <v>1</v>
      </c>
      <c r="F204" s="823">
        <v>1</v>
      </c>
      <c r="G204" s="823">
        <v>1</v>
      </c>
      <c r="H204" s="823">
        <v>1</v>
      </c>
      <c r="I204" s="823">
        <v>0</v>
      </c>
      <c r="J204" s="823">
        <v>0</v>
      </c>
      <c r="K204" s="823">
        <v>0</v>
      </c>
      <c r="L204" s="823">
        <v>0</v>
      </c>
      <c r="M204" s="823">
        <v>0</v>
      </c>
      <c r="N204" s="823">
        <v>0</v>
      </c>
      <c r="O204" s="823">
        <v>0</v>
      </c>
      <c r="P204" s="823">
        <v>0</v>
      </c>
      <c r="Q204" s="823">
        <v>2</v>
      </c>
      <c r="R204" s="823">
        <v>2</v>
      </c>
      <c r="S204" s="823">
        <v>2</v>
      </c>
      <c r="T204" s="823">
        <v>2</v>
      </c>
      <c r="U204" s="823">
        <v>2</v>
      </c>
      <c r="V204" s="823">
        <v>1</v>
      </c>
      <c r="W204" s="823">
        <v>1</v>
      </c>
      <c r="X204" s="823">
        <v>1</v>
      </c>
      <c r="Y204" s="823">
        <v>0</v>
      </c>
      <c r="Z204" s="823">
        <v>0</v>
      </c>
      <c r="AA204" s="823">
        <v>0</v>
      </c>
      <c r="AB204" s="823">
        <v>0</v>
      </c>
      <c r="AC204" s="825">
        <v>1</v>
      </c>
      <c r="AD204" s="825">
        <v>1</v>
      </c>
      <c r="AE204" s="825">
        <v>1</v>
      </c>
      <c r="AF204" s="825">
        <v>1</v>
      </c>
      <c r="AG204" s="825">
        <v>1</v>
      </c>
      <c r="AH204" s="825">
        <v>1</v>
      </c>
      <c r="AI204" s="825">
        <v>1</v>
      </c>
      <c r="AJ204" s="825">
        <v>1</v>
      </c>
      <c r="AK204" s="825">
        <v>1</v>
      </c>
      <c r="AL204" s="825">
        <v>1</v>
      </c>
      <c r="AM204" s="825">
        <v>0</v>
      </c>
      <c r="AN204" s="825">
        <v>0</v>
      </c>
      <c r="AO204" s="825">
        <v>0</v>
      </c>
      <c r="AP204" s="825">
        <v>0</v>
      </c>
    </row>
    <row r="205" hidden="1">
      <c r="B205" s="826" t="s">
        <v>10</v>
      </c>
      <c r="C205" s="827">
        <v>0</v>
      </c>
      <c r="D205" s="827">
        <v>0</v>
      </c>
      <c r="E205" s="827">
        <v>0</v>
      </c>
      <c r="F205" s="827">
        <v>0</v>
      </c>
      <c r="G205" s="827">
        <v>0</v>
      </c>
      <c r="H205" s="827">
        <v>0</v>
      </c>
      <c r="I205" s="827">
        <v>0</v>
      </c>
      <c r="J205" s="827">
        <v>0</v>
      </c>
      <c r="K205" s="827">
        <v>0</v>
      </c>
      <c r="L205" s="827">
        <v>0</v>
      </c>
      <c r="M205" s="827">
        <v>0</v>
      </c>
      <c r="N205" s="827">
        <v>0</v>
      </c>
      <c r="O205" s="827">
        <v>0</v>
      </c>
      <c r="P205" s="827">
        <v>1</v>
      </c>
      <c r="Q205" s="827">
        <v>1</v>
      </c>
      <c r="R205" s="827">
        <v>1</v>
      </c>
      <c r="S205" s="827">
        <v>1</v>
      </c>
      <c r="T205" s="827">
        <v>1</v>
      </c>
      <c r="U205" s="827">
        <v>1</v>
      </c>
      <c r="V205" s="827">
        <v>0</v>
      </c>
      <c r="W205" s="827">
        <v>0</v>
      </c>
      <c r="X205" s="827">
        <v>0</v>
      </c>
      <c r="Y205" s="827">
        <v>0</v>
      </c>
      <c r="Z205" s="827">
        <v>0</v>
      </c>
      <c r="AA205" s="827">
        <v>0</v>
      </c>
      <c r="AB205" s="827">
        <v>0</v>
      </c>
      <c r="AC205" s="828">
        <v>0</v>
      </c>
      <c r="AD205" s="828">
        <v>0</v>
      </c>
      <c r="AE205" s="828">
        <v>0</v>
      </c>
      <c r="AF205" s="828">
        <v>0</v>
      </c>
      <c r="AG205" s="828">
        <v>0</v>
      </c>
      <c r="AH205" s="828">
        <v>0</v>
      </c>
      <c r="AI205" s="828">
        <v>0</v>
      </c>
      <c r="AJ205" s="828">
        <v>0</v>
      </c>
      <c r="AK205" s="828">
        <v>0</v>
      </c>
      <c r="AL205" s="828">
        <v>0</v>
      </c>
      <c r="AM205" s="828">
        <v>0</v>
      </c>
      <c r="AN205" s="828">
        <v>0</v>
      </c>
      <c r="AO205" s="828">
        <v>0</v>
      </c>
      <c r="AP205" s="828">
        <v>0</v>
      </c>
    </row>
    <row r="206" hidden="1">
      <c r="B206" s="829" t="s">
        <v>11</v>
      </c>
      <c r="C206" s="823">
        <v>4</v>
      </c>
      <c r="D206" s="823">
        <v>4</v>
      </c>
      <c r="E206" s="823">
        <v>4</v>
      </c>
      <c r="F206" s="823">
        <v>4</v>
      </c>
      <c r="G206" s="823">
        <v>1</v>
      </c>
      <c r="H206" s="823">
        <v>1</v>
      </c>
      <c r="I206" s="823">
        <v>1</v>
      </c>
      <c r="J206" s="823">
        <v>2</v>
      </c>
      <c r="K206" s="823">
        <v>1</v>
      </c>
      <c r="L206" s="823">
        <v>1</v>
      </c>
      <c r="M206" s="823">
        <v>1</v>
      </c>
      <c r="N206" s="823">
        <v>2</v>
      </c>
      <c r="O206" s="823">
        <v>2</v>
      </c>
      <c r="P206" s="823">
        <v>2</v>
      </c>
      <c r="Q206" s="823">
        <v>2</v>
      </c>
      <c r="R206" s="823">
        <v>2</v>
      </c>
      <c r="S206" s="823">
        <v>2</v>
      </c>
      <c r="T206" s="823">
        <v>2</v>
      </c>
      <c r="U206" s="823">
        <v>2</v>
      </c>
      <c r="V206" s="823">
        <v>2</v>
      </c>
      <c r="W206" s="823">
        <v>2</v>
      </c>
      <c r="X206" s="823">
        <v>2</v>
      </c>
      <c r="Y206" s="823">
        <v>1</v>
      </c>
      <c r="Z206" s="823">
        <v>1</v>
      </c>
      <c r="AA206" s="823">
        <v>1</v>
      </c>
      <c r="AB206" s="823">
        <v>1</v>
      </c>
      <c r="AC206" s="825">
        <v>1</v>
      </c>
      <c r="AD206" s="825">
        <v>1</v>
      </c>
      <c r="AE206" s="825">
        <v>1</v>
      </c>
      <c r="AF206" s="825">
        <v>1</v>
      </c>
      <c r="AG206" s="825">
        <v>0</v>
      </c>
      <c r="AH206" s="825">
        <v>0</v>
      </c>
      <c r="AI206" s="825">
        <v>0</v>
      </c>
      <c r="AJ206" s="825">
        <v>0</v>
      </c>
      <c r="AK206" s="825">
        <v>0</v>
      </c>
      <c r="AL206" s="825">
        <v>0</v>
      </c>
      <c r="AM206" s="825">
        <v>0</v>
      </c>
      <c r="AN206" s="825">
        <v>0</v>
      </c>
      <c r="AO206" s="825">
        <v>0</v>
      </c>
      <c r="AP206" s="825">
        <v>0</v>
      </c>
    </row>
    <row r="207" hidden="1">
      <c r="B207" s="826" t="s">
        <v>12</v>
      </c>
      <c r="C207" s="827">
        <v>0</v>
      </c>
      <c r="D207" s="827">
        <v>0</v>
      </c>
      <c r="E207" s="827">
        <v>0</v>
      </c>
      <c r="F207" s="827">
        <v>0</v>
      </c>
      <c r="G207" s="827">
        <v>1</v>
      </c>
      <c r="H207" s="827">
        <v>1</v>
      </c>
      <c r="I207" s="827">
        <v>1</v>
      </c>
      <c r="J207" s="827">
        <v>1</v>
      </c>
      <c r="K207" s="827">
        <v>1</v>
      </c>
      <c r="L207" s="827">
        <v>1</v>
      </c>
      <c r="M207" s="827">
        <v>1</v>
      </c>
      <c r="N207" s="827">
        <v>2</v>
      </c>
      <c r="O207" s="827">
        <v>2</v>
      </c>
      <c r="P207" s="827">
        <v>2</v>
      </c>
      <c r="Q207" s="827">
        <v>3</v>
      </c>
      <c r="R207" s="827">
        <v>2</v>
      </c>
      <c r="S207" s="827">
        <v>2</v>
      </c>
      <c r="T207" s="827">
        <v>3</v>
      </c>
      <c r="U207" s="827">
        <v>3</v>
      </c>
      <c r="V207" s="827">
        <v>3</v>
      </c>
      <c r="W207" s="827">
        <v>3</v>
      </c>
      <c r="X207" s="827">
        <v>3</v>
      </c>
      <c r="Y207" s="827">
        <v>4</v>
      </c>
      <c r="Z207" s="827">
        <v>4</v>
      </c>
      <c r="AA207" s="827">
        <v>3</v>
      </c>
      <c r="AB207" s="827">
        <v>4</v>
      </c>
      <c r="AC207" s="828">
        <v>2</v>
      </c>
      <c r="AD207" s="828">
        <v>1</v>
      </c>
      <c r="AE207" s="828">
        <v>1</v>
      </c>
      <c r="AF207" s="828">
        <v>1</v>
      </c>
      <c r="AG207" s="828">
        <v>2</v>
      </c>
      <c r="AH207" s="828">
        <v>2</v>
      </c>
      <c r="AI207" s="828">
        <v>2</v>
      </c>
      <c r="AJ207" s="828">
        <v>2</v>
      </c>
      <c r="AK207" s="828">
        <v>1</v>
      </c>
      <c r="AL207" s="828">
        <v>1</v>
      </c>
      <c r="AM207" s="828">
        <v>2</v>
      </c>
      <c r="AN207" s="828">
        <v>2</v>
      </c>
      <c r="AO207" s="828">
        <v>2</v>
      </c>
      <c r="AP207" s="828">
        <v>2</v>
      </c>
    </row>
    <row r="208" hidden="1">
      <c r="B208" s="829" t="s">
        <v>13</v>
      </c>
      <c r="C208" s="823">
        <v>1</v>
      </c>
      <c r="D208" s="823">
        <v>1</v>
      </c>
      <c r="E208" s="823">
        <v>1</v>
      </c>
      <c r="F208" s="823">
        <v>1</v>
      </c>
      <c r="G208" s="823">
        <v>2</v>
      </c>
      <c r="H208" s="823">
        <v>3</v>
      </c>
      <c r="I208" s="823">
        <v>3</v>
      </c>
      <c r="J208" s="823">
        <v>3</v>
      </c>
      <c r="K208" s="823">
        <v>3</v>
      </c>
      <c r="L208" s="823">
        <v>2</v>
      </c>
      <c r="M208" s="823">
        <v>3</v>
      </c>
      <c r="N208" s="823">
        <v>3</v>
      </c>
      <c r="O208" s="823">
        <v>2</v>
      </c>
      <c r="P208" s="823">
        <v>2</v>
      </c>
      <c r="Q208" s="823">
        <v>2</v>
      </c>
      <c r="R208" s="823">
        <v>2</v>
      </c>
      <c r="S208" s="823">
        <v>2</v>
      </c>
      <c r="T208" s="823">
        <v>2</v>
      </c>
      <c r="U208" s="823">
        <v>2</v>
      </c>
      <c r="V208" s="823">
        <v>2</v>
      </c>
      <c r="W208" s="823">
        <v>2</v>
      </c>
      <c r="X208" s="823">
        <v>1</v>
      </c>
      <c r="Y208" s="823">
        <v>1</v>
      </c>
      <c r="Z208" s="823">
        <v>1</v>
      </c>
      <c r="AA208" s="823">
        <v>1</v>
      </c>
      <c r="AB208" s="823">
        <v>1</v>
      </c>
      <c r="AC208" s="825">
        <v>1</v>
      </c>
      <c r="AD208" s="825">
        <v>1</v>
      </c>
      <c r="AE208" s="825">
        <v>1</v>
      </c>
      <c r="AF208" s="825">
        <v>1</v>
      </c>
      <c r="AG208" s="825">
        <v>1</v>
      </c>
      <c r="AH208" s="825">
        <v>1</v>
      </c>
      <c r="AI208" s="825">
        <v>1</v>
      </c>
      <c r="AJ208" s="825">
        <v>2</v>
      </c>
      <c r="AK208" s="825">
        <v>2</v>
      </c>
      <c r="AL208" s="825">
        <v>2</v>
      </c>
      <c r="AM208" s="825">
        <v>2</v>
      </c>
      <c r="AN208" s="825">
        <v>2</v>
      </c>
      <c r="AO208" s="825">
        <v>2</v>
      </c>
      <c r="AP208" s="825">
        <v>2</v>
      </c>
    </row>
    <row r="209" hidden="1">
      <c r="B209" s="826" t="s">
        <v>109</v>
      </c>
      <c r="C209" s="827">
        <v>11</v>
      </c>
      <c r="D209" s="827">
        <v>9</v>
      </c>
      <c r="E209" s="827">
        <v>8</v>
      </c>
      <c r="F209" s="827">
        <v>6</v>
      </c>
      <c r="G209" s="827">
        <v>8</v>
      </c>
      <c r="H209" s="827">
        <v>9</v>
      </c>
      <c r="I209" s="827">
        <v>12</v>
      </c>
      <c r="J209" s="827">
        <v>12</v>
      </c>
      <c r="K209" s="827">
        <v>11</v>
      </c>
      <c r="L209" s="827">
        <v>11</v>
      </c>
      <c r="M209" s="827">
        <v>12</v>
      </c>
      <c r="N209" s="827">
        <v>16</v>
      </c>
      <c r="O209" s="827">
        <v>16</v>
      </c>
      <c r="P209" s="827">
        <v>16</v>
      </c>
      <c r="Q209" s="827">
        <v>15</v>
      </c>
      <c r="R209" s="827">
        <v>14</v>
      </c>
      <c r="S209" s="827">
        <v>14</v>
      </c>
      <c r="T209" s="827">
        <v>15</v>
      </c>
      <c r="U209" s="827">
        <v>14</v>
      </c>
      <c r="V209" s="827">
        <v>14</v>
      </c>
      <c r="W209" s="827">
        <v>14</v>
      </c>
      <c r="X209" s="827">
        <v>13</v>
      </c>
      <c r="Y209" s="827">
        <v>13</v>
      </c>
      <c r="Z209" s="827">
        <v>13</v>
      </c>
      <c r="AA209" s="827">
        <v>12</v>
      </c>
      <c r="AB209" s="827">
        <v>13</v>
      </c>
      <c r="AC209" s="828">
        <v>14</v>
      </c>
      <c r="AD209" s="828">
        <v>14</v>
      </c>
      <c r="AE209" s="828">
        <v>14</v>
      </c>
      <c r="AF209" s="828">
        <v>14</v>
      </c>
      <c r="AG209" s="828">
        <v>13</v>
      </c>
      <c r="AH209" s="828">
        <v>13</v>
      </c>
      <c r="AI209" s="828">
        <v>12</v>
      </c>
      <c r="AJ209" s="828">
        <v>11</v>
      </c>
      <c r="AK209" s="828">
        <v>10</v>
      </c>
      <c r="AL209" s="828">
        <v>8</v>
      </c>
      <c r="AM209" s="828">
        <v>8</v>
      </c>
      <c r="AN209" s="828">
        <v>8</v>
      </c>
      <c r="AO209" s="828">
        <v>7</v>
      </c>
      <c r="AP209" s="828">
        <v>8</v>
      </c>
    </row>
    <row r="210" hidden="1">
      <c r="B210" s="829" t="s">
        <v>110</v>
      </c>
      <c r="C210" s="823">
        <v>5</v>
      </c>
      <c r="D210" s="823">
        <v>4</v>
      </c>
      <c r="E210" s="823">
        <v>4</v>
      </c>
      <c r="F210" s="823">
        <v>4</v>
      </c>
      <c r="G210" s="823">
        <v>5</v>
      </c>
      <c r="H210" s="823">
        <v>5</v>
      </c>
      <c r="I210" s="823">
        <v>5</v>
      </c>
      <c r="J210" s="823">
        <v>5</v>
      </c>
      <c r="K210" s="823">
        <v>5</v>
      </c>
      <c r="L210" s="823">
        <v>5</v>
      </c>
      <c r="M210" s="823">
        <v>4</v>
      </c>
      <c r="N210" s="823">
        <v>5</v>
      </c>
      <c r="O210" s="823">
        <v>5</v>
      </c>
      <c r="P210" s="823">
        <v>4</v>
      </c>
      <c r="Q210" s="823">
        <v>5</v>
      </c>
      <c r="R210" s="823">
        <v>6</v>
      </c>
      <c r="S210" s="823">
        <v>6</v>
      </c>
      <c r="T210" s="823">
        <v>5</v>
      </c>
      <c r="U210" s="823">
        <v>5</v>
      </c>
      <c r="V210" s="823">
        <v>5</v>
      </c>
      <c r="W210" s="823">
        <v>4</v>
      </c>
      <c r="X210" s="823">
        <v>5</v>
      </c>
      <c r="Y210" s="823">
        <v>5</v>
      </c>
      <c r="Z210" s="823">
        <v>5</v>
      </c>
      <c r="AA210" s="823">
        <v>6</v>
      </c>
      <c r="AB210" s="823">
        <v>6</v>
      </c>
      <c r="AC210" s="825">
        <v>4</v>
      </c>
      <c r="AD210" s="825">
        <v>4</v>
      </c>
      <c r="AE210" s="825">
        <v>4</v>
      </c>
      <c r="AF210" s="825">
        <v>4</v>
      </c>
      <c r="AG210" s="825">
        <v>4</v>
      </c>
      <c r="AH210" s="825">
        <v>3</v>
      </c>
      <c r="AI210" s="825">
        <v>2</v>
      </c>
      <c r="AJ210" s="825">
        <v>2</v>
      </c>
      <c r="AK210" s="825">
        <v>2</v>
      </c>
      <c r="AL210" s="825">
        <v>2</v>
      </c>
      <c r="AM210" s="825">
        <v>2</v>
      </c>
      <c r="AN210" s="825">
        <v>2</v>
      </c>
      <c r="AO210" s="825">
        <v>3</v>
      </c>
      <c r="AP210" s="825">
        <v>3</v>
      </c>
    </row>
    <row r="211" hidden="1">
      <c r="B211" s="826" t="s">
        <v>16</v>
      </c>
      <c r="C211" s="827">
        <v>21</v>
      </c>
      <c r="D211" s="827">
        <v>22</v>
      </c>
      <c r="E211" s="827">
        <v>28</v>
      </c>
      <c r="F211" s="827">
        <v>29</v>
      </c>
      <c r="G211" s="827">
        <v>29</v>
      </c>
      <c r="H211" s="827">
        <v>28</v>
      </c>
      <c r="I211" s="827">
        <v>26</v>
      </c>
      <c r="J211" s="827">
        <v>26</v>
      </c>
      <c r="K211" s="827">
        <v>28</v>
      </c>
      <c r="L211" s="827">
        <v>27</v>
      </c>
      <c r="M211" s="827">
        <v>27</v>
      </c>
      <c r="N211" s="827">
        <v>26</v>
      </c>
      <c r="O211" s="827">
        <v>25</v>
      </c>
      <c r="P211" s="827">
        <v>25</v>
      </c>
      <c r="Q211" s="827">
        <v>24</v>
      </c>
      <c r="R211" s="827">
        <v>21</v>
      </c>
      <c r="S211" s="827">
        <v>20</v>
      </c>
      <c r="T211" s="827">
        <v>18</v>
      </c>
      <c r="U211" s="827">
        <v>18</v>
      </c>
      <c r="V211" s="827">
        <v>18</v>
      </c>
      <c r="W211" s="827">
        <v>18</v>
      </c>
      <c r="X211" s="827">
        <v>18</v>
      </c>
      <c r="Y211" s="827">
        <v>15</v>
      </c>
      <c r="Z211" s="827">
        <v>15</v>
      </c>
      <c r="AA211" s="827">
        <v>15</v>
      </c>
      <c r="AB211" s="827">
        <v>14</v>
      </c>
      <c r="AC211" s="828">
        <v>12</v>
      </c>
      <c r="AD211" s="828">
        <v>12</v>
      </c>
      <c r="AE211" s="828">
        <v>12</v>
      </c>
      <c r="AF211" s="828">
        <v>12</v>
      </c>
      <c r="AG211" s="828">
        <v>12</v>
      </c>
      <c r="AH211" s="828">
        <v>12</v>
      </c>
      <c r="AI211" s="828">
        <v>10</v>
      </c>
      <c r="AJ211" s="828">
        <v>10</v>
      </c>
      <c r="AK211" s="828">
        <v>9</v>
      </c>
      <c r="AL211" s="828">
        <v>7</v>
      </c>
      <c r="AM211" s="828">
        <v>7</v>
      </c>
      <c r="AN211" s="828">
        <v>7</v>
      </c>
      <c r="AO211" s="828">
        <v>7</v>
      </c>
      <c r="AP211" s="828">
        <v>7</v>
      </c>
    </row>
    <row r="212" hidden="1">
      <c r="B212" s="829" t="s">
        <v>17</v>
      </c>
      <c r="C212" s="823">
        <v>7</v>
      </c>
      <c r="D212" s="823">
        <v>18</v>
      </c>
      <c r="E212" s="823">
        <v>32</v>
      </c>
      <c r="F212" s="823">
        <v>38</v>
      </c>
      <c r="G212" s="823">
        <v>77</v>
      </c>
      <c r="H212" s="823">
        <v>102</v>
      </c>
      <c r="I212" s="823">
        <v>107</v>
      </c>
      <c r="J212" s="823">
        <v>114</v>
      </c>
      <c r="K212" s="823">
        <v>118</v>
      </c>
      <c r="L212" s="823">
        <v>128</v>
      </c>
      <c r="M212" s="823">
        <v>130</v>
      </c>
      <c r="N212" s="823">
        <v>135</v>
      </c>
      <c r="O212" s="823">
        <v>137</v>
      </c>
      <c r="P212" s="823">
        <v>139</v>
      </c>
      <c r="Q212" s="823">
        <v>142</v>
      </c>
      <c r="R212" s="823">
        <v>144</v>
      </c>
      <c r="S212" s="823">
        <v>149</v>
      </c>
      <c r="T212" s="823">
        <v>156</v>
      </c>
      <c r="U212" s="823">
        <v>163</v>
      </c>
      <c r="V212" s="823">
        <v>179</v>
      </c>
      <c r="W212" s="823">
        <v>196</v>
      </c>
      <c r="X212" s="823">
        <v>201</v>
      </c>
      <c r="Y212" s="823">
        <v>210</v>
      </c>
      <c r="Z212" s="823">
        <v>218</v>
      </c>
      <c r="AA212" s="823">
        <v>223</v>
      </c>
      <c r="AB212" s="823">
        <v>18</v>
      </c>
      <c r="AC212" s="825">
        <v>20</v>
      </c>
      <c r="AD212" s="825">
        <v>14</v>
      </c>
      <c r="AE212" s="825">
        <v>15</v>
      </c>
      <c r="AF212" s="825">
        <v>16</v>
      </c>
      <c r="AG212" s="825">
        <v>16</v>
      </c>
      <c r="AH212" s="825">
        <v>17</v>
      </c>
      <c r="AI212" s="825">
        <v>17</v>
      </c>
      <c r="AJ212" s="825">
        <v>17</v>
      </c>
      <c r="AK212" s="825">
        <v>17</v>
      </c>
      <c r="AL212" s="825">
        <v>16</v>
      </c>
      <c r="AM212" s="825">
        <v>16</v>
      </c>
      <c r="AN212" s="825">
        <v>16</v>
      </c>
      <c r="AO212" s="825">
        <v>16</v>
      </c>
      <c r="AP212" s="825">
        <v>16</v>
      </c>
    </row>
    <row r="213" hidden="1">
      <c r="B213" s="826" t="s">
        <v>18</v>
      </c>
      <c r="C213" s="827">
        <v>13</v>
      </c>
      <c r="D213" s="827">
        <v>13</v>
      </c>
      <c r="E213" s="827">
        <v>15</v>
      </c>
      <c r="F213" s="827">
        <v>17</v>
      </c>
      <c r="G213" s="827">
        <v>18</v>
      </c>
      <c r="H213" s="827">
        <v>18</v>
      </c>
      <c r="I213" s="827">
        <v>22</v>
      </c>
      <c r="J213" s="827">
        <v>22</v>
      </c>
      <c r="K213" s="827">
        <v>23</v>
      </c>
      <c r="L213" s="827">
        <v>22</v>
      </c>
      <c r="M213" s="827">
        <v>22</v>
      </c>
      <c r="N213" s="827">
        <v>23</v>
      </c>
      <c r="O213" s="827">
        <v>25</v>
      </c>
      <c r="P213" s="827">
        <v>27</v>
      </c>
      <c r="Q213" s="827">
        <v>27</v>
      </c>
      <c r="R213" s="827">
        <v>29</v>
      </c>
      <c r="S213" s="827">
        <v>28</v>
      </c>
      <c r="T213" s="827">
        <v>28</v>
      </c>
      <c r="U213" s="827">
        <v>27</v>
      </c>
      <c r="V213" s="827">
        <v>30</v>
      </c>
      <c r="W213" s="827">
        <v>29</v>
      </c>
      <c r="X213" s="827">
        <v>31</v>
      </c>
      <c r="Y213" s="827">
        <v>33</v>
      </c>
      <c r="Z213" s="827">
        <v>32</v>
      </c>
      <c r="AA213" s="827">
        <v>34</v>
      </c>
      <c r="AB213" s="827">
        <v>34</v>
      </c>
      <c r="AC213" s="828">
        <v>35</v>
      </c>
      <c r="AD213" s="828">
        <v>33</v>
      </c>
      <c r="AE213" s="828">
        <v>33</v>
      </c>
      <c r="AF213" s="828">
        <v>33</v>
      </c>
      <c r="AG213" s="828">
        <v>33</v>
      </c>
      <c r="AH213" s="828">
        <v>33</v>
      </c>
      <c r="AI213" s="828">
        <v>33</v>
      </c>
      <c r="AJ213" s="828">
        <v>31</v>
      </c>
      <c r="AK213" s="828">
        <v>32</v>
      </c>
      <c r="AL213" s="828">
        <v>32</v>
      </c>
      <c r="AM213" s="828">
        <v>31</v>
      </c>
      <c r="AN213" s="828">
        <v>30</v>
      </c>
      <c r="AO213" s="828">
        <v>26</v>
      </c>
      <c r="AP213" s="828">
        <v>25</v>
      </c>
    </row>
    <row r="214" hidden="1">
      <c r="B214" s="829" t="s">
        <v>19</v>
      </c>
      <c r="C214" s="823">
        <v>7</v>
      </c>
      <c r="D214" s="823">
        <v>7</v>
      </c>
      <c r="E214" s="823">
        <v>7</v>
      </c>
      <c r="F214" s="823">
        <v>7</v>
      </c>
      <c r="G214" s="823">
        <v>5</v>
      </c>
      <c r="H214" s="823">
        <v>5</v>
      </c>
      <c r="I214" s="823">
        <v>6</v>
      </c>
      <c r="J214" s="823">
        <v>6</v>
      </c>
      <c r="K214" s="823">
        <v>6</v>
      </c>
      <c r="L214" s="823">
        <v>0</v>
      </c>
      <c r="M214" s="823">
        <v>5</v>
      </c>
      <c r="N214" s="823">
        <v>5</v>
      </c>
      <c r="O214" s="823">
        <v>5</v>
      </c>
      <c r="P214" s="823">
        <v>5</v>
      </c>
      <c r="Q214" s="823">
        <v>2</v>
      </c>
      <c r="R214" s="823">
        <v>3</v>
      </c>
      <c r="S214" s="823">
        <v>3</v>
      </c>
      <c r="T214" s="823">
        <v>3</v>
      </c>
      <c r="U214" s="823">
        <v>3</v>
      </c>
      <c r="V214" s="823">
        <v>3</v>
      </c>
      <c r="W214" s="823">
        <v>3</v>
      </c>
      <c r="X214" s="823">
        <v>3</v>
      </c>
      <c r="Y214" s="823">
        <v>3</v>
      </c>
      <c r="Z214" s="823">
        <v>3</v>
      </c>
      <c r="AA214" s="823">
        <v>3</v>
      </c>
      <c r="AB214" s="823">
        <v>3</v>
      </c>
      <c r="AC214" s="825">
        <v>3</v>
      </c>
      <c r="AD214" s="825">
        <v>3</v>
      </c>
      <c r="AE214" s="825">
        <v>3</v>
      </c>
      <c r="AF214" s="825">
        <v>3</v>
      </c>
      <c r="AG214" s="825">
        <v>3</v>
      </c>
      <c r="AH214" s="825">
        <v>3</v>
      </c>
      <c r="AI214" s="825">
        <v>2</v>
      </c>
      <c r="AJ214" s="825">
        <v>2</v>
      </c>
      <c r="AK214" s="825">
        <v>2</v>
      </c>
      <c r="AL214" s="825">
        <v>2</v>
      </c>
      <c r="AM214" s="825">
        <v>2</v>
      </c>
      <c r="AN214" s="825">
        <v>2</v>
      </c>
      <c r="AO214" s="825">
        <v>2</v>
      </c>
      <c r="AP214" s="825">
        <v>2</v>
      </c>
    </row>
    <row r="215" hidden="1">
      <c r="B215" s="826" t="s">
        <v>20</v>
      </c>
      <c r="C215" s="827">
        <v>0</v>
      </c>
      <c r="D215" s="827">
        <v>0</v>
      </c>
      <c r="E215" s="827">
        <v>0</v>
      </c>
      <c r="F215" s="827">
        <v>0</v>
      </c>
      <c r="G215" s="827">
        <v>0</v>
      </c>
      <c r="H215" s="827">
        <v>0</v>
      </c>
      <c r="I215" s="827">
        <v>0</v>
      </c>
      <c r="J215" s="827">
        <v>0</v>
      </c>
      <c r="K215" s="827">
        <v>0</v>
      </c>
      <c r="L215" s="827">
        <v>0</v>
      </c>
      <c r="M215" s="827">
        <v>1</v>
      </c>
      <c r="N215" s="827">
        <v>1</v>
      </c>
      <c r="O215" s="827">
        <v>1</v>
      </c>
      <c r="P215" s="827">
        <v>1</v>
      </c>
      <c r="Q215" s="827">
        <v>1</v>
      </c>
      <c r="R215" s="827">
        <v>1</v>
      </c>
      <c r="S215" s="827">
        <v>1</v>
      </c>
      <c r="T215" s="827">
        <v>1</v>
      </c>
      <c r="U215" s="827">
        <v>1</v>
      </c>
      <c r="V215" s="827">
        <v>0</v>
      </c>
      <c r="W215" s="827">
        <v>0</v>
      </c>
      <c r="X215" s="827">
        <v>0</v>
      </c>
      <c r="Y215" s="827">
        <v>0</v>
      </c>
      <c r="Z215" s="827">
        <v>0</v>
      </c>
      <c r="AA215" s="827">
        <v>0</v>
      </c>
      <c r="AB215" s="827">
        <v>0</v>
      </c>
      <c r="AC215" s="828">
        <v>0</v>
      </c>
      <c r="AD215" s="828">
        <v>0</v>
      </c>
      <c r="AE215" s="828">
        <v>0</v>
      </c>
      <c r="AF215" s="828">
        <v>0</v>
      </c>
      <c r="AG215" s="828">
        <v>0</v>
      </c>
      <c r="AH215" s="828">
        <v>0</v>
      </c>
      <c r="AI215" s="828">
        <v>0</v>
      </c>
      <c r="AJ215" s="828">
        <v>0</v>
      </c>
      <c r="AK215" s="828">
        <v>0</v>
      </c>
      <c r="AL215" s="828">
        <v>0</v>
      </c>
      <c r="AM215" s="828">
        <v>0</v>
      </c>
      <c r="AN215" s="828">
        <v>0</v>
      </c>
      <c r="AO215" s="828">
        <v>0</v>
      </c>
      <c r="AP215" s="828">
        <v>0</v>
      </c>
    </row>
    <row r="216" hidden="1">
      <c r="B216" s="829" t="s">
        <v>21</v>
      </c>
      <c r="C216" s="823">
        <v>2</v>
      </c>
      <c r="D216" s="823">
        <v>0</v>
      </c>
      <c r="E216" s="823">
        <v>0</v>
      </c>
      <c r="F216" s="823">
        <v>0</v>
      </c>
      <c r="G216" s="823">
        <v>0</v>
      </c>
      <c r="H216" s="823">
        <v>0</v>
      </c>
      <c r="I216" s="823">
        <v>0</v>
      </c>
      <c r="J216" s="823">
        <v>0</v>
      </c>
      <c r="K216" s="823">
        <v>0</v>
      </c>
      <c r="L216" s="823">
        <v>0</v>
      </c>
      <c r="M216" s="823">
        <v>0</v>
      </c>
      <c r="N216" s="823">
        <v>0</v>
      </c>
      <c r="O216" s="823">
        <v>0</v>
      </c>
      <c r="P216" s="823">
        <v>0</v>
      </c>
      <c r="Q216" s="823">
        <v>0</v>
      </c>
      <c r="R216" s="823">
        <v>0</v>
      </c>
      <c r="S216" s="823">
        <v>1</v>
      </c>
      <c r="T216" s="823">
        <v>1</v>
      </c>
      <c r="U216" s="823">
        <v>1</v>
      </c>
      <c r="V216" s="823">
        <v>1</v>
      </c>
      <c r="W216" s="823">
        <v>1</v>
      </c>
      <c r="X216" s="823">
        <v>1</v>
      </c>
      <c r="Y216" s="823">
        <v>1</v>
      </c>
      <c r="Z216" s="823">
        <v>1</v>
      </c>
      <c r="AA216" s="823">
        <v>1</v>
      </c>
      <c r="AB216" s="823">
        <v>1</v>
      </c>
      <c r="AC216" s="825">
        <v>1</v>
      </c>
      <c r="AD216" s="825">
        <v>1</v>
      </c>
      <c r="AE216" s="825">
        <v>1</v>
      </c>
      <c r="AF216" s="825">
        <v>1</v>
      </c>
      <c r="AG216" s="825">
        <v>1</v>
      </c>
      <c r="AH216" s="825">
        <v>1</v>
      </c>
      <c r="AI216" s="825">
        <v>1</v>
      </c>
      <c r="AJ216" s="825">
        <v>1</v>
      </c>
      <c r="AK216" s="825">
        <v>1</v>
      </c>
      <c r="AL216" s="825">
        <v>1</v>
      </c>
      <c r="AM216" s="825">
        <v>1</v>
      </c>
      <c r="AN216" s="825">
        <v>1</v>
      </c>
      <c r="AO216" s="825">
        <v>1</v>
      </c>
      <c r="AP216" s="825">
        <v>1</v>
      </c>
    </row>
    <row r="217" hidden="1">
      <c r="B217" s="826" t="s">
        <v>22</v>
      </c>
      <c r="C217" s="827">
        <v>0</v>
      </c>
      <c r="D217" s="827">
        <v>0</v>
      </c>
      <c r="E217" s="827">
        <v>0</v>
      </c>
      <c r="F217" s="827">
        <v>0</v>
      </c>
      <c r="G217" s="827">
        <v>0</v>
      </c>
      <c r="H217" s="827">
        <v>0</v>
      </c>
      <c r="I217" s="827">
        <v>0</v>
      </c>
      <c r="J217" s="827">
        <v>0</v>
      </c>
      <c r="K217" s="827">
        <v>0</v>
      </c>
      <c r="L217" s="827">
        <v>0</v>
      </c>
      <c r="M217" s="827">
        <v>0</v>
      </c>
      <c r="N217" s="827">
        <v>0</v>
      </c>
      <c r="O217" s="827">
        <v>0</v>
      </c>
      <c r="P217" s="827">
        <v>0</v>
      </c>
      <c r="Q217" s="827">
        <v>0</v>
      </c>
      <c r="R217" s="827">
        <v>0</v>
      </c>
      <c r="S217" s="827">
        <v>0</v>
      </c>
      <c r="T217" s="827">
        <v>0</v>
      </c>
      <c r="U217" s="827">
        <v>0</v>
      </c>
      <c r="V217" s="827">
        <v>0</v>
      </c>
      <c r="W217" s="827">
        <v>0</v>
      </c>
      <c r="X217" s="827">
        <v>0</v>
      </c>
      <c r="Y217" s="827">
        <v>0</v>
      </c>
      <c r="Z217" s="827">
        <v>0</v>
      </c>
      <c r="AA217" s="827">
        <v>0</v>
      </c>
      <c r="AB217" s="827">
        <v>0</v>
      </c>
      <c r="AC217" s="828">
        <v>0</v>
      </c>
      <c r="AD217" s="828">
        <v>0</v>
      </c>
      <c r="AE217" s="828">
        <v>0</v>
      </c>
      <c r="AF217" s="828">
        <v>0</v>
      </c>
      <c r="AG217" s="828">
        <v>0</v>
      </c>
      <c r="AH217" s="828">
        <v>0</v>
      </c>
      <c r="AI217" s="828">
        <v>0</v>
      </c>
      <c r="AJ217" s="828">
        <v>0</v>
      </c>
      <c r="AK217" s="828">
        <v>0</v>
      </c>
      <c r="AL217" s="828">
        <v>0</v>
      </c>
      <c r="AM217" s="828">
        <v>0</v>
      </c>
      <c r="AN217" s="828">
        <v>0</v>
      </c>
      <c r="AO217" s="828">
        <v>0</v>
      </c>
      <c r="AP217" s="828">
        <v>0</v>
      </c>
    </row>
    <row r="218" hidden="1">
      <c r="B218" s="829" t="s">
        <v>23</v>
      </c>
      <c r="C218" s="823">
        <v>0</v>
      </c>
      <c r="D218" s="823">
        <v>0</v>
      </c>
      <c r="E218" s="823">
        <v>0</v>
      </c>
      <c r="F218" s="823">
        <v>0</v>
      </c>
      <c r="G218" s="823">
        <v>0</v>
      </c>
      <c r="H218" s="823">
        <v>0</v>
      </c>
      <c r="I218" s="823">
        <v>0</v>
      </c>
      <c r="J218" s="823">
        <v>0</v>
      </c>
      <c r="K218" s="823">
        <v>0</v>
      </c>
      <c r="L218" s="823">
        <v>6</v>
      </c>
      <c r="M218" s="823">
        <v>0</v>
      </c>
      <c r="N218" s="823">
        <v>0</v>
      </c>
      <c r="O218" s="823">
        <v>0</v>
      </c>
      <c r="P218" s="823">
        <v>0</v>
      </c>
      <c r="Q218" s="823">
        <v>0</v>
      </c>
      <c r="R218" s="823">
        <v>0</v>
      </c>
      <c r="S218" s="823">
        <v>0</v>
      </c>
      <c r="T218" s="823">
        <v>0</v>
      </c>
      <c r="U218" s="823">
        <v>0</v>
      </c>
      <c r="V218" s="823">
        <v>0</v>
      </c>
      <c r="W218" s="823">
        <v>0</v>
      </c>
      <c r="X218" s="823">
        <v>0</v>
      </c>
      <c r="Y218" s="823">
        <v>0</v>
      </c>
      <c r="Z218" s="823">
        <v>0</v>
      </c>
      <c r="AA218" s="823">
        <v>0</v>
      </c>
      <c r="AB218" s="823">
        <v>0</v>
      </c>
      <c r="AC218" s="825">
        <v>0</v>
      </c>
      <c r="AD218" s="825">
        <v>0</v>
      </c>
      <c r="AE218" s="825">
        <v>0</v>
      </c>
      <c r="AF218" s="825">
        <v>0</v>
      </c>
      <c r="AG218" s="825">
        <v>0</v>
      </c>
      <c r="AH218" s="825">
        <v>0</v>
      </c>
      <c r="AI218" s="825">
        <v>0</v>
      </c>
      <c r="AJ218" s="825">
        <v>0</v>
      </c>
      <c r="AK218" s="825">
        <v>0</v>
      </c>
      <c r="AL218" s="825">
        <v>0</v>
      </c>
      <c r="AM218" s="825">
        <v>0</v>
      </c>
      <c r="AN218" s="825">
        <v>0</v>
      </c>
      <c r="AO218" s="825">
        <v>0</v>
      </c>
      <c r="AP218" s="825">
        <v>0</v>
      </c>
    </row>
    <row r="219" hidden="1">
      <c r="B219" s="835" t="s">
        <v>24</v>
      </c>
      <c r="C219" s="827">
        <v>5</v>
      </c>
      <c r="D219" s="827">
        <v>4</v>
      </c>
      <c r="E219" s="827">
        <v>5</v>
      </c>
      <c r="F219" s="827">
        <v>5</v>
      </c>
      <c r="G219" s="827">
        <v>6</v>
      </c>
      <c r="H219" s="827">
        <v>5</v>
      </c>
      <c r="I219" s="827">
        <v>5</v>
      </c>
      <c r="J219" s="827">
        <v>5</v>
      </c>
      <c r="K219" s="827">
        <v>4</v>
      </c>
      <c r="L219" s="827">
        <v>5</v>
      </c>
      <c r="M219" s="827">
        <v>5</v>
      </c>
      <c r="N219" s="827">
        <v>5</v>
      </c>
      <c r="O219" s="827">
        <v>4</v>
      </c>
      <c r="P219" s="827">
        <v>3</v>
      </c>
      <c r="Q219" s="827">
        <v>2</v>
      </c>
      <c r="R219" s="827">
        <v>2</v>
      </c>
      <c r="S219" s="827">
        <v>2</v>
      </c>
      <c r="T219" s="827">
        <v>2</v>
      </c>
      <c r="U219" s="827">
        <v>2</v>
      </c>
      <c r="V219" s="827">
        <v>2</v>
      </c>
      <c r="W219" s="827">
        <v>2</v>
      </c>
      <c r="X219" s="827">
        <v>2</v>
      </c>
      <c r="Y219" s="827">
        <v>2</v>
      </c>
      <c r="Z219" s="827">
        <v>2</v>
      </c>
      <c r="AA219" s="827">
        <v>3</v>
      </c>
      <c r="AB219" s="827">
        <v>2</v>
      </c>
      <c r="AC219" s="828">
        <v>2</v>
      </c>
      <c r="AD219" s="828">
        <v>2</v>
      </c>
      <c r="AE219" s="828">
        <v>2</v>
      </c>
      <c r="AF219" s="828">
        <v>2</v>
      </c>
      <c r="AG219" s="828">
        <v>2</v>
      </c>
      <c r="AH219" s="828">
        <v>1</v>
      </c>
      <c r="AI219" s="828">
        <v>1</v>
      </c>
      <c r="AJ219" s="828">
        <v>1</v>
      </c>
      <c r="AK219" s="828">
        <v>1</v>
      </c>
      <c r="AL219" s="828">
        <v>1</v>
      </c>
      <c r="AM219" s="828">
        <v>0</v>
      </c>
      <c r="AN219" s="828">
        <v>0</v>
      </c>
      <c r="AO219" s="828">
        <v>2</v>
      </c>
      <c r="AP219" s="828">
        <v>1</v>
      </c>
    </row>
    <row r="220" hidden="1">
      <c r="B220" s="829" t="s">
        <v>25</v>
      </c>
      <c r="C220" s="823">
        <v>0</v>
      </c>
      <c r="D220" s="823">
        <v>0</v>
      </c>
      <c r="E220" s="823">
        <v>0</v>
      </c>
      <c r="F220" s="823">
        <v>0</v>
      </c>
      <c r="G220" s="823">
        <v>0</v>
      </c>
      <c r="H220" s="823">
        <v>0</v>
      </c>
      <c r="I220" s="823">
        <v>0</v>
      </c>
      <c r="J220" s="823">
        <v>0</v>
      </c>
      <c r="K220" s="823">
        <v>0</v>
      </c>
      <c r="L220" s="823">
        <v>0</v>
      </c>
      <c r="M220" s="823">
        <v>0</v>
      </c>
      <c r="N220" s="823">
        <v>0</v>
      </c>
      <c r="O220" s="823">
        <v>0</v>
      </c>
      <c r="P220" s="823">
        <v>0</v>
      </c>
      <c r="Q220" s="823">
        <v>0</v>
      </c>
      <c r="R220" s="823">
        <v>0</v>
      </c>
      <c r="S220" s="823">
        <v>0</v>
      </c>
      <c r="T220" s="823">
        <v>0</v>
      </c>
      <c r="U220" s="823">
        <v>0</v>
      </c>
      <c r="V220" s="823">
        <v>0</v>
      </c>
      <c r="W220" s="823">
        <v>0</v>
      </c>
      <c r="X220" s="823">
        <v>0</v>
      </c>
      <c r="Y220" s="823">
        <v>0</v>
      </c>
      <c r="Z220" s="823">
        <v>0</v>
      </c>
      <c r="AA220" s="823">
        <v>0</v>
      </c>
      <c r="AB220" s="823">
        <v>0</v>
      </c>
      <c r="AC220" s="825">
        <v>0</v>
      </c>
      <c r="AD220" s="825">
        <v>0</v>
      </c>
      <c r="AE220" s="825">
        <v>0</v>
      </c>
      <c r="AF220" s="825">
        <v>0</v>
      </c>
      <c r="AG220" s="825">
        <v>0</v>
      </c>
      <c r="AH220" s="825">
        <v>0</v>
      </c>
      <c r="AI220" s="825">
        <v>0</v>
      </c>
      <c r="AJ220" s="825">
        <v>0</v>
      </c>
      <c r="AK220" s="825">
        <v>0</v>
      </c>
      <c r="AL220" s="825">
        <v>0</v>
      </c>
      <c r="AM220" s="825">
        <v>0</v>
      </c>
      <c r="AN220" s="825">
        <v>0</v>
      </c>
      <c r="AO220" s="825">
        <v>0</v>
      </c>
      <c r="AP220" s="825">
        <v>0</v>
      </c>
    </row>
    <row r="221" hidden="1" ht="13.5">
      <c r="B221" s="836" t="s">
        <v>26</v>
      </c>
      <c r="C221" s="827">
        <v>0</v>
      </c>
      <c r="D221" s="827">
        <v>0</v>
      </c>
      <c r="E221" s="827">
        <v>0</v>
      </c>
      <c r="F221" s="827">
        <v>0</v>
      </c>
      <c r="G221" s="827">
        <v>0</v>
      </c>
      <c r="H221" s="827">
        <v>0</v>
      </c>
      <c r="I221" s="827">
        <v>0</v>
      </c>
      <c r="J221" s="827">
        <v>0</v>
      </c>
      <c r="K221" s="827">
        <v>0</v>
      </c>
      <c r="L221" s="827">
        <v>0</v>
      </c>
      <c r="M221" s="827">
        <v>0</v>
      </c>
      <c r="N221" s="827">
        <v>0</v>
      </c>
      <c r="O221" s="827">
        <v>0</v>
      </c>
      <c r="P221" s="827">
        <v>0</v>
      </c>
      <c r="Q221" s="827">
        <v>0</v>
      </c>
      <c r="R221" s="827">
        <v>0</v>
      </c>
      <c r="S221" s="827">
        <v>0</v>
      </c>
      <c r="T221" s="827">
        <v>0</v>
      </c>
      <c r="U221" s="827">
        <v>0</v>
      </c>
      <c r="V221" s="827">
        <v>0</v>
      </c>
      <c r="W221" s="827">
        <v>0</v>
      </c>
      <c r="X221" s="827">
        <v>0</v>
      </c>
      <c r="Y221" s="827">
        <v>0</v>
      </c>
      <c r="Z221" s="827">
        <v>0</v>
      </c>
      <c r="AA221" s="827">
        <v>0</v>
      </c>
      <c r="AB221" s="837">
        <v>0</v>
      </c>
      <c r="AC221" s="828">
        <v>0</v>
      </c>
      <c r="AD221" s="828">
        <v>0</v>
      </c>
      <c r="AE221" s="828">
        <v>0</v>
      </c>
      <c r="AF221" s="828">
        <v>0</v>
      </c>
      <c r="AG221" s="828">
        <v>0</v>
      </c>
      <c r="AH221" s="828">
        <v>0</v>
      </c>
      <c r="AI221" s="828">
        <v>0</v>
      </c>
      <c r="AJ221" s="828">
        <v>0</v>
      </c>
      <c r="AK221" s="828">
        <v>0</v>
      </c>
      <c r="AL221" s="828">
        <v>0</v>
      </c>
      <c r="AM221" s="828">
        <v>0</v>
      </c>
      <c r="AN221" s="828">
        <v>0</v>
      </c>
      <c r="AO221" s="828">
        <v>0</v>
      </c>
      <c r="AP221" s="828">
        <v>0</v>
      </c>
    </row>
    <row r="222" hidden="1" ht="13.5">
      <c r="B222" s="128" t="s">
        <v>7</v>
      </c>
      <c r="C222" s="129" t="str">
        <f>IF(SUM(C203:C221)&lt;&gt;0,SUM(C203:C221),"")</f>
      </c>
      <c r="D222" s="129" t="str">
        <f ref="D222:AA222" t="shared" si="20">IF(SUM(D203:D221)&lt;&gt;0,SUM(D203:D221),"")</f>
      </c>
      <c r="E222" s="129" t="str">
        <f t="shared" si="20"/>
      </c>
      <c r="F222" s="129" t="str">
        <f t="shared" si="20"/>
      </c>
      <c r="G222" s="129" t="str">
        <f t="shared" si="20"/>
      </c>
      <c r="H222" s="129" t="str">
        <f t="shared" si="20"/>
      </c>
      <c r="I222" s="129" t="str">
        <f t="shared" si="20"/>
      </c>
      <c r="J222" s="129" t="str">
        <f t="shared" si="20"/>
      </c>
      <c r="K222" s="129" t="str">
        <f t="shared" si="20"/>
      </c>
      <c r="L222" s="129" t="str">
        <f t="shared" si="20"/>
      </c>
      <c r="M222" s="129" t="str">
        <f t="shared" si="20"/>
      </c>
      <c r="N222" s="129" t="str">
        <f t="shared" si="20"/>
      </c>
      <c r="O222" s="129" t="str">
        <f t="shared" si="20"/>
      </c>
      <c r="P222" s="129" t="str">
        <f t="shared" si="20"/>
      </c>
      <c r="Q222" s="129" t="str">
        <f t="shared" si="20"/>
      </c>
      <c r="R222" s="129" t="str">
        <f t="shared" si="20"/>
      </c>
      <c r="S222" s="129" t="str">
        <f t="shared" si="20"/>
      </c>
      <c r="T222" s="129" t="str">
        <f t="shared" si="20"/>
      </c>
      <c r="U222" s="129" t="str">
        <f t="shared" si="20"/>
      </c>
      <c r="V222" s="129" t="str">
        <f t="shared" si="20"/>
      </c>
      <c r="W222" s="129" t="str">
        <f t="shared" si="20"/>
      </c>
      <c r="X222" s="129" t="str">
        <f t="shared" si="20"/>
      </c>
      <c r="Y222" s="129" t="str">
        <f t="shared" si="20"/>
      </c>
      <c r="Z222" s="129" t="str">
        <f t="shared" si="20"/>
      </c>
      <c r="AA222" s="129" t="str">
        <f t="shared" si="20"/>
      </c>
      <c r="AB222" s="130" t="str">
        <f>IF(SUM(AB203:AB221)&lt;&gt;0,SUM(AB203:AB221),"")</f>
      </c>
      <c r="AC222" s="91" t="str">
        <f ref="AC222:CN222" t="shared" si="21">IF(SUM(AC203:AC221)&lt;&gt;0,SUM(AC203:AC221),"")</f>
      </c>
      <c r="AD222" s="91" t="str">
        <f t="shared" si="21"/>
      </c>
      <c r="AE222" s="91" t="str">
        <f t="shared" si="21"/>
      </c>
      <c r="AF222" s="91" t="str">
        <f t="shared" si="21"/>
      </c>
      <c r="AG222" s="91" t="str">
        <f t="shared" si="21"/>
      </c>
      <c r="AH222" s="91" t="str">
        <f t="shared" si="21"/>
      </c>
      <c r="AI222" s="91" t="str">
        <f t="shared" si="21"/>
      </c>
      <c r="AJ222" s="91" t="str">
        <f t="shared" si="21"/>
      </c>
      <c r="AK222" s="91" t="str">
        <f t="shared" si="21"/>
      </c>
      <c r="AL222" s="91" t="str">
        <f t="shared" si="21"/>
      </c>
      <c r="AM222" s="91" t="str">
        <f t="shared" si="21"/>
      </c>
      <c r="AN222" s="91" t="str">
        <f t="shared" si="21"/>
      </c>
      <c r="AO222" s="91" t="str">
        <f t="shared" si="21"/>
      </c>
      <c r="AP222" s="91" t="str">
        <f t="shared" si="21"/>
      </c>
      <c r="AQ222" s="91" t="str">
        <f t="shared" si="21"/>
      </c>
      <c r="AR222" s="91" t="str">
        <f t="shared" si="21"/>
      </c>
      <c r="AS222" s="91" t="str">
        <f t="shared" si="21"/>
      </c>
      <c r="AT222" s="91" t="str">
        <f t="shared" si="21"/>
      </c>
      <c r="AU222" s="91" t="str">
        <f t="shared" si="21"/>
      </c>
      <c r="AV222" s="91" t="str">
        <f t="shared" si="21"/>
      </c>
      <c r="AW222" s="91" t="str">
        <f t="shared" si="21"/>
      </c>
      <c r="AX222" s="91" t="str">
        <f t="shared" si="21"/>
      </c>
      <c r="AY222" s="91" t="str">
        <f t="shared" si="21"/>
      </c>
      <c r="AZ222" s="91" t="str">
        <f t="shared" si="21"/>
      </c>
      <c r="BA222" s="91" t="str">
        <f t="shared" si="21"/>
      </c>
      <c r="BB222" s="91" t="str">
        <f t="shared" si="21"/>
      </c>
      <c r="BC222" s="91" t="str">
        <f t="shared" si="21"/>
      </c>
      <c r="BD222" s="91" t="str">
        <f t="shared" si="21"/>
      </c>
      <c r="BE222" s="91" t="str">
        <f t="shared" si="21"/>
      </c>
      <c r="BF222" s="91" t="str">
        <f t="shared" si="21"/>
      </c>
      <c r="BG222" s="91" t="str">
        <f t="shared" si="21"/>
      </c>
      <c r="BH222" s="91" t="str">
        <f t="shared" si="21"/>
      </c>
      <c r="BI222" s="91" t="str">
        <f t="shared" si="21"/>
      </c>
      <c r="BJ222" s="91" t="str">
        <f t="shared" si="21"/>
      </c>
      <c r="BK222" s="91" t="str">
        <f t="shared" si="21"/>
      </c>
      <c r="BL222" s="91" t="str">
        <f t="shared" si="21"/>
      </c>
      <c r="BM222" s="91" t="str">
        <f t="shared" si="21"/>
      </c>
      <c r="BN222" s="91" t="str">
        <f t="shared" si="21"/>
      </c>
      <c r="BO222" s="91" t="str">
        <f t="shared" si="21"/>
      </c>
      <c r="BP222" s="91" t="str">
        <f t="shared" si="21"/>
      </c>
      <c r="BQ222" s="91" t="str">
        <f t="shared" si="21"/>
      </c>
      <c r="BR222" s="91" t="str">
        <f t="shared" si="21"/>
      </c>
      <c r="BS222" s="91" t="str">
        <f t="shared" si="21"/>
      </c>
      <c r="BT222" s="91" t="str">
        <f t="shared" si="21"/>
      </c>
      <c r="BU222" s="91" t="str">
        <f t="shared" si="21"/>
      </c>
      <c r="BV222" s="91" t="str">
        <f t="shared" si="21"/>
      </c>
      <c r="BW222" s="91" t="str">
        <f t="shared" si="21"/>
      </c>
      <c r="BX222" s="91" t="str">
        <f t="shared" si="21"/>
      </c>
      <c r="BY222" s="91" t="str">
        <f t="shared" si="21"/>
      </c>
      <c r="BZ222" s="91" t="str">
        <f t="shared" si="21"/>
      </c>
      <c r="CA222" s="91" t="str">
        <f t="shared" si="21"/>
      </c>
      <c r="CB222" s="91" t="str">
        <f t="shared" si="21"/>
      </c>
      <c r="CC222" s="91" t="str">
        <f t="shared" si="21"/>
      </c>
      <c r="CD222" s="91" t="str">
        <f t="shared" si="21"/>
      </c>
      <c r="CE222" s="91" t="str">
        <f t="shared" si="21"/>
      </c>
      <c r="CF222" s="91" t="str">
        <f t="shared" si="21"/>
      </c>
      <c r="CG222" s="91" t="str">
        <f t="shared" si="21"/>
      </c>
      <c r="CH222" s="91" t="str">
        <f t="shared" si="21"/>
      </c>
      <c r="CI222" s="91" t="str">
        <f t="shared" si="21"/>
      </c>
      <c r="CJ222" s="91" t="str">
        <f t="shared" si="21"/>
      </c>
      <c r="CK222" s="91" t="str">
        <f t="shared" si="21"/>
      </c>
      <c r="CL222" s="91" t="str">
        <f t="shared" si="21"/>
      </c>
      <c r="CM222" s="91" t="str">
        <f t="shared" si="21"/>
      </c>
      <c r="CN222" s="91" t="str">
        <f t="shared" si="21"/>
      </c>
      <c r="CO222" s="91" t="str">
        <f ref="CO222:EZ222" t="shared" si="22">IF(SUM(CO203:CO221)&lt;&gt;0,SUM(CO203:CO221),"")</f>
      </c>
      <c r="CP222" s="91" t="str">
        <f t="shared" si="22"/>
      </c>
      <c r="CQ222" s="91" t="str">
        <f t="shared" si="22"/>
      </c>
      <c r="CR222" s="91" t="str">
        <f t="shared" si="22"/>
      </c>
      <c r="CS222" s="91" t="str">
        <f t="shared" si="22"/>
      </c>
      <c r="CT222" s="91" t="str">
        <f t="shared" si="22"/>
      </c>
      <c r="CU222" s="91" t="str">
        <f t="shared" si="22"/>
      </c>
      <c r="CV222" s="91" t="str">
        <f t="shared" si="22"/>
      </c>
      <c r="CW222" s="91" t="str">
        <f t="shared" si="22"/>
      </c>
      <c r="CX222" s="91" t="str">
        <f t="shared" si="22"/>
      </c>
      <c r="CY222" s="91" t="str">
        <f t="shared" si="22"/>
      </c>
      <c r="CZ222" s="91" t="str">
        <f t="shared" si="22"/>
      </c>
      <c r="DA222" s="91" t="str">
        <f t="shared" si="22"/>
      </c>
      <c r="DB222" s="91" t="str">
        <f t="shared" si="22"/>
      </c>
      <c r="DC222" s="91" t="str">
        <f t="shared" si="22"/>
      </c>
      <c r="DD222" s="91" t="str">
        <f t="shared" si="22"/>
      </c>
      <c r="DE222" s="91" t="str">
        <f t="shared" si="22"/>
      </c>
      <c r="DF222" s="91" t="str">
        <f t="shared" si="22"/>
      </c>
      <c r="DG222" s="91" t="str">
        <f t="shared" si="22"/>
      </c>
      <c r="DH222" s="91" t="str">
        <f t="shared" si="22"/>
      </c>
      <c r="DI222" s="91" t="str">
        <f t="shared" si="22"/>
      </c>
      <c r="DJ222" s="91" t="str">
        <f t="shared" si="22"/>
      </c>
      <c r="DK222" s="91" t="str">
        <f t="shared" si="22"/>
      </c>
      <c r="DL222" s="91" t="str">
        <f t="shared" si="22"/>
      </c>
      <c r="DM222" s="91" t="str">
        <f t="shared" si="22"/>
      </c>
      <c r="DN222" s="91" t="str">
        <f t="shared" si="22"/>
      </c>
      <c r="DO222" s="91" t="str">
        <f t="shared" si="22"/>
      </c>
      <c r="DP222" s="91" t="str">
        <f t="shared" si="22"/>
      </c>
      <c r="DQ222" s="91" t="str">
        <f t="shared" si="22"/>
      </c>
      <c r="DR222" s="91" t="str">
        <f t="shared" si="22"/>
      </c>
      <c r="DS222" s="91" t="str">
        <f t="shared" si="22"/>
      </c>
      <c r="DT222" s="91" t="str">
        <f t="shared" si="22"/>
      </c>
      <c r="DU222" s="91" t="str">
        <f t="shared" si="22"/>
      </c>
      <c r="DV222" s="91" t="str">
        <f t="shared" si="22"/>
      </c>
      <c r="DW222" s="91" t="str">
        <f t="shared" si="22"/>
      </c>
      <c r="DX222" s="91" t="str">
        <f t="shared" si="22"/>
      </c>
      <c r="DY222" s="91" t="str">
        <f t="shared" si="22"/>
      </c>
      <c r="DZ222" s="91" t="str">
        <f t="shared" si="22"/>
      </c>
      <c r="EA222" s="91" t="str">
        <f t="shared" si="22"/>
      </c>
      <c r="EB222" s="91" t="str">
        <f t="shared" si="22"/>
      </c>
      <c r="EC222" s="91" t="str">
        <f t="shared" si="22"/>
      </c>
      <c r="ED222" s="91" t="str">
        <f t="shared" si="22"/>
      </c>
      <c r="EE222" s="91" t="str">
        <f t="shared" si="22"/>
      </c>
      <c r="EF222" s="91" t="str">
        <f t="shared" si="22"/>
      </c>
      <c r="EG222" s="91" t="str">
        <f t="shared" si="22"/>
      </c>
      <c r="EH222" s="91" t="str">
        <f t="shared" si="22"/>
      </c>
      <c r="EI222" s="91" t="str">
        <f t="shared" si="22"/>
      </c>
      <c r="EJ222" s="91" t="str">
        <f t="shared" si="22"/>
      </c>
      <c r="EK222" s="91" t="str">
        <f t="shared" si="22"/>
      </c>
      <c r="EL222" s="91" t="str">
        <f t="shared" si="22"/>
      </c>
      <c r="EM222" s="91" t="str">
        <f t="shared" si="22"/>
      </c>
      <c r="EN222" s="91" t="str">
        <f t="shared" si="22"/>
      </c>
      <c r="EO222" s="91" t="str">
        <f t="shared" si="22"/>
      </c>
      <c r="EP222" s="91" t="str">
        <f t="shared" si="22"/>
      </c>
      <c r="EQ222" s="91" t="str">
        <f t="shared" si="22"/>
      </c>
      <c r="ER222" s="91" t="str">
        <f t="shared" si="22"/>
      </c>
      <c r="ES222" s="91" t="str">
        <f t="shared" si="22"/>
      </c>
      <c r="ET222" s="91" t="str">
        <f t="shared" si="22"/>
      </c>
      <c r="EU222" s="91" t="str">
        <f t="shared" si="22"/>
      </c>
      <c r="EV222" s="91" t="str">
        <f t="shared" si="22"/>
      </c>
      <c r="EW222" s="91" t="str">
        <f t="shared" si="22"/>
      </c>
      <c r="EX222" s="91" t="str">
        <f t="shared" si="22"/>
      </c>
      <c r="EY222" s="91" t="str">
        <f t="shared" si="22"/>
      </c>
      <c r="EZ222" s="91" t="str">
        <f t="shared" si="22"/>
      </c>
      <c r="FA222" s="91" t="str">
        <f ref="FA222:HL222" t="shared" si="23">IF(SUM(FA203:FA221)&lt;&gt;0,SUM(FA203:FA221),"")</f>
      </c>
      <c r="FB222" s="91" t="str">
        <f t="shared" si="23"/>
      </c>
      <c r="FC222" s="91" t="str">
        <f t="shared" si="23"/>
      </c>
      <c r="FD222" s="91" t="str">
        <f t="shared" si="23"/>
      </c>
      <c r="FE222" s="91" t="str">
        <f t="shared" si="23"/>
      </c>
      <c r="FF222" s="91" t="str">
        <f t="shared" si="23"/>
      </c>
      <c r="FG222" s="91" t="str">
        <f t="shared" si="23"/>
      </c>
      <c r="FH222" s="91" t="str">
        <f t="shared" si="23"/>
      </c>
      <c r="FI222" s="91" t="str">
        <f t="shared" si="23"/>
      </c>
      <c r="FJ222" s="91" t="str">
        <f t="shared" si="23"/>
      </c>
      <c r="FK222" s="91" t="str">
        <f t="shared" si="23"/>
      </c>
      <c r="FL222" s="91" t="str">
        <f t="shared" si="23"/>
      </c>
      <c r="FM222" s="91" t="str">
        <f t="shared" si="23"/>
      </c>
      <c r="FN222" s="91" t="str">
        <f t="shared" si="23"/>
      </c>
      <c r="FO222" s="91" t="str">
        <f t="shared" si="23"/>
      </c>
      <c r="FP222" s="91" t="str">
        <f t="shared" si="23"/>
      </c>
      <c r="FQ222" s="91" t="str">
        <f t="shared" si="23"/>
      </c>
      <c r="FR222" s="91" t="str">
        <f t="shared" si="23"/>
      </c>
      <c r="FS222" s="91" t="str">
        <f t="shared" si="23"/>
      </c>
      <c r="FT222" s="91" t="str">
        <f t="shared" si="23"/>
      </c>
      <c r="FU222" s="91" t="str">
        <f t="shared" si="23"/>
      </c>
      <c r="FV222" s="91" t="str">
        <f t="shared" si="23"/>
      </c>
      <c r="FW222" s="91" t="str">
        <f t="shared" si="23"/>
      </c>
      <c r="FX222" s="91" t="str">
        <f t="shared" si="23"/>
      </c>
      <c r="FY222" s="91" t="str">
        <f t="shared" si="23"/>
      </c>
      <c r="FZ222" s="91" t="str">
        <f t="shared" si="23"/>
      </c>
      <c r="GA222" s="91" t="str">
        <f t="shared" si="23"/>
      </c>
      <c r="GB222" s="91" t="str">
        <f t="shared" si="23"/>
      </c>
      <c r="GC222" s="91" t="str">
        <f t="shared" si="23"/>
      </c>
      <c r="GD222" s="91" t="str">
        <f t="shared" si="23"/>
      </c>
      <c r="GE222" s="91" t="str">
        <f t="shared" si="23"/>
      </c>
      <c r="GF222" s="91" t="str">
        <f t="shared" si="23"/>
      </c>
      <c r="GG222" s="91" t="str">
        <f t="shared" si="23"/>
      </c>
      <c r="GH222" s="91" t="str">
        <f t="shared" si="23"/>
      </c>
      <c r="GI222" s="91" t="str">
        <f t="shared" si="23"/>
      </c>
      <c r="GJ222" s="91" t="str">
        <f t="shared" si="23"/>
      </c>
      <c r="GK222" s="91" t="str">
        <f t="shared" si="23"/>
      </c>
      <c r="GL222" s="91" t="str">
        <f t="shared" si="23"/>
      </c>
      <c r="GM222" s="91" t="str">
        <f t="shared" si="23"/>
      </c>
      <c r="GN222" s="91" t="str">
        <f t="shared" si="23"/>
      </c>
      <c r="GO222" s="91" t="str">
        <f t="shared" si="23"/>
      </c>
      <c r="GP222" s="91" t="str">
        <f t="shared" si="23"/>
      </c>
      <c r="GQ222" s="91" t="str">
        <f t="shared" si="23"/>
      </c>
      <c r="GR222" s="91" t="str">
        <f t="shared" si="23"/>
      </c>
      <c r="GS222" s="91" t="str">
        <f t="shared" si="23"/>
      </c>
      <c r="GT222" s="91" t="str">
        <f t="shared" si="23"/>
      </c>
      <c r="GU222" s="91" t="str">
        <f t="shared" si="23"/>
      </c>
      <c r="GV222" s="91" t="str">
        <f t="shared" si="23"/>
      </c>
      <c r="GW222" s="91" t="str">
        <f t="shared" si="23"/>
      </c>
      <c r="GX222" s="91" t="str">
        <f t="shared" si="23"/>
      </c>
      <c r="GY222" s="91" t="str">
        <f t="shared" si="23"/>
      </c>
      <c r="GZ222" s="91" t="str">
        <f t="shared" si="23"/>
      </c>
      <c r="HA222" s="91" t="str">
        <f t="shared" si="23"/>
      </c>
      <c r="HB222" s="91" t="str">
        <f t="shared" si="23"/>
      </c>
      <c r="HC222" s="91" t="str">
        <f t="shared" si="23"/>
      </c>
      <c r="HD222" s="91" t="str">
        <f t="shared" si="23"/>
      </c>
      <c r="HE222" s="91" t="str">
        <f t="shared" si="23"/>
      </c>
      <c r="HF222" s="91" t="str">
        <f t="shared" si="23"/>
      </c>
      <c r="HG222" s="91" t="str">
        <f t="shared" si="23"/>
      </c>
      <c r="HH222" s="91" t="str">
        <f t="shared" si="23"/>
      </c>
      <c r="HI222" s="91" t="str">
        <f t="shared" si="23"/>
      </c>
      <c r="HJ222" s="91" t="str">
        <f t="shared" si="23"/>
      </c>
      <c r="HK222" s="91" t="str">
        <f t="shared" si="23"/>
      </c>
      <c r="HL222" s="91" t="str">
        <f t="shared" si="23"/>
      </c>
      <c r="HM222" s="91" t="str">
        <f ref="HM222:IV222" t="shared" si="24">IF(SUM(HM203:HM221)&lt;&gt;0,SUM(HM203:HM221),"")</f>
      </c>
      <c r="HN222" s="91" t="str">
        <f t="shared" si="24"/>
      </c>
      <c r="HO222" s="91" t="str">
        <f t="shared" si="24"/>
      </c>
      <c r="HP222" s="91" t="str">
        <f t="shared" si="24"/>
      </c>
      <c r="HQ222" s="91" t="str">
        <f t="shared" si="24"/>
      </c>
      <c r="HR222" s="91" t="str">
        <f t="shared" si="24"/>
      </c>
      <c r="HS222" s="91" t="str">
        <f t="shared" si="24"/>
      </c>
      <c r="HT222" s="91" t="str">
        <f t="shared" si="24"/>
      </c>
      <c r="HU222" s="91" t="str">
        <f t="shared" si="24"/>
      </c>
      <c r="HV222" s="91" t="str">
        <f t="shared" si="24"/>
      </c>
      <c r="HW222" s="91" t="str">
        <f t="shared" si="24"/>
      </c>
      <c r="HX222" s="91" t="str">
        <f t="shared" si="24"/>
      </c>
      <c r="HY222" s="91" t="str">
        <f t="shared" si="24"/>
      </c>
      <c r="HZ222" s="91" t="str">
        <f t="shared" si="24"/>
      </c>
      <c r="IA222" s="91" t="str">
        <f t="shared" si="24"/>
      </c>
      <c r="IB222" s="91" t="str">
        <f t="shared" si="24"/>
      </c>
      <c r="IC222" s="91" t="str">
        <f t="shared" si="24"/>
      </c>
      <c r="ID222" s="91" t="str">
        <f t="shared" si="24"/>
      </c>
      <c r="IE222" s="91" t="str">
        <f t="shared" si="24"/>
      </c>
      <c r="IF222" s="91" t="str">
        <f t="shared" si="24"/>
      </c>
      <c r="IG222" s="91" t="str">
        <f t="shared" si="24"/>
      </c>
      <c r="IH222" s="91" t="str">
        <f t="shared" si="24"/>
      </c>
      <c r="II222" s="91" t="str">
        <f t="shared" si="24"/>
      </c>
      <c r="IJ222" s="91" t="str">
        <f t="shared" si="24"/>
      </c>
      <c r="IK222" s="91" t="str">
        <f t="shared" si="24"/>
      </c>
      <c r="IL222" s="91" t="str">
        <f t="shared" si="24"/>
      </c>
      <c r="IM222" s="91" t="str">
        <f t="shared" si="24"/>
      </c>
      <c r="IN222" s="91" t="str">
        <f t="shared" si="24"/>
      </c>
      <c r="IO222" s="91" t="str">
        <f t="shared" si="24"/>
      </c>
      <c r="IP222" s="91" t="str">
        <f t="shared" si="24"/>
      </c>
      <c r="IQ222" s="91" t="str">
        <f t="shared" si="24"/>
      </c>
      <c r="IR222" s="91" t="str">
        <f t="shared" si="24"/>
      </c>
      <c r="IS222" s="91" t="str">
        <f t="shared" si="24"/>
      </c>
      <c r="IT222" s="91" t="str">
        <f t="shared" si="24"/>
      </c>
      <c r="IU222" s="91" t="str">
        <f t="shared" si="24"/>
      </c>
      <c r="IV222" s="91" t="str">
        <f t="shared" si="24"/>
      </c>
    </row>
    <row r="223" hidden="1"/>
    <row r="224" hidden="1"/>
    <row r="225" hidden="1" ht="13.5"/>
    <row r="226" hidden="1" ht="15.75" customHeight="1">
      <c r="C226" s="686" t="s">
        <v>115</v>
      </c>
      <c r="D226" s="687"/>
      <c r="E226" s="687"/>
      <c r="F226" s="687"/>
      <c r="G226" s="687"/>
      <c r="H226" s="687"/>
      <c r="I226" s="687"/>
      <c r="J226" s="687"/>
      <c r="K226" s="687"/>
      <c r="L226" s="687"/>
      <c r="M226" s="687"/>
      <c r="N226" s="687"/>
      <c r="O226" s="687"/>
      <c r="P226" s="687"/>
      <c r="Q226" s="687"/>
      <c r="R226" s="687"/>
      <c r="S226" s="687"/>
      <c r="T226" s="687"/>
      <c r="U226" s="687"/>
      <c r="V226" s="687"/>
      <c r="W226" s="687"/>
      <c r="X226" s="687"/>
      <c r="Y226" s="687"/>
      <c r="Z226" s="687"/>
      <c r="AA226" s="687"/>
      <c r="AB226" s="688"/>
    </row>
    <row r="227" hidden="1" ht="15" customHeight="1">
      <c r="C227" s="435" t="str">
        <f> IF(C247&lt;&gt;"",TEXT(AUX!G$1,"dd-MMM-aa"),"")</f>
      </c>
      <c r="D227" s="435" t="str">
        <f> IF(D247&lt;&gt;"",TEXT(AUX!H$1,"dd-MMM-aa"),"")</f>
      </c>
      <c r="E227" s="435" t="str">
        <f> IF(E247&lt;&gt;"",TEXT(AUX!I$1,"dd-MMM-aa"),"")</f>
      </c>
      <c r="F227" s="435" t="str">
        <f> IF(F247&lt;&gt;"",TEXT(AUX!J$1,"dd-MMM-aa"),"")</f>
      </c>
      <c r="G227" s="435" t="str">
        <f> IF(G247&lt;&gt;"",TEXT(AUX!K$1,"dd-MMM-aa"),"")</f>
      </c>
      <c r="H227" s="435" t="str">
        <f> IF(H247&lt;&gt;"",TEXT(AUX!L$1,"dd-MMM-aa"),"")</f>
      </c>
      <c r="I227" s="435" t="str">
        <f> IF(I247&lt;&gt;"",TEXT(AUX!M$1,"dd-MMM-aa"),"")</f>
      </c>
      <c r="J227" s="435" t="str">
        <f> IF(J247&lt;&gt;"",TEXT(AUX!N$1,"dd-MMM-aa"),"")</f>
      </c>
      <c r="K227" s="435" t="str">
        <f> IF(K247&lt;&gt;"",TEXT(AUX!O$1,"dd-MMM-aa"),"")</f>
      </c>
      <c r="L227" s="435" t="str">
        <f> IF(L247&lt;&gt;"",TEXT(AUX!P$1,"dd-MMM-aa"),"")</f>
      </c>
      <c r="M227" s="435" t="str">
        <f> IF(M247&lt;&gt;"",TEXT(AUX!Q$1,"dd-MMM-aa"),"")</f>
      </c>
      <c r="N227" s="435" t="str">
        <f> IF(N247&lt;&gt;"",TEXT(AUX!R$1,"dd-MMM-aa"),"")</f>
      </c>
      <c r="O227" s="435" t="str">
        <f> IF(O247&lt;&gt;"",TEXT(AUX!S$1,"dd-MMM-aa"),"")</f>
      </c>
      <c r="P227" s="435" t="str">
        <f> IF(P247&lt;&gt;"",TEXT(AUX!T$1,"dd-MMM-aa"),"")</f>
      </c>
      <c r="Q227" s="435" t="str">
        <f> IF(Q247&lt;&gt;"",TEXT(AUX!U$1,"dd-MMM-aa"),"")</f>
      </c>
      <c r="R227" s="435" t="str">
        <f> IF(R247&lt;&gt;"",TEXT(AUX!V$1,"dd-MMM-aa"),"")</f>
      </c>
      <c r="S227" s="435" t="str">
        <f> IF(S247&lt;&gt;"",TEXT(AUX!W$1,"dd-MMM-aa"),"")</f>
      </c>
      <c r="T227" s="435" t="str">
        <f> IF(T247&lt;&gt;"",TEXT(AUX!X$1,"dd-MMM-aa"),"")</f>
      </c>
      <c r="U227" s="435" t="str">
        <f> IF(U247&lt;&gt;"",TEXT(AUX!Y$1,"dd-MMM-aa"),"")</f>
      </c>
      <c r="V227" s="435" t="str">
        <f> IF(V247&lt;&gt;"",TEXT(AUX!Z$1,"dd-MMM-aa"),"")</f>
      </c>
      <c r="W227" s="435" t="str">
        <f> IF(W247&lt;&gt;"",TEXT(AUX!AA$1,"dd-MMM-aa"),"")</f>
      </c>
      <c r="X227" s="435" t="str">
        <f> IF(X247&lt;&gt;"",TEXT(AUX!AB$1,"dd-MMM-aa"),"")</f>
      </c>
      <c r="Y227" s="435" t="str">
        <f> IF(Y247&lt;&gt;"",TEXT(AUX!AC$1,"dd-MMM-aa"),"")</f>
      </c>
      <c r="Z227" s="435" t="str">
        <f> IF(Z247&lt;&gt;"",TEXT(AUX!AD$1,"dd-MMM-aa"),"")</f>
      </c>
      <c r="AA227" s="435" t="str">
        <f> IF(AA247&lt;&gt;"",TEXT(AUX!AE$1,"dd-MMM-aa"),"")</f>
      </c>
      <c r="AB227" s="497" t="str">
        <f> IF(AB247&lt;&gt;"",TEXT(AUX!AF$1,"dd-MMM-aa"),"")</f>
      </c>
      <c r="AC227" s="496" t="str">
        <f> IF(AC247&lt;&gt;"",TEXT(AUX!AG$1,"dd-MMM-aa"),"")</f>
      </c>
      <c r="AD227" s="496" t="str">
        <f> IF(AD247&lt;&gt;"",TEXT(AUX!AH$1,"dd-MMM-aa"),"")</f>
      </c>
      <c r="AE227" s="496" t="str">
        <f> IF(AE247&lt;&gt;"",TEXT(AUX!AI$1,"dd-MMM-aa"),"")</f>
      </c>
      <c r="AF227" s="496" t="str">
        <f> IF(AF247&lt;&gt;"",TEXT(AUX!AJ$1,"dd-MMM-aa"),"")</f>
      </c>
      <c r="AG227" s="496" t="str">
        <f> IF(AG247&lt;&gt;"",TEXT(AUX!AK$1,"dd-MMM-aa"),"")</f>
      </c>
      <c r="AH227" s="496" t="str">
        <f> IF(AH247&lt;&gt;"",TEXT(AUX!AL$1,"dd-MMM-aa"),"")</f>
      </c>
      <c r="AI227" s="496" t="str">
        <f> IF(AI247&lt;&gt;"",TEXT(AUX!AM$1,"dd-MMM-aa"),"")</f>
      </c>
      <c r="AJ227" s="496" t="str">
        <f> IF(AJ247&lt;&gt;"",TEXT(AUX!AN$1,"dd-MMM-aa"),"")</f>
      </c>
      <c r="AK227" s="496" t="str">
        <f> IF(AK247&lt;&gt;"",TEXT(AUX!AO$1,"dd-MMM-aa"),"")</f>
      </c>
      <c r="AL227" s="496" t="str">
        <f> IF(AL247&lt;&gt;"",TEXT(AUX!AP$1,"dd-MMM-aa"),"")</f>
      </c>
      <c r="AM227" s="496" t="str">
        <f> IF(AM247&lt;&gt;"",TEXT(AUX!AQ$1,"dd-MMM-aa"),"")</f>
      </c>
      <c r="AN227" s="496" t="str">
        <f> IF(AN247&lt;&gt;"",TEXT(AUX!AR$1,"dd-MMM-aa"),"")</f>
      </c>
      <c r="AO227" s="496" t="str">
        <f> IF(AO247&lt;&gt;"",TEXT(AUX!AS$1,"dd-MMM-aa"),"")</f>
      </c>
      <c r="AP227" s="496" t="str">
        <f> IF(AP247&lt;&gt;"",TEXT(AUX!AT$1,"dd-MMM-aa"),"")</f>
      </c>
      <c r="AQ227" s="496" t="str">
        <f> IF(AQ247&lt;&gt;"",TEXT(AUX!AU$1,"dd-MMM-aa"),"")</f>
      </c>
      <c r="AR227" s="496" t="str">
        <f> IF(AR247&lt;&gt;"",TEXT(AUX!AV$1,"dd-MMM-aa"),"")</f>
      </c>
      <c r="AS227" s="496" t="str">
        <f> IF(AS247&lt;&gt;"",TEXT(AUX!AW$1,"dd-MMM-aa"),"")</f>
      </c>
      <c r="AT227" s="496" t="str">
        <f> IF(AT247&lt;&gt;"",TEXT(AUX!AX$1,"dd-MMM-aa"),"")</f>
      </c>
      <c r="AU227" s="496" t="str">
        <f> IF(AU247&lt;&gt;"",TEXT(AUX!AY$1,"dd-MMM-aa"),"")</f>
      </c>
      <c r="AV227" s="496" t="str">
        <f> IF(AV247&lt;&gt;"",TEXT(AUX!AZ$1,"dd-MMM-aa"),"")</f>
      </c>
      <c r="AW227" s="496" t="str">
        <f> IF(AW247&lt;&gt;"",TEXT(AUX!BA$1,"dd-MMM-aa"),"")</f>
      </c>
      <c r="AX227" s="496" t="str">
        <f> IF(AX247&lt;&gt;"",TEXT(AUX!BB$1,"dd-MMM-aa"),"")</f>
      </c>
      <c r="AY227" s="496" t="str">
        <f> IF(AY247&lt;&gt;"",TEXT(AUX!BC$1,"dd-MMM-aa"),"")</f>
      </c>
      <c r="AZ227" s="496" t="str">
        <f> IF(AZ247&lt;&gt;"",TEXT(AUX!BD$1,"dd-MMM-aa"),"")</f>
      </c>
      <c r="BA227" s="496" t="str">
        <f> IF(BA247&lt;&gt;"",TEXT(AUX!BE$1,"dd-MMM-aa"),"")</f>
      </c>
      <c r="BB227" s="496" t="str">
        <f> IF(BB247&lt;&gt;"",TEXT(AUX!BF$1,"dd-MMM-aa"),"")</f>
      </c>
      <c r="BC227" s="496" t="str">
        <f> IF(BC247&lt;&gt;"",TEXT(AUX!BG$1,"dd-MMM-aa"),"")</f>
      </c>
      <c r="BD227" s="496" t="str">
        <f> IF(BD247&lt;&gt;"",TEXT(AUX!BH$1,"dd-MMM-aa"),"")</f>
      </c>
      <c r="BE227" s="496" t="str">
        <f> IF(BE247&lt;&gt;"",TEXT(AUX!BI$1,"dd-MMM-aa"),"")</f>
      </c>
      <c r="BF227" s="496" t="str">
        <f> IF(BF247&lt;&gt;"",TEXT(AUX!BJ$1,"dd-MMM-aa"),"")</f>
      </c>
      <c r="BG227" s="496" t="str">
        <f> IF(BG247&lt;&gt;"",TEXT(AUX!BK$1,"dd-MMM-aa"),"")</f>
      </c>
      <c r="BH227" s="496" t="str">
        <f> IF(BH247&lt;&gt;"",TEXT(AUX!BL$1,"dd-MMM-aa"),"")</f>
      </c>
      <c r="BI227" s="496" t="str">
        <f> IF(BI247&lt;&gt;"",TEXT(AUX!BM$1,"dd-MMM-aa"),"")</f>
      </c>
      <c r="BJ227" s="496" t="str">
        <f> IF(BJ247&lt;&gt;"",TEXT(AUX!BN$1,"dd-MMM-aa"),"")</f>
      </c>
      <c r="BK227" s="496" t="str">
        <f> IF(BK247&lt;&gt;"",TEXT(AUX!BO$1,"dd-MMM-aa"),"")</f>
      </c>
      <c r="BL227" s="496" t="str">
        <f> IF(BL247&lt;&gt;"",TEXT(AUX!BP$1,"dd-MMM-aa"),"")</f>
      </c>
      <c r="BM227" s="496" t="str">
        <f> IF(BM247&lt;&gt;"",TEXT(AUX!BQ$1,"dd-MMM-aa"),"")</f>
      </c>
      <c r="BN227" s="496" t="str">
        <f> IF(BN247&lt;&gt;"",TEXT(AUX!BR$1,"dd-MMM-aa"),"")</f>
      </c>
      <c r="BO227" s="496" t="str">
        <f> IF(BO247&lt;&gt;"",TEXT(AUX!BS$1,"dd-MMM-aa"),"")</f>
      </c>
      <c r="BP227" s="496" t="str">
        <f> IF(BP247&lt;&gt;"",TEXT(AUX!BT$1,"dd-MMM-aa"),"")</f>
      </c>
      <c r="BQ227" s="496" t="str">
        <f> IF(BQ247&lt;&gt;"",TEXT(AUX!BU$1,"dd-MMM-aa"),"")</f>
      </c>
      <c r="BR227" s="496" t="str">
        <f> IF(BR247&lt;&gt;"",TEXT(AUX!BV$1,"dd-MMM-aa"),"")</f>
      </c>
      <c r="BS227" s="496" t="str">
        <f> IF(BS247&lt;&gt;"",TEXT(AUX!BW$1,"dd-MMM-aa"),"")</f>
      </c>
      <c r="BT227" s="496" t="str">
        <f> IF(BT247&lt;&gt;"",TEXT(AUX!BX$1,"dd-MMM-aa"),"")</f>
      </c>
      <c r="BU227" s="496" t="str">
        <f> IF(BU247&lt;&gt;"",TEXT(AUX!BY$1,"dd-MMM-aa"),"")</f>
      </c>
      <c r="BV227" s="496" t="str">
        <f> IF(BV247&lt;&gt;"",TEXT(AUX!BZ$1,"dd-MMM-aa"),"")</f>
      </c>
      <c r="BW227" s="496" t="str">
        <f> IF(BW247&lt;&gt;"",TEXT(AUX!CA$1,"dd-MMM-aa"),"")</f>
      </c>
      <c r="BX227" s="496" t="str">
        <f> IF(BX247&lt;&gt;"",TEXT(AUX!CB$1,"dd-MMM-aa"),"")</f>
      </c>
      <c r="BY227" s="496" t="str">
        <f> IF(BY247&lt;&gt;"",TEXT(AUX!CC$1,"dd-MMM-aa"),"")</f>
      </c>
      <c r="BZ227" s="496" t="str">
        <f> IF(BZ247&lt;&gt;"",TEXT(AUX!CD$1,"dd-MMM-aa"),"")</f>
      </c>
      <c r="CA227" s="496" t="str">
        <f> IF(CA247&lt;&gt;"",TEXT(AUX!CE$1,"dd-MMM-aa"),"")</f>
      </c>
      <c r="CB227" s="496" t="str">
        <f> IF(CB247&lt;&gt;"",TEXT(AUX!CF$1,"dd-MMM-aa"),"")</f>
      </c>
      <c r="CC227" s="496" t="str">
        <f> IF(CC247&lt;&gt;"",TEXT(AUX!CG$1,"dd-MMM-aa"),"")</f>
      </c>
      <c r="CD227" s="496" t="str">
        <f> IF(CD247&lt;&gt;"",TEXT(AUX!CH$1,"dd-MMM-aa"),"")</f>
      </c>
      <c r="CE227" s="496" t="str">
        <f> IF(CE247&lt;&gt;"",TEXT(AUX!CI$1,"dd-MMM-aa"),"")</f>
      </c>
      <c r="CF227" s="496" t="str">
        <f> IF(CF247&lt;&gt;"",TEXT(AUX!CJ$1,"dd-MMM-aa"),"")</f>
      </c>
      <c r="CG227" s="496" t="str">
        <f> IF(CG247&lt;&gt;"",TEXT(AUX!CK$1,"dd-MMM-aa"),"")</f>
      </c>
      <c r="CH227" s="496" t="str">
        <f> IF(CH247&lt;&gt;"",TEXT(AUX!CL$1,"dd-MMM-aa"),"")</f>
      </c>
      <c r="CI227" s="496" t="str">
        <f> IF(CI247&lt;&gt;"",TEXT(AUX!CM$1,"dd-MMM-aa"),"")</f>
      </c>
      <c r="CJ227" s="496" t="str">
        <f> IF(CJ247&lt;&gt;"",TEXT(AUX!CN$1,"dd-MMM-aa"),"")</f>
      </c>
      <c r="CK227" s="496" t="str">
        <f> IF(CK247&lt;&gt;"",TEXT(AUX!CO$1,"dd-MMM-aa"),"")</f>
      </c>
      <c r="CL227" s="496" t="str">
        <f> IF(CL247&lt;&gt;"",TEXT(AUX!CP$1,"dd-MMM-aa"),"")</f>
      </c>
      <c r="CM227" s="496" t="str">
        <f> IF(CM247&lt;&gt;"",TEXT(AUX!CQ$1,"dd-MMM-aa"),"")</f>
      </c>
      <c r="CN227" s="496" t="str">
        <f> IF(CN247&lt;&gt;"",TEXT(AUX!CR$1,"dd-MMM-aa"),"")</f>
      </c>
      <c r="CO227" s="496" t="str">
        <f> IF(CO247&lt;&gt;"",TEXT(AUX!CS$1,"dd-MMM-aa"),"")</f>
      </c>
      <c r="CP227" s="496" t="str">
        <f> IF(CP247&lt;&gt;"",TEXT(AUX!CT$1,"dd-MMM-aa"),"")</f>
      </c>
      <c r="CQ227" s="496" t="str">
        <f> IF(CQ247&lt;&gt;"",TEXT(AUX!CU$1,"dd-MMM-aa"),"")</f>
      </c>
      <c r="CR227" s="496" t="str">
        <f> IF(CR247&lt;&gt;"",TEXT(AUX!CV$1,"dd-MMM-aa"),"")</f>
      </c>
      <c r="CS227" s="496" t="str">
        <f> IF(CS247&lt;&gt;"",TEXT(AUX!CW$1,"dd-MMM-aa"),"")</f>
      </c>
      <c r="CT227" s="496" t="str">
        <f> IF(CT247&lt;&gt;"",TEXT(AUX!CX$1,"dd-MMM-aa"),"")</f>
      </c>
      <c r="CU227" s="496" t="str">
        <f> IF(CU247&lt;&gt;"",TEXT(AUX!CY$1,"dd-MMM-aa"),"")</f>
      </c>
      <c r="CV227" s="496" t="str">
        <f> IF(CV247&lt;&gt;"",TEXT(AUX!CZ$1,"dd-MMM-aa"),"")</f>
      </c>
      <c r="CW227" s="496" t="str">
        <f> IF(CW247&lt;&gt;"",TEXT(AUX!DA$1,"dd-MMM-aa"),"")</f>
      </c>
      <c r="CX227" s="496" t="str">
        <f> IF(CX247&lt;&gt;"",TEXT(AUX!DB$1,"dd-MMM-aa"),"")</f>
      </c>
      <c r="CY227" s="496" t="str">
        <f> IF(CY247&lt;&gt;"",TEXT(AUX!DC$1,"dd-MMM-aa"),"")</f>
      </c>
      <c r="CZ227" s="496" t="str">
        <f> IF(CZ247&lt;&gt;"",TEXT(AUX!DD$1,"dd-MMM-aa"),"")</f>
      </c>
      <c r="DA227" s="496" t="str">
        <f> IF(DA247&lt;&gt;"",TEXT(AUX!DE$1,"dd-MMM-aa"),"")</f>
      </c>
      <c r="DB227" s="496" t="str">
        <f> IF(DB247&lt;&gt;"",TEXT(AUX!DF$1,"dd-MMM-aa"),"")</f>
      </c>
      <c r="DC227" s="496" t="str">
        <f> IF(DC247&lt;&gt;"",TEXT(AUX!DG$1,"dd-MMM-aa"),"")</f>
      </c>
      <c r="DD227" s="496" t="str">
        <f> IF(DD247&lt;&gt;"",TEXT(AUX!DH$1,"dd-MMM-aa"),"")</f>
      </c>
      <c r="DE227" s="496" t="str">
        <f> IF(DE247&lt;&gt;"",TEXT(AUX!DI$1,"dd-MMM-aa"),"")</f>
      </c>
      <c r="DF227" s="496" t="str">
        <f> IF(DF247&lt;&gt;"",TEXT(AUX!DJ$1,"dd-MMM-aa"),"")</f>
      </c>
      <c r="DG227" s="496" t="str">
        <f> IF(DG247&lt;&gt;"",TEXT(AUX!DK$1,"dd-MMM-aa"),"")</f>
      </c>
      <c r="DH227" s="496" t="str">
        <f> IF(DH247&lt;&gt;"",TEXT(AUX!DL$1,"dd-MMM-aa"),"")</f>
      </c>
      <c r="DI227" s="496" t="str">
        <f> IF(DI247&lt;&gt;"",TEXT(AUX!DM$1,"dd-MMM-aa"),"")</f>
      </c>
      <c r="DJ227" s="496" t="str">
        <f> IF(DJ247&lt;&gt;"",TEXT(AUX!DN$1,"dd-MMM-aa"),"")</f>
      </c>
      <c r="DK227" s="496" t="str">
        <f> IF(DK247&lt;&gt;"",TEXT(AUX!DO$1,"dd-MMM-aa"),"")</f>
      </c>
      <c r="DL227" s="496" t="str">
        <f> IF(DL247&lt;&gt;"",TEXT(AUX!DP$1,"dd-MMM-aa"),"")</f>
      </c>
      <c r="DM227" s="496" t="str">
        <f> IF(DM247&lt;&gt;"",TEXT(AUX!DQ$1,"dd-MMM-aa"),"")</f>
      </c>
      <c r="DN227" s="496" t="str">
        <f> IF(DN247&lt;&gt;"",TEXT(AUX!DR$1,"dd-MMM-aa"),"")</f>
      </c>
      <c r="DO227" s="496" t="str">
        <f> IF(DO247&lt;&gt;"",TEXT(AUX!DS$1,"dd-MMM-aa"),"")</f>
      </c>
      <c r="DP227" s="496" t="str">
        <f> IF(DP247&lt;&gt;"",TEXT(AUX!DT$1,"dd-MMM-aa"),"")</f>
      </c>
      <c r="DQ227" s="496" t="str">
        <f> IF(DQ247&lt;&gt;"",TEXT(AUX!DU$1,"dd-MMM-aa"),"")</f>
      </c>
      <c r="DR227" s="496" t="str">
        <f> IF(DR247&lt;&gt;"",TEXT(AUX!DV$1,"dd-MMM-aa"),"")</f>
      </c>
      <c r="DS227" s="496" t="str">
        <f> IF(DS247&lt;&gt;"",TEXT(AUX!DW$1,"dd-MMM-aa"),"")</f>
      </c>
      <c r="DT227" s="496" t="str">
        <f> IF(DT247&lt;&gt;"",TEXT(AUX!DX$1,"dd-MMM-aa"),"")</f>
      </c>
      <c r="DU227" s="496" t="str">
        <f> IF(DU247&lt;&gt;"",TEXT(AUX!DY$1,"dd-MMM-aa"),"")</f>
      </c>
      <c r="DV227" s="496" t="str">
        <f> IF(DV247&lt;&gt;"",TEXT(AUX!DZ$1,"dd-MMM-aa"),"")</f>
      </c>
      <c r="DW227" s="496" t="str">
        <f> IF(DW247&lt;&gt;"",TEXT(AUX!EA$1,"dd-MMM-aa"),"")</f>
      </c>
      <c r="DX227" s="496" t="str">
        <f> IF(DX247&lt;&gt;"",TEXT(AUX!EB$1,"dd-MMM-aa"),"")</f>
      </c>
      <c r="DY227" s="496" t="str">
        <f> IF(DY247&lt;&gt;"",TEXT(AUX!EC$1,"dd-MMM-aa"),"")</f>
      </c>
      <c r="DZ227" s="496" t="str">
        <f> IF(DZ247&lt;&gt;"",TEXT(AUX!ED$1,"dd-MMM-aa"),"")</f>
      </c>
      <c r="EA227" s="496" t="str">
        <f> IF(EA247&lt;&gt;"",TEXT(AUX!EE$1,"dd-MMM-aa"),"")</f>
      </c>
      <c r="EB227" s="496" t="str">
        <f> IF(EB247&lt;&gt;"",TEXT(AUX!EF$1,"dd-MMM-aa"),"")</f>
      </c>
      <c r="EC227" s="496" t="str">
        <f> IF(EC247&lt;&gt;"",TEXT(AUX!EG$1,"dd-MMM-aa"),"")</f>
      </c>
      <c r="ED227" s="496" t="str">
        <f> IF(ED247&lt;&gt;"",TEXT(AUX!EH$1,"dd-MMM-aa"),"")</f>
      </c>
      <c r="EE227" s="496" t="str">
        <f> IF(EE247&lt;&gt;"",TEXT(AUX!EI$1,"dd-MMM-aa"),"")</f>
      </c>
      <c r="EF227" s="496" t="str">
        <f> IF(EF247&lt;&gt;"",TEXT(AUX!EJ$1,"dd-MMM-aa"),"")</f>
      </c>
      <c r="EG227" s="496" t="str">
        <f> IF(EG247&lt;&gt;"",TEXT(AUX!EK$1,"dd-MMM-aa"),"")</f>
      </c>
      <c r="EH227" s="496" t="str">
        <f> IF(EH247&lt;&gt;"",TEXT(AUX!EL$1,"dd-MMM-aa"),"")</f>
      </c>
      <c r="EI227" s="496" t="str">
        <f> IF(EI247&lt;&gt;"",TEXT(AUX!EM$1,"dd-MMM-aa"),"")</f>
      </c>
      <c r="EJ227" s="496" t="str">
        <f> IF(EJ247&lt;&gt;"",TEXT(AUX!EN$1,"dd-MMM-aa"),"")</f>
      </c>
      <c r="EK227" s="496" t="str">
        <f> IF(EK247&lt;&gt;"",TEXT(AUX!EO$1,"dd-MMM-aa"),"")</f>
      </c>
      <c r="EL227" s="496" t="str">
        <f> IF(EL247&lt;&gt;"",TEXT(AUX!EP$1,"dd-MMM-aa"),"")</f>
      </c>
      <c r="EM227" s="496" t="str">
        <f> IF(EM247&lt;&gt;"",TEXT(AUX!EQ$1,"dd-MMM-aa"),"")</f>
      </c>
      <c r="EN227" s="496" t="str">
        <f> IF(EN247&lt;&gt;"",TEXT(AUX!ER$1,"dd-MMM-aa"),"")</f>
      </c>
      <c r="EO227" s="496" t="str">
        <f> IF(EO247&lt;&gt;"",TEXT(AUX!ES$1,"dd-MMM-aa"),"")</f>
      </c>
      <c r="EP227" s="496" t="str">
        <f> IF(EP247&lt;&gt;"",TEXT(AUX!ET$1,"dd-MMM-aa"),"")</f>
      </c>
      <c r="EQ227" s="496" t="str">
        <f> IF(EQ247&lt;&gt;"",TEXT(AUX!EU$1,"dd-MMM-aa"),"")</f>
      </c>
      <c r="ER227" s="496" t="str">
        <f> IF(ER247&lt;&gt;"",TEXT(AUX!EV$1,"dd-MMM-aa"),"")</f>
      </c>
      <c r="ES227" s="496" t="str">
        <f> IF(ES247&lt;&gt;"",TEXT(AUX!EW$1,"dd-MMM-aa"),"")</f>
      </c>
      <c r="ET227" s="496" t="str">
        <f> IF(ET247&lt;&gt;"",TEXT(AUX!EX$1,"dd-MMM-aa"),"")</f>
      </c>
      <c r="EU227" s="496" t="str">
        <f> IF(EU247&lt;&gt;"",TEXT(AUX!EY$1,"dd-MMM-aa"),"")</f>
      </c>
      <c r="EV227" s="496" t="str">
        <f> IF(EV247&lt;&gt;"",TEXT(AUX!EZ$1,"dd-MMM-aa"),"")</f>
      </c>
      <c r="EW227" s="496" t="str">
        <f> IF(EW247&lt;&gt;"",TEXT(AUX!FA$1,"dd-MMM-aa"),"")</f>
      </c>
      <c r="EX227" s="496" t="str">
        <f> IF(EX247&lt;&gt;"",TEXT(AUX!FB$1,"dd-MMM-aa"),"")</f>
      </c>
      <c r="EY227" s="496" t="str">
        <f> IF(EY247&lt;&gt;"",TEXT(AUX!FC$1,"dd-MMM-aa"),"")</f>
      </c>
      <c r="EZ227" s="496" t="str">
        <f> IF(EZ247&lt;&gt;"",TEXT(AUX!FD$1,"dd-MMM-aa"),"")</f>
      </c>
      <c r="FA227" s="496" t="str">
        <f> IF(FA247&lt;&gt;"",TEXT(AUX!FE$1,"dd-MMM-aa"),"")</f>
      </c>
      <c r="FB227" s="496" t="str">
        <f> IF(FB247&lt;&gt;"",TEXT(AUX!FF$1,"dd-MMM-aa"),"")</f>
      </c>
      <c r="FC227" s="496" t="str">
        <f> IF(FC247&lt;&gt;"",TEXT(AUX!FG$1,"dd-MMM-aa"),"")</f>
      </c>
      <c r="FD227" s="496" t="str">
        <f> IF(FD247&lt;&gt;"",TEXT(AUX!FH$1,"dd-MMM-aa"),"")</f>
      </c>
      <c r="FE227" s="496" t="str">
        <f> IF(FE247&lt;&gt;"",TEXT(AUX!FI$1,"dd-MMM-aa"),"")</f>
      </c>
      <c r="FF227" s="496" t="str">
        <f> IF(FF247&lt;&gt;"",TEXT(AUX!FJ$1,"dd-MMM-aa"),"")</f>
      </c>
      <c r="FG227" s="496" t="str">
        <f> IF(FG247&lt;&gt;"",TEXT(AUX!FK$1,"dd-MMM-aa"),"")</f>
      </c>
      <c r="FH227" s="496" t="str">
        <f> IF(FH247&lt;&gt;"",TEXT(AUX!FL$1,"dd-MMM-aa"),"")</f>
      </c>
      <c r="FI227" s="496" t="str">
        <f> IF(FI247&lt;&gt;"",TEXT(AUX!FM$1,"dd-MMM-aa"),"")</f>
      </c>
      <c r="FJ227" s="496" t="str">
        <f> IF(FJ247&lt;&gt;"",TEXT(AUX!FN$1,"dd-MMM-aa"),"")</f>
      </c>
      <c r="FK227" s="496" t="str">
        <f> IF(FK247&lt;&gt;"",TEXT(AUX!FO$1,"dd-MMM-aa"),"")</f>
      </c>
      <c r="FL227" s="496" t="str">
        <f> IF(FL247&lt;&gt;"",TEXT(AUX!FP$1,"dd-MMM-aa"),"")</f>
      </c>
      <c r="FM227" s="496" t="str">
        <f> IF(FM247&lt;&gt;"",TEXT(AUX!FQ$1,"dd-MMM-aa"),"")</f>
      </c>
      <c r="FN227" s="496" t="str">
        <f> IF(FN247&lt;&gt;"",TEXT(AUX!FR$1,"dd-MMM-aa"),"")</f>
      </c>
      <c r="FO227" s="496" t="str">
        <f> IF(FO247&lt;&gt;"",TEXT(AUX!FS$1,"dd-MMM-aa"),"")</f>
      </c>
      <c r="FP227" s="496" t="str">
        <f> IF(FP247&lt;&gt;"",TEXT(AUX!FT$1,"dd-MMM-aa"),"")</f>
      </c>
      <c r="FQ227" s="496" t="str">
        <f> IF(FQ247&lt;&gt;"",TEXT(AUX!FU$1,"dd-MMM-aa"),"")</f>
      </c>
      <c r="FR227" s="496" t="str">
        <f> IF(FR247&lt;&gt;"",TEXT(AUX!FV$1,"dd-MMM-aa"),"")</f>
      </c>
      <c r="FS227" s="496" t="str">
        <f> IF(FS247&lt;&gt;"",TEXT(AUX!FW$1,"dd-MMM-aa"),"")</f>
      </c>
      <c r="FT227" s="496" t="str">
        <f> IF(FT247&lt;&gt;"",TEXT(AUX!FX$1,"dd-MMM-aa"),"")</f>
      </c>
      <c r="FU227" s="496" t="str">
        <f> IF(FU247&lt;&gt;"",TEXT(AUX!FY$1,"dd-MMM-aa"),"")</f>
      </c>
      <c r="FV227" s="496" t="str">
        <f> IF(FV247&lt;&gt;"",TEXT(AUX!FZ$1,"dd-MMM-aa"),"")</f>
      </c>
      <c r="FW227" s="496" t="str">
        <f> IF(FW247&lt;&gt;"",TEXT(AUX!GA$1,"dd-MMM-aa"),"")</f>
      </c>
      <c r="FX227" s="496" t="str">
        <f> IF(FX247&lt;&gt;"",TEXT(AUX!GB$1,"dd-MMM-aa"),"")</f>
      </c>
      <c r="FY227" s="496" t="str">
        <f> IF(FY247&lt;&gt;"",TEXT(AUX!GC$1,"dd-MMM-aa"),"")</f>
      </c>
      <c r="FZ227" s="496" t="str">
        <f> IF(FZ247&lt;&gt;"",TEXT(AUX!GD$1,"dd-MMM-aa"),"")</f>
      </c>
      <c r="GA227" s="496" t="str">
        <f> IF(GA247&lt;&gt;"",TEXT(AUX!GE$1,"dd-MMM-aa"),"")</f>
      </c>
      <c r="GB227" s="496" t="str">
        <f> IF(GB247&lt;&gt;"",TEXT(AUX!GF$1,"dd-MMM-aa"),"")</f>
      </c>
      <c r="GC227" s="496" t="str">
        <f> IF(GC247&lt;&gt;"",TEXT(AUX!GG$1,"dd-MMM-aa"),"")</f>
      </c>
      <c r="GD227" s="496" t="str">
        <f> IF(GD247&lt;&gt;"",TEXT(AUX!GH$1,"dd-MMM-aa"),"")</f>
      </c>
      <c r="GE227" s="496" t="str">
        <f> IF(GE247&lt;&gt;"",TEXT(AUX!GI$1,"dd-MMM-aa"),"")</f>
      </c>
      <c r="GF227" s="496" t="str">
        <f> IF(GF247&lt;&gt;"",TEXT(AUX!GJ$1,"dd-MMM-aa"),"")</f>
      </c>
      <c r="GG227" s="496" t="str">
        <f> IF(GG247&lt;&gt;"",TEXT(AUX!GK$1,"dd-MMM-aa"),"")</f>
      </c>
      <c r="GH227" s="496" t="str">
        <f> IF(GH247&lt;&gt;"",TEXT(AUX!GL$1,"dd-MMM-aa"),"")</f>
      </c>
      <c r="GI227" s="496" t="str">
        <f> IF(GI247&lt;&gt;"",TEXT(AUX!GM$1,"dd-MMM-aa"),"")</f>
      </c>
      <c r="GJ227" s="496" t="str">
        <f> IF(GJ247&lt;&gt;"",TEXT(AUX!GN$1,"dd-MMM-aa"),"")</f>
      </c>
      <c r="GK227" s="496" t="str">
        <f> IF(GK247&lt;&gt;"",TEXT(AUX!GO$1,"dd-MMM-aa"),"")</f>
      </c>
      <c r="GL227" s="496" t="str">
        <f> IF(GL247&lt;&gt;"",TEXT(AUX!GP$1,"dd-MMM-aa"),"")</f>
      </c>
      <c r="GM227" s="496" t="str">
        <f> IF(GM247&lt;&gt;"",TEXT(AUX!GQ$1,"dd-MMM-aa"),"")</f>
      </c>
      <c r="GN227" s="496" t="str">
        <f> IF(GN247&lt;&gt;"",TEXT(AUX!GR$1,"dd-MMM-aa"),"")</f>
      </c>
      <c r="GO227" s="496" t="str">
        <f> IF(GO247&lt;&gt;"",TEXT(AUX!GS$1,"dd-MMM-aa"),"")</f>
      </c>
      <c r="GP227" s="496" t="str">
        <f> IF(GP247&lt;&gt;"",TEXT(AUX!GT$1,"dd-MMM-aa"),"")</f>
      </c>
      <c r="GQ227" s="496" t="str">
        <f> IF(GQ247&lt;&gt;"",TEXT(AUX!GU$1,"dd-MMM-aa"),"")</f>
      </c>
      <c r="GR227" s="496" t="str">
        <f> IF(GR247&lt;&gt;"",TEXT(AUX!GV$1,"dd-MMM-aa"),"")</f>
      </c>
      <c r="GS227" s="496" t="str">
        <f> IF(GS247&lt;&gt;"",TEXT(AUX!GW$1,"dd-MMM-aa"),"")</f>
      </c>
      <c r="GT227" s="496" t="str">
        <f> IF(GT247&lt;&gt;"",TEXT(AUX!GX$1,"dd-MMM-aa"),"")</f>
      </c>
      <c r="GU227" s="496" t="str">
        <f> IF(GU247&lt;&gt;"",TEXT(AUX!GY$1,"dd-MMM-aa"),"")</f>
      </c>
      <c r="GV227" s="496" t="str">
        <f> IF(GV247&lt;&gt;"",TEXT(AUX!GZ$1,"dd-MMM-aa"),"")</f>
      </c>
      <c r="GW227" s="496" t="str">
        <f> IF(GW247&lt;&gt;"",TEXT(AUX!HA$1,"dd-MMM-aa"),"")</f>
      </c>
      <c r="GX227" s="496" t="str">
        <f> IF(GX247&lt;&gt;"",TEXT(AUX!HB$1,"dd-MMM-aa"),"")</f>
      </c>
      <c r="GY227" s="496" t="str">
        <f> IF(GY247&lt;&gt;"",TEXT(AUX!HC$1,"dd-MMM-aa"),"")</f>
      </c>
      <c r="GZ227" s="496" t="str">
        <f> IF(GZ247&lt;&gt;"",TEXT(AUX!HD$1,"dd-MMM-aa"),"")</f>
      </c>
      <c r="HA227" s="496" t="str">
        <f> IF(HA247&lt;&gt;"",TEXT(AUX!HE$1,"dd-MMM-aa"),"")</f>
      </c>
      <c r="HB227" s="496" t="str">
        <f> IF(HB247&lt;&gt;"",TEXT(AUX!HF$1,"dd-MMM-aa"),"")</f>
      </c>
      <c r="HC227" s="496" t="str">
        <f> IF(HC247&lt;&gt;"",TEXT(AUX!HG$1,"dd-MMM-aa"),"")</f>
      </c>
      <c r="HD227" s="496" t="str">
        <f> IF(HD247&lt;&gt;"",TEXT(AUX!HH$1,"dd-MMM-aa"),"")</f>
      </c>
      <c r="HE227" s="496" t="str">
        <f> IF(HE247&lt;&gt;"",TEXT(AUX!HI$1,"dd-MMM-aa"),"")</f>
      </c>
      <c r="HF227" s="496" t="str">
        <f> IF(HF247&lt;&gt;"",TEXT(AUX!HJ$1,"dd-MMM-aa"),"")</f>
      </c>
      <c r="HG227" s="496" t="str">
        <f> IF(HG247&lt;&gt;"",TEXT(AUX!HK$1,"dd-MMM-aa"),"")</f>
      </c>
      <c r="HH227" s="496" t="str">
        <f> IF(HH247&lt;&gt;"",TEXT(AUX!HL$1,"dd-MMM-aa"),"")</f>
      </c>
      <c r="HI227" s="496" t="str">
        <f> IF(HI247&lt;&gt;"",TEXT(AUX!HM$1,"dd-MMM-aa"),"")</f>
      </c>
      <c r="HJ227" s="496" t="str">
        <f> IF(HJ247&lt;&gt;"",TEXT(AUX!HN$1,"dd-MMM-aa"),"")</f>
      </c>
      <c r="HK227" s="496" t="str">
        <f> IF(HK247&lt;&gt;"",TEXT(AUX!HO$1,"dd-MMM-aa"),"")</f>
      </c>
      <c r="HL227" s="496" t="str">
        <f> IF(HL247&lt;&gt;"",TEXT(AUX!HP$1,"dd-MMM-aa"),"")</f>
      </c>
      <c r="HM227" s="496" t="str">
        <f> IF(HM247&lt;&gt;"",TEXT(AUX!HQ$1,"dd-MMM-aa"),"")</f>
      </c>
      <c r="HN227" s="496" t="str">
        <f> IF(HN247&lt;&gt;"",TEXT(AUX!HR$1,"dd-MMM-aa"),"")</f>
      </c>
      <c r="HO227" s="496" t="str">
        <f> IF(HO247&lt;&gt;"",TEXT(AUX!HS$1,"dd-MMM-aa"),"")</f>
      </c>
      <c r="HP227" s="496" t="str">
        <f> IF(HP247&lt;&gt;"",TEXT(AUX!HT$1,"dd-MMM-aa"),"")</f>
      </c>
      <c r="HQ227" s="496" t="str">
        <f> IF(HQ247&lt;&gt;"",TEXT(AUX!HU$1,"dd-MMM-aa"),"")</f>
      </c>
      <c r="HR227" s="496" t="str">
        <f> IF(HR247&lt;&gt;"",TEXT(AUX!HV$1,"dd-MMM-aa"),"")</f>
      </c>
      <c r="HS227" s="496" t="str">
        <f> IF(HS247&lt;&gt;"",TEXT(AUX!HW$1,"dd-MMM-aa"),"")</f>
      </c>
      <c r="HT227" s="496" t="str">
        <f> IF(HT247&lt;&gt;"",TEXT(AUX!HX$1,"dd-MMM-aa"),"")</f>
      </c>
      <c r="HU227" s="496" t="str">
        <f> IF(HU247&lt;&gt;"",TEXT(AUX!HY$1,"dd-MMM-aa"),"")</f>
      </c>
      <c r="HV227" s="496" t="str">
        <f> IF(HV247&lt;&gt;"",TEXT(AUX!HZ$1,"dd-MMM-aa"),"")</f>
      </c>
      <c r="HW227" s="496" t="str">
        <f> IF(HW247&lt;&gt;"",TEXT(AUX!IA$1,"dd-MMM-aa"),"")</f>
      </c>
      <c r="HX227" s="496" t="str">
        <f> IF(HX247&lt;&gt;"",TEXT(AUX!IB$1,"dd-MMM-aa"),"")</f>
      </c>
      <c r="HY227" s="496" t="str">
        <f> IF(HY247&lt;&gt;"",TEXT(AUX!IC$1,"dd-MMM-aa"),"")</f>
      </c>
      <c r="HZ227" s="496" t="str">
        <f> IF(HZ247&lt;&gt;"",TEXT(AUX!ID$1,"dd-MMM-aa"),"")</f>
      </c>
      <c r="IA227" s="496" t="str">
        <f> IF(IA247&lt;&gt;"",TEXT(AUX!IE$1,"dd-MMM-aa"),"")</f>
      </c>
      <c r="IB227" s="496" t="str">
        <f> IF(IB247&lt;&gt;"",TEXT(AUX!IF$1,"dd-MMM-aa"),"")</f>
      </c>
      <c r="IC227" s="496" t="str">
        <f> IF(IC247&lt;&gt;"",TEXT(AUX!IG$1,"dd-MMM-aa"),"")</f>
      </c>
      <c r="ID227" s="496" t="str">
        <f> IF(ID247&lt;&gt;"",TEXT(AUX!IH$1,"dd-MMM-aa"),"")</f>
      </c>
      <c r="IE227" s="496" t="str">
        <f> IF(IE247&lt;&gt;"",TEXT(AUX!II$1,"dd-MMM-aa"),"")</f>
      </c>
      <c r="IF227" s="496" t="str">
        <f> IF(IF247&lt;&gt;"",TEXT(AUX!IJ$1,"dd-MMM-aa"),"")</f>
      </c>
      <c r="IG227" s="496" t="str">
        <f> IF(IG247&lt;&gt;"",TEXT(AUX!IK$1,"dd-MMM-aa"),"")</f>
      </c>
      <c r="IH227" s="496" t="str">
        <f> IF(IH247&lt;&gt;"",TEXT(AUX!IL$1,"dd-MMM-aa"),"")</f>
      </c>
      <c r="II227" s="496" t="str">
        <f> IF(II247&lt;&gt;"",TEXT(AUX!IM$1,"dd-MMM-aa"),"")</f>
      </c>
      <c r="IJ227" s="496" t="str">
        <f> IF(IJ247&lt;&gt;"",TEXT(AUX!IN$1,"dd-MMM-aa"),"")</f>
      </c>
      <c r="IK227" s="496" t="str">
        <f> IF(IK247&lt;&gt;"",TEXT(AUX!IO$1,"dd-MMM-aa"),"")</f>
      </c>
      <c r="IL227" s="496" t="str">
        <f> IF(IL247&lt;&gt;"",TEXT(AUX!IP$1,"dd-MMM-aa"),"")</f>
      </c>
      <c r="IM227" s="496" t="str">
        <f> IF(IM247&lt;&gt;"",TEXT(AUX!IQ$1,"dd-MMM-aa"),"")</f>
      </c>
      <c r="IN227" s="496" t="str">
        <f> IF(IN247&lt;&gt;"",TEXT(AUX!IR$1,"dd-MMM-aa"),"")</f>
      </c>
      <c r="IO227" s="496" t="str">
        <f> IF(IO247&lt;&gt;"",TEXT(AUX!IS$1,"dd-MMM-aa"),"")</f>
      </c>
      <c r="IP227" s="496" t="str">
        <f> IF(IP247&lt;&gt;"",TEXT(AUX!IT$1,"dd-MMM-aa"),"")</f>
      </c>
      <c r="IQ227" s="496" t="str">
        <f> IF(IQ247&lt;&gt;"",TEXT(AUX!IU$1,"dd-MMM-aa"),"")</f>
      </c>
      <c r="IR227" s="496" t="str">
        <f> IF(IR247&lt;&gt;"",TEXT(AUX!IV$1,"dd-MMM-aa"),"")</f>
      </c>
      <c r="IS227" s="496" t="str">
        <f> IF(IS247&lt;&gt;"",TEXT(AUX!#REF!,"dd-MMM-aa"),"")</f>
      </c>
      <c r="IT227" s="496" t="str">
        <f> IF(IT247&lt;&gt;"",TEXT(AUX!#REF!,"dd-MMM-aa"),"")</f>
      </c>
      <c r="IU227" s="496" t="str">
        <f> IF(IU247&lt;&gt;"",TEXT(AUX!#REF!,"dd-MMM-aa"),"")</f>
      </c>
      <c r="IV227" s="496" t="str">
        <f> IF(IV247&lt;&gt;"",TEXT(AUX!#REF!,"dd-MMM-aa"),"")</f>
      </c>
    </row>
    <row r="228" hidden="1">
      <c r="B228" s="822" t="s">
        <v>8</v>
      </c>
      <c r="C228" s="823">
        <v>1</v>
      </c>
      <c r="D228" s="823">
        <v>1</v>
      </c>
      <c r="E228" s="823">
        <v>1</v>
      </c>
      <c r="F228" s="823">
        <v>1</v>
      </c>
      <c r="G228" s="823">
        <v>1</v>
      </c>
      <c r="H228" s="823">
        <v>2</v>
      </c>
      <c r="I228" s="823">
        <v>1</v>
      </c>
      <c r="J228" s="823">
        <v>2</v>
      </c>
      <c r="K228" s="823">
        <v>2</v>
      </c>
      <c r="L228" s="823">
        <v>2</v>
      </c>
      <c r="M228" s="823">
        <v>2</v>
      </c>
      <c r="N228" s="823">
        <v>1</v>
      </c>
      <c r="O228" s="823">
        <v>1</v>
      </c>
      <c r="P228" s="823">
        <v>1</v>
      </c>
      <c r="Q228" s="823">
        <v>1</v>
      </c>
      <c r="R228" s="823">
        <v>1</v>
      </c>
      <c r="S228" s="823">
        <v>1</v>
      </c>
      <c r="T228" s="823">
        <v>1</v>
      </c>
      <c r="U228" s="823">
        <v>1</v>
      </c>
      <c r="V228" s="823">
        <v>1</v>
      </c>
      <c r="W228" s="823">
        <v>1</v>
      </c>
      <c r="X228" s="823">
        <v>1</v>
      </c>
      <c r="Y228" s="823">
        <v>1</v>
      </c>
      <c r="Z228" s="823">
        <v>1</v>
      </c>
      <c r="AA228" s="823">
        <v>1</v>
      </c>
      <c r="AB228" s="824">
        <v>1</v>
      </c>
      <c r="AC228" s="825">
        <v>1</v>
      </c>
      <c r="AD228" s="825">
        <v>1</v>
      </c>
      <c r="AE228" s="825">
        <v>1</v>
      </c>
      <c r="AF228" s="825">
        <v>1</v>
      </c>
      <c r="AG228" s="825">
        <v>1</v>
      </c>
      <c r="AH228" s="825">
        <v>1</v>
      </c>
      <c r="AI228" s="825">
        <v>1</v>
      </c>
      <c r="AJ228" s="825">
        <v>1</v>
      </c>
      <c r="AK228" s="825">
        <v>1</v>
      </c>
      <c r="AL228" s="825">
        <v>1</v>
      </c>
      <c r="AM228" s="825">
        <v>1</v>
      </c>
      <c r="AN228" s="825">
        <v>1</v>
      </c>
      <c r="AO228" s="825">
        <v>1</v>
      </c>
      <c r="AP228" s="825">
        <v>1</v>
      </c>
    </row>
    <row r="229" hidden="1">
      <c r="B229" s="826" t="s">
        <v>9</v>
      </c>
      <c r="C229" s="827">
        <v>13</v>
      </c>
      <c r="D229" s="827">
        <v>11</v>
      </c>
      <c r="E229" s="827">
        <v>9</v>
      </c>
      <c r="F229" s="827">
        <v>7</v>
      </c>
      <c r="G229" s="827">
        <v>7</v>
      </c>
      <c r="H229" s="827">
        <v>7</v>
      </c>
      <c r="I229" s="827">
        <v>7</v>
      </c>
      <c r="J229" s="827">
        <v>6</v>
      </c>
      <c r="K229" s="827">
        <v>6</v>
      </c>
      <c r="L229" s="827">
        <v>6</v>
      </c>
      <c r="M229" s="827">
        <v>6</v>
      </c>
      <c r="N229" s="827">
        <v>7</v>
      </c>
      <c r="O229" s="827">
        <v>3</v>
      </c>
      <c r="P229" s="827">
        <v>3</v>
      </c>
      <c r="Q229" s="827">
        <v>3</v>
      </c>
      <c r="R229" s="827">
        <v>3</v>
      </c>
      <c r="S229" s="827">
        <v>3</v>
      </c>
      <c r="T229" s="827">
        <v>3</v>
      </c>
      <c r="U229" s="827">
        <v>3</v>
      </c>
      <c r="V229" s="827">
        <v>4</v>
      </c>
      <c r="W229" s="827">
        <v>4</v>
      </c>
      <c r="X229" s="827">
        <v>4</v>
      </c>
      <c r="Y229" s="827">
        <v>4</v>
      </c>
      <c r="Z229" s="827">
        <v>4</v>
      </c>
      <c r="AA229" s="827">
        <v>4</v>
      </c>
      <c r="AB229" s="827">
        <v>4</v>
      </c>
      <c r="AC229" s="828">
        <v>4</v>
      </c>
      <c r="AD229" s="828">
        <v>3</v>
      </c>
      <c r="AE229" s="828">
        <v>3</v>
      </c>
      <c r="AF229" s="828">
        <v>3</v>
      </c>
      <c r="AG229" s="828">
        <v>4</v>
      </c>
      <c r="AH229" s="828">
        <v>4</v>
      </c>
      <c r="AI229" s="828">
        <v>4</v>
      </c>
      <c r="AJ229" s="828">
        <v>4</v>
      </c>
      <c r="AK229" s="828">
        <v>3</v>
      </c>
      <c r="AL229" s="828">
        <v>3</v>
      </c>
      <c r="AM229" s="828">
        <v>2</v>
      </c>
      <c r="AN229" s="828">
        <v>2</v>
      </c>
      <c r="AO229" s="828">
        <v>4</v>
      </c>
      <c r="AP229" s="828">
        <v>4</v>
      </c>
    </row>
    <row r="230" hidden="1">
      <c r="B230" s="829" t="s">
        <v>10</v>
      </c>
      <c r="C230" s="823">
        <v>0</v>
      </c>
      <c r="D230" s="823">
        <v>0</v>
      </c>
      <c r="E230" s="823">
        <v>0</v>
      </c>
      <c r="F230" s="823">
        <v>0</v>
      </c>
      <c r="G230" s="823">
        <v>0</v>
      </c>
      <c r="H230" s="823">
        <v>0</v>
      </c>
      <c r="I230" s="823">
        <v>0</v>
      </c>
      <c r="J230" s="823">
        <v>0</v>
      </c>
      <c r="K230" s="823">
        <v>0</v>
      </c>
      <c r="L230" s="823">
        <v>0</v>
      </c>
      <c r="M230" s="823">
        <v>0</v>
      </c>
      <c r="N230" s="823">
        <v>0</v>
      </c>
      <c r="O230" s="823">
        <v>0</v>
      </c>
      <c r="P230" s="823">
        <v>0</v>
      </c>
      <c r="Q230" s="823">
        <v>0</v>
      </c>
      <c r="R230" s="823">
        <v>0</v>
      </c>
      <c r="S230" s="823">
        <v>0</v>
      </c>
      <c r="T230" s="823">
        <v>0</v>
      </c>
      <c r="U230" s="823">
        <v>0</v>
      </c>
      <c r="V230" s="823">
        <v>0</v>
      </c>
      <c r="W230" s="823">
        <v>0</v>
      </c>
      <c r="X230" s="823">
        <v>0</v>
      </c>
      <c r="Y230" s="823">
        <v>0</v>
      </c>
      <c r="Z230" s="823">
        <v>0</v>
      </c>
      <c r="AA230" s="823">
        <v>0</v>
      </c>
      <c r="AB230" s="823">
        <v>0</v>
      </c>
      <c r="AC230" s="825">
        <v>0</v>
      </c>
      <c r="AD230" s="825">
        <v>0</v>
      </c>
      <c r="AE230" s="825">
        <v>0</v>
      </c>
      <c r="AF230" s="825">
        <v>0</v>
      </c>
      <c r="AG230" s="825">
        <v>0</v>
      </c>
      <c r="AH230" s="825">
        <v>0</v>
      </c>
      <c r="AI230" s="825">
        <v>0</v>
      </c>
      <c r="AJ230" s="825">
        <v>0</v>
      </c>
      <c r="AK230" s="825">
        <v>0</v>
      </c>
      <c r="AL230" s="825">
        <v>0</v>
      </c>
      <c r="AM230" s="825">
        <v>0</v>
      </c>
      <c r="AN230" s="825">
        <v>0</v>
      </c>
      <c r="AO230" s="825">
        <v>0</v>
      </c>
      <c r="AP230" s="825">
        <v>0</v>
      </c>
    </row>
    <row r="231" hidden="1">
      <c r="B231" s="826" t="s">
        <v>11</v>
      </c>
      <c r="C231" s="827">
        <v>41</v>
      </c>
      <c r="D231" s="827">
        <v>39</v>
      </c>
      <c r="E231" s="827">
        <v>47</v>
      </c>
      <c r="F231" s="827">
        <v>46</v>
      </c>
      <c r="G231" s="827">
        <v>12</v>
      </c>
      <c r="H231" s="827">
        <v>12</v>
      </c>
      <c r="I231" s="827">
        <v>15</v>
      </c>
      <c r="J231" s="827">
        <v>10</v>
      </c>
      <c r="K231" s="827">
        <v>2</v>
      </c>
      <c r="L231" s="827">
        <v>1</v>
      </c>
      <c r="M231" s="827">
        <v>1</v>
      </c>
      <c r="N231" s="827">
        <v>0</v>
      </c>
      <c r="O231" s="827">
        <v>0</v>
      </c>
      <c r="P231" s="827">
        <v>0</v>
      </c>
      <c r="Q231" s="827">
        <v>0</v>
      </c>
      <c r="R231" s="827">
        <v>0</v>
      </c>
      <c r="S231" s="827">
        <v>0</v>
      </c>
      <c r="T231" s="827">
        <v>0</v>
      </c>
      <c r="U231" s="827">
        <v>1</v>
      </c>
      <c r="V231" s="827">
        <v>1</v>
      </c>
      <c r="W231" s="827">
        <v>1</v>
      </c>
      <c r="X231" s="827">
        <v>1</v>
      </c>
      <c r="Y231" s="827">
        <v>0</v>
      </c>
      <c r="Z231" s="827">
        <v>0</v>
      </c>
      <c r="AA231" s="827">
        <v>0</v>
      </c>
      <c r="AB231" s="827">
        <v>0</v>
      </c>
      <c r="AC231" s="828">
        <v>0</v>
      </c>
      <c r="AD231" s="828">
        <v>0</v>
      </c>
      <c r="AE231" s="828">
        <v>1</v>
      </c>
      <c r="AF231" s="828">
        <v>1</v>
      </c>
      <c r="AG231" s="828">
        <v>1</v>
      </c>
      <c r="AH231" s="828">
        <v>1</v>
      </c>
      <c r="AI231" s="828">
        <v>1</v>
      </c>
      <c r="AJ231" s="828">
        <v>1</v>
      </c>
      <c r="AK231" s="828">
        <v>1</v>
      </c>
      <c r="AL231" s="828">
        <v>1</v>
      </c>
      <c r="AM231" s="828">
        <v>1</v>
      </c>
      <c r="AN231" s="828">
        <v>1</v>
      </c>
      <c r="AO231" s="828">
        <v>1</v>
      </c>
      <c r="AP231" s="828">
        <v>1</v>
      </c>
    </row>
    <row r="232" hidden="1">
      <c r="B232" s="829" t="s">
        <v>12</v>
      </c>
      <c r="C232" s="823">
        <v>2</v>
      </c>
      <c r="D232" s="823">
        <v>2</v>
      </c>
      <c r="E232" s="823">
        <v>3</v>
      </c>
      <c r="F232" s="823">
        <v>3</v>
      </c>
      <c r="G232" s="823">
        <v>3</v>
      </c>
      <c r="H232" s="823">
        <v>3</v>
      </c>
      <c r="I232" s="823">
        <v>6</v>
      </c>
      <c r="J232" s="823">
        <v>4</v>
      </c>
      <c r="K232" s="823">
        <v>4</v>
      </c>
      <c r="L232" s="823">
        <v>4</v>
      </c>
      <c r="M232" s="823">
        <v>2</v>
      </c>
      <c r="N232" s="823">
        <v>3</v>
      </c>
      <c r="O232" s="823">
        <v>4</v>
      </c>
      <c r="P232" s="823">
        <v>4</v>
      </c>
      <c r="Q232" s="823">
        <v>4</v>
      </c>
      <c r="R232" s="823">
        <v>4</v>
      </c>
      <c r="S232" s="823">
        <v>4</v>
      </c>
      <c r="T232" s="823">
        <v>4</v>
      </c>
      <c r="U232" s="823">
        <v>4</v>
      </c>
      <c r="V232" s="823">
        <v>4</v>
      </c>
      <c r="W232" s="823">
        <v>4</v>
      </c>
      <c r="X232" s="823">
        <v>4</v>
      </c>
      <c r="Y232" s="823">
        <v>3</v>
      </c>
      <c r="Z232" s="823">
        <v>3</v>
      </c>
      <c r="AA232" s="823">
        <v>4</v>
      </c>
      <c r="AB232" s="823">
        <v>5</v>
      </c>
      <c r="AC232" s="825">
        <v>5</v>
      </c>
      <c r="AD232" s="825">
        <v>5</v>
      </c>
      <c r="AE232" s="825">
        <v>3</v>
      </c>
      <c r="AF232" s="825">
        <v>3</v>
      </c>
      <c r="AG232" s="825">
        <v>4</v>
      </c>
      <c r="AH232" s="825">
        <v>4</v>
      </c>
      <c r="AI232" s="825">
        <v>4</v>
      </c>
      <c r="AJ232" s="825">
        <v>4</v>
      </c>
      <c r="AK232" s="825">
        <v>4</v>
      </c>
      <c r="AL232" s="825">
        <v>4</v>
      </c>
      <c r="AM232" s="825">
        <v>4</v>
      </c>
      <c r="AN232" s="825">
        <v>4</v>
      </c>
      <c r="AO232" s="825">
        <v>5</v>
      </c>
      <c r="AP232" s="825">
        <v>5</v>
      </c>
    </row>
    <row r="233" hidden="1">
      <c r="B233" s="826" t="s">
        <v>13</v>
      </c>
      <c r="C233" s="827">
        <v>0</v>
      </c>
      <c r="D233" s="827">
        <v>0</v>
      </c>
      <c r="E233" s="827">
        <v>0</v>
      </c>
      <c r="F233" s="827">
        <v>0</v>
      </c>
      <c r="G233" s="827">
        <v>0</v>
      </c>
      <c r="H233" s="827">
        <v>0</v>
      </c>
      <c r="I233" s="827">
        <v>0</v>
      </c>
      <c r="J233" s="827">
        <v>0</v>
      </c>
      <c r="K233" s="827">
        <v>0</v>
      </c>
      <c r="L233" s="827">
        <v>0</v>
      </c>
      <c r="M233" s="827">
        <v>0</v>
      </c>
      <c r="N233" s="827">
        <v>0</v>
      </c>
      <c r="O233" s="827">
        <v>0</v>
      </c>
      <c r="P233" s="827">
        <v>0</v>
      </c>
      <c r="Q233" s="827">
        <v>0</v>
      </c>
      <c r="R233" s="827">
        <v>0</v>
      </c>
      <c r="S233" s="827">
        <v>0</v>
      </c>
      <c r="T233" s="827">
        <v>0</v>
      </c>
      <c r="U233" s="827">
        <v>0</v>
      </c>
      <c r="V233" s="827">
        <v>0</v>
      </c>
      <c r="W233" s="827">
        <v>0</v>
      </c>
      <c r="X233" s="827">
        <v>0</v>
      </c>
      <c r="Y233" s="827">
        <v>0</v>
      </c>
      <c r="Z233" s="827">
        <v>0</v>
      </c>
      <c r="AA233" s="827">
        <v>0</v>
      </c>
      <c r="AB233" s="827">
        <v>0</v>
      </c>
      <c r="AC233" s="828">
        <v>0</v>
      </c>
      <c r="AD233" s="828">
        <v>0</v>
      </c>
      <c r="AE233" s="828">
        <v>0</v>
      </c>
      <c r="AF233" s="828">
        <v>0</v>
      </c>
      <c r="AG233" s="828">
        <v>0</v>
      </c>
      <c r="AH233" s="828">
        <v>0</v>
      </c>
      <c r="AI233" s="828">
        <v>0</v>
      </c>
      <c r="AJ233" s="828">
        <v>0</v>
      </c>
      <c r="AK233" s="828">
        <v>0</v>
      </c>
      <c r="AL233" s="828">
        <v>0</v>
      </c>
      <c r="AM233" s="828">
        <v>0</v>
      </c>
      <c r="AN233" s="828">
        <v>0</v>
      </c>
      <c r="AO233" s="828">
        <v>0</v>
      </c>
      <c r="AP233" s="828">
        <v>0</v>
      </c>
    </row>
    <row r="234" hidden="1">
      <c r="B234" s="829" t="s">
        <v>109</v>
      </c>
      <c r="C234" s="823">
        <v>66</v>
      </c>
      <c r="D234" s="823">
        <v>63</v>
      </c>
      <c r="E234" s="823">
        <v>30</v>
      </c>
      <c r="F234" s="823">
        <v>27</v>
      </c>
      <c r="G234" s="823">
        <v>26</v>
      </c>
      <c r="H234" s="823">
        <v>24</v>
      </c>
      <c r="I234" s="823">
        <v>20</v>
      </c>
      <c r="J234" s="823">
        <v>20</v>
      </c>
      <c r="K234" s="823">
        <v>19</v>
      </c>
      <c r="L234" s="823">
        <v>18</v>
      </c>
      <c r="M234" s="823">
        <v>17</v>
      </c>
      <c r="N234" s="823">
        <v>17</v>
      </c>
      <c r="O234" s="823">
        <v>15</v>
      </c>
      <c r="P234" s="823">
        <v>16</v>
      </c>
      <c r="Q234" s="823">
        <v>16</v>
      </c>
      <c r="R234" s="823">
        <v>14</v>
      </c>
      <c r="S234" s="823">
        <v>5</v>
      </c>
      <c r="T234" s="823">
        <v>5</v>
      </c>
      <c r="U234" s="823">
        <v>5</v>
      </c>
      <c r="V234" s="823">
        <v>5</v>
      </c>
      <c r="W234" s="823">
        <v>5</v>
      </c>
      <c r="X234" s="823">
        <v>5</v>
      </c>
      <c r="Y234" s="823">
        <v>5</v>
      </c>
      <c r="Z234" s="823">
        <v>6</v>
      </c>
      <c r="AA234" s="823">
        <v>6</v>
      </c>
      <c r="AB234" s="823">
        <v>6</v>
      </c>
      <c r="AC234" s="825">
        <v>6</v>
      </c>
      <c r="AD234" s="825">
        <v>6</v>
      </c>
      <c r="AE234" s="825">
        <v>6</v>
      </c>
      <c r="AF234" s="825">
        <v>6</v>
      </c>
      <c r="AG234" s="825">
        <v>6</v>
      </c>
      <c r="AH234" s="825">
        <v>6</v>
      </c>
      <c r="AI234" s="825">
        <v>4</v>
      </c>
      <c r="AJ234" s="825">
        <v>4</v>
      </c>
      <c r="AK234" s="825">
        <v>4</v>
      </c>
      <c r="AL234" s="825">
        <v>4</v>
      </c>
      <c r="AM234" s="825">
        <v>3</v>
      </c>
      <c r="AN234" s="825">
        <v>3</v>
      </c>
      <c r="AO234" s="825">
        <v>4</v>
      </c>
      <c r="AP234" s="825">
        <v>4</v>
      </c>
    </row>
    <row r="235" hidden="1">
      <c r="B235" s="826" t="s">
        <v>110</v>
      </c>
      <c r="C235" s="827">
        <v>8</v>
      </c>
      <c r="D235" s="827">
        <v>8</v>
      </c>
      <c r="E235" s="827">
        <v>7</v>
      </c>
      <c r="F235" s="827">
        <v>7</v>
      </c>
      <c r="G235" s="827">
        <v>6</v>
      </c>
      <c r="H235" s="827">
        <v>6</v>
      </c>
      <c r="I235" s="827">
        <v>6</v>
      </c>
      <c r="J235" s="827">
        <v>6</v>
      </c>
      <c r="K235" s="827">
        <v>6</v>
      </c>
      <c r="L235" s="827">
        <v>6</v>
      </c>
      <c r="M235" s="827">
        <v>6</v>
      </c>
      <c r="N235" s="827">
        <v>7</v>
      </c>
      <c r="O235" s="827">
        <v>6</v>
      </c>
      <c r="P235" s="827">
        <v>6</v>
      </c>
      <c r="Q235" s="827">
        <v>6</v>
      </c>
      <c r="R235" s="827">
        <v>6</v>
      </c>
      <c r="S235" s="827">
        <v>6</v>
      </c>
      <c r="T235" s="827">
        <v>6</v>
      </c>
      <c r="U235" s="827">
        <v>6</v>
      </c>
      <c r="V235" s="827">
        <v>6</v>
      </c>
      <c r="W235" s="827">
        <v>6</v>
      </c>
      <c r="X235" s="827">
        <v>7</v>
      </c>
      <c r="Y235" s="827">
        <v>6</v>
      </c>
      <c r="Z235" s="827">
        <v>6</v>
      </c>
      <c r="AA235" s="827">
        <v>6</v>
      </c>
      <c r="AB235" s="827">
        <v>6</v>
      </c>
      <c r="AC235" s="828">
        <v>6</v>
      </c>
      <c r="AD235" s="828">
        <v>6</v>
      </c>
      <c r="AE235" s="828">
        <v>6</v>
      </c>
      <c r="AF235" s="828">
        <v>6</v>
      </c>
      <c r="AG235" s="828">
        <v>6</v>
      </c>
      <c r="AH235" s="828">
        <v>6</v>
      </c>
      <c r="AI235" s="828">
        <v>6</v>
      </c>
      <c r="AJ235" s="828">
        <v>4</v>
      </c>
      <c r="AK235" s="828">
        <v>4</v>
      </c>
      <c r="AL235" s="828">
        <v>3</v>
      </c>
      <c r="AM235" s="828">
        <v>3</v>
      </c>
      <c r="AN235" s="828">
        <v>4</v>
      </c>
      <c r="AO235" s="828">
        <v>3</v>
      </c>
      <c r="AP235" s="828">
        <v>3</v>
      </c>
    </row>
    <row r="236" hidden="1">
      <c r="B236" s="829" t="s">
        <v>16</v>
      </c>
      <c r="C236" s="823">
        <v>8</v>
      </c>
      <c r="D236" s="823">
        <v>9</v>
      </c>
      <c r="E236" s="823">
        <v>9</v>
      </c>
      <c r="F236" s="823">
        <v>9</v>
      </c>
      <c r="G236" s="823">
        <v>9</v>
      </c>
      <c r="H236" s="823">
        <v>9</v>
      </c>
      <c r="I236" s="823">
        <v>8</v>
      </c>
      <c r="J236" s="823">
        <v>8</v>
      </c>
      <c r="K236" s="823">
        <v>10</v>
      </c>
      <c r="L236" s="823">
        <v>10</v>
      </c>
      <c r="M236" s="823">
        <v>8</v>
      </c>
      <c r="N236" s="823">
        <v>8</v>
      </c>
      <c r="O236" s="823">
        <v>8</v>
      </c>
      <c r="P236" s="823">
        <v>8</v>
      </c>
      <c r="Q236" s="823">
        <v>7</v>
      </c>
      <c r="R236" s="823">
        <v>8</v>
      </c>
      <c r="S236" s="823">
        <v>8</v>
      </c>
      <c r="T236" s="823">
        <v>8</v>
      </c>
      <c r="U236" s="823">
        <v>7</v>
      </c>
      <c r="V236" s="823">
        <v>7</v>
      </c>
      <c r="W236" s="823">
        <v>7</v>
      </c>
      <c r="X236" s="823">
        <v>7</v>
      </c>
      <c r="Y236" s="823">
        <v>7</v>
      </c>
      <c r="Z236" s="823">
        <v>6</v>
      </c>
      <c r="AA236" s="823">
        <v>6</v>
      </c>
      <c r="AB236" s="823">
        <v>5</v>
      </c>
      <c r="AC236" s="825">
        <v>4</v>
      </c>
      <c r="AD236" s="825">
        <v>4</v>
      </c>
      <c r="AE236" s="825">
        <v>3</v>
      </c>
      <c r="AF236" s="825">
        <v>3</v>
      </c>
      <c r="AG236" s="825">
        <v>3</v>
      </c>
      <c r="AH236" s="825">
        <v>3</v>
      </c>
      <c r="AI236" s="825">
        <v>3</v>
      </c>
      <c r="AJ236" s="825">
        <v>2</v>
      </c>
      <c r="AK236" s="825">
        <v>2</v>
      </c>
      <c r="AL236" s="825">
        <v>2</v>
      </c>
      <c r="AM236" s="825">
        <v>2</v>
      </c>
      <c r="AN236" s="825">
        <v>2</v>
      </c>
      <c r="AO236" s="825">
        <v>2</v>
      </c>
      <c r="AP236" s="825">
        <v>2</v>
      </c>
    </row>
    <row r="237" hidden="1">
      <c r="B237" s="826" t="s">
        <v>17</v>
      </c>
      <c r="C237" s="827">
        <v>0</v>
      </c>
      <c r="D237" s="827">
        <v>0</v>
      </c>
      <c r="E237" s="827">
        <v>1</v>
      </c>
      <c r="F237" s="827">
        <v>1</v>
      </c>
      <c r="G237" s="827">
        <v>1</v>
      </c>
      <c r="H237" s="827">
        <v>1</v>
      </c>
      <c r="I237" s="827">
        <v>1</v>
      </c>
      <c r="J237" s="827">
        <v>5</v>
      </c>
      <c r="K237" s="827">
        <v>5</v>
      </c>
      <c r="L237" s="827">
        <v>6</v>
      </c>
      <c r="M237" s="827">
        <v>6</v>
      </c>
      <c r="N237" s="827">
        <v>6</v>
      </c>
      <c r="O237" s="827">
        <v>6</v>
      </c>
      <c r="P237" s="827">
        <v>6</v>
      </c>
      <c r="Q237" s="827">
        <v>6</v>
      </c>
      <c r="R237" s="827">
        <v>6</v>
      </c>
      <c r="S237" s="827">
        <v>7</v>
      </c>
      <c r="T237" s="827">
        <v>8</v>
      </c>
      <c r="U237" s="827">
        <v>8</v>
      </c>
      <c r="V237" s="827">
        <v>8</v>
      </c>
      <c r="W237" s="827">
        <v>7</v>
      </c>
      <c r="X237" s="827">
        <v>7</v>
      </c>
      <c r="Y237" s="827">
        <v>7</v>
      </c>
      <c r="Z237" s="827">
        <v>9</v>
      </c>
      <c r="AA237" s="827">
        <v>9</v>
      </c>
      <c r="AB237" s="827">
        <v>2</v>
      </c>
      <c r="AC237" s="828">
        <v>2</v>
      </c>
      <c r="AD237" s="828">
        <v>2</v>
      </c>
      <c r="AE237" s="828">
        <v>2</v>
      </c>
      <c r="AF237" s="828">
        <v>2</v>
      </c>
      <c r="AG237" s="828">
        <v>1</v>
      </c>
      <c r="AH237" s="828">
        <v>1</v>
      </c>
      <c r="AI237" s="828">
        <v>1</v>
      </c>
      <c r="AJ237" s="828">
        <v>1</v>
      </c>
      <c r="AK237" s="828">
        <v>1</v>
      </c>
      <c r="AL237" s="828">
        <v>1</v>
      </c>
      <c r="AM237" s="828">
        <v>1</v>
      </c>
      <c r="AN237" s="828">
        <v>1</v>
      </c>
      <c r="AO237" s="828">
        <v>1</v>
      </c>
      <c r="AP237" s="828">
        <v>1</v>
      </c>
    </row>
    <row r="238" hidden="1">
      <c r="B238" s="829" t="s">
        <v>18</v>
      </c>
      <c r="C238" s="823">
        <v>3</v>
      </c>
      <c r="D238" s="823">
        <v>2</v>
      </c>
      <c r="E238" s="823">
        <v>2</v>
      </c>
      <c r="F238" s="823">
        <v>2</v>
      </c>
      <c r="G238" s="823">
        <v>2</v>
      </c>
      <c r="H238" s="823">
        <v>2</v>
      </c>
      <c r="I238" s="823">
        <v>2</v>
      </c>
      <c r="J238" s="823">
        <v>2</v>
      </c>
      <c r="K238" s="823">
        <v>2</v>
      </c>
      <c r="L238" s="823">
        <v>2</v>
      </c>
      <c r="M238" s="823">
        <v>3</v>
      </c>
      <c r="N238" s="823">
        <v>3</v>
      </c>
      <c r="O238" s="823">
        <v>3</v>
      </c>
      <c r="P238" s="823">
        <v>3</v>
      </c>
      <c r="Q238" s="823">
        <v>3</v>
      </c>
      <c r="R238" s="823">
        <v>3</v>
      </c>
      <c r="S238" s="823">
        <v>4</v>
      </c>
      <c r="T238" s="823">
        <v>4</v>
      </c>
      <c r="U238" s="823">
        <v>4</v>
      </c>
      <c r="V238" s="823">
        <v>4</v>
      </c>
      <c r="W238" s="823">
        <v>4</v>
      </c>
      <c r="X238" s="823">
        <v>4</v>
      </c>
      <c r="Y238" s="823">
        <v>4</v>
      </c>
      <c r="Z238" s="823">
        <v>4</v>
      </c>
      <c r="AA238" s="823">
        <v>4</v>
      </c>
      <c r="AB238" s="823">
        <v>4</v>
      </c>
      <c r="AC238" s="825">
        <v>4</v>
      </c>
      <c r="AD238" s="825">
        <v>4</v>
      </c>
      <c r="AE238" s="825">
        <v>4</v>
      </c>
      <c r="AF238" s="825">
        <v>3</v>
      </c>
      <c r="AG238" s="825">
        <v>3</v>
      </c>
      <c r="AH238" s="825">
        <v>3</v>
      </c>
      <c r="AI238" s="825">
        <v>3</v>
      </c>
      <c r="AJ238" s="825">
        <v>3</v>
      </c>
      <c r="AK238" s="825">
        <v>3</v>
      </c>
      <c r="AL238" s="825">
        <v>3</v>
      </c>
      <c r="AM238" s="825">
        <v>3</v>
      </c>
      <c r="AN238" s="825">
        <v>3</v>
      </c>
      <c r="AO238" s="825">
        <v>3</v>
      </c>
      <c r="AP238" s="825">
        <v>3</v>
      </c>
    </row>
    <row r="239" hidden="1">
      <c r="B239" s="826" t="s">
        <v>19</v>
      </c>
      <c r="C239" s="827">
        <v>0</v>
      </c>
      <c r="D239" s="827">
        <v>0</v>
      </c>
      <c r="E239" s="827">
        <v>0</v>
      </c>
      <c r="F239" s="827">
        <v>1</v>
      </c>
      <c r="G239" s="827">
        <v>1</v>
      </c>
      <c r="H239" s="827">
        <v>1</v>
      </c>
      <c r="I239" s="827">
        <v>1</v>
      </c>
      <c r="J239" s="827">
        <v>1</v>
      </c>
      <c r="K239" s="827">
        <v>1</v>
      </c>
      <c r="L239" s="827">
        <v>0</v>
      </c>
      <c r="M239" s="827">
        <v>2</v>
      </c>
      <c r="N239" s="827">
        <v>2</v>
      </c>
      <c r="O239" s="827">
        <v>2</v>
      </c>
      <c r="P239" s="827">
        <v>2</v>
      </c>
      <c r="Q239" s="827">
        <v>1</v>
      </c>
      <c r="R239" s="827">
        <v>1</v>
      </c>
      <c r="S239" s="827">
        <v>1</v>
      </c>
      <c r="T239" s="827">
        <v>2</v>
      </c>
      <c r="U239" s="827">
        <v>2</v>
      </c>
      <c r="V239" s="827">
        <v>2</v>
      </c>
      <c r="W239" s="827">
        <v>1</v>
      </c>
      <c r="X239" s="827">
        <v>1</v>
      </c>
      <c r="Y239" s="827">
        <v>1</v>
      </c>
      <c r="Z239" s="827">
        <v>1</v>
      </c>
      <c r="AA239" s="827">
        <v>1</v>
      </c>
      <c r="AB239" s="827">
        <v>1</v>
      </c>
      <c r="AC239" s="828">
        <v>1</v>
      </c>
      <c r="AD239" s="828">
        <v>1</v>
      </c>
      <c r="AE239" s="828">
        <v>1</v>
      </c>
      <c r="AF239" s="828">
        <v>1</v>
      </c>
      <c r="AG239" s="828">
        <v>0</v>
      </c>
      <c r="AH239" s="828">
        <v>0</v>
      </c>
      <c r="AI239" s="828">
        <v>0</v>
      </c>
      <c r="AJ239" s="828">
        <v>0</v>
      </c>
      <c r="AK239" s="828">
        <v>0</v>
      </c>
      <c r="AL239" s="828">
        <v>0</v>
      </c>
      <c r="AM239" s="828">
        <v>0</v>
      </c>
      <c r="AN239" s="828">
        <v>0</v>
      </c>
      <c r="AO239" s="828">
        <v>0</v>
      </c>
      <c r="AP239" s="828">
        <v>0</v>
      </c>
    </row>
    <row r="240" hidden="1">
      <c r="B240" s="829" t="s">
        <v>20</v>
      </c>
      <c r="C240" s="823">
        <v>0</v>
      </c>
      <c r="D240" s="823">
        <v>0</v>
      </c>
      <c r="E240" s="823">
        <v>0</v>
      </c>
      <c r="F240" s="823">
        <v>0</v>
      </c>
      <c r="G240" s="823">
        <v>0</v>
      </c>
      <c r="H240" s="823">
        <v>0</v>
      </c>
      <c r="I240" s="823">
        <v>0</v>
      </c>
      <c r="J240" s="823">
        <v>0</v>
      </c>
      <c r="K240" s="823">
        <v>0</v>
      </c>
      <c r="L240" s="823">
        <v>0</v>
      </c>
      <c r="M240" s="823">
        <v>0</v>
      </c>
      <c r="N240" s="823">
        <v>1</v>
      </c>
      <c r="O240" s="823">
        <v>1</v>
      </c>
      <c r="P240" s="823">
        <v>1</v>
      </c>
      <c r="Q240" s="823">
        <v>1</v>
      </c>
      <c r="R240" s="823">
        <v>1</v>
      </c>
      <c r="S240" s="823">
        <v>1</v>
      </c>
      <c r="T240" s="823">
        <v>1</v>
      </c>
      <c r="U240" s="823">
        <v>1</v>
      </c>
      <c r="V240" s="823">
        <v>1</v>
      </c>
      <c r="W240" s="823">
        <v>1</v>
      </c>
      <c r="X240" s="823">
        <v>1</v>
      </c>
      <c r="Y240" s="823">
        <v>1</v>
      </c>
      <c r="Z240" s="823">
        <v>1</v>
      </c>
      <c r="AA240" s="823">
        <v>1</v>
      </c>
      <c r="AB240" s="823">
        <v>1</v>
      </c>
      <c r="AC240" s="825">
        <v>1</v>
      </c>
      <c r="AD240" s="825">
        <v>1</v>
      </c>
      <c r="AE240" s="825">
        <v>1</v>
      </c>
      <c r="AF240" s="825">
        <v>1</v>
      </c>
      <c r="AG240" s="825">
        <v>1</v>
      </c>
      <c r="AH240" s="825">
        <v>1</v>
      </c>
      <c r="AI240" s="825">
        <v>1</v>
      </c>
      <c r="AJ240" s="825">
        <v>1</v>
      </c>
      <c r="AK240" s="825">
        <v>1</v>
      </c>
      <c r="AL240" s="825">
        <v>1</v>
      </c>
      <c r="AM240" s="825">
        <v>1</v>
      </c>
      <c r="AN240" s="825">
        <v>1</v>
      </c>
      <c r="AO240" s="825">
        <v>0</v>
      </c>
      <c r="AP240" s="825">
        <v>0</v>
      </c>
    </row>
    <row r="241" hidden="1">
      <c r="B241" s="826" t="s">
        <v>21</v>
      </c>
      <c r="C241" s="827">
        <v>0</v>
      </c>
      <c r="D241" s="827">
        <v>0</v>
      </c>
      <c r="E241" s="827">
        <v>0</v>
      </c>
      <c r="F241" s="827">
        <v>0</v>
      </c>
      <c r="G241" s="827">
        <v>0</v>
      </c>
      <c r="H241" s="827">
        <v>0</v>
      </c>
      <c r="I241" s="827">
        <v>0</v>
      </c>
      <c r="J241" s="827">
        <v>0</v>
      </c>
      <c r="K241" s="827">
        <v>0</v>
      </c>
      <c r="L241" s="827">
        <v>1</v>
      </c>
      <c r="M241" s="827">
        <v>0</v>
      </c>
      <c r="N241" s="827">
        <v>0</v>
      </c>
      <c r="O241" s="827">
        <v>0</v>
      </c>
      <c r="P241" s="827">
        <v>1</v>
      </c>
      <c r="Q241" s="827">
        <v>1</v>
      </c>
      <c r="R241" s="827">
        <v>1</v>
      </c>
      <c r="S241" s="827">
        <v>1</v>
      </c>
      <c r="T241" s="827">
        <v>1</v>
      </c>
      <c r="U241" s="827">
        <v>1</v>
      </c>
      <c r="V241" s="827">
        <v>1</v>
      </c>
      <c r="W241" s="827">
        <v>1</v>
      </c>
      <c r="X241" s="827">
        <v>1</v>
      </c>
      <c r="Y241" s="827">
        <v>1</v>
      </c>
      <c r="Z241" s="827">
        <v>1</v>
      </c>
      <c r="AA241" s="827">
        <v>1</v>
      </c>
      <c r="AB241" s="827">
        <v>1</v>
      </c>
      <c r="AC241" s="828">
        <v>1</v>
      </c>
      <c r="AD241" s="828">
        <v>1</v>
      </c>
      <c r="AE241" s="828">
        <v>1</v>
      </c>
      <c r="AF241" s="828">
        <v>1</v>
      </c>
      <c r="AG241" s="828">
        <v>1</v>
      </c>
      <c r="AH241" s="828">
        <v>1</v>
      </c>
      <c r="AI241" s="828">
        <v>1</v>
      </c>
      <c r="AJ241" s="828">
        <v>1</v>
      </c>
      <c r="AK241" s="828">
        <v>1</v>
      </c>
      <c r="AL241" s="828">
        <v>1</v>
      </c>
      <c r="AM241" s="828">
        <v>1</v>
      </c>
      <c r="AN241" s="828">
        <v>1</v>
      </c>
      <c r="AO241" s="828">
        <v>1</v>
      </c>
      <c r="AP241" s="828">
        <v>1</v>
      </c>
    </row>
    <row r="242" hidden="1">
      <c r="B242" s="829" t="s">
        <v>22</v>
      </c>
      <c r="C242" s="823">
        <v>0</v>
      </c>
      <c r="D242" s="823">
        <v>0</v>
      </c>
      <c r="E242" s="823">
        <v>0</v>
      </c>
      <c r="F242" s="823">
        <v>0</v>
      </c>
      <c r="G242" s="823">
        <v>0</v>
      </c>
      <c r="H242" s="823">
        <v>0</v>
      </c>
      <c r="I242" s="823">
        <v>0</v>
      </c>
      <c r="J242" s="823">
        <v>0</v>
      </c>
      <c r="K242" s="823">
        <v>0</v>
      </c>
      <c r="L242" s="823">
        <v>0</v>
      </c>
      <c r="M242" s="823">
        <v>1</v>
      </c>
      <c r="N242" s="823">
        <v>1</v>
      </c>
      <c r="O242" s="823">
        <v>2</v>
      </c>
      <c r="P242" s="823">
        <v>1</v>
      </c>
      <c r="Q242" s="823">
        <v>1</v>
      </c>
      <c r="R242" s="823">
        <v>1</v>
      </c>
      <c r="S242" s="823">
        <v>0</v>
      </c>
      <c r="T242" s="823">
        <v>0</v>
      </c>
      <c r="U242" s="823">
        <v>0</v>
      </c>
      <c r="V242" s="823">
        <v>0</v>
      </c>
      <c r="W242" s="823">
        <v>0</v>
      </c>
      <c r="X242" s="823">
        <v>0</v>
      </c>
      <c r="Y242" s="823">
        <v>0</v>
      </c>
      <c r="Z242" s="823">
        <v>0</v>
      </c>
      <c r="AA242" s="823">
        <v>0</v>
      </c>
      <c r="AB242" s="823">
        <v>0</v>
      </c>
      <c r="AC242" s="825">
        <v>0</v>
      </c>
      <c r="AD242" s="825">
        <v>0</v>
      </c>
      <c r="AE242" s="825">
        <v>0</v>
      </c>
      <c r="AF242" s="825">
        <v>0</v>
      </c>
      <c r="AG242" s="825">
        <v>0</v>
      </c>
      <c r="AH242" s="825">
        <v>0</v>
      </c>
      <c r="AI242" s="825">
        <v>0</v>
      </c>
      <c r="AJ242" s="825">
        <v>0</v>
      </c>
      <c r="AK242" s="825">
        <v>0</v>
      </c>
      <c r="AL242" s="825">
        <v>0</v>
      </c>
      <c r="AM242" s="825">
        <v>0</v>
      </c>
      <c r="AN242" s="825">
        <v>0</v>
      </c>
      <c r="AO242" s="825">
        <v>0</v>
      </c>
      <c r="AP242" s="825">
        <v>0</v>
      </c>
    </row>
    <row r="243" hidden="1">
      <c r="B243" s="826" t="s">
        <v>23</v>
      </c>
      <c r="C243" s="827">
        <v>0</v>
      </c>
      <c r="D243" s="827">
        <v>0</v>
      </c>
      <c r="E243" s="827">
        <v>0</v>
      </c>
      <c r="F243" s="827">
        <v>0</v>
      </c>
      <c r="G243" s="827">
        <v>0</v>
      </c>
      <c r="H243" s="827">
        <v>0</v>
      </c>
      <c r="I243" s="827">
        <v>0</v>
      </c>
      <c r="J243" s="827">
        <v>0</v>
      </c>
      <c r="K243" s="827">
        <v>0</v>
      </c>
      <c r="L243" s="827">
        <v>1</v>
      </c>
      <c r="M243" s="827">
        <v>0</v>
      </c>
      <c r="N243" s="827">
        <v>0</v>
      </c>
      <c r="O243" s="827">
        <v>0</v>
      </c>
      <c r="P243" s="827">
        <v>0</v>
      </c>
      <c r="Q243" s="827">
        <v>0</v>
      </c>
      <c r="R243" s="827">
        <v>0</v>
      </c>
      <c r="S243" s="827">
        <v>0</v>
      </c>
      <c r="T243" s="827">
        <v>0</v>
      </c>
      <c r="U243" s="827">
        <v>0</v>
      </c>
      <c r="V243" s="827">
        <v>0</v>
      </c>
      <c r="W243" s="827">
        <v>0</v>
      </c>
      <c r="X243" s="827">
        <v>0</v>
      </c>
      <c r="Y243" s="827">
        <v>0</v>
      </c>
      <c r="Z243" s="827">
        <v>0</v>
      </c>
      <c r="AA243" s="827">
        <v>0</v>
      </c>
      <c r="AB243" s="827">
        <v>0</v>
      </c>
      <c r="AC243" s="828">
        <v>0</v>
      </c>
      <c r="AD243" s="828">
        <v>0</v>
      </c>
      <c r="AE243" s="828">
        <v>0</v>
      </c>
      <c r="AF243" s="828">
        <v>0</v>
      </c>
      <c r="AG243" s="828">
        <v>0</v>
      </c>
      <c r="AH243" s="828">
        <v>0</v>
      </c>
      <c r="AI243" s="828">
        <v>0</v>
      </c>
      <c r="AJ243" s="828">
        <v>0</v>
      </c>
      <c r="AK243" s="828">
        <v>0</v>
      </c>
      <c r="AL243" s="828">
        <v>0</v>
      </c>
      <c r="AM243" s="828">
        <v>0</v>
      </c>
      <c r="AN243" s="828">
        <v>0</v>
      </c>
      <c r="AO243" s="828">
        <v>0</v>
      </c>
      <c r="AP243" s="828">
        <v>0</v>
      </c>
    </row>
    <row r="244" hidden="1">
      <c r="B244" s="830" t="s">
        <v>24</v>
      </c>
      <c r="C244" s="823">
        <v>7</v>
      </c>
      <c r="D244" s="823">
        <v>8</v>
      </c>
      <c r="E244" s="823">
        <v>8</v>
      </c>
      <c r="F244" s="823">
        <v>7</v>
      </c>
      <c r="G244" s="823">
        <v>7</v>
      </c>
      <c r="H244" s="823">
        <v>7</v>
      </c>
      <c r="I244" s="823">
        <v>7</v>
      </c>
      <c r="J244" s="823">
        <v>7</v>
      </c>
      <c r="K244" s="823">
        <v>8</v>
      </c>
      <c r="L244" s="823">
        <v>8</v>
      </c>
      <c r="M244" s="823">
        <v>8</v>
      </c>
      <c r="N244" s="823">
        <v>8</v>
      </c>
      <c r="O244" s="823">
        <v>8</v>
      </c>
      <c r="P244" s="823">
        <v>9</v>
      </c>
      <c r="Q244" s="823">
        <v>9</v>
      </c>
      <c r="R244" s="823">
        <v>8</v>
      </c>
      <c r="S244" s="823">
        <v>7</v>
      </c>
      <c r="T244" s="823">
        <v>7</v>
      </c>
      <c r="U244" s="823">
        <v>6</v>
      </c>
      <c r="V244" s="823">
        <v>5</v>
      </c>
      <c r="W244" s="823">
        <v>5</v>
      </c>
      <c r="X244" s="823">
        <v>4</v>
      </c>
      <c r="Y244" s="823">
        <v>3</v>
      </c>
      <c r="Z244" s="823">
        <v>3</v>
      </c>
      <c r="AA244" s="823">
        <v>3</v>
      </c>
      <c r="AB244" s="823">
        <v>3</v>
      </c>
      <c r="AC244" s="825">
        <v>3</v>
      </c>
      <c r="AD244" s="825">
        <v>3</v>
      </c>
      <c r="AE244" s="825">
        <v>3</v>
      </c>
      <c r="AF244" s="825">
        <v>3</v>
      </c>
      <c r="AG244" s="825">
        <v>3</v>
      </c>
      <c r="AH244" s="825">
        <v>3</v>
      </c>
      <c r="AI244" s="825">
        <v>3</v>
      </c>
      <c r="AJ244" s="825">
        <v>2</v>
      </c>
      <c r="AK244" s="825">
        <v>2</v>
      </c>
      <c r="AL244" s="825">
        <v>2</v>
      </c>
      <c r="AM244" s="825">
        <v>2</v>
      </c>
      <c r="AN244" s="825">
        <v>3</v>
      </c>
      <c r="AO244" s="825">
        <v>3</v>
      </c>
      <c r="AP244" s="825">
        <v>3</v>
      </c>
    </row>
    <row r="245" hidden="1">
      <c r="B245" s="826" t="s">
        <v>25</v>
      </c>
      <c r="C245" s="827">
        <v>0</v>
      </c>
      <c r="D245" s="827">
        <v>0</v>
      </c>
      <c r="E245" s="827">
        <v>0</v>
      </c>
      <c r="F245" s="827">
        <v>0</v>
      </c>
      <c r="G245" s="827">
        <v>0</v>
      </c>
      <c r="H245" s="827">
        <v>0</v>
      </c>
      <c r="I245" s="827">
        <v>0</v>
      </c>
      <c r="J245" s="827">
        <v>0</v>
      </c>
      <c r="K245" s="827">
        <v>0</v>
      </c>
      <c r="L245" s="827">
        <v>0</v>
      </c>
      <c r="M245" s="827">
        <v>0</v>
      </c>
      <c r="N245" s="827">
        <v>0</v>
      </c>
      <c r="O245" s="827">
        <v>0</v>
      </c>
      <c r="P245" s="827">
        <v>0</v>
      </c>
      <c r="Q245" s="827">
        <v>0</v>
      </c>
      <c r="R245" s="827">
        <v>0</v>
      </c>
      <c r="S245" s="827">
        <v>0</v>
      </c>
      <c r="T245" s="827">
        <v>0</v>
      </c>
      <c r="U245" s="827">
        <v>0</v>
      </c>
      <c r="V245" s="827">
        <v>0</v>
      </c>
      <c r="W245" s="827">
        <v>0</v>
      </c>
      <c r="X245" s="827">
        <v>0</v>
      </c>
      <c r="Y245" s="827">
        <v>0</v>
      </c>
      <c r="Z245" s="827">
        <v>0</v>
      </c>
      <c r="AA245" s="827">
        <v>0</v>
      </c>
      <c r="AB245" s="827">
        <v>0</v>
      </c>
      <c r="AC245" s="828">
        <v>0</v>
      </c>
      <c r="AD245" s="828">
        <v>0</v>
      </c>
      <c r="AE245" s="828">
        <v>0</v>
      </c>
      <c r="AF245" s="828">
        <v>0</v>
      </c>
      <c r="AG245" s="828">
        <v>0</v>
      </c>
      <c r="AH245" s="828">
        <v>0</v>
      </c>
      <c r="AI245" s="828">
        <v>0</v>
      </c>
      <c r="AJ245" s="828">
        <v>0</v>
      </c>
      <c r="AK245" s="828">
        <v>0</v>
      </c>
      <c r="AL245" s="828">
        <v>0</v>
      </c>
      <c r="AM245" s="828">
        <v>0</v>
      </c>
      <c r="AN245" s="828">
        <v>0</v>
      </c>
      <c r="AO245" s="828">
        <v>0</v>
      </c>
      <c r="AP245" s="828">
        <v>0</v>
      </c>
    </row>
    <row r="246" hidden="1" ht="13.5">
      <c r="B246" s="831" t="s">
        <v>26</v>
      </c>
      <c r="C246" s="823">
        <v>0</v>
      </c>
      <c r="D246" s="823">
        <v>0</v>
      </c>
      <c r="E246" s="823">
        <v>0</v>
      </c>
      <c r="F246" s="823">
        <v>0</v>
      </c>
      <c r="G246" s="823">
        <v>0</v>
      </c>
      <c r="H246" s="823">
        <v>0</v>
      </c>
      <c r="I246" s="823">
        <v>0</v>
      </c>
      <c r="J246" s="823">
        <v>0</v>
      </c>
      <c r="K246" s="823">
        <v>0</v>
      </c>
      <c r="L246" s="823">
        <v>0</v>
      </c>
      <c r="M246" s="823">
        <v>0</v>
      </c>
      <c r="N246" s="823">
        <v>0</v>
      </c>
      <c r="O246" s="823">
        <v>0</v>
      </c>
      <c r="P246" s="823">
        <v>0</v>
      </c>
      <c r="Q246" s="823">
        <v>0</v>
      </c>
      <c r="R246" s="823">
        <v>0</v>
      </c>
      <c r="S246" s="823">
        <v>0</v>
      </c>
      <c r="T246" s="823">
        <v>0</v>
      </c>
      <c r="U246" s="823">
        <v>0</v>
      </c>
      <c r="V246" s="823">
        <v>0</v>
      </c>
      <c r="W246" s="823">
        <v>0</v>
      </c>
      <c r="X246" s="823">
        <v>0</v>
      </c>
      <c r="Y246" s="823">
        <v>0</v>
      </c>
      <c r="Z246" s="823">
        <v>0</v>
      </c>
      <c r="AA246" s="823">
        <v>0</v>
      </c>
      <c r="AB246" s="832">
        <v>0</v>
      </c>
      <c r="AC246" s="825">
        <v>0</v>
      </c>
      <c r="AD246" s="825">
        <v>0</v>
      </c>
      <c r="AE246" s="825">
        <v>0</v>
      </c>
      <c r="AF246" s="825">
        <v>0</v>
      </c>
      <c r="AG246" s="825">
        <v>0</v>
      </c>
      <c r="AH246" s="825">
        <v>0</v>
      </c>
      <c r="AI246" s="825">
        <v>0</v>
      </c>
      <c r="AJ246" s="825">
        <v>0</v>
      </c>
      <c r="AK246" s="825">
        <v>0</v>
      </c>
      <c r="AL246" s="825">
        <v>0</v>
      </c>
      <c r="AM246" s="825">
        <v>0</v>
      </c>
      <c r="AN246" s="825">
        <v>0</v>
      </c>
      <c r="AO246" s="825">
        <v>0</v>
      </c>
      <c r="AP246" s="825">
        <v>0</v>
      </c>
    </row>
    <row r="247" hidden="1" ht="13.5">
      <c r="B247" s="128" t="s">
        <v>7</v>
      </c>
      <c r="C247" s="129" t="str">
        <f>IF(SUM(C228:C246)&lt;&gt;0,SUM(C228:C246),"")</f>
      </c>
      <c r="D247" s="129" t="str">
        <f ref="D247:AA247" t="shared" si="25">IF(SUM(D228:D246)&lt;&gt;0,SUM(D228:D246),"")</f>
      </c>
      <c r="E247" s="129" t="str">
        <f t="shared" si="25"/>
      </c>
      <c r="F247" s="129" t="str">
        <f t="shared" si="25"/>
      </c>
      <c r="G247" s="129" t="str">
        <f t="shared" si="25"/>
      </c>
      <c r="H247" s="129" t="str">
        <f t="shared" si="25"/>
      </c>
      <c r="I247" s="129" t="str">
        <f t="shared" si="25"/>
      </c>
      <c r="J247" s="129" t="str">
        <f t="shared" si="25"/>
      </c>
      <c r="K247" s="129" t="str">
        <f t="shared" si="25"/>
      </c>
      <c r="L247" s="129" t="str">
        <f t="shared" si="25"/>
      </c>
      <c r="M247" s="129" t="str">
        <f t="shared" si="25"/>
      </c>
      <c r="N247" s="129" t="str">
        <f t="shared" si="25"/>
      </c>
      <c r="O247" s="129" t="str">
        <f t="shared" si="25"/>
      </c>
      <c r="P247" s="129" t="str">
        <f t="shared" si="25"/>
      </c>
      <c r="Q247" s="129" t="str">
        <f t="shared" si="25"/>
      </c>
      <c r="R247" s="129" t="str">
        <f t="shared" si="25"/>
      </c>
      <c r="S247" s="129" t="str">
        <f t="shared" si="25"/>
      </c>
      <c r="T247" s="129" t="str">
        <f t="shared" si="25"/>
      </c>
      <c r="U247" s="129" t="str">
        <f t="shared" si="25"/>
      </c>
      <c r="V247" s="129" t="str">
        <f t="shared" si="25"/>
      </c>
      <c r="W247" s="129" t="str">
        <f t="shared" si="25"/>
      </c>
      <c r="X247" s="129" t="str">
        <f t="shared" si="25"/>
      </c>
      <c r="Y247" s="129" t="str">
        <f t="shared" si="25"/>
      </c>
      <c r="Z247" s="129" t="str">
        <f t="shared" si="25"/>
      </c>
      <c r="AA247" s="129" t="str">
        <f t="shared" si="25"/>
      </c>
      <c r="AB247" s="130" t="str">
        <f>IF(SUM(AB228:AB246)&lt;&gt;0,SUM(AB228:AB246),"")</f>
      </c>
      <c r="AC247" s="91" t="str">
        <f ref="AC247:CN247" t="shared" si="26">IF(SUM(AC228:AC246)&lt;&gt;0,SUM(AC228:AC246),"")</f>
      </c>
      <c r="AD247" s="91" t="str">
        <f t="shared" si="26"/>
      </c>
      <c r="AE247" s="91" t="str">
        <f t="shared" si="26"/>
      </c>
      <c r="AF247" s="91" t="str">
        <f t="shared" si="26"/>
      </c>
      <c r="AG247" s="91" t="str">
        <f t="shared" si="26"/>
      </c>
      <c r="AH247" s="91" t="str">
        <f t="shared" si="26"/>
      </c>
      <c r="AI247" s="91" t="str">
        <f t="shared" si="26"/>
      </c>
      <c r="AJ247" s="91" t="str">
        <f t="shared" si="26"/>
      </c>
      <c r="AK247" s="91" t="str">
        <f t="shared" si="26"/>
      </c>
      <c r="AL247" s="91" t="str">
        <f t="shared" si="26"/>
      </c>
      <c r="AM247" s="91" t="str">
        <f t="shared" si="26"/>
      </c>
      <c r="AN247" s="91" t="str">
        <f t="shared" si="26"/>
      </c>
      <c r="AO247" s="91" t="str">
        <f t="shared" si="26"/>
      </c>
      <c r="AP247" s="91" t="str">
        <f t="shared" si="26"/>
      </c>
      <c r="AQ247" s="91" t="str">
        <f t="shared" si="26"/>
      </c>
      <c r="AR247" s="91" t="str">
        <f t="shared" si="26"/>
      </c>
      <c r="AS247" s="91" t="str">
        <f t="shared" si="26"/>
      </c>
      <c r="AT247" s="91" t="str">
        <f t="shared" si="26"/>
      </c>
      <c r="AU247" s="91" t="str">
        <f t="shared" si="26"/>
      </c>
      <c r="AV247" s="91" t="str">
        <f t="shared" si="26"/>
      </c>
      <c r="AW247" s="91" t="str">
        <f t="shared" si="26"/>
      </c>
      <c r="AX247" s="91" t="str">
        <f t="shared" si="26"/>
      </c>
      <c r="AY247" s="91" t="str">
        <f t="shared" si="26"/>
      </c>
      <c r="AZ247" s="91" t="str">
        <f t="shared" si="26"/>
      </c>
      <c r="BA247" s="91" t="str">
        <f t="shared" si="26"/>
      </c>
      <c r="BB247" s="91" t="str">
        <f t="shared" si="26"/>
      </c>
      <c r="BC247" s="91" t="str">
        <f t="shared" si="26"/>
      </c>
      <c r="BD247" s="91" t="str">
        <f t="shared" si="26"/>
      </c>
      <c r="BE247" s="91" t="str">
        <f t="shared" si="26"/>
      </c>
      <c r="BF247" s="91" t="str">
        <f t="shared" si="26"/>
      </c>
      <c r="BG247" s="91" t="str">
        <f t="shared" si="26"/>
      </c>
      <c r="BH247" s="91" t="str">
        <f t="shared" si="26"/>
      </c>
      <c r="BI247" s="91" t="str">
        <f t="shared" si="26"/>
      </c>
      <c r="BJ247" s="91" t="str">
        <f t="shared" si="26"/>
      </c>
      <c r="BK247" s="91" t="str">
        <f t="shared" si="26"/>
      </c>
      <c r="BL247" s="91" t="str">
        <f t="shared" si="26"/>
      </c>
      <c r="BM247" s="91" t="str">
        <f t="shared" si="26"/>
      </c>
      <c r="BN247" s="91" t="str">
        <f t="shared" si="26"/>
      </c>
      <c r="BO247" s="91" t="str">
        <f t="shared" si="26"/>
      </c>
      <c r="BP247" s="91" t="str">
        <f t="shared" si="26"/>
      </c>
      <c r="BQ247" s="91" t="str">
        <f t="shared" si="26"/>
      </c>
      <c r="BR247" s="91" t="str">
        <f t="shared" si="26"/>
      </c>
      <c r="BS247" s="91" t="str">
        <f t="shared" si="26"/>
      </c>
      <c r="BT247" s="91" t="str">
        <f t="shared" si="26"/>
      </c>
      <c r="BU247" s="91" t="str">
        <f t="shared" si="26"/>
      </c>
      <c r="BV247" s="91" t="str">
        <f t="shared" si="26"/>
      </c>
      <c r="BW247" s="91" t="str">
        <f t="shared" si="26"/>
      </c>
      <c r="BX247" s="91" t="str">
        <f t="shared" si="26"/>
      </c>
      <c r="BY247" s="91" t="str">
        <f t="shared" si="26"/>
      </c>
      <c r="BZ247" s="91" t="str">
        <f t="shared" si="26"/>
      </c>
      <c r="CA247" s="91" t="str">
        <f t="shared" si="26"/>
      </c>
      <c r="CB247" s="91" t="str">
        <f t="shared" si="26"/>
      </c>
      <c r="CC247" s="91" t="str">
        <f t="shared" si="26"/>
      </c>
      <c r="CD247" s="91" t="str">
        <f t="shared" si="26"/>
      </c>
      <c r="CE247" s="91" t="str">
        <f t="shared" si="26"/>
      </c>
      <c r="CF247" s="91" t="str">
        <f t="shared" si="26"/>
      </c>
      <c r="CG247" s="91" t="str">
        <f t="shared" si="26"/>
      </c>
      <c r="CH247" s="91" t="str">
        <f t="shared" si="26"/>
      </c>
      <c r="CI247" s="91" t="str">
        <f t="shared" si="26"/>
      </c>
      <c r="CJ247" s="91" t="str">
        <f t="shared" si="26"/>
      </c>
      <c r="CK247" s="91" t="str">
        <f t="shared" si="26"/>
      </c>
      <c r="CL247" s="91" t="str">
        <f t="shared" si="26"/>
      </c>
      <c r="CM247" s="91" t="str">
        <f t="shared" si="26"/>
      </c>
      <c r="CN247" s="91" t="str">
        <f t="shared" si="26"/>
      </c>
      <c r="CO247" s="91" t="str">
        <f ref="CO247:EZ247" t="shared" si="27">IF(SUM(CO228:CO246)&lt;&gt;0,SUM(CO228:CO246),"")</f>
      </c>
      <c r="CP247" s="91" t="str">
        <f t="shared" si="27"/>
      </c>
      <c r="CQ247" s="91" t="str">
        <f t="shared" si="27"/>
      </c>
      <c r="CR247" s="91" t="str">
        <f t="shared" si="27"/>
      </c>
      <c r="CS247" s="91" t="str">
        <f t="shared" si="27"/>
      </c>
      <c r="CT247" s="91" t="str">
        <f t="shared" si="27"/>
      </c>
      <c r="CU247" s="91" t="str">
        <f t="shared" si="27"/>
      </c>
      <c r="CV247" s="91" t="str">
        <f t="shared" si="27"/>
      </c>
      <c r="CW247" s="91" t="str">
        <f t="shared" si="27"/>
      </c>
      <c r="CX247" s="91" t="str">
        <f t="shared" si="27"/>
      </c>
      <c r="CY247" s="91" t="str">
        <f t="shared" si="27"/>
      </c>
      <c r="CZ247" s="91" t="str">
        <f t="shared" si="27"/>
      </c>
      <c r="DA247" s="91" t="str">
        <f t="shared" si="27"/>
      </c>
      <c r="DB247" s="91" t="str">
        <f t="shared" si="27"/>
      </c>
      <c r="DC247" s="91" t="str">
        <f t="shared" si="27"/>
      </c>
      <c r="DD247" s="91" t="str">
        <f t="shared" si="27"/>
      </c>
      <c r="DE247" s="91" t="str">
        <f t="shared" si="27"/>
      </c>
      <c r="DF247" s="91" t="str">
        <f t="shared" si="27"/>
      </c>
      <c r="DG247" s="91" t="str">
        <f t="shared" si="27"/>
      </c>
      <c r="DH247" s="91" t="str">
        <f t="shared" si="27"/>
      </c>
      <c r="DI247" s="91" t="str">
        <f t="shared" si="27"/>
      </c>
      <c r="DJ247" s="91" t="str">
        <f t="shared" si="27"/>
      </c>
      <c r="DK247" s="91" t="str">
        <f t="shared" si="27"/>
      </c>
      <c r="DL247" s="91" t="str">
        <f t="shared" si="27"/>
      </c>
      <c r="DM247" s="91" t="str">
        <f t="shared" si="27"/>
      </c>
      <c r="DN247" s="91" t="str">
        <f t="shared" si="27"/>
      </c>
      <c r="DO247" s="91" t="str">
        <f t="shared" si="27"/>
      </c>
      <c r="DP247" s="91" t="str">
        <f t="shared" si="27"/>
      </c>
      <c r="DQ247" s="91" t="str">
        <f t="shared" si="27"/>
      </c>
      <c r="DR247" s="91" t="str">
        <f t="shared" si="27"/>
      </c>
      <c r="DS247" s="91" t="str">
        <f t="shared" si="27"/>
      </c>
      <c r="DT247" s="91" t="str">
        <f t="shared" si="27"/>
      </c>
      <c r="DU247" s="91" t="str">
        <f t="shared" si="27"/>
      </c>
      <c r="DV247" s="91" t="str">
        <f t="shared" si="27"/>
      </c>
      <c r="DW247" s="91" t="str">
        <f t="shared" si="27"/>
      </c>
      <c r="DX247" s="91" t="str">
        <f t="shared" si="27"/>
      </c>
      <c r="DY247" s="91" t="str">
        <f t="shared" si="27"/>
      </c>
      <c r="DZ247" s="91" t="str">
        <f t="shared" si="27"/>
      </c>
      <c r="EA247" s="91" t="str">
        <f t="shared" si="27"/>
      </c>
      <c r="EB247" s="91" t="str">
        <f t="shared" si="27"/>
      </c>
      <c r="EC247" s="91" t="str">
        <f t="shared" si="27"/>
      </c>
      <c r="ED247" s="91" t="str">
        <f t="shared" si="27"/>
      </c>
      <c r="EE247" s="91" t="str">
        <f t="shared" si="27"/>
      </c>
      <c r="EF247" s="91" t="str">
        <f t="shared" si="27"/>
      </c>
      <c r="EG247" s="91" t="str">
        <f t="shared" si="27"/>
      </c>
      <c r="EH247" s="91" t="str">
        <f t="shared" si="27"/>
      </c>
      <c r="EI247" s="91" t="str">
        <f t="shared" si="27"/>
      </c>
      <c r="EJ247" s="91" t="str">
        <f t="shared" si="27"/>
      </c>
      <c r="EK247" s="91" t="str">
        <f t="shared" si="27"/>
      </c>
      <c r="EL247" s="91" t="str">
        <f t="shared" si="27"/>
      </c>
      <c r="EM247" s="91" t="str">
        <f t="shared" si="27"/>
      </c>
      <c r="EN247" s="91" t="str">
        <f t="shared" si="27"/>
      </c>
      <c r="EO247" s="91" t="str">
        <f t="shared" si="27"/>
      </c>
      <c r="EP247" s="91" t="str">
        <f t="shared" si="27"/>
      </c>
      <c r="EQ247" s="91" t="str">
        <f t="shared" si="27"/>
      </c>
      <c r="ER247" s="91" t="str">
        <f t="shared" si="27"/>
      </c>
      <c r="ES247" s="91" t="str">
        <f t="shared" si="27"/>
      </c>
      <c r="ET247" s="91" t="str">
        <f t="shared" si="27"/>
      </c>
      <c r="EU247" s="91" t="str">
        <f t="shared" si="27"/>
      </c>
      <c r="EV247" s="91" t="str">
        <f t="shared" si="27"/>
      </c>
      <c r="EW247" s="91" t="str">
        <f t="shared" si="27"/>
      </c>
      <c r="EX247" s="91" t="str">
        <f t="shared" si="27"/>
      </c>
      <c r="EY247" s="91" t="str">
        <f t="shared" si="27"/>
      </c>
      <c r="EZ247" s="91" t="str">
        <f t="shared" si="27"/>
      </c>
      <c r="FA247" s="91" t="str">
        <f ref="FA247:HL247" t="shared" si="28">IF(SUM(FA228:FA246)&lt;&gt;0,SUM(FA228:FA246),"")</f>
      </c>
      <c r="FB247" s="91" t="str">
        <f t="shared" si="28"/>
      </c>
      <c r="FC247" s="91" t="str">
        <f t="shared" si="28"/>
      </c>
      <c r="FD247" s="91" t="str">
        <f t="shared" si="28"/>
      </c>
      <c r="FE247" s="91" t="str">
        <f t="shared" si="28"/>
      </c>
      <c r="FF247" s="91" t="str">
        <f t="shared" si="28"/>
      </c>
      <c r="FG247" s="91" t="str">
        <f t="shared" si="28"/>
      </c>
      <c r="FH247" s="91" t="str">
        <f t="shared" si="28"/>
      </c>
      <c r="FI247" s="91" t="str">
        <f t="shared" si="28"/>
      </c>
      <c r="FJ247" s="91" t="str">
        <f t="shared" si="28"/>
      </c>
      <c r="FK247" s="91" t="str">
        <f t="shared" si="28"/>
      </c>
      <c r="FL247" s="91" t="str">
        <f t="shared" si="28"/>
      </c>
      <c r="FM247" s="91" t="str">
        <f t="shared" si="28"/>
      </c>
      <c r="FN247" s="91" t="str">
        <f t="shared" si="28"/>
      </c>
      <c r="FO247" s="91" t="str">
        <f t="shared" si="28"/>
      </c>
      <c r="FP247" s="91" t="str">
        <f t="shared" si="28"/>
      </c>
      <c r="FQ247" s="91" t="str">
        <f t="shared" si="28"/>
      </c>
      <c r="FR247" s="91" t="str">
        <f t="shared" si="28"/>
      </c>
      <c r="FS247" s="91" t="str">
        <f t="shared" si="28"/>
      </c>
      <c r="FT247" s="91" t="str">
        <f t="shared" si="28"/>
      </c>
      <c r="FU247" s="91" t="str">
        <f t="shared" si="28"/>
      </c>
      <c r="FV247" s="91" t="str">
        <f t="shared" si="28"/>
      </c>
      <c r="FW247" s="91" t="str">
        <f t="shared" si="28"/>
      </c>
      <c r="FX247" s="91" t="str">
        <f t="shared" si="28"/>
      </c>
      <c r="FY247" s="91" t="str">
        <f t="shared" si="28"/>
      </c>
      <c r="FZ247" s="91" t="str">
        <f t="shared" si="28"/>
      </c>
      <c r="GA247" s="91" t="str">
        <f t="shared" si="28"/>
      </c>
      <c r="GB247" s="91" t="str">
        <f t="shared" si="28"/>
      </c>
      <c r="GC247" s="91" t="str">
        <f t="shared" si="28"/>
      </c>
      <c r="GD247" s="91" t="str">
        <f t="shared" si="28"/>
      </c>
      <c r="GE247" s="91" t="str">
        <f t="shared" si="28"/>
      </c>
      <c r="GF247" s="91" t="str">
        <f t="shared" si="28"/>
      </c>
      <c r="GG247" s="91" t="str">
        <f t="shared" si="28"/>
      </c>
      <c r="GH247" s="91" t="str">
        <f t="shared" si="28"/>
      </c>
      <c r="GI247" s="91" t="str">
        <f t="shared" si="28"/>
      </c>
      <c r="GJ247" s="91" t="str">
        <f t="shared" si="28"/>
      </c>
      <c r="GK247" s="91" t="str">
        <f t="shared" si="28"/>
      </c>
      <c r="GL247" s="91" t="str">
        <f t="shared" si="28"/>
      </c>
      <c r="GM247" s="91" t="str">
        <f t="shared" si="28"/>
      </c>
      <c r="GN247" s="91" t="str">
        <f t="shared" si="28"/>
      </c>
      <c r="GO247" s="91" t="str">
        <f t="shared" si="28"/>
      </c>
      <c r="GP247" s="91" t="str">
        <f t="shared" si="28"/>
      </c>
      <c r="GQ247" s="91" t="str">
        <f t="shared" si="28"/>
      </c>
      <c r="GR247" s="91" t="str">
        <f t="shared" si="28"/>
      </c>
      <c r="GS247" s="91" t="str">
        <f t="shared" si="28"/>
      </c>
      <c r="GT247" s="91" t="str">
        <f t="shared" si="28"/>
      </c>
      <c r="GU247" s="91" t="str">
        <f t="shared" si="28"/>
      </c>
      <c r="GV247" s="91" t="str">
        <f t="shared" si="28"/>
      </c>
      <c r="GW247" s="91" t="str">
        <f t="shared" si="28"/>
      </c>
      <c r="GX247" s="91" t="str">
        <f t="shared" si="28"/>
      </c>
      <c r="GY247" s="91" t="str">
        <f t="shared" si="28"/>
      </c>
      <c r="GZ247" s="91" t="str">
        <f t="shared" si="28"/>
      </c>
      <c r="HA247" s="91" t="str">
        <f t="shared" si="28"/>
      </c>
      <c r="HB247" s="91" t="str">
        <f t="shared" si="28"/>
      </c>
      <c r="HC247" s="91" t="str">
        <f t="shared" si="28"/>
      </c>
      <c r="HD247" s="91" t="str">
        <f t="shared" si="28"/>
      </c>
      <c r="HE247" s="91" t="str">
        <f t="shared" si="28"/>
      </c>
      <c r="HF247" s="91" t="str">
        <f t="shared" si="28"/>
      </c>
      <c r="HG247" s="91" t="str">
        <f t="shared" si="28"/>
      </c>
      <c r="HH247" s="91" t="str">
        <f t="shared" si="28"/>
      </c>
      <c r="HI247" s="91" t="str">
        <f t="shared" si="28"/>
      </c>
      <c r="HJ247" s="91" t="str">
        <f t="shared" si="28"/>
      </c>
      <c r="HK247" s="91" t="str">
        <f t="shared" si="28"/>
      </c>
      <c r="HL247" s="91" t="str">
        <f t="shared" si="28"/>
      </c>
      <c r="HM247" s="91" t="str">
        <f ref="HM247:IV247" t="shared" si="29">IF(SUM(HM228:HM246)&lt;&gt;0,SUM(HM228:HM246),"")</f>
      </c>
      <c r="HN247" s="91" t="str">
        <f t="shared" si="29"/>
      </c>
      <c r="HO247" s="91" t="str">
        <f t="shared" si="29"/>
      </c>
      <c r="HP247" s="91" t="str">
        <f t="shared" si="29"/>
      </c>
      <c r="HQ247" s="91" t="str">
        <f t="shared" si="29"/>
      </c>
      <c r="HR247" s="91" t="str">
        <f t="shared" si="29"/>
      </c>
      <c r="HS247" s="91" t="str">
        <f t="shared" si="29"/>
      </c>
      <c r="HT247" s="91" t="str">
        <f t="shared" si="29"/>
      </c>
      <c r="HU247" s="91" t="str">
        <f t="shared" si="29"/>
      </c>
      <c r="HV247" s="91" t="str">
        <f t="shared" si="29"/>
      </c>
      <c r="HW247" s="91" t="str">
        <f t="shared" si="29"/>
      </c>
      <c r="HX247" s="91" t="str">
        <f t="shared" si="29"/>
      </c>
      <c r="HY247" s="91" t="str">
        <f t="shared" si="29"/>
      </c>
      <c r="HZ247" s="91" t="str">
        <f t="shared" si="29"/>
      </c>
      <c r="IA247" s="91" t="str">
        <f t="shared" si="29"/>
      </c>
      <c r="IB247" s="91" t="str">
        <f t="shared" si="29"/>
      </c>
      <c r="IC247" s="91" t="str">
        <f t="shared" si="29"/>
      </c>
      <c r="ID247" s="91" t="str">
        <f t="shared" si="29"/>
      </c>
      <c r="IE247" s="91" t="str">
        <f t="shared" si="29"/>
      </c>
      <c r="IF247" s="91" t="str">
        <f t="shared" si="29"/>
      </c>
      <c r="IG247" s="91" t="str">
        <f t="shared" si="29"/>
      </c>
      <c r="IH247" s="91" t="str">
        <f t="shared" si="29"/>
      </c>
      <c r="II247" s="91" t="str">
        <f t="shared" si="29"/>
      </c>
      <c r="IJ247" s="91" t="str">
        <f t="shared" si="29"/>
      </c>
      <c r="IK247" s="91" t="str">
        <f t="shared" si="29"/>
      </c>
      <c r="IL247" s="91" t="str">
        <f t="shared" si="29"/>
      </c>
      <c r="IM247" s="91" t="str">
        <f t="shared" si="29"/>
      </c>
      <c r="IN247" s="91" t="str">
        <f t="shared" si="29"/>
      </c>
      <c r="IO247" s="91" t="str">
        <f t="shared" si="29"/>
      </c>
      <c r="IP247" s="91" t="str">
        <f t="shared" si="29"/>
      </c>
      <c r="IQ247" s="91" t="str">
        <f t="shared" si="29"/>
      </c>
      <c r="IR247" s="91" t="str">
        <f t="shared" si="29"/>
      </c>
      <c r="IS247" s="91" t="str">
        <f t="shared" si="29"/>
      </c>
      <c r="IT247" s="91" t="str">
        <f t="shared" si="29"/>
      </c>
      <c r="IU247" s="91" t="str">
        <f t="shared" si="29"/>
      </c>
      <c r="IV247" s="91" t="str">
        <f t="shared" si="29"/>
      </c>
    </row>
    <row r="248" hidden="1"/>
    <row r="249" hidden="1" ht="13.5"/>
    <row r="250" hidden="1" ht="15.75" customHeight="1">
      <c r="C250" s="686" t="s">
        <v>116</v>
      </c>
      <c r="D250" s="687"/>
      <c r="E250" s="687"/>
      <c r="F250" s="687"/>
      <c r="G250" s="687"/>
      <c r="H250" s="687"/>
      <c r="I250" s="687"/>
      <c r="J250" s="687"/>
      <c r="K250" s="687"/>
      <c r="L250" s="687"/>
      <c r="M250" s="687"/>
      <c r="N250" s="687"/>
      <c r="O250" s="687"/>
      <c r="P250" s="687"/>
      <c r="Q250" s="687"/>
      <c r="R250" s="687"/>
      <c r="S250" s="687"/>
      <c r="T250" s="687"/>
      <c r="U250" s="687"/>
      <c r="V250" s="687"/>
      <c r="W250" s="687"/>
      <c r="X250" s="687"/>
      <c r="Y250" s="687"/>
      <c r="Z250" s="687"/>
      <c r="AA250" s="687"/>
      <c r="AB250" s="688"/>
    </row>
    <row r="251" hidden="1" ht="15" customHeight="1">
      <c r="C251" s="435" t="str">
        <f> IF(C271&lt;&gt;"",TEXT(AUX!G$1,"dd-MMM-aa"),"")</f>
      </c>
      <c r="D251" s="435" t="str">
        <f> IF(D271&lt;&gt;"",TEXT(AUX!H$1,"dd-MMM-aa"),"")</f>
      </c>
      <c r="E251" s="435" t="str">
        <f> IF(E271&lt;&gt;"",TEXT(AUX!I$1,"dd-MMM-aa"),"")</f>
      </c>
      <c r="F251" s="435" t="str">
        <f> IF(F271&lt;&gt;"",TEXT(AUX!J$1,"dd-MMM-aa"),"")</f>
      </c>
      <c r="G251" s="435" t="str">
        <f> IF(G271&lt;&gt;"",TEXT(AUX!K$1,"dd-MMM-aa"),"")</f>
      </c>
      <c r="H251" s="435" t="str">
        <f> IF(H271&lt;&gt;"",TEXT(AUX!L$1,"dd-MMM-aa"),"")</f>
      </c>
      <c r="I251" s="435" t="str">
        <f> IF(I271&lt;&gt;"",TEXT(AUX!M$1,"dd-MMM-aa"),"")</f>
      </c>
      <c r="J251" s="435" t="str">
        <f> IF(J271&lt;&gt;"",TEXT(AUX!N$1,"dd-MMM-aa"),"")</f>
      </c>
      <c r="K251" s="435" t="str">
        <f> IF(K271&lt;&gt;"",TEXT(AUX!O$1,"dd-MMM-aa"),"")</f>
      </c>
      <c r="L251" s="435" t="str">
        <f> IF(L271&lt;&gt;"",TEXT(AUX!P$1,"dd-MMM-aa"),"")</f>
      </c>
      <c r="M251" s="435" t="str">
        <f> IF(M271&lt;&gt;"",TEXT(AUX!Q$1,"dd-MMM-aa"),"")</f>
      </c>
      <c r="N251" s="435" t="str">
        <f> IF(N271&lt;&gt;"",TEXT(AUX!R$1,"dd-MMM-aa"),"")</f>
      </c>
      <c r="O251" s="435" t="str">
        <f> IF(O271&lt;&gt;"",TEXT(AUX!S$1,"dd-MMM-aa"),"")</f>
      </c>
      <c r="P251" s="435" t="str">
        <f> IF(P271&lt;&gt;"",TEXT(AUX!T$1,"dd-MMM-aa"),"")</f>
      </c>
      <c r="Q251" s="435" t="str">
        <f> IF(Q271&lt;&gt;"",TEXT(AUX!U$1,"dd-MMM-aa"),"")</f>
      </c>
      <c r="R251" s="435" t="str">
        <f> IF(R271&lt;&gt;"",TEXT(AUX!V$1,"dd-MMM-aa"),"")</f>
      </c>
      <c r="S251" s="435" t="str">
        <f> IF(S271&lt;&gt;"",TEXT(AUX!W$1,"dd-MMM-aa"),"")</f>
      </c>
      <c r="T251" s="435" t="str">
        <f> IF(T271&lt;&gt;"",TEXT(AUX!X$1,"dd-MMM-aa"),"")</f>
      </c>
      <c r="U251" s="435" t="str">
        <f> IF(U271&lt;&gt;"",TEXT(AUX!Y$1,"dd-MMM-aa"),"")</f>
      </c>
      <c r="V251" s="435" t="str">
        <f> IF(V271&lt;&gt;"",TEXT(AUX!Z$1,"dd-MMM-aa"),"")</f>
      </c>
      <c r="W251" s="435" t="str">
        <f> IF(W271&lt;&gt;"",TEXT(AUX!AA$1,"dd-MMM-aa"),"")</f>
      </c>
      <c r="X251" s="435" t="str">
        <f> IF(X271&lt;&gt;"",TEXT(AUX!AB$1,"dd-MMM-aa"),"")</f>
      </c>
      <c r="Y251" s="435" t="str">
        <f> IF(Y271&lt;&gt;"",TEXT(AUX!AC$1,"dd-MMM-aa"),"")</f>
      </c>
      <c r="Z251" s="435" t="str">
        <f> IF(Z271&lt;&gt;"",TEXT(AUX!AD$1,"dd-MMM-aa"),"")</f>
      </c>
      <c r="AA251" s="435" t="str">
        <f> IF(AA271&lt;&gt;"",TEXT(AUX!AE$1,"dd-MMM-aa"),"")</f>
      </c>
      <c r="AB251" s="497" t="str">
        <f> IF(AB271&lt;&gt;"",TEXT(AUX!AF$1,"dd-MMM-aa"),"")</f>
      </c>
      <c r="AC251" s="496" t="str">
        <f> IF(AC271&lt;&gt;"",TEXT(AUX!AG$1,"dd-MMM-aa"),"")</f>
      </c>
      <c r="AD251" s="496" t="str">
        <f> IF(AD271&lt;&gt;"",TEXT(AUX!AH$1,"dd-MMM-aa"),"")</f>
      </c>
      <c r="AE251" s="496" t="str">
        <f> IF(AE271&lt;&gt;"",TEXT(AUX!AI$1,"dd-MMM-aa"),"")</f>
      </c>
      <c r="AF251" s="496" t="str">
        <f> IF(AF271&lt;&gt;"",TEXT(AUX!AJ$1,"dd-MMM-aa"),"")</f>
      </c>
      <c r="AG251" s="496" t="str">
        <f> IF(AG271&lt;&gt;"",TEXT(AUX!AK$1,"dd-MMM-aa"),"")</f>
      </c>
      <c r="AH251" s="496" t="str">
        <f> IF(AH271&lt;&gt;"",TEXT(AUX!AL$1,"dd-MMM-aa"),"")</f>
      </c>
      <c r="AI251" s="496" t="str">
        <f> IF(AI271&lt;&gt;"",TEXT(AUX!AM$1,"dd-MMM-aa"),"")</f>
      </c>
      <c r="AJ251" s="496" t="str">
        <f> IF(AJ271&lt;&gt;"",TEXT(AUX!AN$1,"dd-MMM-aa"),"")</f>
      </c>
      <c r="AK251" s="496" t="str">
        <f> IF(AK271&lt;&gt;"",TEXT(AUX!AO$1,"dd-MMM-aa"),"")</f>
      </c>
      <c r="AL251" s="496" t="str">
        <f> IF(AL271&lt;&gt;"",TEXT(AUX!AP$1,"dd-MMM-aa"),"")</f>
      </c>
      <c r="AM251" s="496" t="str">
        <f> IF(AM271&lt;&gt;"",TEXT(AUX!AQ$1,"dd-MMM-aa"),"")</f>
      </c>
      <c r="AN251" s="496" t="str">
        <f> IF(AN271&lt;&gt;"",TEXT(AUX!AR$1,"dd-MMM-aa"),"")</f>
      </c>
      <c r="AO251" s="496" t="str">
        <f> IF(AO271&lt;&gt;"",TEXT(AUX!AS$1,"dd-MMM-aa"),"")</f>
      </c>
      <c r="AP251" s="496" t="str">
        <f> IF(AP271&lt;&gt;"",TEXT(AUX!AT$1,"dd-MMM-aa"),"")</f>
      </c>
      <c r="AQ251" s="496" t="str">
        <f> IF(AQ271&lt;&gt;"",TEXT(AUX!AU$1,"dd-MMM-aa"),"")</f>
      </c>
      <c r="AR251" s="496" t="str">
        <f> IF(AR271&lt;&gt;"",TEXT(AUX!AV$1,"dd-MMM-aa"),"")</f>
      </c>
      <c r="AS251" s="496" t="str">
        <f> IF(AS271&lt;&gt;"",TEXT(AUX!AW$1,"dd-MMM-aa"),"")</f>
      </c>
      <c r="AT251" s="496" t="str">
        <f> IF(AT271&lt;&gt;"",TEXT(AUX!AX$1,"dd-MMM-aa"),"")</f>
      </c>
      <c r="AU251" s="496" t="str">
        <f> IF(AU271&lt;&gt;"",TEXT(AUX!AY$1,"dd-MMM-aa"),"")</f>
      </c>
      <c r="AV251" s="496" t="str">
        <f> IF(AV271&lt;&gt;"",TEXT(AUX!AZ$1,"dd-MMM-aa"),"")</f>
      </c>
      <c r="AW251" s="496" t="str">
        <f> IF(AW271&lt;&gt;"",TEXT(AUX!BA$1,"dd-MMM-aa"),"")</f>
      </c>
      <c r="AX251" s="496" t="str">
        <f> IF(AX271&lt;&gt;"",TEXT(AUX!BB$1,"dd-MMM-aa"),"")</f>
      </c>
      <c r="AY251" s="496" t="str">
        <f> IF(AY271&lt;&gt;"",TEXT(AUX!BC$1,"dd-MMM-aa"),"")</f>
      </c>
      <c r="AZ251" s="496" t="str">
        <f> IF(AZ271&lt;&gt;"",TEXT(AUX!BD$1,"dd-MMM-aa"),"")</f>
      </c>
      <c r="BA251" s="496" t="str">
        <f> IF(BA271&lt;&gt;"",TEXT(AUX!BE$1,"dd-MMM-aa"),"")</f>
      </c>
      <c r="BB251" s="496" t="str">
        <f> IF(BB271&lt;&gt;"",TEXT(AUX!BF$1,"dd-MMM-aa"),"")</f>
      </c>
      <c r="BC251" s="496" t="str">
        <f> IF(BC271&lt;&gt;"",TEXT(AUX!BG$1,"dd-MMM-aa"),"")</f>
      </c>
      <c r="BD251" s="496" t="str">
        <f> IF(BD271&lt;&gt;"",TEXT(AUX!BH$1,"dd-MMM-aa"),"")</f>
      </c>
      <c r="BE251" s="496" t="str">
        <f> IF(BE271&lt;&gt;"",TEXT(AUX!BI$1,"dd-MMM-aa"),"")</f>
      </c>
      <c r="BF251" s="496" t="str">
        <f> IF(BF271&lt;&gt;"",TEXT(AUX!BJ$1,"dd-MMM-aa"),"")</f>
      </c>
      <c r="BG251" s="496" t="str">
        <f> IF(BG271&lt;&gt;"",TEXT(AUX!BK$1,"dd-MMM-aa"),"")</f>
      </c>
      <c r="BH251" s="496" t="str">
        <f> IF(BH271&lt;&gt;"",TEXT(AUX!BL$1,"dd-MMM-aa"),"")</f>
      </c>
      <c r="BI251" s="496" t="str">
        <f> IF(BI271&lt;&gt;"",TEXT(AUX!BM$1,"dd-MMM-aa"),"")</f>
      </c>
      <c r="BJ251" s="496" t="str">
        <f> IF(BJ271&lt;&gt;"",TEXT(AUX!BN$1,"dd-MMM-aa"),"")</f>
      </c>
      <c r="BK251" s="496" t="str">
        <f> IF(BK271&lt;&gt;"",TEXT(AUX!BO$1,"dd-MMM-aa"),"")</f>
      </c>
      <c r="BL251" s="496" t="str">
        <f> IF(BL271&lt;&gt;"",TEXT(AUX!BP$1,"dd-MMM-aa"),"")</f>
      </c>
      <c r="BM251" s="496" t="str">
        <f> IF(BM271&lt;&gt;"",TEXT(AUX!BQ$1,"dd-MMM-aa"),"")</f>
      </c>
      <c r="BN251" s="496" t="str">
        <f> IF(BN271&lt;&gt;"",TEXT(AUX!BR$1,"dd-MMM-aa"),"")</f>
      </c>
      <c r="BO251" s="496" t="str">
        <f> IF(BO271&lt;&gt;"",TEXT(AUX!BS$1,"dd-MMM-aa"),"")</f>
      </c>
      <c r="BP251" s="496" t="str">
        <f> IF(BP271&lt;&gt;"",TEXT(AUX!BT$1,"dd-MMM-aa"),"")</f>
      </c>
      <c r="BQ251" s="496" t="str">
        <f> IF(BQ271&lt;&gt;"",TEXT(AUX!BU$1,"dd-MMM-aa"),"")</f>
      </c>
      <c r="BR251" s="496" t="str">
        <f> IF(BR271&lt;&gt;"",TEXT(AUX!BV$1,"dd-MMM-aa"),"")</f>
      </c>
      <c r="BS251" s="496" t="str">
        <f> IF(BS271&lt;&gt;"",TEXT(AUX!BW$1,"dd-MMM-aa"),"")</f>
      </c>
      <c r="BT251" s="496" t="str">
        <f> IF(BT271&lt;&gt;"",TEXT(AUX!BX$1,"dd-MMM-aa"),"")</f>
      </c>
      <c r="BU251" s="496" t="str">
        <f> IF(BU271&lt;&gt;"",TEXT(AUX!BY$1,"dd-MMM-aa"),"")</f>
      </c>
      <c r="BV251" s="496" t="str">
        <f> IF(BV271&lt;&gt;"",TEXT(AUX!BZ$1,"dd-MMM-aa"),"")</f>
      </c>
      <c r="BW251" s="496" t="str">
        <f> IF(BW271&lt;&gt;"",TEXT(AUX!CA$1,"dd-MMM-aa"),"")</f>
      </c>
      <c r="BX251" s="496" t="str">
        <f> IF(BX271&lt;&gt;"",TEXT(AUX!CB$1,"dd-MMM-aa"),"")</f>
      </c>
      <c r="BY251" s="496" t="str">
        <f> IF(BY271&lt;&gt;"",TEXT(AUX!CC$1,"dd-MMM-aa"),"")</f>
      </c>
      <c r="BZ251" s="496" t="str">
        <f> IF(BZ271&lt;&gt;"",TEXT(AUX!CD$1,"dd-MMM-aa"),"")</f>
      </c>
      <c r="CA251" s="496" t="str">
        <f> IF(CA271&lt;&gt;"",TEXT(AUX!CE$1,"dd-MMM-aa"),"")</f>
      </c>
      <c r="CB251" s="496" t="str">
        <f> IF(CB271&lt;&gt;"",TEXT(AUX!CF$1,"dd-MMM-aa"),"")</f>
      </c>
      <c r="CC251" s="496" t="str">
        <f> IF(CC271&lt;&gt;"",TEXT(AUX!CG$1,"dd-MMM-aa"),"")</f>
      </c>
      <c r="CD251" s="496" t="str">
        <f> IF(CD271&lt;&gt;"",TEXT(AUX!CH$1,"dd-MMM-aa"),"")</f>
      </c>
      <c r="CE251" s="496" t="str">
        <f> IF(CE271&lt;&gt;"",TEXT(AUX!CI$1,"dd-MMM-aa"),"")</f>
      </c>
      <c r="CF251" s="496" t="str">
        <f> IF(CF271&lt;&gt;"",TEXT(AUX!CJ$1,"dd-MMM-aa"),"")</f>
      </c>
      <c r="CG251" s="496" t="str">
        <f> IF(CG271&lt;&gt;"",TEXT(AUX!CK$1,"dd-MMM-aa"),"")</f>
      </c>
      <c r="CH251" s="496" t="str">
        <f> IF(CH271&lt;&gt;"",TEXT(AUX!CL$1,"dd-MMM-aa"),"")</f>
      </c>
      <c r="CI251" s="496" t="str">
        <f> IF(CI271&lt;&gt;"",TEXT(AUX!CM$1,"dd-MMM-aa"),"")</f>
      </c>
      <c r="CJ251" s="496" t="str">
        <f> IF(CJ271&lt;&gt;"",TEXT(AUX!CN$1,"dd-MMM-aa"),"")</f>
      </c>
      <c r="CK251" s="496" t="str">
        <f> IF(CK271&lt;&gt;"",TEXT(AUX!CO$1,"dd-MMM-aa"),"")</f>
      </c>
      <c r="CL251" s="496" t="str">
        <f> IF(CL271&lt;&gt;"",TEXT(AUX!CP$1,"dd-MMM-aa"),"")</f>
      </c>
      <c r="CM251" s="496" t="str">
        <f> IF(CM271&lt;&gt;"",TEXT(AUX!CQ$1,"dd-MMM-aa"),"")</f>
      </c>
      <c r="CN251" s="496" t="str">
        <f> IF(CN271&lt;&gt;"",TEXT(AUX!CR$1,"dd-MMM-aa"),"")</f>
      </c>
      <c r="CO251" s="496" t="str">
        <f> IF(CO271&lt;&gt;"",TEXT(AUX!CS$1,"dd-MMM-aa"),"")</f>
      </c>
      <c r="CP251" s="496" t="str">
        <f> IF(CP271&lt;&gt;"",TEXT(AUX!CT$1,"dd-MMM-aa"),"")</f>
      </c>
      <c r="CQ251" s="496" t="str">
        <f> IF(CQ271&lt;&gt;"",TEXT(AUX!CU$1,"dd-MMM-aa"),"")</f>
      </c>
      <c r="CR251" s="496" t="str">
        <f> IF(CR271&lt;&gt;"",TEXT(AUX!CV$1,"dd-MMM-aa"),"")</f>
      </c>
      <c r="CS251" s="496" t="str">
        <f> IF(CS271&lt;&gt;"",TEXT(AUX!CW$1,"dd-MMM-aa"),"")</f>
      </c>
      <c r="CT251" s="496" t="str">
        <f> IF(CT271&lt;&gt;"",TEXT(AUX!CX$1,"dd-MMM-aa"),"")</f>
      </c>
      <c r="CU251" s="496" t="str">
        <f> IF(CU271&lt;&gt;"",TEXT(AUX!CY$1,"dd-MMM-aa"),"")</f>
      </c>
      <c r="CV251" s="496" t="str">
        <f> IF(CV271&lt;&gt;"",TEXT(AUX!CZ$1,"dd-MMM-aa"),"")</f>
      </c>
      <c r="CW251" s="496" t="str">
        <f> IF(CW271&lt;&gt;"",TEXT(AUX!DA$1,"dd-MMM-aa"),"")</f>
      </c>
      <c r="CX251" s="496" t="str">
        <f> IF(CX271&lt;&gt;"",TEXT(AUX!DB$1,"dd-MMM-aa"),"")</f>
      </c>
      <c r="CY251" s="496" t="str">
        <f> IF(CY271&lt;&gt;"",TEXT(AUX!DC$1,"dd-MMM-aa"),"")</f>
      </c>
      <c r="CZ251" s="496" t="str">
        <f> IF(CZ271&lt;&gt;"",TEXT(AUX!DD$1,"dd-MMM-aa"),"")</f>
      </c>
      <c r="DA251" s="496" t="str">
        <f> IF(DA271&lt;&gt;"",TEXT(AUX!DE$1,"dd-MMM-aa"),"")</f>
      </c>
      <c r="DB251" s="496" t="str">
        <f> IF(DB271&lt;&gt;"",TEXT(AUX!DF$1,"dd-MMM-aa"),"")</f>
      </c>
      <c r="DC251" s="496" t="str">
        <f> IF(DC271&lt;&gt;"",TEXT(AUX!DG$1,"dd-MMM-aa"),"")</f>
      </c>
      <c r="DD251" s="496" t="str">
        <f> IF(DD271&lt;&gt;"",TEXT(AUX!DH$1,"dd-MMM-aa"),"")</f>
      </c>
      <c r="DE251" s="496" t="str">
        <f> IF(DE271&lt;&gt;"",TEXT(AUX!DI$1,"dd-MMM-aa"),"")</f>
      </c>
      <c r="DF251" s="496" t="str">
        <f> IF(DF271&lt;&gt;"",TEXT(AUX!DJ$1,"dd-MMM-aa"),"")</f>
      </c>
      <c r="DG251" s="496" t="str">
        <f> IF(DG271&lt;&gt;"",TEXT(AUX!DK$1,"dd-MMM-aa"),"")</f>
      </c>
      <c r="DH251" s="496" t="str">
        <f> IF(DH271&lt;&gt;"",TEXT(AUX!DL$1,"dd-MMM-aa"),"")</f>
      </c>
      <c r="DI251" s="496" t="str">
        <f> IF(DI271&lt;&gt;"",TEXT(AUX!DM$1,"dd-MMM-aa"),"")</f>
      </c>
      <c r="DJ251" s="496" t="str">
        <f> IF(DJ271&lt;&gt;"",TEXT(AUX!DN$1,"dd-MMM-aa"),"")</f>
      </c>
      <c r="DK251" s="496" t="str">
        <f> IF(DK271&lt;&gt;"",TEXT(AUX!DO$1,"dd-MMM-aa"),"")</f>
      </c>
      <c r="DL251" s="496" t="str">
        <f> IF(DL271&lt;&gt;"",TEXT(AUX!DP$1,"dd-MMM-aa"),"")</f>
      </c>
      <c r="DM251" s="496" t="str">
        <f> IF(DM271&lt;&gt;"",TEXT(AUX!DQ$1,"dd-MMM-aa"),"")</f>
      </c>
      <c r="DN251" s="496" t="str">
        <f> IF(DN271&lt;&gt;"",TEXT(AUX!DR$1,"dd-MMM-aa"),"")</f>
      </c>
      <c r="DO251" s="496" t="str">
        <f> IF(DO271&lt;&gt;"",TEXT(AUX!DS$1,"dd-MMM-aa"),"")</f>
      </c>
      <c r="DP251" s="496" t="str">
        <f> IF(DP271&lt;&gt;"",TEXT(AUX!DT$1,"dd-MMM-aa"),"")</f>
      </c>
      <c r="DQ251" s="496" t="str">
        <f> IF(DQ271&lt;&gt;"",TEXT(AUX!DU$1,"dd-MMM-aa"),"")</f>
      </c>
      <c r="DR251" s="496" t="str">
        <f> IF(DR271&lt;&gt;"",TEXT(AUX!DV$1,"dd-MMM-aa"),"")</f>
      </c>
      <c r="DS251" s="496" t="str">
        <f> IF(DS271&lt;&gt;"",TEXT(AUX!DW$1,"dd-MMM-aa"),"")</f>
      </c>
      <c r="DT251" s="496" t="str">
        <f> IF(DT271&lt;&gt;"",TEXT(AUX!DX$1,"dd-MMM-aa"),"")</f>
      </c>
      <c r="DU251" s="496" t="str">
        <f> IF(DU271&lt;&gt;"",TEXT(AUX!DY$1,"dd-MMM-aa"),"")</f>
      </c>
      <c r="DV251" s="496" t="str">
        <f> IF(DV271&lt;&gt;"",TEXT(AUX!DZ$1,"dd-MMM-aa"),"")</f>
      </c>
      <c r="DW251" s="496" t="str">
        <f> IF(DW271&lt;&gt;"",TEXT(AUX!EA$1,"dd-MMM-aa"),"")</f>
      </c>
      <c r="DX251" s="496" t="str">
        <f> IF(DX271&lt;&gt;"",TEXT(AUX!EB$1,"dd-MMM-aa"),"")</f>
      </c>
      <c r="DY251" s="496" t="str">
        <f> IF(DY271&lt;&gt;"",TEXT(AUX!EC$1,"dd-MMM-aa"),"")</f>
      </c>
      <c r="DZ251" s="496" t="str">
        <f> IF(DZ271&lt;&gt;"",TEXT(AUX!ED$1,"dd-MMM-aa"),"")</f>
      </c>
      <c r="EA251" s="496" t="str">
        <f> IF(EA271&lt;&gt;"",TEXT(AUX!EE$1,"dd-MMM-aa"),"")</f>
      </c>
      <c r="EB251" s="496" t="str">
        <f> IF(EB271&lt;&gt;"",TEXT(AUX!EF$1,"dd-MMM-aa"),"")</f>
      </c>
      <c r="EC251" s="496" t="str">
        <f> IF(EC271&lt;&gt;"",TEXT(AUX!EG$1,"dd-MMM-aa"),"")</f>
      </c>
      <c r="ED251" s="496" t="str">
        <f> IF(ED271&lt;&gt;"",TEXT(AUX!EH$1,"dd-MMM-aa"),"")</f>
      </c>
      <c r="EE251" s="496" t="str">
        <f> IF(EE271&lt;&gt;"",TEXT(AUX!EI$1,"dd-MMM-aa"),"")</f>
      </c>
      <c r="EF251" s="496" t="str">
        <f> IF(EF271&lt;&gt;"",TEXT(AUX!EJ$1,"dd-MMM-aa"),"")</f>
      </c>
      <c r="EG251" s="496" t="str">
        <f> IF(EG271&lt;&gt;"",TEXT(AUX!EK$1,"dd-MMM-aa"),"")</f>
      </c>
      <c r="EH251" s="496" t="str">
        <f> IF(EH271&lt;&gt;"",TEXT(AUX!EL$1,"dd-MMM-aa"),"")</f>
      </c>
      <c r="EI251" s="496" t="str">
        <f> IF(EI271&lt;&gt;"",TEXT(AUX!EM$1,"dd-MMM-aa"),"")</f>
      </c>
      <c r="EJ251" s="496" t="str">
        <f> IF(EJ271&lt;&gt;"",TEXT(AUX!EN$1,"dd-MMM-aa"),"")</f>
      </c>
      <c r="EK251" s="496" t="str">
        <f> IF(EK271&lt;&gt;"",TEXT(AUX!EO$1,"dd-MMM-aa"),"")</f>
      </c>
      <c r="EL251" s="496" t="str">
        <f> IF(EL271&lt;&gt;"",TEXT(AUX!EP$1,"dd-MMM-aa"),"")</f>
      </c>
      <c r="EM251" s="496" t="str">
        <f> IF(EM271&lt;&gt;"",TEXT(AUX!EQ$1,"dd-MMM-aa"),"")</f>
      </c>
      <c r="EN251" s="496" t="str">
        <f> IF(EN271&lt;&gt;"",TEXT(AUX!ER$1,"dd-MMM-aa"),"")</f>
      </c>
      <c r="EO251" s="496" t="str">
        <f> IF(EO271&lt;&gt;"",TEXT(AUX!ES$1,"dd-MMM-aa"),"")</f>
      </c>
      <c r="EP251" s="496" t="str">
        <f> IF(EP271&lt;&gt;"",TEXT(AUX!ET$1,"dd-MMM-aa"),"")</f>
      </c>
      <c r="EQ251" s="496" t="str">
        <f> IF(EQ271&lt;&gt;"",TEXT(AUX!EU$1,"dd-MMM-aa"),"")</f>
      </c>
      <c r="ER251" s="496" t="str">
        <f> IF(ER271&lt;&gt;"",TEXT(AUX!EV$1,"dd-MMM-aa"),"")</f>
      </c>
      <c r="ES251" s="496" t="str">
        <f> IF(ES271&lt;&gt;"",TEXT(AUX!EW$1,"dd-MMM-aa"),"")</f>
      </c>
      <c r="ET251" s="496" t="str">
        <f> IF(ET271&lt;&gt;"",TEXT(AUX!EX$1,"dd-MMM-aa"),"")</f>
      </c>
      <c r="EU251" s="496" t="str">
        <f> IF(EU271&lt;&gt;"",TEXT(AUX!EY$1,"dd-MMM-aa"),"")</f>
      </c>
      <c r="EV251" s="496" t="str">
        <f> IF(EV271&lt;&gt;"",TEXT(AUX!EZ$1,"dd-MMM-aa"),"")</f>
      </c>
      <c r="EW251" s="496" t="str">
        <f> IF(EW271&lt;&gt;"",TEXT(AUX!FA$1,"dd-MMM-aa"),"")</f>
      </c>
      <c r="EX251" s="496" t="str">
        <f> IF(EX271&lt;&gt;"",TEXT(AUX!FB$1,"dd-MMM-aa"),"")</f>
      </c>
      <c r="EY251" s="496" t="str">
        <f> IF(EY271&lt;&gt;"",TEXT(AUX!FC$1,"dd-MMM-aa"),"")</f>
      </c>
      <c r="EZ251" s="496" t="str">
        <f> IF(EZ271&lt;&gt;"",TEXT(AUX!FD$1,"dd-MMM-aa"),"")</f>
      </c>
      <c r="FA251" s="496" t="str">
        <f> IF(FA271&lt;&gt;"",TEXT(AUX!FE$1,"dd-MMM-aa"),"")</f>
      </c>
      <c r="FB251" s="496" t="str">
        <f> IF(FB271&lt;&gt;"",TEXT(AUX!FF$1,"dd-MMM-aa"),"")</f>
      </c>
      <c r="FC251" s="496" t="str">
        <f> IF(FC271&lt;&gt;"",TEXT(AUX!FG$1,"dd-MMM-aa"),"")</f>
      </c>
      <c r="FD251" s="496" t="str">
        <f> IF(FD271&lt;&gt;"",TEXT(AUX!FH$1,"dd-MMM-aa"),"")</f>
      </c>
      <c r="FE251" s="496" t="str">
        <f> IF(FE271&lt;&gt;"",TEXT(AUX!FI$1,"dd-MMM-aa"),"")</f>
      </c>
      <c r="FF251" s="496" t="str">
        <f> IF(FF271&lt;&gt;"",TEXT(AUX!FJ$1,"dd-MMM-aa"),"")</f>
      </c>
      <c r="FG251" s="496" t="str">
        <f> IF(FG271&lt;&gt;"",TEXT(AUX!FK$1,"dd-MMM-aa"),"")</f>
      </c>
      <c r="FH251" s="496" t="str">
        <f> IF(FH271&lt;&gt;"",TEXT(AUX!FL$1,"dd-MMM-aa"),"")</f>
      </c>
      <c r="FI251" s="496" t="str">
        <f> IF(FI271&lt;&gt;"",TEXT(AUX!FM$1,"dd-MMM-aa"),"")</f>
      </c>
      <c r="FJ251" s="496" t="str">
        <f> IF(FJ271&lt;&gt;"",TEXT(AUX!FN$1,"dd-MMM-aa"),"")</f>
      </c>
      <c r="FK251" s="496" t="str">
        <f> IF(FK271&lt;&gt;"",TEXT(AUX!FO$1,"dd-MMM-aa"),"")</f>
      </c>
      <c r="FL251" s="496" t="str">
        <f> IF(FL271&lt;&gt;"",TEXT(AUX!FP$1,"dd-MMM-aa"),"")</f>
      </c>
      <c r="FM251" s="496" t="str">
        <f> IF(FM271&lt;&gt;"",TEXT(AUX!FQ$1,"dd-MMM-aa"),"")</f>
      </c>
      <c r="FN251" s="496" t="str">
        <f> IF(FN271&lt;&gt;"",TEXT(AUX!FR$1,"dd-MMM-aa"),"")</f>
      </c>
      <c r="FO251" s="496" t="str">
        <f> IF(FO271&lt;&gt;"",TEXT(AUX!FS$1,"dd-MMM-aa"),"")</f>
      </c>
      <c r="FP251" s="496" t="str">
        <f> IF(FP271&lt;&gt;"",TEXT(AUX!FT$1,"dd-MMM-aa"),"")</f>
      </c>
      <c r="FQ251" s="496" t="str">
        <f> IF(FQ271&lt;&gt;"",TEXT(AUX!FU$1,"dd-MMM-aa"),"")</f>
      </c>
      <c r="FR251" s="496" t="str">
        <f> IF(FR271&lt;&gt;"",TEXT(AUX!FV$1,"dd-MMM-aa"),"")</f>
      </c>
      <c r="FS251" s="496" t="str">
        <f> IF(FS271&lt;&gt;"",TEXT(AUX!FW$1,"dd-MMM-aa"),"")</f>
      </c>
      <c r="FT251" s="496" t="str">
        <f> IF(FT271&lt;&gt;"",TEXT(AUX!FX$1,"dd-MMM-aa"),"")</f>
      </c>
      <c r="FU251" s="496" t="str">
        <f> IF(FU271&lt;&gt;"",TEXT(AUX!FY$1,"dd-MMM-aa"),"")</f>
      </c>
      <c r="FV251" s="496" t="str">
        <f> IF(FV271&lt;&gt;"",TEXT(AUX!FZ$1,"dd-MMM-aa"),"")</f>
      </c>
      <c r="FW251" s="496" t="str">
        <f> IF(FW271&lt;&gt;"",TEXT(AUX!GA$1,"dd-MMM-aa"),"")</f>
      </c>
      <c r="FX251" s="496" t="str">
        <f> IF(FX271&lt;&gt;"",TEXT(AUX!GB$1,"dd-MMM-aa"),"")</f>
      </c>
      <c r="FY251" s="496" t="str">
        <f> IF(FY271&lt;&gt;"",TEXT(AUX!GC$1,"dd-MMM-aa"),"")</f>
      </c>
      <c r="FZ251" s="496" t="str">
        <f> IF(FZ271&lt;&gt;"",TEXT(AUX!GD$1,"dd-MMM-aa"),"")</f>
      </c>
      <c r="GA251" s="496" t="str">
        <f> IF(GA271&lt;&gt;"",TEXT(AUX!GE$1,"dd-MMM-aa"),"")</f>
      </c>
      <c r="GB251" s="496" t="str">
        <f> IF(GB271&lt;&gt;"",TEXT(AUX!GF$1,"dd-MMM-aa"),"")</f>
      </c>
      <c r="GC251" s="496" t="str">
        <f> IF(GC271&lt;&gt;"",TEXT(AUX!GG$1,"dd-MMM-aa"),"")</f>
      </c>
      <c r="GD251" s="496" t="str">
        <f> IF(GD271&lt;&gt;"",TEXT(AUX!GH$1,"dd-MMM-aa"),"")</f>
      </c>
      <c r="GE251" s="496" t="str">
        <f> IF(GE271&lt;&gt;"",TEXT(AUX!GI$1,"dd-MMM-aa"),"")</f>
      </c>
      <c r="GF251" s="496" t="str">
        <f> IF(GF271&lt;&gt;"",TEXT(AUX!GJ$1,"dd-MMM-aa"),"")</f>
      </c>
      <c r="GG251" s="496" t="str">
        <f> IF(GG271&lt;&gt;"",TEXT(AUX!GK$1,"dd-MMM-aa"),"")</f>
      </c>
      <c r="GH251" s="496" t="str">
        <f> IF(GH271&lt;&gt;"",TEXT(AUX!GL$1,"dd-MMM-aa"),"")</f>
      </c>
      <c r="GI251" s="496" t="str">
        <f> IF(GI271&lt;&gt;"",TEXT(AUX!GM$1,"dd-MMM-aa"),"")</f>
      </c>
      <c r="GJ251" s="496" t="str">
        <f> IF(GJ271&lt;&gt;"",TEXT(AUX!GN$1,"dd-MMM-aa"),"")</f>
      </c>
      <c r="GK251" s="496" t="str">
        <f> IF(GK271&lt;&gt;"",TEXT(AUX!GO$1,"dd-MMM-aa"),"")</f>
      </c>
      <c r="GL251" s="496" t="str">
        <f> IF(GL271&lt;&gt;"",TEXT(AUX!GP$1,"dd-MMM-aa"),"")</f>
      </c>
      <c r="GM251" s="496" t="str">
        <f> IF(GM271&lt;&gt;"",TEXT(AUX!GQ$1,"dd-MMM-aa"),"")</f>
      </c>
      <c r="GN251" s="496" t="str">
        <f> IF(GN271&lt;&gt;"",TEXT(AUX!GR$1,"dd-MMM-aa"),"")</f>
      </c>
      <c r="GO251" s="496" t="str">
        <f> IF(GO271&lt;&gt;"",TEXT(AUX!GS$1,"dd-MMM-aa"),"")</f>
      </c>
      <c r="GP251" s="496" t="str">
        <f> IF(GP271&lt;&gt;"",TEXT(AUX!GT$1,"dd-MMM-aa"),"")</f>
      </c>
      <c r="GQ251" s="496" t="str">
        <f> IF(GQ271&lt;&gt;"",TEXT(AUX!GU$1,"dd-MMM-aa"),"")</f>
      </c>
      <c r="GR251" s="496" t="str">
        <f> IF(GR271&lt;&gt;"",TEXT(AUX!GV$1,"dd-MMM-aa"),"")</f>
      </c>
      <c r="GS251" s="496" t="str">
        <f> IF(GS271&lt;&gt;"",TEXT(AUX!GW$1,"dd-MMM-aa"),"")</f>
      </c>
      <c r="GT251" s="496" t="str">
        <f> IF(GT271&lt;&gt;"",TEXT(AUX!GX$1,"dd-MMM-aa"),"")</f>
      </c>
      <c r="GU251" s="496" t="str">
        <f> IF(GU271&lt;&gt;"",TEXT(AUX!GY$1,"dd-MMM-aa"),"")</f>
      </c>
      <c r="GV251" s="496" t="str">
        <f> IF(GV271&lt;&gt;"",TEXT(AUX!GZ$1,"dd-MMM-aa"),"")</f>
      </c>
      <c r="GW251" s="496" t="str">
        <f> IF(GW271&lt;&gt;"",TEXT(AUX!HA$1,"dd-MMM-aa"),"")</f>
      </c>
      <c r="GX251" s="496" t="str">
        <f> IF(GX271&lt;&gt;"",TEXT(AUX!HB$1,"dd-MMM-aa"),"")</f>
      </c>
      <c r="GY251" s="496" t="str">
        <f> IF(GY271&lt;&gt;"",TEXT(AUX!HC$1,"dd-MMM-aa"),"")</f>
      </c>
      <c r="GZ251" s="496" t="str">
        <f> IF(GZ271&lt;&gt;"",TEXT(AUX!HD$1,"dd-MMM-aa"),"")</f>
      </c>
      <c r="HA251" s="496" t="str">
        <f> IF(HA271&lt;&gt;"",TEXT(AUX!HE$1,"dd-MMM-aa"),"")</f>
      </c>
      <c r="HB251" s="496" t="str">
        <f> IF(HB271&lt;&gt;"",TEXT(AUX!HF$1,"dd-MMM-aa"),"")</f>
      </c>
      <c r="HC251" s="496" t="str">
        <f> IF(HC271&lt;&gt;"",TEXT(AUX!HG$1,"dd-MMM-aa"),"")</f>
      </c>
      <c r="HD251" s="496" t="str">
        <f> IF(HD271&lt;&gt;"",TEXT(AUX!HH$1,"dd-MMM-aa"),"")</f>
      </c>
      <c r="HE251" s="496" t="str">
        <f> IF(HE271&lt;&gt;"",TEXT(AUX!HI$1,"dd-MMM-aa"),"")</f>
      </c>
      <c r="HF251" s="496" t="str">
        <f> IF(HF271&lt;&gt;"",TEXT(AUX!HJ$1,"dd-MMM-aa"),"")</f>
      </c>
      <c r="HG251" s="496" t="str">
        <f> IF(HG271&lt;&gt;"",TEXT(AUX!HK$1,"dd-MMM-aa"),"")</f>
      </c>
      <c r="HH251" s="496" t="str">
        <f> IF(HH271&lt;&gt;"",TEXT(AUX!HL$1,"dd-MMM-aa"),"")</f>
      </c>
      <c r="HI251" s="496" t="str">
        <f> IF(HI271&lt;&gt;"",TEXT(AUX!HM$1,"dd-MMM-aa"),"")</f>
      </c>
      <c r="HJ251" s="496" t="str">
        <f> IF(HJ271&lt;&gt;"",TEXT(AUX!HN$1,"dd-MMM-aa"),"")</f>
      </c>
      <c r="HK251" s="496" t="str">
        <f> IF(HK271&lt;&gt;"",TEXT(AUX!HO$1,"dd-MMM-aa"),"")</f>
      </c>
      <c r="HL251" s="496" t="str">
        <f> IF(HL271&lt;&gt;"",TEXT(AUX!HP$1,"dd-MMM-aa"),"")</f>
      </c>
      <c r="HM251" s="496" t="str">
        <f> IF(HM271&lt;&gt;"",TEXT(AUX!HQ$1,"dd-MMM-aa"),"")</f>
      </c>
      <c r="HN251" s="496" t="str">
        <f> IF(HN271&lt;&gt;"",TEXT(AUX!HR$1,"dd-MMM-aa"),"")</f>
      </c>
      <c r="HO251" s="496" t="str">
        <f> IF(HO271&lt;&gt;"",TEXT(AUX!HS$1,"dd-MMM-aa"),"")</f>
      </c>
      <c r="HP251" s="496" t="str">
        <f> IF(HP271&lt;&gt;"",TEXT(AUX!HT$1,"dd-MMM-aa"),"")</f>
      </c>
      <c r="HQ251" s="496" t="str">
        <f> IF(HQ271&lt;&gt;"",TEXT(AUX!HU$1,"dd-MMM-aa"),"")</f>
      </c>
      <c r="HR251" s="496" t="str">
        <f> IF(HR271&lt;&gt;"",TEXT(AUX!HV$1,"dd-MMM-aa"),"")</f>
      </c>
      <c r="HS251" s="496" t="str">
        <f> IF(HS271&lt;&gt;"",TEXT(AUX!HW$1,"dd-MMM-aa"),"")</f>
      </c>
      <c r="HT251" s="496" t="str">
        <f> IF(HT271&lt;&gt;"",TEXT(AUX!HX$1,"dd-MMM-aa"),"")</f>
      </c>
      <c r="HU251" s="496" t="str">
        <f> IF(HU271&lt;&gt;"",TEXT(AUX!HY$1,"dd-MMM-aa"),"")</f>
      </c>
      <c r="HV251" s="496" t="str">
        <f> IF(HV271&lt;&gt;"",TEXT(AUX!HZ$1,"dd-MMM-aa"),"")</f>
      </c>
      <c r="HW251" s="496" t="str">
        <f> IF(HW271&lt;&gt;"",TEXT(AUX!IA$1,"dd-MMM-aa"),"")</f>
      </c>
      <c r="HX251" s="496" t="str">
        <f> IF(HX271&lt;&gt;"",TEXT(AUX!IB$1,"dd-MMM-aa"),"")</f>
      </c>
      <c r="HY251" s="496" t="str">
        <f> IF(HY271&lt;&gt;"",TEXT(AUX!IC$1,"dd-MMM-aa"),"")</f>
      </c>
      <c r="HZ251" s="496" t="str">
        <f> IF(HZ271&lt;&gt;"",TEXT(AUX!ID$1,"dd-MMM-aa"),"")</f>
      </c>
      <c r="IA251" s="496" t="str">
        <f> IF(IA271&lt;&gt;"",TEXT(AUX!IE$1,"dd-MMM-aa"),"")</f>
      </c>
      <c r="IB251" s="496" t="str">
        <f> IF(IB271&lt;&gt;"",TEXT(AUX!IF$1,"dd-MMM-aa"),"")</f>
      </c>
      <c r="IC251" s="496" t="str">
        <f> IF(IC271&lt;&gt;"",TEXT(AUX!IG$1,"dd-MMM-aa"),"")</f>
      </c>
      <c r="ID251" s="496" t="str">
        <f> IF(ID271&lt;&gt;"",TEXT(AUX!IH$1,"dd-MMM-aa"),"")</f>
      </c>
      <c r="IE251" s="496" t="str">
        <f> IF(IE271&lt;&gt;"",TEXT(AUX!II$1,"dd-MMM-aa"),"")</f>
      </c>
      <c r="IF251" s="496" t="str">
        <f> IF(IF271&lt;&gt;"",TEXT(AUX!IJ$1,"dd-MMM-aa"),"")</f>
      </c>
      <c r="IG251" s="496" t="str">
        <f> IF(IG271&lt;&gt;"",TEXT(AUX!IK$1,"dd-MMM-aa"),"")</f>
      </c>
      <c r="IH251" s="496" t="str">
        <f> IF(IH271&lt;&gt;"",TEXT(AUX!IL$1,"dd-MMM-aa"),"")</f>
      </c>
      <c r="II251" s="496" t="str">
        <f> IF(II271&lt;&gt;"",TEXT(AUX!IM$1,"dd-MMM-aa"),"")</f>
      </c>
      <c r="IJ251" s="496" t="str">
        <f> IF(IJ271&lt;&gt;"",TEXT(AUX!IN$1,"dd-MMM-aa"),"")</f>
      </c>
      <c r="IK251" s="496" t="str">
        <f> IF(IK271&lt;&gt;"",TEXT(AUX!IO$1,"dd-MMM-aa"),"")</f>
      </c>
      <c r="IL251" s="496" t="str">
        <f> IF(IL271&lt;&gt;"",TEXT(AUX!IP$1,"dd-MMM-aa"),"")</f>
      </c>
      <c r="IM251" s="496" t="str">
        <f> IF(IM271&lt;&gt;"",TEXT(AUX!IQ$1,"dd-MMM-aa"),"")</f>
      </c>
      <c r="IN251" s="496" t="str">
        <f> IF(IN271&lt;&gt;"",TEXT(AUX!IR$1,"dd-MMM-aa"),"")</f>
      </c>
      <c r="IO251" s="496" t="str">
        <f> IF(IO271&lt;&gt;"",TEXT(AUX!IS$1,"dd-MMM-aa"),"")</f>
      </c>
      <c r="IP251" s="496" t="str">
        <f> IF(IP271&lt;&gt;"",TEXT(AUX!IT$1,"dd-MMM-aa"),"")</f>
      </c>
      <c r="IQ251" s="496" t="str">
        <f> IF(IQ271&lt;&gt;"",TEXT(AUX!IU$1,"dd-MMM-aa"),"")</f>
      </c>
      <c r="IR251" s="496" t="str">
        <f> IF(IR271&lt;&gt;"",TEXT(AUX!IV$1,"dd-MMM-aa"),"")</f>
      </c>
      <c r="IS251" s="496" t="str">
        <f> IF(IS271&lt;&gt;"",TEXT(AUX!#REF!,"dd-MMM-aa"),"")</f>
      </c>
      <c r="IT251" s="496" t="str">
        <f> IF(IT271&lt;&gt;"",TEXT(AUX!#REF!,"dd-MMM-aa"),"")</f>
      </c>
      <c r="IU251" s="496" t="str">
        <f> IF(IU271&lt;&gt;"",TEXT(AUX!#REF!,"dd-MMM-aa"),"")</f>
      </c>
      <c r="IV251" s="496" t="str">
        <f> IF(IV271&lt;&gt;"",TEXT(AUX!#REF!,"dd-MMM-aa"),"")</f>
      </c>
    </row>
    <row r="252" hidden="1">
      <c r="B252" s="822" t="s">
        <v>8</v>
      </c>
      <c r="C252" s="823">
        <v>56</v>
      </c>
      <c r="D252" s="823">
        <v>55</v>
      </c>
      <c r="E252" s="823">
        <v>67</v>
      </c>
      <c r="F252" s="823">
        <v>73</v>
      </c>
      <c r="G252" s="823">
        <v>75</v>
      </c>
      <c r="H252" s="823">
        <v>80</v>
      </c>
      <c r="I252" s="823">
        <v>79</v>
      </c>
      <c r="J252" s="823">
        <v>79</v>
      </c>
      <c r="K252" s="823">
        <v>79</v>
      </c>
      <c r="L252" s="823">
        <v>76</v>
      </c>
      <c r="M252" s="823">
        <v>77</v>
      </c>
      <c r="N252" s="823">
        <v>77</v>
      </c>
      <c r="O252" s="823">
        <v>67</v>
      </c>
      <c r="P252" s="823">
        <v>66</v>
      </c>
      <c r="Q252" s="823">
        <v>60</v>
      </c>
      <c r="R252" s="823">
        <v>64</v>
      </c>
      <c r="S252" s="823">
        <v>68</v>
      </c>
      <c r="T252" s="823">
        <v>69</v>
      </c>
      <c r="U252" s="823">
        <v>66</v>
      </c>
      <c r="V252" s="823">
        <v>64</v>
      </c>
      <c r="W252" s="823">
        <v>57</v>
      </c>
      <c r="X252" s="823">
        <v>41</v>
      </c>
      <c r="Y252" s="823">
        <v>43</v>
      </c>
      <c r="Z252" s="823">
        <v>40</v>
      </c>
      <c r="AA252" s="823">
        <v>36</v>
      </c>
      <c r="AB252" s="824">
        <v>34</v>
      </c>
      <c r="AC252" s="825">
        <v>36</v>
      </c>
      <c r="AD252" s="825">
        <v>30</v>
      </c>
      <c r="AE252" s="825">
        <v>30</v>
      </c>
      <c r="AF252" s="825">
        <v>30</v>
      </c>
      <c r="AG252" s="825">
        <v>30</v>
      </c>
      <c r="AH252" s="825">
        <v>30</v>
      </c>
      <c r="AI252" s="825">
        <v>30</v>
      </c>
      <c r="AJ252" s="825">
        <v>27</v>
      </c>
      <c r="AK252" s="825">
        <v>25</v>
      </c>
      <c r="AL252" s="825">
        <v>23</v>
      </c>
      <c r="AM252" s="825">
        <v>26</v>
      </c>
      <c r="AN252" s="825">
        <v>24</v>
      </c>
      <c r="AO252" s="825">
        <v>32</v>
      </c>
      <c r="AP252" s="825">
        <v>39</v>
      </c>
    </row>
    <row r="253" hidden="1">
      <c r="B253" s="826" t="s">
        <v>9</v>
      </c>
      <c r="C253" s="827">
        <v>417</v>
      </c>
      <c r="D253" s="827">
        <v>413</v>
      </c>
      <c r="E253" s="827">
        <v>393</v>
      </c>
      <c r="F253" s="827">
        <v>380</v>
      </c>
      <c r="G253" s="827">
        <v>368</v>
      </c>
      <c r="H253" s="827">
        <v>357</v>
      </c>
      <c r="I253" s="827">
        <v>348</v>
      </c>
      <c r="J253" s="827">
        <v>341</v>
      </c>
      <c r="K253" s="827">
        <v>336</v>
      </c>
      <c r="L253" s="827">
        <v>334</v>
      </c>
      <c r="M253" s="827">
        <v>330</v>
      </c>
      <c r="N253" s="827">
        <v>328</v>
      </c>
      <c r="O253" s="827">
        <v>232</v>
      </c>
      <c r="P253" s="827">
        <v>240</v>
      </c>
      <c r="Q253" s="827">
        <v>240</v>
      </c>
      <c r="R253" s="827">
        <v>234</v>
      </c>
      <c r="S253" s="827">
        <v>232</v>
      </c>
      <c r="T253" s="827">
        <v>231</v>
      </c>
      <c r="U253" s="827">
        <v>229</v>
      </c>
      <c r="V253" s="827">
        <v>211</v>
      </c>
      <c r="W253" s="827">
        <v>204</v>
      </c>
      <c r="X253" s="827">
        <v>197</v>
      </c>
      <c r="Y253" s="827">
        <v>181</v>
      </c>
      <c r="Z253" s="827">
        <v>170</v>
      </c>
      <c r="AA253" s="827">
        <v>164</v>
      </c>
      <c r="AB253" s="827">
        <v>151</v>
      </c>
      <c r="AC253" s="828">
        <v>148</v>
      </c>
      <c r="AD253" s="828">
        <v>142</v>
      </c>
      <c r="AE253" s="828">
        <v>140</v>
      </c>
      <c r="AF253" s="828">
        <v>135</v>
      </c>
      <c r="AG253" s="828">
        <v>131</v>
      </c>
      <c r="AH253" s="828">
        <v>129</v>
      </c>
      <c r="AI253" s="828">
        <v>123</v>
      </c>
      <c r="AJ253" s="828">
        <v>119</v>
      </c>
      <c r="AK253" s="828">
        <v>115</v>
      </c>
      <c r="AL253" s="828">
        <v>113</v>
      </c>
      <c r="AM253" s="828">
        <v>100</v>
      </c>
      <c r="AN253" s="828">
        <v>89</v>
      </c>
      <c r="AO253" s="828">
        <v>88</v>
      </c>
      <c r="AP253" s="828">
        <v>81</v>
      </c>
    </row>
    <row r="254" hidden="1">
      <c r="B254" s="829" t="s">
        <v>10</v>
      </c>
      <c r="C254" s="823">
        <v>77</v>
      </c>
      <c r="D254" s="823">
        <v>75</v>
      </c>
      <c r="E254" s="823">
        <v>72</v>
      </c>
      <c r="F254" s="823">
        <v>72</v>
      </c>
      <c r="G254" s="823">
        <v>64</v>
      </c>
      <c r="H254" s="823">
        <v>33</v>
      </c>
      <c r="I254" s="823">
        <v>33</v>
      </c>
      <c r="J254" s="823">
        <v>33</v>
      </c>
      <c r="K254" s="823">
        <v>25</v>
      </c>
      <c r="L254" s="823">
        <v>24</v>
      </c>
      <c r="M254" s="823">
        <v>23</v>
      </c>
      <c r="N254" s="823">
        <v>23</v>
      </c>
      <c r="O254" s="823">
        <v>23</v>
      </c>
      <c r="P254" s="823">
        <v>24</v>
      </c>
      <c r="Q254" s="823">
        <v>14</v>
      </c>
      <c r="R254" s="823">
        <v>15</v>
      </c>
      <c r="S254" s="823">
        <v>8</v>
      </c>
      <c r="T254" s="823">
        <v>7</v>
      </c>
      <c r="U254" s="823">
        <v>7</v>
      </c>
      <c r="V254" s="823">
        <v>7</v>
      </c>
      <c r="W254" s="823">
        <v>6</v>
      </c>
      <c r="X254" s="823">
        <v>5</v>
      </c>
      <c r="Y254" s="823">
        <v>5</v>
      </c>
      <c r="Z254" s="823">
        <v>5</v>
      </c>
      <c r="AA254" s="823">
        <v>5</v>
      </c>
      <c r="AB254" s="823">
        <v>5</v>
      </c>
      <c r="AC254" s="825">
        <v>5</v>
      </c>
      <c r="AD254" s="825">
        <v>6</v>
      </c>
      <c r="AE254" s="825">
        <v>7</v>
      </c>
      <c r="AF254" s="825">
        <v>7</v>
      </c>
      <c r="AG254" s="825">
        <v>7</v>
      </c>
      <c r="AH254" s="825">
        <v>6</v>
      </c>
      <c r="AI254" s="825">
        <v>6</v>
      </c>
      <c r="AJ254" s="825">
        <v>6</v>
      </c>
      <c r="AK254" s="825">
        <v>6</v>
      </c>
      <c r="AL254" s="825">
        <v>6</v>
      </c>
      <c r="AM254" s="825">
        <v>3</v>
      </c>
      <c r="AN254" s="825">
        <v>3</v>
      </c>
      <c r="AO254" s="825">
        <v>3</v>
      </c>
      <c r="AP254" s="825">
        <v>3</v>
      </c>
    </row>
    <row r="255" hidden="1">
      <c r="B255" s="826" t="s">
        <v>11</v>
      </c>
      <c r="C255" s="827">
        <v>406</v>
      </c>
      <c r="D255" s="827">
        <v>377</v>
      </c>
      <c r="E255" s="827">
        <v>359</v>
      </c>
      <c r="F255" s="827">
        <v>360</v>
      </c>
      <c r="G255" s="827">
        <v>121</v>
      </c>
      <c r="H255" s="827">
        <v>103</v>
      </c>
      <c r="I255" s="827">
        <v>107</v>
      </c>
      <c r="J255" s="827">
        <v>83</v>
      </c>
      <c r="K255" s="827">
        <v>41</v>
      </c>
      <c r="L255" s="827">
        <v>13</v>
      </c>
      <c r="M255" s="827">
        <v>8</v>
      </c>
      <c r="N255" s="827">
        <v>4</v>
      </c>
      <c r="O255" s="827">
        <v>5</v>
      </c>
      <c r="P255" s="827">
        <v>6</v>
      </c>
      <c r="Q255" s="827">
        <v>7</v>
      </c>
      <c r="R255" s="827">
        <v>5</v>
      </c>
      <c r="S255" s="827">
        <v>5</v>
      </c>
      <c r="T255" s="827">
        <v>5</v>
      </c>
      <c r="U255" s="827">
        <v>4</v>
      </c>
      <c r="V255" s="827">
        <v>6</v>
      </c>
      <c r="W255" s="827">
        <v>7</v>
      </c>
      <c r="X255" s="827">
        <v>7</v>
      </c>
      <c r="Y255" s="827">
        <v>7</v>
      </c>
      <c r="Z255" s="827">
        <v>7</v>
      </c>
      <c r="AA255" s="827">
        <v>6</v>
      </c>
      <c r="AB255" s="827">
        <v>6</v>
      </c>
      <c r="AC255" s="828">
        <v>7</v>
      </c>
      <c r="AD255" s="828">
        <v>8</v>
      </c>
      <c r="AE255" s="828">
        <v>7</v>
      </c>
      <c r="AF255" s="828">
        <v>7</v>
      </c>
      <c r="AG255" s="828">
        <v>10</v>
      </c>
      <c r="AH255" s="828">
        <v>11</v>
      </c>
      <c r="AI255" s="828">
        <v>12</v>
      </c>
      <c r="AJ255" s="828">
        <v>11</v>
      </c>
      <c r="AK255" s="828">
        <v>12</v>
      </c>
      <c r="AL255" s="828">
        <v>12</v>
      </c>
      <c r="AM255" s="828">
        <v>13</v>
      </c>
      <c r="AN255" s="828">
        <v>12</v>
      </c>
      <c r="AO255" s="828">
        <v>11</v>
      </c>
      <c r="AP255" s="828">
        <v>11</v>
      </c>
    </row>
    <row r="256" hidden="1">
      <c r="B256" s="829" t="s">
        <v>12</v>
      </c>
      <c r="C256" s="823">
        <v>230</v>
      </c>
      <c r="D256" s="823">
        <v>250</v>
      </c>
      <c r="E256" s="823">
        <v>268</v>
      </c>
      <c r="F256" s="823">
        <v>272</v>
      </c>
      <c r="G256" s="823">
        <v>274</v>
      </c>
      <c r="H256" s="823">
        <v>284</v>
      </c>
      <c r="I256" s="823">
        <v>289</v>
      </c>
      <c r="J256" s="823">
        <v>202</v>
      </c>
      <c r="K256" s="823">
        <v>193</v>
      </c>
      <c r="L256" s="823">
        <v>190</v>
      </c>
      <c r="M256" s="823">
        <v>172</v>
      </c>
      <c r="N256" s="823">
        <v>174</v>
      </c>
      <c r="O256" s="823">
        <v>168</v>
      </c>
      <c r="P256" s="823">
        <v>162</v>
      </c>
      <c r="Q256" s="823">
        <v>156</v>
      </c>
      <c r="R256" s="823">
        <v>154</v>
      </c>
      <c r="S256" s="823">
        <v>137</v>
      </c>
      <c r="T256" s="823">
        <v>137</v>
      </c>
      <c r="U256" s="823">
        <v>126</v>
      </c>
      <c r="V256" s="823">
        <v>125</v>
      </c>
      <c r="W256" s="823">
        <v>116</v>
      </c>
      <c r="X256" s="823">
        <v>115</v>
      </c>
      <c r="Y256" s="823">
        <v>104</v>
      </c>
      <c r="Z256" s="823">
        <v>101</v>
      </c>
      <c r="AA256" s="823">
        <v>97</v>
      </c>
      <c r="AB256" s="823">
        <v>99</v>
      </c>
      <c r="AC256" s="825">
        <v>99</v>
      </c>
      <c r="AD256" s="825">
        <v>95</v>
      </c>
      <c r="AE256" s="825">
        <v>90</v>
      </c>
      <c r="AF256" s="825">
        <v>89</v>
      </c>
      <c r="AG256" s="825">
        <v>85</v>
      </c>
      <c r="AH256" s="825">
        <v>81</v>
      </c>
      <c r="AI256" s="825">
        <v>79</v>
      </c>
      <c r="AJ256" s="825">
        <v>76</v>
      </c>
      <c r="AK256" s="825">
        <v>76</v>
      </c>
      <c r="AL256" s="825">
        <v>79</v>
      </c>
      <c r="AM256" s="825">
        <v>73</v>
      </c>
      <c r="AN256" s="825">
        <v>71</v>
      </c>
      <c r="AO256" s="825">
        <v>70</v>
      </c>
      <c r="AP256" s="825">
        <v>69</v>
      </c>
    </row>
    <row r="257" hidden="1">
      <c r="B257" s="826" t="s">
        <v>13</v>
      </c>
      <c r="C257" s="827">
        <v>33</v>
      </c>
      <c r="D257" s="827">
        <v>27</v>
      </c>
      <c r="E257" s="827">
        <v>30</v>
      </c>
      <c r="F257" s="827">
        <v>31</v>
      </c>
      <c r="G257" s="827">
        <v>32</v>
      </c>
      <c r="H257" s="827">
        <v>33</v>
      </c>
      <c r="I257" s="827">
        <v>34</v>
      </c>
      <c r="J257" s="827">
        <v>37</v>
      </c>
      <c r="K257" s="827">
        <v>39</v>
      </c>
      <c r="L257" s="827">
        <v>31</v>
      </c>
      <c r="M257" s="827">
        <v>33</v>
      </c>
      <c r="N257" s="827">
        <v>18</v>
      </c>
      <c r="O257" s="827">
        <v>22</v>
      </c>
      <c r="P257" s="827">
        <v>23</v>
      </c>
      <c r="Q257" s="827">
        <v>25</v>
      </c>
      <c r="R257" s="827">
        <v>25</v>
      </c>
      <c r="S257" s="827">
        <v>26</v>
      </c>
      <c r="T257" s="827">
        <v>25</v>
      </c>
      <c r="U257" s="827">
        <v>24</v>
      </c>
      <c r="V257" s="827">
        <v>24</v>
      </c>
      <c r="W257" s="827">
        <v>24</v>
      </c>
      <c r="X257" s="827">
        <v>24</v>
      </c>
      <c r="Y257" s="827">
        <v>24</v>
      </c>
      <c r="Z257" s="827">
        <v>18</v>
      </c>
      <c r="AA257" s="827">
        <v>20</v>
      </c>
      <c r="AB257" s="827">
        <v>18</v>
      </c>
      <c r="AC257" s="828">
        <v>18</v>
      </c>
      <c r="AD257" s="828">
        <v>18</v>
      </c>
      <c r="AE257" s="828">
        <v>18</v>
      </c>
      <c r="AF257" s="828">
        <v>16</v>
      </c>
      <c r="AG257" s="828">
        <v>15</v>
      </c>
      <c r="AH257" s="828">
        <v>15</v>
      </c>
      <c r="AI257" s="828">
        <v>17</v>
      </c>
      <c r="AJ257" s="828">
        <v>13</v>
      </c>
      <c r="AK257" s="828">
        <v>11</v>
      </c>
      <c r="AL257" s="828">
        <v>9</v>
      </c>
      <c r="AM257" s="828">
        <v>9</v>
      </c>
      <c r="AN257" s="828">
        <v>9</v>
      </c>
      <c r="AO257" s="828">
        <v>10</v>
      </c>
      <c r="AP257" s="828">
        <v>14</v>
      </c>
    </row>
    <row r="258" hidden="1">
      <c r="B258" s="829" t="s">
        <v>109</v>
      </c>
      <c r="C258" s="823">
        <v>231</v>
      </c>
      <c r="D258" s="823">
        <v>212</v>
      </c>
      <c r="E258" s="823">
        <v>229</v>
      </c>
      <c r="F258" s="823">
        <v>220</v>
      </c>
      <c r="G258" s="823">
        <v>200</v>
      </c>
      <c r="H258" s="823">
        <v>173</v>
      </c>
      <c r="I258" s="823">
        <v>166</v>
      </c>
      <c r="J258" s="823">
        <v>147</v>
      </c>
      <c r="K258" s="823">
        <v>148</v>
      </c>
      <c r="L258" s="823">
        <v>143</v>
      </c>
      <c r="M258" s="823">
        <v>135</v>
      </c>
      <c r="N258" s="823">
        <v>132</v>
      </c>
      <c r="O258" s="823">
        <v>135</v>
      </c>
      <c r="P258" s="823">
        <v>134</v>
      </c>
      <c r="Q258" s="823">
        <v>135</v>
      </c>
      <c r="R258" s="823">
        <v>126</v>
      </c>
      <c r="S258" s="823">
        <v>130</v>
      </c>
      <c r="T258" s="823">
        <v>127</v>
      </c>
      <c r="U258" s="823">
        <v>124</v>
      </c>
      <c r="V258" s="823">
        <v>120</v>
      </c>
      <c r="W258" s="823">
        <v>105</v>
      </c>
      <c r="X258" s="823">
        <v>98</v>
      </c>
      <c r="Y258" s="823">
        <v>91</v>
      </c>
      <c r="Z258" s="823">
        <v>90</v>
      </c>
      <c r="AA258" s="823">
        <v>86</v>
      </c>
      <c r="AB258" s="823">
        <v>87</v>
      </c>
      <c r="AC258" s="825">
        <v>87</v>
      </c>
      <c r="AD258" s="825">
        <v>87</v>
      </c>
      <c r="AE258" s="825">
        <v>88</v>
      </c>
      <c r="AF258" s="825">
        <v>90</v>
      </c>
      <c r="AG258" s="825">
        <v>87</v>
      </c>
      <c r="AH258" s="825">
        <v>87</v>
      </c>
      <c r="AI258" s="825">
        <v>89</v>
      </c>
      <c r="AJ258" s="825">
        <v>89</v>
      </c>
      <c r="AK258" s="825">
        <v>84</v>
      </c>
      <c r="AL258" s="825">
        <v>84</v>
      </c>
      <c r="AM258" s="825">
        <v>83</v>
      </c>
      <c r="AN258" s="825">
        <v>87</v>
      </c>
      <c r="AO258" s="825">
        <v>89</v>
      </c>
      <c r="AP258" s="825">
        <v>93</v>
      </c>
    </row>
    <row r="259" hidden="1">
      <c r="B259" s="826" t="s">
        <v>110</v>
      </c>
      <c r="C259" s="827">
        <v>254</v>
      </c>
      <c r="D259" s="827">
        <v>255</v>
      </c>
      <c r="E259" s="827">
        <v>262</v>
      </c>
      <c r="F259" s="827">
        <v>274</v>
      </c>
      <c r="G259" s="827">
        <v>277</v>
      </c>
      <c r="H259" s="827">
        <v>273</v>
      </c>
      <c r="I259" s="827">
        <v>232</v>
      </c>
      <c r="J259" s="827">
        <v>235</v>
      </c>
      <c r="K259" s="827">
        <v>229</v>
      </c>
      <c r="L259" s="827">
        <v>226</v>
      </c>
      <c r="M259" s="827">
        <v>227</v>
      </c>
      <c r="N259" s="827">
        <v>205</v>
      </c>
      <c r="O259" s="827">
        <v>203</v>
      </c>
      <c r="P259" s="827">
        <v>203</v>
      </c>
      <c r="Q259" s="827">
        <v>195</v>
      </c>
      <c r="R259" s="827">
        <v>198</v>
      </c>
      <c r="S259" s="827">
        <v>200</v>
      </c>
      <c r="T259" s="827">
        <v>194</v>
      </c>
      <c r="U259" s="827">
        <v>198</v>
      </c>
      <c r="V259" s="827">
        <v>198</v>
      </c>
      <c r="W259" s="827">
        <v>199</v>
      </c>
      <c r="X259" s="827">
        <v>200</v>
      </c>
      <c r="Y259" s="827">
        <v>194</v>
      </c>
      <c r="Z259" s="827">
        <v>187</v>
      </c>
      <c r="AA259" s="827">
        <v>183</v>
      </c>
      <c r="AB259" s="827">
        <v>184</v>
      </c>
      <c r="AC259" s="828">
        <v>178</v>
      </c>
      <c r="AD259" s="828">
        <v>179</v>
      </c>
      <c r="AE259" s="828">
        <v>175</v>
      </c>
      <c r="AF259" s="828">
        <v>173</v>
      </c>
      <c r="AG259" s="828">
        <v>174</v>
      </c>
      <c r="AH259" s="828">
        <v>174</v>
      </c>
      <c r="AI259" s="828">
        <v>166</v>
      </c>
      <c r="AJ259" s="828">
        <v>169</v>
      </c>
      <c r="AK259" s="828">
        <v>162</v>
      </c>
      <c r="AL259" s="828">
        <v>162</v>
      </c>
      <c r="AM259" s="828">
        <v>149</v>
      </c>
      <c r="AN259" s="828">
        <v>148</v>
      </c>
      <c r="AO259" s="828">
        <v>147</v>
      </c>
      <c r="AP259" s="828">
        <v>145</v>
      </c>
    </row>
    <row r="260" hidden="1">
      <c r="B260" s="829" t="s">
        <v>16</v>
      </c>
      <c r="C260" s="823">
        <v>2182</v>
      </c>
      <c r="D260" s="823">
        <v>2158</v>
      </c>
      <c r="E260" s="823">
        <v>2050</v>
      </c>
      <c r="F260" s="823">
        <v>1994</v>
      </c>
      <c r="G260" s="823">
        <v>1949</v>
      </c>
      <c r="H260" s="823">
        <v>1887</v>
      </c>
      <c r="I260" s="823">
        <v>1782</v>
      </c>
      <c r="J260" s="823">
        <v>1514</v>
      </c>
      <c r="K260" s="823">
        <v>1420</v>
      </c>
      <c r="L260" s="823">
        <v>1386</v>
      </c>
      <c r="M260" s="823">
        <v>1340</v>
      </c>
      <c r="N260" s="823">
        <v>1275</v>
      </c>
      <c r="O260" s="823">
        <v>1213</v>
      </c>
      <c r="P260" s="823">
        <v>1190</v>
      </c>
      <c r="Q260" s="823">
        <v>1155</v>
      </c>
      <c r="R260" s="823">
        <v>1041</v>
      </c>
      <c r="S260" s="823">
        <v>986</v>
      </c>
      <c r="T260" s="823">
        <v>940</v>
      </c>
      <c r="U260" s="823">
        <v>805</v>
      </c>
      <c r="V260" s="823">
        <v>777</v>
      </c>
      <c r="W260" s="823">
        <v>713</v>
      </c>
      <c r="X260" s="823">
        <v>673</v>
      </c>
      <c r="Y260" s="823">
        <v>623</v>
      </c>
      <c r="Z260" s="823">
        <v>595</v>
      </c>
      <c r="AA260" s="823">
        <v>575</v>
      </c>
      <c r="AB260" s="823">
        <v>561</v>
      </c>
      <c r="AC260" s="825">
        <v>540</v>
      </c>
      <c r="AD260" s="825">
        <v>509</v>
      </c>
      <c r="AE260" s="825">
        <v>495</v>
      </c>
      <c r="AF260" s="825">
        <v>481</v>
      </c>
      <c r="AG260" s="825">
        <v>450</v>
      </c>
      <c r="AH260" s="825">
        <v>432</v>
      </c>
      <c r="AI260" s="825">
        <v>405</v>
      </c>
      <c r="AJ260" s="825">
        <v>393</v>
      </c>
      <c r="AK260" s="825">
        <v>367</v>
      </c>
      <c r="AL260" s="825">
        <v>356</v>
      </c>
      <c r="AM260" s="825">
        <v>332</v>
      </c>
      <c r="AN260" s="825">
        <v>322</v>
      </c>
      <c r="AO260" s="825">
        <v>318</v>
      </c>
      <c r="AP260" s="825">
        <v>316</v>
      </c>
    </row>
    <row r="261" hidden="1">
      <c r="B261" s="826" t="s">
        <v>17</v>
      </c>
      <c r="C261" s="827">
        <v>77</v>
      </c>
      <c r="D261" s="827">
        <v>75</v>
      </c>
      <c r="E261" s="827">
        <v>75</v>
      </c>
      <c r="F261" s="827">
        <v>76</v>
      </c>
      <c r="G261" s="827">
        <v>76</v>
      </c>
      <c r="H261" s="827">
        <v>76</v>
      </c>
      <c r="I261" s="827">
        <v>75</v>
      </c>
      <c r="J261" s="827">
        <v>75</v>
      </c>
      <c r="K261" s="827">
        <v>75</v>
      </c>
      <c r="L261" s="827">
        <v>75</v>
      </c>
      <c r="M261" s="827">
        <v>75</v>
      </c>
      <c r="N261" s="827">
        <v>74</v>
      </c>
      <c r="O261" s="827">
        <v>73</v>
      </c>
      <c r="P261" s="827">
        <v>73</v>
      </c>
      <c r="Q261" s="827">
        <v>59</v>
      </c>
      <c r="R261" s="827">
        <v>60</v>
      </c>
      <c r="S261" s="827">
        <v>61</v>
      </c>
      <c r="T261" s="827">
        <v>61</v>
      </c>
      <c r="U261" s="827">
        <v>59</v>
      </c>
      <c r="V261" s="827">
        <v>60</v>
      </c>
      <c r="W261" s="827">
        <v>58</v>
      </c>
      <c r="X261" s="827">
        <v>58</v>
      </c>
      <c r="Y261" s="827">
        <v>58</v>
      </c>
      <c r="Z261" s="827">
        <v>58</v>
      </c>
      <c r="AA261" s="827">
        <v>63</v>
      </c>
      <c r="AB261" s="827">
        <v>273</v>
      </c>
      <c r="AC261" s="828">
        <v>272</v>
      </c>
      <c r="AD261" s="828">
        <v>222</v>
      </c>
      <c r="AE261" s="828">
        <v>221</v>
      </c>
      <c r="AF261" s="828">
        <v>220</v>
      </c>
      <c r="AG261" s="828">
        <v>220</v>
      </c>
      <c r="AH261" s="828">
        <v>220</v>
      </c>
      <c r="AI261" s="828">
        <v>219</v>
      </c>
      <c r="AJ261" s="828">
        <v>219</v>
      </c>
      <c r="AK261" s="828">
        <v>218</v>
      </c>
      <c r="AL261" s="828">
        <v>20</v>
      </c>
      <c r="AM261" s="828">
        <v>20</v>
      </c>
      <c r="AN261" s="828">
        <v>19</v>
      </c>
      <c r="AO261" s="828">
        <v>19</v>
      </c>
      <c r="AP261" s="828">
        <v>19</v>
      </c>
    </row>
    <row r="262" hidden="1">
      <c r="B262" s="829" t="s">
        <v>18</v>
      </c>
      <c r="C262" s="823">
        <v>396</v>
      </c>
      <c r="D262" s="823">
        <v>393</v>
      </c>
      <c r="E262" s="823">
        <v>354</v>
      </c>
      <c r="F262" s="823">
        <v>337</v>
      </c>
      <c r="G262" s="823">
        <v>327</v>
      </c>
      <c r="H262" s="823">
        <v>321</v>
      </c>
      <c r="I262" s="823">
        <v>315</v>
      </c>
      <c r="J262" s="823">
        <v>302</v>
      </c>
      <c r="K262" s="823">
        <v>297</v>
      </c>
      <c r="L262" s="823">
        <v>285</v>
      </c>
      <c r="M262" s="823">
        <v>278</v>
      </c>
      <c r="N262" s="823">
        <v>266</v>
      </c>
      <c r="O262" s="823">
        <v>258</v>
      </c>
      <c r="P262" s="823">
        <v>256</v>
      </c>
      <c r="Q262" s="823">
        <v>253</v>
      </c>
      <c r="R262" s="823">
        <v>243</v>
      </c>
      <c r="S262" s="823">
        <v>242</v>
      </c>
      <c r="T262" s="823">
        <v>239</v>
      </c>
      <c r="U262" s="823">
        <v>227</v>
      </c>
      <c r="V262" s="823">
        <v>225</v>
      </c>
      <c r="W262" s="823">
        <v>219</v>
      </c>
      <c r="X262" s="823">
        <v>211</v>
      </c>
      <c r="Y262" s="823">
        <v>204</v>
      </c>
      <c r="Z262" s="823">
        <v>200</v>
      </c>
      <c r="AA262" s="823">
        <v>199</v>
      </c>
      <c r="AB262" s="823">
        <v>197</v>
      </c>
      <c r="AC262" s="825">
        <v>196</v>
      </c>
      <c r="AD262" s="825">
        <v>192</v>
      </c>
      <c r="AE262" s="825">
        <v>190</v>
      </c>
      <c r="AF262" s="825">
        <v>184</v>
      </c>
      <c r="AG262" s="825">
        <v>181</v>
      </c>
      <c r="AH262" s="825">
        <v>169</v>
      </c>
      <c r="AI262" s="825">
        <v>146</v>
      </c>
      <c r="AJ262" s="825">
        <v>143</v>
      </c>
      <c r="AK262" s="825">
        <v>138</v>
      </c>
      <c r="AL262" s="825">
        <v>138</v>
      </c>
      <c r="AM262" s="825">
        <v>136</v>
      </c>
      <c r="AN262" s="825">
        <v>134</v>
      </c>
      <c r="AO262" s="825">
        <v>130</v>
      </c>
      <c r="AP262" s="825">
        <v>129</v>
      </c>
    </row>
    <row r="263" hidden="1">
      <c r="B263" s="826" t="s">
        <v>19</v>
      </c>
      <c r="C263" s="827">
        <v>8</v>
      </c>
      <c r="D263" s="827">
        <v>7</v>
      </c>
      <c r="E263" s="827">
        <v>10</v>
      </c>
      <c r="F263" s="827">
        <v>10</v>
      </c>
      <c r="G263" s="827">
        <v>11</v>
      </c>
      <c r="H263" s="827">
        <v>11</v>
      </c>
      <c r="I263" s="827">
        <v>12</v>
      </c>
      <c r="J263" s="827">
        <v>13</v>
      </c>
      <c r="K263" s="827">
        <v>6</v>
      </c>
      <c r="L263" s="827">
        <v>51</v>
      </c>
      <c r="M263" s="827">
        <v>5</v>
      </c>
      <c r="N263" s="827">
        <v>5</v>
      </c>
      <c r="O263" s="827">
        <v>6</v>
      </c>
      <c r="P263" s="827">
        <v>5</v>
      </c>
      <c r="Q263" s="827">
        <v>5</v>
      </c>
      <c r="R263" s="827">
        <v>5</v>
      </c>
      <c r="S263" s="827">
        <v>7</v>
      </c>
      <c r="T263" s="827">
        <v>7</v>
      </c>
      <c r="U263" s="827">
        <v>7</v>
      </c>
      <c r="V263" s="827">
        <v>7</v>
      </c>
      <c r="W263" s="827">
        <v>8</v>
      </c>
      <c r="X263" s="827">
        <v>8</v>
      </c>
      <c r="Y263" s="827">
        <v>9</v>
      </c>
      <c r="Z263" s="827">
        <v>9</v>
      </c>
      <c r="AA263" s="827">
        <v>9</v>
      </c>
      <c r="AB263" s="827">
        <v>9</v>
      </c>
      <c r="AC263" s="828">
        <v>9</v>
      </c>
      <c r="AD263" s="828">
        <v>9</v>
      </c>
      <c r="AE263" s="828">
        <v>7</v>
      </c>
      <c r="AF263" s="828">
        <v>7</v>
      </c>
      <c r="AG263" s="828">
        <v>6</v>
      </c>
      <c r="AH263" s="828">
        <v>6</v>
      </c>
      <c r="AI263" s="828">
        <v>5</v>
      </c>
      <c r="AJ263" s="828">
        <v>3</v>
      </c>
      <c r="AK263" s="828">
        <v>4</v>
      </c>
      <c r="AL263" s="828">
        <v>4</v>
      </c>
      <c r="AM263" s="828">
        <v>4</v>
      </c>
      <c r="AN263" s="828">
        <v>6</v>
      </c>
      <c r="AO263" s="828">
        <v>7</v>
      </c>
      <c r="AP263" s="828">
        <v>7</v>
      </c>
    </row>
    <row r="264" hidden="1">
      <c r="B264" s="829" t="s">
        <v>20</v>
      </c>
      <c r="C264" s="823">
        <v>43</v>
      </c>
      <c r="D264" s="823">
        <v>45</v>
      </c>
      <c r="E264" s="823">
        <v>49</v>
      </c>
      <c r="F264" s="823">
        <v>51</v>
      </c>
      <c r="G264" s="823">
        <v>51</v>
      </c>
      <c r="H264" s="823">
        <v>50</v>
      </c>
      <c r="I264" s="823">
        <v>50</v>
      </c>
      <c r="J264" s="823">
        <v>50</v>
      </c>
      <c r="K264" s="823">
        <v>51</v>
      </c>
      <c r="L264" s="823">
        <v>41</v>
      </c>
      <c r="M264" s="823">
        <v>49</v>
      </c>
      <c r="N264" s="823">
        <v>33</v>
      </c>
      <c r="O264" s="823">
        <v>34</v>
      </c>
      <c r="P264" s="823">
        <v>35</v>
      </c>
      <c r="Q264" s="823">
        <v>36</v>
      </c>
      <c r="R264" s="823">
        <v>35</v>
      </c>
      <c r="S264" s="823">
        <v>35</v>
      </c>
      <c r="T264" s="823">
        <v>36</v>
      </c>
      <c r="U264" s="823">
        <v>37</v>
      </c>
      <c r="V264" s="823">
        <v>36</v>
      </c>
      <c r="W264" s="823">
        <v>38</v>
      </c>
      <c r="X264" s="823">
        <v>38</v>
      </c>
      <c r="Y264" s="823">
        <v>38</v>
      </c>
      <c r="Z264" s="823">
        <v>38</v>
      </c>
      <c r="AA264" s="823">
        <v>39</v>
      </c>
      <c r="AB264" s="823">
        <v>39</v>
      </c>
      <c r="AC264" s="825">
        <v>39</v>
      </c>
      <c r="AD264" s="825">
        <v>42</v>
      </c>
      <c r="AE264" s="825">
        <v>42</v>
      </c>
      <c r="AF264" s="825">
        <v>42</v>
      </c>
      <c r="AG264" s="825">
        <v>25</v>
      </c>
      <c r="AH264" s="825">
        <v>24</v>
      </c>
      <c r="AI264" s="825">
        <v>24</v>
      </c>
      <c r="AJ264" s="825">
        <v>21</v>
      </c>
      <c r="AK264" s="825">
        <v>22</v>
      </c>
      <c r="AL264" s="825">
        <v>22</v>
      </c>
      <c r="AM264" s="825">
        <v>21</v>
      </c>
      <c r="AN264" s="825">
        <v>19</v>
      </c>
      <c r="AO264" s="825">
        <v>21</v>
      </c>
      <c r="AP264" s="825">
        <v>20</v>
      </c>
    </row>
    <row r="265" hidden="1">
      <c r="B265" s="826" t="s">
        <v>21</v>
      </c>
      <c r="C265" s="827">
        <v>64</v>
      </c>
      <c r="D265" s="827">
        <v>66</v>
      </c>
      <c r="E265" s="827">
        <v>66</v>
      </c>
      <c r="F265" s="827">
        <v>65</v>
      </c>
      <c r="G265" s="827">
        <v>57</v>
      </c>
      <c r="H265" s="827">
        <v>53</v>
      </c>
      <c r="I265" s="827">
        <v>44</v>
      </c>
      <c r="J265" s="827">
        <v>43</v>
      </c>
      <c r="K265" s="827">
        <v>41</v>
      </c>
      <c r="L265" s="827">
        <v>29</v>
      </c>
      <c r="M265" s="827">
        <v>38</v>
      </c>
      <c r="N265" s="827">
        <v>37</v>
      </c>
      <c r="O265" s="827">
        <v>35</v>
      </c>
      <c r="P265" s="827">
        <v>36</v>
      </c>
      <c r="Q265" s="827">
        <v>35</v>
      </c>
      <c r="R265" s="827">
        <v>41</v>
      </c>
      <c r="S265" s="827">
        <v>38</v>
      </c>
      <c r="T265" s="827">
        <v>43</v>
      </c>
      <c r="U265" s="827">
        <v>41</v>
      </c>
      <c r="V265" s="827">
        <v>39</v>
      </c>
      <c r="W265" s="827">
        <v>35</v>
      </c>
      <c r="X265" s="827">
        <v>36</v>
      </c>
      <c r="Y265" s="827">
        <v>38</v>
      </c>
      <c r="Z265" s="827">
        <v>34</v>
      </c>
      <c r="AA265" s="827">
        <v>34</v>
      </c>
      <c r="AB265" s="827">
        <v>34</v>
      </c>
      <c r="AC265" s="828">
        <v>36</v>
      </c>
      <c r="AD265" s="828">
        <v>39</v>
      </c>
      <c r="AE265" s="828">
        <v>41</v>
      </c>
      <c r="AF265" s="828">
        <v>45</v>
      </c>
      <c r="AG265" s="828">
        <v>43</v>
      </c>
      <c r="AH265" s="828">
        <v>38</v>
      </c>
      <c r="AI265" s="828">
        <v>41</v>
      </c>
      <c r="AJ265" s="828">
        <v>35</v>
      </c>
      <c r="AK265" s="828">
        <v>37</v>
      </c>
      <c r="AL265" s="828">
        <v>39</v>
      </c>
      <c r="AM265" s="828">
        <v>47</v>
      </c>
      <c r="AN265" s="828">
        <v>49</v>
      </c>
      <c r="AO265" s="828">
        <v>43</v>
      </c>
      <c r="AP265" s="828">
        <v>35</v>
      </c>
    </row>
    <row r="266" hidden="1">
      <c r="B266" s="829" t="s">
        <v>22</v>
      </c>
      <c r="C266" s="823">
        <v>22</v>
      </c>
      <c r="D266" s="823">
        <v>22</v>
      </c>
      <c r="E266" s="823">
        <v>22</v>
      </c>
      <c r="F266" s="823">
        <v>22</v>
      </c>
      <c r="G266" s="823">
        <v>23</v>
      </c>
      <c r="H266" s="823">
        <v>24</v>
      </c>
      <c r="I266" s="823">
        <v>23</v>
      </c>
      <c r="J266" s="823">
        <v>27</v>
      </c>
      <c r="K266" s="823">
        <v>27</v>
      </c>
      <c r="L266" s="823">
        <v>20</v>
      </c>
      <c r="M266" s="823">
        <v>28</v>
      </c>
      <c r="N266" s="823">
        <v>30</v>
      </c>
      <c r="O266" s="823">
        <v>49</v>
      </c>
      <c r="P266" s="823">
        <v>38</v>
      </c>
      <c r="Q266" s="823">
        <v>36</v>
      </c>
      <c r="R266" s="823">
        <v>34</v>
      </c>
      <c r="S266" s="823">
        <v>31</v>
      </c>
      <c r="T266" s="823">
        <v>32</v>
      </c>
      <c r="U266" s="823">
        <v>31</v>
      </c>
      <c r="V266" s="823">
        <v>31</v>
      </c>
      <c r="W266" s="823">
        <v>32</v>
      </c>
      <c r="X266" s="823">
        <v>32</v>
      </c>
      <c r="Y266" s="823">
        <v>31</v>
      </c>
      <c r="Z266" s="823">
        <v>31</v>
      </c>
      <c r="AA266" s="823">
        <v>30</v>
      </c>
      <c r="AB266" s="823">
        <v>28</v>
      </c>
      <c r="AC266" s="825">
        <v>26</v>
      </c>
      <c r="AD266" s="825">
        <v>27</v>
      </c>
      <c r="AE266" s="825">
        <v>28</v>
      </c>
      <c r="AF266" s="825">
        <v>26</v>
      </c>
      <c r="AG266" s="825">
        <v>26</v>
      </c>
      <c r="AH266" s="825">
        <v>27</v>
      </c>
      <c r="AI266" s="825">
        <v>28</v>
      </c>
      <c r="AJ266" s="825">
        <v>25</v>
      </c>
      <c r="AK266" s="825">
        <v>21</v>
      </c>
      <c r="AL266" s="825">
        <v>19</v>
      </c>
      <c r="AM266" s="825">
        <v>17</v>
      </c>
      <c r="AN266" s="825">
        <v>14</v>
      </c>
      <c r="AO266" s="825">
        <v>14</v>
      </c>
      <c r="AP266" s="825">
        <v>15</v>
      </c>
    </row>
    <row r="267" hidden="1">
      <c r="B267" s="826" t="s">
        <v>23</v>
      </c>
      <c r="C267" s="827">
        <v>30</v>
      </c>
      <c r="D267" s="827">
        <v>29</v>
      </c>
      <c r="E267" s="827">
        <v>28</v>
      </c>
      <c r="F267" s="827">
        <v>28</v>
      </c>
      <c r="G267" s="827">
        <v>27</v>
      </c>
      <c r="H267" s="827">
        <v>27</v>
      </c>
      <c r="I267" s="827">
        <v>26</v>
      </c>
      <c r="J267" s="827">
        <v>26</v>
      </c>
      <c r="K267" s="827">
        <v>23</v>
      </c>
      <c r="L267" s="827">
        <v>6</v>
      </c>
      <c r="M267" s="827">
        <v>19</v>
      </c>
      <c r="N267" s="827">
        <v>19</v>
      </c>
      <c r="O267" s="827">
        <v>20</v>
      </c>
      <c r="P267" s="827">
        <v>20</v>
      </c>
      <c r="Q267" s="827">
        <v>20</v>
      </c>
      <c r="R267" s="827">
        <v>20</v>
      </c>
      <c r="S267" s="827">
        <v>19</v>
      </c>
      <c r="T267" s="827">
        <v>20</v>
      </c>
      <c r="U267" s="827">
        <v>20</v>
      </c>
      <c r="V267" s="827">
        <v>18</v>
      </c>
      <c r="W267" s="827">
        <v>18</v>
      </c>
      <c r="X267" s="827">
        <v>18</v>
      </c>
      <c r="Y267" s="827">
        <v>18</v>
      </c>
      <c r="Z267" s="827">
        <v>18</v>
      </c>
      <c r="AA267" s="827">
        <v>17</v>
      </c>
      <c r="AB267" s="827">
        <v>17</v>
      </c>
      <c r="AC267" s="828">
        <v>17</v>
      </c>
      <c r="AD267" s="828">
        <v>17</v>
      </c>
      <c r="AE267" s="828">
        <v>15</v>
      </c>
      <c r="AF267" s="828">
        <v>15</v>
      </c>
      <c r="AG267" s="828">
        <v>14</v>
      </c>
      <c r="AH267" s="828">
        <v>13</v>
      </c>
      <c r="AI267" s="828">
        <v>13</v>
      </c>
      <c r="AJ267" s="828">
        <v>13</v>
      </c>
      <c r="AK267" s="828">
        <v>13</v>
      </c>
      <c r="AL267" s="828">
        <v>11</v>
      </c>
      <c r="AM267" s="828">
        <v>9</v>
      </c>
      <c r="AN267" s="828">
        <v>9</v>
      </c>
      <c r="AO267" s="828">
        <v>9</v>
      </c>
      <c r="AP267" s="828">
        <v>9</v>
      </c>
    </row>
    <row r="268" hidden="1">
      <c r="B268" s="830" t="s">
        <v>24</v>
      </c>
      <c r="C268" s="823">
        <v>358</v>
      </c>
      <c r="D268" s="823">
        <v>336</v>
      </c>
      <c r="E268" s="823">
        <v>317</v>
      </c>
      <c r="F268" s="823">
        <v>289</v>
      </c>
      <c r="G268" s="823">
        <v>255</v>
      </c>
      <c r="H268" s="823">
        <v>238</v>
      </c>
      <c r="I268" s="823">
        <v>224</v>
      </c>
      <c r="J268" s="823">
        <v>214</v>
      </c>
      <c r="K268" s="823">
        <v>215</v>
      </c>
      <c r="L268" s="823">
        <v>213</v>
      </c>
      <c r="M268" s="823">
        <v>212</v>
      </c>
      <c r="N268" s="823">
        <v>210</v>
      </c>
      <c r="O268" s="823">
        <v>209</v>
      </c>
      <c r="P268" s="823">
        <v>207</v>
      </c>
      <c r="Q268" s="823">
        <v>203</v>
      </c>
      <c r="R268" s="823">
        <v>201</v>
      </c>
      <c r="S268" s="823">
        <v>198</v>
      </c>
      <c r="T268" s="823">
        <v>195</v>
      </c>
      <c r="U268" s="823">
        <v>192</v>
      </c>
      <c r="V268" s="823">
        <v>189</v>
      </c>
      <c r="W268" s="823">
        <v>180</v>
      </c>
      <c r="X268" s="823">
        <v>174</v>
      </c>
      <c r="Y268" s="823">
        <v>169</v>
      </c>
      <c r="Z268" s="823">
        <v>167</v>
      </c>
      <c r="AA268" s="823">
        <v>165</v>
      </c>
      <c r="AB268" s="823">
        <v>161</v>
      </c>
      <c r="AC268" s="825">
        <v>157</v>
      </c>
      <c r="AD268" s="825">
        <v>154</v>
      </c>
      <c r="AE268" s="825">
        <v>148</v>
      </c>
      <c r="AF268" s="825">
        <v>143</v>
      </c>
      <c r="AG268" s="825">
        <v>131</v>
      </c>
      <c r="AH268" s="825">
        <v>129</v>
      </c>
      <c r="AI268" s="825">
        <v>117</v>
      </c>
      <c r="AJ268" s="825">
        <v>113</v>
      </c>
      <c r="AK268" s="825">
        <v>106</v>
      </c>
      <c r="AL268" s="825">
        <v>101</v>
      </c>
      <c r="AM268" s="825">
        <v>94</v>
      </c>
      <c r="AN268" s="825">
        <v>88</v>
      </c>
      <c r="AO268" s="825">
        <v>85</v>
      </c>
      <c r="AP268" s="825">
        <v>85</v>
      </c>
    </row>
    <row r="269" hidden="1">
      <c r="B269" s="826" t="s">
        <v>25</v>
      </c>
      <c r="C269" s="827">
        <v>0</v>
      </c>
      <c r="D269" s="827">
        <v>0</v>
      </c>
      <c r="E269" s="827">
        <v>0</v>
      </c>
      <c r="F269" s="827">
        <v>0</v>
      </c>
      <c r="G269" s="827">
        <v>0</v>
      </c>
      <c r="H269" s="827">
        <v>0</v>
      </c>
      <c r="I269" s="827">
        <v>0</v>
      </c>
      <c r="J269" s="827">
        <v>0</v>
      </c>
      <c r="K269" s="827">
        <v>0</v>
      </c>
      <c r="L269" s="827">
        <v>0</v>
      </c>
      <c r="M269" s="827">
        <v>0</v>
      </c>
      <c r="N269" s="827">
        <v>0</v>
      </c>
      <c r="O269" s="827">
        <v>0</v>
      </c>
      <c r="P269" s="827">
        <v>0</v>
      </c>
      <c r="Q269" s="827">
        <v>0</v>
      </c>
      <c r="R269" s="827">
        <v>0</v>
      </c>
      <c r="S269" s="827">
        <v>0</v>
      </c>
      <c r="T269" s="827">
        <v>0</v>
      </c>
      <c r="U269" s="827">
        <v>0</v>
      </c>
      <c r="V269" s="827">
        <v>0</v>
      </c>
      <c r="W269" s="827">
        <v>0</v>
      </c>
      <c r="X269" s="827">
        <v>0</v>
      </c>
      <c r="Y269" s="827">
        <v>0</v>
      </c>
      <c r="Z269" s="827">
        <v>0</v>
      </c>
      <c r="AA269" s="827">
        <v>0</v>
      </c>
      <c r="AB269" s="827">
        <v>0</v>
      </c>
      <c r="AC269" s="828">
        <v>0</v>
      </c>
      <c r="AD269" s="828">
        <v>0</v>
      </c>
      <c r="AE269" s="828">
        <v>0</v>
      </c>
      <c r="AF269" s="828">
        <v>0</v>
      </c>
      <c r="AG269" s="828">
        <v>0</v>
      </c>
      <c r="AH269" s="828">
        <v>0</v>
      </c>
      <c r="AI269" s="828">
        <v>0</v>
      </c>
      <c r="AJ269" s="828">
        <v>0</v>
      </c>
      <c r="AK269" s="828">
        <v>0</v>
      </c>
      <c r="AL269" s="828">
        <v>0</v>
      </c>
      <c r="AM269" s="828">
        <v>0</v>
      </c>
      <c r="AN269" s="828">
        <v>0</v>
      </c>
      <c r="AO269" s="828">
        <v>0</v>
      </c>
      <c r="AP269" s="828">
        <v>0</v>
      </c>
    </row>
    <row r="270" hidden="1" ht="13.5">
      <c r="B270" s="831" t="s">
        <v>26</v>
      </c>
      <c r="C270" s="823">
        <v>0</v>
      </c>
      <c r="D270" s="823">
        <v>0</v>
      </c>
      <c r="E270" s="823">
        <v>0</v>
      </c>
      <c r="F270" s="823">
        <v>0</v>
      </c>
      <c r="G270" s="823">
        <v>0</v>
      </c>
      <c r="H270" s="823">
        <v>0</v>
      </c>
      <c r="I270" s="823">
        <v>0</v>
      </c>
      <c r="J270" s="823">
        <v>0</v>
      </c>
      <c r="K270" s="823">
        <v>0</v>
      </c>
      <c r="L270" s="823">
        <v>0</v>
      </c>
      <c r="M270" s="823">
        <v>0</v>
      </c>
      <c r="N270" s="823">
        <v>0</v>
      </c>
      <c r="O270" s="823">
        <v>0</v>
      </c>
      <c r="P270" s="823">
        <v>0</v>
      </c>
      <c r="Q270" s="823">
        <v>0</v>
      </c>
      <c r="R270" s="823">
        <v>0</v>
      </c>
      <c r="S270" s="823">
        <v>0</v>
      </c>
      <c r="T270" s="823">
        <v>0</v>
      </c>
      <c r="U270" s="823">
        <v>0</v>
      </c>
      <c r="V270" s="823">
        <v>0</v>
      </c>
      <c r="W270" s="823">
        <v>0</v>
      </c>
      <c r="X270" s="823">
        <v>0</v>
      </c>
      <c r="Y270" s="823">
        <v>0</v>
      </c>
      <c r="Z270" s="823">
        <v>0</v>
      </c>
      <c r="AA270" s="823">
        <v>0</v>
      </c>
      <c r="AB270" s="832">
        <v>0</v>
      </c>
      <c r="AC270" s="825">
        <v>0</v>
      </c>
      <c r="AD270" s="825">
        <v>0</v>
      </c>
      <c r="AE270" s="825">
        <v>0</v>
      </c>
      <c r="AF270" s="825">
        <v>0</v>
      </c>
      <c r="AG270" s="825">
        <v>0</v>
      </c>
      <c r="AH270" s="825">
        <v>0</v>
      </c>
      <c r="AI270" s="825">
        <v>0</v>
      </c>
      <c r="AJ270" s="825">
        <v>0</v>
      </c>
      <c r="AK270" s="825">
        <v>0</v>
      </c>
      <c r="AL270" s="825">
        <v>0</v>
      </c>
      <c r="AM270" s="825">
        <v>0</v>
      </c>
      <c r="AN270" s="825">
        <v>0</v>
      </c>
      <c r="AO270" s="825">
        <v>0</v>
      </c>
      <c r="AP270" s="825">
        <v>0</v>
      </c>
    </row>
    <row r="271" hidden="1" ht="13.5">
      <c r="B271" s="128" t="s">
        <v>7</v>
      </c>
      <c r="C271" s="129" t="str">
        <f>IF(SUM(C252:C270)&lt;&gt;0,SUM(C252:C270),"")</f>
      </c>
      <c r="D271" s="129" t="str">
        <f ref="D271:AA271" t="shared" si="30">IF(SUM(D252:D270)&lt;&gt;0,SUM(D252:D270),"")</f>
      </c>
      <c r="E271" s="129" t="str">
        <f t="shared" si="30"/>
      </c>
      <c r="F271" s="129" t="str">
        <f t="shared" si="30"/>
      </c>
      <c r="G271" s="129" t="str">
        <f t="shared" si="30"/>
      </c>
      <c r="H271" s="129" t="str">
        <f t="shared" si="30"/>
      </c>
      <c r="I271" s="129" t="str">
        <f t="shared" si="30"/>
      </c>
      <c r="J271" s="129" t="str">
        <f t="shared" si="30"/>
      </c>
      <c r="K271" s="129" t="str">
        <f t="shared" si="30"/>
      </c>
      <c r="L271" s="129" t="str">
        <f t="shared" si="30"/>
      </c>
      <c r="M271" s="129" t="str">
        <f t="shared" si="30"/>
      </c>
      <c r="N271" s="129" t="str">
        <f t="shared" si="30"/>
      </c>
      <c r="O271" s="129" t="str">
        <f t="shared" si="30"/>
      </c>
      <c r="P271" s="129" t="str">
        <f t="shared" si="30"/>
      </c>
      <c r="Q271" s="129" t="str">
        <f t="shared" si="30"/>
      </c>
      <c r="R271" s="129" t="str">
        <f t="shared" si="30"/>
      </c>
      <c r="S271" s="129" t="str">
        <f t="shared" si="30"/>
      </c>
      <c r="T271" s="129" t="str">
        <f t="shared" si="30"/>
      </c>
      <c r="U271" s="129" t="str">
        <f t="shared" si="30"/>
      </c>
      <c r="V271" s="129" t="str">
        <f t="shared" si="30"/>
      </c>
      <c r="W271" s="129" t="str">
        <f t="shared" si="30"/>
      </c>
      <c r="X271" s="129" t="str">
        <f t="shared" si="30"/>
      </c>
      <c r="Y271" s="129" t="str">
        <f t="shared" si="30"/>
      </c>
      <c r="Z271" s="129" t="str">
        <f t="shared" si="30"/>
      </c>
      <c r="AA271" s="129" t="str">
        <f t="shared" si="30"/>
      </c>
      <c r="AB271" s="130" t="str">
        <f>IF(SUM(AB252:AB270)&lt;&gt;0,SUM(AB252:AB270),"")</f>
      </c>
      <c r="AC271" s="91" t="str">
        <f ref="AC271:CN271" t="shared" si="31">IF(SUM(AC252:AC270)&lt;&gt;0,SUM(AC252:AC270),"")</f>
      </c>
      <c r="AD271" s="91" t="str">
        <f t="shared" si="31"/>
      </c>
      <c r="AE271" s="91" t="str">
        <f t="shared" si="31"/>
      </c>
      <c r="AF271" s="91" t="str">
        <f t="shared" si="31"/>
      </c>
      <c r="AG271" s="91" t="str">
        <f t="shared" si="31"/>
      </c>
      <c r="AH271" s="91" t="str">
        <f t="shared" si="31"/>
      </c>
      <c r="AI271" s="91" t="str">
        <f t="shared" si="31"/>
      </c>
      <c r="AJ271" s="91" t="str">
        <f t="shared" si="31"/>
      </c>
      <c r="AK271" s="91" t="str">
        <f t="shared" si="31"/>
      </c>
      <c r="AL271" s="91" t="str">
        <f t="shared" si="31"/>
      </c>
      <c r="AM271" s="91" t="str">
        <f t="shared" si="31"/>
      </c>
      <c r="AN271" s="91" t="str">
        <f t="shared" si="31"/>
      </c>
      <c r="AO271" s="91" t="str">
        <f t="shared" si="31"/>
      </c>
      <c r="AP271" s="91" t="str">
        <f t="shared" si="31"/>
      </c>
      <c r="AQ271" s="91" t="str">
        <f t="shared" si="31"/>
      </c>
      <c r="AR271" s="91" t="str">
        <f t="shared" si="31"/>
      </c>
      <c r="AS271" s="91" t="str">
        <f t="shared" si="31"/>
      </c>
      <c r="AT271" s="91" t="str">
        <f t="shared" si="31"/>
      </c>
      <c r="AU271" s="91" t="str">
        <f t="shared" si="31"/>
      </c>
      <c r="AV271" s="91" t="str">
        <f t="shared" si="31"/>
      </c>
      <c r="AW271" s="91" t="str">
        <f t="shared" si="31"/>
      </c>
      <c r="AX271" s="91" t="str">
        <f t="shared" si="31"/>
      </c>
      <c r="AY271" s="91" t="str">
        <f t="shared" si="31"/>
      </c>
      <c r="AZ271" s="91" t="str">
        <f t="shared" si="31"/>
      </c>
      <c r="BA271" s="91" t="str">
        <f t="shared" si="31"/>
      </c>
      <c r="BB271" s="91" t="str">
        <f t="shared" si="31"/>
      </c>
      <c r="BC271" s="91" t="str">
        <f t="shared" si="31"/>
      </c>
      <c r="BD271" s="91" t="str">
        <f t="shared" si="31"/>
      </c>
      <c r="BE271" s="91" t="str">
        <f t="shared" si="31"/>
      </c>
      <c r="BF271" s="91" t="str">
        <f t="shared" si="31"/>
      </c>
      <c r="BG271" s="91" t="str">
        <f t="shared" si="31"/>
      </c>
      <c r="BH271" s="91" t="str">
        <f t="shared" si="31"/>
      </c>
      <c r="BI271" s="91" t="str">
        <f t="shared" si="31"/>
      </c>
      <c r="BJ271" s="91" t="str">
        <f t="shared" si="31"/>
      </c>
      <c r="BK271" s="91" t="str">
        <f t="shared" si="31"/>
      </c>
      <c r="BL271" s="91" t="str">
        <f t="shared" si="31"/>
      </c>
      <c r="BM271" s="91" t="str">
        <f t="shared" si="31"/>
      </c>
      <c r="BN271" s="91" t="str">
        <f t="shared" si="31"/>
      </c>
      <c r="BO271" s="91" t="str">
        <f t="shared" si="31"/>
      </c>
      <c r="BP271" s="91" t="str">
        <f t="shared" si="31"/>
      </c>
      <c r="BQ271" s="91" t="str">
        <f t="shared" si="31"/>
      </c>
      <c r="BR271" s="91" t="str">
        <f t="shared" si="31"/>
      </c>
      <c r="BS271" s="91" t="str">
        <f t="shared" si="31"/>
      </c>
      <c r="BT271" s="91" t="str">
        <f t="shared" si="31"/>
      </c>
      <c r="BU271" s="91" t="str">
        <f t="shared" si="31"/>
      </c>
      <c r="BV271" s="91" t="str">
        <f t="shared" si="31"/>
      </c>
      <c r="BW271" s="91" t="str">
        <f t="shared" si="31"/>
      </c>
      <c r="BX271" s="91" t="str">
        <f t="shared" si="31"/>
      </c>
      <c r="BY271" s="91" t="str">
        <f t="shared" si="31"/>
      </c>
      <c r="BZ271" s="91" t="str">
        <f t="shared" si="31"/>
      </c>
      <c r="CA271" s="91" t="str">
        <f t="shared" si="31"/>
      </c>
      <c r="CB271" s="91" t="str">
        <f t="shared" si="31"/>
      </c>
      <c r="CC271" s="91" t="str">
        <f t="shared" si="31"/>
      </c>
      <c r="CD271" s="91" t="str">
        <f t="shared" si="31"/>
      </c>
      <c r="CE271" s="91" t="str">
        <f t="shared" si="31"/>
      </c>
      <c r="CF271" s="91" t="str">
        <f t="shared" si="31"/>
      </c>
      <c r="CG271" s="91" t="str">
        <f t="shared" si="31"/>
      </c>
      <c r="CH271" s="91" t="str">
        <f t="shared" si="31"/>
      </c>
      <c r="CI271" s="91" t="str">
        <f t="shared" si="31"/>
      </c>
      <c r="CJ271" s="91" t="str">
        <f t="shared" si="31"/>
      </c>
      <c r="CK271" s="91" t="str">
        <f t="shared" si="31"/>
      </c>
      <c r="CL271" s="91" t="str">
        <f t="shared" si="31"/>
      </c>
      <c r="CM271" s="91" t="str">
        <f t="shared" si="31"/>
      </c>
      <c r="CN271" s="91" t="str">
        <f t="shared" si="31"/>
      </c>
      <c r="CO271" s="91" t="str">
        <f ref="CO271:EZ271" t="shared" si="32">IF(SUM(CO252:CO270)&lt;&gt;0,SUM(CO252:CO270),"")</f>
      </c>
      <c r="CP271" s="91" t="str">
        <f t="shared" si="32"/>
      </c>
      <c r="CQ271" s="91" t="str">
        <f t="shared" si="32"/>
      </c>
      <c r="CR271" s="91" t="str">
        <f t="shared" si="32"/>
      </c>
      <c r="CS271" s="91" t="str">
        <f t="shared" si="32"/>
      </c>
      <c r="CT271" s="91" t="str">
        <f t="shared" si="32"/>
      </c>
      <c r="CU271" s="91" t="str">
        <f t="shared" si="32"/>
      </c>
      <c r="CV271" s="91" t="str">
        <f t="shared" si="32"/>
      </c>
      <c r="CW271" s="91" t="str">
        <f t="shared" si="32"/>
      </c>
      <c r="CX271" s="91" t="str">
        <f t="shared" si="32"/>
      </c>
      <c r="CY271" s="91" t="str">
        <f t="shared" si="32"/>
      </c>
      <c r="CZ271" s="91" t="str">
        <f t="shared" si="32"/>
      </c>
      <c r="DA271" s="91" t="str">
        <f t="shared" si="32"/>
      </c>
      <c r="DB271" s="91" t="str">
        <f t="shared" si="32"/>
      </c>
      <c r="DC271" s="91" t="str">
        <f t="shared" si="32"/>
      </c>
      <c r="DD271" s="91" t="str">
        <f t="shared" si="32"/>
      </c>
      <c r="DE271" s="91" t="str">
        <f t="shared" si="32"/>
      </c>
      <c r="DF271" s="91" t="str">
        <f t="shared" si="32"/>
      </c>
      <c r="DG271" s="91" t="str">
        <f t="shared" si="32"/>
      </c>
      <c r="DH271" s="91" t="str">
        <f t="shared" si="32"/>
      </c>
      <c r="DI271" s="91" t="str">
        <f t="shared" si="32"/>
      </c>
      <c r="DJ271" s="91" t="str">
        <f t="shared" si="32"/>
      </c>
      <c r="DK271" s="91" t="str">
        <f t="shared" si="32"/>
      </c>
      <c r="DL271" s="91" t="str">
        <f t="shared" si="32"/>
      </c>
      <c r="DM271" s="91" t="str">
        <f t="shared" si="32"/>
      </c>
      <c r="DN271" s="91" t="str">
        <f t="shared" si="32"/>
      </c>
      <c r="DO271" s="91" t="str">
        <f t="shared" si="32"/>
      </c>
      <c r="DP271" s="91" t="str">
        <f t="shared" si="32"/>
      </c>
      <c r="DQ271" s="91" t="str">
        <f t="shared" si="32"/>
      </c>
      <c r="DR271" s="91" t="str">
        <f t="shared" si="32"/>
      </c>
      <c r="DS271" s="91" t="str">
        <f t="shared" si="32"/>
      </c>
      <c r="DT271" s="91" t="str">
        <f t="shared" si="32"/>
      </c>
      <c r="DU271" s="91" t="str">
        <f t="shared" si="32"/>
      </c>
      <c r="DV271" s="91" t="str">
        <f t="shared" si="32"/>
      </c>
      <c r="DW271" s="91" t="str">
        <f t="shared" si="32"/>
      </c>
      <c r="DX271" s="91" t="str">
        <f t="shared" si="32"/>
      </c>
      <c r="DY271" s="91" t="str">
        <f t="shared" si="32"/>
      </c>
      <c r="DZ271" s="91" t="str">
        <f t="shared" si="32"/>
      </c>
      <c r="EA271" s="91" t="str">
        <f t="shared" si="32"/>
      </c>
      <c r="EB271" s="91" t="str">
        <f t="shared" si="32"/>
      </c>
      <c r="EC271" s="91" t="str">
        <f t="shared" si="32"/>
      </c>
      <c r="ED271" s="91" t="str">
        <f t="shared" si="32"/>
      </c>
      <c r="EE271" s="91" t="str">
        <f t="shared" si="32"/>
      </c>
      <c r="EF271" s="91" t="str">
        <f t="shared" si="32"/>
      </c>
      <c r="EG271" s="91" t="str">
        <f t="shared" si="32"/>
      </c>
      <c r="EH271" s="91" t="str">
        <f t="shared" si="32"/>
      </c>
      <c r="EI271" s="91" t="str">
        <f t="shared" si="32"/>
      </c>
      <c r="EJ271" s="91" t="str">
        <f t="shared" si="32"/>
      </c>
      <c r="EK271" s="91" t="str">
        <f t="shared" si="32"/>
      </c>
      <c r="EL271" s="91" t="str">
        <f t="shared" si="32"/>
      </c>
      <c r="EM271" s="91" t="str">
        <f t="shared" si="32"/>
      </c>
      <c r="EN271" s="91" t="str">
        <f t="shared" si="32"/>
      </c>
      <c r="EO271" s="91" t="str">
        <f t="shared" si="32"/>
      </c>
      <c r="EP271" s="91" t="str">
        <f t="shared" si="32"/>
      </c>
      <c r="EQ271" s="91" t="str">
        <f t="shared" si="32"/>
      </c>
      <c r="ER271" s="91" t="str">
        <f t="shared" si="32"/>
      </c>
      <c r="ES271" s="91" t="str">
        <f t="shared" si="32"/>
      </c>
      <c r="ET271" s="91" t="str">
        <f t="shared" si="32"/>
      </c>
      <c r="EU271" s="91" t="str">
        <f t="shared" si="32"/>
      </c>
      <c r="EV271" s="91" t="str">
        <f t="shared" si="32"/>
      </c>
      <c r="EW271" s="91" t="str">
        <f t="shared" si="32"/>
      </c>
      <c r="EX271" s="91" t="str">
        <f t="shared" si="32"/>
      </c>
      <c r="EY271" s="91" t="str">
        <f t="shared" si="32"/>
      </c>
      <c r="EZ271" s="91" t="str">
        <f t="shared" si="32"/>
      </c>
      <c r="FA271" s="91" t="str">
        <f ref="FA271:HL271" t="shared" si="33">IF(SUM(FA252:FA270)&lt;&gt;0,SUM(FA252:FA270),"")</f>
      </c>
      <c r="FB271" s="91" t="str">
        <f t="shared" si="33"/>
      </c>
      <c r="FC271" s="91" t="str">
        <f t="shared" si="33"/>
      </c>
      <c r="FD271" s="91" t="str">
        <f t="shared" si="33"/>
      </c>
      <c r="FE271" s="91" t="str">
        <f t="shared" si="33"/>
      </c>
      <c r="FF271" s="91" t="str">
        <f t="shared" si="33"/>
      </c>
      <c r="FG271" s="91" t="str">
        <f t="shared" si="33"/>
      </c>
      <c r="FH271" s="91" t="str">
        <f t="shared" si="33"/>
      </c>
      <c r="FI271" s="91" t="str">
        <f t="shared" si="33"/>
      </c>
      <c r="FJ271" s="91" t="str">
        <f t="shared" si="33"/>
      </c>
      <c r="FK271" s="91" t="str">
        <f t="shared" si="33"/>
      </c>
      <c r="FL271" s="91" t="str">
        <f t="shared" si="33"/>
      </c>
      <c r="FM271" s="91" t="str">
        <f t="shared" si="33"/>
      </c>
      <c r="FN271" s="91" t="str">
        <f t="shared" si="33"/>
      </c>
      <c r="FO271" s="91" t="str">
        <f t="shared" si="33"/>
      </c>
      <c r="FP271" s="91" t="str">
        <f t="shared" si="33"/>
      </c>
      <c r="FQ271" s="91" t="str">
        <f t="shared" si="33"/>
      </c>
      <c r="FR271" s="91" t="str">
        <f t="shared" si="33"/>
      </c>
      <c r="FS271" s="91" t="str">
        <f t="shared" si="33"/>
      </c>
      <c r="FT271" s="91" t="str">
        <f t="shared" si="33"/>
      </c>
      <c r="FU271" s="91" t="str">
        <f t="shared" si="33"/>
      </c>
      <c r="FV271" s="91" t="str">
        <f t="shared" si="33"/>
      </c>
      <c r="FW271" s="91" t="str">
        <f t="shared" si="33"/>
      </c>
      <c r="FX271" s="91" t="str">
        <f t="shared" si="33"/>
      </c>
      <c r="FY271" s="91" t="str">
        <f t="shared" si="33"/>
      </c>
      <c r="FZ271" s="91" t="str">
        <f t="shared" si="33"/>
      </c>
      <c r="GA271" s="91" t="str">
        <f t="shared" si="33"/>
      </c>
      <c r="GB271" s="91" t="str">
        <f t="shared" si="33"/>
      </c>
      <c r="GC271" s="91" t="str">
        <f t="shared" si="33"/>
      </c>
      <c r="GD271" s="91" t="str">
        <f t="shared" si="33"/>
      </c>
      <c r="GE271" s="91" t="str">
        <f t="shared" si="33"/>
      </c>
      <c r="GF271" s="91" t="str">
        <f t="shared" si="33"/>
      </c>
      <c r="GG271" s="91" t="str">
        <f t="shared" si="33"/>
      </c>
      <c r="GH271" s="91" t="str">
        <f t="shared" si="33"/>
      </c>
      <c r="GI271" s="91" t="str">
        <f t="shared" si="33"/>
      </c>
      <c r="GJ271" s="91" t="str">
        <f t="shared" si="33"/>
      </c>
      <c r="GK271" s="91" t="str">
        <f t="shared" si="33"/>
      </c>
      <c r="GL271" s="91" t="str">
        <f t="shared" si="33"/>
      </c>
      <c r="GM271" s="91" t="str">
        <f t="shared" si="33"/>
      </c>
      <c r="GN271" s="91" t="str">
        <f t="shared" si="33"/>
      </c>
      <c r="GO271" s="91" t="str">
        <f t="shared" si="33"/>
      </c>
      <c r="GP271" s="91" t="str">
        <f t="shared" si="33"/>
      </c>
      <c r="GQ271" s="91" t="str">
        <f t="shared" si="33"/>
      </c>
      <c r="GR271" s="91" t="str">
        <f t="shared" si="33"/>
      </c>
      <c r="GS271" s="91" t="str">
        <f t="shared" si="33"/>
      </c>
      <c r="GT271" s="91" t="str">
        <f t="shared" si="33"/>
      </c>
      <c r="GU271" s="91" t="str">
        <f t="shared" si="33"/>
      </c>
      <c r="GV271" s="91" t="str">
        <f t="shared" si="33"/>
      </c>
      <c r="GW271" s="91" t="str">
        <f t="shared" si="33"/>
      </c>
      <c r="GX271" s="91" t="str">
        <f t="shared" si="33"/>
      </c>
      <c r="GY271" s="91" t="str">
        <f t="shared" si="33"/>
      </c>
      <c r="GZ271" s="91" t="str">
        <f t="shared" si="33"/>
      </c>
      <c r="HA271" s="91" t="str">
        <f t="shared" si="33"/>
      </c>
      <c r="HB271" s="91" t="str">
        <f t="shared" si="33"/>
      </c>
      <c r="HC271" s="91" t="str">
        <f t="shared" si="33"/>
      </c>
      <c r="HD271" s="91" t="str">
        <f t="shared" si="33"/>
      </c>
      <c r="HE271" s="91" t="str">
        <f t="shared" si="33"/>
      </c>
      <c r="HF271" s="91" t="str">
        <f t="shared" si="33"/>
      </c>
      <c r="HG271" s="91" t="str">
        <f t="shared" si="33"/>
      </c>
      <c r="HH271" s="91" t="str">
        <f t="shared" si="33"/>
      </c>
      <c r="HI271" s="91" t="str">
        <f t="shared" si="33"/>
      </c>
      <c r="HJ271" s="91" t="str">
        <f t="shared" si="33"/>
      </c>
      <c r="HK271" s="91" t="str">
        <f t="shared" si="33"/>
      </c>
      <c r="HL271" s="91" t="str">
        <f t="shared" si="33"/>
      </c>
      <c r="HM271" s="91" t="str">
        <f ref="HM271:IV271" t="shared" si="34">IF(SUM(HM252:HM270)&lt;&gt;0,SUM(HM252:HM270),"")</f>
      </c>
      <c r="HN271" s="91" t="str">
        <f t="shared" si="34"/>
      </c>
      <c r="HO271" s="91" t="str">
        <f t="shared" si="34"/>
      </c>
      <c r="HP271" s="91" t="str">
        <f t="shared" si="34"/>
      </c>
      <c r="HQ271" s="91" t="str">
        <f t="shared" si="34"/>
      </c>
      <c r="HR271" s="91" t="str">
        <f t="shared" si="34"/>
      </c>
      <c r="HS271" s="91" t="str">
        <f t="shared" si="34"/>
      </c>
      <c r="HT271" s="91" t="str">
        <f t="shared" si="34"/>
      </c>
      <c r="HU271" s="91" t="str">
        <f t="shared" si="34"/>
      </c>
      <c r="HV271" s="91" t="str">
        <f t="shared" si="34"/>
      </c>
      <c r="HW271" s="91" t="str">
        <f t="shared" si="34"/>
      </c>
      <c r="HX271" s="91" t="str">
        <f t="shared" si="34"/>
      </c>
      <c r="HY271" s="91" t="str">
        <f t="shared" si="34"/>
      </c>
      <c r="HZ271" s="91" t="str">
        <f t="shared" si="34"/>
      </c>
      <c r="IA271" s="91" t="str">
        <f t="shared" si="34"/>
      </c>
      <c r="IB271" s="91" t="str">
        <f t="shared" si="34"/>
      </c>
      <c r="IC271" s="91" t="str">
        <f t="shared" si="34"/>
      </c>
      <c r="ID271" s="91" t="str">
        <f t="shared" si="34"/>
      </c>
      <c r="IE271" s="91" t="str">
        <f t="shared" si="34"/>
      </c>
      <c r="IF271" s="91" t="str">
        <f t="shared" si="34"/>
      </c>
      <c r="IG271" s="91" t="str">
        <f t="shared" si="34"/>
      </c>
      <c r="IH271" s="91" t="str">
        <f t="shared" si="34"/>
      </c>
      <c r="II271" s="91" t="str">
        <f t="shared" si="34"/>
      </c>
      <c r="IJ271" s="91" t="str">
        <f t="shared" si="34"/>
      </c>
      <c r="IK271" s="91" t="str">
        <f t="shared" si="34"/>
      </c>
      <c r="IL271" s="91" t="str">
        <f t="shared" si="34"/>
      </c>
      <c r="IM271" s="91" t="str">
        <f t="shared" si="34"/>
      </c>
      <c r="IN271" s="91" t="str">
        <f t="shared" si="34"/>
      </c>
      <c r="IO271" s="91" t="str">
        <f t="shared" si="34"/>
      </c>
      <c r="IP271" s="91" t="str">
        <f t="shared" si="34"/>
      </c>
      <c r="IQ271" s="91" t="str">
        <f t="shared" si="34"/>
      </c>
      <c r="IR271" s="91" t="str">
        <f t="shared" si="34"/>
      </c>
      <c r="IS271" s="91" t="str">
        <f t="shared" si="34"/>
      </c>
      <c r="IT271" s="91" t="str">
        <f t="shared" si="34"/>
      </c>
      <c r="IU271" s="91" t="str">
        <f t="shared" si="34"/>
      </c>
      <c r="IV271" s="91" t="str">
        <f t="shared" si="34"/>
      </c>
    </row>
    <row r="272" hidden="1"/>
    <row r="273" hidden="1" ht="13.5"/>
    <row r="274" hidden="1" ht="15.75" customHeight="1">
      <c r="C274" s="686" t="s">
        <v>117</v>
      </c>
      <c r="D274" s="687"/>
      <c r="E274" s="687"/>
      <c r="F274" s="687"/>
      <c r="G274" s="687"/>
      <c r="H274" s="687"/>
      <c r="I274" s="687"/>
      <c r="J274" s="687"/>
      <c r="K274" s="687"/>
      <c r="L274" s="687"/>
      <c r="M274" s="687"/>
      <c r="N274" s="687"/>
      <c r="O274" s="687"/>
      <c r="P274" s="687"/>
      <c r="Q274" s="687"/>
      <c r="R274" s="687"/>
      <c r="S274" s="687"/>
      <c r="T274" s="687"/>
      <c r="U274" s="687"/>
      <c r="V274" s="687"/>
      <c r="W274" s="687"/>
      <c r="X274" s="687"/>
      <c r="Y274" s="687"/>
      <c r="Z274" s="687"/>
      <c r="AA274" s="687"/>
      <c r="AB274" s="688"/>
    </row>
    <row r="275" hidden="1" ht="13.5">
      <c r="C275" s="435" t="str">
        <f> IF(C295&lt;&gt;"",TEXT(AUX!G$1,"dd-MMM-aa"),"")</f>
      </c>
      <c r="D275" s="435" t="str">
        <f> IF(D295&lt;&gt;"",TEXT(AUX!H$1,"dd-MMM-aa"),"")</f>
      </c>
      <c r="E275" s="435" t="str">
        <f> IF(E295&lt;&gt;"",TEXT(AUX!I$1,"dd-MMM-aa"),"")</f>
      </c>
      <c r="F275" s="435" t="str">
        <f> IF(F295&lt;&gt;"",TEXT(AUX!J$1,"dd-MMM-aa"),"")</f>
      </c>
      <c r="G275" s="435" t="str">
        <f> IF(G295&lt;&gt;"",TEXT(AUX!K$1,"dd-MMM-aa"),"")</f>
      </c>
      <c r="H275" s="435" t="str">
        <f> IF(H295&lt;&gt;"",TEXT(AUX!L$1,"dd-MMM-aa"),"")</f>
      </c>
      <c r="I275" s="435" t="str">
        <f> IF(I295&lt;&gt;"",TEXT(AUX!M$1,"dd-MMM-aa"),"")</f>
      </c>
      <c r="J275" s="435" t="str">
        <f> IF(J295&lt;&gt;"",TEXT(AUX!N$1,"dd-MMM-aa"),"")</f>
      </c>
      <c r="K275" s="435" t="str">
        <f> IF(K295&lt;&gt;"",TEXT(AUX!O$1,"dd-MMM-aa"),"")</f>
      </c>
      <c r="L275" s="435" t="str">
        <f> IF(L295&lt;&gt;"",TEXT(AUX!P$1,"dd-MMM-aa"),"")</f>
      </c>
      <c r="M275" s="435" t="str">
        <f> IF(M295&lt;&gt;"",TEXT(AUX!Q$1,"dd-MMM-aa"),"")</f>
      </c>
      <c r="N275" s="435" t="str">
        <f> IF(N295&lt;&gt;"",TEXT(AUX!R$1,"dd-MMM-aa"),"")</f>
      </c>
      <c r="O275" s="435" t="str">
        <f> IF(O295&lt;&gt;"",TEXT(AUX!S$1,"dd-MMM-aa"),"")</f>
      </c>
      <c r="P275" s="435" t="str">
        <f> IF(P295&lt;&gt;"",TEXT(AUX!T$1,"dd-MMM-aa"),"")</f>
      </c>
      <c r="Q275" s="435" t="str">
        <f> IF(Q295&lt;&gt;"",TEXT(AUX!U$1,"dd-MMM-aa"),"")</f>
      </c>
      <c r="R275" s="435" t="str">
        <f> IF(R295&lt;&gt;"",TEXT(AUX!V$1,"dd-MMM-aa"),"")</f>
      </c>
      <c r="S275" s="435" t="str">
        <f> IF(S295&lt;&gt;"",TEXT(AUX!W$1,"dd-MMM-aa"),"")</f>
      </c>
      <c r="T275" s="435" t="str">
        <f> IF(T295&lt;&gt;"",TEXT(AUX!X$1,"dd-MMM-aa"),"")</f>
      </c>
      <c r="U275" s="435" t="str">
        <f> IF(U295&lt;&gt;"",TEXT(AUX!Y$1,"dd-MMM-aa"),"")</f>
      </c>
      <c r="V275" s="435" t="str">
        <f> IF(V295&lt;&gt;"",TEXT(AUX!Z$1,"dd-MMM-aa"),"")</f>
      </c>
      <c r="W275" s="435" t="str">
        <f> IF(W295&lt;&gt;"",TEXT(AUX!AA$1,"dd-MMM-aa"),"")</f>
      </c>
      <c r="X275" s="435" t="str">
        <f> IF(X295&lt;&gt;"",TEXT(AUX!AB$1,"dd-MMM-aa"),"")</f>
      </c>
      <c r="Y275" s="435" t="str">
        <f> IF(Y295&lt;&gt;"",TEXT(AUX!AC$1,"dd-MMM-aa"),"")</f>
      </c>
      <c r="Z275" s="435" t="str">
        <f> IF(Z295&lt;&gt;"",TEXT(AUX!AD$1,"dd-MMM-aa"),"")</f>
      </c>
      <c r="AA275" s="435" t="str">
        <f> IF(AA295&lt;&gt;"",TEXT(AUX!AE$1,"dd-MMM-aa"),"")</f>
      </c>
      <c r="AB275" s="497" t="str">
        <f> IF(AB295&lt;&gt;"",TEXT(AUX!AF$1,"dd-MMM-aa"),"")</f>
      </c>
      <c r="AC275" s="496" t="str">
        <f> IF(AC295&lt;&gt;"",TEXT(AUX!AG$1,"dd-MMM-aa"),"")</f>
      </c>
      <c r="AD275" s="496" t="str">
        <f> IF(AD295&lt;&gt;"",TEXT(AUX!AH$1,"dd-MMM-aa"),"")</f>
      </c>
      <c r="AE275" s="496" t="str">
        <f> IF(AE295&lt;&gt;"",TEXT(AUX!AI$1,"dd-MMM-aa"),"")</f>
      </c>
      <c r="AF275" s="496" t="str">
        <f> IF(AF295&lt;&gt;"",TEXT(AUX!AJ$1,"dd-MMM-aa"),"")</f>
      </c>
      <c r="AG275" s="496" t="str">
        <f> IF(AG295&lt;&gt;"",TEXT(AUX!AK$1,"dd-MMM-aa"),"")</f>
      </c>
      <c r="AH275" s="496" t="str">
        <f> IF(AH295&lt;&gt;"",TEXT(AUX!AL$1,"dd-MMM-aa"),"")</f>
      </c>
      <c r="AI275" s="496" t="str">
        <f> IF(AI295&lt;&gt;"",TEXT(AUX!AM$1,"dd-MMM-aa"),"")</f>
      </c>
      <c r="AJ275" s="496" t="str">
        <f> IF(AJ295&lt;&gt;"",TEXT(AUX!AN$1,"dd-MMM-aa"),"")</f>
      </c>
      <c r="AK275" s="496" t="str">
        <f> IF(AK295&lt;&gt;"",TEXT(AUX!AO$1,"dd-MMM-aa"),"")</f>
      </c>
      <c r="AL275" s="496" t="str">
        <f> IF(AL295&lt;&gt;"",TEXT(AUX!AP$1,"dd-MMM-aa"),"")</f>
      </c>
      <c r="AM275" s="496" t="str">
        <f> IF(AM295&lt;&gt;"",TEXT(AUX!AQ$1,"dd-MMM-aa"),"")</f>
      </c>
      <c r="AN275" s="496" t="str">
        <f> IF(AN295&lt;&gt;"",TEXT(AUX!AR$1,"dd-MMM-aa"),"")</f>
      </c>
      <c r="AO275" s="496" t="str">
        <f> IF(AO295&lt;&gt;"",TEXT(AUX!AS$1,"dd-MMM-aa"),"")</f>
      </c>
      <c r="AP275" s="496" t="str">
        <f> IF(AP295&lt;&gt;"",TEXT(AUX!AT$1,"dd-MMM-aa"),"")</f>
      </c>
      <c r="AQ275" s="496" t="str">
        <f> IF(AQ295&lt;&gt;"",TEXT(AUX!AU$1,"dd-MMM-aa"),"")</f>
      </c>
      <c r="AR275" s="496" t="str">
        <f> IF(AR295&lt;&gt;"",TEXT(AUX!AV$1,"dd-MMM-aa"),"")</f>
      </c>
      <c r="AS275" s="496" t="str">
        <f> IF(AS295&lt;&gt;"",TEXT(AUX!AW$1,"dd-MMM-aa"),"")</f>
      </c>
      <c r="AT275" s="496" t="str">
        <f> IF(AT295&lt;&gt;"",TEXT(AUX!AX$1,"dd-MMM-aa"),"")</f>
      </c>
      <c r="AU275" s="496" t="str">
        <f> IF(AU295&lt;&gt;"",TEXT(AUX!AY$1,"dd-MMM-aa"),"")</f>
      </c>
      <c r="AV275" s="496" t="str">
        <f> IF(AV295&lt;&gt;"",TEXT(AUX!AZ$1,"dd-MMM-aa"),"")</f>
      </c>
      <c r="AW275" s="496" t="str">
        <f> IF(AW295&lt;&gt;"",TEXT(AUX!BA$1,"dd-MMM-aa"),"")</f>
      </c>
      <c r="AX275" s="496" t="str">
        <f> IF(AX295&lt;&gt;"",TEXT(AUX!BB$1,"dd-MMM-aa"),"")</f>
      </c>
      <c r="AY275" s="496" t="str">
        <f> IF(AY295&lt;&gt;"",TEXT(AUX!BC$1,"dd-MMM-aa"),"")</f>
      </c>
      <c r="AZ275" s="496" t="str">
        <f> IF(AZ295&lt;&gt;"",TEXT(AUX!BD$1,"dd-MMM-aa"),"")</f>
      </c>
      <c r="BA275" s="496" t="str">
        <f> IF(BA295&lt;&gt;"",TEXT(AUX!BE$1,"dd-MMM-aa"),"")</f>
      </c>
      <c r="BB275" s="496" t="str">
        <f> IF(BB295&lt;&gt;"",TEXT(AUX!BF$1,"dd-MMM-aa"),"")</f>
      </c>
      <c r="BC275" s="496" t="str">
        <f> IF(BC295&lt;&gt;"",TEXT(AUX!BG$1,"dd-MMM-aa"),"")</f>
      </c>
      <c r="BD275" s="496" t="str">
        <f> IF(BD295&lt;&gt;"",TEXT(AUX!BH$1,"dd-MMM-aa"),"")</f>
      </c>
      <c r="BE275" s="496" t="str">
        <f> IF(BE295&lt;&gt;"",TEXT(AUX!BI$1,"dd-MMM-aa"),"")</f>
      </c>
      <c r="BF275" s="496" t="str">
        <f> IF(BF295&lt;&gt;"",TEXT(AUX!BJ$1,"dd-MMM-aa"),"")</f>
      </c>
      <c r="BG275" s="496" t="str">
        <f> IF(BG295&lt;&gt;"",TEXT(AUX!BK$1,"dd-MMM-aa"),"")</f>
      </c>
      <c r="BH275" s="496" t="str">
        <f> IF(BH295&lt;&gt;"",TEXT(AUX!BL$1,"dd-MMM-aa"),"")</f>
      </c>
      <c r="BI275" s="496" t="str">
        <f> IF(BI295&lt;&gt;"",TEXT(AUX!BM$1,"dd-MMM-aa"),"")</f>
      </c>
      <c r="BJ275" s="496" t="str">
        <f> IF(BJ295&lt;&gt;"",TEXT(AUX!BN$1,"dd-MMM-aa"),"")</f>
      </c>
      <c r="BK275" s="496" t="str">
        <f> IF(BK295&lt;&gt;"",TEXT(AUX!BO$1,"dd-MMM-aa"),"")</f>
      </c>
      <c r="BL275" s="496" t="str">
        <f> IF(BL295&lt;&gt;"",TEXT(AUX!BP$1,"dd-MMM-aa"),"")</f>
      </c>
      <c r="BM275" s="496" t="str">
        <f> IF(BM295&lt;&gt;"",TEXT(AUX!BQ$1,"dd-MMM-aa"),"")</f>
      </c>
      <c r="BN275" s="496" t="str">
        <f> IF(BN295&lt;&gt;"",TEXT(AUX!BR$1,"dd-MMM-aa"),"")</f>
      </c>
      <c r="BO275" s="496" t="str">
        <f> IF(BO295&lt;&gt;"",TEXT(AUX!BS$1,"dd-MMM-aa"),"")</f>
      </c>
      <c r="BP275" s="496" t="str">
        <f> IF(BP295&lt;&gt;"",TEXT(AUX!BT$1,"dd-MMM-aa"),"")</f>
      </c>
      <c r="BQ275" s="496" t="str">
        <f> IF(BQ295&lt;&gt;"",TEXT(AUX!BU$1,"dd-MMM-aa"),"")</f>
      </c>
      <c r="BR275" s="496" t="str">
        <f> IF(BR295&lt;&gt;"",TEXT(AUX!BV$1,"dd-MMM-aa"),"")</f>
      </c>
      <c r="BS275" s="496" t="str">
        <f> IF(BS295&lt;&gt;"",TEXT(AUX!BW$1,"dd-MMM-aa"),"")</f>
      </c>
      <c r="BT275" s="496" t="str">
        <f> IF(BT295&lt;&gt;"",TEXT(AUX!BX$1,"dd-MMM-aa"),"")</f>
      </c>
      <c r="BU275" s="496" t="str">
        <f> IF(BU295&lt;&gt;"",TEXT(AUX!BY$1,"dd-MMM-aa"),"")</f>
      </c>
      <c r="BV275" s="496" t="str">
        <f> IF(BV295&lt;&gt;"",TEXT(AUX!BZ$1,"dd-MMM-aa"),"")</f>
      </c>
      <c r="BW275" s="496" t="str">
        <f> IF(BW295&lt;&gt;"",TEXT(AUX!CA$1,"dd-MMM-aa"),"")</f>
      </c>
      <c r="BX275" s="496" t="str">
        <f> IF(BX295&lt;&gt;"",TEXT(AUX!CB$1,"dd-MMM-aa"),"")</f>
      </c>
      <c r="BY275" s="496" t="str">
        <f> IF(BY295&lt;&gt;"",TEXT(AUX!CC$1,"dd-MMM-aa"),"")</f>
      </c>
      <c r="BZ275" s="496" t="str">
        <f> IF(BZ295&lt;&gt;"",TEXT(AUX!CD$1,"dd-MMM-aa"),"")</f>
      </c>
      <c r="CA275" s="496" t="str">
        <f> IF(CA295&lt;&gt;"",TEXT(AUX!CE$1,"dd-MMM-aa"),"")</f>
      </c>
      <c r="CB275" s="496" t="str">
        <f> IF(CB295&lt;&gt;"",TEXT(AUX!CF$1,"dd-MMM-aa"),"")</f>
      </c>
      <c r="CC275" s="496" t="str">
        <f> IF(CC295&lt;&gt;"",TEXT(AUX!CG$1,"dd-MMM-aa"),"")</f>
      </c>
      <c r="CD275" s="496" t="str">
        <f> IF(CD295&lt;&gt;"",TEXT(AUX!CH$1,"dd-MMM-aa"),"")</f>
      </c>
      <c r="CE275" s="496" t="str">
        <f> IF(CE295&lt;&gt;"",TEXT(AUX!CI$1,"dd-MMM-aa"),"")</f>
      </c>
      <c r="CF275" s="496" t="str">
        <f> IF(CF295&lt;&gt;"",TEXT(AUX!CJ$1,"dd-MMM-aa"),"")</f>
      </c>
      <c r="CG275" s="496" t="str">
        <f> IF(CG295&lt;&gt;"",TEXT(AUX!CK$1,"dd-MMM-aa"),"")</f>
      </c>
      <c r="CH275" s="496" t="str">
        <f> IF(CH295&lt;&gt;"",TEXT(AUX!CL$1,"dd-MMM-aa"),"")</f>
      </c>
      <c r="CI275" s="496" t="str">
        <f> IF(CI295&lt;&gt;"",TEXT(AUX!CM$1,"dd-MMM-aa"),"")</f>
      </c>
      <c r="CJ275" s="496" t="str">
        <f> IF(CJ295&lt;&gt;"",TEXT(AUX!CN$1,"dd-MMM-aa"),"")</f>
      </c>
      <c r="CK275" s="496" t="str">
        <f> IF(CK295&lt;&gt;"",TEXT(AUX!CO$1,"dd-MMM-aa"),"")</f>
      </c>
      <c r="CL275" s="496" t="str">
        <f> IF(CL295&lt;&gt;"",TEXT(AUX!CP$1,"dd-MMM-aa"),"")</f>
      </c>
      <c r="CM275" s="496" t="str">
        <f> IF(CM295&lt;&gt;"",TEXT(AUX!CQ$1,"dd-MMM-aa"),"")</f>
      </c>
      <c r="CN275" s="496" t="str">
        <f> IF(CN295&lt;&gt;"",TEXT(AUX!CR$1,"dd-MMM-aa"),"")</f>
      </c>
      <c r="CO275" s="496" t="str">
        <f> IF(CO295&lt;&gt;"",TEXT(AUX!CS$1,"dd-MMM-aa"),"")</f>
      </c>
      <c r="CP275" s="496" t="str">
        <f> IF(CP295&lt;&gt;"",TEXT(AUX!CT$1,"dd-MMM-aa"),"")</f>
      </c>
      <c r="CQ275" s="496" t="str">
        <f> IF(CQ295&lt;&gt;"",TEXT(AUX!CU$1,"dd-MMM-aa"),"")</f>
      </c>
      <c r="CR275" s="496" t="str">
        <f> IF(CR295&lt;&gt;"",TEXT(AUX!CV$1,"dd-MMM-aa"),"")</f>
      </c>
      <c r="CS275" s="496" t="str">
        <f> IF(CS295&lt;&gt;"",TEXT(AUX!CW$1,"dd-MMM-aa"),"")</f>
      </c>
      <c r="CT275" s="496" t="str">
        <f> IF(CT295&lt;&gt;"",TEXT(AUX!CX$1,"dd-MMM-aa"),"")</f>
      </c>
      <c r="CU275" s="496" t="str">
        <f> IF(CU295&lt;&gt;"",TEXT(AUX!CY$1,"dd-MMM-aa"),"")</f>
      </c>
      <c r="CV275" s="496" t="str">
        <f> IF(CV295&lt;&gt;"",TEXT(AUX!CZ$1,"dd-MMM-aa"),"")</f>
      </c>
      <c r="CW275" s="496" t="str">
        <f> IF(CW295&lt;&gt;"",TEXT(AUX!DA$1,"dd-MMM-aa"),"")</f>
      </c>
      <c r="CX275" s="496" t="str">
        <f> IF(CX295&lt;&gt;"",TEXT(AUX!DB$1,"dd-MMM-aa"),"")</f>
      </c>
      <c r="CY275" s="496" t="str">
        <f> IF(CY295&lt;&gt;"",TEXT(AUX!DC$1,"dd-MMM-aa"),"")</f>
      </c>
      <c r="CZ275" s="496" t="str">
        <f> IF(CZ295&lt;&gt;"",TEXT(AUX!DD$1,"dd-MMM-aa"),"")</f>
      </c>
      <c r="DA275" s="496" t="str">
        <f> IF(DA295&lt;&gt;"",TEXT(AUX!DE$1,"dd-MMM-aa"),"")</f>
      </c>
      <c r="DB275" s="496" t="str">
        <f> IF(DB295&lt;&gt;"",TEXT(AUX!DF$1,"dd-MMM-aa"),"")</f>
      </c>
      <c r="DC275" s="496" t="str">
        <f> IF(DC295&lt;&gt;"",TEXT(AUX!DG$1,"dd-MMM-aa"),"")</f>
      </c>
      <c r="DD275" s="496" t="str">
        <f> IF(DD295&lt;&gt;"",TEXT(AUX!DH$1,"dd-MMM-aa"),"")</f>
      </c>
      <c r="DE275" s="496" t="str">
        <f> IF(DE295&lt;&gt;"",TEXT(AUX!DI$1,"dd-MMM-aa"),"")</f>
      </c>
      <c r="DF275" s="496" t="str">
        <f> IF(DF295&lt;&gt;"",TEXT(AUX!DJ$1,"dd-MMM-aa"),"")</f>
      </c>
      <c r="DG275" s="496" t="str">
        <f> IF(DG295&lt;&gt;"",TEXT(AUX!DK$1,"dd-MMM-aa"),"")</f>
      </c>
      <c r="DH275" s="496" t="str">
        <f> IF(DH295&lt;&gt;"",TEXT(AUX!DL$1,"dd-MMM-aa"),"")</f>
      </c>
      <c r="DI275" s="496" t="str">
        <f> IF(DI295&lt;&gt;"",TEXT(AUX!DM$1,"dd-MMM-aa"),"")</f>
      </c>
      <c r="DJ275" s="496" t="str">
        <f> IF(DJ295&lt;&gt;"",TEXT(AUX!DN$1,"dd-MMM-aa"),"")</f>
      </c>
      <c r="DK275" s="496" t="str">
        <f> IF(DK295&lt;&gt;"",TEXT(AUX!DO$1,"dd-MMM-aa"),"")</f>
      </c>
      <c r="DL275" s="496" t="str">
        <f> IF(DL295&lt;&gt;"",TEXT(AUX!DP$1,"dd-MMM-aa"),"")</f>
      </c>
      <c r="DM275" s="496" t="str">
        <f> IF(DM295&lt;&gt;"",TEXT(AUX!DQ$1,"dd-MMM-aa"),"")</f>
      </c>
      <c r="DN275" s="496" t="str">
        <f> IF(DN295&lt;&gt;"",TEXT(AUX!DR$1,"dd-MMM-aa"),"")</f>
      </c>
      <c r="DO275" s="496" t="str">
        <f> IF(DO295&lt;&gt;"",TEXT(AUX!DS$1,"dd-MMM-aa"),"")</f>
      </c>
      <c r="DP275" s="496" t="str">
        <f> IF(DP295&lt;&gt;"",TEXT(AUX!DT$1,"dd-MMM-aa"),"")</f>
      </c>
      <c r="DQ275" s="496" t="str">
        <f> IF(DQ295&lt;&gt;"",TEXT(AUX!DU$1,"dd-MMM-aa"),"")</f>
      </c>
      <c r="DR275" s="496" t="str">
        <f> IF(DR295&lt;&gt;"",TEXT(AUX!DV$1,"dd-MMM-aa"),"")</f>
      </c>
      <c r="DS275" s="496" t="str">
        <f> IF(DS295&lt;&gt;"",TEXT(AUX!DW$1,"dd-MMM-aa"),"")</f>
      </c>
      <c r="DT275" s="496" t="str">
        <f> IF(DT295&lt;&gt;"",TEXT(AUX!DX$1,"dd-MMM-aa"),"")</f>
      </c>
      <c r="DU275" s="496" t="str">
        <f> IF(DU295&lt;&gt;"",TEXT(AUX!DY$1,"dd-MMM-aa"),"")</f>
      </c>
      <c r="DV275" s="496" t="str">
        <f> IF(DV295&lt;&gt;"",TEXT(AUX!DZ$1,"dd-MMM-aa"),"")</f>
      </c>
      <c r="DW275" s="496" t="str">
        <f> IF(DW295&lt;&gt;"",TEXT(AUX!EA$1,"dd-MMM-aa"),"")</f>
      </c>
      <c r="DX275" s="496" t="str">
        <f> IF(DX295&lt;&gt;"",TEXT(AUX!EB$1,"dd-MMM-aa"),"")</f>
      </c>
      <c r="DY275" s="496" t="str">
        <f> IF(DY295&lt;&gt;"",TEXT(AUX!EC$1,"dd-MMM-aa"),"")</f>
      </c>
      <c r="DZ275" s="496" t="str">
        <f> IF(DZ295&lt;&gt;"",TEXT(AUX!ED$1,"dd-MMM-aa"),"")</f>
      </c>
      <c r="EA275" s="496" t="str">
        <f> IF(EA295&lt;&gt;"",TEXT(AUX!EE$1,"dd-MMM-aa"),"")</f>
      </c>
      <c r="EB275" s="496" t="str">
        <f> IF(EB295&lt;&gt;"",TEXT(AUX!EF$1,"dd-MMM-aa"),"")</f>
      </c>
      <c r="EC275" s="496" t="str">
        <f> IF(EC295&lt;&gt;"",TEXT(AUX!EG$1,"dd-MMM-aa"),"")</f>
      </c>
      <c r="ED275" s="496" t="str">
        <f> IF(ED295&lt;&gt;"",TEXT(AUX!EH$1,"dd-MMM-aa"),"")</f>
      </c>
      <c r="EE275" s="496" t="str">
        <f> IF(EE295&lt;&gt;"",TEXT(AUX!EI$1,"dd-MMM-aa"),"")</f>
      </c>
      <c r="EF275" s="496" t="str">
        <f> IF(EF295&lt;&gt;"",TEXT(AUX!EJ$1,"dd-MMM-aa"),"")</f>
      </c>
      <c r="EG275" s="496" t="str">
        <f> IF(EG295&lt;&gt;"",TEXT(AUX!EK$1,"dd-MMM-aa"),"")</f>
      </c>
      <c r="EH275" s="496" t="str">
        <f> IF(EH295&lt;&gt;"",TEXT(AUX!EL$1,"dd-MMM-aa"),"")</f>
      </c>
      <c r="EI275" s="496" t="str">
        <f> IF(EI295&lt;&gt;"",TEXT(AUX!EM$1,"dd-MMM-aa"),"")</f>
      </c>
      <c r="EJ275" s="496" t="str">
        <f> IF(EJ295&lt;&gt;"",TEXT(AUX!EN$1,"dd-MMM-aa"),"")</f>
      </c>
      <c r="EK275" s="496" t="str">
        <f> IF(EK295&lt;&gt;"",TEXT(AUX!EO$1,"dd-MMM-aa"),"")</f>
      </c>
      <c r="EL275" s="496" t="str">
        <f> IF(EL295&lt;&gt;"",TEXT(AUX!EP$1,"dd-MMM-aa"),"")</f>
      </c>
      <c r="EM275" s="496" t="str">
        <f> IF(EM295&lt;&gt;"",TEXT(AUX!EQ$1,"dd-MMM-aa"),"")</f>
      </c>
      <c r="EN275" s="496" t="str">
        <f> IF(EN295&lt;&gt;"",TEXT(AUX!ER$1,"dd-MMM-aa"),"")</f>
      </c>
      <c r="EO275" s="496" t="str">
        <f> IF(EO295&lt;&gt;"",TEXT(AUX!ES$1,"dd-MMM-aa"),"")</f>
      </c>
      <c r="EP275" s="496" t="str">
        <f> IF(EP295&lt;&gt;"",TEXT(AUX!ET$1,"dd-MMM-aa"),"")</f>
      </c>
      <c r="EQ275" s="496" t="str">
        <f> IF(EQ295&lt;&gt;"",TEXT(AUX!EU$1,"dd-MMM-aa"),"")</f>
      </c>
      <c r="ER275" s="496" t="str">
        <f> IF(ER295&lt;&gt;"",TEXT(AUX!EV$1,"dd-MMM-aa"),"")</f>
      </c>
      <c r="ES275" s="496" t="str">
        <f> IF(ES295&lt;&gt;"",TEXT(AUX!EW$1,"dd-MMM-aa"),"")</f>
      </c>
      <c r="ET275" s="496" t="str">
        <f> IF(ET295&lt;&gt;"",TEXT(AUX!EX$1,"dd-MMM-aa"),"")</f>
      </c>
      <c r="EU275" s="496" t="str">
        <f> IF(EU295&lt;&gt;"",TEXT(AUX!EY$1,"dd-MMM-aa"),"")</f>
      </c>
      <c r="EV275" s="496" t="str">
        <f> IF(EV295&lt;&gt;"",TEXT(AUX!EZ$1,"dd-MMM-aa"),"")</f>
      </c>
      <c r="EW275" s="496" t="str">
        <f> IF(EW295&lt;&gt;"",TEXT(AUX!FA$1,"dd-MMM-aa"),"")</f>
      </c>
      <c r="EX275" s="496" t="str">
        <f> IF(EX295&lt;&gt;"",TEXT(AUX!FB$1,"dd-MMM-aa"),"")</f>
      </c>
      <c r="EY275" s="496" t="str">
        <f> IF(EY295&lt;&gt;"",TEXT(AUX!FC$1,"dd-MMM-aa"),"")</f>
      </c>
      <c r="EZ275" s="496" t="str">
        <f> IF(EZ295&lt;&gt;"",TEXT(AUX!FD$1,"dd-MMM-aa"),"")</f>
      </c>
      <c r="FA275" s="496" t="str">
        <f> IF(FA295&lt;&gt;"",TEXT(AUX!FE$1,"dd-MMM-aa"),"")</f>
      </c>
      <c r="FB275" s="496" t="str">
        <f> IF(FB295&lt;&gt;"",TEXT(AUX!FF$1,"dd-MMM-aa"),"")</f>
      </c>
      <c r="FC275" s="496" t="str">
        <f> IF(FC295&lt;&gt;"",TEXT(AUX!FG$1,"dd-MMM-aa"),"")</f>
      </c>
      <c r="FD275" s="496" t="str">
        <f> IF(FD295&lt;&gt;"",TEXT(AUX!FH$1,"dd-MMM-aa"),"")</f>
      </c>
      <c r="FE275" s="496" t="str">
        <f> IF(FE295&lt;&gt;"",TEXT(AUX!FI$1,"dd-MMM-aa"),"")</f>
      </c>
      <c r="FF275" s="496" t="str">
        <f> IF(FF295&lt;&gt;"",TEXT(AUX!FJ$1,"dd-MMM-aa"),"")</f>
      </c>
      <c r="FG275" s="496" t="str">
        <f> IF(FG295&lt;&gt;"",TEXT(AUX!FK$1,"dd-MMM-aa"),"")</f>
      </c>
      <c r="FH275" s="496" t="str">
        <f> IF(FH295&lt;&gt;"",TEXT(AUX!FL$1,"dd-MMM-aa"),"")</f>
      </c>
      <c r="FI275" s="496" t="str">
        <f> IF(FI295&lt;&gt;"",TEXT(AUX!FM$1,"dd-MMM-aa"),"")</f>
      </c>
      <c r="FJ275" s="496" t="str">
        <f> IF(FJ295&lt;&gt;"",TEXT(AUX!FN$1,"dd-MMM-aa"),"")</f>
      </c>
      <c r="FK275" s="496" t="str">
        <f> IF(FK295&lt;&gt;"",TEXT(AUX!FO$1,"dd-MMM-aa"),"")</f>
      </c>
      <c r="FL275" s="496" t="str">
        <f> IF(FL295&lt;&gt;"",TEXT(AUX!FP$1,"dd-MMM-aa"),"")</f>
      </c>
      <c r="FM275" s="496" t="str">
        <f> IF(FM295&lt;&gt;"",TEXT(AUX!FQ$1,"dd-MMM-aa"),"")</f>
      </c>
      <c r="FN275" s="496" t="str">
        <f> IF(FN295&lt;&gt;"",TEXT(AUX!FR$1,"dd-MMM-aa"),"")</f>
      </c>
      <c r="FO275" s="496" t="str">
        <f> IF(FO295&lt;&gt;"",TEXT(AUX!FS$1,"dd-MMM-aa"),"")</f>
      </c>
      <c r="FP275" s="496" t="str">
        <f> IF(FP295&lt;&gt;"",TEXT(AUX!FT$1,"dd-MMM-aa"),"")</f>
      </c>
      <c r="FQ275" s="496" t="str">
        <f> IF(FQ295&lt;&gt;"",TEXT(AUX!FU$1,"dd-MMM-aa"),"")</f>
      </c>
      <c r="FR275" s="496" t="str">
        <f> IF(FR295&lt;&gt;"",TEXT(AUX!FV$1,"dd-MMM-aa"),"")</f>
      </c>
      <c r="FS275" s="496" t="str">
        <f> IF(FS295&lt;&gt;"",TEXT(AUX!FW$1,"dd-MMM-aa"),"")</f>
      </c>
      <c r="FT275" s="496" t="str">
        <f> IF(FT295&lt;&gt;"",TEXT(AUX!FX$1,"dd-MMM-aa"),"")</f>
      </c>
      <c r="FU275" s="496" t="str">
        <f> IF(FU295&lt;&gt;"",TEXT(AUX!FY$1,"dd-MMM-aa"),"")</f>
      </c>
      <c r="FV275" s="496" t="str">
        <f> IF(FV295&lt;&gt;"",TEXT(AUX!FZ$1,"dd-MMM-aa"),"")</f>
      </c>
      <c r="FW275" s="496" t="str">
        <f> IF(FW295&lt;&gt;"",TEXT(AUX!GA$1,"dd-MMM-aa"),"")</f>
      </c>
      <c r="FX275" s="496" t="str">
        <f> IF(FX295&lt;&gt;"",TEXT(AUX!GB$1,"dd-MMM-aa"),"")</f>
      </c>
      <c r="FY275" s="496" t="str">
        <f> IF(FY295&lt;&gt;"",TEXT(AUX!GC$1,"dd-MMM-aa"),"")</f>
      </c>
      <c r="FZ275" s="496" t="str">
        <f> IF(FZ295&lt;&gt;"",TEXT(AUX!GD$1,"dd-MMM-aa"),"")</f>
      </c>
      <c r="GA275" s="496" t="str">
        <f> IF(GA295&lt;&gt;"",TEXT(AUX!GE$1,"dd-MMM-aa"),"")</f>
      </c>
      <c r="GB275" s="496" t="str">
        <f> IF(GB295&lt;&gt;"",TEXT(AUX!GF$1,"dd-MMM-aa"),"")</f>
      </c>
      <c r="GC275" s="496" t="str">
        <f> IF(GC295&lt;&gt;"",TEXT(AUX!GG$1,"dd-MMM-aa"),"")</f>
      </c>
      <c r="GD275" s="496" t="str">
        <f> IF(GD295&lt;&gt;"",TEXT(AUX!GH$1,"dd-MMM-aa"),"")</f>
      </c>
      <c r="GE275" s="496" t="str">
        <f> IF(GE295&lt;&gt;"",TEXT(AUX!GI$1,"dd-MMM-aa"),"")</f>
      </c>
      <c r="GF275" s="496" t="str">
        <f> IF(GF295&lt;&gt;"",TEXT(AUX!GJ$1,"dd-MMM-aa"),"")</f>
      </c>
      <c r="GG275" s="496" t="str">
        <f> IF(GG295&lt;&gt;"",TEXT(AUX!GK$1,"dd-MMM-aa"),"")</f>
      </c>
      <c r="GH275" s="496" t="str">
        <f> IF(GH295&lt;&gt;"",TEXT(AUX!GL$1,"dd-MMM-aa"),"")</f>
      </c>
      <c r="GI275" s="496" t="str">
        <f> IF(GI295&lt;&gt;"",TEXT(AUX!GM$1,"dd-MMM-aa"),"")</f>
      </c>
      <c r="GJ275" s="496" t="str">
        <f> IF(GJ295&lt;&gt;"",TEXT(AUX!GN$1,"dd-MMM-aa"),"")</f>
      </c>
      <c r="GK275" s="496" t="str">
        <f> IF(GK295&lt;&gt;"",TEXT(AUX!GO$1,"dd-MMM-aa"),"")</f>
      </c>
      <c r="GL275" s="496" t="str">
        <f> IF(GL295&lt;&gt;"",TEXT(AUX!GP$1,"dd-MMM-aa"),"")</f>
      </c>
      <c r="GM275" s="496" t="str">
        <f> IF(GM295&lt;&gt;"",TEXT(AUX!GQ$1,"dd-MMM-aa"),"")</f>
      </c>
      <c r="GN275" s="496" t="str">
        <f> IF(GN295&lt;&gt;"",TEXT(AUX!GR$1,"dd-MMM-aa"),"")</f>
      </c>
      <c r="GO275" s="496" t="str">
        <f> IF(GO295&lt;&gt;"",TEXT(AUX!GS$1,"dd-MMM-aa"),"")</f>
      </c>
      <c r="GP275" s="496" t="str">
        <f> IF(GP295&lt;&gt;"",TEXT(AUX!GT$1,"dd-MMM-aa"),"")</f>
      </c>
      <c r="GQ275" s="496" t="str">
        <f> IF(GQ295&lt;&gt;"",TEXT(AUX!GU$1,"dd-MMM-aa"),"")</f>
      </c>
      <c r="GR275" s="496" t="str">
        <f> IF(GR295&lt;&gt;"",TEXT(AUX!GV$1,"dd-MMM-aa"),"")</f>
      </c>
      <c r="GS275" s="496" t="str">
        <f> IF(GS295&lt;&gt;"",TEXT(AUX!GW$1,"dd-MMM-aa"),"")</f>
      </c>
      <c r="GT275" s="496" t="str">
        <f> IF(GT295&lt;&gt;"",TEXT(AUX!GX$1,"dd-MMM-aa"),"")</f>
      </c>
      <c r="GU275" s="496" t="str">
        <f> IF(GU295&lt;&gt;"",TEXT(AUX!GY$1,"dd-MMM-aa"),"")</f>
      </c>
      <c r="GV275" s="496" t="str">
        <f> IF(GV295&lt;&gt;"",TEXT(AUX!GZ$1,"dd-MMM-aa"),"")</f>
      </c>
      <c r="GW275" s="496" t="str">
        <f> IF(GW295&lt;&gt;"",TEXT(AUX!HA$1,"dd-MMM-aa"),"")</f>
      </c>
      <c r="GX275" s="496" t="str">
        <f> IF(GX295&lt;&gt;"",TEXT(AUX!HB$1,"dd-MMM-aa"),"")</f>
      </c>
      <c r="GY275" s="496" t="str">
        <f> IF(GY295&lt;&gt;"",TEXT(AUX!HC$1,"dd-MMM-aa"),"")</f>
      </c>
      <c r="GZ275" s="496" t="str">
        <f> IF(GZ295&lt;&gt;"",TEXT(AUX!HD$1,"dd-MMM-aa"),"")</f>
      </c>
      <c r="HA275" s="496" t="str">
        <f> IF(HA295&lt;&gt;"",TEXT(AUX!HE$1,"dd-MMM-aa"),"")</f>
      </c>
      <c r="HB275" s="496" t="str">
        <f> IF(HB295&lt;&gt;"",TEXT(AUX!HF$1,"dd-MMM-aa"),"")</f>
      </c>
      <c r="HC275" s="496" t="str">
        <f> IF(HC295&lt;&gt;"",TEXT(AUX!HG$1,"dd-MMM-aa"),"")</f>
      </c>
      <c r="HD275" s="496" t="str">
        <f> IF(HD295&lt;&gt;"",TEXT(AUX!HH$1,"dd-MMM-aa"),"")</f>
      </c>
      <c r="HE275" s="496" t="str">
        <f> IF(HE295&lt;&gt;"",TEXT(AUX!HI$1,"dd-MMM-aa"),"")</f>
      </c>
      <c r="HF275" s="496" t="str">
        <f> IF(HF295&lt;&gt;"",TEXT(AUX!HJ$1,"dd-MMM-aa"),"")</f>
      </c>
      <c r="HG275" s="496" t="str">
        <f> IF(HG295&lt;&gt;"",TEXT(AUX!HK$1,"dd-MMM-aa"),"")</f>
      </c>
      <c r="HH275" s="496" t="str">
        <f> IF(HH295&lt;&gt;"",TEXT(AUX!HL$1,"dd-MMM-aa"),"")</f>
      </c>
      <c r="HI275" s="496" t="str">
        <f> IF(HI295&lt;&gt;"",TEXT(AUX!HM$1,"dd-MMM-aa"),"")</f>
      </c>
      <c r="HJ275" s="496" t="str">
        <f> IF(HJ295&lt;&gt;"",TEXT(AUX!HN$1,"dd-MMM-aa"),"")</f>
      </c>
      <c r="HK275" s="496" t="str">
        <f> IF(HK295&lt;&gt;"",TEXT(AUX!HO$1,"dd-MMM-aa"),"")</f>
      </c>
      <c r="HL275" s="496" t="str">
        <f> IF(HL295&lt;&gt;"",TEXT(AUX!HP$1,"dd-MMM-aa"),"")</f>
      </c>
      <c r="HM275" s="496" t="str">
        <f> IF(HM295&lt;&gt;"",TEXT(AUX!HQ$1,"dd-MMM-aa"),"")</f>
      </c>
      <c r="HN275" s="496" t="str">
        <f> IF(HN295&lt;&gt;"",TEXT(AUX!HR$1,"dd-MMM-aa"),"")</f>
      </c>
      <c r="HO275" s="496" t="str">
        <f> IF(HO295&lt;&gt;"",TEXT(AUX!HS$1,"dd-MMM-aa"),"")</f>
      </c>
      <c r="HP275" s="496" t="str">
        <f> IF(HP295&lt;&gt;"",TEXT(AUX!HT$1,"dd-MMM-aa"),"")</f>
      </c>
      <c r="HQ275" s="496" t="str">
        <f> IF(HQ295&lt;&gt;"",TEXT(AUX!HU$1,"dd-MMM-aa"),"")</f>
      </c>
      <c r="HR275" s="496" t="str">
        <f> IF(HR295&lt;&gt;"",TEXT(AUX!HV$1,"dd-MMM-aa"),"")</f>
      </c>
      <c r="HS275" s="496" t="str">
        <f> IF(HS295&lt;&gt;"",TEXT(AUX!HW$1,"dd-MMM-aa"),"")</f>
      </c>
      <c r="HT275" s="496" t="str">
        <f> IF(HT295&lt;&gt;"",TEXT(AUX!HX$1,"dd-MMM-aa"),"")</f>
      </c>
      <c r="HU275" s="496" t="str">
        <f> IF(HU295&lt;&gt;"",TEXT(AUX!HY$1,"dd-MMM-aa"),"")</f>
      </c>
      <c r="HV275" s="496" t="str">
        <f> IF(HV295&lt;&gt;"",TEXT(AUX!HZ$1,"dd-MMM-aa"),"")</f>
      </c>
      <c r="HW275" s="496" t="str">
        <f> IF(HW295&lt;&gt;"",TEXT(AUX!IA$1,"dd-MMM-aa"),"")</f>
      </c>
      <c r="HX275" s="496" t="str">
        <f> IF(HX295&lt;&gt;"",TEXT(AUX!IB$1,"dd-MMM-aa"),"")</f>
      </c>
      <c r="HY275" s="496" t="str">
        <f> IF(HY295&lt;&gt;"",TEXT(AUX!IC$1,"dd-MMM-aa"),"")</f>
      </c>
      <c r="HZ275" s="496" t="str">
        <f> IF(HZ295&lt;&gt;"",TEXT(AUX!ID$1,"dd-MMM-aa"),"")</f>
      </c>
      <c r="IA275" s="496" t="str">
        <f> IF(IA295&lt;&gt;"",TEXT(AUX!IE$1,"dd-MMM-aa"),"")</f>
      </c>
      <c r="IB275" s="496" t="str">
        <f> IF(IB295&lt;&gt;"",TEXT(AUX!IF$1,"dd-MMM-aa"),"")</f>
      </c>
      <c r="IC275" s="496" t="str">
        <f> IF(IC295&lt;&gt;"",TEXT(AUX!IG$1,"dd-MMM-aa"),"")</f>
      </c>
      <c r="ID275" s="496" t="str">
        <f> IF(ID295&lt;&gt;"",TEXT(AUX!IH$1,"dd-MMM-aa"),"")</f>
      </c>
      <c r="IE275" s="496" t="str">
        <f> IF(IE295&lt;&gt;"",TEXT(AUX!II$1,"dd-MMM-aa"),"")</f>
      </c>
      <c r="IF275" s="496" t="str">
        <f> IF(IF295&lt;&gt;"",TEXT(AUX!IJ$1,"dd-MMM-aa"),"")</f>
      </c>
      <c r="IG275" s="496" t="str">
        <f> IF(IG295&lt;&gt;"",TEXT(AUX!IK$1,"dd-MMM-aa"),"")</f>
      </c>
      <c r="IH275" s="496" t="str">
        <f> IF(IH295&lt;&gt;"",TEXT(AUX!IL$1,"dd-MMM-aa"),"")</f>
      </c>
      <c r="II275" s="496" t="str">
        <f> IF(II295&lt;&gt;"",TEXT(AUX!IM$1,"dd-MMM-aa"),"")</f>
      </c>
      <c r="IJ275" s="496" t="str">
        <f> IF(IJ295&lt;&gt;"",TEXT(AUX!IN$1,"dd-MMM-aa"),"")</f>
      </c>
      <c r="IK275" s="496" t="str">
        <f> IF(IK295&lt;&gt;"",TEXT(AUX!IO$1,"dd-MMM-aa"),"")</f>
      </c>
      <c r="IL275" s="496" t="str">
        <f> IF(IL295&lt;&gt;"",TEXT(AUX!IP$1,"dd-MMM-aa"),"")</f>
      </c>
      <c r="IM275" s="496" t="str">
        <f> IF(IM295&lt;&gt;"",TEXT(AUX!IQ$1,"dd-MMM-aa"),"")</f>
      </c>
      <c r="IN275" s="496" t="str">
        <f> IF(IN295&lt;&gt;"",TEXT(AUX!IR$1,"dd-MMM-aa"),"")</f>
      </c>
      <c r="IO275" s="496" t="str">
        <f> IF(IO295&lt;&gt;"",TEXT(AUX!IS$1,"dd-MMM-aa"),"")</f>
      </c>
      <c r="IP275" s="496" t="str">
        <f> IF(IP295&lt;&gt;"",TEXT(AUX!IT$1,"dd-MMM-aa"),"")</f>
      </c>
      <c r="IQ275" s="496" t="str">
        <f> IF(IQ295&lt;&gt;"",TEXT(AUX!IU$1,"dd-MMM-aa"),"")</f>
      </c>
      <c r="IR275" s="496" t="str">
        <f> IF(IR295&lt;&gt;"",TEXT(AUX!IV$1,"dd-MMM-aa"),"")</f>
      </c>
      <c r="IS275" s="496" t="str">
        <f> IF(IS295&lt;&gt;"",TEXT(AUX!#REF!,"dd-MMM-aa"),"")</f>
      </c>
      <c r="IT275" s="496" t="str">
        <f> IF(IT295&lt;&gt;"",TEXT(AUX!#REF!,"dd-MMM-aa"),"")</f>
      </c>
      <c r="IU275" s="496" t="str">
        <f> IF(IU295&lt;&gt;"",TEXT(AUX!#REF!,"dd-MMM-aa"),"")</f>
      </c>
      <c r="IV275" s="496" t="str">
        <f> IF(IV295&lt;&gt;"",TEXT(AUX!#REF!,"dd-MMM-aa"),"")</f>
      </c>
    </row>
    <row r="276" hidden="1">
      <c r="B276" s="838" t="s">
        <v>8</v>
      </c>
      <c r="C276" s="839">
        <f>C349 + C228 + C374</f>
        <v>1</v>
      </c>
      <c r="D276" s="839">
        <f>D349 + D228 + D374</f>
        <v>1</v>
      </c>
      <c r="E276" s="839">
        <f>E349 + E228 + E374</f>
        <v>1</v>
      </c>
      <c r="F276" s="839">
        <f>F349 + F228 + F374</f>
        <v>1</v>
      </c>
      <c r="G276" s="839">
        <f>G349 + G228 + G374</f>
        <v>1</v>
      </c>
      <c r="H276" s="839">
        <f>H349 + H228 + H374</f>
        <v>2</v>
      </c>
      <c r="I276" s="839">
        <f>I349 + I228 + I374</f>
        <v>1</v>
      </c>
      <c r="J276" s="839">
        <f>J349 + J228 + J374</f>
        <v>2</v>
      </c>
      <c r="K276" s="839">
        <f>K349 + K228 + K374</f>
        <v>2</v>
      </c>
      <c r="L276" s="839">
        <f>L349 + L228 + L374</f>
        <v>2</v>
      </c>
      <c r="M276" s="839">
        <f>M349 + M228 + M374</f>
        <v>2</v>
      </c>
      <c r="N276" s="839">
        <f>N349 + N228 + N374</f>
        <v>1</v>
      </c>
      <c r="O276" s="839">
        <f>O349 + O228 + O374</f>
        <v>1</v>
      </c>
      <c r="P276" s="839">
        <f>P349 + P228 + P374</f>
        <v>1</v>
      </c>
      <c r="Q276" s="839">
        <f>Q349 + Q228 + Q374</f>
        <v>1</v>
      </c>
      <c r="R276" s="839">
        <f>R349 + R228 + R374</f>
        <v>1</v>
      </c>
      <c r="S276" s="839">
        <f>S349 + S228 + S374</f>
        <v>1</v>
      </c>
      <c r="T276" s="839">
        <f>T349 + T228 + T374</f>
        <v>1</v>
      </c>
      <c r="U276" s="839">
        <f>U349 + U228 + U374</f>
        <v>1</v>
      </c>
      <c r="V276" s="839">
        <f>V349 + V228 + V374</f>
        <v>1</v>
      </c>
      <c r="W276" s="839">
        <f>W349 + W228 + W374</f>
        <v>1</v>
      </c>
      <c r="X276" s="839">
        <f>X349 + X228 + X374</f>
        <v>1</v>
      </c>
      <c r="Y276" s="839">
        <f>Y349 + Y228 + Y374</f>
        <v>1</v>
      </c>
      <c r="Z276" s="839">
        <f>Z349 + Z228 + Z374</f>
        <v>1</v>
      </c>
      <c r="AA276" s="839">
        <f>AA349 + AA228 + AA374</f>
        <v>1</v>
      </c>
      <c r="AB276" s="840">
        <f>AB349 + AB228 + AB374</f>
        <v>1</v>
      </c>
      <c r="AC276" s="841">
        <f>AC349 + AC228 + AC374</f>
        <v>1</v>
      </c>
      <c r="AD276" s="841">
        <f>AD349 + AD228 + AD374</f>
        <v>1</v>
      </c>
      <c r="AE276" s="841">
        <f>AE349 + AE228 + AE374</f>
        <v>1</v>
      </c>
      <c r="AF276" s="841">
        <f>AF349 + AF228 + AF374</f>
        <v>1</v>
      </c>
      <c r="AG276" s="841">
        <f>AG349 + AG228 + AG374</f>
        <v>1</v>
      </c>
      <c r="AH276" s="841">
        <f>AH349 + AH228 + AH374</f>
        <v>1</v>
      </c>
      <c r="AI276" s="841">
        <f>AI349 + AI228 + AI374</f>
        <v>1</v>
      </c>
      <c r="AJ276" s="841">
        <f>AJ349 + AJ228 + AJ374</f>
        <v>1</v>
      </c>
      <c r="AK276" s="841">
        <f>AK349 + AK228 + AK374</f>
        <v>1</v>
      </c>
      <c r="AL276" s="841">
        <f>AL349 + AL228 + AL374</f>
        <v>1</v>
      </c>
      <c r="AM276" s="841">
        <f>AM349 + AM228 + AM374</f>
        <v>1</v>
      </c>
      <c r="AN276" s="841">
        <f>AN349 + AN228 + AN374</f>
        <v>1</v>
      </c>
      <c r="AO276" s="841">
        <f>AO349 + AO228 + AO374</f>
        <v>1</v>
      </c>
      <c r="AP276" s="841">
        <f>AP349 + AP228 + AP374</f>
        <v>1</v>
      </c>
    </row>
    <row r="277" hidden="1">
      <c r="B277" s="842" t="s">
        <v>9</v>
      </c>
      <c r="C277" s="839">
        <f>C350 + C229 + C375</f>
        <v>13</v>
      </c>
      <c r="D277" s="839">
        <f>D350 + D229 + D375</f>
        <v>11</v>
      </c>
      <c r="E277" s="839">
        <f>E350 + E229 + E375</f>
        <v>9</v>
      </c>
      <c r="F277" s="839">
        <f>F350 + F229 + F375</f>
        <v>7</v>
      </c>
      <c r="G277" s="839">
        <f>G350 + G229 + G375</f>
        <v>7</v>
      </c>
      <c r="H277" s="839">
        <f>H350 + H229 + H375</f>
        <v>7</v>
      </c>
      <c r="I277" s="839">
        <f>I350 + I229 + I375</f>
        <v>7</v>
      </c>
      <c r="J277" s="839">
        <f>J350 + J229 + J375</f>
        <v>6</v>
      </c>
      <c r="K277" s="839">
        <f>K350 + K229 + K375</f>
        <v>6</v>
      </c>
      <c r="L277" s="839">
        <f>L350 + L229 + L375</f>
        <v>6</v>
      </c>
      <c r="M277" s="839">
        <f>M350 + M229 + M375</f>
        <v>6</v>
      </c>
      <c r="N277" s="839">
        <f>N350 + N229 + N375</f>
        <v>7</v>
      </c>
      <c r="O277" s="839">
        <f>O350 + O229 + O375</f>
        <v>3</v>
      </c>
      <c r="P277" s="839">
        <f>P350 + P229 + P375</f>
        <v>3</v>
      </c>
      <c r="Q277" s="839">
        <f>Q350 + Q229 + Q375</f>
        <v>3</v>
      </c>
      <c r="R277" s="839">
        <f>R350 + R229 + R375</f>
        <v>3</v>
      </c>
      <c r="S277" s="839">
        <f>S350 + S229 + S375</f>
        <v>3</v>
      </c>
      <c r="T277" s="839">
        <f>T350 + T229 + T375</f>
        <v>3</v>
      </c>
      <c r="U277" s="839">
        <f>U350 + U229 + U375</f>
        <v>3</v>
      </c>
      <c r="V277" s="839">
        <f>V350 + V229 + V375</f>
        <v>4</v>
      </c>
      <c r="W277" s="839">
        <f>W350 + W229 + W375</f>
        <v>4</v>
      </c>
      <c r="X277" s="839">
        <f>X350 + X229 + X375</f>
        <v>4</v>
      </c>
      <c r="Y277" s="839">
        <f>Y350 + Y229 + Y375</f>
        <v>4</v>
      </c>
      <c r="Z277" s="839">
        <f>Z350 + Z229 + Z375</f>
        <v>4</v>
      </c>
      <c r="AA277" s="839">
        <f>AA350 + AA229 + AA375</f>
        <v>4</v>
      </c>
      <c r="AB277" s="839">
        <f>AB350 + AB229 + AB375</f>
        <v>4</v>
      </c>
      <c r="AC277" s="841">
        <f>AC350 + AC229 + AC375</f>
        <v>4</v>
      </c>
      <c r="AD277" s="841">
        <f>AD350 + AD229 + AD375</f>
        <v>3</v>
      </c>
      <c r="AE277" s="841">
        <f>AE350 + AE229 + AE375</f>
        <v>3</v>
      </c>
      <c r="AF277" s="841">
        <f>AF350 + AF229 + AF375</f>
        <v>3</v>
      </c>
      <c r="AG277" s="841">
        <f>AG350 + AG229 + AG375</f>
        <v>4</v>
      </c>
      <c r="AH277" s="841">
        <f>AH350 + AH229 + AH375</f>
        <v>4</v>
      </c>
      <c r="AI277" s="841">
        <f>AI350 + AI229 + AI375</f>
        <v>4</v>
      </c>
      <c r="AJ277" s="841">
        <f>AJ350 + AJ229 + AJ375</f>
        <v>4</v>
      </c>
      <c r="AK277" s="841">
        <f>AK350 + AK229 + AK375</f>
        <v>3</v>
      </c>
      <c r="AL277" s="841">
        <f>AL350 + AL229 + AL375</f>
        <v>3</v>
      </c>
      <c r="AM277" s="841">
        <f>AM350 + AM229 + AM375</f>
        <v>2</v>
      </c>
      <c r="AN277" s="841">
        <f>AN350 + AN229 + AN375</f>
        <v>2</v>
      </c>
      <c r="AO277" s="841">
        <f>AO350 + AO229 + AO375</f>
        <v>4</v>
      </c>
      <c r="AP277" s="841">
        <f>AP350 + AP229 + AP375</f>
        <v>4</v>
      </c>
    </row>
    <row r="278" hidden="1">
      <c r="B278" s="842" t="s">
        <v>10</v>
      </c>
      <c r="C278" s="839">
        <f>C351 + C230 + C376</f>
        <v>0</v>
      </c>
      <c r="D278" s="839">
        <f>D351 + D230 + D376</f>
        <v>0</v>
      </c>
      <c r="E278" s="839">
        <f>E351 + E230 + E376</f>
        <v>0</v>
      </c>
      <c r="F278" s="839">
        <f>F351 + F230 + F376</f>
        <v>0</v>
      </c>
      <c r="G278" s="839">
        <f>G351 + G230 + G376</f>
        <v>0</v>
      </c>
      <c r="H278" s="839">
        <f>H351 + H230 + H376</f>
        <v>0</v>
      </c>
      <c r="I278" s="839">
        <f>I351 + I230 + I376</f>
        <v>0</v>
      </c>
      <c r="J278" s="839">
        <f>J351 + J230 + J376</f>
        <v>0</v>
      </c>
      <c r="K278" s="839">
        <f>K351 + K230 + K376</f>
        <v>0</v>
      </c>
      <c r="L278" s="839">
        <f>L351 + L230 + L376</f>
        <v>0</v>
      </c>
      <c r="M278" s="839">
        <f>M351 + M230 + M376</f>
        <v>0</v>
      </c>
      <c r="N278" s="839">
        <f>N351 + N230 + N376</f>
        <v>0</v>
      </c>
      <c r="O278" s="839">
        <f>O351 + O230 + O376</f>
        <v>0</v>
      </c>
      <c r="P278" s="839">
        <f>P351 + P230 + P376</f>
        <v>0</v>
      </c>
      <c r="Q278" s="839">
        <f>Q351 + Q230 + Q376</f>
        <v>0</v>
      </c>
      <c r="R278" s="839">
        <f>R351 + R230 + R376</f>
        <v>0</v>
      </c>
      <c r="S278" s="839">
        <f>S351 + S230 + S376</f>
        <v>0</v>
      </c>
      <c r="T278" s="839">
        <f>T351 + T230 + T376</f>
        <v>0</v>
      </c>
      <c r="U278" s="839">
        <f>U351 + U230 + U376</f>
        <v>0</v>
      </c>
      <c r="V278" s="839">
        <f>V351 + V230 + V376</f>
        <v>0</v>
      </c>
      <c r="W278" s="839">
        <f>W351 + W230 + W376</f>
        <v>0</v>
      </c>
      <c r="X278" s="839">
        <f>X351 + X230 + X376</f>
        <v>0</v>
      </c>
      <c r="Y278" s="839">
        <f>Y351 + Y230 + Y376</f>
        <v>0</v>
      </c>
      <c r="Z278" s="839">
        <f>Z351 + Z230 + Z376</f>
        <v>0</v>
      </c>
      <c r="AA278" s="839">
        <f>AA351 + AA230 + AA376</f>
        <v>0</v>
      </c>
      <c r="AB278" s="839">
        <f>AB351 + AB230 + AB376</f>
        <v>0</v>
      </c>
      <c r="AC278" s="841">
        <f>AC351 + AC230 + AC376</f>
        <v>0</v>
      </c>
      <c r="AD278" s="841">
        <f>AD351 + AD230 + AD376</f>
        <v>0</v>
      </c>
      <c r="AE278" s="841">
        <f>AE351 + AE230 + AE376</f>
        <v>0</v>
      </c>
      <c r="AF278" s="841">
        <f>AF351 + AF230 + AF376</f>
        <v>0</v>
      </c>
      <c r="AG278" s="841">
        <f>AG351 + AG230 + AG376</f>
        <v>0</v>
      </c>
      <c r="AH278" s="841">
        <f>AH351 + AH230 + AH376</f>
        <v>0</v>
      </c>
      <c r="AI278" s="841">
        <f>AI351 + AI230 + AI376</f>
        <v>0</v>
      </c>
      <c r="AJ278" s="841">
        <f>AJ351 + AJ230 + AJ376</f>
        <v>0</v>
      </c>
      <c r="AK278" s="841">
        <f>AK351 + AK230 + AK376</f>
        <v>0</v>
      </c>
      <c r="AL278" s="841">
        <f>AL351 + AL230 + AL376</f>
        <v>0</v>
      </c>
      <c r="AM278" s="841">
        <f>AM351 + AM230 + AM376</f>
        <v>0</v>
      </c>
      <c r="AN278" s="841">
        <f>AN351 + AN230 + AN376</f>
        <v>0</v>
      </c>
      <c r="AO278" s="841">
        <f>AO351 + AO230 + AO376</f>
        <v>0</v>
      </c>
      <c r="AP278" s="841">
        <f>AP351 + AP230 + AP376</f>
        <v>0</v>
      </c>
    </row>
    <row r="279" hidden="1">
      <c r="B279" s="842" t="s">
        <v>11</v>
      </c>
      <c r="C279" s="839">
        <f>C352 + C231 + C377</f>
        <v>41</v>
      </c>
      <c r="D279" s="839">
        <f>D352 + D231 + D377</f>
        <v>39</v>
      </c>
      <c r="E279" s="839">
        <f>E352 + E231 + E377</f>
        <v>47</v>
      </c>
      <c r="F279" s="839">
        <f>F352 + F231 + F377</f>
        <v>46</v>
      </c>
      <c r="G279" s="839">
        <f>G352 + G231 + G377</f>
        <v>12</v>
      </c>
      <c r="H279" s="839">
        <f>H352 + H231 + H377</f>
        <v>12</v>
      </c>
      <c r="I279" s="839">
        <f>I352 + I231 + I377</f>
        <v>15</v>
      </c>
      <c r="J279" s="839">
        <f>J352 + J231 + J377</f>
        <v>10</v>
      </c>
      <c r="K279" s="839">
        <f>K352 + K231 + K377</f>
        <v>2</v>
      </c>
      <c r="L279" s="839">
        <f>L352 + L231 + L377</f>
        <v>1</v>
      </c>
      <c r="M279" s="839">
        <f>M352 + M231 + M377</f>
        <v>1</v>
      </c>
      <c r="N279" s="839">
        <f>N352 + N231 + N377</f>
        <v>0</v>
      </c>
      <c r="O279" s="839">
        <f>O352 + O231 + O377</f>
        <v>0</v>
      </c>
      <c r="P279" s="839">
        <f>P352 + P231 + P377</f>
        <v>0</v>
      </c>
      <c r="Q279" s="839">
        <f>Q352 + Q231 + Q377</f>
        <v>0</v>
      </c>
      <c r="R279" s="839">
        <f>R352 + R231 + R377</f>
        <v>0</v>
      </c>
      <c r="S279" s="839">
        <f>S352 + S231 + S377</f>
        <v>0</v>
      </c>
      <c r="T279" s="839">
        <f>T352 + T231 + T377</f>
        <v>0</v>
      </c>
      <c r="U279" s="839">
        <f>U352 + U231 + U377</f>
        <v>1</v>
      </c>
      <c r="V279" s="839">
        <f>V352 + V231 + V377</f>
        <v>1</v>
      </c>
      <c r="W279" s="839">
        <f>W352 + W231 + W377</f>
        <v>1</v>
      </c>
      <c r="X279" s="839">
        <f>X352 + X231 + X377</f>
        <v>1</v>
      </c>
      <c r="Y279" s="839">
        <f>Y352 + Y231 + Y377</f>
        <v>0</v>
      </c>
      <c r="Z279" s="839">
        <f>Z352 + Z231 + Z377</f>
        <v>0</v>
      </c>
      <c r="AA279" s="839">
        <f>AA352 + AA231 + AA377</f>
        <v>0</v>
      </c>
      <c r="AB279" s="839">
        <f>AB352 + AB231 + AB377</f>
        <v>0</v>
      </c>
      <c r="AC279" s="841">
        <f>AC352 + AC231 + AC377</f>
        <v>0</v>
      </c>
      <c r="AD279" s="841">
        <f>AD352 + AD231 + AD377</f>
        <v>0</v>
      </c>
      <c r="AE279" s="841">
        <f>AE352 + AE231 + AE377</f>
        <v>1</v>
      </c>
      <c r="AF279" s="841">
        <f>AF352 + AF231 + AF377</f>
        <v>1</v>
      </c>
      <c r="AG279" s="841">
        <f>AG352 + AG231 + AG377</f>
        <v>1</v>
      </c>
      <c r="AH279" s="841">
        <f>AH352 + AH231 + AH377</f>
        <v>1</v>
      </c>
      <c r="AI279" s="841">
        <f>AI352 + AI231 + AI377</f>
        <v>1</v>
      </c>
      <c r="AJ279" s="841">
        <f>AJ352 + AJ231 + AJ377</f>
        <v>1</v>
      </c>
      <c r="AK279" s="841">
        <f>AK352 + AK231 + AK377</f>
        <v>1</v>
      </c>
      <c r="AL279" s="841">
        <f>AL352 + AL231 + AL377</f>
        <v>1</v>
      </c>
      <c r="AM279" s="841">
        <f>AM352 + AM231 + AM377</f>
        <v>1</v>
      </c>
      <c r="AN279" s="841">
        <f>AN352 + AN231 + AN377</f>
        <v>1</v>
      </c>
      <c r="AO279" s="841">
        <f>AO352 + AO231 + AO377</f>
        <v>1</v>
      </c>
      <c r="AP279" s="841">
        <f>AP352 + AP231 + AP377</f>
        <v>1</v>
      </c>
    </row>
    <row r="280" hidden="1">
      <c r="B280" s="842" t="s">
        <v>12</v>
      </c>
      <c r="C280" s="839">
        <f>C353 + C232 + C378</f>
        <v>2</v>
      </c>
      <c r="D280" s="839">
        <f>D353 + D232 + D378</f>
        <v>2</v>
      </c>
      <c r="E280" s="839">
        <f>E353 + E232 + E378</f>
        <v>3</v>
      </c>
      <c r="F280" s="839">
        <f>F353 + F232 + F378</f>
        <v>3</v>
      </c>
      <c r="G280" s="839">
        <f>G353 + G232 + G378</f>
        <v>3</v>
      </c>
      <c r="H280" s="839">
        <f>H353 + H232 + H378</f>
        <v>3</v>
      </c>
      <c r="I280" s="839">
        <f>I353 + I232 + I378</f>
        <v>6</v>
      </c>
      <c r="J280" s="839">
        <f>J353 + J232 + J378</f>
        <v>4</v>
      </c>
      <c r="K280" s="839">
        <f>K353 + K232 + K378</f>
        <v>4</v>
      </c>
      <c r="L280" s="839">
        <f>L353 + L232 + L378</f>
        <v>4</v>
      </c>
      <c r="M280" s="839">
        <f>M353 + M232 + M378</f>
        <v>2</v>
      </c>
      <c r="N280" s="839">
        <f>N353 + N232 + N378</f>
        <v>3</v>
      </c>
      <c r="O280" s="839">
        <f>O353 + O232 + O378</f>
        <v>4</v>
      </c>
      <c r="P280" s="839">
        <f>P353 + P232 + P378</f>
        <v>4</v>
      </c>
      <c r="Q280" s="839">
        <f>Q353 + Q232 + Q378</f>
        <v>4</v>
      </c>
      <c r="R280" s="839">
        <f>R353 + R232 + R378</f>
        <v>4</v>
      </c>
      <c r="S280" s="839">
        <f>S353 + S232 + S378</f>
        <v>4</v>
      </c>
      <c r="T280" s="839">
        <f>T353 + T232 + T378</f>
        <v>4</v>
      </c>
      <c r="U280" s="839">
        <f>U353 + U232 + U378</f>
        <v>4</v>
      </c>
      <c r="V280" s="839">
        <f>V353 + V232 + V378</f>
        <v>4</v>
      </c>
      <c r="W280" s="839">
        <f>W353 + W232 + W378</f>
        <v>4</v>
      </c>
      <c r="X280" s="839">
        <f>X353 + X232 + X378</f>
        <v>4</v>
      </c>
      <c r="Y280" s="839">
        <f>Y353 + Y232 + Y378</f>
        <v>3</v>
      </c>
      <c r="Z280" s="839">
        <f>Z353 + Z232 + Z378</f>
        <v>3</v>
      </c>
      <c r="AA280" s="839">
        <f>AA353 + AA232 + AA378</f>
        <v>4</v>
      </c>
      <c r="AB280" s="839">
        <f>AB353 + AB232 + AB378</f>
        <v>5</v>
      </c>
      <c r="AC280" s="841">
        <f>AC353 + AC232 + AC378</f>
        <v>5</v>
      </c>
      <c r="AD280" s="841">
        <f>AD353 + AD232 + AD378</f>
        <v>5</v>
      </c>
      <c r="AE280" s="841">
        <f>AE353 + AE232 + AE378</f>
        <v>3</v>
      </c>
      <c r="AF280" s="841">
        <f>AF353 + AF232 + AF378</f>
        <v>3</v>
      </c>
      <c r="AG280" s="841">
        <f>AG353 + AG232 + AG378</f>
        <v>4</v>
      </c>
      <c r="AH280" s="841">
        <f>AH353 + AH232 + AH378</f>
        <v>4</v>
      </c>
      <c r="AI280" s="841">
        <f>AI353 + AI232 + AI378</f>
        <v>4</v>
      </c>
      <c r="AJ280" s="841">
        <f>AJ353 + AJ232 + AJ378</f>
        <v>4</v>
      </c>
      <c r="AK280" s="841">
        <f>AK353 + AK232 + AK378</f>
        <v>4</v>
      </c>
      <c r="AL280" s="841">
        <f>AL353 + AL232 + AL378</f>
        <v>4</v>
      </c>
      <c r="AM280" s="841">
        <f>AM353 + AM232 + AM378</f>
        <v>4</v>
      </c>
      <c r="AN280" s="841">
        <f>AN353 + AN232 + AN378</f>
        <v>4</v>
      </c>
      <c r="AO280" s="841">
        <f>AO353 + AO232 + AO378</f>
        <v>5</v>
      </c>
      <c r="AP280" s="841">
        <f>AP353 + AP232 + AP378</f>
        <v>5</v>
      </c>
    </row>
    <row r="281" hidden="1">
      <c r="B281" s="842" t="s">
        <v>13</v>
      </c>
      <c r="C281" s="839">
        <f>C354 + C233 + C379</f>
        <v>0</v>
      </c>
      <c r="D281" s="839">
        <f>D354 + D233 + D379</f>
        <v>0</v>
      </c>
      <c r="E281" s="839">
        <f>E354 + E233 + E379</f>
        <v>0</v>
      </c>
      <c r="F281" s="839">
        <f>F354 + F233 + F379</f>
        <v>0</v>
      </c>
      <c r="G281" s="839">
        <f>G354 + G233 + G379</f>
        <v>0</v>
      </c>
      <c r="H281" s="839">
        <f>H354 + H233 + H379</f>
        <v>0</v>
      </c>
      <c r="I281" s="839">
        <f>I354 + I233 + I379</f>
        <v>0</v>
      </c>
      <c r="J281" s="839">
        <f>J354 + J233 + J379</f>
        <v>0</v>
      </c>
      <c r="K281" s="839">
        <f>K354 + K233 + K379</f>
        <v>0</v>
      </c>
      <c r="L281" s="839">
        <f>L354 + L233 + L379</f>
        <v>0</v>
      </c>
      <c r="M281" s="839">
        <f>M354 + M233 + M379</f>
        <v>0</v>
      </c>
      <c r="N281" s="839">
        <f>N354 + N233 + N379</f>
        <v>0</v>
      </c>
      <c r="O281" s="839">
        <f>O354 + O233 + O379</f>
        <v>0</v>
      </c>
      <c r="P281" s="839">
        <f>P354 + P233 + P379</f>
        <v>0</v>
      </c>
      <c r="Q281" s="839">
        <f>Q354 + Q233 + Q379</f>
        <v>0</v>
      </c>
      <c r="R281" s="839">
        <f>R354 + R233 + R379</f>
        <v>0</v>
      </c>
      <c r="S281" s="839">
        <f>S354 + S233 + S379</f>
        <v>0</v>
      </c>
      <c r="T281" s="839">
        <f>T354 + T233 + T379</f>
        <v>0</v>
      </c>
      <c r="U281" s="839">
        <f>U354 + U233 + U379</f>
        <v>0</v>
      </c>
      <c r="V281" s="839">
        <f>V354 + V233 + V379</f>
        <v>0</v>
      </c>
      <c r="W281" s="839">
        <f>W354 + W233 + W379</f>
        <v>0</v>
      </c>
      <c r="X281" s="839">
        <f>X354 + X233 + X379</f>
        <v>0</v>
      </c>
      <c r="Y281" s="839">
        <f>Y354 + Y233 + Y379</f>
        <v>0</v>
      </c>
      <c r="Z281" s="839">
        <f>Z354 + Z233 + Z379</f>
        <v>0</v>
      </c>
      <c r="AA281" s="839">
        <f>AA354 + AA233 + AA379</f>
        <v>0</v>
      </c>
      <c r="AB281" s="839">
        <f>AB354 + AB233 + AB379</f>
        <v>0</v>
      </c>
      <c r="AC281" s="841">
        <f>AC354 + AC233 + AC379</f>
        <v>0</v>
      </c>
      <c r="AD281" s="841">
        <f>AD354 + AD233 + AD379</f>
        <v>0</v>
      </c>
      <c r="AE281" s="841">
        <f>AE354 + AE233 + AE379</f>
        <v>0</v>
      </c>
      <c r="AF281" s="841">
        <f>AF354 + AF233 + AF379</f>
        <v>0</v>
      </c>
      <c r="AG281" s="841">
        <f>AG354 + AG233 + AG379</f>
        <v>0</v>
      </c>
      <c r="AH281" s="841">
        <f>AH354 + AH233 + AH379</f>
        <v>0</v>
      </c>
      <c r="AI281" s="841">
        <f>AI354 + AI233 + AI379</f>
        <v>0</v>
      </c>
      <c r="AJ281" s="841">
        <f>AJ354 + AJ233 + AJ379</f>
        <v>0</v>
      </c>
      <c r="AK281" s="841">
        <f>AK354 + AK233 + AK379</f>
        <v>0</v>
      </c>
      <c r="AL281" s="841">
        <f>AL354 + AL233 + AL379</f>
        <v>0</v>
      </c>
      <c r="AM281" s="841">
        <f>AM354 + AM233 + AM379</f>
        <v>0</v>
      </c>
      <c r="AN281" s="841">
        <f>AN354 + AN233 + AN379</f>
        <v>0</v>
      </c>
      <c r="AO281" s="841">
        <f>AO354 + AO233 + AO379</f>
        <v>0</v>
      </c>
      <c r="AP281" s="841">
        <f>AP354 + AP233 + AP379</f>
        <v>0</v>
      </c>
    </row>
    <row r="282" hidden="1">
      <c r="B282" s="842" t="s">
        <v>109</v>
      </c>
      <c r="C282" s="839">
        <f>C355 + C234 + C380</f>
        <v>66</v>
      </c>
      <c r="D282" s="839">
        <f>D355 + D234 + D380</f>
        <v>63</v>
      </c>
      <c r="E282" s="839">
        <f>E355 + E234 + E380</f>
        <v>30</v>
      </c>
      <c r="F282" s="839">
        <f>F355 + F234 + F380</f>
        <v>27</v>
      </c>
      <c r="G282" s="839">
        <f>G355 + G234 + G380</f>
        <v>26</v>
      </c>
      <c r="H282" s="839">
        <f>H355 + H234 + H380</f>
        <v>24</v>
      </c>
      <c r="I282" s="839">
        <f>I355 + I234 + I380</f>
        <v>20</v>
      </c>
      <c r="J282" s="839">
        <f>J355 + J234 + J380</f>
        <v>20</v>
      </c>
      <c r="K282" s="839">
        <f>K355 + K234 + K380</f>
        <v>19</v>
      </c>
      <c r="L282" s="839">
        <f>L355 + L234 + L380</f>
        <v>18</v>
      </c>
      <c r="M282" s="839">
        <f>M355 + M234 + M380</f>
        <v>17</v>
      </c>
      <c r="N282" s="839">
        <f>N355 + N234 + N380</f>
        <v>17</v>
      </c>
      <c r="O282" s="839">
        <f>O355 + O234 + O380</f>
        <v>15</v>
      </c>
      <c r="P282" s="839">
        <f>P355 + P234 + P380</f>
        <v>16</v>
      </c>
      <c r="Q282" s="839">
        <f>Q355 + Q234 + Q380</f>
        <v>16</v>
      </c>
      <c r="R282" s="839">
        <f>R355 + R234 + R380</f>
        <v>14</v>
      </c>
      <c r="S282" s="839">
        <f>S355 + S234 + S380</f>
        <v>5</v>
      </c>
      <c r="T282" s="839">
        <f>T355 + T234 + T380</f>
        <v>5</v>
      </c>
      <c r="U282" s="839">
        <f>U355 + U234 + U380</f>
        <v>5</v>
      </c>
      <c r="V282" s="839">
        <f>V355 + V234 + V380</f>
        <v>5</v>
      </c>
      <c r="W282" s="839">
        <f>W355 + W234 + W380</f>
        <v>5</v>
      </c>
      <c r="X282" s="839">
        <f>X355 + X234 + X380</f>
        <v>5</v>
      </c>
      <c r="Y282" s="839">
        <f>Y355 + Y234 + Y380</f>
        <v>5</v>
      </c>
      <c r="Z282" s="839">
        <f>Z355 + Z234 + Z380</f>
        <v>6</v>
      </c>
      <c r="AA282" s="839">
        <f>AA355 + AA234 + AA380</f>
        <v>6</v>
      </c>
      <c r="AB282" s="839">
        <f>AB355 + AB234 + AB380</f>
        <v>6</v>
      </c>
      <c r="AC282" s="841">
        <f>AC355 + AC234 + AC380</f>
        <v>6</v>
      </c>
      <c r="AD282" s="841">
        <f>AD355 + AD234 + AD380</f>
        <v>6</v>
      </c>
      <c r="AE282" s="841">
        <f>AE355 + AE234 + AE380</f>
        <v>6</v>
      </c>
      <c r="AF282" s="841">
        <f>AF355 + AF234 + AF380</f>
        <v>6</v>
      </c>
      <c r="AG282" s="841">
        <f>AG355 + AG234 + AG380</f>
        <v>6</v>
      </c>
      <c r="AH282" s="841">
        <f>AH355 + AH234 + AH380</f>
        <v>6</v>
      </c>
      <c r="AI282" s="841">
        <f>AI355 + AI234 + AI380</f>
        <v>4</v>
      </c>
      <c r="AJ282" s="841">
        <f>AJ355 + AJ234 + AJ380</f>
        <v>4</v>
      </c>
      <c r="AK282" s="841">
        <f>AK355 + AK234 + AK380</f>
        <v>4</v>
      </c>
      <c r="AL282" s="841">
        <f>AL355 + AL234 + AL380</f>
        <v>4</v>
      </c>
      <c r="AM282" s="841">
        <f>AM355 + AM234 + AM380</f>
        <v>3</v>
      </c>
      <c r="AN282" s="841">
        <f>AN355 + AN234 + AN380</f>
        <v>3</v>
      </c>
      <c r="AO282" s="841">
        <f>AO355 + AO234 + AO380</f>
        <v>4</v>
      </c>
      <c r="AP282" s="841">
        <f>AP355 + AP234 + AP380</f>
        <v>4</v>
      </c>
    </row>
    <row r="283" hidden="1">
      <c r="B283" s="842" t="s">
        <v>110</v>
      </c>
      <c r="C283" s="839">
        <f>C356 + C235 + C381</f>
        <v>8</v>
      </c>
      <c r="D283" s="839">
        <f>D356 + D235 + D381</f>
        <v>8</v>
      </c>
      <c r="E283" s="839">
        <f>E356 + E235 + E381</f>
        <v>7</v>
      </c>
      <c r="F283" s="839">
        <f>F356 + F235 + F381</f>
        <v>7</v>
      </c>
      <c r="G283" s="839">
        <f>G356 + G235 + G381</f>
        <v>6</v>
      </c>
      <c r="H283" s="839">
        <f>H356 + H235 + H381</f>
        <v>6</v>
      </c>
      <c r="I283" s="839">
        <f>I356 + I235 + I381</f>
        <v>6</v>
      </c>
      <c r="J283" s="839">
        <f>J356 + J235 + J381</f>
        <v>6</v>
      </c>
      <c r="K283" s="839">
        <f>K356 + K235 + K381</f>
        <v>6</v>
      </c>
      <c r="L283" s="839">
        <f>L356 + L235 + L381</f>
        <v>6</v>
      </c>
      <c r="M283" s="839">
        <f>M356 + M235 + M381</f>
        <v>6</v>
      </c>
      <c r="N283" s="839">
        <f>N356 + N235 + N381</f>
        <v>7</v>
      </c>
      <c r="O283" s="839">
        <f>O356 + O235 + O381</f>
        <v>6</v>
      </c>
      <c r="P283" s="839">
        <f>P356 + P235 + P381</f>
        <v>6</v>
      </c>
      <c r="Q283" s="839">
        <f>Q356 + Q235 + Q381</f>
        <v>6</v>
      </c>
      <c r="R283" s="839">
        <f>R356 + R235 + R381</f>
        <v>6</v>
      </c>
      <c r="S283" s="839">
        <f>S356 + S235 + S381</f>
        <v>6</v>
      </c>
      <c r="T283" s="839">
        <f>T356 + T235 + T381</f>
        <v>6</v>
      </c>
      <c r="U283" s="839">
        <f>U356 + U235 + U381</f>
        <v>6</v>
      </c>
      <c r="V283" s="839">
        <f>V356 + V235 + V381</f>
        <v>6</v>
      </c>
      <c r="W283" s="839">
        <f>W356 + W235 + W381</f>
        <v>6</v>
      </c>
      <c r="X283" s="839">
        <f>X356 + X235 + X381</f>
        <v>7</v>
      </c>
      <c r="Y283" s="839">
        <f>Y356 + Y235 + Y381</f>
        <v>6</v>
      </c>
      <c r="Z283" s="839">
        <f>Z356 + Z235 + Z381</f>
        <v>6</v>
      </c>
      <c r="AA283" s="839">
        <f>AA356 + AA235 + AA381</f>
        <v>6</v>
      </c>
      <c r="AB283" s="839">
        <f>AB356 + AB235 + AB381</f>
        <v>6</v>
      </c>
      <c r="AC283" s="841">
        <f>AC356 + AC235 + AC381</f>
        <v>6</v>
      </c>
      <c r="AD283" s="841">
        <f>AD356 + AD235 + AD381</f>
        <v>6</v>
      </c>
      <c r="AE283" s="841">
        <f>AE356 + AE235 + AE381</f>
        <v>6</v>
      </c>
      <c r="AF283" s="841">
        <f>AF356 + AF235 + AF381</f>
        <v>6</v>
      </c>
      <c r="AG283" s="841">
        <f>AG356 + AG235 + AG381</f>
        <v>6</v>
      </c>
      <c r="AH283" s="841">
        <f>AH356 + AH235 + AH381</f>
        <v>6</v>
      </c>
      <c r="AI283" s="841">
        <f>AI356 + AI235 + AI381</f>
        <v>6</v>
      </c>
      <c r="AJ283" s="841">
        <f>AJ356 + AJ235 + AJ381</f>
        <v>4</v>
      </c>
      <c r="AK283" s="841">
        <f>AK356 + AK235 + AK381</f>
        <v>4</v>
      </c>
      <c r="AL283" s="841">
        <f>AL356 + AL235 + AL381</f>
        <v>3</v>
      </c>
      <c r="AM283" s="841">
        <f>AM356 + AM235 + AM381</f>
        <v>3</v>
      </c>
      <c r="AN283" s="841">
        <f>AN356 + AN235 + AN381</f>
        <v>4</v>
      </c>
      <c r="AO283" s="841">
        <f>AO356 + AO235 + AO381</f>
        <v>3</v>
      </c>
      <c r="AP283" s="841">
        <f>AP356 + AP235 + AP381</f>
        <v>3</v>
      </c>
    </row>
    <row r="284" hidden="1">
      <c r="B284" s="842" t="s">
        <v>16</v>
      </c>
      <c r="C284" s="839">
        <f>C357 + C236 + C382</f>
        <v>8</v>
      </c>
      <c r="D284" s="839">
        <f>D357 + D236 + D382</f>
        <v>9</v>
      </c>
      <c r="E284" s="839">
        <f>E357 + E236 + E382</f>
        <v>9</v>
      </c>
      <c r="F284" s="839">
        <f>F357 + F236 + F382</f>
        <v>9</v>
      </c>
      <c r="G284" s="839">
        <f>G357 + G236 + G382</f>
        <v>9</v>
      </c>
      <c r="H284" s="839">
        <f>H357 + H236 + H382</f>
        <v>9</v>
      </c>
      <c r="I284" s="839">
        <f>I357 + I236 + I382</f>
        <v>8</v>
      </c>
      <c r="J284" s="839">
        <f>J357 + J236 + J382</f>
        <v>8</v>
      </c>
      <c r="K284" s="839">
        <f>K357 + K236 + K382</f>
        <v>10</v>
      </c>
      <c r="L284" s="839">
        <f>L357 + L236 + L382</f>
        <v>10</v>
      </c>
      <c r="M284" s="839">
        <f>M357 + M236 + M382</f>
        <v>8</v>
      </c>
      <c r="N284" s="839">
        <f>N357 + N236 + N382</f>
        <v>8</v>
      </c>
      <c r="O284" s="839">
        <f>O357 + O236 + O382</f>
        <v>8</v>
      </c>
      <c r="P284" s="839">
        <f>P357 + P236 + P382</f>
        <v>8</v>
      </c>
      <c r="Q284" s="839">
        <f>Q357 + Q236 + Q382</f>
        <v>7</v>
      </c>
      <c r="R284" s="839">
        <f>R357 + R236 + R382</f>
        <v>8</v>
      </c>
      <c r="S284" s="839">
        <f>S357 + S236 + S382</f>
        <v>8</v>
      </c>
      <c r="T284" s="839">
        <f>T357 + T236 + T382</f>
        <v>8</v>
      </c>
      <c r="U284" s="839">
        <f>U357 + U236 + U382</f>
        <v>7</v>
      </c>
      <c r="V284" s="839">
        <f>V357 + V236 + V382</f>
        <v>7</v>
      </c>
      <c r="W284" s="839">
        <f>W357 + W236 + W382</f>
        <v>7</v>
      </c>
      <c r="X284" s="839">
        <f>X357 + X236 + X382</f>
        <v>7</v>
      </c>
      <c r="Y284" s="839">
        <f>Y357 + Y236 + Y382</f>
        <v>7</v>
      </c>
      <c r="Z284" s="839">
        <f>Z357 + Z236 + Z382</f>
        <v>6</v>
      </c>
      <c r="AA284" s="839">
        <f>AA357 + AA236 + AA382</f>
        <v>6</v>
      </c>
      <c r="AB284" s="839">
        <f>AB357 + AB236 + AB382</f>
        <v>5</v>
      </c>
      <c r="AC284" s="841">
        <f>AC357 + AC236 + AC382</f>
        <v>4</v>
      </c>
      <c r="AD284" s="841">
        <f>AD357 + AD236 + AD382</f>
        <v>4</v>
      </c>
      <c r="AE284" s="841">
        <f>AE357 + AE236 + AE382</f>
        <v>3</v>
      </c>
      <c r="AF284" s="841">
        <f>AF357 + AF236 + AF382</f>
        <v>3</v>
      </c>
      <c r="AG284" s="841">
        <f>AG357 + AG236 + AG382</f>
        <v>3</v>
      </c>
      <c r="AH284" s="841">
        <f>AH357 + AH236 + AH382</f>
        <v>3</v>
      </c>
      <c r="AI284" s="841">
        <f>AI357 + AI236 + AI382</f>
        <v>3</v>
      </c>
      <c r="AJ284" s="841">
        <f>AJ357 + AJ236 + AJ382</f>
        <v>2</v>
      </c>
      <c r="AK284" s="841">
        <f>AK357 + AK236 + AK382</f>
        <v>2</v>
      </c>
      <c r="AL284" s="841">
        <f>AL357 + AL236 + AL382</f>
        <v>2</v>
      </c>
      <c r="AM284" s="841">
        <f>AM357 + AM236 + AM382</f>
        <v>2</v>
      </c>
      <c r="AN284" s="841">
        <f>AN357 + AN236 + AN382</f>
        <v>2</v>
      </c>
      <c r="AO284" s="841">
        <f>AO357 + AO236 + AO382</f>
        <v>2</v>
      </c>
      <c r="AP284" s="841">
        <f>AP357 + AP236 + AP382</f>
        <v>2</v>
      </c>
    </row>
    <row r="285" hidden="1">
      <c r="B285" s="842" t="s">
        <v>17</v>
      </c>
      <c r="C285" s="839">
        <f>C358 + C237 + C383</f>
        <v>0</v>
      </c>
      <c r="D285" s="839">
        <f>D358 + D237 + D383</f>
        <v>0</v>
      </c>
      <c r="E285" s="839">
        <f>E358 + E237 + E383</f>
        <v>1</v>
      </c>
      <c r="F285" s="839">
        <f>F358 + F237 + F383</f>
        <v>1</v>
      </c>
      <c r="G285" s="839">
        <f>G358 + G237 + G383</f>
        <v>1</v>
      </c>
      <c r="H285" s="839">
        <f>H358 + H237 + H383</f>
        <v>1</v>
      </c>
      <c r="I285" s="839">
        <f>I358 + I237 + I383</f>
        <v>1</v>
      </c>
      <c r="J285" s="839">
        <f>J358 + J237 + J383</f>
        <v>5</v>
      </c>
      <c r="K285" s="839">
        <f>K358 + K237 + K383</f>
        <v>5</v>
      </c>
      <c r="L285" s="839">
        <f>L358 + L237 + L383</f>
        <v>6</v>
      </c>
      <c r="M285" s="839">
        <f>M358 + M237 + M383</f>
        <v>6</v>
      </c>
      <c r="N285" s="839">
        <f>N358 + N237 + N383</f>
        <v>6</v>
      </c>
      <c r="O285" s="839">
        <f>O358 + O237 + O383</f>
        <v>6</v>
      </c>
      <c r="P285" s="839">
        <f>P358 + P237 + P383</f>
        <v>6</v>
      </c>
      <c r="Q285" s="839">
        <f>Q358 + Q237 + Q383</f>
        <v>6</v>
      </c>
      <c r="R285" s="839">
        <f>R358 + R237 + R383</f>
        <v>6</v>
      </c>
      <c r="S285" s="839">
        <f>S358 + S237 + S383</f>
        <v>7</v>
      </c>
      <c r="T285" s="839">
        <f>T358 + T237 + T383</f>
        <v>8</v>
      </c>
      <c r="U285" s="839">
        <f>U358 + U237 + U383</f>
        <v>8</v>
      </c>
      <c r="V285" s="839">
        <f>V358 + V237 + V383</f>
        <v>8</v>
      </c>
      <c r="W285" s="839">
        <f>W358 + W237 + W383</f>
        <v>7</v>
      </c>
      <c r="X285" s="839">
        <f>X358 + X237 + X383</f>
        <v>7</v>
      </c>
      <c r="Y285" s="839">
        <f>Y358 + Y237 + Y383</f>
        <v>7</v>
      </c>
      <c r="Z285" s="839">
        <f>Z358 + Z237 + Z383</f>
        <v>9</v>
      </c>
      <c r="AA285" s="839">
        <f>AA358 + AA237 + AA383</f>
        <v>9</v>
      </c>
      <c r="AB285" s="839">
        <f>AB358 + AB237 + AB383</f>
        <v>2</v>
      </c>
      <c r="AC285" s="841">
        <f>AC358 + AC237 + AC383</f>
        <v>2</v>
      </c>
      <c r="AD285" s="841">
        <f>AD358 + AD237 + AD383</f>
        <v>2</v>
      </c>
      <c r="AE285" s="841">
        <f>AE358 + AE237 + AE383</f>
        <v>2</v>
      </c>
      <c r="AF285" s="841">
        <f>AF358 + AF237 + AF383</f>
        <v>2</v>
      </c>
      <c r="AG285" s="841">
        <f>AG358 + AG237 + AG383</f>
        <v>1</v>
      </c>
      <c r="AH285" s="841">
        <f>AH358 + AH237 + AH383</f>
        <v>1</v>
      </c>
      <c r="AI285" s="841">
        <f>AI358 + AI237 + AI383</f>
        <v>1</v>
      </c>
      <c r="AJ285" s="841">
        <f>AJ358 + AJ237 + AJ383</f>
        <v>1</v>
      </c>
      <c r="AK285" s="841">
        <f>AK358 + AK237 + AK383</f>
        <v>1</v>
      </c>
      <c r="AL285" s="841">
        <f>AL358 + AL237 + AL383</f>
        <v>1</v>
      </c>
      <c r="AM285" s="841">
        <f>AM358 + AM237 + AM383</f>
        <v>1</v>
      </c>
      <c r="AN285" s="841">
        <f>AN358 + AN237 + AN383</f>
        <v>1</v>
      </c>
      <c r="AO285" s="841">
        <f>AO358 + AO237 + AO383</f>
        <v>1</v>
      </c>
      <c r="AP285" s="841">
        <f>AP358 + AP237 + AP383</f>
        <v>1</v>
      </c>
    </row>
    <row r="286" hidden="1">
      <c r="B286" s="842" t="s">
        <v>18</v>
      </c>
      <c r="C286" s="839">
        <f>C359 + C238 + C384</f>
        <v>3</v>
      </c>
      <c r="D286" s="839">
        <f>D359 + D238 + D384</f>
        <v>2</v>
      </c>
      <c r="E286" s="839">
        <f>E359 + E238 + E384</f>
        <v>2</v>
      </c>
      <c r="F286" s="839">
        <f>F359 + F238 + F384</f>
        <v>2</v>
      </c>
      <c r="G286" s="839">
        <f>G359 + G238 + G384</f>
        <v>2</v>
      </c>
      <c r="H286" s="839">
        <f>H359 + H238 + H384</f>
        <v>2</v>
      </c>
      <c r="I286" s="839">
        <f>I359 + I238 + I384</f>
        <v>2</v>
      </c>
      <c r="J286" s="839">
        <f>J359 + J238 + J384</f>
        <v>2</v>
      </c>
      <c r="K286" s="839">
        <f>K359 + K238 + K384</f>
        <v>2</v>
      </c>
      <c r="L286" s="839">
        <f>L359 + L238 + L384</f>
        <v>2</v>
      </c>
      <c r="M286" s="839">
        <f>M359 + M238 + M384</f>
        <v>3</v>
      </c>
      <c r="N286" s="839">
        <f>N359 + N238 + N384</f>
        <v>3</v>
      </c>
      <c r="O286" s="839">
        <f>O359 + O238 + O384</f>
        <v>3</v>
      </c>
      <c r="P286" s="839">
        <f>P359 + P238 + P384</f>
        <v>3</v>
      </c>
      <c r="Q286" s="839">
        <f>Q359 + Q238 + Q384</f>
        <v>3</v>
      </c>
      <c r="R286" s="839">
        <f>R359 + R238 + R384</f>
        <v>3</v>
      </c>
      <c r="S286" s="839">
        <f>S359 + S238 + S384</f>
        <v>4</v>
      </c>
      <c r="T286" s="839">
        <f>T359 + T238 + T384</f>
        <v>4</v>
      </c>
      <c r="U286" s="839">
        <f>U359 + U238 + U384</f>
        <v>4</v>
      </c>
      <c r="V286" s="839">
        <f>V359 + V238 + V384</f>
        <v>4</v>
      </c>
      <c r="W286" s="839">
        <f>W359 + W238 + W384</f>
        <v>4</v>
      </c>
      <c r="X286" s="839">
        <f>X359 + X238 + X384</f>
        <v>4</v>
      </c>
      <c r="Y286" s="839">
        <f>Y359 + Y238 + Y384</f>
        <v>4</v>
      </c>
      <c r="Z286" s="839">
        <f>Z359 + Z238 + Z384</f>
        <v>4</v>
      </c>
      <c r="AA286" s="839">
        <f>AA359 + AA238 + AA384</f>
        <v>4</v>
      </c>
      <c r="AB286" s="839">
        <f>AB359 + AB238 + AB384</f>
        <v>4</v>
      </c>
      <c r="AC286" s="841">
        <f>AC359 + AC238 + AC384</f>
        <v>4</v>
      </c>
      <c r="AD286" s="841">
        <f>AD359 + AD238 + AD384</f>
        <v>4</v>
      </c>
      <c r="AE286" s="841">
        <f>AE359 + AE238 + AE384</f>
        <v>4</v>
      </c>
      <c r="AF286" s="841">
        <f>AF359 + AF238 + AF384</f>
        <v>3</v>
      </c>
      <c r="AG286" s="841">
        <f>AG359 + AG238 + AG384</f>
        <v>3</v>
      </c>
      <c r="AH286" s="841">
        <f>AH359 + AH238 + AH384</f>
        <v>3</v>
      </c>
      <c r="AI286" s="841">
        <f>AI359 + AI238 + AI384</f>
        <v>3</v>
      </c>
      <c r="AJ286" s="841">
        <f>AJ359 + AJ238 + AJ384</f>
        <v>3</v>
      </c>
      <c r="AK286" s="841">
        <f>AK359 + AK238 + AK384</f>
        <v>3</v>
      </c>
      <c r="AL286" s="841">
        <f>AL359 + AL238 + AL384</f>
        <v>3</v>
      </c>
      <c r="AM286" s="841">
        <f>AM359 + AM238 + AM384</f>
        <v>3</v>
      </c>
      <c r="AN286" s="841">
        <f>AN359 + AN238 + AN384</f>
        <v>3</v>
      </c>
      <c r="AO286" s="841">
        <f>AO359 + AO238 + AO384</f>
        <v>3</v>
      </c>
      <c r="AP286" s="841">
        <f>AP359 + AP238 + AP384</f>
        <v>3</v>
      </c>
    </row>
    <row r="287" hidden="1">
      <c r="B287" s="842" t="s">
        <v>19</v>
      </c>
      <c r="C287" s="839">
        <f>C360 + C239 + C385</f>
        <v>0</v>
      </c>
      <c r="D287" s="839">
        <f>D360 + D239 + D385</f>
        <v>0</v>
      </c>
      <c r="E287" s="839">
        <f>E360 + E239 + E385</f>
        <v>0</v>
      </c>
      <c r="F287" s="839">
        <f>F360 + F239 + F385</f>
        <v>1</v>
      </c>
      <c r="G287" s="839">
        <f>G360 + G239 + G385</f>
        <v>1</v>
      </c>
      <c r="H287" s="839">
        <f>H360 + H239 + H385</f>
        <v>1</v>
      </c>
      <c r="I287" s="839">
        <f>I360 + I239 + I385</f>
        <v>1</v>
      </c>
      <c r="J287" s="839">
        <f>J360 + J239 + J385</f>
        <v>1</v>
      </c>
      <c r="K287" s="839">
        <f>K360 + K239 + K385</f>
        <v>1</v>
      </c>
      <c r="L287" s="839">
        <f>L360 + L239 + L385</f>
        <v>0</v>
      </c>
      <c r="M287" s="839">
        <f>M360 + M239 + M385</f>
        <v>2</v>
      </c>
      <c r="N287" s="839">
        <f>N360 + N239 + N385</f>
        <v>2</v>
      </c>
      <c r="O287" s="839">
        <f>O360 + O239 + O385</f>
        <v>2</v>
      </c>
      <c r="P287" s="839">
        <f>P360 + P239 + P385</f>
        <v>2</v>
      </c>
      <c r="Q287" s="839">
        <f>Q360 + Q239 + Q385</f>
        <v>1</v>
      </c>
      <c r="R287" s="839">
        <f>R360 + R239 + R385</f>
        <v>1</v>
      </c>
      <c r="S287" s="839">
        <f>S360 + S239 + S385</f>
        <v>1</v>
      </c>
      <c r="T287" s="839">
        <f>T360 + T239 + T385</f>
        <v>2</v>
      </c>
      <c r="U287" s="839">
        <f>U360 + U239 + U385</f>
        <v>2</v>
      </c>
      <c r="V287" s="839">
        <f>V360 + V239 + V385</f>
        <v>2</v>
      </c>
      <c r="W287" s="839">
        <f>W360 + W239 + W385</f>
        <v>1</v>
      </c>
      <c r="X287" s="839">
        <f>X360 + X239 + X385</f>
        <v>1</v>
      </c>
      <c r="Y287" s="839">
        <f>Y360 + Y239 + Y385</f>
        <v>1</v>
      </c>
      <c r="Z287" s="839">
        <f>Z360 + Z239 + Z385</f>
        <v>1</v>
      </c>
      <c r="AA287" s="839">
        <f>AA360 + AA239 + AA385</f>
        <v>1</v>
      </c>
      <c r="AB287" s="839">
        <f>AB360 + AB239 + AB385</f>
        <v>1</v>
      </c>
      <c r="AC287" s="841">
        <f>AC360 + AC239 + AC385</f>
        <v>1</v>
      </c>
      <c r="AD287" s="841">
        <f>AD360 + AD239 + AD385</f>
        <v>1</v>
      </c>
      <c r="AE287" s="841">
        <f>AE360 + AE239 + AE385</f>
        <v>1</v>
      </c>
      <c r="AF287" s="841">
        <f>AF360 + AF239 + AF385</f>
        <v>1</v>
      </c>
      <c r="AG287" s="841">
        <f>AG360 + AG239 + AG385</f>
        <v>0</v>
      </c>
      <c r="AH287" s="841">
        <f>AH360 + AH239 + AH385</f>
        <v>0</v>
      </c>
      <c r="AI287" s="841">
        <f>AI360 + AI239 + AI385</f>
        <v>0</v>
      </c>
      <c r="AJ287" s="841">
        <f>AJ360 + AJ239 + AJ385</f>
        <v>0</v>
      </c>
      <c r="AK287" s="841">
        <f>AK360 + AK239 + AK385</f>
        <v>0</v>
      </c>
      <c r="AL287" s="841">
        <f>AL360 + AL239 + AL385</f>
        <v>0</v>
      </c>
      <c r="AM287" s="841">
        <f>AM360 + AM239 + AM385</f>
        <v>0</v>
      </c>
      <c r="AN287" s="841">
        <f>AN360 + AN239 + AN385</f>
        <v>0</v>
      </c>
      <c r="AO287" s="841">
        <f>AO360 + AO239 + AO385</f>
        <v>0</v>
      </c>
      <c r="AP287" s="841">
        <f>AP360 + AP239 + AP385</f>
        <v>0</v>
      </c>
    </row>
    <row r="288" hidden="1">
      <c r="B288" s="842" t="s">
        <v>20</v>
      </c>
      <c r="C288" s="839">
        <f>C361 + C240 + C386</f>
        <v>0</v>
      </c>
      <c r="D288" s="839">
        <f>D361 + D240 + D386</f>
        <v>0</v>
      </c>
      <c r="E288" s="839">
        <f>E361 + E240 + E386</f>
        <v>0</v>
      </c>
      <c r="F288" s="839">
        <f>F361 + F240 + F386</f>
        <v>0</v>
      </c>
      <c r="G288" s="839">
        <f>G361 + G240 + G386</f>
        <v>0</v>
      </c>
      <c r="H288" s="839">
        <f>H361 + H240 + H386</f>
        <v>0</v>
      </c>
      <c r="I288" s="839">
        <f>I361 + I240 + I386</f>
        <v>0</v>
      </c>
      <c r="J288" s="839">
        <f>J361 + J240 + J386</f>
        <v>0</v>
      </c>
      <c r="K288" s="839">
        <f>K361 + K240 + K386</f>
        <v>0</v>
      </c>
      <c r="L288" s="839">
        <f>L361 + L240 + L386</f>
        <v>0</v>
      </c>
      <c r="M288" s="839">
        <f>M361 + M240 + M386</f>
        <v>0</v>
      </c>
      <c r="N288" s="839">
        <f>N361 + N240 + N386</f>
        <v>1</v>
      </c>
      <c r="O288" s="839">
        <f>O361 + O240 + O386</f>
        <v>1</v>
      </c>
      <c r="P288" s="839">
        <f>P361 + P240 + P386</f>
        <v>1</v>
      </c>
      <c r="Q288" s="839">
        <f>Q361 + Q240 + Q386</f>
        <v>1</v>
      </c>
      <c r="R288" s="839">
        <f>R361 + R240 + R386</f>
        <v>1</v>
      </c>
      <c r="S288" s="839">
        <f>S361 + S240 + S386</f>
        <v>1</v>
      </c>
      <c r="T288" s="839">
        <f>T361 + T240 + T386</f>
        <v>1</v>
      </c>
      <c r="U288" s="839">
        <f>U361 + U240 + U386</f>
        <v>1</v>
      </c>
      <c r="V288" s="839">
        <f>V361 + V240 + V386</f>
        <v>1</v>
      </c>
      <c r="W288" s="839">
        <f>W361 + W240 + W386</f>
        <v>1</v>
      </c>
      <c r="X288" s="839">
        <f>X361 + X240 + X386</f>
        <v>1</v>
      </c>
      <c r="Y288" s="839">
        <f>Y361 + Y240 + Y386</f>
        <v>1</v>
      </c>
      <c r="Z288" s="839">
        <f>Z361 + Z240 + Z386</f>
        <v>1</v>
      </c>
      <c r="AA288" s="839">
        <f>AA361 + AA240 + AA386</f>
        <v>1</v>
      </c>
      <c r="AB288" s="839">
        <f>AB361 + AB240 + AB386</f>
        <v>1</v>
      </c>
      <c r="AC288" s="841">
        <f>AC361 + AC240 + AC386</f>
        <v>1</v>
      </c>
      <c r="AD288" s="841">
        <f>AD361 + AD240 + AD386</f>
        <v>1</v>
      </c>
      <c r="AE288" s="841">
        <f>AE361 + AE240 + AE386</f>
        <v>1</v>
      </c>
      <c r="AF288" s="841">
        <f>AF361 + AF240 + AF386</f>
        <v>1</v>
      </c>
      <c r="AG288" s="841">
        <f>AG361 + AG240 + AG386</f>
        <v>1</v>
      </c>
      <c r="AH288" s="841">
        <f>AH361 + AH240 + AH386</f>
        <v>1</v>
      </c>
      <c r="AI288" s="841">
        <f>AI361 + AI240 + AI386</f>
        <v>1</v>
      </c>
      <c r="AJ288" s="841">
        <f>AJ361 + AJ240 + AJ386</f>
        <v>1</v>
      </c>
      <c r="AK288" s="841">
        <f>AK361 + AK240 + AK386</f>
        <v>1</v>
      </c>
      <c r="AL288" s="841">
        <f>AL361 + AL240 + AL386</f>
        <v>1</v>
      </c>
      <c r="AM288" s="841">
        <f>AM361 + AM240 + AM386</f>
        <v>1</v>
      </c>
      <c r="AN288" s="841">
        <f>AN361 + AN240 + AN386</f>
        <v>1</v>
      </c>
      <c r="AO288" s="841">
        <f>AO361 + AO240 + AO386</f>
        <v>0</v>
      </c>
      <c r="AP288" s="841">
        <f>AP361 + AP240 + AP386</f>
        <v>0</v>
      </c>
    </row>
    <row r="289" hidden="1">
      <c r="B289" s="842" t="s">
        <v>21</v>
      </c>
      <c r="C289" s="839">
        <f>C362 + C241 + C387</f>
        <v>0</v>
      </c>
      <c r="D289" s="839">
        <f>D362 + D241 + D387</f>
        <v>0</v>
      </c>
      <c r="E289" s="839">
        <f>E362 + E241 + E387</f>
        <v>0</v>
      </c>
      <c r="F289" s="839">
        <f>F362 + F241 + F387</f>
        <v>0</v>
      </c>
      <c r="G289" s="839">
        <f>G362 + G241 + G387</f>
        <v>0</v>
      </c>
      <c r="H289" s="839">
        <f>H362 + H241 + H387</f>
        <v>0</v>
      </c>
      <c r="I289" s="839">
        <f>I362 + I241 + I387</f>
        <v>0</v>
      </c>
      <c r="J289" s="839">
        <f>J362 + J241 + J387</f>
        <v>0</v>
      </c>
      <c r="K289" s="839">
        <f>K362 + K241 + K387</f>
        <v>0</v>
      </c>
      <c r="L289" s="839">
        <f>L362 + L241 + L387</f>
        <v>1</v>
      </c>
      <c r="M289" s="839">
        <f>M362 + M241 + M387</f>
        <v>0</v>
      </c>
      <c r="N289" s="839">
        <f>N362 + N241 + N387</f>
        <v>0</v>
      </c>
      <c r="O289" s="839">
        <f>O362 + O241 + O387</f>
        <v>0</v>
      </c>
      <c r="P289" s="839">
        <f>P362 + P241 + P387</f>
        <v>1</v>
      </c>
      <c r="Q289" s="839">
        <f>Q362 + Q241 + Q387</f>
        <v>1</v>
      </c>
      <c r="R289" s="839">
        <f>R362 + R241 + R387</f>
        <v>1</v>
      </c>
      <c r="S289" s="839">
        <f>S362 + S241 + S387</f>
        <v>1</v>
      </c>
      <c r="T289" s="839">
        <f>T362 + T241 + T387</f>
        <v>1</v>
      </c>
      <c r="U289" s="839">
        <f>U362 + U241 + U387</f>
        <v>1</v>
      </c>
      <c r="V289" s="839">
        <f>V362 + V241 + V387</f>
        <v>1</v>
      </c>
      <c r="W289" s="839">
        <f>W362 + W241 + W387</f>
        <v>1</v>
      </c>
      <c r="X289" s="839">
        <f>X362 + X241 + X387</f>
        <v>1</v>
      </c>
      <c r="Y289" s="839">
        <f>Y362 + Y241 + Y387</f>
        <v>1</v>
      </c>
      <c r="Z289" s="839">
        <f>Z362 + Z241 + Z387</f>
        <v>1</v>
      </c>
      <c r="AA289" s="839">
        <f>AA362 + AA241 + AA387</f>
        <v>1</v>
      </c>
      <c r="AB289" s="839">
        <f>AB362 + AB241 + AB387</f>
        <v>1</v>
      </c>
      <c r="AC289" s="841">
        <f>AC362 + AC241 + AC387</f>
        <v>1</v>
      </c>
      <c r="AD289" s="841">
        <f>AD362 + AD241 + AD387</f>
        <v>1</v>
      </c>
      <c r="AE289" s="841">
        <f>AE362 + AE241 + AE387</f>
        <v>1</v>
      </c>
      <c r="AF289" s="841">
        <f>AF362 + AF241 + AF387</f>
        <v>1</v>
      </c>
      <c r="AG289" s="841">
        <f>AG362 + AG241 + AG387</f>
        <v>1</v>
      </c>
      <c r="AH289" s="841">
        <f>AH362 + AH241 + AH387</f>
        <v>1</v>
      </c>
      <c r="AI289" s="841">
        <f>AI362 + AI241 + AI387</f>
        <v>1</v>
      </c>
      <c r="AJ289" s="841">
        <f>AJ362 + AJ241 + AJ387</f>
        <v>1</v>
      </c>
      <c r="AK289" s="841">
        <f>AK362 + AK241 + AK387</f>
        <v>1</v>
      </c>
      <c r="AL289" s="841">
        <f>AL362 + AL241 + AL387</f>
        <v>1</v>
      </c>
      <c r="AM289" s="841">
        <f>AM362 + AM241 + AM387</f>
        <v>1</v>
      </c>
      <c r="AN289" s="841">
        <f>AN362 + AN241 + AN387</f>
        <v>1</v>
      </c>
      <c r="AO289" s="841">
        <f>AO362 + AO241 + AO387</f>
        <v>1</v>
      </c>
      <c r="AP289" s="841">
        <f>AP362 + AP241 + AP387</f>
        <v>1</v>
      </c>
    </row>
    <row r="290" hidden="1">
      <c r="B290" s="842" t="s">
        <v>22</v>
      </c>
      <c r="C290" s="839">
        <f>C363 + C242 + C388</f>
        <v>0</v>
      </c>
      <c r="D290" s="839">
        <f>D363 + D242 + D388</f>
        <v>0</v>
      </c>
      <c r="E290" s="839">
        <f>E363 + E242 + E388</f>
        <v>0</v>
      </c>
      <c r="F290" s="839">
        <f>F363 + F242 + F388</f>
        <v>0</v>
      </c>
      <c r="G290" s="839">
        <f>G363 + G242 + G388</f>
        <v>0</v>
      </c>
      <c r="H290" s="839">
        <f>H363 + H242 + H388</f>
        <v>0</v>
      </c>
      <c r="I290" s="839">
        <f>I363 + I242 + I388</f>
        <v>0</v>
      </c>
      <c r="J290" s="839">
        <f>J363 + J242 + J388</f>
        <v>0</v>
      </c>
      <c r="K290" s="839">
        <f>K363 + K242 + K388</f>
        <v>0</v>
      </c>
      <c r="L290" s="839">
        <f>L363 + L242 + L388</f>
        <v>0</v>
      </c>
      <c r="M290" s="839">
        <f>M363 + M242 + M388</f>
        <v>1</v>
      </c>
      <c r="N290" s="839">
        <f>N363 + N242 + N388</f>
        <v>1</v>
      </c>
      <c r="O290" s="839">
        <f>O363 + O242 + O388</f>
        <v>2</v>
      </c>
      <c r="P290" s="839">
        <f>P363 + P242 + P388</f>
        <v>1</v>
      </c>
      <c r="Q290" s="839">
        <f>Q363 + Q242 + Q388</f>
        <v>1</v>
      </c>
      <c r="R290" s="839">
        <f>R363 + R242 + R388</f>
        <v>1</v>
      </c>
      <c r="S290" s="839">
        <f>S363 + S242 + S388</f>
        <v>0</v>
      </c>
      <c r="T290" s="839">
        <f>T363 + T242 + T388</f>
        <v>0</v>
      </c>
      <c r="U290" s="839">
        <f>U363 + U242 + U388</f>
        <v>0</v>
      </c>
      <c r="V290" s="839">
        <f>V363 + V242 + V388</f>
        <v>0</v>
      </c>
      <c r="W290" s="839">
        <f>W363 + W242 + W388</f>
        <v>0</v>
      </c>
      <c r="X290" s="839">
        <f>X363 + X242 + X388</f>
        <v>0</v>
      </c>
      <c r="Y290" s="839">
        <f>Y363 + Y242 + Y388</f>
        <v>0</v>
      </c>
      <c r="Z290" s="839">
        <f>Z363 + Z242 + Z388</f>
        <v>0</v>
      </c>
      <c r="AA290" s="839">
        <f>AA363 + AA242 + AA388</f>
        <v>0</v>
      </c>
      <c r="AB290" s="839">
        <f>AB363 + AB242 + AB388</f>
        <v>0</v>
      </c>
      <c r="AC290" s="841">
        <f>AC363 + AC242 + AC388</f>
        <v>0</v>
      </c>
      <c r="AD290" s="841">
        <f>AD363 + AD242 + AD388</f>
        <v>0</v>
      </c>
      <c r="AE290" s="841">
        <f>AE363 + AE242 + AE388</f>
        <v>0</v>
      </c>
      <c r="AF290" s="841">
        <f>AF363 + AF242 + AF388</f>
        <v>0</v>
      </c>
      <c r="AG290" s="841">
        <f>AG363 + AG242 + AG388</f>
        <v>0</v>
      </c>
      <c r="AH290" s="841">
        <f>AH363 + AH242 + AH388</f>
        <v>0</v>
      </c>
      <c r="AI290" s="841">
        <f>AI363 + AI242 + AI388</f>
        <v>0</v>
      </c>
      <c r="AJ290" s="841">
        <f>AJ363 + AJ242 + AJ388</f>
        <v>0</v>
      </c>
      <c r="AK290" s="841">
        <f>AK363 + AK242 + AK388</f>
        <v>0</v>
      </c>
      <c r="AL290" s="841">
        <f>AL363 + AL242 + AL388</f>
        <v>0</v>
      </c>
      <c r="AM290" s="841">
        <f>AM363 + AM242 + AM388</f>
        <v>0</v>
      </c>
      <c r="AN290" s="841">
        <f>AN363 + AN242 + AN388</f>
        <v>0</v>
      </c>
      <c r="AO290" s="841">
        <f>AO363 + AO242 + AO388</f>
        <v>0</v>
      </c>
      <c r="AP290" s="841">
        <f>AP363 + AP242 + AP388</f>
        <v>0</v>
      </c>
    </row>
    <row r="291" hidden="1">
      <c r="B291" s="842" t="s">
        <v>23</v>
      </c>
      <c r="C291" s="839">
        <f>C364 + C243 + C389</f>
        <v>0</v>
      </c>
      <c r="D291" s="839">
        <f>D364 + D243 + D389</f>
        <v>0</v>
      </c>
      <c r="E291" s="839">
        <f>E364 + E243 + E389</f>
        <v>0</v>
      </c>
      <c r="F291" s="839">
        <f>F364 + F243 + F389</f>
        <v>0</v>
      </c>
      <c r="G291" s="839">
        <f>G364 + G243 + G389</f>
        <v>0</v>
      </c>
      <c r="H291" s="839">
        <f>H364 + H243 + H389</f>
        <v>0</v>
      </c>
      <c r="I291" s="839">
        <f>I364 + I243 + I389</f>
        <v>0</v>
      </c>
      <c r="J291" s="839">
        <f>J364 + J243 + J389</f>
        <v>0</v>
      </c>
      <c r="K291" s="839">
        <f>K364 + K243 + K389</f>
        <v>0</v>
      </c>
      <c r="L291" s="839">
        <f>L364 + L243 + L389</f>
        <v>1</v>
      </c>
      <c r="M291" s="839">
        <f>M364 + M243 + M389</f>
        <v>0</v>
      </c>
      <c r="N291" s="839">
        <f>N364 + N243 + N389</f>
        <v>0</v>
      </c>
      <c r="O291" s="839">
        <f>O364 + O243 + O389</f>
        <v>0</v>
      </c>
      <c r="P291" s="839">
        <f>P364 + P243 + P389</f>
        <v>0</v>
      </c>
      <c r="Q291" s="839">
        <f>Q364 + Q243 + Q389</f>
        <v>0</v>
      </c>
      <c r="R291" s="839">
        <f>R364 + R243 + R389</f>
        <v>0</v>
      </c>
      <c r="S291" s="839">
        <f>S364 + S243 + S389</f>
        <v>0</v>
      </c>
      <c r="T291" s="839">
        <f>T364 + T243 + T389</f>
        <v>0</v>
      </c>
      <c r="U291" s="839">
        <f>U364 + U243 + U389</f>
        <v>0</v>
      </c>
      <c r="V291" s="839">
        <f>V364 + V243 + V389</f>
        <v>0</v>
      </c>
      <c r="W291" s="839">
        <f>W364 + W243 + W389</f>
        <v>0</v>
      </c>
      <c r="X291" s="839">
        <f>X364 + X243 + X389</f>
        <v>0</v>
      </c>
      <c r="Y291" s="839">
        <f>Y364 + Y243 + Y389</f>
        <v>0</v>
      </c>
      <c r="Z291" s="839">
        <f>Z364 + Z243 + Z389</f>
        <v>0</v>
      </c>
      <c r="AA291" s="839">
        <f>AA364 + AA243 + AA389</f>
        <v>0</v>
      </c>
      <c r="AB291" s="839">
        <f>AB364 + AB243 + AB389</f>
        <v>0</v>
      </c>
      <c r="AC291" s="841">
        <f>AC364 + AC243 + AC389</f>
        <v>0</v>
      </c>
      <c r="AD291" s="841">
        <f>AD364 + AD243 + AD389</f>
        <v>0</v>
      </c>
      <c r="AE291" s="841">
        <f>AE364 + AE243 + AE389</f>
        <v>0</v>
      </c>
      <c r="AF291" s="841">
        <f>AF364 + AF243 + AF389</f>
        <v>0</v>
      </c>
      <c r="AG291" s="841">
        <f>AG364 + AG243 + AG389</f>
        <v>0</v>
      </c>
      <c r="AH291" s="841">
        <f>AH364 + AH243 + AH389</f>
        <v>0</v>
      </c>
      <c r="AI291" s="841">
        <f>AI364 + AI243 + AI389</f>
        <v>0</v>
      </c>
      <c r="AJ291" s="841">
        <f>AJ364 + AJ243 + AJ389</f>
        <v>0</v>
      </c>
      <c r="AK291" s="841">
        <f>AK364 + AK243 + AK389</f>
        <v>0</v>
      </c>
      <c r="AL291" s="841">
        <f>AL364 + AL243 + AL389</f>
        <v>0</v>
      </c>
      <c r="AM291" s="841">
        <f>AM364 + AM243 + AM389</f>
        <v>0</v>
      </c>
      <c r="AN291" s="841">
        <f>AN364 + AN243 + AN389</f>
        <v>0</v>
      </c>
      <c r="AO291" s="841">
        <f>AO364 + AO243 + AO389</f>
        <v>0</v>
      </c>
      <c r="AP291" s="841">
        <f>AP364 + AP243 + AP389</f>
        <v>0</v>
      </c>
    </row>
    <row r="292" hidden="1">
      <c r="B292" s="843" t="s">
        <v>24</v>
      </c>
      <c r="C292" s="839">
        <f>C365 + C244 + C390</f>
        <v>7</v>
      </c>
      <c r="D292" s="839">
        <f>D365 + D244 + D390</f>
        <v>8</v>
      </c>
      <c r="E292" s="839">
        <f>E365 + E244 + E390</f>
        <v>8</v>
      </c>
      <c r="F292" s="839">
        <f>F365 + F244 + F390</f>
        <v>7</v>
      </c>
      <c r="G292" s="839">
        <f>G365 + G244 + G390</f>
        <v>7</v>
      </c>
      <c r="H292" s="839">
        <f>H365 + H244 + H390</f>
        <v>7</v>
      </c>
      <c r="I292" s="839">
        <f>I365 + I244 + I390</f>
        <v>7</v>
      </c>
      <c r="J292" s="839">
        <f>J365 + J244 + J390</f>
        <v>7</v>
      </c>
      <c r="K292" s="839">
        <f>K365 + K244 + K390</f>
        <v>8</v>
      </c>
      <c r="L292" s="839">
        <f>L365 + L244 + L390</f>
        <v>8</v>
      </c>
      <c r="M292" s="839">
        <f>M365 + M244 + M390</f>
        <v>8</v>
      </c>
      <c r="N292" s="839">
        <f>N365 + N244 + N390</f>
        <v>8</v>
      </c>
      <c r="O292" s="839">
        <f>O365 + O244 + O390</f>
        <v>8</v>
      </c>
      <c r="P292" s="839">
        <f>P365 + P244 + P390</f>
        <v>9</v>
      </c>
      <c r="Q292" s="839">
        <f>Q365 + Q244 + Q390</f>
        <v>9</v>
      </c>
      <c r="R292" s="839">
        <f>R365 + R244 + R390</f>
        <v>8</v>
      </c>
      <c r="S292" s="839">
        <f>S365 + S244 + S390</f>
        <v>7</v>
      </c>
      <c r="T292" s="839">
        <f>T365 + T244 + T390</f>
        <v>7</v>
      </c>
      <c r="U292" s="839">
        <f>U365 + U244 + U390</f>
        <v>6</v>
      </c>
      <c r="V292" s="839">
        <f>V365 + V244 + V390</f>
        <v>5</v>
      </c>
      <c r="W292" s="839">
        <f>W365 + W244 + W390</f>
        <v>5</v>
      </c>
      <c r="X292" s="839">
        <f>X365 + X244 + X390</f>
        <v>4</v>
      </c>
      <c r="Y292" s="839">
        <f>Y365 + Y244 + Y390</f>
        <v>3</v>
      </c>
      <c r="Z292" s="839">
        <f>Z365 + Z244 + Z390</f>
        <v>3</v>
      </c>
      <c r="AA292" s="839">
        <f>AA365 + AA244 + AA390</f>
        <v>3</v>
      </c>
      <c r="AB292" s="839">
        <f>AB365 + AB244 + AB390</f>
        <v>3</v>
      </c>
      <c r="AC292" s="841">
        <f>AC365 + AC244 + AC390</f>
        <v>3</v>
      </c>
      <c r="AD292" s="841">
        <f>AD365 + AD244 + AD390</f>
        <v>3</v>
      </c>
      <c r="AE292" s="841">
        <f>AE365 + AE244 + AE390</f>
        <v>3</v>
      </c>
      <c r="AF292" s="841">
        <f>AF365 + AF244 + AF390</f>
        <v>3</v>
      </c>
      <c r="AG292" s="841">
        <f>AG365 + AG244 + AG390</f>
        <v>3</v>
      </c>
      <c r="AH292" s="841">
        <f>AH365 + AH244 + AH390</f>
        <v>3</v>
      </c>
      <c r="AI292" s="841">
        <f>AI365 + AI244 + AI390</f>
        <v>3</v>
      </c>
      <c r="AJ292" s="841">
        <f>AJ365 + AJ244 + AJ390</f>
        <v>2</v>
      </c>
      <c r="AK292" s="841">
        <f>AK365 + AK244 + AK390</f>
        <v>2</v>
      </c>
      <c r="AL292" s="841">
        <f>AL365 + AL244 + AL390</f>
        <v>2</v>
      </c>
      <c r="AM292" s="841">
        <f>AM365 + AM244 + AM390</f>
        <v>2</v>
      </c>
      <c r="AN292" s="841">
        <f>AN365 + AN244 + AN390</f>
        <v>3</v>
      </c>
      <c r="AO292" s="841">
        <f>AO365 + AO244 + AO390</f>
        <v>3</v>
      </c>
      <c r="AP292" s="841">
        <f>AP365 + AP244 + AP390</f>
        <v>3</v>
      </c>
    </row>
    <row r="293" hidden="1">
      <c r="B293" s="842" t="s">
        <v>25</v>
      </c>
      <c r="C293" s="839">
        <f>C366 + C245 + C391</f>
        <v>0</v>
      </c>
      <c r="D293" s="839">
        <f>D366 + D245 + D391</f>
        <v>0</v>
      </c>
      <c r="E293" s="839">
        <f>E366 + E245 + E391</f>
        <v>0</v>
      </c>
      <c r="F293" s="839">
        <f>F366 + F245 + F391</f>
        <v>0</v>
      </c>
      <c r="G293" s="839">
        <f>G366 + G245 + G391</f>
        <v>0</v>
      </c>
      <c r="H293" s="839">
        <f>H366 + H245 + H391</f>
        <v>0</v>
      </c>
      <c r="I293" s="839">
        <f>I366 + I245 + I391</f>
        <v>0</v>
      </c>
      <c r="J293" s="839">
        <f>J366 + J245 + J391</f>
        <v>0</v>
      </c>
      <c r="K293" s="839">
        <f>K366 + K245 + K391</f>
        <v>0</v>
      </c>
      <c r="L293" s="839">
        <f>L366 + L245 + L391</f>
        <v>0</v>
      </c>
      <c r="M293" s="839">
        <f>M366 + M245 + M391</f>
        <v>0</v>
      </c>
      <c r="N293" s="839">
        <f>N366 + N245 + N391</f>
        <v>0</v>
      </c>
      <c r="O293" s="839">
        <f>O366 + O245 + O391</f>
        <v>0</v>
      </c>
      <c r="P293" s="839">
        <f>P366 + P245 + P391</f>
        <v>0</v>
      </c>
      <c r="Q293" s="839">
        <f>Q366 + Q245 + Q391</f>
        <v>0</v>
      </c>
      <c r="R293" s="839">
        <f>R366 + R245 + R391</f>
        <v>0</v>
      </c>
      <c r="S293" s="839">
        <f>S366 + S245 + S391</f>
        <v>0</v>
      </c>
      <c r="T293" s="839">
        <f>T366 + T245 + T391</f>
        <v>0</v>
      </c>
      <c r="U293" s="839">
        <f>U366 + U245 + U391</f>
        <v>0</v>
      </c>
      <c r="V293" s="839">
        <f>V366 + V245 + V391</f>
        <v>0</v>
      </c>
      <c r="W293" s="839">
        <f>W366 + W245 + W391</f>
        <v>0</v>
      </c>
      <c r="X293" s="839">
        <f>X366 + X245 + X391</f>
        <v>0</v>
      </c>
      <c r="Y293" s="839">
        <f>Y366 + Y245 + Y391</f>
        <v>0</v>
      </c>
      <c r="Z293" s="839">
        <f>Z366 + Z245 + Z391</f>
        <v>0</v>
      </c>
      <c r="AA293" s="839">
        <f>AA366 + AA245 + AA391</f>
        <v>0</v>
      </c>
      <c r="AB293" s="839">
        <f>AB366 + AB245 + AB391</f>
        <v>0</v>
      </c>
      <c r="AC293" s="841">
        <f>AC366 + AC245 + AC391</f>
        <v>0</v>
      </c>
      <c r="AD293" s="841">
        <f>AD366 + AD245 + AD391</f>
        <v>0</v>
      </c>
      <c r="AE293" s="841">
        <f>AE366 + AE245 + AE391</f>
        <v>0</v>
      </c>
      <c r="AF293" s="841">
        <f>AF366 + AF245 + AF391</f>
        <v>0</v>
      </c>
      <c r="AG293" s="841">
        <f>AG366 + AG245 + AG391</f>
        <v>0</v>
      </c>
      <c r="AH293" s="841">
        <f>AH366 + AH245 + AH391</f>
        <v>0</v>
      </c>
      <c r="AI293" s="841">
        <f>AI366 + AI245 + AI391</f>
        <v>0</v>
      </c>
      <c r="AJ293" s="841">
        <f>AJ366 + AJ245 + AJ391</f>
        <v>0</v>
      </c>
      <c r="AK293" s="841">
        <f>AK366 + AK245 + AK391</f>
        <v>0</v>
      </c>
      <c r="AL293" s="841">
        <f>AL366 + AL245 + AL391</f>
        <v>0</v>
      </c>
      <c r="AM293" s="841">
        <f>AM366 + AM245 + AM391</f>
        <v>0</v>
      </c>
      <c r="AN293" s="841">
        <f>AN366 + AN245 + AN391</f>
        <v>0</v>
      </c>
      <c r="AO293" s="841">
        <f>AO366 + AO245 + AO391</f>
        <v>0</v>
      </c>
      <c r="AP293" s="841">
        <f>AP366 + AP245 + AP391</f>
        <v>0</v>
      </c>
    </row>
    <row r="294" hidden="1" ht="13.5">
      <c r="B294" s="844" t="s">
        <v>26</v>
      </c>
      <c r="C294" s="839">
        <f>C367 + C246 + C392</f>
        <v>0</v>
      </c>
      <c r="D294" s="839">
        <f>D367 + D246 + D392</f>
        <v>0</v>
      </c>
      <c r="E294" s="839">
        <f>E367 + E246 + E392</f>
        <v>0</v>
      </c>
      <c r="F294" s="839">
        <f>F367 + F246 + F392</f>
        <v>0</v>
      </c>
      <c r="G294" s="839">
        <f>G367 + G246 + G392</f>
        <v>0</v>
      </c>
      <c r="H294" s="839">
        <f>H367 + H246 + H392</f>
        <v>0</v>
      </c>
      <c r="I294" s="839">
        <f>I367 + I246 + I392</f>
        <v>0</v>
      </c>
      <c r="J294" s="839">
        <f>J367 + J246 + J392</f>
        <v>0</v>
      </c>
      <c r="K294" s="839">
        <f>K367 + K246 + K392</f>
        <v>0</v>
      </c>
      <c r="L294" s="839">
        <f>L367 + L246 + L392</f>
        <v>0</v>
      </c>
      <c r="M294" s="839">
        <f>M367 + M246 + M392</f>
        <v>0</v>
      </c>
      <c r="N294" s="839">
        <f>N367 + N246 + N392</f>
        <v>0</v>
      </c>
      <c r="O294" s="839">
        <f>O367 + O246 + O392</f>
        <v>0</v>
      </c>
      <c r="P294" s="839">
        <f>P367 + P246 + P392</f>
        <v>0</v>
      </c>
      <c r="Q294" s="839">
        <f>Q367 + Q246 + Q392</f>
        <v>0</v>
      </c>
      <c r="R294" s="839">
        <f>R367 + R246 + R392</f>
        <v>0</v>
      </c>
      <c r="S294" s="839">
        <f>S367 + S246 + S392</f>
        <v>0</v>
      </c>
      <c r="T294" s="839">
        <f>T367 + T246 + T392</f>
        <v>0</v>
      </c>
      <c r="U294" s="839">
        <f>U367 + U246 + U392</f>
        <v>0</v>
      </c>
      <c r="V294" s="839">
        <f>V367 + V246 + V392</f>
        <v>0</v>
      </c>
      <c r="W294" s="839">
        <f>W367 + W246 + W392</f>
        <v>0</v>
      </c>
      <c r="X294" s="839">
        <f>X367 + X246 + X392</f>
        <v>0</v>
      </c>
      <c r="Y294" s="839">
        <f>Y367 + Y246 + Y392</f>
        <v>0</v>
      </c>
      <c r="Z294" s="839">
        <f>Z367 + Z246 + Z392</f>
        <v>0</v>
      </c>
      <c r="AA294" s="839">
        <f>AA367 + AA246 + AA392</f>
        <v>0</v>
      </c>
      <c r="AB294" s="845">
        <f>AB367 + AB246 + AB392</f>
        <v>0</v>
      </c>
      <c r="AC294" s="841">
        <f>AC367 + AC246 + AC392</f>
        <v>0</v>
      </c>
      <c r="AD294" s="841">
        <f>AD367 + AD246 + AD392</f>
        <v>0</v>
      </c>
      <c r="AE294" s="841">
        <f>AE367 + AE246 + AE392</f>
        <v>0</v>
      </c>
      <c r="AF294" s="841">
        <f>AF367 + AF246 + AF392</f>
        <v>0</v>
      </c>
      <c r="AG294" s="841">
        <f>AG367 + AG246 + AG392</f>
        <v>0</v>
      </c>
      <c r="AH294" s="841">
        <f>AH367 + AH246 + AH392</f>
        <v>0</v>
      </c>
      <c r="AI294" s="841">
        <f>AI367 + AI246 + AI392</f>
        <v>0</v>
      </c>
      <c r="AJ294" s="841">
        <f>AJ367 + AJ246 + AJ392</f>
        <v>0</v>
      </c>
      <c r="AK294" s="841">
        <f>AK367 + AK246 + AK392</f>
        <v>0</v>
      </c>
      <c r="AL294" s="841">
        <f>AL367 + AL246 + AL392</f>
        <v>0</v>
      </c>
      <c r="AM294" s="841">
        <f>AM367 + AM246 + AM392</f>
        <v>0</v>
      </c>
      <c r="AN294" s="841">
        <f>AN367 + AN246 + AN392</f>
        <v>0</v>
      </c>
      <c r="AO294" s="841">
        <f>AO367 + AO246 + AO392</f>
        <v>0</v>
      </c>
      <c r="AP294" s="841">
        <f>AP367 + AP246 + AP392</f>
        <v>0</v>
      </c>
    </row>
    <row r="295" hidden="1" ht="13.5">
      <c r="B295" s="128" t="s">
        <v>7</v>
      </c>
      <c r="C295" s="129" t="str">
        <f>IF(SUM(C276:C294)&lt;&gt;0,SUM(C276:C294),"")</f>
      </c>
      <c r="D295" s="129" t="str">
        <f ref="D295:AA295" t="shared" si="35">IF(SUM(D276:D294)&lt;&gt;0,SUM(D276:D294),"")</f>
      </c>
      <c r="E295" s="129" t="str">
        <f t="shared" si="35"/>
      </c>
      <c r="F295" s="129" t="str">
        <f t="shared" si="35"/>
      </c>
      <c r="G295" s="129" t="str">
        <f t="shared" si="35"/>
      </c>
      <c r="H295" s="129" t="str">
        <f t="shared" si="35"/>
      </c>
      <c r="I295" s="129" t="str">
        <f t="shared" si="35"/>
      </c>
      <c r="J295" s="129" t="str">
        <f t="shared" si="35"/>
      </c>
      <c r="K295" s="129" t="str">
        <f t="shared" si="35"/>
      </c>
      <c r="L295" s="129" t="str">
        <f t="shared" si="35"/>
      </c>
      <c r="M295" s="129" t="str">
        <f t="shared" si="35"/>
      </c>
      <c r="N295" s="129" t="str">
        <f t="shared" si="35"/>
      </c>
      <c r="O295" s="129" t="str">
        <f t="shared" si="35"/>
      </c>
      <c r="P295" s="129" t="str">
        <f t="shared" si="35"/>
      </c>
      <c r="Q295" s="129" t="str">
        <f t="shared" si="35"/>
      </c>
      <c r="R295" s="129" t="str">
        <f t="shared" si="35"/>
      </c>
      <c r="S295" s="129" t="str">
        <f t="shared" si="35"/>
      </c>
      <c r="T295" s="129" t="str">
        <f t="shared" si="35"/>
      </c>
      <c r="U295" s="129" t="str">
        <f t="shared" si="35"/>
      </c>
      <c r="V295" s="129" t="str">
        <f t="shared" si="35"/>
      </c>
      <c r="W295" s="129" t="str">
        <f t="shared" si="35"/>
      </c>
      <c r="X295" s="129" t="str">
        <f t="shared" si="35"/>
      </c>
      <c r="Y295" s="129" t="str">
        <f t="shared" si="35"/>
      </c>
      <c r="Z295" s="129" t="str">
        <f t="shared" si="35"/>
      </c>
      <c r="AA295" s="129" t="str">
        <f t="shared" si="35"/>
      </c>
      <c r="AB295" s="130" t="str">
        <f>IF(SUM(AB276:AB294)&lt;&gt;0,SUM(AB276:AB294),"")</f>
      </c>
      <c r="AC295" s="91" t="str">
        <f ref="AC295:CN295" t="shared" si="36">IF(SUM(AC276:AC294)&lt;&gt;0,SUM(AC276:AC294),"")</f>
      </c>
      <c r="AD295" s="91" t="str">
        <f t="shared" si="36"/>
      </c>
      <c r="AE295" s="91" t="str">
        <f t="shared" si="36"/>
      </c>
      <c r="AF295" s="91" t="str">
        <f t="shared" si="36"/>
      </c>
      <c r="AG295" s="91" t="str">
        <f t="shared" si="36"/>
      </c>
      <c r="AH295" s="91" t="str">
        <f t="shared" si="36"/>
      </c>
      <c r="AI295" s="91" t="str">
        <f t="shared" si="36"/>
      </c>
      <c r="AJ295" s="91" t="str">
        <f t="shared" si="36"/>
      </c>
      <c r="AK295" s="91" t="str">
        <f t="shared" si="36"/>
      </c>
      <c r="AL295" s="91" t="str">
        <f t="shared" si="36"/>
      </c>
      <c r="AM295" s="91" t="str">
        <f t="shared" si="36"/>
      </c>
      <c r="AN295" s="91" t="str">
        <f t="shared" si="36"/>
      </c>
      <c r="AO295" s="91" t="str">
        <f t="shared" si="36"/>
      </c>
      <c r="AP295" s="91" t="str">
        <f t="shared" si="36"/>
      </c>
      <c r="AQ295" s="91" t="str">
        <f t="shared" si="36"/>
      </c>
      <c r="AR295" s="91" t="str">
        <f t="shared" si="36"/>
      </c>
      <c r="AS295" s="91" t="str">
        <f t="shared" si="36"/>
      </c>
      <c r="AT295" s="91" t="str">
        <f t="shared" si="36"/>
      </c>
      <c r="AU295" s="91" t="str">
        <f t="shared" si="36"/>
      </c>
      <c r="AV295" s="91" t="str">
        <f t="shared" si="36"/>
      </c>
      <c r="AW295" s="91" t="str">
        <f t="shared" si="36"/>
      </c>
      <c r="AX295" s="91" t="str">
        <f t="shared" si="36"/>
      </c>
      <c r="AY295" s="91" t="str">
        <f t="shared" si="36"/>
      </c>
      <c r="AZ295" s="91" t="str">
        <f t="shared" si="36"/>
      </c>
      <c r="BA295" s="91" t="str">
        <f t="shared" si="36"/>
      </c>
      <c r="BB295" s="91" t="str">
        <f t="shared" si="36"/>
      </c>
      <c r="BC295" s="91" t="str">
        <f t="shared" si="36"/>
      </c>
      <c r="BD295" s="91" t="str">
        <f t="shared" si="36"/>
      </c>
      <c r="BE295" s="91" t="str">
        <f t="shared" si="36"/>
      </c>
      <c r="BF295" s="91" t="str">
        <f t="shared" si="36"/>
      </c>
      <c r="BG295" s="91" t="str">
        <f t="shared" si="36"/>
      </c>
      <c r="BH295" s="91" t="str">
        <f t="shared" si="36"/>
      </c>
      <c r="BI295" s="91" t="str">
        <f t="shared" si="36"/>
      </c>
      <c r="BJ295" s="91" t="str">
        <f t="shared" si="36"/>
      </c>
      <c r="BK295" s="91" t="str">
        <f t="shared" si="36"/>
      </c>
      <c r="BL295" s="91" t="str">
        <f t="shared" si="36"/>
      </c>
      <c r="BM295" s="91" t="str">
        <f t="shared" si="36"/>
      </c>
      <c r="BN295" s="91" t="str">
        <f t="shared" si="36"/>
      </c>
      <c r="BO295" s="91" t="str">
        <f t="shared" si="36"/>
      </c>
      <c r="BP295" s="91" t="str">
        <f t="shared" si="36"/>
      </c>
      <c r="BQ295" s="91" t="str">
        <f t="shared" si="36"/>
      </c>
      <c r="BR295" s="91" t="str">
        <f t="shared" si="36"/>
      </c>
      <c r="BS295" s="91" t="str">
        <f t="shared" si="36"/>
      </c>
      <c r="BT295" s="91" t="str">
        <f t="shared" si="36"/>
      </c>
      <c r="BU295" s="91" t="str">
        <f t="shared" si="36"/>
      </c>
      <c r="BV295" s="91" t="str">
        <f t="shared" si="36"/>
      </c>
      <c r="BW295" s="91" t="str">
        <f t="shared" si="36"/>
      </c>
      <c r="BX295" s="91" t="str">
        <f t="shared" si="36"/>
      </c>
      <c r="BY295" s="91" t="str">
        <f t="shared" si="36"/>
      </c>
      <c r="BZ295" s="91" t="str">
        <f t="shared" si="36"/>
      </c>
      <c r="CA295" s="91" t="str">
        <f t="shared" si="36"/>
      </c>
      <c r="CB295" s="91" t="str">
        <f t="shared" si="36"/>
      </c>
      <c r="CC295" s="91" t="str">
        <f t="shared" si="36"/>
      </c>
      <c r="CD295" s="91" t="str">
        <f t="shared" si="36"/>
      </c>
      <c r="CE295" s="91" t="str">
        <f t="shared" si="36"/>
      </c>
      <c r="CF295" s="91" t="str">
        <f t="shared" si="36"/>
      </c>
      <c r="CG295" s="91" t="str">
        <f t="shared" si="36"/>
      </c>
      <c r="CH295" s="91" t="str">
        <f t="shared" si="36"/>
      </c>
      <c r="CI295" s="91" t="str">
        <f t="shared" si="36"/>
      </c>
      <c r="CJ295" s="91" t="str">
        <f t="shared" si="36"/>
      </c>
      <c r="CK295" s="91" t="str">
        <f t="shared" si="36"/>
      </c>
      <c r="CL295" s="91" t="str">
        <f t="shared" si="36"/>
      </c>
      <c r="CM295" s="91" t="str">
        <f t="shared" si="36"/>
      </c>
      <c r="CN295" s="91" t="str">
        <f t="shared" si="36"/>
      </c>
      <c r="CO295" s="91" t="str">
        <f ref="CO295:EZ295" t="shared" si="37">IF(SUM(CO276:CO294)&lt;&gt;0,SUM(CO276:CO294),"")</f>
      </c>
      <c r="CP295" s="91" t="str">
        <f t="shared" si="37"/>
      </c>
      <c r="CQ295" s="91" t="str">
        <f t="shared" si="37"/>
      </c>
      <c r="CR295" s="91" t="str">
        <f t="shared" si="37"/>
      </c>
      <c r="CS295" s="91" t="str">
        <f t="shared" si="37"/>
      </c>
      <c r="CT295" s="91" t="str">
        <f t="shared" si="37"/>
      </c>
      <c r="CU295" s="91" t="str">
        <f t="shared" si="37"/>
      </c>
      <c r="CV295" s="91" t="str">
        <f t="shared" si="37"/>
      </c>
      <c r="CW295" s="91" t="str">
        <f t="shared" si="37"/>
      </c>
      <c r="CX295" s="91" t="str">
        <f t="shared" si="37"/>
      </c>
      <c r="CY295" s="91" t="str">
        <f t="shared" si="37"/>
      </c>
      <c r="CZ295" s="91" t="str">
        <f t="shared" si="37"/>
      </c>
      <c r="DA295" s="91" t="str">
        <f t="shared" si="37"/>
      </c>
      <c r="DB295" s="91" t="str">
        <f t="shared" si="37"/>
      </c>
      <c r="DC295" s="91" t="str">
        <f t="shared" si="37"/>
      </c>
      <c r="DD295" s="91" t="str">
        <f t="shared" si="37"/>
      </c>
      <c r="DE295" s="91" t="str">
        <f t="shared" si="37"/>
      </c>
      <c r="DF295" s="91" t="str">
        <f t="shared" si="37"/>
      </c>
      <c r="DG295" s="91" t="str">
        <f t="shared" si="37"/>
      </c>
      <c r="DH295" s="91" t="str">
        <f t="shared" si="37"/>
      </c>
      <c r="DI295" s="91" t="str">
        <f t="shared" si="37"/>
      </c>
      <c r="DJ295" s="91" t="str">
        <f t="shared" si="37"/>
      </c>
      <c r="DK295" s="91" t="str">
        <f t="shared" si="37"/>
      </c>
      <c r="DL295" s="91" t="str">
        <f t="shared" si="37"/>
      </c>
      <c r="DM295" s="91" t="str">
        <f t="shared" si="37"/>
      </c>
      <c r="DN295" s="91" t="str">
        <f t="shared" si="37"/>
      </c>
      <c r="DO295" s="91" t="str">
        <f t="shared" si="37"/>
      </c>
      <c r="DP295" s="91" t="str">
        <f t="shared" si="37"/>
      </c>
      <c r="DQ295" s="91" t="str">
        <f t="shared" si="37"/>
      </c>
      <c r="DR295" s="91" t="str">
        <f t="shared" si="37"/>
      </c>
      <c r="DS295" s="91" t="str">
        <f t="shared" si="37"/>
      </c>
      <c r="DT295" s="91" t="str">
        <f t="shared" si="37"/>
      </c>
      <c r="DU295" s="91" t="str">
        <f t="shared" si="37"/>
      </c>
      <c r="DV295" s="91" t="str">
        <f t="shared" si="37"/>
      </c>
      <c r="DW295" s="91" t="str">
        <f t="shared" si="37"/>
      </c>
      <c r="DX295" s="91" t="str">
        <f t="shared" si="37"/>
      </c>
      <c r="DY295" s="91" t="str">
        <f t="shared" si="37"/>
      </c>
      <c r="DZ295" s="91" t="str">
        <f t="shared" si="37"/>
      </c>
      <c r="EA295" s="91" t="str">
        <f t="shared" si="37"/>
      </c>
      <c r="EB295" s="91" t="str">
        <f t="shared" si="37"/>
      </c>
      <c r="EC295" s="91" t="str">
        <f t="shared" si="37"/>
      </c>
      <c r="ED295" s="91" t="str">
        <f t="shared" si="37"/>
      </c>
      <c r="EE295" s="91" t="str">
        <f t="shared" si="37"/>
      </c>
      <c r="EF295" s="91" t="str">
        <f t="shared" si="37"/>
      </c>
      <c r="EG295" s="91" t="str">
        <f t="shared" si="37"/>
      </c>
      <c r="EH295" s="91" t="str">
        <f t="shared" si="37"/>
      </c>
      <c r="EI295" s="91" t="str">
        <f t="shared" si="37"/>
      </c>
      <c r="EJ295" s="91" t="str">
        <f t="shared" si="37"/>
      </c>
      <c r="EK295" s="91" t="str">
        <f t="shared" si="37"/>
      </c>
      <c r="EL295" s="91" t="str">
        <f t="shared" si="37"/>
      </c>
      <c r="EM295" s="91" t="str">
        <f t="shared" si="37"/>
      </c>
      <c r="EN295" s="91" t="str">
        <f t="shared" si="37"/>
      </c>
      <c r="EO295" s="91" t="str">
        <f t="shared" si="37"/>
      </c>
      <c r="EP295" s="91" t="str">
        <f t="shared" si="37"/>
      </c>
      <c r="EQ295" s="91" t="str">
        <f t="shared" si="37"/>
      </c>
      <c r="ER295" s="91" t="str">
        <f t="shared" si="37"/>
      </c>
      <c r="ES295" s="91" t="str">
        <f t="shared" si="37"/>
      </c>
      <c r="ET295" s="91" t="str">
        <f t="shared" si="37"/>
      </c>
      <c r="EU295" s="91" t="str">
        <f t="shared" si="37"/>
      </c>
      <c r="EV295" s="91" t="str">
        <f t="shared" si="37"/>
      </c>
      <c r="EW295" s="91" t="str">
        <f t="shared" si="37"/>
      </c>
      <c r="EX295" s="91" t="str">
        <f t="shared" si="37"/>
      </c>
      <c r="EY295" s="91" t="str">
        <f t="shared" si="37"/>
      </c>
      <c r="EZ295" s="91" t="str">
        <f t="shared" si="37"/>
      </c>
      <c r="FA295" s="91" t="str">
        <f ref="FA295:HL295" t="shared" si="38">IF(SUM(FA276:FA294)&lt;&gt;0,SUM(FA276:FA294),"")</f>
      </c>
      <c r="FB295" s="91" t="str">
        <f t="shared" si="38"/>
      </c>
      <c r="FC295" s="91" t="str">
        <f t="shared" si="38"/>
      </c>
      <c r="FD295" s="91" t="str">
        <f t="shared" si="38"/>
      </c>
      <c r="FE295" s="91" t="str">
        <f t="shared" si="38"/>
      </c>
      <c r="FF295" s="91" t="str">
        <f t="shared" si="38"/>
      </c>
      <c r="FG295" s="91" t="str">
        <f t="shared" si="38"/>
      </c>
      <c r="FH295" s="91" t="str">
        <f t="shared" si="38"/>
      </c>
      <c r="FI295" s="91" t="str">
        <f t="shared" si="38"/>
      </c>
      <c r="FJ295" s="91" t="str">
        <f t="shared" si="38"/>
      </c>
      <c r="FK295" s="91" t="str">
        <f t="shared" si="38"/>
      </c>
      <c r="FL295" s="91" t="str">
        <f t="shared" si="38"/>
      </c>
      <c r="FM295" s="91" t="str">
        <f t="shared" si="38"/>
      </c>
      <c r="FN295" s="91" t="str">
        <f t="shared" si="38"/>
      </c>
      <c r="FO295" s="91" t="str">
        <f t="shared" si="38"/>
      </c>
      <c r="FP295" s="91" t="str">
        <f t="shared" si="38"/>
      </c>
      <c r="FQ295" s="91" t="str">
        <f t="shared" si="38"/>
      </c>
      <c r="FR295" s="91" t="str">
        <f t="shared" si="38"/>
      </c>
      <c r="FS295" s="91" t="str">
        <f t="shared" si="38"/>
      </c>
      <c r="FT295" s="91" t="str">
        <f t="shared" si="38"/>
      </c>
      <c r="FU295" s="91" t="str">
        <f t="shared" si="38"/>
      </c>
      <c r="FV295" s="91" t="str">
        <f t="shared" si="38"/>
      </c>
      <c r="FW295" s="91" t="str">
        <f t="shared" si="38"/>
      </c>
      <c r="FX295" s="91" t="str">
        <f t="shared" si="38"/>
      </c>
      <c r="FY295" s="91" t="str">
        <f t="shared" si="38"/>
      </c>
      <c r="FZ295" s="91" t="str">
        <f t="shared" si="38"/>
      </c>
      <c r="GA295" s="91" t="str">
        <f t="shared" si="38"/>
      </c>
      <c r="GB295" s="91" t="str">
        <f t="shared" si="38"/>
      </c>
      <c r="GC295" s="91" t="str">
        <f t="shared" si="38"/>
      </c>
      <c r="GD295" s="91" t="str">
        <f t="shared" si="38"/>
      </c>
      <c r="GE295" s="91" t="str">
        <f t="shared" si="38"/>
      </c>
      <c r="GF295" s="91" t="str">
        <f t="shared" si="38"/>
      </c>
      <c r="GG295" s="91" t="str">
        <f t="shared" si="38"/>
      </c>
      <c r="GH295" s="91" t="str">
        <f t="shared" si="38"/>
      </c>
      <c r="GI295" s="91" t="str">
        <f t="shared" si="38"/>
      </c>
      <c r="GJ295" s="91" t="str">
        <f t="shared" si="38"/>
      </c>
      <c r="GK295" s="91" t="str">
        <f t="shared" si="38"/>
      </c>
      <c r="GL295" s="91" t="str">
        <f t="shared" si="38"/>
      </c>
      <c r="GM295" s="91" t="str">
        <f t="shared" si="38"/>
      </c>
      <c r="GN295" s="91" t="str">
        <f t="shared" si="38"/>
      </c>
      <c r="GO295" s="91" t="str">
        <f t="shared" si="38"/>
      </c>
      <c r="GP295" s="91" t="str">
        <f t="shared" si="38"/>
      </c>
      <c r="GQ295" s="91" t="str">
        <f t="shared" si="38"/>
      </c>
      <c r="GR295" s="91" t="str">
        <f t="shared" si="38"/>
      </c>
      <c r="GS295" s="91" t="str">
        <f t="shared" si="38"/>
      </c>
      <c r="GT295" s="91" t="str">
        <f t="shared" si="38"/>
      </c>
      <c r="GU295" s="91" t="str">
        <f t="shared" si="38"/>
      </c>
      <c r="GV295" s="91" t="str">
        <f t="shared" si="38"/>
      </c>
      <c r="GW295" s="91" t="str">
        <f t="shared" si="38"/>
      </c>
      <c r="GX295" s="91" t="str">
        <f t="shared" si="38"/>
      </c>
      <c r="GY295" s="91" t="str">
        <f t="shared" si="38"/>
      </c>
      <c r="GZ295" s="91" t="str">
        <f t="shared" si="38"/>
      </c>
      <c r="HA295" s="91" t="str">
        <f t="shared" si="38"/>
      </c>
      <c r="HB295" s="91" t="str">
        <f t="shared" si="38"/>
      </c>
      <c r="HC295" s="91" t="str">
        <f t="shared" si="38"/>
      </c>
      <c r="HD295" s="91" t="str">
        <f t="shared" si="38"/>
      </c>
      <c r="HE295" s="91" t="str">
        <f t="shared" si="38"/>
      </c>
      <c r="HF295" s="91" t="str">
        <f t="shared" si="38"/>
      </c>
      <c r="HG295" s="91" t="str">
        <f t="shared" si="38"/>
      </c>
      <c r="HH295" s="91" t="str">
        <f t="shared" si="38"/>
      </c>
      <c r="HI295" s="91" t="str">
        <f t="shared" si="38"/>
      </c>
      <c r="HJ295" s="91" t="str">
        <f t="shared" si="38"/>
      </c>
      <c r="HK295" s="91" t="str">
        <f t="shared" si="38"/>
      </c>
      <c r="HL295" s="91" t="str">
        <f t="shared" si="38"/>
      </c>
      <c r="HM295" s="91" t="str">
        <f ref="HM295:IV295" t="shared" si="39">IF(SUM(HM276:HM294)&lt;&gt;0,SUM(HM276:HM294),"")</f>
      </c>
      <c r="HN295" s="91" t="str">
        <f t="shared" si="39"/>
      </c>
      <c r="HO295" s="91" t="str">
        <f t="shared" si="39"/>
      </c>
      <c r="HP295" s="91" t="str">
        <f t="shared" si="39"/>
      </c>
      <c r="HQ295" s="91" t="str">
        <f t="shared" si="39"/>
      </c>
      <c r="HR295" s="91" t="str">
        <f t="shared" si="39"/>
      </c>
      <c r="HS295" s="91" t="str">
        <f t="shared" si="39"/>
      </c>
      <c r="HT295" s="91" t="str">
        <f t="shared" si="39"/>
      </c>
      <c r="HU295" s="91" t="str">
        <f t="shared" si="39"/>
      </c>
      <c r="HV295" s="91" t="str">
        <f t="shared" si="39"/>
      </c>
      <c r="HW295" s="91" t="str">
        <f t="shared" si="39"/>
      </c>
      <c r="HX295" s="91" t="str">
        <f t="shared" si="39"/>
      </c>
      <c r="HY295" s="91" t="str">
        <f t="shared" si="39"/>
      </c>
      <c r="HZ295" s="91" t="str">
        <f t="shared" si="39"/>
      </c>
      <c r="IA295" s="91" t="str">
        <f t="shared" si="39"/>
      </c>
      <c r="IB295" s="91" t="str">
        <f t="shared" si="39"/>
      </c>
      <c r="IC295" s="91" t="str">
        <f t="shared" si="39"/>
      </c>
      <c r="ID295" s="91" t="str">
        <f t="shared" si="39"/>
      </c>
      <c r="IE295" s="91" t="str">
        <f t="shared" si="39"/>
      </c>
      <c r="IF295" s="91" t="str">
        <f t="shared" si="39"/>
      </c>
      <c r="IG295" s="91" t="str">
        <f t="shared" si="39"/>
      </c>
      <c r="IH295" s="91" t="str">
        <f t="shared" si="39"/>
      </c>
      <c r="II295" s="91" t="str">
        <f t="shared" si="39"/>
      </c>
      <c r="IJ295" s="91" t="str">
        <f t="shared" si="39"/>
      </c>
      <c r="IK295" s="91" t="str">
        <f t="shared" si="39"/>
      </c>
      <c r="IL295" s="91" t="str">
        <f t="shared" si="39"/>
      </c>
      <c r="IM295" s="91" t="str">
        <f t="shared" si="39"/>
      </c>
      <c r="IN295" s="91" t="str">
        <f t="shared" si="39"/>
      </c>
      <c r="IO295" s="91" t="str">
        <f t="shared" si="39"/>
      </c>
      <c r="IP295" s="91" t="str">
        <f t="shared" si="39"/>
      </c>
      <c r="IQ295" s="91" t="str">
        <f t="shared" si="39"/>
      </c>
      <c r="IR295" s="91" t="str">
        <f t="shared" si="39"/>
      </c>
      <c r="IS295" s="91" t="str">
        <f t="shared" si="39"/>
      </c>
      <c r="IT295" s="91" t="str">
        <f t="shared" si="39"/>
      </c>
      <c r="IU295" s="91" t="str">
        <f t="shared" si="39"/>
      </c>
      <c r="IV295" s="91" t="str">
        <f t="shared" si="39"/>
      </c>
    </row>
    <row r="296" hidden="1"/>
    <row r="297" hidden="1" ht="13.5"/>
    <row r="298" hidden="1" ht="15.75" customHeight="1">
      <c r="C298" s="686" t="s">
        <v>118</v>
      </c>
      <c r="D298" s="687"/>
      <c r="E298" s="687"/>
      <c r="F298" s="687"/>
      <c r="G298" s="687"/>
      <c r="H298" s="687"/>
      <c r="I298" s="687"/>
      <c r="J298" s="687"/>
      <c r="K298" s="687"/>
      <c r="L298" s="687"/>
      <c r="M298" s="687"/>
      <c r="N298" s="687"/>
      <c r="O298" s="687"/>
      <c r="P298" s="687"/>
      <c r="Q298" s="687"/>
      <c r="R298" s="687"/>
      <c r="S298" s="687"/>
      <c r="T298" s="687"/>
      <c r="U298" s="687"/>
      <c r="V298" s="687"/>
      <c r="W298" s="687"/>
      <c r="X298" s="687"/>
      <c r="Y298" s="687"/>
      <c r="Z298" s="687"/>
      <c r="AA298" s="687"/>
      <c r="AB298" s="688"/>
    </row>
    <row r="299" hidden="1" ht="13.5">
      <c r="C299" s="435" t="str">
        <f> IF(C319&lt;&gt;"",TEXT(AUX!G$1,"dd-MMM-aa"),"")</f>
      </c>
      <c r="D299" s="435" t="str">
        <f> IF(D319&lt;&gt;"",TEXT(AUX!H$1,"dd-MMM-aa"),"")</f>
      </c>
      <c r="E299" s="435" t="str">
        <f> IF(E319&lt;&gt;"",TEXT(AUX!I$1,"dd-MMM-aa"),"")</f>
      </c>
      <c r="F299" s="435" t="str">
        <f> IF(F319&lt;&gt;"",TEXT(AUX!J$1,"dd-MMM-aa"),"")</f>
      </c>
      <c r="G299" s="435" t="str">
        <f> IF(G319&lt;&gt;"",TEXT(AUX!K$1,"dd-MMM-aa"),"")</f>
      </c>
      <c r="H299" s="435" t="str">
        <f> IF(H319&lt;&gt;"",TEXT(AUX!L$1,"dd-MMM-aa"),"")</f>
      </c>
      <c r="I299" s="435" t="str">
        <f> IF(I319&lt;&gt;"",TEXT(AUX!M$1,"dd-MMM-aa"),"")</f>
      </c>
      <c r="J299" s="435" t="str">
        <f> IF(J319&lt;&gt;"",TEXT(AUX!N$1,"dd-MMM-aa"),"")</f>
      </c>
      <c r="K299" s="435" t="str">
        <f> IF(K319&lt;&gt;"",TEXT(AUX!O$1,"dd-MMM-aa"),"")</f>
      </c>
      <c r="L299" s="435" t="str">
        <f> IF(L319&lt;&gt;"",TEXT(AUX!P$1,"dd-MMM-aa"),"")</f>
      </c>
      <c r="M299" s="435" t="str">
        <f> IF(M319&lt;&gt;"",TEXT(AUX!Q$1,"dd-MMM-aa"),"")</f>
      </c>
      <c r="N299" s="435" t="str">
        <f> IF(N319&lt;&gt;"",TEXT(AUX!R$1,"dd-MMM-aa"),"")</f>
      </c>
      <c r="O299" s="435" t="str">
        <f> IF(O319&lt;&gt;"",TEXT(AUX!S$1,"dd-MMM-aa"),"")</f>
      </c>
      <c r="P299" s="435" t="str">
        <f> IF(P319&lt;&gt;"",TEXT(AUX!T$1,"dd-MMM-aa"),"")</f>
      </c>
      <c r="Q299" s="435" t="str">
        <f> IF(Q319&lt;&gt;"",TEXT(AUX!U$1,"dd-MMM-aa"),"")</f>
      </c>
      <c r="R299" s="435" t="str">
        <f> IF(R319&lt;&gt;"",TEXT(AUX!V$1,"dd-MMM-aa"),"")</f>
      </c>
      <c r="S299" s="435" t="str">
        <f> IF(S319&lt;&gt;"",TEXT(AUX!W$1,"dd-MMM-aa"),"")</f>
      </c>
      <c r="T299" s="435" t="str">
        <f> IF(T319&lt;&gt;"",TEXT(AUX!X$1,"dd-MMM-aa"),"")</f>
      </c>
      <c r="U299" s="435" t="str">
        <f> IF(U319&lt;&gt;"",TEXT(AUX!Y$1,"dd-MMM-aa"),"")</f>
      </c>
      <c r="V299" s="435" t="str">
        <f> IF(V319&lt;&gt;"",TEXT(AUX!Z$1,"dd-MMM-aa"),"")</f>
      </c>
      <c r="W299" s="435" t="str">
        <f> IF(W319&lt;&gt;"",TEXT(AUX!AA$1,"dd-MMM-aa"),"")</f>
      </c>
      <c r="X299" s="435" t="str">
        <f> IF(X319&lt;&gt;"",TEXT(AUX!AB$1,"dd-MMM-aa"),"")</f>
      </c>
      <c r="Y299" s="435" t="str">
        <f> IF(Y319&lt;&gt;"",TEXT(AUX!AC$1,"dd-MMM-aa"),"")</f>
      </c>
      <c r="Z299" s="435" t="str">
        <f> IF(Z319&lt;&gt;"",TEXT(AUX!AD$1,"dd-MMM-aa"),"")</f>
      </c>
      <c r="AA299" s="435" t="str">
        <f> IF(AA319&lt;&gt;"",TEXT(AUX!AE$1,"dd-MMM-aa"),"")</f>
      </c>
      <c r="AB299" s="497" t="str">
        <f> IF(AB319&lt;&gt;"",TEXT(AUX!AF$1,"dd-MMM-aa"),"")</f>
      </c>
      <c r="AC299" s="496" t="str">
        <f> IF(AC319&lt;&gt;"",TEXT(AUX!AG$1,"dd-MMM-aa"),"")</f>
      </c>
      <c r="AD299" s="496" t="str">
        <f> IF(AD319&lt;&gt;"",TEXT(AUX!AH$1,"dd-MMM-aa"),"")</f>
      </c>
      <c r="AE299" s="496" t="str">
        <f> IF(AE319&lt;&gt;"",TEXT(AUX!AI$1,"dd-MMM-aa"),"")</f>
      </c>
      <c r="AF299" s="496" t="str">
        <f> IF(AF319&lt;&gt;"",TEXT(AUX!AJ$1,"dd-MMM-aa"),"")</f>
      </c>
      <c r="AG299" s="496" t="str">
        <f> IF(AG319&lt;&gt;"",TEXT(AUX!AK$1,"dd-MMM-aa"),"")</f>
      </c>
      <c r="AH299" s="496" t="str">
        <f> IF(AH319&lt;&gt;"",TEXT(AUX!AL$1,"dd-MMM-aa"),"")</f>
      </c>
      <c r="AI299" s="496" t="str">
        <f> IF(AI319&lt;&gt;"",TEXT(AUX!AM$1,"dd-MMM-aa"),"")</f>
      </c>
      <c r="AJ299" s="496" t="str">
        <f> IF(AJ319&lt;&gt;"",TEXT(AUX!AN$1,"dd-MMM-aa"),"")</f>
      </c>
      <c r="AK299" s="496" t="str">
        <f> IF(AK319&lt;&gt;"",TEXT(AUX!AO$1,"dd-MMM-aa"),"")</f>
      </c>
      <c r="AL299" s="496" t="str">
        <f> IF(AL319&lt;&gt;"",TEXT(AUX!AP$1,"dd-MMM-aa"),"")</f>
      </c>
      <c r="AM299" s="496" t="str">
        <f> IF(AM319&lt;&gt;"",TEXT(AUX!AQ$1,"dd-MMM-aa"),"")</f>
      </c>
      <c r="AN299" s="496" t="str">
        <f> IF(AN319&lt;&gt;"",TEXT(AUX!AR$1,"dd-MMM-aa"),"")</f>
      </c>
      <c r="AO299" s="496" t="str">
        <f> IF(AO319&lt;&gt;"",TEXT(AUX!AS$1,"dd-MMM-aa"),"")</f>
      </c>
      <c r="AP299" s="496" t="str">
        <f> IF(AP319&lt;&gt;"",TEXT(AUX!AT$1,"dd-MMM-aa"),"")</f>
      </c>
      <c r="AQ299" s="496" t="str">
        <f> IF(AQ319&lt;&gt;"",TEXT(AUX!AU$1,"dd-MMM-aa"),"")</f>
      </c>
      <c r="AR299" s="496" t="str">
        <f> IF(AR319&lt;&gt;"",TEXT(AUX!AV$1,"dd-MMM-aa"),"")</f>
      </c>
      <c r="AS299" s="496" t="str">
        <f> IF(AS319&lt;&gt;"",TEXT(AUX!AW$1,"dd-MMM-aa"),"")</f>
      </c>
      <c r="AT299" s="496" t="str">
        <f> IF(AT319&lt;&gt;"",TEXT(AUX!AX$1,"dd-MMM-aa"),"")</f>
      </c>
      <c r="AU299" s="496" t="str">
        <f> IF(AU319&lt;&gt;"",TEXT(AUX!AY$1,"dd-MMM-aa"),"")</f>
      </c>
      <c r="AV299" s="496" t="str">
        <f> IF(AV319&lt;&gt;"",TEXT(AUX!AZ$1,"dd-MMM-aa"),"")</f>
      </c>
      <c r="AW299" s="496" t="str">
        <f> IF(AW319&lt;&gt;"",TEXT(AUX!BA$1,"dd-MMM-aa"),"")</f>
      </c>
      <c r="AX299" s="496" t="str">
        <f> IF(AX319&lt;&gt;"",TEXT(AUX!BB$1,"dd-MMM-aa"),"")</f>
      </c>
      <c r="AY299" s="496" t="str">
        <f> IF(AY319&lt;&gt;"",TEXT(AUX!BC$1,"dd-MMM-aa"),"")</f>
      </c>
      <c r="AZ299" s="496" t="str">
        <f> IF(AZ319&lt;&gt;"",TEXT(AUX!BD$1,"dd-MMM-aa"),"")</f>
      </c>
      <c r="BA299" s="496" t="str">
        <f> IF(BA319&lt;&gt;"",TEXT(AUX!BE$1,"dd-MMM-aa"),"")</f>
      </c>
      <c r="BB299" s="496" t="str">
        <f> IF(BB319&lt;&gt;"",TEXT(AUX!BF$1,"dd-MMM-aa"),"")</f>
      </c>
      <c r="BC299" s="496" t="str">
        <f> IF(BC319&lt;&gt;"",TEXT(AUX!BG$1,"dd-MMM-aa"),"")</f>
      </c>
      <c r="BD299" s="496" t="str">
        <f> IF(BD319&lt;&gt;"",TEXT(AUX!BH$1,"dd-MMM-aa"),"")</f>
      </c>
      <c r="BE299" s="496" t="str">
        <f> IF(BE319&lt;&gt;"",TEXT(AUX!BI$1,"dd-MMM-aa"),"")</f>
      </c>
      <c r="BF299" s="496" t="str">
        <f> IF(BF319&lt;&gt;"",TEXT(AUX!BJ$1,"dd-MMM-aa"),"")</f>
      </c>
      <c r="BG299" s="496" t="str">
        <f> IF(BG319&lt;&gt;"",TEXT(AUX!BK$1,"dd-MMM-aa"),"")</f>
      </c>
      <c r="BH299" s="496" t="str">
        <f> IF(BH319&lt;&gt;"",TEXT(AUX!BL$1,"dd-MMM-aa"),"")</f>
      </c>
      <c r="BI299" s="496" t="str">
        <f> IF(BI319&lt;&gt;"",TEXT(AUX!BM$1,"dd-MMM-aa"),"")</f>
      </c>
      <c r="BJ299" s="496" t="str">
        <f> IF(BJ319&lt;&gt;"",TEXT(AUX!BN$1,"dd-MMM-aa"),"")</f>
      </c>
      <c r="BK299" s="496" t="str">
        <f> IF(BK319&lt;&gt;"",TEXT(AUX!BO$1,"dd-MMM-aa"),"")</f>
      </c>
      <c r="BL299" s="496" t="str">
        <f> IF(BL319&lt;&gt;"",TEXT(AUX!BP$1,"dd-MMM-aa"),"")</f>
      </c>
      <c r="BM299" s="496" t="str">
        <f> IF(BM319&lt;&gt;"",TEXT(AUX!BQ$1,"dd-MMM-aa"),"")</f>
      </c>
      <c r="BN299" s="496" t="str">
        <f> IF(BN319&lt;&gt;"",TEXT(AUX!BR$1,"dd-MMM-aa"),"")</f>
      </c>
      <c r="BO299" s="496" t="str">
        <f> IF(BO319&lt;&gt;"",TEXT(AUX!BS$1,"dd-MMM-aa"),"")</f>
      </c>
      <c r="BP299" s="496" t="str">
        <f> IF(BP319&lt;&gt;"",TEXT(AUX!BT$1,"dd-MMM-aa"),"")</f>
      </c>
      <c r="BQ299" s="496" t="str">
        <f> IF(BQ319&lt;&gt;"",TEXT(AUX!BU$1,"dd-MMM-aa"),"")</f>
      </c>
      <c r="BR299" s="496" t="str">
        <f> IF(BR319&lt;&gt;"",TEXT(AUX!BV$1,"dd-MMM-aa"),"")</f>
      </c>
      <c r="BS299" s="496" t="str">
        <f> IF(BS319&lt;&gt;"",TEXT(AUX!BW$1,"dd-MMM-aa"),"")</f>
      </c>
      <c r="BT299" s="496" t="str">
        <f> IF(BT319&lt;&gt;"",TEXT(AUX!BX$1,"dd-MMM-aa"),"")</f>
      </c>
      <c r="BU299" s="496" t="str">
        <f> IF(BU319&lt;&gt;"",TEXT(AUX!BY$1,"dd-MMM-aa"),"")</f>
      </c>
      <c r="BV299" s="496" t="str">
        <f> IF(BV319&lt;&gt;"",TEXT(AUX!BZ$1,"dd-MMM-aa"),"")</f>
      </c>
      <c r="BW299" s="496" t="str">
        <f> IF(BW319&lt;&gt;"",TEXT(AUX!CA$1,"dd-MMM-aa"),"")</f>
      </c>
      <c r="BX299" s="496" t="str">
        <f> IF(BX319&lt;&gt;"",TEXT(AUX!CB$1,"dd-MMM-aa"),"")</f>
      </c>
      <c r="BY299" s="496" t="str">
        <f> IF(BY319&lt;&gt;"",TEXT(AUX!CC$1,"dd-MMM-aa"),"")</f>
      </c>
      <c r="BZ299" s="496" t="str">
        <f> IF(BZ319&lt;&gt;"",TEXT(AUX!CD$1,"dd-MMM-aa"),"")</f>
      </c>
      <c r="CA299" s="496" t="str">
        <f> IF(CA319&lt;&gt;"",TEXT(AUX!CE$1,"dd-MMM-aa"),"")</f>
      </c>
      <c r="CB299" s="496" t="str">
        <f> IF(CB319&lt;&gt;"",TEXT(AUX!CF$1,"dd-MMM-aa"),"")</f>
      </c>
      <c r="CC299" s="496" t="str">
        <f> IF(CC319&lt;&gt;"",TEXT(AUX!CG$1,"dd-MMM-aa"),"")</f>
      </c>
      <c r="CD299" s="496" t="str">
        <f> IF(CD319&lt;&gt;"",TEXT(AUX!CH$1,"dd-MMM-aa"),"")</f>
      </c>
      <c r="CE299" s="496" t="str">
        <f> IF(CE319&lt;&gt;"",TEXT(AUX!CI$1,"dd-MMM-aa"),"")</f>
      </c>
      <c r="CF299" s="496" t="str">
        <f> IF(CF319&lt;&gt;"",TEXT(AUX!CJ$1,"dd-MMM-aa"),"")</f>
      </c>
      <c r="CG299" s="496" t="str">
        <f> IF(CG319&lt;&gt;"",TEXT(AUX!CK$1,"dd-MMM-aa"),"")</f>
      </c>
      <c r="CH299" s="496" t="str">
        <f> IF(CH319&lt;&gt;"",TEXT(AUX!CL$1,"dd-MMM-aa"),"")</f>
      </c>
      <c r="CI299" s="496" t="str">
        <f> IF(CI319&lt;&gt;"",TEXT(AUX!CM$1,"dd-MMM-aa"),"")</f>
      </c>
      <c r="CJ299" s="496" t="str">
        <f> IF(CJ319&lt;&gt;"",TEXT(AUX!CN$1,"dd-MMM-aa"),"")</f>
      </c>
      <c r="CK299" s="496" t="str">
        <f> IF(CK319&lt;&gt;"",TEXT(AUX!CO$1,"dd-MMM-aa"),"")</f>
      </c>
      <c r="CL299" s="496" t="str">
        <f> IF(CL319&lt;&gt;"",TEXT(AUX!CP$1,"dd-MMM-aa"),"")</f>
      </c>
      <c r="CM299" s="496" t="str">
        <f> IF(CM319&lt;&gt;"",TEXT(AUX!CQ$1,"dd-MMM-aa"),"")</f>
      </c>
      <c r="CN299" s="496" t="str">
        <f> IF(CN319&lt;&gt;"",TEXT(AUX!CR$1,"dd-MMM-aa"),"")</f>
      </c>
      <c r="CO299" s="496" t="str">
        <f> IF(CO319&lt;&gt;"",TEXT(AUX!CS$1,"dd-MMM-aa"),"")</f>
      </c>
      <c r="CP299" s="496" t="str">
        <f> IF(CP319&lt;&gt;"",TEXT(AUX!CT$1,"dd-MMM-aa"),"")</f>
      </c>
      <c r="CQ299" s="496" t="str">
        <f> IF(CQ319&lt;&gt;"",TEXT(AUX!CU$1,"dd-MMM-aa"),"")</f>
      </c>
      <c r="CR299" s="496" t="str">
        <f> IF(CR319&lt;&gt;"",TEXT(AUX!CV$1,"dd-MMM-aa"),"")</f>
      </c>
      <c r="CS299" s="496" t="str">
        <f> IF(CS319&lt;&gt;"",TEXT(AUX!CW$1,"dd-MMM-aa"),"")</f>
      </c>
      <c r="CT299" s="496" t="str">
        <f> IF(CT319&lt;&gt;"",TEXT(AUX!CX$1,"dd-MMM-aa"),"")</f>
      </c>
      <c r="CU299" s="496" t="str">
        <f> IF(CU319&lt;&gt;"",TEXT(AUX!CY$1,"dd-MMM-aa"),"")</f>
      </c>
      <c r="CV299" s="496" t="str">
        <f> IF(CV319&lt;&gt;"",TEXT(AUX!CZ$1,"dd-MMM-aa"),"")</f>
      </c>
      <c r="CW299" s="496" t="str">
        <f> IF(CW319&lt;&gt;"",TEXT(AUX!DA$1,"dd-MMM-aa"),"")</f>
      </c>
      <c r="CX299" s="496" t="str">
        <f> IF(CX319&lt;&gt;"",TEXT(AUX!DB$1,"dd-MMM-aa"),"")</f>
      </c>
      <c r="CY299" s="496" t="str">
        <f> IF(CY319&lt;&gt;"",TEXT(AUX!DC$1,"dd-MMM-aa"),"")</f>
      </c>
      <c r="CZ299" s="496" t="str">
        <f> IF(CZ319&lt;&gt;"",TEXT(AUX!DD$1,"dd-MMM-aa"),"")</f>
      </c>
      <c r="DA299" s="496" t="str">
        <f> IF(DA319&lt;&gt;"",TEXT(AUX!DE$1,"dd-MMM-aa"),"")</f>
      </c>
      <c r="DB299" s="496" t="str">
        <f> IF(DB319&lt;&gt;"",TEXT(AUX!DF$1,"dd-MMM-aa"),"")</f>
      </c>
      <c r="DC299" s="496" t="str">
        <f> IF(DC319&lt;&gt;"",TEXT(AUX!DG$1,"dd-MMM-aa"),"")</f>
      </c>
      <c r="DD299" s="496" t="str">
        <f> IF(DD319&lt;&gt;"",TEXT(AUX!DH$1,"dd-MMM-aa"),"")</f>
      </c>
      <c r="DE299" s="496" t="str">
        <f> IF(DE319&lt;&gt;"",TEXT(AUX!DI$1,"dd-MMM-aa"),"")</f>
      </c>
      <c r="DF299" s="496" t="str">
        <f> IF(DF319&lt;&gt;"",TEXT(AUX!DJ$1,"dd-MMM-aa"),"")</f>
      </c>
      <c r="DG299" s="496" t="str">
        <f> IF(DG319&lt;&gt;"",TEXT(AUX!DK$1,"dd-MMM-aa"),"")</f>
      </c>
      <c r="DH299" s="496" t="str">
        <f> IF(DH319&lt;&gt;"",TEXT(AUX!DL$1,"dd-MMM-aa"),"")</f>
      </c>
      <c r="DI299" s="496" t="str">
        <f> IF(DI319&lt;&gt;"",TEXT(AUX!DM$1,"dd-MMM-aa"),"")</f>
      </c>
      <c r="DJ299" s="496" t="str">
        <f> IF(DJ319&lt;&gt;"",TEXT(AUX!DN$1,"dd-MMM-aa"),"")</f>
      </c>
      <c r="DK299" s="496" t="str">
        <f> IF(DK319&lt;&gt;"",TEXT(AUX!DO$1,"dd-MMM-aa"),"")</f>
      </c>
      <c r="DL299" s="496" t="str">
        <f> IF(DL319&lt;&gt;"",TEXT(AUX!DP$1,"dd-MMM-aa"),"")</f>
      </c>
      <c r="DM299" s="496" t="str">
        <f> IF(DM319&lt;&gt;"",TEXT(AUX!DQ$1,"dd-MMM-aa"),"")</f>
      </c>
      <c r="DN299" s="496" t="str">
        <f> IF(DN319&lt;&gt;"",TEXT(AUX!DR$1,"dd-MMM-aa"),"")</f>
      </c>
      <c r="DO299" s="496" t="str">
        <f> IF(DO319&lt;&gt;"",TEXT(AUX!DS$1,"dd-MMM-aa"),"")</f>
      </c>
      <c r="DP299" s="496" t="str">
        <f> IF(DP319&lt;&gt;"",TEXT(AUX!DT$1,"dd-MMM-aa"),"")</f>
      </c>
      <c r="DQ299" s="496" t="str">
        <f> IF(DQ319&lt;&gt;"",TEXT(AUX!DU$1,"dd-MMM-aa"),"")</f>
      </c>
      <c r="DR299" s="496" t="str">
        <f> IF(DR319&lt;&gt;"",TEXT(AUX!DV$1,"dd-MMM-aa"),"")</f>
      </c>
      <c r="DS299" s="496" t="str">
        <f> IF(DS319&lt;&gt;"",TEXT(AUX!DW$1,"dd-MMM-aa"),"")</f>
      </c>
      <c r="DT299" s="496" t="str">
        <f> IF(DT319&lt;&gt;"",TEXT(AUX!DX$1,"dd-MMM-aa"),"")</f>
      </c>
      <c r="DU299" s="496" t="str">
        <f> IF(DU319&lt;&gt;"",TEXT(AUX!DY$1,"dd-MMM-aa"),"")</f>
      </c>
      <c r="DV299" s="496" t="str">
        <f> IF(DV319&lt;&gt;"",TEXT(AUX!DZ$1,"dd-MMM-aa"),"")</f>
      </c>
      <c r="DW299" s="496" t="str">
        <f> IF(DW319&lt;&gt;"",TEXT(AUX!EA$1,"dd-MMM-aa"),"")</f>
      </c>
      <c r="DX299" s="496" t="str">
        <f> IF(DX319&lt;&gt;"",TEXT(AUX!EB$1,"dd-MMM-aa"),"")</f>
      </c>
      <c r="DY299" s="496" t="str">
        <f> IF(DY319&lt;&gt;"",TEXT(AUX!EC$1,"dd-MMM-aa"),"")</f>
      </c>
      <c r="DZ299" s="496" t="str">
        <f> IF(DZ319&lt;&gt;"",TEXT(AUX!ED$1,"dd-MMM-aa"),"")</f>
      </c>
      <c r="EA299" s="496" t="str">
        <f> IF(EA319&lt;&gt;"",TEXT(AUX!EE$1,"dd-MMM-aa"),"")</f>
      </c>
      <c r="EB299" s="496" t="str">
        <f> IF(EB319&lt;&gt;"",TEXT(AUX!EF$1,"dd-MMM-aa"),"")</f>
      </c>
      <c r="EC299" s="496" t="str">
        <f> IF(EC319&lt;&gt;"",TEXT(AUX!EG$1,"dd-MMM-aa"),"")</f>
      </c>
      <c r="ED299" s="496" t="str">
        <f> IF(ED319&lt;&gt;"",TEXT(AUX!EH$1,"dd-MMM-aa"),"")</f>
      </c>
      <c r="EE299" s="496" t="str">
        <f> IF(EE319&lt;&gt;"",TEXT(AUX!EI$1,"dd-MMM-aa"),"")</f>
      </c>
      <c r="EF299" s="496" t="str">
        <f> IF(EF319&lt;&gt;"",TEXT(AUX!EJ$1,"dd-MMM-aa"),"")</f>
      </c>
      <c r="EG299" s="496" t="str">
        <f> IF(EG319&lt;&gt;"",TEXT(AUX!EK$1,"dd-MMM-aa"),"")</f>
      </c>
      <c r="EH299" s="496" t="str">
        <f> IF(EH319&lt;&gt;"",TEXT(AUX!EL$1,"dd-MMM-aa"),"")</f>
      </c>
      <c r="EI299" s="496" t="str">
        <f> IF(EI319&lt;&gt;"",TEXT(AUX!EM$1,"dd-MMM-aa"),"")</f>
      </c>
      <c r="EJ299" s="496" t="str">
        <f> IF(EJ319&lt;&gt;"",TEXT(AUX!EN$1,"dd-MMM-aa"),"")</f>
      </c>
      <c r="EK299" s="496" t="str">
        <f> IF(EK319&lt;&gt;"",TEXT(AUX!EO$1,"dd-MMM-aa"),"")</f>
      </c>
      <c r="EL299" s="496" t="str">
        <f> IF(EL319&lt;&gt;"",TEXT(AUX!EP$1,"dd-MMM-aa"),"")</f>
      </c>
      <c r="EM299" s="496" t="str">
        <f> IF(EM319&lt;&gt;"",TEXT(AUX!EQ$1,"dd-MMM-aa"),"")</f>
      </c>
      <c r="EN299" s="496" t="str">
        <f> IF(EN319&lt;&gt;"",TEXT(AUX!ER$1,"dd-MMM-aa"),"")</f>
      </c>
      <c r="EO299" s="496" t="str">
        <f> IF(EO319&lt;&gt;"",TEXT(AUX!ES$1,"dd-MMM-aa"),"")</f>
      </c>
      <c r="EP299" s="496" t="str">
        <f> IF(EP319&lt;&gt;"",TEXT(AUX!ET$1,"dd-MMM-aa"),"")</f>
      </c>
      <c r="EQ299" s="496" t="str">
        <f> IF(EQ319&lt;&gt;"",TEXT(AUX!EU$1,"dd-MMM-aa"),"")</f>
      </c>
      <c r="ER299" s="496" t="str">
        <f> IF(ER319&lt;&gt;"",TEXT(AUX!EV$1,"dd-MMM-aa"),"")</f>
      </c>
      <c r="ES299" s="496" t="str">
        <f> IF(ES319&lt;&gt;"",TEXT(AUX!EW$1,"dd-MMM-aa"),"")</f>
      </c>
      <c r="ET299" s="496" t="str">
        <f> IF(ET319&lt;&gt;"",TEXT(AUX!EX$1,"dd-MMM-aa"),"")</f>
      </c>
      <c r="EU299" s="496" t="str">
        <f> IF(EU319&lt;&gt;"",TEXT(AUX!EY$1,"dd-MMM-aa"),"")</f>
      </c>
      <c r="EV299" s="496" t="str">
        <f> IF(EV319&lt;&gt;"",TEXT(AUX!EZ$1,"dd-MMM-aa"),"")</f>
      </c>
      <c r="EW299" s="496" t="str">
        <f> IF(EW319&lt;&gt;"",TEXT(AUX!FA$1,"dd-MMM-aa"),"")</f>
      </c>
      <c r="EX299" s="496" t="str">
        <f> IF(EX319&lt;&gt;"",TEXT(AUX!FB$1,"dd-MMM-aa"),"")</f>
      </c>
      <c r="EY299" s="496" t="str">
        <f> IF(EY319&lt;&gt;"",TEXT(AUX!FC$1,"dd-MMM-aa"),"")</f>
      </c>
      <c r="EZ299" s="496" t="str">
        <f> IF(EZ319&lt;&gt;"",TEXT(AUX!FD$1,"dd-MMM-aa"),"")</f>
      </c>
      <c r="FA299" s="496" t="str">
        <f> IF(FA319&lt;&gt;"",TEXT(AUX!FE$1,"dd-MMM-aa"),"")</f>
      </c>
      <c r="FB299" s="496" t="str">
        <f> IF(FB319&lt;&gt;"",TEXT(AUX!FF$1,"dd-MMM-aa"),"")</f>
      </c>
      <c r="FC299" s="496" t="str">
        <f> IF(FC319&lt;&gt;"",TEXT(AUX!FG$1,"dd-MMM-aa"),"")</f>
      </c>
      <c r="FD299" s="496" t="str">
        <f> IF(FD319&lt;&gt;"",TEXT(AUX!FH$1,"dd-MMM-aa"),"")</f>
      </c>
      <c r="FE299" s="496" t="str">
        <f> IF(FE319&lt;&gt;"",TEXT(AUX!FI$1,"dd-MMM-aa"),"")</f>
      </c>
      <c r="FF299" s="496" t="str">
        <f> IF(FF319&lt;&gt;"",TEXT(AUX!FJ$1,"dd-MMM-aa"),"")</f>
      </c>
      <c r="FG299" s="496" t="str">
        <f> IF(FG319&lt;&gt;"",TEXT(AUX!FK$1,"dd-MMM-aa"),"")</f>
      </c>
      <c r="FH299" s="496" t="str">
        <f> IF(FH319&lt;&gt;"",TEXT(AUX!FL$1,"dd-MMM-aa"),"")</f>
      </c>
      <c r="FI299" s="496" t="str">
        <f> IF(FI319&lt;&gt;"",TEXT(AUX!FM$1,"dd-MMM-aa"),"")</f>
      </c>
      <c r="FJ299" s="496" t="str">
        <f> IF(FJ319&lt;&gt;"",TEXT(AUX!FN$1,"dd-MMM-aa"),"")</f>
      </c>
      <c r="FK299" s="496" t="str">
        <f> IF(FK319&lt;&gt;"",TEXT(AUX!FO$1,"dd-MMM-aa"),"")</f>
      </c>
      <c r="FL299" s="496" t="str">
        <f> IF(FL319&lt;&gt;"",TEXT(AUX!FP$1,"dd-MMM-aa"),"")</f>
      </c>
      <c r="FM299" s="496" t="str">
        <f> IF(FM319&lt;&gt;"",TEXT(AUX!FQ$1,"dd-MMM-aa"),"")</f>
      </c>
      <c r="FN299" s="496" t="str">
        <f> IF(FN319&lt;&gt;"",TEXT(AUX!FR$1,"dd-MMM-aa"),"")</f>
      </c>
      <c r="FO299" s="496" t="str">
        <f> IF(FO319&lt;&gt;"",TEXT(AUX!FS$1,"dd-MMM-aa"),"")</f>
      </c>
      <c r="FP299" s="496" t="str">
        <f> IF(FP319&lt;&gt;"",TEXT(AUX!FT$1,"dd-MMM-aa"),"")</f>
      </c>
      <c r="FQ299" s="496" t="str">
        <f> IF(FQ319&lt;&gt;"",TEXT(AUX!FU$1,"dd-MMM-aa"),"")</f>
      </c>
      <c r="FR299" s="496" t="str">
        <f> IF(FR319&lt;&gt;"",TEXT(AUX!FV$1,"dd-MMM-aa"),"")</f>
      </c>
      <c r="FS299" s="496" t="str">
        <f> IF(FS319&lt;&gt;"",TEXT(AUX!FW$1,"dd-MMM-aa"),"")</f>
      </c>
      <c r="FT299" s="496" t="str">
        <f> IF(FT319&lt;&gt;"",TEXT(AUX!FX$1,"dd-MMM-aa"),"")</f>
      </c>
      <c r="FU299" s="496" t="str">
        <f> IF(FU319&lt;&gt;"",TEXT(AUX!FY$1,"dd-MMM-aa"),"")</f>
      </c>
      <c r="FV299" s="496" t="str">
        <f> IF(FV319&lt;&gt;"",TEXT(AUX!FZ$1,"dd-MMM-aa"),"")</f>
      </c>
      <c r="FW299" s="496" t="str">
        <f> IF(FW319&lt;&gt;"",TEXT(AUX!GA$1,"dd-MMM-aa"),"")</f>
      </c>
      <c r="FX299" s="496" t="str">
        <f> IF(FX319&lt;&gt;"",TEXT(AUX!GB$1,"dd-MMM-aa"),"")</f>
      </c>
      <c r="FY299" s="496" t="str">
        <f> IF(FY319&lt;&gt;"",TEXT(AUX!GC$1,"dd-MMM-aa"),"")</f>
      </c>
      <c r="FZ299" s="496" t="str">
        <f> IF(FZ319&lt;&gt;"",TEXT(AUX!GD$1,"dd-MMM-aa"),"")</f>
      </c>
      <c r="GA299" s="496" t="str">
        <f> IF(GA319&lt;&gt;"",TEXT(AUX!GE$1,"dd-MMM-aa"),"")</f>
      </c>
      <c r="GB299" s="496" t="str">
        <f> IF(GB319&lt;&gt;"",TEXT(AUX!GF$1,"dd-MMM-aa"),"")</f>
      </c>
      <c r="GC299" s="496" t="str">
        <f> IF(GC319&lt;&gt;"",TEXT(AUX!GG$1,"dd-MMM-aa"),"")</f>
      </c>
      <c r="GD299" s="496" t="str">
        <f> IF(GD319&lt;&gt;"",TEXT(AUX!GH$1,"dd-MMM-aa"),"")</f>
      </c>
      <c r="GE299" s="496" t="str">
        <f> IF(GE319&lt;&gt;"",TEXT(AUX!GI$1,"dd-MMM-aa"),"")</f>
      </c>
      <c r="GF299" s="496" t="str">
        <f> IF(GF319&lt;&gt;"",TEXT(AUX!GJ$1,"dd-MMM-aa"),"")</f>
      </c>
      <c r="GG299" s="496" t="str">
        <f> IF(GG319&lt;&gt;"",TEXT(AUX!GK$1,"dd-MMM-aa"),"")</f>
      </c>
      <c r="GH299" s="496" t="str">
        <f> IF(GH319&lt;&gt;"",TEXT(AUX!GL$1,"dd-MMM-aa"),"")</f>
      </c>
      <c r="GI299" s="496" t="str">
        <f> IF(GI319&lt;&gt;"",TEXT(AUX!GM$1,"dd-MMM-aa"),"")</f>
      </c>
      <c r="GJ299" s="496" t="str">
        <f> IF(GJ319&lt;&gt;"",TEXT(AUX!GN$1,"dd-MMM-aa"),"")</f>
      </c>
      <c r="GK299" s="496" t="str">
        <f> IF(GK319&lt;&gt;"",TEXT(AUX!GO$1,"dd-MMM-aa"),"")</f>
      </c>
      <c r="GL299" s="496" t="str">
        <f> IF(GL319&lt;&gt;"",TEXT(AUX!GP$1,"dd-MMM-aa"),"")</f>
      </c>
      <c r="GM299" s="496" t="str">
        <f> IF(GM319&lt;&gt;"",TEXT(AUX!GQ$1,"dd-MMM-aa"),"")</f>
      </c>
      <c r="GN299" s="496" t="str">
        <f> IF(GN319&lt;&gt;"",TEXT(AUX!GR$1,"dd-MMM-aa"),"")</f>
      </c>
      <c r="GO299" s="496" t="str">
        <f> IF(GO319&lt;&gt;"",TEXT(AUX!GS$1,"dd-MMM-aa"),"")</f>
      </c>
      <c r="GP299" s="496" t="str">
        <f> IF(GP319&lt;&gt;"",TEXT(AUX!GT$1,"dd-MMM-aa"),"")</f>
      </c>
      <c r="GQ299" s="496" t="str">
        <f> IF(GQ319&lt;&gt;"",TEXT(AUX!GU$1,"dd-MMM-aa"),"")</f>
      </c>
      <c r="GR299" s="496" t="str">
        <f> IF(GR319&lt;&gt;"",TEXT(AUX!GV$1,"dd-MMM-aa"),"")</f>
      </c>
      <c r="GS299" s="496" t="str">
        <f> IF(GS319&lt;&gt;"",TEXT(AUX!GW$1,"dd-MMM-aa"),"")</f>
      </c>
      <c r="GT299" s="496" t="str">
        <f> IF(GT319&lt;&gt;"",TEXT(AUX!GX$1,"dd-MMM-aa"),"")</f>
      </c>
      <c r="GU299" s="496" t="str">
        <f> IF(GU319&lt;&gt;"",TEXT(AUX!GY$1,"dd-MMM-aa"),"")</f>
      </c>
      <c r="GV299" s="496" t="str">
        <f> IF(GV319&lt;&gt;"",TEXT(AUX!GZ$1,"dd-MMM-aa"),"")</f>
      </c>
      <c r="GW299" s="496" t="str">
        <f> IF(GW319&lt;&gt;"",TEXT(AUX!HA$1,"dd-MMM-aa"),"")</f>
      </c>
      <c r="GX299" s="496" t="str">
        <f> IF(GX319&lt;&gt;"",TEXT(AUX!HB$1,"dd-MMM-aa"),"")</f>
      </c>
      <c r="GY299" s="496" t="str">
        <f> IF(GY319&lt;&gt;"",TEXT(AUX!HC$1,"dd-MMM-aa"),"")</f>
      </c>
      <c r="GZ299" s="496" t="str">
        <f> IF(GZ319&lt;&gt;"",TEXT(AUX!HD$1,"dd-MMM-aa"),"")</f>
      </c>
      <c r="HA299" s="496" t="str">
        <f> IF(HA319&lt;&gt;"",TEXT(AUX!HE$1,"dd-MMM-aa"),"")</f>
      </c>
      <c r="HB299" s="496" t="str">
        <f> IF(HB319&lt;&gt;"",TEXT(AUX!HF$1,"dd-MMM-aa"),"")</f>
      </c>
      <c r="HC299" s="496" t="str">
        <f> IF(HC319&lt;&gt;"",TEXT(AUX!HG$1,"dd-MMM-aa"),"")</f>
      </c>
      <c r="HD299" s="496" t="str">
        <f> IF(HD319&lt;&gt;"",TEXT(AUX!HH$1,"dd-MMM-aa"),"")</f>
      </c>
      <c r="HE299" s="496" t="str">
        <f> IF(HE319&lt;&gt;"",TEXT(AUX!HI$1,"dd-MMM-aa"),"")</f>
      </c>
      <c r="HF299" s="496" t="str">
        <f> IF(HF319&lt;&gt;"",TEXT(AUX!HJ$1,"dd-MMM-aa"),"")</f>
      </c>
      <c r="HG299" s="496" t="str">
        <f> IF(HG319&lt;&gt;"",TEXT(AUX!HK$1,"dd-MMM-aa"),"")</f>
      </c>
      <c r="HH299" s="496" t="str">
        <f> IF(HH319&lt;&gt;"",TEXT(AUX!HL$1,"dd-MMM-aa"),"")</f>
      </c>
      <c r="HI299" s="496" t="str">
        <f> IF(HI319&lt;&gt;"",TEXT(AUX!HM$1,"dd-MMM-aa"),"")</f>
      </c>
      <c r="HJ299" s="496" t="str">
        <f> IF(HJ319&lt;&gt;"",TEXT(AUX!HN$1,"dd-MMM-aa"),"")</f>
      </c>
      <c r="HK299" s="496" t="str">
        <f> IF(HK319&lt;&gt;"",TEXT(AUX!HO$1,"dd-MMM-aa"),"")</f>
      </c>
      <c r="HL299" s="496" t="str">
        <f> IF(HL319&lt;&gt;"",TEXT(AUX!HP$1,"dd-MMM-aa"),"")</f>
      </c>
      <c r="HM299" s="496" t="str">
        <f> IF(HM319&lt;&gt;"",TEXT(AUX!HQ$1,"dd-MMM-aa"),"")</f>
      </c>
      <c r="HN299" s="496" t="str">
        <f> IF(HN319&lt;&gt;"",TEXT(AUX!HR$1,"dd-MMM-aa"),"")</f>
      </c>
      <c r="HO299" s="496" t="str">
        <f> IF(HO319&lt;&gt;"",TEXT(AUX!HS$1,"dd-MMM-aa"),"")</f>
      </c>
      <c r="HP299" s="496" t="str">
        <f> IF(HP319&lt;&gt;"",TEXT(AUX!HT$1,"dd-MMM-aa"),"")</f>
      </c>
      <c r="HQ299" s="496" t="str">
        <f> IF(HQ319&lt;&gt;"",TEXT(AUX!HU$1,"dd-MMM-aa"),"")</f>
      </c>
      <c r="HR299" s="496" t="str">
        <f> IF(HR319&lt;&gt;"",TEXT(AUX!HV$1,"dd-MMM-aa"),"")</f>
      </c>
      <c r="HS299" s="496" t="str">
        <f> IF(HS319&lt;&gt;"",TEXT(AUX!HW$1,"dd-MMM-aa"),"")</f>
      </c>
      <c r="HT299" s="496" t="str">
        <f> IF(HT319&lt;&gt;"",TEXT(AUX!HX$1,"dd-MMM-aa"),"")</f>
      </c>
      <c r="HU299" s="496" t="str">
        <f> IF(HU319&lt;&gt;"",TEXT(AUX!HY$1,"dd-MMM-aa"),"")</f>
      </c>
      <c r="HV299" s="496" t="str">
        <f> IF(HV319&lt;&gt;"",TEXT(AUX!HZ$1,"dd-MMM-aa"),"")</f>
      </c>
      <c r="HW299" s="496" t="str">
        <f> IF(HW319&lt;&gt;"",TEXT(AUX!IA$1,"dd-MMM-aa"),"")</f>
      </c>
      <c r="HX299" s="496" t="str">
        <f> IF(HX319&lt;&gt;"",TEXT(AUX!IB$1,"dd-MMM-aa"),"")</f>
      </c>
      <c r="HY299" s="496" t="str">
        <f> IF(HY319&lt;&gt;"",TEXT(AUX!IC$1,"dd-MMM-aa"),"")</f>
      </c>
      <c r="HZ299" s="496" t="str">
        <f> IF(HZ319&lt;&gt;"",TEXT(AUX!ID$1,"dd-MMM-aa"),"")</f>
      </c>
      <c r="IA299" s="496" t="str">
        <f> IF(IA319&lt;&gt;"",TEXT(AUX!IE$1,"dd-MMM-aa"),"")</f>
      </c>
      <c r="IB299" s="496" t="str">
        <f> IF(IB319&lt;&gt;"",TEXT(AUX!IF$1,"dd-MMM-aa"),"")</f>
      </c>
      <c r="IC299" s="496" t="str">
        <f> IF(IC319&lt;&gt;"",TEXT(AUX!IG$1,"dd-MMM-aa"),"")</f>
      </c>
      <c r="ID299" s="496" t="str">
        <f> IF(ID319&lt;&gt;"",TEXT(AUX!IH$1,"dd-MMM-aa"),"")</f>
      </c>
      <c r="IE299" s="496" t="str">
        <f> IF(IE319&lt;&gt;"",TEXT(AUX!II$1,"dd-MMM-aa"),"")</f>
      </c>
      <c r="IF299" s="496" t="str">
        <f> IF(IF319&lt;&gt;"",TEXT(AUX!IJ$1,"dd-MMM-aa"),"")</f>
      </c>
      <c r="IG299" s="496" t="str">
        <f> IF(IG319&lt;&gt;"",TEXT(AUX!IK$1,"dd-MMM-aa"),"")</f>
      </c>
      <c r="IH299" s="496" t="str">
        <f> IF(IH319&lt;&gt;"",TEXT(AUX!IL$1,"dd-MMM-aa"),"")</f>
      </c>
      <c r="II299" s="496" t="str">
        <f> IF(II319&lt;&gt;"",TEXT(AUX!IM$1,"dd-MMM-aa"),"")</f>
      </c>
      <c r="IJ299" s="496" t="str">
        <f> IF(IJ319&lt;&gt;"",TEXT(AUX!IN$1,"dd-MMM-aa"),"")</f>
      </c>
      <c r="IK299" s="496" t="str">
        <f> IF(IK319&lt;&gt;"",TEXT(AUX!IO$1,"dd-MMM-aa"),"")</f>
      </c>
      <c r="IL299" s="496" t="str">
        <f> IF(IL319&lt;&gt;"",TEXT(AUX!IP$1,"dd-MMM-aa"),"")</f>
      </c>
      <c r="IM299" s="496" t="str">
        <f> IF(IM319&lt;&gt;"",TEXT(AUX!IQ$1,"dd-MMM-aa"),"")</f>
      </c>
      <c r="IN299" s="496" t="str">
        <f> IF(IN319&lt;&gt;"",TEXT(AUX!IR$1,"dd-MMM-aa"),"")</f>
      </c>
      <c r="IO299" s="496" t="str">
        <f> IF(IO319&lt;&gt;"",TEXT(AUX!IS$1,"dd-MMM-aa"),"")</f>
      </c>
      <c r="IP299" s="496" t="str">
        <f> IF(IP319&lt;&gt;"",TEXT(AUX!IT$1,"dd-MMM-aa"),"")</f>
      </c>
      <c r="IQ299" s="496" t="str">
        <f> IF(IQ319&lt;&gt;"",TEXT(AUX!IU$1,"dd-MMM-aa"),"")</f>
      </c>
      <c r="IR299" s="496" t="str">
        <f> IF(IR319&lt;&gt;"",TEXT(AUX!IV$1,"dd-MMM-aa"),"")</f>
      </c>
      <c r="IS299" s="496" t="str">
        <f> IF(IS319&lt;&gt;"",TEXT(AUX!#REF!,"dd-MMM-aa"),"")</f>
      </c>
      <c r="IT299" s="496" t="str">
        <f> IF(IT319&lt;&gt;"",TEXT(AUX!#REF!,"dd-MMM-aa"),"")</f>
      </c>
      <c r="IU299" s="496" t="str">
        <f> IF(IU319&lt;&gt;"",TEXT(AUX!#REF!,"dd-MMM-aa"),"")</f>
      </c>
      <c r="IV299" s="496" t="str">
        <f> IF(IV319&lt;&gt;"",TEXT(AUX!#REF!,"dd-MMM-aa"),"")</f>
      </c>
    </row>
    <row r="300" hidden="1">
      <c r="B300" s="822" t="s">
        <v>8</v>
      </c>
      <c r="C300" s="823">
        <v>1</v>
      </c>
      <c r="D300" s="823">
        <v>1</v>
      </c>
      <c r="E300" s="823">
        <v>1</v>
      </c>
      <c r="F300" s="823">
        <v>2</v>
      </c>
      <c r="G300" s="823">
        <v>2</v>
      </c>
      <c r="H300" s="823">
        <v>3</v>
      </c>
      <c r="I300" s="823">
        <v>3</v>
      </c>
      <c r="J300" s="823">
        <v>3</v>
      </c>
      <c r="K300" s="823">
        <v>4</v>
      </c>
      <c r="L300" s="823">
        <v>4</v>
      </c>
      <c r="M300" s="823">
        <v>4</v>
      </c>
      <c r="N300" s="823">
        <v>4</v>
      </c>
      <c r="O300" s="823">
        <v>4</v>
      </c>
      <c r="P300" s="823">
        <v>4</v>
      </c>
      <c r="Q300" s="823">
        <v>4</v>
      </c>
      <c r="R300" s="823">
        <v>4</v>
      </c>
      <c r="S300" s="823">
        <v>4</v>
      </c>
      <c r="T300" s="823">
        <v>0</v>
      </c>
      <c r="U300" s="823">
        <v>0</v>
      </c>
      <c r="V300" s="823">
        <v>0</v>
      </c>
      <c r="W300" s="823">
        <v>0</v>
      </c>
      <c r="X300" s="823">
        <v>0</v>
      </c>
      <c r="Y300" s="823">
        <v>0</v>
      </c>
      <c r="Z300" s="823">
        <v>0</v>
      </c>
      <c r="AA300" s="823">
        <v>0</v>
      </c>
      <c r="AB300" s="824">
        <v>0</v>
      </c>
      <c r="AC300" s="825">
        <v>0</v>
      </c>
      <c r="AD300" s="825">
        <v>0</v>
      </c>
      <c r="AE300" s="825">
        <v>0</v>
      </c>
      <c r="AF300" s="825">
        <v>0</v>
      </c>
      <c r="AG300" s="825">
        <v>0</v>
      </c>
      <c r="AH300" s="825">
        <v>0</v>
      </c>
      <c r="AI300" s="825">
        <v>0</v>
      </c>
      <c r="AJ300" s="825">
        <v>0</v>
      </c>
      <c r="AK300" s="825">
        <v>0</v>
      </c>
      <c r="AL300" s="825">
        <v>0</v>
      </c>
      <c r="AM300" s="825">
        <v>0</v>
      </c>
      <c r="AN300" s="825">
        <v>0</v>
      </c>
      <c r="AO300" s="825">
        <v>0</v>
      </c>
      <c r="AP300" s="825">
        <v>0</v>
      </c>
    </row>
    <row r="301" hidden="1">
      <c r="B301" s="826" t="s">
        <v>9</v>
      </c>
      <c r="C301" s="827">
        <v>0</v>
      </c>
      <c r="D301" s="827">
        <v>0</v>
      </c>
      <c r="E301" s="827">
        <v>0</v>
      </c>
      <c r="F301" s="827">
        <v>0</v>
      </c>
      <c r="G301" s="827">
        <v>0</v>
      </c>
      <c r="H301" s="827">
        <v>0</v>
      </c>
      <c r="I301" s="827">
        <v>0</v>
      </c>
      <c r="J301" s="827">
        <v>0</v>
      </c>
      <c r="K301" s="827">
        <v>0</v>
      </c>
      <c r="L301" s="827">
        <v>0</v>
      </c>
      <c r="M301" s="827">
        <v>0</v>
      </c>
      <c r="N301" s="827">
        <v>0</v>
      </c>
      <c r="O301" s="827">
        <v>0</v>
      </c>
      <c r="P301" s="827">
        <v>0</v>
      </c>
      <c r="Q301" s="827">
        <v>0</v>
      </c>
      <c r="R301" s="827">
        <v>0</v>
      </c>
      <c r="S301" s="827">
        <v>0</v>
      </c>
      <c r="T301" s="827">
        <v>0</v>
      </c>
      <c r="U301" s="827">
        <v>0</v>
      </c>
      <c r="V301" s="827">
        <v>0</v>
      </c>
      <c r="W301" s="827">
        <v>0</v>
      </c>
      <c r="X301" s="827">
        <v>0</v>
      </c>
      <c r="Y301" s="827">
        <v>0</v>
      </c>
      <c r="Z301" s="827">
        <v>0</v>
      </c>
      <c r="AA301" s="827">
        <v>0</v>
      </c>
      <c r="AB301" s="827">
        <v>0</v>
      </c>
      <c r="AC301" s="828">
        <v>0</v>
      </c>
      <c r="AD301" s="828">
        <v>0</v>
      </c>
      <c r="AE301" s="828">
        <v>0</v>
      </c>
      <c r="AF301" s="828">
        <v>0</v>
      </c>
      <c r="AG301" s="828">
        <v>0</v>
      </c>
      <c r="AH301" s="828">
        <v>0</v>
      </c>
      <c r="AI301" s="828">
        <v>0</v>
      </c>
      <c r="AJ301" s="828">
        <v>0</v>
      </c>
      <c r="AK301" s="828">
        <v>0</v>
      </c>
      <c r="AL301" s="828">
        <v>0</v>
      </c>
      <c r="AM301" s="828">
        <v>0</v>
      </c>
      <c r="AN301" s="828">
        <v>0</v>
      </c>
      <c r="AO301" s="828">
        <v>0</v>
      </c>
      <c r="AP301" s="828">
        <v>0</v>
      </c>
    </row>
    <row r="302" hidden="1">
      <c r="B302" s="829" t="s">
        <v>10</v>
      </c>
      <c r="C302" s="823">
        <v>0</v>
      </c>
      <c r="D302" s="823">
        <v>0</v>
      </c>
      <c r="E302" s="823">
        <v>0</v>
      </c>
      <c r="F302" s="823">
        <v>0</v>
      </c>
      <c r="G302" s="823">
        <v>0</v>
      </c>
      <c r="H302" s="823">
        <v>0</v>
      </c>
      <c r="I302" s="823">
        <v>0</v>
      </c>
      <c r="J302" s="823">
        <v>0</v>
      </c>
      <c r="K302" s="823">
        <v>0</v>
      </c>
      <c r="L302" s="823">
        <v>0</v>
      </c>
      <c r="M302" s="823">
        <v>0</v>
      </c>
      <c r="N302" s="823">
        <v>0</v>
      </c>
      <c r="O302" s="823">
        <v>0</v>
      </c>
      <c r="P302" s="823">
        <v>0</v>
      </c>
      <c r="Q302" s="823">
        <v>0</v>
      </c>
      <c r="R302" s="823">
        <v>0</v>
      </c>
      <c r="S302" s="823">
        <v>0</v>
      </c>
      <c r="T302" s="823">
        <v>0</v>
      </c>
      <c r="U302" s="823">
        <v>0</v>
      </c>
      <c r="V302" s="823">
        <v>0</v>
      </c>
      <c r="W302" s="823">
        <v>0</v>
      </c>
      <c r="X302" s="823">
        <v>0</v>
      </c>
      <c r="Y302" s="823">
        <v>0</v>
      </c>
      <c r="Z302" s="823">
        <v>0</v>
      </c>
      <c r="AA302" s="823">
        <v>0</v>
      </c>
      <c r="AB302" s="823">
        <v>0</v>
      </c>
      <c r="AC302" s="825">
        <v>0</v>
      </c>
      <c r="AD302" s="825">
        <v>0</v>
      </c>
      <c r="AE302" s="825">
        <v>0</v>
      </c>
      <c r="AF302" s="825">
        <v>0</v>
      </c>
      <c r="AG302" s="825">
        <v>0</v>
      </c>
      <c r="AH302" s="825">
        <v>0</v>
      </c>
      <c r="AI302" s="825">
        <v>0</v>
      </c>
      <c r="AJ302" s="825">
        <v>0</v>
      </c>
      <c r="AK302" s="825">
        <v>0</v>
      </c>
      <c r="AL302" s="825">
        <v>0</v>
      </c>
      <c r="AM302" s="825">
        <v>0</v>
      </c>
      <c r="AN302" s="825">
        <v>0</v>
      </c>
      <c r="AO302" s="825">
        <v>0</v>
      </c>
      <c r="AP302" s="825">
        <v>0</v>
      </c>
    </row>
    <row r="303" hidden="1">
      <c r="B303" s="826" t="s">
        <v>11</v>
      </c>
      <c r="C303" s="827">
        <v>0</v>
      </c>
      <c r="D303" s="827">
        <v>0</v>
      </c>
      <c r="E303" s="827">
        <v>0</v>
      </c>
      <c r="F303" s="827">
        <v>0</v>
      </c>
      <c r="G303" s="827">
        <v>0</v>
      </c>
      <c r="H303" s="827">
        <v>0</v>
      </c>
      <c r="I303" s="827">
        <v>0</v>
      </c>
      <c r="J303" s="827">
        <v>1</v>
      </c>
      <c r="K303" s="827">
        <v>0</v>
      </c>
      <c r="L303" s="827">
        <v>0</v>
      </c>
      <c r="M303" s="827">
        <v>0</v>
      </c>
      <c r="N303" s="827">
        <v>0</v>
      </c>
      <c r="O303" s="827">
        <v>0</v>
      </c>
      <c r="P303" s="827">
        <v>0</v>
      </c>
      <c r="Q303" s="827">
        <v>0</v>
      </c>
      <c r="R303" s="827">
        <v>0</v>
      </c>
      <c r="S303" s="827">
        <v>0</v>
      </c>
      <c r="T303" s="827">
        <v>0</v>
      </c>
      <c r="U303" s="827">
        <v>0</v>
      </c>
      <c r="V303" s="827">
        <v>0</v>
      </c>
      <c r="W303" s="827">
        <v>0</v>
      </c>
      <c r="X303" s="827">
        <v>0</v>
      </c>
      <c r="Y303" s="827">
        <v>0</v>
      </c>
      <c r="Z303" s="827">
        <v>0</v>
      </c>
      <c r="AA303" s="827">
        <v>0</v>
      </c>
      <c r="AB303" s="827">
        <v>0</v>
      </c>
      <c r="AC303" s="828">
        <v>0</v>
      </c>
      <c r="AD303" s="828">
        <v>0</v>
      </c>
      <c r="AE303" s="828">
        <v>0</v>
      </c>
      <c r="AF303" s="828">
        <v>0</v>
      </c>
      <c r="AG303" s="828">
        <v>0</v>
      </c>
      <c r="AH303" s="828">
        <v>0</v>
      </c>
      <c r="AI303" s="828">
        <v>0</v>
      </c>
      <c r="AJ303" s="828">
        <v>0</v>
      </c>
      <c r="AK303" s="828">
        <v>0</v>
      </c>
      <c r="AL303" s="828">
        <v>0</v>
      </c>
      <c r="AM303" s="828">
        <v>0</v>
      </c>
      <c r="AN303" s="828">
        <v>0</v>
      </c>
      <c r="AO303" s="828">
        <v>0</v>
      </c>
      <c r="AP303" s="828">
        <v>0</v>
      </c>
    </row>
    <row r="304" hidden="1">
      <c r="B304" s="829" t="s">
        <v>12</v>
      </c>
      <c r="C304" s="823">
        <v>1</v>
      </c>
      <c r="D304" s="823">
        <v>1</v>
      </c>
      <c r="E304" s="823">
        <v>1</v>
      </c>
      <c r="F304" s="823">
        <v>1</v>
      </c>
      <c r="G304" s="823">
        <v>1</v>
      </c>
      <c r="H304" s="823">
        <v>1</v>
      </c>
      <c r="I304" s="823">
        <v>1</v>
      </c>
      <c r="J304" s="823">
        <v>1</v>
      </c>
      <c r="K304" s="823">
        <v>1</v>
      </c>
      <c r="L304" s="823">
        <v>1</v>
      </c>
      <c r="M304" s="823">
        <v>1</v>
      </c>
      <c r="N304" s="823">
        <v>1</v>
      </c>
      <c r="O304" s="823">
        <v>1</v>
      </c>
      <c r="P304" s="823">
        <v>1</v>
      </c>
      <c r="Q304" s="823">
        <v>1</v>
      </c>
      <c r="R304" s="823">
        <v>1</v>
      </c>
      <c r="S304" s="823">
        <v>1</v>
      </c>
      <c r="T304" s="823">
        <v>1</v>
      </c>
      <c r="U304" s="823">
        <v>1</v>
      </c>
      <c r="V304" s="823">
        <v>1</v>
      </c>
      <c r="W304" s="823">
        <v>1</v>
      </c>
      <c r="X304" s="823">
        <v>1</v>
      </c>
      <c r="Y304" s="823">
        <v>0</v>
      </c>
      <c r="Z304" s="823">
        <v>0</v>
      </c>
      <c r="AA304" s="823">
        <v>0</v>
      </c>
      <c r="AB304" s="823">
        <v>0</v>
      </c>
      <c r="AC304" s="825">
        <v>0</v>
      </c>
      <c r="AD304" s="825">
        <v>0</v>
      </c>
      <c r="AE304" s="825">
        <v>0</v>
      </c>
      <c r="AF304" s="825">
        <v>0</v>
      </c>
      <c r="AG304" s="825">
        <v>0</v>
      </c>
      <c r="AH304" s="825">
        <v>0</v>
      </c>
      <c r="AI304" s="825">
        <v>0</v>
      </c>
      <c r="AJ304" s="825">
        <v>0</v>
      </c>
      <c r="AK304" s="825">
        <v>0</v>
      </c>
      <c r="AL304" s="825">
        <v>0</v>
      </c>
      <c r="AM304" s="825">
        <v>0</v>
      </c>
      <c r="AN304" s="825">
        <v>0</v>
      </c>
      <c r="AO304" s="825">
        <v>0</v>
      </c>
      <c r="AP304" s="825">
        <v>0</v>
      </c>
    </row>
    <row r="305" hidden="1">
      <c r="B305" s="826" t="s">
        <v>13</v>
      </c>
      <c r="C305" s="827">
        <v>0</v>
      </c>
      <c r="D305" s="827">
        <v>0</v>
      </c>
      <c r="E305" s="827">
        <v>1</v>
      </c>
      <c r="F305" s="827">
        <v>1</v>
      </c>
      <c r="G305" s="827">
        <v>1</v>
      </c>
      <c r="H305" s="827">
        <v>1</v>
      </c>
      <c r="I305" s="827">
        <v>1</v>
      </c>
      <c r="J305" s="827">
        <v>1</v>
      </c>
      <c r="K305" s="827">
        <v>1</v>
      </c>
      <c r="L305" s="827">
        <v>1</v>
      </c>
      <c r="M305" s="827">
        <v>1</v>
      </c>
      <c r="N305" s="827">
        <v>1</v>
      </c>
      <c r="O305" s="827">
        <v>1</v>
      </c>
      <c r="P305" s="827">
        <v>1</v>
      </c>
      <c r="Q305" s="827">
        <v>1</v>
      </c>
      <c r="R305" s="827">
        <v>1</v>
      </c>
      <c r="S305" s="827">
        <v>1</v>
      </c>
      <c r="T305" s="827">
        <v>1</v>
      </c>
      <c r="U305" s="827">
        <v>1</v>
      </c>
      <c r="V305" s="827">
        <v>1</v>
      </c>
      <c r="W305" s="827">
        <v>1</v>
      </c>
      <c r="X305" s="827">
        <v>1</v>
      </c>
      <c r="Y305" s="827">
        <v>1</v>
      </c>
      <c r="Z305" s="827">
        <v>1</v>
      </c>
      <c r="AA305" s="827">
        <v>1</v>
      </c>
      <c r="AB305" s="827">
        <v>1</v>
      </c>
      <c r="AC305" s="828">
        <v>1</v>
      </c>
      <c r="AD305" s="828">
        <v>1</v>
      </c>
      <c r="AE305" s="828">
        <v>1</v>
      </c>
      <c r="AF305" s="828">
        <v>1</v>
      </c>
      <c r="AG305" s="828">
        <v>1</v>
      </c>
      <c r="AH305" s="828">
        <v>1</v>
      </c>
      <c r="AI305" s="828">
        <v>1</v>
      </c>
      <c r="AJ305" s="828">
        <v>1</v>
      </c>
      <c r="AK305" s="828">
        <v>1</v>
      </c>
      <c r="AL305" s="828">
        <v>1</v>
      </c>
      <c r="AM305" s="828">
        <v>1</v>
      </c>
      <c r="AN305" s="828">
        <v>1</v>
      </c>
      <c r="AO305" s="828">
        <v>1</v>
      </c>
      <c r="AP305" s="828">
        <v>1</v>
      </c>
    </row>
    <row r="306" hidden="1">
      <c r="B306" s="829" t="s">
        <v>109</v>
      </c>
      <c r="C306" s="823">
        <v>0</v>
      </c>
      <c r="D306" s="823">
        <v>0</v>
      </c>
      <c r="E306" s="823">
        <v>0</v>
      </c>
      <c r="F306" s="823">
        <v>0</v>
      </c>
      <c r="G306" s="823">
        <v>0</v>
      </c>
      <c r="H306" s="823">
        <v>0</v>
      </c>
      <c r="I306" s="823">
        <v>0</v>
      </c>
      <c r="J306" s="823">
        <v>0</v>
      </c>
      <c r="K306" s="823">
        <v>0</v>
      </c>
      <c r="L306" s="823">
        <v>0</v>
      </c>
      <c r="M306" s="823">
        <v>0</v>
      </c>
      <c r="N306" s="823">
        <v>0</v>
      </c>
      <c r="O306" s="823">
        <v>0</v>
      </c>
      <c r="P306" s="823">
        <v>0</v>
      </c>
      <c r="Q306" s="823">
        <v>0</v>
      </c>
      <c r="R306" s="823">
        <v>0</v>
      </c>
      <c r="S306" s="823">
        <v>0</v>
      </c>
      <c r="T306" s="823">
        <v>0</v>
      </c>
      <c r="U306" s="823">
        <v>0</v>
      </c>
      <c r="V306" s="823">
        <v>0</v>
      </c>
      <c r="W306" s="823">
        <v>0</v>
      </c>
      <c r="X306" s="823">
        <v>0</v>
      </c>
      <c r="Y306" s="823">
        <v>0</v>
      </c>
      <c r="Z306" s="823">
        <v>0</v>
      </c>
      <c r="AA306" s="823">
        <v>0</v>
      </c>
      <c r="AB306" s="823">
        <v>0</v>
      </c>
      <c r="AC306" s="825">
        <v>0</v>
      </c>
      <c r="AD306" s="825">
        <v>0</v>
      </c>
      <c r="AE306" s="825">
        <v>0</v>
      </c>
      <c r="AF306" s="825">
        <v>0</v>
      </c>
      <c r="AG306" s="825">
        <v>0</v>
      </c>
      <c r="AH306" s="825">
        <v>0</v>
      </c>
      <c r="AI306" s="825">
        <v>0</v>
      </c>
      <c r="AJ306" s="825">
        <v>0</v>
      </c>
      <c r="AK306" s="825">
        <v>0</v>
      </c>
      <c r="AL306" s="825">
        <v>0</v>
      </c>
      <c r="AM306" s="825">
        <v>0</v>
      </c>
      <c r="AN306" s="825">
        <v>0</v>
      </c>
      <c r="AO306" s="825">
        <v>0</v>
      </c>
      <c r="AP306" s="825">
        <v>0</v>
      </c>
    </row>
    <row r="307" hidden="1">
      <c r="B307" s="826" t="s">
        <v>110</v>
      </c>
      <c r="C307" s="827">
        <v>0</v>
      </c>
      <c r="D307" s="827">
        <v>0</v>
      </c>
      <c r="E307" s="827">
        <v>2</v>
      </c>
      <c r="F307" s="827">
        <v>2</v>
      </c>
      <c r="G307" s="827">
        <v>2</v>
      </c>
      <c r="H307" s="827">
        <v>2</v>
      </c>
      <c r="I307" s="827">
        <v>2</v>
      </c>
      <c r="J307" s="827">
        <v>2</v>
      </c>
      <c r="K307" s="827">
        <v>2</v>
      </c>
      <c r="L307" s="827">
        <v>2</v>
      </c>
      <c r="M307" s="827">
        <v>2</v>
      </c>
      <c r="N307" s="827">
        <v>2</v>
      </c>
      <c r="O307" s="827">
        <v>2</v>
      </c>
      <c r="P307" s="827">
        <v>2</v>
      </c>
      <c r="Q307" s="827">
        <v>2</v>
      </c>
      <c r="R307" s="827">
        <v>2</v>
      </c>
      <c r="S307" s="827">
        <v>2</v>
      </c>
      <c r="T307" s="827">
        <v>2</v>
      </c>
      <c r="U307" s="827">
        <v>2</v>
      </c>
      <c r="V307" s="827">
        <v>2</v>
      </c>
      <c r="W307" s="827">
        <v>2</v>
      </c>
      <c r="X307" s="827">
        <v>2</v>
      </c>
      <c r="Y307" s="827">
        <v>2</v>
      </c>
      <c r="Z307" s="827">
        <v>0</v>
      </c>
      <c r="AA307" s="827">
        <v>0</v>
      </c>
      <c r="AB307" s="827">
        <v>0</v>
      </c>
      <c r="AC307" s="828">
        <v>0</v>
      </c>
      <c r="AD307" s="828">
        <v>0</v>
      </c>
      <c r="AE307" s="828">
        <v>0</v>
      </c>
      <c r="AF307" s="828">
        <v>0</v>
      </c>
      <c r="AG307" s="828">
        <v>0</v>
      </c>
      <c r="AH307" s="828">
        <v>0</v>
      </c>
      <c r="AI307" s="828">
        <v>0</v>
      </c>
      <c r="AJ307" s="828">
        <v>0</v>
      </c>
      <c r="AK307" s="828">
        <v>0</v>
      </c>
      <c r="AL307" s="828">
        <v>0</v>
      </c>
      <c r="AM307" s="828">
        <v>0</v>
      </c>
      <c r="AN307" s="828">
        <v>0</v>
      </c>
      <c r="AO307" s="828">
        <v>0</v>
      </c>
      <c r="AP307" s="828">
        <v>0</v>
      </c>
    </row>
    <row r="308" hidden="1">
      <c r="B308" s="829" t="s">
        <v>16</v>
      </c>
      <c r="C308" s="823">
        <v>1</v>
      </c>
      <c r="D308" s="823">
        <v>1</v>
      </c>
      <c r="E308" s="823">
        <v>1</v>
      </c>
      <c r="F308" s="823">
        <v>1</v>
      </c>
      <c r="G308" s="823">
        <v>1</v>
      </c>
      <c r="H308" s="823">
        <v>2</v>
      </c>
      <c r="I308" s="823">
        <v>2</v>
      </c>
      <c r="J308" s="823">
        <v>2</v>
      </c>
      <c r="K308" s="823">
        <v>2</v>
      </c>
      <c r="L308" s="823">
        <v>2</v>
      </c>
      <c r="M308" s="823">
        <v>2</v>
      </c>
      <c r="N308" s="823">
        <v>2</v>
      </c>
      <c r="O308" s="823">
        <v>2</v>
      </c>
      <c r="P308" s="823">
        <v>2</v>
      </c>
      <c r="Q308" s="823">
        <v>2</v>
      </c>
      <c r="R308" s="823">
        <v>2</v>
      </c>
      <c r="S308" s="823">
        <v>2</v>
      </c>
      <c r="T308" s="823">
        <v>2</v>
      </c>
      <c r="U308" s="823">
        <v>2</v>
      </c>
      <c r="V308" s="823">
        <v>2</v>
      </c>
      <c r="W308" s="823">
        <v>2</v>
      </c>
      <c r="X308" s="823">
        <v>2</v>
      </c>
      <c r="Y308" s="823">
        <v>1</v>
      </c>
      <c r="Z308" s="823">
        <v>1</v>
      </c>
      <c r="AA308" s="823">
        <v>1</v>
      </c>
      <c r="AB308" s="823">
        <v>0</v>
      </c>
      <c r="AC308" s="825">
        <v>0</v>
      </c>
      <c r="AD308" s="825">
        <v>0</v>
      </c>
      <c r="AE308" s="825">
        <v>0</v>
      </c>
      <c r="AF308" s="825">
        <v>0</v>
      </c>
      <c r="AG308" s="825">
        <v>0</v>
      </c>
      <c r="AH308" s="825">
        <v>0</v>
      </c>
      <c r="AI308" s="825">
        <v>0</v>
      </c>
      <c r="AJ308" s="825">
        <v>0</v>
      </c>
      <c r="AK308" s="825">
        <v>0</v>
      </c>
      <c r="AL308" s="825">
        <v>0</v>
      </c>
      <c r="AM308" s="825">
        <v>0</v>
      </c>
      <c r="AN308" s="825">
        <v>0</v>
      </c>
      <c r="AO308" s="825">
        <v>0</v>
      </c>
      <c r="AP308" s="825">
        <v>0</v>
      </c>
    </row>
    <row r="309" hidden="1">
      <c r="B309" s="826" t="s">
        <v>17</v>
      </c>
      <c r="C309" s="827">
        <v>0</v>
      </c>
      <c r="D309" s="827">
        <v>0</v>
      </c>
      <c r="E309" s="827">
        <v>0</v>
      </c>
      <c r="F309" s="827">
        <v>0</v>
      </c>
      <c r="G309" s="827">
        <v>0</v>
      </c>
      <c r="H309" s="827">
        <v>0</v>
      </c>
      <c r="I309" s="827">
        <v>0</v>
      </c>
      <c r="J309" s="827">
        <v>0</v>
      </c>
      <c r="K309" s="827">
        <v>0</v>
      </c>
      <c r="L309" s="827">
        <v>0</v>
      </c>
      <c r="M309" s="827">
        <v>0</v>
      </c>
      <c r="N309" s="827">
        <v>0</v>
      </c>
      <c r="O309" s="827">
        <v>0</v>
      </c>
      <c r="P309" s="827">
        <v>0</v>
      </c>
      <c r="Q309" s="827">
        <v>0</v>
      </c>
      <c r="R309" s="827">
        <v>0</v>
      </c>
      <c r="S309" s="827">
        <v>0</v>
      </c>
      <c r="T309" s="827">
        <v>0</v>
      </c>
      <c r="U309" s="827">
        <v>0</v>
      </c>
      <c r="V309" s="827">
        <v>0</v>
      </c>
      <c r="W309" s="827">
        <v>0</v>
      </c>
      <c r="X309" s="827">
        <v>0</v>
      </c>
      <c r="Y309" s="827">
        <v>0</v>
      </c>
      <c r="Z309" s="827">
        <v>0</v>
      </c>
      <c r="AA309" s="827">
        <v>0</v>
      </c>
      <c r="AB309" s="827">
        <v>0</v>
      </c>
      <c r="AC309" s="828">
        <v>0</v>
      </c>
      <c r="AD309" s="828">
        <v>0</v>
      </c>
      <c r="AE309" s="828">
        <v>0</v>
      </c>
      <c r="AF309" s="828">
        <v>0</v>
      </c>
      <c r="AG309" s="828">
        <v>0</v>
      </c>
      <c r="AH309" s="828">
        <v>0</v>
      </c>
      <c r="AI309" s="828">
        <v>0</v>
      </c>
      <c r="AJ309" s="828">
        <v>0</v>
      </c>
      <c r="AK309" s="828">
        <v>0</v>
      </c>
      <c r="AL309" s="828">
        <v>0</v>
      </c>
      <c r="AM309" s="828">
        <v>0</v>
      </c>
      <c r="AN309" s="828">
        <v>0</v>
      </c>
      <c r="AO309" s="828">
        <v>0</v>
      </c>
      <c r="AP309" s="828">
        <v>0</v>
      </c>
    </row>
    <row r="310" hidden="1">
      <c r="B310" s="829" t="s">
        <v>18</v>
      </c>
      <c r="C310" s="823">
        <v>0</v>
      </c>
      <c r="D310" s="823">
        <v>0</v>
      </c>
      <c r="E310" s="823">
        <v>0</v>
      </c>
      <c r="F310" s="823">
        <v>0</v>
      </c>
      <c r="G310" s="823">
        <v>0</v>
      </c>
      <c r="H310" s="823">
        <v>0</v>
      </c>
      <c r="I310" s="823">
        <v>0</v>
      </c>
      <c r="J310" s="823">
        <v>0</v>
      </c>
      <c r="K310" s="823">
        <v>0</v>
      </c>
      <c r="L310" s="823">
        <v>0</v>
      </c>
      <c r="M310" s="823">
        <v>0</v>
      </c>
      <c r="N310" s="823">
        <v>0</v>
      </c>
      <c r="O310" s="823">
        <v>0</v>
      </c>
      <c r="P310" s="823">
        <v>0</v>
      </c>
      <c r="Q310" s="823">
        <v>0</v>
      </c>
      <c r="R310" s="823">
        <v>0</v>
      </c>
      <c r="S310" s="823">
        <v>0</v>
      </c>
      <c r="T310" s="823">
        <v>0</v>
      </c>
      <c r="U310" s="823">
        <v>0</v>
      </c>
      <c r="V310" s="823">
        <v>0</v>
      </c>
      <c r="W310" s="823">
        <v>0</v>
      </c>
      <c r="X310" s="823">
        <v>0</v>
      </c>
      <c r="Y310" s="823">
        <v>0</v>
      </c>
      <c r="Z310" s="823">
        <v>0</v>
      </c>
      <c r="AA310" s="823">
        <v>0</v>
      </c>
      <c r="AB310" s="823">
        <v>0</v>
      </c>
      <c r="AC310" s="825">
        <v>0</v>
      </c>
      <c r="AD310" s="825">
        <v>0</v>
      </c>
      <c r="AE310" s="825">
        <v>0</v>
      </c>
      <c r="AF310" s="825">
        <v>0</v>
      </c>
      <c r="AG310" s="825">
        <v>0</v>
      </c>
      <c r="AH310" s="825">
        <v>0</v>
      </c>
      <c r="AI310" s="825">
        <v>0</v>
      </c>
      <c r="AJ310" s="825">
        <v>0</v>
      </c>
      <c r="AK310" s="825">
        <v>0</v>
      </c>
      <c r="AL310" s="825">
        <v>0</v>
      </c>
      <c r="AM310" s="825">
        <v>0</v>
      </c>
      <c r="AN310" s="825">
        <v>0</v>
      </c>
      <c r="AO310" s="825">
        <v>0</v>
      </c>
      <c r="AP310" s="825">
        <v>0</v>
      </c>
    </row>
    <row r="311" hidden="1">
      <c r="B311" s="826" t="s">
        <v>19</v>
      </c>
      <c r="C311" s="827">
        <v>1</v>
      </c>
      <c r="D311" s="827">
        <v>1</v>
      </c>
      <c r="E311" s="827">
        <v>1</v>
      </c>
      <c r="F311" s="827">
        <v>1</v>
      </c>
      <c r="G311" s="827">
        <v>1</v>
      </c>
      <c r="H311" s="827">
        <v>1</v>
      </c>
      <c r="I311" s="827">
        <v>1</v>
      </c>
      <c r="J311" s="827">
        <v>1</v>
      </c>
      <c r="K311" s="827">
        <v>1</v>
      </c>
      <c r="L311" s="827">
        <v>1</v>
      </c>
      <c r="M311" s="827">
        <v>1</v>
      </c>
      <c r="N311" s="827">
        <v>1</v>
      </c>
      <c r="O311" s="827">
        <v>1</v>
      </c>
      <c r="P311" s="827">
        <v>1</v>
      </c>
      <c r="Q311" s="827">
        <v>1</v>
      </c>
      <c r="R311" s="827">
        <v>1</v>
      </c>
      <c r="S311" s="827">
        <v>0</v>
      </c>
      <c r="T311" s="827">
        <v>0</v>
      </c>
      <c r="U311" s="827">
        <v>0</v>
      </c>
      <c r="V311" s="827">
        <v>0</v>
      </c>
      <c r="W311" s="827">
        <v>0</v>
      </c>
      <c r="X311" s="827">
        <v>0</v>
      </c>
      <c r="Y311" s="827">
        <v>0</v>
      </c>
      <c r="Z311" s="827">
        <v>0</v>
      </c>
      <c r="AA311" s="827">
        <v>0</v>
      </c>
      <c r="AB311" s="827">
        <v>0</v>
      </c>
      <c r="AC311" s="828">
        <v>0</v>
      </c>
      <c r="AD311" s="828">
        <v>0</v>
      </c>
      <c r="AE311" s="828">
        <v>0</v>
      </c>
      <c r="AF311" s="828">
        <v>0</v>
      </c>
      <c r="AG311" s="828">
        <v>0</v>
      </c>
      <c r="AH311" s="828">
        <v>0</v>
      </c>
      <c r="AI311" s="828">
        <v>0</v>
      </c>
      <c r="AJ311" s="828">
        <v>0</v>
      </c>
      <c r="AK311" s="828">
        <v>0</v>
      </c>
      <c r="AL311" s="828">
        <v>0</v>
      </c>
      <c r="AM311" s="828">
        <v>0</v>
      </c>
      <c r="AN311" s="828">
        <v>0</v>
      </c>
      <c r="AO311" s="828">
        <v>0</v>
      </c>
      <c r="AP311" s="828">
        <v>0</v>
      </c>
    </row>
    <row r="312" hidden="1">
      <c r="B312" s="829" t="s">
        <v>20</v>
      </c>
      <c r="C312" s="823">
        <v>1</v>
      </c>
      <c r="D312" s="823">
        <v>1</v>
      </c>
      <c r="E312" s="823">
        <v>1</v>
      </c>
      <c r="F312" s="823">
        <v>1</v>
      </c>
      <c r="G312" s="823">
        <v>1</v>
      </c>
      <c r="H312" s="823">
        <v>1</v>
      </c>
      <c r="I312" s="823">
        <v>1</v>
      </c>
      <c r="J312" s="823">
        <v>1</v>
      </c>
      <c r="K312" s="823">
        <v>1</v>
      </c>
      <c r="L312" s="823">
        <v>1</v>
      </c>
      <c r="M312" s="823">
        <v>1</v>
      </c>
      <c r="N312" s="823">
        <v>1</v>
      </c>
      <c r="O312" s="823">
        <v>1</v>
      </c>
      <c r="P312" s="823">
        <v>1</v>
      </c>
      <c r="Q312" s="823">
        <v>1</v>
      </c>
      <c r="R312" s="823">
        <v>1</v>
      </c>
      <c r="S312" s="823">
        <v>1</v>
      </c>
      <c r="T312" s="823">
        <v>1</v>
      </c>
      <c r="U312" s="823">
        <v>1</v>
      </c>
      <c r="V312" s="823">
        <v>1</v>
      </c>
      <c r="W312" s="823">
        <v>1</v>
      </c>
      <c r="X312" s="823">
        <v>1</v>
      </c>
      <c r="Y312" s="823">
        <v>1</v>
      </c>
      <c r="Z312" s="823">
        <v>1</v>
      </c>
      <c r="AA312" s="823">
        <v>1</v>
      </c>
      <c r="AB312" s="823">
        <v>1</v>
      </c>
      <c r="AC312" s="825">
        <v>1</v>
      </c>
      <c r="AD312" s="825">
        <v>1</v>
      </c>
      <c r="AE312" s="825">
        <v>1</v>
      </c>
      <c r="AF312" s="825">
        <v>1</v>
      </c>
      <c r="AG312" s="825">
        <v>1</v>
      </c>
      <c r="AH312" s="825">
        <v>1</v>
      </c>
      <c r="AI312" s="825">
        <v>1</v>
      </c>
      <c r="AJ312" s="825">
        <v>1</v>
      </c>
      <c r="AK312" s="825">
        <v>1</v>
      </c>
      <c r="AL312" s="825">
        <v>1</v>
      </c>
      <c r="AM312" s="825">
        <v>1</v>
      </c>
      <c r="AN312" s="825">
        <v>1</v>
      </c>
      <c r="AO312" s="825">
        <v>1</v>
      </c>
      <c r="AP312" s="825">
        <v>1</v>
      </c>
    </row>
    <row r="313" hidden="1">
      <c r="B313" s="826" t="s">
        <v>21</v>
      </c>
      <c r="C313" s="827">
        <v>1</v>
      </c>
      <c r="D313" s="827">
        <v>1</v>
      </c>
      <c r="E313" s="827">
        <v>1</v>
      </c>
      <c r="F313" s="827">
        <v>1</v>
      </c>
      <c r="G313" s="827">
        <v>1</v>
      </c>
      <c r="H313" s="827">
        <v>1</v>
      </c>
      <c r="I313" s="827">
        <v>1</v>
      </c>
      <c r="J313" s="827">
        <v>1</v>
      </c>
      <c r="K313" s="827">
        <v>1</v>
      </c>
      <c r="L313" s="827">
        <v>0</v>
      </c>
      <c r="M313" s="827">
        <v>1</v>
      </c>
      <c r="N313" s="827">
        <v>1</v>
      </c>
      <c r="O313" s="827">
        <v>1</v>
      </c>
      <c r="P313" s="827">
        <v>1</v>
      </c>
      <c r="Q313" s="827">
        <v>1</v>
      </c>
      <c r="R313" s="827">
        <v>1</v>
      </c>
      <c r="S313" s="827">
        <v>0</v>
      </c>
      <c r="T313" s="827">
        <v>0</v>
      </c>
      <c r="U313" s="827">
        <v>0</v>
      </c>
      <c r="V313" s="827">
        <v>0</v>
      </c>
      <c r="W313" s="827">
        <v>0</v>
      </c>
      <c r="X313" s="827">
        <v>0</v>
      </c>
      <c r="Y313" s="827">
        <v>0</v>
      </c>
      <c r="Z313" s="827">
        <v>0</v>
      </c>
      <c r="AA313" s="827">
        <v>0</v>
      </c>
      <c r="AB313" s="827">
        <v>0</v>
      </c>
      <c r="AC313" s="828">
        <v>0</v>
      </c>
      <c r="AD313" s="828">
        <v>0</v>
      </c>
      <c r="AE313" s="828">
        <v>0</v>
      </c>
      <c r="AF313" s="828">
        <v>0</v>
      </c>
      <c r="AG313" s="828">
        <v>0</v>
      </c>
      <c r="AH313" s="828">
        <v>0</v>
      </c>
      <c r="AI313" s="828">
        <v>0</v>
      </c>
      <c r="AJ313" s="828">
        <v>0</v>
      </c>
      <c r="AK313" s="828">
        <v>0</v>
      </c>
      <c r="AL313" s="828">
        <v>0</v>
      </c>
      <c r="AM313" s="828">
        <v>0</v>
      </c>
      <c r="AN313" s="828">
        <v>0</v>
      </c>
      <c r="AO313" s="828">
        <v>0</v>
      </c>
      <c r="AP313" s="828">
        <v>0</v>
      </c>
    </row>
    <row r="314" hidden="1">
      <c r="B314" s="829" t="s">
        <v>22</v>
      </c>
      <c r="C314" s="823">
        <v>0</v>
      </c>
      <c r="D314" s="823">
        <v>0</v>
      </c>
      <c r="E314" s="823">
        <v>0</v>
      </c>
      <c r="F314" s="823">
        <v>0</v>
      </c>
      <c r="G314" s="823">
        <v>0</v>
      </c>
      <c r="H314" s="823">
        <v>0</v>
      </c>
      <c r="I314" s="823">
        <v>0</v>
      </c>
      <c r="J314" s="823">
        <v>0</v>
      </c>
      <c r="K314" s="823">
        <v>0</v>
      </c>
      <c r="L314" s="823">
        <v>0</v>
      </c>
      <c r="M314" s="823">
        <v>0</v>
      </c>
      <c r="N314" s="823">
        <v>0</v>
      </c>
      <c r="O314" s="823">
        <v>0</v>
      </c>
      <c r="P314" s="823">
        <v>0</v>
      </c>
      <c r="Q314" s="823">
        <v>0</v>
      </c>
      <c r="R314" s="823">
        <v>0</v>
      </c>
      <c r="S314" s="823">
        <v>0</v>
      </c>
      <c r="T314" s="823">
        <v>0</v>
      </c>
      <c r="U314" s="823">
        <v>0</v>
      </c>
      <c r="V314" s="823">
        <v>0</v>
      </c>
      <c r="W314" s="823">
        <v>0</v>
      </c>
      <c r="X314" s="823">
        <v>0</v>
      </c>
      <c r="Y314" s="823">
        <v>0</v>
      </c>
      <c r="Z314" s="823">
        <v>0</v>
      </c>
      <c r="AA314" s="823">
        <v>0</v>
      </c>
      <c r="AB314" s="823">
        <v>0</v>
      </c>
      <c r="AC314" s="825">
        <v>0</v>
      </c>
      <c r="AD314" s="825">
        <v>0</v>
      </c>
      <c r="AE314" s="825">
        <v>0</v>
      </c>
      <c r="AF314" s="825">
        <v>0</v>
      </c>
      <c r="AG314" s="825">
        <v>0</v>
      </c>
      <c r="AH314" s="825">
        <v>0</v>
      </c>
      <c r="AI314" s="825">
        <v>0</v>
      </c>
      <c r="AJ314" s="825">
        <v>0</v>
      </c>
      <c r="AK314" s="825">
        <v>0</v>
      </c>
      <c r="AL314" s="825">
        <v>0</v>
      </c>
      <c r="AM314" s="825">
        <v>0</v>
      </c>
      <c r="AN314" s="825">
        <v>0</v>
      </c>
      <c r="AO314" s="825">
        <v>0</v>
      </c>
      <c r="AP314" s="825">
        <v>0</v>
      </c>
    </row>
    <row r="315" hidden="1">
      <c r="B315" s="826" t="s">
        <v>23</v>
      </c>
      <c r="C315" s="827">
        <v>0</v>
      </c>
      <c r="D315" s="827">
        <v>0</v>
      </c>
      <c r="E315" s="827">
        <v>0</v>
      </c>
      <c r="F315" s="827">
        <v>0</v>
      </c>
      <c r="G315" s="827">
        <v>0</v>
      </c>
      <c r="H315" s="827">
        <v>0</v>
      </c>
      <c r="I315" s="827">
        <v>0</v>
      </c>
      <c r="J315" s="827">
        <v>0</v>
      </c>
      <c r="K315" s="827">
        <v>0</v>
      </c>
      <c r="L315" s="827">
        <v>1</v>
      </c>
      <c r="M315" s="827">
        <v>0</v>
      </c>
      <c r="N315" s="827">
        <v>0</v>
      </c>
      <c r="O315" s="827">
        <v>0</v>
      </c>
      <c r="P315" s="827">
        <v>0</v>
      </c>
      <c r="Q315" s="827">
        <v>0</v>
      </c>
      <c r="R315" s="827">
        <v>0</v>
      </c>
      <c r="S315" s="827">
        <v>0</v>
      </c>
      <c r="T315" s="827">
        <v>0</v>
      </c>
      <c r="U315" s="827">
        <v>0</v>
      </c>
      <c r="V315" s="827">
        <v>0</v>
      </c>
      <c r="W315" s="827">
        <v>0</v>
      </c>
      <c r="X315" s="827">
        <v>0</v>
      </c>
      <c r="Y315" s="827">
        <v>0</v>
      </c>
      <c r="Z315" s="827">
        <v>0</v>
      </c>
      <c r="AA315" s="827">
        <v>0</v>
      </c>
      <c r="AB315" s="827">
        <v>0</v>
      </c>
      <c r="AC315" s="828">
        <v>0</v>
      </c>
      <c r="AD315" s="828">
        <v>0</v>
      </c>
      <c r="AE315" s="828">
        <v>0</v>
      </c>
      <c r="AF315" s="828">
        <v>0</v>
      </c>
      <c r="AG315" s="828">
        <v>0</v>
      </c>
      <c r="AH315" s="828">
        <v>0</v>
      </c>
      <c r="AI315" s="828">
        <v>0</v>
      </c>
      <c r="AJ315" s="828">
        <v>0</v>
      </c>
      <c r="AK315" s="828">
        <v>0</v>
      </c>
      <c r="AL315" s="828">
        <v>0</v>
      </c>
      <c r="AM315" s="828">
        <v>0</v>
      </c>
      <c r="AN315" s="828">
        <v>0</v>
      </c>
      <c r="AO315" s="828">
        <v>0</v>
      </c>
      <c r="AP315" s="828">
        <v>0</v>
      </c>
    </row>
    <row r="316" hidden="1">
      <c r="B316" s="830" t="s">
        <v>24</v>
      </c>
      <c r="C316" s="823">
        <v>0</v>
      </c>
      <c r="D316" s="823">
        <v>0</v>
      </c>
      <c r="E316" s="823">
        <v>0</v>
      </c>
      <c r="F316" s="823">
        <v>0</v>
      </c>
      <c r="G316" s="823">
        <v>0</v>
      </c>
      <c r="H316" s="823">
        <v>0</v>
      </c>
      <c r="I316" s="823">
        <v>0</v>
      </c>
      <c r="J316" s="823">
        <v>0</v>
      </c>
      <c r="K316" s="823">
        <v>0</v>
      </c>
      <c r="L316" s="823">
        <v>0</v>
      </c>
      <c r="M316" s="823">
        <v>0</v>
      </c>
      <c r="N316" s="823">
        <v>0</v>
      </c>
      <c r="O316" s="823">
        <v>0</v>
      </c>
      <c r="P316" s="823">
        <v>0</v>
      </c>
      <c r="Q316" s="823">
        <v>0</v>
      </c>
      <c r="R316" s="823">
        <v>0</v>
      </c>
      <c r="S316" s="823">
        <v>0</v>
      </c>
      <c r="T316" s="823">
        <v>0</v>
      </c>
      <c r="U316" s="823">
        <v>0</v>
      </c>
      <c r="V316" s="823">
        <v>0</v>
      </c>
      <c r="W316" s="823">
        <v>0</v>
      </c>
      <c r="X316" s="823">
        <v>0</v>
      </c>
      <c r="Y316" s="823">
        <v>0</v>
      </c>
      <c r="Z316" s="823">
        <v>0</v>
      </c>
      <c r="AA316" s="823">
        <v>0</v>
      </c>
      <c r="AB316" s="823">
        <v>0</v>
      </c>
      <c r="AC316" s="825">
        <v>0</v>
      </c>
      <c r="AD316" s="825">
        <v>0</v>
      </c>
      <c r="AE316" s="825">
        <v>0</v>
      </c>
      <c r="AF316" s="825">
        <v>0</v>
      </c>
      <c r="AG316" s="825">
        <v>0</v>
      </c>
      <c r="AH316" s="825">
        <v>0</v>
      </c>
      <c r="AI316" s="825">
        <v>0</v>
      </c>
      <c r="AJ316" s="825">
        <v>0</v>
      </c>
      <c r="AK316" s="825">
        <v>0</v>
      </c>
      <c r="AL316" s="825">
        <v>0</v>
      </c>
      <c r="AM316" s="825">
        <v>0</v>
      </c>
      <c r="AN316" s="825">
        <v>0</v>
      </c>
      <c r="AO316" s="825">
        <v>0</v>
      </c>
      <c r="AP316" s="825">
        <v>0</v>
      </c>
    </row>
    <row r="317" hidden="1">
      <c r="B317" s="826" t="s">
        <v>25</v>
      </c>
      <c r="C317" s="827">
        <v>0</v>
      </c>
      <c r="D317" s="827">
        <v>0</v>
      </c>
      <c r="E317" s="827">
        <v>0</v>
      </c>
      <c r="F317" s="827">
        <v>0</v>
      </c>
      <c r="G317" s="827">
        <v>0</v>
      </c>
      <c r="H317" s="827">
        <v>0</v>
      </c>
      <c r="I317" s="827">
        <v>0</v>
      </c>
      <c r="J317" s="827">
        <v>0</v>
      </c>
      <c r="K317" s="827">
        <v>0</v>
      </c>
      <c r="L317" s="827">
        <v>0</v>
      </c>
      <c r="M317" s="827">
        <v>0</v>
      </c>
      <c r="N317" s="827">
        <v>0</v>
      </c>
      <c r="O317" s="827">
        <v>0</v>
      </c>
      <c r="P317" s="827">
        <v>0</v>
      </c>
      <c r="Q317" s="827">
        <v>0</v>
      </c>
      <c r="R317" s="827">
        <v>0</v>
      </c>
      <c r="S317" s="827">
        <v>0</v>
      </c>
      <c r="T317" s="827">
        <v>0</v>
      </c>
      <c r="U317" s="827">
        <v>0</v>
      </c>
      <c r="V317" s="827">
        <v>0</v>
      </c>
      <c r="W317" s="827">
        <v>0</v>
      </c>
      <c r="X317" s="827">
        <v>0</v>
      </c>
      <c r="Y317" s="827">
        <v>0</v>
      </c>
      <c r="Z317" s="827">
        <v>0</v>
      </c>
      <c r="AA317" s="827">
        <v>0</v>
      </c>
      <c r="AB317" s="827">
        <v>0</v>
      </c>
      <c r="AC317" s="828">
        <v>0</v>
      </c>
      <c r="AD317" s="828">
        <v>0</v>
      </c>
      <c r="AE317" s="828">
        <v>0</v>
      </c>
      <c r="AF317" s="828">
        <v>0</v>
      </c>
      <c r="AG317" s="828">
        <v>0</v>
      </c>
      <c r="AH317" s="828">
        <v>0</v>
      </c>
      <c r="AI317" s="828">
        <v>0</v>
      </c>
      <c r="AJ317" s="828">
        <v>0</v>
      </c>
      <c r="AK317" s="828">
        <v>0</v>
      </c>
      <c r="AL317" s="828">
        <v>0</v>
      </c>
      <c r="AM317" s="828">
        <v>0</v>
      </c>
      <c r="AN317" s="828">
        <v>0</v>
      </c>
      <c r="AO317" s="828">
        <v>0</v>
      </c>
      <c r="AP317" s="828">
        <v>0</v>
      </c>
    </row>
    <row r="318" hidden="1" ht="13.5">
      <c r="B318" s="831" t="s">
        <v>26</v>
      </c>
      <c r="C318" s="823">
        <v>0</v>
      </c>
      <c r="D318" s="823">
        <v>0</v>
      </c>
      <c r="E318" s="823">
        <v>0</v>
      </c>
      <c r="F318" s="823">
        <v>0</v>
      </c>
      <c r="G318" s="823">
        <v>0</v>
      </c>
      <c r="H318" s="823">
        <v>0</v>
      </c>
      <c r="I318" s="823">
        <v>0</v>
      </c>
      <c r="J318" s="823">
        <v>0</v>
      </c>
      <c r="K318" s="823">
        <v>0</v>
      </c>
      <c r="L318" s="823">
        <v>0</v>
      </c>
      <c r="M318" s="823">
        <v>0</v>
      </c>
      <c r="N318" s="823">
        <v>0</v>
      </c>
      <c r="O318" s="823">
        <v>0</v>
      </c>
      <c r="P318" s="823">
        <v>0</v>
      </c>
      <c r="Q318" s="823">
        <v>0</v>
      </c>
      <c r="R318" s="823">
        <v>0</v>
      </c>
      <c r="S318" s="823">
        <v>0</v>
      </c>
      <c r="T318" s="823">
        <v>0</v>
      </c>
      <c r="U318" s="823">
        <v>0</v>
      </c>
      <c r="V318" s="823">
        <v>0</v>
      </c>
      <c r="W318" s="823">
        <v>0</v>
      </c>
      <c r="X318" s="823">
        <v>0</v>
      </c>
      <c r="Y318" s="823">
        <v>0</v>
      </c>
      <c r="Z318" s="823">
        <v>0</v>
      </c>
      <c r="AA318" s="823">
        <v>0</v>
      </c>
      <c r="AB318" s="832">
        <v>0</v>
      </c>
      <c r="AC318" s="825">
        <v>0</v>
      </c>
      <c r="AD318" s="825">
        <v>0</v>
      </c>
      <c r="AE318" s="825">
        <v>0</v>
      </c>
      <c r="AF318" s="825">
        <v>0</v>
      </c>
      <c r="AG318" s="825">
        <v>0</v>
      </c>
      <c r="AH318" s="825">
        <v>0</v>
      </c>
      <c r="AI318" s="825">
        <v>0</v>
      </c>
      <c r="AJ318" s="825">
        <v>0</v>
      </c>
      <c r="AK318" s="825">
        <v>0</v>
      </c>
      <c r="AL318" s="825">
        <v>0</v>
      </c>
      <c r="AM318" s="825">
        <v>0</v>
      </c>
      <c r="AN318" s="825">
        <v>0</v>
      </c>
      <c r="AO318" s="825">
        <v>0</v>
      </c>
      <c r="AP318" s="825">
        <v>0</v>
      </c>
    </row>
    <row r="319" hidden="1" ht="13.5">
      <c r="B319" s="128" t="s">
        <v>7</v>
      </c>
      <c r="C319" s="129" t="str">
        <f>IF(SUM(C300:C318)&lt;&gt;0,SUM(C300:C318),"")</f>
      </c>
      <c r="D319" s="129" t="str">
        <f ref="D319:AA319" t="shared" si="40">IF(SUM(D300:D318)&lt;&gt;0,SUM(D300:D318),"")</f>
      </c>
      <c r="E319" s="129" t="str">
        <f t="shared" si="40"/>
      </c>
      <c r="F319" s="129" t="str">
        <f t="shared" si="40"/>
      </c>
      <c r="G319" s="129" t="str">
        <f t="shared" si="40"/>
      </c>
      <c r="H319" s="129" t="str">
        <f t="shared" si="40"/>
      </c>
      <c r="I319" s="129" t="str">
        <f t="shared" si="40"/>
      </c>
      <c r="J319" s="129" t="str">
        <f t="shared" si="40"/>
      </c>
      <c r="K319" s="129" t="str">
        <f t="shared" si="40"/>
      </c>
      <c r="L319" s="129" t="str">
        <f t="shared" si="40"/>
      </c>
      <c r="M319" s="129" t="str">
        <f t="shared" si="40"/>
      </c>
      <c r="N319" s="129" t="str">
        <f t="shared" si="40"/>
      </c>
      <c r="O319" s="129" t="str">
        <f t="shared" si="40"/>
      </c>
      <c r="P319" s="129" t="str">
        <f t="shared" si="40"/>
      </c>
      <c r="Q319" s="129" t="str">
        <f t="shared" si="40"/>
      </c>
      <c r="R319" s="129" t="str">
        <f t="shared" si="40"/>
      </c>
      <c r="S319" s="129" t="str">
        <f t="shared" si="40"/>
      </c>
      <c r="T319" s="129" t="str">
        <f t="shared" si="40"/>
      </c>
      <c r="U319" s="129" t="str">
        <f t="shared" si="40"/>
      </c>
      <c r="V319" s="129" t="str">
        <f t="shared" si="40"/>
      </c>
      <c r="W319" s="129" t="str">
        <f t="shared" si="40"/>
      </c>
      <c r="X319" s="129" t="str">
        <f t="shared" si="40"/>
      </c>
      <c r="Y319" s="129" t="str">
        <f t="shared" si="40"/>
      </c>
      <c r="Z319" s="129" t="str">
        <f t="shared" si="40"/>
      </c>
      <c r="AA319" s="129" t="str">
        <f t="shared" si="40"/>
      </c>
      <c r="AB319" s="130" t="str">
        <f>IF(SUM(AB300:AB318)&lt;&gt;0,SUM(AB300:AB318),"")</f>
      </c>
      <c r="AC319" s="91" t="str">
        <f ref="AC319:CN319" t="shared" si="41">IF(SUM(AC300:AC318)&lt;&gt;0,SUM(AC300:AC318),"")</f>
      </c>
      <c r="AD319" s="91" t="str">
        <f t="shared" si="41"/>
      </c>
      <c r="AE319" s="91" t="str">
        <f t="shared" si="41"/>
      </c>
      <c r="AF319" s="91" t="str">
        <f t="shared" si="41"/>
      </c>
      <c r="AG319" s="91" t="str">
        <f t="shared" si="41"/>
      </c>
      <c r="AH319" s="91" t="str">
        <f t="shared" si="41"/>
      </c>
      <c r="AI319" s="91" t="str">
        <f t="shared" si="41"/>
      </c>
      <c r="AJ319" s="91" t="str">
        <f t="shared" si="41"/>
      </c>
      <c r="AK319" s="91" t="str">
        <f t="shared" si="41"/>
      </c>
      <c r="AL319" s="91" t="str">
        <f t="shared" si="41"/>
      </c>
      <c r="AM319" s="91" t="str">
        <f t="shared" si="41"/>
      </c>
      <c r="AN319" s="91" t="str">
        <f t="shared" si="41"/>
      </c>
      <c r="AO319" s="91" t="str">
        <f t="shared" si="41"/>
      </c>
      <c r="AP319" s="91" t="str">
        <f t="shared" si="41"/>
      </c>
      <c r="AQ319" s="91" t="str">
        <f t="shared" si="41"/>
      </c>
      <c r="AR319" s="91" t="str">
        <f t="shared" si="41"/>
      </c>
      <c r="AS319" s="91" t="str">
        <f t="shared" si="41"/>
      </c>
      <c r="AT319" s="91" t="str">
        <f t="shared" si="41"/>
      </c>
      <c r="AU319" s="91" t="str">
        <f t="shared" si="41"/>
      </c>
      <c r="AV319" s="91" t="str">
        <f t="shared" si="41"/>
      </c>
      <c r="AW319" s="91" t="str">
        <f t="shared" si="41"/>
      </c>
      <c r="AX319" s="91" t="str">
        <f t="shared" si="41"/>
      </c>
      <c r="AY319" s="91" t="str">
        <f t="shared" si="41"/>
      </c>
      <c r="AZ319" s="91" t="str">
        <f t="shared" si="41"/>
      </c>
      <c r="BA319" s="91" t="str">
        <f t="shared" si="41"/>
      </c>
      <c r="BB319" s="91" t="str">
        <f t="shared" si="41"/>
      </c>
      <c r="BC319" s="91" t="str">
        <f t="shared" si="41"/>
      </c>
      <c r="BD319" s="91" t="str">
        <f t="shared" si="41"/>
      </c>
      <c r="BE319" s="91" t="str">
        <f t="shared" si="41"/>
      </c>
      <c r="BF319" s="91" t="str">
        <f t="shared" si="41"/>
      </c>
      <c r="BG319" s="91" t="str">
        <f t="shared" si="41"/>
      </c>
      <c r="BH319" s="91" t="str">
        <f t="shared" si="41"/>
      </c>
      <c r="BI319" s="91" t="str">
        <f t="shared" si="41"/>
      </c>
      <c r="BJ319" s="91" t="str">
        <f t="shared" si="41"/>
      </c>
      <c r="BK319" s="91" t="str">
        <f t="shared" si="41"/>
      </c>
      <c r="BL319" s="91" t="str">
        <f t="shared" si="41"/>
      </c>
      <c r="BM319" s="91" t="str">
        <f t="shared" si="41"/>
      </c>
      <c r="BN319" s="91" t="str">
        <f t="shared" si="41"/>
      </c>
      <c r="BO319" s="91" t="str">
        <f t="shared" si="41"/>
      </c>
      <c r="BP319" s="91" t="str">
        <f t="shared" si="41"/>
      </c>
      <c r="BQ319" s="91" t="str">
        <f t="shared" si="41"/>
      </c>
      <c r="BR319" s="91" t="str">
        <f t="shared" si="41"/>
      </c>
      <c r="BS319" s="91" t="str">
        <f t="shared" si="41"/>
      </c>
      <c r="BT319" s="91" t="str">
        <f t="shared" si="41"/>
      </c>
      <c r="BU319" s="91" t="str">
        <f t="shared" si="41"/>
      </c>
      <c r="BV319" s="91" t="str">
        <f t="shared" si="41"/>
      </c>
      <c r="BW319" s="91" t="str">
        <f t="shared" si="41"/>
      </c>
      <c r="BX319" s="91" t="str">
        <f t="shared" si="41"/>
      </c>
      <c r="BY319" s="91" t="str">
        <f t="shared" si="41"/>
      </c>
      <c r="BZ319" s="91" t="str">
        <f t="shared" si="41"/>
      </c>
      <c r="CA319" s="91" t="str">
        <f t="shared" si="41"/>
      </c>
      <c r="CB319" s="91" t="str">
        <f t="shared" si="41"/>
      </c>
      <c r="CC319" s="91" t="str">
        <f t="shared" si="41"/>
      </c>
      <c r="CD319" s="91" t="str">
        <f t="shared" si="41"/>
      </c>
      <c r="CE319" s="91" t="str">
        <f t="shared" si="41"/>
      </c>
      <c r="CF319" s="91" t="str">
        <f t="shared" si="41"/>
      </c>
      <c r="CG319" s="91" t="str">
        <f t="shared" si="41"/>
      </c>
      <c r="CH319" s="91" t="str">
        <f t="shared" si="41"/>
      </c>
      <c r="CI319" s="91" t="str">
        <f t="shared" si="41"/>
      </c>
      <c r="CJ319" s="91" t="str">
        <f t="shared" si="41"/>
      </c>
      <c r="CK319" s="91" t="str">
        <f t="shared" si="41"/>
      </c>
      <c r="CL319" s="91" t="str">
        <f t="shared" si="41"/>
      </c>
      <c r="CM319" s="91" t="str">
        <f t="shared" si="41"/>
      </c>
      <c r="CN319" s="91" t="str">
        <f t="shared" si="41"/>
      </c>
      <c r="CO319" s="91" t="str">
        <f ref="CO319:EZ319" t="shared" si="42">IF(SUM(CO300:CO318)&lt;&gt;0,SUM(CO300:CO318),"")</f>
      </c>
      <c r="CP319" s="91" t="str">
        <f t="shared" si="42"/>
      </c>
      <c r="CQ319" s="91" t="str">
        <f t="shared" si="42"/>
      </c>
      <c r="CR319" s="91" t="str">
        <f t="shared" si="42"/>
      </c>
      <c r="CS319" s="91" t="str">
        <f t="shared" si="42"/>
      </c>
      <c r="CT319" s="91" t="str">
        <f t="shared" si="42"/>
      </c>
      <c r="CU319" s="91" t="str">
        <f t="shared" si="42"/>
      </c>
      <c r="CV319" s="91" t="str">
        <f t="shared" si="42"/>
      </c>
      <c r="CW319" s="91" t="str">
        <f t="shared" si="42"/>
      </c>
      <c r="CX319" s="91" t="str">
        <f t="shared" si="42"/>
      </c>
      <c r="CY319" s="91" t="str">
        <f t="shared" si="42"/>
      </c>
      <c r="CZ319" s="91" t="str">
        <f t="shared" si="42"/>
      </c>
      <c r="DA319" s="91" t="str">
        <f t="shared" si="42"/>
      </c>
      <c r="DB319" s="91" t="str">
        <f t="shared" si="42"/>
      </c>
      <c r="DC319" s="91" t="str">
        <f t="shared" si="42"/>
      </c>
      <c r="DD319" s="91" t="str">
        <f t="shared" si="42"/>
      </c>
      <c r="DE319" s="91" t="str">
        <f t="shared" si="42"/>
      </c>
      <c r="DF319" s="91" t="str">
        <f t="shared" si="42"/>
      </c>
      <c r="DG319" s="91" t="str">
        <f t="shared" si="42"/>
      </c>
      <c r="DH319" s="91" t="str">
        <f t="shared" si="42"/>
      </c>
      <c r="DI319" s="91" t="str">
        <f t="shared" si="42"/>
      </c>
      <c r="DJ319" s="91" t="str">
        <f t="shared" si="42"/>
      </c>
      <c r="DK319" s="91" t="str">
        <f t="shared" si="42"/>
      </c>
      <c r="DL319" s="91" t="str">
        <f t="shared" si="42"/>
      </c>
      <c r="DM319" s="91" t="str">
        <f t="shared" si="42"/>
      </c>
      <c r="DN319" s="91" t="str">
        <f t="shared" si="42"/>
      </c>
      <c r="DO319" s="91" t="str">
        <f t="shared" si="42"/>
      </c>
      <c r="DP319" s="91" t="str">
        <f t="shared" si="42"/>
      </c>
      <c r="DQ319" s="91" t="str">
        <f t="shared" si="42"/>
      </c>
      <c r="DR319" s="91" t="str">
        <f t="shared" si="42"/>
      </c>
      <c r="DS319" s="91" t="str">
        <f t="shared" si="42"/>
      </c>
      <c r="DT319" s="91" t="str">
        <f t="shared" si="42"/>
      </c>
      <c r="DU319" s="91" t="str">
        <f t="shared" si="42"/>
      </c>
      <c r="DV319" s="91" t="str">
        <f t="shared" si="42"/>
      </c>
      <c r="DW319" s="91" t="str">
        <f t="shared" si="42"/>
      </c>
      <c r="DX319" s="91" t="str">
        <f t="shared" si="42"/>
      </c>
      <c r="DY319" s="91" t="str">
        <f t="shared" si="42"/>
      </c>
      <c r="DZ319" s="91" t="str">
        <f t="shared" si="42"/>
      </c>
      <c r="EA319" s="91" t="str">
        <f t="shared" si="42"/>
      </c>
      <c r="EB319" s="91" t="str">
        <f t="shared" si="42"/>
      </c>
      <c r="EC319" s="91" t="str">
        <f t="shared" si="42"/>
      </c>
      <c r="ED319" s="91" t="str">
        <f t="shared" si="42"/>
      </c>
      <c r="EE319" s="91" t="str">
        <f t="shared" si="42"/>
      </c>
      <c r="EF319" s="91" t="str">
        <f t="shared" si="42"/>
      </c>
      <c r="EG319" s="91" t="str">
        <f t="shared" si="42"/>
      </c>
      <c r="EH319" s="91" t="str">
        <f t="shared" si="42"/>
      </c>
      <c r="EI319" s="91" t="str">
        <f t="shared" si="42"/>
      </c>
      <c r="EJ319" s="91" t="str">
        <f t="shared" si="42"/>
      </c>
      <c r="EK319" s="91" t="str">
        <f t="shared" si="42"/>
      </c>
      <c r="EL319" s="91" t="str">
        <f t="shared" si="42"/>
      </c>
      <c r="EM319" s="91" t="str">
        <f t="shared" si="42"/>
      </c>
      <c r="EN319" s="91" t="str">
        <f t="shared" si="42"/>
      </c>
      <c r="EO319" s="91" t="str">
        <f t="shared" si="42"/>
      </c>
      <c r="EP319" s="91" t="str">
        <f t="shared" si="42"/>
      </c>
      <c r="EQ319" s="91" t="str">
        <f t="shared" si="42"/>
      </c>
      <c r="ER319" s="91" t="str">
        <f t="shared" si="42"/>
      </c>
      <c r="ES319" s="91" t="str">
        <f t="shared" si="42"/>
      </c>
      <c r="ET319" s="91" t="str">
        <f t="shared" si="42"/>
      </c>
      <c r="EU319" s="91" t="str">
        <f t="shared" si="42"/>
      </c>
      <c r="EV319" s="91" t="str">
        <f t="shared" si="42"/>
      </c>
      <c r="EW319" s="91" t="str">
        <f t="shared" si="42"/>
      </c>
      <c r="EX319" s="91" t="str">
        <f t="shared" si="42"/>
      </c>
      <c r="EY319" s="91" t="str">
        <f t="shared" si="42"/>
      </c>
      <c r="EZ319" s="91" t="str">
        <f t="shared" si="42"/>
      </c>
      <c r="FA319" s="91" t="str">
        <f ref="FA319:HL319" t="shared" si="43">IF(SUM(FA300:FA318)&lt;&gt;0,SUM(FA300:FA318),"")</f>
      </c>
      <c r="FB319" s="91" t="str">
        <f t="shared" si="43"/>
      </c>
      <c r="FC319" s="91" t="str">
        <f t="shared" si="43"/>
      </c>
      <c r="FD319" s="91" t="str">
        <f t="shared" si="43"/>
      </c>
      <c r="FE319" s="91" t="str">
        <f t="shared" si="43"/>
      </c>
      <c r="FF319" s="91" t="str">
        <f t="shared" si="43"/>
      </c>
      <c r="FG319" s="91" t="str">
        <f t="shared" si="43"/>
      </c>
      <c r="FH319" s="91" t="str">
        <f t="shared" si="43"/>
      </c>
      <c r="FI319" s="91" t="str">
        <f t="shared" si="43"/>
      </c>
      <c r="FJ319" s="91" t="str">
        <f t="shared" si="43"/>
      </c>
      <c r="FK319" s="91" t="str">
        <f t="shared" si="43"/>
      </c>
      <c r="FL319" s="91" t="str">
        <f t="shared" si="43"/>
      </c>
      <c r="FM319" s="91" t="str">
        <f t="shared" si="43"/>
      </c>
      <c r="FN319" s="91" t="str">
        <f t="shared" si="43"/>
      </c>
      <c r="FO319" s="91" t="str">
        <f t="shared" si="43"/>
      </c>
      <c r="FP319" s="91" t="str">
        <f t="shared" si="43"/>
      </c>
      <c r="FQ319" s="91" t="str">
        <f t="shared" si="43"/>
      </c>
      <c r="FR319" s="91" t="str">
        <f t="shared" si="43"/>
      </c>
      <c r="FS319" s="91" t="str">
        <f t="shared" si="43"/>
      </c>
      <c r="FT319" s="91" t="str">
        <f t="shared" si="43"/>
      </c>
      <c r="FU319" s="91" t="str">
        <f t="shared" si="43"/>
      </c>
      <c r="FV319" s="91" t="str">
        <f t="shared" si="43"/>
      </c>
      <c r="FW319" s="91" t="str">
        <f t="shared" si="43"/>
      </c>
      <c r="FX319" s="91" t="str">
        <f t="shared" si="43"/>
      </c>
      <c r="FY319" s="91" t="str">
        <f t="shared" si="43"/>
      </c>
      <c r="FZ319" s="91" t="str">
        <f t="shared" si="43"/>
      </c>
      <c r="GA319" s="91" t="str">
        <f t="shared" si="43"/>
      </c>
      <c r="GB319" s="91" t="str">
        <f t="shared" si="43"/>
      </c>
      <c r="GC319" s="91" t="str">
        <f t="shared" si="43"/>
      </c>
      <c r="GD319" s="91" t="str">
        <f t="shared" si="43"/>
      </c>
      <c r="GE319" s="91" t="str">
        <f t="shared" si="43"/>
      </c>
      <c r="GF319" s="91" t="str">
        <f t="shared" si="43"/>
      </c>
      <c r="GG319" s="91" t="str">
        <f t="shared" si="43"/>
      </c>
      <c r="GH319" s="91" t="str">
        <f t="shared" si="43"/>
      </c>
      <c r="GI319" s="91" t="str">
        <f t="shared" si="43"/>
      </c>
      <c r="GJ319" s="91" t="str">
        <f t="shared" si="43"/>
      </c>
      <c r="GK319" s="91" t="str">
        <f t="shared" si="43"/>
      </c>
      <c r="GL319" s="91" t="str">
        <f t="shared" si="43"/>
      </c>
      <c r="GM319" s="91" t="str">
        <f t="shared" si="43"/>
      </c>
      <c r="GN319" s="91" t="str">
        <f t="shared" si="43"/>
      </c>
      <c r="GO319" s="91" t="str">
        <f t="shared" si="43"/>
      </c>
      <c r="GP319" s="91" t="str">
        <f t="shared" si="43"/>
      </c>
      <c r="GQ319" s="91" t="str">
        <f t="shared" si="43"/>
      </c>
      <c r="GR319" s="91" t="str">
        <f t="shared" si="43"/>
      </c>
      <c r="GS319" s="91" t="str">
        <f t="shared" si="43"/>
      </c>
      <c r="GT319" s="91" t="str">
        <f t="shared" si="43"/>
      </c>
      <c r="GU319" s="91" t="str">
        <f t="shared" si="43"/>
      </c>
      <c r="GV319" s="91" t="str">
        <f t="shared" si="43"/>
      </c>
      <c r="GW319" s="91" t="str">
        <f t="shared" si="43"/>
      </c>
      <c r="GX319" s="91" t="str">
        <f t="shared" si="43"/>
      </c>
      <c r="GY319" s="91" t="str">
        <f t="shared" si="43"/>
      </c>
      <c r="GZ319" s="91" t="str">
        <f t="shared" si="43"/>
      </c>
      <c r="HA319" s="91" t="str">
        <f t="shared" si="43"/>
      </c>
      <c r="HB319" s="91" t="str">
        <f t="shared" si="43"/>
      </c>
      <c r="HC319" s="91" t="str">
        <f t="shared" si="43"/>
      </c>
      <c r="HD319" s="91" t="str">
        <f t="shared" si="43"/>
      </c>
      <c r="HE319" s="91" t="str">
        <f t="shared" si="43"/>
      </c>
      <c r="HF319" s="91" t="str">
        <f t="shared" si="43"/>
      </c>
      <c r="HG319" s="91" t="str">
        <f t="shared" si="43"/>
      </c>
      <c r="HH319" s="91" t="str">
        <f t="shared" si="43"/>
      </c>
      <c r="HI319" s="91" t="str">
        <f t="shared" si="43"/>
      </c>
      <c r="HJ319" s="91" t="str">
        <f t="shared" si="43"/>
      </c>
      <c r="HK319" s="91" t="str">
        <f t="shared" si="43"/>
      </c>
      <c r="HL319" s="91" t="str">
        <f t="shared" si="43"/>
      </c>
      <c r="HM319" s="91" t="str">
        <f ref="HM319:IV319" t="shared" si="44">IF(SUM(HM300:HM318)&lt;&gt;0,SUM(HM300:HM318),"")</f>
      </c>
      <c r="HN319" s="91" t="str">
        <f t="shared" si="44"/>
      </c>
      <c r="HO319" s="91" t="str">
        <f t="shared" si="44"/>
      </c>
      <c r="HP319" s="91" t="str">
        <f t="shared" si="44"/>
      </c>
      <c r="HQ319" s="91" t="str">
        <f t="shared" si="44"/>
      </c>
      <c r="HR319" s="91" t="str">
        <f t="shared" si="44"/>
      </c>
      <c r="HS319" s="91" t="str">
        <f t="shared" si="44"/>
      </c>
      <c r="HT319" s="91" t="str">
        <f t="shared" si="44"/>
      </c>
      <c r="HU319" s="91" t="str">
        <f t="shared" si="44"/>
      </c>
      <c r="HV319" s="91" t="str">
        <f t="shared" si="44"/>
      </c>
      <c r="HW319" s="91" t="str">
        <f t="shared" si="44"/>
      </c>
      <c r="HX319" s="91" t="str">
        <f t="shared" si="44"/>
      </c>
      <c r="HY319" s="91" t="str">
        <f t="shared" si="44"/>
      </c>
      <c r="HZ319" s="91" t="str">
        <f t="shared" si="44"/>
      </c>
      <c r="IA319" s="91" t="str">
        <f t="shared" si="44"/>
      </c>
      <c r="IB319" s="91" t="str">
        <f t="shared" si="44"/>
      </c>
      <c r="IC319" s="91" t="str">
        <f t="shared" si="44"/>
      </c>
      <c r="ID319" s="91" t="str">
        <f t="shared" si="44"/>
      </c>
      <c r="IE319" s="91" t="str">
        <f t="shared" si="44"/>
      </c>
      <c r="IF319" s="91" t="str">
        <f t="shared" si="44"/>
      </c>
      <c r="IG319" s="91" t="str">
        <f t="shared" si="44"/>
      </c>
      <c r="IH319" s="91" t="str">
        <f t="shared" si="44"/>
      </c>
      <c r="II319" s="91" t="str">
        <f t="shared" si="44"/>
      </c>
      <c r="IJ319" s="91" t="str">
        <f t="shared" si="44"/>
      </c>
      <c r="IK319" s="91" t="str">
        <f t="shared" si="44"/>
      </c>
      <c r="IL319" s="91" t="str">
        <f t="shared" si="44"/>
      </c>
      <c r="IM319" s="91" t="str">
        <f t="shared" si="44"/>
      </c>
      <c r="IN319" s="91" t="str">
        <f t="shared" si="44"/>
      </c>
      <c r="IO319" s="91" t="str">
        <f t="shared" si="44"/>
      </c>
      <c r="IP319" s="91" t="str">
        <f t="shared" si="44"/>
      </c>
      <c r="IQ319" s="91" t="str">
        <f t="shared" si="44"/>
      </c>
      <c r="IR319" s="91" t="str">
        <f t="shared" si="44"/>
      </c>
      <c r="IS319" s="91" t="str">
        <f t="shared" si="44"/>
      </c>
      <c r="IT319" s="91" t="str">
        <f t="shared" si="44"/>
      </c>
      <c r="IU319" s="91" t="str">
        <f t="shared" si="44"/>
      </c>
      <c r="IV319" s="91" t="str">
        <f t="shared" si="44"/>
      </c>
    </row>
    <row r="320" hidden="1"/>
    <row r="321" hidden="1"/>
    <row r="322" hidden="1" ht="13.5"/>
    <row r="323" hidden="1" ht="15.75" customHeight="1">
      <c r="C323" s="686" t="s">
        <v>119</v>
      </c>
      <c r="D323" s="687"/>
      <c r="E323" s="687"/>
      <c r="F323" s="687"/>
      <c r="G323" s="687"/>
      <c r="H323" s="687"/>
      <c r="I323" s="687"/>
      <c r="J323" s="687"/>
      <c r="K323" s="687"/>
      <c r="L323" s="687"/>
      <c r="M323" s="687"/>
      <c r="N323" s="687"/>
      <c r="O323" s="687"/>
      <c r="P323" s="687"/>
      <c r="Q323" s="687"/>
      <c r="R323" s="687"/>
      <c r="S323" s="687"/>
      <c r="T323" s="687"/>
      <c r="U323" s="687"/>
      <c r="V323" s="687"/>
      <c r="W323" s="687"/>
      <c r="X323" s="687"/>
      <c r="Y323" s="687"/>
      <c r="Z323" s="687"/>
      <c r="AA323" s="687"/>
      <c r="AB323" s="688"/>
    </row>
    <row r="324" hidden="1" ht="13.5">
      <c r="C324" s="435" t="str">
        <f> IF(C344&lt;&gt;"",TEXT(AUX!G$1,"dd-MMM-aa"),"")</f>
      </c>
      <c r="D324" s="435" t="str">
        <f> IF(D344&lt;&gt;"",TEXT(AUX!H$1,"dd-MMM-aa"),"")</f>
      </c>
      <c r="E324" s="435" t="str">
        <f> IF(E344&lt;&gt;"",TEXT(AUX!I$1,"dd-MMM-aa"),"")</f>
      </c>
      <c r="F324" s="435" t="str">
        <f> IF(F344&lt;&gt;"",TEXT(AUX!J$1,"dd-MMM-aa"),"")</f>
      </c>
      <c r="G324" s="435" t="str">
        <f> IF(G344&lt;&gt;"",TEXT(AUX!K$1,"dd-MMM-aa"),"")</f>
      </c>
      <c r="H324" s="435" t="str">
        <f> IF(H344&lt;&gt;"",TEXT(AUX!L$1,"dd-MMM-aa"),"")</f>
      </c>
      <c r="I324" s="435" t="str">
        <f> IF(I344&lt;&gt;"",TEXT(AUX!M$1,"dd-MMM-aa"),"")</f>
      </c>
      <c r="J324" s="435" t="str">
        <f> IF(J344&lt;&gt;"",TEXT(AUX!N$1,"dd-MMM-aa"),"")</f>
      </c>
      <c r="K324" s="435" t="str">
        <f> IF(K344&lt;&gt;"",TEXT(AUX!O$1,"dd-MMM-aa"),"")</f>
      </c>
      <c r="L324" s="435" t="str">
        <f> IF(L344&lt;&gt;"",TEXT(AUX!P$1,"dd-MMM-aa"),"")</f>
      </c>
      <c r="M324" s="435" t="str">
        <f> IF(M344&lt;&gt;"",TEXT(AUX!Q$1,"dd-MMM-aa"),"")</f>
      </c>
      <c r="N324" s="435" t="str">
        <f> IF(N344&lt;&gt;"",TEXT(AUX!R$1,"dd-MMM-aa"),"")</f>
      </c>
      <c r="O324" s="435" t="str">
        <f> IF(O344&lt;&gt;"",TEXT(AUX!S$1,"dd-MMM-aa"),"")</f>
      </c>
      <c r="P324" s="435" t="str">
        <f> IF(P344&lt;&gt;"",TEXT(AUX!T$1,"dd-MMM-aa"),"")</f>
      </c>
      <c r="Q324" s="435" t="str">
        <f> IF(Q344&lt;&gt;"",TEXT(AUX!U$1,"dd-MMM-aa"),"")</f>
      </c>
      <c r="R324" s="435" t="str">
        <f> IF(R344&lt;&gt;"",TEXT(AUX!V$1,"dd-MMM-aa"),"")</f>
      </c>
      <c r="S324" s="435" t="str">
        <f> IF(S344&lt;&gt;"",TEXT(AUX!W$1,"dd-MMM-aa"),"")</f>
      </c>
      <c r="T324" s="435" t="str">
        <f> IF(T344&lt;&gt;"",TEXT(AUX!X$1,"dd-MMM-aa"),"")</f>
      </c>
      <c r="U324" s="435" t="str">
        <f> IF(U344&lt;&gt;"",TEXT(AUX!Y$1,"dd-MMM-aa"),"")</f>
      </c>
      <c r="V324" s="435" t="str">
        <f> IF(V344&lt;&gt;"",TEXT(AUX!Z$1,"dd-MMM-aa"),"")</f>
      </c>
      <c r="W324" s="435" t="str">
        <f> IF(W344&lt;&gt;"",TEXT(AUX!AA$1,"dd-MMM-aa"),"")</f>
      </c>
      <c r="X324" s="435" t="str">
        <f> IF(X344&lt;&gt;"",TEXT(AUX!AB$1,"dd-MMM-aa"),"")</f>
      </c>
      <c r="Y324" s="435" t="str">
        <f> IF(Y344&lt;&gt;"",TEXT(AUX!AC$1,"dd-MMM-aa"),"")</f>
      </c>
      <c r="Z324" s="435" t="str">
        <f> IF(Z344&lt;&gt;"",TEXT(AUX!AD$1,"dd-MMM-aa"),"")</f>
      </c>
      <c r="AA324" s="435" t="str">
        <f> IF(AA344&lt;&gt;"",TEXT(AUX!AE$1,"dd-MMM-aa"),"")</f>
      </c>
      <c r="AB324" s="497" t="str">
        <f> IF(AB344&lt;&gt;"",TEXT(AUX!AF$1,"dd-MMM-aa"),"")</f>
      </c>
      <c r="AC324" s="496" t="str">
        <f> IF(AC344&lt;&gt;"",TEXT(AUX!AG$1,"dd-MMM-aa"),"")</f>
      </c>
      <c r="AD324" s="496" t="str">
        <f> IF(AD344&lt;&gt;"",TEXT(AUX!AH$1,"dd-MMM-aa"),"")</f>
      </c>
      <c r="AE324" s="496" t="str">
        <f> IF(AE344&lt;&gt;"",TEXT(AUX!AI$1,"dd-MMM-aa"),"")</f>
      </c>
      <c r="AF324" s="496" t="str">
        <f> IF(AF344&lt;&gt;"",TEXT(AUX!AJ$1,"dd-MMM-aa"),"")</f>
      </c>
      <c r="AG324" s="496" t="str">
        <f> IF(AG344&lt;&gt;"",TEXT(AUX!AK$1,"dd-MMM-aa"),"")</f>
      </c>
      <c r="AH324" s="496" t="str">
        <f> IF(AH344&lt;&gt;"",TEXT(AUX!AL$1,"dd-MMM-aa"),"")</f>
      </c>
      <c r="AI324" s="496" t="str">
        <f> IF(AI344&lt;&gt;"",TEXT(AUX!AM$1,"dd-MMM-aa"),"")</f>
      </c>
      <c r="AJ324" s="496" t="str">
        <f> IF(AJ344&lt;&gt;"",TEXT(AUX!AN$1,"dd-MMM-aa"),"")</f>
      </c>
      <c r="AK324" s="496" t="str">
        <f> IF(AK344&lt;&gt;"",TEXT(AUX!AO$1,"dd-MMM-aa"),"")</f>
      </c>
      <c r="AL324" s="496" t="str">
        <f> IF(AL344&lt;&gt;"",TEXT(AUX!AP$1,"dd-MMM-aa"),"")</f>
      </c>
      <c r="AM324" s="496" t="str">
        <f> IF(AM344&lt;&gt;"",TEXT(AUX!AQ$1,"dd-MMM-aa"),"")</f>
      </c>
      <c r="AN324" s="496" t="str">
        <f> IF(AN344&lt;&gt;"",TEXT(AUX!AR$1,"dd-MMM-aa"),"")</f>
      </c>
      <c r="AO324" s="496" t="str">
        <f> IF(AO344&lt;&gt;"",TEXT(AUX!AS$1,"dd-MMM-aa"),"")</f>
      </c>
      <c r="AP324" s="496" t="str">
        <f> IF(AP344&lt;&gt;"",TEXT(AUX!AT$1,"dd-MMM-aa"),"")</f>
      </c>
      <c r="AQ324" s="496" t="str">
        <f> IF(AQ344&lt;&gt;"",TEXT(AUX!AU$1,"dd-MMM-aa"),"")</f>
      </c>
      <c r="AR324" s="496" t="str">
        <f> IF(AR344&lt;&gt;"",TEXT(AUX!AV$1,"dd-MMM-aa"),"")</f>
      </c>
      <c r="AS324" s="496" t="str">
        <f> IF(AS344&lt;&gt;"",TEXT(AUX!AW$1,"dd-MMM-aa"),"")</f>
      </c>
      <c r="AT324" s="496" t="str">
        <f> IF(AT344&lt;&gt;"",TEXT(AUX!AX$1,"dd-MMM-aa"),"")</f>
      </c>
      <c r="AU324" s="496" t="str">
        <f> IF(AU344&lt;&gt;"",TEXT(AUX!AY$1,"dd-MMM-aa"),"")</f>
      </c>
      <c r="AV324" s="496" t="str">
        <f> IF(AV344&lt;&gt;"",TEXT(AUX!AZ$1,"dd-MMM-aa"),"")</f>
      </c>
      <c r="AW324" s="496" t="str">
        <f> IF(AW344&lt;&gt;"",TEXT(AUX!BA$1,"dd-MMM-aa"),"")</f>
      </c>
      <c r="AX324" s="496" t="str">
        <f> IF(AX344&lt;&gt;"",TEXT(AUX!BB$1,"dd-MMM-aa"),"")</f>
      </c>
      <c r="AY324" s="496" t="str">
        <f> IF(AY344&lt;&gt;"",TEXT(AUX!BC$1,"dd-MMM-aa"),"")</f>
      </c>
      <c r="AZ324" s="496" t="str">
        <f> IF(AZ344&lt;&gt;"",TEXT(AUX!BD$1,"dd-MMM-aa"),"")</f>
      </c>
      <c r="BA324" s="496" t="str">
        <f> IF(BA344&lt;&gt;"",TEXT(AUX!BE$1,"dd-MMM-aa"),"")</f>
      </c>
      <c r="BB324" s="496" t="str">
        <f> IF(BB344&lt;&gt;"",TEXT(AUX!BF$1,"dd-MMM-aa"),"")</f>
      </c>
      <c r="BC324" s="496" t="str">
        <f> IF(BC344&lt;&gt;"",TEXT(AUX!BG$1,"dd-MMM-aa"),"")</f>
      </c>
      <c r="BD324" s="496" t="str">
        <f> IF(BD344&lt;&gt;"",TEXT(AUX!BH$1,"dd-MMM-aa"),"")</f>
      </c>
      <c r="BE324" s="496" t="str">
        <f> IF(BE344&lt;&gt;"",TEXT(AUX!BI$1,"dd-MMM-aa"),"")</f>
      </c>
      <c r="BF324" s="496" t="str">
        <f> IF(BF344&lt;&gt;"",TEXT(AUX!BJ$1,"dd-MMM-aa"),"")</f>
      </c>
      <c r="BG324" s="496" t="str">
        <f> IF(BG344&lt;&gt;"",TEXT(AUX!BK$1,"dd-MMM-aa"),"")</f>
      </c>
      <c r="BH324" s="496" t="str">
        <f> IF(BH344&lt;&gt;"",TEXT(AUX!BL$1,"dd-MMM-aa"),"")</f>
      </c>
      <c r="BI324" s="496" t="str">
        <f> IF(BI344&lt;&gt;"",TEXT(AUX!BM$1,"dd-MMM-aa"),"")</f>
      </c>
      <c r="BJ324" s="496" t="str">
        <f> IF(BJ344&lt;&gt;"",TEXT(AUX!BN$1,"dd-MMM-aa"),"")</f>
      </c>
      <c r="BK324" s="496" t="str">
        <f> IF(BK344&lt;&gt;"",TEXT(AUX!BO$1,"dd-MMM-aa"),"")</f>
      </c>
      <c r="BL324" s="496" t="str">
        <f> IF(BL344&lt;&gt;"",TEXT(AUX!BP$1,"dd-MMM-aa"),"")</f>
      </c>
      <c r="BM324" s="496" t="str">
        <f> IF(BM344&lt;&gt;"",TEXT(AUX!BQ$1,"dd-MMM-aa"),"")</f>
      </c>
      <c r="BN324" s="496" t="str">
        <f> IF(BN344&lt;&gt;"",TEXT(AUX!BR$1,"dd-MMM-aa"),"")</f>
      </c>
      <c r="BO324" s="496" t="str">
        <f> IF(BO344&lt;&gt;"",TEXT(AUX!BS$1,"dd-MMM-aa"),"")</f>
      </c>
      <c r="BP324" s="496" t="str">
        <f> IF(BP344&lt;&gt;"",TEXT(AUX!BT$1,"dd-MMM-aa"),"")</f>
      </c>
      <c r="BQ324" s="496" t="str">
        <f> IF(BQ344&lt;&gt;"",TEXT(AUX!BU$1,"dd-MMM-aa"),"")</f>
      </c>
      <c r="BR324" s="496" t="str">
        <f> IF(BR344&lt;&gt;"",TEXT(AUX!BV$1,"dd-MMM-aa"),"")</f>
      </c>
      <c r="BS324" s="496" t="str">
        <f> IF(BS344&lt;&gt;"",TEXT(AUX!BW$1,"dd-MMM-aa"),"")</f>
      </c>
      <c r="BT324" s="496" t="str">
        <f> IF(BT344&lt;&gt;"",TEXT(AUX!BX$1,"dd-MMM-aa"),"")</f>
      </c>
      <c r="BU324" s="496" t="str">
        <f> IF(BU344&lt;&gt;"",TEXT(AUX!BY$1,"dd-MMM-aa"),"")</f>
      </c>
      <c r="BV324" s="496" t="str">
        <f> IF(BV344&lt;&gt;"",TEXT(AUX!BZ$1,"dd-MMM-aa"),"")</f>
      </c>
      <c r="BW324" s="496" t="str">
        <f> IF(BW344&lt;&gt;"",TEXT(AUX!CA$1,"dd-MMM-aa"),"")</f>
      </c>
      <c r="BX324" s="496" t="str">
        <f> IF(BX344&lt;&gt;"",TEXT(AUX!CB$1,"dd-MMM-aa"),"")</f>
      </c>
      <c r="BY324" s="496" t="str">
        <f> IF(BY344&lt;&gt;"",TEXT(AUX!CC$1,"dd-MMM-aa"),"")</f>
      </c>
      <c r="BZ324" s="496" t="str">
        <f> IF(BZ344&lt;&gt;"",TEXT(AUX!CD$1,"dd-MMM-aa"),"")</f>
      </c>
      <c r="CA324" s="496" t="str">
        <f> IF(CA344&lt;&gt;"",TEXT(AUX!CE$1,"dd-MMM-aa"),"")</f>
      </c>
      <c r="CB324" s="496" t="str">
        <f> IF(CB344&lt;&gt;"",TEXT(AUX!CF$1,"dd-MMM-aa"),"")</f>
      </c>
      <c r="CC324" s="496" t="str">
        <f> IF(CC344&lt;&gt;"",TEXT(AUX!CG$1,"dd-MMM-aa"),"")</f>
      </c>
      <c r="CD324" s="496" t="str">
        <f> IF(CD344&lt;&gt;"",TEXT(AUX!CH$1,"dd-MMM-aa"),"")</f>
      </c>
      <c r="CE324" s="496" t="str">
        <f> IF(CE344&lt;&gt;"",TEXT(AUX!CI$1,"dd-MMM-aa"),"")</f>
      </c>
      <c r="CF324" s="496" t="str">
        <f> IF(CF344&lt;&gt;"",TEXT(AUX!CJ$1,"dd-MMM-aa"),"")</f>
      </c>
      <c r="CG324" s="496" t="str">
        <f> IF(CG344&lt;&gt;"",TEXT(AUX!CK$1,"dd-MMM-aa"),"")</f>
      </c>
      <c r="CH324" s="496" t="str">
        <f> IF(CH344&lt;&gt;"",TEXT(AUX!CL$1,"dd-MMM-aa"),"")</f>
      </c>
      <c r="CI324" s="496" t="str">
        <f> IF(CI344&lt;&gt;"",TEXT(AUX!CM$1,"dd-MMM-aa"),"")</f>
      </c>
      <c r="CJ324" s="496" t="str">
        <f> IF(CJ344&lt;&gt;"",TEXT(AUX!CN$1,"dd-MMM-aa"),"")</f>
      </c>
      <c r="CK324" s="496" t="str">
        <f> IF(CK344&lt;&gt;"",TEXT(AUX!CO$1,"dd-MMM-aa"),"")</f>
      </c>
      <c r="CL324" s="496" t="str">
        <f> IF(CL344&lt;&gt;"",TEXT(AUX!CP$1,"dd-MMM-aa"),"")</f>
      </c>
      <c r="CM324" s="496" t="str">
        <f> IF(CM344&lt;&gt;"",TEXT(AUX!CQ$1,"dd-MMM-aa"),"")</f>
      </c>
      <c r="CN324" s="496" t="str">
        <f> IF(CN344&lt;&gt;"",TEXT(AUX!CR$1,"dd-MMM-aa"),"")</f>
      </c>
      <c r="CO324" s="496" t="str">
        <f> IF(CO344&lt;&gt;"",TEXT(AUX!CS$1,"dd-MMM-aa"),"")</f>
      </c>
      <c r="CP324" s="496" t="str">
        <f> IF(CP344&lt;&gt;"",TEXT(AUX!CT$1,"dd-MMM-aa"),"")</f>
      </c>
      <c r="CQ324" s="496" t="str">
        <f> IF(CQ344&lt;&gt;"",TEXT(AUX!CU$1,"dd-MMM-aa"),"")</f>
      </c>
      <c r="CR324" s="496" t="str">
        <f> IF(CR344&lt;&gt;"",TEXT(AUX!CV$1,"dd-MMM-aa"),"")</f>
      </c>
      <c r="CS324" s="496" t="str">
        <f> IF(CS344&lt;&gt;"",TEXT(AUX!CW$1,"dd-MMM-aa"),"")</f>
      </c>
      <c r="CT324" s="496" t="str">
        <f> IF(CT344&lt;&gt;"",TEXT(AUX!CX$1,"dd-MMM-aa"),"")</f>
      </c>
      <c r="CU324" s="496" t="str">
        <f> IF(CU344&lt;&gt;"",TEXT(AUX!CY$1,"dd-MMM-aa"),"")</f>
      </c>
      <c r="CV324" s="496" t="str">
        <f> IF(CV344&lt;&gt;"",TEXT(AUX!CZ$1,"dd-MMM-aa"),"")</f>
      </c>
      <c r="CW324" s="496" t="str">
        <f> IF(CW344&lt;&gt;"",TEXT(AUX!DA$1,"dd-MMM-aa"),"")</f>
      </c>
      <c r="CX324" s="496" t="str">
        <f> IF(CX344&lt;&gt;"",TEXT(AUX!DB$1,"dd-MMM-aa"),"")</f>
      </c>
      <c r="CY324" s="496" t="str">
        <f> IF(CY344&lt;&gt;"",TEXT(AUX!DC$1,"dd-MMM-aa"),"")</f>
      </c>
      <c r="CZ324" s="496" t="str">
        <f> IF(CZ344&lt;&gt;"",TEXT(AUX!DD$1,"dd-MMM-aa"),"")</f>
      </c>
      <c r="DA324" s="496" t="str">
        <f> IF(DA344&lt;&gt;"",TEXT(AUX!DE$1,"dd-MMM-aa"),"")</f>
      </c>
      <c r="DB324" s="496" t="str">
        <f> IF(DB344&lt;&gt;"",TEXT(AUX!DF$1,"dd-MMM-aa"),"")</f>
      </c>
      <c r="DC324" s="496" t="str">
        <f> IF(DC344&lt;&gt;"",TEXT(AUX!DG$1,"dd-MMM-aa"),"")</f>
      </c>
      <c r="DD324" s="496" t="str">
        <f> IF(DD344&lt;&gt;"",TEXT(AUX!DH$1,"dd-MMM-aa"),"")</f>
      </c>
      <c r="DE324" s="496" t="str">
        <f> IF(DE344&lt;&gt;"",TEXT(AUX!DI$1,"dd-MMM-aa"),"")</f>
      </c>
      <c r="DF324" s="496" t="str">
        <f> IF(DF344&lt;&gt;"",TEXT(AUX!DJ$1,"dd-MMM-aa"),"")</f>
      </c>
      <c r="DG324" s="496" t="str">
        <f> IF(DG344&lt;&gt;"",TEXT(AUX!DK$1,"dd-MMM-aa"),"")</f>
      </c>
      <c r="DH324" s="496" t="str">
        <f> IF(DH344&lt;&gt;"",TEXT(AUX!DL$1,"dd-MMM-aa"),"")</f>
      </c>
      <c r="DI324" s="496" t="str">
        <f> IF(DI344&lt;&gt;"",TEXT(AUX!DM$1,"dd-MMM-aa"),"")</f>
      </c>
      <c r="DJ324" s="496" t="str">
        <f> IF(DJ344&lt;&gt;"",TEXT(AUX!DN$1,"dd-MMM-aa"),"")</f>
      </c>
      <c r="DK324" s="496" t="str">
        <f> IF(DK344&lt;&gt;"",TEXT(AUX!DO$1,"dd-MMM-aa"),"")</f>
      </c>
      <c r="DL324" s="496" t="str">
        <f> IF(DL344&lt;&gt;"",TEXT(AUX!DP$1,"dd-MMM-aa"),"")</f>
      </c>
      <c r="DM324" s="496" t="str">
        <f> IF(DM344&lt;&gt;"",TEXT(AUX!DQ$1,"dd-MMM-aa"),"")</f>
      </c>
      <c r="DN324" s="496" t="str">
        <f> IF(DN344&lt;&gt;"",TEXT(AUX!DR$1,"dd-MMM-aa"),"")</f>
      </c>
      <c r="DO324" s="496" t="str">
        <f> IF(DO344&lt;&gt;"",TEXT(AUX!DS$1,"dd-MMM-aa"),"")</f>
      </c>
      <c r="DP324" s="496" t="str">
        <f> IF(DP344&lt;&gt;"",TEXT(AUX!DT$1,"dd-MMM-aa"),"")</f>
      </c>
      <c r="DQ324" s="496" t="str">
        <f> IF(DQ344&lt;&gt;"",TEXT(AUX!DU$1,"dd-MMM-aa"),"")</f>
      </c>
      <c r="DR324" s="496" t="str">
        <f> IF(DR344&lt;&gt;"",TEXT(AUX!DV$1,"dd-MMM-aa"),"")</f>
      </c>
      <c r="DS324" s="496" t="str">
        <f> IF(DS344&lt;&gt;"",TEXT(AUX!DW$1,"dd-MMM-aa"),"")</f>
      </c>
      <c r="DT324" s="496" t="str">
        <f> IF(DT344&lt;&gt;"",TEXT(AUX!DX$1,"dd-MMM-aa"),"")</f>
      </c>
      <c r="DU324" s="496" t="str">
        <f> IF(DU344&lt;&gt;"",TEXT(AUX!DY$1,"dd-MMM-aa"),"")</f>
      </c>
      <c r="DV324" s="496" t="str">
        <f> IF(DV344&lt;&gt;"",TEXT(AUX!DZ$1,"dd-MMM-aa"),"")</f>
      </c>
      <c r="DW324" s="496" t="str">
        <f> IF(DW344&lt;&gt;"",TEXT(AUX!EA$1,"dd-MMM-aa"),"")</f>
      </c>
      <c r="DX324" s="496" t="str">
        <f> IF(DX344&lt;&gt;"",TEXT(AUX!EB$1,"dd-MMM-aa"),"")</f>
      </c>
      <c r="DY324" s="496" t="str">
        <f> IF(DY344&lt;&gt;"",TEXT(AUX!EC$1,"dd-MMM-aa"),"")</f>
      </c>
      <c r="DZ324" s="496" t="str">
        <f> IF(DZ344&lt;&gt;"",TEXT(AUX!ED$1,"dd-MMM-aa"),"")</f>
      </c>
      <c r="EA324" s="496" t="str">
        <f> IF(EA344&lt;&gt;"",TEXT(AUX!EE$1,"dd-MMM-aa"),"")</f>
      </c>
      <c r="EB324" s="496" t="str">
        <f> IF(EB344&lt;&gt;"",TEXT(AUX!EF$1,"dd-MMM-aa"),"")</f>
      </c>
      <c r="EC324" s="496" t="str">
        <f> IF(EC344&lt;&gt;"",TEXT(AUX!EG$1,"dd-MMM-aa"),"")</f>
      </c>
      <c r="ED324" s="496" t="str">
        <f> IF(ED344&lt;&gt;"",TEXT(AUX!EH$1,"dd-MMM-aa"),"")</f>
      </c>
      <c r="EE324" s="496" t="str">
        <f> IF(EE344&lt;&gt;"",TEXT(AUX!EI$1,"dd-MMM-aa"),"")</f>
      </c>
      <c r="EF324" s="496" t="str">
        <f> IF(EF344&lt;&gt;"",TEXT(AUX!EJ$1,"dd-MMM-aa"),"")</f>
      </c>
      <c r="EG324" s="496" t="str">
        <f> IF(EG344&lt;&gt;"",TEXT(AUX!EK$1,"dd-MMM-aa"),"")</f>
      </c>
      <c r="EH324" s="496" t="str">
        <f> IF(EH344&lt;&gt;"",TEXT(AUX!EL$1,"dd-MMM-aa"),"")</f>
      </c>
      <c r="EI324" s="496" t="str">
        <f> IF(EI344&lt;&gt;"",TEXT(AUX!EM$1,"dd-MMM-aa"),"")</f>
      </c>
      <c r="EJ324" s="496" t="str">
        <f> IF(EJ344&lt;&gt;"",TEXT(AUX!EN$1,"dd-MMM-aa"),"")</f>
      </c>
      <c r="EK324" s="496" t="str">
        <f> IF(EK344&lt;&gt;"",TEXT(AUX!EO$1,"dd-MMM-aa"),"")</f>
      </c>
      <c r="EL324" s="496" t="str">
        <f> IF(EL344&lt;&gt;"",TEXT(AUX!EP$1,"dd-MMM-aa"),"")</f>
      </c>
      <c r="EM324" s="496" t="str">
        <f> IF(EM344&lt;&gt;"",TEXT(AUX!EQ$1,"dd-MMM-aa"),"")</f>
      </c>
      <c r="EN324" s="496" t="str">
        <f> IF(EN344&lt;&gt;"",TEXT(AUX!ER$1,"dd-MMM-aa"),"")</f>
      </c>
      <c r="EO324" s="496" t="str">
        <f> IF(EO344&lt;&gt;"",TEXT(AUX!ES$1,"dd-MMM-aa"),"")</f>
      </c>
      <c r="EP324" s="496" t="str">
        <f> IF(EP344&lt;&gt;"",TEXT(AUX!ET$1,"dd-MMM-aa"),"")</f>
      </c>
      <c r="EQ324" s="496" t="str">
        <f> IF(EQ344&lt;&gt;"",TEXT(AUX!EU$1,"dd-MMM-aa"),"")</f>
      </c>
      <c r="ER324" s="496" t="str">
        <f> IF(ER344&lt;&gt;"",TEXT(AUX!EV$1,"dd-MMM-aa"),"")</f>
      </c>
      <c r="ES324" s="496" t="str">
        <f> IF(ES344&lt;&gt;"",TEXT(AUX!EW$1,"dd-MMM-aa"),"")</f>
      </c>
      <c r="ET324" s="496" t="str">
        <f> IF(ET344&lt;&gt;"",TEXT(AUX!EX$1,"dd-MMM-aa"),"")</f>
      </c>
      <c r="EU324" s="496" t="str">
        <f> IF(EU344&lt;&gt;"",TEXT(AUX!EY$1,"dd-MMM-aa"),"")</f>
      </c>
      <c r="EV324" s="496" t="str">
        <f> IF(EV344&lt;&gt;"",TEXT(AUX!EZ$1,"dd-MMM-aa"),"")</f>
      </c>
      <c r="EW324" s="496" t="str">
        <f> IF(EW344&lt;&gt;"",TEXT(AUX!FA$1,"dd-MMM-aa"),"")</f>
      </c>
      <c r="EX324" s="496" t="str">
        <f> IF(EX344&lt;&gt;"",TEXT(AUX!FB$1,"dd-MMM-aa"),"")</f>
      </c>
      <c r="EY324" s="496" t="str">
        <f> IF(EY344&lt;&gt;"",TEXT(AUX!FC$1,"dd-MMM-aa"),"")</f>
      </c>
      <c r="EZ324" s="496" t="str">
        <f> IF(EZ344&lt;&gt;"",TEXT(AUX!FD$1,"dd-MMM-aa"),"")</f>
      </c>
      <c r="FA324" s="496" t="str">
        <f> IF(FA344&lt;&gt;"",TEXT(AUX!FE$1,"dd-MMM-aa"),"")</f>
      </c>
      <c r="FB324" s="496" t="str">
        <f> IF(FB344&lt;&gt;"",TEXT(AUX!FF$1,"dd-MMM-aa"),"")</f>
      </c>
      <c r="FC324" s="496" t="str">
        <f> IF(FC344&lt;&gt;"",TEXT(AUX!FG$1,"dd-MMM-aa"),"")</f>
      </c>
      <c r="FD324" s="496" t="str">
        <f> IF(FD344&lt;&gt;"",TEXT(AUX!FH$1,"dd-MMM-aa"),"")</f>
      </c>
      <c r="FE324" s="496" t="str">
        <f> IF(FE344&lt;&gt;"",TEXT(AUX!FI$1,"dd-MMM-aa"),"")</f>
      </c>
      <c r="FF324" s="496" t="str">
        <f> IF(FF344&lt;&gt;"",TEXT(AUX!FJ$1,"dd-MMM-aa"),"")</f>
      </c>
      <c r="FG324" s="496" t="str">
        <f> IF(FG344&lt;&gt;"",TEXT(AUX!FK$1,"dd-MMM-aa"),"")</f>
      </c>
      <c r="FH324" s="496" t="str">
        <f> IF(FH344&lt;&gt;"",TEXT(AUX!FL$1,"dd-MMM-aa"),"")</f>
      </c>
      <c r="FI324" s="496" t="str">
        <f> IF(FI344&lt;&gt;"",TEXT(AUX!FM$1,"dd-MMM-aa"),"")</f>
      </c>
      <c r="FJ324" s="496" t="str">
        <f> IF(FJ344&lt;&gt;"",TEXT(AUX!FN$1,"dd-MMM-aa"),"")</f>
      </c>
      <c r="FK324" s="496" t="str">
        <f> IF(FK344&lt;&gt;"",TEXT(AUX!FO$1,"dd-MMM-aa"),"")</f>
      </c>
      <c r="FL324" s="496" t="str">
        <f> IF(FL344&lt;&gt;"",TEXT(AUX!FP$1,"dd-MMM-aa"),"")</f>
      </c>
      <c r="FM324" s="496" t="str">
        <f> IF(FM344&lt;&gt;"",TEXT(AUX!FQ$1,"dd-MMM-aa"),"")</f>
      </c>
      <c r="FN324" s="496" t="str">
        <f> IF(FN344&lt;&gt;"",TEXT(AUX!FR$1,"dd-MMM-aa"),"")</f>
      </c>
      <c r="FO324" s="496" t="str">
        <f> IF(FO344&lt;&gt;"",TEXT(AUX!FS$1,"dd-MMM-aa"),"")</f>
      </c>
      <c r="FP324" s="496" t="str">
        <f> IF(FP344&lt;&gt;"",TEXT(AUX!FT$1,"dd-MMM-aa"),"")</f>
      </c>
      <c r="FQ324" s="496" t="str">
        <f> IF(FQ344&lt;&gt;"",TEXT(AUX!FU$1,"dd-MMM-aa"),"")</f>
      </c>
      <c r="FR324" s="496" t="str">
        <f> IF(FR344&lt;&gt;"",TEXT(AUX!FV$1,"dd-MMM-aa"),"")</f>
      </c>
      <c r="FS324" s="496" t="str">
        <f> IF(FS344&lt;&gt;"",TEXT(AUX!FW$1,"dd-MMM-aa"),"")</f>
      </c>
      <c r="FT324" s="496" t="str">
        <f> IF(FT344&lt;&gt;"",TEXT(AUX!FX$1,"dd-MMM-aa"),"")</f>
      </c>
      <c r="FU324" s="496" t="str">
        <f> IF(FU344&lt;&gt;"",TEXT(AUX!FY$1,"dd-MMM-aa"),"")</f>
      </c>
      <c r="FV324" s="496" t="str">
        <f> IF(FV344&lt;&gt;"",TEXT(AUX!FZ$1,"dd-MMM-aa"),"")</f>
      </c>
      <c r="FW324" s="496" t="str">
        <f> IF(FW344&lt;&gt;"",TEXT(AUX!GA$1,"dd-MMM-aa"),"")</f>
      </c>
      <c r="FX324" s="496" t="str">
        <f> IF(FX344&lt;&gt;"",TEXT(AUX!GB$1,"dd-MMM-aa"),"")</f>
      </c>
      <c r="FY324" s="496" t="str">
        <f> IF(FY344&lt;&gt;"",TEXT(AUX!GC$1,"dd-MMM-aa"),"")</f>
      </c>
      <c r="FZ324" s="496" t="str">
        <f> IF(FZ344&lt;&gt;"",TEXT(AUX!GD$1,"dd-MMM-aa"),"")</f>
      </c>
      <c r="GA324" s="496" t="str">
        <f> IF(GA344&lt;&gt;"",TEXT(AUX!GE$1,"dd-MMM-aa"),"")</f>
      </c>
      <c r="GB324" s="496" t="str">
        <f> IF(GB344&lt;&gt;"",TEXT(AUX!GF$1,"dd-MMM-aa"),"")</f>
      </c>
      <c r="GC324" s="496" t="str">
        <f> IF(GC344&lt;&gt;"",TEXT(AUX!GG$1,"dd-MMM-aa"),"")</f>
      </c>
      <c r="GD324" s="496" t="str">
        <f> IF(GD344&lt;&gt;"",TEXT(AUX!GH$1,"dd-MMM-aa"),"")</f>
      </c>
      <c r="GE324" s="496" t="str">
        <f> IF(GE344&lt;&gt;"",TEXT(AUX!GI$1,"dd-MMM-aa"),"")</f>
      </c>
      <c r="GF324" s="496" t="str">
        <f> IF(GF344&lt;&gt;"",TEXT(AUX!GJ$1,"dd-MMM-aa"),"")</f>
      </c>
      <c r="GG324" s="496" t="str">
        <f> IF(GG344&lt;&gt;"",TEXT(AUX!GK$1,"dd-MMM-aa"),"")</f>
      </c>
      <c r="GH324" s="496" t="str">
        <f> IF(GH344&lt;&gt;"",TEXT(AUX!GL$1,"dd-MMM-aa"),"")</f>
      </c>
      <c r="GI324" s="496" t="str">
        <f> IF(GI344&lt;&gt;"",TEXT(AUX!GM$1,"dd-MMM-aa"),"")</f>
      </c>
      <c r="GJ324" s="496" t="str">
        <f> IF(GJ344&lt;&gt;"",TEXT(AUX!GN$1,"dd-MMM-aa"),"")</f>
      </c>
      <c r="GK324" s="496" t="str">
        <f> IF(GK344&lt;&gt;"",TEXT(AUX!GO$1,"dd-MMM-aa"),"")</f>
      </c>
      <c r="GL324" s="496" t="str">
        <f> IF(GL344&lt;&gt;"",TEXT(AUX!GP$1,"dd-MMM-aa"),"")</f>
      </c>
      <c r="GM324" s="496" t="str">
        <f> IF(GM344&lt;&gt;"",TEXT(AUX!GQ$1,"dd-MMM-aa"),"")</f>
      </c>
      <c r="GN324" s="496" t="str">
        <f> IF(GN344&lt;&gt;"",TEXT(AUX!GR$1,"dd-MMM-aa"),"")</f>
      </c>
      <c r="GO324" s="496" t="str">
        <f> IF(GO344&lt;&gt;"",TEXT(AUX!GS$1,"dd-MMM-aa"),"")</f>
      </c>
      <c r="GP324" s="496" t="str">
        <f> IF(GP344&lt;&gt;"",TEXT(AUX!GT$1,"dd-MMM-aa"),"")</f>
      </c>
      <c r="GQ324" s="496" t="str">
        <f> IF(GQ344&lt;&gt;"",TEXT(AUX!GU$1,"dd-MMM-aa"),"")</f>
      </c>
      <c r="GR324" s="496" t="str">
        <f> IF(GR344&lt;&gt;"",TEXT(AUX!GV$1,"dd-MMM-aa"),"")</f>
      </c>
      <c r="GS324" s="496" t="str">
        <f> IF(GS344&lt;&gt;"",TEXT(AUX!GW$1,"dd-MMM-aa"),"")</f>
      </c>
      <c r="GT324" s="496" t="str">
        <f> IF(GT344&lt;&gt;"",TEXT(AUX!GX$1,"dd-MMM-aa"),"")</f>
      </c>
      <c r="GU324" s="496" t="str">
        <f> IF(GU344&lt;&gt;"",TEXT(AUX!GY$1,"dd-MMM-aa"),"")</f>
      </c>
      <c r="GV324" s="496" t="str">
        <f> IF(GV344&lt;&gt;"",TEXT(AUX!GZ$1,"dd-MMM-aa"),"")</f>
      </c>
      <c r="GW324" s="496" t="str">
        <f> IF(GW344&lt;&gt;"",TEXT(AUX!HA$1,"dd-MMM-aa"),"")</f>
      </c>
      <c r="GX324" s="496" t="str">
        <f> IF(GX344&lt;&gt;"",TEXT(AUX!HB$1,"dd-MMM-aa"),"")</f>
      </c>
      <c r="GY324" s="496" t="str">
        <f> IF(GY344&lt;&gt;"",TEXT(AUX!HC$1,"dd-MMM-aa"),"")</f>
      </c>
      <c r="GZ324" s="496" t="str">
        <f> IF(GZ344&lt;&gt;"",TEXT(AUX!HD$1,"dd-MMM-aa"),"")</f>
      </c>
      <c r="HA324" s="496" t="str">
        <f> IF(HA344&lt;&gt;"",TEXT(AUX!HE$1,"dd-MMM-aa"),"")</f>
      </c>
      <c r="HB324" s="496" t="str">
        <f> IF(HB344&lt;&gt;"",TEXT(AUX!HF$1,"dd-MMM-aa"),"")</f>
      </c>
      <c r="HC324" s="496" t="str">
        <f> IF(HC344&lt;&gt;"",TEXT(AUX!HG$1,"dd-MMM-aa"),"")</f>
      </c>
      <c r="HD324" s="496" t="str">
        <f> IF(HD344&lt;&gt;"",TEXT(AUX!HH$1,"dd-MMM-aa"),"")</f>
      </c>
      <c r="HE324" s="496" t="str">
        <f> IF(HE344&lt;&gt;"",TEXT(AUX!HI$1,"dd-MMM-aa"),"")</f>
      </c>
      <c r="HF324" s="496" t="str">
        <f> IF(HF344&lt;&gt;"",TEXT(AUX!HJ$1,"dd-MMM-aa"),"")</f>
      </c>
      <c r="HG324" s="496" t="str">
        <f> IF(HG344&lt;&gt;"",TEXT(AUX!HK$1,"dd-MMM-aa"),"")</f>
      </c>
      <c r="HH324" s="496" t="str">
        <f> IF(HH344&lt;&gt;"",TEXT(AUX!HL$1,"dd-MMM-aa"),"")</f>
      </c>
      <c r="HI324" s="496" t="str">
        <f> IF(HI344&lt;&gt;"",TEXT(AUX!HM$1,"dd-MMM-aa"),"")</f>
      </c>
      <c r="HJ324" s="496" t="str">
        <f> IF(HJ344&lt;&gt;"",TEXT(AUX!HN$1,"dd-MMM-aa"),"")</f>
      </c>
      <c r="HK324" s="496" t="str">
        <f> IF(HK344&lt;&gt;"",TEXT(AUX!HO$1,"dd-MMM-aa"),"")</f>
      </c>
      <c r="HL324" s="496" t="str">
        <f> IF(HL344&lt;&gt;"",TEXT(AUX!HP$1,"dd-MMM-aa"),"")</f>
      </c>
      <c r="HM324" s="496" t="str">
        <f> IF(HM344&lt;&gt;"",TEXT(AUX!HQ$1,"dd-MMM-aa"),"")</f>
      </c>
      <c r="HN324" s="496" t="str">
        <f> IF(HN344&lt;&gt;"",TEXT(AUX!HR$1,"dd-MMM-aa"),"")</f>
      </c>
      <c r="HO324" s="496" t="str">
        <f> IF(HO344&lt;&gt;"",TEXT(AUX!HS$1,"dd-MMM-aa"),"")</f>
      </c>
      <c r="HP324" s="496" t="str">
        <f> IF(HP344&lt;&gt;"",TEXT(AUX!HT$1,"dd-MMM-aa"),"")</f>
      </c>
      <c r="HQ324" s="496" t="str">
        <f> IF(HQ344&lt;&gt;"",TEXT(AUX!HU$1,"dd-MMM-aa"),"")</f>
      </c>
      <c r="HR324" s="496" t="str">
        <f> IF(HR344&lt;&gt;"",TEXT(AUX!HV$1,"dd-MMM-aa"),"")</f>
      </c>
      <c r="HS324" s="496" t="str">
        <f> IF(HS344&lt;&gt;"",TEXT(AUX!HW$1,"dd-MMM-aa"),"")</f>
      </c>
      <c r="HT324" s="496" t="str">
        <f> IF(HT344&lt;&gt;"",TEXT(AUX!HX$1,"dd-MMM-aa"),"")</f>
      </c>
      <c r="HU324" s="496" t="str">
        <f> IF(HU344&lt;&gt;"",TEXT(AUX!HY$1,"dd-MMM-aa"),"")</f>
      </c>
      <c r="HV324" s="496" t="str">
        <f> IF(HV344&lt;&gt;"",TEXT(AUX!HZ$1,"dd-MMM-aa"),"")</f>
      </c>
      <c r="HW324" s="496" t="str">
        <f> IF(HW344&lt;&gt;"",TEXT(AUX!IA$1,"dd-MMM-aa"),"")</f>
      </c>
      <c r="HX324" s="496" t="str">
        <f> IF(HX344&lt;&gt;"",TEXT(AUX!IB$1,"dd-MMM-aa"),"")</f>
      </c>
      <c r="HY324" s="496" t="str">
        <f> IF(HY344&lt;&gt;"",TEXT(AUX!IC$1,"dd-MMM-aa"),"")</f>
      </c>
      <c r="HZ324" s="496" t="str">
        <f> IF(HZ344&lt;&gt;"",TEXT(AUX!ID$1,"dd-MMM-aa"),"")</f>
      </c>
      <c r="IA324" s="496" t="str">
        <f> IF(IA344&lt;&gt;"",TEXT(AUX!IE$1,"dd-MMM-aa"),"")</f>
      </c>
      <c r="IB324" s="496" t="str">
        <f> IF(IB344&lt;&gt;"",TEXT(AUX!IF$1,"dd-MMM-aa"),"")</f>
      </c>
      <c r="IC324" s="496" t="str">
        <f> IF(IC344&lt;&gt;"",TEXT(AUX!IG$1,"dd-MMM-aa"),"")</f>
      </c>
      <c r="ID324" s="496" t="str">
        <f> IF(ID344&lt;&gt;"",TEXT(AUX!IH$1,"dd-MMM-aa"),"")</f>
      </c>
      <c r="IE324" s="496" t="str">
        <f> IF(IE344&lt;&gt;"",TEXT(AUX!II$1,"dd-MMM-aa"),"")</f>
      </c>
      <c r="IF324" s="496" t="str">
        <f> IF(IF344&lt;&gt;"",TEXT(AUX!IJ$1,"dd-MMM-aa"),"")</f>
      </c>
      <c r="IG324" s="496" t="str">
        <f> IF(IG344&lt;&gt;"",TEXT(AUX!IK$1,"dd-MMM-aa"),"")</f>
      </c>
      <c r="IH324" s="496" t="str">
        <f> IF(IH344&lt;&gt;"",TEXT(AUX!IL$1,"dd-MMM-aa"),"")</f>
      </c>
      <c r="II324" s="496" t="str">
        <f> IF(II344&lt;&gt;"",TEXT(AUX!IM$1,"dd-MMM-aa"),"")</f>
      </c>
      <c r="IJ324" s="496" t="str">
        <f> IF(IJ344&lt;&gt;"",TEXT(AUX!IN$1,"dd-MMM-aa"),"")</f>
      </c>
      <c r="IK324" s="496" t="str">
        <f> IF(IK344&lt;&gt;"",TEXT(AUX!IO$1,"dd-MMM-aa"),"")</f>
      </c>
      <c r="IL324" s="496" t="str">
        <f> IF(IL344&lt;&gt;"",TEXT(AUX!IP$1,"dd-MMM-aa"),"")</f>
      </c>
      <c r="IM324" s="496" t="str">
        <f> IF(IM344&lt;&gt;"",TEXT(AUX!IQ$1,"dd-MMM-aa"),"")</f>
      </c>
      <c r="IN324" s="496" t="str">
        <f> IF(IN344&lt;&gt;"",TEXT(AUX!IR$1,"dd-MMM-aa"),"")</f>
      </c>
      <c r="IO324" s="496" t="str">
        <f> IF(IO344&lt;&gt;"",TEXT(AUX!IS$1,"dd-MMM-aa"),"")</f>
      </c>
      <c r="IP324" s="496" t="str">
        <f> IF(IP344&lt;&gt;"",TEXT(AUX!IT$1,"dd-MMM-aa"),"")</f>
      </c>
      <c r="IQ324" s="496" t="str">
        <f> IF(IQ344&lt;&gt;"",TEXT(AUX!IU$1,"dd-MMM-aa"),"")</f>
      </c>
      <c r="IR324" s="496" t="str">
        <f> IF(IR344&lt;&gt;"",TEXT(AUX!IV$1,"dd-MMM-aa"),"")</f>
      </c>
      <c r="IS324" s="496" t="str">
        <f> IF(IS344&lt;&gt;"",TEXT(AUX!#REF!,"dd-MMM-aa"),"")</f>
      </c>
      <c r="IT324" s="496" t="str">
        <f> IF(IT344&lt;&gt;"",TEXT(AUX!#REF!,"dd-MMM-aa"),"")</f>
      </c>
      <c r="IU324" s="496" t="str">
        <f> IF(IU344&lt;&gt;"",TEXT(AUX!#REF!,"dd-MMM-aa"),"")</f>
      </c>
      <c r="IV324" s="496" t="str">
        <f> IF(IV344&lt;&gt;"",TEXT(AUX!#REF!,"dd-MMM-aa"),"")</f>
      </c>
    </row>
    <row r="325" hidden="1">
      <c r="B325" s="833" t="s">
        <v>8</v>
      </c>
      <c r="C325" s="827">
        <v>0</v>
      </c>
      <c r="D325" s="827">
        <v>0</v>
      </c>
      <c r="E325" s="827">
        <v>0</v>
      </c>
      <c r="F325" s="827">
        <v>0</v>
      </c>
      <c r="G325" s="827">
        <v>0</v>
      </c>
      <c r="H325" s="827">
        <v>0</v>
      </c>
      <c r="I325" s="827">
        <v>0</v>
      </c>
      <c r="J325" s="827">
        <v>0</v>
      </c>
      <c r="K325" s="827">
        <v>0</v>
      </c>
      <c r="L325" s="827">
        <v>0</v>
      </c>
      <c r="M325" s="827">
        <v>0</v>
      </c>
      <c r="N325" s="827">
        <v>0</v>
      </c>
      <c r="O325" s="827">
        <v>0</v>
      </c>
      <c r="P325" s="827">
        <v>0</v>
      </c>
      <c r="Q325" s="827">
        <v>0</v>
      </c>
      <c r="R325" s="827">
        <v>0</v>
      </c>
      <c r="S325" s="827">
        <v>0</v>
      </c>
      <c r="T325" s="827">
        <v>0</v>
      </c>
      <c r="U325" s="827">
        <v>0</v>
      </c>
      <c r="V325" s="827">
        <v>0</v>
      </c>
      <c r="W325" s="827">
        <v>0</v>
      </c>
      <c r="X325" s="827">
        <v>0</v>
      </c>
      <c r="Y325" s="827">
        <v>0</v>
      </c>
      <c r="Z325" s="827">
        <v>0</v>
      </c>
      <c r="AA325" s="827">
        <v>0</v>
      </c>
      <c r="AB325" s="834">
        <v>0</v>
      </c>
      <c r="AC325" s="828">
        <v>0</v>
      </c>
      <c r="AD325" s="828">
        <v>0</v>
      </c>
      <c r="AE325" s="828">
        <v>0</v>
      </c>
      <c r="AF325" s="828">
        <v>0</v>
      </c>
      <c r="AG325" s="828">
        <v>0</v>
      </c>
      <c r="AH325" s="828">
        <v>0</v>
      </c>
      <c r="AI325" s="828">
        <v>0</v>
      </c>
      <c r="AJ325" s="828">
        <v>0</v>
      </c>
      <c r="AK325" s="828">
        <v>0</v>
      </c>
      <c r="AL325" s="828">
        <v>0</v>
      </c>
      <c r="AM325" s="828">
        <v>0</v>
      </c>
      <c r="AN325" s="828">
        <v>0</v>
      </c>
      <c r="AO325" s="828">
        <v>0</v>
      </c>
      <c r="AP325" s="828">
        <v>0</v>
      </c>
    </row>
    <row r="326" hidden="1">
      <c r="B326" s="829" t="s">
        <v>9</v>
      </c>
      <c r="C326" s="823">
        <v>0</v>
      </c>
      <c r="D326" s="823">
        <v>0</v>
      </c>
      <c r="E326" s="823">
        <v>0</v>
      </c>
      <c r="F326" s="823">
        <v>0</v>
      </c>
      <c r="G326" s="823">
        <v>0</v>
      </c>
      <c r="H326" s="823">
        <v>0</v>
      </c>
      <c r="I326" s="823">
        <v>0</v>
      </c>
      <c r="J326" s="823">
        <v>0</v>
      </c>
      <c r="K326" s="823">
        <v>0</v>
      </c>
      <c r="L326" s="823">
        <v>0</v>
      </c>
      <c r="M326" s="823">
        <v>0</v>
      </c>
      <c r="N326" s="823">
        <v>0</v>
      </c>
      <c r="O326" s="823">
        <v>0</v>
      </c>
      <c r="P326" s="823">
        <v>0</v>
      </c>
      <c r="Q326" s="823">
        <v>0</v>
      </c>
      <c r="R326" s="823">
        <v>0</v>
      </c>
      <c r="S326" s="823">
        <v>0</v>
      </c>
      <c r="T326" s="823">
        <v>0</v>
      </c>
      <c r="U326" s="823">
        <v>0</v>
      </c>
      <c r="V326" s="823">
        <v>0</v>
      </c>
      <c r="W326" s="823">
        <v>0</v>
      </c>
      <c r="X326" s="823">
        <v>0</v>
      </c>
      <c r="Y326" s="823">
        <v>0</v>
      </c>
      <c r="Z326" s="823">
        <v>0</v>
      </c>
      <c r="AA326" s="823">
        <v>0</v>
      </c>
      <c r="AB326" s="823">
        <v>0</v>
      </c>
      <c r="AC326" s="825">
        <v>0</v>
      </c>
      <c r="AD326" s="825">
        <v>0</v>
      </c>
      <c r="AE326" s="825">
        <v>0</v>
      </c>
      <c r="AF326" s="825">
        <v>0</v>
      </c>
      <c r="AG326" s="825">
        <v>0</v>
      </c>
      <c r="AH326" s="825">
        <v>0</v>
      </c>
      <c r="AI326" s="825">
        <v>0</v>
      </c>
      <c r="AJ326" s="825">
        <v>0</v>
      </c>
      <c r="AK326" s="825">
        <v>0</v>
      </c>
      <c r="AL326" s="825">
        <v>0</v>
      </c>
      <c r="AM326" s="825">
        <v>0</v>
      </c>
      <c r="AN326" s="825">
        <v>0</v>
      </c>
      <c r="AO326" s="825">
        <v>0</v>
      </c>
      <c r="AP326" s="825">
        <v>0</v>
      </c>
    </row>
    <row r="327" hidden="1">
      <c r="B327" s="826" t="s">
        <v>10</v>
      </c>
      <c r="C327" s="827">
        <v>0</v>
      </c>
      <c r="D327" s="827">
        <v>0</v>
      </c>
      <c r="E327" s="827">
        <v>0</v>
      </c>
      <c r="F327" s="827">
        <v>0</v>
      </c>
      <c r="G327" s="827">
        <v>0</v>
      </c>
      <c r="H327" s="827">
        <v>0</v>
      </c>
      <c r="I327" s="827">
        <v>0</v>
      </c>
      <c r="J327" s="827">
        <v>0</v>
      </c>
      <c r="K327" s="827">
        <v>0</v>
      </c>
      <c r="L327" s="827">
        <v>0</v>
      </c>
      <c r="M327" s="827">
        <v>0</v>
      </c>
      <c r="N327" s="827">
        <v>0</v>
      </c>
      <c r="O327" s="827">
        <v>0</v>
      </c>
      <c r="P327" s="827">
        <v>0</v>
      </c>
      <c r="Q327" s="827">
        <v>0</v>
      </c>
      <c r="R327" s="827">
        <v>0</v>
      </c>
      <c r="S327" s="827">
        <v>0</v>
      </c>
      <c r="T327" s="827">
        <v>0</v>
      </c>
      <c r="U327" s="827">
        <v>0</v>
      </c>
      <c r="V327" s="827">
        <v>0</v>
      </c>
      <c r="W327" s="827">
        <v>0</v>
      </c>
      <c r="X327" s="827">
        <v>0</v>
      </c>
      <c r="Y327" s="827">
        <v>0</v>
      </c>
      <c r="Z327" s="827">
        <v>0</v>
      </c>
      <c r="AA327" s="827">
        <v>0</v>
      </c>
      <c r="AB327" s="827">
        <v>0</v>
      </c>
      <c r="AC327" s="828">
        <v>0</v>
      </c>
      <c r="AD327" s="828">
        <v>0</v>
      </c>
      <c r="AE327" s="828">
        <v>0</v>
      </c>
      <c r="AF327" s="828">
        <v>0</v>
      </c>
      <c r="AG327" s="828">
        <v>0</v>
      </c>
      <c r="AH327" s="828">
        <v>0</v>
      </c>
      <c r="AI327" s="828">
        <v>0</v>
      </c>
      <c r="AJ327" s="828">
        <v>0</v>
      </c>
      <c r="AK327" s="828">
        <v>0</v>
      </c>
      <c r="AL327" s="828">
        <v>0</v>
      </c>
      <c r="AM327" s="828">
        <v>0</v>
      </c>
      <c r="AN327" s="828">
        <v>0</v>
      </c>
      <c r="AO327" s="828">
        <v>0</v>
      </c>
      <c r="AP327" s="828">
        <v>0</v>
      </c>
    </row>
    <row r="328" hidden="1">
      <c r="B328" s="829" t="s">
        <v>11</v>
      </c>
      <c r="C328" s="823">
        <v>0</v>
      </c>
      <c r="D328" s="823">
        <v>0</v>
      </c>
      <c r="E328" s="823">
        <v>0</v>
      </c>
      <c r="F328" s="823">
        <v>0</v>
      </c>
      <c r="G328" s="823">
        <v>0</v>
      </c>
      <c r="H328" s="823">
        <v>0</v>
      </c>
      <c r="I328" s="823">
        <v>0</v>
      </c>
      <c r="J328" s="823">
        <v>0</v>
      </c>
      <c r="K328" s="823">
        <v>0</v>
      </c>
      <c r="L328" s="823">
        <v>0</v>
      </c>
      <c r="M328" s="823">
        <v>0</v>
      </c>
      <c r="N328" s="823">
        <v>0</v>
      </c>
      <c r="O328" s="823">
        <v>0</v>
      </c>
      <c r="P328" s="823">
        <v>0</v>
      </c>
      <c r="Q328" s="823">
        <v>0</v>
      </c>
      <c r="R328" s="823">
        <v>0</v>
      </c>
      <c r="S328" s="823">
        <v>0</v>
      </c>
      <c r="T328" s="823">
        <v>0</v>
      </c>
      <c r="U328" s="823">
        <v>0</v>
      </c>
      <c r="V328" s="823">
        <v>0</v>
      </c>
      <c r="W328" s="823">
        <v>0</v>
      </c>
      <c r="X328" s="823">
        <v>0</v>
      </c>
      <c r="Y328" s="823">
        <v>0</v>
      </c>
      <c r="Z328" s="823">
        <v>0</v>
      </c>
      <c r="AA328" s="823">
        <v>0</v>
      </c>
      <c r="AB328" s="823">
        <v>0</v>
      </c>
      <c r="AC328" s="825">
        <v>0</v>
      </c>
      <c r="AD328" s="825">
        <v>0</v>
      </c>
      <c r="AE328" s="825">
        <v>0</v>
      </c>
      <c r="AF328" s="825">
        <v>0</v>
      </c>
      <c r="AG328" s="825">
        <v>0</v>
      </c>
      <c r="AH328" s="825">
        <v>0</v>
      </c>
      <c r="AI328" s="825">
        <v>0</v>
      </c>
      <c r="AJ328" s="825">
        <v>0</v>
      </c>
      <c r="AK328" s="825">
        <v>0</v>
      </c>
      <c r="AL328" s="825">
        <v>0</v>
      </c>
      <c r="AM328" s="825">
        <v>0</v>
      </c>
      <c r="AN328" s="825">
        <v>0</v>
      </c>
      <c r="AO328" s="825">
        <v>0</v>
      </c>
      <c r="AP328" s="825">
        <v>0</v>
      </c>
    </row>
    <row r="329" hidden="1">
      <c r="B329" s="826" t="s">
        <v>12</v>
      </c>
      <c r="C329" s="827">
        <v>0</v>
      </c>
      <c r="D329" s="827">
        <v>0</v>
      </c>
      <c r="E329" s="827">
        <v>0</v>
      </c>
      <c r="F329" s="827">
        <v>0</v>
      </c>
      <c r="G329" s="827">
        <v>0</v>
      </c>
      <c r="H329" s="827">
        <v>0</v>
      </c>
      <c r="I329" s="827">
        <v>0</v>
      </c>
      <c r="J329" s="827">
        <v>0</v>
      </c>
      <c r="K329" s="827">
        <v>0</v>
      </c>
      <c r="L329" s="827">
        <v>0</v>
      </c>
      <c r="M329" s="827">
        <v>0</v>
      </c>
      <c r="N329" s="827">
        <v>0</v>
      </c>
      <c r="O329" s="827">
        <v>0</v>
      </c>
      <c r="P329" s="827">
        <v>0</v>
      </c>
      <c r="Q329" s="827">
        <v>0</v>
      </c>
      <c r="R329" s="827">
        <v>0</v>
      </c>
      <c r="S329" s="827">
        <v>1</v>
      </c>
      <c r="T329" s="827">
        <v>1</v>
      </c>
      <c r="U329" s="827">
        <v>1</v>
      </c>
      <c r="V329" s="827">
        <v>1</v>
      </c>
      <c r="W329" s="827">
        <v>1</v>
      </c>
      <c r="X329" s="827">
        <v>1</v>
      </c>
      <c r="Y329" s="827">
        <v>1</v>
      </c>
      <c r="Z329" s="827">
        <v>1</v>
      </c>
      <c r="AA329" s="827">
        <v>0</v>
      </c>
      <c r="AB329" s="827">
        <v>1</v>
      </c>
      <c r="AC329" s="828">
        <v>1</v>
      </c>
      <c r="AD329" s="828">
        <v>1</v>
      </c>
      <c r="AE329" s="828">
        <v>1</v>
      </c>
      <c r="AF329" s="828">
        <v>1</v>
      </c>
      <c r="AG329" s="828">
        <v>1</v>
      </c>
      <c r="AH329" s="828">
        <v>1</v>
      </c>
      <c r="AI329" s="828">
        <v>1</v>
      </c>
      <c r="AJ329" s="828">
        <v>1</v>
      </c>
      <c r="AK329" s="828">
        <v>1</v>
      </c>
      <c r="AL329" s="828">
        <v>1</v>
      </c>
      <c r="AM329" s="828">
        <v>1</v>
      </c>
      <c r="AN329" s="828">
        <v>1</v>
      </c>
      <c r="AO329" s="828">
        <v>1</v>
      </c>
      <c r="AP329" s="828">
        <v>1</v>
      </c>
    </row>
    <row r="330" hidden="1">
      <c r="B330" s="829" t="s">
        <v>13</v>
      </c>
      <c r="C330" s="823">
        <v>1</v>
      </c>
      <c r="D330" s="823">
        <v>1</v>
      </c>
      <c r="E330" s="823">
        <v>1</v>
      </c>
      <c r="F330" s="823">
        <v>1</v>
      </c>
      <c r="G330" s="823">
        <v>1</v>
      </c>
      <c r="H330" s="823">
        <v>1</v>
      </c>
      <c r="I330" s="823">
        <v>1</v>
      </c>
      <c r="J330" s="823">
        <v>1</v>
      </c>
      <c r="K330" s="823">
        <v>1</v>
      </c>
      <c r="L330" s="823">
        <v>1</v>
      </c>
      <c r="M330" s="823">
        <v>1</v>
      </c>
      <c r="N330" s="823">
        <v>0</v>
      </c>
      <c r="O330" s="823">
        <v>0</v>
      </c>
      <c r="P330" s="823">
        <v>0</v>
      </c>
      <c r="Q330" s="823">
        <v>1</v>
      </c>
      <c r="R330" s="823">
        <v>1</v>
      </c>
      <c r="S330" s="823">
        <v>1</v>
      </c>
      <c r="T330" s="823">
        <v>1</v>
      </c>
      <c r="U330" s="823">
        <v>0</v>
      </c>
      <c r="V330" s="823">
        <v>0</v>
      </c>
      <c r="W330" s="823">
        <v>1</v>
      </c>
      <c r="X330" s="823">
        <v>1</v>
      </c>
      <c r="Y330" s="823">
        <v>1</v>
      </c>
      <c r="Z330" s="823">
        <v>0</v>
      </c>
      <c r="AA330" s="823">
        <v>0</v>
      </c>
      <c r="AB330" s="823">
        <v>0</v>
      </c>
      <c r="AC330" s="825">
        <v>1</v>
      </c>
      <c r="AD330" s="825">
        <v>1</v>
      </c>
      <c r="AE330" s="825">
        <v>1</v>
      </c>
      <c r="AF330" s="825">
        <v>0</v>
      </c>
      <c r="AG330" s="825">
        <v>0</v>
      </c>
      <c r="AH330" s="825">
        <v>0</v>
      </c>
      <c r="AI330" s="825">
        <v>0</v>
      </c>
      <c r="AJ330" s="825">
        <v>0</v>
      </c>
      <c r="AK330" s="825">
        <v>0</v>
      </c>
      <c r="AL330" s="825">
        <v>0</v>
      </c>
      <c r="AM330" s="825">
        <v>0</v>
      </c>
      <c r="AN330" s="825">
        <v>0</v>
      </c>
      <c r="AO330" s="825">
        <v>0</v>
      </c>
      <c r="AP330" s="825">
        <v>0</v>
      </c>
    </row>
    <row r="331" hidden="1">
      <c r="B331" s="826" t="s">
        <v>109</v>
      </c>
      <c r="C331" s="827">
        <v>7</v>
      </c>
      <c r="D331" s="827">
        <v>5</v>
      </c>
      <c r="E331" s="827">
        <v>4</v>
      </c>
      <c r="F331" s="827">
        <v>4</v>
      </c>
      <c r="G331" s="827">
        <v>3</v>
      </c>
      <c r="H331" s="827">
        <v>3</v>
      </c>
      <c r="I331" s="827">
        <v>3</v>
      </c>
      <c r="J331" s="827">
        <v>3</v>
      </c>
      <c r="K331" s="827">
        <v>2</v>
      </c>
      <c r="L331" s="827">
        <v>2</v>
      </c>
      <c r="M331" s="827">
        <v>2</v>
      </c>
      <c r="N331" s="827">
        <v>2</v>
      </c>
      <c r="O331" s="827">
        <v>2</v>
      </c>
      <c r="P331" s="827">
        <v>2</v>
      </c>
      <c r="Q331" s="827">
        <v>2</v>
      </c>
      <c r="R331" s="827">
        <v>2</v>
      </c>
      <c r="S331" s="827">
        <v>2</v>
      </c>
      <c r="T331" s="827">
        <v>2</v>
      </c>
      <c r="U331" s="827">
        <v>2</v>
      </c>
      <c r="V331" s="827">
        <v>2</v>
      </c>
      <c r="W331" s="827">
        <v>1</v>
      </c>
      <c r="X331" s="827">
        <v>1</v>
      </c>
      <c r="Y331" s="827">
        <v>1</v>
      </c>
      <c r="Z331" s="827">
        <v>1</v>
      </c>
      <c r="AA331" s="827">
        <v>1</v>
      </c>
      <c r="AB331" s="827">
        <v>1</v>
      </c>
      <c r="AC331" s="828">
        <v>1</v>
      </c>
      <c r="AD331" s="828">
        <v>1</v>
      </c>
      <c r="AE331" s="828">
        <v>1</v>
      </c>
      <c r="AF331" s="828">
        <v>1</v>
      </c>
      <c r="AG331" s="828">
        <v>1</v>
      </c>
      <c r="AH331" s="828">
        <v>1</v>
      </c>
      <c r="AI331" s="828">
        <v>1</v>
      </c>
      <c r="AJ331" s="828">
        <v>1</v>
      </c>
      <c r="AK331" s="828">
        <v>1</v>
      </c>
      <c r="AL331" s="828">
        <v>1</v>
      </c>
      <c r="AM331" s="828">
        <v>1</v>
      </c>
      <c r="AN331" s="828">
        <v>1</v>
      </c>
      <c r="AO331" s="828">
        <v>1</v>
      </c>
      <c r="AP331" s="828">
        <v>1</v>
      </c>
    </row>
    <row r="332" hidden="1">
      <c r="B332" s="829" t="s">
        <v>110</v>
      </c>
      <c r="C332" s="823">
        <v>3</v>
      </c>
      <c r="D332" s="823">
        <v>3</v>
      </c>
      <c r="E332" s="823">
        <v>2</v>
      </c>
      <c r="F332" s="823">
        <v>2</v>
      </c>
      <c r="G332" s="823">
        <v>2</v>
      </c>
      <c r="H332" s="823">
        <v>2</v>
      </c>
      <c r="I332" s="823">
        <v>2</v>
      </c>
      <c r="J332" s="823">
        <v>2</v>
      </c>
      <c r="K332" s="823">
        <v>2</v>
      </c>
      <c r="L332" s="823">
        <v>1</v>
      </c>
      <c r="M332" s="823">
        <v>1</v>
      </c>
      <c r="N332" s="823">
        <v>1</v>
      </c>
      <c r="O332" s="823">
        <v>1</v>
      </c>
      <c r="P332" s="823">
        <v>1</v>
      </c>
      <c r="Q332" s="823">
        <v>1</v>
      </c>
      <c r="R332" s="823">
        <v>0</v>
      </c>
      <c r="S332" s="823">
        <v>0</v>
      </c>
      <c r="T332" s="823">
        <v>0</v>
      </c>
      <c r="U332" s="823">
        <v>0</v>
      </c>
      <c r="V332" s="823">
        <v>0</v>
      </c>
      <c r="W332" s="823">
        <v>0</v>
      </c>
      <c r="X332" s="823">
        <v>0</v>
      </c>
      <c r="Y332" s="823">
        <v>0</v>
      </c>
      <c r="Z332" s="823">
        <v>0</v>
      </c>
      <c r="AA332" s="823">
        <v>0</v>
      </c>
      <c r="AB332" s="823">
        <v>0</v>
      </c>
      <c r="AC332" s="825">
        <v>0</v>
      </c>
      <c r="AD332" s="825">
        <v>0</v>
      </c>
      <c r="AE332" s="825">
        <v>0</v>
      </c>
      <c r="AF332" s="825">
        <v>0</v>
      </c>
      <c r="AG332" s="825">
        <v>0</v>
      </c>
      <c r="AH332" s="825">
        <v>0</v>
      </c>
      <c r="AI332" s="825">
        <v>0</v>
      </c>
      <c r="AJ332" s="825">
        <v>0</v>
      </c>
      <c r="AK332" s="825">
        <v>0</v>
      </c>
      <c r="AL332" s="825">
        <v>0</v>
      </c>
      <c r="AM332" s="825">
        <v>0</v>
      </c>
      <c r="AN332" s="825">
        <v>0</v>
      </c>
      <c r="AO332" s="825">
        <v>0</v>
      </c>
      <c r="AP332" s="825">
        <v>0</v>
      </c>
    </row>
    <row r="333" hidden="1">
      <c r="B333" s="826" t="s">
        <v>16</v>
      </c>
      <c r="C333" s="827">
        <v>1</v>
      </c>
      <c r="D333" s="827">
        <v>1</v>
      </c>
      <c r="E333" s="827">
        <v>3</v>
      </c>
      <c r="F333" s="827">
        <v>4</v>
      </c>
      <c r="G333" s="827">
        <v>4</v>
      </c>
      <c r="H333" s="827">
        <v>4</v>
      </c>
      <c r="I333" s="827">
        <v>4</v>
      </c>
      <c r="J333" s="827">
        <v>4</v>
      </c>
      <c r="K333" s="827">
        <v>4</v>
      </c>
      <c r="L333" s="827">
        <v>4</v>
      </c>
      <c r="M333" s="827">
        <v>4</v>
      </c>
      <c r="N333" s="827">
        <v>4</v>
      </c>
      <c r="O333" s="827">
        <v>4</v>
      </c>
      <c r="P333" s="827">
        <v>4</v>
      </c>
      <c r="Q333" s="827">
        <v>3</v>
      </c>
      <c r="R333" s="827">
        <v>3</v>
      </c>
      <c r="S333" s="827">
        <v>3</v>
      </c>
      <c r="T333" s="827">
        <v>3</v>
      </c>
      <c r="U333" s="827">
        <v>3</v>
      </c>
      <c r="V333" s="827">
        <v>3</v>
      </c>
      <c r="W333" s="827">
        <v>3</v>
      </c>
      <c r="X333" s="827">
        <v>3</v>
      </c>
      <c r="Y333" s="827">
        <v>3</v>
      </c>
      <c r="Z333" s="827">
        <v>3</v>
      </c>
      <c r="AA333" s="827">
        <v>3</v>
      </c>
      <c r="AB333" s="827">
        <v>2</v>
      </c>
      <c r="AC333" s="828">
        <v>2</v>
      </c>
      <c r="AD333" s="828">
        <v>2</v>
      </c>
      <c r="AE333" s="828">
        <v>2</v>
      </c>
      <c r="AF333" s="828">
        <v>2</v>
      </c>
      <c r="AG333" s="828">
        <v>1</v>
      </c>
      <c r="AH333" s="828">
        <v>1</v>
      </c>
      <c r="AI333" s="828">
        <v>1</v>
      </c>
      <c r="AJ333" s="828">
        <v>1</v>
      </c>
      <c r="AK333" s="828">
        <v>1</v>
      </c>
      <c r="AL333" s="828">
        <v>1</v>
      </c>
      <c r="AM333" s="828">
        <v>1</v>
      </c>
      <c r="AN333" s="828">
        <v>1</v>
      </c>
      <c r="AO333" s="828">
        <v>1</v>
      </c>
      <c r="AP333" s="828">
        <v>1</v>
      </c>
    </row>
    <row r="334" hidden="1">
      <c r="B334" s="829" t="s">
        <v>17</v>
      </c>
      <c r="C334" s="823">
        <v>0</v>
      </c>
      <c r="D334" s="823">
        <v>0</v>
      </c>
      <c r="E334" s="823">
        <v>0</v>
      </c>
      <c r="F334" s="823">
        <v>0</v>
      </c>
      <c r="G334" s="823">
        <v>0</v>
      </c>
      <c r="H334" s="823">
        <v>0</v>
      </c>
      <c r="I334" s="823">
        <v>0</v>
      </c>
      <c r="J334" s="823">
        <v>0</v>
      </c>
      <c r="K334" s="823">
        <v>0</v>
      </c>
      <c r="L334" s="823">
        <v>0</v>
      </c>
      <c r="M334" s="823">
        <v>0</v>
      </c>
      <c r="N334" s="823">
        <v>0</v>
      </c>
      <c r="O334" s="823">
        <v>0</v>
      </c>
      <c r="P334" s="823">
        <v>0</v>
      </c>
      <c r="Q334" s="823">
        <v>0</v>
      </c>
      <c r="R334" s="823">
        <v>0</v>
      </c>
      <c r="S334" s="823">
        <v>0</v>
      </c>
      <c r="T334" s="823">
        <v>0</v>
      </c>
      <c r="U334" s="823">
        <v>0</v>
      </c>
      <c r="V334" s="823">
        <v>0</v>
      </c>
      <c r="W334" s="823">
        <v>0</v>
      </c>
      <c r="X334" s="823">
        <v>0</v>
      </c>
      <c r="Y334" s="823">
        <v>0</v>
      </c>
      <c r="Z334" s="823">
        <v>0</v>
      </c>
      <c r="AA334" s="823">
        <v>0</v>
      </c>
      <c r="AB334" s="823">
        <v>0</v>
      </c>
      <c r="AC334" s="825">
        <v>0</v>
      </c>
      <c r="AD334" s="825">
        <v>0</v>
      </c>
      <c r="AE334" s="825">
        <v>0</v>
      </c>
      <c r="AF334" s="825">
        <v>0</v>
      </c>
      <c r="AG334" s="825">
        <v>0</v>
      </c>
      <c r="AH334" s="825">
        <v>0</v>
      </c>
      <c r="AI334" s="825">
        <v>0</v>
      </c>
      <c r="AJ334" s="825">
        <v>0</v>
      </c>
      <c r="AK334" s="825">
        <v>0</v>
      </c>
      <c r="AL334" s="825">
        <v>0</v>
      </c>
      <c r="AM334" s="825">
        <v>0</v>
      </c>
      <c r="AN334" s="825">
        <v>0</v>
      </c>
      <c r="AO334" s="825">
        <v>0</v>
      </c>
      <c r="AP334" s="825">
        <v>0</v>
      </c>
    </row>
    <row r="335" hidden="1">
      <c r="B335" s="826" t="s">
        <v>18</v>
      </c>
      <c r="C335" s="827">
        <v>0</v>
      </c>
      <c r="D335" s="827">
        <v>0</v>
      </c>
      <c r="E335" s="827">
        <v>0</v>
      </c>
      <c r="F335" s="827">
        <v>0</v>
      </c>
      <c r="G335" s="827">
        <v>0</v>
      </c>
      <c r="H335" s="827">
        <v>0</v>
      </c>
      <c r="I335" s="827">
        <v>0</v>
      </c>
      <c r="J335" s="827">
        <v>0</v>
      </c>
      <c r="K335" s="827">
        <v>0</v>
      </c>
      <c r="L335" s="827">
        <v>0</v>
      </c>
      <c r="M335" s="827">
        <v>0</v>
      </c>
      <c r="N335" s="827">
        <v>0</v>
      </c>
      <c r="O335" s="827">
        <v>0</v>
      </c>
      <c r="P335" s="827">
        <v>0</v>
      </c>
      <c r="Q335" s="827">
        <v>0</v>
      </c>
      <c r="R335" s="827">
        <v>0</v>
      </c>
      <c r="S335" s="827">
        <v>0</v>
      </c>
      <c r="T335" s="827">
        <v>0</v>
      </c>
      <c r="U335" s="827">
        <v>0</v>
      </c>
      <c r="V335" s="827">
        <v>0</v>
      </c>
      <c r="W335" s="827">
        <v>0</v>
      </c>
      <c r="X335" s="827">
        <v>0</v>
      </c>
      <c r="Y335" s="827">
        <v>0</v>
      </c>
      <c r="Z335" s="827">
        <v>0</v>
      </c>
      <c r="AA335" s="827">
        <v>0</v>
      </c>
      <c r="AB335" s="827">
        <v>0</v>
      </c>
      <c r="AC335" s="828">
        <v>0</v>
      </c>
      <c r="AD335" s="828">
        <v>0</v>
      </c>
      <c r="AE335" s="828">
        <v>0</v>
      </c>
      <c r="AF335" s="828">
        <v>0</v>
      </c>
      <c r="AG335" s="828">
        <v>0</v>
      </c>
      <c r="AH335" s="828">
        <v>0</v>
      </c>
      <c r="AI335" s="828">
        <v>0</v>
      </c>
      <c r="AJ335" s="828">
        <v>0</v>
      </c>
      <c r="AK335" s="828">
        <v>0</v>
      </c>
      <c r="AL335" s="828">
        <v>0</v>
      </c>
      <c r="AM335" s="828">
        <v>0</v>
      </c>
      <c r="AN335" s="828">
        <v>0</v>
      </c>
      <c r="AO335" s="828">
        <v>0</v>
      </c>
      <c r="AP335" s="828">
        <v>0</v>
      </c>
    </row>
    <row r="336" hidden="1">
      <c r="B336" s="829" t="s">
        <v>19</v>
      </c>
      <c r="C336" s="823">
        <v>0</v>
      </c>
      <c r="D336" s="823">
        <v>0</v>
      </c>
      <c r="E336" s="823">
        <v>0</v>
      </c>
      <c r="F336" s="823">
        <v>0</v>
      </c>
      <c r="G336" s="823">
        <v>0</v>
      </c>
      <c r="H336" s="823">
        <v>0</v>
      </c>
      <c r="I336" s="823">
        <v>0</v>
      </c>
      <c r="J336" s="823">
        <v>0</v>
      </c>
      <c r="K336" s="823">
        <v>0</v>
      </c>
      <c r="L336" s="823">
        <v>0</v>
      </c>
      <c r="M336" s="823">
        <v>0</v>
      </c>
      <c r="N336" s="823">
        <v>0</v>
      </c>
      <c r="O336" s="823">
        <v>0</v>
      </c>
      <c r="P336" s="823">
        <v>0</v>
      </c>
      <c r="Q336" s="823">
        <v>0</v>
      </c>
      <c r="R336" s="823">
        <v>0</v>
      </c>
      <c r="S336" s="823">
        <v>0</v>
      </c>
      <c r="T336" s="823">
        <v>0</v>
      </c>
      <c r="U336" s="823">
        <v>0</v>
      </c>
      <c r="V336" s="823">
        <v>0</v>
      </c>
      <c r="W336" s="823">
        <v>0</v>
      </c>
      <c r="X336" s="823">
        <v>0</v>
      </c>
      <c r="Y336" s="823">
        <v>0</v>
      </c>
      <c r="Z336" s="823">
        <v>0</v>
      </c>
      <c r="AA336" s="823">
        <v>0</v>
      </c>
      <c r="AB336" s="823">
        <v>0</v>
      </c>
      <c r="AC336" s="825">
        <v>0</v>
      </c>
      <c r="AD336" s="825">
        <v>0</v>
      </c>
      <c r="AE336" s="825">
        <v>0</v>
      </c>
      <c r="AF336" s="825">
        <v>0</v>
      </c>
      <c r="AG336" s="825">
        <v>0</v>
      </c>
      <c r="AH336" s="825">
        <v>0</v>
      </c>
      <c r="AI336" s="825">
        <v>0</v>
      </c>
      <c r="AJ336" s="825">
        <v>0</v>
      </c>
      <c r="AK336" s="825">
        <v>0</v>
      </c>
      <c r="AL336" s="825">
        <v>0</v>
      </c>
      <c r="AM336" s="825">
        <v>0</v>
      </c>
      <c r="AN336" s="825">
        <v>0</v>
      </c>
      <c r="AO336" s="825">
        <v>0</v>
      </c>
      <c r="AP336" s="825">
        <v>0</v>
      </c>
    </row>
    <row r="337" hidden="1">
      <c r="B337" s="826" t="s">
        <v>20</v>
      </c>
      <c r="C337" s="827">
        <v>0</v>
      </c>
      <c r="D337" s="827">
        <v>0</v>
      </c>
      <c r="E337" s="827">
        <v>0</v>
      </c>
      <c r="F337" s="827">
        <v>0</v>
      </c>
      <c r="G337" s="827">
        <v>0</v>
      </c>
      <c r="H337" s="827">
        <v>0</v>
      </c>
      <c r="I337" s="827">
        <v>0</v>
      </c>
      <c r="J337" s="827">
        <v>0</v>
      </c>
      <c r="K337" s="827">
        <v>0</v>
      </c>
      <c r="L337" s="827">
        <v>0</v>
      </c>
      <c r="M337" s="827">
        <v>0</v>
      </c>
      <c r="N337" s="827">
        <v>0</v>
      </c>
      <c r="O337" s="827">
        <v>0</v>
      </c>
      <c r="P337" s="827">
        <v>0</v>
      </c>
      <c r="Q337" s="827">
        <v>0</v>
      </c>
      <c r="R337" s="827">
        <v>0</v>
      </c>
      <c r="S337" s="827">
        <v>0</v>
      </c>
      <c r="T337" s="827">
        <v>0</v>
      </c>
      <c r="U337" s="827">
        <v>0</v>
      </c>
      <c r="V337" s="827">
        <v>0</v>
      </c>
      <c r="W337" s="827">
        <v>0</v>
      </c>
      <c r="X337" s="827">
        <v>0</v>
      </c>
      <c r="Y337" s="827">
        <v>0</v>
      </c>
      <c r="Z337" s="827">
        <v>0</v>
      </c>
      <c r="AA337" s="827">
        <v>0</v>
      </c>
      <c r="AB337" s="827">
        <v>0</v>
      </c>
      <c r="AC337" s="828">
        <v>0</v>
      </c>
      <c r="AD337" s="828">
        <v>0</v>
      </c>
      <c r="AE337" s="828">
        <v>0</v>
      </c>
      <c r="AF337" s="828">
        <v>0</v>
      </c>
      <c r="AG337" s="828">
        <v>0</v>
      </c>
      <c r="AH337" s="828">
        <v>0</v>
      </c>
      <c r="AI337" s="828">
        <v>0</v>
      </c>
      <c r="AJ337" s="828">
        <v>0</v>
      </c>
      <c r="AK337" s="828">
        <v>0</v>
      </c>
      <c r="AL337" s="828">
        <v>0</v>
      </c>
      <c r="AM337" s="828">
        <v>0</v>
      </c>
      <c r="AN337" s="828">
        <v>0</v>
      </c>
      <c r="AO337" s="828">
        <v>0</v>
      </c>
      <c r="AP337" s="828">
        <v>0</v>
      </c>
    </row>
    <row r="338" hidden="1">
      <c r="B338" s="829" t="s">
        <v>21</v>
      </c>
      <c r="C338" s="823">
        <v>0</v>
      </c>
      <c r="D338" s="823">
        <v>0</v>
      </c>
      <c r="E338" s="823">
        <v>0</v>
      </c>
      <c r="F338" s="823">
        <v>0</v>
      </c>
      <c r="G338" s="823">
        <v>0</v>
      </c>
      <c r="H338" s="823">
        <v>0</v>
      </c>
      <c r="I338" s="823">
        <v>0</v>
      </c>
      <c r="J338" s="823">
        <v>0</v>
      </c>
      <c r="K338" s="823">
        <v>0</v>
      </c>
      <c r="L338" s="823">
        <v>0</v>
      </c>
      <c r="M338" s="823">
        <v>0</v>
      </c>
      <c r="N338" s="823">
        <v>0</v>
      </c>
      <c r="O338" s="823">
        <v>0</v>
      </c>
      <c r="P338" s="823">
        <v>0</v>
      </c>
      <c r="Q338" s="823">
        <v>0</v>
      </c>
      <c r="R338" s="823">
        <v>0</v>
      </c>
      <c r="S338" s="823">
        <v>0</v>
      </c>
      <c r="T338" s="823">
        <v>0</v>
      </c>
      <c r="U338" s="823">
        <v>0</v>
      </c>
      <c r="V338" s="823">
        <v>0</v>
      </c>
      <c r="W338" s="823">
        <v>0</v>
      </c>
      <c r="X338" s="823">
        <v>0</v>
      </c>
      <c r="Y338" s="823">
        <v>0</v>
      </c>
      <c r="Z338" s="823">
        <v>0</v>
      </c>
      <c r="AA338" s="823">
        <v>0</v>
      </c>
      <c r="AB338" s="823">
        <v>0</v>
      </c>
      <c r="AC338" s="825">
        <v>0</v>
      </c>
      <c r="AD338" s="825">
        <v>0</v>
      </c>
      <c r="AE338" s="825">
        <v>0</v>
      </c>
      <c r="AF338" s="825">
        <v>0</v>
      </c>
      <c r="AG338" s="825">
        <v>0</v>
      </c>
      <c r="AH338" s="825">
        <v>0</v>
      </c>
      <c r="AI338" s="825">
        <v>0</v>
      </c>
      <c r="AJ338" s="825">
        <v>0</v>
      </c>
      <c r="AK338" s="825">
        <v>0</v>
      </c>
      <c r="AL338" s="825">
        <v>0</v>
      </c>
      <c r="AM338" s="825">
        <v>0</v>
      </c>
      <c r="AN338" s="825">
        <v>0</v>
      </c>
      <c r="AO338" s="825">
        <v>0</v>
      </c>
      <c r="AP338" s="825">
        <v>0</v>
      </c>
    </row>
    <row r="339" hidden="1">
      <c r="B339" s="826" t="s">
        <v>22</v>
      </c>
      <c r="C339" s="827">
        <v>0</v>
      </c>
      <c r="D339" s="827">
        <v>0</v>
      </c>
      <c r="E339" s="827">
        <v>0</v>
      </c>
      <c r="F339" s="827">
        <v>0</v>
      </c>
      <c r="G339" s="827">
        <v>0</v>
      </c>
      <c r="H339" s="827">
        <v>0</v>
      </c>
      <c r="I339" s="827">
        <v>0</v>
      </c>
      <c r="J339" s="827">
        <v>0</v>
      </c>
      <c r="K339" s="827">
        <v>0</v>
      </c>
      <c r="L339" s="827">
        <v>0</v>
      </c>
      <c r="M339" s="827">
        <v>0</v>
      </c>
      <c r="N339" s="827">
        <v>0</v>
      </c>
      <c r="O339" s="827">
        <v>0</v>
      </c>
      <c r="P339" s="827">
        <v>0</v>
      </c>
      <c r="Q339" s="827">
        <v>0</v>
      </c>
      <c r="R339" s="827">
        <v>0</v>
      </c>
      <c r="S339" s="827">
        <v>0</v>
      </c>
      <c r="T339" s="827">
        <v>0</v>
      </c>
      <c r="U339" s="827">
        <v>0</v>
      </c>
      <c r="V339" s="827">
        <v>0</v>
      </c>
      <c r="W339" s="827">
        <v>0</v>
      </c>
      <c r="X339" s="827">
        <v>0</v>
      </c>
      <c r="Y339" s="827">
        <v>0</v>
      </c>
      <c r="Z339" s="827">
        <v>0</v>
      </c>
      <c r="AA339" s="827">
        <v>0</v>
      </c>
      <c r="AB339" s="827">
        <v>0</v>
      </c>
      <c r="AC339" s="828">
        <v>0</v>
      </c>
      <c r="AD339" s="828">
        <v>0</v>
      </c>
      <c r="AE339" s="828">
        <v>0</v>
      </c>
      <c r="AF339" s="828">
        <v>0</v>
      </c>
      <c r="AG339" s="828">
        <v>0</v>
      </c>
      <c r="AH339" s="828">
        <v>0</v>
      </c>
      <c r="AI339" s="828">
        <v>0</v>
      </c>
      <c r="AJ339" s="828">
        <v>0</v>
      </c>
      <c r="AK339" s="828">
        <v>0</v>
      </c>
      <c r="AL339" s="828">
        <v>0</v>
      </c>
      <c r="AM339" s="828">
        <v>0</v>
      </c>
      <c r="AN339" s="828">
        <v>0</v>
      </c>
      <c r="AO339" s="828">
        <v>0</v>
      </c>
      <c r="AP339" s="828">
        <v>0</v>
      </c>
    </row>
    <row r="340" hidden="1">
      <c r="B340" s="829" t="s">
        <v>23</v>
      </c>
      <c r="C340" s="823">
        <v>0</v>
      </c>
      <c r="D340" s="823">
        <v>0</v>
      </c>
      <c r="E340" s="823">
        <v>0</v>
      </c>
      <c r="F340" s="823">
        <v>0</v>
      </c>
      <c r="G340" s="823">
        <v>0</v>
      </c>
      <c r="H340" s="823">
        <v>0</v>
      </c>
      <c r="I340" s="823">
        <v>0</v>
      </c>
      <c r="J340" s="823">
        <v>0</v>
      </c>
      <c r="K340" s="823">
        <v>0</v>
      </c>
      <c r="L340" s="823">
        <v>0</v>
      </c>
      <c r="M340" s="823">
        <v>0</v>
      </c>
      <c r="N340" s="823">
        <v>0</v>
      </c>
      <c r="O340" s="823">
        <v>0</v>
      </c>
      <c r="P340" s="823">
        <v>0</v>
      </c>
      <c r="Q340" s="823">
        <v>0</v>
      </c>
      <c r="R340" s="823">
        <v>0</v>
      </c>
      <c r="S340" s="823">
        <v>0</v>
      </c>
      <c r="T340" s="823">
        <v>0</v>
      </c>
      <c r="U340" s="823">
        <v>0</v>
      </c>
      <c r="V340" s="823">
        <v>0</v>
      </c>
      <c r="W340" s="823">
        <v>0</v>
      </c>
      <c r="X340" s="823">
        <v>0</v>
      </c>
      <c r="Y340" s="823">
        <v>0</v>
      </c>
      <c r="Z340" s="823">
        <v>0</v>
      </c>
      <c r="AA340" s="823">
        <v>0</v>
      </c>
      <c r="AB340" s="823">
        <v>0</v>
      </c>
      <c r="AC340" s="825">
        <v>0</v>
      </c>
      <c r="AD340" s="825">
        <v>0</v>
      </c>
      <c r="AE340" s="825">
        <v>0</v>
      </c>
      <c r="AF340" s="825">
        <v>0</v>
      </c>
      <c r="AG340" s="825">
        <v>0</v>
      </c>
      <c r="AH340" s="825">
        <v>0</v>
      </c>
      <c r="AI340" s="825">
        <v>0</v>
      </c>
      <c r="AJ340" s="825">
        <v>0</v>
      </c>
      <c r="AK340" s="825">
        <v>0</v>
      </c>
      <c r="AL340" s="825">
        <v>0</v>
      </c>
      <c r="AM340" s="825">
        <v>0</v>
      </c>
      <c r="AN340" s="825">
        <v>0</v>
      </c>
      <c r="AO340" s="825">
        <v>0</v>
      </c>
      <c r="AP340" s="825">
        <v>0</v>
      </c>
    </row>
    <row r="341" hidden="1">
      <c r="B341" s="835" t="s">
        <v>24</v>
      </c>
      <c r="C341" s="827">
        <v>0</v>
      </c>
      <c r="D341" s="827">
        <v>0</v>
      </c>
      <c r="E341" s="827">
        <v>0</v>
      </c>
      <c r="F341" s="827">
        <v>0</v>
      </c>
      <c r="G341" s="827">
        <v>0</v>
      </c>
      <c r="H341" s="827">
        <v>0</v>
      </c>
      <c r="I341" s="827">
        <v>0</v>
      </c>
      <c r="J341" s="827">
        <v>0</v>
      </c>
      <c r="K341" s="827">
        <v>0</v>
      </c>
      <c r="L341" s="827">
        <v>0</v>
      </c>
      <c r="M341" s="827">
        <v>0</v>
      </c>
      <c r="N341" s="827">
        <v>0</v>
      </c>
      <c r="O341" s="827">
        <v>0</v>
      </c>
      <c r="P341" s="827">
        <v>0</v>
      </c>
      <c r="Q341" s="827">
        <v>0</v>
      </c>
      <c r="R341" s="827">
        <v>0</v>
      </c>
      <c r="S341" s="827">
        <v>0</v>
      </c>
      <c r="T341" s="827">
        <v>0</v>
      </c>
      <c r="U341" s="827">
        <v>0</v>
      </c>
      <c r="V341" s="827">
        <v>0</v>
      </c>
      <c r="W341" s="827">
        <v>0</v>
      </c>
      <c r="X341" s="827">
        <v>0</v>
      </c>
      <c r="Y341" s="827">
        <v>0</v>
      </c>
      <c r="Z341" s="827">
        <v>0</v>
      </c>
      <c r="AA341" s="827">
        <v>0</v>
      </c>
      <c r="AB341" s="827">
        <v>0</v>
      </c>
      <c r="AC341" s="828">
        <v>0</v>
      </c>
      <c r="AD341" s="828">
        <v>0</v>
      </c>
      <c r="AE341" s="828">
        <v>0</v>
      </c>
      <c r="AF341" s="828">
        <v>0</v>
      </c>
      <c r="AG341" s="828">
        <v>0</v>
      </c>
      <c r="AH341" s="828">
        <v>0</v>
      </c>
      <c r="AI341" s="828">
        <v>0</v>
      </c>
      <c r="AJ341" s="828">
        <v>0</v>
      </c>
      <c r="AK341" s="828">
        <v>0</v>
      </c>
      <c r="AL341" s="828">
        <v>0</v>
      </c>
      <c r="AM341" s="828">
        <v>0</v>
      </c>
      <c r="AN341" s="828">
        <v>0</v>
      </c>
      <c r="AO341" s="828">
        <v>0</v>
      </c>
      <c r="AP341" s="828">
        <v>0</v>
      </c>
    </row>
    <row r="342" hidden="1">
      <c r="B342" s="829" t="s">
        <v>25</v>
      </c>
      <c r="C342" s="823">
        <v>0</v>
      </c>
      <c r="D342" s="823">
        <v>0</v>
      </c>
      <c r="E342" s="823">
        <v>0</v>
      </c>
      <c r="F342" s="823">
        <v>0</v>
      </c>
      <c r="G342" s="823">
        <v>0</v>
      </c>
      <c r="H342" s="823">
        <v>0</v>
      </c>
      <c r="I342" s="823">
        <v>0</v>
      </c>
      <c r="J342" s="823">
        <v>0</v>
      </c>
      <c r="K342" s="823">
        <v>0</v>
      </c>
      <c r="L342" s="823">
        <v>0</v>
      </c>
      <c r="M342" s="823">
        <v>0</v>
      </c>
      <c r="N342" s="823">
        <v>0</v>
      </c>
      <c r="O342" s="823">
        <v>0</v>
      </c>
      <c r="P342" s="823">
        <v>0</v>
      </c>
      <c r="Q342" s="823">
        <v>0</v>
      </c>
      <c r="R342" s="823">
        <v>0</v>
      </c>
      <c r="S342" s="823">
        <v>0</v>
      </c>
      <c r="T342" s="823">
        <v>0</v>
      </c>
      <c r="U342" s="823">
        <v>0</v>
      </c>
      <c r="V342" s="823">
        <v>0</v>
      </c>
      <c r="W342" s="823">
        <v>0</v>
      </c>
      <c r="X342" s="823">
        <v>0</v>
      </c>
      <c r="Y342" s="823">
        <v>0</v>
      </c>
      <c r="Z342" s="823">
        <v>0</v>
      </c>
      <c r="AA342" s="823">
        <v>0</v>
      </c>
      <c r="AB342" s="823">
        <v>0</v>
      </c>
      <c r="AC342" s="825">
        <v>0</v>
      </c>
      <c r="AD342" s="825">
        <v>0</v>
      </c>
      <c r="AE342" s="825">
        <v>0</v>
      </c>
      <c r="AF342" s="825">
        <v>0</v>
      </c>
      <c r="AG342" s="825">
        <v>0</v>
      </c>
      <c r="AH342" s="825">
        <v>0</v>
      </c>
      <c r="AI342" s="825">
        <v>0</v>
      </c>
      <c r="AJ342" s="825">
        <v>0</v>
      </c>
      <c r="AK342" s="825">
        <v>0</v>
      </c>
      <c r="AL342" s="825">
        <v>0</v>
      </c>
      <c r="AM342" s="825">
        <v>0</v>
      </c>
      <c r="AN342" s="825">
        <v>0</v>
      </c>
      <c r="AO342" s="825">
        <v>0</v>
      </c>
      <c r="AP342" s="825">
        <v>0</v>
      </c>
    </row>
    <row r="343" hidden="1" ht="13.5">
      <c r="B343" s="836" t="s">
        <v>26</v>
      </c>
      <c r="C343" s="827">
        <v>0</v>
      </c>
      <c r="D343" s="827">
        <v>0</v>
      </c>
      <c r="E343" s="827">
        <v>0</v>
      </c>
      <c r="F343" s="827">
        <v>0</v>
      </c>
      <c r="G343" s="827">
        <v>0</v>
      </c>
      <c r="H343" s="827">
        <v>0</v>
      </c>
      <c r="I343" s="827">
        <v>0</v>
      </c>
      <c r="J343" s="827">
        <v>0</v>
      </c>
      <c r="K343" s="827">
        <v>0</v>
      </c>
      <c r="L343" s="827">
        <v>0</v>
      </c>
      <c r="M343" s="827">
        <v>0</v>
      </c>
      <c r="N343" s="827">
        <v>0</v>
      </c>
      <c r="O343" s="827">
        <v>0</v>
      </c>
      <c r="P343" s="827">
        <v>0</v>
      </c>
      <c r="Q343" s="827">
        <v>0</v>
      </c>
      <c r="R343" s="827">
        <v>0</v>
      </c>
      <c r="S343" s="827">
        <v>0</v>
      </c>
      <c r="T343" s="827">
        <v>0</v>
      </c>
      <c r="U343" s="827">
        <v>0</v>
      </c>
      <c r="V343" s="827">
        <v>0</v>
      </c>
      <c r="W343" s="827">
        <v>0</v>
      </c>
      <c r="X343" s="827">
        <v>0</v>
      </c>
      <c r="Y343" s="827">
        <v>0</v>
      </c>
      <c r="Z343" s="827">
        <v>0</v>
      </c>
      <c r="AA343" s="827">
        <v>0</v>
      </c>
      <c r="AB343" s="837">
        <v>0</v>
      </c>
      <c r="AC343" s="828">
        <v>0</v>
      </c>
      <c r="AD343" s="828">
        <v>0</v>
      </c>
      <c r="AE343" s="828">
        <v>0</v>
      </c>
      <c r="AF343" s="828">
        <v>0</v>
      </c>
      <c r="AG343" s="828">
        <v>0</v>
      </c>
      <c r="AH343" s="828">
        <v>0</v>
      </c>
      <c r="AI343" s="828">
        <v>0</v>
      </c>
      <c r="AJ343" s="828">
        <v>0</v>
      </c>
      <c r="AK343" s="828">
        <v>0</v>
      </c>
      <c r="AL343" s="828">
        <v>0</v>
      </c>
      <c r="AM343" s="828">
        <v>0</v>
      </c>
      <c r="AN343" s="828">
        <v>0</v>
      </c>
      <c r="AO343" s="828">
        <v>0</v>
      </c>
      <c r="AP343" s="828">
        <v>0</v>
      </c>
    </row>
    <row r="344" hidden="1" ht="13.5">
      <c r="B344" s="128" t="s">
        <v>7</v>
      </c>
      <c r="C344" s="129" t="str">
        <f>IF(SUM(C325:C343)&lt;&gt;0,SUM(C325:C343),"")</f>
      </c>
      <c r="D344" s="129" t="str">
        <f ref="D344:AA344" t="shared" si="45">IF(SUM(D325:D343)&lt;&gt;0,SUM(D325:D343),"")</f>
      </c>
      <c r="E344" s="129" t="str">
        <f t="shared" si="45"/>
      </c>
      <c r="F344" s="129" t="str">
        <f t="shared" si="45"/>
      </c>
      <c r="G344" s="129" t="str">
        <f t="shared" si="45"/>
      </c>
      <c r="H344" s="129" t="str">
        <f t="shared" si="45"/>
      </c>
      <c r="I344" s="129" t="str">
        <f t="shared" si="45"/>
      </c>
      <c r="J344" s="129" t="str">
        <f t="shared" si="45"/>
      </c>
      <c r="K344" s="129" t="str">
        <f t="shared" si="45"/>
      </c>
      <c r="L344" s="129" t="str">
        <f t="shared" si="45"/>
      </c>
      <c r="M344" s="129" t="str">
        <f t="shared" si="45"/>
      </c>
      <c r="N344" s="129" t="str">
        <f t="shared" si="45"/>
      </c>
      <c r="O344" s="129" t="str">
        <f t="shared" si="45"/>
      </c>
      <c r="P344" s="129" t="str">
        <f t="shared" si="45"/>
      </c>
      <c r="Q344" s="129" t="str">
        <f t="shared" si="45"/>
      </c>
      <c r="R344" s="129" t="str">
        <f t="shared" si="45"/>
      </c>
      <c r="S344" s="129" t="str">
        <f t="shared" si="45"/>
      </c>
      <c r="T344" s="129" t="str">
        <f t="shared" si="45"/>
      </c>
      <c r="U344" s="129" t="str">
        <f t="shared" si="45"/>
      </c>
      <c r="V344" s="129" t="str">
        <f t="shared" si="45"/>
      </c>
      <c r="W344" s="129" t="str">
        <f t="shared" si="45"/>
      </c>
      <c r="X344" s="129" t="str">
        <f t="shared" si="45"/>
      </c>
      <c r="Y344" s="129" t="str">
        <f t="shared" si="45"/>
      </c>
      <c r="Z344" s="129" t="str">
        <f t="shared" si="45"/>
      </c>
      <c r="AA344" s="129" t="str">
        <f t="shared" si="45"/>
      </c>
      <c r="AB344" s="130" t="str">
        <f>IF(SUM(AB325:AB343)&lt;&gt;0,SUM(AB325:AB343),"")</f>
      </c>
      <c r="AC344" s="91" t="str">
        <f ref="AC344:CN344" t="shared" si="46">IF(SUM(AC325:AC343)&lt;&gt;0,SUM(AC325:AC343),"")</f>
      </c>
      <c r="AD344" s="91" t="str">
        <f t="shared" si="46"/>
      </c>
      <c r="AE344" s="91" t="str">
        <f t="shared" si="46"/>
      </c>
      <c r="AF344" s="91" t="str">
        <f t="shared" si="46"/>
      </c>
      <c r="AG344" s="91" t="str">
        <f t="shared" si="46"/>
      </c>
      <c r="AH344" s="91" t="str">
        <f t="shared" si="46"/>
      </c>
      <c r="AI344" s="91" t="str">
        <f t="shared" si="46"/>
      </c>
      <c r="AJ344" s="91" t="str">
        <f t="shared" si="46"/>
      </c>
      <c r="AK344" s="91" t="str">
        <f t="shared" si="46"/>
      </c>
      <c r="AL344" s="91" t="str">
        <f t="shared" si="46"/>
      </c>
      <c r="AM344" s="91" t="str">
        <f t="shared" si="46"/>
      </c>
      <c r="AN344" s="91" t="str">
        <f t="shared" si="46"/>
      </c>
      <c r="AO344" s="91" t="str">
        <f t="shared" si="46"/>
      </c>
      <c r="AP344" s="91" t="str">
        <f t="shared" si="46"/>
      </c>
      <c r="AQ344" s="91" t="str">
        <f t="shared" si="46"/>
      </c>
      <c r="AR344" s="91" t="str">
        <f t="shared" si="46"/>
      </c>
      <c r="AS344" s="91" t="str">
        <f t="shared" si="46"/>
      </c>
      <c r="AT344" s="91" t="str">
        <f t="shared" si="46"/>
      </c>
      <c r="AU344" s="91" t="str">
        <f t="shared" si="46"/>
      </c>
      <c r="AV344" s="91" t="str">
        <f t="shared" si="46"/>
      </c>
      <c r="AW344" s="91" t="str">
        <f t="shared" si="46"/>
      </c>
      <c r="AX344" s="91" t="str">
        <f t="shared" si="46"/>
      </c>
      <c r="AY344" s="91" t="str">
        <f t="shared" si="46"/>
      </c>
      <c r="AZ344" s="91" t="str">
        <f t="shared" si="46"/>
      </c>
      <c r="BA344" s="91" t="str">
        <f t="shared" si="46"/>
      </c>
      <c r="BB344" s="91" t="str">
        <f t="shared" si="46"/>
      </c>
      <c r="BC344" s="91" t="str">
        <f t="shared" si="46"/>
      </c>
      <c r="BD344" s="91" t="str">
        <f t="shared" si="46"/>
      </c>
      <c r="BE344" s="91" t="str">
        <f t="shared" si="46"/>
      </c>
      <c r="BF344" s="91" t="str">
        <f t="shared" si="46"/>
      </c>
      <c r="BG344" s="91" t="str">
        <f t="shared" si="46"/>
      </c>
      <c r="BH344" s="91" t="str">
        <f t="shared" si="46"/>
      </c>
      <c r="BI344" s="91" t="str">
        <f t="shared" si="46"/>
      </c>
      <c r="BJ344" s="91" t="str">
        <f t="shared" si="46"/>
      </c>
      <c r="BK344" s="91" t="str">
        <f t="shared" si="46"/>
      </c>
      <c r="BL344" s="91" t="str">
        <f t="shared" si="46"/>
      </c>
      <c r="BM344" s="91" t="str">
        <f t="shared" si="46"/>
      </c>
      <c r="BN344" s="91" t="str">
        <f t="shared" si="46"/>
      </c>
      <c r="BO344" s="91" t="str">
        <f t="shared" si="46"/>
      </c>
      <c r="BP344" s="91" t="str">
        <f t="shared" si="46"/>
      </c>
      <c r="BQ344" s="91" t="str">
        <f t="shared" si="46"/>
      </c>
      <c r="BR344" s="91" t="str">
        <f t="shared" si="46"/>
      </c>
      <c r="BS344" s="91" t="str">
        <f t="shared" si="46"/>
      </c>
      <c r="BT344" s="91" t="str">
        <f t="shared" si="46"/>
      </c>
      <c r="BU344" s="91" t="str">
        <f t="shared" si="46"/>
      </c>
      <c r="BV344" s="91" t="str">
        <f t="shared" si="46"/>
      </c>
      <c r="BW344" s="91" t="str">
        <f t="shared" si="46"/>
      </c>
      <c r="BX344" s="91" t="str">
        <f t="shared" si="46"/>
      </c>
      <c r="BY344" s="91" t="str">
        <f t="shared" si="46"/>
      </c>
      <c r="BZ344" s="91" t="str">
        <f t="shared" si="46"/>
      </c>
      <c r="CA344" s="91" t="str">
        <f t="shared" si="46"/>
      </c>
      <c r="CB344" s="91" t="str">
        <f t="shared" si="46"/>
      </c>
      <c r="CC344" s="91" t="str">
        <f t="shared" si="46"/>
      </c>
      <c r="CD344" s="91" t="str">
        <f t="shared" si="46"/>
      </c>
      <c r="CE344" s="91" t="str">
        <f t="shared" si="46"/>
      </c>
      <c r="CF344" s="91" t="str">
        <f t="shared" si="46"/>
      </c>
      <c r="CG344" s="91" t="str">
        <f t="shared" si="46"/>
      </c>
      <c r="CH344" s="91" t="str">
        <f t="shared" si="46"/>
      </c>
      <c r="CI344" s="91" t="str">
        <f t="shared" si="46"/>
      </c>
      <c r="CJ344" s="91" t="str">
        <f t="shared" si="46"/>
      </c>
      <c r="CK344" s="91" t="str">
        <f t="shared" si="46"/>
      </c>
      <c r="CL344" s="91" t="str">
        <f t="shared" si="46"/>
      </c>
      <c r="CM344" s="91" t="str">
        <f t="shared" si="46"/>
      </c>
      <c r="CN344" s="91" t="str">
        <f t="shared" si="46"/>
      </c>
      <c r="CO344" s="91" t="str">
        <f ref="CO344:EZ344" t="shared" si="47">IF(SUM(CO325:CO343)&lt;&gt;0,SUM(CO325:CO343),"")</f>
      </c>
      <c r="CP344" s="91" t="str">
        <f t="shared" si="47"/>
      </c>
      <c r="CQ344" s="91" t="str">
        <f t="shared" si="47"/>
      </c>
      <c r="CR344" s="91" t="str">
        <f t="shared" si="47"/>
      </c>
      <c r="CS344" s="91" t="str">
        <f t="shared" si="47"/>
      </c>
      <c r="CT344" s="91" t="str">
        <f t="shared" si="47"/>
      </c>
      <c r="CU344" s="91" t="str">
        <f t="shared" si="47"/>
      </c>
      <c r="CV344" s="91" t="str">
        <f t="shared" si="47"/>
      </c>
      <c r="CW344" s="91" t="str">
        <f t="shared" si="47"/>
      </c>
      <c r="CX344" s="91" t="str">
        <f t="shared" si="47"/>
      </c>
      <c r="CY344" s="91" t="str">
        <f t="shared" si="47"/>
      </c>
      <c r="CZ344" s="91" t="str">
        <f t="shared" si="47"/>
      </c>
      <c r="DA344" s="91" t="str">
        <f t="shared" si="47"/>
      </c>
      <c r="DB344" s="91" t="str">
        <f t="shared" si="47"/>
      </c>
      <c r="DC344" s="91" t="str">
        <f t="shared" si="47"/>
      </c>
      <c r="DD344" s="91" t="str">
        <f t="shared" si="47"/>
      </c>
      <c r="DE344" s="91" t="str">
        <f t="shared" si="47"/>
      </c>
      <c r="DF344" s="91" t="str">
        <f t="shared" si="47"/>
      </c>
      <c r="DG344" s="91" t="str">
        <f t="shared" si="47"/>
      </c>
      <c r="DH344" s="91" t="str">
        <f t="shared" si="47"/>
      </c>
      <c r="DI344" s="91" t="str">
        <f t="shared" si="47"/>
      </c>
      <c r="DJ344" s="91" t="str">
        <f t="shared" si="47"/>
      </c>
      <c r="DK344" s="91" t="str">
        <f t="shared" si="47"/>
      </c>
      <c r="DL344" s="91" t="str">
        <f t="shared" si="47"/>
      </c>
      <c r="DM344" s="91" t="str">
        <f t="shared" si="47"/>
      </c>
      <c r="DN344" s="91" t="str">
        <f t="shared" si="47"/>
      </c>
      <c r="DO344" s="91" t="str">
        <f t="shared" si="47"/>
      </c>
      <c r="DP344" s="91" t="str">
        <f t="shared" si="47"/>
      </c>
      <c r="DQ344" s="91" t="str">
        <f t="shared" si="47"/>
      </c>
      <c r="DR344" s="91" t="str">
        <f t="shared" si="47"/>
      </c>
      <c r="DS344" s="91" t="str">
        <f t="shared" si="47"/>
      </c>
      <c r="DT344" s="91" t="str">
        <f t="shared" si="47"/>
      </c>
      <c r="DU344" s="91" t="str">
        <f t="shared" si="47"/>
      </c>
      <c r="DV344" s="91" t="str">
        <f t="shared" si="47"/>
      </c>
      <c r="DW344" s="91" t="str">
        <f t="shared" si="47"/>
      </c>
      <c r="DX344" s="91" t="str">
        <f t="shared" si="47"/>
      </c>
      <c r="DY344" s="91" t="str">
        <f t="shared" si="47"/>
      </c>
      <c r="DZ344" s="91" t="str">
        <f t="shared" si="47"/>
      </c>
      <c r="EA344" s="91" t="str">
        <f t="shared" si="47"/>
      </c>
      <c r="EB344" s="91" t="str">
        <f t="shared" si="47"/>
      </c>
      <c r="EC344" s="91" t="str">
        <f t="shared" si="47"/>
      </c>
      <c r="ED344" s="91" t="str">
        <f t="shared" si="47"/>
      </c>
      <c r="EE344" s="91" t="str">
        <f t="shared" si="47"/>
      </c>
      <c r="EF344" s="91" t="str">
        <f t="shared" si="47"/>
      </c>
      <c r="EG344" s="91" t="str">
        <f t="shared" si="47"/>
      </c>
      <c r="EH344" s="91" t="str">
        <f t="shared" si="47"/>
      </c>
      <c r="EI344" s="91" t="str">
        <f t="shared" si="47"/>
      </c>
      <c r="EJ344" s="91" t="str">
        <f t="shared" si="47"/>
      </c>
      <c r="EK344" s="91" t="str">
        <f t="shared" si="47"/>
      </c>
      <c r="EL344" s="91" t="str">
        <f t="shared" si="47"/>
      </c>
      <c r="EM344" s="91" t="str">
        <f t="shared" si="47"/>
      </c>
      <c r="EN344" s="91" t="str">
        <f t="shared" si="47"/>
      </c>
      <c r="EO344" s="91" t="str">
        <f t="shared" si="47"/>
      </c>
      <c r="EP344" s="91" t="str">
        <f t="shared" si="47"/>
      </c>
      <c r="EQ344" s="91" t="str">
        <f t="shared" si="47"/>
      </c>
      <c r="ER344" s="91" t="str">
        <f t="shared" si="47"/>
      </c>
      <c r="ES344" s="91" t="str">
        <f t="shared" si="47"/>
      </c>
      <c r="ET344" s="91" t="str">
        <f t="shared" si="47"/>
      </c>
      <c r="EU344" s="91" t="str">
        <f t="shared" si="47"/>
      </c>
      <c r="EV344" s="91" t="str">
        <f t="shared" si="47"/>
      </c>
      <c r="EW344" s="91" t="str">
        <f t="shared" si="47"/>
      </c>
      <c r="EX344" s="91" t="str">
        <f t="shared" si="47"/>
      </c>
      <c r="EY344" s="91" t="str">
        <f t="shared" si="47"/>
      </c>
      <c r="EZ344" s="91" t="str">
        <f t="shared" si="47"/>
      </c>
      <c r="FA344" s="91" t="str">
        <f ref="FA344:HL344" t="shared" si="48">IF(SUM(FA325:FA343)&lt;&gt;0,SUM(FA325:FA343),"")</f>
      </c>
      <c r="FB344" s="91" t="str">
        <f t="shared" si="48"/>
      </c>
      <c r="FC344" s="91" t="str">
        <f t="shared" si="48"/>
      </c>
      <c r="FD344" s="91" t="str">
        <f t="shared" si="48"/>
      </c>
      <c r="FE344" s="91" t="str">
        <f t="shared" si="48"/>
      </c>
      <c r="FF344" s="91" t="str">
        <f t="shared" si="48"/>
      </c>
      <c r="FG344" s="91" t="str">
        <f t="shared" si="48"/>
      </c>
      <c r="FH344" s="91" t="str">
        <f t="shared" si="48"/>
      </c>
      <c r="FI344" s="91" t="str">
        <f t="shared" si="48"/>
      </c>
      <c r="FJ344" s="91" t="str">
        <f t="shared" si="48"/>
      </c>
      <c r="FK344" s="91" t="str">
        <f t="shared" si="48"/>
      </c>
      <c r="FL344" s="91" t="str">
        <f t="shared" si="48"/>
      </c>
      <c r="FM344" s="91" t="str">
        <f t="shared" si="48"/>
      </c>
      <c r="FN344" s="91" t="str">
        <f t="shared" si="48"/>
      </c>
      <c r="FO344" s="91" t="str">
        <f t="shared" si="48"/>
      </c>
      <c r="FP344" s="91" t="str">
        <f t="shared" si="48"/>
      </c>
      <c r="FQ344" s="91" t="str">
        <f t="shared" si="48"/>
      </c>
      <c r="FR344" s="91" t="str">
        <f t="shared" si="48"/>
      </c>
      <c r="FS344" s="91" t="str">
        <f t="shared" si="48"/>
      </c>
      <c r="FT344" s="91" t="str">
        <f t="shared" si="48"/>
      </c>
      <c r="FU344" s="91" t="str">
        <f t="shared" si="48"/>
      </c>
      <c r="FV344" s="91" t="str">
        <f t="shared" si="48"/>
      </c>
      <c r="FW344" s="91" t="str">
        <f t="shared" si="48"/>
      </c>
      <c r="FX344" s="91" t="str">
        <f t="shared" si="48"/>
      </c>
      <c r="FY344" s="91" t="str">
        <f t="shared" si="48"/>
      </c>
      <c r="FZ344" s="91" t="str">
        <f t="shared" si="48"/>
      </c>
      <c r="GA344" s="91" t="str">
        <f t="shared" si="48"/>
      </c>
      <c r="GB344" s="91" t="str">
        <f t="shared" si="48"/>
      </c>
      <c r="GC344" s="91" t="str">
        <f t="shared" si="48"/>
      </c>
      <c r="GD344" s="91" t="str">
        <f t="shared" si="48"/>
      </c>
      <c r="GE344" s="91" t="str">
        <f t="shared" si="48"/>
      </c>
      <c r="GF344" s="91" t="str">
        <f t="shared" si="48"/>
      </c>
      <c r="GG344" s="91" t="str">
        <f t="shared" si="48"/>
      </c>
      <c r="GH344" s="91" t="str">
        <f t="shared" si="48"/>
      </c>
      <c r="GI344" s="91" t="str">
        <f t="shared" si="48"/>
      </c>
      <c r="GJ344" s="91" t="str">
        <f t="shared" si="48"/>
      </c>
      <c r="GK344" s="91" t="str">
        <f t="shared" si="48"/>
      </c>
      <c r="GL344" s="91" t="str">
        <f t="shared" si="48"/>
      </c>
      <c r="GM344" s="91" t="str">
        <f t="shared" si="48"/>
      </c>
      <c r="GN344" s="91" t="str">
        <f t="shared" si="48"/>
      </c>
      <c r="GO344" s="91" t="str">
        <f t="shared" si="48"/>
      </c>
      <c r="GP344" s="91" t="str">
        <f t="shared" si="48"/>
      </c>
      <c r="GQ344" s="91" t="str">
        <f t="shared" si="48"/>
      </c>
      <c r="GR344" s="91" t="str">
        <f t="shared" si="48"/>
      </c>
      <c r="GS344" s="91" t="str">
        <f t="shared" si="48"/>
      </c>
      <c r="GT344" s="91" t="str">
        <f t="shared" si="48"/>
      </c>
      <c r="GU344" s="91" t="str">
        <f t="shared" si="48"/>
      </c>
      <c r="GV344" s="91" t="str">
        <f t="shared" si="48"/>
      </c>
      <c r="GW344" s="91" t="str">
        <f t="shared" si="48"/>
      </c>
      <c r="GX344" s="91" t="str">
        <f t="shared" si="48"/>
      </c>
      <c r="GY344" s="91" t="str">
        <f t="shared" si="48"/>
      </c>
      <c r="GZ344" s="91" t="str">
        <f t="shared" si="48"/>
      </c>
      <c r="HA344" s="91" t="str">
        <f t="shared" si="48"/>
      </c>
      <c r="HB344" s="91" t="str">
        <f t="shared" si="48"/>
      </c>
      <c r="HC344" s="91" t="str">
        <f t="shared" si="48"/>
      </c>
      <c r="HD344" s="91" t="str">
        <f t="shared" si="48"/>
      </c>
      <c r="HE344" s="91" t="str">
        <f t="shared" si="48"/>
      </c>
      <c r="HF344" s="91" t="str">
        <f t="shared" si="48"/>
      </c>
      <c r="HG344" s="91" t="str">
        <f t="shared" si="48"/>
      </c>
      <c r="HH344" s="91" t="str">
        <f t="shared" si="48"/>
      </c>
      <c r="HI344" s="91" t="str">
        <f t="shared" si="48"/>
      </c>
      <c r="HJ344" s="91" t="str">
        <f t="shared" si="48"/>
      </c>
      <c r="HK344" s="91" t="str">
        <f t="shared" si="48"/>
      </c>
      <c r="HL344" s="91" t="str">
        <f t="shared" si="48"/>
      </c>
      <c r="HM344" s="91" t="str">
        <f ref="HM344:IV344" t="shared" si="49">IF(SUM(HM325:HM343)&lt;&gt;0,SUM(HM325:HM343),"")</f>
      </c>
      <c r="HN344" s="91" t="str">
        <f t="shared" si="49"/>
      </c>
      <c r="HO344" s="91" t="str">
        <f t="shared" si="49"/>
      </c>
      <c r="HP344" s="91" t="str">
        <f t="shared" si="49"/>
      </c>
      <c r="HQ344" s="91" t="str">
        <f t="shared" si="49"/>
      </c>
      <c r="HR344" s="91" t="str">
        <f t="shared" si="49"/>
      </c>
      <c r="HS344" s="91" t="str">
        <f t="shared" si="49"/>
      </c>
      <c r="HT344" s="91" t="str">
        <f t="shared" si="49"/>
      </c>
      <c r="HU344" s="91" t="str">
        <f t="shared" si="49"/>
      </c>
      <c r="HV344" s="91" t="str">
        <f t="shared" si="49"/>
      </c>
      <c r="HW344" s="91" t="str">
        <f t="shared" si="49"/>
      </c>
      <c r="HX344" s="91" t="str">
        <f t="shared" si="49"/>
      </c>
      <c r="HY344" s="91" t="str">
        <f t="shared" si="49"/>
      </c>
      <c r="HZ344" s="91" t="str">
        <f t="shared" si="49"/>
      </c>
      <c r="IA344" s="91" t="str">
        <f t="shared" si="49"/>
      </c>
      <c r="IB344" s="91" t="str">
        <f t="shared" si="49"/>
      </c>
      <c r="IC344" s="91" t="str">
        <f t="shared" si="49"/>
      </c>
      <c r="ID344" s="91" t="str">
        <f t="shared" si="49"/>
      </c>
      <c r="IE344" s="91" t="str">
        <f t="shared" si="49"/>
      </c>
      <c r="IF344" s="91" t="str">
        <f t="shared" si="49"/>
      </c>
      <c r="IG344" s="91" t="str">
        <f t="shared" si="49"/>
      </c>
      <c r="IH344" s="91" t="str">
        <f t="shared" si="49"/>
      </c>
      <c r="II344" s="91" t="str">
        <f t="shared" si="49"/>
      </c>
      <c r="IJ344" s="91" t="str">
        <f t="shared" si="49"/>
      </c>
      <c r="IK344" s="91" t="str">
        <f t="shared" si="49"/>
      </c>
      <c r="IL344" s="91" t="str">
        <f t="shared" si="49"/>
      </c>
      <c r="IM344" s="91" t="str">
        <f t="shared" si="49"/>
      </c>
      <c r="IN344" s="91" t="str">
        <f t="shared" si="49"/>
      </c>
      <c r="IO344" s="91" t="str">
        <f t="shared" si="49"/>
      </c>
      <c r="IP344" s="91" t="str">
        <f t="shared" si="49"/>
      </c>
      <c r="IQ344" s="91" t="str">
        <f t="shared" si="49"/>
      </c>
      <c r="IR344" s="91" t="str">
        <f t="shared" si="49"/>
      </c>
      <c r="IS344" s="91" t="str">
        <f t="shared" si="49"/>
      </c>
      <c r="IT344" s="91" t="str">
        <f t="shared" si="49"/>
      </c>
      <c r="IU344" s="91" t="str">
        <f t="shared" si="49"/>
      </c>
      <c r="IV344" s="91" t="str">
        <f t="shared" si="49"/>
      </c>
    </row>
    <row r="345" hidden="1" ht="15">
      <c r="K345" s="219"/>
    </row>
    <row r="346" hidden="1" ht="13.5"/>
    <row r="347" hidden="1" ht="13.5">
      <c r="C347" s="686" t="s">
        <v>120</v>
      </c>
      <c r="D347" s="687"/>
      <c r="E347" s="687"/>
      <c r="F347" s="687"/>
      <c r="G347" s="687"/>
      <c r="H347" s="687"/>
      <c r="I347" s="687"/>
      <c r="J347" s="687"/>
      <c r="K347" s="687"/>
      <c r="L347" s="687"/>
      <c r="M347" s="687"/>
      <c r="N347" s="687"/>
      <c r="O347" s="687"/>
      <c r="P347" s="687"/>
      <c r="Q347" s="687"/>
      <c r="R347" s="687"/>
      <c r="S347" s="687"/>
      <c r="T347" s="687"/>
      <c r="U347" s="687"/>
      <c r="V347" s="687"/>
      <c r="W347" s="687"/>
      <c r="X347" s="687"/>
      <c r="Y347" s="687"/>
      <c r="Z347" s="687"/>
      <c r="AA347" s="687"/>
      <c r="AB347" s="688"/>
    </row>
    <row r="348" hidden="1" ht="13.5">
      <c r="C348" s="435" t="str">
        <f> IF(C368&lt;&gt;"",TEXT(AUX!G$1,"dd-MMM-aa"),"")</f>
      </c>
      <c r="D348" s="435" t="str">
        <f> IF(D368&lt;&gt;"",TEXT(AUX!H$1,"dd-MMM-aa"),"")</f>
      </c>
      <c r="E348" s="435" t="str">
        <f> IF(E368&lt;&gt;"",TEXT(AUX!I$1,"dd-MMM-aa"),"")</f>
      </c>
      <c r="F348" s="435" t="str">
        <f> IF(F368&lt;&gt;"",TEXT(AUX!J$1,"dd-MMM-aa"),"")</f>
      </c>
      <c r="G348" s="435" t="str">
        <f> IF(G368&lt;&gt;"",TEXT(AUX!K$1,"dd-MMM-aa"),"")</f>
      </c>
      <c r="H348" s="435" t="str">
        <f> IF(H368&lt;&gt;"",TEXT(AUX!L$1,"dd-MMM-aa"),"")</f>
      </c>
      <c r="I348" s="435" t="str">
        <f> IF(I368&lt;&gt;"",TEXT(AUX!M$1,"dd-MMM-aa"),"")</f>
      </c>
      <c r="J348" s="435" t="str">
        <f> IF(J368&lt;&gt;"",TEXT(AUX!N$1,"dd-MMM-aa"),"")</f>
      </c>
      <c r="K348" s="435" t="str">
        <f> IF(K368&lt;&gt;"",TEXT(AUX!O$1,"dd-MMM-aa"),"")</f>
      </c>
      <c r="L348" s="435" t="str">
        <f> IF(L368&lt;&gt;"",TEXT(AUX!P$1,"dd-MMM-aa"),"")</f>
      </c>
      <c r="M348" s="435" t="str">
        <f> IF(M368&lt;&gt;"",TEXT(AUX!Q$1,"dd-MMM-aa"),"")</f>
      </c>
      <c r="N348" s="435" t="str">
        <f> IF(N368&lt;&gt;"",TEXT(AUX!R$1,"dd-MMM-aa"),"")</f>
      </c>
      <c r="O348" s="435" t="str">
        <f> IF(O368&lt;&gt;"",TEXT(AUX!S$1,"dd-MMM-aa"),"")</f>
      </c>
      <c r="P348" s="435" t="str">
        <f> IF(P368&lt;&gt;"",TEXT(AUX!T$1,"dd-MMM-aa"),"")</f>
      </c>
      <c r="Q348" s="435" t="str">
        <f> IF(Q368&lt;&gt;"",TEXT(AUX!U$1,"dd-MMM-aa"),"")</f>
      </c>
      <c r="R348" s="435" t="str">
        <f> IF(R368&lt;&gt;"",TEXT(AUX!V$1,"dd-MMM-aa"),"")</f>
      </c>
      <c r="S348" s="435" t="str">
        <f> IF(S368&lt;&gt;"",TEXT(AUX!W$1,"dd-MMM-aa"),"")</f>
      </c>
      <c r="T348" s="435" t="str">
        <f> IF(T368&lt;&gt;"",TEXT(AUX!X$1,"dd-MMM-aa"),"")</f>
      </c>
      <c r="U348" s="435" t="str">
        <f> IF(U368&lt;&gt;"",TEXT(AUX!Y$1,"dd-MMM-aa"),"")</f>
      </c>
      <c r="V348" s="435" t="str">
        <f> IF(V368&lt;&gt;"",TEXT(AUX!Z$1,"dd-MMM-aa"),"")</f>
      </c>
      <c r="W348" s="435" t="str">
        <f> IF(W368&lt;&gt;"",TEXT(AUX!AA$1,"dd-MMM-aa"),"")</f>
      </c>
      <c r="X348" s="435" t="str">
        <f> IF(X368&lt;&gt;"",TEXT(AUX!AB$1,"dd-MMM-aa"),"")</f>
      </c>
      <c r="Y348" s="435" t="str">
        <f> IF(Y368&lt;&gt;"",TEXT(AUX!AC$1,"dd-MMM-aa"),"")</f>
      </c>
      <c r="Z348" s="435" t="str">
        <f> IF(Z368&lt;&gt;"",TEXT(AUX!AD$1,"dd-MMM-aa"),"")</f>
      </c>
      <c r="AA348" s="435" t="str">
        <f> IF(AA368&lt;&gt;"",TEXT(AUX!AE$1,"dd-MMM-aa"),"")</f>
      </c>
      <c r="AB348" s="497" t="str">
        <f> IF(AB368&lt;&gt;"",TEXT(AUX!AF$1,"dd-MMM-aa"),"")</f>
      </c>
      <c r="AC348" s="496" t="str">
        <f> IF(AC368&lt;&gt;"",TEXT(AUX!AG$1,"dd-MMM-aa"),"")</f>
      </c>
      <c r="AD348" s="496" t="str">
        <f> IF(AD368&lt;&gt;"",TEXT(AUX!AH$1,"dd-MMM-aa"),"")</f>
      </c>
      <c r="AE348" s="496" t="str">
        <f> IF(AE368&lt;&gt;"",TEXT(AUX!AI$1,"dd-MMM-aa"),"")</f>
      </c>
      <c r="AF348" s="496" t="str">
        <f> IF(AF368&lt;&gt;"",TEXT(AUX!AJ$1,"dd-MMM-aa"),"")</f>
      </c>
      <c r="AG348" s="496" t="str">
        <f> IF(AG368&lt;&gt;"",TEXT(AUX!AK$1,"dd-MMM-aa"),"")</f>
      </c>
      <c r="AH348" s="496" t="str">
        <f> IF(AH368&lt;&gt;"",TEXT(AUX!AL$1,"dd-MMM-aa"),"")</f>
      </c>
      <c r="AI348" s="496" t="str">
        <f> IF(AI368&lt;&gt;"",TEXT(AUX!AM$1,"dd-MMM-aa"),"")</f>
      </c>
      <c r="AJ348" s="496" t="str">
        <f> IF(AJ368&lt;&gt;"",TEXT(AUX!AN$1,"dd-MMM-aa"),"")</f>
      </c>
      <c r="AK348" s="496" t="str">
        <f> IF(AK368&lt;&gt;"",TEXT(AUX!AO$1,"dd-MMM-aa"),"")</f>
      </c>
      <c r="AL348" s="496" t="str">
        <f> IF(AL368&lt;&gt;"",TEXT(AUX!AP$1,"dd-MMM-aa"),"")</f>
      </c>
      <c r="AM348" s="496" t="str">
        <f> IF(AM368&lt;&gt;"",TEXT(AUX!AQ$1,"dd-MMM-aa"),"")</f>
      </c>
      <c r="AN348" s="496" t="str">
        <f> IF(AN368&lt;&gt;"",TEXT(AUX!AR$1,"dd-MMM-aa"),"")</f>
      </c>
      <c r="AO348" s="496" t="str">
        <f> IF(AO368&lt;&gt;"",TEXT(AUX!AS$1,"dd-MMM-aa"),"")</f>
      </c>
      <c r="AP348" s="496" t="str">
        <f> IF(AP368&lt;&gt;"",TEXT(AUX!AT$1,"dd-MMM-aa"),"")</f>
      </c>
      <c r="AQ348" s="496" t="str">
        <f> IF(AQ368&lt;&gt;"",TEXT(AUX!AU$1,"dd-MMM-aa"),"")</f>
      </c>
      <c r="AR348" s="496" t="str">
        <f> IF(AR368&lt;&gt;"",TEXT(AUX!AV$1,"dd-MMM-aa"),"")</f>
      </c>
      <c r="AS348" s="496" t="str">
        <f> IF(AS368&lt;&gt;"",TEXT(AUX!AW$1,"dd-MMM-aa"),"")</f>
      </c>
      <c r="AT348" s="496" t="str">
        <f> IF(AT368&lt;&gt;"",TEXT(AUX!AX$1,"dd-MMM-aa"),"")</f>
      </c>
      <c r="AU348" s="496" t="str">
        <f> IF(AU368&lt;&gt;"",TEXT(AUX!AY$1,"dd-MMM-aa"),"")</f>
      </c>
      <c r="AV348" s="496" t="str">
        <f> IF(AV368&lt;&gt;"",TEXT(AUX!AZ$1,"dd-MMM-aa"),"")</f>
      </c>
      <c r="AW348" s="496" t="str">
        <f> IF(AW368&lt;&gt;"",TEXT(AUX!BA$1,"dd-MMM-aa"),"")</f>
      </c>
      <c r="AX348" s="496" t="str">
        <f> IF(AX368&lt;&gt;"",TEXT(AUX!BB$1,"dd-MMM-aa"),"")</f>
      </c>
      <c r="AY348" s="496" t="str">
        <f> IF(AY368&lt;&gt;"",TEXT(AUX!BC$1,"dd-MMM-aa"),"")</f>
      </c>
      <c r="AZ348" s="496" t="str">
        <f> IF(AZ368&lt;&gt;"",TEXT(AUX!BD$1,"dd-MMM-aa"),"")</f>
      </c>
      <c r="BA348" s="496" t="str">
        <f> IF(BA368&lt;&gt;"",TEXT(AUX!BE$1,"dd-MMM-aa"),"")</f>
      </c>
      <c r="BB348" s="496" t="str">
        <f> IF(BB368&lt;&gt;"",TEXT(AUX!BF$1,"dd-MMM-aa"),"")</f>
      </c>
      <c r="BC348" s="496" t="str">
        <f> IF(BC368&lt;&gt;"",TEXT(AUX!BG$1,"dd-MMM-aa"),"")</f>
      </c>
      <c r="BD348" s="496" t="str">
        <f> IF(BD368&lt;&gt;"",TEXT(AUX!BH$1,"dd-MMM-aa"),"")</f>
      </c>
      <c r="BE348" s="496" t="str">
        <f> IF(BE368&lt;&gt;"",TEXT(AUX!BI$1,"dd-MMM-aa"),"")</f>
      </c>
      <c r="BF348" s="496" t="str">
        <f> IF(BF368&lt;&gt;"",TEXT(AUX!BJ$1,"dd-MMM-aa"),"")</f>
      </c>
      <c r="BG348" s="496" t="str">
        <f> IF(BG368&lt;&gt;"",TEXT(AUX!BK$1,"dd-MMM-aa"),"")</f>
      </c>
      <c r="BH348" s="496" t="str">
        <f> IF(BH368&lt;&gt;"",TEXT(AUX!BL$1,"dd-MMM-aa"),"")</f>
      </c>
      <c r="BI348" s="496" t="str">
        <f> IF(BI368&lt;&gt;"",TEXT(AUX!BM$1,"dd-MMM-aa"),"")</f>
      </c>
      <c r="BJ348" s="496" t="str">
        <f> IF(BJ368&lt;&gt;"",TEXT(AUX!BN$1,"dd-MMM-aa"),"")</f>
      </c>
      <c r="BK348" s="496" t="str">
        <f> IF(BK368&lt;&gt;"",TEXT(AUX!BO$1,"dd-MMM-aa"),"")</f>
      </c>
      <c r="BL348" s="496" t="str">
        <f> IF(BL368&lt;&gt;"",TEXT(AUX!BP$1,"dd-MMM-aa"),"")</f>
      </c>
      <c r="BM348" s="496" t="str">
        <f> IF(BM368&lt;&gt;"",TEXT(AUX!BQ$1,"dd-MMM-aa"),"")</f>
      </c>
      <c r="BN348" s="496" t="str">
        <f> IF(BN368&lt;&gt;"",TEXT(AUX!BR$1,"dd-MMM-aa"),"")</f>
      </c>
      <c r="BO348" s="496" t="str">
        <f> IF(BO368&lt;&gt;"",TEXT(AUX!BS$1,"dd-MMM-aa"),"")</f>
      </c>
      <c r="BP348" s="496" t="str">
        <f> IF(BP368&lt;&gt;"",TEXT(AUX!BT$1,"dd-MMM-aa"),"")</f>
      </c>
      <c r="BQ348" s="496" t="str">
        <f> IF(BQ368&lt;&gt;"",TEXT(AUX!BU$1,"dd-MMM-aa"),"")</f>
      </c>
      <c r="BR348" s="496" t="str">
        <f> IF(BR368&lt;&gt;"",TEXT(AUX!BV$1,"dd-MMM-aa"),"")</f>
      </c>
      <c r="BS348" s="496" t="str">
        <f> IF(BS368&lt;&gt;"",TEXT(AUX!BW$1,"dd-MMM-aa"),"")</f>
      </c>
      <c r="BT348" s="496" t="str">
        <f> IF(BT368&lt;&gt;"",TEXT(AUX!BX$1,"dd-MMM-aa"),"")</f>
      </c>
      <c r="BU348" s="496" t="str">
        <f> IF(BU368&lt;&gt;"",TEXT(AUX!BY$1,"dd-MMM-aa"),"")</f>
      </c>
      <c r="BV348" s="496" t="str">
        <f> IF(BV368&lt;&gt;"",TEXT(AUX!BZ$1,"dd-MMM-aa"),"")</f>
      </c>
      <c r="BW348" s="496" t="str">
        <f> IF(BW368&lt;&gt;"",TEXT(AUX!CA$1,"dd-MMM-aa"),"")</f>
      </c>
      <c r="BX348" s="496" t="str">
        <f> IF(BX368&lt;&gt;"",TEXT(AUX!CB$1,"dd-MMM-aa"),"")</f>
      </c>
      <c r="BY348" s="496" t="str">
        <f> IF(BY368&lt;&gt;"",TEXT(AUX!CC$1,"dd-MMM-aa"),"")</f>
      </c>
      <c r="BZ348" s="496" t="str">
        <f> IF(BZ368&lt;&gt;"",TEXT(AUX!CD$1,"dd-MMM-aa"),"")</f>
      </c>
      <c r="CA348" s="496" t="str">
        <f> IF(CA368&lt;&gt;"",TEXT(AUX!CE$1,"dd-MMM-aa"),"")</f>
      </c>
      <c r="CB348" s="496" t="str">
        <f> IF(CB368&lt;&gt;"",TEXT(AUX!CF$1,"dd-MMM-aa"),"")</f>
      </c>
      <c r="CC348" s="496" t="str">
        <f> IF(CC368&lt;&gt;"",TEXT(AUX!CG$1,"dd-MMM-aa"),"")</f>
      </c>
      <c r="CD348" s="496" t="str">
        <f> IF(CD368&lt;&gt;"",TEXT(AUX!CH$1,"dd-MMM-aa"),"")</f>
      </c>
      <c r="CE348" s="496" t="str">
        <f> IF(CE368&lt;&gt;"",TEXT(AUX!CI$1,"dd-MMM-aa"),"")</f>
      </c>
      <c r="CF348" s="496" t="str">
        <f> IF(CF368&lt;&gt;"",TEXT(AUX!CJ$1,"dd-MMM-aa"),"")</f>
      </c>
      <c r="CG348" s="496" t="str">
        <f> IF(CG368&lt;&gt;"",TEXT(AUX!CK$1,"dd-MMM-aa"),"")</f>
      </c>
      <c r="CH348" s="496" t="str">
        <f> IF(CH368&lt;&gt;"",TEXT(AUX!CL$1,"dd-MMM-aa"),"")</f>
      </c>
      <c r="CI348" s="496" t="str">
        <f> IF(CI368&lt;&gt;"",TEXT(AUX!CM$1,"dd-MMM-aa"),"")</f>
      </c>
      <c r="CJ348" s="496" t="str">
        <f> IF(CJ368&lt;&gt;"",TEXT(AUX!CN$1,"dd-MMM-aa"),"")</f>
      </c>
      <c r="CK348" s="496" t="str">
        <f> IF(CK368&lt;&gt;"",TEXT(AUX!CO$1,"dd-MMM-aa"),"")</f>
      </c>
      <c r="CL348" s="496" t="str">
        <f> IF(CL368&lt;&gt;"",TEXT(AUX!CP$1,"dd-MMM-aa"),"")</f>
      </c>
      <c r="CM348" s="496" t="str">
        <f> IF(CM368&lt;&gt;"",TEXT(AUX!CQ$1,"dd-MMM-aa"),"")</f>
      </c>
      <c r="CN348" s="496" t="str">
        <f> IF(CN368&lt;&gt;"",TEXT(AUX!CR$1,"dd-MMM-aa"),"")</f>
      </c>
      <c r="CO348" s="496" t="str">
        <f> IF(CO368&lt;&gt;"",TEXT(AUX!CS$1,"dd-MMM-aa"),"")</f>
      </c>
      <c r="CP348" s="496" t="str">
        <f> IF(CP368&lt;&gt;"",TEXT(AUX!CT$1,"dd-MMM-aa"),"")</f>
      </c>
      <c r="CQ348" s="496" t="str">
        <f> IF(CQ368&lt;&gt;"",TEXT(AUX!CU$1,"dd-MMM-aa"),"")</f>
      </c>
      <c r="CR348" s="496" t="str">
        <f> IF(CR368&lt;&gt;"",TEXT(AUX!CV$1,"dd-MMM-aa"),"")</f>
      </c>
      <c r="CS348" s="496" t="str">
        <f> IF(CS368&lt;&gt;"",TEXT(AUX!CW$1,"dd-MMM-aa"),"")</f>
      </c>
      <c r="CT348" s="496" t="str">
        <f> IF(CT368&lt;&gt;"",TEXT(AUX!CX$1,"dd-MMM-aa"),"")</f>
      </c>
      <c r="CU348" s="496" t="str">
        <f> IF(CU368&lt;&gt;"",TEXT(AUX!CY$1,"dd-MMM-aa"),"")</f>
      </c>
      <c r="CV348" s="496" t="str">
        <f> IF(CV368&lt;&gt;"",TEXT(AUX!CZ$1,"dd-MMM-aa"),"")</f>
      </c>
      <c r="CW348" s="496" t="str">
        <f> IF(CW368&lt;&gt;"",TEXT(AUX!DA$1,"dd-MMM-aa"),"")</f>
      </c>
      <c r="CX348" s="496" t="str">
        <f> IF(CX368&lt;&gt;"",TEXT(AUX!DB$1,"dd-MMM-aa"),"")</f>
      </c>
      <c r="CY348" s="496" t="str">
        <f> IF(CY368&lt;&gt;"",TEXT(AUX!DC$1,"dd-MMM-aa"),"")</f>
      </c>
      <c r="CZ348" s="496" t="str">
        <f> IF(CZ368&lt;&gt;"",TEXT(AUX!DD$1,"dd-MMM-aa"),"")</f>
      </c>
      <c r="DA348" s="496" t="str">
        <f> IF(DA368&lt;&gt;"",TEXT(AUX!DE$1,"dd-MMM-aa"),"")</f>
      </c>
      <c r="DB348" s="496" t="str">
        <f> IF(DB368&lt;&gt;"",TEXT(AUX!DF$1,"dd-MMM-aa"),"")</f>
      </c>
      <c r="DC348" s="496" t="str">
        <f> IF(DC368&lt;&gt;"",TEXT(AUX!DG$1,"dd-MMM-aa"),"")</f>
      </c>
      <c r="DD348" s="496" t="str">
        <f> IF(DD368&lt;&gt;"",TEXT(AUX!DH$1,"dd-MMM-aa"),"")</f>
      </c>
      <c r="DE348" s="496" t="str">
        <f> IF(DE368&lt;&gt;"",TEXT(AUX!DI$1,"dd-MMM-aa"),"")</f>
      </c>
      <c r="DF348" s="496" t="str">
        <f> IF(DF368&lt;&gt;"",TEXT(AUX!DJ$1,"dd-MMM-aa"),"")</f>
      </c>
      <c r="DG348" s="496" t="str">
        <f> IF(DG368&lt;&gt;"",TEXT(AUX!DK$1,"dd-MMM-aa"),"")</f>
      </c>
      <c r="DH348" s="496" t="str">
        <f> IF(DH368&lt;&gt;"",TEXT(AUX!DL$1,"dd-MMM-aa"),"")</f>
      </c>
      <c r="DI348" s="496" t="str">
        <f> IF(DI368&lt;&gt;"",TEXT(AUX!DM$1,"dd-MMM-aa"),"")</f>
      </c>
      <c r="DJ348" s="496" t="str">
        <f> IF(DJ368&lt;&gt;"",TEXT(AUX!DN$1,"dd-MMM-aa"),"")</f>
      </c>
      <c r="DK348" s="496" t="str">
        <f> IF(DK368&lt;&gt;"",TEXT(AUX!DO$1,"dd-MMM-aa"),"")</f>
      </c>
      <c r="DL348" s="496" t="str">
        <f> IF(DL368&lt;&gt;"",TEXT(AUX!DP$1,"dd-MMM-aa"),"")</f>
      </c>
      <c r="DM348" s="496" t="str">
        <f> IF(DM368&lt;&gt;"",TEXT(AUX!DQ$1,"dd-MMM-aa"),"")</f>
      </c>
      <c r="DN348" s="496" t="str">
        <f> IF(DN368&lt;&gt;"",TEXT(AUX!DR$1,"dd-MMM-aa"),"")</f>
      </c>
      <c r="DO348" s="496" t="str">
        <f> IF(DO368&lt;&gt;"",TEXT(AUX!DS$1,"dd-MMM-aa"),"")</f>
      </c>
      <c r="DP348" s="496" t="str">
        <f> IF(DP368&lt;&gt;"",TEXT(AUX!DT$1,"dd-MMM-aa"),"")</f>
      </c>
      <c r="DQ348" s="496" t="str">
        <f> IF(DQ368&lt;&gt;"",TEXT(AUX!DU$1,"dd-MMM-aa"),"")</f>
      </c>
      <c r="DR348" s="496" t="str">
        <f> IF(DR368&lt;&gt;"",TEXT(AUX!DV$1,"dd-MMM-aa"),"")</f>
      </c>
      <c r="DS348" s="496" t="str">
        <f> IF(DS368&lt;&gt;"",TEXT(AUX!DW$1,"dd-MMM-aa"),"")</f>
      </c>
      <c r="DT348" s="496" t="str">
        <f> IF(DT368&lt;&gt;"",TEXT(AUX!DX$1,"dd-MMM-aa"),"")</f>
      </c>
      <c r="DU348" s="496" t="str">
        <f> IF(DU368&lt;&gt;"",TEXT(AUX!DY$1,"dd-MMM-aa"),"")</f>
      </c>
      <c r="DV348" s="496" t="str">
        <f> IF(DV368&lt;&gt;"",TEXT(AUX!DZ$1,"dd-MMM-aa"),"")</f>
      </c>
      <c r="DW348" s="496" t="str">
        <f> IF(DW368&lt;&gt;"",TEXT(AUX!EA$1,"dd-MMM-aa"),"")</f>
      </c>
      <c r="DX348" s="496" t="str">
        <f> IF(DX368&lt;&gt;"",TEXT(AUX!EB$1,"dd-MMM-aa"),"")</f>
      </c>
      <c r="DY348" s="496" t="str">
        <f> IF(DY368&lt;&gt;"",TEXT(AUX!EC$1,"dd-MMM-aa"),"")</f>
      </c>
      <c r="DZ348" s="496" t="str">
        <f> IF(DZ368&lt;&gt;"",TEXT(AUX!ED$1,"dd-MMM-aa"),"")</f>
      </c>
      <c r="EA348" s="496" t="str">
        <f> IF(EA368&lt;&gt;"",TEXT(AUX!EE$1,"dd-MMM-aa"),"")</f>
      </c>
      <c r="EB348" s="496" t="str">
        <f> IF(EB368&lt;&gt;"",TEXT(AUX!EF$1,"dd-MMM-aa"),"")</f>
      </c>
      <c r="EC348" s="496" t="str">
        <f> IF(EC368&lt;&gt;"",TEXT(AUX!EG$1,"dd-MMM-aa"),"")</f>
      </c>
      <c r="ED348" s="496" t="str">
        <f> IF(ED368&lt;&gt;"",TEXT(AUX!EH$1,"dd-MMM-aa"),"")</f>
      </c>
      <c r="EE348" s="496" t="str">
        <f> IF(EE368&lt;&gt;"",TEXT(AUX!EI$1,"dd-MMM-aa"),"")</f>
      </c>
      <c r="EF348" s="496" t="str">
        <f> IF(EF368&lt;&gt;"",TEXT(AUX!EJ$1,"dd-MMM-aa"),"")</f>
      </c>
      <c r="EG348" s="496" t="str">
        <f> IF(EG368&lt;&gt;"",TEXT(AUX!EK$1,"dd-MMM-aa"),"")</f>
      </c>
      <c r="EH348" s="496" t="str">
        <f> IF(EH368&lt;&gt;"",TEXT(AUX!EL$1,"dd-MMM-aa"),"")</f>
      </c>
      <c r="EI348" s="496" t="str">
        <f> IF(EI368&lt;&gt;"",TEXT(AUX!EM$1,"dd-MMM-aa"),"")</f>
      </c>
      <c r="EJ348" s="496" t="str">
        <f> IF(EJ368&lt;&gt;"",TEXT(AUX!EN$1,"dd-MMM-aa"),"")</f>
      </c>
      <c r="EK348" s="496" t="str">
        <f> IF(EK368&lt;&gt;"",TEXT(AUX!EO$1,"dd-MMM-aa"),"")</f>
      </c>
      <c r="EL348" s="496" t="str">
        <f> IF(EL368&lt;&gt;"",TEXT(AUX!EP$1,"dd-MMM-aa"),"")</f>
      </c>
      <c r="EM348" s="496" t="str">
        <f> IF(EM368&lt;&gt;"",TEXT(AUX!EQ$1,"dd-MMM-aa"),"")</f>
      </c>
      <c r="EN348" s="496" t="str">
        <f> IF(EN368&lt;&gt;"",TEXT(AUX!ER$1,"dd-MMM-aa"),"")</f>
      </c>
      <c r="EO348" s="496" t="str">
        <f> IF(EO368&lt;&gt;"",TEXT(AUX!ES$1,"dd-MMM-aa"),"")</f>
      </c>
      <c r="EP348" s="496" t="str">
        <f> IF(EP368&lt;&gt;"",TEXT(AUX!ET$1,"dd-MMM-aa"),"")</f>
      </c>
      <c r="EQ348" s="496" t="str">
        <f> IF(EQ368&lt;&gt;"",TEXT(AUX!EU$1,"dd-MMM-aa"),"")</f>
      </c>
      <c r="ER348" s="496" t="str">
        <f> IF(ER368&lt;&gt;"",TEXT(AUX!EV$1,"dd-MMM-aa"),"")</f>
      </c>
      <c r="ES348" s="496" t="str">
        <f> IF(ES368&lt;&gt;"",TEXT(AUX!EW$1,"dd-MMM-aa"),"")</f>
      </c>
      <c r="ET348" s="496" t="str">
        <f> IF(ET368&lt;&gt;"",TEXT(AUX!EX$1,"dd-MMM-aa"),"")</f>
      </c>
      <c r="EU348" s="496" t="str">
        <f> IF(EU368&lt;&gt;"",TEXT(AUX!EY$1,"dd-MMM-aa"),"")</f>
      </c>
      <c r="EV348" s="496" t="str">
        <f> IF(EV368&lt;&gt;"",TEXT(AUX!EZ$1,"dd-MMM-aa"),"")</f>
      </c>
      <c r="EW348" s="496" t="str">
        <f> IF(EW368&lt;&gt;"",TEXT(AUX!FA$1,"dd-MMM-aa"),"")</f>
      </c>
      <c r="EX348" s="496" t="str">
        <f> IF(EX368&lt;&gt;"",TEXT(AUX!FB$1,"dd-MMM-aa"),"")</f>
      </c>
      <c r="EY348" s="496" t="str">
        <f> IF(EY368&lt;&gt;"",TEXT(AUX!FC$1,"dd-MMM-aa"),"")</f>
      </c>
      <c r="EZ348" s="496" t="str">
        <f> IF(EZ368&lt;&gt;"",TEXT(AUX!FD$1,"dd-MMM-aa"),"")</f>
      </c>
      <c r="FA348" s="496" t="str">
        <f> IF(FA368&lt;&gt;"",TEXT(AUX!FE$1,"dd-MMM-aa"),"")</f>
      </c>
      <c r="FB348" s="496" t="str">
        <f> IF(FB368&lt;&gt;"",TEXT(AUX!FF$1,"dd-MMM-aa"),"")</f>
      </c>
      <c r="FC348" s="496" t="str">
        <f> IF(FC368&lt;&gt;"",TEXT(AUX!FG$1,"dd-MMM-aa"),"")</f>
      </c>
      <c r="FD348" s="496" t="str">
        <f> IF(FD368&lt;&gt;"",TEXT(AUX!FH$1,"dd-MMM-aa"),"")</f>
      </c>
      <c r="FE348" s="496" t="str">
        <f> IF(FE368&lt;&gt;"",TEXT(AUX!FI$1,"dd-MMM-aa"),"")</f>
      </c>
      <c r="FF348" s="496" t="str">
        <f> IF(FF368&lt;&gt;"",TEXT(AUX!FJ$1,"dd-MMM-aa"),"")</f>
      </c>
      <c r="FG348" s="496" t="str">
        <f> IF(FG368&lt;&gt;"",TEXT(AUX!FK$1,"dd-MMM-aa"),"")</f>
      </c>
      <c r="FH348" s="496" t="str">
        <f> IF(FH368&lt;&gt;"",TEXT(AUX!FL$1,"dd-MMM-aa"),"")</f>
      </c>
      <c r="FI348" s="496" t="str">
        <f> IF(FI368&lt;&gt;"",TEXT(AUX!FM$1,"dd-MMM-aa"),"")</f>
      </c>
      <c r="FJ348" s="496" t="str">
        <f> IF(FJ368&lt;&gt;"",TEXT(AUX!FN$1,"dd-MMM-aa"),"")</f>
      </c>
      <c r="FK348" s="496" t="str">
        <f> IF(FK368&lt;&gt;"",TEXT(AUX!FO$1,"dd-MMM-aa"),"")</f>
      </c>
      <c r="FL348" s="496" t="str">
        <f> IF(FL368&lt;&gt;"",TEXT(AUX!FP$1,"dd-MMM-aa"),"")</f>
      </c>
      <c r="FM348" s="496" t="str">
        <f> IF(FM368&lt;&gt;"",TEXT(AUX!FQ$1,"dd-MMM-aa"),"")</f>
      </c>
      <c r="FN348" s="496" t="str">
        <f> IF(FN368&lt;&gt;"",TEXT(AUX!FR$1,"dd-MMM-aa"),"")</f>
      </c>
      <c r="FO348" s="496" t="str">
        <f> IF(FO368&lt;&gt;"",TEXT(AUX!FS$1,"dd-MMM-aa"),"")</f>
      </c>
      <c r="FP348" s="496" t="str">
        <f> IF(FP368&lt;&gt;"",TEXT(AUX!FT$1,"dd-MMM-aa"),"")</f>
      </c>
      <c r="FQ348" s="496" t="str">
        <f> IF(FQ368&lt;&gt;"",TEXT(AUX!FU$1,"dd-MMM-aa"),"")</f>
      </c>
      <c r="FR348" s="496" t="str">
        <f> IF(FR368&lt;&gt;"",TEXT(AUX!FV$1,"dd-MMM-aa"),"")</f>
      </c>
      <c r="FS348" s="496" t="str">
        <f> IF(FS368&lt;&gt;"",TEXT(AUX!FW$1,"dd-MMM-aa"),"")</f>
      </c>
      <c r="FT348" s="496" t="str">
        <f> IF(FT368&lt;&gt;"",TEXT(AUX!FX$1,"dd-MMM-aa"),"")</f>
      </c>
      <c r="FU348" s="496" t="str">
        <f> IF(FU368&lt;&gt;"",TEXT(AUX!FY$1,"dd-MMM-aa"),"")</f>
      </c>
      <c r="FV348" s="496" t="str">
        <f> IF(FV368&lt;&gt;"",TEXT(AUX!FZ$1,"dd-MMM-aa"),"")</f>
      </c>
      <c r="FW348" s="496" t="str">
        <f> IF(FW368&lt;&gt;"",TEXT(AUX!GA$1,"dd-MMM-aa"),"")</f>
      </c>
      <c r="FX348" s="496" t="str">
        <f> IF(FX368&lt;&gt;"",TEXT(AUX!GB$1,"dd-MMM-aa"),"")</f>
      </c>
      <c r="FY348" s="496" t="str">
        <f> IF(FY368&lt;&gt;"",TEXT(AUX!GC$1,"dd-MMM-aa"),"")</f>
      </c>
      <c r="FZ348" s="496" t="str">
        <f> IF(FZ368&lt;&gt;"",TEXT(AUX!GD$1,"dd-MMM-aa"),"")</f>
      </c>
      <c r="GA348" s="496" t="str">
        <f> IF(GA368&lt;&gt;"",TEXT(AUX!GE$1,"dd-MMM-aa"),"")</f>
      </c>
      <c r="GB348" s="496" t="str">
        <f> IF(GB368&lt;&gt;"",TEXT(AUX!GF$1,"dd-MMM-aa"),"")</f>
      </c>
      <c r="GC348" s="496" t="str">
        <f> IF(GC368&lt;&gt;"",TEXT(AUX!GG$1,"dd-MMM-aa"),"")</f>
      </c>
      <c r="GD348" s="496" t="str">
        <f> IF(GD368&lt;&gt;"",TEXT(AUX!GH$1,"dd-MMM-aa"),"")</f>
      </c>
      <c r="GE348" s="496" t="str">
        <f> IF(GE368&lt;&gt;"",TEXT(AUX!GI$1,"dd-MMM-aa"),"")</f>
      </c>
      <c r="GF348" s="496" t="str">
        <f> IF(GF368&lt;&gt;"",TEXT(AUX!GJ$1,"dd-MMM-aa"),"")</f>
      </c>
      <c r="GG348" s="496" t="str">
        <f> IF(GG368&lt;&gt;"",TEXT(AUX!GK$1,"dd-MMM-aa"),"")</f>
      </c>
      <c r="GH348" s="496" t="str">
        <f> IF(GH368&lt;&gt;"",TEXT(AUX!GL$1,"dd-MMM-aa"),"")</f>
      </c>
      <c r="GI348" s="496" t="str">
        <f> IF(GI368&lt;&gt;"",TEXT(AUX!GM$1,"dd-MMM-aa"),"")</f>
      </c>
      <c r="GJ348" s="496" t="str">
        <f> IF(GJ368&lt;&gt;"",TEXT(AUX!GN$1,"dd-MMM-aa"),"")</f>
      </c>
      <c r="GK348" s="496" t="str">
        <f> IF(GK368&lt;&gt;"",TEXT(AUX!GO$1,"dd-MMM-aa"),"")</f>
      </c>
      <c r="GL348" s="496" t="str">
        <f> IF(GL368&lt;&gt;"",TEXT(AUX!GP$1,"dd-MMM-aa"),"")</f>
      </c>
      <c r="GM348" s="496" t="str">
        <f> IF(GM368&lt;&gt;"",TEXT(AUX!GQ$1,"dd-MMM-aa"),"")</f>
      </c>
      <c r="GN348" s="496" t="str">
        <f> IF(GN368&lt;&gt;"",TEXT(AUX!GR$1,"dd-MMM-aa"),"")</f>
      </c>
      <c r="GO348" s="496" t="str">
        <f> IF(GO368&lt;&gt;"",TEXT(AUX!GS$1,"dd-MMM-aa"),"")</f>
      </c>
      <c r="GP348" s="496" t="str">
        <f> IF(GP368&lt;&gt;"",TEXT(AUX!GT$1,"dd-MMM-aa"),"")</f>
      </c>
      <c r="GQ348" s="496" t="str">
        <f> IF(GQ368&lt;&gt;"",TEXT(AUX!GU$1,"dd-MMM-aa"),"")</f>
      </c>
      <c r="GR348" s="496" t="str">
        <f> IF(GR368&lt;&gt;"",TEXT(AUX!GV$1,"dd-MMM-aa"),"")</f>
      </c>
      <c r="GS348" s="496" t="str">
        <f> IF(GS368&lt;&gt;"",TEXT(AUX!GW$1,"dd-MMM-aa"),"")</f>
      </c>
      <c r="GT348" s="496" t="str">
        <f> IF(GT368&lt;&gt;"",TEXT(AUX!GX$1,"dd-MMM-aa"),"")</f>
      </c>
      <c r="GU348" s="496" t="str">
        <f> IF(GU368&lt;&gt;"",TEXT(AUX!GY$1,"dd-MMM-aa"),"")</f>
      </c>
      <c r="GV348" s="496" t="str">
        <f> IF(GV368&lt;&gt;"",TEXT(AUX!GZ$1,"dd-MMM-aa"),"")</f>
      </c>
      <c r="GW348" s="496" t="str">
        <f> IF(GW368&lt;&gt;"",TEXT(AUX!HA$1,"dd-MMM-aa"),"")</f>
      </c>
      <c r="GX348" s="496" t="str">
        <f> IF(GX368&lt;&gt;"",TEXT(AUX!HB$1,"dd-MMM-aa"),"")</f>
      </c>
      <c r="GY348" s="496" t="str">
        <f> IF(GY368&lt;&gt;"",TEXT(AUX!HC$1,"dd-MMM-aa"),"")</f>
      </c>
      <c r="GZ348" s="496" t="str">
        <f> IF(GZ368&lt;&gt;"",TEXT(AUX!HD$1,"dd-MMM-aa"),"")</f>
      </c>
      <c r="HA348" s="496" t="str">
        <f> IF(HA368&lt;&gt;"",TEXT(AUX!HE$1,"dd-MMM-aa"),"")</f>
      </c>
      <c r="HB348" s="496" t="str">
        <f> IF(HB368&lt;&gt;"",TEXT(AUX!HF$1,"dd-MMM-aa"),"")</f>
      </c>
      <c r="HC348" s="496" t="str">
        <f> IF(HC368&lt;&gt;"",TEXT(AUX!HG$1,"dd-MMM-aa"),"")</f>
      </c>
      <c r="HD348" s="496" t="str">
        <f> IF(HD368&lt;&gt;"",TEXT(AUX!HH$1,"dd-MMM-aa"),"")</f>
      </c>
      <c r="HE348" s="496" t="str">
        <f> IF(HE368&lt;&gt;"",TEXT(AUX!HI$1,"dd-MMM-aa"),"")</f>
      </c>
      <c r="HF348" s="496" t="str">
        <f> IF(HF368&lt;&gt;"",TEXT(AUX!HJ$1,"dd-MMM-aa"),"")</f>
      </c>
      <c r="HG348" s="496" t="str">
        <f> IF(HG368&lt;&gt;"",TEXT(AUX!HK$1,"dd-MMM-aa"),"")</f>
      </c>
      <c r="HH348" s="496" t="str">
        <f> IF(HH368&lt;&gt;"",TEXT(AUX!HL$1,"dd-MMM-aa"),"")</f>
      </c>
      <c r="HI348" s="496" t="str">
        <f> IF(HI368&lt;&gt;"",TEXT(AUX!HM$1,"dd-MMM-aa"),"")</f>
      </c>
      <c r="HJ348" s="496" t="str">
        <f> IF(HJ368&lt;&gt;"",TEXT(AUX!HN$1,"dd-MMM-aa"),"")</f>
      </c>
      <c r="HK348" s="496" t="str">
        <f> IF(HK368&lt;&gt;"",TEXT(AUX!HO$1,"dd-MMM-aa"),"")</f>
      </c>
      <c r="HL348" s="496" t="str">
        <f> IF(HL368&lt;&gt;"",TEXT(AUX!HP$1,"dd-MMM-aa"),"")</f>
      </c>
      <c r="HM348" s="496" t="str">
        <f> IF(HM368&lt;&gt;"",TEXT(AUX!HQ$1,"dd-MMM-aa"),"")</f>
      </c>
      <c r="HN348" s="496" t="str">
        <f> IF(HN368&lt;&gt;"",TEXT(AUX!HR$1,"dd-MMM-aa"),"")</f>
      </c>
      <c r="HO348" s="496" t="str">
        <f> IF(HO368&lt;&gt;"",TEXT(AUX!HS$1,"dd-MMM-aa"),"")</f>
      </c>
      <c r="HP348" s="496" t="str">
        <f> IF(HP368&lt;&gt;"",TEXT(AUX!HT$1,"dd-MMM-aa"),"")</f>
      </c>
      <c r="HQ348" s="496" t="str">
        <f> IF(HQ368&lt;&gt;"",TEXT(AUX!HU$1,"dd-MMM-aa"),"")</f>
      </c>
      <c r="HR348" s="496" t="str">
        <f> IF(HR368&lt;&gt;"",TEXT(AUX!HV$1,"dd-MMM-aa"),"")</f>
      </c>
      <c r="HS348" s="496" t="str">
        <f> IF(HS368&lt;&gt;"",TEXT(AUX!HW$1,"dd-MMM-aa"),"")</f>
      </c>
      <c r="HT348" s="496" t="str">
        <f> IF(HT368&lt;&gt;"",TEXT(AUX!HX$1,"dd-MMM-aa"),"")</f>
      </c>
      <c r="HU348" s="496" t="str">
        <f> IF(HU368&lt;&gt;"",TEXT(AUX!HY$1,"dd-MMM-aa"),"")</f>
      </c>
      <c r="HV348" s="496" t="str">
        <f> IF(HV368&lt;&gt;"",TEXT(AUX!HZ$1,"dd-MMM-aa"),"")</f>
      </c>
      <c r="HW348" s="496" t="str">
        <f> IF(HW368&lt;&gt;"",TEXT(AUX!IA$1,"dd-MMM-aa"),"")</f>
      </c>
      <c r="HX348" s="496" t="str">
        <f> IF(HX368&lt;&gt;"",TEXT(AUX!IB$1,"dd-MMM-aa"),"")</f>
      </c>
      <c r="HY348" s="496" t="str">
        <f> IF(HY368&lt;&gt;"",TEXT(AUX!IC$1,"dd-MMM-aa"),"")</f>
      </c>
      <c r="HZ348" s="496" t="str">
        <f> IF(HZ368&lt;&gt;"",TEXT(AUX!ID$1,"dd-MMM-aa"),"")</f>
      </c>
      <c r="IA348" s="496" t="str">
        <f> IF(IA368&lt;&gt;"",TEXT(AUX!IE$1,"dd-MMM-aa"),"")</f>
      </c>
      <c r="IB348" s="496" t="str">
        <f> IF(IB368&lt;&gt;"",TEXT(AUX!IF$1,"dd-MMM-aa"),"")</f>
      </c>
      <c r="IC348" s="496" t="str">
        <f> IF(IC368&lt;&gt;"",TEXT(AUX!IG$1,"dd-MMM-aa"),"")</f>
      </c>
      <c r="ID348" s="496" t="str">
        <f> IF(ID368&lt;&gt;"",TEXT(AUX!IH$1,"dd-MMM-aa"),"")</f>
      </c>
      <c r="IE348" s="496" t="str">
        <f> IF(IE368&lt;&gt;"",TEXT(AUX!II$1,"dd-MMM-aa"),"")</f>
      </c>
      <c r="IF348" s="496" t="str">
        <f> IF(IF368&lt;&gt;"",TEXT(AUX!IJ$1,"dd-MMM-aa"),"")</f>
      </c>
      <c r="IG348" s="496" t="str">
        <f> IF(IG368&lt;&gt;"",TEXT(AUX!IK$1,"dd-MMM-aa"),"")</f>
      </c>
      <c r="IH348" s="496" t="str">
        <f> IF(IH368&lt;&gt;"",TEXT(AUX!IL$1,"dd-MMM-aa"),"")</f>
      </c>
      <c r="II348" s="496" t="str">
        <f> IF(II368&lt;&gt;"",TEXT(AUX!IM$1,"dd-MMM-aa"),"")</f>
      </c>
      <c r="IJ348" s="496" t="str">
        <f> IF(IJ368&lt;&gt;"",TEXT(AUX!IN$1,"dd-MMM-aa"),"")</f>
      </c>
      <c r="IK348" s="496" t="str">
        <f> IF(IK368&lt;&gt;"",TEXT(AUX!IO$1,"dd-MMM-aa"),"")</f>
      </c>
      <c r="IL348" s="496" t="str">
        <f> IF(IL368&lt;&gt;"",TEXT(AUX!IP$1,"dd-MMM-aa"),"")</f>
      </c>
      <c r="IM348" s="496" t="str">
        <f> IF(IM368&lt;&gt;"",TEXT(AUX!IQ$1,"dd-MMM-aa"),"")</f>
      </c>
      <c r="IN348" s="496" t="str">
        <f> IF(IN368&lt;&gt;"",TEXT(AUX!IR$1,"dd-MMM-aa"),"")</f>
      </c>
      <c r="IO348" s="496" t="str">
        <f> IF(IO368&lt;&gt;"",TEXT(AUX!IS$1,"dd-MMM-aa"),"")</f>
      </c>
      <c r="IP348" s="496" t="str">
        <f> IF(IP368&lt;&gt;"",TEXT(AUX!IT$1,"dd-MMM-aa"),"")</f>
      </c>
      <c r="IQ348" s="496" t="str">
        <f> IF(IQ368&lt;&gt;"",TEXT(AUX!IU$1,"dd-MMM-aa"),"")</f>
      </c>
      <c r="IR348" s="496" t="str">
        <f> IF(IR368&lt;&gt;"",TEXT(AUX!IV$1,"dd-MMM-aa"),"")</f>
      </c>
      <c r="IS348" s="496" t="str">
        <f> IF(IS368&lt;&gt;"",TEXT(AUX!#REF!,"dd-MMM-aa"),"")</f>
      </c>
      <c r="IT348" s="496" t="str">
        <f> IF(IT368&lt;&gt;"",TEXT(AUX!#REF!,"dd-MMM-aa"),"")</f>
      </c>
      <c r="IU348" s="496" t="str">
        <f> IF(IU368&lt;&gt;"",TEXT(AUX!#REF!,"dd-MMM-aa"),"")</f>
      </c>
      <c r="IV348" s="496" t="str">
        <f> IF(IV368&lt;&gt;"",TEXT(AUX!#REF!,"dd-MMM-aa"),"")</f>
      </c>
    </row>
    <row r="349" hidden="1">
      <c r="B349" s="833" t="s">
        <v>8</v>
      </c>
      <c r="C349" s="827">
        <v>0</v>
      </c>
      <c r="D349" s="827">
        <v>0</v>
      </c>
      <c r="E349" s="827">
        <v>1</v>
      </c>
      <c r="F349" s="827">
        <v>1</v>
      </c>
      <c r="G349" s="827">
        <v>0</v>
      </c>
      <c r="H349" s="827">
        <v>0</v>
      </c>
      <c r="I349" s="827">
        <v>1</v>
      </c>
      <c r="J349" s="827">
        <v>1</v>
      </c>
      <c r="K349" s="827">
        <v>1</v>
      </c>
      <c r="L349" s="827">
        <v>1</v>
      </c>
      <c r="M349" s="827">
        <v>1</v>
      </c>
      <c r="N349" s="827">
        <v>1</v>
      </c>
      <c r="O349" s="827">
        <v>1</v>
      </c>
      <c r="P349" s="827">
        <v>0</v>
      </c>
      <c r="Q349" s="827">
        <v>0</v>
      </c>
      <c r="R349" s="827">
        <v>0</v>
      </c>
      <c r="S349" s="827">
        <v>0</v>
      </c>
      <c r="T349" s="827">
        <v>0</v>
      </c>
      <c r="U349" s="827">
        <v>1</v>
      </c>
      <c r="V349" s="827">
        <v>1</v>
      </c>
      <c r="W349" s="827">
        <v>1</v>
      </c>
      <c r="X349" s="827">
        <v>0</v>
      </c>
      <c r="Y349" s="827">
        <v>0</v>
      </c>
      <c r="Z349" s="827">
        <v>0</v>
      </c>
      <c r="AA349" s="827">
        <v>0</v>
      </c>
      <c r="AB349" s="834">
        <v>0</v>
      </c>
      <c r="AC349" s="828">
        <v>0</v>
      </c>
      <c r="AD349" s="828">
        <v>0</v>
      </c>
      <c r="AE349" s="828">
        <v>0</v>
      </c>
      <c r="AF349" s="828">
        <v>0</v>
      </c>
      <c r="AG349" s="828">
        <v>0</v>
      </c>
      <c r="AH349" s="828">
        <v>0</v>
      </c>
      <c r="AI349" s="828">
        <v>0</v>
      </c>
      <c r="AJ349" s="828">
        <v>0</v>
      </c>
      <c r="AK349" s="828">
        <v>0</v>
      </c>
      <c r="AL349" s="828">
        <v>0</v>
      </c>
      <c r="AM349" s="828">
        <v>0</v>
      </c>
      <c r="AN349" s="828">
        <v>0</v>
      </c>
      <c r="AO349" s="828">
        <v>0</v>
      </c>
      <c r="AP349" s="828">
        <v>0</v>
      </c>
    </row>
    <row r="350" hidden="1">
      <c r="B350" s="829" t="s">
        <v>9</v>
      </c>
      <c r="C350" s="823">
        <v>3</v>
      </c>
      <c r="D350" s="823">
        <v>3</v>
      </c>
      <c r="E350" s="823">
        <v>2</v>
      </c>
      <c r="F350" s="823">
        <v>2</v>
      </c>
      <c r="G350" s="823">
        <v>2</v>
      </c>
      <c r="H350" s="823">
        <v>2</v>
      </c>
      <c r="I350" s="823">
        <v>2</v>
      </c>
      <c r="J350" s="823">
        <v>2</v>
      </c>
      <c r="K350" s="823">
        <v>2</v>
      </c>
      <c r="L350" s="823">
        <v>2</v>
      </c>
      <c r="M350" s="823">
        <v>2</v>
      </c>
      <c r="N350" s="823">
        <v>2</v>
      </c>
      <c r="O350" s="823">
        <v>2</v>
      </c>
      <c r="P350" s="823">
        <v>2</v>
      </c>
      <c r="Q350" s="823">
        <v>2</v>
      </c>
      <c r="R350" s="823">
        <v>2</v>
      </c>
      <c r="S350" s="823">
        <v>2</v>
      </c>
      <c r="T350" s="823">
        <v>2</v>
      </c>
      <c r="U350" s="823">
        <v>2</v>
      </c>
      <c r="V350" s="823">
        <v>2</v>
      </c>
      <c r="W350" s="823">
        <v>2</v>
      </c>
      <c r="X350" s="823">
        <v>2</v>
      </c>
      <c r="Y350" s="823">
        <v>2</v>
      </c>
      <c r="Z350" s="823">
        <v>2</v>
      </c>
      <c r="AA350" s="823">
        <v>2</v>
      </c>
      <c r="AB350" s="823">
        <v>2</v>
      </c>
      <c r="AC350" s="825">
        <v>2</v>
      </c>
      <c r="AD350" s="825">
        <v>2</v>
      </c>
      <c r="AE350" s="825">
        <v>2</v>
      </c>
      <c r="AF350" s="825">
        <v>2</v>
      </c>
      <c r="AG350" s="825">
        <v>3</v>
      </c>
      <c r="AH350" s="825">
        <v>3</v>
      </c>
      <c r="AI350" s="825">
        <v>3</v>
      </c>
      <c r="AJ350" s="825">
        <v>3</v>
      </c>
      <c r="AK350" s="825">
        <v>3</v>
      </c>
      <c r="AL350" s="825">
        <v>3</v>
      </c>
      <c r="AM350" s="825">
        <v>2</v>
      </c>
      <c r="AN350" s="825">
        <v>2</v>
      </c>
      <c r="AO350" s="825">
        <v>2</v>
      </c>
      <c r="AP350" s="825">
        <v>2</v>
      </c>
    </row>
    <row r="351" hidden="1">
      <c r="B351" s="826" t="s">
        <v>10</v>
      </c>
      <c r="C351" s="827">
        <v>0</v>
      </c>
      <c r="D351" s="827">
        <v>0</v>
      </c>
      <c r="E351" s="827">
        <v>0</v>
      </c>
      <c r="F351" s="827">
        <v>0</v>
      </c>
      <c r="G351" s="827">
        <v>0</v>
      </c>
      <c r="H351" s="827">
        <v>0</v>
      </c>
      <c r="I351" s="827">
        <v>0</v>
      </c>
      <c r="J351" s="827">
        <v>0</v>
      </c>
      <c r="K351" s="827">
        <v>0</v>
      </c>
      <c r="L351" s="827">
        <v>0</v>
      </c>
      <c r="M351" s="827">
        <v>0</v>
      </c>
      <c r="N351" s="827">
        <v>0</v>
      </c>
      <c r="O351" s="827">
        <v>0</v>
      </c>
      <c r="P351" s="827">
        <v>0</v>
      </c>
      <c r="Q351" s="827">
        <v>0</v>
      </c>
      <c r="R351" s="827">
        <v>0</v>
      </c>
      <c r="S351" s="827">
        <v>0</v>
      </c>
      <c r="T351" s="827">
        <v>0</v>
      </c>
      <c r="U351" s="827">
        <v>0</v>
      </c>
      <c r="V351" s="827">
        <v>0</v>
      </c>
      <c r="W351" s="827">
        <v>0</v>
      </c>
      <c r="X351" s="827">
        <v>0</v>
      </c>
      <c r="Y351" s="827">
        <v>0</v>
      </c>
      <c r="Z351" s="827">
        <v>0</v>
      </c>
      <c r="AA351" s="827">
        <v>0</v>
      </c>
      <c r="AB351" s="827">
        <v>0</v>
      </c>
      <c r="AC351" s="828">
        <v>0</v>
      </c>
      <c r="AD351" s="828">
        <v>0</v>
      </c>
      <c r="AE351" s="828">
        <v>0</v>
      </c>
      <c r="AF351" s="828">
        <v>0</v>
      </c>
      <c r="AG351" s="828">
        <v>0</v>
      </c>
      <c r="AH351" s="828">
        <v>0</v>
      </c>
      <c r="AI351" s="828">
        <v>0</v>
      </c>
      <c r="AJ351" s="828">
        <v>0</v>
      </c>
      <c r="AK351" s="828">
        <v>0</v>
      </c>
      <c r="AL351" s="828">
        <v>0</v>
      </c>
      <c r="AM351" s="828">
        <v>0</v>
      </c>
      <c r="AN351" s="828">
        <v>0</v>
      </c>
      <c r="AO351" s="828">
        <v>0</v>
      </c>
      <c r="AP351" s="828">
        <v>0</v>
      </c>
    </row>
    <row r="352" hidden="1">
      <c r="B352" s="829" t="s">
        <v>11</v>
      </c>
      <c r="C352" s="823">
        <v>0</v>
      </c>
      <c r="D352" s="823">
        <v>0</v>
      </c>
      <c r="E352" s="823">
        <v>1</v>
      </c>
      <c r="F352" s="823">
        <v>1</v>
      </c>
      <c r="G352" s="823">
        <v>1</v>
      </c>
      <c r="H352" s="823">
        <v>1</v>
      </c>
      <c r="I352" s="823">
        <v>1</v>
      </c>
      <c r="J352" s="823">
        <v>1</v>
      </c>
      <c r="K352" s="823">
        <v>0</v>
      </c>
      <c r="L352" s="823">
        <v>0</v>
      </c>
      <c r="M352" s="823">
        <v>1</v>
      </c>
      <c r="N352" s="823">
        <v>1</v>
      </c>
      <c r="O352" s="823">
        <v>1</v>
      </c>
      <c r="P352" s="823">
        <v>1</v>
      </c>
      <c r="Q352" s="823">
        <v>1</v>
      </c>
      <c r="R352" s="823">
        <v>1</v>
      </c>
      <c r="S352" s="823">
        <v>1</v>
      </c>
      <c r="T352" s="823">
        <v>1</v>
      </c>
      <c r="U352" s="823">
        <v>1</v>
      </c>
      <c r="V352" s="823">
        <v>1</v>
      </c>
      <c r="W352" s="823">
        <v>1</v>
      </c>
      <c r="X352" s="823">
        <v>1</v>
      </c>
      <c r="Y352" s="823">
        <v>1</v>
      </c>
      <c r="Z352" s="823">
        <v>1</v>
      </c>
      <c r="AA352" s="823">
        <v>1</v>
      </c>
      <c r="AB352" s="823">
        <v>1</v>
      </c>
      <c r="AC352" s="825">
        <v>1</v>
      </c>
      <c r="AD352" s="825">
        <v>1</v>
      </c>
      <c r="AE352" s="825">
        <v>1</v>
      </c>
      <c r="AF352" s="825">
        <v>1</v>
      </c>
      <c r="AG352" s="825">
        <v>1</v>
      </c>
      <c r="AH352" s="825">
        <v>1</v>
      </c>
      <c r="AI352" s="825">
        <v>1</v>
      </c>
      <c r="AJ352" s="825">
        <v>1</v>
      </c>
      <c r="AK352" s="825">
        <v>1</v>
      </c>
      <c r="AL352" s="825">
        <v>1</v>
      </c>
      <c r="AM352" s="825">
        <v>1</v>
      </c>
      <c r="AN352" s="825">
        <v>1</v>
      </c>
      <c r="AO352" s="825">
        <v>1</v>
      </c>
      <c r="AP352" s="825">
        <v>1</v>
      </c>
    </row>
    <row r="353" hidden="1">
      <c r="B353" s="826" t="s">
        <v>12</v>
      </c>
      <c r="C353" s="827">
        <v>0</v>
      </c>
      <c r="D353" s="827">
        <v>0</v>
      </c>
      <c r="E353" s="827">
        <v>0</v>
      </c>
      <c r="F353" s="827">
        <v>0</v>
      </c>
      <c r="G353" s="827">
        <v>0</v>
      </c>
      <c r="H353" s="827">
        <v>0</v>
      </c>
      <c r="I353" s="827">
        <v>1</v>
      </c>
      <c r="J353" s="827">
        <v>1</v>
      </c>
      <c r="K353" s="827">
        <v>1</v>
      </c>
      <c r="L353" s="827">
        <v>1</v>
      </c>
      <c r="M353" s="827">
        <v>1</v>
      </c>
      <c r="N353" s="827">
        <v>1</v>
      </c>
      <c r="O353" s="827">
        <v>1</v>
      </c>
      <c r="P353" s="827">
        <v>1</v>
      </c>
      <c r="Q353" s="827">
        <v>1</v>
      </c>
      <c r="R353" s="827">
        <v>1</v>
      </c>
      <c r="S353" s="827">
        <v>1</v>
      </c>
      <c r="T353" s="827">
        <v>1</v>
      </c>
      <c r="U353" s="827">
        <v>1</v>
      </c>
      <c r="V353" s="827">
        <v>1</v>
      </c>
      <c r="W353" s="827">
        <v>1</v>
      </c>
      <c r="X353" s="827">
        <v>1</v>
      </c>
      <c r="Y353" s="827">
        <v>0</v>
      </c>
      <c r="Z353" s="827">
        <v>0</v>
      </c>
      <c r="AA353" s="827">
        <v>0</v>
      </c>
      <c r="AB353" s="827">
        <v>1</v>
      </c>
      <c r="AC353" s="828">
        <v>1</v>
      </c>
      <c r="AD353" s="828">
        <v>1</v>
      </c>
      <c r="AE353" s="828">
        <v>1</v>
      </c>
      <c r="AF353" s="828">
        <v>1</v>
      </c>
      <c r="AG353" s="828">
        <v>1</v>
      </c>
      <c r="AH353" s="828">
        <v>1</v>
      </c>
      <c r="AI353" s="828">
        <v>1</v>
      </c>
      <c r="AJ353" s="828">
        <v>1</v>
      </c>
      <c r="AK353" s="828">
        <v>1</v>
      </c>
      <c r="AL353" s="828">
        <v>1</v>
      </c>
      <c r="AM353" s="828">
        <v>1</v>
      </c>
      <c r="AN353" s="828">
        <v>1</v>
      </c>
      <c r="AO353" s="828">
        <v>1</v>
      </c>
      <c r="AP353" s="828">
        <v>1</v>
      </c>
    </row>
    <row r="354" hidden="1">
      <c r="B354" s="829" t="s">
        <v>13</v>
      </c>
      <c r="C354" s="823">
        <v>0</v>
      </c>
      <c r="D354" s="823">
        <v>0</v>
      </c>
      <c r="E354" s="823">
        <v>0</v>
      </c>
      <c r="F354" s="823">
        <v>0</v>
      </c>
      <c r="G354" s="823">
        <v>0</v>
      </c>
      <c r="H354" s="823">
        <v>0</v>
      </c>
      <c r="I354" s="823">
        <v>0</v>
      </c>
      <c r="J354" s="823">
        <v>0</v>
      </c>
      <c r="K354" s="823">
        <v>0</v>
      </c>
      <c r="L354" s="823">
        <v>0</v>
      </c>
      <c r="M354" s="823">
        <v>0</v>
      </c>
      <c r="N354" s="823">
        <v>0</v>
      </c>
      <c r="O354" s="823">
        <v>0</v>
      </c>
      <c r="P354" s="823">
        <v>0</v>
      </c>
      <c r="Q354" s="823">
        <v>0</v>
      </c>
      <c r="R354" s="823">
        <v>0</v>
      </c>
      <c r="S354" s="823">
        <v>0</v>
      </c>
      <c r="T354" s="823">
        <v>0</v>
      </c>
      <c r="U354" s="823">
        <v>0</v>
      </c>
      <c r="V354" s="823">
        <v>0</v>
      </c>
      <c r="W354" s="823">
        <v>0</v>
      </c>
      <c r="X354" s="823">
        <v>0</v>
      </c>
      <c r="Y354" s="823">
        <v>0</v>
      </c>
      <c r="Z354" s="823">
        <v>0</v>
      </c>
      <c r="AA354" s="823">
        <v>0</v>
      </c>
      <c r="AB354" s="823">
        <v>0</v>
      </c>
      <c r="AC354" s="825">
        <v>0</v>
      </c>
      <c r="AD354" s="825">
        <v>0</v>
      </c>
      <c r="AE354" s="825">
        <v>0</v>
      </c>
      <c r="AF354" s="825">
        <v>0</v>
      </c>
      <c r="AG354" s="825">
        <v>0</v>
      </c>
      <c r="AH354" s="825">
        <v>0</v>
      </c>
      <c r="AI354" s="825">
        <v>0</v>
      </c>
      <c r="AJ354" s="825">
        <v>0</v>
      </c>
      <c r="AK354" s="825">
        <v>0</v>
      </c>
      <c r="AL354" s="825">
        <v>0</v>
      </c>
      <c r="AM354" s="825">
        <v>0</v>
      </c>
      <c r="AN354" s="825">
        <v>0</v>
      </c>
      <c r="AO354" s="825">
        <v>0</v>
      </c>
      <c r="AP354" s="825">
        <v>0</v>
      </c>
    </row>
    <row r="355" hidden="1">
      <c r="B355" s="826" t="s">
        <v>109</v>
      </c>
      <c r="C355" s="827">
        <v>0</v>
      </c>
      <c r="D355" s="827">
        <v>0</v>
      </c>
      <c r="E355" s="827">
        <v>0</v>
      </c>
      <c r="F355" s="827">
        <v>0</v>
      </c>
      <c r="G355" s="827">
        <v>0</v>
      </c>
      <c r="H355" s="827">
        <v>0</v>
      </c>
      <c r="I355" s="827">
        <v>0</v>
      </c>
      <c r="J355" s="827">
        <v>0</v>
      </c>
      <c r="K355" s="827">
        <v>0</v>
      </c>
      <c r="L355" s="827">
        <v>0</v>
      </c>
      <c r="M355" s="827">
        <v>0</v>
      </c>
      <c r="N355" s="827">
        <v>0</v>
      </c>
      <c r="O355" s="827">
        <v>0</v>
      </c>
      <c r="P355" s="827">
        <v>0</v>
      </c>
      <c r="Q355" s="827">
        <v>0</v>
      </c>
      <c r="R355" s="827">
        <v>0</v>
      </c>
      <c r="S355" s="827">
        <v>0</v>
      </c>
      <c r="T355" s="827">
        <v>0</v>
      </c>
      <c r="U355" s="827">
        <v>0</v>
      </c>
      <c r="V355" s="827">
        <v>0</v>
      </c>
      <c r="W355" s="827">
        <v>0</v>
      </c>
      <c r="X355" s="827">
        <v>0</v>
      </c>
      <c r="Y355" s="827">
        <v>0</v>
      </c>
      <c r="Z355" s="827">
        <v>0</v>
      </c>
      <c r="AA355" s="827">
        <v>0</v>
      </c>
      <c r="AB355" s="827">
        <v>0</v>
      </c>
      <c r="AC355" s="828">
        <v>0</v>
      </c>
      <c r="AD355" s="828">
        <v>0</v>
      </c>
      <c r="AE355" s="828">
        <v>0</v>
      </c>
      <c r="AF355" s="828">
        <v>0</v>
      </c>
      <c r="AG355" s="828">
        <v>0</v>
      </c>
      <c r="AH355" s="828">
        <v>0</v>
      </c>
      <c r="AI355" s="828">
        <v>0</v>
      </c>
      <c r="AJ355" s="828">
        <v>0</v>
      </c>
      <c r="AK355" s="828">
        <v>0</v>
      </c>
      <c r="AL355" s="828">
        <v>0</v>
      </c>
      <c r="AM355" s="828">
        <v>1</v>
      </c>
      <c r="AN355" s="828">
        <v>1</v>
      </c>
      <c r="AO355" s="828">
        <v>1</v>
      </c>
      <c r="AP355" s="828">
        <v>1</v>
      </c>
    </row>
    <row r="356" hidden="1">
      <c r="B356" s="829" t="s">
        <v>110</v>
      </c>
      <c r="C356" s="823">
        <v>8</v>
      </c>
      <c r="D356" s="823">
        <v>8</v>
      </c>
      <c r="E356" s="823">
        <v>7</v>
      </c>
      <c r="F356" s="823">
        <v>7</v>
      </c>
      <c r="G356" s="823">
        <v>7</v>
      </c>
      <c r="H356" s="823">
        <v>6</v>
      </c>
      <c r="I356" s="823">
        <v>6</v>
      </c>
      <c r="J356" s="823">
        <v>6</v>
      </c>
      <c r="K356" s="823">
        <v>6</v>
      </c>
      <c r="L356" s="823">
        <v>6</v>
      </c>
      <c r="M356" s="823">
        <v>6</v>
      </c>
      <c r="N356" s="823">
        <v>4</v>
      </c>
      <c r="O356" s="823">
        <v>4</v>
      </c>
      <c r="P356" s="823">
        <v>3</v>
      </c>
      <c r="Q356" s="823">
        <v>3</v>
      </c>
      <c r="R356" s="823">
        <v>3</v>
      </c>
      <c r="S356" s="823">
        <v>3</v>
      </c>
      <c r="T356" s="823">
        <v>2</v>
      </c>
      <c r="U356" s="823">
        <v>2</v>
      </c>
      <c r="V356" s="823">
        <v>2</v>
      </c>
      <c r="W356" s="823">
        <v>2</v>
      </c>
      <c r="X356" s="823">
        <v>2</v>
      </c>
      <c r="Y356" s="823">
        <v>2</v>
      </c>
      <c r="Z356" s="823">
        <v>2</v>
      </c>
      <c r="AA356" s="823">
        <v>2</v>
      </c>
      <c r="AB356" s="823">
        <v>2</v>
      </c>
      <c r="AC356" s="825">
        <v>2</v>
      </c>
      <c r="AD356" s="825">
        <v>2</v>
      </c>
      <c r="AE356" s="825">
        <v>2</v>
      </c>
      <c r="AF356" s="825">
        <v>2</v>
      </c>
      <c r="AG356" s="825">
        <v>2</v>
      </c>
      <c r="AH356" s="825">
        <v>3</v>
      </c>
      <c r="AI356" s="825">
        <v>2</v>
      </c>
      <c r="AJ356" s="825">
        <v>1</v>
      </c>
      <c r="AK356" s="825">
        <v>1</v>
      </c>
      <c r="AL356" s="825">
        <v>1</v>
      </c>
      <c r="AM356" s="825">
        <v>1</v>
      </c>
      <c r="AN356" s="825">
        <v>1</v>
      </c>
      <c r="AO356" s="825">
        <v>1</v>
      </c>
      <c r="AP356" s="825">
        <v>1</v>
      </c>
    </row>
    <row r="357" hidden="1">
      <c r="B357" s="826" t="s">
        <v>16</v>
      </c>
      <c r="C357" s="827">
        <v>4</v>
      </c>
      <c r="D357" s="827">
        <v>5</v>
      </c>
      <c r="E357" s="827">
        <v>5</v>
      </c>
      <c r="F357" s="827">
        <v>5</v>
      </c>
      <c r="G357" s="827">
        <v>5</v>
      </c>
      <c r="H357" s="827">
        <v>5</v>
      </c>
      <c r="I357" s="827">
        <v>5</v>
      </c>
      <c r="J357" s="827">
        <v>5</v>
      </c>
      <c r="K357" s="827">
        <v>5</v>
      </c>
      <c r="L357" s="827">
        <v>5</v>
      </c>
      <c r="M357" s="827">
        <v>5</v>
      </c>
      <c r="N357" s="827">
        <v>6</v>
      </c>
      <c r="O357" s="827">
        <v>7</v>
      </c>
      <c r="P357" s="827">
        <v>6</v>
      </c>
      <c r="Q357" s="827">
        <v>6</v>
      </c>
      <c r="R357" s="827">
        <v>6</v>
      </c>
      <c r="S357" s="827">
        <v>6</v>
      </c>
      <c r="T357" s="827">
        <v>6</v>
      </c>
      <c r="U357" s="827">
        <v>6</v>
      </c>
      <c r="V357" s="827">
        <v>6</v>
      </c>
      <c r="W357" s="827">
        <v>6</v>
      </c>
      <c r="X357" s="827">
        <v>6</v>
      </c>
      <c r="Y357" s="827">
        <v>5</v>
      </c>
      <c r="Z357" s="827">
        <v>5</v>
      </c>
      <c r="AA357" s="827">
        <v>6</v>
      </c>
      <c r="AB357" s="827">
        <v>6</v>
      </c>
      <c r="AC357" s="828">
        <v>5</v>
      </c>
      <c r="AD357" s="828">
        <v>5</v>
      </c>
      <c r="AE357" s="828">
        <v>5</v>
      </c>
      <c r="AF357" s="828">
        <v>5</v>
      </c>
      <c r="AG357" s="828">
        <v>5</v>
      </c>
      <c r="AH357" s="828">
        <v>6</v>
      </c>
      <c r="AI357" s="828">
        <v>5</v>
      </c>
      <c r="AJ357" s="828">
        <v>5</v>
      </c>
      <c r="AK357" s="828">
        <v>5</v>
      </c>
      <c r="AL357" s="828">
        <v>5</v>
      </c>
      <c r="AM357" s="828">
        <v>4</v>
      </c>
      <c r="AN357" s="828">
        <v>4</v>
      </c>
      <c r="AO357" s="828">
        <v>3</v>
      </c>
      <c r="AP357" s="828">
        <v>3</v>
      </c>
    </row>
    <row r="358" hidden="1">
      <c r="B358" s="829" t="s">
        <v>17</v>
      </c>
      <c r="C358" s="823">
        <v>0</v>
      </c>
      <c r="D358" s="823">
        <v>0</v>
      </c>
      <c r="E358" s="823">
        <v>0</v>
      </c>
      <c r="F358" s="823">
        <v>0</v>
      </c>
      <c r="G358" s="823">
        <v>1</v>
      </c>
      <c r="H358" s="823">
        <v>1</v>
      </c>
      <c r="I358" s="823">
        <v>2</v>
      </c>
      <c r="J358" s="823">
        <v>2</v>
      </c>
      <c r="K358" s="823">
        <v>2</v>
      </c>
      <c r="L358" s="823">
        <v>2</v>
      </c>
      <c r="M358" s="823">
        <v>2</v>
      </c>
      <c r="N358" s="823">
        <v>2</v>
      </c>
      <c r="O358" s="823">
        <v>2</v>
      </c>
      <c r="P358" s="823">
        <v>2</v>
      </c>
      <c r="Q358" s="823">
        <v>2</v>
      </c>
      <c r="R358" s="823">
        <v>2</v>
      </c>
      <c r="S358" s="823">
        <v>3</v>
      </c>
      <c r="T358" s="823">
        <v>3</v>
      </c>
      <c r="U358" s="823">
        <v>3</v>
      </c>
      <c r="V358" s="823">
        <v>3</v>
      </c>
      <c r="W358" s="823">
        <v>1</v>
      </c>
      <c r="X358" s="823">
        <v>1</v>
      </c>
      <c r="Y358" s="823">
        <v>1</v>
      </c>
      <c r="Z358" s="823">
        <v>1</v>
      </c>
      <c r="AA358" s="823">
        <v>1</v>
      </c>
      <c r="AB358" s="823">
        <v>0</v>
      </c>
      <c r="AC358" s="825">
        <v>0</v>
      </c>
      <c r="AD358" s="825">
        <v>0</v>
      </c>
      <c r="AE358" s="825">
        <v>0</v>
      </c>
      <c r="AF358" s="825">
        <v>0</v>
      </c>
      <c r="AG358" s="825">
        <v>0</v>
      </c>
      <c r="AH358" s="825">
        <v>0</v>
      </c>
      <c r="AI358" s="825">
        <v>0</v>
      </c>
      <c r="AJ358" s="825">
        <v>0</v>
      </c>
      <c r="AK358" s="825">
        <v>0</v>
      </c>
      <c r="AL358" s="825">
        <v>0</v>
      </c>
      <c r="AM358" s="825">
        <v>0</v>
      </c>
      <c r="AN358" s="825">
        <v>0</v>
      </c>
      <c r="AO358" s="825">
        <v>0</v>
      </c>
      <c r="AP358" s="825">
        <v>0</v>
      </c>
    </row>
    <row r="359" hidden="1">
      <c r="B359" s="826" t="s">
        <v>18</v>
      </c>
      <c r="C359" s="827">
        <v>2</v>
      </c>
      <c r="D359" s="827">
        <v>1</v>
      </c>
      <c r="E359" s="827">
        <v>0</v>
      </c>
      <c r="F359" s="827">
        <v>0</v>
      </c>
      <c r="G359" s="827">
        <v>0</v>
      </c>
      <c r="H359" s="827">
        <v>0</v>
      </c>
      <c r="I359" s="827">
        <v>0</v>
      </c>
      <c r="J359" s="827">
        <v>0</v>
      </c>
      <c r="K359" s="827">
        <v>0</v>
      </c>
      <c r="L359" s="827">
        <v>0</v>
      </c>
      <c r="M359" s="827">
        <v>0</v>
      </c>
      <c r="N359" s="827">
        <v>0</v>
      </c>
      <c r="O359" s="827">
        <v>0</v>
      </c>
      <c r="P359" s="827">
        <v>0</v>
      </c>
      <c r="Q359" s="827">
        <v>0</v>
      </c>
      <c r="R359" s="827">
        <v>0</v>
      </c>
      <c r="S359" s="827">
        <v>0</v>
      </c>
      <c r="T359" s="827">
        <v>0</v>
      </c>
      <c r="U359" s="827">
        <v>0</v>
      </c>
      <c r="V359" s="827">
        <v>0</v>
      </c>
      <c r="W359" s="827">
        <v>0</v>
      </c>
      <c r="X359" s="827">
        <v>0</v>
      </c>
      <c r="Y359" s="827">
        <v>0</v>
      </c>
      <c r="Z359" s="827">
        <v>0</v>
      </c>
      <c r="AA359" s="827">
        <v>0</v>
      </c>
      <c r="AB359" s="827">
        <v>0</v>
      </c>
      <c r="AC359" s="828">
        <v>0</v>
      </c>
      <c r="AD359" s="828">
        <v>0</v>
      </c>
      <c r="AE359" s="828">
        <v>0</v>
      </c>
      <c r="AF359" s="828">
        <v>0</v>
      </c>
      <c r="AG359" s="828">
        <v>0</v>
      </c>
      <c r="AH359" s="828">
        <v>0</v>
      </c>
      <c r="AI359" s="828">
        <v>0</v>
      </c>
      <c r="AJ359" s="828">
        <v>0</v>
      </c>
      <c r="AK359" s="828">
        <v>0</v>
      </c>
      <c r="AL359" s="828">
        <v>0</v>
      </c>
      <c r="AM359" s="828">
        <v>0</v>
      </c>
      <c r="AN359" s="828">
        <v>0</v>
      </c>
      <c r="AO359" s="828">
        <v>0</v>
      </c>
      <c r="AP359" s="828">
        <v>0</v>
      </c>
    </row>
    <row r="360" hidden="1">
      <c r="B360" s="829" t="s">
        <v>19</v>
      </c>
      <c r="C360" s="823">
        <v>0</v>
      </c>
      <c r="D360" s="823">
        <v>0</v>
      </c>
      <c r="E360" s="823">
        <v>0</v>
      </c>
      <c r="F360" s="823">
        <v>0</v>
      </c>
      <c r="G360" s="823">
        <v>0</v>
      </c>
      <c r="H360" s="823">
        <v>0</v>
      </c>
      <c r="I360" s="823">
        <v>1</v>
      </c>
      <c r="J360" s="823">
        <v>1</v>
      </c>
      <c r="K360" s="823">
        <v>1</v>
      </c>
      <c r="L360" s="823">
        <v>2</v>
      </c>
      <c r="M360" s="823">
        <v>1</v>
      </c>
      <c r="N360" s="823">
        <v>1</v>
      </c>
      <c r="O360" s="823">
        <v>1</v>
      </c>
      <c r="P360" s="823">
        <v>1</v>
      </c>
      <c r="Q360" s="823">
        <v>1</v>
      </c>
      <c r="R360" s="823">
        <v>1</v>
      </c>
      <c r="S360" s="823">
        <v>1</v>
      </c>
      <c r="T360" s="823">
        <v>1</v>
      </c>
      <c r="U360" s="823">
        <v>1</v>
      </c>
      <c r="V360" s="823">
        <v>1</v>
      </c>
      <c r="W360" s="823">
        <v>1</v>
      </c>
      <c r="X360" s="823">
        <v>1</v>
      </c>
      <c r="Y360" s="823">
        <v>1</v>
      </c>
      <c r="Z360" s="823">
        <v>1</v>
      </c>
      <c r="AA360" s="823">
        <v>1</v>
      </c>
      <c r="AB360" s="823">
        <v>1</v>
      </c>
      <c r="AC360" s="825">
        <v>1</v>
      </c>
      <c r="AD360" s="825">
        <v>1</v>
      </c>
      <c r="AE360" s="825">
        <v>1</v>
      </c>
      <c r="AF360" s="825">
        <v>1</v>
      </c>
      <c r="AG360" s="825">
        <v>1</v>
      </c>
      <c r="AH360" s="825">
        <v>1</v>
      </c>
      <c r="AI360" s="825">
        <v>1</v>
      </c>
      <c r="AJ360" s="825">
        <v>0</v>
      </c>
      <c r="AK360" s="825">
        <v>0</v>
      </c>
      <c r="AL360" s="825">
        <v>0</v>
      </c>
      <c r="AM360" s="825">
        <v>0</v>
      </c>
      <c r="AN360" s="825">
        <v>0</v>
      </c>
      <c r="AO360" s="825">
        <v>0</v>
      </c>
      <c r="AP360" s="825">
        <v>0</v>
      </c>
    </row>
    <row r="361" hidden="1">
      <c r="B361" s="826" t="s">
        <v>20</v>
      </c>
      <c r="C361" s="827">
        <v>1</v>
      </c>
      <c r="D361" s="827">
        <v>1</v>
      </c>
      <c r="E361" s="827">
        <v>1</v>
      </c>
      <c r="F361" s="827">
        <v>2</v>
      </c>
      <c r="G361" s="827">
        <v>2</v>
      </c>
      <c r="H361" s="827">
        <v>2</v>
      </c>
      <c r="I361" s="827">
        <v>2</v>
      </c>
      <c r="J361" s="827">
        <v>2</v>
      </c>
      <c r="K361" s="827">
        <v>2</v>
      </c>
      <c r="L361" s="827">
        <v>0</v>
      </c>
      <c r="M361" s="827">
        <v>2</v>
      </c>
      <c r="N361" s="827">
        <v>2</v>
      </c>
      <c r="O361" s="827">
        <v>2</v>
      </c>
      <c r="P361" s="827">
        <v>2</v>
      </c>
      <c r="Q361" s="827">
        <v>2</v>
      </c>
      <c r="R361" s="827">
        <v>2</v>
      </c>
      <c r="S361" s="827">
        <v>2</v>
      </c>
      <c r="T361" s="827">
        <v>2</v>
      </c>
      <c r="U361" s="827">
        <v>2</v>
      </c>
      <c r="V361" s="827">
        <v>2</v>
      </c>
      <c r="W361" s="827">
        <v>2</v>
      </c>
      <c r="X361" s="827">
        <v>2</v>
      </c>
      <c r="Y361" s="827">
        <v>2</v>
      </c>
      <c r="Z361" s="827">
        <v>2</v>
      </c>
      <c r="AA361" s="827">
        <v>2</v>
      </c>
      <c r="AB361" s="827">
        <v>2</v>
      </c>
      <c r="AC361" s="828">
        <v>2</v>
      </c>
      <c r="AD361" s="828">
        <v>2</v>
      </c>
      <c r="AE361" s="828">
        <v>2</v>
      </c>
      <c r="AF361" s="828">
        <v>2</v>
      </c>
      <c r="AG361" s="828">
        <v>2</v>
      </c>
      <c r="AH361" s="828">
        <v>2</v>
      </c>
      <c r="AI361" s="828">
        <v>2</v>
      </c>
      <c r="AJ361" s="828">
        <v>2</v>
      </c>
      <c r="AK361" s="828">
        <v>2</v>
      </c>
      <c r="AL361" s="828">
        <v>2</v>
      </c>
      <c r="AM361" s="828">
        <v>2</v>
      </c>
      <c r="AN361" s="828">
        <v>1</v>
      </c>
      <c r="AO361" s="828">
        <v>1</v>
      </c>
      <c r="AP361" s="828">
        <v>2</v>
      </c>
    </row>
    <row r="362" hidden="1">
      <c r="B362" s="829" t="s">
        <v>21</v>
      </c>
      <c r="C362" s="823">
        <v>0</v>
      </c>
      <c r="D362" s="823">
        <v>0</v>
      </c>
      <c r="E362" s="823">
        <v>0</v>
      </c>
      <c r="F362" s="823">
        <v>0</v>
      </c>
      <c r="G362" s="823">
        <v>0</v>
      </c>
      <c r="H362" s="823">
        <v>0</v>
      </c>
      <c r="I362" s="823">
        <v>0</v>
      </c>
      <c r="J362" s="823">
        <v>0</v>
      </c>
      <c r="K362" s="823">
        <v>0</v>
      </c>
      <c r="L362" s="823">
        <v>1</v>
      </c>
      <c r="M362" s="823">
        <v>0</v>
      </c>
      <c r="N362" s="823">
        <v>0</v>
      </c>
      <c r="O362" s="823">
        <v>0</v>
      </c>
      <c r="P362" s="823">
        <v>0</v>
      </c>
      <c r="Q362" s="823">
        <v>0</v>
      </c>
      <c r="R362" s="823">
        <v>0</v>
      </c>
      <c r="S362" s="823">
        <v>0</v>
      </c>
      <c r="T362" s="823">
        <v>0</v>
      </c>
      <c r="U362" s="823">
        <v>0</v>
      </c>
      <c r="V362" s="823">
        <v>0</v>
      </c>
      <c r="W362" s="823">
        <v>0</v>
      </c>
      <c r="X362" s="823">
        <v>0</v>
      </c>
      <c r="Y362" s="823">
        <v>0</v>
      </c>
      <c r="Z362" s="823">
        <v>0</v>
      </c>
      <c r="AA362" s="823">
        <v>0</v>
      </c>
      <c r="AB362" s="823">
        <v>0</v>
      </c>
      <c r="AC362" s="825">
        <v>0</v>
      </c>
      <c r="AD362" s="825">
        <v>0</v>
      </c>
      <c r="AE362" s="825">
        <v>0</v>
      </c>
      <c r="AF362" s="825">
        <v>0</v>
      </c>
      <c r="AG362" s="825">
        <v>0</v>
      </c>
      <c r="AH362" s="825">
        <v>0</v>
      </c>
      <c r="AI362" s="825">
        <v>0</v>
      </c>
      <c r="AJ362" s="825">
        <v>0</v>
      </c>
      <c r="AK362" s="825">
        <v>0</v>
      </c>
      <c r="AL362" s="825">
        <v>0</v>
      </c>
      <c r="AM362" s="825">
        <v>0</v>
      </c>
      <c r="AN362" s="825">
        <v>0</v>
      </c>
      <c r="AO362" s="825">
        <v>0</v>
      </c>
      <c r="AP362" s="825">
        <v>0</v>
      </c>
    </row>
    <row r="363" hidden="1">
      <c r="B363" s="826" t="s">
        <v>22</v>
      </c>
      <c r="C363" s="827">
        <v>0</v>
      </c>
      <c r="D363" s="827">
        <v>0</v>
      </c>
      <c r="E363" s="827">
        <v>0</v>
      </c>
      <c r="F363" s="827">
        <v>0</v>
      </c>
      <c r="G363" s="827">
        <v>0</v>
      </c>
      <c r="H363" s="827">
        <v>1</v>
      </c>
      <c r="I363" s="827">
        <v>1</v>
      </c>
      <c r="J363" s="827">
        <v>1</v>
      </c>
      <c r="K363" s="827">
        <v>1</v>
      </c>
      <c r="L363" s="827">
        <v>0</v>
      </c>
      <c r="M363" s="827">
        <v>1</v>
      </c>
      <c r="N363" s="827">
        <v>1</v>
      </c>
      <c r="O363" s="827">
        <v>1</v>
      </c>
      <c r="P363" s="827">
        <v>1</v>
      </c>
      <c r="Q363" s="827">
        <v>1</v>
      </c>
      <c r="R363" s="827">
        <v>1</v>
      </c>
      <c r="S363" s="827">
        <v>1</v>
      </c>
      <c r="T363" s="827">
        <v>1</v>
      </c>
      <c r="U363" s="827">
        <v>1</v>
      </c>
      <c r="V363" s="827">
        <v>1</v>
      </c>
      <c r="W363" s="827">
        <v>0</v>
      </c>
      <c r="X363" s="827">
        <v>0</v>
      </c>
      <c r="Y363" s="827">
        <v>0</v>
      </c>
      <c r="Z363" s="827">
        <v>1</v>
      </c>
      <c r="AA363" s="827">
        <v>0</v>
      </c>
      <c r="AB363" s="827">
        <v>0</v>
      </c>
      <c r="AC363" s="828">
        <v>0</v>
      </c>
      <c r="AD363" s="828">
        <v>0</v>
      </c>
      <c r="AE363" s="828">
        <v>0</v>
      </c>
      <c r="AF363" s="828">
        <v>0</v>
      </c>
      <c r="AG363" s="828">
        <v>0</v>
      </c>
      <c r="AH363" s="828">
        <v>0</v>
      </c>
      <c r="AI363" s="828">
        <v>0</v>
      </c>
      <c r="AJ363" s="828">
        <v>0</v>
      </c>
      <c r="AK363" s="828">
        <v>0</v>
      </c>
      <c r="AL363" s="828">
        <v>0</v>
      </c>
      <c r="AM363" s="828">
        <v>0</v>
      </c>
      <c r="AN363" s="828">
        <v>0</v>
      </c>
      <c r="AO363" s="828">
        <v>0</v>
      </c>
      <c r="AP363" s="828">
        <v>0</v>
      </c>
    </row>
    <row r="364" hidden="1">
      <c r="B364" s="829" t="s">
        <v>23</v>
      </c>
      <c r="C364" s="823">
        <v>0</v>
      </c>
      <c r="D364" s="823">
        <v>0</v>
      </c>
      <c r="E364" s="823">
        <v>0</v>
      </c>
      <c r="F364" s="823">
        <v>0</v>
      </c>
      <c r="G364" s="823">
        <v>0</v>
      </c>
      <c r="H364" s="823">
        <v>0</v>
      </c>
      <c r="I364" s="823">
        <v>0</v>
      </c>
      <c r="J364" s="823">
        <v>0</v>
      </c>
      <c r="K364" s="823">
        <v>0</v>
      </c>
      <c r="L364" s="823">
        <v>1</v>
      </c>
      <c r="M364" s="823">
        <v>1</v>
      </c>
      <c r="N364" s="823">
        <v>1</v>
      </c>
      <c r="O364" s="823">
        <v>1</v>
      </c>
      <c r="P364" s="823">
        <v>1</v>
      </c>
      <c r="Q364" s="823">
        <v>1</v>
      </c>
      <c r="R364" s="823">
        <v>1</v>
      </c>
      <c r="S364" s="823">
        <v>1</v>
      </c>
      <c r="T364" s="823">
        <v>0</v>
      </c>
      <c r="U364" s="823">
        <v>0</v>
      </c>
      <c r="V364" s="823">
        <v>0</v>
      </c>
      <c r="W364" s="823">
        <v>0</v>
      </c>
      <c r="X364" s="823">
        <v>0</v>
      </c>
      <c r="Y364" s="823">
        <v>0</v>
      </c>
      <c r="Z364" s="823">
        <v>0</v>
      </c>
      <c r="AA364" s="823">
        <v>0</v>
      </c>
      <c r="AB364" s="823">
        <v>0</v>
      </c>
      <c r="AC364" s="825">
        <v>0</v>
      </c>
      <c r="AD364" s="825">
        <v>0</v>
      </c>
      <c r="AE364" s="825">
        <v>0</v>
      </c>
      <c r="AF364" s="825">
        <v>0</v>
      </c>
      <c r="AG364" s="825">
        <v>0</v>
      </c>
      <c r="AH364" s="825">
        <v>0</v>
      </c>
      <c r="AI364" s="825">
        <v>0</v>
      </c>
      <c r="AJ364" s="825">
        <v>0</v>
      </c>
      <c r="AK364" s="825">
        <v>0</v>
      </c>
      <c r="AL364" s="825">
        <v>0</v>
      </c>
      <c r="AM364" s="825">
        <v>0</v>
      </c>
      <c r="AN364" s="825">
        <v>0</v>
      </c>
      <c r="AO364" s="825">
        <v>0</v>
      </c>
      <c r="AP364" s="825">
        <v>0</v>
      </c>
    </row>
    <row r="365" hidden="1">
      <c r="B365" s="835" t="s">
        <v>24</v>
      </c>
      <c r="C365" s="827">
        <v>1</v>
      </c>
      <c r="D365" s="827">
        <v>1</v>
      </c>
      <c r="E365" s="827">
        <v>1</v>
      </c>
      <c r="F365" s="827">
        <v>1</v>
      </c>
      <c r="G365" s="827">
        <v>2</v>
      </c>
      <c r="H365" s="827">
        <v>2</v>
      </c>
      <c r="I365" s="827">
        <v>2</v>
      </c>
      <c r="J365" s="827">
        <v>2</v>
      </c>
      <c r="K365" s="827">
        <v>2</v>
      </c>
      <c r="L365" s="827">
        <v>2</v>
      </c>
      <c r="M365" s="827">
        <v>2</v>
      </c>
      <c r="N365" s="827">
        <v>2</v>
      </c>
      <c r="O365" s="827">
        <v>3</v>
      </c>
      <c r="P365" s="827">
        <v>3</v>
      </c>
      <c r="Q365" s="827">
        <v>3</v>
      </c>
      <c r="R365" s="827">
        <v>3</v>
      </c>
      <c r="S365" s="827">
        <v>3</v>
      </c>
      <c r="T365" s="827">
        <v>3</v>
      </c>
      <c r="U365" s="827">
        <v>4</v>
      </c>
      <c r="V365" s="827">
        <v>4</v>
      </c>
      <c r="W365" s="827">
        <v>4</v>
      </c>
      <c r="X365" s="827">
        <v>4</v>
      </c>
      <c r="Y365" s="827">
        <v>3</v>
      </c>
      <c r="Z365" s="827">
        <v>3</v>
      </c>
      <c r="AA365" s="827">
        <v>3</v>
      </c>
      <c r="AB365" s="827">
        <v>3</v>
      </c>
      <c r="AC365" s="828">
        <v>3</v>
      </c>
      <c r="AD365" s="828">
        <v>3</v>
      </c>
      <c r="AE365" s="828">
        <v>3</v>
      </c>
      <c r="AF365" s="828">
        <v>3</v>
      </c>
      <c r="AG365" s="828">
        <v>3</v>
      </c>
      <c r="AH365" s="828">
        <v>3</v>
      </c>
      <c r="AI365" s="828">
        <v>3</v>
      </c>
      <c r="AJ365" s="828">
        <v>3</v>
      </c>
      <c r="AK365" s="828">
        <v>3</v>
      </c>
      <c r="AL365" s="828">
        <v>3</v>
      </c>
      <c r="AM365" s="828">
        <v>3</v>
      </c>
      <c r="AN365" s="828">
        <v>3</v>
      </c>
      <c r="AO365" s="828">
        <v>2</v>
      </c>
      <c r="AP365" s="828">
        <v>2</v>
      </c>
    </row>
    <row r="366" hidden="1">
      <c r="B366" s="829" t="s">
        <v>25</v>
      </c>
      <c r="C366" s="823">
        <v>0</v>
      </c>
      <c r="D366" s="823">
        <v>0</v>
      </c>
      <c r="E366" s="823">
        <v>0</v>
      </c>
      <c r="F366" s="823">
        <v>0</v>
      </c>
      <c r="G366" s="823">
        <v>0</v>
      </c>
      <c r="H366" s="823">
        <v>0</v>
      </c>
      <c r="I366" s="823">
        <v>0</v>
      </c>
      <c r="J366" s="823">
        <v>0</v>
      </c>
      <c r="K366" s="823">
        <v>0</v>
      </c>
      <c r="L366" s="823">
        <v>0</v>
      </c>
      <c r="M366" s="823">
        <v>0</v>
      </c>
      <c r="N366" s="823">
        <v>0</v>
      </c>
      <c r="O366" s="823">
        <v>0</v>
      </c>
      <c r="P366" s="823">
        <v>0</v>
      </c>
      <c r="Q366" s="823">
        <v>0</v>
      </c>
      <c r="R366" s="823">
        <v>0</v>
      </c>
      <c r="S366" s="823">
        <v>0</v>
      </c>
      <c r="T366" s="823">
        <v>0</v>
      </c>
      <c r="U366" s="823">
        <v>0</v>
      </c>
      <c r="V366" s="823">
        <v>0</v>
      </c>
      <c r="W366" s="823">
        <v>0</v>
      </c>
      <c r="X366" s="823">
        <v>0</v>
      </c>
      <c r="Y366" s="823">
        <v>0</v>
      </c>
      <c r="Z366" s="823">
        <v>0</v>
      </c>
      <c r="AA366" s="823">
        <v>0</v>
      </c>
      <c r="AB366" s="823">
        <v>0</v>
      </c>
      <c r="AC366" s="825">
        <v>0</v>
      </c>
      <c r="AD366" s="825">
        <v>0</v>
      </c>
      <c r="AE366" s="825">
        <v>0</v>
      </c>
      <c r="AF366" s="825">
        <v>0</v>
      </c>
      <c r="AG366" s="825">
        <v>0</v>
      </c>
      <c r="AH366" s="825">
        <v>0</v>
      </c>
      <c r="AI366" s="825">
        <v>0</v>
      </c>
      <c r="AJ366" s="825">
        <v>0</v>
      </c>
      <c r="AK366" s="825">
        <v>0</v>
      </c>
      <c r="AL366" s="825">
        <v>0</v>
      </c>
      <c r="AM366" s="825">
        <v>0</v>
      </c>
      <c r="AN366" s="825">
        <v>0</v>
      </c>
      <c r="AO366" s="825">
        <v>0</v>
      </c>
      <c r="AP366" s="825">
        <v>0</v>
      </c>
    </row>
    <row r="367" hidden="1" ht="13.5">
      <c r="B367" s="836" t="s">
        <v>26</v>
      </c>
      <c r="C367" s="827">
        <v>0</v>
      </c>
      <c r="D367" s="827">
        <v>0</v>
      </c>
      <c r="E367" s="827">
        <v>0</v>
      </c>
      <c r="F367" s="827">
        <v>0</v>
      </c>
      <c r="G367" s="827">
        <v>0</v>
      </c>
      <c r="H367" s="827">
        <v>0</v>
      </c>
      <c r="I367" s="827">
        <v>0</v>
      </c>
      <c r="J367" s="827">
        <v>0</v>
      </c>
      <c r="K367" s="827">
        <v>0</v>
      </c>
      <c r="L367" s="827">
        <v>0</v>
      </c>
      <c r="M367" s="827">
        <v>0</v>
      </c>
      <c r="N367" s="827">
        <v>0</v>
      </c>
      <c r="O367" s="827">
        <v>0</v>
      </c>
      <c r="P367" s="827">
        <v>0</v>
      </c>
      <c r="Q367" s="827">
        <v>0</v>
      </c>
      <c r="R367" s="827">
        <v>0</v>
      </c>
      <c r="S367" s="827">
        <v>0</v>
      </c>
      <c r="T367" s="827">
        <v>0</v>
      </c>
      <c r="U367" s="827">
        <v>0</v>
      </c>
      <c r="V367" s="827">
        <v>0</v>
      </c>
      <c r="W367" s="827">
        <v>0</v>
      </c>
      <c r="X367" s="827">
        <v>0</v>
      </c>
      <c r="Y367" s="827">
        <v>0</v>
      </c>
      <c r="Z367" s="827">
        <v>0</v>
      </c>
      <c r="AA367" s="827">
        <v>0</v>
      </c>
      <c r="AB367" s="837">
        <v>0</v>
      </c>
      <c r="AC367" s="828">
        <v>0</v>
      </c>
      <c r="AD367" s="828">
        <v>0</v>
      </c>
      <c r="AE367" s="828">
        <v>0</v>
      </c>
      <c r="AF367" s="828">
        <v>0</v>
      </c>
      <c r="AG367" s="828">
        <v>0</v>
      </c>
      <c r="AH367" s="828">
        <v>0</v>
      </c>
      <c r="AI367" s="828">
        <v>0</v>
      </c>
      <c r="AJ367" s="828">
        <v>0</v>
      </c>
      <c r="AK367" s="828">
        <v>0</v>
      </c>
      <c r="AL367" s="828">
        <v>0</v>
      </c>
      <c r="AM367" s="828">
        <v>0</v>
      </c>
      <c r="AN367" s="828">
        <v>0</v>
      </c>
      <c r="AO367" s="828">
        <v>0</v>
      </c>
      <c r="AP367" s="828">
        <v>0</v>
      </c>
    </row>
    <row r="368" hidden="1" ht="13.5">
      <c r="B368" s="128" t="s">
        <v>7</v>
      </c>
      <c r="C368" s="129" t="str">
        <f>IF(SUM(C349:C367)&lt;&gt;0,SUM(C349:C367),"")</f>
      </c>
      <c r="D368" s="129" t="str">
        <f ref="D368:AA368" t="shared" si="50">IF(SUM(D349:D367)&lt;&gt;0,SUM(D349:D367),"")</f>
      </c>
      <c r="E368" s="129" t="str">
        <f t="shared" si="50"/>
      </c>
      <c r="F368" s="129" t="str">
        <f t="shared" si="50"/>
      </c>
      <c r="G368" s="129" t="str">
        <f t="shared" si="50"/>
      </c>
      <c r="H368" s="129" t="str">
        <f t="shared" si="50"/>
      </c>
      <c r="I368" s="129" t="str">
        <f t="shared" si="50"/>
      </c>
      <c r="J368" s="129" t="str">
        <f t="shared" si="50"/>
      </c>
      <c r="K368" s="129" t="str">
        <f t="shared" si="50"/>
      </c>
      <c r="L368" s="129" t="str">
        <f t="shared" si="50"/>
      </c>
      <c r="M368" s="129" t="str">
        <f t="shared" si="50"/>
      </c>
      <c r="N368" s="129" t="str">
        <f t="shared" si="50"/>
      </c>
      <c r="O368" s="129" t="str">
        <f t="shared" si="50"/>
      </c>
      <c r="P368" s="129" t="str">
        <f t="shared" si="50"/>
      </c>
      <c r="Q368" s="129" t="str">
        <f t="shared" si="50"/>
      </c>
      <c r="R368" s="129" t="str">
        <f t="shared" si="50"/>
      </c>
      <c r="S368" s="129" t="str">
        <f t="shared" si="50"/>
      </c>
      <c r="T368" s="129" t="str">
        <f t="shared" si="50"/>
      </c>
      <c r="U368" s="129" t="str">
        <f t="shared" si="50"/>
      </c>
      <c r="V368" s="129" t="str">
        <f t="shared" si="50"/>
      </c>
      <c r="W368" s="129" t="str">
        <f t="shared" si="50"/>
      </c>
      <c r="X368" s="129" t="str">
        <f t="shared" si="50"/>
      </c>
      <c r="Y368" s="129" t="str">
        <f t="shared" si="50"/>
      </c>
      <c r="Z368" s="129" t="str">
        <f t="shared" si="50"/>
      </c>
      <c r="AA368" s="129" t="str">
        <f t="shared" si="50"/>
      </c>
      <c r="AB368" s="130" t="str">
        <f>IF(SUM(AB349:AB367)&lt;&gt;0,SUM(AB349:AB367),"")</f>
      </c>
      <c r="AC368" s="91" t="str">
        <f ref="AC368:CN368" t="shared" si="51">IF(SUM(AC349:AC367)&lt;&gt;0,SUM(AC349:AC367),"")</f>
      </c>
      <c r="AD368" s="91" t="str">
        <f t="shared" si="51"/>
      </c>
      <c r="AE368" s="91" t="str">
        <f t="shared" si="51"/>
      </c>
      <c r="AF368" s="91" t="str">
        <f t="shared" si="51"/>
      </c>
      <c r="AG368" s="91" t="str">
        <f t="shared" si="51"/>
      </c>
      <c r="AH368" s="91" t="str">
        <f t="shared" si="51"/>
      </c>
      <c r="AI368" s="91" t="str">
        <f t="shared" si="51"/>
      </c>
      <c r="AJ368" s="91" t="str">
        <f t="shared" si="51"/>
      </c>
      <c r="AK368" s="91" t="str">
        <f t="shared" si="51"/>
      </c>
      <c r="AL368" s="91" t="str">
        <f t="shared" si="51"/>
      </c>
      <c r="AM368" s="91" t="str">
        <f t="shared" si="51"/>
      </c>
      <c r="AN368" s="91" t="str">
        <f t="shared" si="51"/>
      </c>
      <c r="AO368" s="91" t="str">
        <f t="shared" si="51"/>
      </c>
      <c r="AP368" s="91" t="str">
        <f t="shared" si="51"/>
      </c>
      <c r="AQ368" s="91" t="str">
        <f t="shared" si="51"/>
      </c>
      <c r="AR368" s="91" t="str">
        <f t="shared" si="51"/>
      </c>
      <c r="AS368" s="91" t="str">
        <f t="shared" si="51"/>
      </c>
      <c r="AT368" s="91" t="str">
        <f t="shared" si="51"/>
      </c>
      <c r="AU368" s="91" t="str">
        <f t="shared" si="51"/>
      </c>
      <c r="AV368" s="91" t="str">
        <f t="shared" si="51"/>
      </c>
      <c r="AW368" s="91" t="str">
        <f t="shared" si="51"/>
      </c>
      <c r="AX368" s="91" t="str">
        <f t="shared" si="51"/>
      </c>
      <c r="AY368" s="91" t="str">
        <f t="shared" si="51"/>
      </c>
      <c r="AZ368" s="91" t="str">
        <f t="shared" si="51"/>
      </c>
      <c r="BA368" s="91" t="str">
        <f t="shared" si="51"/>
      </c>
      <c r="BB368" s="91" t="str">
        <f t="shared" si="51"/>
      </c>
      <c r="BC368" s="91" t="str">
        <f t="shared" si="51"/>
      </c>
      <c r="BD368" s="91" t="str">
        <f t="shared" si="51"/>
      </c>
      <c r="BE368" s="91" t="str">
        <f t="shared" si="51"/>
      </c>
      <c r="BF368" s="91" t="str">
        <f t="shared" si="51"/>
      </c>
      <c r="BG368" s="91" t="str">
        <f t="shared" si="51"/>
      </c>
      <c r="BH368" s="91" t="str">
        <f t="shared" si="51"/>
      </c>
      <c r="BI368" s="91" t="str">
        <f t="shared" si="51"/>
      </c>
      <c r="BJ368" s="91" t="str">
        <f t="shared" si="51"/>
      </c>
      <c r="BK368" s="91" t="str">
        <f t="shared" si="51"/>
      </c>
      <c r="BL368" s="91" t="str">
        <f t="shared" si="51"/>
      </c>
      <c r="BM368" s="91" t="str">
        <f t="shared" si="51"/>
      </c>
      <c r="BN368" s="91" t="str">
        <f t="shared" si="51"/>
      </c>
      <c r="BO368" s="91" t="str">
        <f t="shared" si="51"/>
      </c>
      <c r="BP368" s="91" t="str">
        <f t="shared" si="51"/>
      </c>
      <c r="BQ368" s="91" t="str">
        <f t="shared" si="51"/>
      </c>
      <c r="BR368" s="91" t="str">
        <f t="shared" si="51"/>
      </c>
      <c r="BS368" s="91" t="str">
        <f t="shared" si="51"/>
      </c>
      <c r="BT368" s="91" t="str">
        <f t="shared" si="51"/>
      </c>
      <c r="BU368" s="91" t="str">
        <f t="shared" si="51"/>
      </c>
      <c r="BV368" s="91" t="str">
        <f t="shared" si="51"/>
      </c>
      <c r="BW368" s="91" t="str">
        <f t="shared" si="51"/>
      </c>
      <c r="BX368" s="91" t="str">
        <f t="shared" si="51"/>
      </c>
      <c r="BY368" s="91" t="str">
        <f t="shared" si="51"/>
      </c>
      <c r="BZ368" s="91" t="str">
        <f t="shared" si="51"/>
      </c>
      <c r="CA368" s="91" t="str">
        <f t="shared" si="51"/>
      </c>
      <c r="CB368" s="91" t="str">
        <f t="shared" si="51"/>
      </c>
      <c r="CC368" s="91" t="str">
        <f t="shared" si="51"/>
      </c>
      <c r="CD368" s="91" t="str">
        <f t="shared" si="51"/>
      </c>
      <c r="CE368" s="91" t="str">
        <f t="shared" si="51"/>
      </c>
      <c r="CF368" s="91" t="str">
        <f t="shared" si="51"/>
      </c>
      <c r="CG368" s="91" t="str">
        <f t="shared" si="51"/>
      </c>
      <c r="CH368" s="91" t="str">
        <f t="shared" si="51"/>
      </c>
      <c r="CI368" s="91" t="str">
        <f t="shared" si="51"/>
      </c>
      <c r="CJ368" s="91" t="str">
        <f t="shared" si="51"/>
      </c>
      <c r="CK368" s="91" t="str">
        <f t="shared" si="51"/>
      </c>
      <c r="CL368" s="91" t="str">
        <f t="shared" si="51"/>
      </c>
      <c r="CM368" s="91" t="str">
        <f t="shared" si="51"/>
      </c>
      <c r="CN368" s="91" t="str">
        <f t="shared" si="51"/>
      </c>
      <c r="CO368" s="91" t="str">
        <f ref="CO368:EZ368" t="shared" si="52">IF(SUM(CO349:CO367)&lt;&gt;0,SUM(CO349:CO367),"")</f>
      </c>
      <c r="CP368" s="91" t="str">
        <f t="shared" si="52"/>
      </c>
      <c r="CQ368" s="91" t="str">
        <f t="shared" si="52"/>
      </c>
      <c r="CR368" s="91" t="str">
        <f t="shared" si="52"/>
      </c>
      <c r="CS368" s="91" t="str">
        <f t="shared" si="52"/>
      </c>
      <c r="CT368" s="91" t="str">
        <f t="shared" si="52"/>
      </c>
      <c r="CU368" s="91" t="str">
        <f t="shared" si="52"/>
      </c>
      <c r="CV368" s="91" t="str">
        <f t="shared" si="52"/>
      </c>
      <c r="CW368" s="91" t="str">
        <f t="shared" si="52"/>
      </c>
      <c r="CX368" s="91" t="str">
        <f t="shared" si="52"/>
      </c>
      <c r="CY368" s="91" t="str">
        <f t="shared" si="52"/>
      </c>
      <c r="CZ368" s="91" t="str">
        <f t="shared" si="52"/>
      </c>
      <c r="DA368" s="91" t="str">
        <f t="shared" si="52"/>
      </c>
      <c r="DB368" s="91" t="str">
        <f t="shared" si="52"/>
      </c>
      <c r="DC368" s="91" t="str">
        <f t="shared" si="52"/>
      </c>
      <c r="DD368" s="91" t="str">
        <f t="shared" si="52"/>
      </c>
      <c r="DE368" s="91" t="str">
        <f t="shared" si="52"/>
      </c>
      <c r="DF368" s="91" t="str">
        <f t="shared" si="52"/>
      </c>
      <c r="DG368" s="91" t="str">
        <f t="shared" si="52"/>
      </c>
      <c r="DH368" s="91" t="str">
        <f t="shared" si="52"/>
      </c>
      <c r="DI368" s="91" t="str">
        <f t="shared" si="52"/>
      </c>
      <c r="DJ368" s="91" t="str">
        <f t="shared" si="52"/>
      </c>
      <c r="DK368" s="91" t="str">
        <f t="shared" si="52"/>
      </c>
      <c r="DL368" s="91" t="str">
        <f t="shared" si="52"/>
      </c>
      <c r="DM368" s="91" t="str">
        <f t="shared" si="52"/>
      </c>
      <c r="DN368" s="91" t="str">
        <f t="shared" si="52"/>
      </c>
      <c r="DO368" s="91" t="str">
        <f t="shared" si="52"/>
      </c>
      <c r="DP368" s="91" t="str">
        <f t="shared" si="52"/>
      </c>
      <c r="DQ368" s="91" t="str">
        <f t="shared" si="52"/>
      </c>
      <c r="DR368" s="91" t="str">
        <f t="shared" si="52"/>
      </c>
      <c r="DS368" s="91" t="str">
        <f t="shared" si="52"/>
      </c>
      <c r="DT368" s="91" t="str">
        <f t="shared" si="52"/>
      </c>
      <c r="DU368" s="91" t="str">
        <f t="shared" si="52"/>
      </c>
      <c r="DV368" s="91" t="str">
        <f t="shared" si="52"/>
      </c>
      <c r="DW368" s="91" t="str">
        <f t="shared" si="52"/>
      </c>
      <c r="DX368" s="91" t="str">
        <f t="shared" si="52"/>
      </c>
      <c r="DY368" s="91" t="str">
        <f t="shared" si="52"/>
      </c>
      <c r="DZ368" s="91" t="str">
        <f t="shared" si="52"/>
      </c>
      <c r="EA368" s="91" t="str">
        <f t="shared" si="52"/>
      </c>
      <c r="EB368" s="91" t="str">
        <f t="shared" si="52"/>
      </c>
      <c r="EC368" s="91" t="str">
        <f t="shared" si="52"/>
      </c>
      <c r="ED368" s="91" t="str">
        <f t="shared" si="52"/>
      </c>
      <c r="EE368" s="91" t="str">
        <f t="shared" si="52"/>
      </c>
      <c r="EF368" s="91" t="str">
        <f t="shared" si="52"/>
      </c>
      <c r="EG368" s="91" t="str">
        <f t="shared" si="52"/>
      </c>
      <c r="EH368" s="91" t="str">
        <f t="shared" si="52"/>
      </c>
      <c r="EI368" s="91" t="str">
        <f t="shared" si="52"/>
      </c>
      <c r="EJ368" s="91" t="str">
        <f t="shared" si="52"/>
      </c>
      <c r="EK368" s="91" t="str">
        <f t="shared" si="52"/>
      </c>
      <c r="EL368" s="91" t="str">
        <f t="shared" si="52"/>
      </c>
      <c r="EM368" s="91" t="str">
        <f t="shared" si="52"/>
      </c>
      <c r="EN368" s="91" t="str">
        <f t="shared" si="52"/>
      </c>
      <c r="EO368" s="91" t="str">
        <f t="shared" si="52"/>
      </c>
      <c r="EP368" s="91" t="str">
        <f t="shared" si="52"/>
      </c>
      <c r="EQ368" s="91" t="str">
        <f t="shared" si="52"/>
      </c>
      <c r="ER368" s="91" t="str">
        <f t="shared" si="52"/>
      </c>
      <c r="ES368" s="91" t="str">
        <f t="shared" si="52"/>
      </c>
      <c r="ET368" s="91" t="str">
        <f t="shared" si="52"/>
      </c>
      <c r="EU368" s="91" t="str">
        <f t="shared" si="52"/>
      </c>
      <c r="EV368" s="91" t="str">
        <f t="shared" si="52"/>
      </c>
      <c r="EW368" s="91" t="str">
        <f t="shared" si="52"/>
      </c>
      <c r="EX368" s="91" t="str">
        <f t="shared" si="52"/>
      </c>
      <c r="EY368" s="91" t="str">
        <f t="shared" si="52"/>
      </c>
      <c r="EZ368" s="91" t="str">
        <f t="shared" si="52"/>
      </c>
      <c r="FA368" s="91" t="str">
        <f ref="FA368:HL368" t="shared" si="53">IF(SUM(FA349:FA367)&lt;&gt;0,SUM(FA349:FA367),"")</f>
      </c>
      <c r="FB368" s="91" t="str">
        <f t="shared" si="53"/>
      </c>
      <c r="FC368" s="91" t="str">
        <f t="shared" si="53"/>
      </c>
      <c r="FD368" s="91" t="str">
        <f t="shared" si="53"/>
      </c>
      <c r="FE368" s="91" t="str">
        <f t="shared" si="53"/>
      </c>
      <c r="FF368" s="91" t="str">
        <f t="shared" si="53"/>
      </c>
      <c r="FG368" s="91" t="str">
        <f t="shared" si="53"/>
      </c>
      <c r="FH368" s="91" t="str">
        <f t="shared" si="53"/>
      </c>
      <c r="FI368" s="91" t="str">
        <f t="shared" si="53"/>
      </c>
      <c r="FJ368" s="91" t="str">
        <f t="shared" si="53"/>
      </c>
      <c r="FK368" s="91" t="str">
        <f t="shared" si="53"/>
      </c>
      <c r="FL368" s="91" t="str">
        <f t="shared" si="53"/>
      </c>
      <c r="FM368" s="91" t="str">
        <f t="shared" si="53"/>
      </c>
      <c r="FN368" s="91" t="str">
        <f t="shared" si="53"/>
      </c>
      <c r="FO368" s="91" t="str">
        <f t="shared" si="53"/>
      </c>
      <c r="FP368" s="91" t="str">
        <f t="shared" si="53"/>
      </c>
      <c r="FQ368" s="91" t="str">
        <f t="shared" si="53"/>
      </c>
      <c r="FR368" s="91" t="str">
        <f t="shared" si="53"/>
      </c>
      <c r="FS368" s="91" t="str">
        <f t="shared" si="53"/>
      </c>
      <c r="FT368" s="91" t="str">
        <f t="shared" si="53"/>
      </c>
      <c r="FU368" s="91" t="str">
        <f t="shared" si="53"/>
      </c>
      <c r="FV368" s="91" t="str">
        <f t="shared" si="53"/>
      </c>
      <c r="FW368" s="91" t="str">
        <f t="shared" si="53"/>
      </c>
      <c r="FX368" s="91" t="str">
        <f t="shared" si="53"/>
      </c>
      <c r="FY368" s="91" t="str">
        <f t="shared" si="53"/>
      </c>
      <c r="FZ368" s="91" t="str">
        <f t="shared" si="53"/>
      </c>
      <c r="GA368" s="91" t="str">
        <f t="shared" si="53"/>
      </c>
      <c r="GB368" s="91" t="str">
        <f t="shared" si="53"/>
      </c>
      <c r="GC368" s="91" t="str">
        <f t="shared" si="53"/>
      </c>
      <c r="GD368" s="91" t="str">
        <f t="shared" si="53"/>
      </c>
      <c r="GE368" s="91" t="str">
        <f t="shared" si="53"/>
      </c>
      <c r="GF368" s="91" t="str">
        <f t="shared" si="53"/>
      </c>
      <c r="GG368" s="91" t="str">
        <f t="shared" si="53"/>
      </c>
      <c r="GH368" s="91" t="str">
        <f t="shared" si="53"/>
      </c>
      <c r="GI368" s="91" t="str">
        <f t="shared" si="53"/>
      </c>
      <c r="GJ368" s="91" t="str">
        <f t="shared" si="53"/>
      </c>
      <c r="GK368" s="91" t="str">
        <f t="shared" si="53"/>
      </c>
      <c r="GL368" s="91" t="str">
        <f t="shared" si="53"/>
      </c>
      <c r="GM368" s="91" t="str">
        <f t="shared" si="53"/>
      </c>
      <c r="GN368" s="91" t="str">
        <f t="shared" si="53"/>
      </c>
      <c r="GO368" s="91" t="str">
        <f t="shared" si="53"/>
      </c>
      <c r="GP368" s="91" t="str">
        <f t="shared" si="53"/>
      </c>
      <c r="GQ368" s="91" t="str">
        <f t="shared" si="53"/>
      </c>
      <c r="GR368" s="91" t="str">
        <f t="shared" si="53"/>
      </c>
      <c r="GS368" s="91" t="str">
        <f t="shared" si="53"/>
      </c>
      <c r="GT368" s="91" t="str">
        <f t="shared" si="53"/>
      </c>
      <c r="GU368" s="91" t="str">
        <f t="shared" si="53"/>
      </c>
      <c r="GV368" s="91" t="str">
        <f t="shared" si="53"/>
      </c>
      <c r="GW368" s="91" t="str">
        <f t="shared" si="53"/>
      </c>
      <c r="GX368" s="91" t="str">
        <f t="shared" si="53"/>
      </c>
      <c r="GY368" s="91" t="str">
        <f t="shared" si="53"/>
      </c>
      <c r="GZ368" s="91" t="str">
        <f t="shared" si="53"/>
      </c>
      <c r="HA368" s="91" t="str">
        <f t="shared" si="53"/>
      </c>
      <c r="HB368" s="91" t="str">
        <f t="shared" si="53"/>
      </c>
      <c r="HC368" s="91" t="str">
        <f t="shared" si="53"/>
      </c>
      <c r="HD368" s="91" t="str">
        <f t="shared" si="53"/>
      </c>
      <c r="HE368" s="91" t="str">
        <f t="shared" si="53"/>
      </c>
      <c r="HF368" s="91" t="str">
        <f t="shared" si="53"/>
      </c>
      <c r="HG368" s="91" t="str">
        <f t="shared" si="53"/>
      </c>
      <c r="HH368" s="91" t="str">
        <f t="shared" si="53"/>
      </c>
      <c r="HI368" s="91" t="str">
        <f t="shared" si="53"/>
      </c>
      <c r="HJ368" s="91" t="str">
        <f t="shared" si="53"/>
      </c>
      <c r="HK368" s="91" t="str">
        <f t="shared" si="53"/>
      </c>
      <c r="HL368" s="91" t="str">
        <f t="shared" si="53"/>
      </c>
      <c r="HM368" s="91" t="str">
        <f ref="HM368:IV368" t="shared" si="54">IF(SUM(HM349:HM367)&lt;&gt;0,SUM(HM349:HM367),"")</f>
      </c>
      <c r="HN368" s="91" t="str">
        <f t="shared" si="54"/>
      </c>
      <c r="HO368" s="91" t="str">
        <f t="shared" si="54"/>
      </c>
      <c r="HP368" s="91" t="str">
        <f t="shared" si="54"/>
      </c>
      <c r="HQ368" s="91" t="str">
        <f t="shared" si="54"/>
      </c>
      <c r="HR368" s="91" t="str">
        <f t="shared" si="54"/>
      </c>
      <c r="HS368" s="91" t="str">
        <f t="shared" si="54"/>
      </c>
      <c r="HT368" s="91" t="str">
        <f t="shared" si="54"/>
      </c>
      <c r="HU368" s="91" t="str">
        <f t="shared" si="54"/>
      </c>
      <c r="HV368" s="91" t="str">
        <f t="shared" si="54"/>
      </c>
      <c r="HW368" s="91" t="str">
        <f t="shared" si="54"/>
      </c>
      <c r="HX368" s="91" t="str">
        <f t="shared" si="54"/>
      </c>
      <c r="HY368" s="91" t="str">
        <f t="shared" si="54"/>
      </c>
      <c r="HZ368" s="91" t="str">
        <f t="shared" si="54"/>
      </c>
      <c r="IA368" s="91" t="str">
        <f t="shared" si="54"/>
      </c>
      <c r="IB368" s="91" t="str">
        <f t="shared" si="54"/>
      </c>
      <c r="IC368" s="91" t="str">
        <f t="shared" si="54"/>
      </c>
      <c r="ID368" s="91" t="str">
        <f t="shared" si="54"/>
      </c>
      <c r="IE368" s="91" t="str">
        <f t="shared" si="54"/>
      </c>
      <c r="IF368" s="91" t="str">
        <f t="shared" si="54"/>
      </c>
      <c r="IG368" s="91" t="str">
        <f t="shared" si="54"/>
      </c>
      <c r="IH368" s="91" t="str">
        <f t="shared" si="54"/>
      </c>
      <c r="II368" s="91" t="str">
        <f t="shared" si="54"/>
      </c>
      <c r="IJ368" s="91" t="str">
        <f t="shared" si="54"/>
      </c>
      <c r="IK368" s="91" t="str">
        <f t="shared" si="54"/>
      </c>
      <c r="IL368" s="91" t="str">
        <f t="shared" si="54"/>
      </c>
      <c r="IM368" s="91" t="str">
        <f t="shared" si="54"/>
      </c>
      <c r="IN368" s="91" t="str">
        <f t="shared" si="54"/>
      </c>
      <c r="IO368" s="91" t="str">
        <f t="shared" si="54"/>
      </c>
      <c r="IP368" s="91" t="str">
        <f t="shared" si="54"/>
      </c>
      <c r="IQ368" s="91" t="str">
        <f t="shared" si="54"/>
      </c>
      <c r="IR368" s="91" t="str">
        <f t="shared" si="54"/>
      </c>
      <c r="IS368" s="91" t="str">
        <f t="shared" si="54"/>
      </c>
      <c r="IT368" s="91" t="str">
        <f t="shared" si="54"/>
      </c>
      <c r="IU368" s="91" t="str">
        <f t="shared" si="54"/>
      </c>
      <c r="IV368" s="91" t="str">
        <f t="shared" si="54"/>
      </c>
    </row>
    <row r="369" hidden="1"/>
    <row r="370" hidden="1"/>
    <row r="371" hidden="1" ht="13.5"/>
    <row r="372" hidden="1" ht="15.75" customHeight="1">
      <c r="C372" s="686" t="s">
        <v>121</v>
      </c>
      <c r="D372" s="687"/>
      <c r="E372" s="687"/>
      <c r="F372" s="687"/>
      <c r="G372" s="687"/>
      <c r="H372" s="687"/>
      <c r="I372" s="687"/>
      <c r="J372" s="687"/>
      <c r="K372" s="687"/>
      <c r="L372" s="687"/>
      <c r="M372" s="687"/>
      <c r="N372" s="687"/>
      <c r="O372" s="687"/>
      <c r="P372" s="687"/>
      <c r="Q372" s="687"/>
      <c r="R372" s="687"/>
      <c r="S372" s="687"/>
      <c r="T372" s="687"/>
      <c r="U372" s="687"/>
      <c r="V372" s="687"/>
      <c r="W372" s="687"/>
      <c r="X372" s="687"/>
      <c r="Y372" s="687"/>
      <c r="Z372" s="687"/>
      <c r="AA372" s="687"/>
      <c r="AB372" s="688"/>
    </row>
    <row r="373" hidden="1" ht="13.5">
      <c r="C373" s="435" t="str">
        <f> IF(C393&lt;&gt;"",TEXT(AUX!G$1,"dd-MMM-aa"),"")</f>
      </c>
      <c r="D373" s="435" t="str">
        <f> IF(D393&lt;&gt;"",TEXT(AUX!H$1,"dd-MMM-aa"),"")</f>
      </c>
      <c r="E373" s="435" t="str">
        <f> IF(E393&lt;&gt;"",TEXT(AUX!I$1,"dd-MMM-aa"),"")</f>
      </c>
      <c r="F373" s="435" t="str">
        <f> IF(F393&lt;&gt;"",TEXT(AUX!J$1,"dd-MMM-aa"),"")</f>
      </c>
      <c r="G373" s="435" t="str">
        <f> IF(G393&lt;&gt;"",TEXT(AUX!K$1,"dd-MMM-aa"),"")</f>
      </c>
      <c r="H373" s="435" t="str">
        <f> IF(H393&lt;&gt;"",TEXT(AUX!L$1,"dd-MMM-aa"),"")</f>
      </c>
      <c r="I373" s="435" t="str">
        <f> IF(I393&lt;&gt;"",TEXT(AUX!M$1,"dd-MMM-aa"),"")</f>
      </c>
      <c r="J373" s="435" t="str">
        <f> IF(J393&lt;&gt;"",TEXT(AUX!N$1,"dd-MMM-aa"),"")</f>
      </c>
      <c r="K373" s="435" t="str">
        <f> IF(K393&lt;&gt;"",TEXT(AUX!O$1,"dd-MMM-aa"),"")</f>
      </c>
      <c r="L373" s="435" t="str">
        <f> IF(L393&lt;&gt;"",TEXT(AUX!P$1,"dd-MMM-aa"),"")</f>
      </c>
      <c r="M373" s="435" t="str">
        <f> IF(M393&lt;&gt;"",TEXT(AUX!Q$1,"dd-MMM-aa"),"")</f>
      </c>
      <c r="N373" s="435" t="str">
        <f> IF(N393&lt;&gt;"",TEXT(AUX!R$1,"dd-MMM-aa"),"")</f>
      </c>
      <c r="O373" s="435" t="str">
        <f> IF(O393&lt;&gt;"",TEXT(AUX!S$1,"dd-MMM-aa"),"")</f>
      </c>
      <c r="P373" s="435" t="str">
        <f> IF(P393&lt;&gt;"",TEXT(AUX!T$1,"dd-MMM-aa"),"")</f>
      </c>
      <c r="Q373" s="435" t="str">
        <f> IF(Q393&lt;&gt;"",TEXT(AUX!U$1,"dd-MMM-aa"),"")</f>
      </c>
      <c r="R373" s="435" t="str">
        <f> IF(R393&lt;&gt;"",TEXT(AUX!V$1,"dd-MMM-aa"),"")</f>
      </c>
      <c r="S373" s="435" t="str">
        <f> IF(S393&lt;&gt;"",TEXT(AUX!W$1,"dd-MMM-aa"),"")</f>
      </c>
      <c r="T373" s="435" t="str">
        <f> IF(T393&lt;&gt;"",TEXT(AUX!X$1,"dd-MMM-aa"),"")</f>
      </c>
      <c r="U373" s="435" t="str">
        <f> IF(U393&lt;&gt;"",TEXT(AUX!Y$1,"dd-MMM-aa"),"")</f>
      </c>
      <c r="V373" s="435" t="str">
        <f> IF(V393&lt;&gt;"",TEXT(AUX!Z$1,"dd-MMM-aa"),"")</f>
      </c>
      <c r="W373" s="435" t="str">
        <f> IF(W393&lt;&gt;"",TEXT(AUX!AA$1,"dd-MMM-aa"),"")</f>
      </c>
      <c r="X373" s="435" t="str">
        <f> IF(X393&lt;&gt;"",TEXT(AUX!AB$1,"dd-MMM-aa"),"")</f>
      </c>
      <c r="Y373" s="435" t="str">
        <f> IF(Y393&lt;&gt;"",TEXT(AUX!AC$1,"dd-MMM-aa"),"")</f>
      </c>
      <c r="Z373" s="435" t="str">
        <f> IF(Z393&lt;&gt;"",TEXT(AUX!AD$1,"dd-MMM-aa"),"")</f>
      </c>
      <c r="AA373" s="435" t="str">
        <f> IF(AA393&lt;&gt;"",TEXT(AUX!AE$1,"dd-MMM-aa"),"")</f>
      </c>
      <c r="AB373" s="497" t="str">
        <f> IF(AB393&lt;&gt;"",TEXT(AUX!AF$1,"dd-MMM-aa"),"")</f>
      </c>
      <c r="AC373" s="496" t="str">
        <f> IF(AC393&lt;&gt;"",TEXT(AUX!AG$1,"dd-MMM-aa"),"")</f>
      </c>
      <c r="AD373" s="496" t="str">
        <f> IF(AD393&lt;&gt;"",TEXT(AUX!AH$1,"dd-MMM-aa"),"")</f>
      </c>
      <c r="AE373" s="496" t="str">
        <f> IF(AE393&lt;&gt;"",TEXT(AUX!AI$1,"dd-MMM-aa"),"")</f>
      </c>
      <c r="AF373" s="496" t="str">
        <f> IF(AF393&lt;&gt;"",TEXT(AUX!AJ$1,"dd-MMM-aa"),"")</f>
      </c>
      <c r="AG373" s="496" t="str">
        <f> IF(AG393&lt;&gt;"",TEXT(AUX!AK$1,"dd-MMM-aa"),"")</f>
      </c>
      <c r="AH373" s="496" t="str">
        <f> IF(AH393&lt;&gt;"",TEXT(AUX!AL$1,"dd-MMM-aa"),"")</f>
      </c>
      <c r="AI373" s="496" t="str">
        <f> IF(AI393&lt;&gt;"",TEXT(AUX!AM$1,"dd-MMM-aa"),"")</f>
      </c>
      <c r="AJ373" s="496" t="str">
        <f> IF(AJ393&lt;&gt;"",TEXT(AUX!AN$1,"dd-MMM-aa"),"")</f>
      </c>
      <c r="AK373" s="496" t="str">
        <f> IF(AK393&lt;&gt;"",TEXT(AUX!AO$1,"dd-MMM-aa"),"")</f>
      </c>
      <c r="AL373" s="496" t="str">
        <f> IF(AL393&lt;&gt;"",TEXT(AUX!AP$1,"dd-MMM-aa"),"")</f>
      </c>
      <c r="AM373" s="496" t="str">
        <f> IF(AM393&lt;&gt;"",TEXT(AUX!AQ$1,"dd-MMM-aa"),"")</f>
      </c>
      <c r="AN373" s="496" t="str">
        <f> IF(AN393&lt;&gt;"",TEXT(AUX!AR$1,"dd-MMM-aa"),"")</f>
      </c>
      <c r="AO373" s="496" t="str">
        <f> IF(AO393&lt;&gt;"",TEXT(AUX!AS$1,"dd-MMM-aa"),"")</f>
      </c>
      <c r="AP373" s="496" t="str">
        <f> IF(AP393&lt;&gt;"",TEXT(AUX!AT$1,"dd-MMM-aa"),"")</f>
      </c>
      <c r="AQ373" s="496" t="str">
        <f> IF(AQ393&lt;&gt;"",TEXT(AUX!AU$1,"dd-MMM-aa"),"")</f>
      </c>
      <c r="AR373" s="496" t="str">
        <f> IF(AR393&lt;&gt;"",TEXT(AUX!AV$1,"dd-MMM-aa"),"")</f>
      </c>
      <c r="AS373" s="496" t="str">
        <f> IF(AS393&lt;&gt;"",TEXT(AUX!AW$1,"dd-MMM-aa"),"")</f>
      </c>
      <c r="AT373" s="496" t="str">
        <f> IF(AT393&lt;&gt;"",TEXT(AUX!AX$1,"dd-MMM-aa"),"")</f>
      </c>
      <c r="AU373" s="496" t="str">
        <f> IF(AU393&lt;&gt;"",TEXT(AUX!AY$1,"dd-MMM-aa"),"")</f>
      </c>
      <c r="AV373" s="496" t="str">
        <f> IF(AV393&lt;&gt;"",TEXT(AUX!AZ$1,"dd-MMM-aa"),"")</f>
      </c>
      <c r="AW373" s="496" t="str">
        <f> IF(AW393&lt;&gt;"",TEXT(AUX!BA$1,"dd-MMM-aa"),"")</f>
      </c>
      <c r="AX373" s="496" t="str">
        <f> IF(AX393&lt;&gt;"",TEXT(AUX!BB$1,"dd-MMM-aa"),"")</f>
      </c>
      <c r="AY373" s="496" t="str">
        <f> IF(AY393&lt;&gt;"",TEXT(AUX!BC$1,"dd-MMM-aa"),"")</f>
      </c>
      <c r="AZ373" s="496" t="str">
        <f> IF(AZ393&lt;&gt;"",TEXT(AUX!BD$1,"dd-MMM-aa"),"")</f>
      </c>
      <c r="BA373" s="496" t="str">
        <f> IF(BA393&lt;&gt;"",TEXT(AUX!BE$1,"dd-MMM-aa"),"")</f>
      </c>
      <c r="BB373" s="496" t="str">
        <f> IF(BB393&lt;&gt;"",TEXT(AUX!BF$1,"dd-MMM-aa"),"")</f>
      </c>
      <c r="BC373" s="496" t="str">
        <f> IF(BC393&lt;&gt;"",TEXT(AUX!BG$1,"dd-MMM-aa"),"")</f>
      </c>
      <c r="BD373" s="496" t="str">
        <f> IF(BD393&lt;&gt;"",TEXT(AUX!BH$1,"dd-MMM-aa"),"")</f>
      </c>
      <c r="BE373" s="496" t="str">
        <f> IF(BE393&lt;&gt;"",TEXT(AUX!BI$1,"dd-MMM-aa"),"")</f>
      </c>
      <c r="BF373" s="496" t="str">
        <f> IF(BF393&lt;&gt;"",TEXT(AUX!BJ$1,"dd-MMM-aa"),"")</f>
      </c>
      <c r="BG373" s="496" t="str">
        <f> IF(BG393&lt;&gt;"",TEXT(AUX!BK$1,"dd-MMM-aa"),"")</f>
      </c>
      <c r="BH373" s="496" t="str">
        <f> IF(BH393&lt;&gt;"",TEXT(AUX!BL$1,"dd-MMM-aa"),"")</f>
      </c>
      <c r="BI373" s="496" t="str">
        <f> IF(BI393&lt;&gt;"",TEXT(AUX!BM$1,"dd-MMM-aa"),"")</f>
      </c>
      <c r="BJ373" s="496" t="str">
        <f> IF(BJ393&lt;&gt;"",TEXT(AUX!BN$1,"dd-MMM-aa"),"")</f>
      </c>
      <c r="BK373" s="496" t="str">
        <f> IF(BK393&lt;&gt;"",TEXT(AUX!BO$1,"dd-MMM-aa"),"")</f>
      </c>
      <c r="BL373" s="496" t="str">
        <f> IF(BL393&lt;&gt;"",TEXT(AUX!BP$1,"dd-MMM-aa"),"")</f>
      </c>
      <c r="BM373" s="496" t="str">
        <f> IF(BM393&lt;&gt;"",TEXT(AUX!BQ$1,"dd-MMM-aa"),"")</f>
      </c>
      <c r="BN373" s="496" t="str">
        <f> IF(BN393&lt;&gt;"",TEXT(AUX!BR$1,"dd-MMM-aa"),"")</f>
      </c>
      <c r="BO373" s="496" t="str">
        <f> IF(BO393&lt;&gt;"",TEXT(AUX!BS$1,"dd-MMM-aa"),"")</f>
      </c>
      <c r="BP373" s="496" t="str">
        <f> IF(BP393&lt;&gt;"",TEXT(AUX!BT$1,"dd-MMM-aa"),"")</f>
      </c>
      <c r="BQ373" s="496" t="str">
        <f> IF(BQ393&lt;&gt;"",TEXT(AUX!BU$1,"dd-MMM-aa"),"")</f>
      </c>
      <c r="BR373" s="496" t="str">
        <f> IF(BR393&lt;&gt;"",TEXT(AUX!BV$1,"dd-MMM-aa"),"")</f>
      </c>
      <c r="BS373" s="496" t="str">
        <f> IF(BS393&lt;&gt;"",TEXT(AUX!BW$1,"dd-MMM-aa"),"")</f>
      </c>
      <c r="BT373" s="496" t="str">
        <f> IF(BT393&lt;&gt;"",TEXT(AUX!BX$1,"dd-MMM-aa"),"")</f>
      </c>
      <c r="BU373" s="496" t="str">
        <f> IF(BU393&lt;&gt;"",TEXT(AUX!BY$1,"dd-MMM-aa"),"")</f>
      </c>
      <c r="BV373" s="496" t="str">
        <f> IF(BV393&lt;&gt;"",TEXT(AUX!BZ$1,"dd-MMM-aa"),"")</f>
      </c>
      <c r="BW373" s="496" t="str">
        <f> IF(BW393&lt;&gt;"",TEXT(AUX!CA$1,"dd-MMM-aa"),"")</f>
      </c>
      <c r="BX373" s="496" t="str">
        <f> IF(BX393&lt;&gt;"",TEXT(AUX!CB$1,"dd-MMM-aa"),"")</f>
      </c>
      <c r="BY373" s="496" t="str">
        <f> IF(BY393&lt;&gt;"",TEXT(AUX!CC$1,"dd-MMM-aa"),"")</f>
      </c>
      <c r="BZ373" s="496" t="str">
        <f> IF(BZ393&lt;&gt;"",TEXT(AUX!CD$1,"dd-MMM-aa"),"")</f>
      </c>
      <c r="CA373" s="496" t="str">
        <f> IF(CA393&lt;&gt;"",TEXT(AUX!CE$1,"dd-MMM-aa"),"")</f>
      </c>
      <c r="CB373" s="496" t="str">
        <f> IF(CB393&lt;&gt;"",TEXT(AUX!CF$1,"dd-MMM-aa"),"")</f>
      </c>
      <c r="CC373" s="496" t="str">
        <f> IF(CC393&lt;&gt;"",TEXT(AUX!CG$1,"dd-MMM-aa"),"")</f>
      </c>
      <c r="CD373" s="496" t="str">
        <f> IF(CD393&lt;&gt;"",TEXT(AUX!CH$1,"dd-MMM-aa"),"")</f>
      </c>
      <c r="CE373" s="496" t="str">
        <f> IF(CE393&lt;&gt;"",TEXT(AUX!CI$1,"dd-MMM-aa"),"")</f>
      </c>
      <c r="CF373" s="496" t="str">
        <f> IF(CF393&lt;&gt;"",TEXT(AUX!CJ$1,"dd-MMM-aa"),"")</f>
      </c>
      <c r="CG373" s="496" t="str">
        <f> IF(CG393&lt;&gt;"",TEXT(AUX!CK$1,"dd-MMM-aa"),"")</f>
      </c>
      <c r="CH373" s="496" t="str">
        <f> IF(CH393&lt;&gt;"",TEXT(AUX!CL$1,"dd-MMM-aa"),"")</f>
      </c>
      <c r="CI373" s="496" t="str">
        <f> IF(CI393&lt;&gt;"",TEXT(AUX!CM$1,"dd-MMM-aa"),"")</f>
      </c>
      <c r="CJ373" s="496" t="str">
        <f> IF(CJ393&lt;&gt;"",TEXT(AUX!CN$1,"dd-MMM-aa"),"")</f>
      </c>
      <c r="CK373" s="496" t="str">
        <f> IF(CK393&lt;&gt;"",TEXT(AUX!CO$1,"dd-MMM-aa"),"")</f>
      </c>
      <c r="CL373" s="496" t="str">
        <f> IF(CL393&lt;&gt;"",TEXT(AUX!CP$1,"dd-MMM-aa"),"")</f>
      </c>
      <c r="CM373" s="496" t="str">
        <f> IF(CM393&lt;&gt;"",TEXT(AUX!CQ$1,"dd-MMM-aa"),"")</f>
      </c>
      <c r="CN373" s="496" t="str">
        <f> IF(CN393&lt;&gt;"",TEXT(AUX!CR$1,"dd-MMM-aa"),"")</f>
      </c>
      <c r="CO373" s="496" t="str">
        <f> IF(CO393&lt;&gt;"",TEXT(AUX!CS$1,"dd-MMM-aa"),"")</f>
      </c>
      <c r="CP373" s="496" t="str">
        <f> IF(CP393&lt;&gt;"",TEXT(AUX!CT$1,"dd-MMM-aa"),"")</f>
      </c>
      <c r="CQ373" s="496" t="str">
        <f> IF(CQ393&lt;&gt;"",TEXT(AUX!CU$1,"dd-MMM-aa"),"")</f>
      </c>
      <c r="CR373" s="496" t="str">
        <f> IF(CR393&lt;&gt;"",TEXT(AUX!CV$1,"dd-MMM-aa"),"")</f>
      </c>
      <c r="CS373" s="496" t="str">
        <f> IF(CS393&lt;&gt;"",TEXT(AUX!CW$1,"dd-MMM-aa"),"")</f>
      </c>
      <c r="CT373" s="496" t="str">
        <f> IF(CT393&lt;&gt;"",TEXT(AUX!CX$1,"dd-MMM-aa"),"")</f>
      </c>
      <c r="CU373" s="496" t="str">
        <f> IF(CU393&lt;&gt;"",TEXT(AUX!CY$1,"dd-MMM-aa"),"")</f>
      </c>
      <c r="CV373" s="496" t="str">
        <f> IF(CV393&lt;&gt;"",TEXT(AUX!CZ$1,"dd-MMM-aa"),"")</f>
      </c>
      <c r="CW373" s="496" t="str">
        <f> IF(CW393&lt;&gt;"",TEXT(AUX!DA$1,"dd-MMM-aa"),"")</f>
      </c>
      <c r="CX373" s="496" t="str">
        <f> IF(CX393&lt;&gt;"",TEXT(AUX!DB$1,"dd-MMM-aa"),"")</f>
      </c>
      <c r="CY373" s="496" t="str">
        <f> IF(CY393&lt;&gt;"",TEXT(AUX!DC$1,"dd-MMM-aa"),"")</f>
      </c>
      <c r="CZ373" s="496" t="str">
        <f> IF(CZ393&lt;&gt;"",TEXT(AUX!DD$1,"dd-MMM-aa"),"")</f>
      </c>
      <c r="DA373" s="496" t="str">
        <f> IF(DA393&lt;&gt;"",TEXT(AUX!DE$1,"dd-MMM-aa"),"")</f>
      </c>
      <c r="DB373" s="496" t="str">
        <f> IF(DB393&lt;&gt;"",TEXT(AUX!DF$1,"dd-MMM-aa"),"")</f>
      </c>
      <c r="DC373" s="496" t="str">
        <f> IF(DC393&lt;&gt;"",TEXT(AUX!DG$1,"dd-MMM-aa"),"")</f>
      </c>
      <c r="DD373" s="496" t="str">
        <f> IF(DD393&lt;&gt;"",TEXT(AUX!DH$1,"dd-MMM-aa"),"")</f>
      </c>
      <c r="DE373" s="496" t="str">
        <f> IF(DE393&lt;&gt;"",TEXT(AUX!DI$1,"dd-MMM-aa"),"")</f>
      </c>
      <c r="DF373" s="496" t="str">
        <f> IF(DF393&lt;&gt;"",TEXT(AUX!DJ$1,"dd-MMM-aa"),"")</f>
      </c>
      <c r="DG373" s="496" t="str">
        <f> IF(DG393&lt;&gt;"",TEXT(AUX!DK$1,"dd-MMM-aa"),"")</f>
      </c>
      <c r="DH373" s="496" t="str">
        <f> IF(DH393&lt;&gt;"",TEXT(AUX!DL$1,"dd-MMM-aa"),"")</f>
      </c>
      <c r="DI373" s="496" t="str">
        <f> IF(DI393&lt;&gt;"",TEXT(AUX!DM$1,"dd-MMM-aa"),"")</f>
      </c>
      <c r="DJ373" s="496" t="str">
        <f> IF(DJ393&lt;&gt;"",TEXT(AUX!DN$1,"dd-MMM-aa"),"")</f>
      </c>
      <c r="DK373" s="496" t="str">
        <f> IF(DK393&lt;&gt;"",TEXT(AUX!DO$1,"dd-MMM-aa"),"")</f>
      </c>
      <c r="DL373" s="496" t="str">
        <f> IF(DL393&lt;&gt;"",TEXT(AUX!DP$1,"dd-MMM-aa"),"")</f>
      </c>
      <c r="DM373" s="496" t="str">
        <f> IF(DM393&lt;&gt;"",TEXT(AUX!DQ$1,"dd-MMM-aa"),"")</f>
      </c>
      <c r="DN373" s="496" t="str">
        <f> IF(DN393&lt;&gt;"",TEXT(AUX!DR$1,"dd-MMM-aa"),"")</f>
      </c>
      <c r="DO373" s="496" t="str">
        <f> IF(DO393&lt;&gt;"",TEXT(AUX!DS$1,"dd-MMM-aa"),"")</f>
      </c>
      <c r="DP373" s="496" t="str">
        <f> IF(DP393&lt;&gt;"",TEXT(AUX!DT$1,"dd-MMM-aa"),"")</f>
      </c>
      <c r="DQ373" s="496" t="str">
        <f> IF(DQ393&lt;&gt;"",TEXT(AUX!DU$1,"dd-MMM-aa"),"")</f>
      </c>
      <c r="DR373" s="496" t="str">
        <f> IF(DR393&lt;&gt;"",TEXT(AUX!DV$1,"dd-MMM-aa"),"")</f>
      </c>
      <c r="DS373" s="496" t="str">
        <f> IF(DS393&lt;&gt;"",TEXT(AUX!DW$1,"dd-MMM-aa"),"")</f>
      </c>
      <c r="DT373" s="496" t="str">
        <f> IF(DT393&lt;&gt;"",TEXT(AUX!DX$1,"dd-MMM-aa"),"")</f>
      </c>
      <c r="DU373" s="496" t="str">
        <f> IF(DU393&lt;&gt;"",TEXT(AUX!DY$1,"dd-MMM-aa"),"")</f>
      </c>
      <c r="DV373" s="496" t="str">
        <f> IF(DV393&lt;&gt;"",TEXT(AUX!DZ$1,"dd-MMM-aa"),"")</f>
      </c>
      <c r="DW373" s="496" t="str">
        <f> IF(DW393&lt;&gt;"",TEXT(AUX!EA$1,"dd-MMM-aa"),"")</f>
      </c>
      <c r="DX373" s="496" t="str">
        <f> IF(DX393&lt;&gt;"",TEXT(AUX!EB$1,"dd-MMM-aa"),"")</f>
      </c>
      <c r="DY373" s="496" t="str">
        <f> IF(DY393&lt;&gt;"",TEXT(AUX!EC$1,"dd-MMM-aa"),"")</f>
      </c>
      <c r="DZ373" s="496" t="str">
        <f> IF(DZ393&lt;&gt;"",TEXT(AUX!ED$1,"dd-MMM-aa"),"")</f>
      </c>
      <c r="EA373" s="496" t="str">
        <f> IF(EA393&lt;&gt;"",TEXT(AUX!EE$1,"dd-MMM-aa"),"")</f>
      </c>
      <c r="EB373" s="496" t="str">
        <f> IF(EB393&lt;&gt;"",TEXT(AUX!EF$1,"dd-MMM-aa"),"")</f>
      </c>
      <c r="EC373" s="496" t="str">
        <f> IF(EC393&lt;&gt;"",TEXT(AUX!EG$1,"dd-MMM-aa"),"")</f>
      </c>
      <c r="ED373" s="496" t="str">
        <f> IF(ED393&lt;&gt;"",TEXT(AUX!EH$1,"dd-MMM-aa"),"")</f>
      </c>
      <c r="EE373" s="496" t="str">
        <f> IF(EE393&lt;&gt;"",TEXT(AUX!EI$1,"dd-MMM-aa"),"")</f>
      </c>
      <c r="EF373" s="496" t="str">
        <f> IF(EF393&lt;&gt;"",TEXT(AUX!EJ$1,"dd-MMM-aa"),"")</f>
      </c>
      <c r="EG373" s="496" t="str">
        <f> IF(EG393&lt;&gt;"",TEXT(AUX!EK$1,"dd-MMM-aa"),"")</f>
      </c>
      <c r="EH373" s="496" t="str">
        <f> IF(EH393&lt;&gt;"",TEXT(AUX!EL$1,"dd-MMM-aa"),"")</f>
      </c>
      <c r="EI373" s="496" t="str">
        <f> IF(EI393&lt;&gt;"",TEXT(AUX!EM$1,"dd-MMM-aa"),"")</f>
      </c>
      <c r="EJ373" s="496" t="str">
        <f> IF(EJ393&lt;&gt;"",TEXT(AUX!EN$1,"dd-MMM-aa"),"")</f>
      </c>
      <c r="EK373" s="496" t="str">
        <f> IF(EK393&lt;&gt;"",TEXT(AUX!EO$1,"dd-MMM-aa"),"")</f>
      </c>
      <c r="EL373" s="496" t="str">
        <f> IF(EL393&lt;&gt;"",TEXT(AUX!EP$1,"dd-MMM-aa"),"")</f>
      </c>
      <c r="EM373" s="496" t="str">
        <f> IF(EM393&lt;&gt;"",TEXT(AUX!EQ$1,"dd-MMM-aa"),"")</f>
      </c>
      <c r="EN373" s="496" t="str">
        <f> IF(EN393&lt;&gt;"",TEXT(AUX!ER$1,"dd-MMM-aa"),"")</f>
      </c>
      <c r="EO373" s="496" t="str">
        <f> IF(EO393&lt;&gt;"",TEXT(AUX!ES$1,"dd-MMM-aa"),"")</f>
      </c>
      <c r="EP373" s="496" t="str">
        <f> IF(EP393&lt;&gt;"",TEXT(AUX!ET$1,"dd-MMM-aa"),"")</f>
      </c>
      <c r="EQ373" s="496" t="str">
        <f> IF(EQ393&lt;&gt;"",TEXT(AUX!EU$1,"dd-MMM-aa"),"")</f>
      </c>
      <c r="ER373" s="496" t="str">
        <f> IF(ER393&lt;&gt;"",TEXT(AUX!EV$1,"dd-MMM-aa"),"")</f>
      </c>
      <c r="ES373" s="496" t="str">
        <f> IF(ES393&lt;&gt;"",TEXT(AUX!EW$1,"dd-MMM-aa"),"")</f>
      </c>
      <c r="ET373" s="496" t="str">
        <f> IF(ET393&lt;&gt;"",TEXT(AUX!EX$1,"dd-MMM-aa"),"")</f>
      </c>
      <c r="EU373" s="496" t="str">
        <f> IF(EU393&lt;&gt;"",TEXT(AUX!EY$1,"dd-MMM-aa"),"")</f>
      </c>
      <c r="EV373" s="496" t="str">
        <f> IF(EV393&lt;&gt;"",TEXT(AUX!EZ$1,"dd-MMM-aa"),"")</f>
      </c>
      <c r="EW373" s="496" t="str">
        <f> IF(EW393&lt;&gt;"",TEXT(AUX!FA$1,"dd-MMM-aa"),"")</f>
      </c>
      <c r="EX373" s="496" t="str">
        <f> IF(EX393&lt;&gt;"",TEXT(AUX!FB$1,"dd-MMM-aa"),"")</f>
      </c>
      <c r="EY373" s="496" t="str">
        <f> IF(EY393&lt;&gt;"",TEXT(AUX!FC$1,"dd-MMM-aa"),"")</f>
      </c>
      <c r="EZ373" s="496" t="str">
        <f> IF(EZ393&lt;&gt;"",TEXT(AUX!FD$1,"dd-MMM-aa"),"")</f>
      </c>
      <c r="FA373" s="496" t="str">
        <f> IF(FA393&lt;&gt;"",TEXT(AUX!FE$1,"dd-MMM-aa"),"")</f>
      </c>
      <c r="FB373" s="496" t="str">
        <f> IF(FB393&lt;&gt;"",TEXT(AUX!FF$1,"dd-MMM-aa"),"")</f>
      </c>
      <c r="FC373" s="496" t="str">
        <f> IF(FC393&lt;&gt;"",TEXT(AUX!FG$1,"dd-MMM-aa"),"")</f>
      </c>
      <c r="FD373" s="496" t="str">
        <f> IF(FD393&lt;&gt;"",TEXT(AUX!FH$1,"dd-MMM-aa"),"")</f>
      </c>
      <c r="FE373" s="496" t="str">
        <f> IF(FE393&lt;&gt;"",TEXT(AUX!FI$1,"dd-MMM-aa"),"")</f>
      </c>
      <c r="FF373" s="496" t="str">
        <f> IF(FF393&lt;&gt;"",TEXT(AUX!FJ$1,"dd-MMM-aa"),"")</f>
      </c>
      <c r="FG373" s="496" t="str">
        <f> IF(FG393&lt;&gt;"",TEXT(AUX!FK$1,"dd-MMM-aa"),"")</f>
      </c>
      <c r="FH373" s="496" t="str">
        <f> IF(FH393&lt;&gt;"",TEXT(AUX!FL$1,"dd-MMM-aa"),"")</f>
      </c>
      <c r="FI373" s="496" t="str">
        <f> IF(FI393&lt;&gt;"",TEXT(AUX!FM$1,"dd-MMM-aa"),"")</f>
      </c>
      <c r="FJ373" s="496" t="str">
        <f> IF(FJ393&lt;&gt;"",TEXT(AUX!FN$1,"dd-MMM-aa"),"")</f>
      </c>
      <c r="FK373" s="496" t="str">
        <f> IF(FK393&lt;&gt;"",TEXT(AUX!FO$1,"dd-MMM-aa"),"")</f>
      </c>
      <c r="FL373" s="496" t="str">
        <f> IF(FL393&lt;&gt;"",TEXT(AUX!FP$1,"dd-MMM-aa"),"")</f>
      </c>
      <c r="FM373" s="496" t="str">
        <f> IF(FM393&lt;&gt;"",TEXT(AUX!FQ$1,"dd-MMM-aa"),"")</f>
      </c>
      <c r="FN373" s="496" t="str">
        <f> IF(FN393&lt;&gt;"",TEXT(AUX!FR$1,"dd-MMM-aa"),"")</f>
      </c>
      <c r="FO373" s="496" t="str">
        <f> IF(FO393&lt;&gt;"",TEXT(AUX!FS$1,"dd-MMM-aa"),"")</f>
      </c>
      <c r="FP373" s="496" t="str">
        <f> IF(FP393&lt;&gt;"",TEXT(AUX!FT$1,"dd-MMM-aa"),"")</f>
      </c>
      <c r="FQ373" s="496" t="str">
        <f> IF(FQ393&lt;&gt;"",TEXT(AUX!FU$1,"dd-MMM-aa"),"")</f>
      </c>
      <c r="FR373" s="496" t="str">
        <f> IF(FR393&lt;&gt;"",TEXT(AUX!FV$1,"dd-MMM-aa"),"")</f>
      </c>
      <c r="FS373" s="496" t="str">
        <f> IF(FS393&lt;&gt;"",TEXT(AUX!FW$1,"dd-MMM-aa"),"")</f>
      </c>
      <c r="FT373" s="496" t="str">
        <f> IF(FT393&lt;&gt;"",TEXT(AUX!FX$1,"dd-MMM-aa"),"")</f>
      </c>
      <c r="FU373" s="496" t="str">
        <f> IF(FU393&lt;&gt;"",TEXT(AUX!FY$1,"dd-MMM-aa"),"")</f>
      </c>
      <c r="FV373" s="496" t="str">
        <f> IF(FV393&lt;&gt;"",TEXT(AUX!FZ$1,"dd-MMM-aa"),"")</f>
      </c>
      <c r="FW373" s="496" t="str">
        <f> IF(FW393&lt;&gt;"",TEXT(AUX!GA$1,"dd-MMM-aa"),"")</f>
      </c>
      <c r="FX373" s="496" t="str">
        <f> IF(FX393&lt;&gt;"",TEXT(AUX!GB$1,"dd-MMM-aa"),"")</f>
      </c>
      <c r="FY373" s="496" t="str">
        <f> IF(FY393&lt;&gt;"",TEXT(AUX!GC$1,"dd-MMM-aa"),"")</f>
      </c>
      <c r="FZ373" s="496" t="str">
        <f> IF(FZ393&lt;&gt;"",TEXT(AUX!GD$1,"dd-MMM-aa"),"")</f>
      </c>
      <c r="GA373" s="496" t="str">
        <f> IF(GA393&lt;&gt;"",TEXT(AUX!GE$1,"dd-MMM-aa"),"")</f>
      </c>
      <c r="GB373" s="496" t="str">
        <f> IF(GB393&lt;&gt;"",TEXT(AUX!GF$1,"dd-MMM-aa"),"")</f>
      </c>
      <c r="GC373" s="496" t="str">
        <f> IF(GC393&lt;&gt;"",TEXT(AUX!GG$1,"dd-MMM-aa"),"")</f>
      </c>
      <c r="GD373" s="496" t="str">
        <f> IF(GD393&lt;&gt;"",TEXT(AUX!GH$1,"dd-MMM-aa"),"")</f>
      </c>
      <c r="GE373" s="496" t="str">
        <f> IF(GE393&lt;&gt;"",TEXT(AUX!GI$1,"dd-MMM-aa"),"")</f>
      </c>
      <c r="GF373" s="496" t="str">
        <f> IF(GF393&lt;&gt;"",TEXT(AUX!GJ$1,"dd-MMM-aa"),"")</f>
      </c>
      <c r="GG373" s="496" t="str">
        <f> IF(GG393&lt;&gt;"",TEXT(AUX!GK$1,"dd-MMM-aa"),"")</f>
      </c>
      <c r="GH373" s="496" t="str">
        <f> IF(GH393&lt;&gt;"",TEXT(AUX!GL$1,"dd-MMM-aa"),"")</f>
      </c>
      <c r="GI373" s="496" t="str">
        <f> IF(GI393&lt;&gt;"",TEXT(AUX!GM$1,"dd-MMM-aa"),"")</f>
      </c>
      <c r="GJ373" s="496" t="str">
        <f> IF(GJ393&lt;&gt;"",TEXT(AUX!GN$1,"dd-MMM-aa"),"")</f>
      </c>
      <c r="GK373" s="496" t="str">
        <f> IF(GK393&lt;&gt;"",TEXT(AUX!GO$1,"dd-MMM-aa"),"")</f>
      </c>
      <c r="GL373" s="496" t="str">
        <f> IF(GL393&lt;&gt;"",TEXT(AUX!GP$1,"dd-MMM-aa"),"")</f>
      </c>
      <c r="GM373" s="496" t="str">
        <f> IF(GM393&lt;&gt;"",TEXT(AUX!GQ$1,"dd-MMM-aa"),"")</f>
      </c>
      <c r="GN373" s="496" t="str">
        <f> IF(GN393&lt;&gt;"",TEXT(AUX!GR$1,"dd-MMM-aa"),"")</f>
      </c>
      <c r="GO373" s="496" t="str">
        <f> IF(GO393&lt;&gt;"",TEXT(AUX!GS$1,"dd-MMM-aa"),"")</f>
      </c>
      <c r="GP373" s="496" t="str">
        <f> IF(GP393&lt;&gt;"",TEXT(AUX!GT$1,"dd-MMM-aa"),"")</f>
      </c>
      <c r="GQ373" s="496" t="str">
        <f> IF(GQ393&lt;&gt;"",TEXT(AUX!GU$1,"dd-MMM-aa"),"")</f>
      </c>
      <c r="GR373" s="496" t="str">
        <f> IF(GR393&lt;&gt;"",TEXT(AUX!GV$1,"dd-MMM-aa"),"")</f>
      </c>
      <c r="GS373" s="496" t="str">
        <f> IF(GS393&lt;&gt;"",TEXT(AUX!GW$1,"dd-MMM-aa"),"")</f>
      </c>
      <c r="GT373" s="496" t="str">
        <f> IF(GT393&lt;&gt;"",TEXT(AUX!GX$1,"dd-MMM-aa"),"")</f>
      </c>
      <c r="GU373" s="496" t="str">
        <f> IF(GU393&lt;&gt;"",TEXT(AUX!GY$1,"dd-MMM-aa"),"")</f>
      </c>
      <c r="GV373" s="496" t="str">
        <f> IF(GV393&lt;&gt;"",TEXT(AUX!GZ$1,"dd-MMM-aa"),"")</f>
      </c>
      <c r="GW373" s="496" t="str">
        <f> IF(GW393&lt;&gt;"",TEXT(AUX!HA$1,"dd-MMM-aa"),"")</f>
      </c>
      <c r="GX373" s="496" t="str">
        <f> IF(GX393&lt;&gt;"",TEXT(AUX!HB$1,"dd-MMM-aa"),"")</f>
      </c>
      <c r="GY373" s="496" t="str">
        <f> IF(GY393&lt;&gt;"",TEXT(AUX!HC$1,"dd-MMM-aa"),"")</f>
      </c>
      <c r="GZ373" s="496" t="str">
        <f> IF(GZ393&lt;&gt;"",TEXT(AUX!HD$1,"dd-MMM-aa"),"")</f>
      </c>
      <c r="HA373" s="496" t="str">
        <f> IF(HA393&lt;&gt;"",TEXT(AUX!HE$1,"dd-MMM-aa"),"")</f>
      </c>
      <c r="HB373" s="496" t="str">
        <f> IF(HB393&lt;&gt;"",TEXT(AUX!HF$1,"dd-MMM-aa"),"")</f>
      </c>
      <c r="HC373" s="496" t="str">
        <f> IF(HC393&lt;&gt;"",TEXT(AUX!HG$1,"dd-MMM-aa"),"")</f>
      </c>
      <c r="HD373" s="496" t="str">
        <f> IF(HD393&lt;&gt;"",TEXT(AUX!HH$1,"dd-MMM-aa"),"")</f>
      </c>
      <c r="HE373" s="496" t="str">
        <f> IF(HE393&lt;&gt;"",TEXT(AUX!HI$1,"dd-MMM-aa"),"")</f>
      </c>
      <c r="HF373" s="496" t="str">
        <f> IF(HF393&lt;&gt;"",TEXT(AUX!HJ$1,"dd-MMM-aa"),"")</f>
      </c>
      <c r="HG373" s="496" t="str">
        <f> IF(HG393&lt;&gt;"",TEXT(AUX!HK$1,"dd-MMM-aa"),"")</f>
      </c>
      <c r="HH373" s="496" t="str">
        <f> IF(HH393&lt;&gt;"",TEXT(AUX!HL$1,"dd-MMM-aa"),"")</f>
      </c>
      <c r="HI373" s="496" t="str">
        <f> IF(HI393&lt;&gt;"",TEXT(AUX!HM$1,"dd-MMM-aa"),"")</f>
      </c>
      <c r="HJ373" s="496" t="str">
        <f> IF(HJ393&lt;&gt;"",TEXT(AUX!HN$1,"dd-MMM-aa"),"")</f>
      </c>
      <c r="HK373" s="496" t="str">
        <f> IF(HK393&lt;&gt;"",TEXT(AUX!HO$1,"dd-MMM-aa"),"")</f>
      </c>
      <c r="HL373" s="496" t="str">
        <f> IF(HL393&lt;&gt;"",TEXT(AUX!HP$1,"dd-MMM-aa"),"")</f>
      </c>
      <c r="HM373" s="496" t="str">
        <f> IF(HM393&lt;&gt;"",TEXT(AUX!HQ$1,"dd-MMM-aa"),"")</f>
      </c>
      <c r="HN373" s="496" t="str">
        <f> IF(HN393&lt;&gt;"",TEXT(AUX!HR$1,"dd-MMM-aa"),"")</f>
      </c>
      <c r="HO373" s="496" t="str">
        <f> IF(HO393&lt;&gt;"",TEXT(AUX!HS$1,"dd-MMM-aa"),"")</f>
      </c>
      <c r="HP373" s="496" t="str">
        <f> IF(HP393&lt;&gt;"",TEXT(AUX!HT$1,"dd-MMM-aa"),"")</f>
      </c>
      <c r="HQ373" s="496" t="str">
        <f> IF(HQ393&lt;&gt;"",TEXT(AUX!HU$1,"dd-MMM-aa"),"")</f>
      </c>
      <c r="HR373" s="496" t="str">
        <f> IF(HR393&lt;&gt;"",TEXT(AUX!HV$1,"dd-MMM-aa"),"")</f>
      </c>
      <c r="HS373" s="496" t="str">
        <f> IF(HS393&lt;&gt;"",TEXT(AUX!HW$1,"dd-MMM-aa"),"")</f>
      </c>
      <c r="HT373" s="496" t="str">
        <f> IF(HT393&lt;&gt;"",TEXT(AUX!HX$1,"dd-MMM-aa"),"")</f>
      </c>
      <c r="HU373" s="496" t="str">
        <f> IF(HU393&lt;&gt;"",TEXT(AUX!HY$1,"dd-MMM-aa"),"")</f>
      </c>
      <c r="HV373" s="496" t="str">
        <f> IF(HV393&lt;&gt;"",TEXT(AUX!HZ$1,"dd-MMM-aa"),"")</f>
      </c>
      <c r="HW373" s="496" t="str">
        <f> IF(HW393&lt;&gt;"",TEXT(AUX!IA$1,"dd-MMM-aa"),"")</f>
      </c>
      <c r="HX373" s="496" t="str">
        <f> IF(HX393&lt;&gt;"",TEXT(AUX!IB$1,"dd-MMM-aa"),"")</f>
      </c>
      <c r="HY373" s="496" t="str">
        <f> IF(HY393&lt;&gt;"",TEXT(AUX!IC$1,"dd-MMM-aa"),"")</f>
      </c>
      <c r="HZ373" s="496" t="str">
        <f> IF(HZ393&lt;&gt;"",TEXT(AUX!ID$1,"dd-MMM-aa"),"")</f>
      </c>
      <c r="IA373" s="496" t="str">
        <f> IF(IA393&lt;&gt;"",TEXT(AUX!IE$1,"dd-MMM-aa"),"")</f>
      </c>
      <c r="IB373" s="496" t="str">
        <f> IF(IB393&lt;&gt;"",TEXT(AUX!IF$1,"dd-MMM-aa"),"")</f>
      </c>
      <c r="IC373" s="496" t="str">
        <f> IF(IC393&lt;&gt;"",TEXT(AUX!IG$1,"dd-MMM-aa"),"")</f>
      </c>
      <c r="ID373" s="496" t="str">
        <f> IF(ID393&lt;&gt;"",TEXT(AUX!IH$1,"dd-MMM-aa"),"")</f>
      </c>
      <c r="IE373" s="496" t="str">
        <f> IF(IE393&lt;&gt;"",TEXT(AUX!II$1,"dd-MMM-aa"),"")</f>
      </c>
      <c r="IF373" s="496" t="str">
        <f> IF(IF393&lt;&gt;"",TEXT(AUX!IJ$1,"dd-MMM-aa"),"")</f>
      </c>
      <c r="IG373" s="496" t="str">
        <f> IF(IG393&lt;&gt;"",TEXT(AUX!IK$1,"dd-MMM-aa"),"")</f>
      </c>
      <c r="IH373" s="496" t="str">
        <f> IF(IH393&lt;&gt;"",TEXT(AUX!IL$1,"dd-MMM-aa"),"")</f>
      </c>
      <c r="II373" s="496" t="str">
        <f> IF(II393&lt;&gt;"",TEXT(AUX!IM$1,"dd-MMM-aa"),"")</f>
      </c>
      <c r="IJ373" s="496" t="str">
        <f> IF(IJ393&lt;&gt;"",TEXT(AUX!IN$1,"dd-MMM-aa"),"")</f>
      </c>
      <c r="IK373" s="496" t="str">
        <f> IF(IK393&lt;&gt;"",TEXT(AUX!IO$1,"dd-MMM-aa"),"")</f>
      </c>
      <c r="IL373" s="496" t="str">
        <f> IF(IL393&lt;&gt;"",TEXT(AUX!IP$1,"dd-MMM-aa"),"")</f>
      </c>
      <c r="IM373" s="496" t="str">
        <f> IF(IM393&lt;&gt;"",TEXT(AUX!IQ$1,"dd-MMM-aa"),"")</f>
      </c>
      <c r="IN373" s="496" t="str">
        <f> IF(IN393&lt;&gt;"",TEXT(AUX!IR$1,"dd-MMM-aa"),"")</f>
      </c>
      <c r="IO373" s="496" t="str">
        <f> IF(IO393&lt;&gt;"",TEXT(AUX!IS$1,"dd-MMM-aa"),"")</f>
      </c>
      <c r="IP373" s="496" t="str">
        <f> IF(IP393&lt;&gt;"",TEXT(AUX!IT$1,"dd-MMM-aa"),"")</f>
      </c>
      <c r="IQ373" s="496" t="str">
        <f> IF(IQ393&lt;&gt;"",TEXT(AUX!IU$1,"dd-MMM-aa"),"")</f>
      </c>
      <c r="IR373" s="496" t="str">
        <f> IF(IR393&lt;&gt;"",TEXT(AUX!IV$1,"dd-MMM-aa"),"")</f>
      </c>
      <c r="IS373" s="496" t="str">
        <f> IF(IS393&lt;&gt;"",TEXT(AUX!#REF!,"dd-MMM-aa"),"")</f>
      </c>
      <c r="IT373" s="496" t="str">
        <f> IF(IT393&lt;&gt;"",TEXT(AUX!#REF!,"dd-MMM-aa"),"")</f>
      </c>
      <c r="IU373" s="496" t="str">
        <f> IF(IU393&lt;&gt;"",TEXT(AUX!#REF!,"dd-MMM-aa"),"")</f>
      </c>
      <c r="IV373" s="496" t="str">
        <f> IF(IV393&lt;&gt;"",TEXT(AUX!#REF!,"dd-MMM-aa"),"")</f>
      </c>
    </row>
    <row r="374" hidden="1">
      <c r="B374" s="822" t="s">
        <v>8</v>
      </c>
      <c r="C374" s="823">
        <v>0</v>
      </c>
      <c r="D374" s="823">
        <v>0</v>
      </c>
      <c r="E374" s="823">
        <v>0</v>
      </c>
      <c r="F374" s="823">
        <v>0</v>
      </c>
      <c r="G374" s="823">
        <v>0</v>
      </c>
      <c r="H374" s="823">
        <v>0</v>
      </c>
      <c r="I374" s="823">
        <v>0</v>
      </c>
      <c r="J374" s="823">
        <v>0</v>
      </c>
      <c r="K374" s="823">
        <v>0</v>
      </c>
      <c r="L374" s="823">
        <v>0</v>
      </c>
      <c r="M374" s="823">
        <v>0</v>
      </c>
      <c r="N374" s="823">
        <v>0</v>
      </c>
      <c r="O374" s="823">
        <v>0</v>
      </c>
      <c r="P374" s="823">
        <v>0</v>
      </c>
      <c r="Q374" s="823">
        <v>0</v>
      </c>
      <c r="R374" s="823">
        <v>0</v>
      </c>
      <c r="S374" s="823">
        <v>0</v>
      </c>
      <c r="T374" s="823">
        <v>0</v>
      </c>
      <c r="U374" s="823">
        <v>0</v>
      </c>
      <c r="V374" s="823">
        <v>0</v>
      </c>
      <c r="W374" s="823">
        <v>0</v>
      </c>
      <c r="X374" s="823">
        <v>0</v>
      </c>
      <c r="Y374" s="823">
        <v>0</v>
      </c>
      <c r="Z374" s="823">
        <v>0</v>
      </c>
      <c r="AA374" s="823">
        <v>0</v>
      </c>
      <c r="AB374" s="824">
        <v>0</v>
      </c>
      <c r="AC374" s="825">
        <v>0</v>
      </c>
      <c r="AD374" s="825">
        <v>0</v>
      </c>
      <c r="AE374" s="825">
        <v>0</v>
      </c>
      <c r="AF374" s="825">
        <v>0</v>
      </c>
      <c r="AG374" s="825">
        <v>0</v>
      </c>
      <c r="AH374" s="825">
        <v>0</v>
      </c>
      <c r="AI374" s="825">
        <v>0</v>
      </c>
      <c r="AJ374" s="825">
        <v>0</v>
      </c>
      <c r="AK374" s="825">
        <v>0</v>
      </c>
      <c r="AL374" s="825">
        <v>0</v>
      </c>
      <c r="AM374" s="825">
        <v>0</v>
      </c>
      <c r="AN374" s="825">
        <v>0</v>
      </c>
      <c r="AO374" s="825">
        <v>0</v>
      </c>
      <c r="AP374" s="825">
        <v>0</v>
      </c>
    </row>
    <row r="375" hidden="1">
      <c r="B375" s="826" t="s">
        <v>9</v>
      </c>
      <c r="C375" s="827">
        <v>7</v>
      </c>
      <c r="D375" s="827">
        <v>7</v>
      </c>
      <c r="E375" s="827">
        <v>7</v>
      </c>
      <c r="F375" s="827">
        <v>7</v>
      </c>
      <c r="G375" s="827">
        <v>7</v>
      </c>
      <c r="H375" s="827">
        <v>7</v>
      </c>
      <c r="I375" s="827">
        <v>7</v>
      </c>
      <c r="J375" s="827">
        <v>7</v>
      </c>
      <c r="K375" s="827">
        <v>7</v>
      </c>
      <c r="L375" s="827">
        <v>7</v>
      </c>
      <c r="M375" s="827">
        <v>7</v>
      </c>
      <c r="N375" s="827">
        <v>7</v>
      </c>
      <c r="O375" s="827">
        <v>7</v>
      </c>
      <c r="P375" s="827">
        <v>7</v>
      </c>
      <c r="Q375" s="827">
        <v>8</v>
      </c>
      <c r="R375" s="827">
        <v>7</v>
      </c>
      <c r="S375" s="827">
        <v>7</v>
      </c>
      <c r="T375" s="827">
        <v>7</v>
      </c>
      <c r="U375" s="827">
        <v>7</v>
      </c>
      <c r="V375" s="827">
        <v>7</v>
      </c>
      <c r="W375" s="827">
        <v>7</v>
      </c>
      <c r="X375" s="827">
        <v>7</v>
      </c>
      <c r="Y375" s="827">
        <v>7</v>
      </c>
      <c r="Z375" s="827">
        <v>7</v>
      </c>
      <c r="AA375" s="827">
        <v>7</v>
      </c>
      <c r="AB375" s="827">
        <v>7</v>
      </c>
      <c r="AC375" s="828">
        <v>7</v>
      </c>
      <c r="AD375" s="828">
        <v>6</v>
      </c>
      <c r="AE375" s="828">
        <v>6</v>
      </c>
      <c r="AF375" s="828">
        <v>6</v>
      </c>
      <c r="AG375" s="828">
        <v>6</v>
      </c>
      <c r="AH375" s="828">
        <v>5</v>
      </c>
      <c r="AI375" s="828">
        <v>5</v>
      </c>
      <c r="AJ375" s="828">
        <v>5</v>
      </c>
      <c r="AK375" s="828">
        <v>5</v>
      </c>
      <c r="AL375" s="828">
        <v>5</v>
      </c>
      <c r="AM375" s="828">
        <v>4</v>
      </c>
      <c r="AN375" s="828">
        <v>4</v>
      </c>
      <c r="AO375" s="828">
        <v>4</v>
      </c>
      <c r="AP375" s="828">
        <v>4</v>
      </c>
    </row>
    <row r="376" hidden="1">
      <c r="B376" s="829" t="s">
        <v>10</v>
      </c>
      <c r="C376" s="823">
        <v>0</v>
      </c>
      <c r="D376" s="823">
        <v>0</v>
      </c>
      <c r="E376" s="823">
        <v>0</v>
      </c>
      <c r="F376" s="823">
        <v>0</v>
      </c>
      <c r="G376" s="823">
        <v>0</v>
      </c>
      <c r="H376" s="823">
        <v>0</v>
      </c>
      <c r="I376" s="823">
        <v>0</v>
      </c>
      <c r="J376" s="823">
        <v>0</v>
      </c>
      <c r="K376" s="823">
        <v>0</v>
      </c>
      <c r="L376" s="823">
        <v>0</v>
      </c>
      <c r="M376" s="823">
        <v>0</v>
      </c>
      <c r="N376" s="823">
        <v>0</v>
      </c>
      <c r="O376" s="823">
        <v>0</v>
      </c>
      <c r="P376" s="823">
        <v>0</v>
      </c>
      <c r="Q376" s="823">
        <v>0</v>
      </c>
      <c r="R376" s="823">
        <v>0</v>
      </c>
      <c r="S376" s="823">
        <v>0</v>
      </c>
      <c r="T376" s="823">
        <v>0</v>
      </c>
      <c r="U376" s="823">
        <v>0</v>
      </c>
      <c r="V376" s="823">
        <v>0</v>
      </c>
      <c r="W376" s="823">
        <v>0</v>
      </c>
      <c r="X376" s="823">
        <v>0</v>
      </c>
      <c r="Y376" s="823">
        <v>0</v>
      </c>
      <c r="Z376" s="823">
        <v>0</v>
      </c>
      <c r="AA376" s="823">
        <v>0</v>
      </c>
      <c r="AB376" s="823">
        <v>0</v>
      </c>
      <c r="AC376" s="825">
        <v>0</v>
      </c>
      <c r="AD376" s="825">
        <v>0</v>
      </c>
      <c r="AE376" s="825">
        <v>0</v>
      </c>
      <c r="AF376" s="825">
        <v>0</v>
      </c>
      <c r="AG376" s="825">
        <v>0</v>
      </c>
      <c r="AH376" s="825">
        <v>0</v>
      </c>
      <c r="AI376" s="825">
        <v>0</v>
      </c>
      <c r="AJ376" s="825">
        <v>0</v>
      </c>
      <c r="AK376" s="825">
        <v>0</v>
      </c>
      <c r="AL376" s="825">
        <v>0</v>
      </c>
      <c r="AM376" s="825">
        <v>0</v>
      </c>
      <c r="AN376" s="825">
        <v>0</v>
      </c>
      <c r="AO376" s="825">
        <v>0</v>
      </c>
      <c r="AP376" s="825">
        <v>0</v>
      </c>
    </row>
    <row r="377" hidden="1">
      <c r="B377" s="826" t="s">
        <v>11</v>
      </c>
      <c r="C377" s="827">
        <v>1</v>
      </c>
      <c r="D377" s="827">
        <v>1</v>
      </c>
      <c r="E377" s="827">
        <v>1</v>
      </c>
      <c r="F377" s="827">
        <v>1</v>
      </c>
      <c r="G377" s="827">
        <v>0</v>
      </c>
      <c r="H377" s="827">
        <v>0</v>
      </c>
      <c r="I377" s="827">
        <v>0</v>
      </c>
      <c r="J377" s="827">
        <v>0</v>
      </c>
      <c r="K377" s="827">
        <v>0</v>
      </c>
      <c r="L377" s="827">
        <v>0</v>
      </c>
      <c r="M377" s="827">
        <v>0</v>
      </c>
      <c r="N377" s="827">
        <v>0</v>
      </c>
      <c r="O377" s="827">
        <v>0</v>
      </c>
      <c r="P377" s="827">
        <v>0</v>
      </c>
      <c r="Q377" s="827">
        <v>0</v>
      </c>
      <c r="R377" s="827">
        <v>0</v>
      </c>
      <c r="S377" s="827">
        <v>0</v>
      </c>
      <c r="T377" s="827">
        <v>0</v>
      </c>
      <c r="U377" s="827">
        <v>0</v>
      </c>
      <c r="V377" s="827">
        <v>0</v>
      </c>
      <c r="W377" s="827">
        <v>0</v>
      </c>
      <c r="X377" s="827">
        <v>0</v>
      </c>
      <c r="Y377" s="827">
        <v>0</v>
      </c>
      <c r="Z377" s="827">
        <v>0</v>
      </c>
      <c r="AA377" s="827">
        <v>0</v>
      </c>
      <c r="AB377" s="827">
        <v>0</v>
      </c>
      <c r="AC377" s="828">
        <v>0</v>
      </c>
      <c r="AD377" s="828">
        <v>0</v>
      </c>
      <c r="AE377" s="828">
        <v>0</v>
      </c>
      <c r="AF377" s="828">
        <v>0</v>
      </c>
      <c r="AG377" s="828">
        <v>0</v>
      </c>
      <c r="AH377" s="828">
        <v>0</v>
      </c>
      <c r="AI377" s="828">
        <v>0</v>
      </c>
      <c r="AJ377" s="828">
        <v>0</v>
      </c>
      <c r="AK377" s="828">
        <v>0</v>
      </c>
      <c r="AL377" s="828">
        <v>0</v>
      </c>
      <c r="AM377" s="828">
        <v>0</v>
      </c>
      <c r="AN377" s="828">
        <v>0</v>
      </c>
      <c r="AO377" s="828">
        <v>0</v>
      </c>
      <c r="AP377" s="828">
        <v>0</v>
      </c>
    </row>
    <row r="378" hidden="1">
      <c r="B378" s="829" t="s">
        <v>12</v>
      </c>
      <c r="C378" s="823">
        <v>0</v>
      </c>
      <c r="D378" s="823">
        <v>0</v>
      </c>
      <c r="E378" s="823">
        <v>0</v>
      </c>
      <c r="F378" s="823">
        <v>1</v>
      </c>
      <c r="G378" s="823">
        <v>1</v>
      </c>
      <c r="H378" s="823">
        <v>1</v>
      </c>
      <c r="I378" s="823">
        <v>1</v>
      </c>
      <c r="J378" s="823">
        <v>1</v>
      </c>
      <c r="K378" s="823">
        <v>1</v>
      </c>
      <c r="L378" s="823">
        <v>1</v>
      </c>
      <c r="M378" s="823">
        <v>1</v>
      </c>
      <c r="N378" s="823">
        <v>1</v>
      </c>
      <c r="O378" s="823">
        <v>1</v>
      </c>
      <c r="P378" s="823">
        <v>1</v>
      </c>
      <c r="Q378" s="823">
        <v>1</v>
      </c>
      <c r="R378" s="823">
        <v>1</v>
      </c>
      <c r="S378" s="823">
        <v>1</v>
      </c>
      <c r="T378" s="823">
        <v>1</v>
      </c>
      <c r="U378" s="823">
        <v>1</v>
      </c>
      <c r="V378" s="823">
        <v>1</v>
      </c>
      <c r="W378" s="823">
        <v>1</v>
      </c>
      <c r="X378" s="823">
        <v>1</v>
      </c>
      <c r="Y378" s="823">
        <v>1</v>
      </c>
      <c r="Z378" s="823">
        <v>1</v>
      </c>
      <c r="AA378" s="823">
        <v>1</v>
      </c>
      <c r="AB378" s="823">
        <v>1</v>
      </c>
      <c r="AC378" s="825">
        <v>1</v>
      </c>
      <c r="AD378" s="825">
        <v>1</v>
      </c>
      <c r="AE378" s="825">
        <v>1</v>
      </c>
      <c r="AF378" s="825">
        <v>1</v>
      </c>
      <c r="AG378" s="825">
        <v>1</v>
      </c>
      <c r="AH378" s="825">
        <v>1</v>
      </c>
      <c r="AI378" s="825">
        <v>1</v>
      </c>
      <c r="AJ378" s="825">
        <v>1</v>
      </c>
      <c r="AK378" s="825">
        <v>1</v>
      </c>
      <c r="AL378" s="825">
        <v>1</v>
      </c>
      <c r="AM378" s="825">
        <v>1</v>
      </c>
      <c r="AN378" s="825">
        <v>1</v>
      </c>
      <c r="AO378" s="825">
        <v>1</v>
      </c>
      <c r="AP378" s="825">
        <v>1</v>
      </c>
    </row>
    <row r="379" hidden="1">
      <c r="B379" s="826" t="s">
        <v>13</v>
      </c>
      <c r="C379" s="827">
        <v>0</v>
      </c>
      <c r="D379" s="827">
        <v>0</v>
      </c>
      <c r="E379" s="827">
        <v>0</v>
      </c>
      <c r="F379" s="827">
        <v>0</v>
      </c>
      <c r="G379" s="827">
        <v>0</v>
      </c>
      <c r="H379" s="827">
        <v>0</v>
      </c>
      <c r="I379" s="827">
        <v>0</v>
      </c>
      <c r="J379" s="827">
        <v>0</v>
      </c>
      <c r="K379" s="827">
        <v>0</v>
      </c>
      <c r="L379" s="827">
        <v>0</v>
      </c>
      <c r="M379" s="827">
        <v>0</v>
      </c>
      <c r="N379" s="827">
        <v>0</v>
      </c>
      <c r="O379" s="827">
        <v>0</v>
      </c>
      <c r="P379" s="827">
        <v>0</v>
      </c>
      <c r="Q379" s="827">
        <v>0</v>
      </c>
      <c r="R379" s="827">
        <v>0</v>
      </c>
      <c r="S379" s="827">
        <v>0</v>
      </c>
      <c r="T379" s="827">
        <v>0</v>
      </c>
      <c r="U379" s="827">
        <v>0</v>
      </c>
      <c r="V379" s="827">
        <v>0</v>
      </c>
      <c r="W379" s="827">
        <v>0</v>
      </c>
      <c r="X379" s="827">
        <v>0</v>
      </c>
      <c r="Y379" s="827">
        <v>0</v>
      </c>
      <c r="Z379" s="827">
        <v>0</v>
      </c>
      <c r="AA379" s="827">
        <v>0</v>
      </c>
      <c r="AB379" s="827">
        <v>0</v>
      </c>
      <c r="AC379" s="828">
        <v>0</v>
      </c>
      <c r="AD379" s="828">
        <v>0</v>
      </c>
      <c r="AE379" s="828">
        <v>0</v>
      </c>
      <c r="AF379" s="828">
        <v>0</v>
      </c>
      <c r="AG379" s="828">
        <v>0</v>
      </c>
      <c r="AH379" s="828">
        <v>0</v>
      </c>
      <c r="AI379" s="828">
        <v>0</v>
      </c>
      <c r="AJ379" s="828">
        <v>0</v>
      </c>
      <c r="AK379" s="828">
        <v>0</v>
      </c>
      <c r="AL379" s="828">
        <v>0</v>
      </c>
      <c r="AM379" s="828">
        <v>0</v>
      </c>
      <c r="AN379" s="828">
        <v>0</v>
      </c>
      <c r="AO379" s="828">
        <v>0</v>
      </c>
      <c r="AP379" s="828">
        <v>0</v>
      </c>
    </row>
    <row r="380" hidden="1">
      <c r="B380" s="829" t="s">
        <v>109</v>
      </c>
      <c r="C380" s="823">
        <v>1</v>
      </c>
      <c r="D380" s="823">
        <v>1</v>
      </c>
      <c r="E380" s="823">
        <v>1</v>
      </c>
      <c r="F380" s="823">
        <v>1</v>
      </c>
      <c r="G380" s="823">
        <v>1</v>
      </c>
      <c r="H380" s="823">
        <v>1</v>
      </c>
      <c r="I380" s="823">
        <v>1</v>
      </c>
      <c r="J380" s="823">
        <v>2</v>
      </c>
      <c r="K380" s="823">
        <v>2</v>
      </c>
      <c r="L380" s="823">
        <v>2</v>
      </c>
      <c r="M380" s="823">
        <v>2</v>
      </c>
      <c r="N380" s="823">
        <v>2</v>
      </c>
      <c r="O380" s="823">
        <v>2</v>
      </c>
      <c r="P380" s="823">
        <v>2</v>
      </c>
      <c r="Q380" s="823">
        <v>2</v>
      </c>
      <c r="R380" s="823">
        <v>2</v>
      </c>
      <c r="S380" s="823">
        <v>2</v>
      </c>
      <c r="T380" s="823">
        <v>2</v>
      </c>
      <c r="U380" s="823">
        <v>2</v>
      </c>
      <c r="V380" s="823">
        <v>2</v>
      </c>
      <c r="W380" s="823">
        <v>2</v>
      </c>
      <c r="X380" s="823">
        <v>2</v>
      </c>
      <c r="Y380" s="823">
        <v>2</v>
      </c>
      <c r="Z380" s="823">
        <v>2</v>
      </c>
      <c r="AA380" s="823">
        <v>2</v>
      </c>
      <c r="AB380" s="823">
        <v>2</v>
      </c>
      <c r="AC380" s="825">
        <v>2</v>
      </c>
      <c r="AD380" s="825">
        <v>2</v>
      </c>
      <c r="AE380" s="825">
        <v>2</v>
      </c>
      <c r="AF380" s="825">
        <v>2</v>
      </c>
      <c r="AG380" s="825">
        <v>2</v>
      </c>
      <c r="AH380" s="825">
        <v>2</v>
      </c>
      <c r="AI380" s="825">
        <v>2</v>
      </c>
      <c r="AJ380" s="825">
        <v>2</v>
      </c>
      <c r="AK380" s="825">
        <v>2</v>
      </c>
      <c r="AL380" s="825">
        <v>2</v>
      </c>
      <c r="AM380" s="825">
        <v>2</v>
      </c>
      <c r="AN380" s="825">
        <v>2</v>
      </c>
      <c r="AO380" s="825">
        <v>2</v>
      </c>
      <c r="AP380" s="825">
        <v>2</v>
      </c>
    </row>
    <row r="381" hidden="1">
      <c r="B381" s="826" t="s">
        <v>110</v>
      </c>
      <c r="C381" s="827">
        <v>7</v>
      </c>
      <c r="D381" s="827">
        <v>8</v>
      </c>
      <c r="E381" s="827">
        <v>8</v>
      </c>
      <c r="F381" s="827">
        <v>8</v>
      </c>
      <c r="G381" s="827">
        <v>6</v>
      </c>
      <c r="H381" s="827">
        <v>5</v>
      </c>
      <c r="I381" s="827">
        <v>4</v>
      </c>
      <c r="J381" s="827">
        <v>4</v>
      </c>
      <c r="K381" s="827">
        <v>4</v>
      </c>
      <c r="L381" s="827">
        <v>4</v>
      </c>
      <c r="M381" s="827">
        <v>4</v>
      </c>
      <c r="N381" s="827">
        <v>3</v>
      </c>
      <c r="O381" s="827">
        <v>4</v>
      </c>
      <c r="P381" s="827">
        <v>4</v>
      </c>
      <c r="Q381" s="827">
        <v>2</v>
      </c>
      <c r="R381" s="827">
        <v>2</v>
      </c>
      <c r="S381" s="827">
        <v>2</v>
      </c>
      <c r="T381" s="827">
        <v>2</v>
      </c>
      <c r="U381" s="827">
        <v>3</v>
      </c>
      <c r="V381" s="827">
        <v>3</v>
      </c>
      <c r="W381" s="827">
        <v>3</v>
      </c>
      <c r="X381" s="827">
        <v>4</v>
      </c>
      <c r="Y381" s="827">
        <v>3</v>
      </c>
      <c r="Z381" s="827">
        <v>3</v>
      </c>
      <c r="AA381" s="827">
        <v>3</v>
      </c>
      <c r="AB381" s="827">
        <v>3</v>
      </c>
      <c r="AC381" s="828">
        <v>3</v>
      </c>
      <c r="AD381" s="828">
        <v>3</v>
      </c>
      <c r="AE381" s="828">
        <v>3</v>
      </c>
      <c r="AF381" s="828">
        <v>3</v>
      </c>
      <c r="AG381" s="828">
        <v>3</v>
      </c>
      <c r="AH381" s="828">
        <v>3</v>
      </c>
      <c r="AI381" s="828">
        <v>3</v>
      </c>
      <c r="AJ381" s="828">
        <v>3</v>
      </c>
      <c r="AK381" s="828">
        <v>3</v>
      </c>
      <c r="AL381" s="828">
        <v>2</v>
      </c>
      <c r="AM381" s="828">
        <v>2</v>
      </c>
      <c r="AN381" s="828">
        <v>2</v>
      </c>
      <c r="AO381" s="828">
        <v>1</v>
      </c>
      <c r="AP381" s="828">
        <v>1</v>
      </c>
    </row>
    <row r="382" hidden="1">
      <c r="B382" s="829" t="s">
        <v>16</v>
      </c>
      <c r="C382" s="823">
        <v>4</v>
      </c>
      <c r="D382" s="823">
        <v>3</v>
      </c>
      <c r="E382" s="823">
        <v>3</v>
      </c>
      <c r="F382" s="823">
        <v>3</v>
      </c>
      <c r="G382" s="823">
        <v>3</v>
      </c>
      <c r="H382" s="823">
        <v>3</v>
      </c>
      <c r="I382" s="823">
        <v>3</v>
      </c>
      <c r="J382" s="823">
        <v>3</v>
      </c>
      <c r="K382" s="823">
        <v>2</v>
      </c>
      <c r="L382" s="823">
        <v>2</v>
      </c>
      <c r="M382" s="823">
        <v>2</v>
      </c>
      <c r="N382" s="823">
        <v>2</v>
      </c>
      <c r="O382" s="823">
        <v>2</v>
      </c>
      <c r="P382" s="823">
        <v>2</v>
      </c>
      <c r="Q382" s="823">
        <v>2</v>
      </c>
      <c r="R382" s="823">
        <v>2</v>
      </c>
      <c r="S382" s="823">
        <v>2</v>
      </c>
      <c r="T382" s="823">
        <v>2</v>
      </c>
      <c r="U382" s="823">
        <v>2</v>
      </c>
      <c r="V382" s="823">
        <v>2</v>
      </c>
      <c r="W382" s="823">
        <v>2</v>
      </c>
      <c r="X382" s="823">
        <v>2</v>
      </c>
      <c r="Y382" s="823">
        <v>2</v>
      </c>
      <c r="Z382" s="823">
        <v>2</v>
      </c>
      <c r="AA382" s="823">
        <v>2</v>
      </c>
      <c r="AB382" s="823">
        <v>2</v>
      </c>
      <c r="AC382" s="825">
        <v>2</v>
      </c>
      <c r="AD382" s="825">
        <v>2</v>
      </c>
      <c r="AE382" s="825">
        <v>2</v>
      </c>
      <c r="AF382" s="825">
        <v>4</v>
      </c>
      <c r="AG382" s="825">
        <v>5</v>
      </c>
      <c r="AH382" s="825">
        <v>5</v>
      </c>
      <c r="AI382" s="825">
        <v>5</v>
      </c>
      <c r="AJ382" s="825">
        <v>4</v>
      </c>
      <c r="AK382" s="825">
        <v>4</v>
      </c>
      <c r="AL382" s="825">
        <v>4</v>
      </c>
      <c r="AM382" s="825">
        <v>3</v>
      </c>
      <c r="AN382" s="825">
        <v>3</v>
      </c>
      <c r="AO382" s="825">
        <v>3</v>
      </c>
      <c r="AP382" s="825">
        <v>3</v>
      </c>
    </row>
    <row r="383" hidden="1">
      <c r="B383" s="826" t="s">
        <v>17</v>
      </c>
      <c r="C383" s="827">
        <v>0</v>
      </c>
      <c r="D383" s="827">
        <v>0</v>
      </c>
      <c r="E383" s="827">
        <v>0</v>
      </c>
      <c r="F383" s="827">
        <v>0</v>
      </c>
      <c r="G383" s="827">
        <v>0</v>
      </c>
      <c r="H383" s="827">
        <v>0</v>
      </c>
      <c r="I383" s="827">
        <v>0</v>
      </c>
      <c r="J383" s="827">
        <v>0</v>
      </c>
      <c r="K383" s="827">
        <v>0</v>
      </c>
      <c r="L383" s="827">
        <v>0</v>
      </c>
      <c r="M383" s="827">
        <v>0</v>
      </c>
      <c r="N383" s="827">
        <v>0</v>
      </c>
      <c r="O383" s="827">
        <v>0</v>
      </c>
      <c r="P383" s="827">
        <v>0</v>
      </c>
      <c r="Q383" s="827">
        <v>0</v>
      </c>
      <c r="R383" s="827">
        <v>0</v>
      </c>
      <c r="S383" s="827">
        <v>0</v>
      </c>
      <c r="T383" s="827">
        <v>0</v>
      </c>
      <c r="U383" s="827">
        <v>0</v>
      </c>
      <c r="V383" s="827">
        <v>0</v>
      </c>
      <c r="W383" s="827">
        <v>0</v>
      </c>
      <c r="X383" s="827">
        <v>0</v>
      </c>
      <c r="Y383" s="827">
        <v>0</v>
      </c>
      <c r="Z383" s="827">
        <v>0</v>
      </c>
      <c r="AA383" s="827">
        <v>0</v>
      </c>
      <c r="AB383" s="827">
        <v>0</v>
      </c>
      <c r="AC383" s="828">
        <v>0</v>
      </c>
      <c r="AD383" s="828">
        <v>0</v>
      </c>
      <c r="AE383" s="828">
        <v>0</v>
      </c>
      <c r="AF383" s="828">
        <v>0</v>
      </c>
      <c r="AG383" s="828">
        <v>0</v>
      </c>
      <c r="AH383" s="828">
        <v>0</v>
      </c>
      <c r="AI383" s="828">
        <v>0</v>
      </c>
      <c r="AJ383" s="828">
        <v>0</v>
      </c>
      <c r="AK383" s="828">
        <v>0</v>
      </c>
      <c r="AL383" s="828">
        <v>0</v>
      </c>
      <c r="AM383" s="828">
        <v>0</v>
      </c>
      <c r="AN383" s="828">
        <v>0</v>
      </c>
      <c r="AO383" s="828">
        <v>0</v>
      </c>
      <c r="AP383" s="828">
        <v>0</v>
      </c>
    </row>
    <row r="384" hidden="1">
      <c r="B384" s="829" t="s">
        <v>18</v>
      </c>
      <c r="C384" s="823">
        <v>0</v>
      </c>
      <c r="D384" s="823">
        <v>1</v>
      </c>
      <c r="E384" s="823">
        <v>1</v>
      </c>
      <c r="F384" s="823">
        <v>1</v>
      </c>
      <c r="G384" s="823">
        <v>1</v>
      </c>
      <c r="H384" s="823">
        <v>1</v>
      </c>
      <c r="I384" s="823">
        <v>1</v>
      </c>
      <c r="J384" s="823">
        <v>1</v>
      </c>
      <c r="K384" s="823">
        <v>1</v>
      </c>
      <c r="L384" s="823">
        <v>1</v>
      </c>
      <c r="M384" s="823">
        <v>1</v>
      </c>
      <c r="N384" s="823">
        <v>1</v>
      </c>
      <c r="O384" s="823">
        <v>1</v>
      </c>
      <c r="P384" s="823">
        <v>1</v>
      </c>
      <c r="Q384" s="823">
        <v>1</v>
      </c>
      <c r="R384" s="823">
        <v>1</v>
      </c>
      <c r="S384" s="823">
        <v>1</v>
      </c>
      <c r="T384" s="823">
        <v>2</v>
      </c>
      <c r="U384" s="823">
        <v>2</v>
      </c>
      <c r="V384" s="823">
        <v>2</v>
      </c>
      <c r="W384" s="823">
        <v>2</v>
      </c>
      <c r="X384" s="823">
        <v>2</v>
      </c>
      <c r="Y384" s="823">
        <v>2</v>
      </c>
      <c r="Z384" s="823">
        <v>2</v>
      </c>
      <c r="AA384" s="823">
        <v>2</v>
      </c>
      <c r="AB384" s="823">
        <v>2</v>
      </c>
      <c r="AC384" s="825">
        <v>2</v>
      </c>
      <c r="AD384" s="825">
        <v>2</v>
      </c>
      <c r="AE384" s="825">
        <v>2</v>
      </c>
      <c r="AF384" s="825">
        <v>2</v>
      </c>
      <c r="AG384" s="825">
        <v>2</v>
      </c>
      <c r="AH384" s="825">
        <v>2</v>
      </c>
      <c r="AI384" s="825">
        <v>2</v>
      </c>
      <c r="AJ384" s="825">
        <v>2</v>
      </c>
      <c r="AK384" s="825">
        <v>2</v>
      </c>
      <c r="AL384" s="825">
        <v>2</v>
      </c>
      <c r="AM384" s="825">
        <v>2</v>
      </c>
      <c r="AN384" s="825">
        <v>2</v>
      </c>
      <c r="AO384" s="825">
        <v>2</v>
      </c>
      <c r="AP384" s="825">
        <v>2</v>
      </c>
    </row>
    <row r="385" hidden="1">
      <c r="B385" s="826" t="s">
        <v>19</v>
      </c>
      <c r="C385" s="827">
        <v>1</v>
      </c>
      <c r="D385" s="827">
        <v>1</v>
      </c>
      <c r="E385" s="827">
        <v>1</v>
      </c>
      <c r="F385" s="827">
        <v>1</v>
      </c>
      <c r="G385" s="827">
        <v>1</v>
      </c>
      <c r="H385" s="827">
        <v>1</v>
      </c>
      <c r="I385" s="827">
        <v>1</v>
      </c>
      <c r="J385" s="827">
        <v>1</v>
      </c>
      <c r="K385" s="827">
        <v>1</v>
      </c>
      <c r="L385" s="827">
        <v>0</v>
      </c>
      <c r="M385" s="827">
        <v>0</v>
      </c>
      <c r="N385" s="827">
        <v>0</v>
      </c>
      <c r="O385" s="827">
        <v>0</v>
      </c>
      <c r="P385" s="827">
        <v>0</v>
      </c>
      <c r="Q385" s="827">
        <v>0</v>
      </c>
      <c r="R385" s="827">
        <v>0</v>
      </c>
      <c r="S385" s="827">
        <v>0</v>
      </c>
      <c r="T385" s="827">
        <v>0</v>
      </c>
      <c r="U385" s="827">
        <v>0</v>
      </c>
      <c r="V385" s="827">
        <v>0</v>
      </c>
      <c r="W385" s="827">
        <v>0</v>
      </c>
      <c r="X385" s="827">
        <v>0</v>
      </c>
      <c r="Y385" s="827">
        <v>0</v>
      </c>
      <c r="Z385" s="827">
        <v>0</v>
      </c>
      <c r="AA385" s="827">
        <v>0</v>
      </c>
      <c r="AB385" s="827">
        <v>0</v>
      </c>
      <c r="AC385" s="828">
        <v>0</v>
      </c>
      <c r="AD385" s="828">
        <v>0</v>
      </c>
      <c r="AE385" s="828">
        <v>0</v>
      </c>
      <c r="AF385" s="828">
        <v>0</v>
      </c>
      <c r="AG385" s="828">
        <v>0</v>
      </c>
      <c r="AH385" s="828">
        <v>0</v>
      </c>
      <c r="AI385" s="828">
        <v>0</v>
      </c>
      <c r="AJ385" s="828">
        <v>0</v>
      </c>
      <c r="AK385" s="828">
        <v>0</v>
      </c>
      <c r="AL385" s="828">
        <v>0</v>
      </c>
      <c r="AM385" s="828">
        <v>0</v>
      </c>
      <c r="AN385" s="828">
        <v>0</v>
      </c>
      <c r="AO385" s="828">
        <v>0</v>
      </c>
      <c r="AP385" s="828">
        <v>0</v>
      </c>
    </row>
    <row r="386" hidden="1">
      <c r="B386" s="829" t="s">
        <v>20</v>
      </c>
      <c r="C386" s="823">
        <v>0</v>
      </c>
      <c r="D386" s="823">
        <v>0</v>
      </c>
      <c r="E386" s="823">
        <v>0</v>
      </c>
      <c r="F386" s="823">
        <v>0</v>
      </c>
      <c r="G386" s="823">
        <v>0</v>
      </c>
      <c r="H386" s="823">
        <v>0</v>
      </c>
      <c r="I386" s="823">
        <v>0</v>
      </c>
      <c r="J386" s="823">
        <v>0</v>
      </c>
      <c r="K386" s="823">
        <v>0</v>
      </c>
      <c r="L386" s="823">
        <v>1</v>
      </c>
      <c r="M386" s="823">
        <v>0</v>
      </c>
      <c r="N386" s="823">
        <v>0</v>
      </c>
      <c r="O386" s="823">
        <v>0</v>
      </c>
      <c r="P386" s="823">
        <v>0</v>
      </c>
      <c r="Q386" s="823">
        <v>0</v>
      </c>
      <c r="R386" s="823">
        <v>0</v>
      </c>
      <c r="S386" s="823">
        <v>0</v>
      </c>
      <c r="T386" s="823">
        <v>0</v>
      </c>
      <c r="U386" s="823">
        <v>0</v>
      </c>
      <c r="V386" s="823">
        <v>0</v>
      </c>
      <c r="W386" s="823">
        <v>0</v>
      </c>
      <c r="X386" s="823">
        <v>0</v>
      </c>
      <c r="Y386" s="823">
        <v>0</v>
      </c>
      <c r="Z386" s="823">
        <v>0</v>
      </c>
      <c r="AA386" s="823">
        <v>0</v>
      </c>
      <c r="AB386" s="823">
        <v>0</v>
      </c>
      <c r="AC386" s="825">
        <v>0</v>
      </c>
      <c r="AD386" s="825">
        <v>0</v>
      </c>
      <c r="AE386" s="825">
        <v>0</v>
      </c>
      <c r="AF386" s="825">
        <v>0</v>
      </c>
      <c r="AG386" s="825">
        <v>0</v>
      </c>
      <c r="AH386" s="825">
        <v>0</v>
      </c>
      <c r="AI386" s="825">
        <v>0</v>
      </c>
      <c r="AJ386" s="825">
        <v>0</v>
      </c>
      <c r="AK386" s="825">
        <v>0</v>
      </c>
      <c r="AL386" s="825">
        <v>0</v>
      </c>
      <c r="AM386" s="825">
        <v>0</v>
      </c>
      <c r="AN386" s="825">
        <v>0</v>
      </c>
      <c r="AO386" s="825">
        <v>0</v>
      </c>
      <c r="AP386" s="825">
        <v>0</v>
      </c>
    </row>
    <row r="387" hidden="1">
      <c r="B387" s="826" t="s">
        <v>21</v>
      </c>
      <c r="C387" s="827">
        <v>2</v>
      </c>
      <c r="D387" s="827">
        <v>2</v>
      </c>
      <c r="E387" s="827">
        <v>2</v>
      </c>
      <c r="F387" s="827">
        <v>2</v>
      </c>
      <c r="G387" s="827">
        <v>2</v>
      </c>
      <c r="H387" s="827">
        <v>2</v>
      </c>
      <c r="I387" s="827">
        <v>2</v>
      </c>
      <c r="J387" s="827">
        <v>1</v>
      </c>
      <c r="K387" s="827">
        <v>1</v>
      </c>
      <c r="L387" s="827">
        <v>0</v>
      </c>
      <c r="M387" s="827">
        <v>1</v>
      </c>
      <c r="N387" s="827">
        <v>1</v>
      </c>
      <c r="O387" s="827">
        <v>1</v>
      </c>
      <c r="P387" s="827">
        <v>1</v>
      </c>
      <c r="Q387" s="827">
        <v>1</v>
      </c>
      <c r="R387" s="827">
        <v>1</v>
      </c>
      <c r="S387" s="827">
        <v>1</v>
      </c>
      <c r="T387" s="827">
        <v>1</v>
      </c>
      <c r="U387" s="827">
        <v>0</v>
      </c>
      <c r="V387" s="827">
        <v>0</v>
      </c>
      <c r="W387" s="827">
        <v>0</v>
      </c>
      <c r="X387" s="827">
        <v>0</v>
      </c>
      <c r="Y387" s="827">
        <v>0</v>
      </c>
      <c r="Z387" s="827">
        <v>0</v>
      </c>
      <c r="AA387" s="827">
        <v>0</v>
      </c>
      <c r="AB387" s="827">
        <v>0</v>
      </c>
      <c r="AC387" s="828">
        <v>0</v>
      </c>
      <c r="AD387" s="828">
        <v>0</v>
      </c>
      <c r="AE387" s="828">
        <v>0</v>
      </c>
      <c r="AF387" s="828">
        <v>0</v>
      </c>
      <c r="AG387" s="828">
        <v>0</v>
      </c>
      <c r="AH387" s="828">
        <v>0</v>
      </c>
      <c r="AI387" s="828">
        <v>0</v>
      </c>
      <c r="AJ387" s="828">
        <v>0</v>
      </c>
      <c r="AK387" s="828">
        <v>0</v>
      </c>
      <c r="AL387" s="828">
        <v>0</v>
      </c>
      <c r="AM387" s="828">
        <v>0</v>
      </c>
      <c r="AN387" s="828">
        <v>0</v>
      </c>
      <c r="AO387" s="828">
        <v>0</v>
      </c>
      <c r="AP387" s="828">
        <v>0</v>
      </c>
    </row>
    <row r="388" hidden="1">
      <c r="B388" s="829" t="s">
        <v>22</v>
      </c>
      <c r="C388" s="823">
        <v>0</v>
      </c>
      <c r="D388" s="823">
        <v>0</v>
      </c>
      <c r="E388" s="823">
        <v>0</v>
      </c>
      <c r="F388" s="823">
        <v>0</v>
      </c>
      <c r="G388" s="823">
        <v>0</v>
      </c>
      <c r="H388" s="823">
        <v>0</v>
      </c>
      <c r="I388" s="823">
        <v>0</v>
      </c>
      <c r="J388" s="823">
        <v>0</v>
      </c>
      <c r="K388" s="823">
        <v>0</v>
      </c>
      <c r="L388" s="823">
        <v>0</v>
      </c>
      <c r="M388" s="823">
        <v>0</v>
      </c>
      <c r="N388" s="823">
        <v>0</v>
      </c>
      <c r="O388" s="823">
        <v>1</v>
      </c>
      <c r="P388" s="823">
        <v>1</v>
      </c>
      <c r="Q388" s="823">
        <v>1</v>
      </c>
      <c r="R388" s="823">
        <v>1</v>
      </c>
      <c r="S388" s="823">
        <v>1</v>
      </c>
      <c r="T388" s="823">
        <v>1</v>
      </c>
      <c r="U388" s="823">
        <v>1</v>
      </c>
      <c r="V388" s="823">
        <v>1</v>
      </c>
      <c r="W388" s="823">
        <v>1</v>
      </c>
      <c r="X388" s="823">
        <v>1</v>
      </c>
      <c r="Y388" s="823">
        <v>1</v>
      </c>
      <c r="Z388" s="823">
        <v>1</v>
      </c>
      <c r="AA388" s="823">
        <v>1</v>
      </c>
      <c r="AB388" s="823">
        <v>1</v>
      </c>
      <c r="AC388" s="825">
        <v>1</v>
      </c>
      <c r="AD388" s="825">
        <v>1</v>
      </c>
      <c r="AE388" s="825">
        <v>1</v>
      </c>
      <c r="AF388" s="825">
        <v>1</v>
      </c>
      <c r="AG388" s="825">
        <v>1</v>
      </c>
      <c r="AH388" s="825">
        <v>1</v>
      </c>
      <c r="AI388" s="825">
        <v>1</v>
      </c>
      <c r="AJ388" s="825">
        <v>1</v>
      </c>
      <c r="AK388" s="825">
        <v>1</v>
      </c>
      <c r="AL388" s="825">
        <v>0</v>
      </c>
      <c r="AM388" s="825">
        <v>0</v>
      </c>
      <c r="AN388" s="825">
        <v>0</v>
      </c>
      <c r="AO388" s="825">
        <v>0</v>
      </c>
      <c r="AP388" s="825">
        <v>0</v>
      </c>
    </row>
    <row r="389" hidden="1">
      <c r="B389" s="826" t="s">
        <v>23</v>
      </c>
      <c r="C389" s="827">
        <v>0</v>
      </c>
      <c r="D389" s="827">
        <v>0</v>
      </c>
      <c r="E389" s="827">
        <v>0</v>
      </c>
      <c r="F389" s="827">
        <v>0</v>
      </c>
      <c r="G389" s="827">
        <v>0</v>
      </c>
      <c r="H389" s="827">
        <v>0</v>
      </c>
      <c r="I389" s="827">
        <v>0</v>
      </c>
      <c r="J389" s="827">
        <v>0</v>
      </c>
      <c r="K389" s="827">
        <v>0</v>
      </c>
      <c r="L389" s="827">
        <v>1</v>
      </c>
      <c r="M389" s="827">
        <v>0</v>
      </c>
      <c r="N389" s="827">
        <v>0</v>
      </c>
      <c r="O389" s="827">
        <v>0</v>
      </c>
      <c r="P389" s="827">
        <v>0</v>
      </c>
      <c r="Q389" s="827">
        <v>0</v>
      </c>
      <c r="R389" s="827">
        <v>0</v>
      </c>
      <c r="S389" s="827">
        <v>0</v>
      </c>
      <c r="T389" s="827">
        <v>0</v>
      </c>
      <c r="U389" s="827">
        <v>0</v>
      </c>
      <c r="V389" s="827">
        <v>0</v>
      </c>
      <c r="W389" s="827">
        <v>0</v>
      </c>
      <c r="X389" s="827">
        <v>0</v>
      </c>
      <c r="Y389" s="827">
        <v>0</v>
      </c>
      <c r="Z389" s="827">
        <v>0</v>
      </c>
      <c r="AA389" s="827">
        <v>0</v>
      </c>
      <c r="AB389" s="827">
        <v>0</v>
      </c>
      <c r="AC389" s="828">
        <v>0</v>
      </c>
      <c r="AD389" s="828">
        <v>0</v>
      </c>
      <c r="AE389" s="828">
        <v>0</v>
      </c>
      <c r="AF389" s="828">
        <v>0</v>
      </c>
      <c r="AG389" s="828">
        <v>0</v>
      </c>
      <c r="AH389" s="828">
        <v>0</v>
      </c>
      <c r="AI389" s="828">
        <v>0</v>
      </c>
      <c r="AJ389" s="828">
        <v>0</v>
      </c>
      <c r="AK389" s="828">
        <v>0</v>
      </c>
      <c r="AL389" s="828">
        <v>0</v>
      </c>
      <c r="AM389" s="828">
        <v>0</v>
      </c>
      <c r="AN389" s="828">
        <v>0</v>
      </c>
      <c r="AO389" s="828">
        <v>0</v>
      </c>
      <c r="AP389" s="828">
        <v>0</v>
      </c>
    </row>
    <row r="390" hidden="1">
      <c r="B390" s="830" t="s">
        <v>24</v>
      </c>
      <c r="C390" s="823">
        <v>0</v>
      </c>
      <c r="D390" s="823">
        <v>0</v>
      </c>
      <c r="E390" s="823">
        <v>1</v>
      </c>
      <c r="F390" s="823">
        <v>1</v>
      </c>
      <c r="G390" s="823">
        <v>1</v>
      </c>
      <c r="H390" s="823">
        <v>1</v>
      </c>
      <c r="I390" s="823">
        <v>1</v>
      </c>
      <c r="J390" s="823">
        <v>1</v>
      </c>
      <c r="K390" s="823">
        <v>1</v>
      </c>
      <c r="L390" s="823">
        <v>1</v>
      </c>
      <c r="M390" s="823">
        <v>1</v>
      </c>
      <c r="N390" s="823">
        <v>1</v>
      </c>
      <c r="O390" s="823">
        <v>1</v>
      </c>
      <c r="P390" s="823">
        <v>1</v>
      </c>
      <c r="Q390" s="823">
        <v>1</v>
      </c>
      <c r="R390" s="823">
        <v>1</v>
      </c>
      <c r="S390" s="823">
        <v>1</v>
      </c>
      <c r="T390" s="823">
        <v>1</v>
      </c>
      <c r="U390" s="823">
        <v>1</v>
      </c>
      <c r="V390" s="823">
        <v>1</v>
      </c>
      <c r="W390" s="823">
        <v>1</v>
      </c>
      <c r="X390" s="823">
        <v>1</v>
      </c>
      <c r="Y390" s="823">
        <v>1</v>
      </c>
      <c r="Z390" s="823">
        <v>1</v>
      </c>
      <c r="AA390" s="823">
        <v>1</v>
      </c>
      <c r="AB390" s="823">
        <v>1</v>
      </c>
      <c r="AC390" s="825">
        <v>1</v>
      </c>
      <c r="AD390" s="825">
        <v>1</v>
      </c>
      <c r="AE390" s="825">
        <v>1</v>
      </c>
      <c r="AF390" s="825">
        <v>1</v>
      </c>
      <c r="AG390" s="825">
        <v>1</v>
      </c>
      <c r="AH390" s="825">
        <v>1</v>
      </c>
      <c r="AI390" s="825">
        <v>1</v>
      </c>
      <c r="AJ390" s="825">
        <v>1</v>
      </c>
      <c r="AK390" s="825">
        <v>1</v>
      </c>
      <c r="AL390" s="825">
        <v>1</v>
      </c>
      <c r="AM390" s="825">
        <v>1</v>
      </c>
      <c r="AN390" s="825">
        <v>1</v>
      </c>
      <c r="AO390" s="825">
        <v>1</v>
      </c>
      <c r="AP390" s="825">
        <v>1</v>
      </c>
    </row>
    <row r="391" hidden="1">
      <c r="B391" s="826" t="s">
        <v>25</v>
      </c>
      <c r="C391" s="827">
        <v>0</v>
      </c>
      <c r="D391" s="827">
        <v>0</v>
      </c>
      <c r="E391" s="827">
        <v>0</v>
      </c>
      <c r="F391" s="827">
        <v>0</v>
      </c>
      <c r="G391" s="827">
        <v>0</v>
      </c>
      <c r="H391" s="827">
        <v>0</v>
      </c>
      <c r="I391" s="827">
        <v>0</v>
      </c>
      <c r="J391" s="827">
        <v>0</v>
      </c>
      <c r="K391" s="827">
        <v>0</v>
      </c>
      <c r="L391" s="827">
        <v>0</v>
      </c>
      <c r="M391" s="827">
        <v>0</v>
      </c>
      <c r="N391" s="827">
        <v>0</v>
      </c>
      <c r="O391" s="827">
        <v>0</v>
      </c>
      <c r="P391" s="827">
        <v>0</v>
      </c>
      <c r="Q391" s="827">
        <v>0</v>
      </c>
      <c r="R391" s="827">
        <v>0</v>
      </c>
      <c r="S391" s="827">
        <v>0</v>
      </c>
      <c r="T391" s="827">
        <v>0</v>
      </c>
      <c r="U391" s="827">
        <v>0</v>
      </c>
      <c r="V391" s="827">
        <v>0</v>
      </c>
      <c r="W391" s="827">
        <v>0</v>
      </c>
      <c r="X391" s="827">
        <v>0</v>
      </c>
      <c r="Y391" s="827">
        <v>0</v>
      </c>
      <c r="Z391" s="827">
        <v>0</v>
      </c>
      <c r="AA391" s="827">
        <v>0</v>
      </c>
      <c r="AB391" s="827">
        <v>0</v>
      </c>
      <c r="AC391" s="828">
        <v>0</v>
      </c>
      <c r="AD391" s="828">
        <v>0</v>
      </c>
      <c r="AE391" s="828">
        <v>0</v>
      </c>
      <c r="AF391" s="828">
        <v>0</v>
      </c>
      <c r="AG391" s="828">
        <v>0</v>
      </c>
      <c r="AH391" s="828">
        <v>0</v>
      </c>
      <c r="AI391" s="828">
        <v>0</v>
      </c>
      <c r="AJ391" s="828">
        <v>0</v>
      </c>
      <c r="AK391" s="828">
        <v>0</v>
      </c>
      <c r="AL391" s="828">
        <v>0</v>
      </c>
      <c r="AM391" s="828">
        <v>0</v>
      </c>
      <c r="AN391" s="828">
        <v>0</v>
      </c>
      <c r="AO391" s="828">
        <v>0</v>
      </c>
      <c r="AP391" s="828">
        <v>0</v>
      </c>
    </row>
    <row r="392" hidden="1" ht="13.5">
      <c r="B392" s="831" t="s">
        <v>26</v>
      </c>
      <c r="C392" s="823">
        <v>0</v>
      </c>
      <c r="D392" s="823">
        <v>0</v>
      </c>
      <c r="E392" s="823">
        <v>0</v>
      </c>
      <c r="F392" s="823">
        <v>0</v>
      </c>
      <c r="G392" s="823">
        <v>0</v>
      </c>
      <c r="H392" s="823">
        <v>0</v>
      </c>
      <c r="I392" s="823">
        <v>0</v>
      </c>
      <c r="J392" s="823">
        <v>0</v>
      </c>
      <c r="K392" s="823">
        <v>0</v>
      </c>
      <c r="L392" s="823">
        <v>0</v>
      </c>
      <c r="M392" s="823">
        <v>0</v>
      </c>
      <c r="N392" s="823">
        <v>0</v>
      </c>
      <c r="O392" s="823">
        <v>0</v>
      </c>
      <c r="P392" s="823">
        <v>0</v>
      </c>
      <c r="Q392" s="823">
        <v>0</v>
      </c>
      <c r="R392" s="823">
        <v>0</v>
      </c>
      <c r="S392" s="823">
        <v>0</v>
      </c>
      <c r="T392" s="823">
        <v>0</v>
      </c>
      <c r="U392" s="823">
        <v>0</v>
      </c>
      <c r="V392" s="823">
        <v>0</v>
      </c>
      <c r="W392" s="823">
        <v>0</v>
      </c>
      <c r="X392" s="823">
        <v>0</v>
      </c>
      <c r="Y392" s="823">
        <v>0</v>
      </c>
      <c r="Z392" s="823">
        <v>0</v>
      </c>
      <c r="AA392" s="823">
        <v>0</v>
      </c>
      <c r="AB392" s="832">
        <v>0</v>
      </c>
      <c r="AC392" s="825">
        <v>0</v>
      </c>
      <c r="AD392" s="825">
        <v>0</v>
      </c>
      <c r="AE392" s="825">
        <v>0</v>
      </c>
      <c r="AF392" s="825">
        <v>0</v>
      </c>
      <c r="AG392" s="825">
        <v>0</v>
      </c>
      <c r="AH392" s="825">
        <v>0</v>
      </c>
      <c r="AI392" s="825">
        <v>0</v>
      </c>
      <c r="AJ392" s="825">
        <v>0</v>
      </c>
      <c r="AK392" s="825">
        <v>0</v>
      </c>
      <c r="AL392" s="825">
        <v>0</v>
      </c>
      <c r="AM392" s="825">
        <v>0</v>
      </c>
      <c r="AN392" s="825">
        <v>0</v>
      </c>
      <c r="AO392" s="825">
        <v>0</v>
      </c>
      <c r="AP392" s="825">
        <v>0</v>
      </c>
    </row>
    <row r="393" hidden="1" ht="13.5">
      <c r="B393" s="128" t="s">
        <v>7</v>
      </c>
      <c r="C393" s="129" t="str">
        <f>IF(SUM(C374:C392)&lt;&gt;0,SUM(C374:C392),"")</f>
      </c>
      <c r="D393" s="129" t="str">
        <f ref="D393:AA393" t="shared" si="55">IF(SUM(D374:D392)&lt;&gt;0,SUM(D374:D392),"")</f>
      </c>
      <c r="E393" s="129" t="str">
        <f t="shared" si="55"/>
      </c>
      <c r="F393" s="129" t="str">
        <f t="shared" si="55"/>
      </c>
      <c r="G393" s="129" t="str">
        <f t="shared" si="55"/>
      </c>
      <c r="H393" s="129" t="str">
        <f t="shared" si="55"/>
      </c>
      <c r="I393" s="129" t="str">
        <f t="shared" si="55"/>
      </c>
      <c r="J393" s="129" t="str">
        <f t="shared" si="55"/>
      </c>
      <c r="K393" s="129" t="str">
        <f t="shared" si="55"/>
      </c>
      <c r="L393" s="129" t="str">
        <f t="shared" si="55"/>
      </c>
      <c r="M393" s="129" t="str">
        <f t="shared" si="55"/>
      </c>
      <c r="N393" s="129" t="str">
        <f t="shared" si="55"/>
      </c>
      <c r="O393" s="129" t="str">
        <f t="shared" si="55"/>
      </c>
      <c r="P393" s="129" t="str">
        <f t="shared" si="55"/>
      </c>
      <c r="Q393" s="129" t="str">
        <f t="shared" si="55"/>
      </c>
      <c r="R393" s="129" t="str">
        <f t="shared" si="55"/>
      </c>
      <c r="S393" s="129" t="str">
        <f t="shared" si="55"/>
      </c>
      <c r="T393" s="129" t="str">
        <f t="shared" si="55"/>
      </c>
      <c r="U393" s="129" t="str">
        <f t="shared" si="55"/>
      </c>
      <c r="V393" s="129" t="str">
        <f t="shared" si="55"/>
      </c>
      <c r="W393" s="129" t="str">
        <f t="shared" si="55"/>
      </c>
      <c r="X393" s="129" t="str">
        <f t="shared" si="55"/>
      </c>
      <c r="Y393" s="129" t="str">
        <f t="shared" si="55"/>
      </c>
      <c r="Z393" s="129" t="str">
        <f t="shared" si="55"/>
      </c>
      <c r="AA393" s="129" t="str">
        <f t="shared" si="55"/>
      </c>
      <c r="AB393" s="130" t="str">
        <f>IF(SUM(AB374:AB392)&lt;&gt;0,SUM(AB374:AB392),"")</f>
      </c>
      <c r="AC393" s="91" t="str">
        <f ref="AC393:CN393" t="shared" si="56">IF(SUM(AC374:AC392)&lt;&gt;0,SUM(AC374:AC392),"")</f>
      </c>
      <c r="AD393" s="91" t="str">
        <f t="shared" si="56"/>
      </c>
      <c r="AE393" s="91" t="str">
        <f t="shared" si="56"/>
      </c>
      <c r="AF393" s="91" t="str">
        <f t="shared" si="56"/>
      </c>
      <c r="AG393" s="91" t="str">
        <f t="shared" si="56"/>
      </c>
      <c r="AH393" s="91" t="str">
        <f t="shared" si="56"/>
      </c>
      <c r="AI393" s="91" t="str">
        <f t="shared" si="56"/>
      </c>
      <c r="AJ393" s="91" t="str">
        <f t="shared" si="56"/>
      </c>
      <c r="AK393" s="91" t="str">
        <f t="shared" si="56"/>
      </c>
      <c r="AL393" s="91" t="str">
        <f t="shared" si="56"/>
      </c>
      <c r="AM393" s="91" t="str">
        <f t="shared" si="56"/>
      </c>
      <c r="AN393" s="91" t="str">
        <f t="shared" si="56"/>
      </c>
      <c r="AO393" s="91" t="str">
        <f t="shared" si="56"/>
      </c>
      <c r="AP393" s="91" t="str">
        <f t="shared" si="56"/>
      </c>
      <c r="AQ393" s="91" t="str">
        <f t="shared" si="56"/>
      </c>
      <c r="AR393" s="91" t="str">
        <f t="shared" si="56"/>
      </c>
      <c r="AS393" s="91" t="str">
        <f t="shared" si="56"/>
      </c>
      <c r="AT393" s="91" t="str">
        <f t="shared" si="56"/>
      </c>
      <c r="AU393" s="91" t="str">
        <f t="shared" si="56"/>
      </c>
      <c r="AV393" s="91" t="str">
        <f t="shared" si="56"/>
      </c>
      <c r="AW393" s="91" t="str">
        <f t="shared" si="56"/>
      </c>
      <c r="AX393" s="91" t="str">
        <f t="shared" si="56"/>
      </c>
      <c r="AY393" s="91" t="str">
        <f t="shared" si="56"/>
      </c>
      <c r="AZ393" s="91" t="str">
        <f t="shared" si="56"/>
      </c>
      <c r="BA393" s="91" t="str">
        <f t="shared" si="56"/>
      </c>
      <c r="BB393" s="91" t="str">
        <f t="shared" si="56"/>
      </c>
      <c r="BC393" s="91" t="str">
        <f t="shared" si="56"/>
      </c>
      <c r="BD393" s="91" t="str">
        <f t="shared" si="56"/>
      </c>
      <c r="BE393" s="91" t="str">
        <f t="shared" si="56"/>
      </c>
      <c r="BF393" s="91" t="str">
        <f t="shared" si="56"/>
      </c>
      <c r="BG393" s="91" t="str">
        <f t="shared" si="56"/>
      </c>
      <c r="BH393" s="91" t="str">
        <f t="shared" si="56"/>
      </c>
      <c r="BI393" s="91" t="str">
        <f t="shared" si="56"/>
      </c>
      <c r="BJ393" s="91" t="str">
        <f t="shared" si="56"/>
      </c>
      <c r="BK393" s="91" t="str">
        <f t="shared" si="56"/>
      </c>
      <c r="BL393" s="91" t="str">
        <f t="shared" si="56"/>
      </c>
      <c r="BM393" s="91" t="str">
        <f t="shared" si="56"/>
      </c>
      <c r="BN393" s="91" t="str">
        <f t="shared" si="56"/>
      </c>
      <c r="BO393" s="91" t="str">
        <f t="shared" si="56"/>
      </c>
      <c r="BP393" s="91" t="str">
        <f t="shared" si="56"/>
      </c>
      <c r="BQ393" s="91" t="str">
        <f t="shared" si="56"/>
      </c>
      <c r="BR393" s="91" t="str">
        <f t="shared" si="56"/>
      </c>
      <c r="BS393" s="91" t="str">
        <f t="shared" si="56"/>
      </c>
      <c r="BT393" s="91" t="str">
        <f t="shared" si="56"/>
      </c>
      <c r="BU393" s="91" t="str">
        <f t="shared" si="56"/>
      </c>
      <c r="BV393" s="91" t="str">
        <f t="shared" si="56"/>
      </c>
      <c r="BW393" s="91" t="str">
        <f t="shared" si="56"/>
      </c>
      <c r="BX393" s="91" t="str">
        <f t="shared" si="56"/>
      </c>
      <c r="BY393" s="91" t="str">
        <f t="shared" si="56"/>
      </c>
      <c r="BZ393" s="91" t="str">
        <f t="shared" si="56"/>
      </c>
      <c r="CA393" s="91" t="str">
        <f t="shared" si="56"/>
      </c>
      <c r="CB393" s="91" t="str">
        <f t="shared" si="56"/>
      </c>
      <c r="CC393" s="91" t="str">
        <f t="shared" si="56"/>
      </c>
      <c r="CD393" s="91" t="str">
        <f t="shared" si="56"/>
      </c>
      <c r="CE393" s="91" t="str">
        <f t="shared" si="56"/>
      </c>
      <c r="CF393" s="91" t="str">
        <f t="shared" si="56"/>
      </c>
      <c r="CG393" s="91" t="str">
        <f t="shared" si="56"/>
      </c>
      <c r="CH393" s="91" t="str">
        <f t="shared" si="56"/>
      </c>
      <c r="CI393" s="91" t="str">
        <f t="shared" si="56"/>
      </c>
      <c r="CJ393" s="91" t="str">
        <f t="shared" si="56"/>
      </c>
      <c r="CK393" s="91" t="str">
        <f t="shared" si="56"/>
      </c>
      <c r="CL393" s="91" t="str">
        <f t="shared" si="56"/>
      </c>
      <c r="CM393" s="91" t="str">
        <f t="shared" si="56"/>
      </c>
      <c r="CN393" s="91" t="str">
        <f t="shared" si="56"/>
      </c>
      <c r="CO393" s="91" t="str">
        <f ref="CO393:EZ393" t="shared" si="57">IF(SUM(CO374:CO392)&lt;&gt;0,SUM(CO374:CO392),"")</f>
      </c>
      <c r="CP393" s="91" t="str">
        <f t="shared" si="57"/>
      </c>
      <c r="CQ393" s="91" t="str">
        <f t="shared" si="57"/>
      </c>
      <c r="CR393" s="91" t="str">
        <f t="shared" si="57"/>
      </c>
      <c r="CS393" s="91" t="str">
        <f t="shared" si="57"/>
      </c>
      <c r="CT393" s="91" t="str">
        <f t="shared" si="57"/>
      </c>
      <c r="CU393" s="91" t="str">
        <f t="shared" si="57"/>
      </c>
      <c r="CV393" s="91" t="str">
        <f t="shared" si="57"/>
      </c>
      <c r="CW393" s="91" t="str">
        <f t="shared" si="57"/>
      </c>
      <c r="CX393" s="91" t="str">
        <f t="shared" si="57"/>
      </c>
      <c r="CY393" s="91" t="str">
        <f t="shared" si="57"/>
      </c>
      <c r="CZ393" s="91" t="str">
        <f t="shared" si="57"/>
      </c>
      <c r="DA393" s="91" t="str">
        <f t="shared" si="57"/>
      </c>
      <c r="DB393" s="91" t="str">
        <f t="shared" si="57"/>
      </c>
      <c r="DC393" s="91" t="str">
        <f t="shared" si="57"/>
      </c>
      <c r="DD393" s="91" t="str">
        <f t="shared" si="57"/>
      </c>
      <c r="DE393" s="91" t="str">
        <f t="shared" si="57"/>
      </c>
      <c r="DF393" s="91" t="str">
        <f t="shared" si="57"/>
      </c>
      <c r="DG393" s="91" t="str">
        <f t="shared" si="57"/>
      </c>
      <c r="DH393" s="91" t="str">
        <f t="shared" si="57"/>
      </c>
      <c r="DI393" s="91" t="str">
        <f t="shared" si="57"/>
      </c>
      <c r="DJ393" s="91" t="str">
        <f t="shared" si="57"/>
      </c>
      <c r="DK393" s="91" t="str">
        <f t="shared" si="57"/>
      </c>
      <c r="DL393" s="91" t="str">
        <f t="shared" si="57"/>
      </c>
      <c r="DM393" s="91" t="str">
        <f t="shared" si="57"/>
      </c>
      <c r="DN393" s="91" t="str">
        <f t="shared" si="57"/>
      </c>
      <c r="DO393" s="91" t="str">
        <f t="shared" si="57"/>
      </c>
      <c r="DP393" s="91" t="str">
        <f t="shared" si="57"/>
      </c>
      <c r="DQ393" s="91" t="str">
        <f t="shared" si="57"/>
      </c>
      <c r="DR393" s="91" t="str">
        <f t="shared" si="57"/>
      </c>
      <c r="DS393" s="91" t="str">
        <f t="shared" si="57"/>
      </c>
      <c r="DT393" s="91" t="str">
        <f t="shared" si="57"/>
      </c>
      <c r="DU393" s="91" t="str">
        <f t="shared" si="57"/>
      </c>
      <c r="DV393" s="91" t="str">
        <f t="shared" si="57"/>
      </c>
      <c r="DW393" s="91" t="str">
        <f t="shared" si="57"/>
      </c>
      <c r="DX393" s="91" t="str">
        <f t="shared" si="57"/>
      </c>
      <c r="DY393" s="91" t="str">
        <f t="shared" si="57"/>
      </c>
      <c r="DZ393" s="91" t="str">
        <f t="shared" si="57"/>
      </c>
      <c r="EA393" s="91" t="str">
        <f t="shared" si="57"/>
      </c>
      <c r="EB393" s="91" t="str">
        <f t="shared" si="57"/>
      </c>
      <c r="EC393" s="91" t="str">
        <f t="shared" si="57"/>
      </c>
      <c r="ED393" s="91" t="str">
        <f t="shared" si="57"/>
      </c>
      <c r="EE393" s="91" t="str">
        <f t="shared" si="57"/>
      </c>
      <c r="EF393" s="91" t="str">
        <f t="shared" si="57"/>
      </c>
      <c r="EG393" s="91" t="str">
        <f t="shared" si="57"/>
      </c>
      <c r="EH393" s="91" t="str">
        <f t="shared" si="57"/>
      </c>
      <c r="EI393" s="91" t="str">
        <f t="shared" si="57"/>
      </c>
      <c r="EJ393" s="91" t="str">
        <f t="shared" si="57"/>
      </c>
      <c r="EK393" s="91" t="str">
        <f t="shared" si="57"/>
      </c>
      <c r="EL393" s="91" t="str">
        <f t="shared" si="57"/>
      </c>
      <c r="EM393" s="91" t="str">
        <f t="shared" si="57"/>
      </c>
      <c r="EN393" s="91" t="str">
        <f t="shared" si="57"/>
      </c>
      <c r="EO393" s="91" t="str">
        <f t="shared" si="57"/>
      </c>
      <c r="EP393" s="91" t="str">
        <f t="shared" si="57"/>
      </c>
      <c r="EQ393" s="91" t="str">
        <f t="shared" si="57"/>
      </c>
      <c r="ER393" s="91" t="str">
        <f t="shared" si="57"/>
      </c>
      <c r="ES393" s="91" t="str">
        <f t="shared" si="57"/>
      </c>
      <c r="ET393" s="91" t="str">
        <f t="shared" si="57"/>
      </c>
      <c r="EU393" s="91" t="str">
        <f t="shared" si="57"/>
      </c>
      <c r="EV393" s="91" t="str">
        <f t="shared" si="57"/>
      </c>
      <c r="EW393" s="91" t="str">
        <f t="shared" si="57"/>
      </c>
      <c r="EX393" s="91" t="str">
        <f t="shared" si="57"/>
      </c>
      <c r="EY393" s="91" t="str">
        <f t="shared" si="57"/>
      </c>
      <c r="EZ393" s="91" t="str">
        <f t="shared" si="57"/>
      </c>
      <c r="FA393" s="91" t="str">
        <f ref="FA393:HL393" t="shared" si="58">IF(SUM(FA374:FA392)&lt;&gt;0,SUM(FA374:FA392),"")</f>
      </c>
      <c r="FB393" s="91" t="str">
        <f t="shared" si="58"/>
      </c>
      <c r="FC393" s="91" t="str">
        <f t="shared" si="58"/>
      </c>
      <c r="FD393" s="91" t="str">
        <f t="shared" si="58"/>
      </c>
      <c r="FE393" s="91" t="str">
        <f t="shared" si="58"/>
      </c>
      <c r="FF393" s="91" t="str">
        <f t="shared" si="58"/>
      </c>
      <c r="FG393" s="91" t="str">
        <f t="shared" si="58"/>
      </c>
      <c r="FH393" s="91" t="str">
        <f t="shared" si="58"/>
      </c>
      <c r="FI393" s="91" t="str">
        <f t="shared" si="58"/>
      </c>
      <c r="FJ393" s="91" t="str">
        <f t="shared" si="58"/>
      </c>
      <c r="FK393" s="91" t="str">
        <f t="shared" si="58"/>
      </c>
      <c r="FL393" s="91" t="str">
        <f t="shared" si="58"/>
      </c>
      <c r="FM393" s="91" t="str">
        <f t="shared" si="58"/>
      </c>
      <c r="FN393" s="91" t="str">
        <f t="shared" si="58"/>
      </c>
      <c r="FO393" s="91" t="str">
        <f t="shared" si="58"/>
      </c>
      <c r="FP393" s="91" t="str">
        <f t="shared" si="58"/>
      </c>
      <c r="FQ393" s="91" t="str">
        <f t="shared" si="58"/>
      </c>
      <c r="FR393" s="91" t="str">
        <f t="shared" si="58"/>
      </c>
      <c r="FS393" s="91" t="str">
        <f t="shared" si="58"/>
      </c>
      <c r="FT393" s="91" t="str">
        <f t="shared" si="58"/>
      </c>
      <c r="FU393" s="91" t="str">
        <f t="shared" si="58"/>
      </c>
      <c r="FV393" s="91" t="str">
        <f t="shared" si="58"/>
      </c>
      <c r="FW393" s="91" t="str">
        <f t="shared" si="58"/>
      </c>
      <c r="FX393" s="91" t="str">
        <f t="shared" si="58"/>
      </c>
      <c r="FY393" s="91" t="str">
        <f t="shared" si="58"/>
      </c>
      <c r="FZ393" s="91" t="str">
        <f t="shared" si="58"/>
      </c>
      <c r="GA393" s="91" t="str">
        <f t="shared" si="58"/>
      </c>
      <c r="GB393" s="91" t="str">
        <f t="shared" si="58"/>
      </c>
      <c r="GC393" s="91" t="str">
        <f t="shared" si="58"/>
      </c>
      <c r="GD393" s="91" t="str">
        <f t="shared" si="58"/>
      </c>
      <c r="GE393" s="91" t="str">
        <f t="shared" si="58"/>
      </c>
      <c r="GF393" s="91" t="str">
        <f t="shared" si="58"/>
      </c>
      <c r="GG393" s="91" t="str">
        <f t="shared" si="58"/>
      </c>
      <c r="GH393" s="91" t="str">
        <f t="shared" si="58"/>
      </c>
      <c r="GI393" s="91" t="str">
        <f t="shared" si="58"/>
      </c>
      <c r="GJ393" s="91" t="str">
        <f t="shared" si="58"/>
      </c>
      <c r="GK393" s="91" t="str">
        <f t="shared" si="58"/>
      </c>
      <c r="GL393" s="91" t="str">
        <f t="shared" si="58"/>
      </c>
      <c r="GM393" s="91" t="str">
        <f t="shared" si="58"/>
      </c>
      <c r="GN393" s="91" t="str">
        <f t="shared" si="58"/>
      </c>
      <c r="GO393" s="91" t="str">
        <f t="shared" si="58"/>
      </c>
      <c r="GP393" s="91" t="str">
        <f t="shared" si="58"/>
      </c>
      <c r="GQ393" s="91" t="str">
        <f t="shared" si="58"/>
      </c>
      <c r="GR393" s="91" t="str">
        <f t="shared" si="58"/>
      </c>
      <c r="GS393" s="91" t="str">
        <f t="shared" si="58"/>
      </c>
      <c r="GT393" s="91" t="str">
        <f t="shared" si="58"/>
      </c>
      <c r="GU393" s="91" t="str">
        <f t="shared" si="58"/>
      </c>
      <c r="GV393" s="91" t="str">
        <f t="shared" si="58"/>
      </c>
      <c r="GW393" s="91" t="str">
        <f t="shared" si="58"/>
      </c>
      <c r="GX393" s="91" t="str">
        <f t="shared" si="58"/>
      </c>
      <c r="GY393" s="91" t="str">
        <f t="shared" si="58"/>
      </c>
      <c r="GZ393" s="91" t="str">
        <f t="shared" si="58"/>
      </c>
      <c r="HA393" s="91" t="str">
        <f t="shared" si="58"/>
      </c>
      <c r="HB393" s="91" t="str">
        <f t="shared" si="58"/>
      </c>
      <c r="HC393" s="91" t="str">
        <f t="shared" si="58"/>
      </c>
      <c r="HD393" s="91" t="str">
        <f t="shared" si="58"/>
      </c>
      <c r="HE393" s="91" t="str">
        <f t="shared" si="58"/>
      </c>
      <c r="HF393" s="91" t="str">
        <f t="shared" si="58"/>
      </c>
      <c r="HG393" s="91" t="str">
        <f t="shared" si="58"/>
      </c>
      <c r="HH393" s="91" t="str">
        <f t="shared" si="58"/>
      </c>
      <c r="HI393" s="91" t="str">
        <f t="shared" si="58"/>
      </c>
      <c r="HJ393" s="91" t="str">
        <f t="shared" si="58"/>
      </c>
      <c r="HK393" s="91" t="str">
        <f t="shared" si="58"/>
      </c>
      <c r="HL393" s="91" t="str">
        <f t="shared" si="58"/>
      </c>
      <c r="HM393" s="91" t="str">
        <f ref="HM393:IV393" t="shared" si="59">IF(SUM(HM374:HM392)&lt;&gt;0,SUM(HM374:HM392),"")</f>
      </c>
      <c r="HN393" s="91" t="str">
        <f t="shared" si="59"/>
      </c>
      <c r="HO393" s="91" t="str">
        <f t="shared" si="59"/>
      </c>
      <c r="HP393" s="91" t="str">
        <f t="shared" si="59"/>
      </c>
      <c r="HQ393" s="91" t="str">
        <f t="shared" si="59"/>
      </c>
      <c r="HR393" s="91" t="str">
        <f t="shared" si="59"/>
      </c>
      <c r="HS393" s="91" t="str">
        <f t="shared" si="59"/>
      </c>
      <c r="HT393" s="91" t="str">
        <f t="shared" si="59"/>
      </c>
      <c r="HU393" s="91" t="str">
        <f t="shared" si="59"/>
      </c>
      <c r="HV393" s="91" t="str">
        <f t="shared" si="59"/>
      </c>
      <c r="HW393" s="91" t="str">
        <f t="shared" si="59"/>
      </c>
      <c r="HX393" s="91" t="str">
        <f t="shared" si="59"/>
      </c>
      <c r="HY393" s="91" t="str">
        <f t="shared" si="59"/>
      </c>
      <c r="HZ393" s="91" t="str">
        <f t="shared" si="59"/>
      </c>
      <c r="IA393" s="91" t="str">
        <f t="shared" si="59"/>
      </c>
      <c r="IB393" s="91" t="str">
        <f t="shared" si="59"/>
      </c>
      <c r="IC393" s="91" t="str">
        <f t="shared" si="59"/>
      </c>
      <c r="ID393" s="91" t="str">
        <f t="shared" si="59"/>
      </c>
      <c r="IE393" s="91" t="str">
        <f t="shared" si="59"/>
      </c>
      <c r="IF393" s="91" t="str">
        <f t="shared" si="59"/>
      </c>
      <c r="IG393" s="91" t="str">
        <f t="shared" si="59"/>
      </c>
      <c r="IH393" s="91" t="str">
        <f t="shared" si="59"/>
      </c>
      <c r="II393" s="91" t="str">
        <f t="shared" si="59"/>
      </c>
      <c r="IJ393" s="91" t="str">
        <f t="shared" si="59"/>
      </c>
      <c r="IK393" s="91" t="str">
        <f t="shared" si="59"/>
      </c>
      <c r="IL393" s="91" t="str">
        <f t="shared" si="59"/>
      </c>
      <c r="IM393" s="91" t="str">
        <f t="shared" si="59"/>
      </c>
      <c r="IN393" s="91" t="str">
        <f t="shared" si="59"/>
      </c>
      <c r="IO393" s="91" t="str">
        <f t="shared" si="59"/>
      </c>
      <c r="IP393" s="91" t="str">
        <f t="shared" si="59"/>
      </c>
      <c r="IQ393" s="91" t="str">
        <f t="shared" si="59"/>
      </c>
      <c r="IR393" s="91" t="str">
        <f t="shared" si="59"/>
      </c>
      <c r="IS393" s="91" t="str">
        <f t="shared" si="59"/>
      </c>
      <c r="IT393" s="91" t="str">
        <f t="shared" si="59"/>
      </c>
      <c r="IU393" s="91" t="str">
        <f t="shared" si="59"/>
      </c>
      <c r="IV393" s="91" t="str">
        <f t="shared" si="59"/>
      </c>
    </row>
    <row r="394" hidden="1" ht="13.5"/>
    <row r="395" hidden="1">
      <c r="B395" s="509" t="s">
        <v>8</v>
      </c>
      <c r="C395" s="505" t="e">
        <f>INDIRECT(ADDRESS(104,MATCH(9000000000+307,'14.2- CONEJOS (SUBEXPLOT)'!104:104,1),1,,"14.2- CONEJOS (SUBEXPLOT)"))</f>
        <v>#N/A</v>
      </c>
    </row>
    <row r="396" hidden="1">
      <c r="B396" s="507" t="s">
        <v>9</v>
      </c>
      <c r="C396" s="505" t="e">
        <f>INDIRECT(ADDRESS(105,MATCH(9000000000+307,'14.2- CONEJOS (SUBEXPLOT)'!105:105,1),1,,"14.2- CONEJOS (SUBEXPLOT)"))</f>
        <v>#N/A</v>
      </c>
    </row>
    <row r="397" hidden="1">
      <c r="B397" s="507" t="s">
        <v>10</v>
      </c>
      <c r="C397" s="505" t="e">
        <f>INDIRECT(ADDRESS(106,MATCH(9000000000+307,'14.2- CONEJOS (SUBEXPLOT)'!106:106,1),1,,"14.2- CONEJOS (SUBEXPLOT)"))</f>
        <v>#N/A</v>
      </c>
    </row>
    <row r="398" hidden="1">
      <c r="B398" s="507" t="s">
        <v>11</v>
      </c>
      <c r="C398" s="505" t="e">
        <f>INDIRECT(ADDRESS(107,MATCH(9000000000+307,'14.2- CONEJOS (SUBEXPLOT)'!107:107,1),1,,"14.2- CONEJOS (SUBEXPLOT)"))</f>
        <v>#N/A</v>
      </c>
    </row>
    <row r="399" hidden="1">
      <c r="B399" s="507" t="s">
        <v>12</v>
      </c>
      <c r="C399" s="505" t="e">
        <f>INDIRECT(ADDRESS(108,MATCH(9000000000+307,'14.2- CONEJOS (SUBEXPLOT)'!108:108,1),1,,"14.2- CONEJOS (SUBEXPLOT)"))</f>
        <v>#N/A</v>
      </c>
    </row>
    <row r="400" hidden="1">
      <c r="B400" s="507" t="s">
        <v>13</v>
      </c>
      <c r="C400" s="505" t="e">
        <f>INDIRECT(ADDRESS(109,MATCH(9000000000+307,'14.2- CONEJOS (SUBEXPLOT)'!109:109,1),1,,"14.2- CONEJOS (SUBEXPLOT)"))</f>
        <v>#N/A</v>
      </c>
    </row>
    <row r="401" hidden="1">
      <c r="B401" s="507" t="s">
        <v>109</v>
      </c>
      <c r="C401" s="505" t="e">
        <f>INDIRECT(ADDRESS(110,MATCH(9000000000+307,'14.2- CONEJOS (SUBEXPLOT)'!110:110,1),1,,"14.2- CONEJOS (SUBEXPLOT)"))</f>
        <v>#N/A</v>
      </c>
    </row>
    <row r="402" hidden="1">
      <c r="B402" s="507" t="s">
        <v>110</v>
      </c>
      <c r="C402" s="505" t="e">
        <f>INDIRECT(ADDRESS(111,MATCH(9000000000+307,'14.2- CONEJOS (SUBEXPLOT)'!111:111,1),1,,"14.2- CONEJOS (SUBEXPLOT)"))</f>
        <v>#N/A</v>
      </c>
    </row>
    <row r="403" hidden="1">
      <c r="B403" s="507" t="s">
        <v>16</v>
      </c>
      <c r="C403" s="505" t="e">
        <f>INDIRECT(ADDRESS(112,MATCH(9000000000+307,'14.2- CONEJOS (SUBEXPLOT)'!112:112,1),1,,"14.2- CONEJOS (SUBEXPLOT)"))</f>
        <v>#N/A</v>
      </c>
    </row>
    <row r="404" hidden="1">
      <c r="B404" s="507" t="s">
        <v>17</v>
      </c>
      <c r="C404" s="505" t="e">
        <f>INDIRECT(ADDRESS(113,MATCH(9000000000+307,'14.2- CONEJOS (SUBEXPLOT)'!113:113,1),1,,"14.2- CONEJOS (SUBEXPLOT)"))</f>
        <v>#N/A</v>
      </c>
    </row>
    <row r="405" hidden="1">
      <c r="B405" s="507" t="s">
        <v>18</v>
      </c>
      <c r="C405" s="505" t="e">
        <f>INDIRECT(ADDRESS(114,MATCH(9000000000+307,'14.2- CONEJOS (SUBEXPLOT)'!114:114,1),1,,"14.2- CONEJOS (SUBEXPLOT)"))</f>
        <v>#N/A</v>
      </c>
    </row>
    <row r="406" hidden="1">
      <c r="B406" s="507" t="s">
        <v>19</v>
      </c>
      <c r="C406" s="505" t="e">
        <f>INDIRECT(ADDRESS(115,MATCH(9000000000+307,'14.2- CONEJOS (SUBEXPLOT)'!115:115,1),1,,"14.2- CONEJOS (SUBEXPLOT)"))</f>
        <v>#N/A</v>
      </c>
    </row>
    <row r="407" hidden="1">
      <c r="B407" s="507" t="s">
        <v>20</v>
      </c>
      <c r="C407" s="505" t="e">
        <f>INDIRECT(ADDRESS(116,MATCH(9000000000+307,'14.2- CONEJOS (SUBEXPLOT)'!116:116,1),1,,"14.2- CONEJOS (SUBEXPLOT)"))</f>
        <v>#N/A</v>
      </c>
    </row>
    <row r="408" hidden="1">
      <c r="B408" s="507" t="s">
        <v>21</v>
      </c>
      <c r="C408" s="505" t="e">
        <f>INDIRECT(ADDRESS(117,MATCH(9000000000+307,'14.2- CONEJOS (SUBEXPLOT)'!117:117,1),1,,"14.2- CONEJOS (SUBEXPLOT)"))</f>
        <v>#N/A</v>
      </c>
    </row>
    <row r="409" hidden="1">
      <c r="B409" s="507" t="s">
        <v>22</v>
      </c>
      <c r="C409" s="505" t="e">
        <f>INDIRECT(ADDRESS(118,MATCH(9000000000+307,'14.2- CONEJOS (SUBEXPLOT)'!118:118,1),1,,"14.2- CONEJOS (SUBEXPLOT)"))</f>
        <v>#N/A</v>
      </c>
    </row>
    <row r="410" hidden="1">
      <c r="B410" s="507" t="s">
        <v>23</v>
      </c>
      <c r="C410" s="505" t="e">
        <f>INDIRECT(ADDRESS(119,MATCH(9000000000+307,'14.2- CONEJOS (SUBEXPLOT)'!119:119,1),1,,"14.2- CONEJOS (SUBEXPLOT)"))</f>
        <v>#N/A</v>
      </c>
    </row>
    <row r="411" hidden="1">
      <c r="B411" s="508" t="s">
        <v>24</v>
      </c>
      <c r="C411" s="505" t="e">
        <f>INDIRECT(ADDRESS(120,MATCH(9000000000+307,'14.2- CONEJOS (SUBEXPLOT)'!120:120,1),1,,"14.2- CONEJOS (SUBEXPLOT)"))</f>
        <v>#N/A</v>
      </c>
    </row>
    <row r="412" hidden="1">
      <c r="B412" s="507" t="s">
        <v>25</v>
      </c>
      <c r="C412" s="505" t="e">
        <f>INDIRECT(ADDRESS(121,MATCH(9000000000+307,'14.2- CONEJOS (SUBEXPLOT)'!121:121,1),1,,"14.2- CONEJOS (SUBEXPLOT)"))</f>
        <v>#N/A</v>
      </c>
    </row>
    <row r="413" hidden="1" ht="13.5">
      <c r="B413" s="506" t="s">
        <v>26</v>
      </c>
      <c r="C413" s="505" t="e">
        <f>INDIRECT(ADDRESS(122,MATCH(9000000000+307,'14.2- CONEJOS (SUBEXPLOT)'!122:122,1),1,,"14.2- CONEJOS (SUBEXPLOT)"))</f>
        <v>#N/A</v>
      </c>
    </row>
  </sheetData>
  <sheetProtection sheet="1" autoFilter="0" objects="1" scenarios="1" sort="0" password="ed66"/>
  <mergeCells>
    <mergeCell ref="C250:AB250"/>
    <mergeCell ref="C20:M20"/>
    <mergeCell ref="C25:M26"/>
    <mergeCell ref="B9:E9"/>
    <mergeCell ref="C22:M22"/>
    <mergeCell ref="C14:M14"/>
    <mergeCell ref="C15:M15"/>
    <mergeCell ref="C18:M18"/>
    <mergeCell ref="C102:AB102"/>
    <mergeCell ref="C126:AB126"/>
    <mergeCell ref="C152:AB152"/>
    <mergeCell ref="C177:AB177"/>
    <mergeCell ref="C201:AB201"/>
    <mergeCell ref="C226:AB226"/>
    <mergeCell ref="C274:AB274"/>
    <mergeCell ref="C298:AB298"/>
    <mergeCell ref="C323:AB323"/>
    <mergeCell ref="C347:AB347"/>
    <mergeCell ref="C372:AB372"/>
  </mergeCells>
  <phoneticPr fontId="2" type="noConversion"/>
  <printOptions horizontalCentered="1"/>
  <pageMargins left="0.78740157480314965" right="0.78740157480314965" top="0.98425196850393704" bottom="0.98425196850393704" header="0" footer="0"/>
  <pageSetup paperSize="9" scale="48" orientation="portrait"/>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14689" r:id="rId4" name="Drop Down 1">
              <controlPr defaultSize="0" autoLine="0" autoPict="0">
                <anchor moveWithCells="1">
                  <from>
                    <xdr:col>4</xdr:col>
                    <xdr:colOff>752475</xdr:colOff>
                    <xdr:row>7</xdr:row>
                    <xdr:rowOff>0</xdr:rowOff>
                  </from>
                  <to>
                    <xdr:col>7</xdr:col>
                    <xdr:colOff>171450</xdr:colOff>
                    <xdr:row>9</xdr:row>
                    <xdr:rowOff>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ontainsText" priority="70" operator="containsText" id="{0C79D4D1-20E0-4B7D-9EDC-4CB3B7609353}">
            <xm:f>NOT(ISERROR(SEARCH("",AC147)))</xm:f>
            <xm:f>""</xm:f>
            <x14:dxf>
              <numFmt numFmtId="3" formatCode="#,##0"/>
              <border>
                <left style="thin">
                  <color auto="1"/>
                </left>
                <right style="thin">
                  <color auto="1"/>
                </right>
                <top style="thin">
                  <color auto="1"/>
                </top>
                <bottom style="thin">
                  <color auto="1"/>
                </bottom>
                <vertical/>
                <horizontal/>
              </border>
            </x14:dxf>
          </x14:cfRule>
          <xm:sqref>AC147:IV147</xm:sqref>
        </x14:conditionalFormatting>
        <x14:conditionalFormatting xmlns:xm="http://schemas.microsoft.com/office/excel/2006/main">
          <x14:cfRule type="containsText" priority="69" operator="containsText" id="{2D4D44F2-7ADC-49FC-94A4-87026CD0EA36}">
            <xm:f>NOT(ISERROR(SEARCH("",C128)))</xm:f>
            <xm:f>""</xm:f>
            <x14:dxf>
              <numFmt numFmtId="3" formatCode="#,##0"/>
              <border>
                <right style="thin">
                  <color auto="1"/>
                </right>
                <top style="thin">
                  <color auto="1"/>
                </top>
                <bottom style="thin">
                  <color auto="1"/>
                </bottom>
                <vertical/>
                <horizontal/>
              </border>
            </x14:dxf>
          </x14:cfRule>
          <xm:sqref>C128:IV146</xm:sqref>
        </x14:conditionalFormatting>
        <x14:conditionalFormatting xmlns:xm="http://schemas.microsoft.com/office/excel/2006/main">
          <x14:cfRule type="containsText" priority="30" operator="containsText" id="{49D138AC-5E24-44CC-AB58-219800DCF7E5}">
            <xm:f>NOT(ISERROR(SEARCH("",AC202)))</xm:f>
            <xm:f>""</xm:f>
            <x14:dxf>
              <numFmt numFmtId="3" formatCode="#,##0"/>
              <border>
                <left style="thin">
                  <color auto="1"/>
                </left>
                <right style="thin">
                  <color auto="1"/>
                </right>
                <top style="thin">
                  <color auto="1"/>
                </top>
                <bottom style="thin">
                  <color auto="1"/>
                </bottom>
                <vertical/>
                <horizontal/>
              </border>
            </x14:dxf>
          </x14:cfRule>
          <xm:sqref>AC202 AH202 AM202 AR202 AW202 BB202 BG202 BL202 BQ202 BV202 CA202 CF202 CK202 CP202 CU202 CZ202 DE202 DJ202 DO202 DT202 DY202 ED202 EI202 EN202 ES202 EX202 FC202 FH202 FM202 FR202 FW202 GB202 GG202 GL202 GQ202 GV202 HA202 HF202 HK202 HP202 HU202 HZ202 IE202 IJ202 IO202 IT202</xm:sqref>
        </x14:conditionalFormatting>
        <x14:conditionalFormatting xmlns:xm="http://schemas.microsoft.com/office/excel/2006/main">
          <x14:cfRule type="containsText" priority="34" operator="containsText" id="{7163CE59-B4F9-4C16-9F7F-823F613C760E}">
            <xm:f>NOT(ISERROR(SEARCH("",AC178)))</xm:f>
            <xm:f>""</xm:f>
            <x14:dxf>
              <numFmt numFmtId="3" formatCode="#,##0"/>
              <border>
                <left style="thin">
                  <color auto="1"/>
                </left>
                <right style="thin">
                  <color auto="1"/>
                </right>
                <top style="thin">
                  <color auto="1"/>
                </top>
                <bottom style="thin">
                  <color auto="1"/>
                </bottom>
                <vertical/>
                <horizontal/>
              </border>
            </x14:dxf>
          </x14:cfRule>
          <xm:sqref>AC178 AH178 AM178 AR178 AW178 BB178 BG178 BL178 BQ178 BV178 CA178 CF178 CK178 CP178 CU178 CZ178 DE178 DJ178 DO178 DT178 DY178 ED178 EI178 EN178 ES178 EX178 FC178 FH178 FM178 FR178 FW178 GB178 GG178 GL178 GQ178 GV178 HA178 HF178 HK178 HP178 HU178 HZ178 IE178 IJ178 IO178 IT178</xm:sqref>
        </x14:conditionalFormatting>
        <x14:conditionalFormatting xmlns:xm="http://schemas.microsoft.com/office/excel/2006/main">
          <x14:cfRule type="containsText" priority="38" operator="containsText" id="{6B449573-2947-4A4D-9F11-7D6BDD114ABB}">
            <xm:f>NOT(ISERROR(SEARCH("",AC153)))</xm:f>
            <xm:f>""</xm:f>
            <x14:dxf>
              <numFmt numFmtId="3" formatCode="#,##0"/>
              <border>
                <left style="thin">
                  <color auto="1"/>
                </left>
                <right style="thin">
                  <color auto="1"/>
                </right>
                <top style="thin">
                  <color auto="1"/>
                </top>
                <bottom style="thin">
                  <color auto="1"/>
                </bottom>
                <vertical/>
                <horizontal/>
              </border>
            </x14:dxf>
          </x14:cfRule>
          <xm:sqref>AC153 AH153 AM153 AR153 AW153 BB153 BG153 BL153 BQ153 BV153 CA153 CF153 CK153 CP153 CU153 CZ153 DE153 DJ153 DO153 DT153 DY153 ED153 EI153 EN153 ES153 EX153 FC153 FH153 FM153 FR153 FW153 GB153 GG153 GL153 GQ153 GV153 HA153 HF153 HK153 HP153 HU153 HZ153 IE153 IJ153 IO153 IT153</xm:sqref>
        </x14:conditionalFormatting>
        <x14:conditionalFormatting xmlns:xm="http://schemas.microsoft.com/office/excel/2006/main">
          <x14:cfRule type="containsText" priority="42" operator="containsText" id="{BB0C5C2E-7DCC-4D45-87B0-F042A8360920}">
            <xm:f>NOT(ISERROR(SEARCH("",AC103)))</xm:f>
            <xm:f>""</xm:f>
            <x14:dxf>
              <numFmt numFmtId="3" formatCode="#,##0"/>
              <border>
                <left style="thin">
                  <color auto="1"/>
                </left>
                <right style="thin">
                  <color auto="1"/>
                </right>
                <top style="thin">
                  <color auto="1"/>
                </top>
                <bottom style="thin">
                  <color auto="1"/>
                </bottom>
                <vertical/>
                <horizontal/>
              </border>
            </x14:dxf>
          </x14:cfRule>
          <xm:sqref>AC103 AH103 AM103 AR103 AW103 BB103 BG103 BL103 BQ103 BV103 CA103 CF103 CK103 CP103 CU103 CZ103 DE103 DJ103 DO103 DT103 DY103 ED103 EI103 EN103 ES103 EX103 FC103 FH103 FM103 FR103 FW103 GB103 GG103 GL103 GQ103 GV103 HA103 HF103 HK103 HP103 HU103 HZ103 IE103 IJ103 IO103 IT103</xm:sqref>
        </x14:conditionalFormatting>
        <x14:conditionalFormatting xmlns:xm="http://schemas.microsoft.com/office/excel/2006/main">
          <x14:cfRule type="containsText" priority="46" operator="containsText" id="{EE7AD7D8-9332-4A60-BD1C-B90F8D6A6E8D}">
            <xm:f>NOT(ISERROR(SEARCH("",AC127)))</xm:f>
            <xm:f>""</xm:f>
            <x14:dxf>
              <numFmt numFmtId="3" formatCode="#,##0"/>
              <border>
                <left style="thin">
                  <color auto="1"/>
                </left>
                <right style="thin">
                  <color auto="1"/>
                </right>
                <top style="thin">
                  <color auto="1"/>
                </top>
                <bottom style="thin">
                  <color auto="1"/>
                </bottom>
                <vertical/>
                <horizontal/>
              </border>
            </x14:dxf>
          </x14:cfRule>
          <xm:sqref>AC127 AH127 AM127 AR127 AW127 BB127 BG127 BL127 BQ127 BV127 CA127 CF127 CK127 CP127 CU127 CZ127 DE127 DJ127 DO127 DT127 DY127 ED127 EI127 EN127 ES127 EX127 FC127 FH127 FM127 FR127 FW127 GB127 GG127 GL127 GQ127 GV127 HA127 HF127 HK127 HP127 HU127 HZ127 IE127 IJ127 IO127 IT127</xm:sqref>
        </x14:conditionalFormatting>
        <x14:conditionalFormatting xmlns:xm="http://schemas.microsoft.com/office/excel/2006/main">
          <x14:cfRule type="containsText" priority="2" operator="containsText" id="{9D92F644-21AE-4F54-808C-F835E293AA83}">
            <xm:f>NOT(ISERROR(SEARCH("",AC373)))</xm:f>
            <xm:f>""</xm:f>
            <x14:dxf>
              <numFmt numFmtId="3" formatCode="#,##0"/>
              <border>
                <left style="thin">
                  <color auto="1"/>
                </left>
                <right style="thin">
                  <color auto="1"/>
                </right>
                <top style="thin">
                  <color auto="1"/>
                </top>
                <bottom style="thin">
                  <color auto="1"/>
                </bottom>
                <vertical/>
                <horizontal/>
              </border>
            </x14:dxf>
          </x14:cfRule>
          <xm:sqref>AC373 AH373 AM373 AR373 AW373 BB373 BG373 BL373 BQ373 BV373 CA373 CF373 CK373 CP373 CU373 CZ373 DE373 DJ373 DO373 DT373 DY373 ED373 EI373 EN373 ES373 EX373 FC373 FH373 FM373 FR373 FW373 GB373 GG373 GL373 GQ373 GV373 HA373 HF373 HK373 HP373 HU373 HZ373 IE373 IJ373 IO373 IT373</xm:sqref>
        </x14:conditionalFormatting>
        <x14:conditionalFormatting xmlns:xm="http://schemas.microsoft.com/office/excel/2006/main">
          <x14:cfRule type="containsText" priority="47" operator="containsText" id="{C97B83C9-72E6-4483-862A-0C81DAB1381A}">
            <xm:f>NOT(ISERROR(SEARCH("",AD127)))</xm:f>
            <xm:f>""</xm:f>
            <x14:dxf>
              <numFmt numFmtId="3" formatCode="#,##0"/>
              <border>
                <left style="thin">
                  <color auto="1"/>
                </left>
                <right style="thin">
                  <color auto="1"/>
                </right>
                <top style="thin">
                  <color auto="1"/>
                </top>
                <bottom style="thin">
                  <color auto="1"/>
                </bottom>
                <vertical/>
                <horizontal/>
              </border>
            </x14:dxf>
          </x14:cfRule>
          <xm:sqref>AD127:AG127 AI127:AL127 AN127:AQ127 AS127:AV127 AX127:BA127 BC127:BF127 BH127:BK127 BM127:BP127 BR127:BU127 BW127:BZ127 CB127:CE127 CG127:CJ127 CL127:CO127 CQ127:CT127 CV127:CY127 DA127:DD127 DF127:DI127 DK127:DN127 DP127:DS127 DU127:DX127 DZ127:EC127 EE127:EH127 EJ127:EM127 EO127:ER127 ET127:EW127 EY127:FB127 FD127:FG127 FI127:FL127 FN127:FQ127 FS127:FV127 FX127:GA127 GC127:GF127 GH127:GK127 GM127:GP127 GR127:GU127 GW127:GZ127 HB127:HE127 HG127:HJ127 HL127:HO127 HQ127:HT127 HV127:HY127 IA127:ID127 IF127:II127 IK127:IN127 IP127:IS127 IU127:IV127</xm:sqref>
        </x14:conditionalFormatting>
        <x14:conditionalFormatting xmlns:xm="http://schemas.microsoft.com/office/excel/2006/main">
          <x14:cfRule type="containsText" priority="45" operator="containsText" id="{F8A37F17-C7C7-4468-9C73-96D761C65615}">
            <xm:f>NOT(ISERROR(SEARCH("",AC123)))</xm:f>
            <xm:f>""</xm:f>
            <x14:dxf>
              <numFmt numFmtId="3" formatCode="#,##0"/>
              <border>
                <left style="thin">
                  <color auto="1"/>
                </left>
                <right style="thin">
                  <color auto="1"/>
                </right>
                <top style="thin">
                  <color auto="1"/>
                </top>
                <bottom style="thin">
                  <color auto="1"/>
                </bottom>
                <vertical/>
                <horizontal/>
              </border>
            </x14:dxf>
          </x14:cfRule>
          <xm:sqref>AC123:IV123</xm:sqref>
        </x14:conditionalFormatting>
        <x14:conditionalFormatting xmlns:xm="http://schemas.microsoft.com/office/excel/2006/main">
          <x14:cfRule type="containsText" priority="44" operator="containsText" id="{C527CADB-A1F3-4110-91C1-97EF78F90615}">
            <xm:f>NOT(ISERROR(SEARCH("",C104)))</xm:f>
            <xm:f>""</xm:f>
            <x14:dxf>
              <numFmt numFmtId="3" formatCode="#,##0"/>
              <border>
                <right style="thin">
                  <color auto="1"/>
                </right>
                <top style="thin">
                  <color auto="1"/>
                </top>
                <bottom style="thin">
                  <color auto="1"/>
                </bottom>
                <vertical/>
                <horizontal/>
              </border>
            </x14:dxf>
          </x14:cfRule>
          <xm:sqref>C104:IV122</xm:sqref>
        </x14:conditionalFormatting>
        <x14:conditionalFormatting xmlns:xm="http://schemas.microsoft.com/office/excel/2006/main">
          <x14:cfRule type="containsText" priority="43" operator="containsText" id="{616012AC-BC26-40D4-A587-778D1F4FA2B6}">
            <xm:f>NOT(ISERROR(SEARCH("",AD103)))</xm:f>
            <xm:f>""</xm:f>
            <x14:dxf>
              <numFmt numFmtId="3" formatCode="#,##0"/>
              <border>
                <left style="thin">
                  <color auto="1"/>
                </left>
                <right style="thin">
                  <color auto="1"/>
                </right>
                <top style="thin">
                  <color auto="1"/>
                </top>
                <bottom style="thin">
                  <color auto="1"/>
                </bottom>
                <vertical/>
                <horizontal/>
              </border>
            </x14:dxf>
          </x14:cfRule>
          <xm:sqref>AD103:AG103 AI103:AL103 AN103:AQ103 AS103:AV103 AX103:BA103 BC103:BF103 BH103:BK103 BM103:BP103 BR103:BU103 BW103:BZ103 CB103:CE103 CG103:CJ103 CL103:CO103 CQ103:CT103 CV103:CY103 DA103:DD103 DF103:DI103 DK103:DN103 DP103:DS103 DU103:DX103 DZ103:EC103 EE103:EH103 EJ103:EM103 EO103:ER103 ET103:EW103 EY103:FB103 FD103:FG103 FI103:FL103 FN103:FQ103 FS103:FV103 FX103:GA103 GC103:GF103 GH103:GK103 GM103:GP103 GR103:GU103 GW103:GZ103 HB103:HE103 HG103:HJ103 HL103:HO103 HQ103:HT103 HV103:HY103 IA103:ID103 IF103:II103 IK103:IN103 IP103:IS103 IU103:IV103</xm:sqref>
        </x14:conditionalFormatting>
        <x14:conditionalFormatting xmlns:xm="http://schemas.microsoft.com/office/excel/2006/main">
          <x14:cfRule type="containsText" priority="41" operator="containsText" id="{E60F9503-1A68-4F51-BBB3-D2D4C4973792}">
            <xm:f>NOT(ISERROR(SEARCH("",AC173)))</xm:f>
            <xm:f>""</xm:f>
            <x14:dxf>
              <numFmt numFmtId="3" formatCode="#,##0"/>
              <border>
                <left style="thin">
                  <color auto="1"/>
                </left>
                <right style="thin">
                  <color auto="1"/>
                </right>
                <top style="thin">
                  <color auto="1"/>
                </top>
                <bottom style="thin">
                  <color auto="1"/>
                </bottom>
                <vertical/>
                <horizontal/>
              </border>
            </x14:dxf>
          </x14:cfRule>
          <xm:sqref>AC173:IV173</xm:sqref>
        </x14:conditionalFormatting>
        <x14:conditionalFormatting xmlns:xm="http://schemas.microsoft.com/office/excel/2006/main">
          <x14:cfRule type="containsText" priority="40" operator="containsText" id="{9A6F4363-AD3D-4962-AFDB-AFCDFE57230E}">
            <xm:f>NOT(ISERROR(SEARCH("",C154)))</xm:f>
            <xm:f>""</xm:f>
            <x14:dxf>
              <numFmt numFmtId="3" formatCode="#,##0"/>
              <border>
                <right style="thin">
                  <color auto="1"/>
                </right>
                <top style="thin">
                  <color auto="1"/>
                </top>
                <bottom style="thin">
                  <color auto="1"/>
                </bottom>
                <vertical/>
                <horizontal/>
              </border>
            </x14:dxf>
          </x14:cfRule>
          <xm:sqref>C154:IV172</xm:sqref>
        </x14:conditionalFormatting>
        <x14:conditionalFormatting xmlns:xm="http://schemas.microsoft.com/office/excel/2006/main">
          <x14:cfRule type="containsText" priority="39" operator="containsText" id="{E3785D35-2FAE-4115-93DB-C8DDA8A9244F}">
            <xm:f>NOT(ISERROR(SEARCH("",AD153)))</xm:f>
            <xm:f>""</xm:f>
            <x14:dxf>
              <numFmt numFmtId="3" formatCode="#,##0"/>
              <border>
                <left style="thin">
                  <color auto="1"/>
                </left>
                <right style="thin">
                  <color auto="1"/>
                </right>
                <top style="thin">
                  <color auto="1"/>
                </top>
                <bottom style="thin">
                  <color auto="1"/>
                </bottom>
                <vertical/>
                <horizontal/>
              </border>
            </x14:dxf>
          </x14:cfRule>
          <xm:sqref>AD153:AG153 AI153:AL153 AN153:AQ153 AS153:AV153 AX153:BA153 BC153:BF153 BH153:BK153 BM153:BP153 BR153:BU153 BW153:BZ153 CB153:CE153 CG153:CJ153 CL153:CO153 CQ153:CT153 CV153:CY153 DA153:DD153 DF153:DI153 DK153:DN153 DP153:DS153 DU153:DX153 DZ153:EC153 EE153:EH153 EJ153:EM153 EO153:ER153 ET153:EW153 EY153:FB153 FD153:FG153 FI153:FL153 FN153:FQ153 FS153:FV153 FX153:GA153 GC153:GF153 GH153:GK153 GM153:GP153 GR153:GU153 GW153:GZ153 HB153:HE153 HG153:HJ153 HL153:HO153 HQ153:HT153 HV153:HY153 IA153:ID153 IF153:II153 IK153:IN153 IP153:IS153 IU153:IV153</xm:sqref>
        </x14:conditionalFormatting>
        <x14:conditionalFormatting xmlns:xm="http://schemas.microsoft.com/office/excel/2006/main">
          <x14:cfRule type="containsText" priority="37" operator="containsText" id="{697784B1-293C-45F2-8202-E665A127CB07}">
            <xm:f>NOT(ISERROR(SEARCH("",AC198)))</xm:f>
            <xm:f>""</xm:f>
            <x14:dxf>
              <numFmt numFmtId="3" formatCode="#,##0"/>
              <border>
                <left style="thin">
                  <color auto="1"/>
                </left>
                <right style="thin">
                  <color auto="1"/>
                </right>
                <top style="thin">
                  <color auto="1"/>
                </top>
                <bottom style="thin">
                  <color auto="1"/>
                </bottom>
                <vertical/>
                <horizontal/>
              </border>
            </x14:dxf>
          </x14:cfRule>
          <xm:sqref>AC198:IV198</xm:sqref>
        </x14:conditionalFormatting>
        <x14:conditionalFormatting xmlns:xm="http://schemas.microsoft.com/office/excel/2006/main">
          <x14:cfRule type="containsText" priority="36" operator="containsText" id="{DAEEEE3B-50E3-456F-87CF-BB7147F0E4E2}">
            <xm:f>NOT(ISERROR(SEARCH("",C179)))</xm:f>
            <xm:f>""</xm:f>
            <x14:dxf>
              <numFmt numFmtId="3" formatCode="#,##0"/>
              <border>
                <right style="thin">
                  <color auto="1"/>
                </right>
                <top style="thin">
                  <color auto="1"/>
                </top>
                <bottom style="thin">
                  <color auto="1"/>
                </bottom>
                <vertical/>
                <horizontal/>
              </border>
            </x14:dxf>
          </x14:cfRule>
          <xm:sqref>C179:IV197</xm:sqref>
        </x14:conditionalFormatting>
        <x14:conditionalFormatting xmlns:xm="http://schemas.microsoft.com/office/excel/2006/main">
          <x14:cfRule type="containsText" priority="35" operator="containsText" id="{D17D4030-EF03-4F99-BAA2-0318D6937131}">
            <xm:f>NOT(ISERROR(SEARCH("",AD178)))</xm:f>
            <xm:f>""</xm:f>
            <x14:dxf>
              <numFmt numFmtId="3" formatCode="#,##0"/>
              <border>
                <left style="thin">
                  <color auto="1"/>
                </left>
                <right style="thin">
                  <color auto="1"/>
                </right>
                <top style="thin">
                  <color auto="1"/>
                </top>
                <bottom style="thin">
                  <color auto="1"/>
                </bottom>
                <vertical/>
                <horizontal/>
              </border>
            </x14:dxf>
          </x14:cfRule>
          <xm:sqref>AD178:AG178 AI178:AL178 AN178:AQ178 AS178:AV178 AX178:BA178 BC178:BF178 BH178:BK178 BM178:BP178 BR178:BU178 BW178:BZ178 CB178:CE178 CG178:CJ178 CL178:CO178 CQ178:CT178 CV178:CY178 DA178:DD178 DF178:DI178 DK178:DN178 DP178:DS178 DU178:DX178 DZ178:EC178 EE178:EH178 EJ178:EM178 EO178:ER178 ET178:EW178 EY178:FB178 FD178:FG178 FI178:FL178 FN178:FQ178 FS178:FV178 FX178:GA178 GC178:GF178 GH178:GK178 GM178:GP178 GR178:GU178 GW178:GZ178 HB178:HE178 HG178:HJ178 HL178:HO178 HQ178:HT178 HV178:HY178 IA178:ID178 IF178:II178 IK178:IN178 IP178:IS178 IU178:IV178</xm:sqref>
        </x14:conditionalFormatting>
        <x14:conditionalFormatting xmlns:xm="http://schemas.microsoft.com/office/excel/2006/main">
          <x14:cfRule type="containsText" priority="33" operator="containsText" id="{2315456B-39CC-4560-8740-882142591631}">
            <xm:f>NOT(ISERROR(SEARCH("",AC222)))</xm:f>
            <xm:f>""</xm:f>
            <x14:dxf>
              <numFmt numFmtId="3" formatCode="#,##0"/>
              <border>
                <left style="thin">
                  <color auto="1"/>
                </left>
                <right style="thin">
                  <color auto="1"/>
                </right>
                <top style="thin">
                  <color auto="1"/>
                </top>
                <bottom style="thin">
                  <color auto="1"/>
                </bottom>
                <vertical/>
                <horizontal/>
              </border>
            </x14:dxf>
          </x14:cfRule>
          <xm:sqref>AC222:IV222</xm:sqref>
        </x14:conditionalFormatting>
        <x14:conditionalFormatting xmlns:xm="http://schemas.microsoft.com/office/excel/2006/main">
          <x14:cfRule type="containsText" priority="32" operator="containsText" id="{0EE39BF0-542B-410A-904D-272BD0253F2B}">
            <xm:f>NOT(ISERROR(SEARCH("",C203)))</xm:f>
            <xm:f>""</xm:f>
            <x14:dxf>
              <numFmt numFmtId="3" formatCode="#,##0"/>
              <border>
                <right style="thin">
                  <color auto="1"/>
                </right>
                <top style="thin">
                  <color auto="1"/>
                </top>
                <bottom style="thin">
                  <color auto="1"/>
                </bottom>
                <vertical/>
                <horizontal/>
              </border>
            </x14:dxf>
          </x14:cfRule>
          <xm:sqref>C203:IV221</xm:sqref>
        </x14:conditionalFormatting>
        <x14:conditionalFormatting xmlns:xm="http://schemas.microsoft.com/office/excel/2006/main">
          <x14:cfRule type="containsText" priority="31" operator="containsText" id="{95FF0C2D-39A4-4F85-8A0B-10BCBEC8B086}">
            <xm:f>NOT(ISERROR(SEARCH("",AD202)))</xm:f>
            <xm:f>""</xm:f>
            <x14:dxf>
              <numFmt numFmtId="3" formatCode="#,##0"/>
              <border>
                <left style="thin">
                  <color auto="1"/>
                </left>
                <right style="thin">
                  <color auto="1"/>
                </right>
                <top style="thin">
                  <color auto="1"/>
                </top>
                <bottom style="thin">
                  <color auto="1"/>
                </bottom>
                <vertical/>
                <horizontal/>
              </border>
            </x14:dxf>
          </x14:cfRule>
          <xm:sqref>AD202:AG202 AI202:AL202 AN202:AQ202 AS202:AV202 AX202:BA202 BC202:BF202 BH202:BK202 BM202:BP202 BR202:BU202 BW202:BZ202 CB202:CE202 CG202:CJ202 CL202:CO202 CQ202:CT202 CV202:CY202 DA202:DD202 DF202:DI202 DK202:DN202 DP202:DS202 DU202:DX202 DZ202:EC202 EE202:EH202 EJ202:EM202 EO202:ER202 ET202:EW202 EY202:FB202 FD202:FG202 FI202:FL202 FN202:FQ202 FS202:FV202 FX202:GA202 GC202:GF202 GH202:GK202 GM202:GP202 GR202:GU202 GW202:GZ202 HB202:HE202 HG202:HJ202 HL202:HO202 HQ202:HT202 HV202:HY202 IA202:ID202 IF202:II202 IK202:IN202 IP202:IS202 IU202:IV202</xm:sqref>
        </x14:conditionalFormatting>
        <x14:conditionalFormatting xmlns:xm="http://schemas.microsoft.com/office/excel/2006/main">
          <x14:cfRule type="containsText" priority="29" operator="containsText" id="{82CB3427-4953-4BD7-9315-B8262685263F}">
            <xm:f>NOT(ISERROR(SEARCH("",AC247)))</xm:f>
            <xm:f>""</xm:f>
            <x14:dxf>
              <numFmt numFmtId="3" formatCode="#,##0"/>
              <border>
                <left style="thin">
                  <color auto="1"/>
                </left>
                <right style="thin">
                  <color auto="1"/>
                </right>
                <top style="thin">
                  <color auto="1"/>
                </top>
                <bottom style="thin">
                  <color auto="1"/>
                </bottom>
                <vertical/>
                <horizontal/>
              </border>
            </x14:dxf>
          </x14:cfRule>
          <xm:sqref>AC247:IV247</xm:sqref>
        </x14:conditionalFormatting>
        <x14:conditionalFormatting xmlns:xm="http://schemas.microsoft.com/office/excel/2006/main">
          <x14:cfRule type="containsText" priority="28" operator="containsText" id="{FDEF1FC2-ACC6-4779-A4DD-B5ACF0307030}">
            <xm:f>NOT(ISERROR(SEARCH("",C228)))</xm:f>
            <xm:f>""</xm:f>
            <x14:dxf>
              <numFmt numFmtId="3" formatCode="#,##0"/>
              <border>
                <right style="thin">
                  <color auto="1"/>
                </right>
                <top style="thin">
                  <color auto="1"/>
                </top>
                <bottom style="thin">
                  <color auto="1"/>
                </bottom>
                <vertical/>
                <horizontal/>
              </border>
            </x14:dxf>
          </x14:cfRule>
          <xm:sqref>C228:IV246</xm:sqref>
        </x14:conditionalFormatting>
        <x14:conditionalFormatting xmlns:xm="http://schemas.microsoft.com/office/excel/2006/main">
          <x14:cfRule type="containsText" priority="27" operator="containsText" id="{DB591EB1-94FD-4B92-9A7E-7715A73ECE61}">
            <xm:f>NOT(ISERROR(SEARCH("",AD227)))</xm:f>
            <xm:f>""</xm:f>
            <x14:dxf>
              <numFmt numFmtId="3" formatCode="#,##0"/>
              <border>
                <left style="thin">
                  <color auto="1"/>
                </left>
                <right style="thin">
                  <color auto="1"/>
                </right>
                <top style="thin">
                  <color auto="1"/>
                </top>
                <bottom style="thin">
                  <color auto="1"/>
                </bottom>
                <vertical/>
                <horizontal/>
              </border>
            </x14:dxf>
          </x14:cfRule>
          <xm:sqref>AD227:AG227 AI227:AL227 AN227:AQ227 AS227:AV227 AX227:BA227 BC227:BF227 BH227:BK227 BM227:BP227 BR227:BU227 BW227:BZ227 CB227:CE227 CG227:CJ227 CL227:CO227 CQ227:CT227 CV227:CY227 DA227:DD227 DF227:DI227 DK227:DN227 DP227:DS227 DU227:DX227 DZ227:EC227 EE227:EH227 EJ227:EM227 EO227:ER227 ET227:EW227 EY227:FB227 FD227:FG227 FI227:FL227 FN227:FQ227 FS227:FV227 FX227:GA227 GC227:GF227 GH227:GK227 GM227:GP227 GR227:GU227 GW227:GZ227 HB227:HE227 HG227:HJ227 HL227:HO227 HQ227:HT227 HV227:HY227 IA227:ID227 IF227:II227 IK227:IN227 IP227:IS227 IU227:IV227</xm:sqref>
        </x14:conditionalFormatting>
        <x14:conditionalFormatting xmlns:xm="http://schemas.microsoft.com/office/excel/2006/main">
          <x14:cfRule type="containsText" priority="26" operator="containsText" id="{5752E289-9E5C-47C5-99D2-D33037835C3C}">
            <xm:f>NOT(ISERROR(SEARCH("",AC227)))</xm:f>
            <xm:f>""</xm:f>
            <x14:dxf>
              <numFmt numFmtId="3" formatCode="#,##0"/>
              <border>
                <left style="thin">
                  <color auto="1"/>
                </left>
                <right style="thin">
                  <color auto="1"/>
                </right>
                <top style="thin">
                  <color auto="1"/>
                </top>
                <bottom style="thin">
                  <color auto="1"/>
                </bottom>
                <vertical/>
                <horizontal/>
              </border>
            </x14:dxf>
          </x14:cfRule>
          <xm:sqref>AC227 AH227 AM227 AR227 AW227 BB227 BG227 BL227 BQ227 BV227 CA227 CF227 CK227 CP227 CU227 CZ227 DE227 DJ227 DO227 DT227 DY227 ED227 EI227 EN227 ES227 EX227 FC227 FH227 FM227 FR227 FW227 GB227 GG227 GL227 GQ227 GV227 HA227 HF227 HK227 HP227 HU227 HZ227 IE227 IJ227 IO227 IT227</xm:sqref>
        </x14:conditionalFormatting>
        <x14:conditionalFormatting xmlns:xm="http://schemas.microsoft.com/office/excel/2006/main">
          <x14:cfRule type="containsText" priority="25" operator="containsText" id="{845A9E59-7965-4E4E-86EB-F81EAF760A1A}">
            <xm:f>NOT(ISERROR(SEARCH("",AC271)))</xm:f>
            <xm:f>""</xm:f>
            <x14:dxf>
              <numFmt numFmtId="3" formatCode="#,##0"/>
              <border>
                <left style="thin">
                  <color auto="1"/>
                </left>
                <right style="thin">
                  <color auto="1"/>
                </right>
                <top style="thin">
                  <color auto="1"/>
                </top>
                <bottom style="thin">
                  <color auto="1"/>
                </bottom>
                <vertical/>
                <horizontal/>
              </border>
            </x14:dxf>
          </x14:cfRule>
          <xm:sqref>AC271:IV271</xm:sqref>
        </x14:conditionalFormatting>
        <x14:conditionalFormatting xmlns:xm="http://schemas.microsoft.com/office/excel/2006/main">
          <x14:cfRule type="containsText" priority="24" operator="containsText" id="{225A3BB4-3A66-4DF1-96AD-FF326015C1E1}">
            <xm:f>NOT(ISERROR(SEARCH("",C252)))</xm:f>
            <xm:f>""</xm:f>
            <x14:dxf>
              <numFmt numFmtId="3" formatCode="#,##0"/>
              <border>
                <right style="thin">
                  <color auto="1"/>
                </right>
                <top style="thin">
                  <color auto="1"/>
                </top>
                <bottom style="thin">
                  <color auto="1"/>
                </bottom>
                <vertical/>
                <horizontal/>
              </border>
            </x14:dxf>
          </x14:cfRule>
          <xm:sqref>C252:IV270</xm:sqref>
        </x14:conditionalFormatting>
        <x14:conditionalFormatting xmlns:xm="http://schemas.microsoft.com/office/excel/2006/main">
          <x14:cfRule type="containsText" priority="23" operator="containsText" id="{2F3554F1-02D6-4089-A7D7-AA9A08BB8294}">
            <xm:f>NOT(ISERROR(SEARCH("",AD251)))</xm:f>
            <xm:f>""</xm:f>
            <x14:dxf>
              <numFmt numFmtId="3" formatCode="#,##0"/>
              <border>
                <left style="thin">
                  <color auto="1"/>
                </left>
                <right style="thin">
                  <color auto="1"/>
                </right>
                <top style="thin">
                  <color auto="1"/>
                </top>
                <bottom style="thin">
                  <color auto="1"/>
                </bottom>
                <vertical/>
                <horizontal/>
              </border>
            </x14:dxf>
          </x14:cfRule>
          <xm:sqref>AD251:AG251 AI251:AL251 AN251:AQ251 AS251:AV251 AX251:BA251 BC251:BF251 BH251:BK251 BM251:BP251 BR251:BU251 BW251:BZ251 CB251:CE251 CG251:CJ251 CL251:CO251 CQ251:CT251 CV251:CY251 DA251:DD251 DF251:DI251 DK251:DN251 DP251:DS251 DU251:DX251 DZ251:EC251 EE251:EH251 EJ251:EM251 EO251:ER251 ET251:EW251 EY251:FB251 FD251:FG251 FI251:FL251 FN251:FQ251 FS251:FV251 FX251:GA251 GC251:GF251 GH251:GK251 GM251:GP251 GR251:GU251 GW251:GZ251 HB251:HE251 HG251:HJ251 HL251:HO251 HQ251:HT251 HV251:HY251 IA251:ID251 IF251:II251 IK251:IN251 IP251:IS251 IU251:IV251</xm:sqref>
        </x14:conditionalFormatting>
        <x14:conditionalFormatting xmlns:xm="http://schemas.microsoft.com/office/excel/2006/main">
          <x14:cfRule type="containsText" priority="22" operator="containsText" id="{B6B8F816-77F7-4759-A323-120753459DC9}">
            <xm:f>NOT(ISERROR(SEARCH("",AC251)))</xm:f>
            <xm:f>""</xm:f>
            <x14:dxf>
              <numFmt numFmtId="3" formatCode="#,##0"/>
              <border>
                <left style="thin">
                  <color auto="1"/>
                </left>
                <right style="thin">
                  <color auto="1"/>
                </right>
                <top style="thin">
                  <color auto="1"/>
                </top>
                <bottom style="thin">
                  <color auto="1"/>
                </bottom>
                <vertical/>
                <horizontal/>
              </border>
            </x14:dxf>
          </x14:cfRule>
          <xm:sqref>AC251 AH251 AM251 AR251 AW251 BB251 BG251 BL251 BQ251 BV251 CA251 CF251 CK251 CP251 CU251 CZ251 DE251 DJ251 DO251 DT251 DY251 ED251 EI251 EN251 ES251 EX251 FC251 FH251 FM251 FR251 FW251 GB251 GG251 GL251 GQ251 GV251 HA251 HF251 HK251 HP251 HU251 HZ251 IE251 IJ251 IO251 IT251</xm:sqref>
        </x14:conditionalFormatting>
        <x14:conditionalFormatting xmlns:xm="http://schemas.microsoft.com/office/excel/2006/main">
          <x14:cfRule type="containsText" priority="21" operator="containsText" id="{0E8E0182-49F5-4BBC-B6F7-468CF87371FD}">
            <xm:f>NOT(ISERROR(SEARCH("",AC295)))</xm:f>
            <xm:f>""</xm:f>
            <x14:dxf>
              <numFmt numFmtId="3" formatCode="#,##0"/>
              <border>
                <left style="thin">
                  <color auto="1"/>
                </left>
                <right style="thin">
                  <color auto="1"/>
                </right>
                <top style="thin">
                  <color auto="1"/>
                </top>
                <bottom style="thin">
                  <color auto="1"/>
                </bottom>
                <vertical/>
                <horizontal/>
              </border>
            </x14:dxf>
          </x14:cfRule>
          <xm:sqref>AC295:IV295</xm:sqref>
        </x14:conditionalFormatting>
        <x14:conditionalFormatting xmlns:xm="http://schemas.microsoft.com/office/excel/2006/main">
          <x14:cfRule type="containsText" priority="20" operator="containsText" id="{A28F1BAB-0CB8-494F-9C62-3EA6EFD1742E}">
            <xm:f>NOT(ISERROR(SEARCH("",C276)))</xm:f>
            <xm:f>""</xm:f>
            <x14:dxf>
              <numFmt numFmtId="3" formatCode="#,##0"/>
              <border>
                <right style="thin">
                  <color auto="1"/>
                </right>
                <top style="thin">
                  <color auto="1"/>
                </top>
                <bottom style="thin">
                  <color auto="1"/>
                </bottom>
                <vertical/>
                <horizontal/>
              </border>
            </x14:dxf>
          </x14:cfRule>
          <xm:sqref>C276:IV294</xm:sqref>
        </x14:conditionalFormatting>
        <x14:conditionalFormatting xmlns:xm="http://schemas.microsoft.com/office/excel/2006/main">
          <x14:cfRule type="containsText" priority="19" operator="containsText" id="{B643151D-7746-4D7B-9119-BA23FB8B79BE}">
            <xm:f>NOT(ISERROR(SEARCH("",AD275)))</xm:f>
            <xm:f>""</xm:f>
            <x14:dxf>
              <numFmt numFmtId="3" formatCode="#,##0"/>
              <border>
                <left style="thin">
                  <color auto="1"/>
                </left>
                <right style="thin">
                  <color auto="1"/>
                </right>
                <top style="thin">
                  <color auto="1"/>
                </top>
                <bottom style="thin">
                  <color auto="1"/>
                </bottom>
                <vertical/>
                <horizontal/>
              </border>
            </x14:dxf>
          </x14:cfRule>
          <xm:sqref>AD275:AG275 AI275:AL275 AN275:AQ275 AS275:AV275 AX275:BA275 BC275:BF275 BH275:BK275 BM275:BP275 BR275:BU275 BW275:BZ275 CB275:CE275 CG275:CJ275 CL275:CO275 CQ275:CT275 CV275:CY275 DA275:DD275 DF275:DI275 DK275:DN275 DP275:DS275 DU275:DX275 DZ275:EC275 EE275:EH275 EJ275:EM275 EO275:ER275 ET275:EW275 EY275:FB275 FD275:FG275 FI275:FL275 FN275:FQ275 FS275:FV275 FX275:GA275 GC275:GF275 GH275:GK275 GM275:GP275 GR275:GU275 GW275:GZ275 HB275:HE275 HG275:HJ275 HL275:HO275 HQ275:HT275 HV275:HY275 IA275:ID275 IF275:II275 IK275:IN275 IP275:IS275 IU275:IV275</xm:sqref>
        </x14:conditionalFormatting>
        <x14:conditionalFormatting xmlns:xm="http://schemas.microsoft.com/office/excel/2006/main">
          <x14:cfRule type="containsText" priority="18" operator="containsText" id="{A5A09902-ED30-462C-919D-232DB6BAC338}">
            <xm:f>NOT(ISERROR(SEARCH("",AC275)))</xm:f>
            <xm:f>""</xm:f>
            <x14:dxf>
              <numFmt numFmtId="3" formatCode="#,##0"/>
              <border>
                <left style="thin">
                  <color auto="1"/>
                </left>
                <right style="thin">
                  <color auto="1"/>
                </right>
                <top style="thin">
                  <color auto="1"/>
                </top>
                <bottom style="thin">
                  <color auto="1"/>
                </bottom>
                <vertical/>
                <horizontal/>
              </border>
            </x14:dxf>
          </x14:cfRule>
          <xm:sqref>AC275 AH275 AM275 AR275 AW275 BB275 BG275 BL275 BQ275 BV275 CA275 CF275 CK275 CP275 CU275 CZ275 DE275 DJ275 DO275 DT275 DY275 ED275 EI275 EN275 ES275 EX275 FC275 FH275 FM275 FR275 FW275 GB275 GG275 GL275 GQ275 GV275 HA275 HF275 HK275 HP275 HU275 HZ275 IE275 IJ275 IO275 IT275</xm:sqref>
        </x14:conditionalFormatting>
        <x14:conditionalFormatting xmlns:xm="http://schemas.microsoft.com/office/excel/2006/main">
          <x14:cfRule type="containsText" priority="17" operator="containsText" id="{AE81C86C-A496-4898-9115-17537D133AEB}">
            <xm:f>NOT(ISERROR(SEARCH("",AC319)))</xm:f>
            <xm:f>""</xm:f>
            <x14:dxf>
              <numFmt numFmtId="3" formatCode="#,##0"/>
              <border>
                <left style="thin">
                  <color auto="1"/>
                </left>
                <right style="thin">
                  <color auto="1"/>
                </right>
                <top style="thin">
                  <color auto="1"/>
                </top>
                <bottom style="thin">
                  <color auto="1"/>
                </bottom>
                <vertical/>
                <horizontal/>
              </border>
            </x14:dxf>
          </x14:cfRule>
          <xm:sqref>AC319:IV319</xm:sqref>
        </x14:conditionalFormatting>
        <x14:conditionalFormatting xmlns:xm="http://schemas.microsoft.com/office/excel/2006/main">
          <x14:cfRule type="containsText" priority="16" operator="containsText" id="{B197CFEE-0F5B-4CA4-8549-8060F11229A5}">
            <xm:f>NOT(ISERROR(SEARCH("",C300)))</xm:f>
            <xm:f>""</xm:f>
            <x14:dxf>
              <numFmt numFmtId="3" formatCode="#,##0"/>
              <border>
                <right style="thin">
                  <color auto="1"/>
                </right>
                <top style="thin">
                  <color auto="1"/>
                </top>
                <bottom style="thin">
                  <color auto="1"/>
                </bottom>
                <vertical/>
                <horizontal/>
              </border>
            </x14:dxf>
          </x14:cfRule>
          <xm:sqref>C300:IV318</xm:sqref>
        </x14:conditionalFormatting>
        <x14:conditionalFormatting xmlns:xm="http://schemas.microsoft.com/office/excel/2006/main">
          <x14:cfRule type="containsText" priority="15" operator="containsText" id="{BF619509-258C-4303-88FC-A87E3FB5385F}">
            <xm:f>NOT(ISERROR(SEARCH("",AD299)))</xm:f>
            <xm:f>""</xm:f>
            <x14:dxf>
              <numFmt numFmtId="3" formatCode="#,##0"/>
              <border>
                <left style="thin">
                  <color auto="1"/>
                </left>
                <right style="thin">
                  <color auto="1"/>
                </right>
                <top style="thin">
                  <color auto="1"/>
                </top>
                <bottom style="thin">
                  <color auto="1"/>
                </bottom>
                <vertical/>
                <horizontal/>
              </border>
            </x14:dxf>
          </x14:cfRule>
          <xm:sqref>AD299:AG299 AI299:AL299 AN299:AQ299 AS299:AV299 AX299:BA299 BC299:BF299 BH299:BK299 BM299:BP299 BR299:BU299 BW299:BZ299 CB299:CE299 CG299:CJ299 CL299:CO299 CQ299:CT299 CV299:CY299 DA299:DD299 DF299:DI299 DK299:DN299 DP299:DS299 DU299:DX299 DZ299:EC299 EE299:EH299 EJ299:EM299 EO299:ER299 ET299:EW299 EY299:FB299 FD299:FG299 FI299:FL299 FN299:FQ299 FS299:FV299 FX299:GA299 GC299:GF299 GH299:GK299 GM299:GP299 GR299:GU299 GW299:GZ299 HB299:HE299 HG299:HJ299 HL299:HO299 HQ299:HT299 HV299:HY299 IA299:ID299 IF299:II299 IK299:IN299 IP299:IS299 IU299:IV299</xm:sqref>
        </x14:conditionalFormatting>
        <x14:conditionalFormatting xmlns:xm="http://schemas.microsoft.com/office/excel/2006/main">
          <x14:cfRule type="containsText" priority="14" operator="containsText" id="{0C6C6050-5844-492A-8351-DE965FFA29F5}">
            <xm:f>NOT(ISERROR(SEARCH("",AC299)))</xm:f>
            <xm:f>""</xm:f>
            <x14:dxf>
              <numFmt numFmtId="3" formatCode="#,##0"/>
              <border>
                <left style="thin">
                  <color auto="1"/>
                </left>
                <right style="thin">
                  <color auto="1"/>
                </right>
                <top style="thin">
                  <color auto="1"/>
                </top>
                <bottom style="thin">
                  <color auto="1"/>
                </bottom>
                <vertical/>
                <horizontal/>
              </border>
            </x14:dxf>
          </x14:cfRule>
          <xm:sqref>AC299 AH299 AM299 AR299 AW299 BB299 BG299 BL299 BQ299 BV299 CA299 CF299 CK299 CP299 CU299 CZ299 DE299 DJ299 DO299 DT299 DY299 ED299 EI299 EN299 ES299 EX299 FC299 FH299 FM299 FR299 FW299 GB299 GG299 GL299 GQ299 GV299 HA299 HF299 HK299 HP299 HU299 HZ299 IE299 IJ299 IO299 IT299</xm:sqref>
        </x14:conditionalFormatting>
        <x14:conditionalFormatting xmlns:xm="http://schemas.microsoft.com/office/excel/2006/main">
          <x14:cfRule type="containsText" priority="13" operator="containsText" id="{E1D78560-FD10-4884-915D-1812F13651AF}">
            <xm:f>NOT(ISERROR(SEARCH("",AC344)))</xm:f>
            <xm:f>""</xm:f>
            <x14:dxf>
              <numFmt numFmtId="3" formatCode="#,##0"/>
              <border>
                <left style="thin">
                  <color auto="1"/>
                </left>
                <right style="thin">
                  <color auto="1"/>
                </right>
                <top style="thin">
                  <color auto="1"/>
                </top>
                <bottom style="thin">
                  <color auto="1"/>
                </bottom>
                <vertical/>
                <horizontal/>
              </border>
            </x14:dxf>
          </x14:cfRule>
          <xm:sqref>AC344:IV344</xm:sqref>
        </x14:conditionalFormatting>
        <x14:conditionalFormatting xmlns:xm="http://schemas.microsoft.com/office/excel/2006/main">
          <x14:cfRule type="containsText" priority="12" operator="containsText" id="{6993B7BE-0DE7-455B-8381-FAE3A26BC7FB}">
            <xm:f>NOT(ISERROR(SEARCH("",C325)))</xm:f>
            <xm:f>""</xm:f>
            <x14:dxf>
              <numFmt numFmtId="3" formatCode="#,##0"/>
              <border>
                <right style="thin">
                  <color auto="1"/>
                </right>
                <top style="thin">
                  <color auto="1"/>
                </top>
                <bottom style="thin">
                  <color auto="1"/>
                </bottom>
                <vertical/>
                <horizontal/>
              </border>
            </x14:dxf>
          </x14:cfRule>
          <xm:sqref>C325:IV343</xm:sqref>
        </x14:conditionalFormatting>
        <x14:conditionalFormatting xmlns:xm="http://schemas.microsoft.com/office/excel/2006/main">
          <x14:cfRule type="containsText" priority="11" operator="containsText" id="{033A585E-EF8F-4D8E-939C-C5392B70C95E}">
            <xm:f>NOT(ISERROR(SEARCH("",AD324)))</xm:f>
            <xm:f>""</xm:f>
            <x14:dxf>
              <numFmt numFmtId="3" formatCode="#,##0"/>
              <border>
                <left style="thin">
                  <color auto="1"/>
                </left>
                <right style="thin">
                  <color auto="1"/>
                </right>
                <top style="thin">
                  <color auto="1"/>
                </top>
                <bottom style="thin">
                  <color auto="1"/>
                </bottom>
                <vertical/>
                <horizontal/>
              </border>
            </x14:dxf>
          </x14:cfRule>
          <xm:sqref>AD324:AG324 AI324:AL324 AN324:AQ324 AS324:AV324 AX324:BA324 BC324:BF324 BH324:BK324 BM324:BP324 BR324:BU324 BW324:BZ324 CB324:CE324 CG324:CJ324 CL324:CO324 CQ324:CT324 CV324:CY324 DA324:DD324 DF324:DI324 DK324:DN324 DP324:DS324 DU324:DX324 DZ324:EC324 EE324:EH324 EJ324:EM324 EO324:ER324 ET324:EW324 EY324:FB324 FD324:FG324 FI324:FL324 FN324:FQ324 FS324:FV324 FX324:GA324 GC324:GF324 GH324:GK324 GM324:GP324 GR324:GU324 GW324:GZ324 HB324:HE324 HG324:HJ324 HL324:HO324 HQ324:HT324 HV324:HY324 IA324:ID324 IF324:II324 IK324:IN324 IP324:IS324 IU324:IV324</xm:sqref>
        </x14:conditionalFormatting>
        <x14:conditionalFormatting xmlns:xm="http://schemas.microsoft.com/office/excel/2006/main">
          <x14:cfRule type="containsText" priority="10" operator="containsText" id="{1A1957C3-CFDF-4FDA-8252-5228132DE2A7}">
            <xm:f>NOT(ISERROR(SEARCH("",AC324)))</xm:f>
            <xm:f>""</xm:f>
            <x14:dxf>
              <numFmt numFmtId="3" formatCode="#,##0"/>
              <border>
                <left style="thin">
                  <color auto="1"/>
                </left>
                <right style="thin">
                  <color auto="1"/>
                </right>
                <top style="thin">
                  <color auto="1"/>
                </top>
                <bottom style="thin">
                  <color auto="1"/>
                </bottom>
                <vertical/>
                <horizontal/>
              </border>
            </x14:dxf>
          </x14:cfRule>
          <xm:sqref>AC324 AH324 AM324 AR324 AW324 BB324 BG324 BL324 BQ324 BV324 CA324 CF324 CK324 CP324 CU324 CZ324 DE324 DJ324 DO324 DT324 DY324 ED324 EI324 EN324 ES324 EX324 FC324 FH324 FM324 FR324 FW324 GB324 GG324 GL324 GQ324 GV324 HA324 HF324 HK324 HP324 HU324 HZ324 IE324 IJ324 IO324 IT324</xm:sqref>
        </x14:conditionalFormatting>
        <x14:conditionalFormatting xmlns:xm="http://schemas.microsoft.com/office/excel/2006/main">
          <x14:cfRule type="containsText" priority="9" operator="containsText" id="{C262D462-5FAA-48F0-BB9F-D4221BD898CF}">
            <xm:f>NOT(ISERROR(SEARCH("",AC368)))</xm:f>
            <xm:f>""</xm:f>
            <x14:dxf>
              <numFmt numFmtId="3" formatCode="#,##0"/>
              <border>
                <left style="thin">
                  <color auto="1"/>
                </left>
                <right style="thin">
                  <color auto="1"/>
                </right>
                <top style="thin">
                  <color auto="1"/>
                </top>
                <bottom style="thin">
                  <color auto="1"/>
                </bottom>
                <vertical/>
                <horizontal/>
              </border>
            </x14:dxf>
          </x14:cfRule>
          <xm:sqref>AC368:IV368</xm:sqref>
        </x14:conditionalFormatting>
        <x14:conditionalFormatting xmlns:xm="http://schemas.microsoft.com/office/excel/2006/main">
          <x14:cfRule type="containsText" priority="8" operator="containsText" id="{746844C1-E82C-4751-B513-502A5A7069F4}">
            <xm:f>NOT(ISERROR(SEARCH("",C349)))</xm:f>
            <xm:f>""</xm:f>
            <x14:dxf>
              <numFmt numFmtId="3" formatCode="#,##0"/>
              <border>
                <right style="thin">
                  <color auto="1"/>
                </right>
                <top style="thin">
                  <color auto="1"/>
                </top>
                <bottom style="thin">
                  <color auto="1"/>
                </bottom>
                <vertical/>
                <horizontal/>
              </border>
            </x14:dxf>
          </x14:cfRule>
          <xm:sqref>C349:IV367</xm:sqref>
        </x14:conditionalFormatting>
        <x14:conditionalFormatting xmlns:xm="http://schemas.microsoft.com/office/excel/2006/main">
          <x14:cfRule type="containsText" priority="7" operator="containsText" id="{DF3D07AF-E817-420B-9C22-E458A74F2B8C}">
            <xm:f>NOT(ISERROR(SEARCH("",AD348)))</xm:f>
            <xm:f>""</xm:f>
            <x14:dxf>
              <numFmt numFmtId="3" formatCode="#,##0"/>
              <border>
                <left style="thin">
                  <color auto="1"/>
                </left>
                <right style="thin">
                  <color auto="1"/>
                </right>
                <top style="thin">
                  <color auto="1"/>
                </top>
                <bottom style="thin">
                  <color auto="1"/>
                </bottom>
                <vertical/>
                <horizontal/>
              </border>
            </x14:dxf>
          </x14:cfRule>
          <xm:sqref>AD348:AG348 AI348:AL348 AN348:AQ348 AS348:AV348 AX348:BA348 BC348:BF348 BH348:BK348 BM348:BP348 BR348:BU348 BW348:BZ348 CB348:CE348 CG348:CJ348 CL348:CO348 CQ348:CT348 CV348:CY348 DA348:DD348 DF348:DI348 DK348:DN348 DP348:DS348 DU348:DX348 DZ348:EC348 EE348:EH348 EJ348:EM348 EO348:ER348 ET348:EW348 EY348:FB348 FD348:FG348 FI348:FL348 FN348:FQ348 FS348:FV348 FX348:GA348 GC348:GF348 GH348:GK348 GM348:GP348 GR348:GU348 GW348:GZ348 HB348:HE348 HG348:HJ348 HL348:HO348 HQ348:HT348 HV348:HY348 IA348:ID348 IF348:II348 IK348:IN348 IP348:IS348 IU348:IV348</xm:sqref>
        </x14:conditionalFormatting>
        <x14:conditionalFormatting xmlns:xm="http://schemas.microsoft.com/office/excel/2006/main">
          <x14:cfRule type="containsText" priority="6" operator="containsText" id="{D029ACBD-DF75-4793-960B-C7A7D58DBD34}">
            <xm:f>NOT(ISERROR(SEARCH("",AC348)))</xm:f>
            <xm:f>""</xm:f>
            <x14:dxf>
              <numFmt numFmtId="3" formatCode="#,##0"/>
              <border>
                <left style="thin">
                  <color auto="1"/>
                </left>
                <right style="thin">
                  <color auto="1"/>
                </right>
                <top style="thin">
                  <color auto="1"/>
                </top>
                <bottom style="thin">
                  <color auto="1"/>
                </bottom>
                <vertical/>
                <horizontal/>
              </border>
            </x14:dxf>
          </x14:cfRule>
          <xm:sqref>AC348 AH348 AM348 AR348 AW348 BB348 BG348 BL348 BQ348 BV348 CA348 CF348 CK348 CP348 CU348 CZ348 DE348 DJ348 DO348 DT348 DY348 ED348 EI348 EN348 ES348 EX348 FC348 FH348 FM348 FR348 FW348 GB348 GG348 GL348 GQ348 GV348 HA348 HF348 HK348 HP348 HU348 HZ348 IE348 IJ348 IO348 IT348</xm:sqref>
        </x14:conditionalFormatting>
        <x14:conditionalFormatting xmlns:xm="http://schemas.microsoft.com/office/excel/2006/main">
          <x14:cfRule type="containsText" priority="5" operator="containsText" id="{29EF54AA-FB36-4BA1-B88A-71BC7AF13769}">
            <xm:f>NOT(ISERROR(SEARCH("",AC393)))</xm:f>
            <xm:f>""</xm:f>
            <x14:dxf>
              <numFmt numFmtId="3" formatCode="#,##0"/>
              <border>
                <left style="thin">
                  <color auto="1"/>
                </left>
                <right style="thin">
                  <color auto="1"/>
                </right>
                <top style="thin">
                  <color auto="1"/>
                </top>
                <bottom style="thin">
                  <color auto="1"/>
                </bottom>
                <vertical/>
                <horizontal/>
              </border>
            </x14:dxf>
          </x14:cfRule>
          <xm:sqref>AC393:IV393</xm:sqref>
        </x14:conditionalFormatting>
        <x14:conditionalFormatting xmlns:xm="http://schemas.microsoft.com/office/excel/2006/main">
          <x14:cfRule type="containsText" priority="4" operator="containsText" id="{FFF04CD1-0382-40EF-9437-AD0EA00C87AC}">
            <xm:f>NOT(ISERROR(SEARCH("",C374)))</xm:f>
            <xm:f>""</xm:f>
            <x14:dxf>
              <numFmt numFmtId="3" formatCode="#,##0"/>
              <border>
                <right style="thin">
                  <color auto="1"/>
                </right>
                <top style="thin">
                  <color auto="1"/>
                </top>
                <bottom style="thin">
                  <color auto="1"/>
                </bottom>
                <vertical/>
                <horizontal/>
              </border>
            </x14:dxf>
          </x14:cfRule>
          <xm:sqref>C374:IV392</xm:sqref>
        </x14:conditionalFormatting>
        <x14:conditionalFormatting xmlns:xm="http://schemas.microsoft.com/office/excel/2006/main">
          <x14:cfRule type="containsText" priority="3" operator="containsText" id="{D0EAA9F7-D51D-4B76-834C-45F416FBFE1E}">
            <xm:f>NOT(ISERROR(SEARCH("",AD373)))</xm:f>
            <xm:f>""</xm:f>
            <x14:dxf>
              <numFmt numFmtId="3" formatCode="#,##0"/>
              <border>
                <left style="thin">
                  <color auto="1"/>
                </left>
                <right style="thin">
                  <color auto="1"/>
                </right>
                <top style="thin">
                  <color auto="1"/>
                </top>
                <bottom style="thin">
                  <color auto="1"/>
                </bottom>
                <vertical/>
                <horizontal/>
              </border>
            </x14:dxf>
          </x14:cfRule>
          <xm:sqref>AD373:AG373 AI373:AL373 AN373:AQ373 AS373:AV373 AX373:BA373 BC373:BF373 BH373:BK373 BM373:BP373 BR373:BU373 BW373:BZ373 CB373:CE373 CG373:CJ373 CL373:CO373 CQ373:CT373 CV373:CY373 DA373:DD373 DF373:DI373 DK373:DN373 DP373:DS373 DU373:DX373 DZ373:EC373 EE373:EH373 EJ373:EM373 EO373:ER373 ET373:EW373 EY373:FB373 FD373:FG373 FI373:FL373 FN373:FQ373 FS373:FV373 FX373:GA373 GC373:GF373 GH373:GK373 GM373:GP373 GR373:GU373 GW373:GZ373 HB373:HE373 HG373:HJ373 HL373:HO373 HQ373:HT373 HV373:HY373 IA373:ID373 IF373:II373 IK373:IN373 IP373:IS373 IU373:IV373</xm:sqref>
        </x14:conditionalFormatting>
        <x14:conditionalFormatting xmlns:xm="http://schemas.microsoft.com/office/excel/2006/main">
          <x14:cfRule type="containsText" priority="1" operator="containsText" id="{0753BE2F-CEC3-4F78-A355-50398F070D59}">
            <xm:f>NOT(ISERROR(SEARCH("",C395)))</xm:f>
            <xm:f>""</xm:f>
            <x14:dxf>
              <numFmt numFmtId="3" formatCode="#,##0"/>
              <border>
                <right style="thin">
                  <color auto="1"/>
                </right>
                <top style="thin">
                  <color auto="1"/>
                </top>
                <bottom style="thin">
                  <color auto="1"/>
                </bottom>
                <vertical/>
                <horizontal/>
              </border>
            </x14:dxf>
          </x14:cfRule>
          <xm:sqref>C395:C413</xm:sqref>
        </x14:conditionalFormatting>
      </x14:conditionalFormatting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mc:Ignorable="x14ac xr">
  <sheetPr codeName="Hoja1">
    <tabColor indexed="13"/>
  </sheetPr>
  <dimension ref="A1:IV52"/>
  <sheetViews>
    <sheetView workbookViewId="0">
      <selection activeCell="E5" sqref="E5"/>
    </sheetView>
  </sheetViews>
  <sheetFormatPr baseColWidth="10" defaultRowHeight="12.75"/>
  <cols>
    <col min="1" max="1" bestFit="1" width="10.140625" customWidth="1"/>
    <col min="2" max="2" bestFit="1" width="3" customWidth="1"/>
    <col min="4" max="4" width="21.140625" customWidth="1"/>
    <col min="5" max="5" width="20.140625" customWidth="1"/>
    <col min="7" max="7" bestFit="1" width="17" customWidth="1"/>
  </cols>
  <sheetData>
    <row r="1" ht="13.5">
      <c r="A1" s="846" t="s">
        <v>122</v>
      </c>
      <c r="B1" s="847">
        <v>1</v>
      </c>
      <c r="D1" s="35" t="s">
        <v>123</v>
      </c>
      <c r="E1" s="36">
        <v>1</v>
      </c>
      <c r="G1" s="25">
        <v>38899</v>
      </c>
      <c r="H1" s="32">
        <v>39083</v>
      </c>
      <c r="I1" s="14">
        <v>39264</v>
      </c>
      <c r="J1" s="14">
        <v>39448</v>
      </c>
      <c r="K1" s="14">
        <v>39630</v>
      </c>
      <c r="L1" s="14">
        <v>39814</v>
      </c>
      <c r="M1" s="14">
        <v>39995</v>
      </c>
      <c r="N1" s="14">
        <v>40179</v>
      </c>
      <c r="O1" s="14">
        <v>40360</v>
      </c>
      <c r="P1" s="14">
        <v>40544</v>
      </c>
      <c r="Q1" s="14">
        <v>40725</v>
      </c>
      <c r="R1" s="15">
        <v>40909</v>
      </c>
      <c r="S1" s="14">
        <v>41091</v>
      </c>
      <c r="T1" s="15">
        <v>41275</v>
      </c>
      <c r="U1" s="14">
        <v>41456</v>
      </c>
      <c r="V1" s="14">
        <v>41640</v>
      </c>
      <c r="W1" s="14">
        <v>41821</v>
      </c>
      <c r="X1" s="15">
        <v>42005</v>
      </c>
      <c r="Y1" s="14">
        <v>42186</v>
      </c>
      <c r="Z1" s="14">
        <v>42370</v>
      </c>
      <c r="AA1" s="14">
        <v>42552</v>
      </c>
      <c r="AB1" s="15">
        <v>42736</v>
      </c>
      <c r="AC1" s="14">
        <v>42917</v>
      </c>
      <c r="AD1" s="14">
        <v>43101</v>
      </c>
      <c r="AE1" s="14">
        <v>43282</v>
      </c>
      <c r="AF1" s="15">
        <v>43466</v>
      </c>
      <c r="AG1" s="14">
        <v>43647</v>
      </c>
      <c r="AH1" s="14">
        <v>43831</v>
      </c>
      <c r="AI1" s="14">
        <v>44013</v>
      </c>
      <c r="AJ1" s="15">
        <v>44197</v>
      </c>
      <c r="AK1" s="14">
        <v>44378</v>
      </c>
      <c r="AL1" s="14">
        <v>44562</v>
      </c>
      <c r="AM1" s="14">
        <v>44743</v>
      </c>
      <c r="AN1" s="15">
        <v>44927</v>
      </c>
      <c r="AO1" s="14">
        <v>45108</v>
      </c>
      <c r="AP1" s="14">
        <v>45292</v>
      </c>
      <c r="AQ1" s="14">
        <v>45474</v>
      </c>
      <c r="AR1" s="15">
        <v>45658</v>
      </c>
      <c r="AS1" s="14">
        <v>45839</v>
      </c>
      <c r="AT1" s="14">
        <v>46023</v>
      </c>
      <c r="AU1" s="14">
        <v>46204</v>
      </c>
      <c r="AV1" s="15">
        <v>46388</v>
      </c>
      <c r="AW1" s="14">
        <v>46569</v>
      </c>
      <c r="AX1" s="14">
        <v>46753</v>
      </c>
      <c r="AY1" s="14">
        <v>46935</v>
      </c>
      <c r="AZ1" s="15">
        <v>47119</v>
      </c>
      <c r="BA1" s="14">
        <v>47300</v>
      </c>
      <c r="BB1" s="14">
        <v>47484</v>
      </c>
      <c r="BC1" s="14">
        <v>47665</v>
      </c>
      <c r="BD1" s="15">
        <v>47849</v>
      </c>
      <c r="BE1" s="14">
        <v>48030</v>
      </c>
      <c r="BF1" s="14">
        <v>48214</v>
      </c>
      <c r="BG1" s="14">
        <v>48396</v>
      </c>
      <c r="BH1" s="15">
        <v>48580</v>
      </c>
      <c r="BI1" s="14">
        <v>48761</v>
      </c>
      <c r="BJ1" s="14">
        <v>48945</v>
      </c>
      <c r="BK1" s="14">
        <v>49126</v>
      </c>
      <c r="BL1" s="15">
        <v>49310</v>
      </c>
      <c r="BM1" s="14">
        <v>49491</v>
      </c>
      <c r="BN1" s="14">
        <v>49675</v>
      </c>
      <c r="BO1" s="14">
        <v>49857</v>
      </c>
      <c r="BP1" s="15">
        <v>50041</v>
      </c>
      <c r="BQ1" s="14">
        <v>50222</v>
      </c>
      <c r="BR1" s="14">
        <v>50406</v>
      </c>
      <c r="BS1" s="14">
        <v>50587</v>
      </c>
      <c r="BT1" s="15">
        <v>50771</v>
      </c>
      <c r="BU1" s="14">
        <v>50952</v>
      </c>
      <c r="BV1" s="14">
        <v>51136</v>
      </c>
      <c r="BW1" s="14">
        <v>51318</v>
      </c>
      <c r="BX1" s="15">
        <v>51502</v>
      </c>
      <c r="BY1" s="14">
        <v>51683</v>
      </c>
      <c r="BZ1" s="14">
        <v>51867</v>
      </c>
      <c r="CA1" s="14">
        <v>52048</v>
      </c>
      <c r="CB1" s="15">
        <v>52232</v>
      </c>
      <c r="CC1" s="14">
        <v>52413</v>
      </c>
      <c r="CD1" s="14">
        <v>52597</v>
      </c>
      <c r="CE1" s="14">
        <v>52779</v>
      </c>
      <c r="CF1" s="15">
        <v>52963</v>
      </c>
      <c r="CG1" s="14">
        <v>53144</v>
      </c>
      <c r="CH1" s="14">
        <v>53328</v>
      </c>
      <c r="CI1" s="14">
        <v>53509</v>
      </c>
      <c r="CJ1" s="15">
        <v>53693</v>
      </c>
      <c r="CK1" s="14">
        <v>53874</v>
      </c>
      <c r="CL1" s="14">
        <v>54058</v>
      </c>
      <c r="CM1" s="14">
        <v>54240</v>
      </c>
      <c r="CN1" s="15">
        <v>54424</v>
      </c>
      <c r="CO1" s="14">
        <v>54605</v>
      </c>
      <c r="CP1" s="14">
        <v>54789</v>
      </c>
      <c r="CQ1" s="14">
        <v>54970</v>
      </c>
      <c r="CR1" s="15">
        <v>55154</v>
      </c>
      <c r="CS1" s="14">
        <v>55335</v>
      </c>
      <c r="CT1" s="14">
        <v>55519</v>
      </c>
      <c r="CU1" s="14">
        <v>55701</v>
      </c>
      <c r="CV1" s="15">
        <v>55885</v>
      </c>
      <c r="CW1" s="14">
        <v>56066</v>
      </c>
      <c r="CX1" s="14">
        <v>56250</v>
      </c>
      <c r="CY1" s="14">
        <v>56431</v>
      </c>
      <c r="CZ1" s="15">
        <v>56615</v>
      </c>
      <c r="DA1" s="14">
        <v>56796</v>
      </c>
      <c r="DB1" s="14">
        <v>56980</v>
      </c>
      <c r="DC1" s="14">
        <v>57162</v>
      </c>
      <c r="DD1" s="15">
        <v>57346</v>
      </c>
      <c r="DE1" s="14">
        <v>57527</v>
      </c>
      <c r="DF1" s="14">
        <v>57711</v>
      </c>
      <c r="DG1" s="14">
        <v>57892</v>
      </c>
      <c r="DH1" s="15">
        <v>58076</v>
      </c>
      <c r="DI1" s="14">
        <v>58257</v>
      </c>
      <c r="DJ1" s="14">
        <v>58441</v>
      </c>
      <c r="DK1" s="14">
        <v>58623</v>
      </c>
      <c r="DL1" s="15">
        <v>58807</v>
      </c>
      <c r="DM1" s="14">
        <v>58988</v>
      </c>
      <c r="DN1" s="14">
        <v>59172</v>
      </c>
      <c r="DO1" s="14">
        <v>59353</v>
      </c>
      <c r="DP1" s="15">
        <v>59537</v>
      </c>
      <c r="DQ1" s="14">
        <v>59718</v>
      </c>
      <c r="DR1" s="14">
        <v>59902</v>
      </c>
      <c r="DS1" s="14">
        <v>60084</v>
      </c>
      <c r="DT1" s="15">
        <v>60268</v>
      </c>
      <c r="DU1" s="14">
        <v>60449</v>
      </c>
      <c r="DV1" s="14">
        <v>60633</v>
      </c>
      <c r="DW1" s="14">
        <v>60814</v>
      </c>
      <c r="DX1" s="15">
        <v>60998</v>
      </c>
      <c r="DY1" s="14">
        <v>61179</v>
      </c>
      <c r="DZ1" s="14">
        <v>61363</v>
      </c>
      <c r="EA1" s="14">
        <v>61545</v>
      </c>
      <c r="EB1" s="15">
        <v>61729</v>
      </c>
      <c r="EC1" s="14">
        <v>61910</v>
      </c>
      <c r="ED1" s="14">
        <v>62094</v>
      </c>
      <c r="EE1" s="14">
        <v>62275</v>
      </c>
      <c r="EF1" s="15">
        <v>62459</v>
      </c>
      <c r="EG1" s="14">
        <v>62640</v>
      </c>
      <c r="EH1" s="14">
        <v>62824</v>
      </c>
      <c r="EI1" s="14">
        <v>63006</v>
      </c>
      <c r="EJ1" s="15">
        <v>63190</v>
      </c>
      <c r="EK1" s="14">
        <v>63371</v>
      </c>
      <c r="EL1" s="14">
        <v>63555</v>
      </c>
      <c r="EM1" s="14">
        <v>63736</v>
      </c>
      <c r="EN1" s="15">
        <v>63920</v>
      </c>
      <c r="EO1" s="14">
        <v>64101</v>
      </c>
      <c r="EP1" s="14">
        <v>64285</v>
      </c>
      <c r="EQ1" s="14">
        <v>64467</v>
      </c>
      <c r="ER1" s="15">
        <v>64651</v>
      </c>
      <c r="ES1" s="14">
        <v>64832</v>
      </c>
      <c r="ET1" s="14">
        <v>65016</v>
      </c>
      <c r="EU1" s="14">
        <v>65197</v>
      </c>
      <c r="EV1" s="15">
        <v>65381</v>
      </c>
      <c r="EW1" s="14">
        <v>65562</v>
      </c>
      <c r="EX1" s="14">
        <v>65746</v>
      </c>
      <c r="EY1" s="14">
        <v>65928</v>
      </c>
      <c r="EZ1" s="15">
        <v>66112</v>
      </c>
      <c r="FA1" s="14">
        <v>66293</v>
      </c>
      <c r="FB1" s="14">
        <v>66477</v>
      </c>
      <c r="FC1" s="14">
        <v>66658</v>
      </c>
      <c r="FD1" s="15">
        <v>66842</v>
      </c>
      <c r="FE1" s="14">
        <v>67023</v>
      </c>
      <c r="FF1" s="14">
        <v>67207</v>
      </c>
      <c r="FG1" s="14">
        <v>67389</v>
      </c>
      <c r="FH1" s="15">
        <v>67573</v>
      </c>
      <c r="FI1" s="14">
        <v>67754</v>
      </c>
      <c r="FJ1" s="14">
        <v>67938</v>
      </c>
      <c r="FK1" s="14">
        <v>68119</v>
      </c>
      <c r="FL1" s="15">
        <v>68303</v>
      </c>
      <c r="FM1" s="14">
        <v>68484</v>
      </c>
      <c r="FN1" s="14">
        <v>68668</v>
      </c>
      <c r="FO1" s="14">
        <v>68850</v>
      </c>
      <c r="FP1" s="15">
        <v>69034</v>
      </c>
      <c r="FQ1" s="14">
        <v>69215</v>
      </c>
      <c r="FR1" s="14">
        <v>69399</v>
      </c>
      <c r="FS1" s="14">
        <v>69580</v>
      </c>
      <c r="FT1" s="15">
        <v>69764</v>
      </c>
      <c r="FU1" s="14">
        <v>69945</v>
      </c>
      <c r="FV1" s="14">
        <v>70129</v>
      </c>
      <c r="FW1" s="14">
        <v>70311</v>
      </c>
      <c r="FX1" s="15">
        <v>70495</v>
      </c>
      <c r="FY1" s="14">
        <v>70676</v>
      </c>
      <c r="FZ1" s="14">
        <v>70860</v>
      </c>
      <c r="GA1" s="14">
        <v>71041</v>
      </c>
      <c r="GB1" s="15">
        <v>71225</v>
      </c>
      <c r="GC1" s="14">
        <v>71406</v>
      </c>
      <c r="GD1" s="14">
        <v>71590</v>
      </c>
      <c r="GE1" s="14">
        <v>71772</v>
      </c>
      <c r="GF1" s="15">
        <v>71956</v>
      </c>
      <c r="GG1" s="14">
        <v>72137</v>
      </c>
      <c r="GH1" s="14">
        <v>72321</v>
      </c>
      <c r="GI1" s="14">
        <v>72502</v>
      </c>
      <c r="GJ1" s="15">
        <v>72686</v>
      </c>
      <c r="GK1" s="14">
        <v>72867</v>
      </c>
      <c r="GL1" s="14">
        <v>73051</v>
      </c>
      <c r="GM1" s="14">
        <v>73232</v>
      </c>
      <c r="GN1" s="15">
        <v>73416</v>
      </c>
      <c r="GO1" s="14">
        <v>73597</v>
      </c>
      <c r="GP1" s="14">
        <v>73781</v>
      </c>
      <c r="GQ1" s="14">
        <v>73962</v>
      </c>
      <c r="GR1" s="15">
        <v>74146</v>
      </c>
      <c r="GS1" s="14">
        <v>74327</v>
      </c>
      <c r="GT1" s="14">
        <v>74511</v>
      </c>
      <c r="GU1" s="14">
        <v>74693</v>
      </c>
      <c r="GV1" s="15">
        <v>74877</v>
      </c>
      <c r="GW1" s="14">
        <v>75058</v>
      </c>
      <c r="GX1" s="14">
        <v>75242</v>
      </c>
      <c r="GY1" s="14">
        <v>75423</v>
      </c>
      <c r="GZ1" s="15">
        <v>75607</v>
      </c>
      <c r="HA1" s="14">
        <v>75788</v>
      </c>
      <c r="HB1" s="14">
        <v>75972</v>
      </c>
      <c r="HC1" s="14">
        <v>76154</v>
      </c>
      <c r="HD1" s="15">
        <v>76338</v>
      </c>
      <c r="HE1" s="14">
        <v>76519</v>
      </c>
      <c r="HF1" s="14">
        <v>76703</v>
      </c>
      <c r="HG1" s="14">
        <v>76884</v>
      </c>
      <c r="HH1" s="15">
        <v>77068</v>
      </c>
      <c r="HI1" s="14">
        <v>77249</v>
      </c>
      <c r="HJ1" s="14">
        <v>77433</v>
      </c>
      <c r="HK1" s="14">
        <v>77615</v>
      </c>
      <c r="HL1" s="15">
        <v>77799</v>
      </c>
      <c r="HM1" s="14">
        <v>77980</v>
      </c>
      <c r="HN1" s="14">
        <v>78164</v>
      </c>
      <c r="HO1" s="14">
        <v>78345</v>
      </c>
      <c r="HP1" s="15">
        <v>78529</v>
      </c>
      <c r="HQ1" s="14">
        <v>78710</v>
      </c>
      <c r="HR1" s="14">
        <v>78894</v>
      </c>
      <c r="HS1" s="14">
        <v>79076</v>
      </c>
      <c r="HT1" s="15">
        <v>79260</v>
      </c>
      <c r="HU1" s="14">
        <v>79441</v>
      </c>
      <c r="HV1" s="14">
        <v>79625</v>
      </c>
      <c r="HW1" s="14">
        <v>79806</v>
      </c>
      <c r="HX1" s="15">
        <v>79990</v>
      </c>
      <c r="HY1" s="14">
        <v>80171</v>
      </c>
      <c r="HZ1" s="14">
        <v>80355</v>
      </c>
      <c r="IA1" s="14">
        <v>80537</v>
      </c>
      <c r="IB1" s="15">
        <v>80721</v>
      </c>
      <c r="IC1" s="14">
        <v>80902</v>
      </c>
      <c r="ID1" s="14">
        <v>81086</v>
      </c>
      <c r="IE1" s="14">
        <v>81267</v>
      </c>
      <c r="IF1" s="15">
        <v>81451</v>
      </c>
      <c r="IG1" s="14">
        <v>81632</v>
      </c>
      <c r="IH1" s="14">
        <v>81816</v>
      </c>
      <c r="II1" s="14">
        <v>81998</v>
      </c>
      <c r="IJ1" s="15">
        <v>82182</v>
      </c>
      <c r="IK1" s="14">
        <v>82363</v>
      </c>
      <c r="IL1" s="14">
        <v>82547</v>
      </c>
      <c r="IM1" s="14">
        <v>82728</v>
      </c>
      <c r="IN1" s="15">
        <v>82912</v>
      </c>
      <c r="IO1" s="14">
        <v>83093</v>
      </c>
      <c r="IP1" s="14">
        <v>83277</v>
      </c>
      <c r="IQ1" s="14">
        <v>83459</v>
      </c>
      <c r="IR1" s="15">
        <v>83643</v>
      </c>
      <c r="IS1" s="14">
        <v>83824</v>
      </c>
      <c r="IT1" s="14">
        <v>84008</v>
      </c>
      <c r="IU1" s="14">
        <v>84189</v>
      </c>
      <c r="IV1" s="15">
        <v>84373</v>
      </c>
    </row>
    <row r="2">
      <c r="A2" s="848" t="s">
        <v>124</v>
      </c>
      <c r="B2" s="849">
        <v>2</v>
      </c>
      <c r="D2" s="27" t="s">
        <v>125</v>
      </c>
      <c r="E2" s="28">
        <v>2</v>
      </c>
      <c r="G2" s="0">
        <v>0</v>
      </c>
      <c r="H2" s="0">
        <v>1</v>
      </c>
      <c r="I2" s="0">
        <v>2</v>
      </c>
      <c r="J2" s="0">
        <v>3</v>
      </c>
      <c r="K2" s="0">
        <v>4</v>
      </c>
      <c r="L2" s="0">
        <v>5</v>
      </c>
      <c r="M2" s="0">
        <v>6</v>
      </c>
      <c r="N2" s="0">
        <v>7</v>
      </c>
      <c r="O2" s="0">
        <v>8</v>
      </c>
      <c r="P2" s="0">
        <v>9</v>
      </c>
      <c r="Q2" s="0">
        <v>10</v>
      </c>
      <c r="R2" s="0">
        <v>11</v>
      </c>
      <c r="S2" s="0">
        <v>12</v>
      </c>
      <c r="T2" s="0">
        <v>13</v>
      </c>
      <c r="U2" s="0">
        <v>14</v>
      </c>
      <c r="V2" s="0">
        <v>15</v>
      </c>
      <c r="W2" s="0">
        <v>16</v>
      </c>
      <c r="X2" s="0">
        <v>17</v>
      </c>
      <c r="Y2" s="0">
        <v>18</v>
      </c>
      <c r="Z2" s="0">
        <v>19</v>
      </c>
      <c r="AA2" s="0">
        <v>20</v>
      </c>
      <c r="AB2" s="0">
        <v>21</v>
      </c>
      <c r="AC2" s="0">
        <v>22</v>
      </c>
      <c r="AD2" s="0">
        <v>23</v>
      </c>
      <c r="AE2" s="0">
        <v>24</v>
      </c>
      <c r="AF2" s="0">
        <v>25</v>
      </c>
      <c r="AG2" s="0">
        <v>26</v>
      </c>
      <c r="AH2" s="0">
        <v>27</v>
      </c>
      <c r="AI2" s="0">
        <v>28</v>
      </c>
      <c r="AJ2" s="0">
        <v>29</v>
      </c>
      <c r="AK2" s="0">
        <v>30</v>
      </c>
      <c r="AL2" s="0">
        <v>31</v>
      </c>
      <c r="AM2" s="0">
        <v>32</v>
      </c>
      <c r="AN2" s="0">
        <v>33</v>
      </c>
      <c r="AO2" s="0">
        <v>34</v>
      </c>
      <c r="AP2" s="0">
        <v>35</v>
      </c>
      <c r="AQ2" s="0">
        <v>36</v>
      </c>
      <c r="AR2" s="0">
        <v>37</v>
      </c>
      <c r="AS2" s="0">
        <v>38</v>
      </c>
      <c r="AT2" s="0">
        <v>39</v>
      </c>
      <c r="AU2" s="0">
        <v>40</v>
      </c>
      <c r="AV2" s="0">
        <v>41</v>
      </c>
      <c r="AW2" s="0">
        <v>42</v>
      </c>
      <c r="AX2" s="0">
        <v>43</v>
      </c>
      <c r="AY2" s="0">
        <v>44</v>
      </c>
      <c r="AZ2" s="0">
        <v>45</v>
      </c>
      <c r="BA2" s="0">
        <v>46</v>
      </c>
      <c r="BB2" s="0">
        <v>47</v>
      </c>
      <c r="BC2" s="0">
        <v>48</v>
      </c>
      <c r="BD2" s="0">
        <v>49</v>
      </c>
      <c r="BE2" s="0">
        <v>50</v>
      </c>
      <c r="BF2" s="0">
        <v>51</v>
      </c>
      <c r="BG2" s="0">
        <v>52</v>
      </c>
      <c r="BH2" s="0">
        <v>53</v>
      </c>
      <c r="BI2" s="0">
        <v>54</v>
      </c>
      <c r="BJ2" s="0">
        <v>55</v>
      </c>
      <c r="BK2" s="0">
        <v>56</v>
      </c>
      <c r="BL2" s="0">
        <v>57</v>
      </c>
      <c r="BM2" s="0">
        <v>58</v>
      </c>
      <c r="BN2" s="0">
        <v>59</v>
      </c>
      <c r="BO2" s="0">
        <v>60</v>
      </c>
      <c r="BP2" s="0">
        <v>61</v>
      </c>
      <c r="BQ2" s="0">
        <v>62</v>
      </c>
      <c r="BR2" s="0">
        <v>63</v>
      </c>
      <c r="BS2" s="0">
        <v>64</v>
      </c>
      <c r="BT2" s="0">
        <v>65</v>
      </c>
      <c r="BU2" s="0">
        <v>66</v>
      </c>
      <c r="BV2" s="0">
        <v>67</v>
      </c>
      <c r="BW2" s="0">
        <v>68</v>
      </c>
      <c r="BX2" s="0">
        <v>69</v>
      </c>
      <c r="BY2" s="0">
        <v>70</v>
      </c>
      <c r="BZ2" s="0">
        <v>71</v>
      </c>
      <c r="CA2" s="0">
        <v>72</v>
      </c>
      <c r="CB2" s="0">
        <v>73</v>
      </c>
      <c r="CC2" s="0">
        <v>74</v>
      </c>
      <c r="CD2" s="0">
        <v>75</v>
      </c>
      <c r="CE2" s="0">
        <v>76</v>
      </c>
      <c r="CF2" s="0">
        <v>77</v>
      </c>
      <c r="CG2" s="0">
        <v>78</v>
      </c>
      <c r="CH2" s="0">
        <v>79</v>
      </c>
      <c r="CI2" s="0">
        <v>80</v>
      </c>
      <c r="CJ2" s="0">
        <v>81</v>
      </c>
      <c r="CK2" s="0">
        <v>82</v>
      </c>
      <c r="CL2" s="0">
        <v>83</v>
      </c>
      <c r="CM2" s="0">
        <v>84</v>
      </c>
      <c r="CN2" s="0">
        <v>85</v>
      </c>
      <c r="CO2" s="0">
        <v>86</v>
      </c>
      <c r="CP2" s="0">
        <v>87</v>
      </c>
      <c r="CQ2" s="0">
        <v>88</v>
      </c>
      <c r="CR2" s="0">
        <v>89</v>
      </c>
      <c r="CS2" s="0">
        <v>90</v>
      </c>
      <c r="CT2" s="0">
        <v>91</v>
      </c>
      <c r="CU2" s="0">
        <v>92</v>
      </c>
      <c r="CV2" s="0">
        <v>93</v>
      </c>
      <c r="CW2" s="0">
        <v>94</v>
      </c>
      <c r="CX2" s="0">
        <v>95</v>
      </c>
      <c r="CY2" s="0">
        <v>96</v>
      </c>
      <c r="CZ2" s="0">
        <v>97</v>
      </c>
      <c r="DA2" s="0">
        <v>98</v>
      </c>
      <c r="DB2" s="0">
        <v>99</v>
      </c>
      <c r="DC2" s="0">
        <v>100</v>
      </c>
      <c r="DD2" s="0">
        <v>101</v>
      </c>
      <c r="DE2" s="0">
        <v>102</v>
      </c>
      <c r="DF2" s="0">
        <v>103</v>
      </c>
      <c r="DG2" s="0">
        <v>104</v>
      </c>
      <c r="DH2" s="0">
        <v>105</v>
      </c>
      <c r="DI2" s="0">
        <v>106</v>
      </c>
      <c r="DJ2" s="0">
        <v>107</v>
      </c>
      <c r="DK2" s="0">
        <v>108</v>
      </c>
      <c r="DL2" s="0">
        <v>109</v>
      </c>
      <c r="DM2" s="0">
        <v>110</v>
      </c>
      <c r="DN2" s="0">
        <v>111</v>
      </c>
      <c r="DO2" s="0">
        <v>112</v>
      </c>
      <c r="DP2" s="0">
        <v>113</v>
      </c>
      <c r="DQ2" s="0">
        <v>114</v>
      </c>
      <c r="DR2" s="0">
        <v>115</v>
      </c>
      <c r="DS2" s="0">
        <v>116</v>
      </c>
      <c r="DT2" s="0">
        <v>117</v>
      </c>
      <c r="DU2" s="0">
        <v>118</v>
      </c>
      <c r="DV2" s="0">
        <v>119</v>
      </c>
      <c r="DW2" s="0">
        <v>120</v>
      </c>
      <c r="DX2" s="0">
        <v>121</v>
      </c>
      <c r="DY2" s="0">
        <v>122</v>
      </c>
      <c r="DZ2" s="0">
        <v>123</v>
      </c>
      <c r="EA2" s="0">
        <v>124</v>
      </c>
      <c r="EB2" s="0">
        <v>125</v>
      </c>
      <c r="EC2" s="0">
        <v>126</v>
      </c>
      <c r="ED2" s="0">
        <v>127</v>
      </c>
      <c r="EE2" s="0">
        <v>128</v>
      </c>
      <c r="EF2" s="0">
        <v>129</v>
      </c>
      <c r="EG2" s="0">
        <v>130</v>
      </c>
      <c r="EH2" s="0">
        <v>131</v>
      </c>
      <c r="EI2" s="0">
        <v>132</v>
      </c>
      <c r="EJ2" s="0">
        <v>133</v>
      </c>
      <c r="EK2" s="0">
        <v>134</v>
      </c>
      <c r="EL2" s="0">
        <v>135</v>
      </c>
      <c r="EM2" s="0">
        <v>136</v>
      </c>
      <c r="EN2" s="0">
        <v>137</v>
      </c>
      <c r="EO2" s="0">
        <v>138</v>
      </c>
      <c r="EP2" s="0">
        <v>139</v>
      </c>
      <c r="EQ2" s="0">
        <v>140</v>
      </c>
      <c r="ER2" s="0">
        <v>141</v>
      </c>
      <c r="ES2" s="0">
        <v>142</v>
      </c>
      <c r="ET2" s="0">
        <v>143</v>
      </c>
      <c r="EU2" s="0">
        <v>144</v>
      </c>
      <c r="EV2" s="0">
        <v>145</v>
      </c>
      <c r="EW2" s="0">
        <v>146</v>
      </c>
      <c r="EX2" s="0">
        <v>147</v>
      </c>
      <c r="EY2" s="0">
        <v>148</v>
      </c>
      <c r="EZ2" s="0">
        <v>149</v>
      </c>
      <c r="FA2" s="0">
        <v>150</v>
      </c>
      <c r="FB2" s="0">
        <v>151</v>
      </c>
      <c r="FC2" s="0">
        <v>152</v>
      </c>
      <c r="FD2" s="0">
        <v>153</v>
      </c>
      <c r="FE2" s="0">
        <v>154</v>
      </c>
      <c r="FF2" s="0">
        <v>155</v>
      </c>
      <c r="FG2" s="0">
        <v>156</v>
      </c>
      <c r="FH2" s="0">
        <v>157</v>
      </c>
      <c r="FI2" s="0">
        <v>158</v>
      </c>
      <c r="FJ2" s="0">
        <v>159</v>
      </c>
      <c r="FK2" s="0">
        <v>160</v>
      </c>
      <c r="FL2" s="0">
        <v>161</v>
      </c>
      <c r="FM2" s="0">
        <v>162</v>
      </c>
      <c r="FN2" s="0">
        <v>163</v>
      </c>
      <c r="FO2" s="0">
        <v>164</v>
      </c>
      <c r="FP2" s="0">
        <v>165</v>
      </c>
      <c r="FQ2" s="0">
        <v>166</v>
      </c>
      <c r="FR2" s="0">
        <v>167</v>
      </c>
      <c r="FS2" s="0">
        <v>168</v>
      </c>
      <c r="FT2" s="0">
        <v>169</v>
      </c>
      <c r="FU2" s="0">
        <v>170</v>
      </c>
      <c r="FV2" s="0">
        <v>171</v>
      </c>
      <c r="FW2" s="0">
        <v>172</v>
      </c>
      <c r="FX2" s="0">
        <v>173</v>
      </c>
      <c r="FY2" s="0">
        <v>174</v>
      </c>
      <c r="FZ2" s="0">
        <v>175</v>
      </c>
      <c r="GA2" s="0">
        <v>176</v>
      </c>
      <c r="GB2" s="0">
        <v>177</v>
      </c>
      <c r="GC2" s="0">
        <v>178</v>
      </c>
      <c r="GD2" s="0">
        <v>179</v>
      </c>
      <c r="GE2" s="0">
        <v>180</v>
      </c>
      <c r="GF2" s="0">
        <v>181</v>
      </c>
      <c r="GG2" s="0">
        <v>182</v>
      </c>
      <c r="GH2" s="0">
        <v>183</v>
      </c>
      <c r="GI2" s="0">
        <v>184</v>
      </c>
      <c r="GJ2" s="0">
        <v>185</v>
      </c>
      <c r="GK2" s="0">
        <v>186</v>
      </c>
      <c r="GL2" s="0">
        <v>187</v>
      </c>
      <c r="GM2" s="0">
        <v>188</v>
      </c>
      <c r="GN2" s="0">
        <v>189</v>
      </c>
      <c r="GO2" s="0">
        <v>190</v>
      </c>
      <c r="GP2" s="0">
        <v>191</v>
      </c>
      <c r="GQ2" s="0">
        <v>192</v>
      </c>
      <c r="GR2" s="0">
        <v>193</v>
      </c>
      <c r="GS2" s="0">
        <v>194</v>
      </c>
      <c r="GT2" s="0">
        <v>195</v>
      </c>
      <c r="GU2" s="0">
        <v>196</v>
      </c>
      <c r="GV2" s="0">
        <v>197</v>
      </c>
      <c r="GW2" s="0">
        <v>198</v>
      </c>
      <c r="GX2" s="0">
        <v>199</v>
      </c>
      <c r="GY2" s="0">
        <v>200</v>
      </c>
      <c r="GZ2" s="0">
        <v>201</v>
      </c>
      <c r="HA2" s="0">
        <v>202</v>
      </c>
      <c r="HB2" s="0">
        <v>203</v>
      </c>
      <c r="HC2" s="0">
        <v>204</v>
      </c>
      <c r="HD2" s="0">
        <v>205</v>
      </c>
      <c r="HE2" s="0">
        <v>206</v>
      </c>
      <c r="HF2" s="0">
        <v>207</v>
      </c>
      <c r="HG2" s="0">
        <v>208</v>
      </c>
      <c r="HH2" s="0">
        <v>209</v>
      </c>
      <c r="HI2" s="0">
        <v>210</v>
      </c>
      <c r="HJ2" s="0">
        <v>211</v>
      </c>
      <c r="HK2" s="0">
        <v>212</v>
      </c>
      <c r="HL2" s="0">
        <v>213</v>
      </c>
      <c r="HM2" s="0">
        <v>214</v>
      </c>
      <c r="HN2" s="0">
        <v>215</v>
      </c>
      <c r="HO2" s="0">
        <v>216</v>
      </c>
      <c r="HP2" s="0">
        <v>217</v>
      </c>
      <c r="HQ2" s="0">
        <v>218</v>
      </c>
      <c r="HR2" s="0">
        <v>219</v>
      </c>
      <c r="HS2" s="0">
        <v>220</v>
      </c>
      <c r="HT2" s="0">
        <v>221</v>
      </c>
      <c r="HU2" s="0">
        <v>222</v>
      </c>
      <c r="HV2" s="0">
        <v>223</v>
      </c>
      <c r="HW2" s="0">
        <v>224</v>
      </c>
      <c r="HX2" s="0">
        <v>225</v>
      </c>
      <c r="HY2" s="0">
        <v>226</v>
      </c>
      <c r="HZ2" s="0">
        <v>227</v>
      </c>
      <c r="IA2" s="0">
        <v>228</v>
      </c>
      <c r="IB2" s="0">
        <v>229</v>
      </c>
      <c r="IC2" s="0">
        <v>230</v>
      </c>
      <c r="ID2" s="0">
        <v>231</v>
      </c>
      <c r="IE2" s="0">
        <v>232</v>
      </c>
      <c r="IF2" s="0">
        <v>233</v>
      </c>
      <c r="IG2" s="0">
        <v>234</v>
      </c>
      <c r="IH2" s="0">
        <v>235</v>
      </c>
      <c r="II2" s="0">
        <v>236</v>
      </c>
      <c r="IJ2" s="0">
        <v>237</v>
      </c>
      <c r="IK2" s="0">
        <v>238</v>
      </c>
      <c r="IL2" s="0">
        <v>239</v>
      </c>
      <c r="IM2" s="0">
        <v>240</v>
      </c>
      <c r="IN2" s="0">
        <v>241</v>
      </c>
      <c r="IO2" s="0">
        <v>242</v>
      </c>
      <c r="IP2" s="0">
        <v>243</v>
      </c>
      <c r="IQ2" s="0">
        <v>244</v>
      </c>
      <c r="IR2" s="0">
        <v>245</v>
      </c>
      <c r="IS2" s="0">
        <v>246</v>
      </c>
      <c r="IT2" s="0">
        <v>247</v>
      </c>
      <c r="IU2" s="0">
        <v>248</v>
      </c>
      <c r="IV2" s="0">
        <v>249</v>
      </c>
    </row>
    <row r="3">
      <c r="A3" s="846" t="s">
        <v>126</v>
      </c>
      <c r="B3" s="847">
        <v>3</v>
      </c>
      <c r="D3" s="27" t="s">
        <v>127</v>
      </c>
      <c r="E3" s="28">
        <v>3</v>
      </c>
    </row>
    <row r="4">
      <c r="A4" s="848" t="s">
        <v>128</v>
      </c>
      <c r="B4" s="849">
        <v>4</v>
      </c>
      <c r="D4" s="27" t="s">
        <v>129</v>
      </c>
      <c r="E4" s="28">
        <v>4</v>
      </c>
    </row>
    <row r="5" ht="13.5">
      <c r="A5" s="846" t="s">
        <v>130</v>
      </c>
      <c r="B5" s="847">
        <v>5</v>
      </c>
      <c r="D5" s="37" t="s">
        <v>131</v>
      </c>
      <c r="E5" s="26">
        <v>5</v>
      </c>
    </row>
    <row r="6">
      <c r="A6" s="850" t="s">
        <v>132</v>
      </c>
      <c r="B6" s="849">
        <v>6</v>
      </c>
    </row>
    <row r="7">
      <c r="A7" s="846" t="s">
        <v>133</v>
      </c>
      <c r="B7" s="847">
        <v>7</v>
      </c>
    </row>
    <row r="8">
      <c r="A8" s="848" t="s">
        <v>134</v>
      </c>
      <c r="B8" s="849">
        <v>8</v>
      </c>
      <c r="G8" s="16" t="s">
        <v>8</v>
      </c>
    </row>
    <row r="9" ht="13.5">
      <c r="A9" s="846" t="s">
        <v>135</v>
      </c>
      <c r="B9" s="847">
        <v>9</v>
      </c>
      <c r="G9" s="16" t="s">
        <v>9</v>
      </c>
      <c r="H9" s="39"/>
    </row>
    <row r="10">
      <c r="A10" s="848" t="s">
        <v>136</v>
      </c>
      <c r="B10" s="849">
        <v>10</v>
      </c>
      <c r="D10" s="498" t="s">
        <v>137</v>
      </c>
      <c r="E10" s="499">
        <f>INDEX(B:B,COUNT(B:B))</f>
        <v>0</v>
      </c>
      <c r="G10" s="16" t="s">
        <v>10</v>
      </c>
    </row>
    <row r="11" ht="13.5">
      <c r="A11" s="846" t="s">
        <v>138</v>
      </c>
      <c r="B11" s="847">
        <v>11</v>
      </c>
      <c r="D11" s="38" t="s">
        <v>1</v>
      </c>
      <c r="E11" s="132">
        <v>1</v>
      </c>
      <c r="G11" s="16" t="s">
        <v>11</v>
      </c>
    </row>
    <row r="12">
      <c r="A12" s="848" t="s">
        <v>139</v>
      </c>
      <c r="B12" s="849">
        <v>12</v>
      </c>
      <c r="G12" s="16" t="s">
        <v>12</v>
      </c>
    </row>
    <row r="13" ht="13.5">
      <c r="A13" s="846" t="s">
        <v>140</v>
      </c>
      <c r="B13" s="847">
        <v>13</v>
      </c>
      <c r="G13" s="16" t="s">
        <v>13</v>
      </c>
    </row>
    <row r="14" ht="13.5">
      <c r="A14" s="848" t="s">
        <v>141</v>
      </c>
      <c r="B14" s="849">
        <v>14</v>
      </c>
      <c r="D14" s="501" t="s">
        <v>142</v>
      </c>
      <c r="E14" s="500">
        <f>DATE( YEAR(INDEX(A:A,COUNT(B:B)))+ 5,MONTH((INDEX(A:A,COUNT(B:B)))),DAY((INDEX(A:A,COUNT(B:B)))))</f>
        <v>1827</v>
      </c>
      <c r="G14" s="16" t="s">
        <v>109</v>
      </c>
    </row>
    <row r="15">
      <c r="A15" s="846" t="s">
        <v>143</v>
      </c>
      <c r="B15" s="847">
        <v>15</v>
      </c>
      <c r="G15" s="16" t="s">
        <v>110</v>
      </c>
    </row>
    <row r="16">
      <c r="A16" s="848" t="s">
        <v>144</v>
      </c>
      <c r="B16" s="849">
        <v>16</v>
      </c>
      <c r="G16" s="16" t="s">
        <v>16</v>
      </c>
    </row>
    <row r="17">
      <c r="A17" s="846" t="s">
        <v>145</v>
      </c>
      <c r="B17" s="847">
        <v>17</v>
      </c>
      <c r="G17" s="16" t="s">
        <v>17</v>
      </c>
    </row>
    <row r="18">
      <c r="A18" s="848" t="s">
        <v>146</v>
      </c>
      <c r="B18" s="849">
        <v>18</v>
      </c>
      <c r="G18" s="16" t="s">
        <v>18</v>
      </c>
    </row>
    <row r="19">
      <c r="A19" s="846" t="s">
        <v>147</v>
      </c>
      <c r="B19" s="847">
        <v>19</v>
      </c>
      <c r="G19" s="16" t="s">
        <v>19</v>
      </c>
    </row>
    <row r="20">
      <c r="A20" s="848" t="s">
        <v>148</v>
      </c>
      <c r="B20" s="849">
        <v>20</v>
      </c>
      <c r="G20" s="16" t="s">
        <v>20</v>
      </c>
    </row>
    <row r="21">
      <c r="A21" s="846" t="s">
        <v>149</v>
      </c>
      <c r="B21" s="847">
        <v>21</v>
      </c>
      <c r="G21" s="16" t="s">
        <v>21</v>
      </c>
    </row>
    <row r="22">
      <c r="A22" s="848" t="s">
        <v>150</v>
      </c>
      <c r="B22" s="849">
        <v>22</v>
      </c>
      <c r="G22" s="16" t="s">
        <v>22</v>
      </c>
    </row>
    <row r="23">
      <c r="A23" s="846" t="s">
        <v>151</v>
      </c>
      <c r="B23" s="847">
        <v>23</v>
      </c>
      <c r="G23" s="16" t="s">
        <v>23</v>
      </c>
    </row>
    <row r="24">
      <c r="A24" s="848" t="s">
        <v>152</v>
      </c>
      <c r="B24" s="849">
        <v>24</v>
      </c>
      <c r="G24" s="16" t="s">
        <v>24</v>
      </c>
    </row>
    <row r="25">
      <c r="A25" s="846" t="s">
        <v>153</v>
      </c>
      <c r="B25" s="847">
        <v>25</v>
      </c>
      <c r="G25" s="16" t="s">
        <v>25</v>
      </c>
    </row>
    <row r="26" ht="15.75">
      <c r="A26" s="848" t="s">
        <v>154</v>
      </c>
      <c r="B26" s="849">
        <v>26</v>
      </c>
      <c r="G26" s="16" t="s">
        <v>26</v>
      </c>
      <c r="J26" s="504" t="s">
        <v>155</v>
      </c>
    </row>
    <row r="27">
      <c r="A27" s="846" t="s">
        <v>156</v>
      </c>
      <c r="B27" s="847">
        <v>27</v>
      </c>
      <c r="G27" s="16" t="s">
        <v>7</v>
      </c>
    </row>
    <row r="28">
      <c r="A28" s="848" t="s">
        <v>157</v>
      </c>
      <c r="B28" s="849">
        <v>28</v>
      </c>
    </row>
    <row r="29">
      <c r="A29" s="846" t="s">
        <v>158</v>
      </c>
      <c r="B29" s="847">
        <v>29</v>
      </c>
    </row>
    <row r="30" ht="13.5" customHeight="1">
      <c r="A30" s="848" t="s">
        <v>159</v>
      </c>
      <c r="B30" s="849">
        <v>30</v>
      </c>
    </row>
    <row r="31" ht="13.5" customHeight="1">
      <c r="A31" s="33"/>
      <c r="B31" s="34"/>
      <c r="H31" s="503"/>
      <c r="I31" s="503"/>
      <c r="J31" s="503"/>
      <c r="K31" s="503"/>
      <c r="L31" s="503"/>
      <c r="M31" s="503"/>
      <c r="N31" s="503"/>
    </row>
    <row r="32" ht="13.5" customHeight="1">
      <c r="A32" s="33"/>
      <c r="B32" s="34"/>
      <c r="G32" s="502" t="s">
        <v>160</v>
      </c>
      <c r="H32" s="819" t="str">
        <f> CONCATENATE("Distribución del Total de las Explotaciones por C.A.
(Sólo con Estado de Alta)(",CONCATENATE(DAY(AUX!E14)," de ",TEXT(AUX!E14,"MMMM")," de ",YEAR(AUX!E14)),")")</f>
        <v>Distribución del Total de las Explotaciones por C.A._x000A__x000A_(Sólo con Estado de Alta)(31 de diciembre de 1904)</v>
      </c>
      <c r="I32" s="820"/>
      <c r="J32" s="820"/>
      <c r="K32" s="820"/>
      <c r="L32" s="820"/>
      <c r="M32" s="820"/>
      <c r="N32" s="820"/>
      <c r="O32" s="821"/>
    </row>
    <row r="33" ht="13.5" customHeight="1">
      <c r="A33" s="33"/>
      <c r="B33" s="34"/>
      <c r="G33" s="502" t="s">
        <v>161</v>
      </c>
      <c r="H33" s="819" t="str">
        <f> CONCATENATE("Distribución del Censo Total de Bovino por C.A. 
(",CONCATENATE(DAY(AUX!E$14)," de ",TEXT(AUX!E$14,"MMMM")," de ",YEAR(AUX!E$14)),")")</f>
        <v>Distribución del Censo Total de Bovino por C.A. _x000A__x000A_(31 de diciembre de 1904)</v>
      </c>
      <c r="I33" s="820"/>
      <c r="J33" s="820"/>
      <c r="K33" s="820"/>
      <c r="L33" s="820"/>
      <c r="M33" s="820"/>
      <c r="N33" s="820"/>
      <c r="O33" s="821"/>
    </row>
    <row r="34" ht="13.5" customHeight="1">
      <c r="A34" s="33"/>
      <c r="B34" s="34"/>
      <c r="G34" s="502" t="s">
        <v>162</v>
      </c>
      <c r="H34" s="819" t="str">
        <f> CONCATENATE("Distribución de las Subexplotaciones de Bovino por 
Clasificación Zootécnica y C.A.  
(",CONCATENATE(DAY(AUX!E$14)," de ",TEXT(AUX!E$14,"MMMM")," de ",YEAR(AUX!E$14)),")")</f>
        <v>Distribución de las Subexplotaciones de Bovino por _x000A__x000A_Clasificación Zootécnica y C.A.  _x000A__x000A_(31 de diciembre de 1904)</v>
      </c>
      <c r="I34" s="820"/>
      <c r="J34" s="820"/>
      <c r="K34" s="820"/>
      <c r="L34" s="820"/>
      <c r="M34" s="820"/>
      <c r="N34" s="820"/>
      <c r="O34" s="821"/>
    </row>
    <row r="35" ht="13.5" customHeight="1">
      <c r="A35" s="33"/>
      <c r="B35" s="34"/>
      <c r="G35" s="502" t="s">
        <v>163</v>
      </c>
      <c r="H35" s="819" t="str">
        <f> CONCATENATE("Distribución del Censo Total de Porcino por C.A. y Categorías 
(",CONCATENATE(DAY(AUX!E$14)," de ",TEXT(AUX!E$14,"MMMM")," de ",YEAR(AUX!E$14)),")")</f>
        <v>Distribución del Censo Total de Porcino por C.A. y Categorías _x000A__x000A_(31 de diciembre de 1904)</v>
      </c>
      <c r="I35" s="820"/>
      <c r="J35" s="820"/>
      <c r="K35" s="820"/>
      <c r="L35" s="820"/>
      <c r="M35" s="820"/>
      <c r="N35" s="820"/>
      <c r="O35" s="821"/>
    </row>
    <row r="36" ht="13.5" customHeight="1">
      <c r="A36" s="33"/>
      <c r="B36" s="34"/>
      <c r="G36" s="502" t="s">
        <v>164</v>
      </c>
      <c r="H36" s="819" t="str">
        <f> CONCATENATE("Distribución de las Subexplotaciones de Porcino por clasificación zootécnica 
(",CONCATENATE(DAY(AUX!E$14)," de ",TEXT(AUX!E$14,"MMMM")," de ",YEAR(AUX!E$14)),")")</f>
        <v>Distribución de las Subexplotaciones de Porcino por clasificación zootécnica _x000A__x000A_(31 de diciembre de 1904)</v>
      </c>
      <c r="I36" s="820"/>
      <c r="J36" s="820"/>
      <c r="K36" s="820"/>
      <c r="L36" s="820"/>
      <c r="M36" s="820"/>
      <c r="N36" s="820"/>
      <c r="O36" s="821"/>
    </row>
    <row r="37" ht="13.5" customHeight="1">
      <c r="A37" s="33"/>
      <c r="B37" s="34"/>
      <c r="G37" s="502" t="s">
        <v>165</v>
      </c>
      <c r="H37" s="819" t="str">
        <f> CONCATENATE("Distribución del Total del Censo de Caprino por C.A. 
(",CONCATENATE(DAY(AUX!E$14)," de ",TEXT(AUX!E$14,"MMMM")," de ",YEAR(AUX!E$14)),")")</f>
        <v>Distribución del Total del Censo de Caprino por C.A. _x000A__x000A_(31 de diciembre de 1904)</v>
      </c>
      <c r="I37" s="820"/>
      <c r="J37" s="820"/>
      <c r="K37" s="820"/>
      <c r="L37" s="820"/>
      <c r="M37" s="820"/>
      <c r="N37" s="820"/>
      <c r="O37" s="821"/>
    </row>
    <row r="38" ht="13.5" customHeight="1">
      <c r="A38" s="33"/>
      <c r="B38" s="34"/>
      <c r="G38" s="502" t="s">
        <v>166</v>
      </c>
      <c r="H38" s="819" t="str">
        <f> CONCATENATE("Distribución de las Subexplotaciones de Caprino 
por Clasificación Zootécnica y C.A.  
(",CONCATENATE(DAY(AUX!E$14)," de ",TEXT(AUX!E$14,"MMMM")," de ",YEAR(AUX!E$14)),")")</f>
        <v>Distribución de las Subexplotaciones de Caprino _x000A__x000A_por Clasificación Zootécnica y C.A.  _x000A__x000A_(31 de diciembre de 1904)</v>
      </c>
      <c r="I38" s="820"/>
      <c r="J38" s="820"/>
      <c r="K38" s="820"/>
      <c r="L38" s="820"/>
      <c r="M38" s="820"/>
      <c r="N38" s="820"/>
      <c r="O38" s="821"/>
    </row>
    <row r="39" ht="13.5" customHeight="1">
      <c r="G39" s="502" t="s">
        <v>167</v>
      </c>
      <c r="H39" s="819" t="str">
        <f> CONCATENATE("Distribución del Total del Censo de Ovino por C.A. 
(",CONCATENATE(DAY(AUX!E$14)," de ",TEXT(AUX!E$14,"MMMM")," de ",YEAR(AUX!E$14)),")")</f>
        <v>Distribución del Total del Censo de Ovino por C.A. _x000A__x000A_(31 de diciembre de 1904)</v>
      </c>
      <c r="I39" s="820"/>
      <c r="J39" s="820"/>
      <c r="K39" s="820"/>
      <c r="L39" s="820"/>
      <c r="M39" s="820"/>
      <c r="N39" s="820"/>
      <c r="O39" s="821"/>
    </row>
    <row r="40" ht="13.5" customHeight="1">
      <c r="G40" s="502" t="s">
        <v>168</v>
      </c>
      <c r="H40" s="819" t="str">
        <f> CONCATENATE("Distribución de las Subexplotaciones de Ovino 
por Clasificación Zootécnica y C.A.  
(",CONCATENATE(DAY(AUX!E$14)," de ",TEXT(AUX!E$14,"MMMM")," de ",YEAR(AUX!E$14)),")")</f>
        <v>Distribución de las Subexplotaciones de Ovino _x000A__x000A_por Clasificación Zootécnica y C.A.  _x000A__x000A_(31 de diciembre de 1904)</v>
      </c>
      <c r="I40" s="820"/>
      <c r="J40" s="820"/>
      <c r="K40" s="820"/>
      <c r="L40" s="820"/>
      <c r="M40" s="820"/>
      <c r="N40" s="820"/>
      <c r="O40" s="821"/>
    </row>
    <row r="41" ht="13.5" customHeight="1">
      <c r="G41" s="502" t="s">
        <v>169</v>
      </c>
      <c r="H41" s="819" t="str">
        <f> CONCATENATE("Distribución del Total del Censo de Abejas por C.A. 
(",CONCATENATE(DAY(AUX!E$14)," de ",TEXT(AUX!E$14,"MMMM")," de ",YEAR(AUX!E$14)),")")</f>
        <v>Distribución del Total del Censo de Abejas por C.A. _x000A__x000A_(31 de diciembre de 1904)</v>
      </c>
      <c r="I41" s="820"/>
      <c r="J41" s="820"/>
      <c r="K41" s="820"/>
      <c r="L41" s="820"/>
      <c r="M41" s="820"/>
      <c r="N41" s="820"/>
      <c r="O41" s="821"/>
    </row>
    <row r="42" ht="13.5" customHeight="1">
      <c r="G42" s="502" t="s">
        <v>170</v>
      </c>
      <c r="H42" s="819" t="str">
        <f> CONCATENATE("Distribución de las Subexplotaciones de Abejas
por Clasificación Zootécnica y C.A.
(",CONCATENATE(DAY(AUX!E$14)," de ",TEXT(AUX!E$14,"MMMM")," de ",YEAR(AUX!E$14)),")")</f>
        <v>Distribución de las Subexplotaciones de Abejas_x000A_ _x000A_por Clasificación Zootécnica y C.A._x000A__x000A_(31 de diciembre de 1904)</v>
      </c>
      <c r="I42" s="820"/>
      <c r="J42" s="820"/>
      <c r="K42" s="820"/>
      <c r="L42" s="820"/>
      <c r="M42" s="820"/>
      <c r="N42" s="820"/>
      <c r="O42" s="821"/>
    </row>
    <row r="43" ht="13.5" customHeight="1">
      <c r="G43" s="502" t="s">
        <v>171</v>
      </c>
      <c r="H43" s="819" t="str">
        <f> CONCATENATE("Distribución del Censo Total de Equino por C.A.
(",CONCATENATE(DAY(AUX!E$14)," de ",TEXT(AUX!E$14,"MMMM")," de ",YEAR(AUX!E$14)),")")</f>
        <v>Distribución del Censo Total de Equino por C.A._x000A__x000A_(31 de diciembre de 1904)</v>
      </c>
      <c r="I43" s="820"/>
      <c r="J43" s="820"/>
      <c r="K43" s="820"/>
      <c r="L43" s="820"/>
      <c r="M43" s="820"/>
      <c r="N43" s="820"/>
      <c r="O43" s="821"/>
    </row>
    <row r="44" ht="13.5" customHeight="1">
      <c r="G44" s="502" t="s">
        <v>172</v>
      </c>
      <c r="H44" s="819" t="str">
        <f> CONCATENATE("Distribución de las Subexplotaciones de Equino 
por Clasificación Zootécnica y C.A.  
(",CONCATENATE(DAY(AUX!E$14)," de ",TEXT(AUX!E$14,"MMMM")," de ",YEAR(AUX!E$14)),")")</f>
        <v>Distribución de las Subexplotaciones de Equino _x000A__x000A_por Clasificación Zootécnica y C.A.  _x000A__x000A_(31 de diciembre de 1904)</v>
      </c>
      <c r="I44" s="820"/>
      <c r="J44" s="820"/>
      <c r="K44" s="820"/>
      <c r="L44" s="820"/>
      <c r="M44" s="820"/>
      <c r="N44" s="820"/>
      <c r="O44" s="821"/>
    </row>
    <row r="45" ht="13.5" customHeight="1">
      <c r="G45" s="502" t="s">
        <v>173</v>
      </c>
      <c r="H45" s="819" t="str">
        <f> CONCATENATE("Distribución del Total del Censo de Gallinas por C.A. 
(",CONCATENATE(DAY(AUX!E$14)," de ",TEXT(AUX!E$14,"MMMM")," de ",YEAR(AUX!E$14)),")")</f>
        <v>Distribución del Total del Censo de Gallinas por C.A. _x000A__x000A_(31 de diciembre de 1904)</v>
      </c>
      <c r="I45" s="820"/>
      <c r="J45" s="820"/>
      <c r="K45" s="820"/>
      <c r="L45" s="820"/>
      <c r="M45" s="820"/>
      <c r="N45" s="820"/>
      <c r="O45" s="821"/>
    </row>
    <row r="46" ht="13.5" customHeight="1">
      <c r="G46" s="502" t="s">
        <v>174</v>
      </c>
      <c r="H46" s="819" t="str">
        <f> CONCATENATE("Distribución del Total de las Subexplotaciones de Gallinas por C.A. 
(",CONCATENATE(DAY(AUX!E$14)," de ",TEXT(AUX!E$14,"MMMM")," de ",YEAR(AUX!E$14)),")")</f>
        <v>Distribución del Total de las Subexplotaciones de Gallinas por C.A. _x000A__x000A_(31 de diciembre de 1904)</v>
      </c>
      <c r="I46" s="820"/>
      <c r="J46" s="820"/>
      <c r="K46" s="820"/>
      <c r="L46" s="820"/>
      <c r="M46" s="820"/>
      <c r="N46" s="820"/>
      <c r="O46" s="821"/>
    </row>
    <row r="47" ht="13.5" customHeight="1">
      <c r="G47" s="502" t="s">
        <v>175</v>
      </c>
      <c r="H47" s="819" t="str">
        <f> CONCATENATE("Distribución del total de Censo de Pavos por C.A.
(",CONCATENATE(DAY(AUX!E$14)," de ",TEXT(AUX!E$14,"MMMM")," de ",YEAR(AUX!E$14)),")")</f>
        <v>Distribución del total de Censo de Pavos por C.A._x000A__x000A_(31 de diciembre de 1904)</v>
      </c>
      <c r="I47" s="820"/>
      <c r="J47" s="820"/>
      <c r="K47" s="820"/>
      <c r="L47" s="820"/>
      <c r="M47" s="820"/>
      <c r="N47" s="820"/>
      <c r="O47" s="821"/>
    </row>
    <row r="48" ht="13.5" customHeight="1">
      <c r="G48" s="502" t="s">
        <v>176</v>
      </c>
      <c r="H48" s="819" t="str">
        <f> CONCATENATE("Distribución del total de las Subexplotaciones de Pavos por C.A.
(",CONCATENATE(DAY(AUX!E$14)," de ",TEXT(AUX!E$14,"MMMM")," de ",YEAR(AUX!E$14)),")")</f>
        <v>Distribución del total de las Subexplotaciones de Pavos por C.A._x000A__x000A_(31 de diciembre de 1904)</v>
      </c>
      <c r="I48" s="820"/>
      <c r="J48" s="820"/>
      <c r="K48" s="820"/>
      <c r="L48" s="820"/>
      <c r="M48" s="820"/>
      <c r="N48" s="820"/>
      <c r="O48" s="821"/>
    </row>
    <row r="49" ht="13.5" customHeight="1">
      <c r="G49" s="502" t="s">
        <v>177</v>
      </c>
      <c r="H49" s="819" t="str">
        <f> CONCATENATE("Distribución del total del Censo de Patos por C.A.
(",CONCATENATE(DAY(AUX!E$14)," de ",TEXT(AUX!E$14,"MMMM")," de ",YEAR(AUX!E$14)),")")</f>
        <v>Distribución del total del Censo de Patos por C.A._x000A__x000A_(31 de diciembre de 1904)</v>
      </c>
      <c r="I49" s="820"/>
      <c r="J49" s="820"/>
      <c r="K49" s="820"/>
      <c r="L49" s="820"/>
      <c r="M49" s="820"/>
      <c r="N49" s="820"/>
      <c r="O49" s="821"/>
    </row>
    <row r="50" ht="13.5" customHeight="1">
      <c r="G50" s="502" t="s">
        <v>178</v>
      </c>
      <c r="H50" s="819" t="str">
        <f> CONCATENATE("Distribución del total de las Subexplotaciones de Patos por C.A.
(",CONCATENATE(DAY(AUX!E$14)," de ",TEXT(AUX!E$14,"MMMM")," de ",YEAR(AUX!E$14)),")")</f>
        <v>Distribución del total de las Subexplotaciones de Patos por C.A._x000A__x000A_(31 de diciembre de 1904)</v>
      </c>
      <c r="I50" s="820"/>
      <c r="J50" s="820"/>
      <c r="K50" s="820"/>
      <c r="L50" s="820"/>
      <c r="M50" s="820"/>
      <c r="N50" s="820"/>
      <c r="O50" s="821"/>
    </row>
    <row r="51" ht="13.5" customHeight="1">
      <c r="G51" s="502" t="s">
        <v>179</v>
      </c>
      <c r="H51" s="819" t="str">
        <f> CONCATENATE("Distribución del total del Censo de Conejos por C.A.
(",CONCATENATE(DAY(AUX!E$14)," de ",TEXT(AUX!E$14,"MMMM")," de ",YEAR(AUX!E$14)),")")</f>
        <v>Distribución del total del Censo de Conejos por C.A._x000A__x000A_(31 de diciembre de 1904)</v>
      </c>
      <c r="I51" s="820"/>
      <c r="J51" s="820"/>
      <c r="K51" s="820"/>
      <c r="L51" s="820"/>
      <c r="M51" s="820"/>
      <c r="N51" s="820"/>
      <c r="O51" s="821"/>
    </row>
    <row r="52" ht="13.5" customHeight="1">
      <c r="G52" s="502" t="s">
        <v>180</v>
      </c>
      <c r="H52" s="819" t="str">
        <f> CONCATENATE("Distribución del total de Subexplotaciones de Conejos por C.A.
(",CONCATENATE(DAY(AUX!E$14)," de ",TEXT(AUX!E$14,"MMMM")," de ",YEAR(AUX!E$14)),")")</f>
        <v>Distribución del total de Subexplotaciones de Conejos por C.A._x000A__x000A_(31 de diciembre de 1904)</v>
      </c>
      <c r="I52" s="820"/>
      <c r="J52" s="820"/>
      <c r="K52" s="820"/>
      <c r="L52" s="820"/>
      <c r="M52" s="820"/>
      <c r="N52" s="820"/>
      <c r="O52" s="821"/>
    </row>
  </sheetData>
  <sheetProtection sheet="1" autoFilter="0" objects="1" scenarios="1" sort="0" password="ed66"/>
  <mergeCells>
    <mergeCell ref="H32:O32"/>
    <mergeCell ref="H33:O33"/>
    <mergeCell ref="H34:O34"/>
    <mergeCell ref="H35:O35"/>
    <mergeCell ref="H47:O47"/>
    <mergeCell ref="H36:O36"/>
    <mergeCell ref="H37:O37"/>
    <mergeCell ref="H38:O38"/>
    <mergeCell ref="H39:O39"/>
    <mergeCell ref="H40:O40"/>
    <mergeCell ref="H41:O41"/>
    <mergeCell ref="H42:O42"/>
    <mergeCell ref="H43:O43"/>
    <mergeCell ref="H44:O44"/>
    <mergeCell ref="H45:O45"/>
    <mergeCell ref="H46:O46"/>
    <mergeCell ref="H48:O48"/>
    <mergeCell ref="H49:O49"/>
    <mergeCell ref="H50:O50"/>
    <mergeCell ref="H51:O51"/>
    <mergeCell ref="H52:O52"/>
  </mergeCells>
  <phoneticPr fontId="3" type="noConversion"/>
  <pageMargins left="0.75" right="0.75" top="1" bottom="1" header="0" footer="0"/>
  <pageSetup paperSize="9" orientation="portrait" verticalDpi="0"/>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mc:Ignorable="x14ac xr">
  <sheetPr codeName="Hoja4">
    <tabColor indexed="18"/>
  </sheetPr>
  <dimension ref="A1:O44"/>
  <sheetViews>
    <sheetView showGridLines="0" view="pageBreakPreview" zoomScale="75" zoomScaleNormal="100" workbookViewId="0">
      <selection activeCell="A7" sqref="A7"/>
    </sheetView>
  </sheetViews>
  <sheetFormatPr baseColWidth="10" defaultRowHeight="12.75"/>
  <cols>
    <col min="1" max="1" width="5.140625" customWidth="1" style="51"/>
    <col min="2" max="8" width="11.42578125" customWidth="1" style="51"/>
    <col min="9" max="9" width="8.28515625" customWidth="1" style="51"/>
    <col min="10" max="13" width="11.42578125" customWidth="1" style="51"/>
    <col min="14" max="14" width="11.42578125" customWidth="1" style="51"/>
    <col min="15" max="16384" width="11.42578125" customWidth="1" style="51"/>
  </cols>
  <sheetData>
    <row r="1">
      <c r="A1" s="46"/>
      <c r="B1" s="47"/>
      <c r="C1" s="47"/>
      <c r="D1" s="47"/>
      <c r="E1" s="47"/>
      <c r="F1" s="47"/>
      <c r="G1" s="47"/>
      <c r="H1" s="47"/>
      <c r="I1" s="47"/>
      <c r="J1" s="47"/>
      <c r="K1" s="47"/>
      <c r="L1" s="48"/>
      <c r="M1" s="49"/>
      <c r="N1" s="50"/>
      <c r="O1" s="50"/>
    </row>
    <row r="2">
      <c r="A2" s="52"/>
      <c r="B2" s="49"/>
      <c r="C2" s="49"/>
      <c r="D2" s="49"/>
      <c r="E2" s="49"/>
      <c r="F2" s="49"/>
      <c r="G2" s="49"/>
      <c r="H2" s="49"/>
      <c r="I2" s="49"/>
      <c r="J2" s="49"/>
      <c r="K2" s="49"/>
      <c r="L2" s="53"/>
      <c r="M2" s="49"/>
      <c r="N2" s="50"/>
      <c r="O2" s="50"/>
    </row>
    <row r="3">
      <c r="A3" s="52"/>
      <c r="B3" s="49"/>
      <c r="C3" s="49"/>
      <c r="D3" s="49"/>
      <c r="E3" s="49"/>
      <c r="F3" s="49"/>
      <c r="G3" s="49"/>
      <c r="H3" s="49"/>
      <c r="I3" s="49"/>
      <c r="J3" s="49"/>
      <c r="K3" s="49"/>
      <c r="L3" s="53"/>
      <c r="M3" s="49"/>
      <c r="N3" s="50"/>
      <c r="O3" s="50"/>
    </row>
    <row r="4">
      <c r="A4" s="52"/>
      <c r="B4" s="49"/>
      <c r="C4" s="49"/>
      <c r="D4" s="49"/>
      <c r="E4" s="49"/>
      <c r="F4" s="49"/>
      <c r="G4" s="49"/>
      <c r="H4" s="49"/>
      <c r="I4" s="49"/>
      <c r="J4" s="49"/>
      <c r="K4" s="49"/>
      <c r="L4" s="53"/>
      <c r="M4" s="49"/>
      <c r="N4" s="50"/>
      <c r="O4" s="50"/>
    </row>
    <row r="5">
      <c r="A5" s="52"/>
      <c r="B5" s="49"/>
      <c r="C5" s="49"/>
      <c r="D5" s="49"/>
      <c r="E5" s="49"/>
      <c r="F5" s="49"/>
      <c r="G5" s="49"/>
      <c r="H5" s="49"/>
      <c r="I5" s="49"/>
      <c r="J5" s="49"/>
      <c r="K5" s="49"/>
      <c r="L5" s="53"/>
      <c r="M5" s="49"/>
      <c r="N5" s="50"/>
      <c r="O5" s="50"/>
    </row>
    <row r="6" ht="13.5">
      <c r="A6" s="54"/>
      <c r="B6" s="55"/>
      <c r="C6" s="55"/>
      <c r="D6" s="55"/>
      <c r="E6" s="55"/>
      <c r="F6" s="55"/>
      <c r="G6" s="55"/>
      <c r="H6" s="55"/>
      <c r="I6" s="55"/>
      <c r="J6" s="55"/>
      <c r="K6" s="55"/>
      <c r="L6" s="56"/>
      <c r="M6" s="49"/>
      <c r="N6" s="50"/>
      <c r="O6" s="50"/>
    </row>
    <row r="7">
      <c r="M7" s="50"/>
      <c r="N7" s="50"/>
      <c r="O7" s="50"/>
    </row>
    <row r="8" ht="42" customHeight="1">
      <c r="M8" s="50"/>
      <c r="N8" s="50"/>
      <c r="O8" s="50"/>
    </row>
    <row r="9" ht="24">
      <c r="B9" s="546" t="s">
        <v>53</v>
      </c>
      <c r="C9" s="547"/>
      <c r="D9" s="548"/>
      <c r="M9" s="50"/>
      <c r="N9" s="50"/>
      <c r="O9" s="50"/>
    </row>
    <row r="10" ht="18.75">
      <c r="B10" s="413"/>
      <c r="M10" s="50"/>
      <c r="N10" s="50"/>
      <c r="O10" s="50"/>
    </row>
    <row r="11" ht="22.5" customHeight="1">
      <c r="B11" s="414" t="s">
        <v>54</v>
      </c>
      <c r="M11" s="50"/>
      <c r="N11" s="50"/>
      <c r="O11" s="50"/>
    </row>
    <row r="12" ht="19.5" customHeight="1">
      <c r="B12" s="414" t="s">
        <v>55</v>
      </c>
    </row>
    <row r="13" ht="19.5" customHeight="1">
      <c r="B13" s="414" t="s">
        <v>56</v>
      </c>
    </row>
    <row r="14" ht="19.5" customHeight="1">
      <c r="B14" s="414" t="s">
        <v>57</v>
      </c>
    </row>
    <row r="15" ht="19.5" customHeight="1">
      <c r="B15" s="414" t="s">
        <v>58</v>
      </c>
    </row>
    <row r="16" ht="19.5" customHeight="1" s="57" customFormat="1">
      <c r="C16" s="415" t="s">
        <v>59</v>
      </c>
    </row>
    <row r="17" ht="19.5" customHeight="1" s="57" customFormat="1">
      <c r="C17" s="415" t="s">
        <v>60</v>
      </c>
    </row>
    <row r="18" ht="19.5" customHeight="1">
      <c r="B18" s="415" t="s">
        <v>61</v>
      </c>
      <c r="C18" s="57"/>
      <c r="D18" s="57"/>
      <c r="E18" s="57"/>
      <c r="F18" s="57"/>
      <c r="G18" s="57"/>
      <c r="H18" s="57"/>
      <c r="I18" s="57"/>
      <c r="J18" s="57"/>
      <c r="K18" s="57"/>
    </row>
    <row r="19" ht="19.5" customHeight="1">
      <c r="B19" s="415"/>
      <c r="C19" s="415" t="s">
        <v>62</v>
      </c>
      <c r="D19" s="57"/>
      <c r="E19" s="57"/>
      <c r="F19" s="57"/>
      <c r="G19" s="57"/>
      <c r="H19" s="57"/>
      <c r="I19" s="57"/>
      <c r="J19" s="57"/>
      <c r="K19" s="57"/>
    </row>
    <row r="20" ht="19.5" customHeight="1">
      <c r="B20" s="57"/>
      <c r="C20" s="415" t="s">
        <v>63</v>
      </c>
      <c r="D20" s="57"/>
      <c r="E20" s="57"/>
      <c r="F20" s="57"/>
      <c r="G20" s="57"/>
      <c r="H20" s="57"/>
      <c r="I20" s="57"/>
      <c r="J20" s="57"/>
      <c r="K20" s="57"/>
    </row>
    <row r="21" ht="19.5" customHeight="1">
      <c r="B21" s="415" t="s">
        <v>64</v>
      </c>
      <c r="C21" s="57"/>
      <c r="D21" s="57"/>
      <c r="E21" s="57"/>
      <c r="F21" s="57"/>
      <c r="G21" s="57"/>
      <c r="H21" s="57"/>
      <c r="I21" s="57"/>
      <c r="J21" s="57"/>
      <c r="K21" s="57"/>
    </row>
    <row r="22" ht="19.5" customHeight="1">
      <c r="B22" s="414"/>
      <c r="C22" s="414" t="s">
        <v>65</v>
      </c>
    </row>
    <row r="23" ht="19.5" customHeight="1">
      <c r="C23" s="414" t="s">
        <v>66</v>
      </c>
    </row>
    <row r="24" ht="19.5" customHeight="1">
      <c r="B24" s="414" t="s">
        <v>67</v>
      </c>
    </row>
    <row r="25" ht="19.5" customHeight="1">
      <c r="B25" s="414"/>
      <c r="C25" s="414" t="s">
        <v>68</v>
      </c>
    </row>
    <row r="26" ht="19.5" customHeight="1">
      <c r="C26" s="414" t="s">
        <v>69</v>
      </c>
    </row>
    <row r="27" ht="19.5" customHeight="1">
      <c r="B27" s="414" t="s">
        <v>70</v>
      </c>
    </row>
    <row r="28" ht="17.25" customHeight="1">
      <c r="B28" s="414"/>
      <c r="C28" s="414" t="s">
        <v>71</v>
      </c>
    </row>
    <row r="29" ht="19.5" customHeight="1">
      <c r="C29" s="414" t="s">
        <v>72</v>
      </c>
    </row>
    <row r="30" ht="19.5" customHeight="1">
      <c r="B30" s="414" t="s">
        <v>73</v>
      </c>
    </row>
    <row r="31" ht="19.5" customHeight="1">
      <c r="B31" s="414"/>
      <c r="C31" s="414" t="s">
        <v>74</v>
      </c>
    </row>
    <row r="32" ht="19.5" customHeight="1">
      <c r="C32" s="414" t="s">
        <v>75</v>
      </c>
    </row>
    <row r="33" ht="19.5" customHeight="1">
      <c r="B33" s="414" t="s">
        <v>76</v>
      </c>
    </row>
    <row r="34" ht="19.5" customHeight="1">
      <c r="B34" s="414"/>
      <c r="C34" s="414" t="s">
        <v>77</v>
      </c>
    </row>
    <row r="35" ht="19.5" customHeight="1">
      <c r="C35" s="414" t="s">
        <v>78</v>
      </c>
    </row>
    <row r="36" ht="19.5" customHeight="1">
      <c r="B36" s="414" t="s">
        <v>79</v>
      </c>
    </row>
    <row r="37" ht="19.5" customHeight="1">
      <c r="B37" s="414"/>
      <c r="C37" s="414" t="s">
        <v>80</v>
      </c>
    </row>
    <row r="38" ht="19.5" customHeight="1">
      <c r="C38" s="414" t="s">
        <v>81</v>
      </c>
    </row>
    <row r="39" ht="19.5" customHeight="1">
      <c r="B39" s="414" t="s">
        <v>82</v>
      </c>
    </row>
    <row r="40" ht="19.5" customHeight="1">
      <c r="B40" s="414"/>
      <c r="C40" s="414" t="s">
        <v>83</v>
      </c>
    </row>
    <row r="41" ht="19.5" customHeight="1">
      <c r="C41" s="414" t="s">
        <v>84</v>
      </c>
    </row>
    <row r="42" ht="19.5" customHeight="1">
      <c r="B42" s="414" t="s">
        <v>85</v>
      </c>
    </row>
    <row r="43" ht="19.5" customHeight="1">
      <c r="B43" s="414"/>
      <c r="C43" s="414" t="s">
        <v>86</v>
      </c>
    </row>
    <row r="44" ht="19.5" customHeight="1">
      <c r="C44" s="414" t="s">
        <v>87</v>
      </c>
    </row>
  </sheetData>
  <sheetProtection algorithmName="SHA-512" hashValue="y8Y4OMLIFvc3SY5sDSAjEMJBeFBgTtyIyEiyojE2VbJ1qfiuzjRBnMb/qBjvt6i1qXseiWrfkmyTAiIoP014aQ==" saltValue="T0AYryBVl2pDvL9FIF4jrA==" spinCount="100000" sheet="1" objects="1" scenarios="1"/>
  <mergeCells>
    <mergeCell ref="B9:D9"/>
  </mergeCells>
  <phoneticPr fontId="3" type="noConversion"/>
  <printOptions horizontalCentered="1"/>
  <pageMargins left="0.78740157480314965" right="0.78740157480314965" top="0.98425196850393704" bottom="0.98425196850393704" header="0" footer="0"/>
  <pageSetup paperSize="9" scale="65" orientation="portrait"/>
  <headerFooter alignWithMargins="0"/>
  <colBreaks count="1" manualBreakCount="1">
    <brk id="14" max="16383"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mc:Ignorable="x14ac xr">
  <sheetPr codeName="Hoja5">
    <tabColor indexed="13"/>
  </sheetPr>
  <dimension ref="A1:BS140"/>
  <sheetViews>
    <sheetView showGridLines="0" view="pageBreakPreview" zoomScale="75" zoomScaleNormal="75" workbookViewId="0">
      <selection activeCell="A7" sqref="A7"/>
    </sheetView>
  </sheetViews>
  <sheetFormatPr baseColWidth="10" defaultRowHeight="12.75"/>
  <cols>
    <col min="1" max="1" width="5.42578125" customWidth="1" style="51"/>
    <col min="2" max="6" width="11.42578125" customWidth="1" style="51"/>
    <col min="7" max="7" width="12.85546875" customWidth="1" style="51"/>
    <col min="8" max="12" width="11.42578125" customWidth="1" style="51"/>
    <col min="13" max="13" width="10" customWidth="1" style="51"/>
    <col min="14" max="14" width="1.42578125" customWidth="1" style="51"/>
    <col min="15" max="16384" width="11.42578125" customWidth="1" style="51"/>
  </cols>
  <sheetData>
    <row r="1">
      <c r="A1" s="46"/>
      <c r="B1" s="47"/>
      <c r="C1" s="47"/>
      <c r="D1" s="47"/>
      <c r="E1" s="47"/>
      <c r="F1" s="47"/>
      <c r="G1" s="47"/>
      <c r="H1" s="47"/>
      <c r="I1" s="47"/>
      <c r="J1" s="47"/>
      <c r="K1" s="47"/>
      <c r="L1" s="47"/>
      <c r="M1" s="47"/>
      <c r="N1" s="48"/>
      <c r="O1" s="58"/>
      <c r="P1" s="58"/>
      <c r="Q1" s="58"/>
      <c r="R1" s="58"/>
    </row>
    <row r="2">
      <c r="A2" s="52"/>
      <c r="B2" s="49"/>
      <c r="C2" s="49"/>
      <c r="D2" s="49"/>
      <c r="E2" s="49"/>
      <c r="F2" s="49"/>
      <c r="G2" s="49"/>
      <c r="H2" s="49"/>
      <c r="I2" s="49"/>
      <c r="J2" s="49"/>
      <c r="K2" s="49"/>
      <c r="L2" s="49"/>
      <c r="M2" s="49"/>
      <c r="N2" s="53"/>
      <c r="O2" s="58"/>
      <c r="P2" s="58"/>
      <c r="Q2" s="58"/>
      <c r="R2" s="58"/>
    </row>
    <row r="3">
      <c r="A3" s="52"/>
      <c r="B3" s="49"/>
      <c r="C3" s="49"/>
      <c r="D3" s="49"/>
      <c r="E3" s="49"/>
      <c r="F3" s="49"/>
      <c r="G3" s="49"/>
      <c r="H3" s="49"/>
      <c r="I3" s="49"/>
      <c r="J3" s="49"/>
      <c r="K3" s="49"/>
      <c r="L3" s="49"/>
      <c r="M3" s="49"/>
      <c r="N3" s="53"/>
      <c r="O3" s="58"/>
      <c r="P3" s="58"/>
      <c r="Q3" s="58"/>
      <c r="R3" s="58"/>
    </row>
    <row r="4">
      <c r="A4" s="52"/>
      <c r="B4" s="49"/>
      <c r="C4" s="49"/>
      <c r="D4" s="49"/>
      <c r="E4" s="49"/>
      <c r="F4" s="49"/>
      <c r="G4" s="49"/>
      <c r="H4" s="49"/>
      <c r="I4" s="49"/>
      <c r="J4" s="49"/>
      <c r="K4" s="49"/>
      <c r="L4" s="49"/>
      <c r="M4" s="49"/>
      <c r="N4" s="53"/>
      <c r="O4" s="58"/>
      <c r="P4" s="58"/>
      <c r="Q4" s="58"/>
      <c r="R4" s="58"/>
    </row>
    <row r="5">
      <c r="A5" s="52"/>
      <c r="B5" s="49"/>
      <c r="C5" s="49"/>
      <c r="D5" s="49"/>
      <c r="E5" s="49"/>
      <c r="F5" s="49"/>
      <c r="G5" s="49"/>
      <c r="H5" s="49"/>
      <c r="I5" s="49"/>
      <c r="J5" s="49"/>
      <c r="K5" s="49"/>
      <c r="L5" s="49"/>
      <c r="M5" s="49"/>
      <c r="N5" s="53"/>
      <c r="O5" s="58"/>
      <c r="P5" s="58"/>
      <c r="Q5" s="58"/>
      <c r="R5" s="58"/>
    </row>
    <row r="6" ht="13.5">
      <c r="A6" s="54"/>
      <c r="B6" s="55"/>
      <c r="C6" s="55"/>
      <c r="D6" s="55"/>
      <c r="E6" s="55"/>
      <c r="F6" s="55"/>
      <c r="G6" s="55"/>
      <c r="H6" s="55"/>
      <c r="I6" s="55"/>
      <c r="J6" s="55"/>
      <c r="K6" s="55"/>
      <c r="L6" s="55"/>
      <c r="M6" s="55"/>
      <c r="N6" s="56"/>
      <c r="O6" s="58"/>
      <c r="P6" s="58"/>
      <c r="Q6" s="58"/>
      <c r="R6" s="58"/>
    </row>
    <row r="7" ht="6.75" customHeight="1" s="57" customFormat="1">
      <c r="A7" s="58"/>
      <c r="B7" s="58"/>
      <c r="C7" s="58"/>
      <c r="D7" s="58"/>
      <c r="E7" s="58"/>
      <c r="F7" s="58"/>
      <c r="G7" s="58"/>
      <c r="H7" s="58"/>
      <c r="I7" s="58"/>
      <c r="J7" s="58"/>
      <c r="K7" s="58"/>
      <c r="L7" s="58"/>
      <c r="M7" s="58"/>
      <c r="N7" s="58"/>
      <c r="O7" s="58"/>
      <c r="P7" s="58"/>
      <c r="Q7" s="58"/>
      <c r="R7" s="58"/>
    </row>
    <row r="8" ht="40.5" customHeight="1" s="57" customFormat="1">
      <c r="A8" s="58"/>
      <c r="B8" s="58"/>
      <c r="C8" s="58"/>
      <c r="D8" s="58"/>
      <c r="E8" s="58"/>
      <c r="F8" s="58"/>
      <c r="G8" s="58"/>
      <c r="H8" s="58"/>
      <c r="I8" s="58"/>
      <c r="J8" s="58"/>
      <c r="K8" s="58"/>
      <c r="L8" s="58"/>
      <c r="M8" s="58"/>
      <c r="N8" s="58"/>
      <c r="O8" s="58"/>
      <c r="P8" s="58"/>
      <c r="Q8" s="58"/>
      <c r="R8" s="58"/>
    </row>
    <row r="9" ht="24" s="57" customFormat="1">
      <c r="B9" s="546" t="s">
        <v>327</v>
      </c>
      <c r="C9" s="547"/>
      <c r="D9" s="548"/>
      <c r="O9" s="58"/>
      <c r="P9" s="58"/>
      <c r="Q9" s="58"/>
      <c r="R9" s="58"/>
    </row>
    <row r="10" ht="8.25" customHeight="1" s="57" customFormat="1">
      <c r="O10" s="58"/>
      <c r="P10" s="58"/>
      <c r="Q10" s="58"/>
      <c r="R10" s="58"/>
    </row>
    <row r="11" s="57" customFormat="1"/>
    <row r="12" ht="30.75" customHeight="1">
      <c r="B12" s="549" t="s">
        <v>328</v>
      </c>
      <c r="C12" s="550"/>
      <c r="D12" s="550"/>
      <c r="E12" s="550"/>
      <c r="F12" s="550"/>
      <c r="G12" s="550"/>
      <c r="H12" s="550"/>
      <c r="I12" s="550"/>
      <c r="J12" s="550"/>
      <c r="K12" s="550"/>
      <c r="L12" s="550"/>
      <c r="M12" s="550"/>
      <c r="N12" s="200"/>
      <c r="O12" s="200"/>
      <c r="P12" s="200"/>
    </row>
    <row r="13" ht="17.25" customHeight="1">
      <c r="B13" s="549" t="s">
        <v>329</v>
      </c>
      <c r="C13" s="550"/>
      <c r="D13" s="550"/>
      <c r="E13" s="550"/>
      <c r="F13" s="550"/>
      <c r="G13" s="550"/>
      <c r="H13" s="550"/>
      <c r="I13" s="550"/>
      <c r="J13" s="550"/>
      <c r="K13" s="550"/>
      <c r="L13" s="550"/>
      <c r="M13" s="550"/>
      <c r="N13" s="322"/>
      <c r="O13" s="322"/>
      <c r="P13" s="322"/>
    </row>
    <row r="14" ht="14.25" customHeight="1">
      <c r="B14" s="550"/>
      <c r="C14" s="550"/>
      <c r="D14" s="550"/>
      <c r="E14" s="550"/>
      <c r="F14" s="550"/>
      <c r="G14" s="550"/>
      <c r="H14" s="550"/>
      <c r="I14" s="550"/>
      <c r="J14" s="550"/>
      <c r="K14" s="550"/>
      <c r="L14" s="550"/>
      <c r="M14" s="550"/>
      <c r="N14" s="322"/>
      <c r="O14" s="322"/>
      <c r="P14" s="322"/>
    </row>
    <row r="15" ht="17.25" customHeight="1">
      <c r="A15" s="377"/>
      <c r="B15" s="551" t="s">
        <v>330</v>
      </c>
      <c r="C15" s="550"/>
      <c r="D15" s="550"/>
      <c r="E15" s="550"/>
      <c r="F15" s="550"/>
      <c r="G15" s="550"/>
      <c r="H15" s="550"/>
      <c r="I15" s="550"/>
      <c r="J15" s="550"/>
      <c r="K15" s="550"/>
      <c r="L15" s="550"/>
      <c r="M15" s="550"/>
      <c r="N15" s="322"/>
      <c r="O15" s="322"/>
      <c r="P15" s="322"/>
      <c r="Q15" s="377"/>
      <c r="R15" s="377"/>
      <c r="S15" s="377"/>
      <c r="T15" s="377"/>
      <c r="U15" s="377"/>
      <c r="V15" s="377"/>
      <c r="W15" s="377"/>
      <c r="X15" s="377"/>
      <c r="Y15" s="377"/>
      <c r="Z15" s="377"/>
      <c r="AA15" s="377"/>
      <c r="AB15" s="377"/>
      <c r="AC15" s="377"/>
      <c r="AD15" s="377"/>
      <c r="AE15" s="377"/>
      <c r="AF15" s="377"/>
      <c r="AG15" s="377"/>
      <c r="AH15" s="377"/>
      <c r="AI15" s="377"/>
      <c r="AJ15" s="377"/>
      <c r="AK15" s="377"/>
      <c r="AL15" s="377"/>
      <c r="AM15" s="377"/>
      <c r="AN15" s="377"/>
      <c r="AO15" s="377"/>
      <c r="AP15" s="377"/>
      <c r="AQ15" s="377"/>
      <c r="AR15" s="377"/>
      <c r="AS15" s="377"/>
      <c r="AT15" s="377"/>
      <c r="AU15" s="377"/>
      <c r="AV15" s="377"/>
      <c r="AW15" s="377"/>
      <c r="AX15" s="377"/>
      <c r="AY15" s="377"/>
      <c r="AZ15" s="377"/>
      <c r="BA15" s="377"/>
      <c r="BB15" s="377"/>
      <c r="BC15" s="377"/>
      <c r="BD15" s="377"/>
      <c r="BE15" s="377"/>
      <c r="BF15" s="377"/>
      <c r="BG15" s="377"/>
      <c r="BH15" s="377"/>
      <c r="BI15" s="377"/>
      <c r="BJ15" s="377"/>
      <c r="BK15" s="377"/>
      <c r="BL15" s="377"/>
      <c r="BM15" s="377"/>
      <c r="BN15" s="377"/>
      <c r="BO15" s="377"/>
      <c r="BP15" s="377"/>
      <c r="BQ15" s="377"/>
      <c r="BR15" s="377"/>
      <c r="BS15" s="377"/>
    </row>
    <row r="16" ht="15" customHeight="1">
      <c r="A16" s="377"/>
      <c r="B16" s="550"/>
      <c r="C16" s="550"/>
      <c r="D16" s="550"/>
      <c r="E16" s="550"/>
      <c r="F16" s="550"/>
      <c r="G16" s="550"/>
      <c r="H16" s="550"/>
      <c r="I16" s="550"/>
      <c r="J16" s="550"/>
      <c r="K16" s="550"/>
      <c r="L16" s="550"/>
      <c r="M16" s="550"/>
      <c r="N16" s="377"/>
      <c r="O16" s="377"/>
      <c r="P16" s="377"/>
      <c r="Q16" s="377"/>
      <c r="R16" s="377"/>
      <c r="S16" s="377"/>
      <c r="T16" s="377"/>
      <c r="U16" s="377"/>
      <c r="V16" s="377"/>
      <c r="W16" s="377"/>
      <c r="X16" s="377"/>
      <c r="Y16" s="377"/>
      <c r="Z16" s="377"/>
      <c r="AA16" s="377"/>
      <c r="AB16" s="377"/>
      <c r="AC16" s="377"/>
      <c r="AD16" s="377"/>
      <c r="AE16" s="377"/>
      <c r="AF16" s="377"/>
      <c r="AG16" s="377"/>
      <c r="AH16" s="377"/>
      <c r="AI16" s="377"/>
      <c r="AJ16" s="377"/>
      <c r="AK16" s="377"/>
      <c r="AL16" s="377"/>
      <c r="AM16" s="377"/>
      <c r="AN16" s="377"/>
      <c r="AO16" s="377"/>
      <c r="AP16" s="377"/>
      <c r="AQ16" s="377"/>
      <c r="AR16" s="377"/>
      <c r="AS16" s="377"/>
      <c r="AT16" s="377"/>
      <c r="AU16" s="377"/>
      <c r="AV16" s="377"/>
      <c r="AW16" s="377"/>
      <c r="AX16" s="377"/>
      <c r="AY16" s="377"/>
      <c r="AZ16" s="377"/>
      <c r="BA16" s="377"/>
      <c r="BB16" s="377"/>
      <c r="BC16" s="377"/>
      <c r="BD16" s="377"/>
      <c r="BE16" s="377"/>
      <c r="BF16" s="377"/>
      <c r="BG16" s="377"/>
      <c r="BH16" s="377"/>
      <c r="BI16" s="377"/>
      <c r="BJ16" s="377"/>
      <c r="BK16" s="377"/>
      <c r="BL16" s="377"/>
      <c r="BM16" s="377"/>
      <c r="BN16" s="377"/>
      <c r="BO16" s="377"/>
      <c r="BP16" s="377"/>
      <c r="BQ16" s="377"/>
      <c r="BR16" s="377"/>
      <c r="BS16" s="377"/>
    </row>
    <row r="17">
      <c r="A17" s="377"/>
      <c r="B17" s="552" t="s">
        <v>331</v>
      </c>
      <c r="C17" s="553"/>
      <c r="D17" s="553"/>
      <c r="E17" s="553"/>
      <c r="F17" s="553"/>
      <c r="G17" s="553"/>
      <c r="H17" s="553"/>
      <c r="I17" s="553"/>
      <c r="J17" s="553"/>
      <c r="K17" s="553"/>
      <c r="L17" s="553"/>
      <c r="M17" s="553"/>
      <c r="N17" s="416"/>
      <c r="O17" s="416"/>
      <c r="P17" s="416"/>
      <c r="Q17" s="377"/>
      <c r="R17" s="377"/>
      <c r="S17" s="377"/>
      <c r="T17" s="377"/>
      <c r="U17" s="377"/>
      <c r="V17" s="377"/>
      <c r="W17" s="377"/>
      <c r="X17" s="377"/>
      <c r="Y17" s="377"/>
      <c r="Z17" s="377"/>
      <c r="AA17" s="377"/>
      <c r="AB17" s="377"/>
      <c r="AC17" s="377"/>
      <c r="AD17" s="377"/>
      <c r="AE17" s="377"/>
      <c r="AF17" s="377"/>
      <c r="AG17" s="377"/>
      <c r="AH17" s="377"/>
      <c r="AI17" s="377"/>
      <c r="AJ17" s="377"/>
      <c r="AK17" s="377"/>
      <c r="AL17" s="377"/>
      <c r="AM17" s="377"/>
      <c r="AN17" s="377"/>
      <c r="AO17" s="377"/>
      <c r="AP17" s="377"/>
      <c r="AQ17" s="377"/>
      <c r="AR17" s="377"/>
      <c r="AS17" s="377"/>
      <c r="AT17" s="377"/>
      <c r="AU17" s="377"/>
      <c r="AV17" s="377"/>
      <c r="AW17" s="377"/>
      <c r="AX17" s="377"/>
      <c r="AY17" s="377"/>
      <c r="AZ17" s="377"/>
      <c r="BA17" s="377"/>
      <c r="BB17" s="377"/>
      <c r="BC17" s="377"/>
      <c r="BD17" s="377"/>
      <c r="BE17" s="377"/>
      <c r="BF17" s="377"/>
      <c r="BG17" s="377"/>
      <c r="BH17" s="377"/>
      <c r="BI17" s="377"/>
      <c r="BJ17" s="377"/>
      <c r="BK17" s="377"/>
      <c r="BL17" s="377"/>
      <c r="BM17" s="377"/>
      <c r="BN17" s="377"/>
      <c r="BO17" s="377"/>
      <c r="BP17" s="377"/>
      <c r="BQ17" s="377"/>
      <c r="BR17" s="377"/>
      <c r="BS17" s="377"/>
    </row>
    <row r="18">
      <c r="A18" s="377"/>
      <c r="B18" s="553"/>
      <c r="C18" s="553"/>
      <c r="D18" s="553"/>
      <c r="E18" s="553"/>
      <c r="F18" s="553"/>
      <c r="G18" s="553"/>
      <c r="H18" s="553"/>
      <c r="I18" s="553"/>
      <c r="J18" s="553"/>
      <c r="K18" s="553"/>
      <c r="L18" s="553"/>
      <c r="M18" s="553"/>
      <c r="N18" s="416"/>
      <c r="O18" s="416"/>
      <c r="P18" s="416"/>
      <c r="Q18" s="377"/>
      <c r="R18" s="377"/>
      <c r="S18" s="377"/>
      <c r="T18" s="377"/>
      <c r="U18" s="377"/>
      <c r="V18" s="377"/>
      <c r="W18" s="377"/>
      <c r="X18" s="377"/>
      <c r="Y18" s="377"/>
      <c r="Z18" s="377"/>
      <c r="AA18" s="377"/>
      <c r="AB18" s="377"/>
      <c r="AC18" s="377"/>
      <c r="AD18" s="377"/>
      <c r="AE18" s="377"/>
      <c r="AF18" s="377"/>
      <c r="AG18" s="377"/>
      <c r="AH18" s="377"/>
      <c r="AI18" s="377"/>
      <c r="AJ18" s="377"/>
      <c r="AK18" s="377"/>
      <c r="AL18" s="377"/>
      <c r="AM18" s="377"/>
      <c r="AN18" s="377"/>
      <c r="AO18" s="377"/>
      <c r="AP18" s="377"/>
      <c r="AQ18" s="377"/>
      <c r="AR18" s="377"/>
      <c r="AS18" s="377"/>
      <c r="AT18" s="377"/>
      <c r="AU18" s="377"/>
      <c r="AV18" s="377"/>
      <c r="AW18" s="377"/>
      <c r="AX18" s="377"/>
      <c r="AY18" s="377"/>
      <c r="AZ18" s="377"/>
      <c r="BA18" s="377"/>
      <c r="BB18" s="377"/>
      <c r="BC18" s="377"/>
      <c r="BD18" s="377"/>
      <c r="BE18" s="377"/>
      <c r="BF18" s="377"/>
      <c r="BG18" s="377"/>
      <c r="BH18" s="377"/>
      <c r="BI18" s="377"/>
      <c r="BJ18" s="377"/>
      <c r="BK18" s="377"/>
      <c r="BL18" s="377"/>
      <c r="BM18" s="377"/>
      <c r="BN18" s="377"/>
      <c r="BO18" s="377"/>
      <c r="BP18" s="377"/>
      <c r="BQ18" s="377"/>
      <c r="BR18" s="377"/>
      <c r="BS18" s="377"/>
    </row>
    <row r="19" ht="20.25" customHeight="1">
      <c r="A19" s="377"/>
      <c r="B19" s="553"/>
      <c r="C19" s="553"/>
      <c r="D19" s="553"/>
      <c r="E19" s="553"/>
      <c r="F19" s="553"/>
      <c r="G19" s="553"/>
      <c r="H19" s="553"/>
      <c r="I19" s="553"/>
      <c r="J19" s="553"/>
      <c r="K19" s="553"/>
      <c r="L19" s="553"/>
      <c r="M19" s="553"/>
      <c r="N19" s="416"/>
      <c r="O19" s="416"/>
      <c r="P19" s="416"/>
      <c r="Q19" s="377"/>
      <c r="R19" s="377"/>
      <c r="S19" s="377"/>
      <c r="T19" s="377"/>
      <c r="U19" s="377"/>
      <c r="V19" s="377"/>
      <c r="W19" s="377"/>
      <c r="X19" s="377"/>
      <c r="Y19" s="377"/>
      <c r="Z19" s="377"/>
      <c r="AA19" s="377"/>
      <c r="AB19" s="377"/>
      <c r="AC19" s="377"/>
      <c r="AD19" s="377"/>
      <c r="AE19" s="377"/>
      <c r="AF19" s="377"/>
      <c r="AG19" s="377"/>
      <c r="AH19" s="377"/>
      <c r="AI19" s="377"/>
      <c r="AJ19" s="377"/>
      <c r="AK19" s="377"/>
      <c r="AL19" s="377"/>
      <c r="AM19" s="377"/>
      <c r="AN19" s="377"/>
      <c r="AO19" s="377"/>
      <c r="AP19" s="377"/>
      <c r="AQ19" s="377"/>
      <c r="AR19" s="377"/>
      <c r="AS19" s="377"/>
      <c r="AT19" s="377"/>
      <c r="AU19" s="377"/>
      <c r="AV19" s="377"/>
      <c r="AW19" s="377"/>
      <c r="AX19" s="377"/>
      <c r="AY19" s="377"/>
      <c r="AZ19" s="377"/>
      <c r="BA19" s="377"/>
      <c r="BB19" s="377"/>
      <c r="BC19" s="377"/>
      <c r="BD19" s="377"/>
      <c r="BE19" s="377"/>
      <c r="BF19" s="377"/>
      <c r="BG19" s="377"/>
      <c r="BH19" s="377"/>
      <c r="BI19" s="377"/>
      <c r="BJ19" s="377"/>
      <c r="BK19" s="377"/>
      <c r="BL19" s="377"/>
      <c r="BM19" s="377"/>
      <c r="BN19" s="377"/>
      <c r="BO19" s="377"/>
      <c r="BP19" s="377"/>
      <c r="BQ19" s="377"/>
      <c r="BR19" s="377"/>
      <c r="BS19" s="377"/>
    </row>
    <row r="20" ht="15">
      <c r="A20" s="377"/>
      <c r="B20" s="417"/>
      <c r="D20" s="377"/>
      <c r="E20" s="377"/>
      <c r="F20" s="377"/>
      <c r="G20" s="377"/>
      <c r="H20" s="377"/>
      <c r="I20" s="377"/>
      <c r="J20" s="377"/>
      <c r="K20" s="377"/>
      <c r="L20" s="377"/>
      <c r="M20" s="377"/>
      <c r="N20" s="377"/>
      <c r="O20" s="377"/>
      <c r="P20" s="377"/>
      <c r="Q20" s="377"/>
      <c r="R20" s="377"/>
      <c r="S20" s="377"/>
      <c r="T20" s="377"/>
      <c r="U20" s="377"/>
      <c r="V20" s="377"/>
      <c r="W20" s="377"/>
      <c r="X20" s="377"/>
      <c r="Y20" s="377"/>
      <c r="Z20" s="377"/>
      <c r="AA20" s="377"/>
      <c r="AB20" s="377"/>
      <c r="AC20" s="377"/>
      <c r="AD20" s="377"/>
      <c r="AE20" s="377"/>
      <c r="AF20" s="377"/>
      <c r="AG20" s="377"/>
      <c r="AH20" s="377"/>
      <c r="AI20" s="377"/>
      <c r="AJ20" s="377"/>
      <c r="AK20" s="377"/>
      <c r="AL20" s="377"/>
      <c r="AM20" s="377"/>
      <c r="AN20" s="377"/>
      <c r="AO20" s="377"/>
      <c r="AP20" s="377"/>
      <c r="AQ20" s="377"/>
      <c r="AR20" s="377"/>
      <c r="AS20" s="377"/>
      <c r="AT20" s="377"/>
      <c r="AU20" s="377"/>
      <c r="AV20" s="377"/>
      <c r="AW20" s="377"/>
      <c r="AX20" s="377"/>
      <c r="AY20" s="377"/>
      <c r="AZ20" s="377"/>
      <c r="BA20" s="377"/>
      <c r="BB20" s="377"/>
      <c r="BC20" s="377"/>
      <c r="BD20" s="377"/>
      <c r="BE20" s="377"/>
      <c r="BF20" s="377"/>
      <c r="BG20" s="377"/>
      <c r="BH20" s="377"/>
      <c r="BI20" s="377"/>
      <c r="BJ20" s="377"/>
      <c r="BK20" s="377"/>
      <c r="BL20" s="377"/>
      <c r="BM20" s="377"/>
      <c r="BN20" s="377"/>
      <c r="BO20" s="377"/>
      <c r="BP20" s="377"/>
      <c r="BQ20" s="377"/>
      <c r="BR20" s="377"/>
      <c r="BS20" s="377"/>
    </row>
    <row r="21" ht="16.5" customHeight="1">
      <c r="A21" s="377"/>
      <c r="B21" s="554" t="s">
        <v>332</v>
      </c>
      <c r="C21" s="550"/>
      <c r="D21" s="550"/>
      <c r="E21" s="550"/>
      <c r="F21" s="550"/>
      <c r="G21" s="550"/>
      <c r="H21" s="550"/>
      <c r="I21" s="550"/>
      <c r="J21" s="550"/>
      <c r="K21" s="550"/>
      <c r="L21" s="550"/>
      <c r="M21" s="550"/>
      <c r="N21" s="377"/>
      <c r="O21" s="377"/>
      <c r="P21" s="377"/>
      <c r="Q21" s="377"/>
      <c r="R21" s="377"/>
      <c r="S21" s="377"/>
      <c r="T21" s="377"/>
      <c r="U21" s="377"/>
      <c r="V21" s="377"/>
      <c r="W21" s="377"/>
      <c r="X21" s="377"/>
      <c r="Y21" s="377"/>
      <c r="Z21" s="377"/>
      <c r="AA21" s="377"/>
      <c r="AB21" s="377"/>
      <c r="AC21" s="377"/>
      <c r="AD21" s="377"/>
      <c r="AE21" s="377"/>
      <c r="AF21" s="377"/>
      <c r="AG21" s="377"/>
      <c r="AH21" s="377"/>
      <c r="AI21" s="377"/>
      <c r="AJ21" s="377"/>
      <c r="AK21" s="377"/>
      <c r="AL21" s="377"/>
      <c r="AM21" s="377"/>
      <c r="AN21" s="377"/>
      <c r="AO21" s="377"/>
      <c r="AP21" s="377"/>
      <c r="AQ21" s="377"/>
      <c r="AR21" s="377"/>
      <c r="AS21" s="377"/>
      <c r="AT21" s="377"/>
      <c r="AU21" s="377"/>
      <c r="AV21" s="377"/>
      <c r="AW21" s="377"/>
      <c r="AX21" s="377"/>
      <c r="AY21" s="377"/>
      <c r="AZ21" s="377"/>
      <c r="BA21" s="377"/>
      <c r="BB21" s="377"/>
      <c r="BC21" s="377"/>
      <c r="BD21" s="377"/>
      <c r="BE21" s="377"/>
      <c r="BF21" s="377"/>
      <c r="BG21" s="377"/>
      <c r="BH21" s="377"/>
      <c r="BI21" s="377"/>
      <c r="BJ21" s="377"/>
      <c r="BK21" s="377"/>
      <c r="BL21" s="377"/>
      <c r="BM21" s="377"/>
      <c r="BN21" s="377"/>
      <c r="BO21" s="377"/>
      <c r="BP21" s="377"/>
      <c r="BQ21" s="377"/>
      <c r="BR21" s="377"/>
      <c r="BS21" s="377"/>
    </row>
    <row r="22" ht="15.75" customHeight="1">
      <c r="A22" s="377"/>
      <c r="B22" s="418"/>
      <c r="D22" s="377"/>
      <c r="E22" s="377"/>
      <c r="F22" s="377"/>
      <c r="G22" s="377"/>
      <c r="H22" s="377"/>
      <c r="I22" s="377"/>
      <c r="J22" s="377"/>
      <c r="K22" s="377"/>
      <c r="L22" s="377"/>
      <c r="M22" s="377"/>
      <c r="N22" s="377"/>
      <c r="O22" s="377"/>
      <c r="P22" s="377"/>
      <c r="Q22" s="377"/>
      <c r="R22" s="377"/>
      <c r="S22" s="377"/>
      <c r="T22" s="377"/>
      <c r="U22" s="377"/>
      <c r="V22" s="377"/>
      <c r="W22" s="377"/>
      <c r="X22" s="377"/>
      <c r="Y22" s="377"/>
      <c r="Z22" s="377"/>
      <c r="AA22" s="377"/>
      <c r="AB22" s="377"/>
      <c r="AC22" s="377"/>
      <c r="AD22" s="377"/>
      <c r="AE22" s="377"/>
      <c r="AF22" s="377"/>
      <c r="AG22" s="377"/>
      <c r="AH22" s="377"/>
      <c r="AI22" s="377"/>
      <c r="AJ22" s="377"/>
      <c r="AK22" s="377"/>
      <c r="AL22" s="377"/>
      <c r="AM22" s="377"/>
      <c r="AN22" s="377"/>
      <c r="AO22" s="377"/>
      <c r="AP22" s="377"/>
      <c r="AQ22" s="377"/>
      <c r="AR22" s="377"/>
      <c r="AS22" s="377"/>
      <c r="AT22" s="377"/>
      <c r="AU22" s="377"/>
      <c r="AV22" s="377"/>
      <c r="AW22" s="377"/>
      <c r="AX22" s="377"/>
      <c r="AY22" s="377"/>
      <c r="AZ22" s="377"/>
      <c r="BA22" s="377"/>
      <c r="BB22" s="377"/>
      <c r="BC22" s="377"/>
      <c r="BD22" s="377"/>
      <c r="BE22" s="377"/>
      <c r="BF22" s="377"/>
      <c r="BG22" s="377"/>
      <c r="BH22" s="377"/>
      <c r="BI22" s="377"/>
      <c r="BJ22" s="377"/>
      <c r="BK22" s="377"/>
      <c r="BL22" s="377"/>
      <c r="BM22" s="377"/>
      <c r="BN22" s="377"/>
      <c r="BO22" s="377"/>
      <c r="BP22" s="377"/>
      <c r="BQ22" s="377"/>
      <c r="BR22" s="377"/>
      <c r="BS22" s="377"/>
    </row>
    <row r="23">
      <c r="A23" s="377"/>
      <c r="B23" s="552" t="s">
        <v>333</v>
      </c>
      <c r="C23" s="553"/>
      <c r="D23" s="553"/>
      <c r="E23" s="553"/>
      <c r="F23" s="553"/>
      <c r="G23" s="553"/>
      <c r="H23" s="553"/>
      <c r="I23" s="553"/>
      <c r="J23" s="553"/>
      <c r="K23" s="553"/>
      <c r="L23" s="553"/>
      <c r="M23" s="553"/>
      <c r="N23" s="416"/>
      <c r="O23" s="416"/>
      <c r="P23" s="416"/>
      <c r="Q23" s="377"/>
      <c r="R23" s="377"/>
      <c r="S23" s="377"/>
      <c r="T23" s="377"/>
      <c r="U23" s="377"/>
      <c r="V23" s="377"/>
      <c r="W23" s="377"/>
      <c r="X23" s="377"/>
      <c r="Y23" s="377"/>
      <c r="Z23" s="377"/>
      <c r="AA23" s="377"/>
      <c r="AB23" s="377"/>
      <c r="AC23" s="377"/>
      <c r="AD23" s="377"/>
      <c r="AE23" s="377"/>
      <c r="AF23" s="377"/>
      <c r="AG23" s="377"/>
      <c r="AH23" s="377"/>
      <c r="AI23" s="377"/>
      <c r="AJ23" s="377"/>
      <c r="AK23" s="377"/>
      <c r="AL23" s="377"/>
      <c r="AM23" s="377"/>
      <c r="AN23" s="377"/>
      <c r="AO23" s="377"/>
      <c r="AP23" s="377"/>
      <c r="AQ23" s="377"/>
      <c r="AR23" s="377"/>
      <c r="AS23" s="377"/>
      <c r="AT23" s="377"/>
      <c r="AU23" s="377"/>
      <c r="AV23" s="377"/>
      <c r="AW23" s="377"/>
      <c r="AX23" s="377"/>
      <c r="AY23" s="377"/>
      <c r="AZ23" s="377"/>
      <c r="BA23" s="377"/>
      <c r="BB23" s="377"/>
      <c r="BC23" s="377"/>
      <c r="BD23" s="377"/>
      <c r="BE23" s="377"/>
      <c r="BF23" s="377"/>
      <c r="BG23" s="377"/>
      <c r="BH23" s="377"/>
      <c r="BI23" s="377"/>
      <c r="BJ23" s="377"/>
      <c r="BK23" s="377"/>
      <c r="BL23" s="377"/>
      <c r="BM23" s="377"/>
      <c r="BN23" s="377"/>
      <c r="BO23" s="377"/>
      <c r="BP23" s="377"/>
      <c r="BQ23" s="377"/>
      <c r="BR23" s="377"/>
      <c r="BS23" s="377"/>
    </row>
    <row r="24">
      <c r="A24" s="377"/>
      <c r="B24" s="553"/>
      <c r="C24" s="553"/>
      <c r="D24" s="553"/>
      <c r="E24" s="553"/>
      <c r="F24" s="553"/>
      <c r="G24" s="553"/>
      <c r="H24" s="553"/>
      <c r="I24" s="553"/>
      <c r="J24" s="553"/>
      <c r="K24" s="553"/>
      <c r="L24" s="553"/>
      <c r="M24" s="553"/>
      <c r="N24" s="416"/>
      <c r="O24" s="416"/>
      <c r="P24" s="416"/>
      <c r="Q24" s="377"/>
      <c r="R24" s="377"/>
      <c r="S24" s="377"/>
      <c r="T24" s="377"/>
      <c r="U24" s="377"/>
      <c r="V24" s="377"/>
      <c r="W24" s="377"/>
      <c r="X24" s="377"/>
      <c r="Y24" s="377"/>
      <c r="Z24" s="377"/>
      <c r="AA24" s="377"/>
      <c r="AB24" s="377"/>
      <c r="AC24" s="377"/>
      <c r="AD24" s="377"/>
      <c r="AE24" s="377"/>
      <c r="AF24" s="377"/>
      <c r="AG24" s="377"/>
      <c r="AH24" s="377"/>
      <c r="AI24" s="377"/>
      <c r="AJ24" s="377"/>
      <c r="AK24" s="377"/>
      <c r="AL24" s="377"/>
      <c r="AM24" s="377"/>
      <c r="AN24" s="377"/>
      <c r="AO24" s="377"/>
      <c r="AP24" s="377"/>
      <c r="AQ24" s="377"/>
      <c r="AR24" s="377"/>
      <c r="AS24" s="377"/>
      <c r="AT24" s="377"/>
      <c r="AU24" s="377"/>
      <c r="AV24" s="377"/>
      <c r="AW24" s="377"/>
      <c r="AX24" s="377"/>
      <c r="AY24" s="377"/>
      <c r="AZ24" s="377"/>
      <c r="BA24" s="377"/>
      <c r="BB24" s="377"/>
      <c r="BC24" s="377"/>
      <c r="BD24" s="377"/>
      <c r="BE24" s="377"/>
      <c r="BF24" s="377"/>
      <c r="BG24" s="377"/>
      <c r="BH24" s="377"/>
      <c r="BI24" s="377"/>
      <c r="BJ24" s="377"/>
      <c r="BK24" s="377"/>
      <c r="BL24" s="377"/>
      <c r="BM24" s="377"/>
      <c r="BN24" s="377"/>
      <c r="BO24" s="377"/>
      <c r="BP24" s="377"/>
      <c r="BQ24" s="377"/>
      <c r="BR24" s="377"/>
      <c r="BS24" s="377"/>
    </row>
    <row r="25">
      <c r="A25" s="377"/>
      <c r="B25" s="553"/>
      <c r="C25" s="553"/>
      <c r="D25" s="553"/>
      <c r="E25" s="553"/>
      <c r="F25" s="553"/>
      <c r="G25" s="553"/>
      <c r="H25" s="553"/>
      <c r="I25" s="553"/>
      <c r="J25" s="553"/>
      <c r="K25" s="553"/>
      <c r="L25" s="553"/>
      <c r="M25" s="553"/>
      <c r="N25" s="416"/>
      <c r="O25" s="416"/>
      <c r="P25" s="416"/>
      <c r="Q25" s="377"/>
      <c r="R25" s="377"/>
      <c r="S25" s="377"/>
      <c r="T25" s="377"/>
      <c r="U25" s="377"/>
      <c r="V25" s="377"/>
      <c r="W25" s="377"/>
      <c r="X25" s="377"/>
      <c r="Y25" s="377"/>
      <c r="Z25" s="377"/>
      <c r="AA25" s="377"/>
      <c r="AB25" s="377"/>
      <c r="AC25" s="377"/>
      <c r="AD25" s="377"/>
      <c r="AE25" s="377"/>
      <c r="AF25" s="377"/>
      <c r="AG25" s="377"/>
      <c r="AH25" s="377"/>
      <c r="AI25" s="377"/>
      <c r="AJ25" s="377"/>
      <c r="AK25" s="377"/>
      <c r="AL25" s="377"/>
      <c r="AM25" s="377"/>
      <c r="AN25" s="377"/>
      <c r="AO25" s="377"/>
      <c r="AP25" s="377"/>
      <c r="AQ25" s="377"/>
      <c r="AR25" s="377"/>
      <c r="AS25" s="377"/>
      <c r="AT25" s="377"/>
      <c r="AU25" s="377"/>
      <c r="AV25" s="377"/>
      <c r="AW25" s="377"/>
      <c r="AX25" s="377"/>
      <c r="AY25" s="377"/>
      <c r="AZ25" s="377"/>
      <c r="BA25" s="377"/>
      <c r="BB25" s="377"/>
      <c r="BC25" s="377"/>
      <c r="BD25" s="377"/>
      <c r="BE25" s="377"/>
      <c r="BF25" s="377"/>
      <c r="BG25" s="377"/>
      <c r="BH25" s="377"/>
      <c r="BI25" s="377"/>
      <c r="BJ25" s="377"/>
      <c r="BK25" s="377"/>
      <c r="BL25" s="377"/>
      <c r="BM25" s="377"/>
      <c r="BN25" s="377"/>
      <c r="BO25" s="377"/>
      <c r="BP25" s="377"/>
      <c r="BQ25" s="377"/>
      <c r="BR25" s="377"/>
      <c r="BS25" s="377"/>
    </row>
    <row r="26" ht="15" customHeight="1">
      <c r="A26" s="377"/>
      <c r="B26" s="553"/>
      <c r="C26" s="553"/>
      <c r="D26" s="553"/>
      <c r="E26" s="553"/>
      <c r="F26" s="553"/>
      <c r="G26" s="553"/>
      <c r="H26" s="553"/>
      <c r="I26" s="553"/>
      <c r="J26" s="553"/>
      <c r="K26" s="553"/>
      <c r="L26" s="553"/>
      <c r="M26" s="553"/>
      <c r="N26" s="416"/>
      <c r="O26" s="416"/>
      <c r="P26" s="416"/>
      <c r="Q26" s="377"/>
      <c r="R26" s="377"/>
      <c r="S26" s="377"/>
      <c r="T26" s="377"/>
      <c r="U26" s="377"/>
      <c r="V26" s="377"/>
      <c r="W26" s="377"/>
      <c r="X26" s="377"/>
      <c r="Y26" s="377"/>
      <c r="Z26" s="377"/>
      <c r="AA26" s="377"/>
      <c r="AB26" s="377"/>
      <c r="AC26" s="377"/>
      <c r="AD26" s="377"/>
      <c r="AE26" s="377"/>
      <c r="AF26" s="377"/>
      <c r="AG26" s="377"/>
      <c r="AH26" s="377"/>
      <c r="AI26" s="377"/>
      <c r="AJ26" s="377"/>
      <c r="AK26" s="377"/>
      <c r="AL26" s="377"/>
      <c r="AM26" s="377"/>
      <c r="AN26" s="377"/>
      <c r="AO26" s="377"/>
      <c r="AP26" s="377"/>
      <c r="AQ26" s="377"/>
      <c r="AR26" s="377"/>
      <c r="AS26" s="377"/>
      <c r="AT26" s="377"/>
      <c r="AU26" s="377"/>
      <c r="AV26" s="377"/>
      <c r="AW26" s="377"/>
      <c r="AX26" s="377"/>
      <c r="AY26" s="377"/>
      <c r="AZ26" s="377"/>
      <c r="BA26" s="377"/>
      <c r="BB26" s="377"/>
      <c r="BC26" s="377"/>
      <c r="BD26" s="377"/>
      <c r="BE26" s="377"/>
      <c r="BF26" s="377"/>
      <c r="BG26" s="377"/>
      <c r="BH26" s="377"/>
      <c r="BI26" s="377"/>
      <c r="BJ26" s="377"/>
      <c r="BK26" s="377"/>
      <c r="BL26" s="377"/>
      <c r="BM26" s="377"/>
      <c r="BN26" s="377"/>
      <c r="BO26" s="377"/>
      <c r="BP26" s="377"/>
      <c r="BQ26" s="377"/>
      <c r="BR26" s="377"/>
      <c r="BS26" s="377"/>
    </row>
    <row r="27" ht="21" customHeight="1">
      <c r="A27" s="377"/>
      <c r="B27" s="553"/>
      <c r="C27" s="553"/>
      <c r="D27" s="553"/>
      <c r="E27" s="553"/>
      <c r="F27" s="553"/>
      <c r="G27" s="553"/>
      <c r="H27" s="553"/>
      <c r="I27" s="553"/>
      <c r="J27" s="553"/>
      <c r="K27" s="553"/>
      <c r="L27" s="553"/>
      <c r="M27" s="553"/>
      <c r="N27" s="416"/>
      <c r="O27" s="416"/>
      <c r="P27" s="416"/>
      <c r="Q27" s="377"/>
      <c r="R27" s="377"/>
      <c r="S27" s="377"/>
      <c r="T27" s="377"/>
      <c r="U27" s="377"/>
      <c r="V27" s="377"/>
      <c r="W27" s="377"/>
      <c r="X27" s="377"/>
      <c r="Y27" s="377"/>
      <c r="Z27" s="377"/>
      <c r="AA27" s="377"/>
      <c r="AB27" s="377"/>
      <c r="AC27" s="377"/>
      <c r="AD27" s="377"/>
      <c r="AE27" s="377"/>
      <c r="AF27" s="377"/>
      <c r="AG27" s="377"/>
      <c r="AH27" s="377"/>
      <c r="AI27" s="377"/>
      <c r="AJ27" s="377"/>
      <c r="AK27" s="377"/>
      <c r="AL27" s="377"/>
      <c r="AM27" s="377"/>
      <c r="AN27" s="377"/>
      <c r="AO27" s="377"/>
      <c r="AP27" s="377"/>
      <c r="AQ27" s="377"/>
      <c r="AR27" s="377"/>
      <c r="AS27" s="377"/>
      <c r="AT27" s="377"/>
      <c r="AU27" s="377"/>
      <c r="AV27" s="377"/>
      <c r="AW27" s="377"/>
      <c r="AX27" s="377"/>
      <c r="AY27" s="377"/>
      <c r="AZ27" s="377"/>
      <c r="BA27" s="377"/>
      <c r="BB27" s="377"/>
      <c r="BC27" s="377"/>
      <c r="BD27" s="377"/>
      <c r="BE27" s="377"/>
      <c r="BF27" s="377"/>
      <c r="BG27" s="377"/>
      <c r="BH27" s="377"/>
      <c r="BI27" s="377"/>
      <c r="BJ27" s="377"/>
      <c r="BK27" s="377"/>
      <c r="BL27" s="377"/>
      <c r="BM27" s="377"/>
      <c r="BN27" s="377"/>
      <c r="BO27" s="377"/>
      <c r="BP27" s="377"/>
      <c r="BQ27" s="377"/>
      <c r="BR27" s="377"/>
      <c r="BS27" s="377"/>
    </row>
    <row r="28" ht="15">
      <c r="A28" s="377"/>
      <c r="B28" s="419"/>
      <c r="D28" s="377"/>
      <c r="E28" s="377"/>
      <c r="F28" s="377"/>
      <c r="G28" s="377"/>
      <c r="H28" s="377"/>
      <c r="I28" s="377"/>
      <c r="J28" s="377"/>
      <c r="K28" s="377"/>
      <c r="L28" s="377"/>
      <c r="M28" s="377"/>
      <c r="N28" s="377"/>
      <c r="O28" s="377"/>
      <c r="P28" s="377"/>
      <c r="Q28" s="377"/>
      <c r="R28" s="377"/>
      <c r="S28" s="377"/>
      <c r="T28" s="377"/>
      <c r="U28" s="377"/>
      <c r="V28" s="377"/>
      <c r="W28" s="377"/>
      <c r="X28" s="377"/>
      <c r="Y28" s="377"/>
      <c r="Z28" s="377"/>
      <c r="AA28" s="377"/>
      <c r="AB28" s="377"/>
      <c r="AC28" s="377"/>
      <c r="AD28" s="377"/>
      <c r="AE28" s="377"/>
      <c r="AF28" s="377"/>
      <c r="AG28" s="377"/>
      <c r="AH28" s="377"/>
      <c r="AI28" s="377"/>
      <c r="AJ28" s="377"/>
      <c r="AK28" s="377"/>
      <c r="AL28" s="377"/>
      <c r="AM28" s="377"/>
      <c r="AN28" s="377"/>
      <c r="AO28" s="377"/>
      <c r="AP28" s="377"/>
      <c r="AQ28" s="377"/>
      <c r="AR28" s="377"/>
      <c r="AS28" s="377"/>
      <c r="AT28" s="377"/>
      <c r="AU28" s="377"/>
      <c r="AV28" s="377"/>
      <c r="AW28" s="377"/>
      <c r="AX28" s="377"/>
      <c r="AY28" s="377"/>
      <c r="AZ28" s="377"/>
      <c r="BA28" s="377"/>
      <c r="BB28" s="377"/>
      <c r="BC28" s="377"/>
      <c r="BD28" s="377"/>
      <c r="BE28" s="377"/>
      <c r="BF28" s="377"/>
      <c r="BG28" s="377"/>
      <c r="BH28" s="377"/>
      <c r="BI28" s="377"/>
      <c r="BJ28" s="377"/>
      <c r="BK28" s="377"/>
      <c r="BL28" s="377"/>
      <c r="BM28" s="377"/>
      <c r="BN28" s="377"/>
      <c r="BO28" s="377"/>
      <c r="BP28" s="377"/>
      <c r="BQ28" s="377"/>
      <c r="BR28" s="377"/>
      <c r="BS28" s="377"/>
    </row>
    <row r="29" ht="16.5" customHeight="1">
      <c r="A29" s="377"/>
      <c r="B29" s="554" t="s">
        <v>334</v>
      </c>
      <c r="C29" s="550"/>
      <c r="D29" s="550"/>
      <c r="E29" s="550"/>
      <c r="F29" s="550"/>
      <c r="G29" s="550"/>
      <c r="H29" s="550"/>
      <c r="I29" s="550"/>
      <c r="J29" s="550"/>
      <c r="K29" s="550"/>
      <c r="L29" s="550"/>
      <c r="M29" s="550"/>
      <c r="N29" s="377"/>
      <c r="O29" s="377"/>
      <c r="P29" s="377"/>
      <c r="Q29" s="377"/>
      <c r="R29" s="377"/>
      <c r="S29" s="377"/>
      <c r="T29" s="377"/>
      <c r="U29" s="377"/>
      <c r="V29" s="377"/>
      <c r="W29" s="377"/>
      <c r="X29" s="377"/>
      <c r="Y29" s="377"/>
      <c r="Z29" s="377"/>
      <c r="AA29" s="377"/>
      <c r="AB29" s="377"/>
      <c r="AC29" s="377"/>
      <c r="AD29" s="377"/>
      <c r="AE29" s="377"/>
      <c r="AF29" s="377"/>
      <c r="AG29" s="377"/>
      <c r="AH29" s="377"/>
      <c r="AI29" s="377"/>
      <c r="AJ29" s="377"/>
      <c r="AK29" s="377"/>
      <c r="AL29" s="377"/>
      <c r="AM29" s="377"/>
      <c r="AN29" s="377"/>
      <c r="AO29" s="377"/>
      <c r="AP29" s="377"/>
      <c r="AQ29" s="377"/>
      <c r="AR29" s="377"/>
      <c r="AS29" s="377"/>
      <c r="AT29" s="377"/>
      <c r="AU29" s="377"/>
      <c r="AV29" s="377"/>
      <c r="AW29" s="377"/>
      <c r="AX29" s="377"/>
      <c r="AY29" s="377"/>
      <c r="AZ29" s="377"/>
      <c r="BA29" s="377"/>
      <c r="BB29" s="377"/>
      <c r="BC29" s="377"/>
      <c r="BD29" s="377"/>
      <c r="BE29" s="377"/>
      <c r="BF29" s="377"/>
      <c r="BG29" s="377"/>
      <c r="BH29" s="377"/>
      <c r="BI29" s="377"/>
      <c r="BJ29" s="377"/>
      <c r="BK29" s="377"/>
      <c r="BL29" s="377"/>
      <c r="BM29" s="377"/>
      <c r="BN29" s="377"/>
      <c r="BO29" s="377"/>
      <c r="BP29" s="377"/>
      <c r="BQ29" s="377"/>
      <c r="BR29" s="377"/>
      <c r="BS29" s="377"/>
    </row>
    <row r="30" ht="18">
      <c r="A30" s="377"/>
      <c r="B30" s="418"/>
      <c r="D30" s="377"/>
      <c r="E30" s="377"/>
      <c r="F30" s="377"/>
      <c r="G30" s="377"/>
      <c r="H30" s="377"/>
      <c r="I30" s="377"/>
      <c r="J30" s="377"/>
      <c r="K30" s="377"/>
      <c r="L30" s="377"/>
      <c r="M30" s="377"/>
      <c r="N30" s="377"/>
      <c r="O30" s="377"/>
      <c r="P30" s="377"/>
      <c r="Q30" s="377"/>
      <c r="R30" s="377"/>
      <c r="S30" s="377"/>
      <c r="T30" s="377"/>
      <c r="U30" s="377"/>
      <c r="V30" s="377"/>
      <c r="W30" s="377"/>
      <c r="X30" s="377"/>
      <c r="Y30" s="377"/>
      <c r="Z30" s="377"/>
      <c r="AA30" s="377"/>
      <c r="AB30" s="377"/>
      <c r="AC30" s="377"/>
      <c r="AD30" s="377"/>
      <c r="AE30" s="377"/>
      <c r="AF30" s="377"/>
      <c r="AG30" s="377"/>
      <c r="AH30" s="377"/>
      <c r="AI30" s="377"/>
      <c r="AJ30" s="377"/>
      <c r="AK30" s="377"/>
      <c r="AL30" s="377"/>
      <c r="AM30" s="377"/>
      <c r="AN30" s="377"/>
      <c r="AO30" s="377"/>
      <c r="AP30" s="377"/>
      <c r="AQ30" s="377"/>
      <c r="AR30" s="377"/>
      <c r="AS30" s="377"/>
      <c r="AT30" s="377"/>
      <c r="AU30" s="377"/>
      <c r="AV30" s="377"/>
      <c r="AW30" s="377"/>
      <c r="AX30" s="377"/>
      <c r="AY30" s="377"/>
      <c r="AZ30" s="377"/>
      <c r="BA30" s="377"/>
      <c r="BB30" s="377"/>
      <c r="BC30" s="377"/>
      <c r="BD30" s="377"/>
      <c r="BE30" s="377"/>
      <c r="BF30" s="377"/>
      <c r="BG30" s="377"/>
      <c r="BH30" s="377"/>
      <c r="BI30" s="377"/>
      <c r="BJ30" s="377"/>
      <c r="BK30" s="377"/>
      <c r="BL30" s="377"/>
      <c r="BM30" s="377"/>
      <c r="BN30" s="377"/>
      <c r="BO30" s="377"/>
      <c r="BP30" s="377"/>
      <c r="BQ30" s="377"/>
      <c r="BR30" s="377"/>
      <c r="BS30" s="377"/>
    </row>
    <row r="31">
      <c r="A31" s="377"/>
      <c r="B31" s="552" t="s">
        <v>335</v>
      </c>
      <c r="C31" s="553"/>
      <c r="D31" s="553"/>
      <c r="E31" s="553"/>
      <c r="F31" s="553"/>
      <c r="G31" s="553"/>
      <c r="H31" s="553"/>
      <c r="I31" s="553"/>
      <c r="J31" s="553"/>
      <c r="K31" s="553"/>
      <c r="L31" s="553"/>
      <c r="M31" s="553"/>
      <c r="N31" s="416"/>
      <c r="O31" s="416"/>
      <c r="P31" s="416"/>
      <c r="Q31" s="377"/>
      <c r="R31" s="377"/>
      <c r="S31" s="377"/>
      <c r="T31" s="377"/>
      <c r="U31" s="377"/>
      <c r="V31" s="377"/>
      <c r="W31" s="377"/>
      <c r="X31" s="377"/>
      <c r="Y31" s="377"/>
      <c r="Z31" s="377"/>
      <c r="AA31" s="377"/>
      <c r="AB31" s="377"/>
      <c r="AC31" s="377"/>
      <c r="AD31" s="377"/>
      <c r="AE31" s="377"/>
      <c r="AF31" s="377"/>
      <c r="AG31" s="377"/>
      <c r="AH31" s="377"/>
      <c r="AI31" s="377"/>
      <c r="AJ31" s="377"/>
      <c r="AK31" s="377"/>
      <c r="AL31" s="377"/>
      <c r="AM31" s="377"/>
      <c r="AN31" s="377"/>
      <c r="AO31" s="377"/>
      <c r="AP31" s="377"/>
      <c r="AQ31" s="377"/>
      <c r="AR31" s="377"/>
      <c r="AS31" s="377"/>
      <c r="AT31" s="377"/>
      <c r="AU31" s="377"/>
      <c r="AV31" s="377"/>
      <c r="AW31" s="377"/>
      <c r="AX31" s="377"/>
      <c r="AY31" s="377"/>
      <c r="AZ31" s="377"/>
      <c r="BA31" s="377"/>
      <c r="BB31" s="377"/>
      <c r="BC31" s="377"/>
      <c r="BD31" s="377"/>
      <c r="BE31" s="377"/>
      <c r="BF31" s="377"/>
      <c r="BG31" s="377"/>
      <c r="BH31" s="377"/>
      <c r="BI31" s="377"/>
      <c r="BJ31" s="377"/>
      <c r="BK31" s="377"/>
      <c r="BL31" s="377"/>
      <c r="BM31" s="377"/>
      <c r="BN31" s="377"/>
      <c r="BO31" s="377"/>
      <c r="BP31" s="377"/>
      <c r="BQ31" s="377"/>
      <c r="BR31" s="377"/>
      <c r="BS31" s="377"/>
    </row>
    <row r="32">
      <c r="A32" s="377"/>
      <c r="B32" s="553"/>
      <c r="C32" s="553"/>
      <c r="D32" s="553"/>
      <c r="E32" s="553"/>
      <c r="F32" s="553"/>
      <c r="G32" s="553"/>
      <c r="H32" s="553"/>
      <c r="I32" s="553"/>
      <c r="J32" s="553"/>
      <c r="K32" s="553"/>
      <c r="L32" s="553"/>
      <c r="M32" s="553"/>
      <c r="N32" s="416"/>
      <c r="O32" s="416"/>
      <c r="P32" s="416"/>
      <c r="Q32" s="377"/>
      <c r="R32" s="377"/>
      <c r="S32" s="377"/>
      <c r="T32" s="377"/>
      <c r="U32" s="377"/>
      <c r="V32" s="377"/>
      <c r="W32" s="377"/>
      <c r="X32" s="377"/>
      <c r="Y32" s="377"/>
      <c r="Z32" s="377"/>
      <c r="AA32" s="377"/>
      <c r="AB32" s="377"/>
      <c r="AC32" s="377"/>
      <c r="AD32" s="377"/>
      <c r="AE32" s="377"/>
      <c r="AF32" s="377"/>
      <c r="AG32" s="377"/>
      <c r="AH32" s="377"/>
      <c r="AI32" s="377"/>
      <c r="AJ32" s="377"/>
      <c r="AK32" s="377"/>
      <c r="AL32" s="377"/>
      <c r="AM32" s="377"/>
      <c r="AN32" s="377"/>
      <c r="AO32" s="377"/>
      <c r="AP32" s="377"/>
      <c r="AQ32" s="377"/>
      <c r="AR32" s="377"/>
      <c r="AS32" s="377"/>
      <c r="AT32" s="377"/>
      <c r="AU32" s="377"/>
      <c r="AV32" s="377"/>
      <c r="AW32" s="377"/>
      <c r="AX32" s="377"/>
      <c r="AY32" s="377"/>
      <c r="AZ32" s="377"/>
      <c r="BA32" s="377"/>
      <c r="BB32" s="377"/>
      <c r="BC32" s="377"/>
      <c r="BD32" s="377"/>
      <c r="BE32" s="377"/>
      <c r="BF32" s="377"/>
      <c r="BG32" s="377"/>
      <c r="BH32" s="377"/>
      <c r="BI32" s="377"/>
      <c r="BJ32" s="377"/>
      <c r="BK32" s="377"/>
      <c r="BL32" s="377"/>
      <c r="BM32" s="377"/>
      <c r="BN32" s="377"/>
      <c r="BO32" s="377"/>
      <c r="BP32" s="377"/>
      <c r="BQ32" s="377"/>
      <c r="BR32" s="377"/>
      <c r="BS32" s="377"/>
    </row>
    <row r="33">
      <c r="A33" s="377"/>
      <c r="B33" s="553"/>
      <c r="C33" s="553"/>
      <c r="D33" s="553"/>
      <c r="E33" s="553"/>
      <c r="F33" s="553"/>
      <c r="G33" s="553"/>
      <c r="H33" s="553"/>
      <c r="I33" s="553"/>
      <c r="J33" s="553"/>
      <c r="K33" s="553"/>
      <c r="L33" s="553"/>
      <c r="M33" s="553"/>
      <c r="N33" s="416"/>
      <c r="O33" s="416"/>
      <c r="P33" s="416"/>
      <c r="Q33" s="377"/>
      <c r="R33" s="377"/>
      <c r="S33" s="377"/>
      <c r="T33" s="377"/>
      <c r="U33" s="377"/>
      <c r="V33" s="377"/>
      <c r="W33" s="377"/>
      <c r="X33" s="377"/>
      <c r="Y33" s="377"/>
      <c r="Z33" s="377"/>
      <c r="AA33" s="377"/>
      <c r="AB33" s="377"/>
      <c r="AC33" s="377"/>
      <c r="AD33" s="377"/>
      <c r="AE33" s="377"/>
      <c r="AF33" s="377"/>
      <c r="AG33" s="377"/>
      <c r="AH33" s="377"/>
      <c r="AI33" s="377"/>
      <c r="AJ33" s="377"/>
      <c r="AK33" s="377"/>
      <c r="AL33" s="377"/>
      <c r="AM33" s="377"/>
      <c r="AN33" s="377"/>
      <c r="AO33" s="377"/>
      <c r="AP33" s="377"/>
      <c r="AQ33" s="377"/>
      <c r="AR33" s="377"/>
      <c r="AS33" s="377"/>
      <c r="AT33" s="377"/>
      <c r="AU33" s="377"/>
      <c r="AV33" s="377"/>
      <c r="AW33" s="377"/>
      <c r="AX33" s="377"/>
      <c r="AY33" s="377"/>
      <c r="AZ33" s="377"/>
      <c r="BA33" s="377"/>
      <c r="BB33" s="377"/>
      <c r="BC33" s="377"/>
      <c r="BD33" s="377"/>
      <c r="BE33" s="377"/>
      <c r="BF33" s="377"/>
      <c r="BG33" s="377"/>
      <c r="BH33" s="377"/>
      <c r="BI33" s="377"/>
      <c r="BJ33" s="377"/>
      <c r="BK33" s="377"/>
      <c r="BL33" s="377"/>
      <c r="BM33" s="377"/>
      <c r="BN33" s="377"/>
      <c r="BO33" s="377"/>
      <c r="BP33" s="377"/>
      <c r="BQ33" s="377"/>
      <c r="BR33" s="377"/>
      <c r="BS33" s="377"/>
    </row>
    <row r="34" ht="38.25" customHeight="1">
      <c r="A34" s="377"/>
      <c r="B34" s="553"/>
      <c r="C34" s="553"/>
      <c r="D34" s="553"/>
      <c r="E34" s="553"/>
      <c r="F34" s="553"/>
      <c r="G34" s="553"/>
      <c r="H34" s="553"/>
      <c r="I34" s="553"/>
      <c r="J34" s="553"/>
      <c r="K34" s="553"/>
      <c r="L34" s="553"/>
      <c r="M34" s="553"/>
      <c r="N34" s="416"/>
      <c r="O34" s="416"/>
      <c r="P34" s="416"/>
      <c r="Q34" s="377"/>
      <c r="R34" s="377"/>
      <c r="S34" s="377"/>
      <c r="T34" s="377"/>
      <c r="U34" s="377"/>
      <c r="V34" s="377"/>
      <c r="W34" s="377"/>
      <c r="X34" s="377"/>
      <c r="Y34" s="377"/>
      <c r="Z34" s="377"/>
      <c r="AA34" s="377"/>
      <c r="AB34" s="377"/>
      <c r="AC34" s="377"/>
      <c r="AD34" s="377"/>
      <c r="AE34" s="377"/>
      <c r="AF34" s="377"/>
      <c r="AG34" s="377"/>
      <c r="AH34" s="377"/>
      <c r="AI34" s="377"/>
      <c r="AJ34" s="377"/>
      <c r="AK34" s="377"/>
      <c r="AL34" s="377"/>
      <c r="AM34" s="377"/>
      <c r="AN34" s="377"/>
      <c r="AO34" s="377"/>
      <c r="AP34" s="377"/>
      <c r="AQ34" s="377"/>
      <c r="AR34" s="377"/>
      <c r="AS34" s="377"/>
      <c r="AT34" s="377"/>
      <c r="AU34" s="377"/>
      <c r="AV34" s="377"/>
      <c r="AW34" s="377"/>
      <c r="AX34" s="377"/>
      <c r="AY34" s="377"/>
      <c r="AZ34" s="377"/>
      <c r="BA34" s="377"/>
      <c r="BB34" s="377"/>
      <c r="BC34" s="377"/>
      <c r="BD34" s="377"/>
      <c r="BE34" s="377"/>
      <c r="BF34" s="377"/>
      <c r="BG34" s="377"/>
      <c r="BH34" s="377"/>
      <c r="BI34" s="377"/>
      <c r="BJ34" s="377"/>
      <c r="BK34" s="377"/>
      <c r="BL34" s="377"/>
      <c r="BM34" s="377"/>
      <c r="BN34" s="377"/>
      <c r="BO34" s="377"/>
      <c r="BP34" s="377"/>
      <c r="BQ34" s="377"/>
      <c r="BR34" s="377"/>
      <c r="BS34" s="377"/>
    </row>
    <row r="35" ht="15">
      <c r="A35" s="377"/>
      <c r="B35" s="417"/>
      <c r="C35" s="377"/>
      <c r="D35" s="377"/>
      <c r="E35" s="377"/>
      <c r="F35" s="377"/>
      <c r="G35" s="377"/>
      <c r="H35" s="377"/>
      <c r="I35" s="377"/>
      <c r="J35" s="377"/>
      <c r="K35" s="377"/>
      <c r="L35" s="377"/>
      <c r="M35" s="377"/>
      <c r="N35" s="377"/>
      <c r="O35" s="377"/>
      <c r="P35" s="377"/>
      <c r="Q35" s="377"/>
      <c r="R35" s="377"/>
      <c r="S35" s="377"/>
      <c r="T35" s="377"/>
      <c r="U35" s="377"/>
      <c r="V35" s="377"/>
      <c r="W35" s="377"/>
      <c r="X35" s="377"/>
      <c r="Y35" s="377"/>
      <c r="Z35" s="377"/>
      <c r="AA35" s="377"/>
      <c r="AB35" s="377"/>
      <c r="AC35" s="377"/>
      <c r="AD35" s="377"/>
      <c r="AE35" s="377"/>
      <c r="AF35" s="377"/>
      <c r="AG35" s="377"/>
      <c r="AH35" s="377"/>
      <c r="AI35" s="377"/>
      <c r="AJ35" s="377"/>
      <c r="AK35" s="377"/>
      <c r="AL35" s="377"/>
      <c r="AM35" s="377"/>
      <c r="AN35" s="377"/>
      <c r="AO35" s="377"/>
      <c r="AP35" s="377"/>
      <c r="AQ35" s="377"/>
      <c r="AR35" s="377"/>
      <c r="AS35" s="377"/>
      <c r="AT35" s="377"/>
      <c r="AU35" s="377"/>
      <c r="AV35" s="377"/>
      <c r="AW35" s="377"/>
      <c r="AX35" s="377"/>
      <c r="AY35" s="377"/>
      <c r="AZ35" s="377"/>
      <c r="BA35" s="377"/>
      <c r="BB35" s="377"/>
      <c r="BC35" s="377"/>
      <c r="BD35" s="377"/>
      <c r="BE35" s="377"/>
      <c r="BF35" s="377"/>
      <c r="BG35" s="377"/>
      <c r="BH35" s="377"/>
      <c r="BI35" s="377"/>
      <c r="BJ35" s="377"/>
      <c r="BK35" s="377"/>
      <c r="BL35" s="377"/>
      <c r="BM35" s="377"/>
      <c r="BN35" s="377"/>
      <c r="BO35" s="377"/>
      <c r="BP35" s="377"/>
      <c r="BQ35" s="377"/>
      <c r="BR35" s="377"/>
      <c r="BS35" s="377"/>
    </row>
    <row r="36" ht="15.75" customHeight="1">
      <c r="A36" s="377"/>
      <c r="B36" s="554" t="s">
        <v>336</v>
      </c>
      <c r="C36" s="550"/>
      <c r="D36" s="550"/>
      <c r="E36" s="550"/>
      <c r="F36" s="550"/>
      <c r="G36" s="550"/>
      <c r="H36" s="550"/>
      <c r="I36" s="550"/>
      <c r="J36" s="550"/>
      <c r="K36" s="550"/>
      <c r="L36" s="550"/>
      <c r="M36" s="550"/>
      <c r="N36" s="377"/>
      <c r="O36" s="377"/>
      <c r="P36" s="377"/>
      <c r="Q36" s="377"/>
      <c r="R36" s="377"/>
      <c r="S36" s="377"/>
      <c r="T36" s="377"/>
      <c r="U36" s="377"/>
      <c r="V36" s="377"/>
      <c r="W36" s="377"/>
      <c r="X36" s="377"/>
      <c r="Y36" s="377"/>
      <c r="Z36" s="377"/>
      <c r="AA36" s="377"/>
      <c r="AB36" s="377"/>
      <c r="AC36" s="377"/>
      <c r="AD36" s="377"/>
      <c r="AE36" s="377"/>
      <c r="AF36" s="377"/>
      <c r="AG36" s="377"/>
      <c r="AH36" s="377"/>
      <c r="AI36" s="377"/>
      <c r="AJ36" s="377"/>
      <c r="AK36" s="377"/>
      <c r="AL36" s="377"/>
      <c r="AM36" s="377"/>
      <c r="AN36" s="377"/>
      <c r="AO36" s="377"/>
      <c r="AP36" s="377"/>
      <c r="AQ36" s="377"/>
      <c r="AR36" s="377"/>
      <c r="AS36" s="377"/>
      <c r="AT36" s="377"/>
      <c r="AU36" s="377"/>
      <c r="AV36" s="377"/>
      <c r="AW36" s="377"/>
      <c r="AX36" s="377"/>
      <c r="AY36" s="377"/>
      <c r="AZ36" s="377"/>
      <c r="BA36" s="377"/>
      <c r="BB36" s="377"/>
      <c r="BC36" s="377"/>
      <c r="BD36" s="377"/>
      <c r="BE36" s="377"/>
      <c r="BF36" s="377"/>
      <c r="BG36" s="377"/>
      <c r="BH36" s="377"/>
      <c r="BI36" s="377"/>
      <c r="BJ36" s="377"/>
      <c r="BK36" s="377"/>
      <c r="BL36" s="377"/>
      <c r="BM36" s="377"/>
      <c r="BN36" s="377"/>
      <c r="BO36" s="377"/>
      <c r="BP36" s="377"/>
      <c r="BQ36" s="377"/>
      <c r="BR36" s="377"/>
      <c r="BS36" s="377"/>
    </row>
    <row r="37" ht="18">
      <c r="A37" s="377"/>
      <c r="B37" s="418"/>
      <c r="C37" s="377"/>
      <c r="D37" s="377"/>
      <c r="E37" s="377"/>
      <c r="F37" s="377"/>
      <c r="G37" s="377"/>
      <c r="H37" s="377"/>
      <c r="I37" s="377"/>
      <c r="J37" s="377"/>
      <c r="K37" s="377"/>
      <c r="L37" s="377"/>
      <c r="M37" s="377"/>
      <c r="N37" s="377"/>
      <c r="O37" s="377"/>
      <c r="P37" s="377"/>
      <c r="Q37" s="377"/>
      <c r="R37" s="377"/>
      <c r="S37" s="377"/>
      <c r="T37" s="377"/>
      <c r="U37" s="377"/>
      <c r="V37" s="377"/>
      <c r="W37" s="377"/>
      <c r="X37" s="377"/>
      <c r="Y37" s="377"/>
      <c r="Z37" s="377"/>
      <c r="AA37" s="377"/>
      <c r="AB37" s="377"/>
      <c r="AC37" s="377"/>
      <c r="AD37" s="377"/>
      <c r="AE37" s="377"/>
      <c r="AF37" s="377"/>
      <c r="AG37" s="377"/>
      <c r="AH37" s="377"/>
      <c r="AI37" s="377"/>
      <c r="AJ37" s="377"/>
      <c r="AK37" s="377"/>
      <c r="AL37" s="377"/>
      <c r="AM37" s="377"/>
      <c r="AN37" s="377"/>
      <c r="AO37" s="377"/>
      <c r="AP37" s="377"/>
      <c r="AQ37" s="377"/>
      <c r="AR37" s="377"/>
      <c r="AS37" s="377"/>
      <c r="AT37" s="377"/>
      <c r="AU37" s="377"/>
      <c r="AV37" s="377"/>
      <c r="AW37" s="377"/>
      <c r="AX37" s="377"/>
      <c r="AY37" s="377"/>
      <c r="AZ37" s="377"/>
      <c r="BA37" s="377"/>
      <c r="BB37" s="377"/>
      <c r="BC37" s="377"/>
      <c r="BD37" s="377"/>
      <c r="BE37" s="377"/>
      <c r="BF37" s="377"/>
      <c r="BG37" s="377"/>
      <c r="BH37" s="377"/>
      <c r="BI37" s="377"/>
      <c r="BJ37" s="377"/>
      <c r="BK37" s="377"/>
      <c r="BL37" s="377"/>
      <c r="BM37" s="377"/>
      <c r="BN37" s="377"/>
      <c r="BO37" s="377"/>
      <c r="BP37" s="377"/>
      <c r="BQ37" s="377"/>
      <c r="BR37" s="377"/>
      <c r="BS37" s="377"/>
    </row>
    <row r="38" ht="15.75" customHeight="1">
      <c r="A38" s="377"/>
      <c r="B38" s="555" t="s">
        <v>337</v>
      </c>
      <c r="C38" s="550"/>
      <c r="D38" s="550"/>
      <c r="E38" s="550"/>
      <c r="F38" s="550"/>
      <c r="G38" s="550"/>
      <c r="H38" s="550"/>
      <c r="I38" s="550"/>
      <c r="J38" s="550"/>
      <c r="K38" s="550"/>
      <c r="L38" s="550"/>
      <c r="M38" s="550"/>
      <c r="N38" s="377"/>
      <c r="O38" s="377"/>
      <c r="P38" s="377"/>
      <c r="Q38" s="377"/>
      <c r="R38" s="377"/>
      <c r="S38" s="377"/>
      <c r="T38" s="377"/>
      <c r="U38" s="377"/>
      <c r="V38" s="377"/>
      <c r="W38" s="377"/>
      <c r="X38" s="377"/>
      <c r="Y38" s="377"/>
      <c r="Z38" s="377"/>
      <c r="AA38" s="377"/>
      <c r="AB38" s="377"/>
      <c r="AC38" s="377"/>
      <c r="AD38" s="377"/>
      <c r="AE38" s="377"/>
      <c r="AF38" s="377"/>
      <c r="AG38" s="377"/>
      <c r="AH38" s="377"/>
      <c r="AI38" s="377"/>
      <c r="AJ38" s="377"/>
      <c r="AK38" s="377"/>
      <c r="AL38" s="377"/>
      <c r="AM38" s="377"/>
      <c r="AN38" s="377"/>
      <c r="AO38" s="377"/>
      <c r="AP38" s="377"/>
      <c r="AQ38" s="377"/>
      <c r="AR38" s="377"/>
      <c r="AS38" s="377"/>
      <c r="AT38" s="377"/>
      <c r="AU38" s="377"/>
      <c r="AV38" s="377"/>
      <c r="AW38" s="377"/>
      <c r="AX38" s="377"/>
      <c r="AY38" s="377"/>
      <c r="AZ38" s="377"/>
      <c r="BA38" s="377"/>
      <c r="BB38" s="377"/>
      <c r="BC38" s="377"/>
      <c r="BD38" s="377"/>
      <c r="BE38" s="377"/>
      <c r="BF38" s="377"/>
      <c r="BG38" s="377"/>
      <c r="BH38" s="377"/>
      <c r="BI38" s="377"/>
      <c r="BJ38" s="377"/>
      <c r="BK38" s="377"/>
      <c r="BL38" s="377"/>
      <c r="BM38" s="377"/>
      <c r="BN38" s="377"/>
      <c r="BO38" s="377"/>
      <c r="BP38" s="377"/>
      <c r="BQ38" s="377"/>
      <c r="BR38" s="377"/>
      <c r="BS38" s="377"/>
    </row>
    <row r="39" ht="10.5" customHeight="1">
      <c r="A39" s="377"/>
      <c r="B39" s="420"/>
      <c r="C39" s="377"/>
      <c r="D39" s="377"/>
      <c r="E39" s="377"/>
      <c r="F39" s="377"/>
      <c r="G39" s="377"/>
      <c r="H39" s="377"/>
      <c r="I39" s="377"/>
      <c r="J39" s="377"/>
      <c r="K39" s="377"/>
      <c r="L39" s="377"/>
      <c r="M39" s="377"/>
      <c r="N39" s="377"/>
      <c r="O39" s="377"/>
      <c r="P39" s="377"/>
      <c r="Q39" s="377"/>
      <c r="R39" s="377"/>
      <c r="S39" s="377"/>
      <c r="T39" s="377"/>
      <c r="U39" s="377"/>
      <c r="V39" s="377"/>
      <c r="W39" s="377"/>
      <c r="X39" s="377"/>
      <c r="Y39" s="377"/>
      <c r="Z39" s="377"/>
      <c r="AA39" s="377"/>
      <c r="AB39" s="377"/>
      <c r="AC39" s="377"/>
      <c r="AD39" s="377"/>
      <c r="AE39" s="377"/>
      <c r="AF39" s="377"/>
      <c r="AG39" s="377"/>
      <c r="AH39" s="377"/>
      <c r="AI39" s="377"/>
      <c r="AJ39" s="377"/>
      <c r="AK39" s="377"/>
      <c r="AL39" s="377"/>
      <c r="AM39" s="377"/>
      <c r="AN39" s="377"/>
      <c r="AO39" s="377"/>
      <c r="AP39" s="377"/>
      <c r="AQ39" s="377"/>
      <c r="AR39" s="377"/>
      <c r="AS39" s="377"/>
      <c r="AT39" s="377"/>
      <c r="AU39" s="377"/>
      <c r="AV39" s="377"/>
      <c r="AW39" s="377"/>
      <c r="AX39" s="377"/>
      <c r="AY39" s="377"/>
      <c r="AZ39" s="377"/>
      <c r="BA39" s="377"/>
      <c r="BB39" s="377"/>
      <c r="BC39" s="377"/>
      <c r="BD39" s="377"/>
      <c r="BE39" s="377"/>
      <c r="BF39" s="377"/>
      <c r="BG39" s="377"/>
      <c r="BH39" s="377"/>
      <c r="BI39" s="377"/>
      <c r="BJ39" s="377"/>
      <c r="BK39" s="377"/>
      <c r="BL39" s="377"/>
      <c r="BM39" s="377"/>
      <c r="BN39" s="377"/>
      <c r="BO39" s="377"/>
      <c r="BP39" s="377"/>
      <c r="BQ39" s="377"/>
      <c r="BR39" s="377"/>
      <c r="BS39" s="377"/>
    </row>
    <row r="40">
      <c r="A40" s="377"/>
      <c r="B40" s="556" t="s">
        <v>338</v>
      </c>
      <c r="C40" s="553"/>
      <c r="D40" s="553"/>
      <c r="E40" s="553"/>
      <c r="F40" s="553"/>
      <c r="G40" s="553"/>
      <c r="H40" s="553"/>
      <c r="I40" s="553"/>
      <c r="J40" s="553"/>
      <c r="K40" s="553"/>
      <c r="L40" s="553"/>
      <c r="M40" s="553"/>
      <c r="N40" s="416"/>
      <c r="O40" s="416"/>
      <c r="P40" s="416"/>
      <c r="Q40" s="377"/>
      <c r="R40" s="377"/>
      <c r="S40" s="377"/>
      <c r="T40" s="377"/>
      <c r="U40" s="377"/>
      <c r="V40" s="377"/>
      <c r="W40" s="377"/>
      <c r="X40" s="377"/>
      <c r="Y40" s="377"/>
      <c r="Z40" s="377"/>
      <c r="AA40" s="377"/>
      <c r="AB40" s="377"/>
      <c r="AC40" s="377"/>
      <c r="AD40" s="377"/>
      <c r="AE40" s="377"/>
      <c r="AF40" s="377"/>
      <c r="AG40" s="377"/>
      <c r="AH40" s="377"/>
      <c r="AI40" s="377"/>
      <c r="AJ40" s="377"/>
      <c r="AK40" s="377"/>
      <c r="AL40" s="377"/>
      <c r="AM40" s="377"/>
      <c r="AN40" s="377"/>
      <c r="AO40" s="377"/>
      <c r="AP40" s="377"/>
      <c r="AQ40" s="377"/>
      <c r="AR40" s="377"/>
      <c r="AS40" s="377"/>
      <c r="AT40" s="377"/>
      <c r="AU40" s="377"/>
      <c r="AV40" s="377"/>
      <c r="AW40" s="377"/>
      <c r="AX40" s="377"/>
      <c r="AY40" s="377"/>
      <c r="AZ40" s="377"/>
      <c r="BA40" s="377"/>
      <c r="BB40" s="377"/>
      <c r="BC40" s="377"/>
      <c r="BD40" s="377"/>
      <c r="BE40" s="377"/>
      <c r="BF40" s="377"/>
      <c r="BG40" s="377"/>
    </row>
    <row r="41">
      <c r="A41" s="377"/>
      <c r="B41" s="553"/>
      <c r="C41" s="553"/>
      <c r="D41" s="553"/>
      <c r="E41" s="553"/>
      <c r="F41" s="553"/>
      <c r="G41" s="553"/>
      <c r="H41" s="553"/>
      <c r="I41" s="553"/>
      <c r="J41" s="553"/>
      <c r="K41" s="553"/>
      <c r="L41" s="553"/>
      <c r="M41" s="553"/>
      <c r="N41" s="416"/>
      <c r="O41" s="416"/>
      <c r="P41" s="416"/>
      <c r="Q41" s="377"/>
      <c r="R41" s="377"/>
      <c r="S41" s="377"/>
      <c r="T41" s="377"/>
      <c r="U41" s="377"/>
      <c r="V41" s="377"/>
      <c r="W41" s="377"/>
      <c r="X41" s="377"/>
      <c r="Y41" s="377"/>
      <c r="Z41" s="377"/>
      <c r="AA41" s="377"/>
      <c r="AB41" s="377"/>
    </row>
    <row r="42">
      <c r="A42" s="377"/>
      <c r="B42" s="553"/>
      <c r="C42" s="553"/>
      <c r="D42" s="553"/>
      <c r="E42" s="553"/>
      <c r="F42" s="553"/>
      <c r="G42" s="553"/>
      <c r="H42" s="553"/>
      <c r="I42" s="553"/>
      <c r="J42" s="553"/>
      <c r="K42" s="553"/>
      <c r="L42" s="553"/>
      <c r="M42" s="553"/>
      <c r="N42" s="416"/>
      <c r="O42" s="416"/>
      <c r="P42" s="416"/>
      <c r="Q42" s="377"/>
      <c r="R42" s="377"/>
      <c r="S42" s="377"/>
      <c r="T42" s="377"/>
      <c r="U42" s="377"/>
      <c r="V42" s="377"/>
      <c r="W42" s="377"/>
      <c r="X42" s="377"/>
      <c r="Y42" s="377"/>
      <c r="Z42" s="377"/>
      <c r="AA42" s="377"/>
      <c r="AB42" s="377"/>
    </row>
    <row r="43" ht="39" customHeight="1">
      <c r="A43" s="377"/>
      <c r="B43" s="553"/>
      <c r="C43" s="553"/>
      <c r="D43" s="553"/>
      <c r="E43" s="553"/>
      <c r="F43" s="553"/>
      <c r="G43" s="553"/>
      <c r="H43" s="553"/>
      <c r="I43" s="553"/>
      <c r="J43" s="553"/>
      <c r="K43" s="553"/>
      <c r="L43" s="553"/>
      <c r="M43" s="553"/>
      <c r="N43" s="416"/>
      <c r="O43" s="416"/>
      <c r="P43" s="416"/>
      <c r="Q43" s="377"/>
      <c r="R43" s="377"/>
      <c r="S43" s="377"/>
      <c r="T43" s="377"/>
      <c r="U43" s="377"/>
      <c r="V43" s="377"/>
      <c r="W43" s="377"/>
      <c r="X43" s="377"/>
      <c r="Y43" s="377"/>
      <c r="Z43" s="377"/>
      <c r="AA43" s="377"/>
      <c r="AB43" s="377"/>
    </row>
    <row r="44" ht="15">
      <c r="A44" s="377"/>
      <c r="B44" s="422"/>
      <c r="C44" s="423"/>
      <c r="D44" s="423"/>
      <c r="E44" s="423"/>
      <c r="F44" s="423"/>
      <c r="G44" s="423"/>
      <c r="H44" s="377"/>
      <c r="I44" s="377"/>
      <c r="J44" s="377"/>
      <c r="K44" s="377"/>
      <c r="L44" s="377"/>
      <c r="M44" s="377"/>
      <c r="N44" s="377"/>
      <c r="O44" s="377"/>
      <c r="P44" s="377"/>
      <c r="Q44" s="377"/>
      <c r="R44" s="377"/>
      <c r="S44" s="377"/>
      <c r="T44" s="377"/>
      <c r="U44" s="377"/>
      <c r="V44" s="377"/>
      <c r="W44" s="377"/>
      <c r="X44" s="377"/>
      <c r="Y44" s="377"/>
      <c r="Z44" s="377"/>
      <c r="AA44" s="377"/>
      <c r="AB44" s="377"/>
    </row>
    <row r="45" ht="14.25" customHeight="1">
      <c r="A45" s="377"/>
      <c r="B45" s="557" t="s">
        <v>339</v>
      </c>
      <c r="C45" s="550"/>
      <c r="D45" s="550"/>
      <c r="E45" s="550"/>
      <c r="F45" s="550"/>
      <c r="G45" s="550"/>
      <c r="H45" s="550"/>
      <c r="I45" s="550"/>
      <c r="J45" s="550"/>
      <c r="K45" s="550"/>
      <c r="L45" s="550"/>
      <c r="M45" s="550"/>
      <c r="N45" s="377"/>
      <c r="O45" s="377"/>
      <c r="P45" s="377"/>
      <c r="Q45" s="377"/>
      <c r="R45" s="377"/>
      <c r="S45" s="377"/>
      <c r="T45" s="377"/>
      <c r="U45" s="377"/>
      <c r="V45" s="377"/>
      <c r="W45" s="377"/>
      <c r="X45" s="377"/>
      <c r="Y45" s="377"/>
      <c r="Z45" s="377"/>
      <c r="AA45" s="377"/>
      <c r="AB45" s="377"/>
    </row>
    <row r="46" ht="12" customHeight="1">
      <c r="A46" s="377"/>
      <c r="B46" s="424"/>
      <c r="C46" s="423"/>
      <c r="D46" s="423"/>
      <c r="E46" s="423"/>
      <c r="F46" s="423"/>
      <c r="G46" s="423"/>
      <c r="H46" s="377"/>
      <c r="I46" s="377"/>
      <c r="J46" s="377"/>
      <c r="K46" s="377"/>
      <c r="L46" s="377"/>
      <c r="M46" s="377"/>
      <c r="N46" s="377"/>
      <c r="O46" s="377"/>
      <c r="P46" s="377"/>
      <c r="Q46" s="377"/>
      <c r="R46" s="377"/>
      <c r="S46" s="377"/>
      <c r="T46" s="377"/>
      <c r="U46" s="377"/>
      <c r="V46" s="377"/>
      <c r="W46" s="377"/>
      <c r="X46" s="377"/>
      <c r="Y46" s="377"/>
      <c r="Z46" s="377"/>
      <c r="AA46" s="377"/>
      <c r="AB46" s="377"/>
    </row>
    <row r="47" ht="14.25" customHeight="1">
      <c r="A47" s="377"/>
      <c r="B47" s="549" t="s">
        <v>340</v>
      </c>
      <c r="C47" s="550"/>
      <c r="D47" s="550"/>
      <c r="E47" s="550"/>
      <c r="F47" s="550"/>
      <c r="G47" s="550"/>
      <c r="H47" s="550"/>
      <c r="I47" s="550"/>
      <c r="J47" s="550"/>
      <c r="K47" s="550"/>
      <c r="L47" s="550"/>
      <c r="M47" s="550"/>
      <c r="N47" s="322"/>
      <c r="O47" s="322"/>
      <c r="P47" s="322"/>
      <c r="Q47" s="377"/>
      <c r="R47" s="377"/>
      <c r="S47" s="377"/>
      <c r="T47" s="377"/>
      <c r="U47" s="377"/>
      <c r="V47" s="377"/>
      <c r="W47" s="377"/>
      <c r="X47" s="377"/>
      <c r="Y47" s="377"/>
      <c r="Z47" s="377"/>
      <c r="AA47" s="377"/>
      <c r="AB47" s="377"/>
    </row>
    <row r="48" ht="23.25" customHeight="1">
      <c r="A48" s="377"/>
      <c r="B48" s="556" t="s">
        <v>341</v>
      </c>
      <c r="C48" s="553"/>
      <c r="D48" s="553"/>
      <c r="E48" s="553"/>
      <c r="F48" s="553"/>
      <c r="G48" s="553"/>
      <c r="H48" s="553"/>
      <c r="I48" s="553"/>
      <c r="J48" s="553"/>
      <c r="K48" s="553"/>
      <c r="L48" s="553"/>
      <c r="M48" s="553"/>
      <c r="N48" s="416"/>
      <c r="O48" s="416"/>
      <c r="P48" s="416"/>
      <c r="Q48" s="377"/>
      <c r="R48" s="377"/>
      <c r="S48" s="377"/>
      <c r="T48" s="377"/>
      <c r="U48" s="377"/>
      <c r="V48" s="377"/>
      <c r="W48" s="377"/>
      <c r="X48" s="377"/>
      <c r="Y48" s="377"/>
      <c r="Z48" s="377"/>
      <c r="AA48" s="377"/>
      <c r="AB48" s="377"/>
    </row>
    <row r="49" ht="22.5" customHeight="1" s="425" customFormat="1">
      <c r="B49" s="553"/>
      <c r="C49" s="553"/>
      <c r="D49" s="553"/>
      <c r="E49" s="553"/>
      <c r="F49" s="553"/>
      <c r="G49" s="553"/>
      <c r="H49" s="553"/>
      <c r="I49" s="553"/>
      <c r="J49" s="553"/>
      <c r="K49" s="553"/>
      <c r="L49" s="553"/>
      <c r="M49" s="553"/>
      <c r="N49" s="416"/>
      <c r="O49" s="416"/>
      <c r="P49" s="416"/>
    </row>
    <row r="50">
      <c r="A50" s="377"/>
      <c r="B50" s="377"/>
      <c r="C50" s="377"/>
      <c r="D50" s="377"/>
      <c r="E50" s="377"/>
      <c r="F50" s="377"/>
      <c r="G50" s="377"/>
      <c r="H50" s="377"/>
      <c r="I50" s="377"/>
      <c r="J50" s="377"/>
      <c r="K50" s="377"/>
      <c r="L50" s="377"/>
      <c r="M50" s="377"/>
      <c r="N50" s="377"/>
      <c r="O50" s="377"/>
      <c r="P50" s="377"/>
      <c r="Q50" s="377"/>
      <c r="R50" s="377"/>
      <c r="S50" s="377"/>
      <c r="T50" s="377"/>
      <c r="U50" s="377"/>
      <c r="V50" s="377"/>
      <c r="W50" s="377"/>
      <c r="X50" s="377"/>
      <c r="Y50" s="377"/>
      <c r="Z50" s="377"/>
      <c r="AA50" s="377"/>
      <c r="AB50" s="377"/>
    </row>
    <row r="51" ht="15" s="426" customFormat="1">
      <c r="B51" s="558" t="s">
        <v>342</v>
      </c>
      <c r="C51" s="550"/>
      <c r="D51" s="550"/>
      <c r="E51" s="550"/>
      <c r="F51" s="550"/>
      <c r="G51" s="550"/>
      <c r="H51" s="550"/>
      <c r="I51" s="550"/>
      <c r="J51" s="550"/>
      <c r="K51" s="550"/>
      <c r="L51" s="550"/>
      <c r="M51" s="550"/>
    </row>
    <row r="52" ht="11.25" customHeight="1" s="426" customFormat="1">
      <c r="B52" s="427"/>
    </row>
    <row r="53" ht="12.75" customHeight="1" s="426" customFormat="1">
      <c r="B53" s="556" t="s">
        <v>343</v>
      </c>
      <c r="C53" s="556"/>
      <c r="D53" s="556"/>
      <c r="E53" s="556"/>
      <c r="F53" s="556"/>
      <c r="G53" s="556"/>
      <c r="H53" s="556"/>
      <c r="I53" s="556"/>
      <c r="J53" s="556"/>
      <c r="K53" s="556"/>
      <c r="L53" s="556"/>
      <c r="M53" s="556"/>
      <c r="N53" s="421"/>
      <c r="O53" s="421"/>
      <c r="P53" s="421"/>
    </row>
    <row r="54" ht="18" customHeight="1" s="426" customFormat="1">
      <c r="B54" s="553"/>
      <c r="C54" s="553"/>
      <c r="D54" s="553"/>
      <c r="E54" s="553"/>
      <c r="F54" s="553"/>
      <c r="G54" s="553"/>
      <c r="H54" s="553"/>
      <c r="I54" s="553"/>
      <c r="J54" s="553"/>
      <c r="K54" s="553"/>
      <c r="L54" s="553"/>
      <c r="M54" s="553"/>
      <c r="N54" s="421"/>
      <c r="O54" s="421"/>
      <c r="P54" s="421"/>
    </row>
    <row r="55" ht="15" s="426" customFormat="1"/>
    <row r="56" ht="15" s="426" customFormat="1">
      <c r="B56" s="558" t="s">
        <v>344</v>
      </c>
      <c r="C56" s="550"/>
      <c r="D56" s="550"/>
      <c r="E56" s="550"/>
      <c r="F56" s="550"/>
      <c r="G56" s="550"/>
      <c r="H56" s="550"/>
      <c r="I56" s="550"/>
      <c r="J56" s="550"/>
      <c r="K56" s="550"/>
      <c r="L56" s="550"/>
      <c r="M56" s="550"/>
    </row>
    <row r="57" ht="12" customHeight="1" s="426" customFormat="1">
      <c r="B57" s="427"/>
    </row>
    <row r="58" ht="15" s="426" customFormat="1">
      <c r="B58" s="556" t="s">
        <v>345</v>
      </c>
      <c r="C58" s="556"/>
      <c r="D58" s="556"/>
      <c r="E58" s="556"/>
      <c r="F58" s="556"/>
      <c r="G58" s="556"/>
      <c r="H58" s="556"/>
      <c r="I58" s="556"/>
      <c r="J58" s="556"/>
      <c r="K58" s="556"/>
      <c r="L58" s="556"/>
      <c r="M58" s="556"/>
      <c r="N58" s="421"/>
      <c r="O58" s="421"/>
      <c r="P58" s="421"/>
    </row>
    <row r="59" ht="15" s="426" customFormat="1">
      <c r="B59" s="553"/>
      <c r="C59" s="553"/>
      <c r="D59" s="553"/>
      <c r="E59" s="553"/>
      <c r="F59" s="553"/>
      <c r="G59" s="553"/>
      <c r="H59" s="553"/>
      <c r="I59" s="553"/>
      <c r="J59" s="553"/>
      <c r="K59" s="553"/>
      <c r="L59" s="553"/>
      <c r="M59" s="553"/>
      <c r="N59" s="421"/>
      <c r="O59" s="421"/>
      <c r="P59" s="421"/>
    </row>
    <row r="60" ht="31.5" customHeight="1" s="426" customFormat="1">
      <c r="B60" s="553"/>
      <c r="C60" s="553"/>
      <c r="D60" s="553"/>
      <c r="E60" s="553"/>
      <c r="F60" s="553"/>
      <c r="G60" s="553"/>
      <c r="H60" s="553"/>
      <c r="I60" s="553"/>
      <c r="J60" s="553"/>
      <c r="K60" s="553"/>
      <c r="L60" s="553"/>
      <c r="M60" s="553"/>
      <c r="N60" s="421"/>
      <c r="O60" s="421"/>
      <c r="P60" s="421"/>
    </row>
    <row r="61" ht="15" s="426" customFormat="1"/>
    <row r="62" ht="15" s="426" customFormat="1">
      <c r="B62" s="427" t="s">
        <v>346</v>
      </c>
    </row>
    <row r="63" ht="12" customHeight="1" s="426" customFormat="1">
      <c r="B63" s="427"/>
    </row>
    <row r="64" ht="12" customHeight="1" s="426" customFormat="1">
      <c r="B64" s="556" t="s">
        <v>347</v>
      </c>
      <c r="C64" s="556"/>
      <c r="D64" s="556"/>
      <c r="E64" s="556"/>
      <c r="F64" s="556"/>
      <c r="G64" s="556"/>
      <c r="H64" s="556"/>
      <c r="I64" s="556"/>
      <c r="J64" s="556"/>
      <c r="K64" s="556"/>
      <c r="L64" s="556"/>
      <c r="M64" s="556"/>
      <c r="N64" s="421"/>
      <c r="O64" s="421"/>
      <c r="P64" s="421"/>
    </row>
    <row r="65" ht="34.5" customHeight="1" s="426" customFormat="1">
      <c r="B65" s="556"/>
      <c r="C65" s="556"/>
      <c r="D65" s="556"/>
      <c r="E65" s="556"/>
      <c r="F65" s="556"/>
      <c r="G65" s="556"/>
      <c r="H65" s="556"/>
      <c r="I65" s="556"/>
      <c r="J65" s="556"/>
      <c r="K65" s="556"/>
      <c r="L65" s="556"/>
      <c r="M65" s="556"/>
      <c r="N65" s="421"/>
      <c r="O65" s="421"/>
      <c r="P65" s="421"/>
    </row>
    <row r="66" ht="15" s="426" customFormat="1">
      <c r="B66" s="421"/>
      <c r="C66" s="421"/>
      <c r="D66" s="421"/>
      <c r="E66" s="421"/>
      <c r="F66" s="421"/>
      <c r="G66" s="421"/>
      <c r="H66" s="421"/>
      <c r="I66" s="421"/>
      <c r="J66" s="421"/>
      <c r="K66" s="421"/>
      <c r="L66" s="421"/>
      <c r="M66" s="421"/>
      <c r="N66" s="421"/>
      <c r="O66" s="421"/>
      <c r="P66" s="421"/>
    </row>
    <row r="67" ht="15" s="426" customFormat="1">
      <c r="B67" s="556" t="s">
        <v>348</v>
      </c>
      <c r="C67" s="556"/>
      <c r="D67" s="556"/>
      <c r="E67" s="556"/>
      <c r="F67" s="556"/>
      <c r="G67" s="556"/>
      <c r="H67" s="556"/>
      <c r="I67" s="556"/>
      <c r="J67" s="556"/>
      <c r="K67" s="556"/>
      <c r="L67" s="556"/>
      <c r="M67" s="556"/>
      <c r="N67" s="421"/>
      <c r="O67" s="421"/>
      <c r="P67" s="421"/>
    </row>
    <row r="68" ht="15" s="426" customFormat="1">
      <c r="B68" s="553"/>
      <c r="C68" s="553"/>
      <c r="D68" s="553"/>
      <c r="E68" s="553"/>
      <c r="F68" s="553"/>
      <c r="G68" s="553"/>
      <c r="H68" s="553"/>
      <c r="I68" s="553"/>
      <c r="J68" s="553"/>
      <c r="K68" s="553"/>
      <c r="L68" s="553"/>
      <c r="M68" s="553"/>
      <c r="N68" s="421"/>
      <c r="O68" s="421"/>
      <c r="P68" s="421"/>
    </row>
    <row r="69" ht="15" s="426" customFormat="1"/>
    <row r="70" ht="24.75" customHeight="1" s="426" customFormat="1">
      <c r="B70" s="558" t="s">
        <v>349</v>
      </c>
      <c r="C70" s="550"/>
      <c r="D70" s="550"/>
      <c r="E70" s="550"/>
      <c r="F70" s="550"/>
      <c r="G70" s="550"/>
      <c r="H70" s="550"/>
      <c r="I70" s="550"/>
      <c r="J70" s="550"/>
      <c r="K70" s="550"/>
      <c r="L70" s="550"/>
      <c r="M70" s="550"/>
    </row>
    <row r="71" ht="12" customHeight="1" s="426" customFormat="1">
      <c r="B71" s="427"/>
    </row>
    <row r="72" ht="15" customHeight="1" s="426" customFormat="1">
      <c r="B72" s="559" t="s">
        <v>350</v>
      </c>
      <c r="C72" s="559"/>
      <c r="D72" s="559"/>
      <c r="E72" s="559"/>
      <c r="F72" s="559"/>
      <c r="G72" s="559"/>
      <c r="H72" s="559"/>
      <c r="I72" s="559"/>
      <c r="J72" s="559"/>
      <c r="K72" s="559"/>
      <c r="L72" s="559"/>
      <c r="M72" s="559"/>
      <c r="N72" s="421"/>
      <c r="O72" s="421"/>
      <c r="P72" s="421"/>
    </row>
    <row r="73" ht="15" customHeight="1" s="426" customFormat="1">
      <c r="B73" s="560"/>
      <c r="C73" s="560"/>
      <c r="D73" s="560"/>
      <c r="E73" s="560"/>
      <c r="F73" s="560"/>
      <c r="G73" s="560"/>
      <c r="H73" s="560"/>
      <c r="I73" s="560"/>
      <c r="J73" s="560"/>
      <c r="K73" s="560"/>
      <c r="L73" s="560"/>
      <c r="M73" s="560"/>
      <c r="N73" s="421"/>
      <c r="O73" s="421"/>
      <c r="P73" s="421"/>
    </row>
    <row r="74" ht="45" customHeight="1" s="426" customFormat="1">
      <c r="B74" s="560"/>
      <c r="C74" s="560"/>
      <c r="D74" s="560"/>
      <c r="E74" s="560"/>
      <c r="F74" s="560"/>
      <c r="G74" s="560"/>
      <c r="H74" s="560"/>
      <c r="I74" s="560"/>
      <c r="J74" s="560"/>
      <c r="K74" s="560"/>
      <c r="L74" s="560"/>
      <c r="M74" s="560"/>
      <c r="N74" s="421"/>
      <c r="O74" s="421"/>
      <c r="P74" s="421"/>
    </row>
    <row r="75" ht="12" customHeight="1" s="426" customFormat="1">
      <c r="B75" s="421"/>
      <c r="C75" s="421"/>
      <c r="D75" s="421"/>
      <c r="E75" s="421"/>
      <c r="F75" s="421"/>
      <c r="G75" s="421"/>
      <c r="H75" s="421"/>
      <c r="I75" s="421"/>
      <c r="J75" s="421"/>
      <c r="K75" s="421"/>
      <c r="L75" s="421"/>
      <c r="M75" s="421"/>
      <c r="N75" s="421"/>
      <c r="O75" s="421"/>
      <c r="P75" s="421"/>
    </row>
    <row r="76" ht="15" customHeight="1" s="428" customFormat="1">
      <c r="B76" s="559" t="s">
        <v>351</v>
      </c>
      <c r="C76" s="559"/>
      <c r="D76" s="559"/>
      <c r="E76" s="559"/>
      <c r="F76" s="559"/>
      <c r="G76" s="559"/>
      <c r="H76" s="559"/>
      <c r="I76" s="559"/>
      <c r="J76" s="559"/>
      <c r="K76" s="559"/>
      <c r="L76" s="559"/>
      <c r="M76" s="559"/>
      <c r="N76" s="421"/>
      <c r="O76" s="421"/>
      <c r="P76" s="421"/>
    </row>
    <row r="77" ht="30.75" customHeight="1" s="428" customFormat="1">
      <c r="B77" s="559"/>
      <c r="C77" s="559"/>
      <c r="D77" s="559"/>
      <c r="E77" s="559"/>
      <c r="F77" s="559"/>
      <c r="G77" s="559"/>
      <c r="H77" s="559"/>
      <c r="I77" s="559"/>
      <c r="J77" s="559"/>
      <c r="K77" s="559"/>
      <c r="L77" s="559"/>
      <c r="M77" s="559"/>
      <c r="N77" s="421"/>
      <c r="O77" s="421"/>
      <c r="P77" s="421"/>
    </row>
    <row r="78" ht="12" customHeight="1" s="428" customFormat="1">
      <c r="B78" s="421"/>
      <c r="C78" s="421"/>
      <c r="D78" s="421"/>
      <c r="E78" s="421"/>
      <c r="F78" s="421"/>
      <c r="G78" s="421"/>
      <c r="H78" s="421"/>
      <c r="I78" s="421"/>
      <c r="J78" s="421"/>
      <c r="K78" s="421"/>
      <c r="L78" s="421"/>
      <c r="M78" s="421"/>
      <c r="N78" s="421"/>
      <c r="O78" s="421"/>
      <c r="P78" s="421"/>
    </row>
    <row r="79" ht="26.25" customHeight="1" s="428" customFormat="1">
      <c r="B79" s="561" t="s">
        <v>352</v>
      </c>
      <c r="C79" s="561"/>
      <c r="D79" s="561"/>
      <c r="E79" s="561"/>
      <c r="F79" s="561"/>
      <c r="G79" s="561"/>
      <c r="H79" s="561"/>
      <c r="I79" s="561"/>
      <c r="J79" s="561"/>
      <c r="K79" s="561"/>
      <c r="L79" s="561"/>
      <c r="M79" s="561"/>
      <c r="N79" s="429"/>
      <c r="O79" s="429"/>
      <c r="P79" s="429"/>
    </row>
    <row r="80" ht="16.5" customHeight="1" s="428" customFormat="1">
      <c r="B80" s="429"/>
      <c r="C80" s="429"/>
      <c r="D80" s="429"/>
      <c r="E80" s="429"/>
      <c r="F80" s="429"/>
      <c r="G80" s="429"/>
      <c r="H80" s="429"/>
      <c r="I80" s="429"/>
      <c r="J80" s="429"/>
      <c r="K80" s="429"/>
      <c r="L80" s="429"/>
      <c r="M80" s="429"/>
      <c r="N80" s="429"/>
      <c r="O80" s="429"/>
      <c r="P80" s="429"/>
    </row>
    <row r="81" ht="16.5" customHeight="1" s="428" customFormat="1">
      <c r="B81" s="556" t="s">
        <v>353</v>
      </c>
      <c r="C81" s="556"/>
      <c r="D81" s="556"/>
      <c r="E81" s="556"/>
      <c r="F81" s="556"/>
      <c r="G81" s="556"/>
      <c r="H81" s="556"/>
      <c r="I81" s="556"/>
      <c r="J81" s="556"/>
      <c r="K81" s="556"/>
      <c r="L81" s="556"/>
      <c r="M81" s="556"/>
      <c r="N81" s="421"/>
      <c r="O81" s="421"/>
      <c r="P81" s="421"/>
    </row>
    <row r="82" ht="15" customHeight="1" s="428" customFormat="1">
      <c r="B82" s="556"/>
      <c r="C82" s="556"/>
      <c r="D82" s="556"/>
      <c r="E82" s="556"/>
      <c r="F82" s="556"/>
      <c r="G82" s="556"/>
      <c r="H82" s="556"/>
      <c r="I82" s="556"/>
      <c r="J82" s="556"/>
      <c r="K82" s="556"/>
      <c r="L82" s="556"/>
      <c r="M82" s="556"/>
      <c r="N82" s="421"/>
      <c r="O82" s="421"/>
      <c r="P82" s="421"/>
    </row>
    <row r="83" ht="15" s="428" customFormat="1">
      <c r="B83" s="421"/>
      <c r="C83" s="421"/>
      <c r="D83" s="421"/>
      <c r="E83" s="421"/>
      <c r="F83" s="421"/>
      <c r="G83" s="421"/>
      <c r="H83" s="421"/>
      <c r="I83" s="421"/>
      <c r="J83" s="421"/>
      <c r="K83" s="421"/>
      <c r="L83" s="421"/>
      <c r="M83" s="421"/>
      <c r="N83" s="421"/>
      <c r="O83" s="421"/>
      <c r="P83" s="421"/>
    </row>
    <row r="84" ht="17.25" customHeight="1" s="428" customFormat="1">
      <c r="B84" s="561" t="s">
        <v>354</v>
      </c>
      <c r="C84" s="561"/>
      <c r="D84" s="561"/>
      <c r="E84" s="561"/>
      <c r="F84" s="561"/>
      <c r="G84" s="561"/>
      <c r="H84" s="561"/>
      <c r="I84" s="561"/>
      <c r="J84" s="561"/>
      <c r="K84" s="561"/>
      <c r="L84" s="561"/>
      <c r="M84" s="561"/>
      <c r="N84" s="429"/>
      <c r="O84" s="429"/>
      <c r="P84" s="429"/>
    </row>
    <row r="85" ht="16.5" customHeight="1" s="428" customFormat="1"/>
    <row r="86" ht="17.25" customHeight="1" s="428" customFormat="1">
      <c r="B86" s="561" t="s">
        <v>355</v>
      </c>
      <c r="C86" s="561"/>
      <c r="D86" s="561"/>
      <c r="E86" s="561"/>
      <c r="F86" s="561"/>
      <c r="G86" s="561"/>
      <c r="H86" s="561"/>
      <c r="I86" s="561"/>
      <c r="J86" s="561"/>
      <c r="K86" s="561"/>
      <c r="L86" s="561"/>
      <c r="M86" s="561"/>
      <c r="N86" s="429"/>
      <c r="O86" s="429"/>
      <c r="P86" s="429"/>
    </row>
    <row r="87" ht="14.25" customHeight="1" s="428" customFormat="1"/>
    <row r="88" ht="19.5" customHeight="1" s="428" customFormat="1">
      <c r="B88" s="556" t="s">
        <v>356</v>
      </c>
      <c r="C88" s="556"/>
      <c r="D88" s="556"/>
      <c r="E88" s="556"/>
      <c r="F88" s="556"/>
      <c r="G88" s="556"/>
      <c r="H88" s="556"/>
      <c r="I88" s="556"/>
      <c r="J88" s="556"/>
      <c r="K88" s="556"/>
      <c r="L88" s="556"/>
      <c r="M88" s="556"/>
      <c r="N88" s="421"/>
      <c r="O88" s="421"/>
      <c r="P88" s="421"/>
    </row>
    <row r="89" ht="22.5" customHeight="1" s="428" customFormat="1">
      <c r="B89" s="556"/>
      <c r="C89" s="556"/>
      <c r="D89" s="556"/>
      <c r="E89" s="556"/>
      <c r="F89" s="556"/>
      <c r="G89" s="556"/>
      <c r="H89" s="556"/>
      <c r="I89" s="556"/>
      <c r="J89" s="556"/>
      <c r="K89" s="556"/>
      <c r="L89" s="556"/>
      <c r="M89" s="556"/>
      <c r="N89" s="421"/>
      <c r="O89" s="421"/>
      <c r="P89" s="421"/>
    </row>
    <row r="90" ht="17.25" customHeight="1" s="428" customFormat="1">
      <c r="B90" s="556"/>
      <c r="C90" s="556"/>
      <c r="D90" s="556"/>
      <c r="E90" s="556"/>
      <c r="F90" s="556"/>
      <c r="G90" s="556"/>
      <c r="H90" s="556"/>
      <c r="I90" s="556"/>
      <c r="J90" s="556"/>
      <c r="K90" s="556"/>
      <c r="L90" s="556"/>
      <c r="M90" s="556"/>
      <c r="N90" s="421"/>
      <c r="O90" s="421"/>
      <c r="P90" s="421"/>
    </row>
    <row r="91" ht="15" s="428" customFormat="1">
      <c r="B91" s="556"/>
      <c r="C91" s="556"/>
      <c r="D91" s="556"/>
      <c r="E91" s="556"/>
      <c r="F91" s="556"/>
      <c r="G91" s="556"/>
      <c r="H91" s="556"/>
      <c r="I91" s="556"/>
      <c r="J91" s="556"/>
      <c r="K91" s="556"/>
      <c r="L91" s="556"/>
      <c r="M91" s="556"/>
      <c r="N91" s="421"/>
      <c r="O91" s="421"/>
      <c r="P91" s="421"/>
    </row>
    <row r="92" ht="15" s="428" customFormat="1">
      <c r="B92" s="556"/>
      <c r="C92" s="556"/>
      <c r="D92" s="556"/>
      <c r="E92" s="556"/>
      <c r="F92" s="556"/>
      <c r="G92" s="556"/>
      <c r="H92" s="556"/>
      <c r="I92" s="556"/>
      <c r="J92" s="556"/>
      <c r="K92" s="556"/>
      <c r="L92" s="556"/>
      <c r="M92" s="556"/>
      <c r="N92" s="421"/>
      <c r="O92" s="421"/>
      <c r="P92" s="421"/>
    </row>
    <row r="93" ht="15" s="428" customFormat="1">
      <c r="B93" s="421"/>
      <c r="C93" s="421"/>
      <c r="D93" s="421"/>
      <c r="E93" s="421"/>
      <c r="F93" s="421"/>
      <c r="G93" s="421"/>
      <c r="H93" s="421"/>
      <c r="I93" s="421"/>
      <c r="J93" s="421"/>
      <c r="K93" s="421"/>
      <c r="L93" s="421"/>
      <c r="M93" s="421"/>
      <c r="N93" s="421"/>
      <c r="O93" s="421"/>
      <c r="P93" s="421"/>
    </row>
    <row r="94" ht="17.25" customHeight="1" s="428" customFormat="1">
      <c r="B94" s="561" t="s">
        <v>357</v>
      </c>
      <c r="C94" s="561"/>
      <c r="D94" s="561"/>
      <c r="E94" s="561"/>
      <c r="F94" s="561"/>
      <c r="G94" s="561"/>
      <c r="H94" s="561"/>
      <c r="I94" s="561"/>
      <c r="J94" s="561"/>
      <c r="K94" s="561"/>
      <c r="L94" s="561"/>
      <c r="M94" s="561"/>
      <c r="N94" s="429"/>
      <c r="O94" s="429"/>
      <c r="P94" s="429"/>
    </row>
    <row r="95" ht="17.25" customHeight="1" s="428" customFormat="1"/>
    <row r="96" ht="16.5" customHeight="1" s="428" customFormat="1">
      <c r="B96" s="561" t="s">
        <v>358</v>
      </c>
      <c r="C96" s="561"/>
      <c r="D96" s="561"/>
      <c r="E96" s="561"/>
      <c r="F96" s="561"/>
      <c r="G96" s="561"/>
      <c r="H96" s="561"/>
      <c r="I96" s="561"/>
      <c r="J96" s="561"/>
      <c r="K96" s="561"/>
      <c r="L96" s="561"/>
      <c r="M96" s="561"/>
      <c r="N96" s="429"/>
      <c r="O96" s="429"/>
      <c r="P96" s="429"/>
    </row>
    <row r="97" ht="16.5" customHeight="1" s="428" customFormat="1"/>
    <row r="98" ht="15" s="428" customFormat="1">
      <c r="B98" s="556" t="s">
        <v>359</v>
      </c>
      <c r="C98" s="556"/>
      <c r="D98" s="556"/>
      <c r="E98" s="556"/>
      <c r="F98" s="556"/>
      <c r="G98" s="556"/>
      <c r="H98" s="556"/>
      <c r="I98" s="556"/>
      <c r="J98" s="556"/>
      <c r="K98" s="556"/>
      <c r="L98" s="556"/>
      <c r="M98" s="556"/>
      <c r="N98" s="421"/>
      <c r="O98" s="421"/>
      <c r="P98" s="421"/>
    </row>
    <row r="99" ht="15" s="428" customFormat="1">
      <c r="B99" s="553"/>
      <c r="C99" s="553"/>
      <c r="D99" s="553"/>
      <c r="E99" s="553"/>
      <c r="F99" s="553"/>
      <c r="G99" s="553"/>
      <c r="H99" s="553"/>
      <c r="I99" s="553"/>
      <c r="J99" s="553"/>
      <c r="K99" s="553"/>
      <c r="L99" s="553"/>
      <c r="M99" s="553"/>
      <c r="N99" s="421"/>
      <c r="O99" s="421"/>
      <c r="P99" s="421"/>
    </row>
    <row r="100" ht="15" s="428" customFormat="1">
      <c r="B100" s="421"/>
      <c r="C100" s="421"/>
      <c r="D100" s="421"/>
      <c r="E100" s="421"/>
      <c r="F100" s="421"/>
      <c r="G100" s="421"/>
      <c r="H100" s="421"/>
      <c r="I100" s="421"/>
      <c r="J100" s="421"/>
      <c r="K100" s="421"/>
      <c r="L100" s="421"/>
      <c r="M100" s="421"/>
      <c r="N100" s="421"/>
      <c r="O100" s="421"/>
      <c r="P100" s="421"/>
    </row>
    <row r="101" ht="15" customHeight="1" s="426" customFormat="1">
      <c r="B101" s="562" t="s">
        <v>360</v>
      </c>
      <c r="C101" s="562"/>
      <c r="D101" s="562"/>
      <c r="E101" s="562"/>
      <c r="F101" s="562"/>
      <c r="G101" s="562"/>
      <c r="H101" s="562"/>
      <c r="I101" s="562"/>
      <c r="J101" s="562"/>
      <c r="K101" s="562"/>
      <c r="L101" s="562"/>
      <c r="M101" s="562"/>
      <c r="N101" s="430"/>
      <c r="O101" s="430"/>
      <c r="P101" s="430"/>
    </row>
    <row r="102" ht="31.5" customHeight="1" s="426" customFormat="1"/>
    <row r="103" ht="15" customHeight="1" s="428" customFormat="1">
      <c r="B103" s="563" t="s">
        <v>361</v>
      </c>
      <c r="C103" s="564"/>
      <c r="D103" s="564"/>
      <c r="E103" s="564"/>
      <c r="F103" s="564"/>
      <c r="G103" s="564"/>
      <c r="H103" s="564"/>
      <c r="I103" s="564"/>
      <c r="J103" s="564"/>
      <c r="K103" s="564"/>
      <c r="L103" s="564"/>
      <c r="M103" s="564"/>
      <c r="N103" s="431"/>
      <c r="O103" s="431"/>
      <c r="P103" s="431"/>
    </row>
    <row r="104" ht="15" s="428" customFormat="1">
      <c r="B104" s="564"/>
      <c r="C104" s="564"/>
      <c r="D104" s="564"/>
      <c r="E104" s="564"/>
      <c r="F104" s="564"/>
      <c r="G104" s="564"/>
      <c r="H104" s="564"/>
      <c r="I104" s="564"/>
      <c r="J104" s="564"/>
      <c r="K104" s="564"/>
      <c r="L104" s="564"/>
      <c r="M104" s="564"/>
      <c r="N104" s="431"/>
      <c r="O104" s="431"/>
      <c r="P104" s="431"/>
    </row>
    <row r="105" ht="15" s="428" customFormat="1">
      <c r="B105" s="431"/>
      <c r="C105" s="431"/>
      <c r="D105" s="431"/>
      <c r="E105" s="431"/>
      <c r="F105" s="431"/>
      <c r="G105" s="431"/>
      <c r="H105" s="431"/>
      <c r="I105" s="431"/>
      <c r="J105" s="431"/>
      <c r="K105" s="431"/>
      <c r="L105" s="431"/>
      <c r="M105" s="431"/>
      <c r="N105" s="431"/>
      <c r="O105" s="431"/>
      <c r="P105" s="431"/>
    </row>
    <row r="106" ht="15" customHeight="1" s="428" customFormat="1">
      <c r="B106" s="559" t="s">
        <v>362</v>
      </c>
      <c r="C106" s="560"/>
      <c r="D106" s="560"/>
      <c r="E106" s="560"/>
      <c r="F106" s="560"/>
      <c r="G106" s="560"/>
      <c r="H106" s="560"/>
      <c r="I106" s="560"/>
      <c r="J106" s="560"/>
      <c r="K106" s="560"/>
      <c r="L106" s="560"/>
      <c r="M106" s="560"/>
      <c r="N106" s="431"/>
      <c r="O106" s="431"/>
      <c r="P106" s="431"/>
    </row>
    <row r="107" ht="15" s="428" customFormat="1">
      <c r="B107" s="560"/>
      <c r="C107" s="560"/>
      <c r="D107" s="560"/>
      <c r="E107" s="560"/>
      <c r="F107" s="560"/>
      <c r="G107" s="560"/>
      <c r="H107" s="560"/>
      <c r="I107" s="560"/>
      <c r="J107" s="560"/>
      <c r="K107" s="560"/>
      <c r="L107" s="560"/>
      <c r="M107" s="560"/>
      <c r="N107" s="431"/>
      <c r="O107" s="431"/>
      <c r="P107" s="431"/>
    </row>
    <row r="108" ht="15" s="428" customFormat="1">
      <c r="B108" s="560"/>
      <c r="C108" s="560"/>
      <c r="D108" s="560"/>
      <c r="E108" s="560"/>
      <c r="F108" s="560"/>
      <c r="G108" s="560"/>
      <c r="H108" s="560"/>
      <c r="I108" s="560"/>
      <c r="J108" s="560"/>
      <c r="K108" s="560"/>
      <c r="L108" s="560"/>
      <c r="M108" s="560"/>
      <c r="N108" s="431"/>
      <c r="O108" s="431"/>
      <c r="P108" s="431"/>
    </row>
    <row r="109" ht="15" s="428" customFormat="1">
      <c r="B109" s="431"/>
      <c r="C109" s="431"/>
      <c r="D109" s="431"/>
      <c r="E109" s="431"/>
      <c r="F109" s="431"/>
      <c r="G109" s="431"/>
      <c r="H109" s="431"/>
      <c r="I109" s="431"/>
      <c r="J109" s="431"/>
      <c r="K109" s="431"/>
      <c r="L109" s="431"/>
      <c r="M109" s="431"/>
      <c r="N109" s="431"/>
      <c r="O109" s="431"/>
      <c r="P109" s="431"/>
    </row>
    <row r="110" ht="15" customHeight="1" s="428" customFormat="1">
      <c r="B110" s="559" t="s">
        <v>363</v>
      </c>
      <c r="C110" s="553"/>
      <c r="D110" s="553"/>
      <c r="E110" s="553"/>
      <c r="F110" s="553"/>
      <c r="G110" s="553"/>
      <c r="H110" s="553"/>
      <c r="I110" s="553"/>
      <c r="J110" s="553"/>
      <c r="K110" s="553"/>
      <c r="L110" s="553"/>
      <c r="M110" s="553"/>
      <c r="N110" s="431"/>
      <c r="O110" s="431"/>
      <c r="P110" s="431"/>
    </row>
    <row r="111" ht="27.75" customHeight="1" s="428" customFormat="1">
      <c r="B111" s="553"/>
      <c r="C111" s="553"/>
      <c r="D111" s="553"/>
      <c r="E111" s="553"/>
      <c r="F111" s="553"/>
      <c r="G111" s="553"/>
      <c r="H111" s="553"/>
      <c r="I111" s="553"/>
      <c r="J111" s="553"/>
      <c r="K111" s="553"/>
      <c r="L111" s="553"/>
      <c r="M111" s="553"/>
      <c r="N111" s="431"/>
      <c r="O111" s="431"/>
      <c r="P111" s="431"/>
    </row>
    <row r="112" ht="15" s="428" customFormat="1">
      <c r="B112" s="431"/>
      <c r="C112" s="431"/>
      <c r="D112" s="431"/>
      <c r="E112" s="431"/>
      <c r="F112" s="431"/>
      <c r="G112" s="431"/>
      <c r="H112" s="431"/>
      <c r="I112" s="431"/>
      <c r="J112" s="431"/>
      <c r="K112" s="431"/>
      <c r="L112" s="431"/>
      <c r="M112" s="431"/>
      <c r="N112" s="431"/>
      <c r="O112" s="431"/>
      <c r="P112" s="431"/>
    </row>
    <row r="113" ht="11.25" customHeight="1" s="428" customFormat="1">
      <c r="B113" s="559" t="s">
        <v>364</v>
      </c>
      <c r="C113" s="553"/>
      <c r="D113" s="553"/>
      <c r="E113" s="553"/>
      <c r="F113" s="553"/>
      <c r="G113" s="553"/>
      <c r="H113" s="553"/>
      <c r="I113" s="553"/>
      <c r="J113" s="553"/>
      <c r="K113" s="553"/>
      <c r="L113" s="553"/>
      <c r="M113" s="553"/>
      <c r="N113" s="431"/>
      <c r="O113" s="431"/>
      <c r="P113" s="431"/>
    </row>
    <row r="114" ht="12" customHeight="1" s="428" customFormat="1">
      <c r="B114" s="553"/>
      <c r="C114" s="553"/>
      <c r="D114" s="553"/>
      <c r="E114" s="553"/>
      <c r="F114" s="553"/>
      <c r="G114" s="553"/>
      <c r="H114" s="553"/>
      <c r="I114" s="553"/>
      <c r="J114" s="553"/>
      <c r="K114" s="553"/>
      <c r="L114" s="553"/>
      <c r="M114" s="553"/>
      <c r="N114" s="431"/>
      <c r="O114" s="431"/>
      <c r="P114" s="431"/>
    </row>
    <row r="115" ht="22.5" customHeight="1" s="428" customFormat="1">
      <c r="B115" s="553"/>
      <c r="C115" s="553"/>
      <c r="D115" s="553"/>
      <c r="E115" s="553"/>
      <c r="F115" s="553"/>
      <c r="G115" s="553"/>
      <c r="H115" s="553"/>
      <c r="I115" s="553"/>
      <c r="J115" s="553"/>
      <c r="K115" s="553"/>
      <c r="L115" s="553"/>
      <c r="M115" s="553"/>
      <c r="N115" s="431"/>
      <c r="O115" s="431"/>
      <c r="P115" s="431"/>
    </row>
    <row r="116" ht="14.25" customHeight="1" s="428" customFormat="1">
      <c r="B116" s="431"/>
      <c r="C116" s="431"/>
      <c r="D116" s="431"/>
      <c r="E116" s="431"/>
      <c r="F116" s="431"/>
      <c r="G116" s="431"/>
      <c r="H116" s="431"/>
      <c r="I116" s="431"/>
      <c r="J116" s="431"/>
      <c r="K116" s="431"/>
      <c r="L116" s="431"/>
      <c r="M116" s="431"/>
      <c r="N116" s="431"/>
      <c r="O116" s="431"/>
      <c r="P116" s="431"/>
    </row>
    <row r="117" ht="15" customHeight="1" s="428" customFormat="1">
      <c r="B117" s="559" t="s">
        <v>365</v>
      </c>
      <c r="C117" s="553"/>
      <c r="D117" s="553"/>
      <c r="E117" s="553"/>
      <c r="F117" s="553"/>
      <c r="G117" s="553"/>
      <c r="H117" s="553"/>
      <c r="I117" s="553"/>
      <c r="J117" s="553"/>
      <c r="K117" s="553"/>
      <c r="L117" s="553"/>
      <c r="M117" s="553"/>
      <c r="N117" s="432"/>
      <c r="O117" s="432"/>
      <c r="P117" s="432"/>
    </row>
    <row r="118" ht="17.25" customHeight="1" s="428" customFormat="1">
      <c r="B118" s="553"/>
      <c r="C118" s="553"/>
      <c r="D118" s="553"/>
      <c r="E118" s="553"/>
      <c r="F118" s="553"/>
      <c r="G118" s="553"/>
      <c r="H118" s="553"/>
      <c r="I118" s="553"/>
      <c r="J118" s="553"/>
      <c r="K118" s="553"/>
      <c r="L118" s="553"/>
      <c r="M118" s="553"/>
      <c r="N118" s="432"/>
      <c r="O118" s="432"/>
      <c r="P118" s="432"/>
    </row>
    <row r="119" ht="15" s="428" customFormat="1">
      <c r="B119" s="432"/>
      <c r="C119" s="432"/>
      <c r="D119" s="432"/>
      <c r="E119" s="432"/>
      <c r="F119" s="432"/>
      <c r="G119" s="432"/>
      <c r="H119" s="432"/>
      <c r="I119" s="432"/>
      <c r="J119" s="432"/>
      <c r="K119" s="432"/>
      <c r="L119" s="432"/>
      <c r="M119" s="432"/>
      <c r="N119" s="432"/>
      <c r="O119" s="432"/>
      <c r="P119" s="432"/>
    </row>
    <row r="120" ht="16.5" customHeight="1" s="428" customFormat="1">
      <c r="B120" s="565" t="s">
        <v>366</v>
      </c>
      <c r="C120" s="564"/>
      <c r="D120" s="564"/>
      <c r="E120" s="564"/>
      <c r="F120" s="564"/>
      <c r="G120" s="564"/>
      <c r="H120" s="564"/>
      <c r="I120" s="564"/>
      <c r="J120" s="564"/>
      <c r="K120" s="564"/>
      <c r="L120" s="564"/>
      <c r="M120" s="564"/>
      <c r="N120" s="431"/>
      <c r="O120" s="431"/>
      <c r="P120" s="431"/>
    </row>
    <row r="121" ht="15" customHeight="1" s="428" customFormat="1">
      <c r="B121" s="433"/>
      <c r="C121" s="433"/>
      <c r="D121" s="433"/>
      <c r="E121" s="433"/>
      <c r="F121" s="433"/>
      <c r="G121" s="433"/>
      <c r="H121" s="433"/>
      <c r="I121" s="433"/>
      <c r="J121" s="433"/>
      <c r="K121" s="433"/>
    </row>
    <row r="122" ht="15" customHeight="1" s="428" customFormat="1">
      <c r="B122" s="565" t="s">
        <v>367</v>
      </c>
      <c r="C122" s="564"/>
      <c r="D122" s="564"/>
      <c r="E122" s="564"/>
      <c r="F122" s="564"/>
      <c r="G122" s="564"/>
      <c r="H122" s="564"/>
      <c r="I122" s="564"/>
      <c r="J122" s="564"/>
      <c r="K122" s="564"/>
      <c r="L122" s="564"/>
      <c r="M122" s="564"/>
      <c r="N122" s="431"/>
      <c r="O122" s="431"/>
      <c r="P122" s="431"/>
    </row>
    <row r="123" ht="14.25" customHeight="1" s="60" customFormat="1">
      <c r="B123" s="564"/>
      <c r="C123" s="564"/>
      <c r="D123" s="564"/>
      <c r="E123" s="564"/>
      <c r="F123" s="564"/>
      <c r="G123" s="564"/>
      <c r="H123" s="564"/>
      <c r="I123" s="564"/>
      <c r="J123" s="564"/>
      <c r="K123" s="564"/>
      <c r="L123" s="564"/>
      <c r="M123" s="564"/>
      <c r="N123" s="431"/>
      <c r="O123" s="431"/>
      <c r="P123" s="431"/>
    </row>
    <row r="124" ht="14.25" customHeight="1" s="60" customFormat="1">
      <c r="B124" s="431"/>
      <c r="C124" s="431"/>
      <c r="D124" s="431"/>
      <c r="E124" s="431"/>
      <c r="F124" s="431"/>
      <c r="G124" s="431"/>
      <c r="H124" s="431"/>
      <c r="I124" s="431"/>
      <c r="J124" s="431"/>
      <c r="K124" s="431"/>
      <c r="L124" s="431"/>
      <c r="M124" s="431"/>
      <c r="N124" s="431"/>
      <c r="O124" s="431"/>
      <c r="P124" s="431"/>
    </row>
    <row r="125" ht="14.25" customHeight="1" s="60" customFormat="1">
      <c r="B125" s="556" t="s">
        <v>368</v>
      </c>
      <c r="C125" s="553"/>
      <c r="D125" s="553"/>
      <c r="E125" s="553"/>
      <c r="F125" s="553"/>
      <c r="G125" s="553"/>
      <c r="H125" s="553"/>
      <c r="I125" s="553"/>
      <c r="J125" s="553"/>
      <c r="K125" s="553"/>
      <c r="L125" s="553"/>
      <c r="M125" s="553"/>
      <c r="N125" s="416"/>
      <c r="O125" s="416"/>
      <c r="P125" s="416"/>
    </row>
    <row r="126" ht="14.25" customHeight="1" s="60" customFormat="1">
      <c r="B126" s="553"/>
      <c r="C126" s="553"/>
      <c r="D126" s="553"/>
      <c r="E126" s="553"/>
      <c r="F126" s="553"/>
      <c r="G126" s="553"/>
      <c r="H126" s="553"/>
      <c r="I126" s="553"/>
      <c r="J126" s="553"/>
      <c r="K126" s="553"/>
      <c r="L126" s="553"/>
      <c r="M126" s="553"/>
      <c r="N126" s="416"/>
      <c r="O126" s="416"/>
      <c r="P126" s="416"/>
    </row>
    <row r="127" ht="33" customHeight="1" s="60" customFormat="1">
      <c r="B127" s="553"/>
      <c r="C127" s="553"/>
      <c r="D127" s="553"/>
      <c r="E127" s="553"/>
      <c r="F127" s="553"/>
      <c r="G127" s="553"/>
      <c r="H127" s="553"/>
      <c r="I127" s="553"/>
      <c r="J127" s="553"/>
      <c r="K127" s="553"/>
      <c r="L127" s="553"/>
      <c r="M127" s="553"/>
      <c r="N127" s="416"/>
      <c r="O127" s="416"/>
      <c r="P127" s="416"/>
    </row>
    <row r="128" ht="15" customHeight="1" s="60" customFormat="1">
      <c r="B128" s="416"/>
      <c r="C128" s="416"/>
      <c r="D128" s="416"/>
      <c r="E128" s="416"/>
      <c r="F128" s="416"/>
      <c r="G128" s="416"/>
      <c r="H128" s="416"/>
      <c r="I128" s="416"/>
      <c r="J128" s="416"/>
      <c r="K128" s="416"/>
      <c r="L128" s="416"/>
      <c r="M128" s="416"/>
      <c r="N128" s="416"/>
      <c r="O128" s="416"/>
      <c r="P128" s="416"/>
    </row>
    <row r="129" ht="18" customHeight="1" s="60" customFormat="1">
      <c r="B129" s="561" t="s">
        <v>369</v>
      </c>
      <c r="C129" s="564"/>
      <c r="D129" s="564"/>
      <c r="E129" s="564"/>
      <c r="F129" s="564"/>
      <c r="G129" s="564"/>
      <c r="H129" s="564"/>
      <c r="I129" s="564"/>
      <c r="J129" s="564"/>
      <c r="K129" s="564"/>
      <c r="L129" s="564"/>
      <c r="M129" s="564"/>
      <c r="N129" s="431"/>
      <c r="O129" s="431"/>
      <c r="P129" s="431"/>
    </row>
    <row r="130" ht="15" customHeight="1" s="60" customFormat="1">
      <c r="B130" s="428"/>
      <c r="C130" s="431"/>
      <c r="D130" s="431"/>
      <c r="E130" s="431"/>
      <c r="F130" s="431"/>
      <c r="G130" s="431"/>
      <c r="H130" s="431"/>
      <c r="I130" s="431"/>
      <c r="J130" s="431"/>
      <c r="K130" s="431"/>
      <c r="L130" s="431"/>
      <c r="M130" s="431"/>
      <c r="N130" s="431"/>
      <c r="O130" s="431"/>
      <c r="P130" s="431"/>
    </row>
    <row r="131" ht="17.25" customHeight="1" s="428" customFormat="1">
      <c r="B131" s="561" t="s">
        <v>370</v>
      </c>
      <c r="C131" s="561"/>
      <c r="D131" s="561"/>
      <c r="E131" s="561"/>
      <c r="F131" s="561"/>
      <c r="G131" s="561"/>
      <c r="H131" s="561"/>
      <c r="I131" s="561"/>
      <c r="J131" s="561"/>
      <c r="K131" s="561"/>
      <c r="L131" s="561"/>
      <c r="M131" s="561"/>
      <c r="N131" s="429"/>
      <c r="O131" s="429"/>
      <c r="P131" s="429"/>
    </row>
    <row r="132" ht="15.75" customHeight="1" s="428" customFormat="1"/>
    <row r="133" ht="15" s="428" customFormat="1">
      <c r="B133" s="556" t="s">
        <v>371</v>
      </c>
      <c r="C133" s="556"/>
      <c r="D133" s="556"/>
      <c r="E133" s="556"/>
      <c r="F133" s="556"/>
      <c r="G133" s="556"/>
      <c r="H133" s="556"/>
      <c r="I133" s="556"/>
      <c r="J133" s="556"/>
      <c r="K133" s="556"/>
      <c r="L133" s="556"/>
      <c r="M133" s="556"/>
      <c r="N133" s="421"/>
      <c r="O133" s="421"/>
      <c r="P133" s="421"/>
    </row>
    <row r="134" ht="15" s="428" customFormat="1">
      <c r="B134" s="553"/>
      <c r="C134" s="553"/>
      <c r="D134" s="553"/>
      <c r="E134" s="553"/>
      <c r="F134" s="553"/>
      <c r="G134" s="553"/>
      <c r="H134" s="553"/>
      <c r="I134" s="553"/>
      <c r="J134" s="553"/>
      <c r="K134" s="553"/>
      <c r="L134" s="553"/>
      <c r="M134" s="553"/>
      <c r="N134" s="421"/>
      <c r="O134" s="421"/>
      <c r="P134" s="421"/>
    </row>
    <row r="135" ht="31.5" customHeight="1" s="428" customFormat="1">
      <c r="B135" s="553"/>
      <c r="C135" s="553"/>
      <c r="D135" s="553"/>
      <c r="E135" s="553"/>
      <c r="F135" s="553"/>
      <c r="G135" s="553"/>
      <c r="H135" s="553"/>
      <c r="I135" s="553"/>
      <c r="J135" s="553"/>
      <c r="K135" s="553"/>
      <c r="L135" s="553"/>
      <c r="M135" s="553"/>
      <c r="N135" s="421"/>
      <c r="O135" s="421"/>
      <c r="P135" s="421"/>
    </row>
    <row r="136" ht="18.75" customHeight="1" s="426" customFormat="1"/>
    <row r="137" ht="18" s="426" customFormat="1">
      <c r="B137" s="434" t="s">
        <v>372</v>
      </c>
    </row>
    <row r="138" ht="10.5" customHeight="1" s="426" customFormat="1">
      <c r="B138" s="434"/>
    </row>
    <row r="139" ht="15" s="426" customFormat="1">
      <c r="B139" s="556" t="s">
        <v>373</v>
      </c>
      <c r="C139" s="556"/>
      <c r="D139" s="556"/>
      <c r="E139" s="556"/>
      <c r="F139" s="556"/>
      <c r="G139" s="556"/>
      <c r="H139" s="556"/>
      <c r="I139" s="556"/>
      <c r="J139" s="556"/>
      <c r="K139" s="556"/>
      <c r="L139" s="556"/>
      <c r="M139" s="556"/>
      <c r="N139" s="421"/>
      <c r="O139" s="421"/>
      <c r="P139" s="421"/>
    </row>
    <row r="140" ht="12" customHeight="1" s="426" customFormat="1">
      <c r="B140" s="553"/>
      <c r="C140" s="553"/>
      <c r="D140" s="553"/>
      <c r="E140" s="553"/>
      <c r="F140" s="553"/>
      <c r="G140" s="553"/>
      <c r="H140" s="553"/>
      <c r="I140" s="553"/>
      <c r="J140" s="553"/>
      <c r="K140" s="553"/>
      <c r="L140" s="553"/>
      <c r="M140" s="553"/>
      <c r="N140" s="421"/>
      <c r="O140" s="421"/>
      <c r="P140" s="421"/>
    </row>
  </sheetData>
  <sheetProtection algorithmName="SHA-512" hashValue="iSmcMK7TBW6BVwx7xGEeLQgs95IdsLQr4jAhUTYW265cSCN+Y+vJQ/mlwx4PJq2QcEmUh2HVFen4CDyqWAwLjQ==" saltValue="3z4cpMRW44EqNb+gQRGdEA==" spinCount="100000" sheet="1" objects="1" scenarios="1"/>
  <mergeCells>
    <mergeCell ref="B139:M140"/>
    <mergeCell ref="B125:M127"/>
    <mergeCell ref="B129:M129"/>
    <mergeCell ref="B131:M131"/>
    <mergeCell ref="B133:M135"/>
    <mergeCell ref="B110:M111"/>
    <mergeCell ref="B113:M115"/>
    <mergeCell ref="B117:M118"/>
    <mergeCell ref="B120:M120"/>
    <mergeCell ref="B122:M123"/>
    <mergeCell ref="B96:M96"/>
    <mergeCell ref="B98:M99"/>
    <mergeCell ref="B101:M101"/>
    <mergeCell ref="B103:M104"/>
    <mergeCell ref="B106:M108"/>
    <mergeCell ref="B81:M82"/>
    <mergeCell ref="B84:M84"/>
    <mergeCell ref="B86:M86"/>
    <mergeCell ref="B88:M92"/>
    <mergeCell ref="B94:M94"/>
    <mergeCell ref="B67:M68"/>
    <mergeCell ref="B70:M70"/>
    <mergeCell ref="B72:M74"/>
    <mergeCell ref="B76:M77"/>
    <mergeCell ref="B79:M79"/>
    <mergeCell ref="B51:M51"/>
    <mergeCell ref="B53:M54"/>
    <mergeCell ref="B56:M56"/>
    <mergeCell ref="B58:M60"/>
    <mergeCell ref="B64:M65"/>
    <mergeCell ref="B38:M38"/>
    <mergeCell ref="B40:M43"/>
    <mergeCell ref="B45:M45"/>
    <mergeCell ref="B47:M47"/>
    <mergeCell ref="B48:M49"/>
    <mergeCell ref="B21:M21"/>
    <mergeCell ref="B23:M27"/>
    <mergeCell ref="B29:M29"/>
    <mergeCell ref="B31:M34"/>
    <mergeCell ref="B36:M36"/>
    <mergeCell ref="B9:D9"/>
    <mergeCell ref="B12:M12"/>
    <mergeCell ref="B13:M14"/>
    <mergeCell ref="B15:M16"/>
    <mergeCell ref="B17:M19"/>
  </mergeCells>
  <phoneticPr fontId="3" type="noConversion"/>
  <pageMargins left="0.75" right="0.75" top="1" bottom="1" header="0" footer="0"/>
  <pageSetup paperSize="9" scale="54" orientation="portrait"/>
  <headerFooter alignWithMargins="0"/>
  <rowBreaks count="1" manualBreakCount="1">
    <brk id="69" max="1048575" man="1"/>
  </rowBreaks>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mc:Ignorable="x14ac xr">
  <sheetPr codeName="Hoja6">
    <tabColor indexed="34"/>
  </sheetPr>
  <dimension ref="A1:AB112"/>
  <sheetViews>
    <sheetView showGridLines="0" tabSelected="1" view="pageBreakPreview" zoomScale="85" zoomScaleNormal="100" zoomScaleSheetLayoutView="85" workbookViewId="0">
      <pane ySplit="9" topLeftCell="A10" activePane="bottomLeft" state="frozen"/>
      <selection pane="bottomLeft" activeCell="A7" sqref="A7"/>
    </sheetView>
  </sheetViews>
  <sheetFormatPr baseColWidth="10" defaultRowHeight="12.75"/>
  <cols>
    <col min="1" max="1" width="2.28515625" customWidth="1" style="51"/>
    <col min="2" max="2" width="14.85546875" customWidth="1" style="51"/>
    <col min="3" max="3" bestFit="1" width="14.42578125" customWidth="1" style="51"/>
    <col min="4" max="4" bestFit="1" width="14.85546875" customWidth="1" style="51"/>
    <col min="5" max="5" bestFit="1" width="12.42578125" customWidth="1" style="51"/>
    <col min="6" max="6" bestFit="1" width="14" customWidth="1" style="51"/>
    <col min="7" max="7" bestFit="1" width="12.7109375" customWidth="1" style="51"/>
    <col min="8" max="8" bestFit="1" width="15.85546875" customWidth="1" style="51"/>
    <col min="9" max="9" width="14.42578125" customWidth="1" style="51"/>
    <col min="10" max="10" bestFit="1" width="15.85546875" customWidth="1" style="51"/>
    <col min="11" max="11" bestFit="1" width="9.140625" customWidth="1" style="51"/>
    <col min="12" max="12" width="11.140625" customWidth="1" style="51"/>
    <col min="13" max="13" bestFit="1" width="8.85546875" customWidth="1" style="51"/>
    <col min="14" max="14" bestFit="1" width="7.28515625" customWidth="1" style="51"/>
    <col min="15" max="15" width="10.28515625" customWidth="1" style="51"/>
    <col min="16" max="16" bestFit="1" width="9.28515625" customWidth="1" style="51"/>
    <col min="17" max="17" width="8" customWidth="1" style="51"/>
    <col min="18" max="18" bestFit="1" width="8.5703125" customWidth="1" style="51"/>
    <col min="19" max="19" bestFit="1" width="9.140625" customWidth="1" style="51"/>
    <col min="20" max="20" bestFit="1" width="9.28515625" customWidth="1" style="51"/>
    <col min="21" max="21" bestFit="1" width="8.85546875" customWidth="1" style="51"/>
    <col min="22" max="22" width="4.42578125" customWidth="1" style="51"/>
    <col min="23" max="23" width="12.42578125" customWidth="1" style="51"/>
    <col min="24" max="16384" width="11.42578125" customWidth="1" style="51"/>
  </cols>
  <sheetData>
    <row r="1">
      <c r="A1" s="46"/>
      <c r="B1" s="47"/>
      <c r="C1" s="47"/>
      <c r="D1" s="47"/>
      <c r="E1" s="47"/>
      <c r="F1" s="47"/>
      <c r="G1" s="47"/>
      <c r="H1" s="47"/>
      <c r="I1" s="47"/>
      <c r="J1" s="47"/>
      <c r="K1" s="47"/>
      <c r="L1" s="47"/>
      <c r="M1" s="47"/>
      <c r="N1" s="47"/>
      <c r="O1" s="47"/>
      <c r="P1" s="47"/>
      <c r="Q1" s="47"/>
      <c r="R1" s="47"/>
      <c r="S1" s="47"/>
      <c r="T1" s="47"/>
      <c r="U1" s="48"/>
      <c r="V1" s="49"/>
      <c r="W1" s="50"/>
      <c r="X1" s="50"/>
      <c r="Y1" s="50"/>
      <c r="Z1" s="50"/>
    </row>
    <row r="2">
      <c r="A2" s="52"/>
      <c r="B2" s="49"/>
      <c r="C2" s="49"/>
      <c r="D2" s="49"/>
      <c r="E2" s="49"/>
      <c r="F2" s="49"/>
      <c r="G2" s="49"/>
      <c r="H2" s="49"/>
      <c r="I2" s="49"/>
      <c r="J2" s="49"/>
      <c r="K2" s="49"/>
      <c r="L2" s="49"/>
      <c r="M2" s="49"/>
      <c r="N2" s="49"/>
      <c r="O2" s="49"/>
      <c r="P2" s="49"/>
      <c r="Q2" s="49"/>
      <c r="R2" s="49"/>
      <c r="S2" s="49"/>
      <c r="T2" s="49"/>
      <c r="U2" s="53"/>
      <c r="V2" s="49"/>
      <c r="W2" s="50"/>
      <c r="X2" s="50"/>
      <c r="Y2" s="50"/>
      <c r="Z2" s="50"/>
    </row>
    <row r="3">
      <c r="A3" s="52"/>
      <c r="B3" s="49"/>
      <c r="C3" s="49"/>
      <c r="D3" s="49"/>
      <c r="E3" s="49"/>
      <c r="F3" s="49"/>
      <c r="G3" s="49"/>
      <c r="H3" s="49"/>
      <c r="I3" s="49"/>
      <c r="J3" s="49"/>
      <c r="K3" s="49"/>
      <c r="L3" s="49"/>
      <c r="M3" s="49"/>
      <c r="N3" s="49"/>
      <c r="O3" s="49"/>
      <c r="P3" s="49"/>
      <c r="Q3" s="49"/>
      <c r="R3" s="49"/>
      <c r="S3" s="49"/>
      <c r="T3" s="49"/>
      <c r="U3" s="53"/>
      <c r="V3" s="49"/>
      <c r="W3" s="50"/>
      <c r="X3" s="50"/>
      <c r="Y3" s="50"/>
      <c r="Z3" s="50"/>
    </row>
    <row r="4">
      <c r="A4" s="52"/>
      <c r="B4" s="49"/>
      <c r="C4" s="49"/>
      <c r="D4" s="49"/>
      <c r="E4" s="49"/>
      <c r="F4" s="49"/>
      <c r="G4" s="49"/>
      <c r="H4" s="49"/>
      <c r="I4" s="49"/>
      <c r="J4" s="49"/>
      <c r="K4" s="49"/>
      <c r="L4" s="49"/>
      <c r="M4" s="49"/>
      <c r="N4" s="49"/>
      <c r="O4" s="49"/>
      <c r="P4" s="49"/>
      <c r="Q4" s="49"/>
      <c r="R4" s="49"/>
      <c r="S4" s="49"/>
      <c r="T4" s="49"/>
      <c r="U4" s="53"/>
      <c r="V4" s="49"/>
      <c r="W4" s="50"/>
      <c r="X4" s="50"/>
      <c r="Y4" s="50"/>
      <c r="Z4" s="50"/>
    </row>
    <row r="5">
      <c r="A5" s="52"/>
      <c r="B5" s="49"/>
      <c r="C5" s="49"/>
      <c r="D5" s="49"/>
      <c r="E5" s="49"/>
      <c r="F5" s="49"/>
      <c r="G5" s="49"/>
      <c r="H5" s="49"/>
      <c r="I5" s="49"/>
      <c r="J5" s="49"/>
      <c r="K5" s="49"/>
      <c r="L5" s="49"/>
      <c r="M5" s="49"/>
      <c r="N5" s="49"/>
      <c r="O5" s="49"/>
      <c r="P5" s="49"/>
      <c r="Q5" s="49"/>
      <c r="R5" s="49"/>
      <c r="S5" s="49"/>
      <c r="T5" s="49"/>
      <c r="U5" s="53"/>
      <c r="V5" s="49"/>
      <c r="W5" s="50"/>
      <c r="X5" s="50"/>
      <c r="Y5" s="50"/>
      <c r="Z5" s="50"/>
    </row>
    <row r="6" ht="13.5">
      <c r="A6" s="54"/>
      <c r="B6" s="55"/>
      <c r="C6" s="55"/>
      <c r="D6" s="55"/>
      <c r="E6" s="55"/>
      <c r="F6" s="55"/>
      <c r="G6" s="55"/>
      <c r="H6" s="55"/>
      <c r="I6" s="55"/>
      <c r="J6" s="55"/>
      <c r="K6" s="55"/>
      <c r="L6" s="55"/>
      <c r="M6" s="55"/>
      <c r="N6" s="55"/>
      <c r="O6" s="55"/>
      <c r="P6" s="55"/>
      <c r="Q6" s="55"/>
      <c r="R6" s="55"/>
      <c r="S6" s="55"/>
      <c r="T6" s="55"/>
      <c r="U6" s="56"/>
      <c r="V6" s="49"/>
      <c r="W6" s="50"/>
      <c r="X6" s="50"/>
      <c r="Y6" s="50"/>
      <c r="Z6" s="50"/>
    </row>
    <row r="7" ht="15.75" customHeight="1" s="57" customFormat="1">
      <c r="F7" s="57" t="s">
        <v>0</v>
      </c>
      <c r="G7" s="58"/>
      <c r="H7" s="58" t="s">
        <v>1</v>
      </c>
      <c r="I7" s="58"/>
      <c r="V7" s="58"/>
      <c r="W7" s="58"/>
      <c r="X7" s="58"/>
      <c r="Y7" s="58"/>
      <c r="Z7" s="58"/>
    </row>
    <row r="8" ht="15.75" customHeight="1" s="57" customFormat="1">
      <c r="G8" s="58"/>
      <c r="H8" s="59"/>
      <c r="I8" s="58"/>
      <c r="V8" s="58"/>
      <c r="W8" s="58"/>
      <c r="X8" s="58"/>
      <c r="Y8" s="58"/>
      <c r="Z8" s="58"/>
    </row>
    <row r="9" ht="18.75">
      <c r="B9" s="569" t="str">
        <f>CONCATENATE("Datos a ",CONCATENATE(DAY(AUX!E14)," de ",TEXT(AUX!E14,"MMMM")," de ",YEAR(AUX!E14)))</f>
        <v>Datos a 31 de diciembre de 1904</v>
      </c>
      <c r="C9" s="570"/>
      <c r="D9" s="571"/>
      <c r="E9" s="57"/>
      <c r="F9" s="57"/>
      <c r="G9" s="58"/>
      <c r="H9" s="58"/>
      <c r="I9" s="58"/>
      <c r="V9" s="50"/>
      <c r="X9" s="50"/>
      <c r="Y9" s="50"/>
      <c r="Z9" s="50"/>
    </row>
    <row r="10" ht="13.5">
      <c r="V10" s="50"/>
      <c r="W10" s="50"/>
      <c r="X10" s="50"/>
      <c r="Y10" s="50"/>
      <c r="Z10" s="50"/>
    </row>
    <row r="11" ht="13.5">
      <c r="B11" s="577" t="s">
        <v>2</v>
      </c>
      <c r="C11" s="578"/>
      <c r="D11" s="578"/>
      <c r="E11" s="579"/>
      <c r="G11" s="566" t="s">
        <v>3</v>
      </c>
      <c r="H11" s="567"/>
      <c r="I11" s="567"/>
      <c r="J11" s="568"/>
      <c r="V11" s="50"/>
      <c r="W11" s="50"/>
      <c r="X11" s="50"/>
      <c r="Y11" s="50"/>
      <c r="Z11" s="50"/>
    </row>
    <row r="12" ht="9" customHeight="1">
      <c r="G12" s="582"/>
      <c r="H12" s="582"/>
      <c r="I12" s="582"/>
      <c r="J12" s="582"/>
      <c r="V12" s="50"/>
      <c r="W12" s="50"/>
      <c r="X12" s="50"/>
      <c r="Y12" s="50"/>
      <c r="Z12" s="50"/>
    </row>
    <row r="13" ht="36.75" customHeight="1" s="60" customFormat="1">
      <c r="B13" s="61" t="s">
        <v>4</v>
      </c>
      <c r="C13" s="62" t="s">
        <v>5</v>
      </c>
      <c r="D13" s="62" t="s">
        <v>6</v>
      </c>
      <c r="E13" s="63" t="s">
        <v>7</v>
      </c>
      <c r="G13" s="61" t="s">
        <v>4</v>
      </c>
      <c r="H13" s="64" t="s">
        <v>5</v>
      </c>
      <c r="I13" s="64" t="s">
        <v>6</v>
      </c>
      <c r="J13" s="65" t="s">
        <v>7</v>
      </c>
      <c r="V13" s="66"/>
      <c r="W13" s="66"/>
      <c r="X13" s="66"/>
      <c r="Y13" s="66"/>
      <c r="Z13" s="66"/>
    </row>
    <row r="14" ht="15.75" customHeight="1">
      <c r="B14" s="67" t="s">
        <v>8</v>
      </c>
      <c r="C14" s="96" t="e">
        <f>INDIRECT(ADDRESS(98,MATCH(9000000000+307,'4- Nº Explot. por CA y Tipo'!98:98,1),1,,"4- Nº Explot. por CA y Tipo"))</f>
        <v>#N/A</v>
      </c>
      <c r="D14" s="114" t="e">
        <f>INDIRECT(ADDRESS(121,MATCH(9000000000+307,'4- Nº Explot. por CA y Tipo'!121:121,1),1,,"4- Nº Explot. por CA y Tipo"))</f>
        <v>#N/A</v>
      </c>
      <c r="E14" s="180" t="e">
        <f ref="E14:E32" t="shared" si="0" ca="1">SUM(C14:D14)</f>
        <v>#N/A</v>
      </c>
      <c r="G14" s="70" t="s">
        <v>8</v>
      </c>
      <c r="H14" s="71" t="e">
        <f>INDIRECT(ADDRESS(170,MATCH(9000000000+307,'4- Nº Explot. por CA y Tipo'!170:170,1),1,,"4- Nº Explot. por CA y Tipo"))</f>
        <v>#N/A</v>
      </c>
      <c r="I14" s="73" t="e">
        <f>INDIRECT(ADDRESS(193,MATCH(9000000000+307,'4- Nº Explot. por CA y Tipo'!193:193,1),1,,"4- Nº Explot. por CA y Tipo"))</f>
        <v>#N/A</v>
      </c>
      <c r="J14" s="471" t="e">
        <f ref="J14:J32" t="shared" si="1" ca="1">SUM(H14:I14)</f>
        <v>#N/A</v>
      </c>
      <c r="V14" s="50"/>
      <c r="W14" s="50"/>
      <c r="X14" s="50"/>
      <c r="Y14" s="50"/>
      <c r="Z14" s="50"/>
    </row>
    <row r="15" ht="15.75" customHeight="1">
      <c r="B15" s="74" t="s">
        <v>9</v>
      </c>
      <c r="C15" s="470" t="e">
        <f>INDIRECT(ADDRESS(99,MATCH(9000000000+307,'4- Nº Explot. por CA y Tipo'!99:99,1),1,,"4- Nº Explot. por CA y Tipo"))</f>
        <v>#N/A</v>
      </c>
      <c r="D15" s="69" t="e">
        <f>INDIRECT(ADDRESS(122,MATCH(9000000000+307,'4- Nº Explot. por CA y Tipo'!122:122,1),1,,"4- Nº Explot. por CA y Tipo"))</f>
        <v>#N/A</v>
      </c>
      <c r="E15" s="180" t="e">
        <f t="shared" si="0" ca="1"/>
        <v>#N/A</v>
      </c>
      <c r="G15" s="75" t="s">
        <v>9</v>
      </c>
      <c r="H15" s="76" t="e">
        <f>INDIRECT(ADDRESS(171,MATCH(9000000000+307,'4- Nº Explot. por CA y Tipo'!171:171,1),1,,"4- Nº Explot. por CA y Tipo"))</f>
        <v>#N/A</v>
      </c>
      <c r="I15" s="78" t="e">
        <f>INDIRECT(ADDRESS(194,MATCH(9000000000+307,'4- Nº Explot. por CA y Tipo'!194:194,1),1,,"4- Nº Explot. por CA y Tipo"))</f>
        <v>#N/A</v>
      </c>
      <c r="J15" s="472" t="e">
        <f t="shared" si="1" ca="1"/>
        <v>#N/A</v>
      </c>
      <c r="V15" s="50"/>
      <c r="W15" s="50"/>
      <c r="X15" s="50"/>
      <c r="Y15" s="50"/>
      <c r="Z15" s="50"/>
    </row>
    <row r="16" ht="15.75" customHeight="1">
      <c r="B16" s="74" t="s">
        <v>10</v>
      </c>
      <c r="C16" s="470" t="e">
        <f>INDIRECT(ADDRESS(100,MATCH(9000000000+307,'4- Nº Explot. por CA y Tipo'!100:100,1),1,,"4- Nº Explot. por CA y Tipo"))</f>
        <v>#N/A</v>
      </c>
      <c r="D16" s="69" t="e">
        <f>INDIRECT(ADDRESS(123,MATCH(9000000000+307,'4- Nº Explot. por CA y Tipo'!123:123,1),1,,"4- Nº Explot. por CA y Tipo"))</f>
        <v>#N/A</v>
      </c>
      <c r="E16" s="180" t="e">
        <f t="shared" si="0" ca="1"/>
        <v>#N/A</v>
      </c>
      <c r="G16" s="75" t="s">
        <v>10</v>
      </c>
      <c r="H16" s="76" t="e">
        <f>INDIRECT(ADDRESS(172,MATCH(9000000000+307,'4- Nº Explot. por CA y Tipo'!172:172,1),1,,"4- Nº Explot. por CA y Tipo"))</f>
        <v>#N/A</v>
      </c>
      <c r="I16" s="78" t="e">
        <f>INDIRECT(ADDRESS(195,MATCH(9000000000+307,'4- Nº Explot. por CA y Tipo'!195:195,1),1,,"4- Nº Explot. por CA y Tipo"))</f>
        <v>#N/A</v>
      </c>
      <c r="J16" s="472" t="e">
        <f t="shared" si="1" ca="1"/>
        <v>#N/A</v>
      </c>
      <c r="V16" s="50"/>
      <c r="W16" s="50"/>
      <c r="X16" s="50"/>
      <c r="Y16" s="50"/>
      <c r="Z16" s="50"/>
    </row>
    <row r="17" ht="15.75" customHeight="1">
      <c r="B17" s="74" t="s">
        <v>11</v>
      </c>
      <c r="C17" s="470" t="e">
        <f>INDIRECT(ADDRESS(101,MATCH(9000000000+307,'4- Nº Explot. por CA y Tipo'!101:101,1),1,,"4- Nº Explot. por CA y Tipo"))</f>
        <v>#N/A</v>
      </c>
      <c r="D17" s="69" t="e">
        <f>INDIRECT(ADDRESS(124,MATCH(9000000000+307,'4- Nº Explot. por CA y Tipo'!124:124,1),1,,"4- Nº Explot. por CA y Tipo"))</f>
        <v>#N/A</v>
      </c>
      <c r="E17" s="180" t="e">
        <f t="shared" si="0" ca="1"/>
        <v>#N/A</v>
      </c>
      <c r="G17" s="75" t="s">
        <v>11</v>
      </c>
      <c r="H17" s="76" t="e">
        <f>INDIRECT(ADDRESS(173,MATCH(9000000000+307,'4- Nº Explot. por CA y Tipo'!173:173,1),1,,"4- Nº Explot. por CA y Tipo"))</f>
        <v>#N/A</v>
      </c>
      <c r="I17" s="78" t="e">
        <f>INDIRECT(ADDRESS(196,MATCH(9000000000+307,'4- Nº Explot. por CA y Tipo'!196:196,1),1,,"4- Nº Explot. por CA y Tipo"))</f>
        <v>#N/A</v>
      </c>
      <c r="J17" s="472" t="e">
        <f t="shared" si="1" ca="1"/>
        <v>#N/A</v>
      </c>
      <c r="V17" s="50"/>
      <c r="W17" s="50"/>
      <c r="X17" s="50"/>
      <c r="Y17" s="50"/>
      <c r="Z17" s="50"/>
    </row>
    <row r="18" ht="15.75" customHeight="1">
      <c r="B18" s="74" t="s">
        <v>12</v>
      </c>
      <c r="C18" s="470" t="e">
        <f>INDIRECT(ADDRESS(102,MATCH(9000000000+307,'4- Nº Explot. por CA y Tipo'!102:102,1),1,,"4- Nº Explot. por CA y Tipo"))</f>
        <v>#N/A</v>
      </c>
      <c r="D18" s="69" t="e">
        <f>INDIRECT(ADDRESS(125,MATCH(9000000000+307,'4- Nº Explot. por CA y Tipo'!125:125,1),1,,"4- Nº Explot. por CA y Tipo"))</f>
        <v>#N/A</v>
      </c>
      <c r="E18" s="180" t="e">
        <f t="shared" si="0" ca="1"/>
        <v>#N/A</v>
      </c>
      <c r="G18" s="75" t="s">
        <v>12</v>
      </c>
      <c r="H18" s="76" t="e">
        <f>INDIRECT(ADDRESS(174,MATCH(9000000000+307,'4- Nº Explot. por CA y Tipo'!174:174,1),1,,"4- Nº Explot. por CA y Tipo"))</f>
        <v>#N/A</v>
      </c>
      <c r="I18" s="78" t="e">
        <f>INDIRECT(ADDRESS(197,MATCH(9000000000+307,'4- Nº Explot. por CA y Tipo'!197:197,1),1,,"4- Nº Explot. por CA y Tipo"))</f>
        <v>#N/A</v>
      </c>
      <c r="J18" s="472" t="e">
        <f t="shared" si="1" ca="1"/>
        <v>#N/A</v>
      </c>
      <c r="V18" s="50"/>
      <c r="W18" s="50"/>
      <c r="X18" s="50"/>
      <c r="Y18" s="50"/>
      <c r="Z18" s="50"/>
    </row>
    <row r="19" ht="15.75" customHeight="1">
      <c r="B19" s="74" t="s">
        <v>13</v>
      </c>
      <c r="C19" s="470" t="e">
        <f>INDIRECT(ADDRESS(103,MATCH(9000000000+307,'4- Nº Explot. por CA y Tipo'!103:103,1),1,,"4- Nº Explot. por CA y Tipo"))</f>
        <v>#N/A</v>
      </c>
      <c r="D19" s="69" t="e">
        <f>INDIRECT(ADDRESS(126,MATCH(9000000000+307,'4- Nº Explot. por CA y Tipo'!126:126,1),1,,"4- Nº Explot. por CA y Tipo"))</f>
        <v>#N/A</v>
      </c>
      <c r="E19" s="180" t="e">
        <f t="shared" si="0" ca="1"/>
        <v>#N/A</v>
      </c>
      <c r="G19" s="75" t="s">
        <v>13</v>
      </c>
      <c r="H19" s="76" t="e">
        <f>INDIRECT(ADDRESS(175,MATCH(9000000000+307,'4- Nº Explot. por CA y Tipo'!175:175,1),1,,"4- Nº Explot. por CA y Tipo"))</f>
        <v>#N/A</v>
      </c>
      <c r="I19" s="78" t="e">
        <f>INDIRECT(ADDRESS(198,MATCH(9000000000+307,'4- Nº Explot. por CA y Tipo'!198:198,1),1,,"4- Nº Explot. por CA y Tipo"))</f>
        <v>#N/A</v>
      </c>
      <c r="J19" s="472" t="e">
        <f t="shared" si="1" ca="1"/>
        <v>#N/A</v>
      </c>
      <c r="V19" s="50"/>
      <c r="W19" s="50"/>
      <c r="X19" s="50"/>
      <c r="Y19" s="50"/>
      <c r="Z19" s="50"/>
    </row>
    <row r="20" ht="15.75" customHeight="1">
      <c r="B20" s="74" t="s">
        <v>14</v>
      </c>
      <c r="C20" s="470" t="e">
        <f>INDIRECT(ADDRESS(104,MATCH(9000000000+307,'4- Nº Explot. por CA y Tipo'!104:104,1),1,,"4- Nº Explot. por CA y Tipo"))</f>
        <v>#N/A</v>
      </c>
      <c r="D20" s="69" t="e">
        <f>INDIRECT(ADDRESS(127,MATCH(9000000000+307,'4- Nº Explot. por CA y Tipo'!127:127,1),1,,"4- Nº Explot. por CA y Tipo"))</f>
        <v>#N/A</v>
      </c>
      <c r="E20" s="180" t="e">
        <f t="shared" si="0" ca="1"/>
        <v>#N/A</v>
      </c>
      <c r="G20" s="75" t="s">
        <v>14</v>
      </c>
      <c r="H20" s="76" t="e">
        <f>INDIRECT(ADDRESS(176,MATCH(9000000000+307,'4- Nº Explot. por CA y Tipo'!176:176,1),1,,"4- Nº Explot. por CA y Tipo"))</f>
        <v>#N/A</v>
      </c>
      <c r="I20" s="78" t="e">
        <f>INDIRECT(ADDRESS(199,MATCH(9000000000+307,'4- Nº Explot. por CA y Tipo'!199:199,1),1,,"4- Nº Explot. por CA y Tipo"))</f>
        <v>#N/A</v>
      </c>
      <c r="J20" s="472" t="e">
        <f t="shared" si="1" ca="1"/>
        <v>#N/A</v>
      </c>
      <c r="V20" s="50"/>
      <c r="W20" s="50"/>
      <c r="X20" s="50"/>
      <c r="Y20" s="50"/>
      <c r="Z20" s="50"/>
    </row>
    <row r="21" ht="15.75" customHeight="1">
      <c r="B21" s="74" t="s">
        <v>15</v>
      </c>
      <c r="C21" s="470" t="e">
        <f>INDIRECT(ADDRESS(105,MATCH(9000000000+307,'4- Nº Explot. por CA y Tipo'!105:105,1),1,,"4- Nº Explot. por CA y Tipo"))</f>
        <v>#N/A</v>
      </c>
      <c r="D21" s="69" t="e">
        <f>INDIRECT(ADDRESS(128,MATCH(9000000000+307,'4- Nº Explot. por CA y Tipo'!128:128,1),1,,"4- Nº Explot. por CA y Tipo"))</f>
        <v>#N/A</v>
      </c>
      <c r="E21" s="180" t="e">
        <f t="shared" si="0" ca="1"/>
        <v>#N/A</v>
      </c>
      <c r="G21" s="75" t="s">
        <v>15</v>
      </c>
      <c r="H21" s="76" t="e">
        <f>INDIRECT(ADDRESS(177,MATCH(9000000000+307,'4- Nº Explot. por CA y Tipo'!177:177,1),1,,"4- Nº Explot. por CA y Tipo"))</f>
        <v>#N/A</v>
      </c>
      <c r="I21" s="78" t="e">
        <f>INDIRECT(ADDRESS(200,MATCH(9000000000+307,'4- Nº Explot. por CA y Tipo'!200:200,1),1,,"4- Nº Explot. por CA y Tipo"))</f>
        <v>#N/A</v>
      </c>
      <c r="J21" s="472" t="e">
        <f t="shared" si="1" ca="1"/>
        <v>#N/A</v>
      </c>
      <c r="V21" s="50"/>
      <c r="W21" s="50"/>
      <c r="X21" s="50"/>
      <c r="Y21" s="50"/>
      <c r="Z21" s="50"/>
    </row>
    <row r="22" ht="15.75" customHeight="1">
      <c r="B22" s="74" t="s">
        <v>16</v>
      </c>
      <c r="C22" s="470" t="e">
        <f>INDIRECT(ADDRESS(106,MATCH(9000000000+307,'4- Nº Explot. por CA y Tipo'!106:106,1),1,,"4- Nº Explot. por CA y Tipo"))</f>
        <v>#N/A</v>
      </c>
      <c r="D22" s="69" t="e">
        <f>INDIRECT(ADDRESS(129,MATCH(9000000000+307,'4- Nº Explot. por CA y Tipo'!129:129,1),1,,"4- Nº Explot. por CA y Tipo"))</f>
        <v>#N/A</v>
      </c>
      <c r="E22" s="180" t="e">
        <f t="shared" si="0" ca="1"/>
        <v>#N/A</v>
      </c>
      <c r="G22" s="75" t="s">
        <v>16</v>
      </c>
      <c r="H22" s="76" t="e">
        <f>INDIRECT(ADDRESS(178,MATCH(9000000000+307,'4- Nº Explot. por CA y Tipo'!178:178,1),1,,"4- Nº Explot. por CA y Tipo"))</f>
        <v>#N/A</v>
      </c>
      <c r="I22" s="78" t="e">
        <f>INDIRECT(ADDRESS(201,MATCH(9000000000+307,'4- Nº Explot. por CA y Tipo'!201:201,1),1,,"4- Nº Explot. por CA y Tipo"))</f>
        <v>#N/A</v>
      </c>
      <c r="J22" s="472" t="e">
        <f t="shared" si="1" ca="1"/>
        <v>#N/A</v>
      </c>
      <c r="V22" s="50"/>
      <c r="W22" s="50"/>
      <c r="X22" s="50"/>
      <c r="Y22" s="50"/>
      <c r="Z22" s="50"/>
    </row>
    <row r="23" ht="15.75" customHeight="1">
      <c r="B23" s="74" t="s">
        <v>17</v>
      </c>
      <c r="C23" s="470" t="e">
        <f>INDIRECT(ADDRESS(107,MATCH(9000000000+307,'4- Nº Explot. por CA y Tipo'!107:107,1),1,,"4- Nº Explot. por CA y Tipo"))</f>
        <v>#N/A</v>
      </c>
      <c r="D23" s="69" t="e">
        <f>INDIRECT(ADDRESS(130,MATCH(9000000000+307,'4- Nº Explot. por CA y Tipo'!130:130,1),1,,"4- Nº Explot. por CA y Tipo"))</f>
        <v>#N/A</v>
      </c>
      <c r="E23" s="180" t="e">
        <f t="shared" si="0" ca="1"/>
        <v>#N/A</v>
      </c>
      <c r="G23" s="75" t="s">
        <v>17</v>
      </c>
      <c r="H23" s="76" t="e">
        <f>INDIRECT(ADDRESS(179,MATCH(9000000000+307,'4- Nº Explot. por CA y Tipo'!179:179,1),1,,"4- Nº Explot. por CA y Tipo"))</f>
        <v>#N/A</v>
      </c>
      <c r="I23" s="78" t="e">
        <f>INDIRECT(ADDRESS(202,MATCH(9000000000+307,'4- Nº Explot. por CA y Tipo'!202:202,1),1,,"4- Nº Explot. por CA y Tipo"))</f>
        <v>#N/A</v>
      </c>
      <c r="J23" s="472" t="e">
        <f t="shared" si="1" ca="1"/>
        <v>#N/A</v>
      </c>
      <c r="V23" s="50"/>
      <c r="W23" s="50"/>
      <c r="X23" s="50"/>
      <c r="Y23" s="50"/>
      <c r="Z23" s="50"/>
    </row>
    <row r="24" ht="15.75" customHeight="1">
      <c r="B24" s="74" t="s">
        <v>18</v>
      </c>
      <c r="C24" s="470" t="e">
        <f>INDIRECT(ADDRESS(108,MATCH(9000000000+307,'4- Nº Explot. por CA y Tipo'!108:108,1),1,,"4- Nº Explot. por CA y Tipo"))</f>
        <v>#N/A</v>
      </c>
      <c r="D24" s="69" t="e">
        <f>INDIRECT(ADDRESS(131,MATCH(9000000000+307,'4- Nº Explot. por CA y Tipo'!131:131,1),1,,"4- Nº Explot. por CA y Tipo"))</f>
        <v>#N/A</v>
      </c>
      <c r="E24" s="180" t="e">
        <f t="shared" si="0" ca="1"/>
        <v>#N/A</v>
      </c>
      <c r="G24" s="75" t="s">
        <v>18</v>
      </c>
      <c r="H24" s="76" t="e">
        <f>INDIRECT(ADDRESS(180,MATCH(9000000000+307,'4- Nº Explot. por CA y Tipo'!180:180,1),1,,"4- Nº Explot. por CA y Tipo"))</f>
        <v>#N/A</v>
      </c>
      <c r="I24" s="78" t="e">
        <f>INDIRECT(ADDRESS(203,MATCH(9000000000+307,'4- Nº Explot. por CA y Tipo'!203:203,1),1,,"4- Nº Explot. por CA y Tipo"))</f>
        <v>#N/A</v>
      </c>
      <c r="J24" s="472" t="e">
        <f t="shared" si="1" ca="1"/>
        <v>#N/A</v>
      </c>
      <c r="V24" s="50"/>
      <c r="W24" s="50"/>
      <c r="X24" s="50"/>
      <c r="Y24" s="50"/>
      <c r="Z24" s="50"/>
    </row>
    <row r="25" ht="15.75" customHeight="1">
      <c r="B25" s="74" t="s">
        <v>19</v>
      </c>
      <c r="C25" s="470" t="e">
        <f>INDIRECT(ADDRESS(109,MATCH(9000000000+307,'4- Nº Explot. por CA y Tipo'!109:109,1),1,,"4- Nº Explot. por CA y Tipo"))</f>
        <v>#N/A</v>
      </c>
      <c r="D25" s="69" t="e">
        <f>INDIRECT(ADDRESS(132,MATCH(9000000000+307,'4- Nº Explot. por CA y Tipo'!132:132,1),1,,"4- Nº Explot. por CA y Tipo"))</f>
        <v>#N/A</v>
      </c>
      <c r="E25" s="180" t="e">
        <f t="shared" si="0" ca="1"/>
        <v>#N/A</v>
      </c>
      <c r="G25" s="75" t="s">
        <v>19</v>
      </c>
      <c r="H25" s="76" t="e">
        <f>INDIRECT(ADDRESS(181,MATCH(9000000000+307,'4- Nº Explot. por CA y Tipo'!181:181,1),1,,"4- Nº Explot. por CA y Tipo"))</f>
        <v>#N/A</v>
      </c>
      <c r="I25" s="78" t="e">
        <f>INDIRECT(ADDRESS(204,MATCH(9000000000+307,'4- Nº Explot. por CA y Tipo'!204:204,1),1,,"4- Nº Explot. por CA y Tipo"))</f>
        <v>#N/A</v>
      </c>
      <c r="J25" s="472" t="e">
        <f t="shared" si="1" ca="1"/>
        <v>#N/A</v>
      </c>
      <c r="V25" s="50"/>
      <c r="W25" s="50"/>
      <c r="X25" s="50"/>
      <c r="Y25" s="50"/>
      <c r="Z25" s="50"/>
    </row>
    <row r="26" ht="15.75" customHeight="1">
      <c r="B26" s="74" t="s">
        <v>20</v>
      </c>
      <c r="C26" s="470" t="e">
        <f>INDIRECT(ADDRESS(110,MATCH(9000000000+307,'4- Nº Explot. por CA y Tipo'!110:110,1),1,,"4- Nº Explot. por CA y Tipo"))</f>
        <v>#N/A</v>
      </c>
      <c r="D26" s="69" t="e">
        <f>INDIRECT(ADDRESS(133,MATCH(9000000000+307,'4- Nº Explot. por CA y Tipo'!133:133,1),1,,"4- Nº Explot. por CA y Tipo"))</f>
        <v>#N/A</v>
      </c>
      <c r="E26" s="180" t="e">
        <f t="shared" si="0" ca="1"/>
        <v>#N/A</v>
      </c>
      <c r="G26" s="75" t="s">
        <v>20</v>
      </c>
      <c r="H26" s="76" t="e">
        <f>INDIRECT(ADDRESS(182,MATCH(9000000000+307,'4- Nº Explot. por CA y Tipo'!182:182,1),1,,"4- Nº Explot. por CA y Tipo"))</f>
        <v>#N/A</v>
      </c>
      <c r="I26" s="78" t="e">
        <f>INDIRECT(ADDRESS(205,MATCH(9000000000+307,'4- Nº Explot. por CA y Tipo'!205:205,1),1,,"4- Nº Explot. por CA y Tipo"))</f>
        <v>#N/A</v>
      </c>
      <c r="J26" s="472" t="e">
        <f t="shared" si="1" ca="1"/>
        <v>#N/A</v>
      </c>
      <c r="V26" s="50"/>
      <c r="W26" s="50"/>
      <c r="X26" s="50"/>
      <c r="Y26" s="50"/>
      <c r="Z26" s="50"/>
    </row>
    <row r="27" ht="15.75" customHeight="1">
      <c r="B27" s="74" t="s">
        <v>21</v>
      </c>
      <c r="C27" s="470" t="e">
        <f>INDIRECT(ADDRESS(111,MATCH(9000000000+307,'4- Nº Explot. por CA y Tipo'!111:111,1),1,,"4- Nº Explot. por CA y Tipo"))</f>
        <v>#N/A</v>
      </c>
      <c r="D27" s="69" t="e">
        <f>INDIRECT(ADDRESS(134,MATCH(9000000000+307,'4- Nº Explot. por CA y Tipo'!134:134,1),1,,"4- Nº Explot. por CA y Tipo"))</f>
        <v>#N/A</v>
      </c>
      <c r="E27" s="180" t="e">
        <f t="shared" si="0" ca="1"/>
        <v>#N/A</v>
      </c>
      <c r="G27" s="75" t="s">
        <v>21</v>
      </c>
      <c r="H27" s="76" t="e">
        <f>INDIRECT(ADDRESS(183,MATCH(9000000000+307,'4- Nº Explot. por CA y Tipo'!183:183,1),1,,"4- Nº Explot. por CA y Tipo"))</f>
        <v>#N/A</v>
      </c>
      <c r="I27" s="78" t="e">
        <f>INDIRECT(ADDRESS(206,MATCH(9000000000+307,'4- Nº Explot. por CA y Tipo'!206:206,1),1,,"4- Nº Explot. por CA y Tipo"))</f>
        <v>#N/A</v>
      </c>
      <c r="J27" s="472" t="e">
        <f t="shared" si="1" ca="1"/>
        <v>#N/A</v>
      </c>
      <c r="V27" s="50"/>
      <c r="W27" s="50"/>
      <c r="X27" s="50"/>
      <c r="Y27" s="50"/>
      <c r="Z27" s="50"/>
    </row>
    <row r="28" ht="15.75" customHeight="1">
      <c r="B28" s="74" t="s">
        <v>22</v>
      </c>
      <c r="C28" s="470" t="e">
        <f>INDIRECT(ADDRESS(112,MATCH(9000000000+307,'4- Nº Explot. por CA y Tipo'!112:112,1),1,,"4- Nº Explot. por CA y Tipo"))</f>
        <v>#N/A</v>
      </c>
      <c r="D28" s="69" t="e">
        <f>INDIRECT(ADDRESS(135,MATCH(9000000000+307,'4- Nº Explot. por CA y Tipo'!135:135,1),1,,"4- Nº Explot. por CA y Tipo"))</f>
        <v>#N/A</v>
      </c>
      <c r="E28" s="180" t="e">
        <f t="shared" si="0" ca="1"/>
        <v>#N/A</v>
      </c>
      <c r="G28" s="75" t="s">
        <v>22</v>
      </c>
      <c r="H28" s="76" t="e">
        <f>INDIRECT(ADDRESS(184,MATCH(9000000000+307,'4- Nº Explot. por CA y Tipo'!184:184,1),1,,"4- Nº Explot. por CA y Tipo"))</f>
        <v>#N/A</v>
      </c>
      <c r="I28" s="78" t="e">
        <f>INDIRECT(ADDRESS(207,MATCH(9000000000+307,'4- Nº Explot. por CA y Tipo'!207:207,1),1,,"4- Nº Explot. por CA y Tipo"))</f>
        <v>#N/A</v>
      </c>
      <c r="J28" s="472" t="e">
        <f t="shared" si="1" ca="1"/>
        <v>#N/A</v>
      </c>
      <c r="V28" s="50"/>
      <c r="W28" s="50"/>
      <c r="X28" s="50"/>
      <c r="Y28" s="50"/>
      <c r="Z28" s="50"/>
    </row>
    <row r="29" ht="15.75" customHeight="1">
      <c r="B29" s="74" t="s">
        <v>23</v>
      </c>
      <c r="C29" s="470" t="e">
        <f>INDIRECT(ADDRESS(113,MATCH(9000000000+307,'4- Nº Explot. por CA y Tipo'!113:113,1),1,,"4- Nº Explot. por CA y Tipo"))</f>
        <v>#N/A</v>
      </c>
      <c r="D29" s="69" t="e">
        <f>INDIRECT(ADDRESS(136,MATCH(9000000000+307,'4- Nº Explot. por CA y Tipo'!136:136,1),1,,"4- Nº Explot. por CA y Tipo"))</f>
        <v>#N/A</v>
      </c>
      <c r="E29" s="180" t="e">
        <f t="shared" si="0" ca="1"/>
        <v>#N/A</v>
      </c>
      <c r="G29" s="75" t="s">
        <v>23</v>
      </c>
      <c r="H29" s="76" t="e">
        <f>INDIRECT(ADDRESS(185,MATCH(9000000000+307,'4- Nº Explot. por CA y Tipo'!185:185,1),1,,"4- Nº Explot. por CA y Tipo"))</f>
        <v>#N/A</v>
      </c>
      <c r="I29" s="78" t="e">
        <f>INDIRECT(ADDRESS(208,MATCH(9000000000+307,'4- Nº Explot. por CA y Tipo'!208:208,1),1,,"4- Nº Explot. por CA y Tipo"))</f>
        <v>#N/A</v>
      </c>
      <c r="J29" s="472" t="e">
        <f t="shared" si="1" ca="1"/>
        <v>#N/A</v>
      </c>
      <c r="V29" s="50"/>
      <c r="W29" s="50"/>
      <c r="X29" s="50"/>
      <c r="Y29" s="50"/>
      <c r="Z29" s="50"/>
    </row>
    <row r="30" ht="15.75" customHeight="1">
      <c r="B30" s="79" t="s">
        <v>24</v>
      </c>
      <c r="C30" s="470" t="e">
        <f>INDIRECT(ADDRESS(114,MATCH(9000000000+307,'4- Nº Explot. por CA y Tipo'!114:114,1),1,,"4- Nº Explot. por CA y Tipo"))</f>
        <v>#N/A</v>
      </c>
      <c r="D30" s="69" t="e">
        <f>INDIRECT(ADDRESS(137,MATCH(9000000000+307,'4- Nº Explot. por CA y Tipo'!137:137,1),1,,"4- Nº Explot. por CA y Tipo"))</f>
        <v>#N/A</v>
      </c>
      <c r="E30" s="180" t="e">
        <f t="shared" si="0" ca="1"/>
        <v>#N/A</v>
      </c>
      <c r="G30" s="80" t="s">
        <v>24</v>
      </c>
      <c r="H30" s="76" t="e">
        <f>INDIRECT(ADDRESS(186,MATCH(9000000000+307,'4- Nº Explot. por CA y Tipo'!186:186,1),1,,"4- Nº Explot. por CA y Tipo"))</f>
        <v>#N/A</v>
      </c>
      <c r="I30" s="78" t="e">
        <f>INDIRECT(ADDRESS(209,MATCH(9000000000+307,'4- Nº Explot. por CA y Tipo'!209:209,1),1,,"4- Nº Explot. por CA y Tipo"))</f>
        <v>#N/A</v>
      </c>
      <c r="J30" s="472" t="e">
        <f t="shared" si="1" ca="1"/>
        <v>#N/A</v>
      </c>
      <c r="V30" s="50"/>
      <c r="W30" s="50"/>
      <c r="X30" s="50"/>
      <c r="Y30" s="50"/>
      <c r="Z30" s="50"/>
    </row>
    <row r="31" ht="15.75" customHeight="1">
      <c r="B31" s="74" t="s">
        <v>25</v>
      </c>
      <c r="C31" s="470" t="e">
        <f>INDIRECT(ADDRESS(115,MATCH(9000000000+307,'4- Nº Explot. por CA y Tipo'!115:115,1),1,,"4- Nº Explot. por CA y Tipo"))</f>
        <v>#N/A</v>
      </c>
      <c r="D31" s="69" t="e">
        <f>INDIRECT(ADDRESS(138,MATCH(9000000000+307,'4- Nº Explot. por CA y Tipo'!138:138,1),1,,"4- Nº Explot. por CA y Tipo"))</f>
        <v>#N/A</v>
      </c>
      <c r="E31" s="180" t="e">
        <f t="shared" si="0" ca="1"/>
        <v>#N/A</v>
      </c>
      <c r="G31" s="75" t="s">
        <v>25</v>
      </c>
      <c r="H31" s="76" t="e">
        <f>INDIRECT(ADDRESS(187,MATCH(9000000000+307,'4- Nº Explot. por CA y Tipo'!187:187,1),1,,"4- Nº Explot. por CA y Tipo"))</f>
        <v>#N/A</v>
      </c>
      <c r="I31" s="78" t="e">
        <f>INDIRECT(ADDRESS(210,MATCH(9000000000+307,'4- Nº Explot. por CA y Tipo'!210:210,1),1,,"4- Nº Explot. por CA y Tipo"))</f>
        <v>#N/A</v>
      </c>
      <c r="J31" s="472" t="e">
        <f t="shared" si="1" ca="1"/>
        <v>#N/A</v>
      </c>
      <c r="V31" s="50"/>
      <c r="W31" s="50"/>
      <c r="X31" s="50"/>
      <c r="Y31" s="50"/>
      <c r="Z31" s="50"/>
    </row>
    <row r="32" ht="15.75" customHeight="1">
      <c r="B32" s="79" t="s">
        <v>26</v>
      </c>
      <c r="C32" s="255" t="e">
        <f>INDIRECT(ADDRESS(116,MATCH(9000000000+307,'4- Nº Explot. por CA y Tipo'!116:116,1),1,,"4- Nº Explot. por CA y Tipo"))</f>
        <v>#N/A</v>
      </c>
      <c r="D32" s="69" t="e">
        <f>INDIRECT(ADDRESS(139,MATCH(9000000000+307,'4- Nº Explot. por CA y Tipo'!139:139,1),1,,"4- Nº Explot. por CA y Tipo"))</f>
        <v>#N/A</v>
      </c>
      <c r="E32" s="190" t="e">
        <f t="shared" si="0" ca="1"/>
        <v>#N/A</v>
      </c>
      <c r="G32" s="80" t="s">
        <v>26</v>
      </c>
      <c r="H32" s="81" t="e">
        <f>INDIRECT(ADDRESS(188,MATCH(9000000000+307,'4- Nº Explot. por CA y Tipo'!188:188,1),1,,"4- Nº Explot. por CA y Tipo"))</f>
        <v>#N/A</v>
      </c>
      <c r="I32" s="83" t="e">
        <f>INDIRECT(ADDRESS(211,MATCH(9000000000+307,'4- Nº Explot. por CA y Tipo'!211:211,1),1,,"4- Nº Explot. por CA y Tipo"))</f>
        <v>#N/A</v>
      </c>
      <c r="J32" s="473" t="e">
        <f t="shared" si="1" ca="1"/>
        <v>#N/A</v>
      </c>
      <c r="V32" s="50"/>
      <c r="W32" s="50"/>
      <c r="X32" s="50"/>
      <c r="Y32" s="50"/>
      <c r="Z32" s="50"/>
    </row>
    <row r="33" ht="15.75" customHeight="1">
      <c r="B33" s="84" t="s">
        <v>7</v>
      </c>
      <c r="C33" s="85" t="e">
        <f>SUM(C14:C32)</f>
        <v>#N/A</v>
      </c>
      <c r="D33" s="86" t="e">
        <f>SUM(D14:D32)</f>
        <v>#N/A</v>
      </c>
      <c r="E33" s="87" t="e">
        <f>SUM(E14:E32)</f>
        <v>#N/A</v>
      </c>
      <c r="G33" s="84" t="s">
        <v>7</v>
      </c>
      <c r="H33" s="88" t="e">
        <f>SUM(H14:H32)</f>
        <v>#N/A</v>
      </c>
      <c r="I33" s="88" t="e">
        <f>SUM(I14:I32)</f>
        <v>#N/A</v>
      </c>
      <c r="J33" s="88" t="e">
        <f>SUM(J14:J32)</f>
        <v>#N/A</v>
      </c>
      <c r="V33" s="50"/>
      <c r="W33" s="50"/>
      <c r="X33" s="50"/>
      <c r="Y33" s="50"/>
      <c r="Z33" s="50"/>
    </row>
    <row r="34" ht="13.5">
      <c r="B34" s="89"/>
      <c r="C34" s="90"/>
      <c r="D34" s="90"/>
      <c r="E34" s="90"/>
      <c r="F34" s="57"/>
      <c r="G34" s="89"/>
      <c r="H34" s="90"/>
      <c r="I34" s="91"/>
      <c r="J34" s="91"/>
      <c r="K34" s="98"/>
      <c r="V34" s="50"/>
      <c r="W34" s="50"/>
      <c r="X34" s="50"/>
      <c r="Y34" s="50"/>
      <c r="Z34" s="50"/>
    </row>
    <row r="35" ht="17.25" customHeight="1">
      <c r="B35" s="572" t="s">
        <v>27</v>
      </c>
      <c r="C35" s="573"/>
      <c r="D35" s="573"/>
      <c r="E35" s="573"/>
      <c r="F35" s="574"/>
      <c r="G35" s="218"/>
      <c r="H35" s="98"/>
      <c r="R35" s="57"/>
      <c r="S35" s="57"/>
      <c r="T35" s="57"/>
      <c r="V35" s="50"/>
      <c r="W35" s="50"/>
      <c r="X35" s="50"/>
      <c r="Y35" s="50"/>
      <c r="Z35" s="50"/>
    </row>
    <row r="36" ht="8.25" customHeight="1">
      <c r="C36" s="57"/>
      <c r="D36" s="57"/>
      <c r="E36" s="57"/>
      <c r="F36" s="57"/>
      <c r="G36" s="57"/>
      <c r="H36" s="57"/>
      <c r="I36" s="57"/>
      <c r="J36" s="57"/>
      <c r="K36" s="57"/>
      <c r="L36" s="57"/>
      <c r="R36" s="57"/>
      <c r="S36" s="57"/>
      <c r="T36" s="57"/>
      <c r="V36" s="50"/>
      <c r="W36" s="50"/>
      <c r="X36" s="50"/>
      <c r="Y36" s="50"/>
      <c r="Z36" s="50"/>
    </row>
    <row r="37" ht="13.5">
      <c r="B37" s="580" t="s">
        <v>4</v>
      </c>
      <c r="C37" s="575" t="s">
        <v>28</v>
      </c>
      <c r="D37" s="576"/>
      <c r="E37" s="575" t="s">
        <v>29</v>
      </c>
      <c r="F37" s="576"/>
      <c r="G37" s="583" t="s">
        <v>30</v>
      </c>
      <c r="H37" s="584"/>
      <c r="I37" s="575" t="s">
        <v>31</v>
      </c>
      <c r="J37" s="576"/>
      <c r="K37" s="92" t="s">
        <v>32</v>
      </c>
      <c r="L37" s="92" t="s">
        <v>33</v>
      </c>
      <c r="R37" s="57"/>
      <c r="S37" s="57"/>
      <c r="T37" s="57"/>
      <c r="V37" s="50"/>
      <c r="W37" s="50"/>
      <c r="X37" s="50"/>
      <c r="Y37" s="50"/>
      <c r="Z37" s="50"/>
    </row>
    <row r="38" ht="13.5">
      <c r="B38" s="581"/>
      <c r="C38" s="93" t="s">
        <v>7</v>
      </c>
      <c r="D38" s="94" t="s">
        <v>34</v>
      </c>
      <c r="E38" s="93" t="s">
        <v>7</v>
      </c>
      <c r="F38" s="94" t="s">
        <v>35</v>
      </c>
      <c r="G38" s="93" t="s">
        <v>7</v>
      </c>
      <c r="H38" s="94" t="s">
        <v>36</v>
      </c>
      <c r="I38" s="93" t="s">
        <v>7</v>
      </c>
      <c r="J38" s="94" t="s">
        <v>36</v>
      </c>
      <c r="K38" s="95" t="s">
        <v>7</v>
      </c>
      <c r="L38" s="95" t="s">
        <v>7</v>
      </c>
      <c r="R38" s="57"/>
      <c r="S38" s="57"/>
      <c r="T38" s="57"/>
      <c r="V38" s="50"/>
      <c r="W38" s="50"/>
      <c r="X38" s="50"/>
      <c r="Y38" s="50"/>
      <c r="Z38" s="50"/>
    </row>
    <row r="39" ht="17.25" customHeight="1">
      <c r="B39" s="70" t="s">
        <v>8</v>
      </c>
      <c r="C39" s="71" t="e">
        <f>INDIRECT(ADDRESS(180,MATCH(9000000000+307,'5.1- BOVINO (CENSO)'!180:180,1),1,,"5.1- BOVINO (CENSO)"))</f>
        <v>#N/A</v>
      </c>
      <c r="D39" s="73" t="e">
        <f>INDIRECT(ADDRESS(496,MATCH(9000000000+307,'5.1- BOVINO (CENSO)'!496:496,1),1,,"5.1- BOVINO (CENSO)"))</f>
        <v>#N/A</v>
      </c>
      <c r="E39" s="96" t="e">
        <f>INDIRECT(ADDRESS(316,MATCH(9000000000+307,'6.1- PORCINO (CENSO)'!316:316,1),1,,"6.1- PORCINO (CENSO)"))</f>
        <v>#N/A</v>
      </c>
      <c r="F39" s="73" t="e">
        <f>INDIRECT(ADDRESS(201,MATCH(9000000000+307,'6.1- PORCINO (CENSO)'!201:201,1),1,,"6.1- PORCINO (CENSO)"))+INDIRECT(ADDRESS(247,MATCH(9000000000+307,'6.1- PORCINO (CENSO)'!247:247,1),1,,"6.1- PORCINO (CENSO)"))+INDIRECT(ADDRESS(270,MATCH(9000000000+307,'6.1- PORCINO (CENSO)'!270:270,1),1,,"6.1- PORCINO (CENSO)"))</f>
        <v>#N/A</v>
      </c>
      <c r="G39" s="96" t="e">
        <f>INDIRECT(ADDRESS(232,MATCH(9000000000+307,'8.1- OVINO (CENSO)'!232:232,1),1,,"8.1- OVINO (CENSO)"))</f>
        <v>#N/A</v>
      </c>
      <c r="H39" s="114" t="e">
        <f>INDIRECT(ADDRESS(186,MATCH(9000000000+307,'8.1- OVINO (CENSO)'!186:186,1),1,,"8.1- OVINO (CENSO)"))</f>
        <v>#N/A</v>
      </c>
      <c r="I39" s="97" t="e">
        <f>INDIRECT(ADDRESS(226,MATCH(9000000000+307,'7.1- CAPRINO (CENSO)'!226:226,1),1,,"7.1- CAPRINO (CENSO)"))</f>
        <v>#N/A</v>
      </c>
      <c r="J39" s="114" t="e">
        <f>INDIRECT(ADDRESS(180,MATCH(9000000000+307,'7.1- CAPRINO (CENSO)'!180:180,1),1,,"7.1- CAPRINO (CENSO)"))</f>
        <v>#N/A</v>
      </c>
      <c r="K39" s="453" t="e">
        <f>INDIRECT(ADDRESS(89,MATCH(9000000000+307,'10.1- EQUINO (CENSO)'!89:89,1),1,,"10.1- EQUINO (CENSO)"))</f>
        <v>#N/A</v>
      </c>
      <c r="L39" s="471" t="e">
        <f>INDIRECT(ADDRESS(117,MATCH(9000000000+307,'9.1- APICULTURA (CENSO)'!117:117,1),1,,"9.1- APICULTURA (CENSO)"))</f>
        <v>#N/A</v>
      </c>
      <c r="N39" s="98"/>
      <c r="V39" s="50"/>
      <c r="W39" s="50"/>
      <c r="X39" s="50"/>
      <c r="Y39" s="50"/>
      <c r="Z39" s="50"/>
    </row>
    <row r="40" ht="17.25" customHeight="1">
      <c r="B40" s="75" t="s">
        <v>9</v>
      </c>
      <c r="C40" s="76" t="e">
        <f>INDIRECT(ADDRESS(181,MATCH(9000000000+307,'5.1- BOVINO (CENSO)'!181:181,1),1,,"5.1- BOVINO (CENSO)"))</f>
        <v>#N/A</v>
      </c>
      <c r="D40" s="78" t="e">
        <f>INDIRECT(ADDRESS(497,MATCH(9000000000+307,'5.1- BOVINO (CENSO)'!497:497,1),1,,"5.1- BOVINO (CENSO)"))</f>
        <v>#N/A</v>
      </c>
      <c r="E40" s="99" t="e">
        <f>INDIRECT(ADDRESS(317,MATCH(9000000000+307,'6.1- PORCINO (CENSO)'!317:317,1),1,,"6.1- PORCINO (CENSO)"))</f>
        <v>#N/A</v>
      </c>
      <c r="F40" s="78" t="e">
        <f>INDIRECT(ADDRESS(202,MATCH(9000000000+307,'6.1- PORCINO (CENSO)'!202:202,1),1,,"6.1- PORCINO (CENSO)"))+INDIRECT(ADDRESS(248,MATCH(9000000000+307,'6.1- PORCINO (CENSO)'!248:248,1),1,,"6.1- PORCINO (CENSO)"))+INDIRECT(ADDRESS(271,MATCH(9000000000+307,'6.1- PORCINO (CENSO)'!271:271,1),1,,"6.1- PORCINO (CENSO)"))</f>
        <v>#N/A</v>
      </c>
      <c r="G40" s="99" t="e">
        <f>INDIRECT(ADDRESS(233,MATCH(9000000000+307,'8.1- OVINO (CENSO)'!233:233,1),1,,"8.1- OVINO (CENSO)"))</f>
        <v>#N/A</v>
      </c>
      <c r="H40" s="116" t="e">
        <f>INDIRECT(ADDRESS(187,MATCH(9000000000+307,'8.1- OVINO (CENSO)'!187:187,1),1,,"8.1- OVINO (CENSO)"))</f>
        <v>#N/A</v>
      </c>
      <c r="I40" s="100" t="e">
        <f>INDIRECT(ADDRESS(227,MATCH(9000000000+307,'7.1- CAPRINO (CENSO)'!227:227,1),1,,"7.1- CAPRINO (CENSO)"))</f>
        <v>#N/A</v>
      </c>
      <c r="J40" s="116" t="e">
        <f>INDIRECT(ADDRESS(181,MATCH(9000000000+307,'7.1- CAPRINO (CENSO)'!181:181,1),1,,"7.1- CAPRINO (CENSO)"))</f>
        <v>#N/A</v>
      </c>
      <c r="K40" s="476" t="e">
        <f>INDIRECT(ADDRESS(90,MATCH(9000000000+307,'10.1- EQUINO (CENSO)'!90:90,1),1,,"10.1- EQUINO (CENSO)"))</f>
        <v>#N/A</v>
      </c>
      <c r="L40" s="472" t="e">
        <f>INDIRECT(ADDRESS(118,MATCH(9000000000+307,'9.1- APICULTURA (CENSO)'!118:118,1),1,,"9.1- APICULTURA (CENSO)"))</f>
        <v>#N/A</v>
      </c>
      <c r="N40" s="98"/>
      <c r="V40" s="50"/>
      <c r="W40" s="50"/>
      <c r="X40" s="50"/>
      <c r="Y40" s="50"/>
      <c r="Z40" s="50"/>
    </row>
    <row r="41" ht="17.25" customHeight="1">
      <c r="B41" s="75" t="s">
        <v>10</v>
      </c>
      <c r="C41" s="76" t="e">
        <f>INDIRECT(ADDRESS(182,MATCH(9000000000+307,'5.1- BOVINO (CENSO)'!182:182,1),1,,"5.1- BOVINO (CENSO)"))</f>
        <v>#N/A</v>
      </c>
      <c r="D41" s="78" t="e">
        <f>INDIRECT(ADDRESS(498,MATCH(9000000000+307,'5.1- BOVINO (CENSO)'!498:498,1),1,,"5.1- BOVINO (CENSO)"))</f>
        <v>#N/A</v>
      </c>
      <c r="E41" s="99" t="e">
        <f>INDIRECT(ADDRESS(318,MATCH(9000000000+307,'6.1- PORCINO (CENSO)'!318:318,1),1,,"6.1- PORCINO (CENSO)"))</f>
        <v>#N/A</v>
      </c>
      <c r="F41" s="78" t="e">
        <f>INDIRECT(ADDRESS(203,MATCH(9000000000+307,'6.1- PORCINO (CENSO)'!203:203,1),1,,"6.1- PORCINO (CENSO)"))+INDIRECT(ADDRESS(249,MATCH(9000000000+307,'6.1- PORCINO (CENSO)'!249:249,1),1,,"6.1- PORCINO (CENSO)"))+INDIRECT(ADDRESS(272,MATCH(9000000000+307,'6.1- PORCINO (CENSO)'!272:272,1),1,,"6.1- PORCINO (CENSO)"))</f>
        <v>#N/A</v>
      </c>
      <c r="G41" s="99" t="e">
        <f>INDIRECT(ADDRESS(234,MATCH(9000000000+307,'8.1- OVINO (CENSO)'!234:234,1),1,,"8.1- OVINO (CENSO)"))</f>
        <v>#N/A</v>
      </c>
      <c r="H41" s="116" t="e">
        <f>INDIRECT(ADDRESS(188,MATCH(9000000000+307,'8.1- OVINO (CENSO)'!188:188,1),1,,"8.1- OVINO (CENSO)"))</f>
        <v>#N/A</v>
      </c>
      <c r="I41" s="100" t="e">
        <f>INDIRECT(ADDRESS(228,MATCH(9000000000+307,'7.1- CAPRINO (CENSO)'!228:228,1),1,,"7.1- CAPRINO (CENSO)"))</f>
        <v>#N/A</v>
      </c>
      <c r="J41" s="116" t="e">
        <f>INDIRECT(ADDRESS(182,MATCH(9000000000+307,'7.1- CAPRINO (CENSO)'!182:182,1),1,,"7.1- CAPRINO (CENSO)"))</f>
        <v>#N/A</v>
      </c>
      <c r="K41" s="476" t="e">
        <f>INDIRECT(ADDRESS(91,MATCH(9000000000+307,'10.1- EQUINO (CENSO)'!91:91,1),1,,"10.1- EQUINO (CENSO)"))</f>
        <v>#N/A</v>
      </c>
      <c r="L41" s="472" t="e">
        <f>INDIRECT(ADDRESS(119,MATCH(9000000000+307,'9.1- APICULTURA (CENSO)'!119:119,1),1,,"9.1- APICULTURA (CENSO)"))</f>
        <v>#N/A</v>
      </c>
      <c r="N41" s="98"/>
      <c r="V41" s="50"/>
      <c r="W41" s="50"/>
      <c r="X41" s="50"/>
      <c r="Y41" s="50"/>
      <c r="Z41" s="50"/>
    </row>
    <row r="42" ht="17.25" customHeight="1">
      <c r="B42" s="75" t="s">
        <v>11</v>
      </c>
      <c r="C42" s="76" t="e">
        <f>INDIRECT(ADDRESS(183,MATCH(9000000000+307,'5.1- BOVINO (CENSO)'!183:183,1),1,,"5.1- BOVINO (CENSO)"))</f>
        <v>#N/A</v>
      </c>
      <c r="D42" s="78" t="e">
        <f>INDIRECT(ADDRESS(499,MATCH(9000000000+307,'5.1- BOVINO (CENSO)'!499:499,1),1,,"5.1- BOVINO (CENSO)"))</f>
        <v>#N/A</v>
      </c>
      <c r="E42" s="99" t="e">
        <f>INDIRECT(ADDRESS(319,MATCH(9000000000+307,'6.1- PORCINO (CENSO)'!319:319,1),1,,"6.1- PORCINO (CENSO)"))</f>
        <v>#N/A</v>
      </c>
      <c r="F42" s="78" t="e">
        <f>INDIRECT(ADDRESS(204,MATCH(9000000000+307,'6.1- PORCINO (CENSO)'!204:204,1),1,,"6.1- PORCINO (CENSO)"))+INDIRECT(ADDRESS(250,MATCH(9000000000+307,'6.1- PORCINO (CENSO)'!250:250,1),1,,"6.1- PORCINO (CENSO)"))+INDIRECT(ADDRESS(273,MATCH(9000000000+307,'6.1- PORCINO (CENSO)'!273:273,1),1,,"6.1- PORCINO (CENSO)"))</f>
        <v>#N/A</v>
      </c>
      <c r="G42" s="99" t="e">
        <f>INDIRECT(ADDRESS(235,MATCH(9000000000+307,'8.1- OVINO (CENSO)'!235:235,1),1,,"8.1- OVINO (CENSO)"))</f>
        <v>#N/A</v>
      </c>
      <c r="H42" s="116" t="e">
        <f>INDIRECT(ADDRESS(189,MATCH(9000000000+307,'8.1- OVINO (CENSO)'!189:189,1),1,,"8.1- OVINO (CENSO)"))</f>
        <v>#N/A</v>
      </c>
      <c r="I42" s="100" t="e">
        <f>INDIRECT(ADDRESS(229,MATCH(9000000000+307,'7.1- CAPRINO (CENSO)'!229:229,1),1,,"7.1- CAPRINO (CENSO)"))</f>
        <v>#N/A</v>
      </c>
      <c r="J42" s="116" t="e">
        <f>INDIRECT(ADDRESS(183,MATCH(9000000000+307,'7.1- CAPRINO (CENSO)'!183:183,1),1,,"7.1- CAPRINO (CENSO)"))</f>
        <v>#N/A</v>
      </c>
      <c r="K42" s="476" t="e">
        <f>INDIRECT(ADDRESS(92,MATCH(9000000000+307,'10.1- EQUINO (CENSO)'!92:92,1),1,,"10.1- EQUINO (CENSO)"))</f>
        <v>#N/A</v>
      </c>
      <c r="L42" s="472" t="e">
        <f>INDIRECT(ADDRESS(120,MATCH(9000000000+307,'9.1- APICULTURA (CENSO)'!120:120,1),1,,"9.1- APICULTURA (CENSO)"))</f>
        <v>#N/A</v>
      </c>
      <c r="N42" s="98"/>
      <c r="V42" s="50"/>
      <c r="W42" s="50"/>
      <c r="X42" s="50"/>
      <c r="Y42" s="50"/>
      <c r="Z42" s="50"/>
    </row>
    <row r="43" ht="17.25" customHeight="1">
      <c r="B43" s="75" t="s">
        <v>12</v>
      </c>
      <c r="C43" s="76" t="e">
        <f>INDIRECT(ADDRESS(184,MATCH(9000000000+307,'5.1- BOVINO (CENSO)'!184:184,1),1,,"5.1- BOVINO (CENSO)"))</f>
        <v>#N/A</v>
      </c>
      <c r="D43" s="78" t="e">
        <f>INDIRECT(ADDRESS(500,MATCH(9000000000+307,'5.1- BOVINO (CENSO)'!500:500,1),1,,"5.1- BOVINO (CENSO)"))</f>
        <v>#N/A</v>
      </c>
      <c r="E43" s="99" t="e">
        <f>INDIRECT(ADDRESS(320,MATCH(9000000000+307,'6.1- PORCINO (CENSO)'!320:320,1),1,,"6.1- PORCINO (CENSO)"))</f>
        <v>#N/A</v>
      </c>
      <c r="F43" s="78" t="e">
        <f>INDIRECT(ADDRESS(205,MATCH(9000000000+307,'6.1- PORCINO (CENSO)'!205:205,1),1,,"6.1- PORCINO (CENSO)"))+INDIRECT(ADDRESS(251,MATCH(9000000000+307,'6.1- PORCINO (CENSO)'!251:251,1),1,,"6.1- PORCINO (CENSO)"))+INDIRECT(ADDRESS(274,MATCH(9000000000+307,'6.1- PORCINO (CENSO)'!274:274,1),1,,"6.1- PORCINO (CENSO)"))</f>
        <v>#N/A</v>
      </c>
      <c r="G43" s="99" t="e">
        <f>INDIRECT(ADDRESS(236,MATCH(9000000000+307,'8.1- OVINO (CENSO)'!236:236,1),1,,"8.1- OVINO (CENSO)"))</f>
        <v>#N/A</v>
      </c>
      <c r="H43" s="116" t="e">
        <f>INDIRECT(ADDRESS(190,MATCH(9000000000+307,'8.1- OVINO (CENSO)'!190:190,1),1,,"8.1- OVINO (CENSO)"))</f>
        <v>#N/A</v>
      </c>
      <c r="I43" s="100" t="e">
        <f>INDIRECT(ADDRESS(230,MATCH(9000000000+307,'7.1- CAPRINO (CENSO)'!230:230,1),1,,"7.1- CAPRINO (CENSO)"))</f>
        <v>#N/A</v>
      </c>
      <c r="J43" s="116" t="e">
        <f>INDIRECT(ADDRESS(184,MATCH(9000000000+307,'7.1- CAPRINO (CENSO)'!184:184,1),1,,"7.1- CAPRINO (CENSO)"))</f>
        <v>#N/A</v>
      </c>
      <c r="K43" s="476" t="e">
        <f>INDIRECT(ADDRESS(93,MATCH(9000000000+307,'10.1- EQUINO (CENSO)'!93:93,1),1,,"10.1- EQUINO (CENSO)"))</f>
        <v>#N/A</v>
      </c>
      <c r="L43" s="472" t="e">
        <f>INDIRECT(ADDRESS(121,MATCH(9000000000+307,'9.1- APICULTURA (CENSO)'!121:121,1),1,,"9.1- APICULTURA (CENSO)"))</f>
        <v>#N/A</v>
      </c>
      <c r="N43" s="98"/>
      <c r="V43" s="50"/>
      <c r="W43" s="50"/>
      <c r="X43" s="50"/>
      <c r="Y43" s="50"/>
      <c r="Z43" s="50"/>
    </row>
    <row r="44" ht="17.25" customHeight="1">
      <c r="B44" s="75" t="s">
        <v>13</v>
      </c>
      <c r="C44" s="76" t="e">
        <f>INDIRECT(ADDRESS(185,MATCH(9000000000+307,'5.1- BOVINO (CENSO)'!185:185,1),1,,"5.1- BOVINO (CENSO)"))</f>
        <v>#N/A</v>
      </c>
      <c r="D44" s="78" t="e">
        <f>INDIRECT(ADDRESS(501,MATCH(9000000000+307,'5.1- BOVINO (CENSO)'!501:501,1),1,,"5.1- BOVINO (CENSO)"))</f>
        <v>#N/A</v>
      </c>
      <c r="E44" s="99" t="e">
        <f>INDIRECT(ADDRESS(321,MATCH(9000000000+307,'6.1- PORCINO (CENSO)'!321:321,1),1,,"6.1- PORCINO (CENSO)"))</f>
        <v>#N/A</v>
      </c>
      <c r="F44" s="78" t="e">
        <f>INDIRECT(ADDRESS(206,MATCH(9000000000+307,'6.1- PORCINO (CENSO)'!206:206,1),1,,"6.1- PORCINO (CENSO)"))+INDIRECT(ADDRESS(252,MATCH(9000000000+307,'6.1- PORCINO (CENSO)'!252:252,1),1,,"6.1- PORCINO (CENSO)"))+INDIRECT(ADDRESS(275,MATCH(9000000000+307,'6.1- PORCINO (CENSO)'!275:275,1),1,,"6.1- PORCINO (CENSO)"))</f>
        <v>#N/A</v>
      </c>
      <c r="G44" s="99" t="e">
        <f>INDIRECT(ADDRESS(237,MATCH(9000000000+307,'8.1- OVINO (CENSO)'!237:237,1),1,,"8.1- OVINO (CENSO)"))</f>
        <v>#N/A</v>
      </c>
      <c r="H44" s="116" t="e">
        <f>INDIRECT(ADDRESS(191,MATCH(9000000000+307,'8.1- OVINO (CENSO)'!191:191,1),1,,"8.1- OVINO (CENSO)"))</f>
        <v>#N/A</v>
      </c>
      <c r="I44" s="100" t="e">
        <f>INDIRECT(ADDRESS(231,MATCH(9000000000+307,'7.1- CAPRINO (CENSO)'!231:231,1),1,,"7.1- CAPRINO (CENSO)"))</f>
        <v>#N/A</v>
      </c>
      <c r="J44" s="116" t="e">
        <f>INDIRECT(ADDRESS(185,MATCH(9000000000+307,'7.1- CAPRINO (CENSO)'!185:185,1),1,,"7.1- CAPRINO (CENSO)"))</f>
        <v>#N/A</v>
      </c>
      <c r="K44" s="476" t="e">
        <f>INDIRECT(ADDRESS(94,MATCH(9000000000+307,'10.1- EQUINO (CENSO)'!94:94,1),1,,"10.1- EQUINO (CENSO)"))</f>
        <v>#N/A</v>
      </c>
      <c r="L44" s="472" t="e">
        <f>INDIRECT(ADDRESS(122,MATCH(9000000000+307,'9.1- APICULTURA (CENSO)'!122:122,1),1,,"9.1- APICULTURA (CENSO)"))</f>
        <v>#N/A</v>
      </c>
      <c r="N44" s="98"/>
      <c r="V44" s="50"/>
      <c r="W44" s="50"/>
      <c r="X44" s="50"/>
      <c r="Y44" s="50"/>
      <c r="Z44" s="50"/>
    </row>
    <row r="45" ht="17.25" customHeight="1">
      <c r="B45" s="75" t="s">
        <v>37</v>
      </c>
      <c r="C45" s="76" t="e">
        <f>INDIRECT(ADDRESS(186,MATCH(9000000000+307,'5.1- BOVINO (CENSO)'!186:186,1),1,,"5.1- BOVINO (CENSO)"))</f>
        <v>#N/A</v>
      </c>
      <c r="D45" s="78" t="e">
        <f>INDIRECT(ADDRESS(502,MATCH(9000000000+307,'5.1- BOVINO (CENSO)'!502:502,1),1,,"5.1- BOVINO (CENSO)"))</f>
        <v>#N/A</v>
      </c>
      <c r="E45" s="99" t="e">
        <f>INDIRECT(ADDRESS(322,MATCH(9000000000+307,'6.1- PORCINO (CENSO)'!322:322,1),1,,"6.1- PORCINO (CENSO)"))</f>
        <v>#N/A</v>
      </c>
      <c r="F45" s="78" t="e">
        <f>INDIRECT(ADDRESS(207,MATCH(9000000000+307,'6.1- PORCINO (CENSO)'!207:207,1),1,,"6.1- PORCINO (CENSO)"))+INDIRECT(ADDRESS(253,MATCH(9000000000+307,'6.1- PORCINO (CENSO)'!253:253,1),1,,"6.1- PORCINO (CENSO)"))+INDIRECT(ADDRESS(276,MATCH(9000000000+307,'6.1- PORCINO (CENSO)'!276:276,1),1,,"6.1- PORCINO (CENSO)"))</f>
        <v>#N/A</v>
      </c>
      <c r="G45" s="99" t="e">
        <f>INDIRECT(ADDRESS(238,MATCH(9000000000+307,'8.1- OVINO (CENSO)'!238:238,1),1,,"8.1- OVINO (CENSO)"))</f>
        <v>#N/A</v>
      </c>
      <c r="H45" s="116" t="e">
        <f>INDIRECT(ADDRESS(192,MATCH(9000000000+307,'8.1- OVINO (CENSO)'!192:192,1),1,,"8.1- OVINO (CENSO)"))</f>
        <v>#N/A</v>
      </c>
      <c r="I45" s="100" t="e">
        <f>INDIRECT(ADDRESS(232,MATCH(9000000000+307,'7.1- CAPRINO (CENSO)'!232:232,1),1,,"7.1- CAPRINO (CENSO)"))</f>
        <v>#N/A</v>
      </c>
      <c r="J45" s="116" t="e">
        <f>INDIRECT(ADDRESS(186,MATCH(9000000000+307,'7.1- CAPRINO (CENSO)'!186:186,1),1,,"7.1- CAPRINO (CENSO)"))</f>
        <v>#N/A</v>
      </c>
      <c r="K45" s="476" t="e">
        <f>INDIRECT(ADDRESS(95,MATCH(9000000000+307,'10.1- EQUINO (CENSO)'!95:95,1),1,,"10.1- EQUINO (CENSO)"))</f>
        <v>#N/A</v>
      </c>
      <c r="L45" s="472" t="e">
        <f>INDIRECT(ADDRESS(123,MATCH(9000000000+307,'9.1- APICULTURA (CENSO)'!123:123,1),1,,"9.1- APICULTURA (CENSO)"))</f>
        <v>#N/A</v>
      </c>
      <c r="N45" s="98"/>
      <c r="V45" s="50"/>
      <c r="W45" s="50"/>
      <c r="X45" s="50"/>
      <c r="Y45" s="50"/>
      <c r="Z45" s="50"/>
    </row>
    <row r="46" ht="17.25" customHeight="1">
      <c r="B46" s="75" t="s">
        <v>38</v>
      </c>
      <c r="C46" s="76" t="e">
        <f>INDIRECT(ADDRESS(187,MATCH(9000000000+307,'5.1- BOVINO (CENSO)'!187:187,1),1,,"5.1- BOVINO (CENSO)"))</f>
        <v>#N/A</v>
      </c>
      <c r="D46" s="78" t="e">
        <f>INDIRECT(ADDRESS(503,MATCH(9000000000+307,'5.1- BOVINO (CENSO)'!503:503,1),1,,"5.1- BOVINO (CENSO)"))</f>
        <v>#N/A</v>
      </c>
      <c r="E46" s="99" t="e">
        <f>INDIRECT(ADDRESS(323,MATCH(9000000000+307,'6.1- PORCINO (CENSO)'!323:323,1),1,,"6.1- PORCINO (CENSO)"))</f>
        <v>#N/A</v>
      </c>
      <c r="F46" s="78" t="e">
        <f>INDIRECT(ADDRESS(208,MATCH(9000000000+307,'6.1- PORCINO (CENSO)'!208:208,1),1,,"6.1- PORCINO (CENSO)"))+INDIRECT(ADDRESS(254,MATCH(9000000000+307,'6.1- PORCINO (CENSO)'!254:254,1),1,,"6.1- PORCINO (CENSO)"))+INDIRECT(ADDRESS(277,MATCH(9000000000+307,'6.1- PORCINO (CENSO)'!277:277,1),1,,"6.1- PORCINO (CENSO)"))</f>
        <v>#N/A</v>
      </c>
      <c r="G46" s="99" t="e">
        <f>INDIRECT(ADDRESS(239,MATCH(9000000000+307,'8.1- OVINO (CENSO)'!239:239,1),1,,"8.1- OVINO (CENSO)"))</f>
        <v>#N/A</v>
      </c>
      <c r="H46" s="116" t="e">
        <f>INDIRECT(ADDRESS(193,MATCH(9000000000+307,'8.1- OVINO (CENSO)'!193:193,1),1,,"8.1- OVINO (CENSO)"))</f>
        <v>#N/A</v>
      </c>
      <c r="I46" s="100" t="e">
        <f>INDIRECT(ADDRESS(233,MATCH(9000000000+307,'7.1- CAPRINO (CENSO)'!233:233,1),1,,"7.1- CAPRINO (CENSO)"))</f>
        <v>#N/A</v>
      </c>
      <c r="J46" s="116" t="e">
        <f>INDIRECT(ADDRESS(187,MATCH(9000000000+307,'7.1- CAPRINO (CENSO)'!187:187,1),1,,"7.1- CAPRINO (CENSO)"))</f>
        <v>#N/A</v>
      </c>
      <c r="K46" s="476" t="e">
        <f>INDIRECT(ADDRESS(96,MATCH(9000000000+307,'10.1- EQUINO (CENSO)'!96:96,1),1,,"10.1- EQUINO (CENSO)"))</f>
        <v>#N/A</v>
      </c>
      <c r="L46" s="472" t="e">
        <f>INDIRECT(ADDRESS(124,MATCH(9000000000+307,'9.1- APICULTURA (CENSO)'!124:124,1),1,,"9.1- APICULTURA (CENSO)"))</f>
        <v>#N/A</v>
      </c>
      <c r="N46" s="98"/>
      <c r="V46" s="50"/>
      <c r="W46" s="50"/>
      <c r="X46" s="50"/>
      <c r="Y46" s="50"/>
      <c r="Z46" s="50"/>
    </row>
    <row r="47" ht="17.25" customHeight="1">
      <c r="B47" s="75" t="s">
        <v>16</v>
      </c>
      <c r="C47" s="76" t="e">
        <f>INDIRECT(ADDRESS(188,MATCH(9000000000+307,'5.1- BOVINO (CENSO)'!188:188,1),1,,"5.1- BOVINO (CENSO)"))</f>
        <v>#N/A</v>
      </c>
      <c r="D47" s="78" t="e">
        <f>INDIRECT(ADDRESS(504,MATCH(9000000000+307,'5.1- BOVINO (CENSO)'!504:504,1),1,,"5.1- BOVINO (CENSO)"))</f>
        <v>#N/A</v>
      </c>
      <c r="E47" s="99" t="e">
        <f>INDIRECT(ADDRESS(324,MATCH(9000000000+307,'6.1- PORCINO (CENSO)'!324:324,1),1,,"6.1- PORCINO (CENSO)"))</f>
        <v>#N/A</v>
      </c>
      <c r="F47" s="78" t="e">
        <f>INDIRECT(ADDRESS(209,MATCH(9000000000+307,'6.1- PORCINO (CENSO)'!209:209,1),1,,"6.1- PORCINO (CENSO)"))+INDIRECT(ADDRESS(255,MATCH(9000000000+307,'6.1- PORCINO (CENSO)'!255:255,1),1,,"6.1- PORCINO (CENSO)"))+INDIRECT(ADDRESS(278,MATCH(9000000000+307,'6.1- PORCINO (CENSO)'!278:278,1),1,,"6.1- PORCINO (CENSO)"))</f>
        <v>#N/A</v>
      </c>
      <c r="G47" s="99" t="e">
        <f>INDIRECT(ADDRESS(240,MATCH(9000000000+307,'8.1- OVINO (CENSO)'!240:240,1),1,,"8.1- OVINO (CENSO)"))</f>
        <v>#N/A</v>
      </c>
      <c r="H47" s="116" t="e">
        <f>INDIRECT(ADDRESS(194,MATCH(9000000000+307,'8.1- OVINO (CENSO)'!194:194,1),1,,"8.1- OVINO (CENSO)"))</f>
        <v>#N/A</v>
      </c>
      <c r="I47" s="100" t="e">
        <f>INDIRECT(ADDRESS(234,MATCH(9000000000+307,'7.1- CAPRINO (CENSO)'!234:234,1),1,,"7.1- CAPRINO (CENSO)"))</f>
        <v>#N/A</v>
      </c>
      <c r="J47" s="116" t="e">
        <f>INDIRECT(ADDRESS(188,MATCH(9000000000+307,'7.1- CAPRINO (CENSO)'!188:188,1),1,,"7.1- CAPRINO (CENSO)"))</f>
        <v>#N/A</v>
      </c>
      <c r="K47" s="476" t="e">
        <f>INDIRECT(ADDRESS(97,MATCH(9000000000+307,'10.1- EQUINO (CENSO)'!97:97,1),1,,"10.1- EQUINO (CENSO)"))</f>
        <v>#N/A</v>
      </c>
      <c r="L47" s="472" t="e">
        <f>INDIRECT(ADDRESS(125,MATCH(9000000000+307,'9.1- APICULTURA (CENSO)'!125:125,1),1,,"9.1- APICULTURA (CENSO)"))</f>
        <v>#N/A</v>
      </c>
      <c r="N47" s="98"/>
      <c r="V47" s="50"/>
      <c r="W47" s="50"/>
      <c r="X47" s="50"/>
      <c r="Y47" s="50"/>
      <c r="Z47" s="50"/>
    </row>
    <row r="48" ht="17.25" customHeight="1">
      <c r="B48" s="75" t="s">
        <v>17</v>
      </c>
      <c r="C48" s="76" t="e">
        <f>INDIRECT(ADDRESS(189,MATCH(9000000000+307,'5.1- BOVINO (CENSO)'!189:189,1),1,,"5.1- BOVINO (CENSO)"))</f>
        <v>#N/A</v>
      </c>
      <c r="D48" s="78" t="e">
        <f>INDIRECT(ADDRESS(505,MATCH(9000000000+307,'5.1- BOVINO (CENSO)'!505:505,1),1,,"5.1- BOVINO (CENSO)"))</f>
        <v>#N/A</v>
      </c>
      <c r="E48" s="99" t="e">
        <f>INDIRECT(ADDRESS(325,MATCH(9000000000+307,'6.1- PORCINO (CENSO)'!325:325,1),1,,"6.1- PORCINO (CENSO)"))</f>
        <v>#N/A</v>
      </c>
      <c r="F48" s="78" t="e">
        <f>INDIRECT(ADDRESS(210,MATCH(9000000000+307,'6.1- PORCINO (CENSO)'!210:210,1),1,,"6.1- PORCINO (CENSO)"))+INDIRECT(ADDRESS(256,MATCH(9000000000+307,'6.1- PORCINO (CENSO)'!256:256,1),1,,"6.1- PORCINO (CENSO)"))+INDIRECT(ADDRESS(279,MATCH(9000000000+307,'6.1- PORCINO (CENSO)'!279:279,1),1,,"6.1- PORCINO (CENSO)"))</f>
        <v>#N/A</v>
      </c>
      <c r="G48" s="99" t="e">
        <f>INDIRECT(ADDRESS(241,MATCH(9000000000+307,'8.1- OVINO (CENSO)'!241:241,1),1,,"8.1- OVINO (CENSO)"))</f>
        <v>#N/A</v>
      </c>
      <c r="H48" s="116" t="e">
        <f>INDIRECT(ADDRESS(195,MATCH(9000000000+307,'8.1- OVINO (CENSO)'!195:195,1),1,,"8.1- OVINO (CENSO)"))</f>
        <v>#N/A</v>
      </c>
      <c r="I48" s="100" t="e">
        <f>INDIRECT(ADDRESS(235,MATCH(9000000000+307,'7.1- CAPRINO (CENSO)'!235:235,1),1,,"7.1- CAPRINO (CENSO)"))</f>
        <v>#N/A</v>
      </c>
      <c r="J48" s="116" t="e">
        <f>INDIRECT(ADDRESS(189,MATCH(9000000000+307,'7.1- CAPRINO (CENSO)'!189:189,1),1,,"7.1- CAPRINO (CENSO)"))</f>
        <v>#N/A</v>
      </c>
      <c r="K48" s="476" t="e">
        <f>INDIRECT(ADDRESS(98,MATCH(9000000000+307,'10.1- EQUINO (CENSO)'!98:98,1),1,,"10.1- EQUINO (CENSO)"))</f>
        <v>#N/A</v>
      </c>
      <c r="L48" s="472" t="e">
        <f>INDIRECT(ADDRESS(126,MATCH(9000000000+307,'9.1- APICULTURA (CENSO)'!126:126,1),1,,"9.1- APICULTURA (CENSO)"))</f>
        <v>#N/A</v>
      </c>
      <c r="N48" s="98"/>
      <c r="V48" s="50"/>
      <c r="W48" s="50"/>
      <c r="X48" s="50"/>
      <c r="Y48" s="50"/>
      <c r="Z48" s="50"/>
    </row>
    <row r="49" ht="17.25" customHeight="1">
      <c r="B49" s="75" t="s">
        <v>18</v>
      </c>
      <c r="C49" s="76" t="e">
        <f>INDIRECT(ADDRESS(190,MATCH(9000000000+307,'5.1- BOVINO (CENSO)'!190:190,1),1,,"5.1- BOVINO (CENSO)"))</f>
        <v>#N/A</v>
      </c>
      <c r="D49" s="78" t="e">
        <f>INDIRECT(ADDRESS(506,MATCH(9000000000+307,'5.1- BOVINO (CENSO)'!506:506,1),1,,"5.1- BOVINO (CENSO)"))</f>
        <v>#N/A</v>
      </c>
      <c r="E49" s="99" t="e">
        <f>INDIRECT(ADDRESS(326,MATCH(9000000000+307,'6.1- PORCINO (CENSO)'!326:326,1),1,,"6.1- PORCINO (CENSO)"))</f>
        <v>#N/A</v>
      </c>
      <c r="F49" s="78" t="e">
        <f>INDIRECT(ADDRESS(211,MATCH(9000000000+307,'6.1- PORCINO (CENSO)'!211:211,1),1,,"6.1- PORCINO (CENSO)"))+INDIRECT(ADDRESS(257,MATCH(9000000000+307,'6.1- PORCINO (CENSO)'!257:257,1),1,,"6.1- PORCINO (CENSO)"))+INDIRECT(ADDRESS(280,MATCH(9000000000+307,'6.1- PORCINO (CENSO)'!280:280,1),1,,"6.1- PORCINO (CENSO)"))</f>
        <v>#N/A</v>
      </c>
      <c r="G49" s="99" t="e">
        <f>INDIRECT(ADDRESS(242,MATCH(9000000000+307,'8.1- OVINO (CENSO)'!242:242,1),1,,"8.1- OVINO (CENSO)"))</f>
        <v>#N/A</v>
      </c>
      <c r="H49" s="116" t="e">
        <f>INDIRECT(ADDRESS(196,MATCH(9000000000+307,'8.1- OVINO (CENSO)'!196:196,1),1,,"8.1- OVINO (CENSO)"))</f>
        <v>#N/A</v>
      </c>
      <c r="I49" s="100" t="e">
        <f>INDIRECT(ADDRESS(236,MATCH(9000000000+307,'7.1- CAPRINO (CENSO)'!236:236,1),1,,"7.1- CAPRINO (CENSO)"))</f>
        <v>#N/A</v>
      </c>
      <c r="J49" s="116" t="e">
        <f>INDIRECT(ADDRESS(190,MATCH(9000000000+307,'7.1- CAPRINO (CENSO)'!190:190,1),1,,"7.1- CAPRINO (CENSO)"))</f>
        <v>#N/A</v>
      </c>
      <c r="K49" s="476" t="e">
        <f>INDIRECT(ADDRESS(99,MATCH(9000000000+307,'10.1- EQUINO (CENSO)'!99:99,1),1,,"10.1- EQUINO (CENSO)"))</f>
        <v>#N/A</v>
      </c>
      <c r="L49" s="472" t="e">
        <f>INDIRECT(ADDRESS(127,MATCH(9000000000+307,'9.1- APICULTURA (CENSO)'!127:127,1),1,,"9.1- APICULTURA (CENSO)"))</f>
        <v>#N/A</v>
      </c>
      <c r="N49" s="98"/>
      <c r="V49" s="50"/>
      <c r="W49" s="50"/>
      <c r="X49" s="50"/>
      <c r="Y49" s="50"/>
      <c r="Z49" s="50"/>
    </row>
    <row r="50" ht="17.25" customHeight="1">
      <c r="B50" s="75" t="s">
        <v>19</v>
      </c>
      <c r="C50" s="76" t="e">
        <f>INDIRECT(ADDRESS(191,MATCH(9000000000+307,'5.1- BOVINO (CENSO)'!191:191,1),1,,"5.1- BOVINO (CENSO)"))</f>
        <v>#N/A</v>
      </c>
      <c r="D50" s="78" t="e">
        <f>INDIRECT(ADDRESS(507,MATCH(9000000000+307,'5.1- BOVINO (CENSO)'!507:507,1),1,,"5.1- BOVINO (CENSO)"))</f>
        <v>#N/A</v>
      </c>
      <c r="E50" s="99" t="e">
        <f>INDIRECT(ADDRESS(327,MATCH(9000000000+307,'6.1- PORCINO (CENSO)'!327:327,1),1,,"6.1- PORCINO (CENSO)"))</f>
        <v>#N/A</v>
      </c>
      <c r="F50" s="78" t="e">
        <f>INDIRECT(ADDRESS(212,MATCH(9000000000+307,'6.1- PORCINO (CENSO)'!212:212,1),1,,"6.1- PORCINO (CENSO)"))+INDIRECT(ADDRESS(258,MATCH(9000000000+307,'6.1- PORCINO (CENSO)'!258:258,1),1,,"6.1- PORCINO (CENSO)"))+INDIRECT(ADDRESS(281,MATCH(9000000000+307,'6.1- PORCINO (CENSO)'!281:281,1),1,,"6.1- PORCINO (CENSO)"))</f>
        <v>#N/A</v>
      </c>
      <c r="G50" s="99" t="e">
        <f>INDIRECT(ADDRESS(243,MATCH(9000000000+307,'8.1- OVINO (CENSO)'!243:243,1),1,,"8.1- OVINO (CENSO)"))</f>
        <v>#N/A</v>
      </c>
      <c r="H50" s="116" t="e">
        <f>INDIRECT(ADDRESS(197,MATCH(9000000000+307,'8.1- OVINO (CENSO)'!197:197,1),1,,"8.1- OVINO (CENSO)"))</f>
        <v>#N/A</v>
      </c>
      <c r="I50" s="100" t="e">
        <f>INDIRECT(ADDRESS(237,MATCH(9000000000+307,'7.1- CAPRINO (CENSO)'!237:237,1),1,,"7.1- CAPRINO (CENSO)"))</f>
        <v>#N/A</v>
      </c>
      <c r="J50" s="116" t="e">
        <f>INDIRECT(ADDRESS(191,MATCH(9000000000+307,'7.1- CAPRINO (CENSO)'!191:191,1),1,,"7.1- CAPRINO (CENSO)"))</f>
        <v>#N/A</v>
      </c>
      <c r="K50" s="476" t="e">
        <f>INDIRECT(ADDRESS(100,MATCH(9000000000+307,'10.1- EQUINO (CENSO)'!100:100,1),1,,"10.1- EQUINO (CENSO)"))</f>
        <v>#N/A</v>
      </c>
      <c r="L50" s="472" t="e">
        <f>INDIRECT(ADDRESS(128,MATCH(9000000000+307,'9.1- APICULTURA (CENSO)'!128:128,1),1,,"9.1- APICULTURA (CENSO)"))</f>
        <v>#N/A</v>
      </c>
      <c r="N50" s="98"/>
      <c r="V50" s="50"/>
      <c r="W50" s="50"/>
      <c r="X50" s="50"/>
      <c r="Y50" s="50"/>
      <c r="Z50" s="50"/>
    </row>
    <row r="51" ht="17.25" customHeight="1">
      <c r="B51" s="75" t="s">
        <v>20</v>
      </c>
      <c r="C51" s="76" t="e">
        <f>INDIRECT(ADDRESS(192,MATCH(9000000000+307,'5.1- BOVINO (CENSO)'!192:192,1),1,,"5.1- BOVINO (CENSO)"))</f>
        <v>#N/A</v>
      </c>
      <c r="D51" s="78" t="e">
        <f>INDIRECT(ADDRESS(508,MATCH(9000000000+307,'5.1- BOVINO (CENSO)'!508:508,1),1,,"5.1- BOVINO (CENSO)"))</f>
        <v>#N/A</v>
      </c>
      <c r="E51" s="99" t="e">
        <f>INDIRECT(ADDRESS(328,MATCH(9000000000+307,'6.1- PORCINO (CENSO)'!328:328,1),1,,"6.1- PORCINO (CENSO)"))</f>
        <v>#N/A</v>
      </c>
      <c r="F51" s="78" t="e">
        <f>INDIRECT(ADDRESS(213,MATCH(9000000000+307,'6.1- PORCINO (CENSO)'!213:213,1),1,,"6.1- PORCINO (CENSO)"))+INDIRECT(ADDRESS(259,MATCH(9000000000+307,'6.1- PORCINO (CENSO)'!259:259,1),1,,"6.1- PORCINO (CENSO)"))+INDIRECT(ADDRESS(282,MATCH(9000000000+307,'6.1- PORCINO (CENSO)'!282:282,1),1,,"6.1- PORCINO (CENSO)"))</f>
        <v>#N/A</v>
      </c>
      <c r="G51" s="99" t="e">
        <f>INDIRECT(ADDRESS(244,MATCH(9000000000+307,'8.1- OVINO (CENSO)'!244:244,1),1,,"8.1- OVINO (CENSO)"))</f>
        <v>#N/A</v>
      </c>
      <c r="H51" s="116" t="e">
        <f>INDIRECT(ADDRESS(198,MATCH(9000000000+307,'8.1- OVINO (CENSO)'!198:198,1),1,,"8.1- OVINO (CENSO)"))</f>
        <v>#N/A</v>
      </c>
      <c r="I51" s="100" t="e">
        <f>INDIRECT(ADDRESS(238,MATCH(9000000000+307,'7.1- CAPRINO (CENSO)'!238:238,1),1,,"7.1- CAPRINO (CENSO)"))</f>
        <v>#N/A</v>
      </c>
      <c r="J51" s="116" t="e">
        <f>INDIRECT(ADDRESS(192,MATCH(9000000000+307,'7.1- CAPRINO (CENSO)'!192:192,1),1,,"7.1- CAPRINO (CENSO)"))</f>
        <v>#N/A</v>
      </c>
      <c r="K51" s="476" t="e">
        <f>INDIRECT(ADDRESS(101,MATCH(9000000000+307,'10.1- EQUINO (CENSO)'!101:101,1),1,,"10.1- EQUINO (CENSO)"))</f>
        <v>#N/A</v>
      </c>
      <c r="L51" s="472" t="e">
        <f>INDIRECT(ADDRESS(129,MATCH(9000000000+307,'9.1- APICULTURA (CENSO)'!129:129,1),1,,"9.1- APICULTURA (CENSO)"))</f>
        <v>#N/A</v>
      </c>
      <c r="N51" s="98"/>
      <c r="V51" s="50"/>
      <c r="W51" s="50"/>
      <c r="X51" s="50"/>
      <c r="Y51" s="50"/>
      <c r="Z51" s="50"/>
    </row>
    <row r="52" ht="17.25" customHeight="1">
      <c r="B52" s="75" t="s">
        <v>21</v>
      </c>
      <c r="C52" s="76" t="e">
        <f>INDIRECT(ADDRESS(193,MATCH(9000000000+307,'5.1- BOVINO (CENSO)'!193:193,1),1,,"5.1- BOVINO (CENSO)"))</f>
        <v>#N/A</v>
      </c>
      <c r="D52" s="78" t="e">
        <f>INDIRECT(ADDRESS(509,MATCH(9000000000+307,'5.1- BOVINO (CENSO)'!509:509,1),1,,"5.1- BOVINO (CENSO)"))</f>
        <v>#N/A</v>
      </c>
      <c r="E52" s="99" t="e">
        <f>INDIRECT(ADDRESS(329,MATCH(9000000000+307,'6.1- PORCINO (CENSO)'!329:329,1),1,,"6.1- PORCINO (CENSO)"))</f>
        <v>#N/A</v>
      </c>
      <c r="F52" s="78" t="e">
        <f>INDIRECT(ADDRESS(214,MATCH(9000000000+307,'6.1- PORCINO (CENSO)'!214:214,1),1,,"6.1- PORCINO (CENSO)"))+INDIRECT(ADDRESS(260,MATCH(9000000000+307,'6.1- PORCINO (CENSO)'!260:260,1),1,,"6.1- PORCINO (CENSO)"))+INDIRECT(ADDRESS(283,MATCH(9000000000+307,'6.1- PORCINO (CENSO)'!283:283,1),1,,"6.1- PORCINO (CENSO)"))</f>
        <v>#N/A</v>
      </c>
      <c r="G52" s="99" t="e">
        <f>INDIRECT(ADDRESS(245,MATCH(9000000000+307,'8.1- OVINO (CENSO)'!245:245,1),1,,"8.1- OVINO (CENSO)"))</f>
        <v>#N/A</v>
      </c>
      <c r="H52" s="116" t="e">
        <f>INDIRECT(ADDRESS(199,MATCH(9000000000+307,'8.1- OVINO (CENSO)'!199:199,1),1,,"8.1- OVINO (CENSO)"))</f>
        <v>#N/A</v>
      </c>
      <c r="I52" s="100" t="e">
        <f>INDIRECT(ADDRESS(239,MATCH(9000000000+307,'7.1- CAPRINO (CENSO)'!239:239,1),1,,"7.1- CAPRINO (CENSO)"))</f>
        <v>#N/A</v>
      </c>
      <c r="J52" s="116" t="e">
        <f>INDIRECT(ADDRESS(193,MATCH(9000000000+307,'7.1- CAPRINO (CENSO)'!193:193,1),1,,"7.1- CAPRINO (CENSO)"))</f>
        <v>#N/A</v>
      </c>
      <c r="K52" s="476" t="e">
        <f>INDIRECT(ADDRESS(102,MATCH(9000000000+307,'10.1- EQUINO (CENSO)'!102:102,1),1,,"10.1- EQUINO (CENSO)"))</f>
        <v>#N/A</v>
      </c>
      <c r="L52" s="472" t="e">
        <f>INDIRECT(ADDRESS(130,MATCH(9000000000+307,'9.1- APICULTURA (CENSO)'!130:130,1),1,,"9.1- APICULTURA (CENSO)"))</f>
        <v>#N/A</v>
      </c>
      <c r="N52" s="98"/>
      <c r="V52" s="50"/>
      <c r="W52" s="50"/>
      <c r="X52" s="50"/>
      <c r="Y52" s="50"/>
      <c r="Z52" s="50"/>
    </row>
    <row r="53" ht="17.25" customHeight="1">
      <c r="B53" s="75" t="s">
        <v>22</v>
      </c>
      <c r="C53" s="76" t="e">
        <f>INDIRECT(ADDRESS(194,MATCH(9000000000+307,'5.1- BOVINO (CENSO)'!194:194,1),1,,"5.1- BOVINO (CENSO)"))</f>
        <v>#N/A</v>
      </c>
      <c r="D53" s="78" t="e">
        <f>INDIRECT(ADDRESS(510,MATCH(9000000000+307,'5.1- BOVINO (CENSO)'!510:510,1),1,,"5.1- BOVINO (CENSO)"))</f>
        <v>#N/A</v>
      </c>
      <c r="E53" s="99" t="e">
        <f>INDIRECT(ADDRESS(330,MATCH(9000000000+307,'6.1- PORCINO (CENSO)'!330:330,1),1,,"6.1- PORCINO (CENSO)"))</f>
        <v>#N/A</v>
      </c>
      <c r="F53" s="78" t="e">
        <f>INDIRECT(ADDRESS(215,MATCH(9000000000+307,'6.1- PORCINO (CENSO)'!215:215,1),1,,"6.1- PORCINO (CENSO)"))+INDIRECT(ADDRESS(261,MATCH(9000000000+307,'6.1- PORCINO (CENSO)'!261:261,1),1,,"6.1- PORCINO (CENSO)"))+INDIRECT(ADDRESS(284,MATCH(9000000000+307,'6.1- PORCINO (CENSO)'!284:284,1),1,,"6.1- PORCINO (CENSO)"))</f>
        <v>#N/A</v>
      </c>
      <c r="G53" s="99" t="e">
        <f>INDIRECT(ADDRESS(246,MATCH(9000000000+307,'8.1- OVINO (CENSO)'!246:246,1),1,,"8.1- OVINO (CENSO)"))</f>
        <v>#N/A</v>
      </c>
      <c r="H53" s="116" t="e">
        <f>INDIRECT(ADDRESS(200,MATCH(9000000000+307,'8.1- OVINO (CENSO)'!200:200,1),1,,"8.1- OVINO (CENSO)"))</f>
        <v>#N/A</v>
      </c>
      <c r="I53" s="100" t="e">
        <f>INDIRECT(ADDRESS(240,MATCH(9000000000+307,'7.1- CAPRINO (CENSO)'!240:240,1),1,,"7.1- CAPRINO (CENSO)"))</f>
        <v>#N/A</v>
      </c>
      <c r="J53" s="116" t="e">
        <f>INDIRECT(ADDRESS(194,MATCH(9000000000+307,'7.1- CAPRINO (CENSO)'!194:194,1),1,,"7.1- CAPRINO (CENSO)"))</f>
        <v>#N/A</v>
      </c>
      <c r="K53" s="476" t="e">
        <f>INDIRECT(ADDRESS(103,MATCH(9000000000+307,'10.1- EQUINO (CENSO)'!103:103,1),1,,"10.1- EQUINO (CENSO)"))</f>
        <v>#N/A</v>
      </c>
      <c r="L53" s="472" t="e">
        <f>INDIRECT(ADDRESS(131,MATCH(9000000000+307,'9.1- APICULTURA (CENSO)'!131:131,1),1,,"9.1- APICULTURA (CENSO)"))</f>
        <v>#N/A</v>
      </c>
      <c r="N53" s="98"/>
      <c r="V53" s="50"/>
      <c r="W53" s="50"/>
      <c r="X53" s="50"/>
      <c r="Y53" s="50"/>
      <c r="Z53" s="50"/>
    </row>
    <row r="54" ht="17.25" customHeight="1">
      <c r="B54" s="75" t="s">
        <v>23</v>
      </c>
      <c r="C54" s="76" t="e">
        <f>INDIRECT(ADDRESS(195,MATCH(9000000000+307,'5.1- BOVINO (CENSO)'!195:195,1),1,,"5.1- BOVINO (CENSO)"))</f>
        <v>#N/A</v>
      </c>
      <c r="D54" s="78" t="e">
        <f>INDIRECT(ADDRESS(511,MATCH(9000000000+307,'5.1- BOVINO (CENSO)'!511:511,1),1,,"5.1- BOVINO (CENSO)"))</f>
        <v>#N/A</v>
      </c>
      <c r="E54" s="99" t="e">
        <f>INDIRECT(ADDRESS(331,MATCH(9000000000+307,'6.1- PORCINO (CENSO)'!331:331,1),1,,"6.1- PORCINO (CENSO)"))</f>
        <v>#N/A</v>
      </c>
      <c r="F54" s="78" t="e">
        <f>INDIRECT(ADDRESS(216,MATCH(9000000000+307,'6.1- PORCINO (CENSO)'!216:216,1),1,,"6.1- PORCINO (CENSO)"))+INDIRECT(ADDRESS(262,MATCH(9000000000+307,'6.1- PORCINO (CENSO)'!262:262,1),1,,"6.1- PORCINO (CENSO)"))+INDIRECT(ADDRESS(285,MATCH(9000000000+307,'6.1- PORCINO (CENSO)'!285:285,1),1,,"6.1- PORCINO (CENSO)"))</f>
        <v>#N/A</v>
      </c>
      <c r="G54" s="99" t="e">
        <f>INDIRECT(ADDRESS(247,MATCH(9000000000+307,'8.1- OVINO (CENSO)'!247:247,1),1,,"8.1- OVINO (CENSO)"))</f>
        <v>#N/A</v>
      </c>
      <c r="H54" s="116" t="e">
        <f>INDIRECT(ADDRESS(201,MATCH(9000000000+307,'8.1- OVINO (CENSO)'!201:201,1),1,,"8.1- OVINO (CENSO)"))</f>
        <v>#N/A</v>
      </c>
      <c r="I54" s="100" t="e">
        <f>INDIRECT(ADDRESS(241,MATCH(9000000000+307,'7.1- CAPRINO (CENSO)'!241:241,1),1,,"7.1- CAPRINO (CENSO)"))</f>
        <v>#N/A</v>
      </c>
      <c r="J54" s="116" t="e">
        <f>INDIRECT(ADDRESS(195,MATCH(9000000000+307,'7.1- CAPRINO (CENSO)'!195:195,1),1,,"7.1- CAPRINO (CENSO)"))</f>
        <v>#N/A</v>
      </c>
      <c r="K54" s="476" t="e">
        <f>INDIRECT(ADDRESS(104,MATCH(9000000000+307,'10.1- EQUINO (CENSO)'!104:104,1),1,,"10.1- EQUINO (CENSO)"))</f>
        <v>#N/A</v>
      </c>
      <c r="L54" s="472" t="e">
        <f>INDIRECT(ADDRESS(132,MATCH(9000000000+307,'9.1- APICULTURA (CENSO)'!132:132,1),1,,"9.1- APICULTURA (CENSO)"))</f>
        <v>#N/A</v>
      </c>
      <c r="N54" s="98"/>
      <c r="V54" s="50"/>
      <c r="W54" s="50"/>
      <c r="X54" s="50"/>
      <c r="Y54" s="50"/>
      <c r="Z54" s="50"/>
    </row>
    <row r="55" ht="17.25" customHeight="1">
      <c r="B55" s="75" t="s">
        <v>24</v>
      </c>
      <c r="C55" s="76" t="e">
        <f>INDIRECT(ADDRESS(196,MATCH(9000000000+307,'5.1- BOVINO (CENSO)'!196:196,1),1,,"5.1- BOVINO (CENSO)"))</f>
        <v>#N/A</v>
      </c>
      <c r="D55" s="78" t="e">
        <f>INDIRECT(ADDRESS(512,MATCH(9000000000+307,'5.1- BOVINO (CENSO)'!512:512,1),1,,"5.1- BOVINO (CENSO)"))</f>
        <v>#N/A</v>
      </c>
      <c r="E55" s="99" t="e">
        <f>INDIRECT(ADDRESS(332,MATCH(9000000000+307,'6.1- PORCINO (CENSO)'!332:332,1),1,,"6.1- PORCINO (CENSO)"))</f>
        <v>#N/A</v>
      </c>
      <c r="F55" s="78" t="e">
        <f>INDIRECT(ADDRESS(217,MATCH(9000000000+307,'6.1- PORCINO (CENSO)'!217:217,1),1,,"6.1- PORCINO (CENSO)"))+INDIRECT(ADDRESS(263,MATCH(9000000000+307,'6.1- PORCINO (CENSO)'!263:263,1),1,,"6.1- PORCINO (CENSO)"))+INDIRECT(ADDRESS(286,MATCH(9000000000+307,'6.1- PORCINO (CENSO)'!286:286,1),1,,"6.1- PORCINO (CENSO)"))</f>
        <v>#N/A</v>
      </c>
      <c r="G55" s="99" t="e">
        <f>INDIRECT(ADDRESS(248,MATCH(9000000000+307,'8.1- OVINO (CENSO)'!248:248,1),1,,"8.1- OVINO (CENSO)"))</f>
        <v>#N/A</v>
      </c>
      <c r="H55" s="116" t="e">
        <f>INDIRECT(ADDRESS(202,MATCH(9000000000+307,'8.1- OVINO (CENSO)'!202:202,1),1,,"8.1- OVINO (CENSO)"))</f>
        <v>#N/A</v>
      </c>
      <c r="I55" s="100" t="e">
        <f>INDIRECT(ADDRESS(242,MATCH(9000000000+307,'7.1- CAPRINO (CENSO)'!242:242,1),1,,"7.1- CAPRINO (CENSO)"))</f>
        <v>#N/A</v>
      </c>
      <c r="J55" s="116" t="e">
        <f>INDIRECT(ADDRESS(196,MATCH(9000000000+307,'7.1- CAPRINO (CENSO)'!196:196,1),1,,"7.1- CAPRINO (CENSO)"))</f>
        <v>#N/A</v>
      </c>
      <c r="K55" s="476" t="e">
        <f>INDIRECT(ADDRESS(105,MATCH(9000000000+307,'10.1- EQUINO (CENSO)'!105:105,1),1,,"10.1- EQUINO (CENSO)"))</f>
        <v>#N/A</v>
      </c>
      <c r="L55" s="472" t="e">
        <f>INDIRECT(ADDRESS(133,MATCH(9000000000+307,'9.1- APICULTURA (CENSO)'!133:133,1),1,,"9.1- APICULTURA (CENSO)"))</f>
        <v>#N/A</v>
      </c>
      <c r="N55" s="98"/>
      <c r="V55" s="50"/>
      <c r="W55" s="50"/>
      <c r="X55" s="50"/>
      <c r="Y55" s="50"/>
      <c r="Z55" s="50"/>
    </row>
    <row r="56" ht="17.25" customHeight="1">
      <c r="B56" s="75" t="s">
        <v>25</v>
      </c>
      <c r="C56" s="76" t="e">
        <f>INDIRECT(ADDRESS(197,MATCH(9000000000+307,'5.1- BOVINO (CENSO)'!197:197,1),1,,"5.1- BOVINO (CENSO)"))</f>
        <v>#N/A</v>
      </c>
      <c r="D56" s="78" t="e">
        <f>INDIRECT(ADDRESS(513,MATCH(9000000000+307,'5.1- BOVINO (CENSO)'!513:513,1),1,,"5.1- BOVINO (CENSO)"))</f>
        <v>#N/A</v>
      </c>
      <c r="E56" s="99" t="e">
        <f>INDIRECT(ADDRESS(333,MATCH(9000000000+307,'6.1- PORCINO (CENSO)'!333:333,1),1,,"6.1- PORCINO (CENSO)"))</f>
        <v>#N/A</v>
      </c>
      <c r="F56" s="78" t="e">
        <f>INDIRECT(ADDRESS(218,MATCH(9000000000+307,'6.1- PORCINO (CENSO)'!218:218,1),1,,"6.1- PORCINO (CENSO)"))+INDIRECT(ADDRESS(264,MATCH(9000000000+307,'6.1- PORCINO (CENSO)'!264:264,1),1,,"6.1- PORCINO (CENSO)"))+INDIRECT(ADDRESS(287,MATCH(9000000000+307,'6.1- PORCINO (CENSO)'!287:287,1),1,,"6.1- PORCINO (CENSO)"))</f>
        <v>#N/A</v>
      </c>
      <c r="G56" s="99" t="e">
        <f>INDIRECT(ADDRESS(249,MATCH(9000000000+307,'8.1- OVINO (CENSO)'!249:249,1),1,,"8.1- OVINO (CENSO)"))</f>
        <v>#N/A</v>
      </c>
      <c r="H56" s="116" t="e">
        <f>INDIRECT(ADDRESS(203,MATCH(9000000000+307,'8.1- OVINO (CENSO)'!203:203,1),1,,"8.1- OVINO (CENSO)"))</f>
        <v>#N/A</v>
      </c>
      <c r="I56" s="100" t="e">
        <f>INDIRECT(ADDRESS(243,MATCH(9000000000+307,'7.1- CAPRINO (CENSO)'!243:243,1),1,,"7.1- CAPRINO (CENSO)"))</f>
        <v>#N/A</v>
      </c>
      <c r="J56" s="116" t="e">
        <f>INDIRECT(ADDRESS(197,MATCH(9000000000+307,'7.1- CAPRINO (CENSO)'!197:197,1),1,,"7.1- CAPRINO (CENSO)"))</f>
        <v>#N/A</v>
      </c>
      <c r="K56" s="476" t="e">
        <f>INDIRECT(ADDRESS(106,MATCH(9000000000+307,'10.1- EQUINO (CENSO)'!106:106,1),1,,"10.1- EQUINO (CENSO)"))</f>
        <v>#N/A</v>
      </c>
      <c r="L56" s="472" t="e">
        <f>INDIRECT(ADDRESS(134,MATCH(9000000000+307,'9.1- APICULTURA (CENSO)'!134:134,1),1,,"9.1- APICULTURA (CENSO)"))</f>
        <v>#N/A</v>
      </c>
      <c r="N56" s="98"/>
      <c r="V56" s="50"/>
      <c r="W56" s="50"/>
      <c r="X56" s="50"/>
      <c r="Y56" s="50"/>
      <c r="Z56" s="50"/>
    </row>
    <row r="57" ht="17.25" customHeight="1">
      <c r="B57" s="80" t="s">
        <v>26</v>
      </c>
      <c r="C57" s="81" t="e">
        <f>INDIRECT(ADDRESS(198,MATCH(9000000000+307,'5.1- BOVINO (CENSO)'!198:198,1),1,,"5.1- BOVINO (CENSO)"))</f>
        <v>#N/A</v>
      </c>
      <c r="D57" s="83" t="e">
        <f>INDIRECT(ADDRESS(514,MATCH(9000000000+307,'5.1- BOVINO (CENSO)'!514:514,1),1,,"5.1- BOVINO (CENSO)"))</f>
        <v>#N/A</v>
      </c>
      <c r="E57" s="117" t="e">
        <f>INDIRECT(ADDRESS(334,MATCH(9000000000+307,'6.1- PORCINO (CENSO)'!334:334,1),1,,"6.1- PORCINO (CENSO)"))</f>
        <v>#N/A</v>
      </c>
      <c r="F57" s="83" t="e">
        <f>INDIRECT(ADDRESS(219,MATCH(9000000000+307,'6.1- PORCINO (CENSO)'!219:219,1),1,,"6.1- PORCINO (CENSO)"))+INDIRECT(ADDRESS(265,MATCH(9000000000+307,'6.1- PORCINO (CENSO)'!265:265,1),1,,"6.1- PORCINO (CENSO)"))+INDIRECT(ADDRESS(288,MATCH(9000000000+307,'6.1- PORCINO (CENSO)'!288:288,1),1,,"6.1- PORCINO (CENSO)"))</f>
        <v>#N/A</v>
      </c>
      <c r="G57" s="117" t="e">
        <f>INDIRECT(ADDRESS(250,MATCH(9000000000+307,'8.1- OVINO (CENSO)'!250:250,1),1,,"8.1- OVINO (CENSO)"))</f>
        <v>#N/A</v>
      </c>
      <c r="H57" s="119" t="e">
        <f>INDIRECT(ADDRESS(204,MATCH(9000000000+307,'8.1- OVINO (CENSO)'!204:204,1),1,,"8.1- OVINO (CENSO)"))</f>
        <v>#N/A</v>
      </c>
      <c r="I57" s="251" t="e">
        <f>INDIRECT(ADDRESS(244,MATCH(9000000000+307,'7.1- CAPRINO (CENSO)'!244:244,1),1,,"7.1- CAPRINO (CENSO)"))</f>
        <v>#N/A</v>
      </c>
      <c r="J57" s="119" t="e">
        <f>INDIRECT(ADDRESS(198,MATCH(9000000000+307,'7.1- CAPRINO (CENSO)'!198:198,1),1,,"7.1- CAPRINO (CENSO)"))</f>
        <v>#N/A</v>
      </c>
      <c r="K57" s="477" t="e">
        <f>INDIRECT(ADDRESS(107,MATCH(9000000000+307,'10.1- EQUINO (CENSO)'!107:107,1),1,,"10.1- EQUINO (CENSO)"))</f>
        <v>#N/A</v>
      </c>
      <c r="L57" s="473" t="e">
        <f>INDIRECT(ADDRESS(135,MATCH(9000000000+307,'9.1- APICULTURA (CENSO)'!135:135,1),1,,"9.1- APICULTURA (CENSO)"))</f>
        <v>#N/A</v>
      </c>
      <c r="N57" s="98"/>
      <c r="V57" s="50"/>
      <c r="W57" s="50"/>
      <c r="X57" s="50"/>
      <c r="Y57" s="50"/>
      <c r="Z57" s="50"/>
    </row>
    <row r="58" ht="17.25" customHeight="1">
      <c r="B58" s="84" t="s">
        <v>7</v>
      </c>
      <c r="C58" s="88" t="e">
        <f ref="C58:L58" t="shared" si="2" ca="1">SUM(C39:C57)</f>
        <v>#N/A</v>
      </c>
      <c r="D58" s="101" t="e">
        <f t="shared" si="2" ca="1"/>
        <v>#N/A</v>
      </c>
      <c r="E58" s="102" t="e">
        <f t="shared" si="2" ca="1"/>
        <v>#N/A</v>
      </c>
      <c r="F58" s="103" t="e">
        <f t="shared" si="2" ca="1"/>
        <v>#N/A</v>
      </c>
      <c r="G58" s="104" t="e">
        <f t="shared" si="2" ca="1"/>
        <v>#N/A</v>
      </c>
      <c r="H58" s="105" t="e">
        <f t="shared" si="2" ca="1"/>
        <v>#N/A</v>
      </c>
      <c r="I58" s="106" t="e">
        <f t="shared" si="2" ca="1"/>
        <v>#N/A</v>
      </c>
      <c r="J58" s="105" t="e">
        <f t="shared" si="2" ca="1"/>
        <v>#N/A</v>
      </c>
      <c r="K58" s="107" t="e">
        <f t="shared" si="2" ca="1"/>
        <v>#N/A</v>
      </c>
      <c r="L58" s="107" t="e">
        <f t="shared" si="2" ca="1"/>
        <v>#N/A</v>
      </c>
      <c r="V58" s="50"/>
    </row>
    <row r="59">
      <c r="B59" s="51" t="s">
        <v>39</v>
      </c>
      <c r="V59" s="50"/>
    </row>
    <row r="60">
      <c r="C60" s="98"/>
      <c r="V60" s="50"/>
    </row>
    <row r="61" ht="13.5">
      <c r="L61" s="98"/>
      <c r="R61" s="57"/>
      <c r="S61" s="57"/>
      <c r="T61" s="57"/>
      <c r="V61" s="50"/>
    </row>
    <row r="62" ht="16.5" customHeight="1">
      <c r="B62" s="585" t="s">
        <v>40</v>
      </c>
      <c r="C62" s="586"/>
      <c r="D62" s="586"/>
      <c r="E62" s="586"/>
      <c r="F62" s="586"/>
      <c r="G62" s="587"/>
      <c r="H62" s="98"/>
      <c r="J62" s="98"/>
      <c r="N62" s="98"/>
      <c r="O62" s="98"/>
      <c r="P62" s="98"/>
      <c r="R62" s="57"/>
      <c r="S62" s="57"/>
      <c r="T62" s="57"/>
      <c r="V62" s="50"/>
    </row>
    <row r="63" ht="13.5">
      <c r="C63" s="57"/>
      <c r="D63" s="57"/>
      <c r="E63" s="57"/>
      <c r="F63" s="57"/>
      <c r="G63" s="57"/>
      <c r="I63" s="57"/>
      <c r="J63" s="108"/>
      <c r="K63" s="57"/>
      <c r="L63" s="57"/>
      <c r="M63" s="57"/>
      <c r="N63" s="57"/>
      <c r="O63" s="57"/>
      <c r="P63" s="57"/>
      <c r="Q63" s="57"/>
      <c r="R63" s="57"/>
      <c r="S63" s="57"/>
      <c r="T63" s="57"/>
      <c r="U63" s="57"/>
      <c r="V63" s="50"/>
    </row>
    <row r="64" ht="13.5">
      <c r="B64" s="580" t="s">
        <v>4</v>
      </c>
      <c r="C64" s="588" t="s">
        <v>28</v>
      </c>
      <c r="D64" s="589"/>
      <c r="E64" s="589"/>
      <c r="F64" s="589"/>
      <c r="G64" s="590"/>
      <c r="H64" s="591" t="s">
        <v>29</v>
      </c>
      <c r="I64" s="592"/>
      <c r="J64" s="592"/>
      <c r="K64" s="593"/>
      <c r="L64" s="588" t="s">
        <v>30</v>
      </c>
      <c r="M64" s="589"/>
      <c r="N64" s="589"/>
      <c r="O64" s="589"/>
      <c r="P64" s="590"/>
      <c r="T64"/>
      <c r="U64"/>
      <c r="V64" s="50"/>
    </row>
    <row r="65" ht="13.5">
      <c r="B65" s="581"/>
      <c r="C65" s="109" t="s">
        <v>41</v>
      </c>
      <c r="D65" s="110" t="s">
        <v>42</v>
      </c>
      <c r="E65" s="110" t="s">
        <v>43</v>
      </c>
      <c r="F65" s="110" t="s">
        <v>44</v>
      </c>
      <c r="G65" s="111" t="s">
        <v>45</v>
      </c>
      <c r="H65" s="109" t="s">
        <v>46</v>
      </c>
      <c r="I65" s="110" t="s">
        <v>47</v>
      </c>
      <c r="J65" s="110" t="s">
        <v>44</v>
      </c>
      <c r="K65" s="111" t="s">
        <v>45</v>
      </c>
      <c r="L65" s="109" t="s">
        <v>41</v>
      </c>
      <c r="M65" s="110" t="s">
        <v>42</v>
      </c>
      <c r="N65" s="110" t="s">
        <v>43</v>
      </c>
      <c r="O65" s="110" t="s">
        <v>44</v>
      </c>
      <c r="P65" s="111" t="s">
        <v>45</v>
      </c>
      <c r="T65"/>
      <c r="U65"/>
      <c r="V65" s="50"/>
    </row>
    <row r="66" ht="19.5" customHeight="1">
      <c r="B66" s="70" t="s">
        <v>8</v>
      </c>
      <c r="C66" s="96" t="e">
        <f>SUM(INDIRECT(ADDRESS(158,MATCH(9000000000+307,'5.2- BOVINO (SUBEXPLOT)'!158:158,1),1,,"5.2- BOVINO (SUBEXPLOT)")),INDIRECT(ADDRESS(206,MATCH(9000000000+307,'5.2- BOVINO (SUBEXPLOT)'!206:206,1),1,,"5.2- BOVINO (SUBEXPLOT)")),INDIRECT(ADDRESS(278,MATCH(9000000000+307,'5.2- BOVINO (SUBEXPLOT)'!278:278,1),1,,"5.2- BOVINO (SUBEXPLOT)")))</f>
        <v>#N/A</v>
      </c>
      <c r="D66" s="113" t="e">
        <f>INDIRECT(ADDRESS(182,MATCH(9000000000+307,'5.2- BOVINO (SUBEXPLOT)'!182:182,1),1,,"5.2- BOVINO (SUBEXPLOT)"))</f>
        <v>#N/A</v>
      </c>
      <c r="E66" s="113" t="e">
        <f>INDIRECT(ADDRESS(230,MATCH(9000000000+307,'5.2- BOVINO (SUBEXPLOT)'!230:230,1),1,,"5.2- BOVINO (SUBEXPLOT)"))</f>
        <v>#N/A</v>
      </c>
      <c r="F66" s="114" t="e">
        <f>SUM(INDIRECT(ADDRESS(384,MATCH(9000000000+307,'5.2- BOVINO (SUBEXPLOT)'!384:384,1),1,,"5.2- BOVINO (SUBEXPLOT)")),INDIRECT(ADDRESS(302,MATCH(9000000000+307,'5.2- BOVINO (SUBEXPLOT)'!302:302,1),1,,"5.2- BOVINO (SUBEXPLOT)")))</f>
        <v>#N/A</v>
      </c>
      <c r="G66" s="479" t="e">
        <f>INDIRECT(ADDRESS(326,MATCH(9000000000+307,'5.2- BOVINO (SUBEXPLOT)'!326:326,1),1,,"5.2- BOVINO (SUBEXPLOT)"))</f>
        <v>#N/A</v>
      </c>
      <c r="H66" s="96" t="e">
        <f>SUM(INDIRECT(ADDRESS(164,MATCH(9000000000+307,'6.2- PORCINO (SUBEXPLOT)'!164:164,1),1,,"6.2- PORCINO (SUBEXPLOT)")),INDIRECT(ADDRESS(279,MATCH(9000000000+307,'6.2- PORCINO (SUBEXPLOT)'!279:279,1),1,,"6.2- PORCINO (SUBEXPLOT)")),INDIRECT(ADDRESS(302,MATCH(9000000000+307,'6.2- PORCINO (SUBEXPLOT)'!302:302,1),1,,"6.2- PORCINO (SUBEXPLOT)")),INDIRECT(ADDRESS(325,MATCH(9000000000+307,'6.2- PORCINO (SUBEXPLOT)'!325:325,1),1,,"6.2- PORCINO (SUBEXPLOT)")),INDIRECT(ADDRESS(348,MATCH(9000000000+307,'6.2- PORCINO (SUBEXPLOT)'!348:348,1),1,,"6.2- PORCINO (SUBEXPLOT)")),INDIRECT(ADDRESS(458,MATCH(9000000000+307,'6.2- PORCINO (SUBEXPLOT)'!458:458,1),1,,"6.2- PORCINO (SUBEXPLOT)")),INDIRECT(ADDRESS(481,MATCH(9000000000+307,'6.2- PORCINO (SUBEXPLOT)'!481:481,1),1,,"6.2- PORCINO (SUBEXPLOT)")))</f>
        <v>#N/A</v>
      </c>
      <c r="I66" s="113" t="e">
        <f>SUM(INDIRECT(ADDRESS(187,MATCH(9000000000+307,'6.2- PORCINO (SUBEXPLOT)'!187:187,1),1,,"6.2- PORCINO (SUBEXPLOT)")),INDIRECT(ADDRESS(210,MATCH(9000000000+307,'6.2- PORCINO (SUBEXPLOT)'!210:210,1),1,,"6.2- PORCINO (SUBEXPLOT)")),INDIRECT(ADDRESS(233,MATCH(9000000000+307,'6.2- PORCINO (SUBEXPLOT)'!233:233,1),1,,"6.2- PORCINO (SUBEXPLOT)")),INDIRECT(ADDRESS(256,MATCH(9000000000+307,'6.2- PORCINO (SUBEXPLOT)'!256:256,1),1,,"6.2- PORCINO (SUBEXPLOT)")))</f>
        <v>#N/A</v>
      </c>
      <c r="J66" s="114" t="e">
        <f>SUM(INDIRECT(ADDRESS(371,MATCH(9000000000+307,'6.2- PORCINO (SUBEXPLOT)'!371:371,1),1,,"6.2- PORCINO (SUBEXPLOT)")),INDIRECT(ADDRESS(394,MATCH(9000000000+307,'6.2- PORCINO (SUBEXPLOT)'!394:394,1),1,,"6.2- PORCINO (SUBEXPLOT)")))</f>
        <v>#N/A</v>
      </c>
      <c r="K66" s="479" t="e">
        <f>INDIRECT(ADDRESS(417,MATCH(9000000000+307,'6.2- PORCINO (SUBEXPLOT)'!417:417,1),1,,"6.2- PORCINO (SUBEXPLOT)"))</f>
        <v>#N/A</v>
      </c>
      <c r="L66" s="474" t="e">
        <f>SUM(INDIRECT(ADDRESS(120,MATCH(9000000000+307,'8.2- OVINO (SUBEXPLOT)'!120:120,1),1,,"8.2- OVINO (SUBEXPLOT)")),INDIRECT(ADDRESS(168,MATCH(9000000000+307,'8.2- OVINO (SUBEXPLOT)'!168:168,1),1,,"8.2- OVINO (SUBEXPLOT)")))</f>
        <v>#N/A</v>
      </c>
      <c r="M66" s="113" t="e">
        <f>INDIRECT(ADDRESS(144,MATCH(9000000000+307,'8.2- OVINO (SUBEXPLOT)'!144:144,1),1,,"8.2- OVINO (SUBEXPLOT)"))</f>
        <v>#N/A</v>
      </c>
      <c r="N66" s="113" t="e">
        <f>INDIRECT(ADDRESS(192,MATCH(9000000000+307,'8.2- OVINO (SUBEXPLOT)'!192:192,1),1,,"8.2- OVINO (SUBEXPLOT)"))</f>
        <v>#N/A</v>
      </c>
      <c r="O66" s="113" t="e">
        <f>INDIRECT(ADDRESS(216,MATCH(9000000000+307,'8.2- OVINO (SUBEXPLOT)'!216:216,1),1,,"8.2- OVINO (SUBEXPLOT)"))</f>
        <v>#N/A</v>
      </c>
      <c r="P66" s="441" t="e">
        <f>INDIRECT(ADDRESS(240,MATCH(9000000000+307,'8.2- OVINO (SUBEXPLOT)'!240:240,1),1,,"8.2- OVINO (SUBEXPLOT)"))</f>
        <v>#N/A</v>
      </c>
      <c r="R66" s="217"/>
      <c r="T66"/>
      <c r="U66"/>
      <c r="V66" s="50"/>
    </row>
    <row r="67" ht="19.5" customHeight="1">
      <c r="B67" s="75" t="s">
        <v>9</v>
      </c>
      <c r="C67" s="99" t="e">
        <f>SUM(INDIRECT(ADDRESS(159,MATCH(9000000000+307,'5.2- BOVINO (SUBEXPLOT)'!159:159,1),1,,"5.2- BOVINO (SUBEXPLOT)")),INDIRECT(ADDRESS(207,MATCH(9000000000+307,'5.2- BOVINO (SUBEXPLOT)'!207:207,1),1,,"5.2- BOVINO (SUBEXPLOT)")),INDIRECT(ADDRESS(279,MATCH(9000000000+307,'5.2- BOVINO (SUBEXPLOT)'!279:279,1),1,,"5.2- BOVINO (SUBEXPLOT)")))</f>
        <v>#N/A</v>
      </c>
      <c r="D67" s="115" t="e">
        <f>INDIRECT(ADDRESS(183,MATCH(9000000000+307,'5.2- BOVINO (SUBEXPLOT)'!183:183,1),1,,"5.2- BOVINO (SUBEXPLOT)"))</f>
        <v>#N/A</v>
      </c>
      <c r="E67" s="115" t="e">
        <f>INDIRECT(ADDRESS(231,MATCH(9000000000+307,'5.2- BOVINO (SUBEXPLOT)'!231:231,1),1,,"5.2- BOVINO (SUBEXPLOT)"))</f>
        <v>#N/A</v>
      </c>
      <c r="F67" s="116" t="e">
        <f>SUM(INDIRECT(ADDRESS(385,MATCH(9000000000+307,'5.2- BOVINO (SUBEXPLOT)'!385:385,1),1,,"5.2- BOVINO (SUBEXPLOT)")),INDIRECT(ADDRESS(303,MATCH(9000000000+307,'5.2- BOVINO (SUBEXPLOT)'!303:303,1),1,,"5.2- BOVINO (SUBEXPLOT)")))</f>
        <v>#N/A</v>
      </c>
      <c r="G67" s="480" t="e">
        <f>INDIRECT(ADDRESS(327,MATCH(9000000000+307,'5.2- BOVINO (SUBEXPLOT)'!327:327,1),1,,"5.2- BOVINO (SUBEXPLOT)"))</f>
        <v>#N/A</v>
      </c>
      <c r="H67" s="99" t="e">
        <f>SUM(INDIRECT(ADDRESS(165,MATCH(9000000000+307,'6.2- PORCINO (SUBEXPLOT)'!165:165,1),1,,"6.2- PORCINO (SUBEXPLOT)")),INDIRECT(ADDRESS(280,MATCH(9000000000+307,'6.2- PORCINO (SUBEXPLOT)'!280:280,1),1,,"6.2- PORCINO (SUBEXPLOT)")),INDIRECT(ADDRESS(303,MATCH(9000000000+307,'6.2- PORCINO (SUBEXPLOT)'!303:303,1),1,,"6.2- PORCINO (SUBEXPLOT)")),INDIRECT(ADDRESS(326,MATCH(9000000000+307,'6.2- PORCINO (SUBEXPLOT)'!326:326,1),1,,"6.2- PORCINO (SUBEXPLOT)")),INDIRECT(ADDRESS(349,MATCH(9000000000+307,'6.2- PORCINO (SUBEXPLOT)'!349:349,1),1,,"6.2- PORCINO (SUBEXPLOT)")),INDIRECT(ADDRESS(459,MATCH(9000000000+307,'6.2- PORCINO (SUBEXPLOT)'!459:459,1),1,,"6.2- PORCINO (SUBEXPLOT)")),INDIRECT(ADDRESS(482,MATCH(9000000000+307,'6.2- PORCINO (SUBEXPLOT)'!482:482,1),1,,"6.2- PORCINO (SUBEXPLOT)")))</f>
        <v>#N/A</v>
      </c>
      <c r="I67" s="115" t="e">
        <f>SUM(INDIRECT(ADDRESS(188,MATCH(9000000000+307,'6.2- PORCINO (SUBEXPLOT)'!188:188,1),1,,"6.2- PORCINO (SUBEXPLOT)")),INDIRECT(ADDRESS(211,MATCH(9000000000+307,'6.2- PORCINO (SUBEXPLOT)'!211:211,1),1,,"6.2- PORCINO (SUBEXPLOT)")),INDIRECT(ADDRESS(234,MATCH(9000000000+307,'6.2- PORCINO (SUBEXPLOT)'!234:234,1),1,,"6.2- PORCINO (SUBEXPLOT)")),INDIRECT(ADDRESS(257,MATCH(9000000000+307,'6.2- PORCINO (SUBEXPLOT)'!257:257,1),1,,"6.2- PORCINO (SUBEXPLOT)")))</f>
        <v>#N/A</v>
      </c>
      <c r="J67" s="116" t="e">
        <f>SUM(INDIRECT(ADDRESS(372,MATCH(9000000000+307,'6.2- PORCINO (SUBEXPLOT)'!372:372,1),1,,"6.2- PORCINO (SUBEXPLOT)")),INDIRECT(ADDRESS(395,MATCH(9000000000+307,'6.2- PORCINO (SUBEXPLOT)'!395:395,1),1,,"6.2- PORCINO (SUBEXPLOT)")))</f>
        <v>#N/A</v>
      </c>
      <c r="K67" s="480" t="e">
        <f>INDIRECT(ADDRESS(418,MATCH(9000000000+307,'6.2- PORCINO (SUBEXPLOT)'!418:418,1),1,,"6.2- PORCINO (SUBEXPLOT)"))</f>
        <v>#N/A</v>
      </c>
      <c r="L67" s="475" t="e">
        <f>SUM(INDIRECT(ADDRESS(121,MATCH(9000000000+307,'8.2- OVINO (SUBEXPLOT)'!121:121,1),1,,"8.2- OVINO (SUBEXPLOT)")),INDIRECT(ADDRESS(169,MATCH(9000000000+307,'8.2- OVINO (SUBEXPLOT)'!169:169,1),1,,"8.2- OVINO (SUBEXPLOT)")))</f>
        <v>#N/A</v>
      </c>
      <c r="M67" s="115" t="e">
        <f>INDIRECT(ADDRESS(145,MATCH(9000000000+307,'8.2- OVINO (SUBEXPLOT)'!145:145,1),1,,"8.2- OVINO (SUBEXPLOT)"))</f>
        <v>#N/A</v>
      </c>
      <c r="N67" s="115" t="e">
        <f>INDIRECT(ADDRESS(193,MATCH(9000000000+307,'8.2- OVINO (SUBEXPLOT)'!193:193,1),1,,"8.2- OVINO (SUBEXPLOT)"))</f>
        <v>#N/A</v>
      </c>
      <c r="O67" s="115" t="e">
        <f>INDIRECT(ADDRESS(217,MATCH(9000000000+307,'8.2- OVINO (SUBEXPLOT)'!217:217,1),1,,"8.2- OVINO (SUBEXPLOT)"))</f>
        <v>#N/A</v>
      </c>
      <c r="P67" s="441" t="e">
        <f>INDIRECT(ADDRESS(241,MATCH(9000000000+307,'8.2- OVINO (SUBEXPLOT)'!241:241,1),1,,"8.2- OVINO (SUBEXPLOT)"))</f>
        <v>#N/A</v>
      </c>
      <c r="T67"/>
      <c r="U67"/>
      <c r="V67" s="50"/>
    </row>
    <row r="68" ht="19.5" customHeight="1">
      <c r="B68" s="75" t="s">
        <v>10</v>
      </c>
      <c r="C68" s="99" t="e">
        <f>SUM(INDIRECT(ADDRESS(160,MATCH(9000000000+307,'5.2- BOVINO (SUBEXPLOT)'!160:160,1),1,,"5.2- BOVINO (SUBEXPLOT)")),INDIRECT(ADDRESS(208,MATCH(9000000000+307,'5.2- BOVINO (SUBEXPLOT)'!208:208,1),1,,"5.2- BOVINO (SUBEXPLOT)")),INDIRECT(ADDRESS(280,MATCH(9000000000+307,'5.2- BOVINO (SUBEXPLOT)'!280:280,1),1,,"5.2- BOVINO (SUBEXPLOT)")))</f>
        <v>#N/A</v>
      </c>
      <c r="D68" s="115" t="e">
        <f>INDIRECT(ADDRESS(184,MATCH(9000000000+307,'5.2- BOVINO (SUBEXPLOT)'!184:184,1),1,,"5.2- BOVINO (SUBEXPLOT)"))</f>
        <v>#N/A</v>
      </c>
      <c r="E68" s="115" t="e">
        <f>INDIRECT(ADDRESS(232,MATCH(9000000000+307,'5.2- BOVINO (SUBEXPLOT)'!232:232,1),1,,"5.2- BOVINO (SUBEXPLOT)"))</f>
        <v>#N/A</v>
      </c>
      <c r="F68" s="116" t="e">
        <f>SUM(INDIRECT(ADDRESS(386,MATCH(9000000000+307,'5.2- BOVINO (SUBEXPLOT)'!386:386,1),1,,"5.2- BOVINO (SUBEXPLOT)")),INDIRECT(ADDRESS(304,MATCH(9000000000+307,'5.2- BOVINO (SUBEXPLOT)'!304:304,1),1,,"5.2- BOVINO (SUBEXPLOT)")))</f>
        <v>#N/A</v>
      </c>
      <c r="G68" s="480" t="e">
        <f>INDIRECT(ADDRESS(328,MATCH(9000000000+307,'5.2- BOVINO (SUBEXPLOT)'!328:328,1),1,,"5.2- BOVINO (SUBEXPLOT)"))</f>
        <v>#N/A</v>
      </c>
      <c r="H68" s="99" t="e">
        <f>SUM(INDIRECT(ADDRESS(166,MATCH(9000000000+307,'6.2- PORCINO (SUBEXPLOT)'!166:166,1),1,,"6.2- PORCINO (SUBEXPLOT)")),INDIRECT(ADDRESS(281,MATCH(9000000000+307,'6.2- PORCINO (SUBEXPLOT)'!281:281,1),1,,"6.2- PORCINO (SUBEXPLOT)")),INDIRECT(ADDRESS(304,MATCH(9000000000+307,'6.2- PORCINO (SUBEXPLOT)'!304:304,1),1,,"6.2- PORCINO (SUBEXPLOT)")),INDIRECT(ADDRESS(327,MATCH(9000000000+307,'6.2- PORCINO (SUBEXPLOT)'!327:327,1),1,,"6.2- PORCINO (SUBEXPLOT)")),INDIRECT(ADDRESS(350,MATCH(9000000000+307,'6.2- PORCINO (SUBEXPLOT)'!350:350,1),1,,"6.2- PORCINO (SUBEXPLOT)")),INDIRECT(ADDRESS(460,MATCH(9000000000+307,'6.2- PORCINO (SUBEXPLOT)'!460:460,1),1,,"6.2- PORCINO (SUBEXPLOT)")),INDIRECT(ADDRESS(483,MATCH(9000000000+307,'6.2- PORCINO (SUBEXPLOT)'!483:483,1),1,,"6.2- PORCINO (SUBEXPLOT)")))</f>
        <v>#N/A</v>
      </c>
      <c r="I68" s="115" t="e">
        <f>SUM(INDIRECT(ADDRESS(189,MATCH(9000000000+307,'6.2- PORCINO (SUBEXPLOT)'!189:189,1),1,,"6.2- PORCINO (SUBEXPLOT)")),INDIRECT(ADDRESS(212,MATCH(9000000000+307,'6.2- PORCINO (SUBEXPLOT)'!212:212,1),1,,"6.2- PORCINO (SUBEXPLOT)")),INDIRECT(ADDRESS(235,MATCH(9000000000+307,'6.2- PORCINO (SUBEXPLOT)'!235:235,1),1,,"6.2- PORCINO (SUBEXPLOT)")),INDIRECT(ADDRESS(258,MATCH(9000000000+307,'6.2- PORCINO (SUBEXPLOT)'!258:258,1),1,,"6.2- PORCINO (SUBEXPLOT)")))</f>
        <v>#N/A</v>
      </c>
      <c r="J68" s="116" t="e">
        <f>SUM(INDIRECT(ADDRESS(373,MATCH(9000000000+307,'6.2- PORCINO (SUBEXPLOT)'!373:373,1),1,,"6.2- PORCINO (SUBEXPLOT)")),INDIRECT(ADDRESS(396,MATCH(9000000000+307,'6.2- PORCINO (SUBEXPLOT)'!396:396,1),1,,"6.2- PORCINO (SUBEXPLOT)")))</f>
        <v>#N/A</v>
      </c>
      <c r="K68" s="480" t="e">
        <f>INDIRECT(ADDRESS(419,MATCH(9000000000+307,'6.2- PORCINO (SUBEXPLOT)'!419:419,1),1,,"6.2- PORCINO (SUBEXPLOT)"))</f>
        <v>#N/A</v>
      </c>
      <c r="L68" s="475" t="e">
        <f>SUM(INDIRECT(ADDRESS(122,MATCH(9000000000+307,'8.2- OVINO (SUBEXPLOT)'!122:122,1),1,,"8.2- OVINO (SUBEXPLOT)")),INDIRECT(ADDRESS(170,MATCH(9000000000+307,'8.2- OVINO (SUBEXPLOT)'!170:170,1),1,,"8.2- OVINO (SUBEXPLOT)")))</f>
        <v>#N/A</v>
      </c>
      <c r="M68" s="115" t="e">
        <f>INDIRECT(ADDRESS(146,MATCH(9000000000+307,'8.2- OVINO (SUBEXPLOT)'!146:146,1),1,,"8.2- OVINO (SUBEXPLOT)"))</f>
        <v>#N/A</v>
      </c>
      <c r="N68" s="115" t="e">
        <f>INDIRECT(ADDRESS(194,MATCH(9000000000+307,'8.2- OVINO (SUBEXPLOT)'!194:194,1),1,,"8.2- OVINO (SUBEXPLOT)"))</f>
        <v>#N/A</v>
      </c>
      <c r="O68" s="115" t="e">
        <f>INDIRECT(ADDRESS(218,MATCH(9000000000+307,'8.2- OVINO (SUBEXPLOT)'!218:218,1),1,,"8.2- OVINO (SUBEXPLOT)"))</f>
        <v>#N/A</v>
      </c>
      <c r="P68" s="441" t="e">
        <f>INDIRECT(ADDRESS(242,MATCH(9000000000+307,'8.2- OVINO (SUBEXPLOT)'!242:242,1),1,,"8.2- OVINO (SUBEXPLOT)"))</f>
        <v>#N/A</v>
      </c>
      <c r="T68"/>
      <c r="U68"/>
      <c r="V68" s="50"/>
    </row>
    <row r="69" ht="19.5" customHeight="1">
      <c r="B69" s="75" t="s">
        <v>11</v>
      </c>
      <c r="C69" s="99" t="e">
        <f>SUM(INDIRECT(ADDRESS(161,MATCH(9000000000+307,'5.2- BOVINO (SUBEXPLOT)'!161:161,1),1,,"5.2- BOVINO (SUBEXPLOT)")),INDIRECT(ADDRESS(209,MATCH(9000000000+307,'5.2- BOVINO (SUBEXPLOT)'!209:209,1),1,,"5.2- BOVINO (SUBEXPLOT)")),INDIRECT(ADDRESS(281,MATCH(9000000000+307,'5.2- BOVINO (SUBEXPLOT)'!281:281,1),1,,"5.2- BOVINO (SUBEXPLOT)")))</f>
        <v>#N/A</v>
      </c>
      <c r="D69" s="115" t="e">
        <f>INDIRECT(ADDRESS(185,MATCH(9000000000+307,'5.2- BOVINO (SUBEXPLOT)'!185:185,1),1,,"5.2- BOVINO (SUBEXPLOT)"))</f>
        <v>#N/A</v>
      </c>
      <c r="E69" s="115" t="e">
        <f>INDIRECT(ADDRESS(233,MATCH(9000000000+307,'5.2- BOVINO (SUBEXPLOT)'!233:233,1),1,,"5.2- BOVINO (SUBEXPLOT)"))</f>
        <v>#N/A</v>
      </c>
      <c r="F69" s="116" t="e">
        <f>SUM(INDIRECT(ADDRESS(387,MATCH(9000000000+307,'5.2- BOVINO (SUBEXPLOT)'!387:387,1),1,,"5.2- BOVINO (SUBEXPLOT)")),INDIRECT(ADDRESS(305,MATCH(9000000000+307,'5.2- BOVINO (SUBEXPLOT)'!305:305,1),1,,"5.2- BOVINO (SUBEXPLOT)")))</f>
        <v>#N/A</v>
      </c>
      <c r="G69" s="480" t="e">
        <f>INDIRECT(ADDRESS(329,MATCH(9000000000+307,'5.2- BOVINO (SUBEXPLOT)'!329:329,1),1,,"5.2- BOVINO (SUBEXPLOT)"))</f>
        <v>#N/A</v>
      </c>
      <c r="H69" s="99" t="e">
        <f>SUM(INDIRECT(ADDRESS(167,MATCH(9000000000+307,'6.2- PORCINO (SUBEXPLOT)'!167:167,1),1,,"6.2- PORCINO (SUBEXPLOT)")),INDIRECT(ADDRESS(282,MATCH(9000000000+307,'6.2- PORCINO (SUBEXPLOT)'!282:282,1),1,,"6.2- PORCINO (SUBEXPLOT)")),INDIRECT(ADDRESS(305,MATCH(9000000000+307,'6.2- PORCINO (SUBEXPLOT)'!305:305,1),1,,"6.2- PORCINO (SUBEXPLOT)")),INDIRECT(ADDRESS(328,MATCH(9000000000+307,'6.2- PORCINO (SUBEXPLOT)'!328:328,1),1,,"6.2- PORCINO (SUBEXPLOT)")),INDIRECT(ADDRESS(351,MATCH(9000000000+307,'6.2- PORCINO (SUBEXPLOT)'!351:351,1),1,,"6.2- PORCINO (SUBEXPLOT)")),INDIRECT(ADDRESS(461,MATCH(9000000000+307,'6.2- PORCINO (SUBEXPLOT)'!461:461,1),1,,"6.2- PORCINO (SUBEXPLOT)")),INDIRECT(ADDRESS(484,MATCH(9000000000+307,'6.2- PORCINO (SUBEXPLOT)'!484:484,1),1,,"6.2- PORCINO (SUBEXPLOT)")))</f>
        <v>#N/A</v>
      </c>
      <c r="I69" s="115" t="e">
        <f>SUM(INDIRECT(ADDRESS(190,MATCH(9000000000+307,'6.2- PORCINO (SUBEXPLOT)'!190:190,1),1,,"6.2- PORCINO (SUBEXPLOT)")),INDIRECT(ADDRESS(213,MATCH(9000000000+307,'6.2- PORCINO (SUBEXPLOT)'!213:213,1),1,,"6.2- PORCINO (SUBEXPLOT)")),INDIRECT(ADDRESS(236,MATCH(9000000000+307,'6.2- PORCINO (SUBEXPLOT)'!236:236,1),1,,"6.2- PORCINO (SUBEXPLOT)")),INDIRECT(ADDRESS(259,MATCH(9000000000+307,'6.2- PORCINO (SUBEXPLOT)'!259:259,1),1,,"6.2- PORCINO (SUBEXPLOT)")))</f>
        <v>#N/A</v>
      </c>
      <c r="J69" s="116" t="e">
        <f>SUM(INDIRECT(ADDRESS(374,MATCH(9000000000+307,'6.2- PORCINO (SUBEXPLOT)'!374:374,1),1,,"6.2- PORCINO (SUBEXPLOT)")),INDIRECT(ADDRESS(397,MATCH(9000000000+307,'6.2- PORCINO (SUBEXPLOT)'!397:397,1),1,,"6.2- PORCINO (SUBEXPLOT)")))</f>
        <v>#N/A</v>
      </c>
      <c r="K69" s="480" t="e">
        <f>INDIRECT(ADDRESS(420,MATCH(9000000000+307,'6.2- PORCINO (SUBEXPLOT)'!420:420,1),1,,"6.2- PORCINO (SUBEXPLOT)"))</f>
        <v>#N/A</v>
      </c>
      <c r="L69" s="475" t="e">
        <f>SUM(INDIRECT(ADDRESS(123,MATCH(9000000000+307,'8.2- OVINO (SUBEXPLOT)'!123:123,1),1,,"8.2- OVINO (SUBEXPLOT)")),INDIRECT(ADDRESS(171,MATCH(9000000000+307,'8.2- OVINO (SUBEXPLOT)'!171:171,1),1,,"8.2- OVINO (SUBEXPLOT)")))</f>
        <v>#N/A</v>
      </c>
      <c r="M69" s="115" t="e">
        <f>INDIRECT(ADDRESS(147,MATCH(9000000000+307,'8.2- OVINO (SUBEXPLOT)'!147:147,1),1,,"8.2- OVINO (SUBEXPLOT)"))</f>
        <v>#N/A</v>
      </c>
      <c r="N69" s="115" t="e">
        <f>INDIRECT(ADDRESS(195,MATCH(9000000000+307,'8.2- OVINO (SUBEXPLOT)'!195:195,1),1,,"8.2- OVINO (SUBEXPLOT)"))</f>
        <v>#N/A</v>
      </c>
      <c r="O69" s="115" t="e">
        <f>INDIRECT(ADDRESS(219,MATCH(9000000000+307,'8.2- OVINO (SUBEXPLOT)'!219:219,1),1,,"8.2- OVINO (SUBEXPLOT)"))</f>
        <v>#N/A</v>
      </c>
      <c r="P69" s="441" t="e">
        <f>INDIRECT(ADDRESS(243,MATCH(9000000000+307,'8.2- OVINO (SUBEXPLOT)'!243:243,1),1,,"8.2- OVINO (SUBEXPLOT)"))</f>
        <v>#N/A</v>
      </c>
      <c r="T69"/>
      <c r="U69"/>
      <c r="V69" s="50"/>
    </row>
    <row r="70" ht="19.5" customHeight="1">
      <c r="B70" s="75" t="s">
        <v>12</v>
      </c>
      <c r="C70" s="99" t="e">
        <f>SUM(INDIRECT(ADDRESS(162,MATCH(9000000000+307,'5.2- BOVINO (SUBEXPLOT)'!162:162,1),1,,"5.2- BOVINO (SUBEXPLOT)")),INDIRECT(ADDRESS(210,MATCH(9000000000+307,'5.2- BOVINO (SUBEXPLOT)'!210:210,1),1,,"5.2- BOVINO (SUBEXPLOT)")),INDIRECT(ADDRESS(282,MATCH(9000000000+307,'5.2- BOVINO (SUBEXPLOT)'!282:282,1),1,,"5.2- BOVINO (SUBEXPLOT)")))</f>
        <v>#N/A</v>
      </c>
      <c r="D70" s="115" t="e">
        <f>INDIRECT(ADDRESS(186,MATCH(9000000000+307,'5.2- BOVINO (SUBEXPLOT)'!186:186,1),1,,"5.2- BOVINO (SUBEXPLOT)"))</f>
        <v>#N/A</v>
      </c>
      <c r="E70" s="115" t="e">
        <f>INDIRECT(ADDRESS(234,MATCH(9000000000+307,'5.2- BOVINO (SUBEXPLOT)'!234:234,1),1,,"5.2- BOVINO (SUBEXPLOT)"))</f>
        <v>#N/A</v>
      </c>
      <c r="F70" s="116" t="e">
        <f>SUM(INDIRECT(ADDRESS(388,MATCH(9000000000+307,'5.2- BOVINO (SUBEXPLOT)'!388:388,1),1,,"5.2- BOVINO (SUBEXPLOT)")),INDIRECT(ADDRESS(306,MATCH(9000000000+307,'5.2- BOVINO (SUBEXPLOT)'!306:306,1),1,,"5.2- BOVINO (SUBEXPLOT)")))</f>
        <v>#N/A</v>
      </c>
      <c r="G70" s="480" t="e">
        <f>INDIRECT(ADDRESS(330,MATCH(9000000000+307,'5.2- BOVINO (SUBEXPLOT)'!330:330,1),1,,"5.2- BOVINO (SUBEXPLOT)"))</f>
        <v>#N/A</v>
      </c>
      <c r="H70" s="99" t="e">
        <f>SUM(INDIRECT(ADDRESS(168,MATCH(9000000000+307,'6.2- PORCINO (SUBEXPLOT)'!168:168,1),1,,"6.2- PORCINO (SUBEXPLOT)")),INDIRECT(ADDRESS(283,MATCH(9000000000+307,'6.2- PORCINO (SUBEXPLOT)'!283:283,1),1,,"6.2- PORCINO (SUBEXPLOT)")),INDIRECT(ADDRESS(306,MATCH(9000000000+307,'6.2- PORCINO (SUBEXPLOT)'!306:306,1),1,,"6.2- PORCINO (SUBEXPLOT)")),INDIRECT(ADDRESS(329,MATCH(9000000000+307,'6.2- PORCINO (SUBEXPLOT)'!329:329,1),1,,"6.2- PORCINO (SUBEXPLOT)")),INDIRECT(ADDRESS(352,MATCH(9000000000+307,'6.2- PORCINO (SUBEXPLOT)'!352:352,1),1,,"6.2- PORCINO (SUBEXPLOT)")),INDIRECT(ADDRESS(462,MATCH(9000000000+307,'6.2- PORCINO (SUBEXPLOT)'!462:462,1),1,,"6.2- PORCINO (SUBEXPLOT)")),INDIRECT(ADDRESS(485,MATCH(9000000000+307,'6.2- PORCINO (SUBEXPLOT)'!485:485,1),1,,"6.2- PORCINO (SUBEXPLOT)")))</f>
        <v>#N/A</v>
      </c>
      <c r="I70" s="115" t="e">
        <f>SUM(INDIRECT(ADDRESS(191,MATCH(9000000000+307,'6.2- PORCINO (SUBEXPLOT)'!191:191,1),1,,"6.2- PORCINO (SUBEXPLOT)")),INDIRECT(ADDRESS(214,MATCH(9000000000+307,'6.2- PORCINO (SUBEXPLOT)'!214:214,1),1,,"6.2- PORCINO (SUBEXPLOT)")),INDIRECT(ADDRESS(237,MATCH(9000000000+307,'6.2- PORCINO (SUBEXPLOT)'!237:237,1),1,,"6.2- PORCINO (SUBEXPLOT)")),INDIRECT(ADDRESS(260,MATCH(9000000000+307,'6.2- PORCINO (SUBEXPLOT)'!260:260,1),1,,"6.2- PORCINO (SUBEXPLOT)")))</f>
        <v>#N/A</v>
      </c>
      <c r="J70" s="116" t="e">
        <f>SUM(INDIRECT(ADDRESS(375,MATCH(9000000000+307,'6.2- PORCINO (SUBEXPLOT)'!375:375,1),1,,"6.2- PORCINO (SUBEXPLOT)")),INDIRECT(ADDRESS(398,MATCH(9000000000+307,'6.2- PORCINO (SUBEXPLOT)'!398:398,1),1,,"6.2- PORCINO (SUBEXPLOT)")))</f>
        <v>#N/A</v>
      </c>
      <c r="K70" s="480" t="e">
        <f>INDIRECT(ADDRESS(421,MATCH(9000000000+307,'6.2- PORCINO (SUBEXPLOT)'!421:421,1),1,,"6.2- PORCINO (SUBEXPLOT)"))</f>
        <v>#N/A</v>
      </c>
      <c r="L70" s="475" t="e">
        <f>SUM(INDIRECT(ADDRESS(124,MATCH(9000000000+307,'8.2- OVINO (SUBEXPLOT)'!124:124,1),1,,"8.2- OVINO (SUBEXPLOT)")),INDIRECT(ADDRESS(172,MATCH(9000000000+307,'8.2- OVINO (SUBEXPLOT)'!172:172,1),1,,"8.2- OVINO (SUBEXPLOT)")))</f>
        <v>#N/A</v>
      </c>
      <c r="M70" s="115" t="e">
        <f>INDIRECT(ADDRESS(148,MATCH(9000000000+307,'8.2- OVINO (SUBEXPLOT)'!148:148,1),1,,"8.2- OVINO (SUBEXPLOT)"))</f>
        <v>#N/A</v>
      </c>
      <c r="N70" s="115" t="e">
        <f>INDIRECT(ADDRESS(196,MATCH(9000000000+307,'8.2- OVINO (SUBEXPLOT)'!196:196,1),1,,"8.2- OVINO (SUBEXPLOT)"))</f>
        <v>#N/A</v>
      </c>
      <c r="O70" s="115" t="e">
        <f>INDIRECT(ADDRESS(220,MATCH(9000000000+307,'8.2- OVINO (SUBEXPLOT)'!220:220,1),1,,"8.2- OVINO (SUBEXPLOT)"))</f>
        <v>#N/A</v>
      </c>
      <c r="P70" s="441" t="e">
        <f>INDIRECT(ADDRESS(244,MATCH(9000000000+307,'8.2- OVINO (SUBEXPLOT)'!244:244,1),1,,"8.2- OVINO (SUBEXPLOT)"))</f>
        <v>#N/A</v>
      </c>
      <c r="T70"/>
      <c r="U70"/>
      <c r="V70" s="50"/>
    </row>
    <row r="71" ht="19.5" customHeight="1">
      <c r="B71" s="75" t="s">
        <v>13</v>
      </c>
      <c r="C71" s="99" t="e">
        <f>SUM(INDIRECT(ADDRESS(163,MATCH(9000000000+307,'5.2- BOVINO (SUBEXPLOT)'!163:163,1),1,,"5.2- BOVINO (SUBEXPLOT)")),INDIRECT(ADDRESS(211,MATCH(9000000000+307,'5.2- BOVINO (SUBEXPLOT)'!211:211,1),1,,"5.2- BOVINO (SUBEXPLOT)")),INDIRECT(ADDRESS(283,MATCH(9000000000+307,'5.2- BOVINO (SUBEXPLOT)'!283:283,1),1,,"5.2- BOVINO (SUBEXPLOT)")))</f>
        <v>#N/A</v>
      </c>
      <c r="D71" s="115" t="e">
        <f>INDIRECT(ADDRESS(187,MATCH(9000000000+307,'5.2- BOVINO (SUBEXPLOT)'!187:187,1),1,,"5.2- BOVINO (SUBEXPLOT)"))</f>
        <v>#N/A</v>
      </c>
      <c r="E71" s="115" t="e">
        <f>INDIRECT(ADDRESS(235,MATCH(9000000000+307,'5.2- BOVINO (SUBEXPLOT)'!235:235,1),1,,"5.2- BOVINO (SUBEXPLOT)"))</f>
        <v>#N/A</v>
      </c>
      <c r="F71" s="116" t="e">
        <f>SUM(INDIRECT(ADDRESS(389,MATCH(9000000000+307,'5.2- BOVINO (SUBEXPLOT)'!389:389,1),1,,"5.2- BOVINO (SUBEXPLOT)")),INDIRECT(ADDRESS(307,MATCH(9000000000+307,'5.2- BOVINO (SUBEXPLOT)'!307:307,1),1,,"5.2- BOVINO (SUBEXPLOT)")))</f>
        <v>#N/A</v>
      </c>
      <c r="G71" s="480" t="e">
        <f>INDIRECT(ADDRESS(331,MATCH(9000000000+307,'5.2- BOVINO (SUBEXPLOT)'!331:331,1),1,,"5.2- BOVINO (SUBEXPLOT)"))</f>
        <v>#N/A</v>
      </c>
      <c r="H71" s="99" t="e">
        <f>SUM(INDIRECT(ADDRESS(169,MATCH(9000000000+307,'6.2- PORCINO (SUBEXPLOT)'!169:169,1),1,,"6.2- PORCINO (SUBEXPLOT)")),INDIRECT(ADDRESS(284,MATCH(9000000000+307,'6.2- PORCINO (SUBEXPLOT)'!284:284,1),1,,"6.2- PORCINO (SUBEXPLOT)")),INDIRECT(ADDRESS(307,MATCH(9000000000+307,'6.2- PORCINO (SUBEXPLOT)'!307:307,1),1,,"6.2- PORCINO (SUBEXPLOT)")),INDIRECT(ADDRESS(330,MATCH(9000000000+307,'6.2- PORCINO (SUBEXPLOT)'!330:330,1),1,,"6.2- PORCINO (SUBEXPLOT)")),INDIRECT(ADDRESS(353,MATCH(9000000000+307,'6.2- PORCINO (SUBEXPLOT)'!353:353,1),1,,"6.2- PORCINO (SUBEXPLOT)")),INDIRECT(ADDRESS(463,MATCH(9000000000+307,'6.2- PORCINO (SUBEXPLOT)'!463:463,1),1,,"6.2- PORCINO (SUBEXPLOT)")),INDIRECT(ADDRESS(486,MATCH(9000000000+307,'6.2- PORCINO (SUBEXPLOT)'!486:486,1),1,,"6.2- PORCINO (SUBEXPLOT)")))</f>
        <v>#N/A</v>
      </c>
      <c r="I71" s="115" t="e">
        <f>SUM(INDIRECT(ADDRESS(192,MATCH(9000000000+307,'6.2- PORCINO (SUBEXPLOT)'!192:192,1),1,,"6.2- PORCINO (SUBEXPLOT)")),INDIRECT(ADDRESS(215,MATCH(9000000000+307,'6.2- PORCINO (SUBEXPLOT)'!215:215,1),1,,"6.2- PORCINO (SUBEXPLOT)")),INDIRECT(ADDRESS(238,MATCH(9000000000+307,'6.2- PORCINO (SUBEXPLOT)'!238:238,1),1,,"6.2- PORCINO (SUBEXPLOT)")),INDIRECT(ADDRESS(261,MATCH(9000000000+307,'6.2- PORCINO (SUBEXPLOT)'!261:261,1),1,,"6.2- PORCINO (SUBEXPLOT)")))</f>
        <v>#N/A</v>
      </c>
      <c r="J71" s="116" t="e">
        <f>SUM(INDIRECT(ADDRESS(376,MATCH(9000000000+307,'6.2- PORCINO (SUBEXPLOT)'!376:376,1),1,,"6.2- PORCINO (SUBEXPLOT)")),INDIRECT(ADDRESS(399,MATCH(9000000000+307,'6.2- PORCINO (SUBEXPLOT)'!399:399,1),1,,"6.2- PORCINO (SUBEXPLOT)")))</f>
        <v>#N/A</v>
      </c>
      <c r="K71" s="480" t="e">
        <f>INDIRECT(ADDRESS(422,MATCH(9000000000+307,'6.2- PORCINO (SUBEXPLOT)'!422:422,1),1,,"6.2- PORCINO (SUBEXPLOT)"))</f>
        <v>#N/A</v>
      </c>
      <c r="L71" s="475" t="e">
        <f>SUM(INDIRECT(ADDRESS(125,MATCH(9000000000+307,'8.2- OVINO (SUBEXPLOT)'!125:125,1),1,,"8.2- OVINO (SUBEXPLOT)")),INDIRECT(ADDRESS(173,MATCH(9000000000+307,'8.2- OVINO (SUBEXPLOT)'!173:173,1),1,,"8.2- OVINO (SUBEXPLOT)")))</f>
        <v>#N/A</v>
      </c>
      <c r="M71" s="115" t="e">
        <f>INDIRECT(ADDRESS(149,MATCH(9000000000+307,'8.2- OVINO (SUBEXPLOT)'!149:149,1),1,,"8.2- OVINO (SUBEXPLOT)"))</f>
        <v>#N/A</v>
      </c>
      <c r="N71" s="115" t="e">
        <f>INDIRECT(ADDRESS(197,MATCH(9000000000+307,'8.2- OVINO (SUBEXPLOT)'!197:197,1),1,,"8.2- OVINO (SUBEXPLOT)"))</f>
        <v>#N/A</v>
      </c>
      <c r="O71" s="115" t="e">
        <f>INDIRECT(ADDRESS(221,MATCH(9000000000+307,'8.2- OVINO (SUBEXPLOT)'!221:221,1),1,,"8.2- OVINO (SUBEXPLOT)"))</f>
        <v>#N/A</v>
      </c>
      <c r="P71" s="441" t="e">
        <f>INDIRECT(ADDRESS(245,MATCH(9000000000+307,'8.2- OVINO (SUBEXPLOT)'!245:245,1),1,,"8.2- OVINO (SUBEXPLOT)"))</f>
        <v>#N/A</v>
      </c>
      <c r="T71"/>
      <c r="U71"/>
      <c r="V71" s="50"/>
    </row>
    <row r="72" ht="19.5" customHeight="1">
      <c r="B72" s="75" t="s">
        <v>37</v>
      </c>
      <c r="C72" s="99" t="e">
        <f>SUM(INDIRECT(ADDRESS(164,MATCH(9000000000+307,'5.2- BOVINO (SUBEXPLOT)'!164:164,1),1,,"5.2- BOVINO (SUBEXPLOT)")),INDIRECT(ADDRESS(212,MATCH(9000000000+307,'5.2- BOVINO (SUBEXPLOT)'!212:212,1),1,,"5.2- BOVINO (SUBEXPLOT)")),INDIRECT(ADDRESS(284,MATCH(9000000000+307,'5.2- BOVINO (SUBEXPLOT)'!284:284,1),1,,"5.2- BOVINO (SUBEXPLOT)")))</f>
        <v>#N/A</v>
      </c>
      <c r="D72" s="115" t="e">
        <f>INDIRECT(ADDRESS(188,MATCH(9000000000+307,'5.2- BOVINO (SUBEXPLOT)'!188:188,1),1,,"5.2- BOVINO (SUBEXPLOT)"))</f>
        <v>#N/A</v>
      </c>
      <c r="E72" s="115" t="e">
        <f>INDIRECT(ADDRESS(236,MATCH(9000000000+307,'5.2- BOVINO (SUBEXPLOT)'!236:236,1),1,,"5.2- BOVINO (SUBEXPLOT)"))</f>
        <v>#N/A</v>
      </c>
      <c r="F72" s="116" t="e">
        <f>SUM(INDIRECT(ADDRESS(390,MATCH(9000000000+307,'5.2- BOVINO (SUBEXPLOT)'!390:390,1),1,,"5.2- BOVINO (SUBEXPLOT)")),INDIRECT(ADDRESS(308,MATCH(9000000000+307,'5.2- BOVINO (SUBEXPLOT)'!308:308,1),1,,"5.2- BOVINO (SUBEXPLOT)")))</f>
        <v>#N/A</v>
      </c>
      <c r="G72" s="480" t="e">
        <f>INDIRECT(ADDRESS(332,MATCH(9000000000+307,'5.2- BOVINO (SUBEXPLOT)'!332:332,1),1,,"5.2- BOVINO (SUBEXPLOT)"))</f>
        <v>#N/A</v>
      </c>
      <c r="H72" s="99" t="e">
        <f>SUM(INDIRECT(ADDRESS(170,MATCH(9000000000+307,'6.2- PORCINO (SUBEXPLOT)'!170:170,1),1,,"6.2- PORCINO (SUBEXPLOT)")),INDIRECT(ADDRESS(285,MATCH(9000000000+307,'6.2- PORCINO (SUBEXPLOT)'!285:285,1),1,,"6.2- PORCINO (SUBEXPLOT)")),INDIRECT(ADDRESS(308,MATCH(9000000000+307,'6.2- PORCINO (SUBEXPLOT)'!308:308,1),1,,"6.2- PORCINO (SUBEXPLOT)")),INDIRECT(ADDRESS(331,MATCH(9000000000+307,'6.2- PORCINO (SUBEXPLOT)'!331:331,1),1,,"6.2- PORCINO (SUBEXPLOT)")),INDIRECT(ADDRESS(354,MATCH(9000000000+307,'6.2- PORCINO (SUBEXPLOT)'!354:354,1),1,,"6.2- PORCINO (SUBEXPLOT)")),INDIRECT(ADDRESS(464,MATCH(9000000000+307,'6.2- PORCINO (SUBEXPLOT)'!464:464,1),1,,"6.2- PORCINO (SUBEXPLOT)")),INDIRECT(ADDRESS(487,MATCH(9000000000+307,'6.2- PORCINO (SUBEXPLOT)'!487:487,1),1,,"6.2- PORCINO (SUBEXPLOT)")))</f>
        <v>#N/A</v>
      </c>
      <c r="I72" s="115" t="e">
        <f>SUM(INDIRECT(ADDRESS(193,MATCH(9000000000+307,'6.2- PORCINO (SUBEXPLOT)'!193:193,1),1,,"6.2- PORCINO (SUBEXPLOT)")),INDIRECT(ADDRESS(216,MATCH(9000000000+307,'6.2- PORCINO (SUBEXPLOT)'!216:216,1),1,,"6.2- PORCINO (SUBEXPLOT)")),INDIRECT(ADDRESS(239,MATCH(9000000000+307,'6.2- PORCINO (SUBEXPLOT)'!239:239,1),1,,"6.2- PORCINO (SUBEXPLOT)")),INDIRECT(ADDRESS(262,MATCH(9000000000+307,'6.2- PORCINO (SUBEXPLOT)'!262:262,1),1,,"6.2- PORCINO (SUBEXPLOT)")))</f>
        <v>#N/A</v>
      </c>
      <c r="J72" s="116" t="e">
        <f>SUM(INDIRECT(ADDRESS(377,MATCH(9000000000+307,'6.2- PORCINO (SUBEXPLOT)'!377:377,1),1,,"6.2- PORCINO (SUBEXPLOT)")),INDIRECT(ADDRESS(400,MATCH(9000000000+307,'6.2- PORCINO (SUBEXPLOT)'!400:400,1),1,,"6.2- PORCINO (SUBEXPLOT)")))</f>
        <v>#N/A</v>
      </c>
      <c r="K72" s="480" t="e">
        <f>INDIRECT(ADDRESS(423,MATCH(9000000000+307,'6.2- PORCINO (SUBEXPLOT)'!423:423,1),1,,"6.2- PORCINO (SUBEXPLOT)"))</f>
        <v>#N/A</v>
      </c>
      <c r="L72" s="475" t="e">
        <f>SUM(INDIRECT(ADDRESS(126,MATCH(9000000000+307,'8.2- OVINO (SUBEXPLOT)'!126:126,1),1,,"8.2- OVINO (SUBEXPLOT)")),INDIRECT(ADDRESS(174,MATCH(9000000000+307,'8.2- OVINO (SUBEXPLOT)'!174:174,1),1,,"8.2- OVINO (SUBEXPLOT)")))</f>
        <v>#N/A</v>
      </c>
      <c r="M72" s="115" t="e">
        <f>INDIRECT(ADDRESS(150,MATCH(9000000000+307,'8.2- OVINO (SUBEXPLOT)'!150:150,1),1,,"8.2- OVINO (SUBEXPLOT)"))</f>
        <v>#N/A</v>
      </c>
      <c r="N72" s="115" t="e">
        <f>INDIRECT(ADDRESS(198,MATCH(9000000000+307,'8.2- OVINO (SUBEXPLOT)'!198:198,1),1,,"8.2- OVINO (SUBEXPLOT)"))</f>
        <v>#N/A</v>
      </c>
      <c r="O72" s="115" t="e">
        <f>INDIRECT(ADDRESS(222,MATCH(9000000000+307,'8.2- OVINO (SUBEXPLOT)'!222:222,1),1,,"8.2- OVINO (SUBEXPLOT)"))</f>
        <v>#N/A</v>
      </c>
      <c r="P72" s="441" t="e">
        <f>INDIRECT(ADDRESS(246,MATCH(9000000000+307,'8.2- OVINO (SUBEXPLOT)'!246:246,1),1,,"8.2- OVINO (SUBEXPLOT)"))</f>
        <v>#N/A</v>
      </c>
      <c r="T72"/>
      <c r="U72"/>
      <c r="V72" s="50"/>
    </row>
    <row r="73" ht="19.5" customHeight="1">
      <c r="B73" s="75" t="s">
        <v>38</v>
      </c>
      <c r="C73" s="99" t="e">
        <f>SUM(INDIRECT(ADDRESS(165,MATCH(9000000000+307,'5.2- BOVINO (SUBEXPLOT)'!165:165,1),1,,"5.2- BOVINO (SUBEXPLOT)")),INDIRECT(ADDRESS(213,MATCH(9000000000+307,'5.2- BOVINO (SUBEXPLOT)'!213:213,1),1,,"5.2- BOVINO (SUBEXPLOT)")),INDIRECT(ADDRESS(285,MATCH(9000000000+307,'5.2- BOVINO (SUBEXPLOT)'!285:285,1),1,,"5.2- BOVINO (SUBEXPLOT)")))</f>
        <v>#N/A</v>
      </c>
      <c r="D73" s="115" t="e">
        <f>INDIRECT(ADDRESS(189,MATCH(9000000000+307,'5.2- BOVINO (SUBEXPLOT)'!189:189,1),1,,"5.2- BOVINO (SUBEXPLOT)"))</f>
        <v>#N/A</v>
      </c>
      <c r="E73" s="115" t="e">
        <f>INDIRECT(ADDRESS(237,MATCH(9000000000+307,'5.2- BOVINO (SUBEXPLOT)'!237:237,1),1,,"5.2- BOVINO (SUBEXPLOT)"))</f>
        <v>#N/A</v>
      </c>
      <c r="F73" s="116" t="e">
        <f>SUM(INDIRECT(ADDRESS(391,MATCH(9000000000+307,'5.2- BOVINO (SUBEXPLOT)'!391:391,1),1,,"5.2- BOVINO (SUBEXPLOT)")),INDIRECT(ADDRESS(309,MATCH(9000000000+307,'5.2- BOVINO (SUBEXPLOT)'!309:309,1),1,,"5.2- BOVINO (SUBEXPLOT)")))</f>
        <v>#N/A</v>
      </c>
      <c r="G73" s="480" t="e">
        <f>INDIRECT(ADDRESS(333,MATCH(9000000000+307,'5.2- BOVINO (SUBEXPLOT)'!333:333,1),1,,"5.2- BOVINO (SUBEXPLOT)"))</f>
        <v>#N/A</v>
      </c>
      <c r="H73" s="99" t="e">
        <f>SUM(INDIRECT(ADDRESS(171,MATCH(9000000000+307,'6.2- PORCINO (SUBEXPLOT)'!171:171,1),1,,"6.2- PORCINO (SUBEXPLOT)")),INDIRECT(ADDRESS(286,MATCH(9000000000+307,'6.2- PORCINO (SUBEXPLOT)'!286:286,1),1,,"6.2- PORCINO (SUBEXPLOT)")),INDIRECT(ADDRESS(309,MATCH(9000000000+307,'6.2- PORCINO (SUBEXPLOT)'!309:309,1),1,,"6.2- PORCINO (SUBEXPLOT)")),INDIRECT(ADDRESS(332,MATCH(9000000000+307,'6.2- PORCINO (SUBEXPLOT)'!332:332,1),1,,"6.2- PORCINO (SUBEXPLOT)")),INDIRECT(ADDRESS(355,MATCH(9000000000+307,'6.2- PORCINO (SUBEXPLOT)'!355:355,1),1,,"6.2- PORCINO (SUBEXPLOT)")),INDIRECT(ADDRESS(465,MATCH(9000000000+307,'6.2- PORCINO (SUBEXPLOT)'!465:465,1),1,,"6.2- PORCINO (SUBEXPLOT)")),INDIRECT(ADDRESS(488,MATCH(9000000000+307,'6.2- PORCINO (SUBEXPLOT)'!488:488,1),1,,"6.2- PORCINO (SUBEXPLOT)")))</f>
        <v>#N/A</v>
      </c>
      <c r="I73" s="115" t="e">
        <f>SUM(INDIRECT(ADDRESS(194,MATCH(9000000000+307,'6.2- PORCINO (SUBEXPLOT)'!194:194,1),1,,"6.2- PORCINO (SUBEXPLOT)")),INDIRECT(ADDRESS(217,MATCH(9000000000+307,'6.2- PORCINO (SUBEXPLOT)'!217:217,1),1,,"6.2- PORCINO (SUBEXPLOT)")),INDIRECT(ADDRESS(240,MATCH(9000000000+307,'6.2- PORCINO (SUBEXPLOT)'!240:240,1),1,,"6.2- PORCINO (SUBEXPLOT)")),INDIRECT(ADDRESS(263,MATCH(9000000000+307,'6.2- PORCINO (SUBEXPLOT)'!263:263,1),1,,"6.2- PORCINO (SUBEXPLOT)")))</f>
        <v>#N/A</v>
      </c>
      <c r="J73" s="116" t="e">
        <f>SUM(INDIRECT(ADDRESS(378,MATCH(9000000000+307,'6.2- PORCINO (SUBEXPLOT)'!378:378,1),1,,"6.2- PORCINO (SUBEXPLOT)")),INDIRECT(ADDRESS(401,MATCH(9000000000+307,'6.2- PORCINO (SUBEXPLOT)'!401:401,1),1,,"6.2- PORCINO (SUBEXPLOT)")))</f>
        <v>#N/A</v>
      </c>
      <c r="K73" s="480" t="e">
        <f>INDIRECT(ADDRESS(424,MATCH(9000000000+307,'6.2- PORCINO (SUBEXPLOT)'!424:424,1),1,,"6.2- PORCINO (SUBEXPLOT)"))</f>
        <v>#N/A</v>
      </c>
      <c r="L73" s="475" t="e">
        <f>SUM(INDIRECT(ADDRESS(127,MATCH(9000000000+307,'8.2- OVINO (SUBEXPLOT)'!127:127,1),1,,"8.2- OVINO (SUBEXPLOT)")),INDIRECT(ADDRESS(175,MATCH(9000000000+307,'8.2- OVINO (SUBEXPLOT)'!175:175,1),1,,"8.2- OVINO (SUBEXPLOT)")))</f>
        <v>#N/A</v>
      </c>
      <c r="M73" s="115" t="e">
        <f>INDIRECT(ADDRESS(151,MATCH(9000000000+307,'8.2- OVINO (SUBEXPLOT)'!151:151,1),1,,"8.2- OVINO (SUBEXPLOT)"))</f>
        <v>#N/A</v>
      </c>
      <c r="N73" s="115" t="e">
        <f>INDIRECT(ADDRESS(199,MATCH(9000000000+307,'8.2- OVINO (SUBEXPLOT)'!199:199,1),1,,"8.2- OVINO (SUBEXPLOT)"))</f>
        <v>#N/A</v>
      </c>
      <c r="O73" s="115" t="e">
        <f>INDIRECT(ADDRESS(223,MATCH(9000000000+307,'8.2- OVINO (SUBEXPLOT)'!223:223,1),1,,"8.2- OVINO (SUBEXPLOT)"))</f>
        <v>#N/A</v>
      </c>
      <c r="P73" s="441" t="e">
        <f>INDIRECT(ADDRESS(247,MATCH(9000000000+307,'8.2- OVINO (SUBEXPLOT)'!247:247,1),1,,"8.2- OVINO (SUBEXPLOT)"))</f>
        <v>#N/A</v>
      </c>
      <c r="T73"/>
      <c r="U73"/>
      <c r="V73" s="50"/>
    </row>
    <row r="74" ht="19.5" customHeight="1">
      <c r="B74" s="75" t="s">
        <v>16</v>
      </c>
      <c r="C74" s="99" t="e">
        <f>SUM(INDIRECT(ADDRESS(166,MATCH(9000000000+307,'5.2- BOVINO (SUBEXPLOT)'!166:166,1),1,,"5.2- BOVINO (SUBEXPLOT)")),INDIRECT(ADDRESS(214,MATCH(9000000000+307,'5.2- BOVINO (SUBEXPLOT)'!214:214,1),1,,"5.2- BOVINO (SUBEXPLOT)")),INDIRECT(ADDRESS(286,MATCH(9000000000+307,'5.2- BOVINO (SUBEXPLOT)'!286:286,1),1,,"5.2- BOVINO (SUBEXPLOT)")))</f>
        <v>#N/A</v>
      </c>
      <c r="D74" s="115" t="e">
        <f>INDIRECT(ADDRESS(190,MATCH(9000000000+307,'5.2- BOVINO (SUBEXPLOT)'!190:190,1),1,,"5.2- BOVINO (SUBEXPLOT)"))</f>
        <v>#N/A</v>
      </c>
      <c r="E74" s="115" t="e">
        <f>INDIRECT(ADDRESS(238,MATCH(9000000000+307,'5.2- BOVINO (SUBEXPLOT)'!238:238,1),1,,"5.2- BOVINO (SUBEXPLOT)"))</f>
        <v>#N/A</v>
      </c>
      <c r="F74" s="116" t="e">
        <f>SUM(INDIRECT(ADDRESS(392,MATCH(9000000000+307,'5.2- BOVINO (SUBEXPLOT)'!392:392,1),1,,"5.2- BOVINO (SUBEXPLOT)")),INDIRECT(ADDRESS(310,MATCH(9000000000+307,'5.2- BOVINO (SUBEXPLOT)'!310:310,1),1,,"5.2- BOVINO (SUBEXPLOT)")))</f>
        <v>#N/A</v>
      </c>
      <c r="G74" s="480" t="e">
        <f>INDIRECT(ADDRESS(334,MATCH(9000000000+307,'5.2- BOVINO (SUBEXPLOT)'!334:334,1),1,,"5.2- BOVINO (SUBEXPLOT)"))</f>
        <v>#N/A</v>
      </c>
      <c r="H74" s="99" t="e">
        <f>SUM(INDIRECT(ADDRESS(172,MATCH(9000000000+307,'6.2- PORCINO (SUBEXPLOT)'!172:172,1),1,,"6.2- PORCINO (SUBEXPLOT)")),INDIRECT(ADDRESS(287,MATCH(9000000000+307,'6.2- PORCINO (SUBEXPLOT)'!287:287,1),1,,"6.2- PORCINO (SUBEXPLOT)")),INDIRECT(ADDRESS(310,MATCH(9000000000+307,'6.2- PORCINO (SUBEXPLOT)'!310:310,1),1,,"6.2- PORCINO (SUBEXPLOT)")),INDIRECT(ADDRESS(333,MATCH(9000000000+307,'6.2- PORCINO (SUBEXPLOT)'!333:333,1),1,,"6.2- PORCINO (SUBEXPLOT)")),INDIRECT(ADDRESS(356,MATCH(9000000000+307,'6.2- PORCINO (SUBEXPLOT)'!356:356,1),1,,"6.2- PORCINO (SUBEXPLOT)")),INDIRECT(ADDRESS(466,MATCH(9000000000+307,'6.2- PORCINO (SUBEXPLOT)'!466:466,1),1,,"6.2- PORCINO (SUBEXPLOT)")),INDIRECT(ADDRESS(489,MATCH(9000000000+307,'6.2- PORCINO (SUBEXPLOT)'!489:489,1),1,,"6.2- PORCINO (SUBEXPLOT)")))</f>
        <v>#N/A</v>
      </c>
      <c r="I74" s="115" t="e">
        <f>SUM(INDIRECT(ADDRESS(195,MATCH(9000000000+307,'6.2- PORCINO (SUBEXPLOT)'!195:195,1),1,,"6.2- PORCINO (SUBEXPLOT)")),INDIRECT(ADDRESS(218,MATCH(9000000000+307,'6.2- PORCINO (SUBEXPLOT)'!218:218,1),1,,"6.2- PORCINO (SUBEXPLOT)")),INDIRECT(ADDRESS(241,MATCH(9000000000+307,'6.2- PORCINO (SUBEXPLOT)'!241:241,1),1,,"6.2- PORCINO (SUBEXPLOT)")),INDIRECT(ADDRESS(264,MATCH(9000000000+307,'6.2- PORCINO (SUBEXPLOT)'!264:264,1),1,,"6.2- PORCINO (SUBEXPLOT)")))</f>
        <v>#N/A</v>
      </c>
      <c r="J74" s="116" t="e">
        <f>SUM(INDIRECT(ADDRESS(379,MATCH(9000000000+307,'6.2- PORCINO (SUBEXPLOT)'!379:379,1),1,,"6.2- PORCINO (SUBEXPLOT)")),INDIRECT(ADDRESS(402,MATCH(9000000000+307,'6.2- PORCINO (SUBEXPLOT)'!402:402,1),1,,"6.2- PORCINO (SUBEXPLOT)")))</f>
        <v>#N/A</v>
      </c>
      <c r="K74" s="480" t="e">
        <f>INDIRECT(ADDRESS(425,MATCH(9000000000+307,'6.2- PORCINO (SUBEXPLOT)'!425:425,1),1,,"6.2- PORCINO (SUBEXPLOT)"))</f>
        <v>#N/A</v>
      </c>
      <c r="L74" s="475" t="e">
        <f>SUM(INDIRECT(ADDRESS(128,MATCH(9000000000+307,'8.2- OVINO (SUBEXPLOT)'!128:128,1),1,,"8.2- OVINO (SUBEXPLOT)")),INDIRECT(ADDRESS(176,MATCH(9000000000+307,'8.2- OVINO (SUBEXPLOT)'!176:176,1),1,,"8.2- OVINO (SUBEXPLOT)")))</f>
        <v>#N/A</v>
      </c>
      <c r="M74" s="115" t="e">
        <f>INDIRECT(ADDRESS(152,MATCH(9000000000+307,'8.2- OVINO (SUBEXPLOT)'!152:152,1),1,,"8.2- OVINO (SUBEXPLOT)"))</f>
        <v>#N/A</v>
      </c>
      <c r="N74" s="115" t="e">
        <f>INDIRECT(ADDRESS(200,MATCH(9000000000+307,'8.2- OVINO (SUBEXPLOT)'!200:200,1),1,,"8.2- OVINO (SUBEXPLOT)"))</f>
        <v>#N/A</v>
      </c>
      <c r="O74" s="115" t="e">
        <f>INDIRECT(ADDRESS(224,MATCH(9000000000+307,'8.2- OVINO (SUBEXPLOT)'!224:224,1),1,,"8.2- OVINO (SUBEXPLOT)"))</f>
        <v>#N/A</v>
      </c>
      <c r="P74" s="441" t="e">
        <f>INDIRECT(ADDRESS(248,MATCH(9000000000+307,'8.2- OVINO (SUBEXPLOT)'!248:248,1),1,,"8.2- OVINO (SUBEXPLOT)"))</f>
        <v>#N/A</v>
      </c>
      <c r="T74"/>
      <c r="U74"/>
      <c r="V74" s="50"/>
    </row>
    <row r="75" ht="19.5" customHeight="1">
      <c r="B75" s="75" t="s">
        <v>17</v>
      </c>
      <c r="C75" s="99" t="e">
        <f>SUM(INDIRECT(ADDRESS(167,MATCH(9000000000+307,'5.2- BOVINO (SUBEXPLOT)'!167:167,1),1,,"5.2- BOVINO (SUBEXPLOT)")),INDIRECT(ADDRESS(215,MATCH(9000000000+307,'5.2- BOVINO (SUBEXPLOT)'!215:215,1),1,,"5.2- BOVINO (SUBEXPLOT)")),INDIRECT(ADDRESS(287,MATCH(9000000000+307,'5.2- BOVINO (SUBEXPLOT)'!287:287,1),1,,"5.2- BOVINO (SUBEXPLOT)")))</f>
        <v>#N/A</v>
      </c>
      <c r="D75" s="115" t="e">
        <f>INDIRECT(ADDRESS(191,MATCH(9000000000+307,'5.2- BOVINO (SUBEXPLOT)'!191:191,1),1,,"5.2- BOVINO (SUBEXPLOT)"))</f>
        <v>#N/A</v>
      </c>
      <c r="E75" s="115" t="e">
        <f>INDIRECT(ADDRESS(239,MATCH(9000000000+307,'5.2- BOVINO (SUBEXPLOT)'!239:239,1),1,,"5.2- BOVINO (SUBEXPLOT)"))</f>
        <v>#N/A</v>
      </c>
      <c r="F75" s="116" t="e">
        <f>SUM(INDIRECT(ADDRESS(393,MATCH(9000000000+307,'5.2- BOVINO (SUBEXPLOT)'!393:393,1),1,,"5.2- BOVINO (SUBEXPLOT)")),INDIRECT(ADDRESS(311,MATCH(9000000000+307,'5.2- BOVINO (SUBEXPLOT)'!311:311,1),1,,"5.2- BOVINO (SUBEXPLOT)")))</f>
        <v>#N/A</v>
      </c>
      <c r="G75" s="480" t="e">
        <f>INDIRECT(ADDRESS(335,MATCH(9000000000+307,'5.2- BOVINO (SUBEXPLOT)'!335:335,1),1,,"5.2- BOVINO (SUBEXPLOT)"))</f>
        <v>#N/A</v>
      </c>
      <c r="H75" s="99" t="e">
        <f>SUM(INDIRECT(ADDRESS(173,MATCH(9000000000+307,'6.2- PORCINO (SUBEXPLOT)'!173:173,1),1,,"6.2- PORCINO (SUBEXPLOT)")),INDIRECT(ADDRESS(288,MATCH(9000000000+307,'6.2- PORCINO (SUBEXPLOT)'!288:288,1),1,,"6.2- PORCINO (SUBEXPLOT)")),INDIRECT(ADDRESS(311,MATCH(9000000000+307,'6.2- PORCINO (SUBEXPLOT)'!311:311,1),1,,"6.2- PORCINO (SUBEXPLOT)")),INDIRECT(ADDRESS(334,MATCH(9000000000+307,'6.2- PORCINO (SUBEXPLOT)'!334:334,1),1,,"6.2- PORCINO (SUBEXPLOT)")),INDIRECT(ADDRESS(357,MATCH(9000000000+307,'6.2- PORCINO (SUBEXPLOT)'!357:357,1),1,,"6.2- PORCINO (SUBEXPLOT)")),INDIRECT(ADDRESS(467,MATCH(9000000000+307,'6.2- PORCINO (SUBEXPLOT)'!467:467,1),1,,"6.2- PORCINO (SUBEXPLOT)")),INDIRECT(ADDRESS(490,MATCH(9000000000+307,'6.2- PORCINO (SUBEXPLOT)'!490:490,1),1,,"6.2- PORCINO (SUBEXPLOT)")))</f>
        <v>#N/A</v>
      </c>
      <c r="I75" s="115" t="e">
        <f>SUM(INDIRECT(ADDRESS(196,MATCH(9000000000+307,'6.2- PORCINO (SUBEXPLOT)'!196:196,1),1,,"6.2- PORCINO (SUBEXPLOT)")),INDIRECT(ADDRESS(219,MATCH(9000000000+307,'6.2- PORCINO (SUBEXPLOT)'!219:219,1),1,,"6.2- PORCINO (SUBEXPLOT)")),INDIRECT(ADDRESS(242,MATCH(9000000000+307,'6.2- PORCINO (SUBEXPLOT)'!242:242,1),1,,"6.2- PORCINO (SUBEXPLOT)")),INDIRECT(ADDRESS(265,MATCH(9000000000+307,'6.2- PORCINO (SUBEXPLOT)'!265:265,1),1,,"6.2- PORCINO (SUBEXPLOT)")))</f>
        <v>#N/A</v>
      </c>
      <c r="J75" s="116" t="e">
        <f>SUM(INDIRECT(ADDRESS(380,MATCH(9000000000+307,'6.2- PORCINO (SUBEXPLOT)'!380:380,1),1,,"6.2- PORCINO (SUBEXPLOT)")),INDIRECT(ADDRESS(403,MATCH(9000000000+307,'6.2- PORCINO (SUBEXPLOT)'!403:403,1),1,,"6.2- PORCINO (SUBEXPLOT)")))</f>
        <v>#N/A</v>
      </c>
      <c r="K75" s="480" t="e">
        <f>INDIRECT(ADDRESS(426,MATCH(9000000000+307,'6.2- PORCINO (SUBEXPLOT)'!426:426,1),1,,"6.2- PORCINO (SUBEXPLOT)"))</f>
        <v>#N/A</v>
      </c>
      <c r="L75" s="475" t="e">
        <f>SUM(INDIRECT(ADDRESS(129,MATCH(9000000000+307,'8.2- OVINO (SUBEXPLOT)'!129:129,1),1,,"8.2- OVINO (SUBEXPLOT)")),INDIRECT(ADDRESS(177,MATCH(9000000000+307,'8.2- OVINO (SUBEXPLOT)'!177:177,1),1,,"8.2- OVINO (SUBEXPLOT)")))</f>
        <v>#N/A</v>
      </c>
      <c r="M75" s="115" t="e">
        <f>INDIRECT(ADDRESS(153,MATCH(9000000000+307,'8.2- OVINO (SUBEXPLOT)'!153:153,1),1,,"8.2- OVINO (SUBEXPLOT)"))</f>
        <v>#N/A</v>
      </c>
      <c r="N75" s="115" t="e">
        <f>INDIRECT(ADDRESS(201,MATCH(9000000000+307,'8.2- OVINO (SUBEXPLOT)'!201:201,1),1,,"8.2- OVINO (SUBEXPLOT)"))</f>
        <v>#N/A</v>
      </c>
      <c r="O75" s="115" t="e">
        <f>INDIRECT(ADDRESS(225,MATCH(9000000000+307,'8.2- OVINO (SUBEXPLOT)'!225:225,1),1,,"8.2- OVINO (SUBEXPLOT)"))</f>
        <v>#N/A</v>
      </c>
      <c r="P75" s="441" t="e">
        <f>INDIRECT(ADDRESS(249,MATCH(9000000000+307,'8.2- OVINO (SUBEXPLOT)'!249:249,1),1,,"8.2- OVINO (SUBEXPLOT)"))</f>
        <v>#N/A</v>
      </c>
      <c r="T75"/>
      <c r="U75"/>
      <c r="V75" s="50"/>
    </row>
    <row r="76" ht="19.5" customHeight="1">
      <c r="B76" s="75" t="s">
        <v>18</v>
      </c>
      <c r="C76" s="99" t="e">
        <f>SUM(INDIRECT(ADDRESS(168,MATCH(9000000000+307,'5.2- BOVINO (SUBEXPLOT)'!168:168,1),1,,"5.2- BOVINO (SUBEXPLOT)")),INDIRECT(ADDRESS(216,MATCH(9000000000+307,'5.2- BOVINO (SUBEXPLOT)'!216:216,1),1,,"5.2- BOVINO (SUBEXPLOT)")),INDIRECT(ADDRESS(288,MATCH(9000000000+307,'5.2- BOVINO (SUBEXPLOT)'!288:288,1),1,,"5.2- BOVINO (SUBEXPLOT)")))</f>
        <v>#N/A</v>
      </c>
      <c r="D76" s="115" t="e">
        <f>INDIRECT(ADDRESS(192,MATCH(9000000000+307,'5.2- BOVINO (SUBEXPLOT)'!192:192,1),1,,"5.2- BOVINO (SUBEXPLOT)"))</f>
        <v>#N/A</v>
      </c>
      <c r="E76" s="115" t="e">
        <f>INDIRECT(ADDRESS(240,MATCH(9000000000+307,'5.2- BOVINO (SUBEXPLOT)'!240:240,1),1,,"5.2- BOVINO (SUBEXPLOT)"))</f>
        <v>#N/A</v>
      </c>
      <c r="F76" s="116" t="e">
        <f>SUM(INDIRECT(ADDRESS(394,MATCH(9000000000+307,'5.2- BOVINO (SUBEXPLOT)'!394:394,1),1,,"5.2- BOVINO (SUBEXPLOT)")),INDIRECT(ADDRESS(312,MATCH(9000000000+307,'5.2- BOVINO (SUBEXPLOT)'!312:312,1),1,,"5.2- BOVINO (SUBEXPLOT)")))</f>
        <v>#N/A</v>
      </c>
      <c r="G76" s="480" t="e">
        <f>INDIRECT(ADDRESS(336,MATCH(9000000000+307,'5.2- BOVINO (SUBEXPLOT)'!336:336,1),1,,"5.2- BOVINO (SUBEXPLOT)"))</f>
        <v>#N/A</v>
      </c>
      <c r="H76" s="99" t="e">
        <f>SUM(INDIRECT(ADDRESS(174,MATCH(9000000000+307,'6.2- PORCINO (SUBEXPLOT)'!174:174,1),1,,"6.2- PORCINO (SUBEXPLOT)")),INDIRECT(ADDRESS(289,MATCH(9000000000+307,'6.2- PORCINO (SUBEXPLOT)'!289:289,1),1,,"6.2- PORCINO (SUBEXPLOT)")),INDIRECT(ADDRESS(312,MATCH(9000000000+307,'6.2- PORCINO (SUBEXPLOT)'!312:312,1),1,,"6.2- PORCINO (SUBEXPLOT)")),INDIRECT(ADDRESS(335,MATCH(9000000000+307,'6.2- PORCINO (SUBEXPLOT)'!335:335,1),1,,"6.2- PORCINO (SUBEXPLOT)")),INDIRECT(ADDRESS(358,MATCH(9000000000+307,'6.2- PORCINO (SUBEXPLOT)'!358:358,1),1,,"6.2- PORCINO (SUBEXPLOT)")),INDIRECT(ADDRESS(468,MATCH(9000000000+307,'6.2- PORCINO (SUBEXPLOT)'!468:468,1),1,,"6.2- PORCINO (SUBEXPLOT)")),INDIRECT(ADDRESS(491,MATCH(9000000000+307,'6.2- PORCINO (SUBEXPLOT)'!491:491,1),1,,"6.2- PORCINO (SUBEXPLOT)")))</f>
        <v>#N/A</v>
      </c>
      <c r="I76" s="115" t="e">
        <f>SUM(INDIRECT(ADDRESS(197,MATCH(9000000000+307,'6.2- PORCINO (SUBEXPLOT)'!197:197,1),1,,"6.2- PORCINO (SUBEXPLOT)")),INDIRECT(ADDRESS(220,MATCH(9000000000+307,'6.2- PORCINO (SUBEXPLOT)'!220:220,1),1,,"6.2- PORCINO (SUBEXPLOT)")),INDIRECT(ADDRESS(243,MATCH(9000000000+307,'6.2- PORCINO (SUBEXPLOT)'!243:243,1),1,,"6.2- PORCINO (SUBEXPLOT)")),INDIRECT(ADDRESS(266,MATCH(9000000000+307,'6.2- PORCINO (SUBEXPLOT)'!266:266,1),1,,"6.2- PORCINO (SUBEXPLOT)")))</f>
        <v>#N/A</v>
      </c>
      <c r="J76" s="116" t="e">
        <f>SUM(INDIRECT(ADDRESS(381,MATCH(9000000000+307,'6.2- PORCINO (SUBEXPLOT)'!381:381,1),1,,"6.2- PORCINO (SUBEXPLOT)")),INDIRECT(ADDRESS(404,MATCH(9000000000+307,'6.2- PORCINO (SUBEXPLOT)'!404:404,1),1,,"6.2- PORCINO (SUBEXPLOT)")))</f>
        <v>#N/A</v>
      </c>
      <c r="K76" s="480" t="e">
        <f>INDIRECT(ADDRESS(427,MATCH(9000000000+307,'6.2- PORCINO (SUBEXPLOT)'!427:427,1),1,,"6.2- PORCINO (SUBEXPLOT)"))</f>
        <v>#N/A</v>
      </c>
      <c r="L76" s="475" t="e">
        <f>SUM(INDIRECT(ADDRESS(130,MATCH(9000000000+307,'8.2- OVINO (SUBEXPLOT)'!130:130,1),1,,"8.2- OVINO (SUBEXPLOT)")),INDIRECT(ADDRESS(178,MATCH(9000000000+307,'8.2- OVINO (SUBEXPLOT)'!178:178,1),1,,"8.2- OVINO (SUBEXPLOT)")))</f>
        <v>#N/A</v>
      </c>
      <c r="M76" s="115" t="e">
        <f>INDIRECT(ADDRESS(154,MATCH(9000000000+307,'8.2- OVINO (SUBEXPLOT)'!154:154,1),1,,"8.2- OVINO (SUBEXPLOT)"))</f>
        <v>#N/A</v>
      </c>
      <c r="N76" s="115" t="e">
        <f>INDIRECT(ADDRESS(202,MATCH(9000000000+307,'8.2- OVINO (SUBEXPLOT)'!202:202,1),1,,"8.2- OVINO (SUBEXPLOT)"))</f>
        <v>#N/A</v>
      </c>
      <c r="O76" s="115" t="e">
        <f>INDIRECT(ADDRESS(226,MATCH(9000000000+307,'8.2- OVINO (SUBEXPLOT)'!226:226,1),1,,"8.2- OVINO (SUBEXPLOT)"))</f>
        <v>#N/A</v>
      </c>
      <c r="P76" s="441" t="e">
        <f>INDIRECT(ADDRESS(250,MATCH(9000000000+307,'8.2- OVINO (SUBEXPLOT)'!250:250,1),1,,"8.2- OVINO (SUBEXPLOT)"))</f>
        <v>#N/A</v>
      </c>
      <c r="T76"/>
      <c r="U76"/>
      <c r="V76" s="50"/>
    </row>
    <row r="77" ht="19.5" customHeight="1">
      <c r="B77" s="75" t="s">
        <v>19</v>
      </c>
      <c r="C77" s="99" t="e">
        <f>SUM(INDIRECT(ADDRESS(169,MATCH(9000000000+307,'5.2- BOVINO (SUBEXPLOT)'!169:169,1),1,,"5.2- BOVINO (SUBEXPLOT)")),INDIRECT(ADDRESS(217,MATCH(9000000000+307,'5.2- BOVINO (SUBEXPLOT)'!217:217,1),1,,"5.2- BOVINO (SUBEXPLOT)")),INDIRECT(ADDRESS(289,MATCH(9000000000+307,'5.2- BOVINO (SUBEXPLOT)'!289:289,1),1,,"5.2- BOVINO (SUBEXPLOT)")))</f>
        <v>#N/A</v>
      </c>
      <c r="D77" s="115" t="e">
        <f>INDIRECT(ADDRESS(193,MATCH(9000000000+307,'5.2- BOVINO (SUBEXPLOT)'!193:193,1),1,,"5.2- BOVINO (SUBEXPLOT)"))</f>
        <v>#N/A</v>
      </c>
      <c r="E77" s="115" t="e">
        <f>INDIRECT(ADDRESS(241,MATCH(9000000000+307,'5.2- BOVINO (SUBEXPLOT)'!241:241,1),1,,"5.2- BOVINO (SUBEXPLOT)"))</f>
        <v>#N/A</v>
      </c>
      <c r="F77" s="116" t="e">
        <f>SUM(INDIRECT(ADDRESS(395,MATCH(9000000000+307,'5.2- BOVINO (SUBEXPLOT)'!395:395,1),1,,"5.2- BOVINO (SUBEXPLOT)")),INDIRECT(ADDRESS(313,MATCH(9000000000+307,'5.2- BOVINO (SUBEXPLOT)'!313:313,1),1,,"5.2- BOVINO (SUBEXPLOT)")))</f>
        <v>#N/A</v>
      </c>
      <c r="G77" s="480" t="e">
        <f>INDIRECT(ADDRESS(337,MATCH(9000000000+307,'5.2- BOVINO (SUBEXPLOT)'!337:337,1),1,,"5.2- BOVINO (SUBEXPLOT)"))</f>
        <v>#N/A</v>
      </c>
      <c r="H77" s="99" t="e">
        <f>SUM(INDIRECT(ADDRESS(175,MATCH(9000000000+307,'6.2- PORCINO (SUBEXPLOT)'!175:175,1),1,,"6.2- PORCINO (SUBEXPLOT)")),INDIRECT(ADDRESS(290,MATCH(9000000000+307,'6.2- PORCINO (SUBEXPLOT)'!290:290,1),1,,"6.2- PORCINO (SUBEXPLOT)")),INDIRECT(ADDRESS(313,MATCH(9000000000+307,'6.2- PORCINO (SUBEXPLOT)'!313:313,1),1,,"6.2- PORCINO (SUBEXPLOT)")),INDIRECT(ADDRESS(336,MATCH(9000000000+307,'6.2- PORCINO (SUBEXPLOT)'!336:336,1),1,,"6.2- PORCINO (SUBEXPLOT)")),INDIRECT(ADDRESS(359,MATCH(9000000000+307,'6.2- PORCINO (SUBEXPLOT)'!359:359,1),1,,"6.2- PORCINO (SUBEXPLOT)")),INDIRECT(ADDRESS(469,MATCH(9000000000+307,'6.2- PORCINO (SUBEXPLOT)'!469:469,1),1,,"6.2- PORCINO (SUBEXPLOT)")),INDIRECT(ADDRESS(492,MATCH(9000000000+307,'6.2- PORCINO (SUBEXPLOT)'!492:492,1),1,,"6.2- PORCINO (SUBEXPLOT)")))</f>
        <v>#N/A</v>
      </c>
      <c r="I77" s="115" t="e">
        <f>SUM(INDIRECT(ADDRESS(198,MATCH(9000000000+307,'6.2- PORCINO (SUBEXPLOT)'!198:198,1),1,,"6.2- PORCINO (SUBEXPLOT)")),INDIRECT(ADDRESS(221,MATCH(9000000000+307,'6.2- PORCINO (SUBEXPLOT)'!221:221,1),1,,"6.2- PORCINO (SUBEXPLOT)")),INDIRECT(ADDRESS(244,MATCH(9000000000+307,'6.2- PORCINO (SUBEXPLOT)'!244:244,1),1,,"6.2- PORCINO (SUBEXPLOT)")),INDIRECT(ADDRESS(267,MATCH(9000000000+307,'6.2- PORCINO (SUBEXPLOT)'!267:267,1),1,,"6.2- PORCINO (SUBEXPLOT)")))</f>
        <v>#N/A</v>
      </c>
      <c r="J77" s="116" t="e">
        <f>SUM(INDIRECT(ADDRESS(382,MATCH(9000000000+307,'6.2- PORCINO (SUBEXPLOT)'!382:382,1),1,,"6.2- PORCINO (SUBEXPLOT)")),INDIRECT(ADDRESS(405,MATCH(9000000000+307,'6.2- PORCINO (SUBEXPLOT)'!405:405,1),1,,"6.2- PORCINO (SUBEXPLOT)")))</f>
        <v>#N/A</v>
      </c>
      <c r="K77" s="480" t="e">
        <f>INDIRECT(ADDRESS(428,MATCH(9000000000+307,'6.2- PORCINO (SUBEXPLOT)'!428:428,1),1,,"6.2- PORCINO (SUBEXPLOT)"))</f>
        <v>#N/A</v>
      </c>
      <c r="L77" s="475" t="e">
        <f>SUM(INDIRECT(ADDRESS(131,MATCH(9000000000+307,'8.2- OVINO (SUBEXPLOT)'!131:131,1),1,,"8.2- OVINO (SUBEXPLOT)")),INDIRECT(ADDRESS(179,MATCH(9000000000+307,'8.2- OVINO (SUBEXPLOT)'!179:179,1),1,,"8.2- OVINO (SUBEXPLOT)")))</f>
        <v>#N/A</v>
      </c>
      <c r="M77" s="115" t="e">
        <f>INDIRECT(ADDRESS(155,MATCH(9000000000+307,'8.2- OVINO (SUBEXPLOT)'!155:155,1),1,,"8.2- OVINO (SUBEXPLOT)"))</f>
        <v>#N/A</v>
      </c>
      <c r="N77" s="115" t="e">
        <f>INDIRECT(ADDRESS(203,MATCH(9000000000+307,'8.2- OVINO (SUBEXPLOT)'!203:203,1),1,,"8.2- OVINO (SUBEXPLOT)"))</f>
        <v>#N/A</v>
      </c>
      <c r="O77" s="115" t="e">
        <f>INDIRECT(ADDRESS(227,MATCH(9000000000+307,'8.2- OVINO (SUBEXPLOT)'!227:227,1),1,,"8.2- OVINO (SUBEXPLOT)"))</f>
        <v>#N/A</v>
      </c>
      <c r="P77" s="441" t="e">
        <f>INDIRECT(ADDRESS(251,MATCH(9000000000+307,'8.2- OVINO (SUBEXPLOT)'!251:251,1),1,,"8.2- OVINO (SUBEXPLOT)"))</f>
        <v>#N/A</v>
      </c>
      <c r="T77"/>
      <c r="U77"/>
      <c r="V77" s="50"/>
    </row>
    <row r="78" ht="19.5" customHeight="1">
      <c r="B78" s="75" t="s">
        <v>20</v>
      </c>
      <c r="C78" s="99" t="e">
        <f>SUM(INDIRECT(ADDRESS(170,MATCH(9000000000+307,'5.2- BOVINO (SUBEXPLOT)'!170:170,1),1,,"5.2- BOVINO (SUBEXPLOT)")),INDIRECT(ADDRESS(218,MATCH(9000000000+307,'5.2- BOVINO (SUBEXPLOT)'!218:218,1),1,,"5.2- BOVINO (SUBEXPLOT)")),INDIRECT(ADDRESS(290,MATCH(9000000000+307,'5.2- BOVINO (SUBEXPLOT)'!290:290,1),1,,"5.2- BOVINO (SUBEXPLOT)")))</f>
        <v>#N/A</v>
      </c>
      <c r="D78" s="115" t="e">
        <f>INDIRECT(ADDRESS(194,MATCH(9000000000+307,'5.2- BOVINO (SUBEXPLOT)'!194:194,1),1,,"5.2- BOVINO (SUBEXPLOT)"))</f>
        <v>#N/A</v>
      </c>
      <c r="E78" s="115" t="e">
        <f>INDIRECT(ADDRESS(242,MATCH(9000000000+307,'5.2- BOVINO (SUBEXPLOT)'!242:242,1),1,,"5.2- BOVINO (SUBEXPLOT)"))</f>
        <v>#N/A</v>
      </c>
      <c r="F78" s="116" t="e">
        <f>SUM(INDIRECT(ADDRESS(396,MATCH(9000000000+307,'5.2- BOVINO (SUBEXPLOT)'!396:396,1),1,,"5.2- BOVINO (SUBEXPLOT)")),INDIRECT(ADDRESS(314,MATCH(9000000000+307,'5.2- BOVINO (SUBEXPLOT)'!314:314,1),1,,"5.2- BOVINO (SUBEXPLOT)")))</f>
        <v>#N/A</v>
      </c>
      <c r="G78" s="480" t="e">
        <f>INDIRECT(ADDRESS(338,MATCH(9000000000+307,'5.2- BOVINO (SUBEXPLOT)'!338:338,1),1,,"5.2- BOVINO (SUBEXPLOT)"))</f>
        <v>#N/A</v>
      </c>
      <c r="H78" s="99" t="e">
        <f>SUM(INDIRECT(ADDRESS(176,MATCH(9000000000+307,'6.2- PORCINO (SUBEXPLOT)'!176:176,1),1,,"6.2- PORCINO (SUBEXPLOT)")),INDIRECT(ADDRESS(291,MATCH(9000000000+307,'6.2- PORCINO (SUBEXPLOT)'!291:291,1),1,,"6.2- PORCINO (SUBEXPLOT)")),INDIRECT(ADDRESS(314,MATCH(9000000000+307,'6.2- PORCINO (SUBEXPLOT)'!314:314,1),1,,"6.2- PORCINO (SUBEXPLOT)")),INDIRECT(ADDRESS(337,MATCH(9000000000+307,'6.2- PORCINO (SUBEXPLOT)'!337:337,1),1,,"6.2- PORCINO (SUBEXPLOT)")),INDIRECT(ADDRESS(360,MATCH(9000000000+307,'6.2- PORCINO (SUBEXPLOT)'!360:360,1),1,,"6.2- PORCINO (SUBEXPLOT)")),INDIRECT(ADDRESS(470,MATCH(9000000000+307,'6.2- PORCINO (SUBEXPLOT)'!470:470,1),1,,"6.2- PORCINO (SUBEXPLOT)")),INDIRECT(ADDRESS(493,MATCH(9000000000+307,'6.2- PORCINO (SUBEXPLOT)'!493:493,1),1,,"6.2- PORCINO (SUBEXPLOT)")))</f>
        <v>#N/A</v>
      </c>
      <c r="I78" s="115" t="e">
        <f>SUM(INDIRECT(ADDRESS(199,MATCH(9000000000+307,'6.2- PORCINO (SUBEXPLOT)'!199:199,1),1,,"6.2- PORCINO (SUBEXPLOT)")),INDIRECT(ADDRESS(222,MATCH(9000000000+307,'6.2- PORCINO (SUBEXPLOT)'!222:222,1),1,,"6.2- PORCINO (SUBEXPLOT)")),INDIRECT(ADDRESS(245,MATCH(9000000000+307,'6.2- PORCINO (SUBEXPLOT)'!245:245,1),1,,"6.2- PORCINO (SUBEXPLOT)")),INDIRECT(ADDRESS(268,MATCH(9000000000+307,'6.2- PORCINO (SUBEXPLOT)'!267:267,1),1,,"6.2- PORCINO (SUBEXPLOT)")))</f>
        <v>#N/A</v>
      </c>
      <c r="J78" s="116" t="e">
        <f>SUM(INDIRECT(ADDRESS(383,MATCH(9000000000+307,'6.2- PORCINO (SUBEXPLOT)'!383:383,1),1,,"6.2- PORCINO (SUBEXPLOT)")),INDIRECT(ADDRESS(406,MATCH(9000000000+307,'6.2- PORCINO (SUBEXPLOT)'!406:406,1),1,,"6.2- PORCINO (SUBEXPLOT)")))</f>
        <v>#N/A</v>
      </c>
      <c r="K78" s="480" t="e">
        <f>INDIRECT(ADDRESS(429,MATCH(9000000000+307,'6.2- PORCINO (SUBEXPLOT)'!429:429,1),1,,"6.2- PORCINO (SUBEXPLOT)"))</f>
        <v>#N/A</v>
      </c>
      <c r="L78" s="475" t="e">
        <f>SUM(INDIRECT(ADDRESS(132,MATCH(9000000000+307,'8.2- OVINO (SUBEXPLOT)'!132:132,1),1,,"8.2- OVINO (SUBEXPLOT)")),INDIRECT(ADDRESS(180,MATCH(9000000000+307,'8.2- OVINO (SUBEXPLOT)'!180:180,1),1,,"8.2- OVINO (SUBEXPLOT)")))</f>
        <v>#N/A</v>
      </c>
      <c r="M78" s="115" t="e">
        <f>INDIRECT(ADDRESS(156,MATCH(9000000000+307,'8.2- OVINO (SUBEXPLOT)'!156:156,1),1,,"8.2- OVINO (SUBEXPLOT)"))</f>
        <v>#N/A</v>
      </c>
      <c r="N78" s="115" t="e">
        <f>INDIRECT(ADDRESS(204,MATCH(9000000000+307,'8.2- OVINO (SUBEXPLOT)'!204:204,1),1,,"8.2- OVINO (SUBEXPLOT)"))</f>
        <v>#N/A</v>
      </c>
      <c r="O78" s="115" t="e">
        <f>INDIRECT(ADDRESS(228,MATCH(9000000000+307,'8.2- OVINO (SUBEXPLOT)'!228:228,1),1,,"8.2- OVINO (SUBEXPLOT)"))</f>
        <v>#N/A</v>
      </c>
      <c r="P78" s="441" t="e">
        <f>INDIRECT(ADDRESS(252,MATCH(9000000000+307,'8.2- OVINO (SUBEXPLOT)'!252:252,1),1,,"8.2- OVINO (SUBEXPLOT)"))</f>
        <v>#N/A</v>
      </c>
      <c r="T78"/>
      <c r="U78"/>
      <c r="V78" s="50"/>
    </row>
    <row r="79" ht="19.5" customHeight="1">
      <c r="B79" s="75" t="s">
        <v>21</v>
      </c>
      <c r="C79" s="99" t="e">
        <f>SUM(INDIRECT(ADDRESS(171,MATCH(9000000000+307,'5.2- BOVINO (SUBEXPLOT)'!171:171,1),1,,"5.2- BOVINO (SUBEXPLOT)")),INDIRECT(ADDRESS(219,MATCH(9000000000+307,'5.2- BOVINO (SUBEXPLOT)'!219:219,1),1,,"5.2- BOVINO (SUBEXPLOT)")),INDIRECT(ADDRESS(291,MATCH(9000000000+307,'5.2- BOVINO (SUBEXPLOT)'!291:291,1),1,,"5.2- BOVINO (SUBEXPLOT)")))</f>
        <v>#N/A</v>
      </c>
      <c r="D79" s="115" t="e">
        <f>INDIRECT(ADDRESS(195,MATCH(9000000000+307,'5.2- BOVINO (SUBEXPLOT)'!195:195,1),1,,"5.2- BOVINO (SUBEXPLOT)"))</f>
        <v>#N/A</v>
      </c>
      <c r="E79" s="115" t="e">
        <f>INDIRECT(ADDRESS(243,MATCH(9000000000+307,'5.2- BOVINO (SUBEXPLOT)'!243:243,1),1,,"5.2- BOVINO (SUBEXPLOT)"))</f>
        <v>#N/A</v>
      </c>
      <c r="F79" s="116" t="e">
        <f>SUM(INDIRECT(ADDRESS(397,MATCH(9000000000+307,'5.2- BOVINO (SUBEXPLOT)'!397:397,1),1,,"5.2- BOVINO (SUBEXPLOT)")),INDIRECT(ADDRESS(315,MATCH(9000000000+307,'5.2- BOVINO (SUBEXPLOT)'!315:315,1),1,,"5.2- BOVINO (SUBEXPLOT)")))</f>
        <v>#N/A</v>
      </c>
      <c r="G79" s="480" t="e">
        <f>INDIRECT(ADDRESS(339,MATCH(9000000000+307,'5.2- BOVINO (SUBEXPLOT)'!339:339,1),1,,"5.2- BOVINO (SUBEXPLOT)"))</f>
        <v>#N/A</v>
      </c>
      <c r="H79" s="99" t="e">
        <f>SUM(INDIRECT(ADDRESS(177,MATCH(9000000000+307,'6.2- PORCINO (SUBEXPLOT)'!177:177,1),1,,"6.2- PORCINO (SUBEXPLOT)")),INDIRECT(ADDRESS(292,MATCH(9000000000+307,'6.2- PORCINO (SUBEXPLOT)'!292:292,1),1,,"6.2- PORCINO (SUBEXPLOT)")),INDIRECT(ADDRESS(315,MATCH(9000000000+307,'6.2- PORCINO (SUBEXPLOT)'!315:315,1),1,,"6.2- PORCINO (SUBEXPLOT)")),INDIRECT(ADDRESS(338,MATCH(9000000000+307,'6.2- PORCINO (SUBEXPLOT)'!338:338,1),1,,"6.2- PORCINO (SUBEXPLOT)")),INDIRECT(ADDRESS(361,MATCH(9000000000+307,'6.2- PORCINO (SUBEXPLOT)'!361:361,1),1,,"6.2- PORCINO (SUBEXPLOT)")),INDIRECT(ADDRESS(471,MATCH(9000000000+307,'6.2- PORCINO (SUBEXPLOT)'!471:471,1),1,,"6.2- PORCINO (SUBEXPLOT)")),INDIRECT(ADDRESS(494,MATCH(9000000000+307,'6.2- PORCINO (SUBEXPLOT)'!494:494,1),1,,"6.2- PORCINO (SUBEXPLOT)")))</f>
        <v>#N/A</v>
      </c>
      <c r="I79" s="115" t="e">
        <f>SUM(INDIRECT(ADDRESS(200,MATCH(9000000000+307,'6.2- PORCINO (SUBEXPLOT)'!200:200,1),1,,"6.2- PORCINO (SUBEXPLOT)")),INDIRECT(ADDRESS(223,MATCH(9000000000+307,'6.2- PORCINO (SUBEXPLOT)'!223:223,1),1,,"6.2- PORCINO (SUBEXPLOT)")),INDIRECT(ADDRESS(246,MATCH(9000000000+307,'6.2- PORCINO (SUBEXPLOT)'!246:246,1),1,,"6.2- PORCINO (SUBEXPLOT)")),INDIRECT(ADDRESS(269,MATCH(9000000000+307,'6.2- PORCINO (SUBEXPLOT)'!269:269,1),1,,"6.2- PORCINO (SUBEXPLOT)")))</f>
        <v>#N/A</v>
      </c>
      <c r="J79" s="116" t="e">
        <f>SUM(INDIRECT(ADDRESS(384,MATCH(9000000000+307,'6.2- PORCINO (SUBEXPLOT)'!384:384,1),1,,"6.2- PORCINO (SUBEXPLOT)")),INDIRECT(ADDRESS(407,MATCH(9000000000+307,'6.2- PORCINO (SUBEXPLOT)'!407:407,1),1,,"6.2- PORCINO (SUBEXPLOT)")))</f>
        <v>#N/A</v>
      </c>
      <c r="K79" s="480" t="e">
        <f>INDIRECT(ADDRESS(430,MATCH(9000000000+307,'6.2- PORCINO (SUBEXPLOT)'!430:430,1),1,,"6.2- PORCINO (SUBEXPLOT)"))</f>
        <v>#N/A</v>
      </c>
      <c r="L79" s="475" t="e">
        <f>SUM(INDIRECT(ADDRESS(133,MATCH(9000000000+307,'8.2- OVINO (SUBEXPLOT)'!133:133,1),1,,"8.2- OVINO (SUBEXPLOT)")),INDIRECT(ADDRESS(181,MATCH(9000000000+307,'8.2- OVINO (SUBEXPLOT)'!181:181,1),1,,"8.2- OVINO (SUBEXPLOT)")))</f>
        <v>#N/A</v>
      </c>
      <c r="M79" s="115" t="e">
        <f>INDIRECT(ADDRESS(157,MATCH(9000000000+307,'8.2- OVINO (SUBEXPLOT)'!157:157,1),1,,"8.2- OVINO (SUBEXPLOT)"))</f>
        <v>#N/A</v>
      </c>
      <c r="N79" s="115" t="e">
        <f>INDIRECT(ADDRESS(205,MATCH(9000000000+307,'8.2- OVINO (SUBEXPLOT)'!205:205,1),1,,"8.2- OVINO (SUBEXPLOT)"))</f>
        <v>#N/A</v>
      </c>
      <c r="O79" s="115" t="e">
        <f>INDIRECT(ADDRESS(229,MATCH(9000000000+307,'8.2- OVINO (SUBEXPLOT)'!229:229,1),1,,"8.2- OVINO (SUBEXPLOT)"))</f>
        <v>#N/A</v>
      </c>
      <c r="P79" s="441" t="e">
        <f>INDIRECT(ADDRESS(253,MATCH(9000000000+307,'8.2- OVINO (SUBEXPLOT)'!253:253,1),1,,"8.2- OVINO (SUBEXPLOT)"))</f>
        <v>#N/A</v>
      </c>
      <c r="T79"/>
      <c r="U79"/>
      <c r="V79" s="50"/>
    </row>
    <row r="80" ht="19.5" customHeight="1">
      <c r="B80" s="75" t="s">
        <v>22</v>
      </c>
      <c r="C80" s="99" t="e">
        <f>SUM(INDIRECT(ADDRESS(172,MATCH(9000000000+307,'5.2- BOVINO (SUBEXPLOT)'!172:172,1),1,,"5.2- BOVINO (SUBEXPLOT)")),INDIRECT(ADDRESS(220,MATCH(9000000000+307,'5.2- BOVINO (SUBEXPLOT)'!220:220,1),1,,"5.2- BOVINO (SUBEXPLOT)")),INDIRECT(ADDRESS(292,MATCH(9000000000+307,'5.2- BOVINO (SUBEXPLOT)'!292:292,1),1,,"5.2- BOVINO (SUBEXPLOT)")))</f>
        <v>#N/A</v>
      </c>
      <c r="D80" s="115" t="e">
        <f>INDIRECT(ADDRESS(196,MATCH(9000000000+307,'5.2- BOVINO (SUBEXPLOT)'!196:196,1),1,,"5.2- BOVINO (SUBEXPLOT)"))</f>
        <v>#N/A</v>
      </c>
      <c r="E80" s="115" t="e">
        <f>INDIRECT(ADDRESS(244,MATCH(9000000000+307,'5.2- BOVINO (SUBEXPLOT)'!244:244,1),1,,"5.2- BOVINO (SUBEXPLOT)"))</f>
        <v>#N/A</v>
      </c>
      <c r="F80" s="116" t="e">
        <f>SUM(INDIRECT(ADDRESS(398,MATCH(9000000000+307,'5.2- BOVINO (SUBEXPLOT)'!398:398,1),1,,"5.2- BOVINO (SUBEXPLOT)")),INDIRECT(ADDRESS(316,MATCH(9000000000+307,'5.2- BOVINO (SUBEXPLOT)'!316:316,1),1,,"5.2- BOVINO (SUBEXPLOT)")))</f>
        <v>#N/A</v>
      </c>
      <c r="G80" s="480" t="e">
        <f>INDIRECT(ADDRESS(340,MATCH(9000000000+307,'5.2- BOVINO (SUBEXPLOT)'!340:340,1),1,,"5.2- BOVINO (SUBEXPLOT)"))</f>
        <v>#N/A</v>
      </c>
      <c r="H80" s="99" t="e">
        <f>SUM(INDIRECT(ADDRESS(178,MATCH(9000000000+307,'6.2- PORCINO (SUBEXPLOT)'!178:178,1),1,,"6.2- PORCINO (SUBEXPLOT)")),INDIRECT(ADDRESS(293,MATCH(9000000000+307,'6.2- PORCINO (SUBEXPLOT)'!293:293,1),1,,"6.2- PORCINO (SUBEXPLOT)")),INDIRECT(ADDRESS(316,MATCH(9000000000+307,'6.2- PORCINO (SUBEXPLOT)'!316:316,1),1,,"6.2- PORCINO (SUBEXPLOT)")),INDIRECT(ADDRESS(339,MATCH(9000000000+307,'6.2- PORCINO (SUBEXPLOT)'!339:339,1),1,,"6.2- PORCINO (SUBEXPLOT)")),INDIRECT(ADDRESS(362,MATCH(9000000000+307,'6.2- PORCINO (SUBEXPLOT)'!362:362,1),1,,"6.2- PORCINO (SUBEXPLOT)")),INDIRECT(ADDRESS(472,MATCH(9000000000+307,'6.2- PORCINO (SUBEXPLOT)'!472:472,1),1,,"6.2- PORCINO (SUBEXPLOT)")),INDIRECT(ADDRESS(495,MATCH(9000000000+307,'6.2- PORCINO (SUBEXPLOT)'!495:495,1),1,,"6.2- PORCINO (SUBEXPLOT)")))</f>
        <v>#N/A</v>
      </c>
      <c r="I80" s="115" t="e">
        <f>SUM(INDIRECT(ADDRESS(201,MATCH(9000000000+307,'6.2- PORCINO (SUBEXPLOT)'!201:201,1),1,,"6.2- PORCINO (SUBEXPLOT)")),INDIRECT(ADDRESS(224,MATCH(9000000000+307,'6.2- PORCINO (SUBEXPLOT)'!224:224,1),1,,"6.2- PORCINO (SUBEXPLOT)")),INDIRECT(ADDRESS(247,MATCH(9000000000+307,'6.2- PORCINO (SUBEXPLOT)'!247:247,1),1,,"6.2- PORCINO (SUBEXPLOT)")),INDIRECT(ADDRESS(270,MATCH(9000000000+307,'6.2- PORCINO (SUBEXPLOT)'!270:270,1),1,,"6.2- PORCINO (SUBEXPLOT)")))</f>
        <v>#N/A</v>
      </c>
      <c r="J80" s="116" t="e">
        <f>SUM(INDIRECT(ADDRESS(385,MATCH(9000000000+307,'6.2- PORCINO (SUBEXPLOT)'!385:385,1),1,,"6.2- PORCINO (SUBEXPLOT)")),INDIRECT(ADDRESS(408,MATCH(9000000000+307,'6.2- PORCINO (SUBEXPLOT)'!408:408,1),1,,"6.2- PORCINO (SUBEXPLOT)")))</f>
        <v>#N/A</v>
      </c>
      <c r="K80" s="480" t="e">
        <f>INDIRECT(ADDRESS(431,MATCH(9000000000+307,'6.2- PORCINO (SUBEXPLOT)'!431:431,1),1,,"6.2- PORCINO (SUBEXPLOT)"))</f>
        <v>#N/A</v>
      </c>
      <c r="L80" s="475" t="e">
        <f>SUM(INDIRECT(ADDRESS(134,MATCH(9000000000+307,'8.2- OVINO (SUBEXPLOT)'!134:134,1),1,,"8.2- OVINO (SUBEXPLOT)")),INDIRECT(ADDRESS(182,MATCH(9000000000+307,'8.2- OVINO (SUBEXPLOT)'!182:182,1),1,,"8.2- OVINO (SUBEXPLOT)")))</f>
        <v>#N/A</v>
      </c>
      <c r="M80" s="115" t="e">
        <f>INDIRECT(ADDRESS(158,MATCH(9000000000+307,'8.2- OVINO (SUBEXPLOT)'!158:158,1),1,,"8.2- OVINO (SUBEXPLOT)"))</f>
        <v>#N/A</v>
      </c>
      <c r="N80" s="115" t="e">
        <f>INDIRECT(ADDRESS(206,MATCH(9000000000+307,'8.2- OVINO (SUBEXPLOT)'!206:206,1),1,,"8.2- OVINO (SUBEXPLOT)"))</f>
        <v>#N/A</v>
      </c>
      <c r="O80" s="115" t="e">
        <f>INDIRECT(ADDRESS(230,MATCH(9000000000+307,'8.2- OVINO (SUBEXPLOT)'!230:230,1),1,,"8.2- OVINO (SUBEXPLOT)"))</f>
        <v>#N/A</v>
      </c>
      <c r="P80" s="441" t="e">
        <f>INDIRECT(ADDRESS(254,MATCH(9000000000+307,'8.2- OVINO (SUBEXPLOT)'!254:254,1),1,,"8.2- OVINO (SUBEXPLOT)"))</f>
        <v>#N/A</v>
      </c>
      <c r="T80"/>
      <c r="U80"/>
      <c r="V80" s="50"/>
    </row>
    <row r="81" ht="19.5" customHeight="1">
      <c r="B81" s="75" t="s">
        <v>23</v>
      </c>
      <c r="C81" s="99" t="e">
        <f>SUM(INDIRECT(ADDRESS(173,MATCH(9000000000+307,'5.2- BOVINO (SUBEXPLOT)'!173:173,1),1,,"5.2- BOVINO (SUBEXPLOT)")),INDIRECT(ADDRESS(221,MATCH(9000000000+307,'5.2- BOVINO (SUBEXPLOT)'!221:221,1),1,,"5.2- BOVINO (SUBEXPLOT)")),INDIRECT(ADDRESS(293,MATCH(9000000000+307,'5.2- BOVINO (SUBEXPLOT)'!293:293,1),1,,"5.2- BOVINO (SUBEXPLOT)")))</f>
        <v>#N/A</v>
      </c>
      <c r="D81" s="115" t="e">
        <f>INDIRECT(ADDRESS(197,MATCH(9000000000+307,'5.2- BOVINO (SUBEXPLOT)'!197:197,1),1,,"5.2- BOVINO (SUBEXPLOT)"))</f>
        <v>#N/A</v>
      </c>
      <c r="E81" s="115" t="e">
        <f>INDIRECT(ADDRESS(245,MATCH(9000000000+307,'5.2- BOVINO (SUBEXPLOT)'!245:245,1),1,,"5.2- BOVINO (SUBEXPLOT)"))</f>
        <v>#N/A</v>
      </c>
      <c r="F81" s="116" t="e">
        <f>SUM(INDIRECT(ADDRESS(399,MATCH(9000000000+307,'5.2- BOVINO (SUBEXPLOT)'!399:399,1),1,,"5.2- BOVINO (SUBEXPLOT)")),INDIRECT(ADDRESS(317,MATCH(9000000000+307,'5.2- BOVINO (SUBEXPLOT)'!317:317,1),1,,"5.2- BOVINO (SUBEXPLOT)")))</f>
        <v>#N/A</v>
      </c>
      <c r="G81" s="480" t="e">
        <f>INDIRECT(ADDRESS(341,MATCH(9000000000+307,'5.2- BOVINO (SUBEXPLOT)'!341:341,1),1,,"5.2- BOVINO (SUBEXPLOT)"))</f>
        <v>#N/A</v>
      </c>
      <c r="H81" s="99" t="e">
        <f>SUM(INDIRECT(ADDRESS(179,MATCH(9000000000+307,'6.2- PORCINO (SUBEXPLOT)'!179:179,1),1,,"6.2- PORCINO (SUBEXPLOT)")),INDIRECT(ADDRESS(294,MATCH(9000000000+307,'6.2- PORCINO (SUBEXPLOT)'!294:294,1),1,,"6.2- PORCINO (SUBEXPLOT)")),INDIRECT(ADDRESS(317,MATCH(9000000000+307,'6.2- PORCINO (SUBEXPLOT)'!317:317,1),1,,"6.2- PORCINO (SUBEXPLOT)")),INDIRECT(ADDRESS(340,MATCH(9000000000+307,'6.2- PORCINO (SUBEXPLOT)'!340:340,1),1,,"6.2- PORCINO (SUBEXPLOT)")),INDIRECT(ADDRESS(363,MATCH(9000000000+307,'6.2- PORCINO (SUBEXPLOT)'!363:363,1),1,,"6.2- PORCINO (SUBEXPLOT)")),INDIRECT(ADDRESS(473,MATCH(9000000000+307,'6.2- PORCINO (SUBEXPLOT)'!473:473,1),1,,"6.2- PORCINO (SUBEXPLOT)")),INDIRECT(ADDRESS(496,MATCH(9000000000+307,'6.2- PORCINO (SUBEXPLOT)'!496:496,1),1,,"6.2- PORCINO (SUBEXPLOT)")))</f>
        <v>#N/A</v>
      </c>
      <c r="I81" s="115" t="e">
        <f>SUM(INDIRECT(ADDRESS(202,MATCH(9000000000+307,'6.2- PORCINO (SUBEXPLOT)'!202:202,1),1,,"6.2- PORCINO (SUBEXPLOT)")),INDIRECT(ADDRESS(225,MATCH(9000000000+307,'6.2- PORCINO (SUBEXPLOT)'!225:225,1),1,,"6.2- PORCINO (SUBEXPLOT)")),INDIRECT(ADDRESS(248,MATCH(9000000000+307,'6.2- PORCINO (SUBEXPLOT)'!248:248,1),1,,"6.2- PORCINO (SUBEXPLOT)")),INDIRECT(ADDRESS(271,MATCH(9000000000+307,'6.2- PORCINO (SUBEXPLOT)'!271:271,1),1,,"6.2- PORCINO (SUBEXPLOT)")))</f>
        <v>#N/A</v>
      </c>
      <c r="J81" s="116" t="e">
        <f>SUM(INDIRECT(ADDRESS(386,MATCH(9000000000+307,'6.2- PORCINO (SUBEXPLOT)'!386:386,1),1,,"6.2- PORCINO (SUBEXPLOT)")),INDIRECT(ADDRESS(409,MATCH(9000000000+307,'6.2- PORCINO (SUBEXPLOT)'!409:409,1),1,,"6.2- PORCINO (SUBEXPLOT)")))</f>
        <v>#N/A</v>
      </c>
      <c r="K81" s="480" t="e">
        <f>INDIRECT(ADDRESS(432,MATCH(9000000000+307,'6.2- PORCINO (SUBEXPLOT)'!432:432,1),1,,"6.2- PORCINO (SUBEXPLOT)"))</f>
        <v>#N/A</v>
      </c>
      <c r="L81" s="475" t="e">
        <f>SUM(INDIRECT(ADDRESS(135,MATCH(9000000000+307,'8.2- OVINO (SUBEXPLOT)'!135:135,1),1,,"8.2- OVINO (SUBEXPLOT)")),INDIRECT(ADDRESS(183,MATCH(9000000000+307,'8.2- OVINO (SUBEXPLOT)'!183:183,1),1,,"8.2- OVINO (SUBEXPLOT)")))</f>
        <v>#N/A</v>
      </c>
      <c r="M81" s="115" t="e">
        <f>INDIRECT(ADDRESS(159,MATCH(9000000000+307,'8.2- OVINO (SUBEXPLOT)'!159:159,1),1,,"8.2- OVINO (SUBEXPLOT)"))</f>
        <v>#N/A</v>
      </c>
      <c r="N81" s="115" t="e">
        <f>INDIRECT(ADDRESS(207,MATCH(9000000000+307,'8.2- OVINO (SUBEXPLOT)'!207:207,1),1,,"8.2- OVINO (SUBEXPLOT)"))</f>
        <v>#N/A</v>
      </c>
      <c r="O81" s="115" t="e">
        <f>INDIRECT(ADDRESS(231,MATCH(9000000000+307,'8.2- OVINO (SUBEXPLOT)'!231:231,1),1,,"8.2- OVINO (SUBEXPLOT)"))</f>
        <v>#N/A</v>
      </c>
      <c r="P81" s="441" t="e">
        <f>INDIRECT(ADDRESS(255,MATCH(9000000000+307,'8.2- OVINO (SUBEXPLOT)'!255:255,1),1,,"8.2- OVINO (SUBEXPLOT)"))</f>
        <v>#N/A</v>
      </c>
      <c r="T81"/>
      <c r="U81"/>
      <c r="V81" s="50"/>
    </row>
    <row r="82" ht="19.5" customHeight="1">
      <c r="B82" s="75" t="s">
        <v>24</v>
      </c>
      <c r="C82" s="99" t="e">
        <f>SUM(INDIRECT(ADDRESS(174,MATCH(9000000000+307,'5.2- BOVINO (SUBEXPLOT)'!174:174,1),1,,"5.2- BOVINO (SUBEXPLOT)")),INDIRECT(ADDRESS(222,MATCH(9000000000+307,'5.2- BOVINO (SUBEXPLOT)'!222:222,1),1,,"5.2- BOVINO (SUBEXPLOT)")),INDIRECT(ADDRESS(294,MATCH(9000000000+307,'5.2- BOVINO (SUBEXPLOT)'!294:294,1),1,,"5.2- BOVINO (SUBEXPLOT)")))</f>
        <v>#N/A</v>
      </c>
      <c r="D82" s="115" t="e">
        <f>INDIRECT(ADDRESS(198,MATCH(9000000000+307,'5.2- BOVINO (SUBEXPLOT)'!198:198,1),1,,"5.2- BOVINO (SUBEXPLOT)"))</f>
        <v>#N/A</v>
      </c>
      <c r="E82" s="115" t="e">
        <f>INDIRECT(ADDRESS(246,MATCH(9000000000+307,'5.2- BOVINO (SUBEXPLOT)'!246:246,1),1,,"5.2- BOVINO (SUBEXPLOT)"))</f>
        <v>#N/A</v>
      </c>
      <c r="F82" s="116" t="e">
        <f>SUM(INDIRECT(ADDRESS(400,MATCH(9000000000+307,'5.2- BOVINO (SUBEXPLOT)'!400:400,1),1,,"5.2- BOVINO (SUBEXPLOT)")),INDIRECT(ADDRESS(318,MATCH(9000000000+307,'5.2- BOVINO (SUBEXPLOT)'!318:318,1),1,,"5.2- BOVINO (SUBEXPLOT)")))</f>
        <v>#N/A</v>
      </c>
      <c r="G82" s="480" t="e">
        <f>INDIRECT(ADDRESS(342,MATCH(9000000000+307,'5.2- BOVINO (SUBEXPLOT)'!342:342,1),1,,"5.2- BOVINO (SUBEXPLOT)"))</f>
        <v>#N/A</v>
      </c>
      <c r="H82" s="99" t="e">
        <f>SUM(INDIRECT(ADDRESS(180,MATCH(9000000000+307,'6.2- PORCINO (SUBEXPLOT)'!180:180,1),1,,"6.2- PORCINO (SUBEXPLOT)")),INDIRECT(ADDRESS(295,MATCH(9000000000+307,'6.2- PORCINO (SUBEXPLOT)'!295:295,1),1,,"6.2- PORCINO (SUBEXPLOT)")),INDIRECT(ADDRESS(318,MATCH(9000000000+307,'6.2- PORCINO (SUBEXPLOT)'!318:318,1),1,,"6.2- PORCINO (SUBEXPLOT)")),INDIRECT(ADDRESS(341,MATCH(9000000000+307,'6.2- PORCINO (SUBEXPLOT)'!341:341,1),1,,"6.2- PORCINO (SUBEXPLOT)")),INDIRECT(ADDRESS(364,MATCH(9000000000+307,'6.2- PORCINO (SUBEXPLOT)'!364:364,1),1,,"6.2- PORCINO (SUBEXPLOT)")),INDIRECT(ADDRESS(474,MATCH(9000000000+307,'6.2- PORCINO (SUBEXPLOT)'!474:474,1),1,,"6.2- PORCINO (SUBEXPLOT)")),INDIRECT(ADDRESS(497,MATCH(9000000000+307,'6.2- PORCINO (SUBEXPLOT)'!497:497,1),1,,"6.2- PORCINO (SUBEXPLOT)")))</f>
        <v>#N/A</v>
      </c>
      <c r="I82" s="115" t="e">
        <f>SUM(INDIRECT(ADDRESS(203,MATCH(9000000000+307,'6.2- PORCINO (SUBEXPLOT)'!203:203,1),1,,"6.2- PORCINO (SUBEXPLOT)")),INDIRECT(ADDRESS(226,MATCH(9000000000+307,'6.2- PORCINO (SUBEXPLOT)'!226:226,1),1,,"6.2- PORCINO (SUBEXPLOT)")),INDIRECT(ADDRESS(249,MATCH(9000000000+307,'6.2- PORCINO (SUBEXPLOT)'!249:249,1),1,,"6.2- PORCINO (SUBEXPLOT)")),INDIRECT(ADDRESS(272,MATCH(9000000000+307,'6.2- PORCINO (SUBEXPLOT)'!272:272,1),1,,"6.2- PORCINO (SUBEXPLOT)")))</f>
        <v>#N/A</v>
      </c>
      <c r="J82" s="116" t="e">
        <f>SUM(INDIRECT(ADDRESS(387,MATCH(9000000000+307,'6.2- PORCINO (SUBEXPLOT)'!387:387,1),1,,"6.2- PORCINO (SUBEXPLOT)")),INDIRECT(ADDRESS(410,MATCH(9000000000+307,'6.2- PORCINO (SUBEXPLOT)'!410:410,1),1,,"6.2- PORCINO (SUBEXPLOT)")))</f>
        <v>#N/A</v>
      </c>
      <c r="K82" s="480" t="e">
        <f>INDIRECT(ADDRESS(433,MATCH(9000000000+307,'6.2- PORCINO (SUBEXPLOT)'!433:433,1),1,,"6.2- PORCINO (SUBEXPLOT)"))</f>
        <v>#N/A</v>
      </c>
      <c r="L82" s="475" t="e">
        <f>SUM(INDIRECT(ADDRESS(136,MATCH(9000000000+307,'8.2- OVINO (SUBEXPLOT)'!136:136,1),1,,"8.2- OVINO (SUBEXPLOT)")),INDIRECT(ADDRESS(184,MATCH(9000000000+307,'8.2- OVINO (SUBEXPLOT)'!184:184,1),1,,"8.2- OVINO (SUBEXPLOT)")))</f>
        <v>#N/A</v>
      </c>
      <c r="M82" s="115" t="e">
        <f>INDIRECT(ADDRESS(160,MATCH(9000000000+307,'8.2- OVINO (SUBEXPLOT)'!160:160,1),1,,"8.2- OVINO (SUBEXPLOT)"))</f>
        <v>#N/A</v>
      </c>
      <c r="N82" s="115" t="e">
        <f>INDIRECT(ADDRESS(208,MATCH(9000000000+307,'8.2- OVINO (SUBEXPLOT)'!208:208,1),1,,"8.2- OVINO (SUBEXPLOT)"))</f>
        <v>#N/A</v>
      </c>
      <c r="O82" s="115" t="e">
        <f>INDIRECT(ADDRESS(232,MATCH(9000000000+307,'8.2- OVINO (SUBEXPLOT)'!232:232,1),1,,"8.2- OVINO (SUBEXPLOT)"))</f>
        <v>#N/A</v>
      </c>
      <c r="P82" s="441" t="e">
        <f>INDIRECT(ADDRESS(256,MATCH(9000000000+307,'8.2- OVINO (SUBEXPLOT)'!256:256,1),1,,"8.2- OVINO (SUBEXPLOT)"))</f>
        <v>#N/A</v>
      </c>
      <c r="T82"/>
      <c r="U82"/>
      <c r="V82" s="50"/>
    </row>
    <row r="83" ht="19.5" customHeight="1">
      <c r="B83" s="75" t="s">
        <v>25</v>
      </c>
      <c r="C83" s="99" t="e">
        <f>SUM(INDIRECT(ADDRESS(175,MATCH(9000000000+307,'5.2- BOVINO (SUBEXPLOT)'!175:175,1),1,,"5.2- BOVINO (SUBEXPLOT)")),INDIRECT(ADDRESS(223,MATCH(9000000000+307,'5.2- BOVINO (SUBEXPLOT)'!223:223,1),1,,"5.2- BOVINO (SUBEXPLOT)")),INDIRECT(ADDRESS(295,MATCH(9000000000+307,'5.2- BOVINO (SUBEXPLOT)'!295:295,1),1,,"5.2- BOVINO (SUBEXPLOT)")))</f>
        <v>#N/A</v>
      </c>
      <c r="D83" s="115" t="e">
        <f>INDIRECT(ADDRESS(199,MATCH(9000000000+307,'5.2- BOVINO (SUBEXPLOT)'!199:199,1),1,,"5.2- BOVINO (SUBEXPLOT)"))</f>
        <v>#N/A</v>
      </c>
      <c r="E83" s="115" t="e">
        <f>INDIRECT(ADDRESS(247,MATCH(9000000000+307,'5.2- BOVINO (SUBEXPLOT)'!247:247,1),1,,"5.2- BOVINO (SUBEXPLOT)"))</f>
        <v>#N/A</v>
      </c>
      <c r="F83" s="116" t="e">
        <f>SUM(INDIRECT(ADDRESS(401,MATCH(9000000000+307,'5.2- BOVINO (SUBEXPLOT)'!401:401,1),1,,"5.2- BOVINO (SUBEXPLOT)")),INDIRECT(ADDRESS(319,MATCH(9000000000+307,'5.2- BOVINO (SUBEXPLOT)'!319:319,1),1,,"5.2- BOVINO (SUBEXPLOT)")))</f>
        <v>#N/A</v>
      </c>
      <c r="G83" s="480" t="e">
        <f>INDIRECT(ADDRESS(343,MATCH(9000000000+307,'5.2- BOVINO (SUBEXPLOT)'!343:343,1),1,,"5.2- BOVINO (SUBEXPLOT)"))</f>
        <v>#N/A</v>
      </c>
      <c r="H83" s="99" t="e">
        <f>SUM(INDIRECT(ADDRESS(181,MATCH(9000000000+307,'6.2- PORCINO (SUBEXPLOT)'!181:181,1),1,,"6.2- PORCINO (SUBEXPLOT)")),INDIRECT(ADDRESS(296,MATCH(9000000000+307,'6.2- PORCINO (SUBEXPLOT)'!296:296,1),1,,"6.2- PORCINO (SUBEXPLOT)")),INDIRECT(ADDRESS(319,MATCH(9000000000+307,'6.2- PORCINO (SUBEXPLOT)'!319:319,1),1,,"6.2- PORCINO (SUBEXPLOT)")),INDIRECT(ADDRESS(342,MATCH(9000000000+307,'6.2- PORCINO (SUBEXPLOT)'!342:342,1),1,,"6.2- PORCINO (SUBEXPLOT)")),INDIRECT(ADDRESS(365,MATCH(9000000000+307,'6.2- PORCINO (SUBEXPLOT)'!365:365,1),1,,"6.2- PORCINO (SUBEXPLOT)")),INDIRECT(ADDRESS(475,MATCH(9000000000+307,'6.2- PORCINO (SUBEXPLOT)'!475:475,1),1,,"6.2- PORCINO (SUBEXPLOT)")),INDIRECT(ADDRESS(498,MATCH(9000000000+307,'6.2- PORCINO (SUBEXPLOT)'!498:498,1),1,,"6.2- PORCINO (SUBEXPLOT)")))</f>
        <v>#N/A</v>
      </c>
      <c r="I83" s="115" t="e">
        <f>SUM(INDIRECT(ADDRESS(204,MATCH(9000000000+307,'6.2- PORCINO (SUBEXPLOT)'!204:204,1),1,,"6.2- PORCINO (SUBEXPLOT)")),INDIRECT(ADDRESS(227,MATCH(9000000000+307,'6.2- PORCINO (SUBEXPLOT)'!227:227,1),1,,"6.2- PORCINO (SUBEXPLOT)")),INDIRECT(ADDRESS(250,MATCH(9000000000+307,'6.2- PORCINO (SUBEXPLOT)'!250:250,1),1,,"6.2- PORCINO (SUBEXPLOT)")),INDIRECT(ADDRESS(273,MATCH(9000000000+307,'6.2- PORCINO (SUBEXPLOT)'!273:273,1),1,,"6.2- PORCINO (SUBEXPLOT)")))</f>
        <v>#N/A</v>
      </c>
      <c r="J83" s="116" t="e">
        <f>SUM(INDIRECT(ADDRESS(388,MATCH(9000000000+307,'6.2- PORCINO (SUBEXPLOT)'!388:388,1),1,,"6.2- PORCINO (SUBEXPLOT)")),INDIRECT(ADDRESS(411,MATCH(9000000000+307,'6.2- PORCINO (SUBEXPLOT)'!411:411,1),1,,"6.2- PORCINO (SUBEXPLOT)")))</f>
        <v>#N/A</v>
      </c>
      <c r="K83" s="480" t="e">
        <f>INDIRECT(ADDRESS(434,MATCH(9000000000+307,'6.2- PORCINO (SUBEXPLOT)'!434:434,1),1,,"6.2- PORCINO (SUBEXPLOT)"))</f>
        <v>#N/A</v>
      </c>
      <c r="L83" s="475" t="e">
        <f>SUM(INDIRECT(ADDRESS(137,MATCH(9000000000+307,'8.2- OVINO (SUBEXPLOT)'!137:137,1),1,,"8.2- OVINO (SUBEXPLOT)")),INDIRECT(ADDRESS(185,MATCH(9000000000+307,'8.2- OVINO (SUBEXPLOT)'!185:185,1),1,,"8.2- OVINO (SUBEXPLOT)")))</f>
        <v>#N/A</v>
      </c>
      <c r="M83" s="115" t="e">
        <f>INDIRECT(ADDRESS(161,MATCH(9000000000+307,'8.2- OVINO (SUBEXPLOT)'!161:161,1),1,,"8.2- OVINO (SUBEXPLOT)"))</f>
        <v>#N/A</v>
      </c>
      <c r="N83" s="115" t="e">
        <f>INDIRECT(ADDRESS(209,MATCH(9000000000+307,'8.2- OVINO (SUBEXPLOT)'!209:209,1),1,,"8.2- OVINO (SUBEXPLOT)"))</f>
        <v>#N/A</v>
      </c>
      <c r="O83" s="115" t="e">
        <f>INDIRECT(ADDRESS(233,MATCH(9000000000+307,'8.2- OVINO (SUBEXPLOT)'!233:233,1),1,,"8.2- OVINO (SUBEXPLOT)"))</f>
        <v>#N/A</v>
      </c>
      <c r="P83" s="441" t="e">
        <f>INDIRECT(ADDRESS(257,MATCH(9000000000+307,'8.2- OVINO (SUBEXPLOT)'!257:257,1),1,,"8.2- OVINO (SUBEXPLOT)"))</f>
        <v>#N/A</v>
      </c>
      <c r="T83"/>
      <c r="U83"/>
      <c r="V83" s="50"/>
    </row>
    <row r="84" ht="19.5" customHeight="1">
      <c r="B84" s="80" t="s">
        <v>26</v>
      </c>
      <c r="C84" s="117" t="e">
        <f>SUM(INDIRECT(ADDRESS(176,MATCH(9000000000+307,'5.2- BOVINO (SUBEXPLOT)'!176:176,1),1,,"5.2- BOVINO (SUBEXPLOT)")),INDIRECT(ADDRESS(224,MATCH(9000000000+307,'5.2- BOVINO (SUBEXPLOT)'!224:224,1),1,,"5.2- BOVINO (SUBEXPLOT)")),INDIRECT(ADDRESS(296,MATCH(9000000000+307,'5.2- BOVINO (SUBEXPLOT)'!296:296,1),1,,"5.2- BOVINO (SUBEXPLOT)")))</f>
        <v>#N/A</v>
      </c>
      <c r="D84" s="118" t="e">
        <f>INDIRECT(ADDRESS(200,MATCH(9000000000+307,'5.2- BOVINO (SUBEXPLOT)'!200:200,1),1,,"5.2- BOVINO (SUBEXPLOT)"))</f>
        <v>#N/A</v>
      </c>
      <c r="E84" s="118" t="e">
        <f>INDIRECT(ADDRESS(248,MATCH(9000000000+307,'5.2- BOVINO (SUBEXPLOT)'!248:248,1),1,,"5.2- BOVINO (SUBEXPLOT)"))</f>
        <v>#N/A</v>
      </c>
      <c r="F84" s="119" t="e">
        <f>SUM(INDIRECT(ADDRESS(402,MATCH(9000000000+307,'5.2- BOVINO (SUBEXPLOT)'!402:402,1),1,,"5.2- BOVINO (SUBEXPLOT)")),INDIRECT(ADDRESS(320,MATCH(9000000000+307,'5.2- BOVINO (SUBEXPLOT)'!320:320,1),1,,"5.2- BOVINO (SUBEXPLOT)")))</f>
        <v>#N/A</v>
      </c>
      <c r="G84" s="481" t="e">
        <f>INDIRECT(ADDRESS(344,MATCH(9000000000+307,'5.2- BOVINO (SUBEXPLOT)'!344:344,1),1,,"5.2- BOVINO (SUBEXPLOT)"))</f>
        <v>#N/A</v>
      </c>
      <c r="H84" s="117" t="e">
        <f>SUM(INDIRECT(ADDRESS(182,MATCH(9000000000+307,'6.2- PORCINO (SUBEXPLOT)'!182:182,1),1,,"6.2- PORCINO (SUBEXPLOT)")),INDIRECT(ADDRESS(297,MATCH(9000000000+307,'6.2- PORCINO (SUBEXPLOT)'!297:297,1),1,,"6.2- PORCINO (SUBEXPLOT)")),INDIRECT(ADDRESS(320,MATCH(9000000000+307,'6.2- PORCINO (SUBEXPLOT)'!320:320,1),1,,"6.2- PORCINO (SUBEXPLOT)")),INDIRECT(ADDRESS(343,MATCH(9000000000+307,'6.2- PORCINO (SUBEXPLOT)'!343:343,1),1,,"6.2- PORCINO (SUBEXPLOT)")),INDIRECT(ADDRESS(366,MATCH(9000000000+307,'6.2- PORCINO (SUBEXPLOT)'!366:366,1),1,,"6.2- PORCINO (SUBEXPLOT)")),INDIRECT(ADDRESS(476,MATCH(9000000000+307,'6.2- PORCINO (SUBEXPLOT)'!476:476,1),1,,"6.2- PORCINO (SUBEXPLOT)")),INDIRECT(ADDRESS(499,MATCH(9000000000+307,'6.2- PORCINO (SUBEXPLOT)'!499:499,1),1,,"6.2- PORCINO (SUBEXPLOT)")))</f>
        <v>#N/A</v>
      </c>
      <c r="I84" s="118" t="e">
        <f>SUM(INDIRECT(ADDRESS(205,MATCH(9000000000+307,'6.2- PORCINO (SUBEXPLOT)'!205:205,1),1,,"6.2- PORCINO (SUBEXPLOT)")),INDIRECT(ADDRESS(228,MATCH(9000000000+307,'6.2- PORCINO (SUBEXPLOT)'!228:228,1),1,,"6.2- PORCINO (SUBEXPLOT)")),INDIRECT(ADDRESS(251,MATCH(9000000000+307,'6.2- PORCINO (SUBEXPLOT)'!251:251,1),1,,"6.2- PORCINO (SUBEXPLOT)")),INDIRECT(ADDRESS(274,MATCH(9000000000+307,'6.2- PORCINO (SUBEXPLOT)'!274:274,1),1,,"6.2- PORCINO (SUBEXPLOT)")))</f>
        <v>#N/A</v>
      </c>
      <c r="J84" s="119" t="e">
        <f>SUM(INDIRECT(ADDRESS(389,MATCH(9000000000+307,'6.2- PORCINO (SUBEXPLOT)'!389:389,1),1,,"6.2- PORCINO (SUBEXPLOT)")),INDIRECT(ADDRESS(412,MATCH(9000000000+307,'6.2- PORCINO (SUBEXPLOT)'!412:412,1),1,,"6.2- PORCINO (SUBEXPLOT)")))</f>
        <v>#N/A</v>
      </c>
      <c r="K84" s="482" t="e">
        <f>INDIRECT(ADDRESS(435,MATCH(9000000000+307,'6.2- PORCINO (SUBEXPLOT)'!435:435,1),1,,"6.2- PORCINO (SUBEXPLOT)"))</f>
        <v>#N/A</v>
      </c>
      <c r="L84" s="483" t="e">
        <f>SUM(INDIRECT(ADDRESS(138,MATCH(9000000000+307,'8.2- OVINO (SUBEXPLOT)'!138:138,1),1,,"8.2- OVINO (SUBEXPLOT)")),INDIRECT(ADDRESS(186,MATCH(9000000000+307,'8.2- OVINO (SUBEXPLOT)'!186:186,1),1,,"8.2- OVINO (SUBEXPLOT)")))</f>
        <v>#N/A</v>
      </c>
      <c r="M84" s="122" t="e">
        <f>INDIRECT(ADDRESS(162,MATCH(9000000000+307,'8.2- OVINO (SUBEXPLOT)'!162:162,1),1,,"8.2- OVINO (SUBEXPLOT)"))</f>
        <v>#N/A</v>
      </c>
      <c r="N84" s="122" t="e">
        <f>INDIRECT(ADDRESS(210,MATCH(9000000000+307,'8.2- OVINO (SUBEXPLOT)'!210:210,1),1,,"8.2- OVINO (SUBEXPLOT)"))</f>
        <v>#N/A</v>
      </c>
      <c r="O84" s="122" t="e">
        <f>INDIRECT(ADDRESS(234,MATCH(9000000000+307,'8.2- OVINO (SUBEXPLOT)'!234:234,1),1,,"8.2- OVINO (SUBEXPLOT)"))</f>
        <v>#N/A</v>
      </c>
      <c r="P84" s="484" t="e">
        <f>INDIRECT(ADDRESS(258,MATCH(9000000000+307,'8.2- OVINO (SUBEXPLOT)'!258:258,1),1,,"8.2- OVINO (SUBEXPLOT)"))</f>
        <v>#N/A</v>
      </c>
      <c r="T84"/>
      <c r="U84"/>
      <c r="V84" s="50"/>
      <c r="X84" s="50"/>
      <c r="Y84" s="50"/>
      <c r="Z84" s="50"/>
    </row>
    <row r="85" ht="19.5" customHeight="1">
      <c r="B85" s="478" t="s">
        <v>7</v>
      </c>
      <c r="C85" s="85" t="e">
        <f ref="C85:P85" t="shared" si="3" ca="1">SUM(C66:C84)</f>
        <v>#N/A</v>
      </c>
      <c r="D85" s="86" t="e">
        <f t="shared" si="3" ca="1"/>
        <v>#N/A</v>
      </c>
      <c r="E85" s="86" t="e">
        <f t="shared" si="3" ca="1"/>
        <v>#N/A</v>
      </c>
      <c r="F85" s="86" t="e">
        <f t="shared" si="3" ca="1"/>
        <v>#N/A</v>
      </c>
      <c r="G85" s="87" t="e">
        <f t="shared" si="3" ca="1"/>
        <v>#N/A</v>
      </c>
      <c r="H85" s="85" t="e">
        <f>SUM(H66:H84)</f>
        <v>#N/A</v>
      </c>
      <c r="I85" s="86" t="e">
        <f t="shared" si="3" ca="1"/>
        <v>#N/A</v>
      </c>
      <c r="J85" s="87" t="e">
        <f t="shared" si="3" ca="1"/>
        <v>#N/A</v>
      </c>
      <c r="K85" s="85" t="e">
        <f t="shared" si="3" ca="1"/>
        <v>#N/A</v>
      </c>
      <c r="L85" s="86" t="e">
        <f t="shared" si="3" ca="1"/>
        <v>#N/A</v>
      </c>
      <c r="M85" s="86" t="e">
        <f t="shared" si="3" ca="1"/>
        <v>#N/A</v>
      </c>
      <c r="N85" s="86" t="e">
        <f t="shared" si="3" ca="1"/>
        <v>#N/A</v>
      </c>
      <c r="O85" s="86" t="e">
        <f t="shared" si="3" ca="1"/>
        <v>#N/A</v>
      </c>
      <c r="P85" s="87" t="e">
        <f t="shared" si="3" ca="1"/>
        <v>#N/A</v>
      </c>
      <c r="T85"/>
      <c r="U85"/>
      <c r="V85" s="50"/>
      <c r="X85" s="50"/>
      <c r="Y85" s="50"/>
      <c r="Z85" s="50"/>
    </row>
    <row r="86">
      <c r="B86" s="57" t="str">
        <f>CONCATENATE("(*) Datos extraídos de los Sistemas Autonómicos el ", TEXT(AUX!E14,"DD/MM/AAAA"))</f>
        <v>(*) Datos extraídos de los Sistemas Autonómicos el 31/12/1904</v>
      </c>
      <c r="C86" s="57"/>
      <c r="D86" s="57"/>
      <c r="E86" s="57"/>
      <c r="F86" s="57"/>
      <c r="R86" s="57"/>
      <c r="S86" s="57"/>
      <c r="T86" s="57"/>
      <c r="V86" s="50"/>
      <c r="W86" s="50"/>
      <c r="X86" s="50"/>
      <c r="Y86" s="50"/>
      <c r="Z86" s="50"/>
    </row>
    <row r="87" ht="13.5">
      <c r="R87" s="57"/>
      <c r="S87" s="57"/>
      <c r="T87" s="57"/>
      <c r="V87" s="50"/>
      <c r="W87" s="50"/>
      <c r="X87" s="50"/>
      <c r="Y87" s="50"/>
      <c r="Z87" s="50"/>
    </row>
    <row r="88" ht="14.25">
      <c r="B88" s="585" t="s">
        <v>40</v>
      </c>
      <c r="C88" s="586"/>
      <c r="D88" s="586"/>
      <c r="E88" s="586"/>
      <c r="F88" s="586"/>
      <c r="G88" s="587"/>
      <c r="H88" s="98"/>
      <c r="J88" s="98"/>
      <c r="N88" s="98"/>
      <c r="O88" s="98"/>
      <c r="P88" s="98"/>
      <c r="R88" s="57"/>
      <c r="S88" s="57"/>
      <c r="T88" s="57"/>
      <c r="V88" s="50"/>
      <c r="W88" s="217"/>
      <c r="X88" s="50"/>
      <c r="Y88" s="50"/>
      <c r="Z88" s="50"/>
    </row>
    <row r="89" ht="13.5">
      <c r="C89" s="57"/>
      <c r="D89" s="57"/>
      <c r="E89" s="57"/>
      <c r="F89" s="57"/>
      <c r="G89" s="57"/>
      <c r="H89" s="57"/>
      <c r="I89" s="57"/>
      <c r="J89" s="108"/>
      <c r="K89" s="57"/>
      <c r="L89" s="57"/>
      <c r="M89" s="57"/>
      <c r="N89" s="57"/>
      <c r="O89" s="57"/>
      <c r="P89" s="57"/>
      <c r="Q89" s="57"/>
      <c r="R89" s="57"/>
      <c r="S89" s="57"/>
      <c r="T89" s="57"/>
      <c r="U89" s="57"/>
      <c r="V89" s="50"/>
      <c r="W89" s="50"/>
      <c r="X89" s="50"/>
      <c r="Y89" s="50"/>
      <c r="Z89" s="50"/>
    </row>
    <row r="90" ht="13.5">
      <c r="B90" s="580" t="s">
        <v>4</v>
      </c>
      <c r="C90" s="591" t="s">
        <v>31</v>
      </c>
      <c r="D90" s="592"/>
      <c r="E90" s="592"/>
      <c r="F90" s="592"/>
      <c r="G90" s="593"/>
      <c r="H90" s="591" t="s">
        <v>48</v>
      </c>
      <c r="I90" s="592"/>
      <c r="J90" s="592"/>
      <c r="K90" s="92" t="s">
        <v>33</v>
      </c>
      <c r="L90"/>
      <c r="M90"/>
      <c r="V90" s="50"/>
      <c r="W90" s="50"/>
      <c r="X90" s="50"/>
      <c r="Y90" s="50"/>
      <c r="Z90" s="50"/>
    </row>
    <row r="91" ht="13.5">
      <c r="B91" s="581"/>
      <c r="C91" s="109" t="s">
        <v>41</v>
      </c>
      <c r="D91" s="110" t="s">
        <v>42</v>
      </c>
      <c r="E91" s="110" t="s">
        <v>43</v>
      </c>
      <c r="F91" s="110" t="s">
        <v>44</v>
      </c>
      <c r="G91" s="111" t="s">
        <v>45</v>
      </c>
      <c r="H91" s="109" t="s">
        <v>41</v>
      </c>
      <c r="I91" s="110" t="s">
        <v>49</v>
      </c>
      <c r="J91" s="111" t="s">
        <v>45</v>
      </c>
      <c r="K91" s="112" t="s">
        <v>45</v>
      </c>
      <c r="L91"/>
      <c r="M91"/>
      <c r="V91" s="50"/>
      <c r="W91" s="217"/>
      <c r="X91" s="50"/>
      <c r="Y91" s="50"/>
      <c r="Z91" s="50"/>
    </row>
    <row r="92" ht="19.5" customHeight="1">
      <c r="B92" s="70" t="s">
        <v>8</v>
      </c>
      <c r="C92" s="96" t="e">
        <f>SUM(INDIRECT(ADDRESS(147,MATCH(9000000000+307,'7.2- CAPRINO (SUBEXPLOT)'!147:147,1),1,,"7.2- CAPRINO (SUBEXPLOT)")),INDIRECT(ADDRESS(195,MATCH(9000000000+307,'7.2- CAPRINO (SUBEXPLOT)'!195:195,1),1,,"7.2- CAPRINO (SUBEXPLOT)")))</f>
        <v>#N/A</v>
      </c>
      <c r="D92" s="113" t="e">
        <f>INDIRECT(ADDRESS(171,MATCH(9000000000+307,'7.2- CAPRINO (SUBEXPLOT)'!171:171,1),1,,"7.2- CAPRINO (SUBEXPLOT)"))</f>
        <v>#N/A</v>
      </c>
      <c r="E92" s="113" t="e">
        <f>INDIRECT(ADDRESS(219,MATCH(9000000000+307,'7.2- CAPRINO (SUBEXPLOT)'!219:219,1),1,,"7.2- CAPRINO (SUBEXPLOT)"))</f>
        <v>#N/A</v>
      </c>
      <c r="F92" s="113" t="e">
        <f>INDIRECT(ADDRESS(243,MATCH(9000000000+307,'7.2- CAPRINO (SUBEXPLOT)'!243:243,1),1,,"7.2- CAPRINO (SUBEXPLOT)"))</f>
        <v>#N/A</v>
      </c>
      <c r="G92" s="440" t="e">
        <f>INDIRECT(ADDRESS(267,MATCH(9000000000+307,'7.2- CAPRINO (SUBEXPLOT)'!267:267,1),1,,"7.2- CAPRINO (SUBEXPLOT)"))</f>
        <v>#N/A</v>
      </c>
      <c r="H92" s="71" t="e">
        <f>INDIRECT(ADDRESS(191,MATCH(9000000000+307,'10.2- EQUINO (SUBEXPLOT)'!191:191,1),1,,"10.2- EQUINO (SUBEXPLOT)"))</f>
        <v>#N/A</v>
      </c>
      <c r="I92" s="72" t="e">
        <f>INDIRECT(ADDRESS(352,MATCH(9000000000+307,'10.2- EQUINO (SUBEXPLOT)'!352:352,1),1,,"10.2- EQUINO (SUBEXPLOT)"))-INDIRECT(ADDRESS(191,MATCH(9000000000+307,'10.2- EQUINO (SUBEXPLOT)'!191:191,1),1,,"10.2- EQUINO (SUBEXPLOT)"))</f>
        <v>#N/A</v>
      </c>
      <c r="J92" s="440" t="e">
        <f>INDIRECT(ADDRESS(352,MATCH(9000000000+307,'10.2- EQUINO (SUBEXPLOT)'!352:352,1),1,,"10.2- EQUINO (SUBEXPLOT)"))</f>
        <v>#N/A</v>
      </c>
      <c r="K92" s="458" t="e">
        <f>INDIRECT(ADDRESS(292,MATCH(9000000000+307,'9.2- APICULTURA (SUBEXPLOT)'!292:292,1),1,,"9.2- APICULTURA (SUBEXPLOT)"))</f>
        <v>#N/A</v>
      </c>
      <c r="L92"/>
      <c r="M92"/>
      <c r="V92" s="50"/>
      <c r="W92" s="50"/>
      <c r="X92" s="50"/>
      <c r="Y92" s="50"/>
      <c r="AB92" s="217"/>
    </row>
    <row r="93" ht="17.25" customHeight="1">
      <c r="B93" s="75" t="s">
        <v>9</v>
      </c>
      <c r="C93" s="99" t="e">
        <f>SUM(INDIRECT(ADDRESS(148,MATCH(9000000000+307,'7.2- CAPRINO (SUBEXPLOT)'!148:148,1),1,,"7.2- CAPRINO (SUBEXPLOT)")),INDIRECT(ADDRESS(196,MATCH(9000000000+307,'7.2- CAPRINO (SUBEXPLOT)'!196:196,1),1,,"7.2- CAPRINO (SUBEXPLOT)")))</f>
        <v>#N/A</v>
      </c>
      <c r="D93" s="115" t="e">
        <f>INDIRECT(ADDRESS(172,MATCH(9000000000+307,'7.2- CAPRINO (SUBEXPLOT)'!172:172,1),1,,"7.2- CAPRINO (SUBEXPLOT)"))</f>
        <v>#N/A</v>
      </c>
      <c r="E93" s="115" t="e">
        <f>INDIRECT(ADDRESS(220,MATCH(9000000000+307,'7.2- CAPRINO (SUBEXPLOT)'!220:220,1),1,,"7.2- CAPRINO (SUBEXPLOT)"))</f>
        <v>#N/A</v>
      </c>
      <c r="F93" s="115" t="e">
        <f>INDIRECT(ADDRESS(244,MATCH(9000000000+307,'7.2- CAPRINO (SUBEXPLOT)'!244:244,1),1,,"7.2- CAPRINO (SUBEXPLOT)"))</f>
        <v>#N/A</v>
      </c>
      <c r="G93" s="441" t="e">
        <f>INDIRECT(ADDRESS(268,MATCH(9000000000+307,'7.2- CAPRINO (SUBEXPLOT)'!268:268,1),1,,"7.2- CAPRINO (SUBEXPLOT)"))</f>
        <v>#N/A</v>
      </c>
      <c r="H93" s="76" t="e">
        <f>INDIRECT(ADDRESS(192,MATCH(9000000000+307,'10.2- EQUINO (SUBEXPLOT)'!192:192,1),1,,"10.2- EQUINO (SUBEXPLOT)"))</f>
        <v>#N/A</v>
      </c>
      <c r="I93" s="77" t="e">
        <f>INDIRECT(ADDRESS(353,MATCH(9000000000+307,'10.2- EQUINO (SUBEXPLOT)'!353:353,1),1,,"10.2- EQUINO (SUBEXPLOT)"))-INDIRECT(ADDRESS(192,MATCH(9000000000+307,'10.2- EQUINO (SUBEXPLOT)'!192:192,1),1,,"10.2- EQUINO (SUBEXPLOT)"))</f>
        <v>#N/A</v>
      </c>
      <c r="J93" s="441" t="e">
        <f>INDIRECT(ADDRESS(353,MATCH(9000000000+307,'10.2- EQUINO (SUBEXPLOT)'!353:353,1),1,,"10.2- EQUINO (SUBEXPLOT)"))</f>
        <v>#N/A</v>
      </c>
      <c r="K93" s="459" t="e">
        <f>INDIRECT(ADDRESS(293,MATCH(9000000000+307,'9.2- APICULTURA (SUBEXPLOT)'!293:293,1),1,,"9.2- APICULTURA (SUBEXPLOT)"))</f>
        <v>#N/A</v>
      </c>
      <c r="L93"/>
      <c r="M93"/>
      <c r="V93" s="50"/>
      <c r="W93" s="50"/>
      <c r="X93" s="50"/>
      <c r="Y93" s="50"/>
      <c r="AB93" s="217"/>
    </row>
    <row r="94" ht="16.5" customHeight="1">
      <c r="B94" s="75" t="s">
        <v>10</v>
      </c>
      <c r="C94" s="99" t="e">
        <f>SUM(INDIRECT(ADDRESS(149,MATCH(9000000000+307,'7.2- CAPRINO (SUBEXPLOT)'!149:149,1),1,,"7.2- CAPRINO (SUBEXPLOT)")),INDIRECT(ADDRESS(197,MATCH(9000000000+307,'7.2- CAPRINO (SUBEXPLOT)'!197:197,1),1,,"7.2- CAPRINO (SUBEXPLOT)")))</f>
        <v>#N/A</v>
      </c>
      <c r="D94" s="115" t="e">
        <f>INDIRECT(ADDRESS(173,MATCH(9000000000+307,'7.2- CAPRINO (SUBEXPLOT)'!173:173,1),1,,"7.2- CAPRINO (SUBEXPLOT)"))</f>
        <v>#N/A</v>
      </c>
      <c r="E94" s="115" t="e">
        <f>INDIRECT(ADDRESS(221,MATCH(9000000000+307,'7.2- CAPRINO (SUBEXPLOT)'!221:221,1),1,,"7.2- CAPRINO (SUBEXPLOT)"))</f>
        <v>#N/A</v>
      </c>
      <c r="F94" s="115" t="e">
        <f>INDIRECT(ADDRESS(245,MATCH(9000000000+307,'7.2- CAPRINO (SUBEXPLOT)'!245:245,1),1,,"7.2- CAPRINO (SUBEXPLOT)"))</f>
        <v>#N/A</v>
      </c>
      <c r="G94" s="441" t="e">
        <f>INDIRECT(ADDRESS(269,MATCH(9000000000+307,'7.2- CAPRINO (SUBEXPLOT)'!269:269,1),1,,"7.2- CAPRINO (SUBEXPLOT)"))</f>
        <v>#N/A</v>
      </c>
      <c r="H94" s="76" t="e">
        <f>INDIRECT(ADDRESS(193,MATCH(9000000000+307,'10.2- EQUINO (SUBEXPLOT)'!193:193,1),1,,"10.2- EQUINO (SUBEXPLOT)"))</f>
        <v>#N/A</v>
      </c>
      <c r="I94" s="77" t="e">
        <f>INDIRECT(ADDRESS(354,MATCH(9000000000+307,'10.2- EQUINO (SUBEXPLOT)'!354:354,1),1,,"10.2- EQUINO (SUBEXPLOT)"))-INDIRECT(ADDRESS(193,MATCH(9000000000+307,'10.2- EQUINO (SUBEXPLOT)'!193:193,1),1,,"10.2- EQUINO (SUBEXPLOT)"))</f>
        <v>#N/A</v>
      </c>
      <c r="J94" s="441" t="e">
        <f>INDIRECT(ADDRESS(354,MATCH(9000000000+307,'10.2- EQUINO (SUBEXPLOT)'!354:354,1),1,,"10.2- EQUINO (SUBEXPLOT)"))</f>
        <v>#N/A</v>
      </c>
      <c r="K94" s="459" t="e">
        <f>INDIRECT(ADDRESS(294,MATCH(9000000000+307,'9.2- APICULTURA (SUBEXPLOT)'!294:294,1),1,,"9.2- APICULTURA (SUBEXPLOT)"))</f>
        <v>#N/A</v>
      </c>
      <c r="L94"/>
      <c r="M94"/>
      <c r="V94" s="50"/>
      <c r="W94" s="50"/>
      <c r="X94" s="50"/>
      <c r="Y94" s="50"/>
      <c r="AB94" s="217"/>
    </row>
    <row r="95" ht="17.25" customHeight="1">
      <c r="B95" s="75" t="s">
        <v>11</v>
      </c>
      <c r="C95" s="99" t="e">
        <f>SUM(INDIRECT(ADDRESS(150,MATCH(9000000000+307,'7.2- CAPRINO (SUBEXPLOT)'!150:150,1),1,,"7.2- CAPRINO (SUBEXPLOT)")),INDIRECT(ADDRESS(198,MATCH(9000000000+307,'7.2- CAPRINO (SUBEXPLOT)'!198:198,1),1,,"7.2- CAPRINO (SUBEXPLOT)")))</f>
        <v>#N/A</v>
      </c>
      <c r="D95" s="115" t="e">
        <f>INDIRECT(ADDRESS(174,MATCH(9000000000+307,'7.2- CAPRINO (SUBEXPLOT)'!174:174,1),1,,"7.2- CAPRINO (SUBEXPLOT)"))</f>
        <v>#N/A</v>
      </c>
      <c r="E95" s="115" t="e">
        <f>INDIRECT(ADDRESS(222,MATCH(9000000000+307,'7.2- CAPRINO (SUBEXPLOT)'!222:222,1),1,,"7.2- CAPRINO (SUBEXPLOT)"))</f>
        <v>#N/A</v>
      </c>
      <c r="F95" s="115" t="e">
        <f>INDIRECT(ADDRESS(246,MATCH(9000000000+307,'7.2- CAPRINO (SUBEXPLOT)'!246:246,1),1,,"7.2- CAPRINO (SUBEXPLOT)"))</f>
        <v>#N/A</v>
      </c>
      <c r="G95" s="441" t="e">
        <f>INDIRECT(ADDRESS(270,MATCH(9000000000+307,'7.2- CAPRINO (SUBEXPLOT)'!270:270,1),1,,"7.2- CAPRINO (SUBEXPLOT)"))</f>
        <v>#N/A</v>
      </c>
      <c r="H95" s="76" t="e">
        <f>INDIRECT(ADDRESS(194,MATCH(9000000000+307,'10.2- EQUINO (SUBEXPLOT)'!194:194,1),1,,"10.2- EQUINO (SUBEXPLOT)"))</f>
        <v>#N/A</v>
      </c>
      <c r="I95" s="77" t="e">
        <f>INDIRECT(ADDRESS(355,MATCH(9000000000+307,'10.2- EQUINO (SUBEXPLOT)'!355:355,1),1,,"10.2- EQUINO (SUBEXPLOT)"))-INDIRECT(ADDRESS(194,MATCH(9000000000+307,'10.2- EQUINO (SUBEXPLOT)'!194:194,1),1,,"10.2- EQUINO (SUBEXPLOT)"))</f>
        <v>#N/A</v>
      </c>
      <c r="J95" s="441" t="e">
        <f>INDIRECT(ADDRESS(355,MATCH(9000000000+307,'10.2- EQUINO (SUBEXPLOT)'!355:355,1),1,,"10.2- EQUINO (SUBEXPLOT)"))</f>
        <v>#N/A</v>
      </c>
      <c r="K95" s="459" t="e">
        <f>INDIRECT(ADDRESS(295,MATCH(9000000000+307,'9.2- APICULTURA (SUBEXPLOT)'!295:295,1),1,,"9.2- APICULTURA (SUBEXPLOT)"))</f>
        <v>#N/A</v>
      </c>
      <c r="L95"/>
      <c r="M95"/>
      <c r="V95" s="50"/>
      <c r="W95" s="50"/>
      <c r="X95" s="50"/>
      <c r="Y95" s="50"/>
      <c r="AB95" s="217"/>
    </row>
    <row r="96" ht="18" customHeight="1">
      <c r="B96" s="75" t="s">
        <v>12</v>
      </c>
      <c r="C96" s="99" t="e">
        <f>SUM(INDIRECT(ADDRESS(151,MATCH(9000000000+307,'7.2- CAPRINO (SUBEXPLOT)'!151:151,1),1,,"7.2- CAPRINO (SUBEXPLOT)")),INDIRECT(ADDRESS(199,MATCH(9000000000+307,'7.2- CAPRINO (SUBEXPLOT)'!199:199,1),1,,"7.2- CAPRINO (SUBEXPLOT)")))</f>
        <v>#N/A</v>
      </c>
      <c r="D96" s="115" t="e">
        <f>INDIRECT(ADDRESS(175,MATCH(9000000000+307,'7.2- CAPRINO (SUBEXPLOT)'!175:175,1),1,,"7.2- CAPRINO (SUBEXPLOT)"))</f>
        <v>#N/A</v>
      </c>
      <c r="E96" s="115" t="e">
        <f>INDIRECT(ADDRESS(223,MATCH(9000000000+307,'7.2- CAPRINO (SUBEXPLOT)'!223:223,1),1,,"7.2- CAPRINO (SUBEXPLOT)"))</f>
        <v>#N/A</v>
      </c>
      <c r="F96" s="115" t="e">
        <f>INDIRECT(ADDRESS(247,MATCH(9000000000+307,'7.2- CAPRINO (SUBEXPLOT)'!247:247,1),1,,"7.2- CAPRINO (SUBEXPLOT)"))</f>
        <v>#N/A</v>
      </c>
      <c r="G96" s="441" t="e">
        <f>INDIRECT(ADDRESS(271,MATCH(9000000000+307,'7.2- CAPRINO (SUBEXPLOT)'!271:271,1),1,,"7.2- CAPRINO (SUBEXPLOT)"))</f>
        <v>#N/A</v>
      </c>
      <c r="H96" s="76" t="e">
        <f>INDIRECT(ADDRESS(195,MATCH(9000000000+307,'10.2- EQUINO (SUBEXPLOT)'!195:195,1),1,,"10.2- EQUINO (SUBEXPLOT)"))</f>
        <v>#N/A</v>
      </c>
      <c r="I96" s="77" t="e">
        <f>INDIRECT(ADDRESS(356,MATCH(9000000000+307,'10.2- EQUINO (SUBEXPLOT)'!356:356,1),1,,"10.2- EQUINO (SUBEXPLOT)"))-INDIRECT(ADDRESS(195,MATCH(9000000000+307,'10.2- EQUINO (SUBEXPLOT)'!195:195,1),1,,"10.2- EQUINO (SUBEXPLOT)"))</f>
        <v>#N/A</v>
      </c>
      <c r="J96" s="441" t="e">
        <f>INDIRECT(ADDRESS(356,MATCH(9000000000+307,'10.2- EQUINO (SUBEXPLOT)'!356:356,1),1,,"10.2- EQUINO (SUBEXPLOT)"))</f>
        <v>#N/A</v>
      </c>
      <c r="K96" s="459" t="e">
        <f>INDIRECT(ADDRESS(296,MATCH(9000000000+307,'9.2- APICULTURA (SUBEXPLOT)'!296:296,1),1,,"9.2- APICULTURA (SUBEXPLOT)"))</f>
        <v>#N/A</v>
      </c>
      <c r="L96"/>
      <c r="M96"/>
      <c r="V96" s="50"/>
      <c r="W96" s="50"/>
      <c r="X96" s="50"/>
      <c r="Y96" s="50"/>
      <c r="AB96" s="217"/>
    </row>
    <row r="97" ht="18" customHeight="1">
      <c r="B97" s="75" t="s">
        <v>13</v>
      </c>
      <c r="C97" s="99" t="e">
        <f>SUM(INDIRECT(ADDRESS(152,MATCH(9000000000+307,'7.2- CAPRINO (SUBEXPLOT)'!152:152,1),1,,"7.2- CAPRINO (SUBEXPLOT)")),INDIRECT(ADDRESS(200,MATCH(9000000000+307,'7.2- CAPRINO (SUBEXPLOT)'!200:200,1),1,,"7.2- CAPRINO (SUBEXPLOT)")))</f>
        <v>#N/A</v>
      </c>
      <c r="D97" s="115" t="e">
        <f>INDIRECT(ADDRESS(176,MATCH(9000000000+307,'7.2- CAPRINO (SUBEXPLOT)'!176:176,1),1,,"7.2- CAPRINO (SUBEXPLOT)"))</f>
        <v>#N/A</v>
      </c>
      <c r="E97" s="115" t="e">
        <f>INDIRECT(ADDRESS(224,MATCH(9000000000+307,'7.2- CAPRINO (SUBEXPLOT)'!224:224,1),1,,"7.2- CAPRINO (SUBEXPLOT)"))</f>
        <v>#N/A</v>
      </c>
      <c r="F97" s="115" t="e">
        <f>INDIRECT(ADDRESS(248,MATCH(9000000000+307,'7.2- CAPRINO (SUBEXPLOT)'!248:248,1),1,,"7.2- CAPRINO (SUBEXPLOT)"))</f>
        <v>#N/A</v>
      </c>
      <c r="G97" s="441" t="e">
        <f>INDIRECT(ADDRESS(272,MATCH(9000000000+307,'7.2- CAPRINO (SUBEXPLOT)'!272:272,1),1,,"7.2- CAPRINO (SUBEXPLOT)"))</f>
        <v>#N/A</v>
      </c>
      <c r="H97" s="76" t="e">
        <f>INDIRECT(ADDRESS(196,MATCH(9000000000+307,'10.2- EQUINO (SUBEXPLOT)'!196:196,1),1,,"10.2- EQUINO (SUBEXPLOT)"))</f>
        <v>#N/A</v>
      </c>
      <c r="I97" s="77" t="e">
        <f>INDIRECT(ADDRESS(357,MATCH(9000000000+307,'10.2- EQUINO (SUBEXPLOT)'!357:357,1),1,,"10.2- EQUINO (SUBEXPLOT)"))-INDIRECT(ADDRESS(196,MATCH(9000000000+307,'10.2- EQUINO (SUBEXPLOT)'!196:196,1),1,,"10.2- EQUINO (SUBEXPLOT)"))</f>
        <v>#N/A</v>
      </c>
      <c r="J97" s="441" t="e">
        <f>INDIRECT(ADDRESS(357,MATCH(9000000000+307,'10.2- EQUINO (SUBEXPLOT)'!357:357,1),1,,"10.2- EQUINO (SUBEXPLOT)"))</f>
        <v>#N/A</v>
      </c>
      <c r="K97" s="459" t="e">
        <f>INDIRECT(ADDRESS(297,MATCH(9000000000+307,'9.2- APICULTURA (SUBEXPLOT)'!297:297,1),1,,"9.2- APICULTURA (SUBEXPLOT)"))</f>
        <v>#N/A</v>
      </c>
      <c r="L97"/>
      <c r="M97"/>
      <c r="V97" s="50"/>
      <c r="W97" s="50"/>
      <c r="X97" s="50"/>
      <c r="Y97" s="50"/>
      <c r="AB97" s="217"/>
    </row>
    <row r="98" ht="18" customHeight="1">
      <c r="B98" s="75" t="s">
        <v>37</v>
      </c>
      <c r="C98" s="99" t="e">
        <f>SUM(INDIRECT(ADDRESS(153,MATCH(9000000000+307,'7.2- CAPRINO (SUBEXPLOT)'!153:153,1),1,,"7.2- CAPRINO (SUBEXPLOT)")),INDIRECT(ADDRESS(201,MATCH(9000000000+307,'7.2- CAPRINO (SUBEXPLOT)'!201:201,1),1,,"7.2- CAPRINO (SUBEXPLOT)")))</f>
        <v>#N/A</v>
      </c>
      <c r="D98" s="115" t="e">
        <f>INDIRECT(ADDRESS(177,MATCH(9000000000+307,'7.2- CAPRINO (SUBEXPLOT)'!177:177,1),1,,"7.2- CAPRINO (SUBEXPLOT)"))</f>
        <v>#N/A</v>
      </c>
      <c r="E98" s="115" t="e">
        <f>INDIRECT(ADDRESS(225,MATCH(9000000000+307,'7.2- CAPRINO (SUBEXPLOT)'!225:225,1),1,,"7.2- CAPRINO (SUBEXPLOT)"))</f>
        <v>#N/A</v>
      </c>
      <c r="F98" s="115" t="e">
        <f>INDIRECT(ADDRESS(249,MATCH(9000000000+307,'7.2- CAPRINO (SUBEXPLOT)'!249:249,1),1,,"7.2- CAPRINO (SUBEXPLOT)"))</f>
        <v>#N/A</v>
      </c>
      <c r="G98" s="441" t="e">
        <f>INDIRECT(ADDRESS(273,MATCH(9000000000+307,'7.2- CAPRINO (SUBEXPLOT)'!273:273,1),1,,"7.2- CAPRINO (SUBEXPLOT)"))</f>
        <v>#N/A</v>
      </c>
      <c r="H98" s="76" t="e">
        <f>INDIRECT(ADDRESS(197,MATCH(9000000000+307,'10.2- EQUINO (SUBEXPLOT)'!197:197,1),1,,"10.2- EQUINO (SUBEXPLOT)"))</f>
        <v>#N/A</v>
      </c>
      <c r="I98" s="77" t="e">
        <f>INDIRECT(ADDRESS(358,MATCH(9000000000+307,'10.2- EQUINO (SUBEXPLOT)'!358:358,1),1,,"10.2- EQUINO (SUBEXPLOT)"))-INDIRECT(ADDRESS(197,MATCH(9000000000+307,'10.2- EQUINO (SUBEXPLOT)'!197:197,1),1,,"10.2- EQUINO (SUBEXPLOT)"))</f>
        <v>#N/A</v>
      </c>
      <c r="J98" s="441" t="e">
        <f>INDIRECT(ADDRESS(358,MATCH(9000000000+307,'10.2- EQUINO (SUBEXPLOT)'!358:358,1),1,,"10.2- EQUINO (SUBEXPLOT)"))</f>
        <v>#N/A</v>
      </c>
      <c r="K98" s="459" t="e">
        <f>INDIRECT(ADDRESS(298,MATCH(9000000000+307,'9.2- APICULTURA (SUBEXPLOT)'!298:298,1),1,,"9.2- APICULTURA (SUBEXPLOT)"))</f>
        <v>#N/A</v>
      </c>
      <c r="L98"/>
      <c r="M98"/>
      <c r="V98" s="50"/>
      <c r="W98" s="50"/>
      <c r="X98" s="50"/>
      <c r="Y98" s="50"/>
      <c r="AB98" s="217"/>
    </row>
    <row r="99" ht="18" customHeight="1">
      <c r="B99" s="75" t="s">
        <v>38</v>
      </c>
      <c r="C99" s="99" t="e">
        <f>SUM(INDIRECT(ADDRESS(154,MATCH(9000000000+307,'7.2- CAPRINO (SUBEXPLOT)'!154:154,1),1,,"7.2- CAPRINO (SUBEXPLOT)")),INDIRECT(ADDRESS(202,MATCH(9000000000+307,'7.2- CAPRINO (SUBEXPLOT)'!202:202,1),1,,"7.2- CAPRINO (SUBEXPLOT)")))</f>
        <v>#N/A</v>
      </c>
      <c r="D99" s="115" t="e">
        <f>INDIRECT(ADDRESS(178,MATCH(9000000000+307,'7.2- CAPRINO (SUBEXPLOT)'!178:178,1),1,,"7.2- CAPRINO (SUBEXPLOT)"))</f>
        <v>#N/A</v>
      </c>
      <c r="E99" s="115" t="e">
        <f>INDIRECT(ADDRESS(226,MATCH(9000000000+307,'7.2- CAPRINO (SUBEXPLOT)'!226:226,1),1,,"7.2- CAPRINO (SUBEXPLOT)"))</f>
        <v>#N/A</v>
      </c>
      <c r="F99" s="115" t="e">
        <f>INDIRECT(ADDRESS(250,MATCH(9000000000+307,'7.2- CAPRINO (SUBEXPLOT)'!250:250,1),1,,"7.2- CAPRINO (SUBEXPLOT)"))</f>
        <v>#N/A</v>
      </c>
      <c r="G99" s="441" t="e">
        <f>INDIRECT(ADDRESS(274,MATCH(9000000000+307,'7.2- CAPRINO (SUBEXPLOT)'!274:274,1),1,,"7.2- CAPRINO (SUBEXPLOT)"))</f>
        <v>#N/A</v>
      </c>
      <c r="H99" s="76" t="e">
        <f>INDIRECT(ADDRESS(198,MATCH(9000000000+307,'10.2- EQUINO (SUBEXPLOT)'!198:198,1),1,,"10.2- EQUINO (SUBEXPLOT)"))</f>
        <v>#N/A</v>
      </c>
      <c r="I99" s="77" t="e">
        <f>INDIRECT(ADDRESS(359,MATCH(9000000000+307,'10.2- EQUINO (SUBEXPLOT)'!359:359,1),1,,"10.2- EQUINO (SUBEXPLOT)"))-INDIRECT(ADDRESS(198,MATCH(9000000000+307,'10.2- EQUINO (SUBEXPLOT)'!198:198,1),1,,"10.2- EQUINO (SUBEXPLOT)"))</f>
        <v>#N/A</v>
      </c>
      <c r="J99" s="441" t="e">
        <f>INDIRECT(ADDRESS(359,MATCH(9000000000+307,'10.2- EQUINO (SUBEXPLOT)'!359:359,1),1,,"10.2- EQUINO (SUBEXPLOT)"))</f>
        <v>#N/A</v>
      </c>
      <c r="K99" s="459" t="e">
        <f>INDIRECT(ADDRESS(299,MATCH(9000000000+307,'9.2- APICULTURA (SUBEXPLOT)'!299:299,1),1,,"9.2- APICULTURA (SUBEXPLOT)"))</f>
        <v>#N/A</v>
      </c>
      <c r="L99"/>
      <c r="M99"/>
      <c r="V99" s="50"/>
      <c r="W99" s="50"/>
      <c r="X99" s="50"/>
      <c r="Y99" s="50"/>
      <c r="AB99" s="217"/>
    </row>
    <row r="100" ht="19.5" customHeight="1">
      <c r="B100" s="75" t="s">
        <v>16</v>
      </c>
      <c r="C100" s="99" t="e">
        <f>SUM(INDIRECT(ADDRESS(155,MATCH(9000000000+307,'7.2- CAPRINO (SUBEXPLOT)'!155:155,1),1,,"7.2- CAPRINO (SUBEXPLOT)")),INDIRECT(ADDRESS(203,MATCH(9000000000+307,'7.2- CAPRINO (SUBEXPLOT)'!203:203,1),1,,"7.2- CAPRINO (SUBEXPLOT)")))</f>
        <v>#N/A</v>
      </c>
      <c r="D100" s="115" t="e">
        <f>INDIRECT(ADDRESS(179,MATCH(9000000000+307,'7.2- CAPRINO (SUBEXPLOT)'!179:179,1),1,,"7.2- CAPRINO (SUBEXPLOT)"))</f>
        <v>#N/A</v>
      </c>
      <c r="E100" s="115" t="e">
        <f>INDIRECT(ADDRESS(227,MATCH(9000000000+307,'7.2- CAPRINO (SUBEXPLOT)'!227:227,1),1,,"7.2- CAPRINO (SUBEXPLOT)"))</f>
        <v>#N/A</v>
      </c>
      <c r="F100" s="115" t="e">
        <f>INDIRECT(ADDRESS(251,MATCH(9000000000+307,'7.2- CAPRINO (SUBEXPLOT)'!251:251,1),1,,"7.2- CAPRINO (SUBEXPLOT)"))</f>
        <v>#N/A</v>
      </c>
      <c r="G100" s="441" t="e">
        <f>INDIRECT(ADDRESS(275,MATCH(9000000000+307,'7.2- CAPRINO (SUBEXPLOT)'!275:275,1),1,,"7.2- CAPRINO (SUBEXPLOT)"))</f>
        <v>#N/A</v>
      </c>
      <c r="H100" s="76" t="e">
        <f>INDIRECT(ADDRESS(199,MATCH(9000000000+307,'10.2- EQUINO (SUBEXPLOT)'!199:199,1),1,,"10.2- EQUINO (SUBEXPLOT)"))</f>
        <v>#N/A</v>
      </c>
      <c r="I100" s="77" t="e">
        <f>INDIRECT(ADDRESS(360,MATCH(9000000000+307,'10.2- EQUINO (SUBEXPLOT)'!360:360,1),1,,"10.2- EQUINO (SUBEXPLOT)"))-INDIRECT(ADDRESS(199,MATCH(9000000000+307,'10.2- EQUINO (SUBEXPLOT)'!199:199,1),1,,"10.2- EQUINO (SUBEXPLOT)"))</f>
        <v>#N/A</v>
      </c>
      <c r="J100" s="441" t="e">
        <f>INDIRECT(ADDRESS(360,MATCH(9000000000+307,'10.2- EQUINO (SUBEXPLOT)'!360:360,1),1,,"10.2- EQUINO (SUBEXPLOT)"))</f>
        <v>#N/A</v>
      </c>
      <c r="K100" s="459" t="e">
        <f>INDIRECT(ADDRESS(300,MATCH(9000000000+307,'9.2- APICULTURA (SUBEXPLOT)'!300:300,1),1,,"9.2- APICULTURA (SUBEXPLOT)"))</f>
        <v>#N/A</v>
      </c>
      <c r="L100"/>
      <c r="M100"/>
      <c r="V100" s="50"/>
      <c r="W100" s="50"/>
      <c r="X100" s="50"/>
      <c r="Y100" s="50"/>
      <c r="AB100" s="217"/>
    </row>
    <row r="101" ht="19.5" customHeight="1">
      <c r="B101" s="75" t="s">
        <v>17</v>
      </c>
      <c r="C101" s="99" t="e">
        <f>SUM(INDIRECT(ADDRESS(156,MATCH(9000000000+307,'7.2- CAPRINO (SUBEXPLOT)'!156:156,1),1,,"7.2- CAPRINO (SUBEXPLOT)")),INDIRECT(ADDRESS(204,MATCH(9000000000+307,'7.2- CAPRINO (SUBEXPLOT)'!204:204,1),1,,"7.2- CAPRINO (SUBEXPLOT)")))</f>
        <v>#N/A</v>
      </c>
      <c r="D101" s="115" t="e">
        <f>INDIRECT(ADDRESS(180,MATCH(9000000000+307,'7.2- CAPRINO (SUBEXPLOT)'!180:180,1),1,,"7.2- CAPRINO (SUBEXPLOT)"))</f>
        <v>#N/A</v>
      </c>
      <c r="E101" s="115" t="e">
        <f>INDIRECT(ADDRESS(228,MATCH(9000000000+307,'7.2- CAPRINO (SUBEXPLOT)'!228:228,1),1,,"7.2- CAPRINO (SUBEXPLOT)"))</f>
        <v>#N/A</v>
      </c>
      <c r="F101" s="115" t="e">
        <f>INDIRECT(ADDRESS(252,MATCH(9000000000+307,'7.2- CAPRINO (SUBEXPLOT)'!252:252,1),1,,"7.2- CAPRINO (SUBEXPLOT)"))</f>
        <v>#N/A</v>
      </c>
      <c r="G101" s="441" t="e">
        <f>INDIRECT(ADDRESS(276,MATCH(9000000000+307,'7.2- CAPRINO (SUBEXPLOT)'!276:276,1),1,,"7.2- CAPRINO (SUBEXPLOT)"))</f>
        <v>#N/A</v>
      </c>
      <c r="H101" s="76" t="e">
        <f>INDIRECT(ADDRESS(200,MATCH(9000000000+307,'10.2- EQUINO (SUBEXPLOT)'!200:200,1),1,,"10.2- EQUINO (SUBEXPLOT)"))</f>
        <v>#N/A</v>
      </c>
      <c r="I101" s="77" t="e">
        <f>INDIRECT(ADDRESS(361,MATCH(9000000000+307,'10.2- EQUINO (SUBEXPLOT)'!361:361,1),1,,"10.2- EQUINO (SUBEXPLOT)"))-INDIRECT(ADDRESS(200,MATCH(9000000000+307,'10.2- EQUINO (SUBEXPLOT)'!200:200,1),1,,"10.2- EQUINO (SUBEXPLOT)"))</f>
        <v>#N/A</v>
      </c>
      <c r="J101" s="441" t="e">
        <f>INDIRECT(ADDRESS(361,MATCH(9000000000+307,'10.2- EQUINO (SUBEXPLOT)'!361:361,1),1,,"10.2- EQUINO (SUBEXPLOT)"))</f>
        <v>#N/A</v>
      </c>
      <c r="K101" s="459" t="e">
        <f>INDIRECT(ADDRESS(301,MATCH(9000000000+307,'9.2- APICULTURA (SUBEXPLOT)'!301:301,1),1,,"9.2- APICULTURA (SUBEXPLOT)"))</f>
        <v>#N/A</v>
      </c>
      <c r="L101"/>
      <c r="M101"/>
      <c r="V101" s="50"/>
      <c r="W101" s="50"/>
      <c r="X101" s="50"/>
      <c r="Y101" s="50"/>
      <c r="AB101" s="217"/>
    </row>
    <row r="102" ht="19.5" customHeight="1">
      <c r="B102" s="75" t="s">
        <v>18</v>
      </c>
      <c r="C102" s="99" t="e">
        <f>SUM(INDIRECT(ADDRESS(157,MATCH(9000000000+307,'7.2- CAPRINO (SUBEXPLOT)'!157:157,1),1,,"7.2- CAPRINO (SUBEXPLOT)")),INDIRECT(ADDRESS(205,MATCH(9000000000+307,'7.2- CAPRINO (SUBEXPLOT)'!205:205,1),1,,"7.2- CAPRINO (SUBEXPLOT)")))</f>
        <v>#N/A</v>
      </c>
      <c r="D102" s="115" t="e">
        <f>INDIRECT(ADDRESS(181,MATCH(9000000000+307,'7.2- CAPRINO (SUBEXPLOT)'!181:181,1),1,,"7.2- CAPRINO (SUBEXPLOT)"))</f>
        <v>#N/A</v>
      </c>
      <c r="E102" s="115" t="e">
        <f>INDIRECT(ADDRESS(229,MATCH(9000000000+307,'7.2- CAPRINO (SUBEXPLOT)'!229:229,1),1,,"7.2- CAPRINO (SUBEXPLOT)"))</f>
        <v>#N/A</v>
      </c>
      <c r="F102" s="115" t="e">
        <f>INDIRECT(ADDRESS(253,MATCH(9000000000+307,'7.2- CAPRINO (SUBEXPLOT)'!253:253,1),1,,"7.2- CAPRINO (SUBEXPLOT)"))</f>
        <v>#N/A</v>
      </c>
      <c r="G102" s="441" t="e">
        <f>INDIRECT(ADDRESS(277,MATCH(9000000000+307,'7.2- CAPRINO (SUBEXPLOT)'!277:277,1),1,,"7.2- CAPRINO (SUBEXPLOT)"))</f>
        <v>#N/A</v>
      </c>
      <c r="H102" s="76" t="e">
        <f>INDIRECT(ADDRESS(201,MATCH(9000000000+307,'10.2- EQUINO (SUBEXPLOT)'!201:201,1),1,,"10.2- EQUINO (SUBEXPLOT)"))</f>
        <v>#N/A</v>
      </c>
      <c r="I102" s="77" t="e">
        <f>INDIRECT(ADDRESS(362,MATCH(9000000000+307,'10.2- EQUINO (SUBEXPLOT)'!362:362,1),1,,"10.2- EQUINO (SUBEXPLOT)"))-INDIRECT(ADDRESS(201,MATCH(9000000000+307,'10.2- EQUINO (SUBEXPLOT)'!201:201,1),1,,"10.2- EQUINO (SUBEXPLOT)"))</f>
        <v>#N/A</v>
      </c>
      <c r="J102" s="441" t="e">
        <f>INDIRECT(ADDRESS(362,MATCH(9000000000+307,'10.2- EQUINO (SUBEXPLOT)'!362:362,1),1,,"10.2- EQUINO (SUBEXPLOT)"))</f>
        <v>#N/A</v>
      </c>
      <c r="K102" s="459" t="e">
        <f>INDIRECT(ADDRESS(302,MATCH(9000000000+307,'9.2- APICULTURA (SUBEXPLOT)'!302:302,1),1,,"9.2- APICULTURA (SUBEXPLOT)"))</f>
        <v>#N/A</v>
      </c>
      <c r="L102"/>
      <c r="M102"/>
      <c r="V102" s="50"/>
      <c r="W102" s="50"/>
      <c r="X102" s="50"/>
      <c r="Y102" s="50"/>
      <c r="AB102" s="217"/>
    </row>
    <row r="103" ht="17.25" customHeight="1">
      <c r="B103" s="75" t="s">
        <v>19</v>
      </c>
      <c r="C103" s="99" t="e">
        <f>SUM(INDIRECT(ADDRESS(158,MATCH(9000000000+307,'7.2- CAPRINO (SUBEXPLOT)'!158:158,1),1,,"7.2- CAPRINO (SUBEXPLOT)")),INDIRECT(ADDRESS(206,MATCH(9000000000+307,'7.2- CAPRINO (SUBEXPLOT)'!206:206,1),1,,"7.2- CAPRINO (SUBEXPLOT)")))</f>
        <v>#N/A</v>
      </c>
      <c r="D103" s="115" t="e">
        <f>INDIRECT(ADDRESS(182,MATCH(9000000000+307,'7.2- CAPRINO (SUBEXPLOT)'!182:182,1),1,,"7.2- CAPRINO (SUBEXPLOT)"))</f>
        <v>#N/A</v>
      </c>
      <c r="E103" s="115" t="e">
        <f>INDIRECT(ADDRESS(230,MATCH(9000000000+307,'7.2- CAPRINO (SUBEXPLOT)'!230:230,1),1,,"7.2- CAPRINO (SUBEXPLOT)"))</f>
        <v>#N/A</v>
      </c>
      <c r="F103" s="115" t="e">
        <f>INDIRECT(ADDRESS(254,MATCH(9000000000+307,'7.2- CAPRINO (SUBEXPLOT)'!254:254,1),1,,"7.2- CAPRINO (SUBEXPLOT)"))</f>
        <v>#N/A</v>
      </c>
      <c r="G103" s="441" t="e">
        <f>INDIRECT(ADDRESS(278,MATCH(9000000000+307,'7.2- CAPRINO (SUBEXPLOT)'!278:278,1),1,,"7.2- CAPRINO (SUBEXPLOT)"))</f>
        <v>#N/A</v>
      </c>
      <c r="H103" s="76" t="e">
        <f>INDIRECT(ADDRESS(202,MATCH(9000000000+307,'10.2- EQUINO (SUBEXPLOT)'!202:202,1),1,,"10.2- EQUINO (SUBEXPLOT)"))</f>
        <v>#N/A</v>
      </c>
      <c r="I103" s="77" t="e">
        <f>INDIRECT(ADDRESS(363,MATCH(9000000000+307,'10.2- EQUINO (SUBEXPLOT)'!363:363,1),1,,"10.2- EQUINO (SUBEXPLOT)"))-INDIRECT(ADDRESS(202,MATCH(9000000000+307,'10.2- EQUINO (SUBEXPLOT)'!202:202,1),1,,"10.2- EQUINO (SUBEXPLOT)"))</f>
        <v>#N/A</v>
      </c>
      <c r="J103" s="441" t="e">
        <f>INDIRECT(ADDRESS(363,MATCH(9000000000+307,'10.2- EQUINO (SUBEXPLOT)'!363:363,1),1,,"10.2- EQUINO (SUBEXPLOT)"))</f>
        <v>#N/A</v>
      </c>
      <c r="K103" s="459" t="e">
        <f>INDIRECT(ADDRESS(303,MATCH(9000000000+307,'9.2- APICULTURA (SUBEXPLOT)'!303:303,1),1,,"9.2- APICULTURA (SUBEXPLOT)"))</f>
        <v>#N/A</v>
      </c>
      <c r="L103"/>
      <c r="M103"/>
      <c r="V103" s="50"/>
      <c r="W103" s="50"/>
      <c r="X103" s="50"/>
      <c r="Y103" s="50"/>
      <c r="AB103" s="217"/>
    </row>
    <row r="104" ht="20.25" customHeight="1">
      <c r="B104" s="75" t="s">
        <v>20</v>
      </c>
      <c r="C104" s="99" t="e">
        <f>SUM(INDIRECT(ADDRESS(159,MATCH(9000000000+307,'7.2- CAPRINO (SUBEXPLOT)'!159:159,1),1,,"7.2- CAPRINO (SUBEXPLOT)")),INDIRECT(ADDRESS(207,MATCH(9000000000+307,'7.2- CAPRINO (SUBEXPLOT)'!207:207,1),1,,"7.2- CAPRINO (SUBEXPLOT)")))</f>
        <v>#N/A</v>
      </c>
      <c r="D104" s="115" t="e">
        <f>INDIRECT(ADDRESS(183,MATCH(9000000000+307,'7.2- CAPRINO (SUBEXPLOT)'!183:183,1),1,,"7.2- CAPRINO (SUBEXPLOT)"))</f>
        <v>#N/A</v>
      </c>
      <c r="E104" s="115" t="e">
        <f>INDIRECT(ADDRESS(231,MATCH(9000000000+307,'7.2- CAPRINO (SUBEXPLOT)'!231:231,1),1,,"7.2- CAPRINO (SUBEXPLOT)"))</f>
        <v>#N/A</v>
      </c>
      <c r="F104" s="115" t="e">
        <f>INDIRECT(ADDRESS(255,MATCH(9000000000+307,'7.2- CAPRINO (SUBEXPLOT)'!255:255,1),1,,"7.2- CAPRINO (SUBEXPLOT)"))</f>
        <v>#N/A</v>
      </c>
      <c r="G104" s="441" t="e">
        <f>INDIRECT(ADDRESS(279,MATCH(9000000000+307,'7.2- CAPRINO (SUBEXPLOT)'!279:279,1),1,,"7.2- CAPRINO (SUBEXPLOT)"))</f>
        <v>#N/A</v>
      </c>
      <c r="H104" s="76" t="e">
        <f>INDIRECT(ADDRESS(203,MATCH(9000000000+307,'10.2- EQUINO (SUBEXPLOT)'!203:203,1),1,,"10.2- EQUINO (SUBEXPLOT)"))</f>
        <v>#N/A</v>
      </c>
      <c r="I104" s="77" t="e">
        <f>INDIRECT(ADDRESS(364,MATCH(9000000000+307,'10.2- EQUINO (SUBEXPLOT)'!364:364,1),1,,"10.2- EQUINO (SUBEXPLOT)"))-INDIRECT(ADDRESS(203,MATCH(9000000000+307,'10.2- EQUINO (SUBEXPLOT)'!203:203,1),1,,"10.2- EQUINO (SUBEXPLOT)"))</f>
        <v>#N/A</v>
      </c>
      <c r="J104" s="441" t="e">
        <f>INDIRECT(ADDRESS(364,MATCH(9000000000+307,'10.2- EQUINO (SUBEXPLOT)'!364:364,1),1,,"10.2- EQUINO (SUBEXPLOT)"))</f>
        <v>#N/A</v>
      </c>
      <c r="K104" s="459" t="e">
        <f>INDIRECT(ADDRESS(304,MATCH(9000000000+307,'9.2- APICULTURA (SUBEXPLOT)'!304:304,1),1,,"9.2- APICULTURA (SUBEXPLOT)"))</f>
        <v>#N/A</v>
      </c>
      <c r="L104"/>
      <c r="M104"/>
      <c r="V104" s="50"/>
      <c r="W104" s="50"/>
      <c r="X104" s="50"/>
      <c r="Y104" s="50"/>
      <c r="AB104" s="217"/>
    </row>
    <row r="105" ht="19.5" customHeight="1">
      <c r="B105" s="75" t="s">
        <v>21</v>
      </c>
      <c r="C105" s="99" t="e">
        <f>SUM(INDIRECT(ADDRESS(160,MATCH(9000000000+307,'7.2- CAPRINO (SUBEXPLOT)'!160:160,1),1,,"7.2- CAPRINO (SUBEXPLOT)")),INDIRECT(ADDRESS(208,MATCH(9000000000+307,'7.2- CAPRINO (SUBEXPLOT)'!208:208,1),1,,"7.2- CAPRINO (SUBEXPLOT)")))</f>
        <v>#N/A</v>
      </c>
      <c r="D105" s="115" t="e">
        <f>INDIRECT(ADDRESS(184,MATCH(9000000000+307,'7.2- CAPRINO (SUBEXPLOT)'!184:184,1),1,,"7.2- CAPRINO (SUBEXPLOT)"))</f>
        <v>#N/A</v>
      </c>
      <c r="E105" s="115" t="e">
        <f>INDIRECT(ADDRESS(232,MATCH(9000000000+307,'7.2- CAPRINO (SUBEXPLOT)'!232:232,1),1,,"7.2- CAPRINO (SUBEXPLOT)"))</f>
        <v>#N/A</v>
      </c>
      <c r="F105" s="115" t="e">
        <f>INDIRECT(ADDRESS(256,MATCH(9000000000+307,'7.2- CAPRINO (SUBEXPLOT)'!256:256,1),1,,"7.2- CAPRINO (SUBEXPLOT)"))</f>
        <v>#N/A</v>
      </c>
      <c r="G105" s="441" t="e">
        <f>INDIRECT(ADDRESS(280,MATCH(9000000000+307,'7.2- CAPRINO (SUBEXPLOT)'!280:280,1),1,,"7.2- CAPRINO (SUBEXPLOT)"))</f>
        <v>#N/A</v>
      </c>
      <c r="H105" s="76" t="e">
        <f>INDIRECT(ADDRESS(204,MATCH(9000000000+307,'10.2- EQUINO (SUBEXPLOT)'!204:204,1),1,,"10.2- EQUINO (SUBEXPLOT)"))</f>
        <v>#N/A</v>
      </c>
      <c r="I105" s="77" t="e">
        <f>INDIRECT(ADDRESS(365,MATCH(9000000000+307,'10.2- EQUINO (SUBEXPLOT)'!365:365,1),1,,"10.2- EQUINO (SUBEXPLOT)"))-INDIRECT(ADDRESS(204,MATCH(9000000000+307,'10.2- EQUINO (SUBEXPLOT)'!204:204,1),1,,"10.2- EQUINO (SUBEXPLOT)"))</f>
        <v>#N/A</v>
      </c>
      <c r="J105" s="441" t="e">
        <f>INDIRECT(ADDRESS(365,MATCH(9000000000+307,'10.2- EQUINO (SUBEXPLOT)'!365:365,1),1,,"10.2- EQUINO (SUBEXPLOT)"))</f>
        <v>#N/A</v>
      </c>
      <c r="K105" s="459" t="e">
        <f>INDIRECT(ADDRESS(305,MATCH(9000000000+307,'9.2- APICULTURA (SUBEXPLOT)'!305:305,1),1,,"9.2- APICULTURA (SUBEXPLOT)"))</f>
        <v>#N/A</v>
      </c>
      <c r="L105"/>
      <c r="M105"/>
      <c r="V105" s="50"/>
      <c r="W105" s="50"/>
      <c r="X105" s="50"/>
      <c r="Y105" s="50"/>
      <c r="AB105" s="217"/>
    </row>
    <row r="106" ht="19.5" customHeight="1">
      <c r="B106" s="75" t="s">
        <v>22</v>
      </c>
      <c r="C106" s="99" t="e">
        <f>SUM(INDIRECT(ADDRESS(161,MATCH(9000000000+307,'7.2- CAPRINO (SUBEXPLOT)'!161:161,1),1,,"7.2- CAPRINO (SUBEXPLOT)")),INDIRECT(ADDRESS(209,MATCH(9000000000+307,'7.2- CAPRINO (SUBEXPLOT)'!209:209,1),1,,"7.2- CAPRINO (SUBEXPLOT)")))</f>
        <v>#N/A</v>
      </c>
      <c r="D106" s="115" t="e">
        <f>INDIRECT(ADDRESS(185,MATCH(9000000000+307,'7.2- CAPRINO (SUBEXPLOT)'!185:185,1),1,,"7.2- CAPRINO (SUBEXPLOT)"))</f>
        <v>#N/A</v>
      </c>
      <c r="E106" s="115" t="e">
        <f>INDIRECT(ADDRESS(233,MATCH(9000000000+307,'7.2- CAPRINO (SUBEXPLOT)'!233:233,1),1,,"7.2- CAPRINO (SUBEXPLOT)"))</f>
        <v>#N/A</v>
      </c>
      <c r="F106" s="115" t="e">
        <f>INDIRECT(ADDRESS(257,MATCH(9000000000+307,'7.2- CAPRINO (SUBEXPLOT)'!257:257,1),1,,"7.2- CAPRINO (SUBEXPLOT)"))</f>
        <v>#N/A</v>
      </c>
      <c r="G106" s="441" t="e">
        <f>INDIRECT(ADDRESS(281,MATCH(9000000000+307,'7.2- CAPRINO (SUBEXPLOT)'!281:281,1),1,,"7.2- CAPRINO (SUBEXPLOT)"))</f>
        <v>#N/A</v>
      </c>
      <c r="H106" s="76" t="e">
        <f>INDIRECT(ADDRESS(205,MATCH(9000000000+307,'10.2- EQUINO (SUBEXPLOT)'!205:205,1),1,,"10.2- EQUINO (SUBEXPLOT)"))</f>
        <v>#N/A</v>
      </c>
      <c r="I106" s="77" t="e">
        <f>INDIRECT(ADDRESS(366,MATCH(9000000000+307,'10.2- EQUINO (SUBEXPLOT)'!366:366,1),1,,"10.2- EQUINO (SUBEXPLOT)"))-INDIRECT(ADDRESS(205,MATCH(9000000000+307,'10.2- EQUINO (SUBEXPLOT)'!205:205,1),1,,"10.2- EQUINO (SUBEXPLOT)"))</f>
        <v>#N/A</v>
      </c>
      <c r="J106" s="441" t="e">
        <f>INDIRECT(ADDRESS(366,MATCH(9000000000+307,'10.2- EQUINO (SUBEXPLOT)'!366:366,1),1,,"10.2- EQUINO (SUBEXPLOT)"))</f>
        <v>#N/A</v>
      </c>
      <c r="K106" s="459" t="e">
        <f>INDIRECT(ADDRESS(306,MATCH(9000000000+307,'9.2- APICULTURA (SUBEXPLOT)'!306:306,1),1,,"9.2- APICULTURA (SUBEXPLOT)"))</f>
        <v>#N/A</v>
      </c>
      <c r="L106"/>
      <c r="M106"/>
      <c r="W106" s="50"/>
      <c r="X106" s="50"/>
      <c r="Y106" s="50"/>
      <c r="AB106" s="217"/>
    </row>
    <row r="107" ht="19.5" customHeight="1">
      <c r="B107" s="75" t="s">
        <v>23</v>
      </c>
      <c r="C107" s="99" t="e">
        <f>SUM(INDIRECT(ADDRESS(162,MATCH(9000000000+307,'7.2- CAPRINO (SUBEXPLOT)'!162:162,1),1,,"7.2- CAPRINO (SUBEXPLOT)")),INDIRECT(ADDRESS(210,MATCH(9000000000+307,'7.2- CAPRINO (SUBEXPLOT)'!210:210,1),1,,"7.2- CAPRINO (SUBEXPLOT)")))</f>
        <v>#N/A</v>
      </c>
      <c r="D107" s="115" t="e">
        <f>INDIRECT(ADDRESS(186,MATCH(9000000000+307,'7.2- CAPRINO (SUBEXPLOT)'!186:186,1),1,,"7.2- CAPRINO (SUBEXPLOT)"))</f>
        <v>#N/A</v>
      </c>
      <c r="E107" s="115" t="e">
        <f>INDIRECT(ADDRESS(234,MATCH(9000000000+307,'7.2- CAPRINO (SUBEXPLOT)'!234:234,1),1,,"7.2- CAPRINO (SUBEXPLOT)"))</f>
        <v>#N/A</v>
      </c>
      <c r="F107" s="115" t="e">
        <f>INDIRECT(ADDRESS(258,MATCH(9000000000+307,'7.2- CAPRINO (SUBEXPLOT)'!258:258,1),1,,"7.2- CAPRINO (SUBEXPLOT)"))</f>
        <v>#N/A</v>
      </c>
      <c r="G107" s="441" t="e">
        <f>INDIRECT(ADDRESS(282,MATCH(9000000000+307,'7.2- CAPRINO (SUBEXPLOT)'!282:282,1),1,,"7.2- CAPRINO (SUBEXPLOT)"))</f>
        <v>#N/A</v>
      </c>
      <c r="H107" s="76" t="e">
        <f>INDIRECT(ADDRESS(206,MATCH(9000000000+307,'10.2- EQUINO (SUBEXPLOT)'!206:206,1),1,,"10.2- EQUINO (SUBEXPLOT)"))</f>
        <v>#N/A</v>
      </c>
      <c r="I107" s="77" t="e">
        <f>INDIRECT(ADDRESS(367,MATCH(9000000000+307,'10.2- EQUINO (SUBEXPLOT)'!367:367,1),1,,"10.2- EQUINO (SUBEXPLOT)"))-INDIRECT(ADDRESS(206,MATCH(9000000000+307,'10.2- EQUINO (SUBEXPLOT)'!206:206,1),1,,"10.2- EQUINO (SUBEXPLOT)"))</f>
        <v>#N/A</v>
      </c>
      <c r="J107" s="441" t="e">
        <f>INDIRECT(ADDRESS(367,MATCH(9000000000+307,'10.2- EQUINO (SUBEXPLOT)'!367:367,1),1,,"10.2- EQUINO (SUBEXPLOT)"))</f>
        <v>#N/A</v>
      </c>
      <c r="K107" s="459" t="e">
        <f>INDIRECT(ADDRESS(307,MATCH(9000000000+307,'9.2- APICULTURA (SUBEXPLOT)'!307:307,1),1,,"9.2- APICULTURA (SUBEXPLOT)"))</f>
        <v>#N/A</v>
      </c>
      <c r="L107"/>
      <c r="M107"/>
      <c r="W107" s="50"/>
      <c r="X107" s="50"/>
      <c r="Y107" s="50"/>
      <c r="AB107" s="217"/>
    </row>
    <row r="108" ht="17.25" customHeight="1">
      <c r="B108" s="75" t="s">
        <v>24</v>
      </c>
      <c r="C108" s="99" t="e">
        <f>SUM(INDIRECT(ADDRESS(163,MATCH(9000000000+307,'7.2- CAPRINO (SUBEXPLOT)'!163:163,1),1,,"7.2- CAPRINO (SUBEXPLOT)")),INDIRECT(ADDRESS(211,MATCH(9000000000+307,'7.2- CAPRINO (SUBEXPLOT)'!211:211,1),1,,"7.2- CAPRINO (SUBEXPLOT)")))</f>
        <v>#N/A</v>
      </c>
      <c r="D108" s="115" t="e">
        <f>INDIRECT(ADDRESS(187,MATCH(9000000000+307,'7.2- CAPRINO (SUBEXPLOT)'!187:187,1),1,,"7.2- CAPRINO (SUBEXPLOT)"))</f>
        <v>#N/A</v>
      </c>
      <c r="E108" s="115" t="e">
        <f>INDIRECT(ADDRESS(235,MATCH(9000000000+307,'7.2- CAPRINO (SUBEXPLOT)'!235:235,1),1,,"7.2- CAPRINO (SUBEXPLOT)"))</f>
        <v>#N/A</v>
      </c>
      <c r="F108" s="115" t="e">
        <f>INDIRECT(ADDRESS(259,MATCH(9000000000+307,'7.2- CAPRINO (SUBEXPLOT)'!259:259,1),1,,"7.2- CAPRINO (SUBEXPLOT)"))</f>
        <v>#N/A</v>
      </c>
      <c r="G108" s="441" t="e">
        <f>INDIRECT(ADDRESS(283,MATCH(9000000000+307,'7.2- CAPRINO (SUBEXPLOT)'!283:283,1),1,,"7.2- CAPRINO (SUBEXPLOT)"))</f>
        <v>#N/A</v>
      </c>
      <c r="H108" s="76" t="e">
        <f>INDIRECT(ADDRESS(207,MATCH(9000000000+307,'10.2- EQUINO (SUBEXPLOT)'!207:207,1),1,,"10.2- EQUINO (SUBEXPLOT)"))</f>
        <v>#N/A</v>
      </c>
      <c r="I108" s="77" t="e">
        <f>INDIRECT(ADDRESS(368,MATCH(9000000000+307,'10.2- EQUINO (SUBEXPLOT)'!368:368,1),1,,"10.2- EQUINO (SUBEXPLOT)"))-INDIRECT(ADDRESS(207,MATCH(9000000000+307,'10.2- EQUINO (SUBEXPLOT)'!207:207,1),1,,"10.2- EQUINO (SUBEXPLOT)"))</f>
        <v>#N/A</v>
      </c>
      <c r="J108" s="441" t="e">
        <f>INDIRECT(ADDRESS(368,MATCH(9000000000+307,'10.2- EQUINO (SUBEXPLOT)'!368:368,1),1,,"10.2- EQUINO (SUBEXPLOT)"))</f>
        <v>#N/A</v>
      </c>
      <c r="K108" s="459" t="e">
        <f>INDIRECT(ADDRESS(308,MATCH(9000000000+307,'9.2- APICULTURA (SUBEXPLOT)'!308:308,1),1,,"9.2- APICULTURA (SUBEXPLOT)"))</f>
        <v>#N/A</v>
      </c>
      <c r="L108"/>
      <c r="M108"/>
      <c r="W108" s="50"/>
      <c r="X108" s="50"/>
      <c r="Y108" s="50"/>
      <c r="AB108" s="217"/>
    </row>
    <row r="109" ht="17.25" customHeight="1">
      <c r="B109" s="75" t="s">
        <v>25</v>
      </c>
      <c r="C109" s="99" t="e">
        <f>SUM(INDIRECT(ADDRESS(164,MATCH(9000000000+307,'7.2- CAPRINO (SUBEXPLOT)'!164:164,1),1,,"7.2- CAPRINO (SUBEXPLOT)")),INDIRECT(ADDRESS(212,MATCH(9000000000+307,'7.2- CAPRINO (SUBEXPLOT)'!212:212,1),1,,"7.2- CAPRINO (SUBEXPLOT)")))</f>
        <v>#N/A</v>
      </c>
      <c r="D109" s="115" t="e">
        <f>INDIRECT(ADDRESS(188,MATCH(9000000000+307,'7.2- CAPRINO (SUBEXPLOT)'!188:188,1),1,,"7.2- CAPRINO (SUBEXPLOT)"))</f>
        <v>#N/A</v>
      </c>
      <c r="E109" s="115" t="e">
        <f>INDIRECT(ADDRESS(236,MATCH(9000000000+307,'7.2- CAPRINO (SUBEXPLOT)'!236:236,1),1,,"7.2- CAPRINO (SUBEXPLOT)"))</f>
        <v>#N/A</v>
      </c>
      <c r="F109" s="115" t="e">
        <f>INDIRECT(ADDRESS(260,MATCH(9000000000+307,'7.2- CAPRINO (SUBEXPLOT)'!260:260,1),1,,"7.2- CAPRINO (SUBEXPLOT)"))</f>
        <v>#N/A</v>
      </c>
      <c r="G109" s="441" t="e">
        <f>INDIRECT(ADDRESS(284,MATCH(9000000000+307,'7.2- CAPRINO (SUBEXPLOT)'!284:284,1),1,,"7.2- CAPRINO (SUBEXPLOT)"))</f>
        <v>#N/A</v>
      </c>
      <c r="H109" s="76" t="e">
        <f>INDIRECT(ADDRESS(208,MATCH(9000000000+307,'10.2- EQUINO (SUBEXPLOT)'!208:208,1),1,,"10.2- EQUINO (SUBEXPLOT)"))</f>
        <v>#N/A</v>
      </c>
      <c r="I109" s="77" t="e">
        <f>INDIRECT(ADDRESS(369,MATCH(9000000000+307,'10.2- EQUINO (SUBEXPLOT)'!369:369,1),1,,"10.2- EQUINO (SUBEXPLOT)"))-INDIRECT(ADDRESS(208,MATCH(9000000000+307,'10.2- EQUINO (SUBEXPLOT)'!208:208,1),1,,"10.2- EQUINO (SUBEXPLOT)"))</f>
        <v>#N/A</v>
      </c>
      <c r="J109" s="441" t="e">
        <f>INDIRECT(ADDRESS(369,MATCH(9000000000+307,'10.2- EQUINO (SUBEXPLOT)'!369:369,1),1,,"10.2- EQUINO (SUBEXPLOT)"))</f>
        <v>#N/A</v>
      </c>
      <c r="K109" s="459" t="e">
        <f>INDIRECT(ADDRESS(309,MATCH(9000000000+307,'9.2- APICULTURA (SUBEXPLOT)'!309:309,1),1,,"9.2- APICULTURA (SUBEXPLOT)"))</f>
        <v>#N/A</v>
      </c>
      <c r="L109"/>
      <c r="M109"/>
      <c r="W109" s="50"/>
      <c r="X109" s="50"/>
      <c r="Y109" s="50"/>
      <c r="AB109" s="217"/>
    </row>
    <row r="110" ht="16.5" customHeight="1">
      <c r="B110" s="80" t="s">
        <v>26</v>
      </c>
      <c r="C110" s="117" t="e">
        <f>SUM(INDIRECT(ADDRESS(165,MATCH(9000000000+307,'7.2- CAPRINO (SUBEXPLOT)'!165:165,1),1,,"7.2- CAPRINO (SUBEXPLOT)")),INDIRECT(ADDRESS(213,MATCH(9000000000+307,'7.2- CAPRINO (SUBEXPLOT)'!213:213,1),1,,"7.2- CAPRINO (SUBEXPLOT)")))</f>
        <v>#N/A</v>
      </c>
      <c r="D110" s="118" t="e">
        <f>INDIRECT(ADDRESS(189,MATCH(9000000000+307,'7.2- CAPRINO (SUBEXPLOT)'!189:189,1),1,,"7.2- CAPRINO (SUBEXPLOT)"))</f>
        <v>#N/A</v>
      </c>
      <c r="E110" s="118" t="e">
        <f>INDIRECT(ADDRESS(237,MATCH(9000000000+307,'7.2- CAPRINO (SUBEXPLOT)'!237:237,1),1,,"7.2- CAPRINO (SUBEXPLOT)"))</f>
        <v>#N/A</v>
      </c>
      <c r="F110" s="118" t="e">
        <f>INDIRECT(ADDRESS(261,MATCH(9000000000+307,'7.2- CAPRINO (SUBEXPLOT)'!261:261,1),1,,"7.2- CAPRINO (SUBEXPLOT)"))</f>
        <v>#N/A</v>
      </c>
      <c r="G110" s="442" t="e">
        <f>INDIRECT(ADDRESS(285,MATCH(9000000000+307,'7.2- CAPRINO (SUBEXPLOT)'!285:285,1),1,,"7.2- CAPRINO (SUBEXPLOT)"))</f>
        <v>#N/A</v>
      </c>
      <c r="H110" s="81" t="e">
        <f>INDIRECT(ADDRESS(209,MATCH(9000000000+307,'10.2- EQUINO (SUBEXPLOT)'!209:209,1),1,,"10.2- EQUINO (SUBEXPLOT)"))</f>
        <v>#N/A</v>
      </c>
      <c r="I110" s="82" t="e">
        <f>INDIRECT(ADDRESS(370,MATCH(9000000000+307,'10.2- EQUINO (SUBEXPLOT)'!370:370,1),1,,"10.2- EQUINO (SUBEXPLOT)"))-INDIRECT(ADDRESS(209,MATCH(9000000000+307,'10.2- EQUINO (SUBEXPLOT)'!209:209,1),1,,"10.2- EQUINO (SUBEXPLOT)"))</f>
        <v>#N/A</v>
      </c>
      <c r="J110" s="442" t="e">
        <f>INDIRECT(ADDRESS(370,MATCH(9000000000+307,'10.2- EQUINO (SUBEXPLOT)'!370:370,1),1,,"10.2- EQUINO (SUBEXPLOT)"))</f>
        <v>#N/A</v>
      </c>
      <c r="K110" s="460" t="e">
        <f>INDIRECT(ADDRESS(310,MATCH(9000000000+307,'9.2- APICULTURA (SUBEXPLOT)'!310:310,1),1,,"9.2- APICULTURA (SUBEXPLOT)"))</f>
        <v>#N/A</v>
      </c>
      <c r="L110"/>
      <c r="M110"/>
      <c r="W110" s="50"/>
      <c r="X110" s="50"/>
      <c r="Y110" s="50"/>
      <c r="AB110" s="217"/>
    </row>
    <row r="111" ht="20.25" customHeight="1">
      <c r="B111" s="84" t="s">
        <v>7</v>
      </c>
      <c r="C111" s="455" t="e">
        <f ref="C111:K111" t="shared" si="4" ca="1">SUM(C92:C110)</f>
        <v>#N/A</v>
      </c>
      <c r="D111" s="456" t="e">
        <f t="shared" si="4" ca="1"/>
        <v>#N/A</v>
      </c>
      <c r="E111" s="456" t="e">
        <f t="shared" si="4" ca="1"/>
        <v>#N/A</v>
      </c>
      <c r="F111" s="456" t="e">
        <f t="shared" si="4" ca="1"/>
        <v>#N/A</v>
      </c>
      <c r="G111" s="457" t="e">
        <f t="shared" si="4" ca="1"/>
        <v>#N/A</v>
      </c>
      <c r="H111" s="455" t="e">
        <f t="shared" si="4" ca="1"/>
        <v>#N/A</v>
      </c>
      <c r="I111" s="456" t="e">
        <f t="shared" si="4" ca="1"/>
        <v>#N/A</v>
      </c>
      <c r="J111" s="457" t="e">
        <f t="shared" si="4" ca="1"/>
        <v>#N/A</v>
      </c>
      <c r="K111" s="454" t="e">
        <f t="shared" si="4" ca="1"/>
        <v>#N/A</v>
      </c>
      <c r="L111"/>
      <c r="M111"/>
    </row>
    <row r="112">
      <c r="B112" s="57" t="str">
        <f>CONCATENATE("(*) Datos extraídos de los Sistemas Autonómicos el ", TEXT(AUX!E14,"DD/MM/AAAA"))</f>
        <v>(*) Datos extraídos de los Sistemas Autonómicos el 31/12/1904</v>
      </c>
      <c r="C112" s="57"/>
      <c r="D112" s="57"/>
      <c r="E112" s="57"/>
      <c r="F112" s="57"/>
      <c r="R112" s="57"/>
      <c r="S112" s="57"/>
      <c r="T112" s="57"/>
    </row>
  </sheetData>
  <sheetProtection algorithmName="SHA-512" hashValue="xoC7AVozCst62C/7x4AX82f+IqtydRqKLKyqG3RqFogm8B5sOSrxalqq/9pYab/iaNQ/QT6Zf9/ALxMQzbONEw==" saltValue="mEUx3qyXwElIOtCQJTi1ag==" spinCount="100000" sheet="1" objects="1" scenarios="1"/>
  <mergeCells>
    <mergeCell ref="B62:G62"/>
    <mergeCell ref="L64:P64"/>
    <mergeCell ref="H90:J90"/>
    <mergeCell ref="C64:G64"/>
    <mergeCell ref="H64:K64"/>
    <mergeCell ref="C90:G90"/>
    <mergeCell ref="B88:G88"/>
    <mergeCell ref="B90:B91"/>
    <mergeCell ref="B64:B65"/>
    <mergeCell ref="G11:J11"/>
    <mergeCell ref="B9:D9"/>
    <mergeCell ref="B35:F35"/>
    <mergeCell ref="C37:D37"/>
    <mergeCell ref="E37:F37"/>
    <mergeCell ref="B11:E11"/>
    <mergeCell ref="B37:B38"/>
    <mergeCell ref="G12:J12"/>
    <mergeCell ref="I37:J37"/>
    <mergeCell ref="G37:H37"/>
  </mergeCells>
  <phoneticPr fontId="3" type="noConversion"/>
  <printOptions horizontalCentered="1"/>
  <pageMargins left="0.78740157480314965" right="0.78740157480314965" top="0.59055118110236227" bottom="0.59055118110236227" header="0" footer="0"/>
  <pageSetup paperSize="9" scale="44" orientation="landscape"/>
  <headerFooter alignWithMargins="0"/>
  <rowBreaks count="1" manualBreakCount="1">
    <brk id="59" max="1048575" man="1"/>
  </rowBreaks>
  <drawing r:id="rId2"/>
  <legacyDrawing r:id="rId3"/>
  <controls>
    <mc:AlternateContent xmlns:mc="http://schemas.openxmlformats.org/markup-compatibility/2006">
      <mc:Choice Requires="x14">
        <control shapeId="4104" r:id="rId4" name="ComboBox1">
          <controlPr locked="0" defaultSize="0" autoLine="0" linkedCell="AUX!E10" listFillRange="AUX!A1:B38" r:id="rId5">
            <anchor moveWithCells="1">
              <from>
                <xdr:col>5</xdr:col>
                <xdr:colOff>28575</xdr:colOff>
                <xdr:row>7</xdr:row>
                <xdr:rowOff>28575</xdr:rowOff>
              </from>
              <to>
                <xdr:col>6</xdr:col>
                <xdr:colOff>409575</xdr:colOff>
                <xdr:row>8</xdr:row>
                <xdr:rowOff>104775</xdr:rowOff>
              </to>
            </anchor>
          </controlPr>
        </control>
      </mc:Choice>
      <mc:Fallback>
        <control shapeId="4104" r:id="rId4" name="ComboBox1"/>
      </mc:Fallback>
    </mc:AlternateContent>
    <mc:AlternateContent xmlns:mc="http://schemas.openxmlformats.org/markup-compatibility/2006">
      <mc:Choice Requires="x14">
        <control shapeId="4105" r:id="rId6" name="ComboBox2">
          <controlPr locked="0" defaultSize="0" autoLine="0" linkedCell="AUX!E11" listFillRange="AUX!D1:E5" r:id="rId7">
            <anchor moveWithCells="1">
              <from>
                <xdr:col>7</xdr:col>
                <xdr:colOff>57150</xdr:colOff>
                <xdr:row>7</xdr:row>
                <xdr:rowOff>9525</xdr:rowOff>
              </from>
              <to>
                <xdr:col>8</xdr:col>
                <xdr:colOff>209550</xdr:colOff>
                <xdr:row>8</xdr:row>
                <xdr:rowOff>76200</xdr:rowOff>
              </to>
            </anchor>
          </controlPr>
        </control>
      </mc:Choice>
      <mc:Fallback>
        <control shapeId="4105" r:id="rId6" name="ComboBox2"/>
      </mc:Fallback>
    </mc:AlternateContent>
  </control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mc:Ignorable="x14ac xr">
  <sheetPr codeName="Sheet2">
    <tabColor indexed="44"/>
    <pageSetUpPr fitToPage="1"/>
  </sheetPr>
  <dimension ref="A1:IV153"/>
  <sheetViews>
    <sheetView showGridLines="0" view="pageBreakPreview" zoomScaleNormal="100" workbookViewId="0">
      <pane ySplit="9" topLeftCell="A10" activePane="bottomLeft" state="frozen"/>
      <selection pane="bottomLeft" activeCell="A7" sqref="A7"/>
    </sheetView>
  </sheetViews>
  <sheetFormatPr baseColWidth="10" defaultRowHeight="12.75"/>
  <cols>
    <col min="1" max="1" width="6.7109375" customWidth="1" style="51"/>
    <col min="2" max="2" width="18.140625" customWidth="1" style="51"/>
    <col min="3" max="3" bestFit="1" width="12.28515625" customWidth="1" style="51"/>
    <col min="4" max="11" width="11.42578125" customWidth="1" style="51"/>
    <col min="12" max="12" width="11.28515625" customWidth="1" style="51"/>
    <col min="13" max="13" bestFit="1" width="12.28515625" customWidth="1" style="51"/>
    <col min="14" max="14" width="9.28515625" customWidth="1" style="51"/>
    <col min="15" max="22" width="11.42578125" customWidth="1" style="51"/>
    <col min="23" max="23" bestFit="1" width="12.28515625" customWidth="1" style="51"/>
    <col min="24" max="16384" width="11.42578125" customWidth="1" style="51"/>
  </cols>
  <sheetData>
    <row r="1">
      <c r="A1" s="46"/>
      <c r="B1" s="47"/>
      <c r="C1" s="47"/>
      <c r="D1" s="47"/>
      <c r="E1" s="47"/>
      <c r="F1" s="47"/>
      <c r="G1" s="47"/>
      <c r="H1" s="47"/>
      <c r="I1" s="47"/>
      <c r="J1" s="47"/>
      <c r="K1" s="47"/>
      <c r="L1" s="47"/>
      <c r="M1" s="49"/>
      <c r="N1" s="49"/>
    </row>
    <row r="2">
      <c r="A2" s="52"/>
      <c r="B2" s="49"/>
      <c r="C2" s="49"/>
      <c r="D2" s="49"/>
      <c r="E2" s="49"/>
      <c r="F2" s="49"/>
      <c r="G2" s="49"/>
      <c r="H2" s="49"/>
      <c r="I2" s="49"/>
      <c r="J2" s="49"/>
      <c r="K2" s="49"/>
      <c r="L2" s="49"/>
      <c r="M2" s="49"/>
      <c r="N2" s="49"/>
    </row>
    <row r="3">
      <c r="A3" s="52"/>
      <c r="B3" s="49"/>
      <c r="C3" s="49"/>
      <c r="D3" s="49"/>
      <c r="E3" s="49"/>
      <c r="F3" s="49"/>
      <c r="G3" s="49"/>
      <c r="H3" s="49"/>
      <c r="I3" s="49"/>
      <c r="J3" s="49"/>
      <c r="K3" s="49"/>
      <c r="L3" s="49"/>
      <c r="M3" s="49"/>
      <c r="N3" s="49"/>
    </row>
    <row r="4">
      <c r="A4" s="52"/>
      <c r="B4" s="49"/>
      <c r="C4" s="49"/>
      <c r="D4" s="49"/>
      <c r="E4" s="49"/>
      <c r="F4" s="49"/>
      <c r="G4" s="49"/>
      <c r="H4" s="49"/>
      <c r="I4" s="49"/>
      <c r="J4" s="49"/>
      <c r="K4" s="49"/>
      <c r="L4" s="49"/>
      <c r="M4" s="49"/>
      <c r="N4" s="49"/>
    </row>
    <row r="5">
      <c r="A5" s="52"/>
      <c r="B5" s="49"/>
      <c r="C5" s="49"/>
      <c r="D5" s="49"/>
      <c r="E5" s="49"/>
      <c r="F5" s="49"/>
      <c r="G5" s="49"/>
      <c r="H5" s="49"/>
      <c r="I5" s="49"/>
      <c r="J5" s="49"/>
      <c r="K5" s="49"/>
      <c r="L5" s="49"/>
      <c r="M5" s="49"/>
      <c r="N5" s="49"/>
    </row>
    <row r="6" ht="13.5">
      <c r="A6" s="54"/>
      <c r="B6" s="55"/>
      <c r="C6" s="55"/>
      <c r="D6" s="55"/>
      <c r="E6" s="55"/>
      <c r="F6" s="55"/>
      <c r="G6" s="55"/>
      <c r="H6" s="55"/>
      <c r="I6" s="55"/>
      <c r="J6" s="55"/>
      <c r="K6" s="55"/>
      <c r="L6" s="55"/>
      <c r="M6" s="55"/>
      <c r="N6" s="55"/>
    </row>
    <row r="7" s="57" customFormat="1"/>
    <row r="8">
      <c r="F8" s="131">
        <v>20</v>
      </c>
      <c r="I8" s="51" t="s">
        <v>100</v>
      </c>
      <c r="J8" s="51" t="e">
        <f>LOOKUP(AUX!$E$10,AUX!$B:$B,AUX!$A:$A)</f>
        <v>#N/A</v>
      </c>
    </row>
    <row r="9">
      <c r="B9" s="597" t="s">
        <v>101</v>
      </c>
      <c r="C9" s="597"/>
      <c r="D9" s="597"/>
      <c r="I9" s="51" t="s">
        <v>1</v>
      </c>
      <c r="J9" s="51" t="str">
        <f>LOOKUP(AUX!$E$11,AUX!$E1:$E5,AUX!$D1:$D5)</f>
        <v>6 meses</v>
      </c>
    </row>
    <row r="12" ht="13.5"/>
    <row r="13" ht="15" customHeight="1">
      <c r="C13" s="599" t="s">
        <v>265</v>
      </c>
      <c r="D13" s="600"/>
      <c r="E13" s="600"/>
      <c r="F13" s="600"/>
      <c r="G13" s="600"/>
      <c r="H13" s="600"/>
      <c r="I13" s="600"/>
      <c r="J13" s="600"/>
      <c r="K13" s="600"/>
      <c r="L13" s="600"/>
      <c r="M13" s="601"/>
    </row>
    <row r="15" ht="13.5"/>
    <row r="16">
      <c r="B16" s="50"/>
      <c r="C16" s="443" t="e">
        <f>INDEX(AUX!$G$1:$IV$1,1,AUX!$E$10+(AUX!$E$11*AUX!G$2))</f>
        <v>#VALUE!</v>
      </c>
      <c r="D16" s="444">
        <f>INDEX(AUX!$G$1:$IV$1,1,AUX!$E$10+(AUX!$E$11*AUX!H$2))</f>
        <v>38899</v>
      </c>
      <c r="E16" s="444">
        <f>INDEX(AUX!$G$1:$IV$1,1,AUX!$E$10+(AUX!$E$11*AUX!I$2))</f>
        <v>39083</v>
      </c>
      <c r="F16" s="444">
        <f>INDEX(AUX!$G$1:$IV$1,1,AUX!$E$10+(AUX!$E$11*AUX!J$2))</f>
        <v>39264</v>
      </c>
      <c r="G16" s="444">
        <f>INDEX(AUX!$G$1:$IV$1,1,AUX!$E$10+(AUX!$E$11*AUX!K$2))</f>
        <v>39448</v>
      </c>
      <c r="H16" s="444">
        <f>INDEX(AUX!$G$1:$IV$1,1,AUX!$E$10+(AUX!$E$11*AUX!L$2))</f>
        <v>39630</v>
      </c>
      <c r="I16" s="444">
        <f>INDEX(AUX!$G$1:$IV$1,1,AUX!$E$10+(AUX!$E$11*AUX!M$2))</f>
        <v>39814</v>
      </c>
      <c r="J16" s="444">
        <f>INDEX(AUX!$G$1:$IV$1,1,AUX!$E$10+(AUX!$E$11*AUX!N$2))</f>
        <v>39995</v>
      </c>
      <c r="K16" s="444">
        <f>INDEX(AUX!$G$1:$IV$1,1,AUX!$E$10+(AUX!$E$11*AUX!O$2))</f>
        <v>40179</v>
      </c>
      <c r="L16" s="444">
        <f>INDEX(AUX!$G$1:$IV$1,1,AUX!$E$10+(AUX!$E$11*AUX!P$2))</f>
        <v>40360</v>
      </c>
      <c r="M16" s="445">
        <f>INDEX(AUX!$G$1:$IV$1,1,AUX!$E$10+(AUX!$E$11*AUX!Q$2))</f>
        <v>40544</v>
      </c>
    </row>
    <row r="17" ht="13.5">
      <c r="C17" s="602" t="s">
        <v>266</v>
      </c>
      <c r="D17" s="603"/>
      <c r="E17" s="603"/>
      <c r="F17" s="603"/>
      <c r="G17" s="603"/>
      <c r="H17" s="603"/>
      <c r="I17" s="603"/>
      <c r="J17" s="603"/>
      <c r="K17" s="603"/>
      <c r="L17" s="603"/>
      <c r="M17" s="604"/>
    </row>
    <row r="18" ht="12.75" customHeight="1">
      <c r="B18" s="123" t="str">
        <f>INDEX($B$64:$H$83,$F$8,1)</f>
        <v>Total</v>
      </c>
      <c r="C18" s="446" t="str">
        <f>IF(INDEX($C$64:$II$83,$F$8,AUX!$E$10+(AUX!$E$11*AUX!G$2))="","--",INDEX($C$64:$II$83,$F$8,AUX!$E$10+(AUX!$E$11*AUX!G$2)))</f>
        <v>--</v>
      </c>
      <c r="D18" s="447" t="str">
        <f>IF(INDEX($C$64:$II$83,$F$8,AUX!$E$10+(AUX!$E$11*AUX!H$2))="","--",INDEX($C$64:$II$83,$F$8,AUX!$E$10+(AUX!$E$11*AUX!H$2)))</f>
        <v>--</v>
      </c>
      <c r="E18" s="447" t="str">
        <f>IF(INDEX($C$64:$II$83,$F$8,AUX!$E$10+(AUX!$E$11*AUX!I$2))="","--",INDEX($C$64:$II$83,$F$8,AUX!$E$10+(AUX!$E$11*AUX!I$2)))</f>
        <v>--</v>
      </c>
      <c r="F18" s="447" t="str">
        <f>IF(INDEX($C$64:$II$83,$F$8,AUX!$E$10+(AUX!$E$11*AUX!J$2))="","--",INDEX($C$64:$II$83,$F$8,AUX!$E$10+(AUX!$E$11*AUX!J$2)))</f>
        <v>--</v>
      </c>
      <c r="G18" s="447" t="str">
        <f>IF(INDEX($C$64:$II$83,$F$8,AUX!$E$10+(AUX!$E$11*AUX!K$2))="","--",INDEX($C$64:$II$83,$F$8,AUX!$E$10+(AUX!$E$11*AUX!K$2)))</f>
        <v>--</v>
      </c>
      <c r="H18" s="447" t="str">
        <f>IF(INDEX($C$64:$II$83,$F$8,AUX!$E$10+(AUX!$E$11*AUX!L$2))="","--",INDEX($C$64:$II$83,$F$8,AUX!$E$10+(AUX!$E$11*AUX!L$2)))</f>
        <v>--</v>
      </c>
      <c r="I18" s="447" t="str">
        <f>IF(INDEX($C$64:$II$83,$F$8,AUX!$E$10+(AUX!$E$11*AUX!M$2))="","--",INDEX($C$64:$II$83,$F$8,AUX!$E$10+(AUX!$E$11*AUX!M$2)))</f>
        <v>--</v>
      </c>
      <c r="J18" s="447" t="str">
        <f>IF(INDEX($C$64:$II$83,$F$8,AUX!$E$10+(AUX!$E$11*AUX!N$2))="","--",INDEX($C$64:$II$83,$F$8,AUX!$E$10+(AUX!$E$11*AUX!N$2)))</f>
        <v>--</v>
      </c>
      <c r="K18" s="447" t="str">
        <f>IF(INDEX($C$64:$II$83,$F$8,AUX!$E$10+(AUX!$E$11*AUX!O$2))="","--",INDEX($C$64:$II$83,$F$8,AUX!$E$10+(AUX!$E$11*AUX!O$2)))</f>
        <v>--</v>
      </c>
      <c r="L18" s="447" t="str">
        <f>IF(INDEX($C$64:$II$83,$F$8,AUX!$E$10+(AUX!$E$11*AUX!P$2))="","--",INDEX($C$64:$II$83,$F$8,AUX!$E$10+(AUX!$E$11*AUX!P$2)))</f>
        <v>--</v>
      </c>
      <c r="M18" s="448" t="str">
        <f>IF(INDEX($C$64:$II$83,$F$8,AUX!$E$10+(AUX!$E$11*AUX!Q$2))="","--",INDEX($C$64:$II$83,$F$8,AUX!$E$10+(AUX!$E$11*AUX!Q$2)))</f>
        <v>--</v>
      </c>
    </row>
    <row r="19">
      <c r="C19" s="602" t="s">
        <v>267</v>
      </c>
      <c r="D19" s="603"/>
      <c r="E19" s="603"/>
      <c r="F19" s="603"/>
      <c r="G19" s="603"/>
      <c r="H19" s="603"/>
      <c r="I19" s="603"/>
      <c r="J19" s="603"/>
      <c r="K19" s="603"/>
      <c r="L19" s="603"/>
      <c r="M19" s="604"/>
    </row>
    <row r="20">
      <c r="B20" s="124"/>
      <c r="C20" s="446" t="str">
        <f>IF(INDEX($C$88:$II$107,$F$8,AUX!$E$10+(AUX!$E$11*AUX!G$2))="","--",INDEX($C$88:$II$107,$F$8,AUX!$E$10+(AUX!$E$11*AUX!G$2)))</f>
        <v>--</v>
      </c>
      <c r="D20" s="447" t="str">
        <f>IF(INDEX($C$88:$II$107,$F$8,AUX!$E$10+(AUX!$E$11*AUX!H$2))="","--",INDEX($C$88:$II$107,$F$8,AUX!$E$10+(AUX!$E$11*AUX!H$2)))</f>
        <v>--</v>
      </c>
      <c r="E20" s="447" t="str">
        <f>IF(INDEX($C$88:$II$107,$F$8,AUX!$E$10+(AUX!$E$11*AUX!I$2))="","--",INDEX($C$88:$II$107,$F$8,AUX!$E$10+(AUX!$E$11*AUX!I$2)))</f>
        <v>--</v>
      </c>
      <c r="F20" s="447" t="str">
        <f>IF(INDEX($C$88:$II$107,$F$8,AUX!$E$10+(AUX!$E$11*AUX!J$2))="","--",INDEX($C$88:$II$107,$F$8,AUX!$E$10+(AUX!$E$11*AUX!J$2)))</f>
        <v>--</v>
      </c>
      <c r="G20" s="447" t="str">
        <f>IF(INDEX($C$88:$II$107,$F$8,AUX!$E$10+(AUX!$E$11*AUX!K$2))="","--",INDEX($C$88:$II$107,$F$8,AUX!$E$10+(AUX!$E$11*AUX!K$2)))</f>
        <v>--</v>
      </c>
      <c r="H20" s="447" t="str">
        <f>IF(INDEX($C$88:$II$107,$F$8,AUX!$E$10+(AUX!$E$11*AUX!L$2))="","--",INDEX($C$88:$II$107,$F$8,AUX!$E$10+(AUX!$E$11*AUX!L$2)))</f>
        <v>--</v>
      </c>
      <c r="I20" s="447" t="str">
        <f>IF(INDEX($C$88:$II$107,$F$8,AUX!$E$10+(AUX!$E$11*AUX!M$2))="","--",INDEX($C$88:$II$107,$F$8,AUX!$E$10+(AUX!$E$11*AUX!M$2)))</f>
        <v>--</v>
      </c>
      <c r="J20" s="447" t="str">
        <f>IF(INDEX($C$88:$II$107,$F$8,AUX!$E$10+(AUX!$E$11*AUX!N$2))="","--",INDEX($C$88:$II$107,$F$8,AUX!$E$10+(AUX!$E$11*AUX!N$2)))</f>
        <v>--</v>
      </c>
      <c r="K20" s="447" t="str">
        <f>IF(INDEX($C$88:$II$107,$F$8,AUX!$E$10+(AUX!$E$11*AUX!O$2))="","--",INDEX($C$88:$II$107,$F$8,AUX!$E$10+(AUX!$E$11*AUX!O$2)))</f>
        <v>--</v>
      </c>
      <c r="L20" s="447" t="str">
        <f>IF(INDEX($C$88:$II$107,$F$8,AUX!$E$10+(AUX!$E$11*AUX!P$2))="","--",INDEX($C$88:$II$107,$F$8,AUX!$E$10+(AUX!$E$11*AUX!P$2)))</f>
        <v>--</v>
      </c>
      <c r="M20" s="448" t="str">
        <f>IF(INDEX($C$88:$II$107,$F$8,AUX!$E$10+(AUX!$E$11*AUX!Q$2))="","--",INDEX($C$88:$II$107,$F$8,AUX!$E$10+(AUX!$E$11*AUX!Q$2)))</f>
        <v>--</v>
      </c>
    </row>
    <row r="21">
      <c r="C21" s="602" t="s">
        <v>268</v>
      </c>
      <c r="D21" s="603"/>
      <c r="E21" s="603"/>
      <c r="F21" s="603"/>
      <c r="G21" s="603"/>
      <c r="H21" s="603"/>
      <c r="I21" s="603"/>
      <c r="J21" s="603"/>
      <c r="K21" s="603"/>
      <c r="L21" s="603"/>
      <c r="M21" s="604"/>
    </row>
    <row r="22">
      <c r="B22" s="124"/>
      <c r="C22" s="446" t="str">
        <f>IF(INDEX($C$111:$II$130,$F$8,AUX!$E$10+(AUX!$E$11*AUX!G$2))="","--",INDEX($C$111:$II$130,$F$8,AUX!$E$10+(AUX!$E$11*AUX!G$2)))</f>
        <v>--</v>
      </c>
      <c r="D22" s="447" t="str">
        <f>IF(INDEX($C$111:$II$130,$F$8,AUX!$E$10+(AUX!$E$11*AUX!H$2))="","--",INDEX($C$111:$II$130,$F$8,AUX!$E$10+(AUX!$E$11*AUX!H$2)))</f>
        <v>--</v>
      </c>
      <c r="E22" s="447" t="str">
        <f>IF(INDEX($C$111:$II$130,$F$8,AUX!$E$10+(AUX!$E$11*AUX!I$2))="","--",INDEX($C$111:$II$130,$F$8,AUX!$E$10+(AUX!$E$11*AUX!I$2)))</f>
        <v>--</v>
      </c>
      <c r="F22" s="447" t="str">
        <f>IF(INDEX($C$111:$II$130,$F$8,AUX!$E$10+(AUX!$E$11*AUX!J$2))="","--",INDEX($C$111:$II$130,$F$8,AUX!$E$10+(AUX!$E$11*AUX!J$2)))</f>
        <v>--</v>
      </c>
      <c r="G22" s="447" t="str">
        <f>IF(INDEX($C$111:$II$130,$F$8,AUX!$E$10+(AUX!$E$11*AUX!K$2))="","--",INDEX($C$111:$II$130,$F$8,AUX!$E$10+(AUX!$E$11*AUX!K$2)))</f>
        <v>--</v>
      </c>
      <c r="H22" s="447" t="str">
        <f>IF(INDEX($C$111:$II$130,$F$8,AUX!$E$10+(AUX!$E$11*AUX!L$2))="","--",INDEX($C$111:$II$130,$F$8,AUX!$E$10+(AUX!$E$11*AUX!L$2)))</f>
        <v>--</v>
      </c>
      <c r="I22" s="447" t="str">
        <f>IF(INDEX($C$111:$II$130,$F$8,AUX!$E$10+(AUX!$E$11*AUX!M$2))="","--",INDEX($C$111:$II$130,$F$8,AUX!$E$10+(AUX!$E$11*AUX!M$2)))</f>
        <v>--</v>
      </c>
      <c r="J22" s="447" t="str">
        <f>IF(INDEX($C$111:$II$130,$F$8,AUX!$E$10+(AUX!$E$11*AUX!N$2))="","--",INDEX($C$111:$II$130,$F$8,AUX!$E$10+(AUX!$E$11*AUX!N$2)))</f>
        <v>--</v>
      </c>
      <c r="K22" s="447" t="str">
        <f>IF(INDEX($C$111:$II$130,$F$8,AUX!$E$10+(AUX!$E$11*AUX!O$2))="","--",INDEX($C$111:$II$130,$F$8,AUX!$E$10+(AUX!$E$11*AUX!O$2)))</f>
        <v>--</v>
      </c>
      <c r="L22" s="447" t="str">
        <f>IF(INDEX($C$111:$II$130,$F$8,AUX!$E$10+(AUX!$E$11*AUX!P$2))="","--",INDEX($C$111:$II$130,$F$8,AUX!$E$10+(AUX!$E$11*AUX!P$2)))</f>
        <v>--</v>
      </c>
      <c r="M22" s="448" t="str">
        <f>IF(INDEX($C$111:$II$130,$F$8,AUX!$E$10+(AUX!$E$11*AUX!Q$2))="","--",INDEX($C$111:$II$130,$F$8,AUX!$E$10+(AUX!$E$11*AUX!Q$2)))</f>
        <v>--</v>
      </c>
    </row>
    <row r="23">
      <c r="C23" s="602" t="s">
        <v>233</v>
      </c>
      <c r="D23" s="603"/>
      <c r="E23" s="603"/>
      <c r="F23" s="603"/>
      <c r="G23" s="603"/>
      <c r="H23" s="603"/>
      <c r="I23" s="603"/>
      <c r="J23" s="603"/>
      <c r="K23" s="603"/>
      <c r="L23" s="603"/>
      <c r="M23" s="604"/>
    </row>
    <row r="24" ht="13.5">
      <c r="C24" s="449" t="str">
        <f>IF(INDEX($C$134:$II$153,$F$8,AUX!$E$10+(AUX!$E$11*AUX!G$2))="","--",INDEX($C$134:$II$153,$F$8,AUX!$E$10+(AUX!$E$11*AUX!G$2)))</f>
        <v>--</v>
      </c>
      <c r="D24" s="450" t="str">
        <f>IF(INDEX($C$134:$II$153,$F$8,AUX!$E$10+(AUX!$E$11*AUX!H$2))="","--",INDEX($C$134:$II$153,$F$8,AUX!$E$10+(AUX!$E$11*AUX!H$2)))</f>
        <v>--</v>
      </c>
      <c r="E24" s="450" t="str">
        <f>IF(INDEX($C$134:$II$153,$F$8,AUX!$E$10+(AUX!$E$11*AUX!I$2))="","--",INDEX($C$134:$II$153,$F$8,AUX!$E$10+(AUX!$E$11*AUX!I$2)))</f>
        <v>--</v>
      </c>
      <c r="F24" s="450" t="str">
        <f>IF(INDEX($C$134:$II$153,$F$8,AUX!$E$10+(AUX!$E$11*AUX!J$2))="","--",INDEX($C$134:$II$153,$F$8,AUX!$E$10+(AUX!$E$11*AUX!J$2)))</f>
        <v>--</v>
      </c>
      <c r="G24" s="450" t="str">
        <f>IF(INDEX($C$134:$II$153,$F$8,AUX!$E$10+(AUX!$E$11*AUX!K$2))="","--",INDEX($C$134:$II$153,$F$8,AUX!$E$10+(AUX!$E$11*AUX!K$2)))</f>
        <v>--</v>
      </c>
      <c r="H24" s="450" t="str">
        <f>IF(INDEX($C$134:$II$153,$F$8,AUX!$E$10+(AUX!$E$11*AUX!L$2))="","--",INDEX($C$134:$II$153,$F$8,AUX!$E$10+(AUX!$E$11*AUX!L$2)))</f>
        <v>--</v>
      </c>
      <c r="I24" s="450" t="str">
        <f>IF(INDEX($C$134:$II$153,$F$8,AUX!$E$10+(AUX!$E$11*AUX!M$2))="","--",INDEX($C$134:$II$153,$F$8,AUX!$E$10+(AUX!$E$11*AUX!M$2)))</f>
        <v>--</v>
      </c>
      <c r="J24" s="450" t="str">
        <f>IF(INDEX($C$134:$II$153,$F$8,AUX!$E$10+(AUX!$E$11*AUX!N$2))="","--",INDEX($C$134:$II$153,$F$8,AUX!$E$10+(AUX!$E$11*AUX!N$2)))</f>
        <v>--</v>
      </c>
      <c r="K24" s="450" t="str">
        <f>IF(INDEX($C$134:$II$153,$F$8,AUX!$E$10+(AUX!$E$11*AUX!O$2))="","--",INDEX($C$134:$II$153,$F$8,AUX!$E$10+(AUX!$E$11*AUX!O$2)))</f>
        <v>--</v>
      </c>
      <c r="L24" s="450" t="str">
        <f>IF(INDEX($C$134:$II$153,$F$8,AUX!$E$10+(AUX!$E$11*AUX!P$2))="","--",INDEX($C$134:$II$153,$F$8,AUX!$E$10+(AUX!$E$11*AUX!P$2)))</f>
        <v>--</v>
      </c>
      <c r="M24" s="451" t="str">
        <f>IF(INDEX($C$134:$II$153,$F$8,AUX!$E$10+(AUX!$E$11*AUX!Q$2))="","--",INDEX($C$134:$II$153,$F$8,AUX!$E$10+(AUX!$E$11*AUX!Q$2)))</f>
        <v>--</v>
      </c>
    </row>
    <row r="25">
      <c r="C25" s="57"/>
    </row>
    <row r="26">
      <c r="C26" s="57"/>
    </row>
    <row r="27">
      <c r="C27" s="57"/>
    </row>
    <row r="28">
      <c r="C28" s="57"/>
    </row>
    <row r="29">
      <c r="C29" s="57"/>
    </row>
    <row r="30">
      <c r="C30" s="57"/>
    </row>
    <row r="59" ht="15.75">
      <c r="D59" s="598"/>
      <c r="E59" s="598"/>
      <c r="F59" s="598"/>
      <c r="G59" s="598"/>
    </row>
    <row r="62" hidden="1" ht="13.5">
      <c r="B62" s="50"/>
      <c r="C62" s="594" t="s">
        <v>269</v>
      </c>
      <c r="D62" s="595"/>
      <c r="E62" s="595"/>
      <c r="F62" s="595"/>
      <c r="G62" s="595"/>
      <c r="H62" s="595"/>
      <c r="I62" s="595"/>
      <c r="J62" s="595"/>
      <c r="K62" s="595"/>
      <c r="L62" s="595"/>
      <c r="M62" s="595"/>
      <c r="N62" s="595"/>
      <c r="O62" s="595"/>
      <c r="P62" s="595"/>
      <c r="Q62" s="595"/>
      <c r="R62" s="595"/>
      <c r="S62" s="595"/>
      <c r="T62" s="595"/>
      <c r="U62" s="595"/>
      <c r="V62" s="595"/>
      <c r="W62" s="595"/>
      <c r="X62" s="595"/>
      <c r="Y62" s="595"/>
      <c r="Z62" s="595"/>
      <c r="AA62" s="595"/>
      <c r="AB62" s="596"/>
    </row>
    <row r="63" hidden="1" ht="13.5" s="50" customFormat="1">
      <c r="A63" s="51"/>
      <c r="B63" s="51"/>
      <c r="C63" s="435" t="str">
        <f> IF(C83&lt;&gt;"",TEXT(AUX!G$1,"dd-MMM-aa"),"")</f>
      </c>
      <c r="D63" s="435" t="str">
        <f> IF(D83&lt;&gt;"",TEXT(AUX!H$1,"dd-MMM-aa"),"")</f>
      </c>
      <c r="E63" s="435" t="str">
        <f> IF(E83&lt;&gt;"",TEXT(AUX!I$1,"dd-MMM-aa"),"")</f>
      </c>
      <c r="F63" s="435" t="str">
        <f> IF(F83&lt;&gt;"",TEXT(AUX!J$1,"dd-MMM-aa"),"")</f>
      </c>
      <c r="G63" s="435" t="str">
        <f> IF(G83&lt;&gt;"",TEXT(AUX!K$1,"dd-MMM-aa"),"")</f>
      </c>
      <c r="H63" s="435" t="str">
        <f> IF(H83&lt;&gt;"",TEXT(AUX!L$1,"dd-MMM-aa"),"")</f>
      </c>
      <c r="I63" s="435" t="str">
        <f> IF(I83&lt;&gt;"",TEXT(AUX!M$1,"dd-MMM-aa"),"")</f>
      </c>
      <c r="J63" s="435" t="str">
        <f> IF(J83&lt;&gt;"",TEXT(AUX!N$1,"dd-MMM-aa"),"")</f>
      </c>
      <c r="K63" s="435" t="str">
        <f> IF(K83&lt;&gt;"",TEXT(AUX!O$1,"dd-MMM-aa"),"")</f>
      </c>
      <c r="L63" s="435" t="str">
        <f> IF(L83&lt;&gt;"",TEXT(AUX!P$1,"dd-MMM-aa"),"")</f>
      </c>
      <c r="M63" s="435" t="str">
        <f> IF(M83&lt;&gt;"",TEXT(AUX!Q$1,"dd-MMM-aa"),"")</f>
      </c>
      <c r="N63" s="435" t="str">
        <f> IF(N83&lt;&gt;"",TEXT(AUX!R$1,"dd-MMM-aa"),"")</f>
      </c>
      <c r="O63" s="435" t="str">
        <f> IF(O83&lt;&gt;"",TEXT(AUX!S$1,"dd-MMM-aa"),"")</f>
      </c>
      <c r="P63" s="435" t="str">
        <f> IF(P83&lt;&gt;"",TEXT(AUX!T$1,"dd-MMM-aa"),"")</f>
      </c>
      <c r="Q63" s="435" t="str">
        <f> IF(Q83&lt;&gt;"",TEXT(AUX!U$1,"dd-MMM-aa"),"")</f>
      </c>
      <c r="R63" s="435" t="str">
        <f> IF(R83&lt;&gt;"",TEXT(AUX!V$1,"dd-MMM-aa"),"")</f>
      </c>
      <c r="S63" s="435" t="str">
        <f> IF(S83&lt;&gt;"",TEXT(AUX!W$1,"dd-MMM-aa"),"")</f>
      </c>
      <c r="T63" s="435" t="str">
        <f> IF(T83&lt;&gt;"",TEXT(AUX!X$1,"dd-MMM-aa"),"")</f>
      </c>
      <c r="U63" s="435" t="str">
        <f> IF(U83&lt;&gt;"",TEXT(AUX!Y$1,"dd-MMM-aa"),"")</f>
      </c>
      <c r="V63" s="435" t="str">
        <f> IF(V83&lt;&gt;"",TEXT(AUX!Z$1,"dd-MMM-aa"),"")</f>
      </c>
      <c r="W63" s="435" t="str">
        <f> IF(W83&lt;&gt;"",TEXT(AUX!AA$1,"dd-MMM-aa"),"")</f>
      </c>
      <c r="X63" s="435" t="str">
        <f> IF(X83&lt;&gt;"",TEXT(AUX!AB$1,"dd-MMM-aa"),"")</f>
      </c>
      <c r="Y63" s="435" t="str">
        <f> IF(Y83&lt;&gt;"",TEXT(AUX!AC$1,"dd-MMM-aa"),"")</f>
      </c>
      <c r="Z63" s="435" t="str">
        <f> IF(Z83&lt;&gt;"",TEXT(AUX!AD$1,"dd-MMM-aa"),"")</f>
      </c>
      <c r="AA63" s="435" t="str">
        <f> IF(AA83&lt;&gt;"",TEXT(AUX!AE$1,"dd-MMM-aa"),"")</f>
      </c>
      <c r="AB63" s="497" t="str">
        <f> IF(AB83&lt;&gt;"",TEXT(AUX!AF$1,"dd-MMM-aa"),"")</f>
      </c>
      <c r="AC63" s="496" t="str">
        <f> IF(AC83&lt;&gt;"",TEXT(AUX!AG$1,"dd-MMM-aa"),"")</f>
      </c>
      <c r="AD63" s="496" t="str">
        <f> IF(AD83&lt;&gt;"",TEXT(AUX!AH$1,"dd-MMM-aa"),"")</f>
      </c>
      <c r="AE63" s="496" t="str">
        <f> IF(AE83&lt;&gt;"",TEXT(AUX!AI$1,"dd-MMM-aa"),"")</f>
      </c>
      <c r="AF63" s="496" t="str">
        <f> IF(AF83&lt;&gt;"",TEXT(AUX!AJ$1,"dd-MMM-aa"),"")</f>
      </c>
      <c r="AG63" s="496" t="str">
        <f> IF(AG83&lt;&gt;"",TEXT(AUX!AK$1,"dd-MMM-aa"),"")</f>
      </c>
      <c r="AH63" s="496" t="str">
        <f> IF(AH83&lt;&gt;"",TEXT(AUX!AL$1,"dd-MMM-aa"),"")</f>
      </c>
      <c r="AI63" s="496" t="str">
        <f> IF(AI83&lt;&gt;"",TEXT(AUX!AM$1,"dd-MMM-aa"),"")</f>
      </c>
      <c r="AJ63" s="496" t="str">
        <f> IF(AJ83&lt;&gt;"",TEXT(AUX!AN$1,"dd-MMM-aa"),"")</f>
      </c>
      <c r="AK63" s="496" t="str">
        <f> IF(AK83&lt;&gt;"",TEXT(AUX!AO$1,"dd-MMM-aa"),"")</f>
      </c>
      <c r="AL63" s="496" t="str">
        <f> IF(AL83&lt;&gt;"",TEXT(AUX!AP$1,"dd-MMM-aa"),"")</f>
      </c>
      <c r="AM63" s="496" t="str">
        <f> IF(AM83&lt;&gt;"",TEXT(AUX!AQ$1,"dd-MMM-aa"),"")</f>
      </c>
      <c r="AN63" s="496" t="str">
        <f> IF(AN83&lt;&gt;"",TEXT(AUX!AR$1,"dd-MMM-aa"),"")</f>
      </c>
      <c r="AO63" s="496" t="str">
        <f> IF(AO83&lt;&gt;"",TEXT(AUX!AS$1,"dd-MMM-aa"),"")</f>
      </c>
      <c r="AP63" s="496" t="str">
        <f> IF(AP83&lt;&gt;"",TEXT(AUX!AT$1,"dd-MMM-aa"),"")</f>
      </c>
      <c r="AQ63" s="496" t="str">
        <f> IF(AQ83&lt;&gt;"",TEXT(AUX!AU$1,"dd-MMM-aa"),"")</f>
      </c>
      <c r="AR63" s="496" t="str">
        <f> IF(AR83&lt;&gt;"",TEXT(AUX!AV$1,"dd-MMM-aa"),"")</f>
      </c>
      <c r="AS63" s="496" t="str">
        <f> IF(AS83&lt;&gt;"",TEXT(AUX!AW$1,"dd-MMM-aa"),"")</f>
      </c>
      <c r="AT63" s="496" t="str">
        <f> IF(AT83&lt;&gt;"",TEXT(AUX!AX$1,"dd-MMM-aa"),"")</f>
      </c>
      <c r="AU63" s="496" t="str">
        <f> IF(AU83&lt;&gt;"",TEXT(AUX!AY$1,"dd-MMM-aa"),"")</f>
      </c>
      <c r="AV63" s="496" t="str">
        <f> IF(AV83&lt;&gt;"",TEXT(AUX!AZ$1,"dd-MMM-aa"),"")</f>
      </c>
      <c r="AW63" s="496" t="str">
        <f> IF(AW83&lt;&gt;"",TEXT(AUX!BA$1,"dd-MMM-aa"),"")</f>
      </c>
      <c r="AX63" s="496" t="str">
        <f> IF(AX83&lt;&gt;"",TEXT(AUX!BB$1,"dd-MMM-aa"),"")</f>
      </c>
      <c r="AY63" s="496" t="str">
        <f> IF(AY83&lt;&gt;"",TEXT(AUX!BC$1,"dd-MMM-aa"),"")</f>
      </c>
      <c r="AZ63" s="496" t="str">
        <f> IF(AZ83&lt;&gt;"",TEXT(AUX!BD$1,"dd-MMM-aa"),"")</f>
      </c>
      <c r="BA63" s="496" t="str">
        <f> IF(BA83&lt;&gt;"",TEXT(AUX!BE$1,"dd-MMM-aa"),"")</f>
      </c>
      <c r="BB63" s="496" t="str">
        <f> IF(BB83&lt;&gt;"",TEXT(AUX!BF$1,"dd-MMM-aa"),"")</f>
      </c>
      <c r="BC63" s="496" t="str">
        <f> IF(BC83&lt;&gt;"",TEXT(AUX!BG$1,"dd-MMM-aa"),"")</f>
      </c>
      <c r="BD63" s="496" t="str">
        <f> IF(BD83&lt;&gt;"",TEXT(AUX!BH$1,"dd-MMM-aa"),"")</f>
      </c>
      <c r="BE63" s="496" t="str">
        <f> IF(BE83&lt;&gt;"",TEXT(AUX!BI$1,"dd-MMM-aa"),"")</f>
      </c>
      <c r="BF63" s="496" t="str">
        <f> IF(BF83&lt;&gt;"",TEXT(AUX!BJ$1,"dd-MMM-aa"),"")</f>
      </c>
      <c r="BG63" s="496" t="str">
        <f> IF(BG83&lt;&gt;"",TEXT(AUX!BK$1,"dd-MMM-aa"),"")</f>
      </c>
      <c r="BH63" s="496" t="str">
        <f> IF(BH83&lt;&gt;"",TEXT(AUX!BL$1,"dd-MMM-aa"),"")</f>
      </c>
      <c r="BI63" s="496" t="str">
        <f> IF(BI83&lt;&gt;"",TEXT(AUX!BM$1,"dd-MMM-aa"),"")</f>
      </c>
      <c r="BJ63" s="496" t="str">
        <f> IF(BJ83&lt;&gt;"",TEXT(AUX!BN$1,"dd-MMM-aa"),"")</f>
      </c>
      <c r="BK63" s="496" t="str">
        <f> IF(BK83&lt;&gt;"",TEXT(AUX!BO$1,"dd-MMM-aa"),"")</f>
      </c>
      <c r="BL63" s="496" t="str">
        <f> IF(BL83&lt;&gt;"",TEXT(AUX!BP$1,"dd-MMM-aa"),"")</f>
      </c>
      <c r="BM63" s="496" t="str">
        <f> IF(BM83&lt;&gt;"",TEXT(AUX!BQ$1,"dd-MMM-aa"),"")</f>
      </c>
      <c r="BN63" s="496" t="str">
        <f> IF(BN83&lt;&gt;"",TEXT(AUX!BR$1,"dd-MMM-aa"),"")</f>
      </c>
      <c r="BO63" s="496" t="str">
        <f> IF(BO83&lt;&gt;"",TEXT(AUX!BS$1,"dd-MMM-aa"),"")</f>
      </c>
      <c r="BP63" s="496" t="str">
        <f> IF(BP83&lt;&gt;"",TEXT(AUX!BT$1,"dd-MMM-aa"),"")</f>
      </c>
      <c r="BQ63" s="496" t="str">
        <f> IF(BQ83&lt;&gt;"",TEXT(AUX!BU$1,"dd-MMM-aa"),"")</f>
      </c>
      <c r="BR63" s="496" t="str">
        <f> IF(BR83&lt;&gt;"",TEXT(AUX!BV$1,"dd-MMM-aa"),"")</f>
      </c>
      <c r="BS63" s="496" t="str">
        <f> IF(BS83&lt;&gt;"",TEXT(AUX!BW$1,"dd-MMM-aa"),"")</f>
      </c>
      <c r="BT63" s="496" t="str">
        <f> IF(BT83&lt;&gt;"",TEXT(AUX!BX$1,"dd-MMM-aa"),"")</f>
      </c>
      <c r="BU63" s="496" t="str">
        <f> IF(BU83&lt;&gt;"",TEXT(AUX!BY$1,"dd-MMM-aa"),"")</f>
      </c>
      <c r="BV63" s="496" t="str">
        <f> IF(BV83&lt;&gt;"",TEXT(AUX!BZ$1,"dd-MMM-aa"),"")</f>
      </c>
      <c r="BW63" s="496" t="str">
        <f> IF(BW83&lt;&gt;"",TEXT(AUX!CA$1,"dd-MMM-aa"),"")</f>
      </c>
      <c r="BX63" s="496" t="str">
        <f> IF(BX83&lt;&gt;"",TEXT(AUX!CB$1,"dd-MMM-aa"),"")</f>
      </c>
      <c r="BY63" s="496" t="str">
        <f> IF(BY83&lt;&gt;"",TEXT(AUX!CC$1,"dd-MMM-aa"),"")</f>
      </c>
      <c r="BZ63" s="496" t="str">
        <f> IF(BZ83&lt;&gt;"",TEXT(AUX!CD$1,"dd-MMM-aa"),"")</f>
      </c>
      <c r="CA63" s="496" t="str">
        <f> IF(CA83&lt;&gt;"",TEXT(AUX!CE$1,"dd-MMM-aa"),"")</f>
      </c>
      <c r="CB63" s="496" t="str">
        <f> IF(CB83&lt;&gt;"",TEXT(AUX!CF$1,"dd-MMM-aa"),"")</f>
      </c>
      <c r="CC63" s="496" t="str">
        <f> IF(CC83&lt;&gt;"",TEXT(AUX!CG$1,"dd-MMM-aa"),"")</f>
      </c>
      <c r="CD63" s="496" t="str">
        <f> IF(CD83&lt;&gt;"",TEXT(AUX!CH$1,"dd-MMM-aa"),"")</f>
      </c>
      <c r="CE63" s="496" t="str">
        <f> IF(CE83&lt;&gt;"",TEXT(AUX!CI$1,"dd-MMM-aa"),"")</f>
      </c>
      <c r="CF63" s="496" t="str">
        <f> IF(CF83&lt;&gt;"",TEXT(AUX!CJ$1,"dd-MMM-aa"),"")</f>
      </c>
      <c r="CG63" s="496" t="str">
        <f> IF(CG83&lt;&gt;"",TEXT(AUX!CK$1,"dd-MMM-aa"),"")</f>
      </c>
      <c r="CH63" s="496" t="str">
        <f> IF(CH83&lt;&gt;"",TEXT(AUX!CL$1,"dd-MMM-aa"),"")</f>
      </c>
      <c r="CI63" s="496" t="str">
        <f> IF(CI83&lt;&gt;"",TEXT(AUX!CM$1,"dd-MMM-aa"),"")</f>
      </c>
      <c r="CJ63" s="496" t="str">
        <f> IF(CJ83&lt;&gt;"",TEXT(AUX!CN$1,"dd-MMM-aa"),"")</f>
      </c>
      <c r="CK63" s="496" t="str">
        <f> IF(CK83&lt;&gt;"",TEXT(AUX!CO$1,"dd-MMM-aa"),"")</f>
      </c>
      <c r="CL63" s="496" t="str">
        <f> IF(CL83&lt;&gt;"",TEXT(AUX!CP$1,"dd-MMM-aa"),"")</f>
      </c>
      <c r="CM63" s="496" t="str">
        <f> IF(CM83&lt;&gt;"",TEXT(AUX!CQ$1,"dd-MMM-aa"),"")</f>
      </c>
      <c r="CN63" s="496" t="str">
        <f> IF(CN83&lt;&gt;"",TEXT(AUX!CR$1,"dd-MMM-aa"),"")</f>
      </c>
      <c r="CO63" s="496" t="str">
        <f> IF(CO83&lt;&gt;"",TEXT(AUX!CS$1,"dd-MMM-aa"),"")</f>
      </c>
      <c r="CP63" s="496" t="str">
        <f> IF(CP83&lt;&gt;"",TEXT(AUX!CT$1,"dd-MMM-aa"),"")</f>
      </c>
      <c r="CQ63" s="496" t="str">
        <f> IF(CQ83&lt;&gt;"",TEXT(AUX!CU$1,"dd-MMM-aa"),"")</f>
      </c>
      <c r="CR63" s="496" t="str">
        <f> IF(CR83&lt;&gt;"",TEXT(AUX!CV$1,"dd-MMM-aa"),"")</f>
      </c>
      <c r="CS63" s="496" t="str">
        <f> IF(CS83&lt;&gt;"",TEXT(AUX!CW$1,"dd-MMM-aa"),"")</f>
      </c>
      <c r="CT63" s="496" t="str">
        <f> IF(CT83&lt;&gt;"",TEXT(AUX!CX$1,"dd-MMM-aa"),"")</f>
      </c>
      <c r="CU63" s="496" t="str">
        <f> IF(CU83&lt;&gt;"",TEXT(AUX!CY$1,"dd-MMM-aa"),"")</f>
      </c>
      <c r="CV63" s="496" t="str">
        <f> IF(CV83&lt;&gt;"",TEXT(AUX!CZ$1,"dd-MMM-aa"),"")</f>
      </c>
      <c r="CW63" s="496" t="str">
        <f> IF(CW83&lt;&gt;"",TEXT(AUX!DA$1,"dd-MMM-aa"),"")</f>
      </c>
      <c r="CX63" s="496" t="str">
        <f> IF(CX83&lt;&gt;"",TEXT(AUX!DB$1,"dd-MMM-aa"),"")</f>
      </c>
      <c r="CY63" s="496" t="str">
        <f> IF(CY83&lt;&gt;"",TEXT(AUX!DC$1,"dd-MMM-aa"),"")</f>
      </c>
      <c r="CZ63" s="496" t="str">
        <f> IF(CZ83&lt;&gt;"",TEXT(AUX!DD$1,"dd-MMM-aa"),"")</f>
      </c>
      <c r="DA63" s="496" t="str">
        <f> IF(DA83&lt;&gt;"",TEXT(AUX!DE$1,"dd-MMM-aa"),"")</f>
      </c>
      <c r="DB63" s="496" t="str">
        <f> IF(DB83&lt;&gt;"",TEXT(AUX!DF$1,"dd-MMM-aa"),"")</f>
      </c>
      <c r="DC63" s="496" t="str">
        <f> IF(DC83&lt;&gt;"",TEXT(AUX!DG$1,"dd-MMM-aa"),"")</f>
      </c>
      <c r="DD63" s="496" t="str">
        <f> IF(DD83&lt;&gt;"",TEXT(AUX!DH$1,"dd-MMM-aa"),"")</f>
      </c>
      <c r="DE63" s="496" t="str">
        <f> IF(DE83&lt;&gt;"",TEXT(AUX!DI$1,"dd-MMM-aa"),"")</f>
      </c>
      <c r="DF63" s="496" t="str">
        <f> IF(DF83&lt;&gt;"",TEXT(AUX!DJ$1,"dd-MMM-aa"),"")</f>
      </c>
      <c r="DG63" s="496" t="str">
        <f> IF(DG83&lt;&gt;"",TEXT(AUX!DK$1,"dd-MMM-aa"),"")</f>
      </c>
      <c r="DH63" s="496" t="str">
        <f> IF(DH83&lt;&gt;"",TEXT(AUX!DL$1,"dd-MMM-aa"),"")</f>
      </c>
      <c r="DI63" s="496" t="str">
        <f> IF(DI83&lt;&gt;"",TEXT(AUX!DM$1,"dd-MMM-aa"),"")</f>
      </c>
      <c r="DJ63" s="496" t="str">
        <f> IF(DJ83&lt;&gt;"",TEXT(AUX!DN$1,"dd-MMM-aa"),"")</f>
      </c>
      <c r="DK63" s="496" t="str">
        <f> IF(DK83&lt;&gt;"",TEXT(AUX!DO$1,"dd-MMM-aa"),"")</f>
      </c>
      <c r="DL63" s="496" t="str">
        <f> IF(DL83&lt;&gt;"",TEXT(AUX!DP$1,"dd-MMM-aa"),"")</f>
      </c>
      <c r="DM63" s="496" t="str">
        <f> IF(DM83&lt;&gt;"",TEXT(AUX!DQ$1,"dd-MMM-aa"),"")</f>
      </c>
      <c r="DN63" s="496" t="str">
        <f> IF(DN83&lt;&gt;"",TEXT(AUX!DR$1,"dd-MMM-aa"),"")</f>
      </c>
      <c r="DO63" s="496" t="str">
        <f> IF(DO83&lt;&gt;"",TEXT(AUX!DS$1,"dd-MMM-aa"),"")</f>
      </c>
      <c r="DP63" s="496" t="str">
        <f> IF(DP83&lt;&gt;"",TEXT(AUX!DT$1,"dd-MMM-aa"),"")</f>
      </c>
      <c r="DQ63" s="496" t="str">
        <f> IF(DQ83&lt;&gt;"",TEXT(AUX!DU$1,"dd-MMM-aa"),"")</f>
      </c>
      <c r="DR63" s="496" t="str">
        <f> IF(DR83&lt;&gt;"",TEXT(AUX!DV$1,"dd-MMM-aa"),"")</f>
      </c>
      <c r="DS63" s="496" t="str">
        <f> IF(DS83&lt;&gt;"",TEXT(AUX!DW$1,"dd-MMM-aa"),"")</f>
      </c>
      <c r="DT63" s="496" t="str">
        <f> IF(DT83&lt;&gt;"",TEXT(AUX!DX$1,"dd-MMM-aa"),"")</f>
      </c>
      <c r="DU63" s="496" t="str">
        <f> IF(DU83&lt;&gt;"",TEXT(AUX!DY$1,"dd-MMM-aa"),"")</f>
      </c>
      <c r="DV63" s="496" t="str">
        <f> IF(DV83&lt;&gt;"",TEXT(AUX!DZ$1,"dd-MMM-aa"),"")</f>
      </c>
      <c r="DW63" s="496" t="str">
        <f> IF(DW83&lt;&gt;"",TEXT(AUX!EA$1,"dd-MMM-aa"),"")</f>
      </c>
      <c r="DX63" s="496" t="str">
        <f> IF(DX83&lt;&gt;"",TEXT(AUX!EB$1,"dd-MMM-aa"),"")</f>
      </c>
      <c r="DY63" s="496" t="str">
        <f> IF(DY83&lt;&gt;"",TEXT(AUX!EC$1,"dd-MMM-aa"),"")</f>
      </c>
      <c r="DZ63" s="496" t="str">
        <f> IF(DZ83&lt;&gt;"",TEXT(AUX!ED$1,"dd-MMM-aa"),"")</f>
      </c>
      <c r="EA63" s="496" t="str">
        <f> IF(EA83&lt;&gt;"",TEXT(AUX!EE$1,"dd-MMM-aa"),"")</f>
      </c>
      <c r="EB63" s="496" t="str">
        <f> IF(EB83&lt;&gt;"",TEXT(AUX!EF$1,"dd-MMM-aa"),"")</f>
      </c>
      <c r="EC63" s="496" t="str">
        <f> IF(EC83&lt;&gt;"",TEXT(AUX!EG$1,"dd-MMM-aa"),"")</f>
      </c>
      <c r="ED63" s="496" t="str">
        <f> IF(ED83&lt;&gt;"",TEXT(AUX!EH$1,"dd-MMM-aa"),"")</f>
      </c>
      <c r="EE63" s="496" t="str">
        <f> IF(EE83&lt;&gt;"",TEXT(AUX!EI$1,"dd-MMM-aa"),"")</f>
      </c>
      <c r="EF63" s="496" t="str">
        <f> IF(EF83&lt;&gt;"",TEXT(AUX!EJ$1,"dd-MMM-aa"),"")</f>
      </c>
      <c r="EG63" s="496" t="str">
        <f> IF(EG83&lt;&gt;"",TEXT(AUX!EK$1,"dd-MMM-aa"),"")</f>
      </c>
      <c r="EH63" s="496" t="str">
        <f> IF(EH83&lt;&gt;"",TEXT(AUX!EL$1,"dd-MMM-aa"),"")</f>
      </c>
      <c r="EI63" s="496" t="str">
        <f> IF(EI83&lt;&gt;"",TEXT(AUX!EM$1,"dd-MMM-aa"),"")</f>
      </c>
      <c r="EJ63" s="496" t="str">
        <f> IF(EJ83&lt;&gt;"",TEXT(AUX!EN$1,"dd-MMM-aa"),"")</f>
      </c>
      <c r="EK63" s="496" t="str">
        <f> IF(EK83&lt;&gt;"",TEXT(AUX!EO$1,"dd-MMM-aa"),"")</f>
      </c>
      <c r="EL63" s="496" t="str">
        <f> IF(EL83&lt;&gt;"",TEXT(AUX!EP$1,"dd-MMM-aa"),"")</f>
      </c>
      <c r="EM63" s="496" t="str">
        <f> IF(EM83&lt;&gt;"",TEXT(AUX!EQ$1,"dd-MMM-aa"),"")</f>
      </c>
      <c r="EN63" s="496" t="str">
        <f> IF(EN83&lt;&gt;"",TEXT(AUX!ER$1,"dd-MMM-aa"),"")</f>
      </c>
      <c r="EO63" s="496" t="str">
        <f> IF(EO83&lt;&gt;"",TEXT(AUX!ES$1,"dd-MMM-aa"),"")</f>
      </c>
      <c r="EP63" s="496" t="str">
        <f> IF(EP83&lt;&gt;"",TEXT(AUX!ET$1,"dd-MMM-aa"),"")</f>
      </c>
      <c r="EQ63" s="496" t="str">
        <f> IF(EQ83&lt;&gt;"",TEXT(AUX!EU$1,"dd-MMM-aa"),"")</f>
      </c>
      <c r="ER63" s="496" t="str">
        <f> IF(ER83&lt;&gt;"",TEXT(AUX!EV$1,"dd-MMM-aa"),"")</f>
      </c>
      <c r="ES63" s="496" t="str">
        <f> IF(ES83&lt;&gt;"",TEXT(AUX!EW$1,"dd-MMM-aa"),"")</f>
      </c>
      <c r="ET63" s="496" t="str">
        <f> IF(ET83&lt;&gt;"",TEXT(AUX!EX$1,"dd-MMM-aa"),"")</f>
      </c>
      <c r="EU63" s="496" t="str">
        <f> IF(EU83&lt;&gt;"",TEXT(AUX!EY$1,"dd-MMM-aa"),"")</f>
      </c>
      <c r="EV63" s="496" t="str">
        <f> IF(EV83&lt;&gt;"",TEXT(AUX!EZ$1,"dd-MMM-aa"),"")</f>
      </c>
      <c r="EW63" s="496" t="str">
        <f> IF(EW83&lt;&gt;"",TEXT(AUX!FA$1,"dd-MMM-aa"),"")</f>
      </c>
      <c r="EX63" s="496" t="str">
        <f> IF(EX83&lt;&gt;"",TEXT(AUX!FB$1,"dd-MMM-aa"),"")</f>
      </c>
      <c r="EY63" s="496" t="str">
        <f> IF(EY83&lt;&gt;"",TEXT(AUX!FC$1,"dd-MMM-aa"),"")</f>
      </c>
      <c r="EZ63" s="496" t="str">
        <f> IF(EZ83&lt;&gt;"",TEXT(AUX!FD$1,"dd-MMM-aa"),"")</f>
      </c>
      <c r="FA63" s="496" t="str">
        <f> IF(FA83&lt;&gt;"",TEXT(AUX!FE$1,"dd-MMM-aa"),"")</f>
      </c>
      <c r="FB63" s="496" t="str">
        <f> IF(FB83&lt;&gt;"",TEXT(AUX!FF$1,"dd-MMM-aa"),"")</f>
      </c>
      <c r="FC63" s="496" t="str">
        <f> IF(FC83&lt;&gt;"",TEXT(AUX!FG$1,"dd-MMM-aa"),"")</f>
      </c>
      <c r="FD63" s="496" t="str">
        <f> IF(FD83&lt;&gt;"",TEXT(AUX!FH$1,"dd-MMM-aa"),"")</f>
      </c>
      <c r="FE63" s="496" t="str">
        <f> IF(FE83&lt;&gt;"",TEXT(AUX!FI$1,"dd-MMM-aa"),"")</f>
      </c>
      <c r="FF63" s="496" t="str">
        <f> IF(FF83&lt;&gt;"",TEXT(AUX!FJ$1,"dd-MMM-aa"),"")</f>
      </c>
      <c r="FG63" s="496" t="str">
        <f> IF(FG83&lt;&gt;"",TEXT(AUX!FK$1,"dd-MMM-aa"),"")</f>
      </c>
      <c r="FH63" s="496" t="str">
        <f> IF(FH83&lt;&gt;"",TEXT(AUX!FL$1,"dd-MMM-aa"),"")</f>
      </c>
      <c r="FI63" s="496" t="str">
        <f> IF(FI83&lt;&gt;"",TEXT(AUX!FM$1,"dd-MMM-aa"),"")</f>
      </c>
      <c r="FJ63" s="496" t="str">
        <f> IF(FJ83&lt;&gt;"",TEXT(AUX!FN$1,"dd-MMM-aa"),"")</f>
      </c>
      <c r="FK63" s="496" t="str">
        <f> IF(FK83&lt;&gt;"",TEXT(AUX!FO$1,"dd-MMM-aa"),"")</f>
      </c>
      <c r="FL63" s="496" t="str">
        <f> IF(FL83&lt;&gt;"",TEXT(AUX!FP$1,"dd-MMM-aa"),"")</f>
      </c>
      <c r="FM63" s="496" t="str">
        <f> IF(FM83&lt;&gt;"",TEXT(AUX!FQ$1,"dd-MMM-aa"),"")</f>
      </c>
      <c r="FN63" s="496" t="str">
        <f> IF(FN83&lt;&gt;"",TEXT(AUX!FR$1,"dd-MMM-aa"),"")</f>
      </c>
      <c r="FO63" s="496" t="str">
        <f> IF(FO83&lt;&gt;"",TEXT(AUX!FS$1,"dd-MMM-aa"),"")</f>
      </c>
      <c r="FP63" s="496" t="str">
        <f> IF(FP83&lt;&gt;"",TEXT(AUX!FT$1,"dd-MMM-aa"),"")</f>
      </c>
      <c r="FQ63" s="496" t="str">
        <f> IF(FQ83&lt;&gt;"",TEXT(AUX!FU$1,"dd-MMM-aa"),"")</f>
      </c>
      <c r="FR63" s="496" t="str">
        <f> IF(FR83&lt;&gt;"",TEXT(AUX!FV$1,"dd-MMM-aa"),"")</f>
      </c>
      <c r="FS63" s="496" t="str">
        <f> IF(FS83&lt;&gt;"",TEXT(AUX!FW$1,"dd-MMM-aa"),"")</f>
      </c>
      <c r="FT63" s="496" t="str">
        <f> IF(FT83&lt;&gt;"",TEXT(AUX!FX$1,"dd-MMM-aa"),"")</f>
      </c>
      <c r="FU63" s="496" t="str">
        <f> IF(FU83&lt;&gt;"",TEXT(AUX!FY$1,"dd-MMM-aa"),"")</f>
      </c>
      <c r="FV63" s="496" t="str">
        <f> IF(FV83&lt;&gt;"",TEXT(AUX!FZ$1,"dd-MMM-aa"),"")</f>
      </c>
      <c r="FW63" s="496" t="str">
        <f> IF(FW83&lt;&gt;"",TEXT(AUX!GA$1,"dd-MMM-aa"),"")</f>
      </c>
      <c r="FX63" s="496" t="str">
        <f> IF(FX83&lt;&gt;"",TEXT(AUX!GB$1,"dd-MMM-aa"),"")</f>
      </c>
      <c r="FY63" s="496" t="str">
        <f> IF(FY83&lt;&gt;"",TEXT(AUX!GC$1,"dd-MMM-aa"),"")</f>
      </c>
      <c r="FZ63" s="496" t="str">
        <f> IF(FZ83&lt;&gt;"",TEXT(AUX!GD$1,"dd-MMM-aa"),"")</f>
      </c>
      <c r="GA63" s="496" t="str">
        <f> IF(GA83&lt;&gt;"",TEXT(AUX!GE$1,"dd-MMM-aa"),"")</f>
      </c>
      <c r="GB63" s="496" t="str">
        <f> IF(GB83&lt;&gt;"",TEXT(AUX!GF$1,"dd-MMM-aa"),"")</f>
      </c>
      <c r="GC63" s="496" t="str">
        <f> IF(GC83&lt;&gt;"",TEXT(AUX!GG$1,"dd-MMM-aa"),"")</f>
      </c>
      <c r="GD63" s="496" t="str">
        <f> IF(GD83&lt;&gt;"",TEXT(AUX!GH$1,"dd-MMM-aa"),"")</f>
      </c>
      <c r="GE63" s="496" t="str">
        <f> IF(GE83&lt;&gt;"",TEXT(AUX!GI$1,"dd-MMM-aa"),"")</f>
      </c>
      <c r="GF63" s="496" t="str">
        <f> IF(GF83&lt;&gt;"",TEXT(AUX!GJ$1,"dd-MMM-aa"),"")</f>
      </c>
      <c r="GG63" s="496" t="str">
        <f> IF(GG83&lt;&gt;"",TEXT(AUX!GK$1,"dd-MMM-aa"),"")</f>
      </c>
      <c r="GH63" s="496" t="str">
        <f> IF(GH83&lt;&gt;"",TEXT(AUX!GL$1,"dd-MMM-aa"),"")</f>
      </c>
      <c r="GI63" s="496" t="str">
        <f> IF(GI83&lt;&gt;"",TEXT(AUX!GM$1,"dd-MMM-aa"),"")</f>
      </c>
      <c r="GJ63" s="496" t="str">
        <f> IF(GJ83&lt;&gt;"",TEXT(AUX!GN$1,"dd-MMM-aa"),"")</f>
      </c>
      <c r="GK63" s="496" t="str">
        <f> IF(GK83&lt;&gt;"",TEXT(AUX!GO$1,"dd-MMM-aa"),"")</f>
      </c>
      <c r="GL63" s="496" t="str">
        <f> IF(GL83&lt;&gt;"",TEXT(AUX!GP$1,"dd-MMM-aa"),"")</f>
      </c>
      <c r="GM63" s="496" t="str">
        <f> IF(GM83&lt;&gt;"",TEXT(AUX!GQ$1,"dd-MMM-aa"),"")</f>
      </c>
      <c r="GN63" s="496" t="str">
        <f> IF(GN83&lt;&gt;"",TEXT(AUX!GR$1,"dd-MMM-aa"),"")</f>
      </c>
      <c r="GO63" s="496" t="str">
        <f> IF(GO83&lt;&gt;"",TEXT(AUX!GS$1,"dd-MMM-aa"),"")</f>
      </c>
      <c r="GP63" s="496" t="str">
        <f> IF(GP83&lt;&gt;"",TEXT(AUX!GT$1,"dd-MMM-aa"),"")</f>
      </c>
      <c r="GQ63" s="496" t="str">
        <f> IF(GQ83&lt;&gt;"",TEXT(AUX!GU$1,"dd-MMM-aa"),"")</f>
      </c>
      <c r="GR63" s="496" t="str">
        <f> IF(GR83&lt;&gt;"",TEXT(AUX!GV$1,"dd-MMM-aa"),"")</f>
      </c>
      <c r="GS63" s="496" t="str">
        <f> IF(GS83&lt;&gt;"",TEXT(AUX!GW$1,"dd-MMM-aa"),"")</f>
      </c>
      <c r="GT63" s="496" t="str">
        <f> IF(GT83&lt;&gt;"",TEXT(AUX!GX$1,"dd-MMM-aa"),"")</f>
      </c>
      <c r="GU63" s="496" t="str">
        <f> IF(GU83&lt;&gt;"",TEXT(AUX!GY$1,"dd-MMM-aa"),"")</f>
      </c>
      <c r="GV63" s="496" t="str">
        <f> IF(GV83&lt;&gt;"",TEXT(AUX!GZ$1,"dd-MMM-aa"),"")</f>
      </c>
      <c r="GW63" s="496" t="str">
        <f> IF(GW83&lt;&gt;"",TEXT(AUX!HA$1,"dd-MMM-aa"),"")</f>
      </c>
      <c r="GX63" s="496" t="str">
        <f> IF(GX83&lt;&gt;"",TEXT(AUX!HB$1,"dd-MMM-aa"),"")</f>
      </c>
      <c r="GY63" s="496" t="str">
        <f> IF(GY83&lt;&gt;"",TEXT(AUX!HC$1,"dd-MMM-aa"),"")</f>
      </c>
      <c r="GZ63" s="496" t="str">
        <f> IF(GZ83&lt;&gt;"",TEXT(AUX!HD$1,"dd-MMM-aa"),"")</f>
      </c>
      <c r="HA63" s="496" t="str">
        <f> IF(HA83&lt;&gt;"",TEXT(AUX!HE$1,"dd-MMM-aa"),"")</f>
      </c>
      <c r="HB63" s="496" t="str">
        <f> IF(HB83&lt;&gt;"",TEXT(AUX!HF$1,"dd-MMM-aa"),"")</f>
      </c>
      <c r="HC63" s="496" t="str">
        <f> IF(HC83&lt;&gt;"",TEXT(AUX!HG$1,"dd-MMM-aa"),"")</f>
      </c>
      <c r="HD63" s="496" t="str">
        <f> IF(HD83&lt;&gt;"",TEXT(AUX!HH$1,"dd-MMM-aa"),"")</f>
      </c>
      <c r="HE63" s="496" t="str">
        <f> IF(HE83&lt;&gt;"",TEXT(AUX!HI$1,"dd-MMM-aa"),"")</f>
      </c>
      <c r="HF63" s="496" t="str">
        <f> IF(HF83&lt;&gt;"",TEXT(AUX!HJ$1,"dd-MMM-aa"),"")</f>
      </c>
      <c r="HG63" s="496" t="str">
        <f> IF(HG83&lt;&gt;"",TEXT(AUX!HK$1,"dd-MMM-aa"),"")</f>
      </c>
      <c r="HH63" s="496" t="str">
        <f> IF(HH83&lt;&gt;"",TEXT(AUX!HL$1,"dd-MMM-aa"),"")</f>
      </c>
      <c r="HI63" s="496" t="str">
        <f> IF(HI83&lt;&gt;"",TEXT(AUX!HM$1,"dd-MMM-aa"),"")</f>
      </c>
      <c r="HJ63" s="496" t="str">
        <f> IF(HJ83&lt;&gt;"",TEXT(AUX!HN$1,"dd-MMM-aa"),"")</f>
      </c>
      <c r="HK63" s="496" t="str">
        <f> IF(HK83&lt;&gt;"",TEXT(AUX!HO$1,"dd-MMM-aa"),"")</f>
      </c>
      <c r="HL63" s="496" t="str">
        <f> IF(HL83&lt;&gt;"",TEXT(AUX!HP$1,"dd-MMM-aa"),"")</f>
      </c>
      <c r="HM63" s="496" t="str">
        <f> IF(HM83&lt;&gt;"",TEXT(AUX!HQ$1,"dd-MMM-aa"),"")</f>
      </c>
      <c r="HN63" s="496" t="str">
        <f> IF(HN83&lt;&gt;"",TEXT(AUX!HR$1,"dd-MMM-aa"),"")</f>
      </c>
      <c r="HO63" s="496" t="str">
        <f> IF(HO83&lt;&gt;"",TEXT(AUX!HS$1,"dd-MMM-aa"),"")</f>
      </c>
      <c r="HP63" s="496" t="str">
        <f> IF(HP83&lt;&gt;"",TEXT(AUX!HT$1,"dd-MMM-aa"),"")</f>
      </c>
      <c r="HQ63" s="496" t="str">
        <f> IF(HQ83&lt;&gt;"",TEXT(AUX!HU$1,"dd-MMM-aa"),"")</f>
      </c>
      <c r="HR63" s="496" t="str">
        <f> IF(HR83&lt;&gt;"",TEXT(AUX!HV$1,"dd-MMM-aa"),"")</f>
      </c>
      <c r="HS63" s="496" t="str">
        <f> IF(HS83&lt;&gt;"",TEXT(AUX!HW$1,"dd-MMM-aa"),"")</f>
      </c>
      <c r="HT63" s="496" t="str">
        <f> IF(HT83&lt;&gt;"",TEXT(AUX!HX$1,"dd-MMM-aa"),"")</f>
      </c>
      <c r="HU63" s="496" t="str">
        <f> IF(HU83&lt;&gt;"",TEXT(AUX!HY$1,"dd-MMM-aa"),"")</f>
      </c>
      <c r="HV63" s="496" t="str">
        <f> IF(HV83&lt;&gt;"",TEXT(AUX!HZ$1,"dd-MMM-aa"),"")</f>
      </c>
      <c r="HW63" s="496" t="str">
        <f> IF(HW83&lt;&gt;"",TEXT(AUX!IA$1,"dd-MMM-aa"),"")</f>
      </c>
      <c r="HX63" s="496" t="str">
        <f> IF(HX83&lt;&gt;"",TEXT(AUX!IB$1,"dd-MMM-aa"),"")</f>
      </c>
      <c r="HY63" s="496" t="str">
        <f> IF(HY83&lt;&gt;"",TEXT(AUX!IC$1,"dd-MMM-aa"),"")</f>
      </c>
      <c r="HZ63" s="496" t="str">
        <f> IF(HZ83&lt;&gt;"",TEXT(AUX!ID$1,"dd-MMM-aa"),"")</f>
      </c>
      <c r="IA63" s="496" t="str">
        <f> IF(IA83&lt;&gt;"",TEXT(AUX!IE$1,"dd-MMM-aa"),"")</f>
      </c>
      <c r="IB63" s="496" t="str">
        <f> IF(IB83&lt;&gt;"",TEXT(AUX!IF$1,"dd-MMM-aa"),"")</f>
      </c>
      <c r="IC63" s="496" t="str">
        <f> IF(IC83&lt;&gt;"",TEXT(AUX!IG$1,"dd-MMM-aa"),"")</f>
      </c>
      <c r="ID63" s="496" t="str">
        <f> IF(ID83&lt;&gt;"",TEXT(AUX!IH$1,"dd-MMM-aa"),"")</f>
      </c>
      <c r="IE63" s="496" t="str">
        <f> IF(IE83&lt;&gt;"",TEXT(AUX!II$1,"dd-MMM-aa"),"")</f>
      </c>
      <c r="IF63" s="496" t="str">
        <f> IF(IF83&lt;&gt;"",TEXT(AUX!IJ$1,"dd-MMM-aa"),"")</f>
      </c>
      <c r="IG63" s="496" t="str">
        <f> IF(IG83&lt;&gt;"",TEXT(AUX!IK$1,"dd-MMM-aa"),"")</f>
      </c>
      <c r="IH63" s="496" t="str">
        <f> IF(IH83&lt;&gt;"",TEXT(AUX!IL$1,"dd-MMM-aa"),"")</f>
      </c>
      <c r="II63" s="496" t="str">
        <f> IF(II83&lt;&gt;"",TEXT(AUX!IM$1,"dd-MMM-aa"),"")</f>
      </c>
      <c r="IJ63" s="496" t="str">
        <f> IF(IJ83&lt;&gt;"",TEXT(AUX!IN$1,"dd-MMM-aa"),"")</f>
      </c>
      <c r="IK63" s="496" t="str">
        <f> IF(IK83&lt;&gt;"",TEXT(AUX!IO$1,"dd-MMM-aa"),"")</f>
      </c>
      <c r="IL63" s="496" t="str">
        <f> IF(IL83&lt;&gt;"",TEXT(AUX!IP$1,"dd-MMM-aa"),"")</f>
      </c>
      <c r="IM63" s="496" t="str">
        <f> IF(IM83&lt;&gt;"",TEXT(AUX!IQ$1,"dd-MMM-aa"),"")</f>
      </c>
      <c r="IN63" s="496" t="str">
        <f> IF(IN83&lt;&gt;"",TEXT(AUX!IR$1,"dd-MMM-aa"),"")</f>
      </c>
      <c r="IO63" s="496" t="str">
        <f> IF(IO83&lt;&gt;"",TEXT(AUX!IS$1,"dd-MMM-aa"),"")</f>
      </c>
      <c r="IP63" s="496" t="str">
        <f> IF(IP83&lt;&gt;"",TEXT(AUX!IT$1,"dd-MMM-aa"),"")</f>
      </c>
      <c r="IQ63" s="496" t="str">
        <f> IF(IQ83&lt;&gt;"",TEXT(AUX!IU$1,"dd-MMM-aa"),"")</f>
      </c>
      <c r="IR63" s="496" t="str">
        <f> IF(IR83&lt;&gt;"",TEXT(AUX!IV$1,"dd-MMM-aa"),"")</f>
      </c>
      <c r="IS63" s="496" t="str">
        <f> IF(IS83&lt;&gt;"",TEXT(AUX!#REF!,"dd-MMM-aa"),"")</f>
      </c>
      <c r="IT63" s="496" t="str">
        <f> IF(IT83&lt;&gt;"",TEXT(AUX!#REF!,"dd-MMM-aa"),"")</f>
      </c>
      <c r="IU63" s="496" t="str">
        <f> IF(IU83&lt;&gt;"",TEXT(AUX!#REF!,"dd-MMM-aa"),"")</f>
      </c>
      <c r="IV63" s="496" t="str">
        <f> IF(IV83&lt;&gt;"",TEXT(AUX!#REF!,"dd-MMM-aa"),"")</f>
      </c>
    </row>
    <row r="64" hidden="1">
      <c r="B64" s="822" t="s">
        <v>8</v>
      </c>
      <c r="C64" s="823">
        <v>48115</v>
      </c>
      <c r="D64" s="823">
        <v>61657</v>
      </c>
      <c r="E64" s="823">
        <v>83573</v>
      </c>
      <c r="F64" s="823">
        <v>91624</v>
      </c>
      <c r="G64" s="823">
        <v>91438</v>
      </c>
      <c r="H64" s="823">
        <v>94102</v>
      </c>
      <c r="I64" s="823">
        <v>95505</v>
      </c>
      <c r="J64" s="823">
        <v>97132</v>
      </c>
      <c r="K64" s="823">
        <v>98478</v>
      </c>
      <c r="L64" s="823">
        <v>99839</v>
      </c>
      <c r="M64" s="823">
        <v>101974</v>
      </c>
      <c r="N64" s="823">
        <v>104037</v>
      </c>
      <c r="O64" s="823">
        <v>105932</v>
      </c>
      <c r="P64" s="823">
        <v>107324</v>
      </c>
      <c r="Q64" s="823">
        <v>108509</v>
      </c>
      <c r="R64" s="823">
        <v>109743</v>
      </c>
      <c r="S64" s="823">
        <v>110983</v>
      </c>
      <c r="T64" s="823">
        <v>111456</v>
      </c>
      <c r="U64" s="823">
        <v>113429</v>
      </c>
      <c r="V64" s="823">
        <v>114473</v>
      </c>
      <c r="W64" s="823">
        <v>114532</v>
      </c>
      <c r="X64" s="823">
        <v>114670</v>
      </c>
      <c r="Y64" s="823">
        <v>114569</v>
      </c>
      <c r="Z64" s="823">
        <v>114732</v>
      </c>
      <c r="AA64" s="823">
        <v>113994</v>
      </c>
      <c r="AB64" s="824">
        <v>113834</v>
      </c>
      <c r="AC64" s="825">
        <v>113719</v>
      </c>
      <c r="AD64" s="825">
        <v>113952</v>
      </c>
      <c r="AE64" s="825">
        <v>114292</v>
      </c>
      <c r="AF64" s="825">
        <v>114700</v>
      </c>
      <c r="AG64" s="825">
        <v>114915</v>
      </c>
      <c r="AH64" s="825">
        <v>115130</v>
      </c>
      <c r="AI64" s="825">
        <v>115068</v>
      </c>
      <c r="AJ64" s="825">
        <v>115225</v>
      </c>
      <c r="AK64" s="825">
        <v>115685</v>
      </c>
      <c r="AL64" s="825">
        <v>116198</v>
      </c>
      <c r="AM64" s="825">
        <v>107145</v>
      </c>
      <c r="AN64" s="825">
        <v>105225</v>
      </c>
      <c r="AO64" s="825">
        <v>109897</v>
      </c>
      <c r="AP64" s="825">
        <v>113168</v>
      </c>
    </row>
    <row r="65" hidden="1">
      <c r="B65" s="826" t="s">
        <v>9</v>
      </c>
      <c r="C65" s="827">
        <v>17823</v>
      </c>
      <c r="D65" s="827">
        <v>17629</v>
      </c>
      <c r="E65" s="827">
        <v>17560</v>
      </c>
      <c r="F65" s="827">
        <v>17634</v>
      </c>
      <c r="G65" s="827">
        <v>17526</v>
      </c>
      <c r="H65" s="827">
        <v>17570</v>
      </c>
      <c r="I65" s="827">
        <v>17367</v>
      </c>
      <c r="J65" s="827">
        <v>17418</v>
      </c>
      <c r="K65" s="827">
        <v>17018</v>
      </c>
      <c r="L65" s="827">
        <v>17076</v>
      </c>
      <c r="M65" s="827">
        <v>16955</v>
      </c>
      <c r="N65" s="827">
        <v>16901</v>
      </c>
      <c r="O65" s="827">
        <v>16459</v>
      </c>
      <c r="P65" s="827">
        <v>16590</v>
      </c>
      <c r="Q65" s="827">
        <v>16571</v>
      </c>
      <c r="R65" s="827">
        <v>16857</v>
      </c>
      <c r="S65" s="827">
        <v>17207</v>
      </c>
      <c r="T65" s="827">
        <v>17514</v>
      </c>
      <c r="U65" s="827">
        <v>17717</v>
      </c>
      <c r="V65" s="827">
        <v>17718</v>
      </c>
      <c r="W65" s="827">
        <v>17907</v>
      </c>
      <c r="X65" s="827">
        <v>18095</v>
      </c>
      <c r="Y65" s="827">
        <v>18368</v>
      </c>
      <c r="Z65" s="827">
        <v>18490</v>
      </c>
      <c r="AA65" s="827">
        <v>19070</v>
      </c>
      <c r="AB65" s="827">
        <v>19176</v>
      </c>
      <c r="AC65" s="828">
        <v>19357</v>
      </c>
      <c r="AD65" s="828">
        <v>19382</v>
      </c>
      <c r="AE65" s="828">
        <v>19546</v>
      </c>
      <c r="AF65" s="828">
        <v>19734</v>
      </c>
      <c r="AG65" s="828">
        <v>19971</v>
      </c>
      <c r="AH65" s="828">
        <v>20135</v>
      </c>
      <c r="AI65" s="828">
        <v>20262</v>
      </c>
      <c r="AJ65" s="828">
        <v>20289</v>
      </c>
      <c r="AK65" s="828">
        <v>20465</v>
      </c>
      <c r="AL65" s="828">
        <v>20692</v>
      </c>
      <c r="AM65" s="828">
        <v>20614</v>
      </c>
      <c r="AN65" s="828">
        <v>20620</v>
      </c>
      <c r="AO65" s="828">
        <v>21328</v>
      </c>
      <c r="AP65" s="828">
        <v>22623</v>
      </c>
    </row>
    <row r="66" hidden="1">
      <c r="B66" s="829" t="s">
        <v>10</v>
      </c>
      <c r="C66" s="823">
        <v>40544</v>
      </c>
      <c r="D66" s="823">
        <v>40447</v>
      </c>
      <c r="E66" s="823">
        <v>35142</v>
      </c>
      <c r="F66" s="823">
        <v>33369</v>
      </c>
      <c r="G66" s="823">
        <v>31403</v>
      </c>
      <c r="H66" s="823">
        <v>31556</v>
      </c>
      <c r="I66" s="823">
        <v>31007</v>
      </c>
      <c r="J66" s="823">
        <v>30676</v>
      </c>
      <c r="K66" s="823">
        <v>30407</v>
      </c>
      <c r="L66" s="823">
        <v>31178</v>
      </c>
      <c r="M66" s="823">
        <v>30820</v>
      </c>
      <c r="N66" s="823">
        <v>31522</v>
      </c>
      <c r="O66" s="823">
        <v>31261</v>
      </c>
      <c r="P66" s="823">
        <v>31910</v>
      </c>
      <c r="Q66" s="823">
        <v>31278</v>
      </c>
      <c r="R66" s="823">
        <v>31814</v>
      </c>
      <c r="S66" s="823">
        <v>31605</v>
      </c>
      <c r="T66" s="823">
        <v>31415</v>
      </c>
      <c r="U66" s="823">
        <v>30522</v>
      </c>
      <c r="V66" s="823">
        <v>29140</v>
      </c>
      <c r="W66" s="823">
        <v>29853</v>
      </c>
      <c r="X66" s="823">
        <v>29057</v>
      </c>
      <c r="Y66" s="823">
        <v>29626</v>
      </c>
      <c r="Z66" s="823">
        <v>29036</v>
      </c>
      <c r="AA66" s="823">
        <v>29554</v>
      </c>
      <c r="AB66" s="823">
        <v>28984</v>
      </c>
      <c r="AC66" s="825">
        <v>29401</v>
      </c>
      <c r="AD66" s="825">
        <v>29022</v>
      </c>
      <c r="AE66" s="825">
        <v>29707</v>
      </c>
      <c r="AF66" s="825">
        <v>29417</v>
      </c>
      <c r="AG66" s="825">
        <v>30116</v>
      </c>
      <c r="AH66" s="825">
        <v>29642</v>
      </c>
      <c r="AI66" s="825">
        <v>30085</v>
      </c>
      <c r="AJ66" s="825">
        <v>29630</v>
      </c>
      <c r="AK66" s="825">
        <v>30283</v>
      </c>
      <c r="AL66" s="825">
        <v>29880</v>
      </c>
      <c r="AM66" s="825">
        <v>30704</v>
      </c>
      <c r="AN66" s="825">
        <v>30654</v>
      </c>
      <c r="AO66" s="825">
        <v>31376</v>
      </c>
      <c r="AP66" s="825">
        <v>31571</v>
      </c>
    </row>
    <row r="67" hidden="1">
      <c r="B67" s="826" t="s">
        <v>11</v>
      </c>
      <c r="C67" s="827">
        <v>8030</v>
      </c>
      <c r="D67" s="827">
        <v>7576</v>
      </c>
      <c r="E67" s="827">
        <v>7687</v>
      </c>
      <c r="F67" s="827">
        <v>7739</v>
      </c>
      <c r="G67" s="827">
        <v>7614</v>
      </c>
      <c r="H67" s="827">
        <v>7302</v>
      </c>
      <c r="I67" s="827">
        <v>7512</v>
      </c>
      <c r="J67" s="827">
        <v>7332</v>
      </c>
      <c r="K67" s="827">
        <v>7430</v>
      </c>
      <c r="L67" s="827">
        <v>7275</v>
      </c>
      <c r="M67" s="827">
        <v>7720</v>
      </c>
      <c r="N67" s="827">
        <v>7923</v>
      </c>
      <c r="O67" s="827">
        <v>8107</v>
      </c>
      <c r="P67" s="827">
        <v>8486</v>
      </c>
      <c r="Q67" s="827">
        <v>8492</v>
      </c>
      <c r="R67" s="827">
        <v>8496</v>
      </c>
      <c r="S67" s="827">
        <v>8770</v>
      </c>
      <c r="T67" s="827">
        <v>8911</v>
      </c>
      <c r="U67" s="827">
        <v>8719</v>
      </c>
      <c r="V67" s="827">
        <v>8859</v>
      </c>
      <c r="W67" s="827">
        <v>8721</v>
      </c>
      <c r="X67" s="827">
        <v>8853</v>
      </c>
      <c r="Y67" s="827">
        <v>8515</v>
      </c>
      <c r="Z67" s="827">
        <v>8711</v>
      </c>
      <c r="AA67" s="827">
        <v>8474</v>
      </c>
      <c r="AB67" s="827">
        <v>8603</v>
      </c>
      <c r="AC67" s="828">
        <v>8836</v>
      </c>
      <c r="AD67" s="828">
        <v>8979</v>
      </c>
      <c r="AE67" s="828">
        <v>9123</v>
      </c>
      <c r="AF67" s="828">
        <v>9366</v>
      </c>
      <c r="AG67" s="828">
        <v>8294</v>
      </c>
      <c r="AH67" s="828">
        <v>8735</v>
      </c>
      <c r="AI67" s="828">
        <v>9049</v>
      </c>
      <c r="AJ67" s="828">
        <v>9291</v>
      </c>
      <c r="AK67" s="828">
        <v>9616</v>
      </c>
      <c r="AL67" s="828">
        <v>9896</v>
      </c>
      <c r="AM67" s="828">
        <v>10268</v>
      </c>
      <c r="AN67" s="828">
        <v>10506</v>
      </c>
      <c r="AO67" s="828">
        <v>11209</v>
      </c>
      <c r="AP67" s="828">
        <v>11542</v>
      </c>
    </row>
    <row r="68" hidden="1">
      <c r="B68" s="829" t="s">
        <v>12</v>
      </c>
      <c r="C68" s="823">
        <v>7802</v>
      </c>
      <c r="D68" s="823">
        <v>8118</v>
      </c>
      <c r="E68" s="823">
        <v>8648</v>
      </c>
      <c r="F68" s="823">
        <v>8538</v>
      </c>
      <c r="G68" s="823">
        <v>8852</v>
      </c>
      <c r="H68" s="823">
        <v>9140</v>
      </c>
      <c r="I68" s="823">
        <v>9415</v>
      </c>
      <c r="J68" s="823">
        <v>7076</v>
      </c>
      <c r="K68" s="823">
        <v>6866</v>
      </c>
      <c r="L68" s="823">
        <v>6858</v>
      </c>
      <c r="M68" s="823">
        <v>6656</v>
      </c>
      <c r="N68" s="823">
        <v>6739</v>
      </c>
      <c r="O68" s="823">
        <v>6636</v>
      </c>
      <c r="P68" s="823">
        <v>6634</v>
      </c>
      <c r="Q68" s="823">
        <v>6572</v>
      </c>
      <c r="R68" s="823">
        <v>6684</v>
      </c>
      <c r="S68" s="823">
        <v>6463</v>
      </c>
      <c r="T68" s="823">
        <v>6494</v>
      </c>
      <c r="U68" s="823">
        <v>6292</v>
      </c>
      <c r="V68" s="823">
        <v>6423</v>
      </c>
      <c r="W68" s="823">
        <v>6271</v>
      </c>
      <c r="X68" s="823">
        <v>6376</v>
      </c>
      <c r="Y68" s="823">
        <v>6143</v>
      </c>
      <c r="Z68" s="823">
        <v>6056</v>
      </c>
      <c r="AA68" s="823">
        <v>5595</v>
      </c>
      <c r="AB68" s="823">
        <v>5647</v>
      </c>
      <c r="AC68" s="825">
        <v>5406</v>
      </c>
      <c r="AD68" s="825">
        <v>5425</v>
      </c>
      <c r="AE68" s="825">
        <v>5077</v>
      </c>
      <c r="AF68" s="825">
        <v>5146</v>
      </c>
      <c r="AG68" s="825">
        <v>5122</v>
      </c>
      <c r="AH68" s="825">
        <v>5216</v>
      </c>
      <c r="AI68" s="825">
        <v>5238</v>
      </c>
      <c r="AJ68" s="825">
        <v>5297</v>
      </c>
      <c r="AK68" s="825">
        <v>5264</v>
      </c>
      <c r="AL68" s="825">
        <v>5278</v>
      </c>
      <c r="AM68" s="825">
        <v>5242</v>
      </c>
      <c r="AN68" s="825">
        <v>5423</v>
      </c>
      <c r="AO68" s="825">
        <v>5525</v>
      </c>
      <c r="AP68" s="825">
        <v>5729</v>
      </c>
    </row>
    <row r="69" hidden="1">
      <c r="B69" s="826" t="s">
        <v>13</v>
      </c>
      <c r="C69" s="827">
        <v>18600</v>
      </c>
      <c r="D69" s="827">
        <v>15158</v>
      </c>
      <c r="E69" s="827">
        <v>15281</v>
      </c>
      <c r="F69" s="827">
        <v>15102</v>
      </c>
      <c r="G69" s="827">
        <v>15455</v>
      </c>
      <c r="H69" s="827">
        <v>15653</v>
      </c>
      <c r="I69" s="827">
        <v>15078</v>
      </c>
      <c r="J69" s="827">
        <v>15265</v>
      </c>
      <c r="K69" s="827">
        <v>15496</v>
      </c>
      <c r="L69" s="827">
        <v>14835</v>
      </c>
      <c r="M69" s="827">
        <v>15204</v>
      </c>
      <c r="N69" s="827">
        <v>14369</v>
      </c>
      <c r="O69" s="827">
        <v>14469</v>
      </c>
      <c r="P69" s="827">
        <v>14533</v>
      </c>
      <c r="Q69" s="827">
        <v>14720</v>
      </c>
      <c r="R69" s="827">
        <v>14548</v>
      </c>
      <c r="S69" s="827">
        <v>14696</v>
      </c>
      <c r="T69" s="827">
        <v>14889</v>
      </c>
      <c r="U69" s="827">
        <v>15085</v>
      </c>
      <c r="V69" s="827">
        <v>15222</v>
      </c>
      <c r="W69" s="827">
        <v>15096</v>
      </c>
      <c r="X69" s="827">
        <v>14825</v>
      </c>
      <c r="Y69" s="827">
        <v>14160</v>
      </c>
      <c r="Z69" s="827">
        <v>13969</v>
      </c>
      <c r="AA69" s="827">
        <v>14267</v>
      </c>
      <c r="AB69" s="827">
        <v>14141</v>
      </c>
      <c r="AC69" s="828">
        <v>14359</v>
      </c>
      <c r="AD69" s="828">
        <v>14242</v>
      </c>
      <c r="AE69" s="828">
        <v>14346</v>
      </c>
      <c r="AF69" s="828">
        <v>14236</v>
      </c>
      <c r="AG69" s="828">
        <v>14537</v>
      </c>
      <c r="AH69" s="828">
        <v>14465</v>
      </c>
      <c r="AI69" s="828">
        <v>14690</v>
      </c>
      <c r="AJ69" s="828">
        <v>14510</v>
      </c>
      <c r="AK69" s="828">
        <v>14706</v>
      </c>
      <c r="AL69" s="828">
        <v>13298</v>
      </c>
      <c r="AM69" s="828">
        <v>13462</v>
      </c>
      <c r="AN69" s="828">
        <v>13599</v>
      </c>
      <c r="AO69" s="828">
        <v>13817</v>
      </c>
      <c r="AP69" s="828">
        <v>14424</v>
      </c>
    </row>
    <row r="70" hidden="1">
      <c r="B70" s="829" t="s">
        <v>109</v>
      </c>
      <c r="C70" s="823">
        <v>21610</v>
      </c>
      <c r="D70" s="823">
        <v>20745</v>
      </c>
      <c r="E70" s="823">
        <v>19673</v>
      </c>
      <c r="F70" s="823">
        <v>19476</v>
      </c>
      <c r="G70" s="823">
        <v>19238</v>
      </c>
      <c r="H70" s="823">
        <v>19104</v>
      </c>
      <c r="I70" s="823">
        <v>19056</v>
      </c>
      <c r="J70" s="823">
        <v>18699</v>
      </c>
      <c r="K70" s="823">
        <v>18860</v>
      </c>
      <c r="L70" s="823">
        <v>19007</v>
      </c>
      <c r="M70" s="823">
        <v>19155</v>
      </c>
      <c r="N70" s="823">
        <v>19347</v>
      </c>
      <c r="O70" s="823">
        <v>19265</v>
      </c>
      <c r="P70" s="823">
        <v>19533</v>
      </c>
      <c r="Q70" s="823">
        <v>19669</v>
      </c>
      <c r="R70" s="823">
        <v>19617</v>
      </c>
      <c r="S70" s="823">
        <v>19859</v>
      </c>
      <c r="T70" s="823">
        <v>20249</v>
      </c>
      <c r="U70" s="823">
        <v>20601</v>
      </c>
      <c r="V70" s="823">
        <v>21815</v>
      </c>
      <c r="W70" s="823">
        <v>21789</v>
      </c>
      <c r="X70" s="823">
        <v>21593</v>
      </c>
      <c r="Y70" s="823">
        <v>21624</v>
      </c>
      <c r="Z70" s="823">
        <v>21744</v>
      </c>
      <c r="AA70" s="823">
        <v>21590</v>
      </c>
      <c r="AB70" s="823">
        <v>21902</v>
      </c>
      <c r="AC70" s="825">
        <v>21170</v>
      </c>
      <c r="AD70" s="825">
        <v>21592</v>
      </c>
      <c r="AE70" s="825">
        <v>21493</v>
      </c>
      <c r="AF70" s="825">
        <v>21748</v>
      </c>
      <c r="AG70" s="825">
        <v>21961</v>
      </c>
      <c r="AH70" s="825">
        <v>22272</v>
      </c>
      <c r="AI70" s="825">
        <v>22620</v>
      </c>
      <c r="AJ70" s="825">
        <v>22004</v>
      </c>
      <c r="AK70" s="825">
        <v>22272</v>
      </c>
      <c r="AL70" s="825">
        <v>22545</v>
      </c>
      <c r="AM70" s="825">
        <v>22603</v>
      </c>
      <c r="AN70" s="825">
        <v>22885</v>
      </c>
      <c r="AO70" s="825">
        <v>24675</v>
      </c>
      <c r="AP70" s="825">
        <v>26960</v>
      </c>
    </row>
    <row r="71" hidden="1">
      <c r="B71" s="826" t="s">
        <v>110</v>
      </c>
      <c r="C71" s="827">
        <v>69297</v>
      </c>
      <c r="D71" s="827">
        <v>70817</v>
      </c>
      <c r="E71" s="827">
        <v>72042</v>
      </c>
      <c r="F71" s="827">
        <v>73023</v>
      </c>
      <c r="G71" s="827">
        <v>73203</v>
      </c>
      <c r="H71" s="827">
        <v>72816</v>
      </c>
      <c r="I71" s="827">
        <v>67525</v>
      </c>
      <c r="J71" s="827">
        <v>68566</v>
      </c>
      <c r="K71" s="827">
        <v>70576</v>
      </c>
      <c r="L71" s="827">
        <v>71117</v>
      </c>
      <c r="M71" s="827">
        <v>71421</v>
      </c>
      <c r="N71" s="827">
        <v>69098</v>
      </c>
      <c r="O71" s="827">
        <v>67394</v>
      </c>
      <c r="P71" s="827">
        <v>65690</v>
      </c>
      <c r="Q71" s="827">
        <v>67244</v>
      </c>
      <c r="R71" s="827">
        <v>67287</v>
      </c>
      <c r="S71" s="827">
        <v>69590</v>
      </c>
      <c r="T71" s="827">
        <v>69907</v>
      </c>
      <c r="U71" s="827">
        <v>70579</v>
      </c>
      <c r="V71" s="827">
        <v>70877</v>
      </c>
      <c r="W71" s="827">
        <v>70798</v>
      </c>
      <c r="X71" s="827">
        <v>71087</v>
      </c>
      <c r="Y71" s="827">
        <v>71114</v>
      </c>
      <c r="Z71" s="827">
        <v>71023</v>
      </c>
      <c r="AA71" s="827">
        <v>70783</v>
      </c>
      <c r="AB71" s="827">
        <v>70875</v>
      </c>
      <c r="AC71" s="828">
        <v>69639</v>
      </c>
      <c r="AD71" s="828">
        <v>69824</v>
      </c>
      <c r="AE71" s="828">
        <v>69936</v>
      </c>
      <c r="AF71" s="828">
        <v>69611</v>
      </c>
      <c r="AG71" s="828">
        <v>69949</v>
      </c>
      <c r="AH71" s="828">
        <v>70286</v>
      </c>
      <c r="AI71" s="828">
        <v>70755</v>
      </c>
      <c r="AJ71" s="828">
        <v>71292</v>
      </c>
      <c r="AK71" s="828">
        <v>71866</v>
      </c>
      <c r="AL71" s="828">
        <v>71519</v>
      </c>
      <c r="AM71" s="828">
        <v>71243</v>
      </c>
      <c r="AN71" s="828">
        <v>71450</v>
      </c>
      <c r="AO71" s="828">
        <v>73966</v>
      </c>
      <c r="AP71" s="828">
        <v>77543</v>
      </c>
    </row>
    <row r="72" hidden="1">
      <c r="B72" s="829" t="s">
        <v>16</v>
      </c>
      <c r="C72" s="823">
        <v>23608</v>
      </c>
      <c r="D72" s="823">
        <v>23767</v>
      </c>
      <c r="E72" s="823">
        <v>23656</v>
      </c>
      <c r="F72" s="823">
        <v>23554</v>
      </c>
      <c r="G72" s="823">
        <v>23348</v>
      </c>
      <c r="H72" s="823">
        <v>23211</v>
      </c>
      <c r="I72" s="823">
        <v>23118</v>
      </c>
      <c r="J72" s="823">
        <v>23052</v>
      </c>
      <c r="K72" s="823">
        <v>23344</v>
      </c>
      <c r="L72" s="823">
        <v>23592</v>
      </c>
      <c r="M72" s="823">
        <v>23756</v>
      </c>
      <c r="N72" s="823">
        <v>23676</v>
      </c>
      <c r="O72" s="823">
        <v>23452</v>
      </c>
      <c r="P72" s="823">
        <v>23461</v>
      </c>
      <c r="Q72" s="823">
        <v>23396</v>
      </c>
      <c r="R72" s="823">
        <v>23497</v>
      </c>
      <c r="S72" s="823">
        <v>23665</v>
      </c>
      <c r="T72" s="823">
        <v>23813</v>
      </c>
      <c r="U72" s="823">
        <v>23875</v>
      </c>
      <c r="V72" s="823">
        <v>24072</v>
      </c>
      <c r="W72" s="823">
        <v>24245</v>
      </c>
      <c r="X72" s="823">
        <v>24440</v>
      </c>
      <c r="Y72" s="823">
        <v>24797</v>
      </c>
      <c r="Z72" s="823">
        <v>24973</v>
      </c>
      <c r="AA72" s="823">
        <v>25164</v>
      </c>
      <c r="AB72" s="823">
        <v>25301</v>
      </c>
      <c r="AC72" s="825">
        <v>25270</v>
      </c>
      <c r="AD72" s="825">
        <v>25221</v>
      </c>
      <c r="AE72" s="825">
        <v>25245</v>
      </c>
      <c r="AF72" s="825">
        <v>25554</v>
      </c>
      <c r="AG72" s="825">
        <v>25782</v>
      </c>
      <c r="AH72" s="825">
        <v>26002</v>
      </c>
      <c r="AI72" s="825">
        <v>26248</v>
      </c>
      <c r="AJ72" s="825">
        <v>26516</v>
      </c>
      <c r="AK72" s="825">
        <v>26743</v>
      </c>
      <c r="AL72" s="825">
        <v>26799</v>
      </c>
      <c r="AM72" s="825">
        <v>26928</v>
      </c>
      <c r="AN72" s="825">
        <v>27170</v>
      </c>
      <c r="AO72" s="825">
        <v>28191</v>
      </c>
      <c r="AP72" s="825">
        <v>28965</v>
      </c>
    </row>
    <row r="73" hidden="1">
      <c r="B73" s="826" t="s">
        <v>17</v>
      </c>
      <c r="C73" s="827">
        <v>42049</v>
      </c>
      <c r="D73" s="827">
        <v>41998</v>
      </c>
      <c r="E73" s="827">
        <v>42455</v>
      </c>
      <c r="F73" s="827">
        <v>43085</v>
      </c>
      <c r="G73" s="827">
        <v>40938</v>
      </c>
      <c r="H73" s="827">
        <v>41415</v>
      </c>
      <c r="I73" s="827">
        <v>40547</v>
      </c>
      <c r="J73" s="827">
        <v>40943</v>
      </c>
      <c r="K73" s="827">
        <v>41316</v>
      </c>
      <c r="L73" s="827">
        <v>41879</v>
      </c>
      <c r="M73" s="827">
        <v>42333</v>
      </c>
      <c r="N73" s="827">
        <v>42798</v>
      </c>
      <c r="O73" s="827">
        <v>43079</v>
      </c>
      <c r="P73" s="827">
        <v>43666</v>
      </c>
      <c r="Q73" s="827">
        <v>40894</v>
      </c>
      <c r="R73" s="827">
        <v>41519</v>
      </c>
      <c r="S73" s="827">
        <v>41010</v>
      </c>
      <c r="T73" s="827">
        <v>41702</v>
      </c>
      <c r="U73" s="827">
        <v>42745</v>
      </c>
      <c r="V73" s="827">
        <v>43594</v>
      </c>
      <c r="W73" s="827">
        <v>42303</v>
      </c>
      <c r="X73" s="827">
        <v>42447</v>
      </c>
      <c r="Y73" s="827">
        <v>43403</v>
      </c>
      <c r="Z73" s="827">
        <v>44088</v>
      </c>
      <c r="AA73" s="827">
        <v>44647</v>
      </c>
      <c r="AB73" s="827">
        <v>45002</v>
      </c>
      <c r="AC73" s="828">
        <v>45637</v>
      </c>
      <c r="AD73" s="828">
        <v>46046</v>
      </c>
      <c r="AE73" s="828">
        <v>46523</v>
      </c>
      <c r="AF73" s="828">
        <v>46972</v>
      </c>
      <c r="AG73" s="828">
        <v>47551</v>
      </c>
      <c r="AH73" s="828">
        <v>47877</v>
      </c>
      <c r="AI73" s="828">
        <v>48292</v>
      </c>
      <c r="AJ73" s="828">
        <v>48776</v>
      </c>
      <c r="AK73" s="828">
        <v>49101</v>
      </c>
      <c r="AL73" s="828">
        <v>49981</v>
      </c>
      <c r="AM73" s="828">
        <v>50354</v>
      </c>
      <c r="AN73" s="828">
        <v>50648</v>
      </c>
      <c r="AO73" s="828">
        <v>51185</v>
      </c>
      <c r="AP73" s="828">
        <v>51441</v>
      </c>
    </row>
    <row r="74" hidden="1">
      <c r="B74" s="829" t="s">
        <v>18</v>
      </c>
      <c r="C74" s="823">
        <v>113112</v>
      </c>
      <c r="D74" s="823">
        <v>103741</v>
      </c>
      <c r="E74" s="823">
        <v>104950</v>
      </c>
      <c r="F74" s="823">
        <v>105937</v>
      </c>
      <c r="G74" s="823">
        <v>100883</v>
      </c>
      <c r="H74" s="823">
        <v>101783</v>
      </c>
      <c r="I74" s="823">
        <v>98097</v>
      </c>
      <c r="J74" s="823">
        <v>97450</v>
      </c>
      <c r="K74" s="823">
        <v>97059</v>
      </c>
      <c r="L74" s="823">
        <v>95419</v>
      </c>
      <c r="M74" s="823">
        <v>95448</v>
      </c>
      <c r="N74" s="823">
        <v>95528</v>
      </c>
      <c r="O74" s="823">
        <v>95069</v>
      </c>
      <c r="P74" s="823">
        <v>94162</v>
      </c>
      <c r="Q74" s="823">
        <v>93997</v>
      </c>
      <c r="R74" s="823">
        <v>93746</v>
      </c>
      <c r="S74" s="823">
        <v>93682</v>
      </c>
      <c r="T74" s="823">
        <v>93665</v>
      </c>
      <c r="U74" s="823">
        <v>97016</v>
      </c>
      <c r="V74" s="823">
        <v>96724</v>
      </c>
      <c r="W74" s="823">
        <v>96241</v>
      </c>
      <c r="X74" s="823">
        <v>95842</v>
      </c>
      <c r="Y74" s="823">
        <v>94492</v>
      </c>
      <c r="Z74" s="823">
        <v>94658</v>
      </c>
      <c r="AA74" s="823">
        <v>93688</v>
      </c>
      <c r="AB74" s="823">
        <v>93412</v>
      </c>
      <c r="AC74" s="825">
        <v>93295</v>
      </c>
      <c r="AD74" s="825">
        <v>93557</v>
      </c>
      <c r="AE74" s="825">
        <v>94382</v>
      </c>
      <c r="AF74" s="825">
        <v>96191</v>
      </c>
      <c r="AG74" s="825">
        <v>95606</v>
      </c>
      <c r="AH74" s="825">
        <v>95433</v>
      </c>
      <c r="AI74" s="825">
        <v>87088</v>
      </c>
      <c r="AJ74" s="825">
        <v>86837</v>
      </c>
      <c r="AK74" s="825">
        <v>91875</v>
      </c>
      <c r="AL74" s="825">
        <v>100881</v>
      </c>
      <c r="AM74" s="825">
        <v>167542</v>
      </c>
      <c r="AN74" s="825">
        <v>188805</v>
      </c>
      <c r="AO74" s="825">
        <v>201561</v>
      </c>
      <c r="AP74" s="825">
        <v>207365</v>
      </c>
    </row>
    <row r="75" hidden="1">
      <c r="B75" s="826" t="s">
        <v>19</v>
      </c>
      <c r="C75" s="827">
        <v>3778</v>
      </c>
      <c r="D75" s="827">
        <v>3954</v>
      </c>
      <c r="E75" s="827">
        <v>4031</v>
      </c>
      <c r="F75" s="827">
        <v>4093</v>
      </c>
      <c r="G75" s="827">
        <v>4255</v>
      </c>
      <c r="H75" s="827">
        <v>4416</v>
      </c>
      <c r="I75" s="827">
        <v>4293</v>
      </c>
      <c r="J75" s="827">
        <v>4393</v>
      </c>
      <c r="K75" s="827">
        <v>4430</v>
      </c>
      <c r="L75" s="827">
        <v>4495</v>
      </c>
      <c r="M75" s="827">
        <v>4097</v>
      </c>
      <c r="N75" s="827">
        <v>4209</v>
      </c>
      <c r="O75" s="827">
        <v>4378</v>
      </c>
      <c r="P75" s="827">
        <v>4474</v>
      </c>
      <c r="Q75" s="827">
        <v>4386</v>
      </c>
      <c r="R75" s="827">
        <v>4528</v>
      </c>
      <c r="S75" s="827">
        <v>4658</v>
      </c>
      <c r="T75" s="827">
        <v>4799</v>
      </c>
      <c r="U75" s="827">
        <v>4926</v>
      </c>
      <c r="V75" s="827">
        <v>5057</v>
      </c>
      <c r="W75" s="827">
        <v>5177</v>
      </c>
      <c r="X75" s="827">
        <v>5223</v>
      </c>
      <c r="Y75" s="827">
        <v>5323</v>
      </c>
      <c r="Z75" s="827">
        <v>5411</v>
      </c>
      <c r="AA75" s="827">
        <v>5419</v>
      </c>
      <c r="AB75" s="827">
        <v>5431</v>
      </c>
      <c r="AC75" s="828">
        <v>5530</v>
      </c>
      <c r="AD75" s="828">
        <v>5589</v>
      </c>
      <c r="AE75" s="828">
        <v>5639</v>
      </c>
      <c r="AF75" s="828">
        <v>5708</v>
      </c>
      <c r="AG75" s="828">
        <v>5771</v>
      </c>
      <c r="AH75" s="828">
        <v>5905</v>
      </c>
      <c r="AI75" s="828">
        <v>6143</v>
      </c>
      <c r="AJ75" s="828">
        <v>5464</v>
      </c>
      <c r="AK75" s="828">
        <v>5723</v>
      </c>
      <c r="AL75" s="828">
        <v>6004</v>
      </c>
      <c r="AM75" s="828">
        <v>6170</v>
      </c>
      <c r="AN75" s="828">
        <v>6302</v>
      </c>
      <c r="AO75" s="828">
        <v>6884</v>
      </c>
      <c r="AP75" s="828">
        <v>8129</v>
      </c>
    </row>
    <row r="76" hidden="1">
      <c r="B76" s="829" t="s">
        <v>20</v>
      </c>
      <c r="C76" s="823">
        <v>6935</v>
      </c>
      <c r="D76" s="823">
        <v>7112</v>
      </c>
      <c r="E76" s="823">
        <v>7525</v>
      </c>
      <c r="F76" s="823">
        <v>7395</v>
      </c>
      <c r="G76" s="823">
        <v>7197</v>
      </c>
      <c r="H76" s="823">
        <v>7229</v>
      </c>
      <c r="I76" s="823">
        <v>7305</v>
      </c>
      <c r="J76" s="823">
        <v>7390</v>
      </c>
      <c r="K76" s="823">
        <v>7362</v>
      </c>
      <c r="L76" s="823">
        <v>7533</v>
      </c>
      <c r="M76" s="823">
        <v>7485</v>
      </c>
      <c r="N76" s="823">
        <v>7168</v>
      </c>
      <c r="O76" s="823">
        <v>7449</v>
      </c>
      <c r="P76" s="823">
        <v>7602</v>
      </c>
      <c r="Q76" s="823">
        <v>7655</v>
      </c>
      <c r="R76" s="823">
        <v>7760</v>
      </c>
      <c r="S76" s="823">
        <v>7454</v>
      </c>
      <c r="T76" s="823">
        <v>7731</v>
      </c>
      <c r="U76" s="823">
        <v>7854</v>
      </c>
      <c r="V76" s="823">
        <v>7975</v>
      </c>
      <c r="W76" s="823">
        <v>7943</v>
      </c>
      <c r="X76" s="823">
        <v>7982</v>
      </c>
      <c r="Y76" s="823">
        <v>8156</v>
      </c>
      <c r="Z76" s="823">
        <v>8255</v>
      </c>
      <c r="AA76" s="823">
        <v>8454</v>
      </c>
      <c r="AB76" s="823">
        <v>8483</v>
      </c>
      <c r="AC76" s="825">
        <v>8578</v>
      </c>
      <c r="AD76" s="825">
        <v>8651</v>
      </c>
      <c r="AE76" s="825">
        <v>8859</v>
      </c>
      <c r="AF76" s="825">
        <v>8961</v>
      </c>
      <c r="AG76" s="825">
        <v>7257</v>
      </c>
      <c r="AH76" s="825">
        <v>7378</v>
      </c>
      <c r="AI76" s="825">
        <v>7429</v>
      </c>
      <c r="AJ76" s="825">
        <v>7494</v>
      </c>
      <c r="AK76" s="825">
        <v>7608</v>
      </c>
      <c r="AL76" s="825">
        <v>7601</v>
      </c>
      <c r="AM76" s="825">
        <v>7661</v>
      </c>
      <c r="AN76" s="825">
        <v>7751</v>
      </c>
      <c r="AO76" s="825">
        <v>7780</v>
      </c>
      <c r="AP76" s="825">
        <v>7948</v>
      </c>
    </row>
    <row r="77" hidden="1">
      <c r="B77" s="826" t="s">
        <v>21</v>
      </c>
      <c r="C77" s="827">
        <v>6444</v>
      </c>
      <c r="D77" s="827">
        <v>6295</v>
      </c>
      <c r="E77" s="827">
        <v>6115</v>
      </c>
      <c r="F77" s="827">
        <v>6210</v>
      </c>
      <c r="G77" s="827">
        <v>6172</v>
      </c>
      <c r="H77" s="827">
        <v>6158</v>
      </c>
      <c r="I77" s="827">
        <v>6018</v>
      </c>
      <c r="J77" s="827">
        <v>6163</v>
      </c>
      <c r="K77" s="827">
        <v>6337</v>
      </c>
      <c r="L77" s="827">
        <v>6410</v>
      </c>
      <c r="M77" s="827">
        <v>6502</v>
      </c>
      <c r="N77" s="827">
        <v>6540</v>
      </c>
      <c r="O77" s="827">
        <v>6604</v>
      </c>
      <c r="P77" s="827">
        <v>6584</v>
      </c>
      <c r="Q77" s="827">
        <v>6643</v>
      </c>
      <c r="R77" s="827">
        <v>6685</v>
      </c>
      <c r="S77" s="827">
        <v>6748</v>
      </c>
      <c r="T77" s="827">
        <v>7062</v>
      </c>
      <c r="U77" s="827">
        <v>7091</v>
      </c>
      <c r="V77" s="827">
        <v>7150</v>
      </c>
      <c r="W77" s="827">
        <v>7096</v>
      </c>
      <c r="X77" s="827">
        <v>7233</v>
      </c>
      <c r="Y77" s="827">
        <v>7267</v>
      </c>
      <c r="Z77" s="827">
        <v>7208</v>
      </c>
      <c r="AA77" s="827">
        <v>7168</v>
      </c>
      <c r="AB77" s="827">
        <v>7255</v>
      </c>
      <c r="AC77" s="828">
        <v>7146</v>
      </c>
      <c r="AD77" s="828">
        <v>7284</v>
      </c>
      <c r="AE77" s="828">
        <v>7429</v>
      </c>
      <c r="AF77" s="828">
        <v>7456</v>
      </c>
      <c r="AG77" s="828">
        <v>7473</v>
      </c>
      <c r="AH77" s="828">
        <v>7536</v>
      </c>
      <c r="AI77" s="828">
        <v>7578</v>
      </c>
      <c r="AJ77" s="828">
        <v>7569</v>
      </c>
      <c r="AK77" s="828">
        <v>7514</v>
      </c>
      <c r="AL77" s="828">
        <v>7565</v>
      </c>
      <c r="AM77" s="828">
        <v>7572</v>
      </c>
      <c r="AN77" s="828">
        <v>7703</v>
      </c>
      <c r="AO77" s="828">
        <v>7840</v>
      </c>
      <c r="AP77" s="828">
        <v>8115</v>
      </c>
    </row>
    <row r="78" hidden="1">
      <c r="B78" s="829" t="s">
        <v>22</v>
      </c>
      <c r="C78" s="823">
        <v>18196</v>
      </c>
      <c r="D78" s="823">
        <v>18421</v>
      </c>
      <c r="E78" s="823">
        <v>18641</v>
      </c>
      <c r="F78" s="823">
        <v>19447</v>
      </c>
      <c r="G78" s="823">
        <v>19782</v>
      </c>
      <c r="H78" s="823">
        <v>20513</v>
      </c>
      <c r="I78" s="823">
        <v>19489</v>
      </c>
      <c r="J78" s="823">
        <v>19782</v>
      </c>
      <c r="K78" s="823">
        <v>19255</v>
      </c>
      <c r="L78" s="823">
        <v>19449</v>
      </c>
      <c r="M78" s="823">
        <v>17257</v>
      </c>
      <c r="N78" s="823">
        <v>17625</v>
      </c>
      <c r="O78" s="823">
        <v>17766</v>
      </c>
      <c r="P78" s="823">
        <v>18007</v>
      </c>
      <c r="Q78" s="823">
        <v>17899</v>
      </c>
      <c r="R78" s="823">
        <v>18168</v>
      </c>
      <c r="S78" s="823">
        <v>18191</v>
      </c>
      <c r="T78" s="823">
        <v>18388</v>
      </c>
      <c r="U78" s="823">
        <v>17071</v>
      </c>
      <c r="V78" s="823">
        <v>17217</v>
      </c>
      <c r="W78" s="823">
        <v>17092</v>
      </c>
      <c r="X78" s="823">
        <v>16789</v>
      </c>
      <c r="Y78" s="823">
        <v>16497</v>
      </c>
      <c r="Z78" s="823">
        <v>16748</v>
      </c>
      <c r="AA78" s="823">
        <v>16426</v>
      </c>
      <c r="AB78" s="823">
        <v>16472</v>
      </c>
      <c r="AC78" s="825">
        <v>16350</v>
      </c>
      <c r="AD78" s="825">
        <v>16412</v>
      </c>
      <c r="AE78" s="825">
        <v>16433</v>
      </c>
      <c r="AF78" s="825">
        <v>16758</v>
      </c>
      <c r="AG78" s="825">
        <v>17230</v>
      </c>
      <c r="AH78" s="825">
        <v>17265</v>
      </c>
      <c r="AI78" s="825">
        <v>17209</v>
      </c>
      <c r="AJ78" s="825">
        <v>17231</v>
      </c>
      <c r="AK78" s="825">
        <v>17077</v>
      </c>
      <c r="AL78" s="825">
        <v>17214</v>
      </c>
      <c r="AM78" s="825">
        <v>17214</v>
      </c>
      <c r="AN78" s="825">
        <v>17213</v>
      </c>
      <c r="AO78" s="825">
        <v>17989</v>
      </c>
      <c r="AP78" s="825">
        <v>18337</v>
      </c>
    </row>
    <row r="79" hidden="1">
      <c r="B79" s="826" t="s">
        <v>23</v>
      </c>
      <c r="C79" s="827">
        <v>2112</v>
      </c>
      <c r="D79" s="827">
        <v>2124</v>
      </c>
      <c r="E79" s="827">
        <v>2096</v>
      </c>
      <c r="F79" s="827">
        <v>2096</v>
      </c>
      <c r="G79" s="827">
        <v>2102</v>
      </c>
      <c r="H79" s="827">
        <v>2139</v>
      </c>
      <c r="I79" s="827">
        <v>2080</v>
      </c>
      <c r="J79" s="827">
        <v>2096</v>
      </c>
      <c r="K79" s="827">
        <v>2085</v>
      </c>
      <c r="L79" s="827">
        <v>2072</v>
      </c>
      <c r="M79" s="827">
        <v>2041</v>
      </c>
      <c r="N79" s="827">
        <v>2067</v>
      </c>
      <c r="O79" s="827">
        <v>2055</v>
      </c>
      <c r="P79" s="827">
        <v>2044</v>
      </c>
      <c r="Q79" s="827">
        <v>2009</v>
      </c>
      <c r="R79" s="827">
        <v>2026</v>
      </c>
      <c r="S79" s="827">
        <v>2037</v>
      </c>
      <c r="T79" s="827">
        <v>1993</v>
      </c>
      <c r="U79" s="827">
        <v>2013</v>
      </c>
      <c r="V79" s="827">
        <v>2053</v>
      </c>
      <c r="W79" s="827">
        <v>2148</v>
      </c>
      <c r="X79" s="827">
        <v>2165</v>
      </c>
      <c r="Y79" s="827">
        <v>2174</v>
      </c>
      <c r="Z79" s="827">
        <v>2171</v>
      </c>
      <c r="AA79" s="827">
        <v>2186</v>
      </c>
      <c r="AB79" s="827">
        <v>2192</v>
      </c>
      <c r="AC79" s="828">
        <v>2209</v>
      </c>
      <c r="AD79" s="828">
        <v>2226</v>
      </c>
      <c r="AE79" s="828">
        <v>2234</v>
      </c>
      <c r="AF79" s="828">
        <v>2251</v>
      </c>
      <c r="AG79" s="828">
        <v>2307</v>
      </c>
      <c r="AH79" s="828">
        <v>2318</v>
      </c>
      <c r="AI79" s="828">
        <v>2343</v>
      </c>
      <c r="AJ79" s="828">
        <v>2318</v>
      </c>
      <c r="AK79" s="828">
        <v>2313</v>
      </c>
      <c r="AL79" s="828">
        <v>2356</v>
      </c>
      <c r="AM79" s="828">
        <v>2372</v>
      </c>
      <c r="AN79" s="828">
        <v>2386</v>
      </c>
      <c r="AO79" s="828">
        <v>2412</v>
      </c>
      <c r="AP79" s="828">
        <v>2772</v>
      </c>
    </row>
    <row r="80" hidden="1">
      <c r="B80" s="830" t="s">
        <v>24</v>
      </c>
      <c r="C80" s="823">
        <v>7397</v>
      </c>
      <c r="D80" s="823">
        <v>7179</v>
      </c>
      <c r="E80" s="823">
        <v>6712</v>
      </c>
      <c r="F80" s="823">
        <v>6533</v>
      </c>
      <c r="G80" s="823">
        <v>6391</v>
      </c>
      <c r="H80" s="823">
        <v>6317</v>
      </c>
      <c r="I80" s="823">
        <v>6264</v>
      </c>
      <c r="J80" s="823">
        <v>6230</v>
      </c>
      <c r="K80" s="823">
        <v>6514</v>
      </c>
      <c r="L80" s="823">
        <v>6640</v>
      </c>
      <c r="M80" s="823">
        <v>7356</v>
      </c>
      <c r="N80" s="823">
        <v>7900</v>
      </c>
      <c r="O80" s="823">
        <v>8323</v>
      </c>
      <c r="P80" s="823">
        <v>8589</v>
      </c>
      <c r="Q80" s="823">
        <v>8779</v>
      </c>
      <c r="R80" s="823">
        <v>8954</v>
      </c>
      <c r="S80" s="823">
        <v>9171</v>
      </c>
      <c r="T80" s="823">
        <v>9583</v>
      </c>
      <c r="U80" s="823">
        <v>10296</v>
      </c>
      <c r="V80" s="823">
        <v>10769</v>
      </c>
      <c r="W80" s="823">
        <v>11213</v>
      </c>
      <c r="X80" s="823">
        <v>11566</v>
      </c>
      <c r="Y80" s="823">
        <v>11762</v>
      </c>
      <c r="Z80" s="823">
        <v>12066</v>
      </c>
      <c r="AA80" s="823">
        <v>12182</v>
      </c>
      <c r="AB80" s="823">
        <v>12433</v>
      </c>
      <c r="AC80" s="825">
        <v>12626</v>
      </c>
      <c r="AD80" s="825">
        <v>12796</v>
      </c>
      <c r="AE80" s="825">
        <v>12896</v>
      </c>
      <c r="AF80" s="825">
        <v>13186</v>
      </c>
      <c r="AG80" s="825">
        <v>13327</v>
      </c>
      <c r="AH80" s="825">
        <v>13569</v>
      </c>
      <c r="AI80" s="825">
        <v>13882</v>
      </c>
      <c r="AJ80" s="825">
        <v>14127</v>
      </c>
      <c r="AK80" s="825">
        <v>14264</v>
      </c>
      <c r="AL80" s="825">
        <v>14470</v>
      </c>
      <c r="AM80" s="825">
        <v>14490</v>
      </c>
      <c r="AN80" s="825">
        <v>15064</v>
      </c>
      <c r="AO80" s="825">
        <v>15726</v>
      </c>
      <c r="AP80" s="825">
        <v>18006</v>
      </c>
    </row>
    <row r="81" hidden="1">
      <c r="B81" s="826" t="s">
        <v>25</v>
      </c>
      <c r="C81" s="827">
        <v>0</v>
      </c>
      <c r="D81" s="827">
        <v>0</v>
      </c>
      <c r="E81" s="827">
        <v>0</v>
      </c>
      <c r="F81" s="827">
        <v>0</v>
      </c>
      <c r="G81" s="827">
        <v>0</v>
      </c>
      <c r="H81" s="827">
        <v>5</v>
      </c>
      <c r="I81" s="827">
        <v>5</v>
      </c>
      <c r="J81" s="827">
        <v>5</v>
      </c>
      <c r="K81" s="827">
        <v>5</v>
      </c>
      <c r="L81" s="827">
        <v>5</v>
      </c>
      <c r="M81" s="827">
        <v>5</v>
      </c>
      <c r="N81" s="827">
        <v>6</v>
      </c>
      <c r="O81" s="827">
        <v>6</v>
      </c>
      <c r="P81" s="827">
        <v>6</v>
      </c>
      <c r="Q81" s="827">
        <v>6</v>
      </c>
      <c r="R81" s="827">
        <v>6</v>
      </c>
      <c r="S81" s="827">
        <v>6</v>
      </c>
      <c r="T81" s="827">
        <v>6</v>
      </c>
      <c r="U81" s="827">
        <v>6</v>
      </c>
      <c r="V81" s="827">
        <v>7</v>
      </c>
      <c r="W81" s="827">
        <v>7</v>
      </c>
      <c r="X81" s="827">
        <v>7</v>
      </c>
      <c r="Y81" s="827">
        <v>7</v>
      </c>
      <c r="Z81" s="827">
        <v>7</v>
      </c>
      <c r="AA81" s="827">
        <v>8</v>
      </c>
      <c r="AB81" s="827">
        <v>8</v>
      </c>
      <c r="AC81" s="828">
        <v>8</v>
      </c>
      <c r="AD81" s="828">
        <v>8</v>
      </c>
      <c r="AE81" s="828">
        <v>8</v>
      </c>
      <c r="AF81" s="828">
        <v>8</v>
      </c>
      <c r="AG81" s="828">
        <v>8</v>
      </c>
      <c r="AH81" s="828">
        <v>8</v>
      </c>
      <c r="AI81" s="828">
        <v>8</v>
      </c>
      <c r="AJ81" s="828">
        <v>8</v>
      </c>
      <c r="AK81" s="828">
        <v>8</v>
      </c>
      <c r="AL81" s="828">
        <v>8</v>
      </c>
      <c r="AM81" s="828">
        <v>8</v>
      </c>
      <c r="AN81" s="828">
        <v>9</v>
      </c>
      <c r="AO81" s="828">
        <v>9</v>
      </c>
      <c r="AP81" s="828">
        <v>10</v>
      </c>
    </row>
    <row r="82" hidden="1" ht="13.5">
      <c r="B82" s="831" t="s">
        <v>26</v>
      </c>
      <c r="C82" s="823">
        <v>0</v>
      </c>
      <c r="D82" s="823">
        <v>0</v>
      </c>
      <c r="E82" s="823">
        <v>0</v>
      </c>
      <c r="F82" s="823">
        <v>0</v>
      </c>
      <c r="G82" s="823">
        <v>0</v>
      </c>
      <c r="H82" s="823">
        <v>1</v>
      </c>
      <c r="I82" s="823">
        <v>1</v>
      </c>
      <c r="J82" s="823">
        <v>1</v>
      </c>
      <c r="K82" s="823">
        <v>1</v>
      </c>
      <c r="L82" s="823">
        <v>6</v>
      </c>
      <c r="M82" s="823">
        <v>6</v>
      </c>
      <c r="N82" s="823">
        <v>6</v>
      </c>
      <c r="O82" s="823">
        <v>6</v>
      </c>
      <c r="P82" s="823">
        <v>6</v>
      </c>
      <c r="Q82" s="823">
        <v>7</v>
      </c>
      <c r="R82" s="823">
        <v>7</v>
      </c>
      <c r="S82" s="823">
        <v>8</v>
      </c>
      <c r="T82" s="823">
        <v>8</v>
      </c>
      <c r="U82" s="823">
        <v>12</v>
      </c>
      <c r="V82" s="823">
        <v>13</v>
      </c>
      <c r="W82" s="823">
        <v>14</v>
      </c>
      <c r="X82" s="823">
        <v>14</v>
      </c>
      <c r="Y82" s="823">
        <v>14</v>
      </c>
      <c r="Z82" s="823">
        <v>15</v>
      </c>
      <c r="AA82" s="823">
        <v>15</v>
      </c>
      <c r="AB82" s="832">
        <v>16</v>
      </c>
      <c r="AC82" s="825">
        <v>16</v>
      </c>
      <c r="AD82" s="825">
        <v>17</v>
      </c>
      <c r="AE82" s="825">
        <v>17</v>
      </c>
      <c r="AF82" s="825">
        <v>17</v>
      </c>
      <c r="AG82" s="825">
        <v>18</v>
      </c>
      <c r="AH82" s="825">
        <v>18</v>
      </c>
      <c r="AI82" s="825">
        <v>20</v>
      </c>
      <c r="AJ82" s="825">
        <v>20</v>
      </c>
      <c r="AK82" s="825">
        <v>20</v>
      </c>
      <c r="AL82" s="825">
        <v>20</v>
      </c>
      <c r="AM82" s="825">
        <v>21</v>
      </c>
      <c r="AN82" s="825">
        <v>21</v>
      </c>
      <c r="AO82" s="825">
        <v>22</v>
      </c>
      <c r="AP82" s="825">
        <v>22</v>
      </c>
    </row>
    <row r="83" hidden="1" ht="13.5" s="50" customFormat="1">
      <c r="A83" s="51"/>
      <c r="B83" s="128" t="s">
        <v>7</v>
      </c>
      <c r="C83" s="129" t="str">
        <f>IF(SUM(C64:C82)&lt;&gt;0,SUM(C64:C82),"")</f>
      </c>
      <c r="D83" s="129" t="str">
        <f ref="D83:AA83" t="shared" si="0">IF(SUM(D64:D82)&lt;&gt;0,SUM(D64:D82),"")</f>
      </c>
      <c r="E83" s="129" t="str">
        <f t="shared" si="0"/>
      </c>
      <c r="F83" s="129" t="str">
        <f t="shared" si="0"/>
      </c>
      <c r="G83" s="129" t="str">
        <f t="shared" si="0"/>
      </c>
      <c r="H83" s="129" t="str">
        <f t="shared" si="0"/>
      </c>
      <c r="I83" s="129" t="str">
        <f t="shared" si="0"/>
      </c>
      <c r="J83" s="129" t="str">
        <f t="shared" si="0"/>
      </c>
      <c r="K83" s="129" t="str">
        <f t="shared" si="0"/>
      </c>
      <c r="L83" s="129" t="str">
        <f t="shared" si="0"/>
      </c>
      <c r="M83" s="129" t="str">
        <f t="shared" si="0"/>
      </c>
      <c r="N83" s="129" t="str">
        <f t="shared" si="0"/>
      </c>
      <c r="O83" s="129" t="str">
        <f t="shared" si="0"/>
      </c>
      <c r="P83" s="129" t="str">
        <f t="shared" si="0"/>
      </c>
      <c r="Q83" s="129" t="str">
        <f t="shared" si="0"/>
      </c>
      <c r="R83" s="129" t="str">
        <f t="shared" si="0"/>
      </c>
      <c r="S83" s="129" t="str">
        <f t="shared" si="0"/>
      </c>
      <c r="T83" s="129" t="str">
        <f t="shared" si="0"/>
      </c>
      <c r="U83" s="129" t="str">
        <f t="shared" si="0"/>
      </c>
      <c r="V83" s="129" t="str">
        <f t="shared" si="0"/>
      </c>
      <c r="W83" s="129" t="str">
        <f t="shared" si="0"/>
      </c>
      <c r="X83" s="129" t="str">
        <f t="shared" si="0"/>
      </c>
      <c r="Y83" s="129" t="str">
        <f t="shared" si="0"/>
      </c>
      <c r="Z83" s="129" t="str">
        <f t="shared" si="0"/>
      </c>
      <c r="AA83" s="129" t="str">
        <f t="shared" si="0"/>
      </c>
      <c r="AB83" s="130" t="str">
        <f>IF(SUM(AB64:AB82)&lt;&gt;0,SUM(AB64:AB82),"")</f>
      </c>
      <c r="AC83" s="91" t="str">
        <f ref="AC83:CN83" t="shared" si="1">IF(SUM(AC64:AC82)&lt;&gt;0,SUM(AC64:AC82),"")</f>
      </c>
      <c r="AD83" s="91" t="str">
        <f t="shared" si="1"/>
      </c>
      <c r="AE83" s="91" t="str">
        <f t="shared" si="1"/>
      </c>
      <c r="AF83" s="91" t="str">
        <f t="shared" si="1"/>
      </c>
      <c r="AG83" s="91" t="str">
        <f t="shared" si="1"/>
      </c>
      <c r="AH83" s="91" t="str">
        <f t="shared" si="1"/>
      </c>
      <c r="AI83" s="91" t="str">
        <f t="shared" si="1"/>
      </c>
      <c r="AJ83" s="91" t="str">
        <f t="shared" si="1"/>
      </c>
      <c r="AK83" s="91" t="str">
        <f t="shared" si="1"/>
      </c>
      <c r="AL83" s="91" t="str">
        <f t="shared" si="1"/>
      </c>
      <c r="AM83" s="91" t="str">
        <f t="shared" si="1"/>
      </c>
      <c r="AN83" s="91" t="str">
        <f t="shared" si="1"/>
      </c>
      <c r="AO83" s="91" t="str">
        <f t="shared" si="1"/>
      </c>
      <c r="AP83" s="91" t="str">
        <f t="shared" si="1"/>
      </c>
      <c r="AQ83" s="91" t="str">
        <f t="shared" si="1"/>
      </c>
      <c r="AR83" s="91" t="str">
        <f t="shared" si="1"/>
      </c>
      <c r="AS83" s="91" t="str">
        <f t="shared" si="1"/>
      </c>
      <c r="AT83" s="91" t="str">
        <f t="shared" si="1"/>
      </c>
      <c r="AU83" s="91" t="str">
        <f t="shared" si="1"/>
      </c>
      <c r="AV83" s="91" t="str">
        <f t="shared" si="1"/>
      </c>
      <c r="AW83" s="91" t="str">
        <f t="shared" si="1"/>
      </c>
      <c r="AX83" s="91" t="str">
        <f t="shared" si="1"/>
      </c>
      <c r="AY83" s="91" t="str">
        <f t="shared" si="1"/>
      </c>
      <c r="AZ83" s="91" t="str">
        <f t="shared" si="1"/>
      </c>
      <c r="BA83" s="91" t="str">
        <f t="shared" si="1"/>
      </c>
      <c r="BB83" s="91" t="str">
        <f t="shared" si="1"/>
      </c>
      <c r="BC83" s="91" t="str">
        <f t="shared" si="1"/>
      </c>
      <c r="BD83" s="91" t="str">
        <f t="shared" si="1"/>
      </c>
      <c r="BE83" s="91" t="str">
        <f t="shared" si="1"/>
      </c>
      <c r="BF83" s="91" t="str">
        <f t="shared" si="1"/>
      </c>
      <c r="BG83" s="91" t="str">
        <f t="shared" si="1"/>
      </c>
      <c r="BH83" s="91" t="str">
        <f t="shared" si="1"/>
      </c>
      <c r="BI83" s="91" t="str">
        <f t="shared" si="1"/>
      </c>
      <c r="BJ83" s="91" t="str">
        <f t="shared" si="1"/>
      </c>
      <c r="BK83" s="91" t="str">
        <f t="shared" si="1"/>
      </c>
      <c r="BL83" s="91" t="str">
        <f t="shared" si="1"/>
      </c>
      <c r="BM83" s="91" t="str">
        <f t="shared" si="1"/>
      </c>
      <c r="BN83" s="91" t="str">
        <f t="shared" si="1"/>
      </c>
      <c r="BO83" s="91" t="str">
        <f t="shared" si="1"/>
      </c>
      <c r="BP83" s="91" t="str">
        <f t="shared" si="1"/>
      </c>
      <c r="BQ83" s="91" t="str">
        <f t="shared" si="1"/>
      </c>
      <c r="BR83" s="91" t="str">
        <f t="shared" si="1"/>
      </c>
      <c r="BS83" s="91" t="str">
        <f t="shared" si="1"/>
      </c>
      <c r="BT83" s="91" t="str">
        <f t="shared" si="1"/>
      </c>
      <c r="BU83" s="91" t="str">
        <f t="shared" si="1"/>
      </c>
      <c r="BV83" s="91" t="str">
        <f t="shared" si="1"/>
      </c>
      <c r="BW83" s="91" t="str">
        <f t="shared" si="1"/>
      </c>
      <c r="BX83" s="91" t="str">
        <f t="shared" si="1"/>
      </c>
      <c r="BY83" s="91" t="str">
        <f t="shared" si="1"/>
      </c>
      <c r="BZ83" s="91" t="str">
        <f t="shared" si="1"/>
      </c>
      <c r="CA83" s="91" t="str">
        <f t="shared" si="1"/>
      </c>
      <c r="CB83" s="91" t="str">
        <f t="shared" si="1"/>
      </c>
      <c r="CC83" s="91" t="str">
        <f t="shared" si="1"/>
      </c>
      <c r="CD83" s="91" t="str">
        <f t="shared" si="1"/>
      </c>
      <c r="CE83" s="91" t="str">
        <f t="shared" si="1"/>
      </c>
      <c r="CF83" s="91" t="str">
        <f t="shared" si="1"/>
      </c>
      <c r="CG83" s="91" t="str">
        <f t="shared" si="1"/>
      </c>
      <c r="CH83" s="91" t="str">
        <f t="shared" si="1"/>
      </c>
      <c r="CI83" s="91" t="str">
        <f t="shared" si="1"/>
      </c>
      <c r="CJ83" s="91" t="str">
        <f t="shared" si="1"/>
      </c>
      <c r="CK83" s="91" t="str">
        <f t="shared" si="1"/>
      </c>
      <c r="CL83" s="91" t="str">
        <f t="shared" si="1"/>
      </c>
      <c r="CM83" s="91" t="str">
        <f t="shared" si="1"/>
      </c>
      <c r="CN83" s="91" t="str">
        <f t="shared" si="1"/>
      </c>
      <c r="CO83" s="91" t="str">
        <f ref="CO83:EZ83" t="shared" si="2">IF(SUM(CO64:CO82)&lt;&gt;0,SUM(CO64:CO82),"")</f>
      </c>
      <c r="CP83" s="91" t="str">
        <f t="shared" si="2"/>
      </c>
      <c r="CQ83" s="91" t="str">
        <f t="shared" si="2"/>
      </c>
      <c r="CR83" s="91" t="str">
        <f t="shared" si="2"/>
      </c>
      <c r="CS83" s="91" t="str">
        <f t="shared" si="2"/>
      </c>
      <c r="CT83" s="91" t="str">
        <f t="shared" si="2"/>
      </c>
      <c r="CU83" s="91" t="str">
        <f t="shared" si="2"/>
      </c>
      <c r="CV83" s="91" t="str">
        <f t="shared" si="2"/>
      </c>
      <c r="CW83" s="91" t="str">
        <f t="shared" si="2"/>
      </c>
      <c r="CX83" s="91" t="str">
        <f t="shared" si="2"/>
      </c>
      <c r="CY83" s="91" t="str">
        <f t="shared" si="2"/>
      </c>
      <c r="CZ83" s="91" t="str">
        <f t="shared" si="2"/>
      </c>
      <c r="DA83" s="91" t="str">
        <f t="shared" si="2"/>
      </c>
      <c r="DB83" s="91" t="str">
        <f t="shared" si="2"/>
      </c>
      <c r="DC83" s="91" t="str">
        <f t="shared" si="2"/>
      </c>
      <c r="DD83" s="91" t="str">
        <f t="shared" si="2"/>
      </c>
      <c r="DE83" s="91" t="str">
        <f t="shared" si="2"/>
      </c>
      <c r="DF83" s="91" t="str">
        <f t="shared" si="2"/>
      </c>
      <c r="DG83" s="91" t="str">
        <f t="shared" si="2"/>
      </c>
      <c r="DH83" s="91" t="str">
        <f t="shared" si="2"/>
      </c>
      <c r="DI83" s="91" t="str">
        <f t="shared" si="2"/>
      </c>
      <c r="DJ83" s="91" t="str">
        <f t="shared" si="2"/>
      </c>
      <c r="DK83" s="91" t="str">
        <f t="shared" si="2"/>
      </c>
      <c r="DL83" s="91" t="str">
        <f t="shared" si="2"/>
      </c>
      <c r="DM83" s="91" t="str">
        <f t="shared" si="2"/>
      </c>
      <c r="DN83" s="91" t="str">
        <f t="shared" si="2"/>
      </c>
      <c r="DO83" s="91" t="str">
        <f t="shared" si="2"/>
      </c>
      <c r="DP83" s="91" t="str">
        <f t="shared" si="2"/>
      </c>
      <c r="DQ83" s="91" t="str">
        <f t="shared" si="2"/>
      </c>
      <c r="DR83" s="91" t="str">
        <f t="shared" si="2"/>
      </c>
      <c r="DS83" s="91" t="str">
        <f t="shared" si="2"/>
      </c>
      <c r="DT83" s="91" t="str">
        <f t="shared" si="2"/>
      </c>
      <c r="DU83" s="91" t="str">
        <f t="shared" si="2"/>
      </c>
      <c r="DV83" s="91" t="str">
        <f t="shared" si="2"/>
      </c>
      <c r="DW83" s="91" t="str">
        <f t="shared" si="2"/>
      </c>
      <c r="DX83" s="91" t="str">
        <f t="shared" si="2"/>
      </c>
      <c r="DY83" s="91" t="str">
        <f t="shared" si="2"/>
      </c>
      <c r="DZ83" s="91" t="str">
        <f t="shared" si="2"/>
      </c>
      <c r="EA83" s="91" t="str">
        <f t="shared" si="2"/>
      </c>
      <c r="EB83" s="91" t="str">
        <f t="shared" si="2"/>
      </c>
      <c r="EC83" s="91" t="str">
        <f t="shared" si="2"/>
      </c>
      <c r="ED83" s="91" t="str">
        <f t="shared" si="2"/>
      </c>
      <c r="EE83" s="91" t="str">
        <f t="shared" si="2"/>
      </c>
      <c r="EF83" s="91" t="str">
        <f t="shared" si="2"/>
      </c>
      <c r="EG83" s="91" t="str">
        <f t="shared" si="2"/>
      </c>
      <c r="EH83" s="91" t="str">
        <f t="shared" si="2"/>
      </c>
      <c r="EI83" s="91" t="str">
        <f t="shared" si="2"/>
      </c>
      <c r="EJ83" s="91" t="str">
        <f t="shared" si="2"/>
      </c>
      <c r="EK83" s="91" t="str">
        <f t="shared" si="2"/>
      </c>
      <c r="EL83" s="91" t="str">
        <f t="shared" si="2"/>
      </c>
      <c r="EM83" s="91" t="str">
        <f t="shared" si="2"/>
      </c>
      <c r="EN83" s="91" t="str">
        <f t="shared" si="2"/>
      </c>
      <c r="EO83" s="91" t="str">
        <f t="shared" si="2"/>
      </c>
      <c r="EP83" s="91" t="str">
        <f t="shared" si="2"/>
      </c>
      <c r="EQ83" s="91" t="str">
        <f t="shared" si="2"/>
      </c>
      <c r="ER83" s="91" t="str">
        <f t="shared" si="2"/>
      </c>
      <c r="ES83" s="91" t="str">
        <f t="shared" si="2"/>
      </c>
      <c r="ET83" s="91" t="str">
        <f t="shared" si="2"/>
      </c>
      <c r="EU83" s="91" t="str">
        <f t="shared" si="2"/>
      </c>
      <c r="EV83" s="91" t="str">
        <f t="shared" si="2"/>
      </c>
      <c r="EW83" s="91" t="str">
        <f t="shared" si="2"/>
      </c>
      <c r="EX83" s="91" t="str">
        <f t="shared" si="2"/>
      </c>
      <c r="EY83" s="91" t="str">
        <f t="shared" si="2"/>
      </c>
      <c r="EZ83" s="91" t="str">
        <f t="shared" si="2"/>
      </c>
      <c r="FA83" s="91" t="str">
        <f ref="FA83:HL83" t="shared" si="3">IF(SUM(FA64:FA82)&lt;&gt;0,SUM(FA64:FA82),"")</f>
      </c>
      <c r="FB83" s="91" t="str">
        <f t="shared" si="3"/>
      </c>
      <c r="FC83" s="91" t="str">
        <f t="shared" si="3"/>
      </c>
      <c r="FD83" s="91" t="str">
        <f t="shared" si="3"/>
      </c>
      <c r="FE83" s="91" t="str">
        <f t="shared" si="3"/>
      </c>
      <c r="FF83" s="91" t="str">
        <f t="shared" si="3"/>
      </c>
      <c r="FG83" s="91" t="str">
        <f t="shared" si="3"/>
      </c>
      <c r="FH83" s="91" t="str">
        <f t="shared" si="3"/>
      </c>
      <c r="FI83" s="91" t="str">
        <f t="shared" si="3"/>
      </c>
      <c r="FJ83" s="91" t="str">
        <f t="shared" si="3"/>
      </c>
      <c r="FK83" s="91" t="str">
        <f t="shared" si="3"/>
      </c>
      <c r="FL83" s="91" t="str">
        <f t="shared" si="3"/>
      </c>
      <c r="FM83" s="91" t="str">
        <f t="shared" si="3"/>
      </c>
      <c r="FN83" s="91" t="str">
        <f t="shared" si="3"/>
      </c>
      <c r="FO83" s="91" t="str">
        <f t="shared" si="3"/>
      </c>
      <c r="FP83" s="91" t="str">
        <f t="shared" si="3"/>
      </c>
      <c r="FQ83" s="91" t="str">
        <f t="shared" si="3"/>
      </c>
      <c r="FR83" s="91" t="str">
        <f t="shared" si="3"/>
      </c>
      <c r="FS83" s="91" t="str">
        <f t="shared" si="3"/>
      </c>
      <c r="FT83" s="91" t="str">
        <f t="shared" si="3"/>
      </c>
      <c r="FU83" s="91" t="str">
        <f t="shared" si="3"/>
      </c>
      <c r="FV83" s="91" t="str">
        <f t="shared" si="3"/>
      </c>
      <c r="FW83" s="91" t="str">
        <f t="shared" si="3"/>
      </c>
      <c r="FX83" s="91" t="str">
        <f t="shared" si="3"/>
      </c>
      <c r="FY83" s="91" t="str">
        <f t="shared" si="3"/>
      </c>
      <c r="FZ83" s="91" t="str">
        <f t="shared" si="3"/>
      </c>
      <c r="GA83" s="91" t="str">
        <f t="shared" si="3"/>
      </c>
      <c r="GB83" s="91" t="str">
        <f t="shared" si="3"/>
      </c>
      <c r="GC83" s="91" t="str">
        <f t="shared" si="3"/>
      </c>
      <c r="GD83" s="91" t="str">
        <f t="shared" si="3"/>
      </c>
      <c r="GE83" s="91" t="str">
        <f t="shared" si="3"/>
      </c>
      <c r="GF83" s="91" t="str">
        <f t="shared" si="3"/>
      </c>
      <c r="GG83" s="91" t="str">
        <f t="shared" si="3"/>
      </c>
      <c r="GH83" s="91" t="str">
        <f t="shared" si="3"/>
      </c>
      <c r="GI83" s="91" t="str">
        <f t="shared" si="3"/>
      </c>
      <c r="GJ83" s="91" t="str">
        <f t="shared" si="3"/>
      </c>
      <c r="GK83" s="91" t="str">
        <f t="shared" si="3"/>
      </c>
      <c r="GL83" s="91" t="str">
        <f t="shared" si="3"/>
      </c>
      <c r="GM83" s="91" t="str">
        <f t="shared" si="3"/>
      </c>
      <c r="GN83" s="91" t="str">
        <f t="shared" si="3"/>
      </c>
      <c r="GO83" s="91" t="str">
        <f t="shared" si="3"/>
      </c>
      <c r="GP83" s="91" t="str">
        <f t="shared" si="3"/>
      </c>
      <c r="GQ83" s="91" t="str">
        <f t="shared" si="3"/>
      </c>
      <c r="GR83" s="91" t="str">
        <f t="shared" si="3"/>
      </c>
      <c r="GS83" s="91" t="str">
        <f t="shared" si="3"/>
      </c>
      <c r="GT83" s="91" t="str">
        <f t="shared" si="3"/>
      </c>
      <c r="GU83" s="91" t="str">
        <f t="shared" si="3"/>
      </c>
      <c r="GV83" s="91" t="str">
        <f t="shared" si="3"/>
      </c>
      <c r="GW83" s="91" t="str">
        <f t="shared" si="3"/>
      </c>
      <c r="GX83" s="91" t="str">
        <f t="shared" si="3"/>
      </c>
      <c r="GY83" s="91" t="str">
        <f t="shared" si="3"/>
      </c>
      <c r="GZ83" s="91" t="str">
        <f t="shared" si="3"/>
      </c>
      <c r="HA83" s="91" t="str">
        <f t="shared" si="3"/>
      </c>
      <c r="HB83" s="91" t="str">
        <f t="shared" si="3"/>
      </c>
      <c r="HC83" s="91" t="str">
        <f t="shared" si="3"/>
      </c>
      <c r="HD83" s="91" t="str">
        <f t="shared" si="3"/>
      </c>
      <c r="HE83" s="91" t="str">
        <f t="shared" si="3"/>
      </c>
      <c r="HF83" s="91" t="str">
        <f t="shared" si="3"/>
      </c>
      <c r="HG83" s="91" t="str">
        <f t="shared" si="3"/>
      </c>
      <c r="HH83" s="91" t="str">
        <f t="shared" si="3"/>
      </c>
      <c r="HI83" s="91" t="str">
        <f t="shared" si="3"/>
      </c>
      <c r="HJ83" s="91" t="str">
        <f t="shared" si="3"/>
      </c>
      <c r="HK83" s="91" t="str">
        <f t="shared" si="3"/>
      </c>
      <c r="HL83" s="91" t="str">
        <f t="shared" si="3"/>
      </c>
      <c r="HM83" s="91" t="str">
        <f ref="HM83:IV83" t="shared" si="4">IF(SUM(HM64:HM82)&lt;&gt;0,SUM(HM64:HM82),"")</f>
      </c>
      <c r="HN83" s="91" t="str">
        <f t="shared" si="4"/>
      </c>
      <c r="HO83" s="91" t="str">
        <f t="shared" si="4"/>
      </c>
      <c r="HP83" s="91" t="str">
        <f t="shared" si="4"/>
      </c>
      <c r="HQ83" s="91" t="str">
        <f t="shared" si="4"/>
      </c>
      <c r="HR83" s="91" t="str">
        <f t="shared" si="4"/>
      </c>
      <c r="HS83" s="91" t="str">
        <f t="shared" si="4"/>
      </c>
      <c r="HT83" s="91" t="str">
        <f t="shared" si="4"/>
      </c>
      <c r="HU83" s="91" t="str">
        <f t="shared" si="4"/>
      </c>
      <c r="HV83" s="91" t="str">
        <f t="shared" si="4"/>
      </c>
      <c r="HW83" s="91" t="str">
        <f t="shared" si="4"/>
      </c>
      <c r="HX83" s="91" t="str">
        <f t="shared" si="4"/>
      </c>
      <c r="HY83" s="91" t="str">
        <f t="shared" si="4"/>
      </c>
      <c r="HZ83" s="91" t="str">
        <f t="shared" si="4"/>
      </c>
      <c r="IA83" s="91" t="str">
        <f t="shared" si="4"/>
      </c>
      <c r="IB83" s="91" t="str">
        <f t="shared" si="4"/>
      </c>
      <c r="IC83" s="91" t="str">
        <f t="shared" si="4"/>
      </c>
      <c r="ID83" s="91" t="str">
        <f t="shared" si="4"/>
      </c>
      <c r="IE83" s="91" t="str">
        <f t="shared" si="4"/>
      </c>
      <c r="IF83" s="91" t="str">
        <f t="shared" si="4"/>
      </c>
      <c r="IG83" s="91" t="str">
        <f t="shared" si="4"/>
      </c>
      <c r="IH83" s="91" t="str">
        <f t="shared" si="4"/>
      </c>
      <c r="II83" s="91" t="str">
        <f t="shared" si="4"/>
      </c>
      <c r="IJ83" s="91" t="str">
        <f t="shared" si="4"/>
      </c>
      <c r="IK83" s="91" t="str">
        <f t="shared" si="4"/>
      </c>
      <c r="IL83" s="91" t="str">
        <f t="shared" si="4"/>
      </c>
      <c r="IM83" s="91" t="str">
        <f t="shared" si="4"/>
      </c>
      <c r="IN83" s="91" t="str">
        <f t="shared" si="4"/>
      </c>
      <c r="IO83" s="91" t="str">
        <f t="shared" si="4"/>
      </c>
      <c r="IP83" s="91" t="str">
        <f t="shared" si="4"/>
      </c>
      <c r="IQ83" s="91" t="str">
        <f t="shared" si="4"/>
      </c>
      <c r="IR83" s="91" t="str">
        <f t="shared" si="4"/>
      </c>
      <c r="IS83" s="91" t="str">
        <f t="shared" si="4"/>
      </c>
      <c r="IT83" s="91" t="str">
        <f t="shared" si="4"/>
      </c>
      <c r="IU83" s="91" t="str">
        <f t="shared" si="4"/>
      </c>
      <c r="IV83" s="91" t="str">
        <f t="shared" si="4"/>
      </c>
    </row>
    <row r="84" hidden="1"/>
    <row r="85" hidden="1" ht="13.5"/>
    <row r="86" hidden="1" ht="13.5">
      <c r="C86" s="594" t="s">
        <v>270</v>
      </c>
      <c r="D86" s="595"/>
      <c r="E86" s="595"/>
      <c r="F86" s="595"/>
      <c r="G86" s="595"/>
      <c r="H86" s="595"/>
      <c r="I86" s="595"/>
      <c r="J86" s="595"/>
      <c r="K86" s="595"/>
      <c r="L86" s="595"/>
      <c r="M86" s="595"/>
      <c r="N86" s="595"/>
      <c r="O86" s="595"/>
      <c r="P86" s="595"/>
      <c r="Q86" s="595"/>
      <c r="R86" s="595"/>
      <c r="S86" s="595"/>
      <c r="T86" s="595"/>
      <c r="U86" s="595"/>
      <c r="V86" s="595"/>
      <c r="W86" s="595"/>
      <c r="X86" s="595"/>
      <c r="Y86" s="595"/>
      <c r="Z86" s="595"/>
      <c r="AA86" s="595"/>
      <c r="AB86" s="596"/>
    </row>
    <row r="87" hidden="1" ht="13.5" s="50" customFormat="1">
      <c r="A87" s="51"/>
      <c r="B87" s="51"/>
      <c r="C87" s="435" t="str">
        <f> IF(C107&lt;&gt;"",TEXT(AUX!G$1,"dd-MMM-aa"),"")</f>
      </c>
      <c r="D87" s="435" t="str">
        <f> IF(D107&lt;&gt;"",TEXT(AUX!H$1,"dd-MMM-aa"),"")</f>
      </c>
      <c r="E87" s="435" t="str">
        <f> IF(E107&lt;&gt;"",TEXT(AUX!I$1,"dd-MMM-aa"),"")</f>
      </c>
      <c r="F87" s="435" t="str">
        <f> IF(F107&lt;&gt;"",TEXT(AUX!J$1,"dd-MMM-aa"),"")</f>
      </c>
      <c r="G87" s="435" t="str">
        <f> IF(G107&lt;&gt;"",TEXT(AUX!K$1,"dd-MMM-aa"),"")</f>
      </c>
      <c r="H87" s="435" t="str">
        <f> IF(H107&lt;&gt;"",TEXT(AUX!L$1,"dd-MMM-aa"),"")</f>
      </c>
      <c r="I87" s="435" t="str">
        <f> IF(I107&lt;&gt;"",TEXT(AUX!M$1,"dd-MMM-aa"),"")</f>
      </c>
      <c r="J87" s="435" t="str">
        <f> IF(J107&lt;&gt;"",TEXT(AUX!N$1,"dd-MMM-aa"),"")</f>
      </c>
      <c r="K87" s="435" t="str">
        <f> IF(K107&lt;&gt;"",TEXT(AUX!O$1,"dd-MMM-aa"),"")</f>
      </c>
      <c r="L87" s="435" t="str">
        <f> IF(L107&lt;&gt;"",TEXT(AUX!P$1,"dd-MMM-aa"),"")</f>
      </c>
      <c r="M87" s="435" t="str">
        <f> IF(M107&lt;&gt;"",TEXT(AUX!Q$1,"dd-MMM-aa"),"")</f>
      </c>
      <c r="N87" s="435" t="str">
        <f> IF(N107&lt;&gt;"",TEXT(AUX!R$1,"dd-MMM-aa"),"")</f>
      </c>
      <c r="O87" s="435" t="str">
        <f> IF(O107&lt;&gt;"",TEXT(AUX!S$1,"dd-MMM-aa"),"")</f>
      </c>
      <c r="P87" s="435" t="str">
        <f> IF(P107&lt;&gt;"",TEXT(AUX!T$1,"dd-MMM-aa"),"")</f>
      </c>
      <c r="Q87" s="435" t="str">
        <f> IF(Q107&lt;&gt;"",TEXT(AUX!U$1,"dd-MMM-aa"),"")</f>
      </c>
      <c r="R87" s="435" t="str">
        <f> IF(R107&lt;&gt;"",TEXT(AUX!V$1,"dd-MMM-aa"),"")</f>
      </c>
      <c r="S87" s="435" t="str">
        <f> IF(S107&lt;&gt;"",TEXT(AUX!W$1,"dd-MMM-aa"),"")</f>
      </c>
      <c r="T87" s="435" t="str">
        <f> IF(T107&lt;&gt;"",TEXT(AUX!X$1,"dd-MMM-aa"),"")</f>
      </c>
      <c r="U87" s="435" t="str">
        <f> IF(U107&lt;&gt;"",TEXT(AUX!Y$1,"dd-MMM-aa"),"")</f>
      </c>
      <c r="V87" s="435" t="str">
        <f> IF(V107&lt;&gt;"",TEXT(AUX!Z$1,"dd-MMM-aa"),"")</f>
      </c>
      <c r="W87" s="435" t="str">
        <f> IF(W107&lt;&gt;"",TEXT(AUX!AA$1,"dd-MMM-aa"),"")</f>
      </c>
      <c r="X87" s="435" t="str">
        <f> IF(X107&lt;&gt;"",TEXT(AUX!AB$1,"dd-MMM-aa"),"")</f>
      </c>
      <c r="Y87" s="435" t="str">
        <f> IF(Y107&lt;&gt;"",TEXT(AUX!AC$1,"dd-MMM-aa"),"")</f>
      </c>
      <c r="Z87" s="435" t="str">
        <f> IF(Z107&lt;&gt;"",TEXT(AUX!AD$1,"dd-MMM-aa"),"")</f>
      </c>
      <c r="AA87" s="435" t="str">
        <f> IF(AA107&lt;&gt;"",TEXT(AUX!AE$1,"dd-MMM-aa"),"")</f>
      </c>
      <c r="AB87" s="497" t="str">
        <f> IF(AB107&lt;&gt;"",TEXT(AUX!AF$1,"dd-MMM-aa"),"")</f>
      </c>
      <c r="AC87" s="496" t="str">
        <f> IF(AC107&lt;&gt;"",TEXT(AUX!AG$1,"dd-MMM-aa"),"")</f>
      </c>
      <c r="AD87" s="496" t="str">
        <f> IF(AD107&lt;&gt;"",TEXT(AUX!AH$1,"dd-MMM-aa"),"")</f>
      </c>
      <c r="AE87" s="496" t="str">
        <f> IF(AE107&lt;&gt;"",TEXT(AUX!AI$1,"dd-MMM-aa"),"")</f>
      </c>
      <c r="AF87" s="496" t="str">
        <f> IF(AF107&lt;&gt;"",TEXT(AUX!AJ$1,"dd-MMM-aa"),"")</f>
      </c>
      <c r="AG87" s="496" t="str">
        <f> IF(AG107&lt;&gt;"",TEXT(AUX!AK$1,"dd-MMM-aa"),"")</f>
      </c>
      <c r="AH87" s="496" t="str">
        <f> IF(AH107&lt;&gt;"",TEXT(AUX!AL$1,"dd-MMM-aa"),"")</f>
      </c>
      <c r="AI87" s="496" t="str">
        <f> IF(AI107&lt;&gt;"",TEXT(AUX!AM$1,"dd-MMM-aa"),"")</f>
      </c>
      <c r="AJ87" s="496" t="str">
        <f> IF(AJ107&lt;&gt;"",TEXT(AUX!AN$1,"dd-MMM-aa"),"")</f>
      </c>
      <c r="AK87" s="496" t="str">
        <f> IF(AK107&lt;&gt;"",TEXT(AUX!AO$1,"dd-MMM-aa"),"")</f>
      </c>
      <c r="AL87" s="496" t="str">
        <f> IF(AL107&lt;&gt;"",TEXT(AUX!AP$1,"dd-MMM-aa"),"")</f>
      </c>
      <c r="AM87" s="496" t="str">
        <f> IF(AM107&lt;&gt;"",TEXT(AUX!AQ$1,"dd-MMM-aa"),"")</f>
      </c>
      <c r="AN87" s="496" t="str">
        <f> IF(AN107&lt;&gt;"",TEXT(AUX!AR$1,"dd-MMM-aa"),"")</f>
      </c>
      <c r="AO87" s="496" t="str">
        <f> IF(AO107&lt;&gt;"",TEXT(AUX!AS$1,"dd-MMM-aa"),"")</f>
      </c>
      <c r="AP87" s="496" t="str">
        <f> IF(AP107&lt;&gt;"",TEXT(AUX!AT$1,"dd-MMM-aa"),"")</f>
      </c>
      <c r="AQ87" s="496" t="str">
        <f> IF(AQ107&lt;&gt;"",TEXT(AUX!AU$1,"dd-MMM-aa"),"")</f>
      </c>
      <c r="AR87" s="496" t="str">
        <f> IF(AR107&lt;&gt;"",TEXT(AUX!AV$1,"dd-MMM-aa"),"")</f>
      </c>
      <c r="AS87" s="496" t="str">
        <f> IF(AS107&lt;&gt;"",TEXT(AUX!AW$1,"dd-MMM-aa"),"")</f>
      </c>
      <c r="AT87" s="496" t="str">
        <f> IF(AT107&lt;&gt;"",TEXT(AUX!AX$1,"dd-MMM-aa"),"")</f>
      </c>
      <c r="AU87" s="496" t="str">
        <f> IF(AU107&lt;&gt;"",TEXT(AUX!AY$1,"dd-MMM-aa"),"")</f>
      </c>
      <c r="AV87" s="496" t="str">
        <f> IF(AV107&lt;&gt;"",TEXT(AUX!AZ$1,"dd-MMM-aa"),"")</f>
      </c>
      <c r="AW87" s="496" t="str">
        <f> IF(AW107&lt;&gt;"",TEXT(AUX!BA$1,"dd-MMM-aa"),"")</f>
      </c>
      <c r="AX87" s="496" t="str">
        <f> IF(AX107&lt;&gt;"",TEXT(AUX!BB$1,"dd-MMM-aa"),"")</f>
      </c>
      <c r="AY87" s="496" t="str">
        <f> IF(AY107&lt;&gt;"",TEXT(AUX!BC$1,"dd-MMM-aa"),"")</f>
      </c>
      <c r="AZ87" s="496" t="str">
        <f> IF(AZ107&lt;&gt;"",TEXT(AUX!BD$1,"dd-MMM-aa"),"")</f>
      </c>
      <c r="BA87" s="496" t="str">
        <f> IF(BA107&lt;&gt;"",TEXT(AUX!BE$1,"dd-MMM-aa"),"")</f>
      </c>
      <c r="BB87" s="496" t="str">
        <f> IF(BB107&lt;&gt;"",TEXT(AUX!BF$1,"dd-MMM-aa"),"")</f>
      </c>
      <c r="BC87" s="496" t="str">
        <f> IF(BC107&lt;&gt;"",TEXT(AUX!BG$1,"dd-MMM-aa"),"")</f>
      </c>
      <c r="BD87" s="496" t="str">
        <f> IF(BD107&lt;&gt;"",TEXT(AUX!BH$1,"dd-MMM-aa"),"")</f>
      </c>
      <c r="BE87" s="496" t="str">
        <f> IF(BE107&lt;&gt;"",TEXT(AUX!BI$1,"dd-MMM-aa"),"")</f>
      </c>
      <c r="BF87" s="496" t="str">
        <f> IF(BF107&lt;&gt;"",TEXT(AUX!BJ$1,"dd-MMM-aa"),"")</f>
      </c>
      <c r="BG87" s="496" t="str">
        <f> IF(BG107&lt;&gt;"",TEXT(AUX!BK$1,"dd-MMM-aa"),"")</f>
      </c>
      <c r="BH87" s="496" t="str">
        <f> IF(BH107&lt;&gt;"",TEXT(AUX!BL$1,"dd-MMM-aa"),"")</f>
      </c>
      <c r="BI87" s="496" t="str">
        <f> IF(BI107&lt;&gt;"",TEXT(AUX!BM$1,"dd-MMM-aa"),"")</f>
      </c>
      <c r="BJ87" s="496" t="str">
        <f> IF(BJ107&lt;&gt;"",TEXT(AUX!BN$1,"dd-MMM-aa"),"")</f>
      </c>
      <c r="BK87" s="496" t="str">
        <f> IF(BK107&lt;&gt;"",TEXT(AUX!BO$1,"dd-MMM-aa"),"")</f>
      </c>
      <c r="BL87" s="496" t="str">
        <f> IF(BL107&lt;&gt;"",TEXT(AUX!BP$1,"dd-MMM-aa"),"")</f>
      </c>
      <c r="BM87" s="496" t="str">
        <f> IF(BM107&lt;&gt;"",TEXT(AUX!BQ$1,"dd-MMM-aa"),"")</f>
      </c>
      <c r="BN87" s="496" t="str">
        <f> IF(BN107&lt;&gt;"",TEXT(AUX!BR$1,"dd-MMM-aa"),"")</f>
      </c>
      <c r="BO87" s="496" t="str">
        <f> IF(BO107&lt;&gt;"",TEXT(AUX!BS$1,"dd-MMM-aa"),"")</f>
      </c>
      <c r="BP87" s="496" t="str">
        <f> IF(BP107&lt;&gt;"",TEXT(AUX!BT$1,"dd-MMM-aa"),"")</f>
      </c>
      <c r="BQ87" s="496" t="str">
        <f> IF(BQ107&lt;&gt;"",TEXT(AUX!BU$1,"dd-MMM-aa"),"")</f>
      </c>
      <c r="BR87" s="496" t="str">
        <f> IF(BR107&lt;&gt;"",TEXT(AUX!BV$1,"dd-MMM-aa"),"")</f>
      </c>
      <c r="BS87" s="496" t="str">
        <f> IF(BS107&lt;&gt;"",TEXT(AUX!BW$1,"dd-MMM-aa"),"")</f>
      </c>
      <c r="BT87" s="496" t="str">
        <f> IF(BT107&lt;&gt;"",TEXT(AUX!BX$1,"dd-MMM-aa"),"")</f>
      </c>
      <c r="BU87" s="496" t="str">
        <f> IF(BU107&lt;&gt;"",TEXT(AUX!BY$1,"dd-MMM-aa"),"")</f>
      </c>
      <c r="BV87" s="496" t="str">
        <f> IF(BV107&lt;&gt;"",TEXT(AUX!BZ$1,"dd-MMM-aa"),"")</f>
      </c>
      <c r="BW87" s="496" t="str">
        <f> IF(BW107&lt;&gt;"",TEXT(AUX!CA$1,"dd-MMM-aa"),"")</f>
      </c>
      <c r="BX87" s="496" t="str">
        <f> IF(BX107&lt;&gt;"",TEXT(AUX!CB$1,"dd-MMM-aa"),"")</f>
      </c>
      <c r="BY87" s="496" t="str">
        <f> IF(BY107&lt;&gt;"",TEXT(AUX!CC$1,"dd-MMM-aa"),"")</f>
      </c>
      <c r="BZ87" s="496" t="str">
        <f> IF(BZ107&lt;&gt;"",TEXT(AUX!CD$1,"dd-MMM-aa"),"")</f>
      </c>
      <c r="CA87" s="496" t="str">
        <f> IF(CA107&lt;&gt;"",TEXT(AUX!CE$1,"dd-MMM-aa"),"")</f>
      </c>
      <c r="CB87" s="496" t="str">
        <f> IF(CB107&lt;&gt;"",TEXT(AUX!CF$1,"dd-MMM-aa"),"")</f>
      </c>
      <c r="CC87" s="496" t="str">
        <f> IF(CC107&lt;&gt;"",TEXT(AUX!CG$1,"dd-MMM-aa"),"")</f>
      </c>
      <c r="CD87" s="496" t="str">
        <f> IF(CD107&lt;&gt;"",TEXT(AUX!CH$1,"dd-MMM-aa"),"")</f>
      </c>
      <c r="CE87" s="496" t="str">
        <f> IF(CE107&lt;&gt;"",TEXT(AUX!CI$1,"dd-MMM-aa"),"")</f>
      </c>
      <c r="CF87" s="496" t="str">
        <f> IF(CF107&lt;&gt;"",TEXT(AUX!CJ$1,"dd-MMM-aa"),"")</f>
      </c>
      <c r="CG87" s="496" t="str">
        <f> IF(CG107&lt;&gt;"",TEXT(AUX!CK$1,"dd-MMM-aa"),"")</f>
      </c>
      <c r="CH87" s="496" t="str">
        <f> IF(CH107&lt;&gt;"",TEXT(AUX!CL$1,"dd-MMM-aa"),"")</f>
      </c>
      <c r="CI87" s="496" t="str">
        <f> IF(CI107&lt;&gt;"",TEXT(AUX!CM$1,"dd-MMM-aa"),"")</f>
      </c>
      <c r="CJ87" s="496" t="str">
        <f> IF(CJ107&lt;&gt;"",TEXT(AUX!CN$1,"dd-MMM-aa"),"")</f>
      </c>
      <c r="CK87" s="496" t="str">
        <f> IF(CK107&lt;&gt;"",TEXT(AUX!CO$1,"dd-MMM-aa"),"")</f>
      </c>
      <c r="CL87" s="496" t="str">
        <f> IF(CL107&lt;&gt;"",TEXT(AUX!CP$1,"dd-MMM-aa"),"")</f>
      </c>
      <c r="CM87" s="496" t="str">
        <f> IF(CM107&lt;&gt;"",TEXT(AUX!CQ$1,"dd-MMM-aa"),"")</f>
      </c>
      <c r="CN87" s="496" t="str">
        <f> IF(CN107&lt;&gt;"",TEXT(AUX!CR$1,"dd-MMM-aa"),"")</f>
      </c>
      <c r="CO87" s="496" t="str">
        <f> IF(CO107&lt;&gt;"",TEXT(AUX!CS$1,"dd-MMM-aa"),"")</f>
      </c>
      <c r="CP87" s="496" t="str">
        <f> IF(CP107&lt;&gt;"",TEXT(AUX!CT$1,"dd-MMM-aa"),"")</f>
      </c>
      <c r="CQ87" s="496" t="str">
        <f> IF(CQ107&lt;&gt;"",TEXT(AUX!CU$1,"dd-MMM-aa"),"")</f>
      </c>
      <c r="CR87" s="496" t="str">
        <f> IF(CR107&lt;&gt;"",TEXT(AUX!CV$1,"dd-MMM-aa"),"")</f>
      </c>
      <c r="CS87" s="496" t="str">
        <f> IF(CS107&lt;&gt;"",TEXT(AUX!CW$1,"dd-MMM-aa"),"")</f>
      </c>
      <c r="CT87" s="496" t="str">
        <f> IF(CT107&lt;&gt;"",TEXT(AUX!CX$1,"dd-MMM-aa"),"")</f>
      </c>
      <c r="CU87" s="496" t="str">
        <f> IF(CU107&lt;&gt;"",TEXT(AUX!CY$1,"dd-MMM-aa"),"")</f>
      </c>
      <c r="CV87" s="496" t="str">
        <f> IF(CV107&lt;&gt;"",TEXT(AUX!CZ$1,"dd-MMM-aa"),"")</f>
      </c>
      <c r="CW87" s="496" t="str">
        <f> IF(CW107&lt;&gt;"",TEXT(AUX!DA$1,"dd-MMM-aa"),"")</f>
      </c>
      <c r="CX87" s="496" t="str">
        <f> IF(CX107&lt;&gt;"",TEXT(AUX!DB$1,"dd-MMM-aa"),"")</f>
      </c>
      <c r="CY87" s="496" t="str">
        <f> IF(CY107&lt;&gt;"",TEXT(AUX!DC$1,"dd-MMM-aa"),"")</f>
      </c>
      <c r="CZ87" s="496" t="str">
        <f> IF(CZ107&lt;&gt;"",TEXT(AUX!DD$1,"dd-MMM-aa"),"")</f>
      </c>
      <c r="DA87" s="496" t="str">
        <f> IF(DA107&lt;&gt;"",TEXT(AUX!DE$1,"dd-MMM-aa"),"")</f>
      </c>
      <c r="DB87" s="496" t="str">
        <f> IF(DB107&lt;&gt;"",TEXT(AUX!DF$1,"dd-MMM-aa"),"")</f>
      </c>
      <c r="DC87" s="496" t="str">
        <f> IF(DC107&lt;&gt;"",TEXT(AUX!DG$1,"dd-MMM-aa"),"")</f>
      </c>
      <c r="DD87" s="496" t="str">
        <f> IF(DD107&lt;&gt;"",TEXT(AUX!DH$1,"dd-MMM-aa"),"")</f>
      </c>
      <c r="DE87" s="496" t="str">
        <f> IF(DE107&lt;&gt;"",TEXT(AUX!DI$1,"dd-MMM-aa"),"")</f>
      </c>
      <c r="DF87" s="496" t="str">
        <f> IF(DF107&lt;&gt;"",TEXT(AUX!DJ$1,"dd-MMM-aa"),"")</f>
      </c>
      <c r="DG87" s="496" t="str">
        <f> IF(DG107&lt;&gt;"",TEXT(AUX!DK$1,"dd-MMM-aa"),"")</f>
      </c>
      <c r="DH87" s="496" t="str">
        <f> IF(DH107&lt;&gt;"",TEXT(AUX!DL$1,"dd-MMM-aa"),"")</f>
      </c>
      <c r="DI87" s="496" t="str">
        <f> IF(DI107&lt;&gt;"",TEXT(AUX!DM$1,"dd-MMM-aa"),"")</f>
      </c>
      <c r="DJ87" s="496" t="str">
        <f> IF(DJ107&lt;&gt;"",TEXT(AUX!DN$1,"dd-MMM-aa"),"")</f>
      </c>
      <c r="DK87" s="496" t="str">
        <f> IF(DK107&lt;&gt;"",TEXT(AUX!DO$1,"dd-MMM-aa"),"")</f>
      </c>
      <c r="DL87" s="496" t="str">
        <f> IF(DL107&lt;&gt;"",TEXT(AUX!DP$1,"dd-MMM-aa"),"")</f>
      </c>
      <c r="DM87" s="496" t="str">
        <f> IF(DM107&lt;&gt;"",TEXT(AUX!DQ$1,"dd-MMM-aa"),"")</f>
      </c>
      <c r="DN87" s="496" t="str">
        <f> IF(DN107&lt;&gt;"",TEXT(AUX!DR$1,"dd-MMM-aa"),"")</f>
      </c>
      <c r="DO87" s="496" t="str">
        <f> IF(DO107&lt;&gt;"",TEXT(AUX!DS$1,"dd-MMM-aa"),"")</f>
      </c>
      <c r="DP87" s="496" t="str">
        <f> IF(DP107&lt;&gt;"",TEXT(AUX!DT$1,"dd-MMM-aa"),"")</f>
      </c>
      <c r="DQ87" s="496" t="str">
        <f> IF(DQ107&lt;&gt;"",TEXT(AUX!DU$1,"dd-MMM-aa"),"")</f>
      </c>
      <c r="DR87" s="496" t="str">
        <f> IF(DR107&lt;&gt;"",TEXT(AUX!DV$1,"dd-MMM-aa"),"")</f>
      </c>
      <c r="DS87" s="496" t="str">
        <f> IF(DS107&lt;&gt;"",TEXT(AUX!DW$1,"dd-MMM-aa"),"")</f>
      </c>
      <c r="DT87" s="496" t="str">
        <f> IF(DT107&lt;&gt;"",TEXT(AUX!DX$1,"dd-MMM-aa"),"")</f>
      </c>
      <c r="DU87" s="496" t="str">
        <f> IF(DU107&lt;&gt;"",TEXT(AUX!DY$1,"dd-MMM-aa"),"")</f>
      </c>
      <c r="DV87" s="496" t="str">
        <f> IF(DV107&lt;&gt;"",TEXT(AUX!DZ$1,"dd-MMM-aa"),"")</f>
      </c>
      <c r="DW87" s="496" t="str">
        <f> IF(DW107&lt;&gt;"",TEXT(AUX!EA$1,"dd-MMM-aa"),"")</f>
      </c>
      <c r="DX87" s="496" t="str">
        <f> IF(DX107&lt;&gt;"",TEXT(AUX!EB$1,"dd-MMM-aa"),"")</f>
      </c>
      <c r="DY87" s="496" t="str">
        <f> IF(DY107&lt;&gt;"",TEXT(AUX!EC$1,"dd-MMM-aa"),"")</f>
      </c>
      <c r="DZ87" s="496" t="str">
        <f> IF(DZ107&lt;&gt;"",TEXT(AUX!ED$1,"dd-MMM-aa"),"")</f>
      </c>
      <c r="EA87" s="496" t="str">
        <f> IF(EA107&lt;&gt;"",TEXT(AUX!EE$1,"dd-MMM-aa"),"")</f>
      </c>
      <c r="EB87" s="496" t="str">
        <f> IF(EB107&lt;&gt;"",TEXT(AUX!EF$1,"dd-MMM-aa"),"")</f>
      </c>
      <c r="EC87" s="496" t="str">
        <f> IF(EC107&lt;&gt;"",TEXT(AUX!EG$1,"dd-MMM-aa"),"")</f>
      </c>
      <c r="ED87" s="496" t="str">
        <f> IF(ED107&lt;&gt;"",TEXT(AUX!EH$1,"dd-MMM-aa"),"")</f>
      </c>
      <c r="EE87" s="496" t="str">
        <f> IF(EE107&lt;&gt;"",TEXT(AUX!EI$1,"dd-MMM-aa"),"")</f>
      </c>
      <c r="EF87" s="496" t="str">
        <f> IF(EF107&lt;&gt;"",TEXT(AUX!EJ$1,"dd-MMM-aa"),"")</f>
      </c>
      <c r="EG87" s="496" t="str">
        <f> IF(EG107&lt;&gt;"",TEXT(AUX!EK$1,"dd-MMM-aa"),"")</f>
      </c>
      <c r="EH87" s="496" t="str">
        <f> IF(EH107&lt;&gt;"",TEXT(AUX!EL$1,"dd-MMM-aa"),"")</f>
      </c>
      <c r="EI87" s="496" t="str">
        <f> IF(EI107&lt;&gt;"",TEXT(AUX!EM$1,"dd-MMM-aa"),"")</f>
      </c>
      <c r="EJ87" s="496" t="str">
        <f> IF(EJ107&lt;&gt;"",TEXT(AUX!EN$1,"dd-MMM-aa"),"")</f>
      </c>
      <c r="EK87" s="496" t="str">
        <f> IF(EK107&lt;&gt;"",TEXT(AUX!EO$1,"dd-MMM-aa"),"")</f>
      </c>
      <c r="EL87" s="496" t="str">
        <f> IF(EL107&lt;&gt;"",TEXT(AUX!EP$1,"dd-MMM-aa"),"")</f>
      </c>
      <c r="EM87" s="496" t="str">
        <f> IF(EM107&lt;&gt;"",TEXT(AUX!EQ$1,"dd-MMM-aa"),"")</f>
      </c>
      <c r="EN87" s="496" t="str">
        <f> IF(EN107&lt;&gt;"",TEXT(AUX!ER$1,"dd-MMM-aa"),"")</f>
      </c>
      <c r="EO87" s="496" t="str">
        <f> IF(EO107&lt;&gt;"",TEXT(AUX!ES$1,"dd-MMM-aa"),"")</f>
      </c>
      <c r="EP87" s="496" t="str">
        <f> IF(EP107&lt;&gt;"",TEXT(AUX!ET$1,"dd-MMM-aa"),"")</f>
      </c>
      <c r="EQ87" s="496" t="str">
        <f> IF(EQ107&lt;&gt;"",TEXT(AUX!EU$1,"dd-MMM-aa"),"")</f>
      </c>
      <c r="ER87" s="496" t="str">
        <f> IF(ER107&lt;&gt;"",TEXT(AUX!EV$1,"dd-MMM-aa"),"")</f>
      </c>
      <c r="ES87" s="496" t="str">
        <f> IF(ES107&lt;&gt;"",TEXT(AUX!EW$1,"dd-MMM-aa"),"")</f>
      </c>
      <c r="ET87" s="496" t="str">
        <f> IF(ET107&lt;&gt;"",TEXT(AUX!EX$1,"dd-MMM-aa"),"")</f>
      </c>
      <c r="EU87" s="496" t="str">
        <f> IF(EU107&lt;&gt;"",TEXT(AUX!EY$1,"dd-MMM-aa"),"")</f>
      </c>
      <c r="EV87" s="496" t="str">
        <f> IF(EV107&lt;&gt;"",TEXT(AUX!EZ$1,"dd-MMM-aa"),"")</f>
      </c>
      <c r="EW87" s="496" t="str">
        <f> IF(EW107&lt;&gt;"",TEXT(AUX!FA$1,"dd-MMM-aa"),"")</f>
      </c>
      <c r="EX87" s="496" t="str">
        <f> IF(EX107&lt;&gt;"",TEXT(AUX!FB$1,"dd-MMM-aa"),"")</f>
      </c>
      <c r="EY87" s="496" t="str">
        <f> IF(EY107&lt;&gt;"",TEXT(AUX!FC$1,"dd-MMM-aa"),"")</f>
      </c>
      <c r="EZ87" s="496" t="str">
        <f> IF(EZ107&lt;&gt;"",TEXT(AUX!FD$1,"dd-MMM-aa"),"")</f>
      </c>
      <c r="FA87" s="496" t="str">
        <f> IF(FA107&lt;&gt;"",TEXT(AUX!FE$1,"dd-MMM-aa"),"")</f>
      </c>
      <c r="FB87" s="496" t="str">
        <f> IF(FB107&lt;&gt;"",TEXT(AUX!FF$1,"dd-MMM-aa"),"")</f>
      </c>
      <c r="FC87" s="496" t="str">
        <f> IF(FC107&lt;&gt;"",TEXT(AUX!FG$1,"dd-MMM-aa"),"")</f>
      </c>
      <c r="FD87" s="496" t="str">
        <f> IF(FD107&lt;&gt;"",TEXT(AUX!FH$1,"dd-MMM-aa"),"")</f>
      </c>
      <c r="FE87" s="496" t="str">
        <f> IF(FE107&lt;&gt;"",TEXT(AUX!FI$1,"dd-MMM-aa"),"")</f>
      </c>
      <c r="FF87" s="496" t="str">
        <f> IF(FF107&lt;&gt;"",TEXT(AUX!FJ$1,"dd-MMM-aa"),"")</f>
      </c>
      <c r="FG87" s="496" t="str">
        <f> IF(FG107&lt;&gt;"",TEXT(AUX!FK$1,"dd-MMM-aa"),"")</f>
      </c>
      <c r="FH87" s="496" t="str">
        <f> IF(FH107&lt;&gt;"",TEXT(AUX!FL$1,"dd-MMM-aa"),"")</f>
      </c>
      <c r="FI87" s="496" t="str">
        <f> IF(FI107&lt;&gt;"",TEXT(AUX!FM$1,"dd-MMM-aa"),"")</f>
      </c>
      <c r="FJ87" s="496" t="str">
        <f> IF(FJ107&lt;&gt;"",TEXT(AUX!FN$1,"dd-MMM-aa"),"")</f>
      </c>
      <c r="FK87" s="496" t="str">
        <f> IF(FK107&lt;&gt;"",TEXT(AUX!FO$1,"dd-MMM-aa"),"")</f>
      </c>
      <c r="FL87" s="496" t="str">
        <f> IF(FL107&lt;&gt;"",TEXT(AUX!FP$1,"dd-MMM-aa"),"")</f>
      </c>
      <c r="FM87" s="496" t="str">
        <f> IF(FM107&lt;&gt;"",TEXT(AUX!FQ$1,"dd-MMM-aa"),"")</f>
      </c>
      <c r="FN87" s="496" t="str">
        <f> IF(FN107&lt;&gt;"",TEXT(AUX!FR$1,"dd-MMM-aa"),"")</f>
      </c>
      <c r="FO87" s="496" t="str">
        <f> IF(FO107&lt;&gt;"",TEXT(AUX!FS$1,"dd-MMM-aa"),"")</f>
      </c>
      <c r="FP87" s="496" t="str">
        <f> IF(FP107&lt;&gt;"",TEXT(AUX!FT$1,"dd-MMM-aa"),"")</f>
      </c>
      <c r="FQ87" s="496" t="str">
        <f> IF(FQ107&lt;&gt;"",TEXT(AUX!FU$1,"dd-MMM-aa"),"")</f>
      </c>
      <c r="FR87" s="496" t="str">
        <f> IF(FR107&lt;&gt;"",TEXT(AUX!FV$1,"dd-MMM-aa"),"")</f>
      </c>
      <c r="FS87" s="496" t="str">
        <f> IF(FS107&lt;&gt;"",TEXT(AUX!FW$1,"dd-MMM-aa"),"")</f>
      </c>
      <c r="FT87" s="496" t="str">
        <f> IF(FT107&lt;&gt;"",TEXT(AUX!FX$1,"dd-MMM-aa"),"")</f>
      </c>
      <c r="FU87" s="496" t="str">
        <f> IF(FU107&lt;&gt;"",TEXT(AUX!FY$1,"dd-MMM-aa"),"")</f>
      </c>
      <c r="FV87" s="496" t="str">
        <f> IF(FV107&lt;&gt;"",TEXT(AUX!FZ$1,"dd-MMM-aa"),"")</f>
      </c>
      <c r="FW87" s="496" t="str">
        <f> IF(FW107&lt;&gt;"",TEXT(AUX!GA$1,"dd-MMM-aa"),"")</f>
      </c>
      <c r="FX87" s="496" t="str">
        <f> IF(FX107&lt;&gt;"",TEXT(AUX!GB$1,"dd-MMM-aa"),"")</f>
      </c>
      <c r="FY87" s="496" t="str">
        <f> IF(FY107&lt;&gt;"",TEXT(AUX!GC$1,"dd-MMM-aa"),"")</f>
      </c>
      <c r="FZ87" s="496" t="str">
        <f> IF(FZ107&lt;&gt;"",TEXT(AUX!GD$1,"dd-MMM-aa"),"")</f>
      </c>
      <c r="GA87" s="496" t="str">
        <f> IF(GA107&lt;&gt;"",TEXT(AUX!GE$1,"dd-MMM-aa"),"")</f>
      </c>
      <c r="GB87" s="496" t="str">
        <f> IF(GB107&lt;&gt;"",TEXT(AUX!GF$1,"dd-MMM-aa"),"")</f>
      </c>
      <c r="GC87" s="496" t="str">
        <f> IF(GC107&lt;&gt;"",TEXT(AUX!GG$1,"dd-MMM-aa"),"")</f>
      </c>
      <c r="GD87" s="496" t="str">
        <f> IF(GD107&lt;&gt;"",TEXT(AUX!GH$1,"dd-MMM-aa"),"")</f>
      </c>
      <c r="GE87" s="496" t="str">
        <f> IF(GE107&lt;&gt;"",TEXT(AUX!GI$1,"dd-MMM-aa"),"")</f>
      </c>
      <c r="GF87" s="496" t="str">
        <f> IF(GF107&lt;&gt;"",TEXT(AUX!GJ$1,"dd-MMM-aa"),"")</f>
      </c>
      <c r="GG87" s="496" t="str">
        <f> IF(GG107&lt;&gt;"",TEXT(AUX!GK$1,"dd-MMM-aa"),"")</f>
      </c>
      <c r="GH87" s="496" t="str">
        <f> IF(GH107&lt;&gt;"",TEXT(AUX!GL$1,"dd-MMM-aa"),"")</f>
      </c>
      <c r="GI87" s="496" t="str">
        <f> IF(GI107&lt;&gt;"",TEXT(AUX!GM$1,"dd-MMM-aa"),"")</f>
      </c>
      <c r="GJ87" s="496" t="str">
        <f> IF(GJ107&lt;&gt;"",TEXT(AUX!GN$1,"dd-MMM-aa"),"")</f>
      </c>
      <c r="GK87" s="496" t="str">
        <f> IF(GK107&lt;&gt;"",TEXT(AUX!GO$1,"dd-MMM-aa"),"")</f>
      </c>
      <c r="GL87" s="496" t="str">
        <f> IF(GL107&lt;&gt;"",TEXT(AUX!GP$1,"dd-MMM-aa"),"")</f>
      </c>
      <c r="GM87" s="496" t="str">
        <f> IF(GM107&lt;&gt;"",TEXT(AUX!GQ$1,"dd-MMM-aa"),"")</f>
      </c>
      <c r="GN87" s="496" t="str">
        <f> IF(GN107&lt;&gt;"",TEXT(AUX!GR$1,"dd-MMM-aa"),"")</f>
      </c>
      <c r="GO87" s="496" t="str">
        <f> IF(GO107&lt;&gt;"",TEXT(AUX!GS$1,"dd-MMM-aa"),"")</f>
      </c>
      <c r="GP87" s="496" t="str">
        <f> IF(GP107&lt;&gt;"",TEXT(AUX!GT$1,"dd-MMM-aa"),"")</f>
      </c>
      <c r="GQ87" s="496" t="str">
        <f> IF(GQ107&lt;&gt;"",TEXT(AUX!GU$1,"dd-MMM-aa"),"")</f>
      </c>
      <c r="GR87" s="496" t="str">
        <f> IF(GR107&lt;&gt;"",TEXT(AUX!GV$1,"dd-MMM-aa"),"")</f>
      </c>
      <c r="GS87" s="496" t="str">
        <f> IF(GS107&lt;&gt;"",TEXT(AUX!GW$1,"dd-MMM-aa"),"")</f>
      </c>
      <c r="GT87" s="496" t="str">
        <f> IF(GT107&lt;&gt;"",TEXT(AUX!GX$1,"dd-MMM-aa"),"")</f>
      </c>
      <c r="GU87" s="496" t="str">
        <f> IF(GU107&lt;&gt;"",TEXT(AUX!GY$1,"dd-MMM-aa"),"")</f>
      </c>
      <c r="GV87" s="496" t="str">
        <f> IF(GV107&lt;&gt;"",TEXT(AUX!GZ$1,"dd-MMM-aa"),"")</f>
      </c>
      <c r="GW87" s="496" t="str">
        <f> IF(GW107&lt;&gt;"",TEXT(AUX!HA$1,"dd-MMM-aa"),"")</f>
      </c>
      <c r="GX87" s="496" t="str">
        <f> IF(GX107&lt;&gt;"",TEXT(AUX!HB$1,"dd-MMM-aa"),"")</f>
      </c>
      <c r="GY87" s="496" t="str">
        <f> IF(GY107&lt;&gt;"",TEXT(AUX!HC$1,"dd-MMM-aa"),"")</f>
      </c>
      <c r="GZ87" s="496" t="str">
        <f> IF(GZ107&lt;&gt;"",TEXT(AUX!HD$1,"dd-MMM-aa"),"")</f>
      </c>
      <c r="HA87" s="496" t="str">
        <f> IF(HA107&lt;&gt;"",TEXT(AUX!HE$1,"dd-MMM-aa"),"")</f>
      </c>
      <c r="HB87" s="496" t="str">
        <f> IF(HB107&lt;&gt;"",TEXT(AUX!HF$1,"dd-MMM-aa"),"")</f>
      </c>
      <c r="HC87" s="496" t="str">
        <f> IF(HC107&lt;&gt;"",TEXT(AUX!HG$1,"dd-MMM-aa"),"")</f>
      </c>
      <c r="HD87" s="496" t="str">
        <f> IF(HD107&lt;&gt;"",TEXT(AUX!HH$1,"dd-MMM-aa"),"")</f>
      </c>
      <c r="HE87" s="496" t="str">
        <f> IF(HE107&lt;&gt;"",TEXT(AUX!HI$1,"dd-MMM-aa"),"")</f>
      </c>
      <c r="HF87" s="496" t="str">
        <f> IF(HF107&lt;&gt;"",TEXT(AUX!HJ$1,"dd-MMM-aa"),"")</f>
      </c>
      <c r="HG87" s="496" t="str">
        <f> IF(HG107&lt;&gt;"",TEXT(AUX!HK$1,"dd-MMM-aa"),"")</f>
      </c>
      <c r="HH87" s="496" t="str">
        <f> IF(HH107&lt;&gt;"",TEXT(AUX!HL$1,"dd-MMM-aa"),"")</f>
      </c>
      <c r="HI87" s="496" t="str">
        <f> IF(HI107&lt;&gt;"",TEXT(AUX!HM$1,"dd-MMM-aa"),"")</f>
      </c>
      <c r="HJ87" s="496" t="str">
        <f> IF(HJ107&lt;&gt;"",TEXT(AUX!HN$1,"dd-MMM-aa"),"")</f>
      </c>
      <c r="HK87" s="496" t="str">
        <f> IF(HK107&lt;&gt;"",TEXT(AUX!HO$1,"dd-MMM-aa"),"")</f>
      </c>
      <c r="HL87" s="496" t="str">
        <f> IF(HL107&lt;&gt;"",TEXT(AUX!HP$1,"dd-MMM-aa"),"")</f>
      </c>
      <c r="HM87" s="496" t="str">
        <f> IF(HM107&lt;&gt;"",TEXT(AUX!HQ$1,"dd-MMM-aa"),"")</f>
      </c>
      <c r="HN87" s="496" t="str">
        <f> IF(HN107&lt;&gt;"",TEXT(AUX!HR$1,"dd-MMM-aa"),"")</f>
      </c>
      <c r="HO87" s="496" t="str">
        <f> IF(HO107&lt;&gt;"",TEXT(AUX!HS$1,"dd-MMM-aa"),"")</f>
      </c>
      <c r="HP87" s="496" t="str">
        <f> IF(HP107&lt;&gt;"",TEXT(AUX!HT$1,"dd-MMM-aa"),"")</f>
      </c>
      <c r="HQ87" s="496" t="str">
        <f> IF(HQ107&lt;&gt;"",TEXT(AUX!HU$1,"dd-MMM-aa"),"")</f>
      </c>
      <c r="HR87" s="496" t="str">
        <f> IF(HR107&lt;&gt;"",TEXT(AUX!HV$1,"dd-MMM-aa"),"")</f>
      </c>
      <c r="HS87" s="496" t="str">
        <f> IF(HS107&lt;&gt;"",TEXT(AUX!HW$1,"dd-MMM-aa"),"")</f>
      </c>
      <c r="HT87" s="496" t="str">
        <f> IF(HT107&lt;&gt;"",TEXT(AUX!HX$1,"dd-MMM-aa"),"")</f>
      </c>
      <c r="HU87" s="496" t="str">
        <f> IF(HU107&lt;&gt;"",TEXT(AUX!HY$1,"dd-MMM-aa"),"")</f>
      </c>
      <c r="HV87" s="496" t="str">
        <f> IF(HV107&lt;&gt;"",TEXT(AUX!HZ$1,"dd-MMM-aa"),"")</f>
      </c>
      <c r="HW87" s="496" t="str">
        <f> IF(HW107&lt;&gt;"",TEXT(AUX!IA$1,"dd-MMM-aa"),"")</f>
      </c>
      <c r="HX87" s="496" t="str">
        <f> IF(HX107&lt;&gt;"",TEXT(AUX!IB$1,"dd-MMM-aa"),"")</f>
      </c>
      <c r="HY87" s="496" t="str">
        <f> IF(HY107&lt;&gt;"",TEXT(AUX!IC$1,"dd-MMM-aa"),"")</f>
      </c>
      <c r="HZ87" s="496" t="str">
        <f> IF(HZ107&lt;&gt;"",TEXT(AUX!ID$1,"dd-MMM-aa"),"")</f>
      </c>
      <c r="IA87" s="496" t="str">
        <f> IF(IA107&lt;&gt;"",TEXT(AUX!IE$1,"dd-MMM-aa"),"")</f>
      </c>
      <c r="IB87" s="496" t="str">
        <f> IF(IB107&lt;&gt;"",TEXT(AUX!IF$1,"dd-MMM-aa"),"")</f>
      </c>
      <c r="IC87" s="496" t="str">
        <f> IF(IC107&lt;&gt;"",TEXT(AUX!IG$1,"dd-MMM-aa"),"")</f>
      </c>
      <c r="ID87" s="496" t="str">
        <f> IF(ID107&lt;&gt;"",TEXT(AUX!IH$1,"dd-MMM-aa"),"")</f>
      </c>
      <c r="IE87" s="496" t="str">
        <f> IF(IE107&lt;&gt;"",TEXT(AUX!II$1,"dd-MMM-aa"),"")</f>
      </c>
      <c r="IF87" s="496" t="str">
        <f> IF(IF107&lt;&gt;"",TEXT(AUX!IJ$1,"dd-MMM-aa"),"")</f>
      </c>
      <c r="IG87" s="496" t="str">
        <f> IF(IG107&lt;&gt;"",TEXT(AUX!IK$1,"dd-MMM-aa"),"")</f>
      </c>
      <c r="IH87" s="496" t="str">
        <f> IF(IH107&lt;&gt;"",TEXT(AUX!IL$1,"dd-MMM-aa"),"")</f>
      </c>
      <c r="II87" s="496" t="str">
        <f> IF(II107&lt;&gt;"",TEXT(AUX!IM$1,"dd-MMM-aa"),"")</f>
      </c>
      <c r="IJ87" s="496" t="str">
        <f> IF(IJ107&lt;&gt;"",TEXT(AUX!IN$1,"dd-MMM-aa"),"")</f>
      </c>
      <c r="IK87" s="496" t="str">
        <f> IF(IK107&lt;&gt;"",TEXT(AUX!IO$1,"dd-MMM-aa"),"")</f>
      </c>
      <c r="IL87" s="496" t="str">
        <f> IF(IL107&lt;&gt;"",TEXT(AUX!IP$1,"dd-MMM-aa"),"")</f>
      </c>
      <c r="IM87" s="496" t="str">
        <f> IF(IM107&lt;&gt;"",TEXT(AUX!IQ$1,"dd-MMM-aa"),"")</f>
      </c>
      <c r="IN87" s="496" t="str">
        <f> IF(IN107&lt;&gt;"",TEXT(AUX!IR$1,"dd-MMM-aa"),"")</f>
      </c>
      <c r="IO87" s="496" t="str">
        <f> IF(IO107&lt;&gt;"",TEXT(AUX!IS$1,"dd-MMM-aa"),"")</f>
      </c>
      <c r="IP87" s="496" t="str">
        <f> IF(IP107&lt;&gt;"",TEXT(AUX!IT$1,"dd-MMM-aa"),"")</f>
      </c>
      <c r="IQ87" s="496" t="str">
        <f> IF(IQ107&lt;&gt;"",TEXT(AUX!IU$1,"dd-MMM-aa"),"")</f>
      </c>
      <c r="IR87" s="496" t="str">
        <f> IF(IR107&lt;&gt;"",TEXT(AUX!IV$1,"dd-MMM-aa"),"")</f>
      </c>
      <c r="IS87" s="496" t="str">
        <f> IF(IS107&lt;&gt;"",TEXT(AUX!#REF!,"dd-MMM-aa"),"")</f>
      </c>
      <c r="IT87" s="496" t="str">
        <f> IF(IT107&lt;&gt;"",TEXT(AUX!#REF!,"dd-MMM-aa"),"")</f>
      </c>
      <c r="IU87" s="496" t="str">
        <f> IF(IU107&lt;&gt;"",TEXT(AUX!#REF!,"dd-MMM-aa"),"")</f>
      </c>
      <c r="IV87" s="496" t="str">
        <f> IF(IV107&lt;&gt;"",TEXT(AUX!#REF!,"dd-MMM-aa"),"")</f>
      </c>
    </row>
    <row r="88" hidden="1">
      <c r="B88" s="822" t="s">
        <v>8</v>
      </c>
      <c r="C88" s="823">
        <v>0</v>
      </c>
      <c r="D88" s="823">
        <v>0</v>
      </c>
      <c r="E88" s="823">
        <v>0</v>
      </c>
      <c r="F88" s="823">
        <v>0</v>
      </c>
      <c r="G88" s="823">
        <v>0</v>
      </c>
      <c r="H88" s="823">
        <v>0</v>
      </c>
      <c r="I88" s="823">
        <v>0</v>
      </c>
      <c r="J88" s="823">
        <v>3532</v>
      </c>
      <c r="K88" s="823">
        <v>4425</v>
      </c>
      <c r="L88" s="823">
        <v>4617</v>
      </c>
      <c r="M88" s="823">
        <v>5253</v>
      </c>
      <c r="N88" s="823">
        <v>5512</v>
      </c>
      <c r="O88" s="823">
        <v>6054</v>
      </c>
      <c r="P88" s="823">
        <v>6865</v>
      </c>
      <c r="Q88" s="823">
        <v>7386</v>
      </c>
      <c r="R88" s="823">
        <v>7868</v>
      </c>
      <c r="S88" s="823">
        <v>8787</v>
      </c>
      <c r="T88" s="823">
        <v>9126</v>
      </c>
      <c r="U88" s="823">
        <v>9506</v>
      </c>
      <c r="V88" s="823">
        <v>9726</v>
      </c>
      <c r="W88" s="823">
        <v>10476</v>
      </c>
      <c r="X88" s="823">
        <v>10912</v>
      </c>
      <c r="Y88" s="823">
        <v>11738</v>
      </c>
      <c r="Z88" s="823">
        <v>12184</v>
      </c>
      <c r="AA88" s="823">
        <v>13152</v>
      </c>
      <c r="AB88" s="824">
        <v>13850</v>
      </c>
      <c r="AC88" s="825">
        <v>15139</v>
      </c>
      <c r="AD88" s="825">
        <v>15992</v>
      </c>
      <c r="AE88" s="825">
        <v>16307</v>
      </c>
      <c r="AF88" s="825">
        <v>16587</v>
      </c>
      <c r="AG88" s="825">
        <v>17428</v>
      </c>
      <c r="AH88" s="825">
        <v>19129</v>
      </c>
      <c r="AI88" s="825">
        <v>20071</v>
      </c>
      <c r="AJ88" s="825">
        <v>20411</v>
      </c>
      <c r="AK88" s="825">
        <v>21634</v>
      </c>
      <c r="AL88" s="825">
        <v>22427</v>
      </c>
      <c r="AM88" s="825">
        <v>23876</v>
      </c>
      <c r="AN88" s="825">
        <v>24399</v>
      </c>
      <c r="AO88" s="825">
        <v>25688</v>
      </c>
      <c r="AP88" s="825">
        <v>26477</v>
      </c>
    </row>
    <row r="89" hidden="1">
      <c r="B89" s="826" t="s">
        <v>9</v>
      </c>
      <c r="C89" s="827">
        <v>7892</v>
      </c>
      <c r="D89" s="827">
        <v>8376</v>
      </c>
      <c r="E89" s="827">
        <v>8723</v>
      </c>
      <c r="F89" s="827">
        <v>8891</v>
      </c>
      <c r="G89" s="827">
        <v>9182</v>
      </c>
      <c r="H89" s="827">
        <v>9350</v>
      </c>
      <c r="I89" s="827">
        <v>9624</v>
      </c>
      <c r="J89" s="827">
        <v>9775</v>
      </c>
      <c r="K89" s="827">
        <v>10114</v>
      </c>
      <c r="L89" s="827">
        <v>10241</v>
      </c>
      <c r="M89" s="827">
        <v>10522</v>
      </c>
      <c r="N89" s="827">
        <v>10748</v>
      </c>
      <c r="O89" s="827">
        <v>11113</v>
      </c>
      <c r="P89" s="827">
        <v>11206</v>
      </c>
      <c r="Q89" s="827">
        <v>11578</v>
      </c>
      <c r="R89" s="827">
        <v>11720</v>
      </c>
      <c r="S89" s="827">
        <v>11971</v>
      </c>
      <c r="T89" s="827">
        <v>12230</v>
      </c>
      <c r="U89" s="827">
        <v>12424</v>
      </c>
      <c r="V89" s="827">
        <v>12569</v>
      </c>
      <c r="W89" s="827">
        <v>12884</v>
      </c>
      <c r="X89" s="827">
        <v>13001</v>
      </c>
      <c r="Y89" s="827">
        <v>13213</v>
      </c>
      <c r="Z89" s="827">
        <v>13659</v>
      </c>
      <c r="AA89" s="827">
        <v>14296</v>
      </c>
      <c r="AB89" s="827">
        <v>14527</v>
      </c>
      <c r="AC89" s="828">
        <v>15042</v>
      </c>
      <c r="AD89" s="828">
        <v>15200</v>
      </c>
      <c r="AE89" s="828">
        <v>15638</v>
      </c>
      <c r="AF89" s="828">
        <v>15895</v>
      </c>
      <c r="AG89" s="828">
        <v>16181</v>
      </c>
      <c r="AH89" s="828">
        <v>16363</v>
      </c>
      <c r="AI89" s="828">
        <v>16599</v>
      </c>
      <c r="AJ89" s="828">
        <v>16652</v>
      </c>
      <c r="AK89" s="828">
        <v>16803</v>
      </c>
      <c r="AL89" s="828">
        <v>16917</v>
      </c>
      <c r="AM89" s="828">
        <v>17129</v>
      </c>
      <c r="AN89" s="828">
        <v>17250</v>
      </c>
      <c r="AO89" s="828">
        <v>17420</v>
      </c>
      <c r="AP89" s="828">
        <v>18395</v>
      </c>
    </row>
    <row r="90" hidden="1">
      <c r="B90" s="829" t="s">
        <v>10</v>
      </c>
      <c r="C90" s="823">
        <v>9956</v>
      </c>
      <c r="D90" s="823">
        <v>10303</v>
      </c>
      <c r="E90" s="823">
        <v>10670</v>
      </c>
      <c r="F90" s="823">
        <v>10752</v>
      </c>
      <c r="G90" s="823">
        <v>11086</v>
      </c>
      <c r="H90" s="823">
        <v>11148</v>
      </c>
      <c r="I90" s="823">
        <v>11276</v>
      </c>
      <c r="J90" s="823">
        <v>11368</v>
      </c>
      <c r="K90" s="823">
        <v>11460</v>
      </c>
      <c r="L90" s="823">
        <v>11575</v>
      </c>
      <c r="M90" s="823">
        <v>11739</v>
      </c>
      <c r="N90" s="823">
        <v>11810</v>
      </c>
      <c r="O90" s="823">
        <v>11883</v>
      </c>
      <c r="P90" s="823">
        <v>11987</v>
      </c>
      <c r="Q90" s="823">
        <v>12059</v>
      </c>
      <c r="R90" s="823">
        <v>12158</v>
      </c>
      <c r="S90" s="823">
        <v>12258</v>
      </c>
      <c r="T90" s="823">
        <v>12314</v>
      </c>
      <c r="U90" s="823">
        <v>12336</v>
      </c>
      <c r="V90" s="823">
        <v>12428</v>
      </c>
      <c r="W90" s="823">
        <v>12504</v>
      </c>
      <c r="X90" s="823">
        <v>12560</v>
      </c>
      <c r="Y90" s="823">
        <v>12642</v>
      </c>
      <c r="Z90" s="823">
        <v>19412</v>
      </c>
      <c r="AA90" s="823">
        <v>19491</v>
      </c>
      <c r="AB90" s="823">
        <v>22115</v>
      </c>
      <c r="AC90" s="825">
        <v>22191</v>
      </c>
      <c r="AD90" s="825">
        <v>22209</v>
      </c>
      <c r="AE90" s="825">
        <v>23773</v>
      </c>
      <c r="AF90" s="825">
        <v>24856</v>
      </c>
      <c r="AG90" s="825">
        <v>24952</v>
      </c>
      <c r="AH90" s="825">
        <v>25019</v>
      </c>
      <c r="AI90" s="825">
        <v>25126</v>
      </c>
      <c r="AJ90" s="825">
        <v>26529</v>
      </c>
      <c r="AK90" s="825">
        <v>26746</v>
      </c>
      <c r="AL90" s="825">
        <v>27522</v>
      </c>
      <c r="AM90" s="825">
        <v>28254</v>
      </c>
      <c r="AN90" s="825">
        <v>28326</v>
      </c>
      <c r="AO90" s="825">
        <v>28375</v>
      </c>
      <c r="AP90" s="825">
        <v>28423</v>
      </c>
    </row>
    <row r="91" hidden="1">
      <c r="B91" s="826" t="s">
        <v>11</v>
      </c>
      <c r="C91" s="827">
        <v>2019</v>
      </c>
      <c r="D91" s="827">
        <v>2063</v>
      </c>
      <c r="E91" s="827">
        <v>2194</v>
      </c>
      <c r="F91" s="827">
        <v>2239</v>
      </c>
      <c r="G91" s="827">
        <v>2373</v>
      </c>
      <c r="H91" s="827">
        <v>2484</v>
      </c>
      <c r="I91" s="827">
        <v>2602</v>
      </c>
      <c r="J91" s="827">
        <v>2673</v>
      </c>
      <c r="K91" s="827">
        <v>3914</v>
      </c>
      <c r="L91" s="827">
        <v>3928</v>
      </c>
      <c r="M91" s="827">
        <v>4119</v>
      </c>
      <c r="N91" s="827">
        <v>4599</v>
      </c>
      <c r="O91" s="827">
        <v>4804</v>
      </c>
      <c r="P91" s="827">
        <v>4963</v>
      </c>
      <c r="Q91" s="827">
        <v>5117</v>
      </c>
      <c r="R91" s="827">
        <v>5149</v>
      </c>
      <c r="S91" s="827">
        <v>5268</v>
      </c>
      <c r="T91" s="827">
        <v>5499</v>
      </c>
      <c r="U91" s="827">
        <v>5631</v>
      </c>
      <c r="V91" s="827">
        <v>5717</v>
      </c>
      <c r="W91" s="827">
        <v>5810</v>
      </c>
      <c r="X91" s="827">
        <v>5875</v>
      </c>
      <c r="Y91" s="827">
        <v>5981</v>
      </c>
      <c r="Z91" s="827">
        <v>6195</v>
      </c>
      <c r="AA91" s="827">
        <v>6298</v>
      </c>
      <c r="AB91" s="827">
        <v>6323</v>
      </c>
      <c r="AC91" s="828">
        <v>6393</v>
      </c>
      <c r="AD91" s="828">
        <v>6431</v>
      </c>
      <c r="AE91" s="828">
        <v>6476</v>
      </c>
      <c r="AF91" s="828">
        <v>6505</v>
      </c>
      <c r="AG91" s="828">
        <v>6595</v>
      </c>
      <c r="AH91" s="828">
        <v>6890</v>
      </c>
      <c r="AI91" s="828">
        <v>6940</v>
      </c>
      <c r="AJ91" s="828">
        <v>6982</v>
      </c>
      <c r="AK91" s="828">
        <v>7161</v>
      </c>
      <c r="AL91" s="828">
        <v>7272</v>
      </c>
      <c r="AM91" s="828">
        <v>7326</v>
      </c>
      <c r="AN91" s="828">
        <v>7819</v>
      </c>
      <c r="AO91" s="828">
        <v>8139</v>
      </c>
      <c r="AP91" s="828">
        <v>8295</v>
      </c>
    </row>
    <row r="92" hidden="1">
      <c r="B92" s="829" t="s">
        <v>12</v>
      </c>
      <c r="C92" s="823">
        <v>5035</v>
      </c>
      <c r="D92" s="823">
        <v>5112</v>
      </c>
      <c r="E92" s="823">
        <v>5205</v>
      </c>
      <c r="F92" s="823">
        <v>5291</v>
      </c>
      <c r="G92" s="823">
        <v>5379</v>
      </c>
      <c r="H92" s="823">
        <v>5425</v>
      </c>
      <c r="I92" s="823">
        <v>5506</v>
      </c>
      <c r="J92" s="823">
        <v>5549</v>
      </c>
      <c r="K92" s="823">
        <v>5629</v>
      </c>
      <c r="L92" s="823">
        <v>5669</v>
      </c>
      <c r="M92" s="823">
        <v>5724</v>
      </c>
      <c r="N92" s="823">
        <v>5741</v>
      </c>
      <c r="O92" s="823">
        <v>5780</v>
      </c>
      <c r="P92" s="823">
        <v>5825</v>
      </c>
      <c r="Q92" s="823">
        <v>5863</v>
      </c>
      <c r="R92" s="823">
        <v>5890</v>
      </c>
      <c r="S92" s="823">
        <v>5932</v>
      </c>
      <c r="T92" s="823">
        <v>5948</v>
      </c>
      <c r="U92" s="823">
        <v>5978</v>
      </c>
      <c r="V92" s="823">
        <v>5993</v>
      </c>
      <c r="W92" s="823">
        <v>6037</v>
      </c>
      <c r="X92" s="823">
        <v>6056</v>
      </c>
      <c r="Y92" s="823">
        <v>6093</v>
      </c>
      <c r="Z92" s="823">
        <v>6120</v>
      </c>
      <c r="AA92" s="823">
        <v>6166</v>
      </c>
      <c r="AB92" s="823">
        <v>6179</v>
      </c>
      <c r="AC92" s="825">
        <v>6207</v>
      </c>
      <c r="AD92" s="825">
        <v>6232</v>
      </c>
      <c r="AE92" s="825">
        <v>6263</v>
      </c>
      <c r="AF92" s="825">
        <v>6287</v>
      </c>
      <c r="AG92" s="825">
        <v>6453</v>
      </c>
      <c r="AH92" s="825">
        <v>6482</v>
      </c>
      <c r="AI92" s="825">
        <v>6530</v>
      </c>
      <c r="AJ92" s="825">
        <v>6566</v>
      </c>
      <c r="AK92" s="825">
        <v>6597</v>
      </c>
      <c r="AL92" s="825">
        <v>6622</v>
      </c>
      <c r="AM92" s="825">
        <v>6712</v>
      </c>
      <c r="AN92" s="825">
        <v>6737</v>
      </c>
      <c r="AO92" s="825">
        <v>6759</v>
      </c>
      <c r="AP92" s="825">
        <v>6771</v>
      </c>
    </row>
    <row r="93" hidden="1">
      <c r="B93" s="826" t="s">
        <v>13</v>
      </c>
      <c r="C93" s="827">
        <v>11532</v>
      </c>
      <c r="D93" s="827">
        <v>11643</v>
      </c>
      <c r="E93" s="827">
        <v>11836</v>
      </c>
      <c r="F93" s="827">
        <v>11932</v>
      </c>
      <c r="G93" s="827">
        <v>12244</v>
      </c>
      <c r="H93" s="827">
        <v>12374</v>
      </c>
      <c r="I93" s="827">
        <v>12670</v>
      </c>
      <c r="J93" s="827">
        <v>12946</v>
      </c>
      <c r="K93" s="827">
        <v>13154</v>
      </c>
      <c r="L93" s="827">
        <v>13244</v>
      </c>
      <c r="M93" s="827">
        <v>13369</v>
      </c>
      <c r="N93" s="827">
        <v>13418</v>
      </c>
      <c r="O93" s="827">
        <v>13565</v>
      </c>
      <c r="P93" s="827">
        <v>13645</v>
      </c>
      <c r="Q93" s="827">
        <v>13771</v>
      </c>
      <c r="R93" s="827">
        <v>13866</v>
      </c>
      <c r="S93" s="827">
        <v>14011</v>
      </c>
      <c r="T93" s="827">
        <v>14080</v>
      </c>
      <c r="U93" s="827">
        <v>14197</v>
      </c>
      <c r="V93" s="827">
        <v>14281</v>
      </c>
      <c r="W93" s="827">
        <v>14538</v>
      </c>
      <c r="X93" s="827">
        <v>18513</v>
      </c>
      <c r="Y93" s="827">
        <v>19186</v>
      </c>
      <c r="Z93" s="827">
        <v>19258</v>
      </c>
      <c r="AA93" s="827">
        <v>19437</v>
      </c>
      <c r="AB93" s="827">
        <v>19513</v>
      </c>
      <c r="AC93" s="828">
        <v>19607</v>
      </c>
      <c r="AD93" s="828">
        <v>19688</v>
      </c>
      <c r="AE93" s="828">
        <v>19778</v>
      </c>
      <c r="AF93" s="828">
        <v>19854</v>
      </c>
      <c r="AG93" s="828">
        <v>19946</v>
      </c>
      <c r="AH93" s="828">
        <v>20014</v>
      </c>
      <c r="AI93" s="828">
        <v>20089</v>
      </c>
      <c r="AJ93" s="828">
        <v>20157</v>
      </c>
      <c r="AK93" s="828">
        <v>20258</v>
      </c>
      <c r="AL93" s="828">
        <v>21098</v>
      </c>
      <c r="AM93" s="828">
        <v>21206</v>
      </c>
      <c r="AN93" s="828">
        <v>21279</v>
      </c>
      <c r="AO93" s="828">
        <v>21534</v>
      </c>
      <c r="AP93" s="828">
        <v>21664</v>
      </c>
    </row>
    <row r="94" hidden="1">
      <c r="B94" s="829" t="s">
        <v>109</v>
      </c>
      <c r="C94" s="823">
        <v>5128</v>
      </c>
      <c r="D94" s="823">
        <v>5612</v>
      </c>
      <c r="E94" s="823">
        <v>7673</v>
      </c>
      <c r="F94" s="823">
        <v>7836</v>
      </c>
      <c r="G94" s="823">
        <v>8779</v>
      </c>
      <c r="H94" s="823">
        <v>8983</v>
      </c>
      <c r="I94" s="823">
        <v>9807</v>
      </c>
      <c r="J94" s="823">
        <v>10599</v>
      </c>
      <c r="K94" s="823">
        <v>12026</v>
      </c>
      <c r="L94" s="823">
        <v>13249</v>
      </c>
      <c r="M94" s="823">
        <v>13467</v>
      </c>
      <c r="N94" s="823">
        <v>13754</v>
      </c>
      <c r="O94" s="823">
        <v>14323</v>
      </c>
      <c r="P94" s="823">
        <v>14449</v>
      </c>
      <c r="Q94" s="823">
        <v>14818</v>
      </c>
      <c r="R94" s="823">
        <v>15076</v>
      </c>
      <c r="S94" s="823">
        <v>15801</v>
      </c>
      <c r="T94" s="823">
        <v>15971</v>
      </c>
      <c r="U94" s="823">
        <v>16168</v>
      </c>
      <c r="V94" s="823">
        <v>16332</v>
      </c>
      <c r="W94" s="823">
        <v>16528</v>
      </c>
      <c r="X94" s="823">
        <v>16867</v>
      </c>
      <c r="Y94" s="823">
        <v>17541</v>
      </c>
      <c r="Z94" s="823">
        <v>17876</v>
      </c>
      <c r="AA94" s="823">
        <v>18079</v>
      </c>
      <c r="AB94" s="823">
        <v>18230</v>
      </c>
      <c r="AC94" s="825">
        <v>18675</v>
      </c>
      <c r="AD94" s="825">
        <v>18929</v>
      </c>
      <c r="AE94" s="825">
        <v>21885</v>
      </c>
      <c r="AF94" s="825">
        <v>22370</v>
      </c>
      <c r="AG94" s="825">
        <v>22655</v>
      </c>
      <c r="AH94" s="825">
        <v>22823</v>
      </c>
      <c r="AI94" s="825">
        <v>23249</v>
      </c>
      <c r="AJ94" s="825">
        <v>23762</v>
      </c>
      <c r="AK94" s="825">
        <v>24363</v>
      </c>
      <c r="AL94" s="825">
        <v>24899</v>
      </c>
      <c r="AM94" s="825">
        <v>25244</v>
      </c>
      <c r="AN94" s="825">
        <v>25567</v>
      </c>
      <c r="AO94" s="825">
        <v>26910</v>
      </c>
      <c r="AP94" s="825">
        <v>27242</v>
      </c>
    </row>
    <row r="95" hidden="1">
      <c r="B95" s="826" t="s">
        <v>110</v>
      </c>
      <c r="C95" s="827">
        <v>15541</v>
      </c>
      <c r="D95" s="827">
        <v>15946</v>
      </c>
      <c r="E95" s="827">
        <v>17064</v>
      </c>
      <c r="F95" s="827">
        <v>17944</v>
      </c>
      <c r="G95" s="827">
        <v>19455</v>
      </c>
      <c r="H95" s="827">
        <v>25800</v>
      </c>
      <c r="I95" s="827">
        <v>27902</v>
      </c>
      <c r="J95" s="827">
        <v>28370</v>
      </c>
      <c r="K95" s="827">
        <v>29080</v>
      </c>
      <c r="L95" s="827">
        <v>30234</v>
      </c>
      <c r="M95" s="827">
        <v>31647</v>
      </c>
      <c r="N95" s="827">
        <v>33382</v>
      </c>
      <c r="O95" s="827">
        <v>35330</v>
      </c>
      <c r="P95" s="827">
        <v>36016</v>
      </c>
      <c r="Q95" s="827">
        <v>36557</v>
      </c>
      <c r="R95" s="827">
        <v>37556</v>
      </c>
      <c r="S95" s="827">
        <v>38280</v>
      </c>
      <c r="T95" s="827">
        <v>41647</v>
      </c>
      <c r="U95" s="827">
        <v>45819</v>
      </c>
      <c r="V95" s="827">
        <v>48829</v>
      </c>
      <c r="W95" s="827">
        <v>51724</v>
      </c>
      <c r="X95" s="827">
        <v>52831</v>
      </c>
      <c r="Y95" s="827">
        <v>54214</v>
      </c>
      <c r="Z95" s="827">
        <v>55290</v>
      </c>
      <c r="AA95" s="827">
        <v>56451</v>
      </c>
      <c r="AB95" s="827">
        <v>57766</v>
      </c>
      <c r="AC95" s="828">
        <v>59387</v>
      </c>
      <c r="AD95" s="828">
        <v>60637</v>
      </c>
      <c r="AE95" s="828">
        <v>61307</v>
      </c>
      <c r="AF95" s="828">
        <v>62277</v>
      </c>
      <c r="AG95" s="828">
        <v>63605</v>
      </c>
      <c r="AH95" s="828">
        <v>64212</v>
      </c>
      <c r="AI95" s="828">
        <v>65518</v>
      </c>
      <c r="AJ95" s="828">
        <v>67081</v>
      </c>
      <c r="AK95" s="828">
        <v>67953</v>
      </c>
      <c r="AL95" s="828">
        <v>69073</v>
      </c>
      <c r="AM95" s="828">
        <v>70285</v>
      </c>
      <c r="AN95" s="828">
        <v>71151</v>
      </c>
      <c r="AO95" s="828">
        <v>71835</v>
      </c>
      <c r="AP95" s="828">
        <v>72795</v>
      </c>
    </row>
    <row r="96" hidden="1">
      <c r="B96" s="829" t="s">
        <v>16</v>
      </c>
      <c r="C96" s="823">
        <v>1598</v>
      </c>
      <c r="D96" s="823">
        <v>1995</v>
      </c>
      <c r="E96" s="823">
        <v>2807</v>
      </c>
      <c r="F96" s="823">
        <v>3091</v>
      </c>
      <c r="G96" s="823">
        <v>3388</v>
      </c>
      <c r="H96" s="823">
        <v>3705</v>
      </c>
      <c r="I96" s="823">
        <v>4077</v>
      </c>
      <c r="J96" s="823">
        <v>4336</v>
      </c>
      <c r="K96" s="823">
        <v>4646</v>
      </c>
      <c r="L96" s="823">
        <v>4779</v>
      </c>
      <c r="M96" s="823">
        <v>5318</v>
      </c>
      <c r="N96" s="823">
        <v>5654</v>
      </c>
      <c r="O96" s="823">
        <v>6428</v>
      </c>
      <c r="P96" s="823">
        <v>6664</v>
      </c>
      <c r="Q96" s="823">
        <v>7002</v>
      </c>
      <c r="R96" s="823">
        <v>7281</v>
      </c>
      <c r="S96" s="823">
        <v>7676</v>
      </c>
      <c r="T96" s="823">
        <v>8389</v>
      </c>
      <c r="U96" s="823">
        <v>9056</v>
      </c>
      <c r="V96" s="823">
        <v>9351</v>
      </c>
      <c r="W96" s="823">
        <v>9700</v>
      </c>
      <c r="X96" s="823">
        <v>9948</v>
      </c>
      <c r="Y96" s="823">
        <v>10268</v>
      </c>
      <c r="Z96" s="823">
        <v>10478</v>
      </c>
      <c r="AA96" s="823">
        <v>10748</v>
      </c>
      <c r="AB96" s="823">
        <v>11138</v>
      </c>
      <c r="AC96" s="825">
        <v>11705</v>
      </c>
      <c r="AD96" s="825">
        <v>12063</v>
      </c>
      <c r="AE96" s="825">
        <v>12312</v>
      </c>
      <c r="AF96" s="825">
        <v>12693</v>
      </c>
      <c r="AG96" s="825">
        <v>13104</v>
      </c>
      <c r="AH96" s="825">
        <v>13670</v>
      </c>
      <c r="AI96" s="825">
        <v>14208</v>
      </c>
      <c r="AJ96" s="825">
        <v>14580</v>
      </c>
      <c r="AK96" s="825">
        <v>15182</v>
      </c>
      <c r="AL96" s="825">
        <v>15405</v>
      </c>
      <c r="AM96" s="825">
        <v>15812</v>
      </c>
      <c r="AN96" s="825">
        <v>16092</v>
      </c>
      <c r="AO96" s="825">
        <v>16370</v>
      </c>
      <c r="AP96" s="825">
        <v>16649</v>
      </c>
    </row>
    <row r="97" hidden="1">
      <c r="B97" s="826" t="s">
        <v>17</v>
      </c>
      <c r="C97" s="827">
        <v>12710</v>
      </c>
      <c r="D97" s="827">
        <v>14139</v>
      </c>
      <c r="E97" s="827">
        <v>15112</v>
      </c>
      <c r="F97" s="827">
        <v>15426</v>
      </c>
      <c r="G97" s="827">
        <v>18921</v>
      </c>
      <c r="H97" s="827">
        <v>19357</v>
      </c>
      <c r="I97" s="827">
        <v>21288</v>
      </c>
      <c r="J97" s="827">
        <v>21679</v>
      </c>
      <c r="K97" s="827">
        <v>22586</v>
      </c>
      <c r="L97" s="827">
        <v>23085</v>
      </c>
      <c r="M97" s="827">
        <v>23893</v>
      </c>
      <c r="N97" s="827">
        <v>24351</v>
      </c>
      <c r="O97" s="827">
        <v>25332</v>
      </c>
      <c r="P97" s="827">
        <v>25559</v>
      </c>
      <c r="Q97" s="827">
        <v>29871</v>
      </c>
      <c r="R97" s="827">
        <v>30300</v>
      </c>
      <c r="S97" s="827">
        <v>32341</v>
      </c>
      <c r="T97" s="827">
        <v>32749</v>
      </c>
      <c r="U97" s="827">
        <v>33349</v>
      </c>
      <c r="V97" s="827">
        <v>33558</v>
      </c>
      <c r="W97" s="827">
        <v>36244</v>
      </c>
      <c r="X97" s="827">
        <v>37178</v>
      </c>
      <c r="Y97" s="827">
        <v>37782</v>
      </c>
      <c r="Z97" s="827">
        <v>37980</v>
      </c>
      <c r="AA97" s="827">
        <v>38344</v>
      </c>
      <c r="AB97" s="827">
        <v>38807</v>
      </c>
      <c r="AC97" s="828">
        <v>39172</v>
      </c>
      <c r="AD97" s="828">
        <v>39396</v>
      </c>
      <c r="AE97" s="828">
        <v>39673</v>
      </c>
      <c r="AF97" s="828">
        <v>39903</v>
      </c>
      <c r="AG97" s="828">
        <v>40208</v>
      </c>
      <c r="AH97" s="828">
        <v>40479</v>
      </c>
      <c r="AI97" s="828">
        <v>40754</v>
      </c>
      <c r="AJ97" s="828">
        <v>40983</v>
      </c>
      <c r="AK97" s="828">
        <v>41326</v>
      </c>
      <c r="AL97" s="828">
        <v>41594</v>
      </c>
      <c r="AM97" s="828">
        <v>41903</v>
      </c>
      <c r="AN97" s="828">
        <v>42214</v>
      </c>
      <c r="AO97" s="828">
        <v>42638</v>
      </c>
      <c r="AP97" s="828">
        <v>42958</v>
      </c>
    </row>
    <row r="98" hidden="1">
      <c r="B98" s="829" t="s">
        <v>18</v>
      </c>
      <c r="C98" s="823">
        <v>48758</v>
      </c>
      <c r="D98" s="823">
        <v>49559</v>
      </c>
      <c r="E98" s="823">
        <v>50205</v>
      </c>
      <c r="F98" s="823">
        <v>50323</v>
      </c>
      <c r="G98" s="823">
        <v>52844</v>
      </c>
      <c r="H98" s="823">
        <v>52892</v>
      </c>
      <c r="I98" s="823">
        <v>64631</v>
      </c>
      <c r="J98" s="823">
        <v>66694</v>
      </c>
      <c r="K98" s="823">
        <v>68696</v>
      </c>
      <c r="L98" s="823">
        <v>71366</v>
      </c>
      <c r="M98" s="823">
        <v>74385</v>
      </c>
      <c r="N98" s="823">
        <v>76610</v>
      </c>
      <c r="O98" s="823">
        <v>78369</v>
      </c>
      <c r="P98" s="823">
        <v>81573</v>
      </c>
      <c r="Q98" s="823">
        <v>83974</v>
      </c>
      <c r="R98" s="823">
        <v>85667</v>
      </c>
      <c r="S98" s="823">
        <v>87771</v>
      </c>
      <c r="T98" s="823">
        <v>90938</v>
      </c>
      <c r="U98" s="823">
        <v>92610</v>
      </c>
      <c r="V98" s="823">
        <v>94348</v>
      </c>
      <c r="W98" s="823">
        <v>96199</v>
      </c>
      <c r="X98" s="823">
        <v>97555</v>
      </c>
      <c r="Y98" s="823">
        <v>99828</v>
      </c>
      <c r="Z98" s="823">
        <v>100698</v>
      </c>
      <c r="AA98" s="823">
        <v>102420</v>
      </c>
      <c r="AB98" s="823">
        <v>103915</v>
      </c>
      <c r="AC98" s="825">
        <v>105087</v>
      </c>
      <c r="AD98" s="825">
        <v>106472</v>
      </c>
      <c r="AE98" s="825">
        <v>106767</v>
      </c>
      <c r="AF98" s="825">
        <v>107550</v>
      </c>
      <c r="AG98" s="825">
        <v>109354</v>
      </c>
      <c r="AH98" s="825">
        <v>110426</v>
      </c>
      <c r="AI98" s="825">
        <v>113533</v>
      </c>
      <c r="AJ98" s="825">
        <v>117889</v>
      </c>
      <c r="AK98" s="825">
        <v>124612</v>
      </c>
      <c r="AL98" s="825">
        <v>126437</v>
      </c>
      <c r="AM98" s="825">
        <v>118606</v>
      </c>
      <c r="AN98" s="825">
        <v>117428</v>
      </c>
      <c r="AO98" s="825">
        <v>118133</v>
      </c>
      <c r="AP98" s="825">
        <v>118522</v>
      </c>
    </row>
    <row r="99" hidden="1">
      <c r="B99" s="826" t="s">
        <v>19</v>
      </c>
      <c r="C99" s="827">
        <v>206</v>
      </c>
      <c r="D99" s="827">
        <v>209</v>
      </c>
      <c r="E99" s="827">
        <v>235</v>
      </c>
      <c r="F99" s="827">
        <v>235</v>
      </c>
      <c r="G99" s="827">
        <v>236</v>
      </c>
      <c r="H99" s="827">
        <v>238</v>
      </c>
      <c r="I99" s="827">
        <v>238</v>
      </c>
      <c r="J99" s="827">
        <v>246</v>
      </c>
      <c r="K99" s="827">
        <v>255</v>
      </c>
      <c r="L99" s="827">
        <v>257</v>
      </c>
      <c r="M99" s="827">
        <v>259</v>
      </c>
      <c r="N99" s="827">
        <v>267</v>
      </c>
      <c r="O99" s="827">
        <v>270</v>
      </c>
      <c r="P99" s="827">
        <v>270</v>
      </c>
      <c r="Q99" s="827">
        <v>274</v>
      </c>
      <c r="R99" s="827">
        <v>278</v>
      </c>
      <c r="S99" s="827">
        <v>283</v>
      </c>
      <c r="T99" s="827">
        <v>287</v>
      </c>
      <c r="U99" s="827">
        <v>295</v>
      </c>
      <c r="V99" s="827">
        <v>303</v>
      </c>
      <c r="W99" s="827">
        <v>305</v>
      </c>
      <c r="X99" s="827">
        <v>311</v>
      </c>
      <c r="Y99" s="827">
        <v>319</v>
      </c>
      <c r="Z99" s="827">
        <v>323</v>
      </c>
      <c r="AA99" s="827">
        <v>333</v>
      </c>
      <c r="AB99" s="827">
        <v>344</v>
      </c>
      <c r="AC99" s="828">
        <v>356</v>
      </c>
      <c r="AD99" s="828">
        <v>360</v>
      </c>
      <c r="AE99" s="828">
        <v>374</v>
      </c>
      <c r="AF99" s="828">
        <v>387</v>
      </c>
      <c r="AG99" s="828">
        <v>394</v>
      </c>
      <c r="AH99" s="828">
        <v>397</v>
      </c>
      <c r="AI99" s="828">
        <v>415</v>
      </c>
      <c r="AJ99" s="828">
        <v>417</v>
      </c>
      <c r="AK99" s="828">
        <v>419</v>
      </c>
      <c r="AL99" s="828">
        <v>432</v>
      </c>
      <c r="AM99" s="828">
        <v>437</v>
      </c>
      <c r="AN99" s="828">
        <v>441</v>
      </c>
      <c r="AO99" s="828">
        <v>451</v>
      </c>
      <c r="AP99" s="828">
        <v>462</v>
      </c>
    </row>
    <row r="100" hidden="1">
      <c r="B100" s="829" t="s">
        <v>20</v>
      </c>
      <c r="C100" s="823">
        <v>1077</v>
      </c>
      <c r="D100" s="823">
        <v>1360</v>
      </c>
      <c r="E100" s="823">
        <v>1664</v>
      </c>
      <c r="F100" s="823">
        <v>1821</v>
      </c>
      <c r="G100" s="823">
        <v>2251</v>
      </c>
      <c r="H100" s="823">
        <v>2917</v>
      </c>
      <c r="I100" s="823">
        <v>3298</v>
      </c>
      <c r="J100" s="823">
        <v>3323</v>
      </c>
      <c r="K100" s="823">
        <v>3569</v>
      </c>
      <c r="L100" s="823">
        <v>3576</v>
      </c>
      <c r="M100" s="823">
        <v>3702</v>
      </c>
      <c r="N100" s="823">
        <v>3765</v>
      </c>
      <c r="O100" s="823">
        <v>3848</v>
      </c>
      <c r="P100" s="823">
        <v>3870</v>
      </c>
      <c r="Q100" s="823">
        <v>3882</v>
      </c>
      <c r="R100" s="823">
        <v>3894</v>
      </c>
      <c r="S100" s="823">
        <v>3915</v>
      </c>
      <c r="T100" s="823">
        <v>4031</v>
      </c>
      <c r="U100" s="823">
        <v>4040</v>
      </c>
      <c r="V100" s="823">
        <v>4090</v>
      </c>
      <c r="W100" s="823">
        <v>4147</v>
      </c>
      <c r="X100" s="823">
        <v>4166</v>
      </c>
      <c r="Y100" s="823">
        <v>4183</v>
      </c>
      <c r="Z100" s="823">
        <v>4214</v>
      </c>
      <c r="AA100" s="823">
        <v>4306</v>
      </c>
      <c r="AB100" s="823">
        <v>4328</v>
      </c>
      <c r="AC100" s="825">
        <v>4365</v>
      </c>
      <c r="AD100" s="825">
        <v>4396</v>
      </c>
      <c r="AE100" s="825">
        <v>4398</v>
      </c>
      <c r="AF100" s="825">
        <v>4400</v>
      </c>
      <c r="AG100" s="825">
        <v>4540</v>
      </c>
      <c r="AH100" s="825">
        <v>4591</v>
      </c>
      <c r="AI100" s="825">
        <v>4605</v>
      </c>
      <c r="AJ100" s="825">
        <v>4620</v>
      </c>
      <c r="AK100" s="825">
        <v>4636</v>
      </c>
      <c r="AL100" s="825">
        <v>4882</v>
      </c>
      <c r="AM100" s="825">
        <v>5634</v>
      </c>
      <c r="AN100" s="825">
        <v>6634</v>
      </c>
      <c r="AO100" s="825">
        <v>7791</v>
      </c>
      <c r="AP100" s="825">
        <v>8423</v>
      </c>
    </row>
    <row r="101" hidden="1">
      <c r="B101" s="826" t="s">
        <v>21</v>
      </c>
      <c r="C101" s="827">
        <v>1998</v>
      </c>
      <c r="D101" s="827">
        <v>2230</v>
      </c>
      <c r="E101" s="827">
        <v>2369</v>
      </c>
      <c r="F101" s="827">
        <v>2382</v>
      </c>
      <c r="G101" s="827">
        <v>2535</v>
      </c>
      <c r="H101" s="827">
        <v>2771</v>
      </c>
      <c r="I101" s="827">
        <v>2980</v>
      </c>
      <c r="J101" s="827">
        <v>3005</v>
      </c>
      <c r="K101" s="827">
        <v>3096</v>
      </c>
      <c r="L101" s="827">
        <v>3127</v>
      </c>
      <c r="M101" s="827">
        <v>3202</v>
      </c>
      <c r="N101" s="827">
        <v>3205</v>
      </c>
      <c r="O101" s="827">
        <v>3262</v>
      </c>
      <c r="P101" s="827">
        <v>3308</v>
      </c>
      <c r="Q101" s="827">
        <v>3405</v>
      </c>
      <c r="R101" s="827">
        <v>3470</v>
      </c>
      <c r="S101" s="827">
        <v>3537</v>
      </c>
      <c r="T101" s="827">
        <v>3585</v>
      </c>
      <c r="U101" s="827">
        <v>3695</v>
      </c>
      <c r="V101" s="827">
        <v>3700</v>
      </c>
      <c r="W101" s="827">
        <v>3888</v>
      </c>
      <c r="X101" s="827">
        <v>3896</v>
      </c>
      <c r="Y101" s="827">
        <v>4015</v>
      </c>
      <c r="Z101" s="827">
        <v>4061</v>
      </c>
      <c r="AA101" s="827">
        <v>4106</v>
      </c>
      <c r="AB101" s="827">
        <v>4237</v>
      </c>
      <c r="AC101" s="828">
        <v>4296</v>
      </c>
      <c r="AD101" s="828">
        <v>4302</v>
      </c>
      <c r="AE101" s="828">
        <v>4328</v>
      </c>
      <c r="AF101" s="828">
        <v>4476</v>
      </c>
      <c r="AG101" s="828">
        <v>4613</v>
      </c>
      <c r="AH101" s="828">
        <v>4788</v>
      </c>
      <c r="AI101" s="828">
        <v>4828</v>
      </c>
      <c r="AJ101" s="828">
        <v>4990</v>
      </c>
      <c r="AK101" s="828">
        <v>5028</v>
      </c>
      <c r="AL101" s="828">
        <v>5186</v>
      </c>
      <c r="AM101" s="828">
        <v>5457</v>
      </c>
      <c r="AN101" s="828">
        <v>5460</v>
      </c>
      <c r="AO101" s="828">
        <v>5491</v>
      </c>
      <c r="AP101" s="828">
        <v>5537</v>
      </c>
    </row>
    <row r="102" hidden="1">
      <c r="B102" s="829" t="s">
        <v>22</v>
      </c>
      <c r="C102" s="823">
        <v>897</v>
      </c>
      <c r="D102" s="823">
        <v>868</v>
      </c>
      <c r="E102" s="823">
        <v>906</v>
      </c>
      <c r="F102" s="823">
        <v>890</v>
      </c>
      <c r="G102" s="823">
        <v>933</v>
      </c>
      <c r="H102" s="823">
        <v>936</v>
      </c>
      <c r="I102" s="823">
        <v>2011</v>
      </c>
      <c r="J102" s="823">
        <v>1829</v>
      </c>
      <c r="K102" s="823">
        <v>2301</v>
      </c>
      <c r="L102" s="823">
        <v>2417</v>
      </c>
      <c r="M102" s="823">
        <v>4571</v>
      </c>
      <c r="N102" s="823">
        <v>4499</v>
      </c>
      <c r="O102" s="823">
        <v>5352</v>
      </c>
      <c r="P102" s="823">
        <v>5379</v>
      </c>
      <c r="Q102" s="823">
        <v>5923</v>
      </c>
      <c r="R102" s="823">
        <v>5925</v>
      </c>
      <c r="S102" s="823">
        <v>5973</v>
      </c>
      <c r="T102" s="823">
        <v>5974</v>
      </c>
      <c r="U102" s="823">
        <v>6307</v>
      </c>
      <c r="V102" s="823">
        <v>6305</v>
      </c>
      <c r="W102" s="823">
        <v>6346</v>
      </c>
      <c r="X102" s="823">
        <v>6515</v>
      </c>
      <c r="Y102" s="823">
        <v>6638</v>
      </c>
      <c r="Z102" s="823">
        <v>6630</v>
      </c>
      <c r="AA102" s="823">
        <v>6690</v>
      </c>
      <c r="AB102" s="823">
        <v>6696</v>
      </c>
      <c r="AC102" s="825">
        <v>7847</v>
      </c>
      <c r="AD102" s="825">
        <v>8040</v>
      </c>
      <c r="AE102" s="825">
        <v>8484</v>
      </c>
      <c r="AF102" s="825">
        <v>8461</v>
      </c>
      <c r="AG102" s="825">
        <v>8769</v>
      </c>
      <c r="AH102" s="825">
        <v>8773</v>
      </c>
      <c r="AI102" s="825">
        <v>8756</v>
      </c>
      <c r="AJ102" s="825">
        <v>10965</v>
      </c>
      <c r="AK102" s="825">
        <v>11052</v>
      </c>
      <c r="AL102" s="825">
        <v>11325</v>
      </c>
      <c r="AM102" s="825">
        <v>12771</v>
      </c>
      <c r="AN102" s="825">
        <v>12771</v>
      </c>
      <c r="AO102" s="825">
        <v>13329</v>
      </c>
      <c r="AP102" s="825">
        <v>13322</v>
      </c>
    </row>
    <row r="103" hidden="1">
      <c r="B103" s="826" t="s">
        <v>23</v>
      </c>
      <c r="C103" s="827">
        <v>471</v>
      </c>
      <c r="D103" s="827">
        <v>505</v>
      </c>
      <c r="E103" s="827">
        <v>573</v>
      </c>
      <c r="F103" s="827">
        <v>596</v>
      </c>
      <c r="G103" s="827">
        <v>641</v>
      </c>
      <c r="H103" s="827">
        <v>792</v>
      </c>
      <c r="I103" s="827">
        <v>868</v>
      </c>
      <c r="J103" s="827">
        <v>880</v>
      </c>
      <c r="K103" s="827">
        <v>929</v>
      </c>
      <c r="L103" s="827">
        <v>947</v>
      </c>
      <c r="M103" s="827">
        <v>1025</v>
      </c>
      <c r="N103" s="827">
        <v>1047</v>
      </c>
      <c r="O103" s="827">
        <v>1106</v>
      </c>
      <c r="P103" s="827">
        <v>1139</v>
      </c>
      <c r="Q103" s="827">
        <v>1199</v>
      </c>
      <c r="R103" s="827">
        <v>1221</v>
      </c>
      <c r="S103" s="827">
        <v>1273</v>
      </c>
      <c r="T103" s="827">
        <v>1446</v>
      </c>
      <c r="U103" s="827">
        <v>1480</v>
      </c>
      <c r="V103" s="827">
        <v>1493</v>
      </c>
      <c r="W103" s="827">
        <v>1527</v>
      </c>
      <c r="X103" s="827">
        <v>1533</v>
      </c>
      <c r="Y103" s="827">
        <v>1564</v>
      </c>
      <c r="Z103" s="827">
        <v>1576</v>
      </c>
      <c r="AA103" s="827">
        <v>1603</v>
      </c>
      <c r="AB103" s="827">
        <v>1614</v>
      </c>
      <c r="AC103" s="828">
        <v>1636</v>
      </c>
      <c r="AD103" s="828">
        <v>1649</v>
      </c>
      <c r="AE103" s="828">
        <v>1674</v>
      </c>
      <c r="AF103" s="828">
        <v>1688</v>
      </c>
      <c r="AG103" s="828">
        <v>1712</v>
      </c>
      <c r="AH103" s="828">
        <v>1925</v>
      </c>
      <c r="AI103" s="828">
        <v>1993</v>
      </c>
      <c r="AJ103" s="828">
        <v>2000</v>
      </c>
      <c r="AK103" s="828">
        <v>2035</v>
      </c>
      <c r="AL103" s="828">
        <v>2039</v>
      </c>
      <c r="AM103" s="828">
        <v>2067</v>
      </c>
      <c r="AN103" s="828">
        <v>2075</v>
      </c>
      <c r="AO103" s="828">
        <v>2091</v>
      </c>
      <c r="AP103" s="828">
        <v>2092</v>
      </c>
    </row>
    <row r="104" hidden="1">
      <c r="B104" s="830" t="s">
        <v>24</v>
      </c>
      <c r="C104" s="823">
        <v>1668</v>
      </c>
      <c r="D104" s="823">
        <v>1805</v>
      </c>
      <c r="E104" s="823">
        <v>2292</v>
      </c>
      <c r="F104" s="823">
        <v>2519</v>
      </c>
      <c r="G104" s="823">
        <v>2718</v>
      </c>
      <c r="H104" s="823">
        <v>2806</v>
      </c>
      <c r="I104" s="823">
        <v>2955</v>
      </c>
      <c r="J104" s="823">
        <v>3041</v>
      </c>
      <c r="K104" s="823">
        <v>3135</v>
      </c>
      <c r="L104" s="823">
        <v>3217</v>
      </c>
      <c r="M104" s="823">
        <v>3293</v>
      </c>
      <c r="N104" s="823">
        <v>3366</v>
      </c>
      <c r="O104" s="823">
        <v>3437</v>
      </c>
      <c r="P104" s="823">
        <v>3540</v>
      </c>
      <c r="Q104" s="823">
        <v>3655</v>
      </c>
      <c r="R104" s="823">
        <v>3741</v>
      </c>
      <c r="S104" s="823">
        <v>3847</v>
      </c>
      <c r="T104" s="823">
        <v>3909</v>
      </c>
      <c r="U104" s="823">
        <v>4057</v>
      </c>
      <c r="V104" s="823">
        <v>4184</v>
      </c>
      <c r="W104" s="823">
        <v>4362</v>
      </c>
      <c r="X104" s="823">
        <v>4490</v>
      </c>
      <c r="Y104" s="823">
        <v>4646</v>
      </c>
      <c r="Z104" s="823">
        <v>4765</v>
      </c>
      <c r="AA104" s="823">
        <v>4983</v>
      </c>
      <c r="AB104" s="823">
        <v>5131</v>
      </c>
      <c r="AC104" s="825">
        <v>5337</v>
      </c>
      <c r="AD104" s="825">
        <v>5472</v>
      </c>
      <c r="AE104" s="825">
        <v>5614</v>
      </c>
      <c r="AF104" s="825">
        <v>5703</v>
      </c>
      <c r="AG104" s="825">
        <v>5867</v>
      </c>
      <c r="AH104" s="825">
        <v>6033</v>
      </c>
      <c r="AI104" s="825">
        <v>6255</v>
      </c>
      <c r="AJ104" s="825">
        <v>6396</v>
      </c>
      <c r="AK104" s="825">
        <v>6654</v>
      </c>
      <c r="AL104" s="825">
        <v>6773</v>
      </c>
      <c r="AM104" s="825">
        <v>7133</v>
      </c>
      <c r="AN104" s="825">
        <v>7308</v>
      </c>
      <c r="AO104" s="825">
        <v>7553</v>
      </c>
      <c r="AP104" s="825">
        <v>7729</v>
      </c>
    </row>
    <row r="105" hidden="1">
      <c r="B105" s="826" t="s">
        <v>25</v>
      </c>
      <c r="C105" s="827">
        <v>0</v>
      </c>
      <c r="D105" s="827">
        <v>0</v>
      </c>
      <c r="E105" s="827">
        <v>0</v>
      </c>
      <c r="F105" s="827">
        <v>0</v>
      </c>
      <c r="G105" s="827">
        <v>0</v>
      </c>
      <c r="H105" s="827">
        <v>0</v>
      </c>
      <c r="I105" s="827">
        <v>0</v>
      </c>
      <c r="J105" s="827">
        <v>0</v>
      </c>
      <c r="K105" s="827">
        <v>0</v>
      </c>
      <c r="L105" s="827">
        <v>0</v>
      </c>
      <c r="M105" s="827">
        <v>0</v>
      </c>
      <c r="N105" s="827">
        <v>0</v>
      </c>
      <c r="O105" s="827">
        <v>0</v>
      </c>
      <c r="P105" s="827">
        <v>0</v>
      </c>
      <c r="Q105" s="827">
        <v>0</v>
      </c>
      <c r="R105" s="827">
        <v>0</v>
      </c>
      <c r="S105" s="827">
        <v>0</v>
      </c>
      <c r="T105" s="827">
        <v>0</v>
      </c>
      <c r="U105" s="827">
        <v>0</v>
      </c>
      <c r="V105" s="827">
        <v>0</v>
      </c>
      <c r="W105" s="827">
        <v>0</v>
      </c>
      <c r="X105" s="827">
        <v>0</v>
      </c>
      <c r="Y105" s="827">
        <v>0</v>
      </c>
      <c r="Z105" s="827">
        <v>0</v>
      </c>
      <c r="AA105" s="827">
        <v>0</v>
      </c>
      <c r="AB105" s="827">
        <v>0</v>
      </c>
      <c r="AC105" s="828">
        <v>0</v>
      </c>
      <c r="AD105" s="828">
        <v>0</v>
      </c>
      <c r="AE105" s="828">
        <v>0</v>
      </c>
      <c r="AF105" s="828">
        <v>0</v>
      </c>
      <c r="AG105" s="828">
        <v>0</v>
      </c>
      <c r="AH105" s="828">
        <v>0</v>
      </c>
      <c r="AI105" s="828">
        <v>0</v>
      </c>
      <c r="AJ105" s="828">
        <v>0</v>
      </c>
      <c r="AK105" s="828">
        <v>0</v>
      </c>
      <c r="AL105" s="828">
        <v>0</v>
      </c>
      <c r="AM105" s="828">
        <v>0</v>
      </c>
      <c r="AN105" s="828">
        <v>0</v>
      </c>
      <c r="AO105" s="828">
        <v>1</v>
      </c>
      <c r="AP105" s="828">
        <v>1</v>
      </c>
    </row>
    <row r="106" hidden="1" ht="13.5">
      <c r="B106" s="831" t="s">
        <v>26</v>
      </c>
      <c r="C106" s="823">
        <v>0</v>
      </c>
      <c r="D106" s="823">
        <v>0</v>
      </c>
      <c r="E106" s="823">
        <v>0</v>
      </c>
      <c r="F106" s="823">
        <v>0</v>
      </c>
      <c r="G106" s="823">
        <v>0</v>
      </c>
      <c r="H106" s="823">
        <v>0</v>
      </c>
      <c r="I106" s="823">
        <v>0</v>
      </c>
      <c r="J106" s="823">
        <v>0</v>
      </c>
      <c r="K106" s="823">
        <v>0</v>
      </c>
      <c r="L106" s="823">
        <v>0</v>
      </c>
      <c r="M106" s="823">
        <v>0</v>
      </c>
      <c r="N106" s="823">
        <v>0</v>
      </c>
      <c r="O106" s="823">
        <v>0</v>
      </c>
      <c r="P106" s="823">
        <v>0</v>
      </c>
      <c r="Q106" s="823">
        <v>0</v>
      </c>
      <c r="R106" s="823">
        <v>0</v>
      </c>
      <c r="S106" s="823">
        <v>0</v>
      </c>
      <c r="T106" s="823">
        <v>0</v>
      </c>
      <c r="U106" s="823">
        <v>1</v>
      </c>
      <c r="V106" s="823">
        <v>1</v>
      </c>
      <c r="W106" s="823">
        <v>1</v>
      </c>
      <c r="X106" s="823">
        <v>1</v>
      </c>
      <c r="Y106" s="823">
        <v>1</v>
      </c>
      <c r="Z106" s="823">
        <v>1</v>
      </c>
      <c r="AA106" s="823">
        <v>1</v>
      </c>
      <c r="AB106" s="832">
        <v>1</v>
      </c>
      <c r="AC106" s="825">
        <v>1</v>
      </c>
      <c r="AD106" s="825">
        <v>1</v>
      </c>
      <c r="AE106" s="825">
        <v>1</v>
      </c>
      <c r="AF106" s="825">
        <v>1</v>
      </c>
      <c r="AG106" s="825">
        <v>1</v>
      </c>
      <c r="AH106" s="825">
        <v>1</v>
      </c>
      <c r="AI106" s="825">
        <v>1</v>
      </c>
      <c r="AJ106" s="825">
        <v>1</v>
      </c>
      <c r="AK106" s="825">
        <v>1</v>
      </c>
      <c r="AL106" s="825">
        <v>1</v>
      </c>
      <c r="AM106" s="825">
        <v>1</v>
      </c>
      <c r="AN106" s="825">
        <v>1</v>
      </c>
      <c r="AO106" s="825">
        <v>1</v>
      </c>
      <c r="AP106" s="825">
        <v>1</v>
      </c>
    </row>
    <row r="107" hidden="1" ht="13.5" s="50" customFormat="1">
      <c r="A107" s="51"/>
      <c r="B107" s="128" t="s">
        <v>7</v>
      </c>
      <c r="C107" s="129" t="str">
        <f>IF(SUM(C88:C106)&lt;&gt;0,SUM(C88:C106),"")</f>
      </c>
      <c r="D107" s="129" t="str">
        <f ref="D107:AA107" t="shared" si="5">IF(SUM(D88:D106)&lt;&gt;0,SUM(D88:D106),"")</f>
      </c>
      <c r="E107" s="129" t="str">
        <f t="shared" si="5"/>
      </c>
      <c r="F107" s="129" t="str">
        <f t="shared" si="5"/>
      </c>
      <c r="G107" s="129" t="str">
        <f t="shared" si="5"/>
      </c>
      <c r="H107" s="129" t="str">
        <f t="shared" si="5"/>
      </c>
      <c r="I107" s="129" t="str">
        <f t="shared" si="5"/>
      </c>
      <c r="J107" s="129" t="str">
        <f t="shared" si="5"/>
      </c>
      <c r="K107" s="129" t="str">
        <f t="shared" si="5"/>
      </c>
      <c r="L107" s="129" t="str">
        <f t="shared" si="5"/>
      </c>
      <c r="M107" s="129" t="str">
        <f t="shared" si="5"/>
      </c>
      <c r="N107" s="129" t="str">
        <f t="shared" si="5"/>
      </c>
      <c r="O107" s="129" t="str">
        <f t="shared" si="5"/>
      </c>
      <c r="P107" s="129" t="str">
        <f t="shared" si="5"/>
      </c>
      <c r="Q107" s="129" t="str">
        <f t="shared" si="5"/>
      </c>
      <c r="R107" s="129" t="str">
        <f t="shared" si="5"/>
      </c>
      <c r="S107" s="129" t="str">
        <f t="shared" si="5"/>
      </c>
      <c r="T107" s="129" t="str">
        <f t="shared" si="5"/>
      </c>
      <c r="U107" s="129" t="str">
        <f t="shared" si="5"/>
      </c>
      <c r="V107" s="129" t="str">
        <f t="shared" si="5"/>
      </c>
      <c r="W107" s="129" t="str">
        <f t="shared" si="5"/>
      </c>
      <c r="X107" s="129" t="str">
        <f t="shared" si="5"/>
      </c>
      <c r="Y107" s="129" t="str">
        <f t="shared" si="5"/>
      </c>
      <c r="Z107" s="129" t="str">
        <f t="shared" si="5"/>
      </c>
      <c r="AA107" s="129" t="str">
        <f t="shared" si="5"/>
      </c>
      <c r="AB107" s="130" t="str">
        <f>IF(SUM(AB88:AB106)&lt;&gt;0,SUM(AB88:AB106),"")</f>
      </c>
      <c r="AC107" s="91" t="str">
        <f ref="AC107:CN107" t="shared" si="6">IF(SUM(AC88:AC106)&lt;&gt;0,SUM(AC88:AC106),"")</f>
      </c>
      <c r="AD107" s="91" t="str">
        <f t="shared" si="6"/>
      </c>
      <c r="AE107" s="91" t="str">
        <f t="shared" si="6"/>
      </c>
      <c r="AF107" s="91" t="str">
        <f t="shared" si="6"/>
      </c>
      <c r="AG107" s="91" t="str">
        <f t="shared" si="6"/>
      </c>
      <c r="AH107" s="91" t="str">
        <f t="shared" si="6"/>
      </c>
      <c r="AI107" s="91" t="str">
        <f t="shared" si="6"/>
      </c>
      <c r="AJ107" s="91" t="str">
        <f t="shared" si="6"/>
      </c>
      <c r="AK107" s="91" t="str">
        <f t="shared" si="6"/>
      </c>
      <c r="AL107" s="91" t="str">
        <f t="shared" si="6"/>
      </c>
      <c r="AM107" s="91" t="str">
        <f t="shared" si="6"/>
      </c>
      <c r="AN107" s="91" t="str">
        <f t="shared" si="6"/>
      </c>
      <c r="AO107" s="91" t="str">
        <f t="shared" si="6"/>
      </c>
      <c r="AP107" s="91" t="str">
        <f t="shared" si="6"/>
      </c>
      <c r="AQ107" s="91" t="str">
        <f t="shared" si="6"/>
      </c>
      <c r="AR107" s="91" t="str">
        <f t="shared" si="6"/>
      </c>
      <c r="AS107" s="91" t="str">
        <f t="shared" si="6"/>
      </c>
      <c r="AT107" s="91" t="str">
        <f t="shared" si="6"/>
      </c>
      <c r="AU107" s="91" t="str">
        <f t="shared" si="6"/>
      </c>
      <c r="AV107" s="91" t="str">
        <f t="shared" si="6"/>
      </c>
      <c r="AW107" s="91" t="str">
        <f t="shared" si="6"/>
      </c>
      <c r="AX107" s="91" t="str">
        <f t="shared" si="6"/>
      </c>
      <c r="AY107" s="91" t="str">
        <f t="shared" si="6"/>
      </c>
      <c r="AZ107" s="91" t="str">
        <f t="shared" si="6"/>
      </c>
      <c r="BA107" s="91" t="str">
        <f t="shared" si="6"/>
      </c>
      <c r="BB107" s="91" t="str">
        <f t="shared" si="6"/>
      </c>
      <c r="BC107" s="91" t="str">
        <f t="shared" si="6"/>
      </c>
      <c r="BD107" s="91" t="str">
        <f t="shared" si="6"/>
      </c>
      <c r="BE107" s="91" t="str">
        <f t="shared" si="6"/>
      </c>
      <c r="BF107" s="91" t="str">
        <f t="shared" si="6"/>
      </c>
      <c r="BG107" s="91" t="str">
        <f t="shared" si="6"/>
      </c>
      <c r="BH107" s="91" t="str">
        <f t="shared" si="6"/>
      </c>
      <c r="BI107" s="91" t="str">
        <f t="shared" si="6"/>
      </c>
      <c r="BJ107" s="91" t="str">
        <f t="shared" si="6"/>
      </c>
      <c r="BK107" s="91" t="str">
        <f t="shared" si="6"/>
      </c>
      <c r="BL107" s="91" t="str">
        <f t="shared" si="6"/>
      </c>
      <c r="BM107" s="91" t="str">
        <f t="shared" si="6"/>
      </c>
      <c r="BN107" s="91" t="str">
        <f t="shared" si="6"/>
      </c>
      <c r="BO107" s="91" t="str">
        <f t="shared" si="6"/>
      </c>
      <c r="BP107" s="91" t="str">
        <f t="shared" si="6"/>
      </c>
      <c r="BQ107" s="91" t="str">
        <f t="shared" si="6"/>
      </c>
      <c r="BR107" s="91" t="str">
        <f t="shared" si="6"/>
      </c>
      <c r="BS107" s="91" t="str">
        <f t="shared" si="6"/>
      </c>
      <c r="BT107" s="91" t="str">
        <f t="shared" si="6"/>
      </c>
      <c r="BU107" s="91" t="str">
        <f t="shared" si="6"/>
      </c>
      <c r="BV107" s="91" t="str">
        <f t="shared" si="6"/>
      </c>
      <c r="BW107" s="91" t="str">
        <f t="shared" si="6"/>
      </c>
      <c r="BX107" s="91" t="str">
        <f t="shared" si="6"/>
      </c>
      <c r="BY107" s="91" t="str">
        <f t="shared" si="6"/>
      </c>
      <c r="BZ107" s="91" t="str">
        <f t="shared" si="6"/>
      </c>
      <c r="CA107" s="91" t="str">
        <f t="shared" si="6"/>
      </c>
      <c r="CB107" s="91" t="str">
        <f t="shared" si="6"/>
      </c>
      <c r="CC107" s="91" t="str">
        <f t="shared" si="6"/>
      </c>
      <c r="CD107" s="91" t="str">
        <f t="shared" si="6"/>
      </c>
      <c r="CE107" s="91" t="str">
        <f t="shared" si="6"/>
      </c>
      <c r="CF107" s="91" t="str">
        <f t="shared" si="6"/>
      </c>
      <c r="CG107" s="91" t="str">
        <f t="shared" si="6"/>
      </c>
      <c r="CH107" s="91" t="str">
        <f t="shared" si="6"/>
      </c>
      <c r="CI107" s="91" t="str">
        <f t="shared" si="6"/>
      </c>
      <c r="CJ107" s="91" t="str">
        <f t="shared" si="6"/>
      </c>
      <c r="CK107" s="91" t="str">
        <f t="shared" si="6"/>
      </c>
      <c r="CL107" s="91" t="str">
        <f t="shared" si="6"/>
      </c>
      <c r="CM107" s="91" t="str">
        <f t="shared" si="6"/>
      </c>
      <c r="CN107" s="91" t="str">
        <f t="shared" si="6"/>
      </c>
      <c r="CO107" s="91" t="str">
        <f ref="CO107:EZ107" t="shared" si="7">IF(SUM(CO88:CO106)&lt;&gt;0,SUM(CO88:CO106),"")</f>
      </c>
      <c r="CP107" s="91" t="str">
        <f t="shared" si="7"/>
      </c>
      <c r="CQ107" s="91" t="str">
        <f t="shared" si="7"/>
      </c>
      <c r="CR107" s="91" t="str">
        <f t="shared" si="7"/>
      </c>
      <c r="CS107" s="91" t="str">
        <f t="shared" si="7"/>
      </c>
      <c r="CT107" s="91" t="str">
        <f t="shared" si="7"/>
      </c>
      <c r="CU107" s="91" t="str">
        <f t="shared" si="7"/>
      </c>
      <c r="CV107" s="91" t="str">
        <f t="shared" si="7"/>
      </c>
      <c r="CW107" s="91" t="str">
        <f t="shared" si="7"/>
      </c>
      <c r="CX107" s="91" t="str">
        <f t="shared" si="7"/>
      </c>
      <c r="CY107" s="91" t="str">
        <f t="shared" si="7"/>
      </c>
      <c r="CZ107" s="91" t="str">
        <f t="shared" si="7"/>
      </c>
      <c r="DA107" s="91" t="str">
        <f t="shared" si="7"/>
      </c>
      <c r="DB107" s="91" t="str">
        <f t="shared" si="7"/>
      </c>
      <c r="DC107" s="91" t="str">
        <f t="shared" si="7"/>
      </c>
      <c r="DD107" s="91" t="str">
        <f t="shared" si="7"/>
      </c>
      <c r="DE107" s="91" t="str">
        <f t="shared" si="7"/>
      </c>
      <c r="DF107" s="91" t="str">
        <f t="shared" si="7"/>
      </c>
      <c r="DG107" s="91" t="str">
        <f t="shared" si="7"/>
      </c>
      <c r="DH107" s="91" t="str">
        <f t="shared" si="7"/>
      </c>
      <c r="DI107" s="91" t="str">
        <f t="shared" si="7"/>
      </c>
      <c r="DJ107" s="91" t="str">
        <f t="shared" si="7"/>
      </c>
      <c r="DK107" s="91" t="str">
        <f t="shared" si="7"/>
      </c>
      <c r="DL107" s="91" t="str">
        <f t="shared" si="7"/>
      </c>
      <c r="DM107" s="91" t="str">
        <f t="shared" si="7"/>
      </c>
      <c r="DN107" s="91" t="str">
        <f t="shared" si="7"/>
      </c>
      <c r="DO107" s="91" t="str">
        <f t="shared" si="7"/>
      </c>
      <c r="DP107" s="91" t="str">
        <f t="shared" si="7"/>
      </c>
      <c r="DQ107" s="91" t="str">
        <f t="shared" si="7"/>
      </c>
      <c r="DR107" s="91" t="str">
        <f t="shared" si="7"/>
      </c>
      <c r="DS107" s="91" t="str">
        <f t="shared" si="7"/>
      </c>
      <c r="DT107" s="91" t="str">
        <f t="shared" si="7"/>
      </c>
      <c r="DU107" s="91" t="str">
        <f t="shared" si="7"/>
      </c>
      <c r="DV107" s="91" t="str">
        <f t="shared" si="7"/>
      </c>
      <c r="DW107" s="91" t="str">
        <f t="shared" si="7"/>
      </c>
      <c r="DX107" s="91" t="str">
        <f t="shared" si="7"/>
      </c>
      <c r="DY107" s="91" t="str">
        <f t="shared" si="7"/>
      </c>
      <c r="DZ107" s="91" t="str">
        <f t="shared" si="7"/>
      </c>
      <c r="EA107" s="91" t="str">
        <f t="shared" si="7"/>
      </c>
      <c r="EB107" s="91" t="str">
        <f t="shared" si="7"/>
      </c>
      <c r="EC107" s="91" t="str">
        <f t="shared" si="7"/>
      </c>
      <c r="ED107" s="91" t="str">
        <f t="shared" si="7"/>
      </c>
      <c r="EE107" s="91" t="str">
        <f t="shared" si="7"/>
      </c>
      <c r="EF107" s="91" t="str">
        <f t="shared" si="7"/>
      </c>
      <c r="EG107" s="91" t="str">
        <f t="shared" si="7"/>
      </c>
      <c r="EH107" s="91" t="str">
        <f t="shared" si="7"/>
      </c>
      <c r="EI107" s="91" t="str">
        <f t="shared" si="7"/>
      </c>
      <c r="EJ107" s="91" t="str">
        <f t="shared" si="7"/>
      </c>
      <c r="EK107" s="91" t="str">
        <f t="shared" si="7"/>
      </c>
      <c r="EL107" s="91" t="str">
        <f t="shared" si="7"/>
      </c>
      <c r="EM107" s="91" t="str">
        <f t="shared" si="7"/>
      </c>
      <c r="EN107" s="91" t="str">
        <f t="shared" si="7"/>
      </c>
      <c r="EO107" s="91" t="str">
        <f t="shared" si="7"/>
      </c>
      <c r="EP107" s="91" t="str">
        <f t="shared" si="7"/>
      </c>
      <c r="EQ107" s="91" t="str">
        <f t="shared" si="7"/>
      </c>
      <c r="ER107" s="91" t="str">
        <f t="shared" si="7"/>
      </c>
      <c r="ES107" s="91" t="str">
        <f t="shared" si="7"/>
      </c>
      <c r="ET107" s="91" t="str">
        <f t="shared" si="7"/>
      </c>
      <c r="EU107" s="91" t="str">
        <f t="shared" si="7"/>
      </c>
      <c r="EV107" s="91" t="str">
        <f t="shared" si="7"/>
      </c>
      <c r="EW107" s="91" t="str">
        <f t="shared" si="7"/>
      </c>
      <c r="EX107" s="91" t="str">
        <f t="shared" si="7"/>
      </c>
      <c r="EY107" s="91" t="str">
        <f t="shared" si="7"/>
      </c>
      <c r="EZ107" s="91" t="str">
        <f t="shared" si="7"/>
      </c>
      <c r="FA107" s="91" t="str">
        <f ref="FA107:HL107" t="shared" si="8">IF(SUM(FA88:FA106)&lt;&gt;0,SUM(FA88:FA106),"")</f>
      </c>
      <c r="FB107" s="91" t="str">
        <f t="shared" si="8"/>
      </c>
      <c r="FC107" s="91" t="str">
        <f t="shared" si="8"/>
      </c>
      <c r="FD107" s="91" t="str">
        <f t="shared" si="8"/>
      </c>
      <c r="FE107" s="91" t="str">
        <f t="shared" si="8"/>
      </c>
      <c r="FF107" s="91" t="str">
        <f t="shared" si="8"/>
      </c>
      <c r="FG107" s="91" t="str">
        <f t="shared" si="8"/>
      </c>
      <c r="FH107" s="91" t="str">
        <f t="shared" si="8"/>
      </c>
      <c r="FI107" s="91" t="str">
        <f t="shared" si="8"/>
      </c>
      <c r="FJ107" s="91" t="str">
        <f t="shared" si="8"/>
      </c>
      <c r="FK107" s="91" t="str">
        <f t="shared" si="8"/>
      </c>
      <c r="FL107" s="91" t="str">
        <f t="shared" si="8"/>
      </c>
      <c r="FM107" s="91" t="str">
        <f t="shared" si="8"/>
      </c>
      <c r="FN107" s="91" t="str">
        <f t="shared" si="8"/>
      </c>
      <c r="FO107" s="91" t="str">
        <f t="shared" si="8"/>
      </c>
      <c r="FP107" s="91" t="str">
        <f t="shared" si="8"/>
      </c>
      <c r="FQ107" s="91" t="str">
        <f t="shared" si="8"/>
      </c>
      <c r="FR107" s="91" t="str">
        <f t="shared" si="8"/>
      </c>
      <c r="FS107" s="91" t="str">
        <f t="shared" si="8"/>
      </c>
      <c r="FT107" s="91" t="str">
        <f t="shared" si="8"/>
      </c>
      <c r="FU107" s="91" t="str">
        <f t="shared" si="8"/>
      </c>
      <c r="FV107" s="91" t="str">
        <f t="shared" si="8"/>
      </c>
      <c r="FW107" s="91" t="str">
        <f t="shared" si="8"/>
      </c>
      <c r="FX107" s="91" t="str">
        <f t="shared" si="8"/>
      </c>
      <c r="FY107" s="91" t="str">
        <f t="shared" si="8"/>
      </c>
      <c r="FZ107" s="91" t="str">
        <f t="shared" si="8"/>
      </c>
      <c r="GA107" s="91" t="str">
        <f t="shared" si="8"/>
      </c>
      <c r="GB107" s="91" t="str">
        <f t="shared" si="8"/>
      </c>
      <c r="GC107" s="91" t="str">
        <f t="shared" si="8"/>
      </c>
      <c r="GD107" s="91" t="str">
        <f t="shared" si="8"/>
      </c>
      <c r="GE107" s="91" t="str">
        <f t="shared" si="8"/>
      </c>
      <c r="GF107" s="91" t="str">
        <f t="shared" si="8"/>
      </c>
      <c r="GG107" s="91" t="str">
        <f t="shared" si="8"/>
      </c>
      <c r="GH107" s="91" t="str">
        <f t="shared" si="8"/>
      </c>
      <c r="GI107" s="91" t="str">
        <f t="shared" si="8"/>
      </c>
      <c r="GJ107" s="91" t="str">
        <f t="shared" si="8"/>
      </c>
      <c r="GK107" s="91" t="str">
        <f t="shared" si="8"/>
      </c>
      <c r="GL107" s="91" t="str">
        <f t="shared" si="8"/>
      </c>
      <c r="GM107" s="91" t="str">
        <f t="shared" si="8"/>
      </c>
      <c r="GN107" s="91" t="str">
        <f t="shared" si="8"/>
      </c>
      <c r="GO107" s="91" t="str">
        <f t="shared" si="8"/>
      </c>
      <c r="GP107" s="91" t="str">
        <f t="shared" si="8"/>
      </c>
      <c r="GQ107" s="91" t="str">
        <f t="shared" si="8"/>
      </c>
      <c r="GR107" s="91" t="str">
        <f t="shared" si="8"/>
      </c>
      <c r="GS107" s="91" t="str">
        <f t="shared" si="8"/>
      </c>
      <c r="GT107" s="91" t="str">
        <f t="shared" si="8"/>
      </c>
      <c r="GU107" s="91" t="str">
        <f t="shared" si="8"/>
      </c>
      <c r="GV107" s="91" t="str">
        <f t="shared" si="8"/>
      </c>
      <c r="GW107" s="91" t="str">
        <f t="shared" si="8"/>
      </c>
      <c r="GX107" s="91" t="str">
        <f t="shared" si="8"/>
      </c>
      <c r="GY107" s="91" t="str">
        <f t="shared" si="8"/>
      </c>
      <c r="GZ107" s="91" t="str">
        <f t="shared" si="8"/>
      </c>
      <c r="HA107" s="91" t="str">
        <f t="shared" si="8"/>
      </c>
      <c r="HB107" s="91" t="str">
        <f t="shared" si="8"/>
      </c>
      <c r="HC107" s="91" t="str">
        <f t="shared" si="8"/>
      </c>
      <c r="HD107" s="91" t="str">
        <f t="shared" si="8"/>
      </c>
      <c r="HE107" s="91" t="str">
        <f t="shared" si="8"/>
      </c>
      <c r="HF107" s="91" t="str">
        <f t="shared" si="8"/>
      </c>
      <c r="HG107" s="91" t="str">
        <f t="shared" si="8"/>
      </c>
      <c r="HH107" s="91" t="str">
        <f t="shared" si="8"/>
      </c>
      <c r="HI107" s="91" t="str">
        <f t="shared" si="8"/>
      </c>
      <c r="HJ107" s="91" t="str">
        <f t="shared" si="8"/>
      </c>
      <c r="HK107" s="91" t="str">
        <f t="shared" si="8"/>
      </c>
      <c r="HL107" s="91" t="str">
        <f t="shared" si="8"/>
      </c>
      <c r="HM107" s="91" t="str">
        <f ref="HM107:IV107" t="shared" si="9">IF(SUM(HM88:HM106)&lt;&gt;0,SUM(HM88:HM106),"")</f>
      </c>
      <c r="HN107" s="91" t="str">
        <f t="shared" si="9"/>
      </c>
      <c r="HO107" s="91" t="str">
        <f t="shared" si="9"/>
      </c>
      <c r="HP107" s="91" t="str">
        <f t="shared" si="9"/>
      </c>
      <c r="HQ107" s="91" t="str">
        <f t="shared" si="9"/>
      </c>
      <c r="HR107" s="91" t="str">
        <f t="shared" si="9"/>
      </c>
      <c r="HS107" s="91" t="str">
        <f t="shared" si="9"/>
      </c>
      <c r="HT107" s="91" t="str">
        <f t="shared" si="9"/>
      </c>
      <c r="HU107" s="91" t="str">
        <f t="shared" si="9"/>
      </c>
      <c r="HV107" s="91" t="str">
        <f t="shared" si="9"/>
      </c>
      <c r="HW107" s="91" t="str">
        <f t="shared" si="9"/>
      </c>
      <c r="HX107" s="91" t="str">
        <f t="shared" si="9"/>
      </c>
      <c r="HY107" s="91" t="str">
        <f t="shared" si="9"/>
      </c>
      <c r="HZ107" s="91" t="str">
        <f t="shared" si="9"/>
      </c>
      <c r="IA107" s="91" t="str">
        <f t="shared" si="9"/>
      </c>
      <c r="IB107" s="91" t="str">
        <f t="shared" si="9"/>
      </c>
      <c r="IC107" s="91" t="str">
        <f t="shared" si="9"/>
      </c>
      <c r="ID107" s="91" t="str">
        <f t="shared" si="9"/>
      </c>
      <c r="IE107" s="91" t="str">
        <f t="shared" si="9"/>
      </c>
      <c r="IF107" s="91" t="str">
        <f t="shared" si="9"/>
      </c>
      <c r="IG107" s="91" t="str">
        <f t="shared" si="9"/>
      </c>
      <c r="IH107" s="91" t="str">
        <f t="shared" si="9"/>
      </c>
      <c r="II107" s="91" t="str">
        <f t="shared" si="9"/>
      </c>
      <c r="IJ107" s="91" t="str">
        <f t="shared" si="9"/>
      </c>
      <c r="IK107" s="91" t="str">
        <f t="shared" si="9"/>
      </c>
      <c r="IL107" s="91" t="str">
        <f t="shared" si="9"/>
      </c>
      <c r="IM107" s="91" t="str">
        <f t="shared" si="9"/>
      </c>
      <c r="IN107" s="91" t="str">
        <f t="shared" si="9"/>
      </c>
      <c r="IO107" s="91" t="str">
        <f t="shared" si="9"/>
      </c>
      <c r="IP107" s="91" t="str">
        <f t="shared" si="9"/>
      </c>
      <c r="IQ107" s="91" t="str">
        <f t="shared" si="9"/>
      </c>
      <c r="IR107" s="91" t="str">
        <f t="shared" si="9"/>
      </c>
      <c r="IS107" s="91" t="str">
        <f t="shared" si="9"/>
      </c>
      <c r="IT107" s="91" t="str">
        <f t="shared" si="9"/>
      </c>
      <c r="IU107" s="91" t="str">
        <f t="shared" si="9"/>
      </c>
      <c r="IV107" s="91" t="str">
        <f t="shared" si="9"/>
      </c>
    </row>
    <row r="108" hidden="1" ht="13.5"/>
    <row r="109" hidden="1" ht="13.5">
      <c r="C109" s="594" t="s">
        <v>271</v>
      </c>
      <c r="D109" s="595"/>
      <c r="E109" s="595"/>
      <c r="F109" s="595"/>
      <c r="G109" s="595"/>
      <c r="H109" s="595"/>
      <c r="I109" s="595"/>
      <c r="J109" s="595"/>
      <c r="K109" s="595"/>
      <c r="L109" s="595"/>
      <c r="M109" s="595"/>
      <c r="N109" s="595"/>
      <c r="O109" s="595"/>
      <c r="P109" s="595"/>
      <c r="Q109" s="595"/>
      <c r="R109" s="595"/>
      <c r="S109" s="595"/>
      <c r="T109" s="595"/>
      <c r="U109" s="595"/>
      <c r="V109" s="595"/>
      <c r="W109" s="595"/>
      <c r="X109" s="595"/>
      <c r="Y109" s="595"/>
      <c r="Z109" s="595"/>
      <c r="AA109" s="595"/>
      <c r="AB109" s="596"/>
    </row>
    <row r="110" hidden="1" ht="13.5" s="50" customFormat="1">
      <c r="A110" s="51"/>
      <c r="B110" s="51"/>
      <c r="C110" s="435" t="str">
        <f> IF(C130&lt;&gt;"",TEXT(AUX!G$1,"dd-MMM-aa"),"")</f>
      </c>
      <c r="D110" s="435" t="str">
        <f> IF(D130&lt;&gt;"",TEXT(AUX!H$1,"dd-MMM-aa"),"")</f>
      </c>
      <c r="E110" s="435" t="str">
        <f> IF(E130&lt;&gt;"",TEXT(AUX!I$1,"dd-MMM-aa"),"")</f>
      </c>
      <c r="F110" s="435" t="str">
        <f> IF(F130&lt;&gt;"",TEXT(AUX!J$1,"dd-MMM-aa"),"")</f>
      </c>
      <c r="G110" s="435" t="str">
        <f> IF(G130&lt;&gt;"",TEXT(AUX!K$1,"dd-MMM-aa"),"")</f>
      </c>
      <c r="H110" s="435" t="str">
        <f> IF(H130&lt;&gt;"",TEXT(AUX!L$1,"dd-MMM-aa"),"")</f>
      </c>
      <c r="I110" s="435" t="str">
        <f> IF(I130&lt;&gt;"",TEXT(AUX!M$1,"dd-MMM-aa"),"")</f>
      </c>
      <c r="J110" s="435" t="str">
        <f> IF(J130&lt;&gt;"",TEXT(AUX!N$1,"dd-MMM-aa"),"")</f>
      </c>
      <c r="K110" s="435" t="str">
        <f> IF(K130&lt;&gt;"",TEXT(AUX!O$1,"dd-MMM-aa"),"")</f>
      </c>
      <c r="L110" s="435" t="str">
        <f> IF(L130&lt;&gt;"",TEXT(AUX!P$1,"dd-MMM-aa"),"")</f>
      </c>
      <c r="M110" s="435" t="str">
        <f> IF(M130&lt;&gt;"",TEXT(AUX!Q$1,"dd-MMM-aa"),"")</f>
      </c>
      <c r="N110" s="435" t="str">
        <f> IF(N130&lt;&gt;"",TEXT(AUX!R$1,"dd-MMM-aa"),"")</f>
      </c>
      <c r="O110" s="435" t="str">
        <f> IF(O130&lt;&gt;"",TEXT(AUX!S$1,"dd-MMM-aa"),"")</f>
      </c>
      <c r="P110" s="435" t="str">
        <f> IF(P130&lt;&gt;"",TEXT(AUX!T$1,"dd-MMM-aa"),"")</f>
      </c>
      <c r="Q110" s="435" t="str">
        <f> IF(Q130&lt;&gt;"",TEXT(AUX!U$1,"dd-MMM-aa"),"")</f>
      </c>
      <c r="R110" s="435" t="str">
        <f> IF(R130&lt;&gt;"",TEXT(AUX!V$1,"dd-MMM-aa"),"")</f>
      </c>
      <c r="S110" s="435" t="str">
        <f> IF(S130&lt;&gt;"",TEXT(AUX!W$1,"dd-MMM-aa"),"")</f>
      </c>
      <c r="T110" s="435" t="str">
        <f> IF(T130&lt;&gt;"",TEXT(AUX!X$1,"dd-MMM-aa"),"")</f>
      </c>
      <c r="U110" s="435" t="str">
        <f> IF(U130&lt;&gt;"",TEXT(AUX!Y$1,"dd-MMM-aa"),"")</f>
      </c>
      <c r="V110" s="435" t="str">
        <f> IF(V130&lt;&gt;"",TEXT(AUX!Z$1,"dd-MMM-aa"),"")</f>
      </c>
      <c r="W110" s="435" t="str">
        <f> IF(W130&lt;&gt;"",TEXT(AUX!AA$1,"dd-MMM-aa"),"")</f>
      </c>
      <c r="X110" s="435" t="str">
        <f> IF(X130&lt;&gt;"",TEXT(AUX!AB$1,"dd-MMM-aa"),"")</f>
      </c>
      <c r="Y110" s="435" t="str">
        <f> IF(Y130&lt;&gt;"",TEXT(AUX!AC$1,"dd-MMM-aa"),"")</f>
      </c>
      <c r="Z110" s="435" t="str">
        <f> IF(Z130&lt;&gt;"",TEXT(AUX!AD$1,"dd-MMM-aa"),"")</f>
      </c>
      <c r="AA110" s="435" t="str">
        <f> IF(AA130&lt;&gt;"",TEXT(AUX!AE$1,"dd-MMM-aa"),"")</f>
      </c>
      <c r="AB110" s="497" t="str">
        <f> IF(AB130&lt;&gt;"",TEXT(AUX!AF$1,"dd-MMM-aa"),"")</f>
      </c>
      <c r="AC110" s="496" t="str">
        <f> IF(AC130&lt;&gt;"",TEXT(AUX!AG$1,"dd-MMM-aa"),"")</f>
      </c>
      <c r="AD110" s="496" t="str">
        <f> IF(AD130&lt;&gt;"",TEXT(AUX!AH$1,"dd-MMM-aa"),"")</f>
      </c>
      <c r="AE110" s="496" t="str">
        <f> IF(AE130&lt;&gt;"",TEXT(AUX!AI$1,"dd-MMM-aa"),"")</f>
      </c>
      <c r="AF110" s="496" t="str">
        <f> IF(AF130&lt;&gt;"",TEXT(AUX!AJ$1,"dd-MMM-aa"),"")</f>
      </c>
      <c r="AG110" s="496" t="str">
        <f> IF(AG130&lt;&gt;"",TEXT(AUX!AK$1,"dd-MMM-aa"),"")</f>
      </c>
      <c r="AH110" s="496" t="str">
        <f> IF(AH130&lt;&gt;"",TEXT(AUX!AL$1,"dd-MMM-aa"),"")</f>
      </c>
      <c r="AI110" s="496" t="str">
        <f> IF(AI130&lt;&gt;"",TEXT(AUX!AM$1,"dd-MMM-aa"),"")</f>
      </c>
      <c r="AJ110" s="496" t="str">
        <f> IF(AJ130&lt;&gt;"",TEXT(AUX!AN$1,"dd-MMM-aa"),"")</f>
      </c>
      <c r="AK110" s="496" t="str">
        <f> IF(AK130&lt;&gt;"",TEXT(AUX!AO$1,"dd-MMM-aa"),"")</f>
      </c>
      <c r="AL110" s="496" t="str">
        <f> IF(AL130&lt;&gt;"",TEXT(AUX!AP$1,"dd-MMM-aa"),"")</f>
      </c>
      <c r="AM110" s="496" t="str">
        <f> IF(AM130&lt;&gt;"",TEXT(AUX!AQ$1,"dd-MMM-aa"),"")</f>
      </c>
      <c r="AN110" s="496" t="str">
        <f> IF(AN130&lt;&gt;"",TEXT(AUX!AR$1,"dd-MMM-aa"),"")</f>
      </c>
      <c r="AO110" s="496" t="str">
        <f> IF(AO130&lt;&gt;"",TEXT(AUX!AS$1,"dd-MMM-aa"),"")</f>
      </c>
      <c r="AP110" s="496" t="str">
        <f> IF(AP130&lt;&gt;"",TEXT(AUX!AT$1,"dd-MMM-aa"),"")</f>
      </c>
      <c r="AQ110" s="496" t="str">
        <f> IF(AQ130&lt;&gt;"",TEXT(AUX!AU$1,"dd-MMM-aa"),"")</f>
      </c>
      <c r="AR110" s="496" t="str">
        <f> IF(AR130&lt;&gt;"",TEXT(AUX!AV$1,"dd-MMM-aa"),"")</f>
      </c>
      <c r="AS110" s="496" t="str">
        <f> IF(AS130&lt;&gt;"",TEXT(AUX!AW$1,"dd-MMM-aa"),"")</f>
      </c>
      <c r="AT110" s="496" t="str">
        <f> IF(AT130&lt;&gt;"",TEXT(AUX!AX$1,"dd-MMM-aa"),"")</f>
      </c>
      <c r="AU110" s="496" t="str">
        <f> IF(AU130&lt;&gt;"",TEXT(AUX!AY$1,"dd-MMM-aa"),"")</f>
      </c>
      <c r="AV110" s="496" t="str">
        <f> IF(AV130&lt;&gt;"",TEXT(AUX!AZ$1,"dd-MMM-aa"),"")</f>
      </c>
      <c r="AW110" s="496" t="str">
        <f> IF(AW130&lt;&gt;"",TEXT(AUX!BA$1,"dd-MMM-aa"),"")</f>
      </c>
      <c r="AX110" s="496" t="str">
        <f> IF(AX130&lt;&gt;"",TEXT(AUX!BB$1,"dd-MMM-aa"),"")</f>
      </c>
      <c r="AY110" s="496" t="str">
        <f> IF(AY130&lt;&gt;"",TEXT(AUX!BC$1,"dd-MMM-aa"),"")</f>
      </c>
      <c r="AZ110" s="496" t="str">
        <f> IF(AZ130&lt;&gt;"",TEXT(AUX!BD$1,"dd-MMM-aa"),"")</f>
      </c>
      <c r="BA110" s="496" t="str">
        <f> IF(BA130&lt;&gt;"",TEXT(AUX!BE$1,"dd-MMM-aa"),"")</f>
      </c>
      <c r="BB110" s="496" t="str">
        <f> IF(BB130&lt;&gt;"",TEXT(AUX!BF$1,"dd-MMM-aa"),"")</f>
      </c>
      <c r="BC110" s="496" t="str">
        <f> IF(BC130&lt;&gt;"",TEXT(AUX!BG$1,"dd-MMM-aa"),"")</f>
      </c>
      <c r="BD110" s="496" t="str">
        <f> IF(BD130&lt;&gt;"",TEXT(AUX!BH$1,"dd-MMM-aa"),"")</f>
      </c>
      <c r="BE110" s="496" t="str">
        <f> IF(BE130&lt;&gt;"",TEXT(AUX!BI$1,"dd-MMM-aa"),"")</f>
      </c>
      <c r="BF110" s="496" t="str">
        <f> IF(BF130&lt;&gt;"",TEXT(AUX!BJ$1,"dd-MMM-aa"),"")</f>
      </c>
      <c r="BG110" s="496" t="str">
        <f> IF(BG130&lt;&gt;"",TEXT(AUX!BK$1,"dd-MMM-aa"),"")</f>
      </c>
      <c r="BH110" s="496" t="str">
        <f> IF(BH130&lt;&gt;"",TEXT(AUX!BL$1,"dd-MMM-aa"),"")</f>
      </c>
      <c r="BI110" s="496" t="str">
        <f> IF(BI130&lt;&gt;"",TEXT(AUX!BM$1,"dd-MMM-aa"),"")</f>
      </c>
      <c r="BJ110" s="496" t="str">
        <f> IF(BJ130&lt;&gt;"",TEXT(AUX!BN$1,"dd-MMM-aa"),"")</f>
      </c>
      <c r="BK110" s="496" t="str">
        <f> IF(BK130&lt;&gt;"",TEXT(AUX!BO$1,"dd-MMM-aa"),"")</f>
      </c>
      <c r="BL110" s="496" t="str">
        <f> IF(BL130&lt;&gt;"",TEXT(AUX!BP$1,"dd-MMM-aa"),"")</f>
      </c>
      <c r="BM110" s="496" t="str">
        <f> IF(BM130&lt;&gt;"",TEXT(AUX!BQ$1,"dd-MMM-aa"),"")</f>
      </c>
      <c r="BN110" s="496" t="str">
        <f> IF(BN130&lt;&gt;"",TEXT(AUX!BR$1,"dd-MMM-aa"),"")</f>
      </c>
      <c r="BO110" s="496" t="str">
        <f> IF(BO130&lt;&gt;"",TEXT(AUX!BS$1,"dd-MMM-aa"),"")</f>
      </c>
      <c r="BP110" s="496" t="str">
        <f> IF(BP130&lt;&gt;"",TEXT(AUX!BT$1,"dd-MMM-aa"),"")</f>
      </c>
      <c r="BQ110" s="496" t="str">
        <f> IF(BQ130&lt;&gt;"",TEXT(AUX!BU$1,"dd-MMM-aa"),"")</f>
      </c>
      <c r="BR110" s="496" t="str">
        <f> IF(BR130&lt;&gt;"",TEXT(AUX!BV$1,"dd-MMM-aa"),"")</f>
      </c>
      <c r="BS110" s="496" t="str">
        <f> IF(BS130&lt;&gt;"",TEXT(AUX!BW$1,"dd-MMM-aa"),"")</f>
      </c>
      <c r="BT110" s="496" t="str">
        <f> IF(BT130&lt;&gt;"",TEXT(AUX!BX$1,"dd-MMM-aa"),"")</f>
      </c>
      <c r="BU110" s="496" t="str">
        <f> IF(BU130&lt;&gt;"",TEXT(AUX!BY$1,"dd-MMM-aa"),"")</f>
      </c>
      <c r="BV110" s="496" t="str">
        <f> IF(BV130&lt;&gt;"",TEXT(AUX!BZ$1,"dd-MMM-aa"),"")</f>
      </c>
      <c r="BW110" s="496" t="str">
        <f> IF(BW130&lt;&gt;"",TEXT(AUX!CA$1,"dd-MMM-aa"),"")</f>
      </c>
      <c r="BX110" s="496" t="str">
        <f> IF(BX130&lt;&gt;"",TEXT(AUX!CB$1,"dd-MMM-aa"),"")</f>
      </c>
      <c r="BY110" s="496" t="str">
        <f> IF(BY130&lt;&gt;"",TEXT(AUX!CC$1,"dd-MMM-aa"),"")</f>
      </c>
      <c r="BZ110" s="496" t="str">
        <f> IF(BZ130&lt;&gt;"",TEXT(AUX!CD$1,"dd-MMM-aa"),"")</f>
      </c>
      <c r="CA110" s="496" t="str">
        <f> IF(CA130&lt;&gt;"",TEXT(AUX!CE$1,"dd-MMM-aa"),"")</f>
      </c>
      <c r="CB110" s="496" t="str">
        <f> IF(CB130&lt;&gt;"",TEXT(AUX!CF$1,"dd-MMM-aa"),"")</f>
      </c>
      <c r="CC110" s="496" t="str">
        <f> IF(CC130&lt;&gt;"",TEXT(AUX!CG$1,"dd-MMM-aa"),"")</f>
      </c>
      <c r="CD110" s="496" t="str">
        <f> IF(CD130&lt;&gt;"",TEXT(AUX!CH$1,"dd-MMM-aa"),"")</f>
      </c>
      <c r="CE110" s="496" t="str">
        <f> IF(CE130&lt;&gt;"",TEXT(AUX!CI$1,"dd-MMM-aa"),"")</f>
      </c>
      <c r="CF110" s="496" t="str">
        <f> IF(CF130&lt;&gt;"",TEXT(AUX!CJ$1,"dd-MMM-aa"),"")</f>
      </c>
      <c r="CG110" s="496" t="str">
        <f> IF(CG130&lt;&gt;"",TEXT(AUX!CK$1,"dd-MMM-aa"),"")</f>
      </c>
      <c r="CH110" s="496" t="str">
        <f> IF(CH130&lt;&gt;"",TEXT(AUX!CL$1,"dd-MMM-aa"),"")</f>
      </c>
      <c r="CI110" s="496" t="str">
        <f> IF(CI130&lt;&gt;"",TEXT(AUX!CM$1,"dd-MMM-aa"),"")</f>
      </c>
      <c r="CJ110" s="496" t="str">
        <f> IF(CJ130&lt;&gt;"",TEXT(AUX!CN$1,"dd-MMM-aa"),"")</f>
      </c>
      <c r="CK110" s="496" t="str">
        <f> IF(CK130&lt;&gt;"",TEXT(AUX!CO$1,"dd-MMM-aa"),"")</f>
      </c>
      <c r="CL110" s="496" t="str">
        <f> IF(CL130&lt;&gt;"",TEXT(AUX!CP$1,"dd-MMM-aa"),"")</f>
      </c>
      <c r="CM110" s="496" t="str">
        <f> IF(CM130&lt;&gt;"",TEXT(AUX!CQ$1,"dd-MMM-aa"),"")</f>
      </c>
      <c r="CN110" s="496" t="str">
        <f> IF(CN130&lt;&gt;"",TEXT(AUX!CR$1,"dd-MMM-aa"),"")</f>
      </c>
      <c r="CO110" s="496" t="str">
        <f> IF(CO130&lt;&gt;"",TEXT(AUX!CS$1,"dd-MMM-aa"),"")</f>
      </c>
      <c r="CP110" s="496" t="str">
        <f> IF(CP130&lt;&gt;"",TEXT(AUX!CT$1,"dd-MMM-aa"),"")</f>
      </c>
      <c r="CQ110" s="496" t="str">
        <f> IF(CQ130&lt;&gt;"",TEXT(AUX!CU$1,"dd-MMM-aa"),"")</f>
      </c>
      <c r="CR110" s="496" t="str">
        <f> IF(CR130&lt;&gt;"",TEXT(AUX!CV$1,"dd-MMM-aa"),"")</f>
      </c>
      <c r="CS110" s="496" t="str">
        <f> IF(CS130&lt;&gt;"",TEXT(AUX!CW$1,"dd-MMM-aa"),"")</f>
      </c>
      <c r="CT110" s="496" t="str">
        <f> IF(CT130&lt;&gt;"",TEXT(AUX!CX$1,"dd-MMM-aa"),"")</f>
      </c>
      <c r="CU110" s="496" t="str">
        <f> IF(CU130&lt;&gt;"",TEXT(AUX!CY$1,"dd-MMM-aa"),"")</f>
      </c>
      <c r="CV110" s="496" t="str">
        <f> IF(CV130&lt;&gt;"",TEXT(AUX!CZ$1,"dd-MMM-aa"),"")</f>
      </c>
      <c r="CW110" s="496" t="str">
        <f> IF(CW130&lt;&gt;"",TEXT(AUX!DA$1,"dd-MMM-aa"),"")</f>
      </c>
      <c r="CX110" s="496" t="str">
        <f> IF(CX130&lt;&gt;"",TEXT(AUX!DB$1,"dd-MMM-aa"),"")</f>
      </c>
      <c r="CY110" s="496" t="str">
        <f> IF(CY130&lt;&gt;"",TEXT(AUX!DC$1,"dd-MMM-aa"),"")</f>
      </c>
      <c r="CZ110" s="496" t="str">
        <f> IF(CZ130&lt;&gt;"",TEXT(AUX!DD$1,"dd-MMM-aa"),"")</f>
      </c>
      <c r="DA110" s="496" t="str">
        <f> IF(DA130&lt;&gt;"",TEXT(AUX!DE$1,"dd-MMM-aa"),"")</f>
      </c>
      <c r="DB110" s="496" t="str">
        <f> IF(DB130&lt;&gt;"",TEXT(AUX!DF$1,"dd-MMM-aa"),"")</f>
      </c>
      <c r="DC110" s="496" t="str">
        <f> IF(DC130&lt;&gt;"",TEXT(AUX!DG$1,"dd-MMM-aa"),"")</f>
      </c>
      <c r="DD110" s="496" t="str">
        <f> IF(DD130&lt;&gt;"",TEXT(AUX!DH$1,"dd-MMM-aa"),"")</f>
      </c>
      <c r="DE110" s="496" t="str">
        <f> IF(DE130&lt;&gt;"",TEXT(AUX!DI$1,"dd-MMM-aa"),"")</f>
      </c>
      <c r="DF110" s="496" t="str">
        <f> IF(DF130&lt;&gt;"",TEXT(AUX!DJ$1,"dd-MMM-aa"),"")</f>
      </c>
      <c r="DG110" s="496" t="str">
        <f> IF(DG130&lt;&gt;"",TEXT(AUX!DK$1,"dd-MMM-aa"),"")</f>
      </c>
      <c r="DH110" s="496" t="str">
        <f> IF(DH130&lt;&gt;"",TEXT(AUX!DL$1,"dd-MMM-aa"),"")</f>
      </c>
      <c r="DI110" s="496" t="str">
        <f> IF(DI130&lt;&gt;"",TEXT(AUX!DM$1,"dd-MMM-aa"),"")</f>
      </c>
      <c r="DJ110" s="496" t="str">
        <f> IF(DJ130&lt;&gt;"",TEXT(AUX!DN$1,"dd-MMM-aa"),"")</f>
      </c>
      <c r="DK110" s="496" t="str">
        <f> IF(DK130&lt;&gt;"",TEXT(AUX!DO$1,"dd-MMM-aa"),"")</f>
      </c>
      <c r="DL110" s="496" t="str">
        <f> IF(DL130&lt;&gt;"",TEXT(AUX!DP$1,"dd-MMM-aa"),"")</f>
      </c>
      <c r="DM110" s="496" t="str">
        <f> IF(DM130&lt;&gt;"",TEXT(AUX!DQ$1,"dd-MMM-aa"),"")</f>
      </c>
      <c r="DN110" s="496" t="str">
        <f> IF(DN130&lt;&gt;"",TEXT(AUX!DR$1,"dd-MMM-aa"),"")</f>
      </c>
      <c r="DO110" s="496" t="str">
        <f> IF(DO130&lt;&gt;"",TEXT(AUX!DS$1,"dd-MMM-aa"),"")</f>
      </c>
      <c r="DP110" s="496" t="str">
        <f> IF(DP130&lt;&gt;"",TEXT(AUX!DT$1,"dd-MMM-aa"),"")</f>
      </c>
      <c r="DQ110" s="496" t="str">
        <f> IF(DQ130&lt;&gt;"",TEXT(AUX!DU$1,"dd-MMM-aa"),"")</f>
      </c>
      <c r="DR110" s="496" t="str">
        <f> IF(DR130&lt;&gt;"",TEXT(AUX!DV$1,"dd-MMM-aa"),"")</f>
      </c>
      <c r="DS110" s="496" t="str">
        <f> IF(DS130&lt;&gt;"",TEXT(AUX!DW$1,"dd-MMM-aa"),"")</f>
      </c>
      <c r="DT110" s="496" t="str">
        <f> IF(DT130&lt;&gt;"",TEXT(AUX!DX$1,"dd-MMM-aa"),"")</f>
      </c>
      <c r="DU110" s="496" t="str">
        <f> IF(DU130&lt;&gt;"",TEXT(AUX!DY$1,"dd-MMM-aa"),"")</f>
      </c>
      <c r="DV110" s="496" t="str">
        <f> IF(DV130&lt;&gt;"",TEXT(AUX!DZ$1,"dd-MMM-aa"),"")</f>
      </c>
      <c r="DW110" s="496" t="str">
        <f> IF(DW130&lt;&gt;"",TEXT(AUX!EA$1,"dd-MMM-aa"),"")</f>
      </c>
      <c r="DX110" s="496" t="str">
        <f> IF(DX130&lt;&gt;"",TEXT(AUX!EB$1,"dd-MMM-aa"),"")</f>
      </c>
      <c r="DY110" s="496" t="str">
        <f> IF(DY130&lt;&gt;"",TEXT(AUX!EC$1,"dd-MMM-aa"),"")</f>
      </c>
      <c r="DZ110" s="496" t="str">
        <f> IF(DZ130&lt;&gt;"",TEXT(AUX!ED$1,"dd-MMM-aa"),"")</f>
      </c>
      <c r="EA110" s="496" t="str">
        <f> IF(EA130&lt;&gt;"",TEXT(AUX!EE$1,"dd-MMM-aa"),"")</f>
      </c>
      <c r="EB110" s="496" t="str">
        <f> IF(EB130&lt;&gt;"",TEXT(AUX!EF$1,"dd-MMM-aa"),"")</f>
      </c>
      <c r="EC110" s="496" t="str">
        <f> IF(EC130&lt;&gt;"",TEXT(AUX!EG$1,"dd-MMM-aa"),"")</f>
      </c>
      <c r="ED110" s="496" t="str">
        <f> IF(ED130&lt;&gt;"",TEXT(AUX!EH$1,"dd-MMM-aa"),"")</f>
      </c>
      <c r="EE110" s="496" t="str">
        <f> IF(EE130&lt;&gt;"",TEXT(AUX!EI$1,"dd-MMM-aa"),"")</f>
      </c>
      <c r="EF110" s="496" t="str">
        <f> IF(EF130&lt;&gt;"",TEXT(AUX!EJ$1,"dd-MMM-aa"),"")</f>
      </c>
      <c r="EG110" s="496" t="str">
        <f> IF(EG130&lt;&gt;"",TEXT(AUX!EK$1,"dd-MMM-aa"),"")</f>
      </c>
      <c r="EH110" s="496" t="str">
        <f> IF(EH130&lt;&gt;"",TEXT(AUX!EL$1,"dd-MMM-aa"),"")</f>
      </c>
      <c r="EI110" s="496" t="str">
        <f> IF(EI130&lt;&gt;"",TEXT(AUX!EM$1,"dd-MMM-aa"),"")</f>
      </c>
      <c r="EJ110" s="496" t="str">
        <f> IF(EJ130&lt;&gt;"",TEXT(AUX!EN$1,"dd-MMM-aa"),"")</f>
      </c>
      <c r="EK110" s="496" t="str">
        <f> IF(EK130&lt;&gt;"",TEXT(AUX!EO$1,"dd-MMM-aa"),"")</f>
      </c>
      <c r="EL110" s="496" t="str">
        <f> IF(EL130&lt;&gt;"",TEXT(AUX!EP$1,"dd-MMM-aa"),"")</f>
      </c>
      <c r="EM110" s="496" t="str">
        <f> IF(EM130&lt;&gt;"",TEXT(AUX!EQ$1,"dd-MMM-aa"),"")</f>
      </c>
      <c r="EN110" s="496" t="str">
        <f> IF(EN130&lt;&gt;"",TEXT(AUX!ER$1,"dd-MMM-aa"),"")</f>
      </c>
      <c r="EO110" s="496" t="str">
        <f> IF(EO130&lt;&gt;"",TEXT(AUX!ES$1,"dd-MMM-aa"),"")</f>
      </c>
      <c r="EP110" s="496" t="str">
        <f> IF(EP130&lt;&gt;"",TEXT(AUX!ET$1,"dd-MMM-aa"),"")</f>
      </c>
      <c r="EQ110" s="496" t="str">
        <f> IF(EQ130&lt;&gt;"",TEXT(AUX!EU$1,"dd-MMM-aa"),"")</f>
      </c>
      <c r="ER110" s="496" t="str">
        <f> IF(ER130&lt;&gt;"",TEXT(AUX!EV$1,"dd-MMM-aa"),"")</f>
      </c>
      <c r="ES110" s="496" t="str">
        <f> IF(ES130&lt;&gt;"",TEXT(AUX!EW$1,"dd-MMM-aa"),"")</f>
      </c>
      <c r="ET110" s="496" t="str">
        <f> IF(ET130&lt;&gt;"",TEXT(AUX!EX$1,"dd-MMM-aa"),"")</f>
      </c>
      <c r="EU110" s="496" t="str">
        <f> IF(EU130&lt;&gt;"",TEXT(AUX!EY$1,"dd-MMM-aa"),"")</f>
      </c>
      <c r="EV110" s="496" t="str">
        <f> IF(EV130&lt;&gt;"",TEXT(AUX!EZ$1,"dd-MMM-aa"),"")</f>
      </c>
      <c r="EW110" s="496" t="str">
        <f> IF(EW130&lt;&gt;"",TEXT(AUX!FA$1,"dd-MMM-aa"),"")</f>
      </c>
      <c r="EX110" s="496" t="str">
        <f> IF(EX130&lt;&gt;"",TEXT(AUX!FB$1,"dd-MMM-aa"),"")</f>
      </c>
      <c r="EY110" s="496" t="str">
        <f> IF(EY130&lt;&gt;"",TEXT(AUX!FC$1,"dd-MMM-aa"),"")</f>
      </c>
      <c r="EZ110" s="496" t="str">
        <f> IF(EZ130&lt;&gt;"",TEXT(AUX!FD$1,"dd-MMM-aa"),"")</f>
      </c>
      <c r="FA110" s="496" t="str">
        <f> IF(FA130&lt;&gt;"",TEXT(AUX!FE$1,"dd-MMM-aa"),"")</f>
      </c>
      <c r="FB110" s="496" t="str">
        <f> IF(FB130&lt;&gt;"",TEXT(AUX!FF$1,"dd-MMM-aa"),"")</f>
      </c>
      <c r="FC110" s="496" t="str">
        <f> IF(FC130&lt;&gt;"",TEXT(AUX!FG$1,"dd-MMM-aa"),"")</f>
      </c>
      <c r="FD110" s="496" t="str">
        <f> IF(FD130&lt;&gt;"",TEXT(AUX!FH$1,"dd-MMM-aa"),"")</f>
      </c>
      <c r="FE110" s="496" t="str">
        <f> IF(FE130&lt;&gt;"",TEXT(AUX!FI$1,"dd-MMM-aa"),"")</f>
      </c>
      <c r="FF110" s="496" t="str">
        <f> IF(FF130&lt;&gt;"",TEXT(AUX!FJ$1,"dd-MMM-aa"),"")</f>
      </c>
      <c r="FG110" s="496" t="str">
        <f> IF(FG130&lt;&gt;"",TEXT(AUX!FK$1,"dd-MMM-aa"),"")</f>
      </c>
      <c r="FH110" s="496" t="str">
        <f> IF(FH130&lt;&gt;"",TEXT(AUX!FL$1,"dd-MMM-aa"),"")</f>
      </c>
      <c r="FI110" s="496" t="str">
        <f> IF(FI130&lt;&gt;"",TEXT(AUX!FM$1,"dd-MMM-aa"),"")</f>
      </c>
      <c r="FJ110" s="496" t="str">
        <f> IF(FJ130&lt;&gt;"",TEXT(AUX!FN$1,"dd-MMM-aa"),"")</f>
      </c>
      <c r="FK110" s="496" t="str">
        <f> IF(FK130&lt;&gt;"",TEXT(AUX!FO$1,"dd-MMM-aa"),"")</f>
      </c>
      <c r="FL110" s="496" t="str">
        <f> IF(FL130&lt;&gt;"",TEXT(AUX!FP$1,"dd-MMM-aa"),"")</f>
      </c>
      <c r="FM110" s="496" t="str">
        <f> IF(FM130&lt;&gt;"",TEXT(AUX!FQ$1,"dd-MMM-aa"),"")</f>
      </c>
      <c r="FN110" s="496" t="str">
        <f> IF(FN130&lt;&gt;"",TEXT(AUX!FR$1,"dd-MMM-aa"),"")</f>
      </c>
      <c r="FO110" s="496" t="str">
        <f> IF(FO130&lt;&gt;"",TEXT(AUX!FS$1,"dd-MMM-aa"),"")</f>
      </c>
      <c r="FP110" s="496" t="str">
        <f> IF(FP130&lt;&gt;"",TEXT(AUX!FT$1,"dd-MMM-aa"),"")</f>
      </c>
      <c r="FQ110" s="496" t="str">
        <f> IF(FQ130&lt;&gt;"",TEXT(AUX!FU$1,"dd-MMM-aa"),"")</f>
      </c>
      <c r="FR110" s="496" t="str">
        <f> IF(FR130&lt;&gt;"",TEXT(AUX!FV$1,"dd-MMM-aa"),"")</f>
      </c>
      <c r="FS110" s="496" t="str">
        <f> IF(FS130&lt;&gt;"",TEXT(AUX!FW$1,"dd-MMM-aa"),"")</f>
      </c>
      <c r="FT110" s="496" t="str">
        <f> IF(FT130&lt;&gt;"",TEXT(AUX!FX$1,"dd-MMM-aa"),"")</f>
      </c>
      <c r="FU110" s="496" t="str">
        <f> IF(FU130&lt;&gt;"",TEXT(AUX!FY$1,"dd-MMM-aa"),"")</f>
      </c>
      <c r="FV110" s="496" t="str">
        <f> IF(FV130&lt;&gt;"",TEXT(AUX!FZ$1,"dd-MMM-aa"),"")</f>
      </c>
      <c r="FW110" s="496" t="str">
        <f> IF(FW130&lt;&gt;"",TEXT(AUX!GA$1,"dd-MMM-aa"),"")</f>
      </c>
      <c r="FX110" s="496" t="str">
        <f> IF(FX130&lt;&gt;"",TEXT(AUX!GB$1,"dd-MMM-aa"),"")</f>
      </c>
      <c r="FY110" s="496" t="str">
        <f> IF(FY130&lt;&gt;"",TEXT(AUX!GC$1,"dd-MMM-aa"),"")</f>
      </c>
      <c r="FZ110" s="496" t="str">
        <f> IF(FZ130&lt;&gt;"",TEXT(AUX!GD$1,"dd-MMM-aa"),"")</f>
      </c>
      <c r="GA110" s="496" t="str">
        <f> IF(GA130&lt;&gt;"",TEXT(AUX!GE$1,"dd-MMM-aa"),"")</f>
      </c>
      <c r="GB110" s="496" t="str">
        <f> IF(GB130&lt;&gt;"",TEXT(AUX!GF$1,"dd-MMM-aa"),"")</f>
      </c>
      <c r="GC110" s="496" t="str">
        <f> IF(GC130&lt;&gt;"",TEXT(AUX!GG$1,"dd-MMM-aa"),"")</f>
      </c>
      <c r="GD110" s="496" t="str">
        <f> IF(GD130&lt;&gt;"",TEXT(AUX!GH$1,"dd-MMM-aa"),"")</f>
      </c>
      <c r="GE110" s="496" t="str">
        <f> IF(GE130&lt;&gt;"",TEXT(AUX!GI$1,"dd-MMM-aa"),"")</f>
      </c>
      <c r="GF110" s="496" t="str">
        <f> IF(GF130&lt;&gt;"",TEXT(AUX!GJ$1,"dd-MMM-aa"),"")</f>
      </c>
      <c r="GG110" s="496" t="str">
        <f> IF(GG130&lt;&gt;"",TEXT(AUX!GK$1,"dd-MMM-aa"),"")</f>
      </c>
      <c r="GH110" s="496" t="str">
        <f> IF(GH130&lt;&gt;"",TEXT(AUX!GL$1,"dd-MMM-aa"),"")</f>
      </c>
      <c r="GI110" s="496" t="str">
        <f> IF(GI130&lt;&gt;"",TEXT(AUX!GM$1,"dd-MMM-aa"),"")</f>
      </c>
      <c r="GJ110" s="496" t="str">
        <f> IF(GJ130&lt;&gt;"",TEXT(AUX!GN$1,"dd-MMM-aa"),"")</f>
      </c>
      <c r="GK110" s="496" t="str">
        <f> IF(GK130&lt;&gt;"",TEXT(AUX!GO$1,"dd-MMM-aa"),"")</f>
      </c>
      <c r="GL110" s="496" t="str">
        <f> IF(GL130&lt;&gt;"",TEXT(AUX!GP$1,"dd-MMM-aa"),"")</f>
      </c>
      <c r="GM110" s="496" t="str">
        <f> IF(GM130&lt;&gt;"",TEXT(AUX!GQ$1,"dd-MMM-aa"),"")</f>
      </c>
      <c r="GN110" s="496" t="str">
        <f> IF(GN130&lt;&gt;"",TEXT(AUX!GR$1,"dd-MMM-aa"),"")</f>
      </c>
      <c r="GO110" s="496" t="str">
        <f> IF(GO130&lt;&gt;"",TEXT(AUX!GS$1,"dd-MMM-aa"),"")</f>
      </c>
      <c r="GP110" s="496" t="str">
        <f> IF(GP130&lt;&gt;"",TEXT(AUX!GT$1,"dd-MMM-aa"),"")</f>
      </c>
      <c r="GQ110" s="496" t="str">
        <f> IF(GQ130&lt;&gt;"",TEXT(AUX!GU$1,"dd-MMM-aa"),"")</f>
      </c>
      <c r="GR110" s="496" t="str">
        <f> IF(GR130&lt;&gt;"",TEXT(AUX!GV$1,"dd-MMM-aa"),"")</f>
      </c>
      <c r="GS110" s="496" t="str">
        <f> IF(GS130&lt;&gt;"",TEXT(AUX!GW$1,"dd-MMM-aa"),"")</f>
      </c>
      <c r="GT110" s="496" t="str">
        <f> IF(GT130&lt;&gt;"",TEXT(AUX!GX$1,"dd-MMM-aa"),"")</f>
      </c>
      <c r="GU110" s="496" t="str">
        <f> IF(GU130&lt;&gt;"",TEXT(AUX!GY$1,"dd-MMM-aa"),"")</f>
      </c>
      <c r="GV110" s="496" t="str">
        <f> IF(GV130&lt;&gt;"",TEXT(AUX!GZ$1,"dd-MMM-aa"),"")</f>
      </c>
      <c r="GW110" s="496" t="str">
        <f> IF(GW130&lt;&gt;"",TEXT(AUX!HA$1,"dd-MMM-aa"),"")</f>
      </c>
      <c r="GX110" s="496" t="str">
        <f> IF(GX130&lt;&gt;"",TEXT(AUX!HB$1,"dd-MMM-aa"),"")</f>
      </c>
      <c r="GY110" s="496" t="str">
        <f> IF(GY130&lt;&gt;"",TEXT(AUX!HC$1,"dd-MMM-aa"),"")</f>
      </c>
      <c r="GZ110" s="496" t="str">
        <f> IF(GZ130&lt;&gt;"",TEXT(AUX!HD$1,"dd-MMM-aa"),"")</f>
      </c>
      <c r="HA110" s="496" t="str">
        <f> IF(HA130&lt;&gt;"",TEXT(AUX!HE$1,"dd-MMM-aa"),"")</f>
      </c>
      <c r="HB110" s="496" t="str">
        <f> IF(HB130&lt;&gt;"",TEXT(AUX!HF$1,"dd-MMM-aa"),"")</f>
      </c>
      <c r="HC110" s="496" t="str">
        <f> IF(HC130&lt;&gt;"",TEXT(AUX!HG$1,"dd-MMM-aa"),"")</f>
      </c>
      <c r="HD110" s="496" t="str">
        <f> IF(HD130&lt;&gt;"",TEXT(AUX!HH$1,"dd-MMM-aa"),"")</f>
      </c>
      <c r="HE110" s="496" t="str">
        <f> IF(HE130&lt;&gt;"",TEXT(AUX!HI$1,"dd-MMM-aa"),"")</f>
      </c>
      <c r="HF110" s="496" t="str">
        <f> IF(HF130&lt;&gt;"",TEXT(AUX!HJ$1,"dd-MMM-aa"),"")</f>
      </c>
      <c r="HG110" s="496" t="str">
        <f> IF(HG130&lt;&gt;"",TEXT(AUX!HK$1,"dd-MMM-aa"),"")</f>
      </c>
      <c r="HH110" s="496" t="str">
        <f> IF(HH130&lt;&gt;"",TEXT(AUX!HL$1,"dd-MMM-aa"),"")</f>
      </c>
      <c r="HI110" s="496" t="str">
        <f> IF(HI130&lt;&gt;"",TEXT(AUX!HM$1,"dd-MMM-aa"),"")</f>
      </c>
      <c r="HJ110" s="496" t="str">
        <f> IF(HJ130&lt;&gt;"",TEXT(AUX!HN$1,"dd-MMM-aa"),"")</f>
      </c>
      <c r="HK110" s="496" t="str">
        <f> IF(HK130&lt;&gt;"",TEXT(AUX!HO$1,"dd-MMM-aa"),"")</f>
      </c>
      <c r="HL110" s="496" t="str">
        <f> IF(HL130&lt;&gt;"",TEXT(AUX!HP$1,"dd-MMM-aa"),"")</f>
      </c>
      <c r="HM110" s="496" t="str">
        <f> IF(HM130&lt;&gt;"",TEXT(AUX!HQ$1,"dd-MMM-aa"),"")</f>
      </c>
      <c r="HN110" s="496" t="str">
        <f> IF(HN130&lt;&gt;"",TEXT(AUX!HR$1,"dd-MMM-aa"),"")</f>
      </c>
      <c r="HO110" s="496" t="str">
        <f> IF(HO130&lt;&gt;"",TEXT(AUX!HS$1,"dd-MMM-aa"),"")</f>
      </c>
      <c r="HP110" s="496" t="str">
        <f> IF(HP130&lt;&gt;"",TEXT(AUX!HT$1,"dd-MMM-aa"),"")</f>
      </c>
      <c r="HQ110" s="496" t="str">
        <f> IF(HQ130&lt;&gt;"",TEXT(AUX!HU$1,"dd-MMM-aa"),"")</f>
      </c>
      <c r="HR110" s="496" t="str">
        <f> IF(HR130&lt;&gt;"",TEXT(AUX!HV$1,"dd-MMM-aa"),"")</f>
      </c>
      <c r="HS110" s="496" t="str">
        <f> IF(HS130&lt;&gt;"",TEXT(AUX!HW$1,"dd-MMM-aa"),"")</f>
      </c>
      <c r="HT110" s="496" t="str">
        <f> IF(HT130&lt;&gt;"",TEXT(AUX!HX$1,"dd-MMM-aa"),"")</f>
      </c>
      <c r="HU110" s="496" t="str">
        <f> IF(HU130&lt;&gt;"",TEXT(AUX!HY$1,"dd-MMM-aa"),"")</f>
      </c>
      <c r="HV110" s="496" t="str">
        <f> IF(HV130&lt;&gt;"",TEXT(AUX!HZ$1,"dd-MMM-aa"),"")</f>
      </c>
      <c r="HW110" s="496" t="str">
        <f> IF(HW130&lt;&gt;"",TEXT(AUX!IA$1,"dd-MMM-aa"),"")</f>
      </c>
      <c r="HX110" s="496" t="str">
        <f> IF(HX130&lt;&gt;"",TEXT(AUX!IB$1,"dd-MMM-aa"),"")</f>
      </c>
      <c r="HY110" s="496" t="str">
        <f> IF(HY130&lt;&gt;"",TEXT(AUX!IC$1,"dd-MMM-aa"),"")</f>
      </c>
      <c r="HZ110" s="496" t="str">
        <f> IF(HZ130&lt;&gt;"",TEXT(AUX!ID$1,"dd-MMM-aa"),"")</f>
      </c>
      <c r="IA110" s="496" t="str">
        <f> IF(IA130&lt;&gt;"",TEXT(AUX!IE$1,"dd-MMM-aa"),"")</f>
      </c>
      <c r="IB110" s="496" t="str">
        <f> IF(IB130&lt;&gt;"",TEXT(AUX!IF$1,"dd-MMM-aa"),"")</f>
      </c>
      <c r="IC110" s="496" t="str">
        <f> IF(IC130&lt;&gt;"",TEXT(AUX!IG$1,"dd-MMM-aa"),"")</f>
      </c>
      <c r="ID110" s="496" t="str">
        <f> IF(ID130&lt;&gt;"",TEXT(AUX!IH$1,"dd-MMM-aa"),"")</f>
      </c>
      <c r="IE110" s="496" t="str">
        <f> IF(IE130&lt;&gt;"",TEXT(AUX!II$1,"dd-MMM-aa"),"")</f>
      </c>
      <c r="IF110" s="496" t="str">
        <f> IF(IF130&lt;&gt;"",TEXT(AUX!IJ$1,"dd-MMM-aa"),"")</f>
      </c>
      <c r="IG110" s="496" t="str">
        <f> IF(IG130&lt;&gt;"",TEXT(AUX!IK$1,"dd-MMM-aa"),"")</f>
      </c>
      <c r="IH110" s="496" t="str">
        <f> IF(IH130&lt;&gt;"",TEXT(AUX!IL$1,"dd-MMM-aa"),"")</f>
      </c>
      <c r="II110" s="496" t="str">
        <f> IF(II130&lt;&gt;"",TEXT(AUX!IM$1,"dd-MMM-aa"),"")</f>
      </c>
      <c r="IJ110" s="496" t="str">
        <f> IF(IJ130&lt;&gt;"",TEXT(AUX!IN$1,"dd-MMM-aa"),"")</f>
      </c>
      <c r="IK110" s="496" t="str">
        <f> IF(IK130&lt;&gt;"",TEXT(AUX!IO$1,"dd-MMM-aa"),"")</f>
      </c>
      <c r="IL110" s="496" t="str">
        <f> IF(IL130&lt;&gt;"",TEXT(AUX!IP$1,"dd-MMM-aa"),"")</f>
      </c>
      <c r="IM110" s="496" t="str">
        <f> IF(IM130&lt;&gt;"",TEXT(AUX!IQ$1,"dd-MMM-aa"),"")</f>
      </c>
      <c r="IN110" s="496" t="str">
        <f> IF(IN130&lt;&gt;"",TEXT(AUX!IR$1,"dd-MMM-aa"),"")</f>
      </c>
      <c r="IO110" s="496" t="str">
        <f> IF(IO130&lt;&gt;"",TEXT(AUX!IS$1,"dd-MMM-aa"),"")</f>
      </c>
      <c r="IP110" s="496" t="str">
        <f> IF(IP130&lt;&gt;"",TEXT(AUX!IT$1,"dd-MMM-aa"),"")</f>
      </c>
      <c r="IQ110" s="496" t="str">
        <f> IF(IQ130&lt;&gt;"",TEXT(AUX!IU$1,"dd-MMM-aa"),"")</f>
      </c>
      <c r="IR110" s="496" t="str">
        <f> IF(IR130&lt;&gt;"",TEXT(AUX!IV$1,"dd-MMM-aa"),"")</f>
      </c>
      <c r="IS110" s="496" t="str">
        <f> IF(IS130&lt;&gt;"",TEXT(AUX!#REF!,"dd-MMM-aa"),"")</f>
      </c>
      <c r="IT110" s="496" t="str">
        <f> IF(IT130&lt;&gt;"",TEXT(AUX!#REF!,"dd-MMM-aa"),"")</f>
      </c>
      <c r="IU110" s="496" t="str">
        <f> IF(IU130&lt;&gt;"",TEXT(AUX!#REF!,"dd-MMM-aa"),"")</f>
      </c>
      <c r="IV110" s="496" t="str">
        <f> IF(IV130&lt;&gt;"",TEXT(AUX!#REF!,"dd-MMM-aa"),"")</f>
      </c>
    </row>
    <row r="111" hidden="1">
      <c r="B111" s="833" t="s">
        <v>8</v>
      </c>
      <c r="C111" s="827">
        <v>14603</v>
      </c>
      <c r="D111" s="827">
        <v>15405</v>
      </c>
      <c r="E111" s="827">
        <v>16607</v>
      </c>
      <c r="F111" s="827">
        <v>17388</v>
      </c>
      <c r="G111" s="827">
        <v>22149</v>
      </c>
      <c r="H111" s="827">
        <v>22700</v>
      </c>
      <c r="I111" s="827">
        <v>24023</v>
      </c>
      <c r="J111" s="827">
        <v>21432</v>
      </c>
      <c r="K111" s="827">
        <v>21411</v>
      </c>
      <c r="L111" s="827">
        <v>21912</v>
      </c>
      <c r="M111" s="827">
        <v>22398</v>
      </c>
      <c r="N111" s="827">
        <v>22565</v>
      </c>
      <c r="O111" s="827">
        <v>23217</v>
      </c>
      <c r="P111" s="827">
        <v>22938</v>
      </c>
      <c r="Q111" s="827">
        <v>23536</v>
      </c>
      <c r="R111" s="827">
        <v>23557</v>
      </c>
      <c r="S111" s="827">
        <v>23495</v>
      </c>
      <c r="T111" s="827">
        <v>24355</v>
      </c>
      <c r="U111" s="827">
        <v>25109</v>
      </c>
      <c r="V111" s="827">
        <v>25458</v>
      </c>
      <c r="W111" s="827">
        <v>26278</v>
      </c>
      <c r="X111" s="827">
        <v>26933</v>
      </c>
      <c r="Y111" s="827">
        <v>27549</v>
      </c>
      <c r="Z111" s="827">
        <v>28016</v>
      </c>
      <c r="AA111" s="827">
        <v>29102</v>
      </c>
      <c r="AB111" s="834">
        <v>29591</v>
      </c>
      <c r="AC111" s="828">
        <v>29748</v>
      </c>
      <c r="AD111" s="828">
        <v>29693</v>
      </c>
      <c r="AE111" s="828">
        <v>29811</v>
      </c>
      <c r="AF111" s="828">
        <v>30424</v>
      </c>
      <c r="AG111" s="828">
        <v>30678</v>
      </c>
      <c r="AH111" s="828">
        <v>29835</v>
      </c>
      <c r="AI111" s="828">
        <v>30247</v>
      </c>
      <c r="AJ111" s="828">
        <v>30872</v>
      </c>
      <c r="AK111" s="828">
        <v>30570</v>
      </c>
      <c r="AL111" s="828">
        <v>30588</v>
      </c>
      <c r="AM111" s="828">
        <v>39840</v>
      </c>
      <c r="AN111" s="828">
        <v>42505</v>
      </c>
      <c r="AO111" s="828">
        <v>42109</v>
      </c>
      <c r="AP111" s="828">
        <v>42000</v>
      </c>
    </row>
    <row r="112" hidden="1">
      <c r="B112" s="829" t="s">
        <v>9</v>
      </c>
      <c r="C112" s="823">
        <v>2144</v>
      </c>
      <c r="D112" s="823">
        <v>2063</v>
      </c>
      <c r="E112" s="823">
        <v>2031</v>
      </c>
      <c r="F112" s="823">
        <v>2020</v>
      </c>
      <c r="G112" s="823">
        <v>2040</v>
      </c>
      <c r="H112" s="823">
        <v>1995</v>
      </c>
      <c r="I112" s="823">
        <v>2091</v>
      </c>
      <c r="J112" s="823">
        <v>2026</v>
      </c>
      <c r="K112" s="823">
        <v>2317</v>
      </c>
      <c r="L112" s="823">
        <v>2307</v>
      </c>
      <c r="M112" s="823">
        <v>2375</v>
      </c>
      <c r="N112" s="823">
        <v>2359</v>
      </c>
      <c r="O112" s="823">
        <v>2709</v>
      </c>
      <c r="P112" s="823">
        <v>2801</v>
      </c>
      <c r="Q112" s="823">
        <v>2997</v>
      </c>
      <c r="R112" s="823">
        <v>3017</v>
      </c>
      <c r="S112" s="823">
        <v>2908</v>
      </c>
      <c r="T112" s="823">
        <v>2672</v>
      </c>
      <c r="U112" s="823">
        <v>2740</v>
      </c>
      <c r="V112" s="823">
        <v>2918</v>
      </c>
      <c r="W112" s="823">
        <v>2836</v>
      </c>
      <c r="X112" s="823">
        <v>2922</v>
      </c>
      <c r="Y112" s="823">
        <v>2976</v>
      </c>
      <c r="Z112" s="823">
        <v>2725</v>
      </c>
      <c r="AA112" s="823">
        <v>2313</v>
      </c>
      <c r="AB112" s="823">
        <v>2301</v>
      </c>
      <c r="AC112" s="825">
        <v>1968</v>
      </c>
      <c r="AD112" s="825">
        <v>2132</v>
      </c>
      <c r="AE112" s="825">
        <v>1790</v>
      </c>
      <c r="AF112" s="825">
        <v>1692</v>
      </c>
      <c r="AG112" s="825">
        <v>1574</v>
      </c>
      <c r="AH112" s="825">
        <v>1545</v>
      </c>
      <c r="AI112" s="825">
        <v>1502</v>
      </c>
      <c r="AJ112" s="825">
        <v>1646</v>
      </c>
      <c r="AK112" s="825">
        <v>1642</v>
      </c>
      <c r="AL112" s="825">
        <v>1601</v>
      </c>
      <c r="AM112" s="825">
        <v>1741</v>
      </c>
      <c r="AN112" s="825">
        <v>1818</v>
      </c>
      <c r="AO112" s="825">
        <v>1787</v>
      </c>
      <c r="AP112" s="825">
        <v>945</v>
      </c>
    </row>
    <row r="113" hidden="1">
      <c r="B113" s="826" t="s">
        <v>10</v>
      </c>
      <c r="C113" s="827">
        <v>0</v>
      </c>
      <c r="D113" s="827">
        <v>0</v>
      </c>
      <c r="E113" s="827">
        <v>5496</v>
      </c>
      <c r="F113" s="827">
        <v>7789</v>
      </c>
      <c r="G113" s="827">
        <v>10072</v>
      </c>
      <c r="H113" s="827">
        <v>10556</v>
      </c>
      <c r="I113" s="827">
        <v>11558</v>
      </c>
      <c r="J113" s="827">
        <v>12157</v>
      </c>
      <c r="K113" s="827">
        <v>13017</v>
      </c>
      <c r="L113" s="827">
        <v>13107</v>
      </c>
      <c r="M113" s="827">
        <v>13856</v>
      </c>
      <c r="N113" s="827">
        <v>13762</v>
      </c>
      <c r="O113" s="827">
        <v>14406</v>
      </c>
      <c r="P113" s="827">
        <v>14288</v>
      </c>
      <c r="Q113" s="827">
        <v>15296</v>
      </c>
      <c r="R113" s="827">
        <v>15149</v>
      </c>
      <c r="S113" s="827">
        <v>15592</v>
      </c>
      <c r="T113" s="827">
        <v>16025</v>
      </c>
      <c r="U113" s="827">
        <v>17149</v>
      </c>
      <c r="V113" s="827">
        <v>18792</v>
      </c>
      <c r="W113" s="827">
        <v>18391</v>
      </c>
      <c r="X113" s="827">
        <v>19450</v>
      </c>
      <c r="Y113" s="827">
        <v>19110</v>
      </c>
      <c r="Z113" s="827">
        <v>13163</v>
      </c>
      <c r="AA113" s="827">
        <v>12871</v>
      </c>
      <c r="AB113" s="827">
        <v>11060</v>
      </c>
      <c r="AC113" s="828">
        <v>10835</v>
      </c>
      <c r="AD113" s="828">
        <v>11397</v>
      </c>
      <c r="AE113" s="828">
        <v>9749</v>
      </c>
      <c r="AF113" s="828">
        <v>9563</v>
      </c>
      <c r="AG113" s="828">
        <v>9389</v>
      </c>
      <c r="AH113" s="828">
        <v>10136</v>
      </c>
      <c r="AI113" s="828">
        <v>9988</v>
      </c>
      <c r="AJ113" s="828">
        <v>9342</v>
      </c>
      <c r="AK113" s="828">
        <v>9204</v>
      </c>
      <c r="AL113" s="828">
        <v>9208</v>
      </c>
      <c r="AM113" s="828">
        <v>8396</v>
      </c>
      <c r="AN113" s="828">
        <v>9333</v>
      </c>
      <c r="AO113" s="828">
        <v>9198</v>
      </c>
      <c r="AP113" s="828">
        <v>9899</v>
      </c>
    </row>
    <row r="114" hidden="1">
      <c r="B114" s="829" t="s">
        <v>11</v>
      </c>
      <c r="C114" s="823">
        <v>1009</v>
      </c>
      <c r="D114" s="823">
        <v>2001</v>
      </c>
      <c r="E114" s="823">
        <v>1986</v>
      </c>
      <c r="F114" s="823">
        <v>2007</v>
      </c>
      <c r="G114" s="823">
        <v>2279</v>
      </c>
      <c r="H114" s="823">
        <v>2709</v>
      </c>
      <c r="I114" s="823">
        <v>2589</v>
      </c>
      <c r="J114" s="823">
        <v>2948</v>
      </c>
      <c r="K114" s="823">
        <v>1926</v>
      </c>
      <c r="L114" s="823">
        <v>2123</v>
      </c>
      <c r="M114" s="823">
        <v>1887</v>
      </c>
      <c r="N114" s="823">
        <v>1437</v>
      </c>
      <c r="O114" s="823">
        <v>1273</v>
      </c>
      <c r="P114" s="823">
        <v>1276</v>
      </c>
      <c r="Q114" s="823">
        <v>1386</v>
      </c>
      <c r="R114" s="823">
        <v>1551</v>
      </c>
      <c r="S114" s="823">
        <v>1412</v>
      </c>
      <c r="T114" s="823">
        <v>1209</v>
      </c>
      <c r="U114" s="823">
        <v>1526</v>
      </c>
      <c r="V114" s="823">
        <v>1477</v>
      </c>
      <c r="W114" s="823">
        <v>1733</v>
      </c>
      <c r="X114" s="823">
        <v>1683</v>
      </c>
      <c r="Y114" s="823">
        <v>2130</v>
      </c>
      <c r="Z114" s="823">
        <v>1862</v>
      </c>
      <c r="AA114" s="823">
        <v>2152</v>
      </c>
      <c r="AB114" s="823">
        <v>2099</v>
      </c>
      <c r="AC114" s="825">
        <v>2045</v>
      </c>
      <c r="AD114" s="825">
        <v>2033</v>
      </c>
      <c r="AE114" s="825">
        <v>2009</v>
      </c>
      <c r="AF114" s="825">
        <v>1987</v>
      </c>
      <c r="AG114" s="825">
        <v>3265</v>
      </c>
      <c r="AH114" s="825">
        <v>2818</v>
      </c>
      <c r="AI114" s="825">
        <v>2724</v>
      </c>
      <c r="AJ114" s="825">
        <v>2674</v>
      </c>
      <c r="AK114" s="825">
        <v>2461</v>
      </c>
      <c r="AL114" s="825">
        <v>2368</v>
      </c>
      <c r="AM114" s="825">
        <v>2238</v>
      </c>
      <c r="AN114" s="825">
        <v>1853</v>
      </c>
      <c r="AO114" s="825">
        <v>1609</v>
      </c>
      <c r="AP114" s="825">
        <v>1822</v>
      </c>
    </row>
    <row r="115" hidden="1">
      <c r="B115" s="826" t="s">
        <v>12</v>
      </c>
      <c r="C115" s="827">
        <v>1921</v>
      </c>
      <c r="D115" s="827">
        <v>1947</v>
      </c>
      <c r="E115" s="827">
        <v>1922</v>
      </c>
      <c r="F115" s="827">
        <v>2247</v>
      </c>
      <c r="G115" s="827">
        <v>2244</v>
      </c>
      <c r="H115" s="827">
        <v>2231</v>
      </c>
      <c r="I115" s="827">
        <v>2309</v>
      </c>
      <c r="J115" s="827">
        <v>4779</v>
      </c>
      <c r="K115" s="827">
        <v>5083</v>
      </c>
      <c r="L115" s="827">
        <v>5223</v>
      </c>
      <c r="M115" s="827">
        <v>5599</v>
      </c>
      <c r="N115" s="827">
        <v>5670</v>
      </c>
      <c r="O115" s="827">
        <v>5937</v>
      </c>
      <c r="P115" s="827">
        <v>6020</v>
      </c>
      <c r="Q115" s="827">
        <v>6237</v>
      </c>
      <c r="R115" s="827">
        <v>6272</v>
      </c>
      <c r="S115" s="827">
        <v>6642</v>
      </c>
      <c r="T115" s="827">
        <v>6780</v>
      </c>
      <c r="U115" s="827">
        <v>7128</v>
      </c>
      <c r="V115" s="827">
        <v>7231</v>
      </c>
      <c r="W115" s="827">
        <v>7553</v>
      </c>
      <c r="X115" s="827">
        <v>7615</v>
      </c>
      <c r="Y115" s="827">
        <v>8055</v>
      </c>
      <c r="Z115" s="827">
        <v>8232</v>
      </c>
      <c r="AA115" s="827">
        <v>8800</v>
      </c>
      <c r="AB115" s="827">
        <v>8882</v>
      </c>
      <c r="AC115" s="828">
        <v>9200</v>
      </c>
      <c r="AD115" s="828">
        <v>9242</v>
      </c>
      <c r="AE115" s="828">
        <v>9651</v>
      </c>
      <c r="AF115" s="828">
        <v>9683</v>
      </c>
      <c r="AG115" s="828">
        <v>9720</v>
      </c>
      <c r="AH115" s="828">
        <v>9728</v>
      </c>
      <c r="AI115" s="828">
        <v>9789</v>
      </c>
      <c r="AJ115" s="828">
        <v>9814</v>
      </c>
      <c r="AK115" s="828">
        <v>9916</v>
      </c>
      <c r="AL115" s="828">
        <v>10038</v>
      </c>
      <c r="AM115" s="828">
        <v>10204</v>
      </c>
      <c r="AN115" s="828">
        <v>10240</v>
      </c>
      <c r="AO115" s="828">
        <v>10343</v>
      </c>
      <c r="AP115" s="828">
        <v>10361</v>
      </c>
    </row>
    <row r="116" hidden="1">
      <c r="B116" s="829" t="s">
        <v>13</v>
      </c>
      <c r="C116" s="823">
        <v>0</v>
      </c>
      <c r="D116" s="823">
        <v>3644</v>
      </c>
      <c r="E116" s="823">
        <v>3630</v>
      </c>
      <c r="F116" s="823">
        <v>4086</v>
      </c>
      <c r="G116" s="823">
        <v>3869</v>
      </c>
      <c r="H116" s="823">
        <v>3879</v>
      </c>
      <c r="I116" s="823">
        <v>4452</v>
      </c>
      <c r="J116" s="823">
        <v>4227</v>
      </c>
      <c r="K116" s="823">
        <v>4151</v>
      </c>
      <c r="L116" s="823">
        <v>5000</v>
      </c>
      <c r="M116" s="823">
        <v>4806</v>
      </c>
      <c r="N116" s="823">
        <v>5802</v>
      </c>
      <c r="O116" s="823">
        <v>5839</v>
      </c>
      <c r="P116" s="823">
        <v>5889</v>
      </c>
      <c r="Q116" s="823">
        <v>5842</v>
      </c>
      <c r="R116" s="823">
        <v>6128</v>
      </c>
      <c r="S116" s="823">
        <v>6109</v>
      </c>
      <c r="T116" s="823">
        <v>6034</v>
      </c>
      <c r="U116" s="823">
        <v>5961</v>
      </c>
      <c r="V116" s="823">
        <v>5921</v>
      </c>
      <c r="W116" s="823">
        <v>6028</v>
      </c>
      <c r="X116" s="823">
        <v>2480</v>
      </c>
      <c r="Y116" s="823">
        <v>2716</v>
      </c>
      <c r="Z116" s="823">
        <v>3013</v>
      </c>
      <c r="AA116" s="823">
        <v>2730</v>
      </c>
      <c r="AB116" s="823">
        <v>2942</v>
      </c>
      <c r="AC116" s="825">
        <v>2799</v>
      </c>
      <c r="AD116" s="825">
        <v>3049</v>
      </c>
      <c r="AE116" s="825">
        <v>2989</v>
      </c>
      <c r="AF116" s="825">
        <v>3238</v>
      </c>
      <c r="AG116" s="825">
        <v>3073</v>
      </c>
      <c r="AH116" s="825">
        <v>3251</v>
      </c>
      <c r="AI116" s="825">
        <v>3127</v>
      </c>
      <c r="AJ116" s="825">
        <v>3412</v>
      </c>
      <c r="AK116" s="825">
        <v>3309</v>
      </c>
      <c r="AL116" s="825">
        <v>4081</v>
      </c>
      <c r="AM116" s="825">
        <v>4151</v>
      </c>
      <c r="AN116" s="825">
        <v>4195</v>
      </c>
      <c r="AO116" s="825">
        <v>3922</v>
      </c>
      <c r="AP116" s="825">
        <v>4337</v>
      </c>
    </row>
    <row r="117" hidden="1">
      <c r="B117" s="826" t="s">
        <v>109</v>
      </c>
      <c r="C117" s="827">
        <v>2477</v>
      </c>
      <c r="D117" s="827">
        <v>3184</v>
      </c>
      <c r="E117" s="827">
        <v>4225</v>
      </c>
      <c r="F117" s="827">
        <v>4624</v>
      </c>
      <c r="G117" s="827">
        <v>4736</v>
      </c>
      <c r="H117" s="827">
        <v>4982</v>
      </c>
      <c r="I117" s="827">
        <v>4522</v>
      </c>
      <c r="J117" s="827">
        <v>4381</v>
      </c>
      <c r="K117" s="827">
        <v>3172</v>
      </c>
      <c r="L117" s="827">
        <v>2187</v>
      </c>
      <c r="M117" s="827">
        <v>2256</v>
      </c>
      <c r="N117" s="827">
        <v>2195</v>
      </c>
      <c r="O117" s="827">
        <v>2162</v>
      </c>
      <c r="P117" s="827">
        <v>2145</v>
      </c>
      <c r="Q117" s="827">
        <v>2162</v>
      </c>
      <c r="R117" s="827">
        <v>2389</v>
      </c>
      <c r="S117" s="827">
        <v>1933</v>
      </c>
      <c r="T117" s="827">
        <v>1828</v>
      </c>
      <c r="U117" s="827">
        <v>1840</v>
      </c>
      <c r="V117" s="827">
        <v>1820</v>
      </c>
      <c r="W117" s="827">
        <v>2096</v>
      </c>
      <c r="X117" s="827">
        <v>2337</v>
      </c>
      <c r="Y117" s="827">
        <v>2021</v>
      </c>
      <c r="Z117" s="827">
        <v>1936</v>
      </c>
      <c r="AA117" s="827">
        <v>2254</v>
      </c>
      <c r="AB117" s="827">
        <v>2174</v>
      </c>
      <c r="AC117" s="828">
        <v>2919</v>
      </c>
      <c r="AD117" s="828">
        <v>2752</v>
      </c>
      <c r="AE117" s="828">
        <v>2778</v>
      </c>
      <c r="AF117" s="828">
        <v>2440</v>
      </c>
      <c r="AG117" s="828">
        <v>2535</v>
      </c>
      <c r="AH117" s="828">
        <v>2497</v>
      </c>
      <c r="AI117" s="828">
        <v>2396</v>
      </c>
      <c r="AJ117" s="828">
        <v>3402</v>
      </c>
      <c r="AK117" s="828">
        <v>2903</v>
      </c>
      <c r="AL117" s="828">
        <v>2446</v>
      </c>
      <c r="AM117" s="828">
        <v>2748</v>
      </c>
      <c r="AN117" s="828">
        <v>2538</v>
      </c>
      <c r="AO117" s="828">
        <v>1836</v>
      </c>
      <c r="AP117" s="828">
        <v>1721</v>
      </c>
    </row>
    <row r="118" hidden="1">
      <c r="B118" s="829" t="s">
        <v>110</v>
      </c>
      <c r="C118" s="823">
        <v>10365</v>
      </c>
      <c r="D118" s="823">
        <v>10161</v>
      </c>
      <c r="E118" s="823">
        <v>10215</v>
      </c>
      <c r="F118" s="823">
        <v>10099</v>
      </c>
      <c r="G118" s="823">
        <v>9961</v>
      </c>
      <c r="H118" s="823">
        <v>5440</v>
      </c>
      <c r="I118" s="823">
        <v>10011</v>
      </c>
      <c r="J118" s="823">
        <v>10138</v>
      </c>
      <c r="K118" s="823">
        <v>10273</v>
      </c>
      <c r="L118" s="823">
        <v>10184</v>
      </c>
      <c r="M118" s="823">
        <v>10220</v>
      </c>
      <c r="N118" s="823">
        <v>12375</v>
      </c>
      <c r="O118" s="823">
        <v>14275</v>
      </c>
      <c r="P118" s="823">
        <v>16853</v>
      </c>
      <c r="Q118" s="823">
        <v>16469</v>
      </c>
      <c r="R118" s="823">
        <v>16825</v>
      </c>
      <c r="S118" s="823">
        <v>16466</v>
      </c>
      <c r="T118" s="823">
        <v>14486</v>
      </c>
      <c r="U118" s="823">
        <v>11614</v>
      </c>
      <c r="V118" s="823">
        <v>9754</v>
      </c>
      <c r="W118" s="823">
        <v>8612</v>
      </c>
      <c r="X118" s="823">
        <v>8542</v>
      </c>
      <c r="Y118" s="823">
        <v>8814</v>
      </c>
      <c r="Z118" s="823">
        <v>9102</v>
      </c>
      <c r="AA118" s="823">
        <v>9372</v>
      </c>
      <c r="AB118" s="823">
        <v>9173</v>
      </c>
      <c r="AC118" s="825">
        <v>10237</v>
      </c>
      <c r="AD118" s="825">
        <v>10022</v>
      </c>
      <c r="AE118" s="825">
        <v>10141</v>
      </c>
      <c r="AF118" s="825">
        <v>11059</v>
      </c>
      <c r="AG118" s="825">
        <v>11122</v>
      </c>
      <c r="AH118" s="825">
        <v>11281</v>
      </c>
      <c r="AI118" s="825">
        <v>11330</v>
      </c>
      <c r="AJ118" s="825">
        <v>10884</v>
      </c>
      <c r="AK118" s="825">
        <v>10962</v>
      </c>
      <c r="AL118" s="825">
        <v>11174</v>
      </c>
      <c r="AM118" s="825">
        <v>11879</v>
      </c>
      <c r="AN118" s="825">
        <v>12009</v>
      </c>
      <c r="AO118" s="825">
        <v>12846</v>
      </c>
      <c r="AP118" s="825">
        <v>12639</v>
      </c>
    </row>
    <row r="119" hidden="1">
      <c r="B119" s="826" t="s">
        <v>16</v>
      </c>
      <c r="C119" s="827">
        <v>2616</v>
      </c>
      <c r="D119" s="827">
        <v>2723</v>
      </c>
      <c r="E119" s="827">
        <v>2625</v>
      </c>
      <c r="F119" s="827">
        <v>2650</v>
      </c>
      <c r="G119" s="827">
        <v>2899</v>
      </c>
      <c r="H119" s="827">
        <v>2940</v>
      </c>
      <c r="I119" s="827">
        <v>2980</v>
      </c>
      <c r="J119" s="827">
        <v>3105</v>
      </c>
      <c r="K119" s="827">
        <v>3138</v>
      </c>
      <c r="L119" s="827">
        <v>3192</v>
      </c>
      <c r="M119" s="827">
        <v>2945</v>
      </c>
      <c r="N119" s="827">
        <v>2977</v>
      </c>
      <c r="O119" s="827">
        <v>3119</v>
      </c>
      <c r="P119" s="827">
        <v>3080</v>
      </c>
      <c r="Q119" s="827">
        <v>3249</v>
      </c>
      <c r="R119" s="827">
        <v>3239</v>
      </c>
      <c r="S119" s="827">
        <v>3107</v>
      </c>
      <c r="T119" s="827">
        <v>2586</v>
      </c>
      <c r="U119" s="827">
        <v>2347</v>
      </c>
      <c r="V119" s="827">
        <v>2247</v>
      </c>
      <c r="W119" s="827">
        <v>2178</v>
      </c>
      <c r="X119" s="827">
        <v>2118</v>
      </c>
      <c r="Y119" s="827">
        <v>2266</v>
      </c>
      <c r="Z119" s="827">
        <v>2261</v>
      </c>
      <c r="AA119" s="827">
        <v>2275</v>
      </c>
      <c r="AB119" s="827">
        <v>2153</v>
      </c>
      <c r="AC119" s="828">
        <v>2055</v>
      </c>
      <c r="AD119" s="828">
        <v>2092</v>
      </c>
      <c r="AE119" s="828">
        <v>2158</v>
      </c>
      <c r="AF119" s="828">
        <v>2085</v>
      </c>
      <c r="AG119" s="828">
        <v>2054</v>
      </c>
      <c r="AH119" s="828">
        <v>1758</v>
      </c>
      <c r="AI119" s="828">
        <v>1556</v>
      </c>
      <c r="AJ119" s="828">
        <v>1387</v>
      </c>
      <c r="AK119" s="828">
        <v>1270</v>
      </c>
      <c r="AL119" s="828">
        <v>1337</v>
      </c>
      <c r="AM119" s="828">
        <v>1246</v>
      </c>
      <c r="AN119" s="828">
        <v>1235</v>
      </c>
      <c r="AO119" s="828">
        <v>1253</v>
      </c>
      <c r="AP119" s="828">
        <v>1234</v>
      </c>
    </row>
    <row r="120" hidden="1">
      <c r="B120" s="829" t="s">
        <v>17</v>
      </c>
      <c r="C120" s="823">
        <v>0</v>
      </c>
      <c r="D120" s="823">
        <v>0</v>
      </c>
      <c r="E120" s="823">
        <v>0</v>
      </c>
      <c r="F120" s="823">
        <v>0</v>
      </c>
      <c r="G120" s="823">
        <v>0</v>
      </c>
      <c r="H120" s="823">
        <v>0</v>
      </c>
      <c r="I120" s="823">
        <v>0</v>
      </c>
      <c r="J120" s="823">
        <v>0</v>
      </c>
      <c r="K120" s="823">
        <v>0</v>
      </c>
      <c r="L120" s="823">
        <v>0</v>
      </c>
      <c r="M120" s="823">
        <v>0</v>
      </c>
      <c r="N120" s="823">
        <v>0</v>
      </c>
      <c r="O120" s="823">
        <v>0</v>
      </c>
      <c r="P120" s="823">
        <v>0</v>
      </c>
      <c r="Q120" s="823">
        <v>0</v>
      </c>
      <c r="R120" s="823">
        <v>0</v>
      </c>
      <c r="S120" s="823">
        <v>0</v>
      </c>
      <c r="T120" s="823">
        <v>0</v>
      </c>
      <c r="U120" s="823">
        <v>16</v>
      </c>
      <c r="V120" s="823">
        <v>17</v>
      </c>
      <c r="W120" s="823">
        <v>112</v>
      </c>
      <c r="X120" s="823">
        <v>124</v>
      </c>
      <c r="Y120" s="823">
        <v>131</v>
      </c>
      <c r="Z120" s="823">
        <v>133</v>
      </c>
      <c r="AA120" s="823">
        <v>136</v>
      </c>
      <c r="AB120" s="823">
        <v>146</v>
      </c>
      <c r="AC120" s="825">
        <v>152</v>
      </c>
      <c r="AD120" s="825">
        <v>155</v>
      </c>
      <c r="AE120" s="825">
        <v>155</v>
      </c>
      <c r="AF120" s="825">
        <v>159</v>
      </c>
      <c r="AG120" s="825">
        <v>159</v>
      </c>
      <c r="AH120" s="825">
        <v>164</v>
      </c>
      <c r="AI120" s="825">
        <v>166</v>
      </c>
      <c r="AJ120" s="825">
        <v>167</v>
      </c>
      <c r="AK120" s="825">
        <v>170</v>
      </c>
      <c r="AL120" s="825">
        <v>174</v>
      </c>
      <c r="AM120" s="825">
        <v>178</v>
      </c>
      <c r="AN120" s="825">
        <v>178</v>
      </c>
      <c r="AO120" s="825">
        <v>181</v>
      </c>
      <c r="AP120" s="825">
        <v>183</v>
      </c>
    </row>
    <row r="121" hidden="1">
      <c r="B121" s="826" t="s">
        <v>18</v>
      </c>
      <c r="C121" s="827">
        <v>852</v>
      </c>
      <c r="D121" s="827">
        <v>11391</v>
      </c>
      <c r="E121" s="827">
        <v>11413</v>
      </c>
      <c r="F121" s="827">
        <v>11763</v>
      </c>
      <c r="G121" s="827">
        <v>15882</v>
      </c>
      <c r="H121" s="827">
        <v>16515</v>
      </c>
      <c r="I121" s="827">
        <v>9949</v>
      </c>
      <c r="J121" s="827">
        <v>9930</v>
      </c>
      <c r="K121" s="827">
        <v>9697</v>
      </c>
      <c r="L121" s="827">
        <v>9981</v>
      </c>
      <c r="M121" s="827">
        <v>9527</v>
      </c>
      <c r="N121" s="827">
        <v>8995</v>
      </c>
      <c r="O121" s="827">
        <v>9522</v>
      </c>
      <c r="P121" s="827">
        <v>8877</v>
      </c>
      <c r="Q121" s="827">
        <v>8742</v>
      </c>
      <c r="R121" s="827">
        <v>9070</v>
      </c>
      <c r="S121" s="827">
        <v>8765</v>
      </c>
      <c r="T121" s="827">
        <v>7157</v>
      </c>
      <c r="U121" s="827">
        <v>7294</v>
      </c>
      <c r="V121" s="827">
        <v>7239</v>
      </c>
      <c r="W121" s="827">
        <v>7268</v>
      </c>
      <c r="X121" s="827">
        <v>7483</v>
      </c>
      <c r="Y121" s="827">
        <v>7826</v>
      </c>
      <c r="Z121" s="827">
        <v>7861</v>
      </c>
      <c r="AA121" s="827">
        <v>8579</v>
      </c>
      <c r="AB121" s="827">
        <v>8342</v>
      </c>
      <c r="AC121" s="828">
        <v>8511</v>
      </c>
      <c r="AD121" s="828">
        <v>7939</v>
      </c>
      <c r="AE121" s="828">
        <v>7959</v>
      </c>
      <c r="AF121" s="828">
        <v>7994</v>
      </c>
      <c r="AG121" s="828">
        <v>8243</v>
      </c>
      <c r="AH121" s="828">
        <v>8423</v>
      </c>
      <c r="AI121" s="828">
        <v>14889</v>
      </c>
      <c r="AJ121" s="828">
        <v>12088</v>
      </c>
      <c r="AK121" s="828">
        <v>8023</v>
      </c>
      <c r="AL121" s="828">
        <v>5966</v>
      </c>
      <c r="AM121" s="828">
        <v>5582</v>
      </c>
      <c r="AN121" s="828">
        <v>5481</v>
      </c>
      <c r="AO121" s="828">
        <v>5271</v>
      </c>
      <c r="AP121" s="828">
        <v>5310</v>
      </c>
    </row>
    <row r="122" hidden="1">
      <c r="B122" s="829" t="s">
        <v>19</v>
      </c>
      <c r="C122" s="823">
        <v>1211</v>
      </c>
      <c r="D122" s="823">
        <v>1229</v>
      </c>
      <c r="E122" s="823">
        <v>1269</v>
      </c>
      <c r="F122" s="823">
        <v>1352</v>
      </c>
      <c r="G122" s="823">
        <v>1357</v>
      </c>
      <c r="H122" s="823">
        <v>1331</v>
      </c>
      <c r="I122" s="823">
        <v>1529</v>
      </c>
      <c r="J122" s="823">
        <v>1521</v>
      </c>
      <c r="K122" s="823">
        <v>1580</v>
      </c>
      <c r="L122" s="823">
        <v>1618</v>
      </c>
      <c r="M122" s="823">
        <v>2131</v>
      </c>
      <c r="N122" s="823">
        <v>2122</v>
      </c>
      <c r="O122" s="823">
        <v>2083</v>
      </c>
      <c r="P122" s="823">
        <v>2118</v>
      </c>
      <c r="Q122" s="823">
        <v>2370</v>
      </c>
      <c r="R122" s="823">
        <v>2354</v>
      </c>
      <c r="S122" s="823">
        <v>2334</v>
      </c>
      <c r="T122" s="823">
        <v>2341</v>
      </c>
      <c r="U122" s="823">
        <v>2316</v>
      </c>
      <c r="V122" s="823">
        <v>2310</v>
      </c>
      <c r="W122" s="823">
        <v>2316</v>
      </c>
      <c r="X122" s="823">
        <v>2343</v>
      </c>
      <c r="Y122" s="823">
        <v>2341</v>
      </c>
      <c r="Z122" s="823">
        <v>2331</v>
      </c>
      <c r="AA122" s="823">
        <v>2388</v>
      </c>
      <c r="AB122" s="823">
        <v>2409</v>
      </c>
      <c r="AC122" s="825">
        <v>2360</v>
      </c>
      <c r="AD122" s="825">
        <v>2408</v>
      </c>
      <c r="AE122" s="825">
        <v>2405</v>
      </c>
      <c r="AF122" s="825">
        <v>2397</v>
      </c>
      <c r="AG122" s="825">
        <v>2409</v>
      </c>
      <c r="AH122" s="825">
        <v>2399</v>
      </c>
      <c r="AI122" s="825">
        <v>2326</v>
      </c>
      <c r="AJ122" s="825">
        <v>3114</v>
      </c>
      <c r="AK122" s="825">
        <v>3008</v>
      </c>
      <c r="AL122" s="825">
        <v>2873</v>
      </c>
      <c r="AM122" s="825">
        <v>2840</v>
      </c>
      <c r="AN122" s="825">
        <v>2825</v>
      </c>
      <c r="AO122" s="825">
        <v>2817</v>
      </c>
      <c r="AP122" s="825">
        <v>2815</v>
      </c>
    </row>
    <row r="123" hidden="1">
      <c r="B123" s="826" t="s">
        <v>20</v>
      </c>
      <c r="C123" s="827">
        <v>3590</v>
      </c>
      <c r="D123" s="827">
        <v>3335</v>
      </c>
      <c r="E123" s="827">
        <v>3077</v>
      </c>
      <c r="F123" s="827">
        <v>3410</v>
      </c>
      <c r="G123" s="827">
        <v>3444</v>
      </c>
      <c r="H123" s="827">
        <v>2923</v>
      </c>
      <c r="I123" s="827">
        <v>2642</v>
      </c>
      <c r="J123" s="827">
        <v>2653</v>
      </c>
      <c r="K123" s="827">
        <v>2646</v>
      </c>
      <c r="L123" s="827">
        <v>2667</v>
      </c>
      <c r="M123" s="827">
        <v>2820</v>
      </c>
      <c r="N123" s="827">
        <v>3158</v>
      </c>
      <c r="O123" s="827">
        <v>3023</v>
      </c>
      <c r="P123" s="827">
        <v>2986</v>
      </c>
      <c r="Q123" s="827">
        <v>3033</v>
      </c>
      <c r="R123" s="827">
        <v>3009</v>
      </c>
      <c r="S123" s="827">
        <v>3399</v>
      </c>
      <c r="T123" s="827">
        <v>3265</v>
      </c>
      <c r="U123" s="827">
        <v>3283</v>
      </c>
      <c r="V123" s="827">
        <v>3207</v>
      </c>
      <c r="W123" s="827">
        <v>3312</v>
      </c>
      <c r="X123" s="827">
        <v>3327</v>
      </c>
      <c r="Y123" s="827">
        <v>3318</v>
      </c>
      <c r="Z123" s="827">
        <v>3278</v>
      </c>
      <c r="AA123" s="827">
        <v>3175</v>
      </c>
      <c r="AB123" s="827">
        <v>3214</v>
      </c>
      <c r="AC123" s="828">
        <v>3189</v>
      </c>
      <c r="AD123" s="828">
        <v>3199</v>
      </c>
      <c r="AE123" s="828">
        <v>3187</v>
      </c>
      <c r="AF123" s="828">
        <v>3184</v>
      </c>
      <c r="AG123" s="828">
        <v>4889</v>
      </c>
      <c r="AH123" s="828">
        <v>4819</v>
      </c>
      <c r="AI123" s="828">
        <v>4879</v>
      </c>
      <c r="AJ123" s="828">
        <v>4942</v>
      </c>
      <c r="AK123" s="828">
        <v>4990</v>
      </c>
      <c r="AL123" s="828">
        <v>4891</v>
      </c>
      <c r="AM123" s="828">
        <v>4254</v>
      </c>
      <c r="AN123" s="828">
        <v>3347</v>
      </c>
      <c r="AO123" s="828">
        <v>2274</v>
      </c>
      <c r="AP123" s="828">
        <v>1736</v>
      </c>
    </row>
    <row r="124" hidden="1">
      <c r="B124" s="829" t="s">
        <v>21</v>
      </c>
      <c r="C124" s="823">
        <v>30</v>
      </c>
      <c r="D124" s="823">
        <v>31</v>
      </c>
      <c r="E124" s="823">
        <v>164</v>
      </c>
      <c r="F124" s="823">
        <v>148</v>
      </c>
      <c r="G124" s="823">
        <v>161</v>
      </c>
      <c r="H124" s="823">
        <v>45</v>
      </c>
      <c r="I124" s="823">
        <v>70</v>
      </c>
      <c r="J124" s="823">
        <v>44</v>
      </c>
      <c r="K124" s="823">
        <v>54</v>
      </c>
      <c r="L124" s="823">
        <v>94</v>
      </c>
      <c r="M124" s="823">
        <v>84</v>
      </c>
      <c r="N124" s="823">
        <v>151</v>
      </c>
      <c r="O124" s="823">
        <v>165</v>
      </c>
      <c r="P124" s="823">
        <v>247</v>
      </c>
      <c r="Q124" s="823">
        <v>228</v>
      </c>
      <c r="R124" s="823">
        <v>254</v>
      </c>
      <c r="S124" s="823">
        <v>284</v>
      </c>
      <c r="T124" s="823">
        <v>259</v>
      </c>
      <c r="U124" s="823">
        <v>239</v>
      </c>
      <c r="V124" s="823">
        <v>276</v>
      </c>
      <c r="W124" s="823">
        <v>270</v>
      </c>
      <c r="X124" s="823">
        <v>260</v>
      </c>
      <c r="Y124" s="823">
        <v>206</v>
      </c>
      <c r="Z124" s="823">
        <v>313</v>
      </c>
      <c r="AA124" s="823">
        <v>416</v>
      </c>
      <c r="AB124" s="823">
        <v>291</v>
      </c>
      <c r="AC124" s="825">
        <v>456</v>
      </c>
      <c r="AD124" s="825">
        <v>447</v>
      </c>
      <c r="AE124" s="825">
        <v>442</v>
      </c>
      <c r="AF124" s="825">
        <v>438</v>
      </c>
      <c r="AG124" s="825">
        <v>445</v>
      </c>
      <c r="AH124" s="825">
        <v>320</v>
      </c>
      <c r="AI124" s="825">
        <v>373</v>
      </c>
      <c r="AJ124" s="825">
        <v>336</v>
      </c>
      <c r="AK124" s="825">
        <v>466</v>
      </c>
      <c r="AL124" s="825">
        <v>340</v>
      </c>
      <c r="AM124" s="825">
        <v>182</v>
      </c>
      <c r="AN124" s="825">
        <v>175</v>
      </c>
      <c r="AO124" s="825">
        <v>176</v>
      </c>
      <c r="AP124" s="825">
        <v>119</v>
      </c>
    </row>
    <row r="125" hidden="1">
      <c r="B125" s="826" t="s">
        <v>22</v>
      </c>
      <c r="C125" s="827">
        <v>0</v>
      </c>
      <c r="D125" s="827">
        <v>0</v>
      </c>
      <c r="E125" s="827">
        <v>0</v>
      </c>
      <c r="F125" s="827">
        <v>0</v>
      </c>
      <c r="G125" s="827">
        <v>0</v>
      </c>
      <c r="H125" s="827">
        <v>11</v>
      </c>
      <c r="I125" s="827">
        <v>262</v>
      </c>
      <c r="J125" s="827">
        <v>516</v>
      </c>
      <c r="K125" s="827">
        <v>820</v>
      </c>
      <c r="L125" s="827">
        <v>831</v>
      </c>
      <c r="M125" s="827">
        <v>1514</v>
      </c>
      <c r="N125" s="827">
        <v>1540</v>
      </c>
      <c r="O125" s="827">
        <v>1686</v>
      </c>
      <c r="P125" s="827">
        <v>1726</v>
      </c>
      <c r="Q125" s="827">
        <v>1700</v>
      </c>
      <c r="R125" s="827">
        <v>1721</v>
      </c>
      <c r="S125" s="827">
        <v>1983</v>
      </c>
      <c r="T125" s="827">
        <v>1996</v>
      </c>
      <c r="U125" s="827">
        <v>3300</v>
      </c>
      <c r="V125" s="827">
        <v>3377</v>
      </c>
      <c r="W125" s="827">
        <v>3796</v>
      </c>
      <c r="X125" s="827">
        <v>4184</v>
      </c>
      <c r="Y125" s="827">
        <v>4631</v>
      </c>
      <c r="Z125" s="827">
        <v>4601</v>
      </c>
      <c r="AA125" s="827">
        <v>5225</v>
      </c>
      <c r="AB125" s="827">
        <v>5385</v>
      </c>
      <c r="AC125" s="828">
        <v>4642</v>
      </c>
      <c r="AD125" s="828">
        <v>4609</v>
      </c>
      <c r="AE125" s="828">
        <v>4452</v>
      </c>
      <c r="AF125" s="828">
        <v>4522</v>
      </c>
      <c r="AG125" s="828">
        <v>4350</v>
      </c>
      <c r="AH125" s="828">
        <v>4563</v>
      </c>
      <c r="AI125" s="828">
        <v>4954</v>
      </c>
      <c r="AJ125" s="828">
        <v>3032</v>
      </c>
      <c r="AK125" s="828">
        <v>3414</v>
      </c>
      <c r="AL125" s="828">
        <v>3231</v>
      </c>
      <c r="AM125" s="828">
        <v>2052</v>
      </c>
      <c r="AN125" s="828">
        <v>2304</v>
      </c>
      <c r="AO125" s="828">
        <v>1837</v>
      </c>
      <c r="AP125" s="828">
        <v>1909</v>
      </c>
    </row>
    <row r="126" hidden="1">
      <c r="B126" s="829" t="s">
        <v>23</v>
      </c>
      <c r="C126" s="823">
        <v>150</v>
      </c>
      <c r="D126" s="823">
        <v>157</v>
      </c>
      <c r="E126" s="823">
        <v>162</v>
      </c>
      <c r="F126" s="823">
        <v>175</v>
      </c>
      <c r="G126" s="823">
        <v>176</v>
      </c>
      <c r="H126" s="823">
        <v>29</v>
      </c>
      <c r="I126" s="823">
        <v>59</v>
      </c>
      <c r="J126" s="823">
        <v>71</v>
      </c>
      <c r="K126" s="823">
        <v>105</v>
      </c>
      <c r="L126" s="823">
        <v>164</v>
      </c>
      <c r="M126" s="823">
        <v>167</v>
      </c>
      <c r="N126" s="823">
        <v>164</v>
      </c>
      <c r="O126" s="823">
        <v>162</v>
      </c>
      <c r="P126" s="823">
        <v>181</v>
      </c>
      <c r="Q126" s="823">
        <v>218</v>
      </c>
      <c r="R126" s="823">
        <v>221</v>
      </c>
      <c r="S126" s="823">
        <v>223</v>
      </c>
      <c r="T126" s="823">
        <v>134</v>
      </c>
      <c r="U126" s="823">
        <v>129</v>
      </c>
      <c r="V126" s="823">
        <v>171</v>
      </c>
      <c r="W126" s="823">
        <v>163</v>
      </c>
      <c r="X126" s="823">
        <v>182</v>
      </c>
      <c r="Y126" s="823">
        <v>183</v>
      </c>
      <c r="Z126" s="823">
        <v>210</v>
      </c>
      <c r="AA126" s="823">
        <v>209</v>
      </c>
      <c r="AB126" s="823">
        <v>234</v>
      </c>
      <c r="AC126" s="825">
        <v>255</v>
      </c>
      <c r="AD126" s="825">
        <v>261</v>
      </c>
      <c r="AE126" s="825">
        <v>266</v>
      </c>
      <c r="AF126" s="825">
        <v>290</v>
      </c>
      <c r="AG126" s="825">
        <v>287</v>
      </c>
      <c r="AH126" s="825">
        <v>99</v>
      </c>
      <c r="AI126" s="825">
        <v>61</v>
      </c>
      <c r="AJ126" s="825">
        <v>115</v>
      </c>
      <c r="AK126" s="825">
        <v>120</v>
      </c>
      <c r="AL126" s="825">
        <v>148</v>
      </c>
      <c r="AM126" s="825">
        <v>151</v>
      </c>
      <c r="AN126" s="825">
        <v>164</v>
      </c>
      <c r="AO126" s="825">
        <v>161</v>
      </c>
      <c r="AP126" s="825">
        <v>160</v>
      </c>
    </row>
    <row r="127" hidden="1">
      <c r="B127" s="835" t="s">
        <v>24</v>
      </c>
      <c r="C127" s="827">
        <v>398</v>
      </c>
      <c r="D127" s="827">
        <v>514</v>
      </c>
      <c r="E127" s="827">
        <v>572</v>
      </c>
      <c r="F127" s="827">
        <v>568</v>
      </c>
      <c r="G127" s="827">
        <v>581</v>
      </c>
      <c r="H127" s="827">
        <v>629</v>
      </c>
      <c r="I127" s="827">
        <v>632</v>
      </c>
      <c r="J127" s="827">
        <v>659</v>
      </c>
      <c r="K127" s="827">
        <v>669</v>
      </c>
      <c r="L127" s="827">
        <v>711</v>
      </c>
      <c r="M127" s="827">
        <v>748</v>
      </c>
      <c r="N127" s="827">
        <v>753</v>
      </c>
      <c r="O127" s="827">
        <v>858</v>
      </c>
      <c r="P127" s="827">
        <v>855</v>
      </c>
      <c r="Q127" s="827">
        <v>926</v>
      </c>
      <c r="R127" s="827">
        <v>927</v>
      </c>
      <c r="S127" s="827">
        <v>930</v>
      </c>
      <c r="T127" s="827">
        <v>907</v>
      </c>
      <c r="U127" s="827">
        <v>954</v>
      </c>
      <c r="V127" s="827">
        <v>974</v>
      </c>
      <c r="W127" s="827">
        <v>1072</v>
      </c>
      <c r="X127" s="827">
        <v>1089</v>
      </c>
      <c r="Y127" s="827">
        <v>1190</v>
      </c>
      <c r="Z127" s="827">
        <v>1187</v>
      </c>
      <c r="AA127" s="827">
        <v>1246</v>
      </c>
      <c r="AB127" s="827">
        <v>1232</v>
      </c>
      <c r="AC127" s="828">
        <v>1254</v>
      </c>
      <c r="AD127" s="828">
        <v>1255</v>
      </c>
      <c r="AE127" s="828">
        <v>1287</v>
      </c>
      <c r="AF127" s="828">
        <v>1302</v>
      </c>
      <c r="AG127" s="828">
        <v>1429</v>
      </c>
      <c r="AH127" s="828">
        <v>1409</v>
      </c>
      <c r="AI127" s="828">
        <v>1447</v>
      </c>
      <c r="AJ127" s="828">
        <v>1438</v>
      </c>
      <c r="AK127" s="828">
        <v>1494</v>
      </c>
      <c r="AL127" s="828">
        <v>1615</v>
      </c>
      <c r="AM127" s="828">
        <v>1765</v>
      </c>
      <c r="AN127" s="828">
        <v>1739</v>
      </c>
      <c r="AO127" s="828">
        <v>1687</v>
      </c>
      <c r="AP127" s="828">
        <v>1620</v>
      </c>
    </row>
    <row r="128" hidden="1">
      <c r="B128" s="829" t="s">
        <v>25</v>
      </c>
      <c r="C128" s="823">
        <v>0</v>
      </c>
      <c r="D128" s="823">
        <v>0</v>
      </c>
      <c r="E128" s="823">
        <v>0</v>
      </c>
      <c r="F128" s="823">
        <v>0</v>
      </c>
      <c r="G128" s="823">
        <v>0</v>
      </c>
      <c r="H128" s="823">
        <v>0</v>
      </c>
      <c r="I128" s="823">
        <v>0</v>
      </c>
      <c r="J128" s="823">
        <v>0</v>
      </c>
      <c r="K128" s="823">
        <v>0</v>
      </c>
      <c r="L128" s="823">
        <v>0</v>
      </c>
      <c r="M128" s="823">
        <v>0</v>
      </c>
      <c r="N128" s="823">
        <v>0</v>
      </c>
      <c r="O128" s="823">
        <v>0</v>
      </c>
      <c r="P128" s="823">
        <v>0</v>
      </c>
      <c r="Q128" s="823">
        <v>0</v>
      </c>
      <c r="R128" s="823">
        <v>0</v>
      </c>
      <c r="S128" s="823">
        <v>0</v>
      </c>
      <c r="T128" s="823">
        <v>0</v>
      </c>
      <c r="U128" s="823">
        <v>0</v>
      </c>
      <c r="V128" s="823">
        <v>0</v>
      </c>
      <c r="W128" s="823">
        <v>0</v>
      </c>
      <c r="X128" s="823">
        <v>0</v>
      </c>
      <c r="Y128" s="823">
        <v>0</v>
      </c>
      <c r="Z128" s="823">
        <v>0</v>
      </c>
      <c r="AA128" s="823">
        <v>0</v>
      </c>
      <c r="AB128" s="823">
        <v>0</v>
      </c>
      <c r="AC128" s="825">
        <v>0</v>
      </c>
      <c r="AD128" s="825">
        <v>0</v>
      </c>
      <c r="AE128" s="825">
        <v>0</v>
      </c>
      <c r="AF128" s="825">
        <v>0</v>
      </c>
      <c r="AG128" s="825">
        <v>0</v>
      </c>
      <c r="AH128" s="825">
        <v>0</v>
      </c>
      <c r="AI128" s="825">
        <v>0</v>
      </c>
      <c r="AJ128" s="825">
        <v>0</v>
      </c>
      <c r="AK128" s="825">
        <v>0</v>
      </c>
      <c r="AL128" s="825">
        <v>0</v>
      </c>
      <c r="AM128" s="825">
        <v>0</v>
      </c>
      <c r="AN128" s="825">
        <v>0</v>
      </c>
      <c r="AO128" s="825">
        <v>0</v>
      </c>
      <c r="AP128" s="825">
        <v>0</v>
      </c>
    </row>
    <row r="129" hidden="1" ht="13.5">
      <c r="B129" s="836" t="s">
        <v>26</v>
      </c>
      <c r="C129" s="827">
        <v>0</v>
      </c>
      <c r="D129" s="827">
        <v>0</v>
      </c>
      <c r="E129" s="827">
        <v>0</v>
      </c>
      <c r="F129" s="827">
        <v>0</v>
      </c>
      <c r="G129" s="827">
        <v>0</v>
      </c>
      <c r="H129" s="827">
        <v>0</v>
      </c>
      <c r="I129" s="827">
        <v>0</v>
      </c>
      <c r="J129" s="827">
        <v>0</v>
      </c>
      <c r="K129" s="827">
        <v>0</v>
      </c>
      <c r="L129" s="827">
        <v>0</v>
      </c>
      <c r="M129" s="827">
        <v>0</v>
      </c>
      <c r="N129" s="827">
        <v>0</v>
      </c>
      <c r="O129" s="827">
        <v>0</v>
      </c>
      <c r="P129" s="827">
        <v>0</v>
      </c>
      <c r="Q129" s="827">
        <v>0</v>
      </c>
      <c r="R129" s="827">
        <v>0</v>
      </c>
      <c r="S129" s="827">
        <v>0</v>
      </c>
      <c r="T129" s="827">
        <v>0</v>
      </c>
      <c r="U129" s="827">
        <v>0</v>
      </c>
      <c r="V129" s="827">
        <v>0</v>
      </c>
      <c r="W129" s="827">
        <v>0</v>
      </c>
      <c r="X129" s="827">
        <v>0</v>
      </c>
      <c r="Y129" s="827">
        <v>0</v>
      </c>
      <c r="Z129" s="827">
        <v>0</v>
      </c>
      <c r="AA129" s="827">
        <v>0</v>
      </c>
      <c r="AB129" s="837">
        <v>0</v>
      </c>
      <c r="AC129" s="828">
        <v>0</v>
      </c>
      <c r="AD129" s="828">
        <v>0</v>
      </c>
      <c r="AE129" s="828">
        <v>0</v>
      </c>
      <c r="AF129" s="828">
        <v>0</v>
      </c>
      <c r="AG129" s="828">
        <v>0</v>
      </c>
      <c r="AH129" s="828">
        <v>0</v>
      </c>
      <c r="AI129" s="828">
        <v>0</v>
      </c>
      <c r="AJ129" s="828">
        <v>0</v>
      </c>
      <c r="AK129" s="828">
        <v>0</v>
      </c>
      <c r="AL129" s="828">
        <v>0</v>
      </c>
      <c r="AM129" s="828">
        <v>0</v>
      </c>
      <c r="AN129" s="828">
        <v>0</v>
      </c>
      <c r="AO129" s="828">
        <v>0</v>
      </c>
      <c r="AP129" s="828">
        <v>0</v>
      </c>
    </row>
    <row r="130" hidden="1" ht="13.5">
      <c r="B130" s="128" t="s">
        <v>7</v>
      </c>
      <c r="C130" s="129" t="str">
        <f>IF(SUM(C111:C129)&lt;&gt;0,SUM(C111:C129),"")</f>
      </c>
      <c r="D130" s="129" t="str">
        <f ref="D130:AA130" t="shared" si="10">IF(SUM(D111:D129)&lt;&gt;0,SUM(D111:D129),"")</f>
      </c>
      <c r="E130" s="129" t="str">
        <f t="shared" si="10"/>
      </c>
      <c r="F130" s="129" t="str">
        <f t="shared" si="10"/>
      </c>
      <c r="G130" s="129" t="str">
        <f t="shared" si="10"/>
      </c>
      <c r="H130" s="129" t="str">
        <f t="shared" si="10"/>
      </c>
      <c r="I130" s="129" t="str">
        <f t="shared" si="10"/>
      </c>
      <c r="J130" s="129" t="str">
        <f t="shared" si="10"/>
      </c>
      <c r="K130" s="129" t="str">
        <f t="shared" si="10"/>
      </c>
      <c r="L130" s="129" t="str">
        <f t="shared" si="10"/>
      </c>
      <c r="M130" s="129" t="str">
        <f t="shared" si="10"/>
      </c>
      <c r="N130" s="129" t="str">
        <f t="shared" si="10"/>
      </c>
      <c r="O130" s="129" t="str">
        <f t="shared" si="10"/>
      </c>
      <c r="P130" s="129" t="str">
        <f t="shared" si="10"/>
      </c>
      <c r="Q130" s="129" t="str">
        <f t="shared" si="10"/>
      </c>
      <c r="R130" s="129" t="str">
        <f t="shared" si="10"/>
      </c>
      <c r="S130" s="129" t="str">
        <f t="shared" si="10"/>
      </c>
      <c r="T130" s="129" t="str">
        <f t="shared" si="10"/>
      </c>
      <c r="U130" s="129" t="str">
        <f t="shared" si="10"/>
      </c>
      <c r="V130" s="129" t="str">
        <f t="shared" si="10"/>
      </c>
      <c r="W130" s="129" t="str">
        <f t="shared" si="10"/>
      </c>
      <c r="X130" s="129" t="str">
        <f t="shared" si="10"/>
      </c>
      <c r="Y130" s="129" t="str">
        <f t="shared" si="10"/>
      </c>
      <c r="Z130" s="129" t="str">
        <f t="shared" si="10"/>
      </c>
      <c r="AA130" s="129" t="str">
        <f t="shared" si="10"/>
      </c>
      <c r="AB130" s="130" t="str">
        <f>IF(SUM(AB111:AB129)&lt;&gt;0,SUM(AB111:AB129),"")</f>
      </c>
      <c r="AC130" s="91" t="str">
        <f ref="AC130:CN130" t="shared" si="11">IF(SUM(AC111:AC129)&lt;&gt;0,SUM(AC111:AC129),"")</f>
      </c>
      <c r="AD130" s="91" t="str">
        <f t="shared" si="11"/>
      </c>
      <c r="AE130" s="91" t="str">
        <f t="shared" si="11"/>
      </c>
      <c r="AF130" s="91" t="str">
        <f t="shared" si="11"/>
      </c>
      <c r="AG130" s="91" t="str">
        <f t="shared" si="11"/>
      </c>
      <c r="AH130" s="91" t="str">
        <f t="shared" si="11"/>
      </c>
      <c r="AI130" s="91" t="str">
        <f t="shared" si="11"/>
      </c>
      <c r="AJ130" s="91" t="str">
        <f t="shared" si="11"/>
      </c>
      <c r="AK130" s="91" t="str">
        <f t="shared" si="11"/>
      </c>
      <c r="AL130" s="91" t="str">
        <f t="shared" si="11"/>
      </c>
      <c r="AM130" s="91" t="str">
        <f t="shared" si="11"/>
      </c>
      <c r="AN130" s="91" t="str">
        <f t="shared" si="11"/>
      </c>
      <c r="AO130" s="91" t="str">
        <f t="shared" si="11"/>
      </c>
      <c r="AP130" s="91" t="str">
        <f t="shared" si="11"/>
      </c>
      <c r="AQ130" s="91" t="str">
        <f t="shared" si="11"/>
      </c>
      <c r="AR130" s="91" t="str">
        <f t="shared" si="11"/>
      </c>
      <c r="AS130" s="91" t="str">
        <f t="shared" si="11"/>
      </c>
      <c r="AT130" s="91" t="str">
        <f t="shared" si="11"/>
      </c>
      <c r="AU130" s="91" t="str">
        <f t="shared" si="11"/>
      </c>
      <c r="AV130" s="91" t="str">
        <f t="shared" si="11"/>
      </c>
      <c r="AW130" s="91" t="str">
        <f t="shared" si="11"/>
      </c>
      <c r="AX130" s="91" t="str">
        <f t="shared" si="11"/>
      </c>
      <c r="AY130" s="91" t="str">
        <f t="shared" si="11"/>
      </c>
      <c r="AZ130" s="91" t="str">
        <f t="shared" si="11"/>
      </c>
      <c r="BA130" s="91" t="str">
        <f t="shared" si="11"/>
      </c>
      <c r="BB130" s="91" t="str">
        <f t="shared" si="11"/>
      </c>
      <c r="BC130" s="91" t="str">
        <f t="shared" si="11"/>
      </c>
      <c r="BD130" s="91" t="str">
        <f t="shared" si="11"/>
      </c>
      <c r="BE130" s="91" t="str">
        <f t="shared" si="11"/>
      </c>
      <c r="BF130" s="91" t="str">
        <f t="shared" si="11"/>
      </c>
      <c r="BG130" s="91" t="str">
        <f t="shared" si="11"/>
      </c>
      <c r="BH130" s="91" t="str">
        <f t="shared" si="11"/>
      </c>
      <c r="BI130" s="91" t="str">
        <f t="shared" si="11"/>
      </c>
      <c r="BJ130" s="91" t="str">
        <f t="shared" si="11"/>
      </c>
      <c r="BK130" s="91" t="str">
        <f t="shared" si="11"/>
      </c>
      <c r="BL130" s="91" t="str">
        <f t="shared" si="11"/>
      </c>
      <c r="BM130" s="91" t="str">
        <f t="shared" si="11"/>
      </c>
      <c r="BN130" s="91" t="str">
        <f t="shared" si="11"/>
      </c>
      <c r="BO130" s="91" t="str">
        <f t="shared" si="11"/>
      </c>
      <c r="BP130" s="91" t="str">
        <f t="shared" si="11"/>
      </c>
      <c r="BQ130" s="91" t="str">
        <f t="shared" si="11"/>
      </c>
      <c r="BR130" s="91" t="str">
        <f t="shared" si="11"/>
      </c>
      <c r="BS130" s="91" t="str">
        <f t="shared" si="11"/>
      </c>
      <c r="BT130" s="91" t="str">
        <f t="shared" si="11"/>
      </c>
      <c r="BU130" s="91" t="str">
        <f t="shared" si="11"/>
      </c>
      <c r="BV130" s="91" t="str">
        <f t="shared" si="11"/>
      </c>
      <c r="BW130" s="91" t="str">
        <f t="shared" si="11"/>
      </c>
      <c r="BX130" s="91" t="str">
        <f t="shared" si="11"/>
      </c>
      <c r="BY130" s="91" t="str">
        <f t="shared" si="11"/>
      </c>
      <c r="BZ130" s="91" t="str">
        <f t="shared" si="11"/>
      </c>
      <c r="CA130" s="91" t="str">
        <f t="shared" si="11"/>
      </c>
      <c r="CB130" s="91" t="str">
        <f t="shared" si="11"/>
      </c>
      <c r="CC130" s="91" t="str">
        <f t="shared" si="11"/>
      </c>
      <c r="CD130" s="91" t="str">
        <f t="shared" si="11"/>
      </c>
      <c r="CE130" s="91" t="str">
        <f t="shared" si="11"/>
      </c>
      <c r="CF130" s="91" t="str">
        <f t="shared" si="11"/>
      </c>
      <c r="CG130" s="91" t="str">
        <f t="shared" si="11"/>
      </c>
      <c r="CH130" s="91" t="str">
        <f t="shared" si="11"/>
      </c>
      <c r="CI130" s="91" t="str">
        <f t="shared" si="11"/>
      </c>
      <c r="CJ130" s="91" t="str">
        <f t="shared" si="11"/>
      </c>
      <c r="CK130" s="91" t="str">
        <f t="shared" si="11"/>
      </c>
      <c r="CL130" s="91" t="str">
        <f t="shared" si="11"/>
      </c>
      <c r="CM130" s="91" t="str">
        <f t="shared" si="11"/>
      </c>
      <c r="CN130" s="91" t="str">
        <f t="shared" si="11"/>
      </c>
      <c r="CO130" s="91" t="str">
        <f ref="CO130:EZ130" t="shared" si="12">IF(SUM(CO111:CO129)&lt;&gt;0,SUM(CO111:CO129),"")</f>
      </c>
      <c r="CP130" s="91" t="str">
        <f t="shared" si="12"/>
      </c>
      <c r="CQ130" s="91" t="str">
        <f t="shared" si="12"/>
      </c>
      <c r="CR130" s="91" t="str">
        <f t="shared" si="12"/>
      </c>
      <c r="CS130" s="91" t="str">
        <f t="shared" si="12"/>
      </c>
      <c r="CT130" s="91" t="str">
        <f t="shared" si="12"/>
      </c>
      <c r="CU130" s="91" t="str">
        <f t="shared" si="12"/>
      </c>
      <c r="CV130" s="91" t="str">
        <f t="shared" si="12"/>
      </c>
      <c r="CW130" s="91" t="str">
        <f t="shared" si="12"/>
      </c>
      <c r="CX130" s="91" t="str">
        <f t="shared" si="12"/>
      </c>
      <c r="CY130" s="91" t="str">
        <f t="shared" si="12"/>
      </c>
      <c r="CZ130" s="91" t="str">
        <f t="shared" si="12"/>
      </c>
      <c r="DA130" s="91" t="str">
        <f t="shared" si="12"/>
      </c>
      <c r="DB130" s="91" t="str">
        <f t="shared" si="12"/>
      </c>
      <c r="DC130" s="91" t="str">
        <f t="shared" si="12"/>
      </c>
      <c r="DD130" s="91" t="str">
        <f t="shared" si="12"/>
      </c>
      <c r="DE130" s="91" t="str">
        <f t="shared" si="12"/>
      </c>
      <c r="DF130" s="91" t="str">
        <f t="shared" si="12"/>
      </c>
      <c r="DG130" s="91" t="str">
        <f t="shared" si="12"/>
      </c>
      <c r="DH130" s="91" t="str">
        <f t="shared" si="12"/>
      </c>
      <c r="DI130" s="91" t="str">
        <f t="shared" si="12"/>
      </c>
      <c r="DJ130" s="91" t="str">
        <f t="shared" si="12"/>
      </c>
      <c r="DK130" s="91" t="str">
        <f t="shared" si="12"/>
      </c>
      <c r="DL130" s="91" t="str">
        <f t="shared" si="12"/>
      </c>
      <c r="DM130" s="91" t="str">
        <f t="shared" si="12"/>
      </c>
      <c r="DN130" s="91" t="str">
        <f t="shared" si="12"/>
      </c>
      <c r="DO130" s="91" t="str">
        <f t="shared" si="12"/>
      </c>
      <c r="DP130" s="91" t="str">
        <f t="shared" si="12"/>
      </c>
      <c r="DQ130" s="91" t="str">
        <f t="shared" si="12"/>
      </c>
      <c r="DR130" s="91" t="str">
        <f t="shared" si="12"/>
      </c>
      <c r="DS130" s="91" t="str">
        <f t="shared" si="12"/>
      </c>
      <c r="DT130" s="91" t="str">
        <f t="shared" si="12"/>
      </c>
      <c r="DU130" s="91" t="str">
        <f t="shared" si="12"/>
      </c>
      <c r="DV130" s="91" t="str">
        <f t="shared" si="12"/>
      </c>
      <c r="DW130" s="91" t="str">
        <f t="shared" si="12"/>
      </c>
      <c r="DX130" s="91" t="str">
        <f t="shared" si="12"/>
      </c>
      <c r="DY130" s="91" t="str">
        <f t="shared" si="12"/>
      </c>
      <c r="DZ130" s="91" t="str">
        <f t="shared" si="12"/>
      </c>
      <c r="EA130" s="91" t="str">
        <f t="shared" si="12"/>
      </c>
      <c r="EB130" s="91" t="str">
        <f t="shared" si="12"/>
      </c>
      <c r="EC130" s="91" t="str">
        <f t="shared" si="12"/>
      </c>
      <c r="ED130" s="91" t="str">
        <f t="shared" si="12"/>
      </c>
      <c r="EE130" s="91" t="str">
        <f t="shared" si="12"/>
      </c>
      <c r="EF130" s="91" t="str">
        <f t="shared" si="12"/>
      </c>
      <c r="EG130" s="91" t="str">
        <f t="shared" si="12"/>
      </c>
      <c r="EH130" s="91" t="str">
        <f t="shared" si="12"/>
      </c>
      <c r="EI130" s="91" t="str">
        <f t="shared" si="12"/>
      </c>
      <c r="EJ130" s="91" t="str">
        <f t="shared" si="12"/>
      </c>
      <c r="EK130" s="91" t="str">
        <f t="shared" si="12"/>
      </c>
      <c r="EL130" s="91" t="str">
        <f t="shared" si="12"/>
      </c>
      <c r="EM130" s="91" t="str">
        <f t="shared" si="12"/>
      </c>
      <c r="EN130" s="91" t="str">
        <f t="shared" si="12"/>
      </c>
      <c r="EO130" s="91" t="str">
        <f t="shared" si="12"/>
      </c>
      <c r="EP130" s="91" t="str">
        <f t="shared" si="12"/>
      </c>
      <c r="EQ130" s="91" t="str">
        <f t="shared" si="12"/>
      </c>
      <c r="ER130" s="91" t="str">
        <f t="shared" si="12"/>
      </c>
      <c r="ES130" s="91" t="str">
        <f t="shared" si="12"/>
      </c>
      <c r="ET130" s="91" t="str">
        <f t="shared" si="12"/>
      </c>
      <c r="EU130" s="91" t="str">
        <f t="shared" si="12"/>
      </c>
      <c r="EV130" s="91" t="str">
        <f t="shared" si="12"/>
      </c>
      <c r="EW130" s="91" t="str">
        <f t="shared" si="12"/>
      </c>
      <c r="EX130" s="91" t="str">
        <f t="shared" si="12"/>
      </c>
      <c r="EY130" s="91" t="str">
        <f t="shared" si="12"/>
      </c>
      <c r="EZ130" s="91" t="str">
        <f t="shared" si="12"/>
      </c>
      <c r="FA130" s="91" t="str">
        <f ref="FA130:HL130" t="shared" si="13">IF(SUM(FA111:FA129)&lt;&gt;0,SUM(FA111:FA129),"")</f>
      </c>
      <c r="FB130" s="91" t="str">
        <f t="shared" si="13"/>
      </c>
      <c r="FC130" s="91" t="str">
        <f t="shared" si="13"/>
      </c>
      <c r="FD130" s="91" t="str">
        <f t="shared" si="13"/>
      </c>
      <c r="FE130" s="91" t="str">
        <f t="shared" si="13"/>
      </c>
      <c r="FF130" s="91" t="str">
        <f t="shared" si="13"/>
      </c>
      <c r="FG130" s="91" t="str">
        <f t="shared" si="13"/>
      </c>
      <c r="FH130" s="91" t="str">
        <f t="shared" si="13"/>
      </c>
      <c r="FI130" s="91" t="str">
        <f t="shared" si="13"/>
      </c>
      <c r="FJ130" s="91" t="str">
        <f t="shared" si="13"/>
      </c>
      <c r="FK130" s="91" t="str">
        <f t="shared" si="13"/>
      </c>
      <c r="FL130" s="91" t="str">
        <f t="shared" si="13"/>
      </c>
      <c r="FM130" s="91" t="str">
        <f t="shared" si="13"/>
      </c>
      <c r="FN130" s="91" t="str">
        <f t="shared" si="13"/>
      </c>
      <c r="FO130" s="91" t="str">
        <f t="shared" si="13"/>
      </c>
      <c r="FP130" s="91" t="str">
        <f t="shared" si="13"/>
      </c>
      <c r="FQ130" s="91" t="str">
        <f t="shared" si="13"/>
      </c>
      <c r="FR130" s="91" t="str">
        <f t="shared" si="13"/>
      </c>
      <c r="FS130" s="91" t="str">
        <f t="shared" si="13"/>
      </c>
      <c r="FT130" s="91" t="str">
        <f t="shared" si="13"/>
      </c>
      <c r="FU130" s="91" t="str">
        <f t="shared" si="13"/>
      </c>
      <c r="FV130" s="91" t="str">
        <f t="shared" si="13"/>
      </c>
      <c r="FW130" s="91" t="str">
        <f t="shared" si="13"/>
      </c>
      <c r="FX130" s="91" t="str">
        <f t="shared" si="13"/>
      </c>
      <c r="FY130" s="91" t="str">
        <f t="shared" si="13"/>
      </c>
      <c r="FZ130" s="91" t="str">
        <f t="shared" si="13"/>
      </c>
      <c r="GA130" s="91" t="str">
        <f t="shared" si="13"/>
      </c>
      <c r="GB130" s="91" t="str">
        <f t="shared" si="13"/>
      </c>
      <c r="GC130" s="91" t="str">
        <f t="shared" si="13"/>
      </c>
      <c r="GD130" s="91" t="str">
        <f t="shared" si="13"/>
      </c>
      <c r="GE130" s="91" t="str">
        <f t="shared" si="13"/>
      </c>
      <c r="GF130" s="91" t="str">
        <f t="shared" si="13"/>
      </c>
      <c r="GG130" s="91" t="str">
        <f t="shared" si="13"/>
      </c>
      <c r="GH130" s="91" t="str">
        <f t="shared" si="13"/>
      </c>
      <c r="GI130" s="91" t="str">
        <f t="shared" si="13"/>
      </c>
      <c r="GJ130" s="91" t="str">
        <f t="shared" si="13"/>
      </c>
      <c r="GK130" s="91" t="str">
        <f t="shared" si="13"/>
      </c>
      <c r="GL130" s="91" t="str">
        <f t="shared" si="13"/>
      </c>
      <c r="GM130" s="91" t="str">
        <f t="shared" si="13"/>
      </c>
      <c r="GN130" s="91" t="str">
        <f t="shared" si="13"/>
      </c>
      <c r="GO130" s="91" t="str">
        <f t="shared" si="13"/>
      </c>
      <c r="GP130" s="91" t="str">
        <f t="shared" si="13"/>
      </c>
      <c r="GQ130" s="91" t="str">
        <f t="shared" si="13"/>
      </c>
      <c r="GR130" s="91" t="str">
        <f t="shared" si="13"/>
      </c>
      <c r="GS130" s="91" t="str">
        <f t="shared" si="13"/>
      </c>
      <c r="GT130" s="91" t="str">
        <f t="shared" si="13"/>
      </c>
      <c r="GU130" s="91" t="str">
        <f t="shared" si="13"/>
      </c>
      <c r="GV130" s="91" t="str">
        <f t="shared" si="13"/>
      </c>
      <c r="GW130" s="91" t="str">
        <f t="shared" si="13"/>
      </c>
      <c r="GX130" s="91" t="str">
        <f t="shared" si="13"/>
      </c>
      <c r="GY130" s="91" t="str">
        <f t="shared" si="13"/>
      </c>
      <c r="GZ130" s="91" t="str">
        <f t="shared" si="13"/>
      </c>
      <c r="HA130" s="91" t="str">
        <f t="shared" si="13"/>
      </c>
      <c r="HB130" s="91" t="str">
        <f t="shared" si="13"/>
      </c>
      <c r="HC130" s="91" t="str">
        <f t="shared" si="13"/>
      </c>
      <c r="HD130" s="91" t="str">
        <f t="shared" si="13"/>
      </c>
      <c r="HE130" s="91" t="str">
        <f t="shared" si="13"/>
      </c>
      <c r="HF130" s="91" t="str">
        <f t="shared" si="13"/>
      </c>
      <c r="HG130" s="91" t="str">
        <f t="shared" si="13"/>
      </c>
      <c r="HH130" s="91" t="str">
        <f t="shared" si="13"/>
      </c>
      <c r="HI130" s="91" t="str">
        <f t="shared" si="13"/>
      </c>
      <c r="HJ130" s="91" t="str">
        <f t="shared" si="13"/>
      </c>
      <c r="HK130" s="91" t="str">
        <f t="shared" si="13"/>
      </c>
      <c r="HL130" s="91" t="str">
        <f t="shared" si="13"/>
      </c>
      <c r="HM130" s="91" t="str">
        <f ref="HM130:IV130" t="shared" si="14">IF(SUM(HM111:HM129)&lt;&gt;0,SUM(HM111:HM129),"")</f>
      </c>
      <c r="HN130" s="91" t="str">
        <f t="shared" si="14"/>
      </c>
      <c r="HO130" s="91" t="str">
        <f t="shared" si="14"/>
      </c>
      <c r="HP130" s="91" t="str">
        <f t="shared" si="14"/>
      </c>
      <c r="HQ130" s="91" t="str">
        <f t="shared" si="14"/>
      </c>
      <c r="HR130" s="91" t="str">
        <f t="shared" si="14"/>
      </c>
      <c r="HS130" s="91" t="str">
        <f t="shared" si="14"/>
      </c>
      <c r="HT130" s="91" t="str">
        <f t="shared" si="14"/>
      </c>
      <c r="HU130" s="91" t="str">
        <f t="shared" si="14"/>
      </c>
      <c r="HV130" s="91" t="str">
        <f t="shared" si="14"/>
      </c>
      <c r="HW130" s="91" t="str">
        <f t="shared" si="14"/>
      </c>
      <c r="HX130" s="91" t="str">
        <f t="shared" si="14"/>
      </c>
      <c r="HY130" s="91" t="str">
        <f t="shared" si="14"/>
      </c>
      <c r="HZ130" s="91" t="str">
        <f t="shared" si="14"/>
      </c>
      <c r="IA130" s="91" t="str">
        <f t="shared" si="14"/>
      </c>
      <c r="IB130" s="91" t="str">
        <f t="shared" si="14"/>
      </c>
      <c r="IC130" s="91" t="str">
        <f t="shared" si="14"/>
      </c>
      <c r="ID130" s="91" t="str">
        <f t="shared" si="14"/>
      </c>
      <c r="IE130" s="91" t="str">
        <f t="shared" si="14"/>
      </c>
      <c r="IF130" s="91" t="str">
        <f t="shared" si="14"/>
      </c>
      <c r="IG130" s="91" t="str">
        <f t="shared" si="14"/>
      </c>
      <c r="IH130" s="91" t="str">
        <f t="shared" si="14"/>
      </c>
      <c r="II130" s="91" t="str">
        <f t="shared" si="14"/>
      </c>
      <c r="IJ130" s="91" t="str">
        <f t="shared" si="14"/>
      </c>
      <c r="IK130" s="91" t="str">
        <f t="shared" si="14"/>
      </c>
      <c r="IL130" s="91" t="str">
        <f t="shared" si="14"/>
      </c>
      <c r="IM130" s="91" t="str">
        <f t="shared" si="14"/>
      </c>
      <c r="IN130" s="91" t="str">
        <f t="shared" si="14"/>
      </c>
      <c r="IO130" s="91" t="str">
        <f t="shared" si="14"/>
      </c>
      <c r="IP130" s="91" t="str">
        <f t="shared" si="14"/>
      </c>
      <c r="IQ130" s="91" t="str">
        <f t="shared" si="14"/>
      </c>
      <c r="IR130" s="91" t="str">
        <f t="shared" si="14"/>
      </c>
      <c r="IS130" s="91" t="str">
        <f t="shared" si="14"/>
      </c>
      <c r="IT130" s="91" t="str">
        <f t="shared" si="14"/>
      </c>
      <c r="IU130" s="91" t="str">
        <f t="shared" si="14"/>
      </c>
      <c r="IV130" s="91" t="str">
        <f t="shared" si="14"/>
      </c>
    </row>
    <row r="131" hidden="1" ht="13.5"/>
    <row r="132" hidden="1" ht="13.5">
      <c r="C132" s="594" t="s">
        <v>7</v>
      </c>
      <c r="D132" s="595"/>
      <c r="E132" s="595"/>
      <c r="F132" s="595"/>
      <c r="G132" s="595"/>
      <c r="H132" s="595"/>
      <c r="I132" s="595"/>
      <c r="J132" s="595"/>
      <c r="K132" s="595"/>
      <c r="L132" s="595"/>
      <c r="M132" s="595"/>
      <c r="N132" s="595"/>
      <c r="O132" s="595"/>
      <c r="P132" s="595"/>
      <c r="Q132" s="595"/>
      <c r="R132" s="595"/>
      <c r="S132" s="595"/>
      <c r="T132" s="595"/>
      <c r="U132" s="595"/>
      <c r="V132" s="595"/>
      <c r="W132" s="595"/>
      <c r="X132" s="595"/>
      <c r="Y132" s="595"/>
      <c r="Z132" s="595"/>
      <c r="AA132" s="595"/>
      <c r="AB132" s="596"/>
    </row>
    <row r="133" hidden="1" ht="13.5">
      <c r="C133" s="435" t="str">
        <f> IF(C153&lt;&gt;"",TEXT(AUX!G$1,"dd-MMM-aa"),"")</f>
      </c>
      <c r="D133" s="435" t="str">
        <f> IF(D153&lt;&gt;"",TEXT(AUX!H$1,"dd-MMM-aa"),"")</f>
      </c>
      <c r="E133" s="435" t="str">
        <f> IF(E153&lt;&gt;"",TEXT(AUX!I$1,"dd-MMM-aa"),"")</f>
      </c>
      <c r="F133" s="435" t="str">
        <f> IF(F153&lt;&gt;"",TEXT(AUX!J$1,"dd-MMM-aa"),"")</f>
      </c>
      <c r="G133" s="435" t="str">
        <f> IF(G153&lt;&gt;"",TEXT(AUX!K$1,"dd-MMM-aa"),"")</f>
      </c>
      <c r="H133" s="435" t="str">
        <f> IF(H153&lt;&gt;"",TEXT(AUX!L$1,"dd-MMM-aa"),"")</f>
      </c>
      <c r="I133" s="435" t="str">
        <f> IF(I153&lt;&gt;"",TEXT(AUX!M$1,"dd-MMM-aa"),"")</f>
      </c>
      <c r="J133" s="435" t="str">
        <f> IF(J153&lt;&gt;"",TEXT(AUX!N$1,"dd-MMM-aa"),"")</f>
      </c>
      <c r="K133" s="435" t="str">
        <f> IF(K153&lt;&gt;"",TEXT(AUX!O$1,"dd-MMM-aa"),"")</f>
      </c>
      <c r="L133" s="435" t="str">
        <f> IF(L153&lt;&gt;"",TEXT(AUX!P$1,"dd-MMM-aa"),"")</f>
      </c>
      <c r="M133" s="435" t="str">
        <f> IF(M153&lt;&gt;"",TEXT(AUX!Q$1,"dd-MMM-aa"),"")</f>
      </c>
      <c r="N133" s="435" t="str">
        <f> IF(N153&lt;&gt;"",TEXT(AUX!R$1,"dd-MMM-aa"),"")</f>
      </c>
      <c r="O133" s="435" t="str">
        <f> IF(O153&lt;&gt;"",TEXT(AUX!S$1,"dd-MMM-aa"),"")</f>
      </c>
      <c r="P133" s="435" t="str">
        <f> IF(P153&lt;&gt;"",TEXT(AUX!T$1,"dd-MMM-aa"),"")</f>
      </c>
      <c r="Q133" s="435" t="str">
        <f> IF(Q153&lt;&gt;"",TEXT(AUX!U$1,"dd-MMM-aa"),"")</f>
      </c>
      <c r="R133" s="435" t="str">
        <f> IF(R153&lt;&gt;"",TEXT(AUX!V$1,"dd-MMM-aa"),"")</f>
      </c>
      <c r="S133" s="435" t="str">
        <f> IF(S153&lt;&gt;"",TEXT(AUX!W$1,"dd-MMM-aa"),"")</f>
      </c>
      <c r="T133" s="435" t="str">
        <f> IF(T153&lt;&gt;"",TEXT(AUX!X$1,"dd-MMM-aa"),"")</f>
      </c>
      <c r="U133" s="435" t="str">
        <f> IF(U153&lt;&gt;"",TEXT(AUX!Y$1,"dd-MMM-aa"),"")</f>
      </c>
      <c r="V133" s="435" t="str">
        <f> IF(V153&lt;&gt;"",TEXT(AUX!Z$1,"dd-MMM-aa"),"")</f>
      </c>
      <c r="W133" s="435" t="str">
        <f> IF(W153&lt;&gt;"",TEXT(AUX!AA$1,"dd-MMM-aa"),"")</f>
      </c>
      <c r="X133" s="435" t="str">
        <f> IF(X153&lt;&gt;"",TEXT(AUX!AB$1,"dd-MMM-aa"),"")</f>
      </c>
      <c r="Y133" s="435" t="str">
        <f> IF(Y153&lt;&gt;"",TEXT(AUX!AC$1,"dd-MMM-aa"),"")</f>
      </c>
      <c r="Z133" s="435" t="str">
        <f> IF(Z153&lt;&gt;"",TEXT(AUX!AD$1,"dd-MMM-aa"),"")</f>
      </c>
      <c r="AA133" s="435" t="str">
        <f> IF(AA153&lt;&gt;"",TEXT(AUX!AE$1,"dd-MMM-aa"),"")</f>
      </c>
      <c r="AB133" s="497" t="str">
        <f> IF(AB153&lt;&gt;"",TEXT(AUX!AF$1,"dd-MMM-aa"),"")</f>
      </c>
      <c r="AC133" s="496" t="str">
        <f> IF(AC153&lt;&gt;"",TEXT(AUX!AG$1,"dd-MMM-aa"),"")</f>
      </c>
      <c r="AD133" s="496" t="str">
        <f> IF(AD153&lt;&gt;"",TEXT(AUX!AH$1,"dd-MMM-aa"),"")</f>
      </c>
      <c r="AE133" s="496" t="str">
        <f> IF(AE153&lt;&gt;"",TEXT(AUX!AI$1,"dd-MMM-aa"),"")</f>
      </c>
      <c r="AF133" s="496" t="str">
        <f> IF(AF153&lt;&gt;"",TEXT(AUX!AJ$1,"dd-MMM-aa"),"")</f>
      </c>
      <c r="AG133" s="496" t="str">
        <f> IF(AG153&lt;&gt;"",TEXT(AUX!AK$1,"dd-MMM-aa"),"")</f>
      </c>
      <c r="AH133" s="496" t="str">
        <f> IF(AH153&lt;&gt;"",TEXT(AUX!AL$1,"dd-MMM-aa"),"")</f>
      </c>
      <c r="AI133" s="496" t="str">
        <f> IF(AI153&lt;&gt;"",TEXT(AUX!AM$1,"dd-MMM-aa"),"")</f>
      </c>
      <c r="AJ133" s="496" t="str">
        <f> IF(AJ153&lt;&gt;"",TEXT(AUX!AN$1,"dd-MMM-aa"),"")</f>
      </c>
      <c r="AK133" s="496" t="str">
        <f> IF(AK153&lt;&gt;"",TEXT(AUX!AO$1,"dd-MMM-aa"),"")</f>
      </c>
      <c r="AL133" s="496" t="str">
        <f> IF(AL153&lt;&gt;"",TEXT(AUX!AP$1,"dd-MMM-aa"),"")</f>
      </c>
      <c r="AM133" s="496" t="str">
        <f> IF(AM153&lt;&gt;"",TEXT(AUX!AQ$1,"dd-MMM-aa"),"")</f>
      </c>
      <c r="AN133" s="496" t="str">
        <f> IF(AN153&lt;&gt;"",TEXT(AUX!AR$1,"dd-MMM-aa"),"")</f>
      </c>
      <c r="AO133" s="496" t="str">
        <f> IF(AO153&lt;&gt;"",TEXT(AUX!AS$1,"dd-MMM-aa"),"")</f>
      </c>
      <c r="AP133" s="496" t="str">
        <f> IF(AP153&lt;&gt;"",TEXT(AUX!AT$1,"dd-MMM-aa"),"")</f>
      </c>
      <c r="AQ133" s="496" t="str">
        <f> IF(AQ153&lt;&gt;"",TEXT(AUX!AU$1,"dd-MMM-aa"),"")</f>
      </c>
      <c r="AR133" s="496" t="str">
        <f> IF(AR153&lt;&gt;"",TEXT(AUX!AV$1,"dd-MMM-aa"),"")</f>
      </c>
      <c r="AS133" s="496" t="str">
        <f> IF(AS153&lt;&gt;"",TEXT(AUX!AW$1,"dd-MMM-aa"),"")</f>
      </c>
      <c r="AT133" s="496" t="str">
        <f> IF(AT153&lt;&gt;"",TEXT(AUX!AX$1,"dd-MMM-aa"),"")</f>
      </c>
      <c r="AU133" s="496" t="str">
        <f> IF(AU153&lt;&gt;"",TEXT(AUX!AY$1,"dd-MMM-aa"),"")</f>
      </c>
      <c r="AV133" s="496" t="str">
        <f> IF(AV153&lt;&gt;"",TEXT(AUX!AZ$1,"dd-MMM-aa"),"")</f>
      </c>
      <c r="AW133" s="496" t="str">
        <f> IF(AW153&lt;&gt;"",TEXT(AUX!BA$1,"dd-MMM-aa"),"")</f>
      </c>
      <c r="AX133" s="496" t="str">
        <f> IF(AX153&lt;&gt;"",TEXT(AUX!BB$1,"dd-MMM-aa"),"")</f>
      </c>
      <c r="AY133" s="496" t="str">
        <f> IF(AY153&lt;&gt;"",TEXT(AUX!BC$1,"dd-MMM-aa"),"")</f>
      </c>
      <c r="AZ133" s="496" t="str">
        <f> IF(AZ153&lt;&gt;"",TEXT(AUX!BD$1,"dd-MMM-aa"),"")</f>
      </c>
      <c r="BA133" s="496" t="str">
        <f> IF(BA153&lt;&gt;"",TEXT(AUX!BE$1,"dd-MMM-aa"),"")</f>
      </c>
      <c r="BB133" s="496" t="str">
        <f> IF(BB153&lt;&gt;"",TEXT(AUX!BF$1,"dd-MMM-aa"),"")</f>
      </c>
      <c r="BC133" s="496" t="str">
        <f> IF(BC153&lt;&gt;"",TEXT(AUX!BG$1,"dd-MMM-aa"),"")</f>
      </c>
      <c r="BD133" s="496" t="str">
        <f> IF(BD153&lt;&gt;"",TEXT(AUX!BH$1,"dd-MMM-aa"),"")</f>
      </c>
      <c r="BE133" s="496" t="str">
        <f> IF(BE153&lt;&gt;"",TEXT(AUX!BI$1,"dd-MMM-aa"),"")</f>
      </c>
      <c r="BF133" s="496" t="str">
        <f> IF(BF153&lt;&gt;"",TEXT(AUX!BJ$1,"dd-MMM-aa"),"")</f>
      </c>
      <c r="BG133" s="496" t="str">
        <f> IF(BG153&lt;&gt;"",TEXT(AUX!BK$1,"dd-MMM-aa"),"")</f>
      </c>
      <c r="BH133" s="496" t="str">
        <f> IF(BH153&lt;&gt;"",TEXT(AUX!BL$1,"dd-MMM-aa"),"")</f>
      </c>
      <c r="BI133" s="496" t="str">
        <f> IF(BI153&lt;&gt;"",TEXT(AUX!BM$1,"dd-MMM-aa"),"")</f>
      </c>
      <c r="BJ133" s="496" t="str">
        <f> IF(BJ153&lt;&gt;"",TEXT(AUX!BN$1,"dd-MMM-aa"),"")</f>
      </c>
      <c r="BK133" s="496" t="str">
        <f> IF(BK153&lt;&gt;"",TEXT(AUX!BO$1,"dd-MMM-aa"),"")</f>
      </c>
      <c r="BL133" s="496" t="str">
        <f> IF(BL153&lt;&gt;"",TEXT(AUX!BP$1,"dd-MMM-aa"),"")</f>
      </c>
      <c r="BM133" s="496" t="str">
        <f> IF(BM153&lt;&gt;"",TEXT(AUX!BQ$1,"dd-MMM-aa"),"")</f>
      </c>
      <c r="BN133" s="496" t="str">
        <f> IF(BN153&lt;&gt;"",TEXT(AUX!BR$1,"dd-MMM-aa"),"")</f>
      </c>
      <c r="BO133" s="496" t="str">
        <f> IF(BO153&lt;&gt;"",TEXT(AUX!BS$1,"dd-MMM-aa"),"")</f>
      </c>
      <c r="BP133" s="496" t="str">
        <f> IF(BP153&lt;&gt;"",TEXT(AUX!BT$1,"dd-MMM-aa"),"")</f>
      </c>
      <c r="BQ133" s="496" t="str">
        <f> IF(BQ153&lt;&gt;"",TEXT(AUX!BU$1,"dd-MMM-aa"),"")</f>
      </c>
      <c r="BR133" s="496" t="str">
        <f> IF(BR153&lt;&gt;"",TEXT(AUX!BV$1,"dd-MMM-aa"),"")</f>
      </c>
      <c r="BS133" s="496" t="str">
        <f> IF(BS153&lt;&gt;"",TEXT(AUX!BW$1,"dd-MMM-aa"),"")</f>
      </c>
      <c r="BT133" s="496" t="str">
        <f> IF(BT153&lt;&gt;"",TEXT(AUX!BX$1,"dd-MMM-aa"),"")</f>
      </c>
      <c r="BU133" s="496" t="str">
        <f> IF(BU153&lt;&gt;"",TEXT(AUX!BY$1,"dd-MMM-aa"),"")</f>
      </c>
      <c r="BV133" s="496" t="str">
        <f> IF(BV153&lt;&gt;"",TEXT(AUX!BZ$1,"dd-MMM-aa"),"")</f>
      </c>
      <c r="BW133" s="496" t="str">
        <f> IF(BW153&lt;&gt;"",TEXT(AUX!CA$1,"dd-MMM-aa"),"")</f>
      </c>
      <c r="BX133" s="496" t="str">
        <f> IF(BX153&lt;&gt;"",TEXT(AUX!CB$1,"dd-MMM-aa"),"")</f>
      </c>
      <c r="BY133" s="496" t="str">
        <f> IF(BY153&lt;&gt;"",TEXT(AUX!CC$1,"dd-MMM-aa"),"")</f>
      </c>
      <c r="BZ133" s="496" t="str">
        <f> IF(BZ153&lt;&gt;"",TEXT(AUX!CD$1,"dd-MMM-aa"),"")</f>
      </c>
      <c r="CA133" s="496" t="str">
        <f> IF(CA153&lt;&gt;"",TEXT(AUX!CE$1,"dd-MMM-aa"),"")</f>
      </c>
      <c r="CB133" s="496" t="str">
        <f> IF(CB153&lt;&gt;"",TEXT(AUX!CF$1,"dd-MMM-aa"),"")</f>
      </c>
      <c r="CC133" s="496" t="str">
        <f> IF(CC153&lt;&gt;"",TEXT(AUX!CG$1,"dd-MMM-aa"),"")</f>
      </c>
      <c r="CD133" s="496" t="str">
        <f> IF(CD153&lt;&gt;"",TEXT(AUX!CH$1,"dd-MMM-aa"),"")</f>
      </c>
      <c r="CE133" s="496" t="str">
        <f> IF(CE153&lt;&gt;"",TEXT(AUX!CI$1,"dd-MMM-aa"),"")</f>
      </c>
      <c r="CF133" s="496" t="str">
        <f> IF(CF153&lt;&gt;"",TEXT(AUX!CJ$1,"dd-MMM-aa"),"")</f>
      </c>
      <c r="CG133" s="496" t="str">
        <f> IF(CG153&lt;&gt;"",TEXT(AUX!CK$1,"dd-MMM-aa"),"")</f>
      </c>
      <c r="CH133" s="496" t="str">
        <f> IF(CH153&lt;&gt;"",TEXT(AUX!CL$1,"dd-MMM-aa"),"")</f>
      </c>
      <c r="CI133" s="496" t="str">
        <f> IF(CI153&lt;&gt;"",TEXT(AUX!CM$1,"dd-MMM-aa"),"")</f>
      </c>
      <c r="CJ133" s="496" t="str">
        <f> IF(CJ153&lt;&gt;"",TEXT(AUX!CN$1,"dd-MMM-aa"),"")</f>
      </c>
      <c r="CK133" s="496" t="str">
        <f> IF(CK153&lt;&gt;"",TEXT(AUX!CO$1,"dd-MMM-aa"),"")</f>
      </c>
      <c r="CL133" s="496" t="str">
        <f> IF(CL153&lt;&gt;"",TEXT(AUX!CP$1,"dd-MMM-aa"),"")</f>
      </c>
      <c r="CM133" s="496" t="str">
        <f> IF(CM153&lt;&gt;"",TEXT(AUX!CQ$1,"dd-MMM-aa"),"")</f>
      </c>
      <c r="CN133" s="496" t="str">
        <f> IF(CN153&lt;&gt;"",TEXT(AUX!CR$1,"dd-MMM-aa"),"")</f>
      </c>
      <c r="CO133" s="496" t="str">
        <f> IF(CO153&lt;&gt;"",TEXT(AUX!CS$1,"dd-MMM-aa"),"")</f>
      </c>
      <c r="CP133" s="496" t="str">
        <f> IF(CP153&lt;&gt;"",TEXT(AUX!CT$1,"dd-MMM-aa"),"")</f>
      </c>
      <c r="CQ133" s="496" t="str">
        <f> IF(CQ153&lt;&gt;"",TEXT(AUX!CU$1,"dd-MMM-aa"),"")</f>
      </c>
      <c r="CR133" s="496" t="str">
        <f> IF(CR153&lt;&gt;"",TEXT(AUX!CV$1,"dd-MMM-aa"),"")</f>
      </c>
      <c r="CS133" s="496" t="str">
        <f> IF(CS153&lt;&gt;"",TEXT(AUX!CW$1,"dd-MMM-aa"),"")</f>
      </c>
      <c r="CT133" s="496" t="str">
        <f> IF(CT153&lt;&gt;"",TEXT(AUX!CX$1,"dd-MMM-aa"),"")</f>
      </c>
      <c r="CU133" s="496" t="str">
        <f> IF(CU153&lt;&gt;"",TEXT(AUX!CY$1,"dd-MMM-aa"),"")</f>
      </c>
      <c r="CV133" s="496" t="str">
        <f> IF(CV153&lt;&gt;"",TEXT(AUX!CZ$1,"dd-MMM-aa"),"")</f>
      </c>
      <c r="CW133" s="496" t="str">
        <f> IF(CW153&lt;&gt;"",TEXT(AUX!DA$1,"dd-MMM-aa"),"")</f>
      </c>
      <c r="CX133" s="496" t="str">
        <f> IF(CX153&lt;&gt;"",TEXT(AUX!DB$1,"dd-MMM-aa"),"")</f>
      </c>
      <c r="CY133" s="496" t="str">
        <f> IF(CY153&lt;&gt;"",TEXT(AUX!DC$1,"dd-MMM-aa"),"")</f>
      </c>
      <c r="CZ133" s="496" t="str">
        <f> IF(CZ153&lt;&gt;"",TEXT(AUX!DD$1,"dd-MMM-aa"),"")</f>
      </c>
      <c r="DA133" s="496" t="str">
        <f> IF(DA153&lt;&gt;"",TEXT(AUX!DE$1,"dd-MMM-aa"),"")</f>
      </c>
      <c r="DB133" s="496" t="str">
        <f> IF(DB153&lt;&gt;"",TEXT(AUX!DF$1,"dd-MMM-aa"),"")</f>
      </c>
      <c r="DC133" s="496" t="str">
        <f> IF(DC153&lt;&gt;"",TEXT(AUX!DG$1,"dd-MMM-aa"),"")</f>
      </c>
      <c r="DD133" s="496" t="str">
        <f> IF(DD153&lt;&gt;"",TEXT(AUX!DH$1,"dd-MMM-aa"),"")</f>
      </c>
      <c r="DE133" s="496" t="str">
        <f> IF(DE153&lt;&gt;"",TEXT(AUX!DI$1,"dd-MMM-aa"),"")</f>
      </c>
      <c r="DF133" s="496" t="str">
        <f> IF(DF153&lt;&gt;"",TEXT(AUX!DJ$1,"dd-MMM-aa"),"")</f>
      </c>
      <c r="DG133" s="496" t="str">
        <f> IF(DG153&lt;&gt;"",TEXT(AUX!DK$1,"dd-MMM-aa"),"")</f>
      </c>
      <c r="DH133" s="496" t="str">
        <f> IF(DH153&lt;&gt;"",TEXT(AUX!DL$1,"dd-MMM-aa"),"")</f>
      </c>
      <c r="DI133" s="496" t="str">
        <f> IF(DI153&lt;&gt;"",TEXT(AUX!DM$1,"dd-MMM-aa"),"")</f>
      </c>
      <c r="DJ133" s="496" t="str">
        <f> IF(DJ153&lt;&gt;"",TEXT(AUX!DN$1,"dd-MMM-aa"),"")</f>
      </c>
      <c r="DK133" s="496" t="str">
        <f> IF(DK153&lt;&gt;"",TEXT(AUX!DO$1,"dd-MMM-aa"),"")</f>
      </c>
      <c r="DL133" s="496" t="str">
        <f> IF(DL153&lt;&gt;"",TEXT(AUX!DP$1,"dd-MMM-aa"),"")</f>
      </c>
      <c r="DM133" s="496" t="str">
        <f> IF(DM153&lt;&gt;"",TEXT(AUX!DQ$1,"dd-MMM-aa"),"")</f>
      </c>
      <c r="DN133" s="496" t="str">
        <f> IF(DN153&lt;&gt;"",TEXT(AUX!DR$1,"dd-MMM-aa"),"")</f>
      </c>
      <c r="DO133" s="496" t="str">
        <f> IF(DO153&lt;&gt;"",TEXT(AUX!DS$1,"dd-MMM-aa"),"")</f>
      </c>
      <c r="DP133" s="496" t="str">
        <f> IF(DP153&lt;&gt;"",TEXT(AUX!DT$1,"dd-MMM-aa"),"")</f>
      </c>
      <c r="DQ133" s="496" t="str">
        <f> IF(DQ153&lt;&gt;"",TEXT(AUX!DU$1,"dd-MMM-aa"),"")</f>
      </c>
      <c r="DR133" s="496" t="str">
        <f> IF(DR153&lt;&gt;"",TEXT(AUX!DV$1,"dd-MMM-aa"),"")</f>
      </c>
      <c r="DS133" s="496" t="str">
        <f> IF(DS153&lt;&gt;"",TEXT(AUX!DW$1,"dd-MMM-aa"),"")</f>
      </c>
      <c r="DT133" s="496" t="str">
        <f> IF(DT153&lt;&gt;"",TEXT(AUX!DX$1,"dd-MMM-aa"),"")</f>
      </c>
      <c r="DU133" s="496" t="str">
        <f> IF(DU153&lt;&gt;"",TEXT(AUX!DY$1,"dd-MMM-aa"),"")</f>
      </c>
      <c r="DV133" s="496" t="str">
        <f> IF(DV153&lt;&gt;"",TEXT(AUX!DZ$1,"dd-MMM-aa"),"")</f>
      </c>
      <c r="DW133" s="496" t="str">
        <f> IF(DW153&lt;&gt;"",TEXT(AUX!EA$1,"dd-MMM-aa"),"")</f>
      </c>
      <c r="DX133" s="496" t="str">
        <f> IF(DX153&lt;&gt;"",TEXT(AUX!EB$1,"dd-MMM-aa"),"")</f>
      </c>
      <c r="DY133" s="496" t="str">
        <f> IF(DY153&lt;&gt;"",TEXT(AUX!EC$1,"dd-MMM-aa"),"")</f>
      </c>
      <c r="DZ133" s="496" t="str">
        <f> IF(DZ153&lt;&gt;"",TEXT(AUX!ED$1,"dd-MMM-aa"),"")</f>
      </c>
      <c r="EA133" s="496" t="str">
        <f> IF(EA153&lt;&gt;"",TEXT(AUX!EE$1,"dd-MMM-aa"),"")</f>
      </c>
      <c r="EB133" s="496" t="str">
        <f> IF(EB153&lt;&gt;"",TEXT(AUX!EF$1,"dd-MMM-aa"),"")</f>
      </c>
      <c r="EC133" s="496" t="str">
        <f> IF(EC153&lt;&gt;"",TEXT(AUX!EG$1,"dd-MMM-aa"),"")</f>
      </c>
      <c r="ED133" s="496" t="str">
        <f> IF(ED153&lt;&gt;"",TEXT(AUX!EH$1,"dd-MMM-aa"),"")</f>
      </c>
      <c r="EE133" s="496" t="str">
        <f> IF(EE153&lt;&gt;"",TEXT(AUX!EI$1,"dd-MMM-aa"),"")</f>
      </c>
      <c r="EF133" s="496" t="str">
        <f> IF(EF153&lt;&gt;"",TEXT(AUX!EJ$1,"dd-MMM-aa"),"")</f>
      </c>
      <c r="EG133" s="496" t="str">
        <f> IF(EG153&lt;&gt;"",TEXT(AUX!EK$1,"dd-MMM-aa"),"")</f>
      </c>
      <c r="EH133" s="496" t="str">
        <f> IF(EH153&lt;&gt;"",TEXT(AUX!EL$1,"dd-MMM-aa"),"")</f>
      </c>
      <c r="EI133" s="496" t="str">
        <f> IF(EI153&lt;&gt;"",TEXT(AUX!EM$1,"dd-MMM-aa"),"")</f>
      </c>
      <c r="EJ133" s="496" t="str">
        <f> IF(EJ153&lt;&gt;"",TEXT(AUX!EN$1,"dd-MMM-aa"),"")</f>
      </c>
      <c r="EK133" s="496" t="str">
        <f> IF(EK153&lt;&gt;"",TEXT(AUX!EO$1,"dd-MMM-aa"),"")</f>
      </c>
      <c r="EL133" s="496" t="str">
        <f> IF(EL153&lt;&gt;"",TEXT(AUX!EP$1,"dd-MMM-aa"),"")</f>
      </c>
      <c r="EM133" s="496" t="str">
        <f> IF(EM153&lt;&gt;"",TEXT(AUX!EQ$1,"dd-MMM-aa"),"")</f>
      </c>
      <c r="EN133" s="496" t="str">
        <f> IF(EN153&lt;&gt;"",TEXT(AUX!ER$1,"dd-MMM-aa"),"")</f>
      </c>
      <c r="EO133" s="496" t="str">
        <f> IF(EO153&lt;&gt;"",TEXT(AUX!ES$1,"dd-MMM-aa"),"")</f>
      </c>
      <c r="EP133" s="496" t="str">
        <f> IF(EP153&lt;&gt;"",TEXT(AUX!ET$1,"dd-MMM-aa"),"")</f>
      </c>
      <c r="EQ133" s="496" t="str">
        <f> IF(EQ153&lt;&gt;"",TEXT(AUX!EU$1,"dd-MMM-aa"),"")</f>
      </c>
      <c r="ER133" s="496" t="str">
        <f> IF(ER153&lt;&gt;"",TEXT(AUX!EV$1,"dd-MMM-aa"),"")</f>
      </c>
      <c r="ES133" s="496" t="str">
        <f> IF(ES153&lt;&gt;"",TEXT(AUX!EW$1,"dd-MMM-aa"),"")</f>
      </c>
      <c r="ET133" s="496" t="str">
        <f> IF(ET153&lt;&gt;"",TEXT(AUX!EX$1,"dd-MMM-aa"),"")</f>
      </c>
      <c r="EU133" s="496" t="str">
        <f> IF(EU153&lt;&gt;"",TEXT(AUX!EY$1,"dd-MMM-aa"),"")</f>
      </c>
      <c r="EV133" s="496" t="str">
        <f> IF(EV153&lt;&gt;"",TEXT(AUX!EZ$1,"dd-MMM-aa"),"")</f>
      </c>
      <c r="EW133" s="496" t="str">
        <f> IF(EW153&lt;&gt;"",TEXT(AUX!FA$1,"dd-MMM-aa"),"")</f>
      </c>
      <c r="EX133" s="496" t="str">
        <f> IF(EX153&lt;&gt;"",TEXT(AUX!FB$1,"dd-MMM-aa"),"")</f>
      </c>
      <c r="EY133" s="496" t="str">
        <f> IF(EY153&lt;&gt;"",TEXT(AUX!FC$1,"dd-MMM-aa"),"")</f>
      </c>
      <c r="EZ133" s="496" t="str">
        <f> IF(EZ153&lt;&gt;"",TEXT(AUX!FD$1,"dd-MMM-aa"),"")</f>
      </c>
      <c r="FA133" s="496" t="str">
        <f> IF(FA153&lt;&gt;"",TEXT(AUX!FE$1,"dd-MMM-aa"),"")</f>
      </c>
      <c r="FB133" s="496" t="str">
        <f> IF(FB153&lt;&gt;"",TEXT(AUX!FF$1,"dd-MMM-aa"),"")</f>
      </c>
      <c r="FC133" s="496" t="str">
        <f> IF(FC153&lt;&gt;"",TEXT(AUX!FG$1,"dd-MMM-aa"),"")</f>
      </c>
      <c r="FD133" s="496" t="str">
        <f> IF(FD153&lt;&gt;"",TEXT(AUX!FH$1,"dd-MMM-aa"),"")</f>
      </c>
      <c r="FE133" s="496" t="str">
        <f> IF(FE153&lt;&gt;"",TEXT(AUX!FI$1,"dd-MMM-aa"),"")</f>
      </c>
      <c r="FF133" s="496" t="str">
        <f> IF(FF153&lt;&gt;"",TEXT(AUX!FJ$1,"dd-MMM-aa"),"")</f>
      </c>
      <c r="FG133" s="496" t="str">
        <f> IF(FG153&lt;&gt;"",TEXT(AUX!FK$1,"dd-MMM-aa"),"")</f>
      </c>
      <c r="FH133" s="496" t="str">
        <f> IF(FH153&lt;&gt;"",TEXT(AUX!FL$1,"dd-MMM-aa"),"")</f>
      </c>
      <c r="FI133" s="496" t="str">
        <f> IF(FI153&lt;&gt;"",TEXT(AUX!FM$1,"dd-MMM-aa"),"")</f>
      </c>
      <c r="FJ133" s="496" t="str">
        <f> IF(FJ153&lt;&gt;"",TEXT(AUX!FN$1,"dd-MMM-aa"),"")</f>
      </c>
      <c r="FK133" s="496" t="str">
        <f> IF(FK153&lt;&gt;"",TEXT(AUX!FO$1,"dd-MMM-aa"),"")</f>
      </c>
      <c r="FL133" s="496" t="str">
        <f> IF(FL153&lt;&gt;"",TEXT(AUX!FP$1,"dd-MMM-aa"),"")</f>
      </c>
      <c r="FM133" s="496" t="str">
        <f> IF(FM153&lt;&gt;"",TEXT(AUX!FQ$1,"dd-MMM-aa"),"")</f>
      </c>
      <c r="FN133" s="496" t="str">
        <f> IF(FN153&lt;&gt;"",TEXT(AUX!FR$1,"dd-MMM-aa"),"")</f>
      </c>
      <c r="FO133" s="496" t="str">
        <f> IF(FO153&lt;&gt;"",TEXT(AUX!FS$1,"dd-MMM-aa"),"")</f>
      </c>
      <c r="FP133" s="496" t="str">
        <f> IF(FP153&lt;&gt;"",TEXT(AUX!FT$1,"dd-MMM-aa"),"")</f>
      </c>
      <c r="FQ133" s="496" t="str">
        <f> IF(FQ153&lt;&gt;"",TEXT(AUX!FU$1,"dd-MMM-aa"),"")</f>
      </c>
      <c r="FR133" s="496" t="str">
        <f> IF(FR153&lt;&gt;"",TEXT(AUX!FV$1,"dd-MMM-aa"),"")</f>
      </c>
      <c r="FS133" s="496" t="str">
        <f> IF(FS153&lt;&gt;"",TEXT(AUX!FW$1,"dd-MMM-aa"),"")</f>
      </c>
      <c r="FT133" s="496" t="str">
        <f> IF(FT153&lt;&gt;"",TEXT(AUX!FX$1,"dd-MMM-aa"),"")</f>
      </c>
      <c r="FU133" s="496" t="str">
        <f> IF(FU153&lt;&gt;"",TEXT(AUX!FY$1,"dd-MMM-aa"),"")</f>
      </c>
      <c r="FV133" s="496" t="str">
        <f> IF(FV153&lt;&gt;"",TEXT(AUX!FZ$1,"dd-MMM-aa"),"")</f>
      </c>
      <c r="FW133" s="496" t="str">
        <f> IF(FW153&lt;&gt;"",TEXT(AUX!GA$1,"dd-MMM-aa"),"")</f>
      </c>
      <c r="FX133" s="496" t="str">
        <f> IF(FX153&lt;&gt;"",TEXT(AUX!GB$1,"dd-MMM-aa"),"")</f>
      </c>
      <c r="FY133" s="496" t="str">
        <f> IF(FY153&lt;&gt;"",TEXT(AUX!GC$1,"dd-MMM-aa"),"")</f>
      </c>
      <c r="FZ133" s="496" t="str">
        <f> IF(FZ153&lt;&gt;"",TEXT(AUX!GD$1,"dd-MMM-aa"),"")</f>
      </c>
      <c r="GA133" s="496" t="str">
        <f> IF(GA153&lt;&gt;"",TEXT(AUX!GE$1,"dd-MMM-aa"),"")</f>
      </c>
      <c r="GB133" s="496" t="str">
        <f> IF(GB153&lt;&gt;"",TEXT(AUX!GF$1,"dd-MMM-aa"),"")</f>
      </c>
      <c r="GC133" s="496" t="str">
        <f> IF(GC153&lt;&gt;"",TEXT(AUX!GG$1,"dd-MMM-aa"),"")</f>
      </c>
      <c r="GD133" s="496" t="str">
        <f> IF(GD153&lt;&gt;"",TEXT(AUX!GH$1,"dd-MMM-aa"),"")</f>
      </c>
      <c r="GE133" s="496" t="str">
        <f> IF(GE153&lt;&gt;"",TEXT(AUX!GI$1,"dd-MMM-aa"),"")</f>
      </c>
      <c r="GF133" s="496" t="str">
        <f> IF(GF153&lt;&gt;"",TEXT(AUX!GJ$1,"dd-MMM-aa"),"")</f>
      </c>
      <c r="GG133" s="496" t="str">
        <f> IF(GG153&lt;&gt;"",TEXT(AUX!GK$1,"dd-MMM-aa"),"")</f>
      </c>
      <c r="GH133" s="496" t="str">
        <f> IF(GH153&lt;&gt;"",TEXT(AUX!GL$1,"dd-MMM-aa"),"")</f>
      </c>
      <c r="GI133" s="496" t="str">
        <f> IF(GI153&lt;&gt;"",TEXT(AUX!GM$1,"dd-MMM-aa"),"")</f>
      </c>
      <c r="GJ133" s="496" t="str">
        <f> IF(GJ153&lt;&gt;"",TEXT(AUX!GN$1,"dd-MMM-aa"),"")</f>
      </c>
      <c r="GK133" s="496" t="str">
        <f> IF(GK153&lt;&gt;"",TEXT(AUX!GO$1,"dd-MMM-aa"),"")</f>
      </c>
      <c r="GL133" s="496" t="str">
        <f> IF(GL153&lt;&gt;"",TEXT(AUX!GP$1,"dd-MMM-aa"),"")</f>
      </c>
      <c r="GM133" s="496" t="str">
        <f> IF(GM153&lt;&gt;"",TEXT(AUX!GQ$1,"dd-MMM-aa"),"")</f>
      </c>
      <c r="GN133" s="496" t="str">
        <f> IF(GN153&lt;&gt;"",TEXT(AUX!GR$1,"dd-MMM-aa"),"")</f>
      </c>
      <c r="GO133" s="496" t="str">
        <f> IF(GO153&lt;&gt;"",TEXT(AUX!GS$1,"dd-MMM-aa"),"")</f>
      </c>
      <c r="GP133" s="496" t="str">
        <f> IF(GP153&lt;&gt;"",TEXT(AUX!GT$1,"dd-MMM-aa"),"")</f>
      </c>
      <c r="GQ133" s="496" t="str">
        <f> IF(GQ153&lt;&gt;"",TEXT(AUX!GU$1,"dd-MMM-aa"),"")</f>
      </c>
      <c r="GR133" s="496" t="str">
        <f> IF(GR153&lt;&gt;"",TEXT(AUX!GV$1,"dd-MMM-aa"),"")</f>
      </c>
      <c r="GS133" s="496" t="str">
        <f> IF(GS153&lt;&gt;"",TEXT(AUX!GW$1,"dd-MMM-aa"),"")</f>
      </c>
      <c r="GT133" s="496" t="str">
        <f> IF(GT153&lt;&gt;"",TEXT(AUX!GX$1,"dd-MMM-aa"),"")</f>
      </c>
      <c r="GU133" s="496" t="str">
        <f> IF(GU153&lt;&gt;"",TEXT(AUX!GY$1,"dd-MMM-aa"),"")</f>
      </c>
      <c r="GV133" s="496" t="str">
        <f> IF(GV153&lt;&gt;"",TEXT(AUX!GZ$1,"dd-MMM-aa"),"")</f>
      </c>
      <c r="GW133" s="496" t="str">
        <f> IF(GW153&lt;&gt;"",TEXT(AUX!HA$1,"dd-MMM-aa"),"")</f>
      </c>
      <c r="GX133" s="496" t="str">
        <f> IF(GX153&lt;&gt;"",TEXT(AUX!HB$1,"dd-MMM-aa"),"")</f>
      </c>
      <c r="GY133" s="496" t="str">
        <f> IF(GY153&lt;&gt;"",TEXT(AUX!HC$1,"dd-MMM-aa"),"")</f>
      </c>
      <c r="GZ133" s="496" t="str">
        <f> IF(GZ153&lt;&gt;"",TEXT(AUX!HD$1,"dd-MMM-aa"),"")</f>
      </c>
      <c r="HA133" s="496" t="str">
        <f> IF(HA153&lt;&gt;"",TEXT(AUX!HE$1,"dd-MMM-aa"),"")</f>
      </c>
      <c r="HB133" s="496" t="str">
        <f> IF(HB153&lt;&gt;"",TEXT(AUX!HF$1,"dd-MMM-aa"),"")</f>
      </c>
      <c r="HC133" s="496" t="str">
        <f> IF(HC153&lt;&gt;"",TEXT(AUX!HG$1,"dd-MMM-aa"),"")</f>
      </c>
      <c r="HD133" s="496" t="str">
        <f> IF(HD153&lt;&gt;"",TEXT(AUX!HH$1,"dd-MMM-aa"),"")</f>
      </c>
      <c r="HE133" s="496" t="str">
        <f> IF(HE153&lt;&gt;"",TEXT(AUX!HI$1,"dd-MMM-aa"),"")</f>
      </c>
      <c r="HF133" s="496" t="str">
        <f> IF(HF153&lt;&gt;"",TEXT(AUX!HJ$1,"dd-MMM-aa"),"")</f>
      </c>
      <c r="HG133" s="496" t="str">
        <f> IF(HG153&lt;&gt;"",TEXT(AUX!HK$1,"dd-MMM-aa"),"")</f>
      </c>
      <c r="HH133" s="496" t="str">
        <f> IF(HH153&lt;&gt;"",TEXT(AUX!HL$1,"dd-MMM-aa"),"")</f>
      </c>
      <c r="HI133" s="496" t="str">
        <f> IF(HI153&lt;&gt;"",TEXT(AUX!HM$1,"dd-MMM-aa"),"")</f>
      </c>
      <c r="HJ133" s="496" t="str">
        <f> IF(HJ153&lt;&gt;"",TEXT(AUX!HN$1,"dd-MMM-aa"),"")</f>
      </c>
      <c r="HK133" s="496" t="str">
        <f> IF(HK153&lt;&gt;"",TEXT(AUX!HO$1,"dd-MMM-aa"),"")</f>
      </c>
      <c r="HL133" s="496" t="str">
        <f> IF(HL153&lt;&gt;"",TEXT(AUX!HP$1,"dd-MMM-aa"),"")</f>
      </c>
      <c r="HM133" s="496" t="str">
        <f> IF(HM153&lt;&gt;"",TEXT(AUX!HQ$1,"dd-MMM-aa"),"")</f>
      </c>
      <c r="HN133" s="496" t="str">
        <f> IF(HN153&lt;&gt;"",TEXT(AUX!HR$1,"dd-MMM-aa"),"")</f>
      </c>
      <c r="HO133" s="496" t="str">
        <f> IF(HO153&lt;&gt;"",TEXT(AUX!HS$1,"dd-MMM-aa"),"")</f>
      </c>
      <c r="HP133" s="496" t="str">
        <f> IF(HP153&lt;&gt;"",TEXT(AUX!HT$1,"dd-MMM-aa"),"")</f>
      </c>
      <c r="HQ133" s="496" t="str">
        <f> IF(HQ153&lt;&gt;"",TEXT(AUX!HU$1,"dd-MMM-aa"),"")</f>
      </c>
      <c r="HR133" s="496" t="str">
        <f> IF(HR153&lt;&gt;"",TEXT(AUX!HV$1,"dd-MMM-aa"),"")</f>
      </c>
      <c r="HS133" s="496" t="str">
        <f> IF(HS153&lt;&gt;"",TEXT(AUX!HW$1,"dd-MMM-aa"),"")</f>
      </c>
      <c r="HT133" s="496" t="str">
        <f> IF(HT153&lt;&gt;"",TEXT(AUX!HX$1,"dd-MMM-aa"),"")</f>
      </c>
      <c r="HU133" s="496" t="str">
        <f> IF(HU153&lt;&gt;"",TEXT(AUX!HY$1,"dd-MMM-aa"),"")</f>
      </c>
      <c r="HV133" s="496" t="str">
        <f> IF(HV153&lt;&gt;"",TEXT(AUX!HZ$1,"dd-MMM-aa"),"")</f>
      </c>
      <c r="HW133" s="496" t="str">
        <f> IF(HW153&lt;&gt;"",TEXT(AUX!IA$1,"dd-MMM-aa"),"")</f>
      </c>
      <c r="HX133" s="496" t="str">
        <f> IF(HX153&lt;&gt;"",TEXT(AUX!IB$1,"dd-MMM-aa"),"")</f>
      </c>
      <c r="HY133" s="496" t="str">
        <f> IF(HY153&lt;&gt;"",TEXT(AUX!IC$1,"dd-MMM-aa"),"")</f>
      </c>
      <c r="HZ133" s="496" t="str">
        <f> IF(HZ153&lt;&gt;"",TEXT(AUX!ID$1,"dd-MMM-aa"),"")</f>
      </c>
      <c r="IA133" s="496" t="str">
        <f> IF(IA153&lt;&gt;"",TEXT(AUX!IE$1,"dd-MMM-aa"),"")</f>
      </c>
      <c r="IB133" s="496" t="str">
        <f> IF(IB153&lt;&gt;"",TEXT(AUX!IF$1,"dd-MMM-aa"),"")</f>
      </c>
      <c r="IC133" s="496" t="str">
        <f> IF(IC153&lt;&gt;"",TEXT(AUX!IG$1,"dd-MMM-aa"),"")</f>
      </c>
      <c r="ID133" s="496" t="str">
        <f> IF(ID153&lt;&gt;"",TEXT(AUX!IH$1,"dd-MMM-aa"),"")</f>
      </c>
      <c r="IE133" s="496" t="str">
        <f> IF(IE153&lt;&gt;"",TEXT(AUX!II$1,"dd-MMM-aa"),"")</f>
      </c>
      <c r="IF133" s="496" t="str">
        <f> IF(IF153&lt;&gt;"",TEXT(AUX!IJ$1,"dd-MMM-aa"),"")</f>
      </c>
      <c r="IG133" s="496" t="str">
        <f> IF(IG153&lt;&gt;"",TEXT(AUX!IK$1,"dd-MMM-aa"),"")</f>
      </c>
      <c r="IH133" s="496" t="str">
        <f> IF(IH153&lt;&gt;"",TEXT(AUX!IL$1,"dd-MMM-aa"),"")</f>
      </c>
      <c r="II133" s="496" t="str">
        <f> IF(II153&lt;&gt;"",TEXT(AUX!IM$1,"dd-MMM-aa"),"")</f>
      </c>
      <c r="IJ133" s="496" t="str">
        <f> IF(IJ153&lt;&gt;"",TEXT(AUX!IN$1,"dd-MMM-aa"),"")</f>
      </c>
      <c r="IK133" s="496" t="str">
        <f> IF(IK153&lt;&gt;"",TEXT(AUX!IO$1,"dd-MMM-aa"),"")</f>
      </c>
      <c r="IL133" s="496" t="str">
        <f> IF(IL153&lt;&gt;"",TEXT(AUX!IP$1,"dd-MMM-aa"),"")</f>
      </c>
      <c r="IM133" s="496" t="str">
        <f> IF(IM153&lt;&gt;"",TEXT(AUX!IQ$1,"dd-MMM-aa"),"")</f>
      </c>
      <c r="IN133" s="496" t="str">
        <f> IF(IN153&lt;&gt;"",TEXT(AUX!IR$1,"dd-MMM-aa"),"")</f>
      </c>
      <c r="IO133" s="496" t="str">
        <f> IF(IO153&lt;&gt;"",TEXT(AUX!IS$1,"dd-MMM-aa"),"")</f>
      </c>
      <c r="IP133" s="496" t="str">
        <f> IF(IP153&lt;&gt;"",TEXT(AUX!IT$1,"dd-MMM-aa"),"")</f>
      </c>
      <c r="IQ133" s="496" t="str">
        <f> IF(IQ153&lt;&gt;"",TEXT(AUX!IU$1,"dd-MMM-aa"),"")</f>
      </c>
      <c r="IR133" s="496" t="str">
        <f> IF(IR153&lt;&gt;"",TEXT(AUX!IV$1,"dd-MMM-aa"),"")</f>
      </c>
      <c r="IS133" s="496" t="str">
        <f> IF(IS153&lt;&gt;"",TEXT(AUX!#REF!,"dd-MMM-aa"),"")</f>
      </c>
      <c r="IT133" s="496" t="str">
        <f> IF(IT153&lt;&gt;"",TEXT(AUX!#REF!,"dd-MMM-aa"),"")</f>
      </c>
      <c r="IU133" s="496" t="str">
        <f> IF(IU153&lt;&gt;"",TEXT(AUX!#REF!,"dd-MMM-aa"),"")</f>
      </c>
      <c r="IV133" s="496" t="str">
        <f> IF(IV153&lt;&gt;"",TEXT(AUX!#REF!,"dd-MMM-aa"),"")</f>
      </c>
    </row>
    <row r="134" hidden="1">
      <c r="B134" s="838" t="s">
        <v>8</v>
      </c>
      <c r="C134" s="839">
        <f>C111 + C88 + C64</f>
        <v>62718</v>
      </c>
      <c r="D134" s="839">
        <f>D111 + D88 + D64</f>
        <v>77062</v>
      </c>
      <c r="E134" s="839">
        <f>E111 + E88 + E64</f>
        <v>100180</v>
      </c>
      <c r="F134" s="839">
        <f>F111 + F88 + F64</f>
        <v>109012</v>
      </c>
      <c r="G134" s="839">
        <f>G111 + G88 + G64</f>
        <v>113587</v>
      </c>
      <c r="H134" s="839">
        <f>H111 + H88 + H64</f>
        <v>116802</v>
      </c>
      <c r="I134" s="839">
        <f>I111 + I88 + I64</f>
        <v>119528</v>
      </c>
      <c r="J134" s="839">
        <f>J111 + J88 + J64</f>
        <v>122096</v>
      </c>
      <c r="K134" s="839">
        <f>K111 + K88 + K64</f>
        <v>124314</v>
      </c>
      <c r="L134" s="839">
        <f>L111 + L88 + L64</f>
        <v>126368</v>
      </c>
      <c r="M134" s="839">
        <f>M111 + M88 + M64</f>
        <v>129625</v>
      </c>
      <c r="N134" s="839">
        <f>N111 + N88 + N64</f>
        <v>132114</v>
      </c>
      <c r="O134" s="839">
        <f>O111 + O88 + O64</f>
        <v>135203</v>
      </c>
      <c r="P134" s="839">
        <f>P111 + P88 + P64</f>
        <v>137127</v>
      </c>
      <c r="Q134" s="839">
        <f>Q111 + Q88 + Q64</f>
        <v>139431</v>
      </c>
      <c r="R134" s="839">
        <f>R111 + R88 + R64</f>
        <v>141168</v>
      </c>
      <c r="S134" s="839">
        <f>S111 + S88 + S64</f>
        <v>143265</v>
      </c>
      <c r="T134" s="839">
        <f>T111 + T88 + T64</f>
        <v>144937</v>
      </c>
      <c r="U134" s="839">
        <f>U111 + U88 + U64</f>
        <v>148044</v>
      </c>
      <c r="V134" s="839">
        <f>V111 + V88 + V64</f>
        <v>149657</v>
      </c>
      <c r="W134" s="839">
        <f>W111 + W88 + W64</f>
        <v>151286</v>
      </c>
      <c r="X134" s="839">
        <f>X111 + X88 + X64</f>
        <v>152515</v>
      </c>
      <c r="Y134" s="839">
        <f>Y111 + Y88 + Y64</f>
        <v>153856</v>
      </c>
      <c r="Z134" s="839">
        <f>Z111 + Z88 + Z64</f>
        <v>154932</v>
      </c>
      <c r="AA134" s="839">
        <f>AA111 + AA88 + AA64</f>
        <v>156248</v>
      </c>
      <c r="AB134" s="840">
        <f>AB111 + AB88 + AB64</f>
        <v>157275</v>
      </c>
      <c r="AC134" s="841">
        <f>AC111 + AC88 + AC64</f>
        <v>158606</v>
      </c>
      <c r="AD134" s="841">
        <f>AD111 + AD88 + AD64</f>
        <v>159637</v>
      </c>
      <c r="AE134" s="841">
        <f>AE111 + AE88 + AE64</f>
        <v>160410</v>
      </c>
      <c r="AF134" s="841">
        <f>AF111 + AF88 + AF64</f>
        <v>161711</v>
      </c>
      <c r="AG134" s="841">
        <f>AG111 + AG88 + AG64</f>
        <v>163021</v>
      </c>
      <c r="AH134" s="841">
        <f>AH111 + AH88 + AH64</f>
        <v>164094</v>
      </c>
      <c r="AI134" s="841">
        <f>AI111 + AI88 + AI64</f>
        <v>165386</v>
      </c>
      <c r="AJ134" s="841">
        <f>AJ111 + AJ88 + AJ64</f>
        <v>166508</v>
      </c>
      <c r="AK134" s="841">
        <f>AK111 + AK88 + AK64</f>
        <v>167889</v>
      </c>
      <c r="AL134" s="841">
        <f>AL111 + AL88 + AL64</f>
        <v>169213</v>
      </c>
      <c r="AM134" s="841">
        <f>AM111 + AM88 + AM64</f>
        <v>170861</v>
      </c>
      <c r="AN134" s="841">
        <f>AN111 + AN88 + AN64</f>
        <v>172129</v>
      </c>
      <c r="AO134" s="841">
        <f>AO111 + AO88 + AO64</f>
        <v>177694</v>
      </c>
      <c r="AP134" s="841">
        <f>AP111 + AP88 + AP64</f>
        <v>181645</v>
      </c>
    </row>
    <row r="135" hidden="1">
      <c r="B135" s="842" t="s">
        <v>9</v>
      </c>
      <c r="C135" s="839">
        <f>C112 + C89 + C65</f>
        <v>27859</v>
      </c>
      <c r="D135" s="839">
        <f>D112 + D89 + D65</f>
        <v>28068</v>
      </c>
      <c r="E135" s="839">
        <f>E112 + E89 + E65</f>
        <v>28314</v>
      </c>
      <c r="F135" s="839">
        <f>F112 + F89 + F65</f>
        <v>28545</v>
      </c>
      <c r="G135" s="839">
        <f>G112 + G89 + G65</f>
        <v>28748</v>
      </c>
      <c r="H135" s="839">
        <f>H112 + H89 + H65</f>
        <v>28915</v>
      </c>
      <c r="I135" s="839">
        <f>I112 + I89 + I65</f>
        <v>29082</v>
      </c>
      <c r="J135" s="839">
        <f>J112 + J89 + J65</f>
        <v>29219</v>
      </c>
      <c r="K135" s="839">
        <f>K112 + K89 + K65</f>
        <v>29449</v>
      </c>
      <c r="L135" s="839">
        <f>L112 + L89 + L65</f>
        <v>29624</v>
      </c>
      <c r="M135" s="839">
        <f>M112 + M89 + M65</f>
        <v>29852</v>
      </c>
      <c r="N135" s="839">
        <f>N112 + N89 + N65</f>
        <v>30008</v>
      </c>
      <c r="O135" s="839">
        <f>O112 + O89 + O65</f>
        <v>30281</v>
      </c>
      <c r="P135" s="839">
        <f>P112 + P89 + P65</f>
        <v>30597</v>
      </c>
      <c r="Q135" s="839">
        <f>Q112 + Q89 + Q65</f>
        <v>31146</v>
      </c>
      <c r="R135" s="839">
        <f>R112 + R89 + R65</f>
        <v>31594</v>
      </c>
      <c r="S135" s="839">
        <f>S112 + S89 + S65</f>
        <v>32086</v>
      </c>
      <c r="T135" s="839">
        <f>T112 + T89 + T65</f>
        <v>32416</v>
      </c>
      <c r="U135" s="839">
        <f>U112 + U89 + U65</f>
        <v>32881</v>
      </c>
      <c r="V135" s="839">
        <f>V112 + V89 + V65</f>
        <v>33205</v>
      </c>
      <c r="W135" s="839">
        <f>W112 + W89 + W65</f>
        <v>33627</v>
      </c>
      <c r="X135" s="839">
        <f>X112 + X89 + X65</f>
        <v>34018</v>
      </c>
      <c r="Y135" s="839">
        <f>Y112 + Y89 + Y65</f>
        <v>34557</v>
      </c>
      <c r="Z135" s="839">
        <f>Z112 + Z89 + Z65</f>
        <v>34874</v>
      </c>
      <c r="AA135" s="839">
        <f>AA112 + AA89 + AA65</f>
        <v>35679</v>
      </c>
      <c r="AB135" s="839">
        <f>AB112 + AB89 + AB65</f>
        <v>36004</v>
      </c>
      <c r="AC135" s="841">
        <f>AC112 + AC89 + AC65</f>
        <v>36367</v>
      </c>
      <c r="AD135" s="841">
        <f>AD112 + AD89 + AD65</f>
        <v>36714</v>
      </c>
      <c r="AE135" s="841">
        <f>AE112 + AE89 + AE65</f>
        <v>36974</v>
      </c>
      <c r="AF135" s="841">
        <f>AF112 + AF89 + AF65</f>
        <v>37321</v>
      </c>
      <c r="AG135" s="841">
        <f>AG112 + AG89 + AG65</f>
        <v>37726</v>
      </c>
      <c r="AH135" s="841">
        <f>AH112 + AH89 + AH65</f>
        <v>38043</v>
      </c>
      <c r="AI135" s="841">
        <f>AI112 + AI89 + AI65</f>
        <v>38363</v>
      </c>
      <c r="AJ135" s="841">
        <f>AJ112 + AJ89 + AJ65</f>
        <v>38587</v>
      </c>
      <c r="AK135" s="841">
        <f>AK112 + AK89 + AK65</f>
        <v>38910</v>
      </c>
      <c r="AL135" s="841">
        <f>AL112 + AL89 + AL65</f>
        <v>39210</v>
      </c>
      <c r="AM135" s="841">
        <f>AM112 + AM89 + AM65</f>
        <v>39484</v>
      </c>
      <c r="AN135" s="841">
        <f>AN112 + AN89 + AN65</f>
        <v>39688</v>
      </c>
      <c r="AO135" s="841">
        <f>AO112 + AO89 + AO65</f>
        <v>40535</v>
      </c>
      <c r="AP135" s="841">
        <f>AP112 + AP89 + AP65</f>
        <v>41963</v>
      </c>
    </row>
    <row r="136" hidden="1">
      <c r="B136" s="842" t="s">
        <v>10</v>
      </c>
      <c r="C136" s="839">
        <f>C113 + C90 + C66</f>
        <v>50500</v>
      </c>
      <c r="D136" s="839">
        <f>D113 + D90 + D66</f>
        <v>50750</v>
      </c>
      <c r="E136" s="839">
        <f>E113 + E90 + E66</f>
        <v>51308</v>
      </c>
      <c r="F136" s="839">
        <f>F113 + F90 + F66</f>
        <v>51910</v>
      </c>
      <c r="G136" s="839">
        <f>G113 + G90 + G66</f>
        <v>52561</v>
      </c>
      <c r="H136" s="839">
        <f>H113 + H90 + H66</f>
        <v>53260</v>
      </c>
      <c r="I136" s="839">
        <f>I113 + I90 + I66</f>
        <v>53841</v>
      </c>
      <c r="J136" s="839">
        <f>J113 + J90 + J66</f>
        <v>54201</v>
      </c>
      <c r="K136" s="839">
        <f>K113 + K90 + K66</f>
        <v>54884</v>
      </c>
      <c r="L136" s="839">
        <f>L113 + L90 + L66</f>
        <v>55860</v>
      </c>
      <c r="M136" s="839">
        <f>M113 + M90 + M66</f>
        <v>56415</v>
      </c>
      <c r="N136" s="839">
        <f>N113 + N90 + N66</f>
        <v>57094</v>
      </c>
      <c r="O136" s="839">
        <f>O113 + O90 + O66</f>
        <v>57550</v>
      </c>
      <c r="P136" s="839">
        <f>P113 + P90 + P66</f>
        <v>58185</v>
      </c>
      <c r="Q136" s="839">
        <f>Q113 + Q90 + Q66</f>
        <v>58633</v>
      </c>
      <c r="R136" s="839">
        <f>R113 + R90 + R66</f>
        <v>59121</v>
      </c>
      <c r="S136" s="839">
        <f>S113 + S90 + S66</f>
        <v>59455</v>
      </c>
      <c r="T136" s="839">
        <f>T113 + T90 + T66</f>
        <v>59754</v>
      </c>
      <c r="U136" s="839">
        <f>U113 + U90 + U66</f>
        <v>60007</v>
      </c>
      <c r="V136" s="839">
        <f>V113 + V90 + V66</f>
        <v>60360</v>
      </c>
      <c r="W136" s="839">
        <f>W113 + W90 + W66</f>
        <v>60748</v>
      </c>
      <c r="X136" s="839">
        <f>X113 + X90 + X66</f>
        <v>61067</v>
      </c>
      <c r="Y136" s="839">
        <f>Y113 + Y90 + Y66</f>
        <v>61378</v>
      </c>
      <c r="Z136" s="839">
        <f>Z113 + Z90 + Z66</f>
        <v>61611</v>
      </c>
      <c r="AA136" s="839">
        <f>AA113 + AA90 + AA66</f>
        <v>61916</v>
      </c>
      <c r="AB136" s="839">
        <f>AB113 + AB90 + AB66</f>
        <v>62159</v>
      </c>
      <c r="AC136" s="841">
        <f>AC113 + AC90 + AC66</f>
        <v>62427</v>
      </c>
      <c r="AD136" s="841">
        <f>AD113 + AD90 + AD66</f>
        <v>62628</v>
      </c>
      <c r="AE136" s="841">
        <f>AE113 + AE90 + AE66</f>
        <v>63229</v>
      </c>
      <c r="AF136" s="841">
        <f>AF113 + AF90 + AF66</f>
        <v>63836</v>
      </c>
      <c r="AG136" s="841">
        <f>AG113 + AG90 + AG66</f>
        <v>64457</v>
      </c>
      <c r="AH136" s="841">
        <f>AH113 + AH90 + AH66</f>
        <v>64797</v>
      </c>
      <c r="AI136" s="841">
        <f>AI113 + AI90 + AI66</f>
        <v>65199</v>
      </c>
      <c r="AJ136" s="841">
        <f>AJ113 + AJ90 + AJ66</f>
        <v>65501</v>
      </c>
      <c r="AK136" s="841">
        <f>AK113 + AK90 + AK66</f>
        <v>66233</v>
      </c>
      <c r="AL136" s="841">
        <f>AL113 + AL90 + AL66</f>
        <v>66610</v>
      </c>
      <c r="AM136" s="841">
        <f>AM113 + AM90 + AM66</f>
        <v>67354</v>
      </c>
      <c r="AN136" s="841">
        <f>AN113 + AN90 + AN66</f>
        <v>68313</v>
      </c>
      <c r="AO136" s="841">
        <f>AO113 + AO90 + AO66</f>
        <v>68949</v>
      </c>
      <c r="AP136" s="841">
        <f>AP113 + AP90 + AP66</f>
        <v>69893</v>
      </c>
    </row>
    <row r="137" hidden="1">
      <c r="B137" s="842" t="s">
        <v>11</v>
      </c>
      <c r="C137" s="839">
        <f>C114 + C91 + C67</f>
        <v>11058</v>
      </c>
      <c r="D137" s="839">
        <f>D114 + D91 + D67</f>
        <v>11640</v>
      </c>
      <c r="E137" s="839">
        <f>E114 + E91 + E67</f>
        <v>11867</v>
      </c>
      <c r="F137" s="839">
        <f>F114 + F91 + F67</f>
        <v>11985</v>
      </c>
      <c r="G137" s="839">
        <f>G114 + G91 + G67</f>
        <v>12266</v>
      </c>
      <c r="H137" s="839">
        <f>H114 + H91 + H67</f>
        <v>12495</v>
      </c>
      <c r="I137" s="839">
        <f>I114 + I91 + I67</f>
        <v>12703</v>
      </c>
      <c r="J137" s="839">
        <f>J114 + J91 + J67</f>
        <v>12953</v>
      </c>
      <c r="K137" s="839">
        <f>K114 + K91 + K67</f>
        <v>13270</v>
      </c>
      <c r="L137" s="839">
        <f>L114 + L91 + L67</f>
        <v>13326</v>
      </c>
      <c r="M137" s="839">
        <f>M114 + M91 + M67</f>
        <v>13726</v>
      </c>
      <c r="N137" s="839">
        <f>N114 + N91 + N67</f>
        <v>13959</v>
      </c>
      <c r="O137" s="839">
        <f>O114 + O91 + O67</f>
        <v>14184</v>
      </c>
      <c r="P137" s="839">
        <f>P114 + P91 + P67</f>
        <v>14725</v>
      </c>
      <c r="Q137" s="839">
        <f>Q114 + Q91 + Q67</f>
        <v>14995</v>
      </c>
      <c r="R137" s="839">
        <f>R114 + R91 + R67</f>
        <v>15196</v>
      </c>
      <c r="S137" s="839">
        <f>S114 + S91 + S67</f>
        <v>15450</v>
      </c>
      <c r="T137" s="839">
        <f>T114 + T91 + T67</f>
        <v>15619</v>
      </c>
      <c r="U137" s="839">
        <f>U114 + U91 + U67</f>
        <v>15876</v>
      </c>
      <c r="V137" s="839">
        <f>V114 + V91 + V67</f>
        <v>16053</v>
      </c>
      <c r="W137" s="839">
        <f>W114 + W91 + W67</f>
        <v>16264</v>
      </c>
      <c r="X137" s="839">
        <f>X114 + X91 + X67</f>
        <v>16411</v>
      </c>
      <c r="Y137" s="839">
        <f>Y114 + Y91 + Y67</f>
        <v>16626</v>
      </c>
      <c r="Z137" s="839">
        <f>Z114 + Z91 + Z67</f>
        <v>16768</v>
      </c>
      <c r="AA137" s="839">
        <f>AA114 + AA91 + AA67</f>
        <v>16924</v>
      </c>
      <c r="AB137" s="839">
        <f>AB114 + AB91 + AB67</f>
        <v>17025</v>
      </c>
      <c r="AC137" s="841">
        <f>AC114 + AC91 + AC67</f>
        <v>17274</v>
      </c>
      <c r="AD137" s="841">
        <f>AD114 + AD91 + AD67</f>
        <v>17443</v>
      </c>
      <c r="AE137" s="841">
        <f>AE114 + AE91 + AE67</f>
        <v>17608</v>
      </c>
      <c r="AF137" s="841">
        <f>AF114 + AF91 + AF67</f>
        <v>17858</v>
      </c>
      <c r="AG137" s="841">
        <f>AG114 + AG91 + AG67</f>
        <v>18154</v>
      </c>
      <c r="AH137" s="841">
        <f>AH114 + AH91 + AH67</f>
        <v>18443</v>
      </c>
      <c r="AI137" s="841">
        <f>AI114 + AI91 + AI67</f>
        <v>18713</v>
      </c>
      <c r="AJ137" s="841">
        <f>AJ114 + AJ91 + AJ67</f>
        <v>18947</v>
      </c>
      <c r="AK137" s="841">
        <f>AK114 + AK91 + AK67</f>
        <v>19238</v>
      </c>
      <c r="AL137" s="841">
        <f>AL114 + AL91 + AL67</f>
        <v>19536</v>
      </c>
      <c r="AM137" s="841">
        <f>AM114 + AM91 + AM67</f>
        <v>19832</v>
      </c>
      <c r="AN137" s="841">
        <f>AN114 + AN91 + AN67</f>
        <v>20178</v>
      </c>
      <c r="AO137" s="841">
        <f>AO114 + AO91 + AO67</f>
        <v>20957</v>
      </c>
      <c r="AP137" s="841">
        <f>AP114 + AP91 + AP67</f>
        <v>21659</v>
      </c>
    </row>
    <row r="138" hidden="1">
      <c r="B138" s="842" t="s">
        <v>12</v>
      </c>
      <c r="C138" s="839">
        <f>C115 + C92 + C68</f>
        <v>14758</v>
      </c>
      <c r="D138" s="839">
        <f>D115 + D92 + D68</f>
        <v>15177</v>
      </c>
      <c r="E138" s="839">
        <f>E115 + E92 + E68</f>
        <v>15775</v>
      </c>
      <c r="F138" s="839">
        <f>F115 + F92 + F68</f>
        <v>16076</v>
      </c>
      <c r="G138" s="839">
        <f>G115 + G92 + G68</f>
        <v>16475</v>
      </c>
      <c r="H138" s="839">
        <f>H115 + H92 + H68</f>
        <v>16796</v>
      </c>
      <c r="I138" s="839">
        <f>I115 + I92 + I68</f>
        <v>17230</v>
      </c>
      <c r="J138" s="839">
        <f>J115 + J92 + J68</f>
        <v>17404</v>
      </c>
      <c r="K138" s="839">
        <f>K115 + K92 + K68</f>
        <v>17578</v>
      </c>
      <c r="L138" s="839">
        <f>L115 + L92 + L68</f>
        <v>17750</v>
      </c>
      <c r="M138" s="839">
        <f>M115 + M92 + M68</f>
        <v>17979</v>
      </c>
      <c r="N138" s="839">
        <f>N115 + N92 + N68</f>
        <v>18150</v>
      </c>
      <c r="O138" s="839">
        <f>O115 + O92 + O68</f>
        <v>18353</v>
      </c>
      <c r="P138" s="839">
        <f>P115 + P92 + P68</f>
        <v>18479</v>
      </c>
      <c r="Q138" s="839">
        <f>Q115 + Q92 + Q68</f>
        <v>18672</v>
      </c>
      <c r="R138" s="839">
        <f>R115 + R92 + R68</f>
        <v>18846</v>
      </c>
      <c r="S138" s="839">
        <f>S115 + S92 + S68</f>
        <v>19037</v>
      </c>
      <c r="T138" s="839">
        <f>T115 + T92 + T68</f>
        <v>19222</v>
      </c>
      <c r="U138" s="839">
        <f>U115 + U92 + U68</f>
        <v>19398</v>
      </c>
      <c r="V138" s="839">
        <f>V115 + V92 + V68</f>
        <v>19647</v>
      </c>
      <c r="W138" s="839">
        <f>W115 + W92 + W68</f>
        <v>19861</v>
      </c>
      <c r="X138" s="839">
        <f>X115 + X92 + X68</f>
        <v>20047</v>
      </c>
      <c r="Y138" s="839">
        <f>Y115 + Y92 + Y68</f>
        <v>20291</v>
      </c>
      <c r="Z138" s="839">
        <f>Z115 + Z92 + Z68</f>
        <v>20408</v>
      </c>
      <c r="AA138" s="839">
        <f>AA115 + AA92 + AA68</f>
        <v>20561</v>
      </c>
      <c r="AB138" s="839">
        <f>AB115 + AB92 + AB68</f>
        <v>20708</v>
      </c>
      <c r="AC138" s="841">
        <f>AC115 + AC92 + AC68</f>
        <v>20813</v>
      </c>
      <c r="AD138" s="841">
        <f>AD115 + AD92 + AD68</f>
        <v>20899</v>
      </c>
      <c r="AE138" s="841">
        <f>AE115 + AE92 + AE68</f>
        <v>20991</v>
      </c>
      <c r="AF138" s="841">
        <f>AF115 + AF92 + AF68</f>
        <v>21116</v>
      </c>
      <c r="AG138" s="841">
        <f>AG115 + AG92 + AG68</f>
        <v>21295</v>
      </c>
      <c r="AH138" s="841">
        <f>AH115 + AH92 + AH68</f>
        <v>21426</v>
      </c>
      <c r="AI138" s="841">
        <f>AI115 + AI92 + AI68</f>
        <v>21557</v>
      </c>
      <c r="AJ138" s="841">
        <f>AJ115 + AJ92 + AJ68</f>
        <v>21677</v>
      </c>
      <c r="AK138" s="841">
        <f>AK115 + AK92 + AK68</f>
        <v>21777</v>
      </c>
      <c r="AL138" s="841">
        <f>AL115 + AL92 + AL68</f>
        <v>21938</v>
      </c>
      <c r="AM138" s="841">
        <f>AM115 + AM92 + AM68</f>
        <v>22158</v>
      </c>
      <c r="AN138" s="841">
        <f>AN115 + AN92 + AN68</f>
        <v>22400</v>
      </c>
      <c r="AO138" s="841">
        <f>AO115 + AO92 + AO68</f>
        <v>22627</v>
      </c>
      <c r="AP138" s="841">
        <f>AP115 + AP92 + AP68</f>
        <v>22861</v>
      </c>
    </row>
    <row r="139" hidden="1">
      <c r="B139" s="842" t="s">
        <v>13</v>
      </c>
      <c r="C139" s="839">
        <f>C116 + C93 + C69</f>
        <v>30132</v>
      </c>
      <c r="D139" s="839">
        <f>D116 + D93 + D69</f>
        <v>30445</v>
      </c>
      <c r="E139" s="839">
        <f>E116 + E93 + E69</f>
        <v>30747</v>
      </c>
      <c r="F139" s="839">
        <f>F116 + F93 + F69</f>
        <v>31120</v>
      </c>
      <c r="G139" s="839">
        <f>G116 + G93 + G69</f>
        <v>31568</v>
      </c>
      <c r="H139" s="839">
        <f>H116 + H93 + H69</f>
        <v>31906</v>
      </c>
      <c r="I139" s="839">
        <f>I116 + I93 + I69</f>
        <v>32200</v>
      </c>
      <c r="J139" s="839">
        <f>J116 + J93 + J69</f>
        <v>32438</v>
      </c>
      <c r="K139" s="839">
        <f>K116 + K93 + K69</f>
        <v>32801</v>
      </c>
      <c r="L139" s="839">
        <f>L116 + L93 + L69</f>
        <v>33079</v>
      </c>
      <c r="M139" s="839">
        <f>M116 + M93 + M69</f>
        <v>33379</v>
      </c>
      <c r="N139" s="839">
        <f>N116 + N93 + N69</f>
        <v>33589</v>
      </c>
      <c r="O139" s="839">
        <f>O116 + O93 + O69</f>
        <v>33873</v>
      </c>
      <c r="P139" s="839">
        <f>P116 + P93 + P69</f>
        <v>34067</v>
      </c>
      <c r="Q139" s="839">
        <f>Q116 + Q93 + Q69</f>
        <v>34333</v>
      </c>
      <c r="R139" s="839">
        <f>R116 + R93 + R69</f>
        <v>34542</v>
      </c>
      <c r="S139" s="839">
        <f>S116 + S93 + S69</f>
        <v>34816</v>
      </c>
      <c r="T139" s="839">
        <f>T116 + T93 + T69</f>
        <v>35003</v>
      </c>
      <c r="U139" s="839">
        <f>U116 + U93 + U69</f>
        <v>35243</v>
      </c>
      <c r="V139" s="839">
        <f>V116 + V93 + V69</f>
        <v>35424</v>
      </c>
      <c r="W139" s="839">
        <f>W116 + W93 + W69</f>
        <v>35662</v>
      </c>
      <c r="X139" s="839">
        <f>X116 + X93 + X69</f>
        <v>35818</v>
      </c>
      <c r="Y139" s="839">
        <f>Y116 + Y93 + Y69</f>
        <v>36062</v>
      </c>
      <c r="Z139" s="839">
        <f>Z116 + Z93 + Z69</f>
        <v>36240</v>
      </c>
      <c r="AA139" s="839">
        <f>AA116 + AA93 + AA69</f>
        <v>36434</v>
      </c>
      <c r="AB139" s="839">
        <f>AB116 + AB93 + AB69</f>
        <v>36596</v>
      </c>
      <c r="AC139" s="841">
        <f>AC116 + AC93 + AC69</f>
        <v>36765</v>
      </c>
      <c r="AD139" s="841">
        <f>AD116 + AD93 + AD69</f>
        <v>36979</v>
      </c>
      <c r="AE139" s="841">
        <f>AE116 + AE93 + AE69</f>
        <v>37113</v>
      </c>
      <c r="AF139" s="841">
        <f>AF116 + AF93 + AF69</f>
        <v>37328</v>
      </c>
      <c r="AG139" s="841">
        <f>AG116 + AG93 + AG69</f>
        <v>37556</v>
      </c>
      <c r="AH139" s="841">
        <f>AH116 + AH93 + AH69</f>
        <v>37730</v>
      </c>
      <c r="AI139" s="841">
        <f>AI116 + AI93 + AI69</f>
        <v>37906</v>
      </c>
      <c r="AJ139" s="841">
        <f>AJ116 + AJ93 + AJ69</f>
        <v>38079</v>
      </c>
      <c r="AK139" s="841">
        <f>AK116 + AK93 + AK69</f>
        <v>38273</v>
      </c>
      <c r="AL139" s="841">
        <f>AL116 + AL93 + AL69</f>
        <v>38477</v>
      </c>
      <c r="AM139" s="841">
        <f>AM116 + AM93 + AM69</f>
        <v>38819</v>
      </c>
      <c r="AN139" s="841">
        <f>AN116 + AN93 + AN69</f>
        <v>39073</v>
      </c>
      <c r="AO139" s="841">
        <f>AO116 + AO93 + AO69</f>
        <v>39273</v>
      </c>
      <c r="AP139" s="841">
        <f>AP116 + AP93 + AP69</f>
        <v>40425</v>
      </c>
    </row>
    <row r="140" hidden="1">
      <c r="B140" s="842" t="s">
        <v>109</v>
      </c>
      <c r="C140" s="839">
        <f>C117 + C94 + C70</f>
        <v>29215</v>
      </c>
      <c r="D140" s="839">
        <f>D117 + D94 + D70</f>
        <v>29541</v>
      </c>
      <c r="E140" s="839">
        <f>E117 + E94 + E70</f>
        <v>31571</v>
      </c>
      <c r="F140" s="839">
        <f>F117 + F94 + F70</f>
        <v>31936</v>
      </c>
      <c r="G140" s="839">
        <f>G117 + G94 + G70</f>
        <v>32753</v>
      </c>
      <c r="H140" s="839">
        <f>H117 + H94 + H70</f>
        <v>33069</v>
      </c>
      <c r="I140" s="839">
        <f>I117 + I94 + I70</f>
        <v>33385</v>
      </c>
      <c r="J140" s="839">
        <f>J117 + J94 + J70</f>
        <v>33679</v>
      </c>
      <c r="K140" s="839">
        <f>K117 + K94 + K70</f>
        <v>34058</v>
      </c>
      <c r="L140" s="839">
        <f>L117 + L94 + L70</f>
        <v>34443</v>
      </c>
      <c r="M140" s="839">
        <f>M117 + M94 + M70</f>
        <v>34878</v>
      </c>
      <c r="N140" s="839">
        <f>N117 + N94 + N70</f>
        <v>35296</v>
      </c>
      <c r="O140" s="839">
        <f>O117 + O94 + O70</f>
        <v>35750</v>
      </c>
      <c r="P140" s="839">
        <f>P117 + P94 + P70</f>
        <v>36127</v>
      </c>
      <c r="Q140" s="839">
        <f>Q117 + Q94 + Q70</f>
        <v>36649</v>
      </c>
      <c r="R140" s="839">
        <f>R117 + R94 + R70</f>
        <v>37082</v>
      </c>
      <c r="S140" s="839">
        <f>S117 + S94 + S70</f>
        <v>37593</v>
      </c>
      <c r="T140" s="839">
        <f>T117 + T94 + T70</f>
        <v>38048</v>
      </c>
      <c r="U140" s="839">
        <f>U117 + U94 + U70</f>
        <v>38609</v>
      </c>
      <c r="V140" s="839">
        <f>V117 + V94 + V70</f>
        <v>39967</v>
      </c>
      <c r="W140" s="839">
        <f>W117 + W94 + W70</f>
        <v>40413</v>
      </c>
      <c r="X140" s="839">
        <f>X117 + X94 + X70</f>
        <v>40797</v>
      </c>
      <c r="Y140" s="839">
        <f>Y117 + Y94 + Y70</f>
        <v>41186</v>
      </c>
      <c r="Z140" s="839">
        <f>Z117 + Z94 + Z70</f>
        <v>41556</v>
      </c>
      <c r="AA140" s="839">
        <f>AA117 + AA94 + AA70</f>
        <v>41923</v>
      </c>
      <c r="AB140" s="839">
        <f>AB117 + AB94 + AB70</f>
        <v>42306</v>
      </c>
      <c r="AC140" s="841">
        <f>AC117 + AC94 + AC70</f>
        <v>42764</v>
      </c>
      <c r="AD140" s="841">
        <f>AD117 + AD94 + AD70</f>
        <v>43273</v>
      </c>
      <c r="AE140" s="841">
        <f>AE117 + AE94 + AE70</f>
        <v>46156</v>
      </c>
      <c r="AF140" s="841">
        <f>AF117 + AF94 + AF70</f>
        <v>46558</v>
      </c>
      <c r="AG140" s="841">
        <f>AG117 + AG94 + AG70</f>
        <v>47151</v>
      </c>
      <c r="AH140" s="841">
        <f>AH117 + AH94 + AH70</f>
        <v>47592</v>
      </c>
      <c r="AI140" s="841">
        <f>AI117 + AI94 + AI70</f>
        <v>48265</v>
      </c>
      <c r="AJ140" s="841">
        <f>AJ117 + AJ94 + AJ70</f>
        <v>49168</v>
      </c>
      <c r="AK140" s="841">
        <f>AK117 + AK94 + AK70</f>
        <v>49538</v>
      </c>
      <c r="AL140" s="841">
        <f>AL117 + AL94 + AL70</f>
        <v>49890</v>
      </c>
      <c r="AM140" s="841">
        <f>AM117 + AM94 + AM70</f>
        <v>50595</v>
      </c>
      <c r="AN140" s="841">
        <f>AN117 + AN94 + AN70</f>
        <v>50990</v>
      </c>
      <c r="AO140" s="841">
        <f>AO117 + AO94 + AO70</f>
        <v>53421</v>
      </c>
      <c r="AP140" s="841">
        <f>AP117 + AP94 + AP70</f>
        <v>55923</v>
      </c>
    </row>
    <row r="141" hidden="1">
      <c r="B141" s="842" t="s">
        <v>110</v>
      </c>
      <c r="C141" s="839">
        <f>C118 + C95 + C71</f>
        <v>95203</v>
      </c>
      <c r="D141" s="839">
        <f>D118 + D95 + D71</f>
        <v>96924</v>
      </c>
      <c r="E141" s="839">
        <f>E118 + E95 + E71</f>
        <v>99321</v>
      </c>
      <c r="F141" s="839">
        <f>F118 + F95 + F71</f>
        <v>101066</v>
      </c>
      <c r="G141" s="839">
        <f>G118 + G95 + G71</f>
        <v>102619</v>
      </c>
      <c r="H141" s="839">
        <f>H118 + H95 + H71</f>
        <v>104056</v>
      </c>
      <c r="I141" s="839">
        <f>I118 + I95 + I71</f>
        <v>105438</v>
      </c>
      <c r="J141" s="839">
        <f>J118 + J95 + J71</f>
        <v>107074</v>
      </c>
      <c r="K141" s="839">
        <f>K118 + K95 + K71</f>
        <v>109929</v>
      </c>
      <c r="L141" s="839">
        <f>L118 + L95 + L71</f>
        <v>111535</v>
      </c>
      <c r="M141" s="839">
        <f>M118 + M95 + M71</f>
        <v>113288</v>
      </c>
      <c r="N141" s="839">
        <f>N118 + N95 + N71</f>
        <v>114855</v>
      </c>
      <c r="O141" s="839">
        <f>O118 + O95 + O71</f>
        <v>116999</v>
      </c>
      <c r="P141" s="839">
        <f>P118 + P95 + P71</f>
        <v>118559</v>
      </c>
      <c r="Q141" s="839">
        <f>Q118 + Q95 + Q71</f>
        <v>120270</v>
      </c>
      <c r="R141" s="839">
        <f>R118 + R95 + R71</f>
        <v>121668</v>
      </c>
      <c r="S141" s="839">
        <f>S118 + S95 + S71</f>
        <v>124336</v>
      </c>
      <c r="T141" s="839">
        <f>T118 + T95 + T71</f>
        <v>126040</v>
      </c>
      <c r="U141" s="839">
        <f>U118 + U95 + U71</f>
        <v>128012</v>
      </c>
      <c r="V141" s="839">
        <f>V118 + V95 + V71</f>
        <v>129460</v>
      </c>
      <c r="W141" s="839">
        <f>W118 + W95 + W71</f>
        <v>131134</v>
      </c>
      <c r="X141" s="839">
        <f>X118 + X95 + X71</f>
        <v>132460</v>
      </c>
      <c r="Y141" s="839">
        <f>Y118 + Y95 + Y71</f>
        <v>134142</v>
      </c>
      <c r="Z141" s="839">
        <f>Z118 + Z95 + Z71</f>
        <v>135415</v>
      </c>
      <c r="AA141" s="839">
        <f>AA118 + AA95 + AA71</f>
        <v>136606</v>
      </c>
      <c r="AB141" s="839">
        <f>AB118 + AB95 + AB71</f>
        <v>137814</v>
      </c>
      <c r="AC141" s="841">
        <f>AC118 + AC95 + AC71</f>
        <v>139263</v>
      </c>
      <c r="AD141" s="841">
        <f>AD118 + AD95 + AD71</f>
        <v>140483</v>
      </c>
      <c r="AE141" s="841">
        <f>AE118 + AE95 + AE71</f>
        <v>141384</v>
      </c>
      <c r="AF141" s="841">
        <f>AF118 + AF95 + AF71</f>
        <v>142947</v>
      </c>
      <c r="AG141" s="841">
        <f>AG118 + AG95 + AG71</f>
        <v>144676</v>
      </c>
      <c r="AH141" s="841">
        <f>AH118 + AH95 + AH71</f>
        <v>145779</v>
      </c>
      <c r="AI141" s="841">
        <f>AI118 + AI95 + AI71</f>
        <v>147603</v>
      </c>
      <c r="AJ141" s="841">
        <f>AJ118 + AJ95 + AJ71</f>
        <v>149257</v>
      </c>
      <c r="AK141" s="841">
        <f>AK118 + AK95 + AK71</f>
        <v>150781</v>
      </c>
      <c r="AL141" s="841">
        <f>AL118 + AL95 + AL71</f>
        <v>151766</v>
      </c>
      <c r="AM141" s="841">
        <f>AM118 + AM95 + AM71</f>
        <v>153407</v>
      </c>
      <c r="AN141" s="841">
        <f>AN118 + AN95 + AN71</f>
        <v>154610</v>
      </c>
      <c r="AO141" s="841">
        <f>AO118 + AO95 + AO71</f>
        <v>158647</v>
      </c>
      <c r="AP141" s="841">
        <f>AP118 + AP95 + AP71</f>
        <v>162977</v>
      </c>
    </row>
    <row r="142" hidden="1">
      <c r="B142" s="842" t="s">
        <v>16</v>
      </c>
      <c r="C142" s="839">
        <f>C119 + C96 + C72</f>
        <v>27822</v>
      </c>
      <c r="D142" s="839">
        <f>D119 + D96 + D72</f>
        <v>28485</v>
      </c>
      <c r="E142" s="839">
        <f>E119 + E96 + E72</f>
        <v>29088</v>
      </c>
      <c r="F142" s="839">
        <f>F119 + F96 + F72</f>
        <v>29295</v>
      </c>
      <c r="G142" s="839">
        <f>G119 + G96 + G72</f>
        <v>29635</v>
      </c>
      <c r="H142" s="839">
        <f>H119 + H96 + H72</f>
        <v>29856</v>
      </c>
      <c r="I142" s="839">
        <f>I119 + I96 + I72</f>
        <v>30175</v>
      </c>
      <c r="J142" s="839">
        <f>J119 + J96 + J72</f>
        <v>30493</v>
      </c>
      <c r="K142" s="839">
        <f>K119 + K96 + K72</f>
        <v>31128</v>
      </c>
      <c r="L142" s="839">
        <f>L119 + L96 + L72</f>
        <v>31563</v>
      </c>
      <c r="M142" s="839">
        <f>M119 + M96 + M72</f>
        <v>32019</v>
      </c>
      <c r="N142" s="839">
        <f>N119 + N96 + N72</f>
        <v>32307</v>
      </c>
      <c r="O142" s="839">
        <f>O119 + O96 + O72</f>
        <v>32999</v>
      </c>
      <c r="P142" s="839">
        <f>P119 + P96 + P72</f>
        <v>33205</v>
      </c>
      <c r="Q142" s="839">
        <f>Q119 + Q96 + Q72</f>
        <v>33647</v>
      </c>
      <c r="R142" s="839">
        <f>R119 + R96 + R72</f>
        <v>34017</v>
      </c>
      <c r="S142" s="839">
        <f>S119 + S96 + S72</f>
        <v>34448</v>
      </c>
      <c r="T142" s="839">
        <f>T119 + T96 + T72</f>
        <v>34788</v>
      </c>
      <c r="U142" s="839">
        <f>U119 + U96 + U72</f>
        <v>35278</v>
      </c>
      <c r="V142" s="839">
        <f>V119 + V96 + V72</f>
        <v>35670</v>
      </c>
      <c r="W142" s="839">
        <f>W119 + W96 + W72</f>
        <v>36123</v>
      </c>
      <c r="X142" s="839">
        <f>X119 + X96 + X72</f>
        <v>36506</v>
      </c>
      <c r="Y142" s="839">
        <f>Y119 + Y96 + Y72</f>
        <v>37331</v>
      </c>
      <c r="Z142" s="839">
        <f>Z119 + Z96 + Z72</f>
        <v>37712</v>
      </c>
      <c r="AA142" s="839">
        <f>AA119 + AA96 + AA72</f>
        <v>38187</v>
      </c>
      <c r="AB142" s="839">
        <f>AB119 + AB96 + AB72</f>
        <v>38592</v>
      </c>
      <c r="AC142" s="841">
        <f>AC119 + AC96 + AC72</f>
        <v>39030</v>
      </c>
      <c r="AD142" s="841">
        <f>AD119 + AD96 + AD72</f>
        <v>39376</v>
      </c>
      <c r="AE142" s="841">
        <f>AE119 + AE96 + AE72</f>
        <v>39715</v>
      </c>
      <c r="AF142" s="841">
        <f>AF119 + AF96 + AF72</f>
        <v>40332</v>
      </c>
      <c r="AG142" s="841">
        <f>AG119 + AG96 + AG72</f>
        <v>40940</v>
      </c>
      <c r="AH142" s="841">
        <f>AH119 + AH96 + AH72</f>
        <v>41430</v>
      </c>
      <c r="AI142" s="841">
        <f>AI119 + AI96 + AI72</f>
        <v>42012</v>
      </c>
      <c r="AJ142" s="841">
        <f>AJ119 + AJ96 + AJ72</f>
        <v>42483</v>
      </c>
      <c r="AK142" s="841">
        <f>AK119 + AK96 + AK72</f>
        <v>43195</v>
      </c>
      <c r="AL142" s="841">
        <f>AL119 + AL96 + AL72</f>
        <v>43541</v>
      </c>
      <c r="AM142" s="841">
        <f>AM119 + AM96 + AM72</f>
        <v>43986</v>
      </c>
      <c r="AN142" s="841">
        <f>AN119 + AN96 + AN72</f>
        <v>44497</v>
      </c>
      <c r="AO142" s="841">
        <f>AO119 + AO96 + AO72</f>
        <v>45814</v>
      </c>
      <c r="AP142" s="841">
        <f>AP119 + AP96 + AP72</f>
        <v>46848</v>
      </c>
    </row>
    <row r="143" hidden="1">
      <c r="B143" s="842" t="s">
        <v>17</v>
      </c>
      <c r="C143" s="839">
        <f>C120 + C97 + C73</f>
        <v>54759</v>
      </c>
      <c r="D143" s="839">
        <f>D120 + D97 + D73</f>
        <v>56137</v>
      </c>
      <c r="E143" s="839">
        <f>E120 + E97 + E73</f>
        <v>57567</v>
      </c>
      <c r="F143" s="839">
        <f>F120 + F97 + F73</f>
        <v>58511</v>
      </c>
      <c r="G143" s="839">
        <f>G120 + G97 + G73</f>
        <v>59859</v>
      </c>
      <c r="H143" s="839">
        <f>H120 + H97 + H73</f>
        <v>60772</v>
      </c>
      <c r="I143" s="839">
        <f>I120 + I97 + I73</f>
        <v>61835</v>
      </c>
      <c r="J143" s="839">
        <f>J120 + J97 + J73</f>
        <v>62622</v>
      </c>
      <c r="K143" s="839">
        <f>K120 + K97 + K73</f>
        <v>63902</v>
      </c>
      <c r="L143" s="839">
        <f>L120 + L97 + L73</f>
        <v>64964</v>
      </c>
      <c r="M143" s="839">
        <f>M120 + M97 + M73</f>
        <v>66226</v>
      </c>
      <c r="N143" s="839">
        <f>N120 + N97 + N73</f>
        <v>67149</v>
      </c>
      <c r="O143" s="839">
        <f>O120 + O97 + O73</f>
        <v>68411</v>
      </c>
      <c r="P143" s="839">
        <f>P120 + P97 + P73</f>
        <v>69225</v>
      </c>
      <c r="Q143" s="839">
        <f>Q120 + Q97 + Q73</f>
        <v>70765</v>
      </c>
      <c r="R143" s="839">
        <f>R120 + R97 + R73</f>
        <v>71819</v>
      </c>
      <c r="S143" s="839">
        <f>S120 + S97 + S73</f>
        <v>73351</v>
      </c>
      <c r="T143" s="839">
        <f>T120 + T97 + T73</f>
        <v>74451</v>
      </c>
      <c r="U143" s="839">
        <f>U120 + U97 + U73</f>
        <v>76110</v>
      </c>
      <c r="V143" s="839">
        <f>V120 + V97 + V73</f>
        <v>77169</v>
      </c>
      <c r="W143" s="839">
        <f>W120 + W97 + W73</f>
        <v>78659</v>
      </c>
      <c r="X143" s="839">
        <f>X120 + X97 + X73</f>
        <v>79749</v>
      </c>
      <c r="Y143" s="839">
        <f>Y120 + Y97 + Y73</f>
        <v>81316</v>
      </c>
      <c r="Z143" s="839">
        <f>Z120 + Z97 + Z73</f>
        <v>82201</v>
      </c>
      <c r="AA143" s="839">
        <f>AA120 + AA97 + AA73</f>
        <v>83127</v>
      </c>
      <c r="AB143" s="839">
        <f>AB120 + AB97 + AB73</f>
        <v>83955</v>
      </c>
      <c r="AC143" s="841">
        <f>AC120 + AC97 + AC73</f>
        <v>84961</v>
      </c>
      <c r="AD143" s="841">
        <f>AD120 + AD97 + AD73</f>
        <v>85597</v>
      </c>
      <c r="AE143" s="841">
        <f>AE120 + AE97 + AE73</f>
        <v>86351</v>
      </c>
      <c r="AF143" s="841">
        <f>AF120 + AF97 + AF73</f>
        <v>87034</v>
      </c>
      <c r="AG143" s="841">
        <f>AG120 + AG97 + AG73</f>
        <v>87918</v>
      </c>
      <c r="AH143" s="841">
        <f>AH120 + AH97 + AH73</f>
        <v>88520</v>
      </c>
      <c r="AI143" s="841">
        <f>AI120 + AI97 + AI73</f>
        <v>89212</v>
      </c>
      <c r="AJ143" s="841">
        <f>AJ120 + AJ97 + AJ73</f>
        <v>89926</v>
      </c>
      <c r="AK143" s="841">
        <f>AK120 + AK97 + AK73</f>
        <v>90597</v>
      </c>
      <c r="AL143" s="841">
        <f>AL120 + AL97 + AL73</f>
        <v>91749</v>
      </c>
      <c r="AM143" s="841">
        <f>AM120 + AM97 + AM73</f>
        <v>92435</v>
      </c>
      <c r="AN143" s="841">
        <f>AN120 + AN97 + AN73</f>
        <v>93040</v>
      </c>
      <c r="AO143" s="841">
        <f>AO120 + AO97 + AO73</f>
        <v>94004</v>
      </c>
      <c r="AP143" s="841">
        <f>AP120 + AP97 + AP73</f>
        <v>94582</v>
      </c>
    </row>
    <row r="144" hidden="1">
      <c r="B144" s="842" t="s">
        <v>18</v>
      </c>
      <c r="C144" s="839">
        <f>C121 + C98 + C74</f>
        <v>162722</v>
      </c>
      <c r="D144" s="839">
        <f>D121 + D98 + D74</f>
        <v>164691</v>
      </c>
      <c r="E144" s="839">
        <f>E121 + E98 + E74</f>
        <v>166568</v>
      </c>
      <c r="F144" s="839">
        <f>F121 + F98 + F74</f>
        <v>168023</v>
      </c>
      <c r="G144" s="839">
        <f>G121 + G98 + G74</f>
        <v>169609</v>
      </c>
      <c r="H144" s="839">
        <f>H121 + H98 + H74</f>
        <v>171190</v>
      </c>
      <c r="I144" s="839">
        <f>I121 + I98 + I74</f>
        <v>172677</v>
      </c>
      <c r="J144" s="839">
        <f>J121 + J98 + J74</f>
        <v>174074</v>
      </c>
      <c r="K144" s="839">
        <f>K121 + K98 + K74</f>
        <v>175452</v>
      </c>
      <c r="L144" s="839">
        <f>L121 + L98 + L74</f>
        <v>176766</v>
      </c>
      <c r="M144" s="839">
        <f>M121 + M98 + M74</f>
        <v>179360</v>
      </c>
      <c r="N144" s="839">
        <f>N121 + N98 + N74</f>
        <v>181133</v>
      </c>
      <c r="O144" s="839">
        <f>O121 + O98 + O74</f>
        <v>182960</v>
      </c>
      <c r="P144" s="839">
        <f>P121 + P98 + P74</f>
        <v>184612</v>
      </c>
      <c r="Q144" s="839">
        <f>Q121 + Q98 + Q74</f>
        <v>186713</v>
      </c>
      <c r="R144" s="839">
        <f>R121 + R98 + R74</f>
        <v>188483</v>
      </c>
      <c r="S144" s="839">
        <f>S121 + S98 + S74</f>
        <v>190218</v>
      </c>
      <c r="T144" s="839">
        <f>T121 + T98 + T74</f>
        <v>191760</v>
      </c>
      <c r="U144" s="839">
        <f>U121 + U98 + U74</f>
        <v>196920</v>
      </c>
      <c r="V144" s="839">
        <f>V121 + V98 + V74</f>
        <v>198311</v>
      </c>
      <c r="W144" s="839">
        <f>W121 + W98 + W74</f>
        <v>199708</v>
      </c>
      <c r="X144" s="839">
        <f>X121 + X98 + X74</f>
        <v>200880</v>
      </c>
      <c r="Y144" s="839">
        <f>Y121 + Y98 + Y74</f>
        <v>202146</v>
      </c>
      <c r="Z144" s="839">
        <f>Z121 + Z98 + Z74</f>
        <v>203217</v>
      </c>
      <c r="AA144" s="839">
        <f>AA121 + AA98 + AA74</f>
        <v>204687</v>
      </c>
      <c r="AB144" s="839">
        <f>AB121 + AB98 + AB74</f>
        <v>205669</v>
      </c>
      <c r="AC144" s="841">
        <f>AC121 + AC98 + AC74</f>
        <v>206893</v>
      </c>
      <c r="AD144" s="841">
        <f>AD121 + AD98 + AD74</f>
        <v>207968</v>
      </c>
      <c r="AE144" s="841">
        <f>AE121 + AE98 + AE74</f>
        <v>209108</v>
      </c>
      <c r="AF144" s="841">
        <f>AF121 + AF98 + AF74</f>
        <v>211735</v>
      </c>
      <c r="AG144" s="841">
        <f>AG121 + AG98 + AG74</f>
        <v>213203</v>
      </c>
      <c r="AH144" s="841">
        <f>AH121 + AH98 + AH74</f>
        <v>214282</v>
      </c>
      <c r="AI144" s="841">
        <f>AI121 + AI98 + AI74</f>
        <v>215510</v>
      </c>
      <c r="AJ144" s="841">
        <f>AJ121 + AJ98 + AJ74</f>
        <v>216814</v>
      </c>
      <c r="AK144" s="841">
        <f>AK121 + AK98 + AK74</f>
        <v>224510</v>
      </c>
      <c r="AL144" s="841">
        <f>AL121 + AL98 + AL74</f>
        <v>233284</v>
      </c>
      <c r="AM144" s="841">
        <f>AM121 + AM98 + AM74</f>
        <v>291730</v>
      </c>
      <c r="AN144" s="841">
        <f>AN121 + AN98 + AN74</f>
        <v>311714</v>
      </c>
      <c r="AO144" s="841">
        <f>AO121 + AO98 + AO74</f>
        <v>324965</v>
      </c>
      <c r="AP144" s="841">
        <f>AP121 + AP98 + AP74</f>
        <v>331197</v>
      </c>
    </row>
    <row r="145" hidden="1">
      <c r="B145" s="842" t="s">
        <v>19</v>
      </c>
      <c r="C145" s="839">
        <f>C122 + C99 + C75</f>
        <v>5195</v>
      </c>
      <c r="D145" s="839">
        <f>D122 + D99 + D75</f>
        <v>5392</v>
      </c>
      <c r="E145" s="839">
        <f>E122 + E99 + E75</f>
        <v>5535</v>
      </c>
      <c r="F145" s="839">
        <f>F122 + F99 + F75</f>
        <v>5680</v>
      </c>
      <c r="G145" s="839">
        <f>G122 + G99 + G75</f>
        <v>5848</v>
      </c>
      <c r="H145" s="839">
        <f>H122 + H99 + H75</f>
        <v>5985</v>
      </c>
      <c r="I145" s="839">
        <f>I122 + I99 + I75</f>
        <v>6060</v>
      </c>
      <c r="J145" s="839">
        <f>J122 + J99 + J75</f>
        <v>6160</v>
      </c>
      <c r="K145" s="839">
        <f>K122 + K99 + K75</f>
        <v>6265</v>
      </c>
      <c r="L145" s="839">
        <f>L122 + L99 + L75</f>
        <v>6370</v>
      </c>
      <c r="M145" s="839">
        <f>M122 + M99 + M75</f>
        <v>6487</v>
      </c>
      <c r="N145" s="839">
        <f>N122 + N99 + N75</f>
        <v>6598</v>
      </c>
      <c r="O145" s="839">
        <f>O122 + O99 + O75</f>
        <v>6731</v>
      </c>
      <c r="P145" s="839">
        <f>P122 + P99 + P75</f>
        <v>6862</v>
      </c>
      <c r="Q145" s="839">
        <f>Q122 + Q99 + Q75</f>
        <v>7030</v>
      </c>
      <c r="R145" s="839">
        <f>R122 + R99 + R75</f>
        <v>7160</v>
      </c>
      <c r="S145" s="839">
        <f>S122 + S99 + S75</f>
        <v>7275</v>
      </c>
      <c r="T145" s="839">
        <f>T122 + T99 + T75</f>
        <v>7427</v>
      </c>
      <c r="U145" s="839">
        <f>U122 + U99 + U75</f>
        <v>7537</v>
      </c>
      <c r="V145" s="839">
        <f>V122 + V99 + V75</f>
        <v>7670</v>
      </c>
      <c r="W145" s="839">
        <f>W122 + W99 + W75</f>
        <v>7798</v>
      </c>
      <c r="X145" s="839">
        <f>X122 + X99 + X75</f>
        <v>7877</v>
      </c>
      <c r="Y145" s="839">
        <f>Y122 + Y99 + Y75</f>
        <v>7983</v>
      </c>
      <c r="Z145" s="839">
        <f>Z122 + Z99 + Z75</f>
        <v>8065</v>
      </c>
      <c r="AA145" s="839">
        <f>AA122 + AA99 + AA75</f>
        <v>8140</v>
      </c>
      <c r="AB145" s="839">
        <f>AB122 + AB99 + AB75</f>
        <v>8184</v>
      </c>
      <c r="AC145" s="841">
        <f>AC122 + AC99 + AC75</f>
        <v>8246</v>
      </c>
      <c r="AD145" s="841">
        <f>AD122 + AD99 + AD75</f>
        <v>8357</v>
      </c>
      <c r="AE145" s="841">
        <f>AE122 + AE99 + AE75</f>
        <v>8418</v>
      </c>
      <c r="AF145" s="841">
        <f>AF122 + AF99 + AF75</f>
        <v>8492</v>
      </c>
      <c r="AG145" s="841">
        <f>AG122 + AG99 + AG75</f>
        <v>8574</v>
      </c>
      <c r="AH145" s="841">
        <f>AH122 + AH99 + AH75</f>
        <v>8701</v>
      </c>
      <c r="AI145" s="841">
        <f>AI122 + AI99 + AI75</f>
        <v>8884</v>
      </c>
      <c r="AJ145" s="841">
        <f>AJ122 + AJ99 + AJ75</f>
        <v>8995</v>
      </c>
      <c r="AK145" s="841">
        <f>AK122 + AK99 + AK75</f>
        <v>9150</v>
      </c>
      <c r="AL145" s="841">
        <f>AL122 + AL99 + AL75</f>
        <v>9309</v>
      </c>
      <c r="AM145" s="841">
        <f>AM122 + AM99 + AM75</f>
        <v>9447</v>
      </c>
      <c r="AN145" s="841">
        <f>AN122 + AN99 + AN75</f>
        <v>9568</v>
      </c>
      <c r="AO145" s="841">
        <f>AO122 + AO99 + AO75</f>
        <v>10152</v>
      </c>
      <c r="AP145" s="841">
        <f>AP122 + AP99 + AP75</f>
        <v>11406</v>
      </c>
    </row>
    <row r="146" hidden="1">
      <c r="B146" s="842" t="s">
        <v>20</v>
      </c>
      <c r="C146" s="839">
        <f>C123 + C100 + C76</f>
        <v>11602</v>
      </c>
      <c r="D146" s="839">
        <f>D123 + D100 + D76</f>
        <v>11807</v>
      </c>
      <c r="E146" s="839">
        <f>E123 + E100 + E76</f>
        <v>12266</v>
      </c>
      <c r="F146" s="839">
        <f>F123 + F100 + F76</f>
        <v>12626</v>
      </c>
      <c r="G146" s="839">
        <f>G123 + G100 + G76</f>
        <v>12892</v>
      </c>
      <c r="H146" s="839">
        <f>H123 + H100 + H76</f>
        <v>13069</v>
      </c>
      <c r="I146" s="839">
        <f>I123 + I100 + I76</f>
        <v>13245</v>
      </c>
      <c r="J146" s="839">
        <f>J123 + J100 + J76</f>
        <v>13366</v>
      </c>
      <c r="K146" s="839">
        <f>K123 + K100 + K76</f>
        <v>13577</v>
      </c>
      <c r="L146" s="839">
        <f>L123 + L100 + L76</f>
        <v>13776</v>
      </c>
      <c r="M146" s="839">
        <f>M123 + M100 + M76</f>
        <v>14007</v>
      </c>
      <c r="N146" s="839">
        <f>N123 + N100 + N76</f>
        <v>14091</v>
      </c>
      <c r="O146" s="839">
        <f>O123 + O100 + O76</f>
        <v>14320</v>
      </c>
      <c r="P146" s="839">
        <f>P123 + P100 + P76</f>
        <v>14458</v>
      </c>
      <c r="Q146" s="839">
        <f>Q123 + Q100 + Q76</f>
        <v>14570</v>
      </c>
      <c r="R146" s="839">
        <f>R123 + R100 + R76</f>
        <v>14663</v>
      </c>
      <c r="S146" s="839">
        <f>S123 + S100 + S76</f>
        <v>14768</v>
      </c>
      <c r="T146" s="839">
        <f>T123 + T100 + T76</f>
        <v>15027</v>
      </c>
      <c r="U146" s="839">
        <f>U123 + U100 + U76</f>
        <v>15177</v>
      </c>
      <c r="V146" s="839">
        <f>V123 + V100 + V76</f>
        <v>15272</v>
      </c>
      <c r="W146" s="839">
        <f>W123 + W100 + W76</f>
        <v>15402</v>
      </c>
      <c r="X146" s="839">
        <f>X123 + X100 + X76</f>
        <v>15475</v>
      </c>
      <c r="Y146" s="839">
        <f>Y123 + Y100 + Y76</f>
        <v>15657</v>
      </c>
      <c r="Z146" s="839">
        <f>Z123 + Z100 + Z76</f>
        <v>15747</v>
      </c>
      <c r="AA146" s="839">
        <f>AA123 + AA100 + AA76</f>
        <v>15935</v>
      </c>
      <c r="AB146" s="839">
        <f>AB123 + AB100 + AB76</f>
        <v>16025</v>
      </c>
      <c r="AC146" s="841">
        <f>AC123 + AC100 + AC76</f>
        <v>16132</v>
      </c>
      <c r="AD146" s="841">
        <f>AD123 + AD100 + AD76</f>
        <v>16246</v>
      </c>
      <c r="AE146" s="841">
        <f>AE123 + AE100 + AE76</f>
        <v>16444</v>
      </c>
      <c r="AF146" s="841">
        <f>AF123 + AF100 + AF76</f>
        <v>16545</v>
      </c>
      <c r="AG146" s="841">
        <f>AG123 + AG100 + AG76</f>
        <v>16686</v>
      </c>
      <c r="AH146" s="841">
        <f>AH123 + AH100 + AH76</f>
        <v>16788</v>
      </c>
      <c r="AI146" s="841">
        <f>AI123 + AI100 + AI76</f>
        <v>16913</v>
      </c>
      <c r="AJ146" s="841">
        <f>AJ123 + AJ100 + AJ76</f>
        <v>17056</v>
      </c>
      <c r="AK146" s="841">
        <f>AK123 + AK100 + AK76</f>
        <v>17234</v>
      </c>
      <c r="AL146" s="841">
        <f>AL123 + AL100 + AL76</f>
        <v>17374</v>
      </c>
      <c r="AM146" s="841">
        <f>AM123 + AM100 + AM76</f>
        <v>17549</v>
      </c>
      <c r="AN146" s="841">
        <f>AN123 + AN100 + AN76</f>
        <v>17732</v>
      </c>
      <c r="AO146" s="841">
        <f>AO123 + AO100 + AO76</f>
        <v>17845</v>
      </c>
      <c r="AP146" s="841">
        <f>AP123 + AP100 + AP76</f>
        <v>18107</v>
      </c>
    </row>
    <row r="147" hidden="1">
      <c r="B147" s="842" t="s">
        <v>21</v>
      </c>
      <c r="C147" s="839">
        <f>C124 + C101 + C77</f>
        <v>8472</v>
      </c>
      <c r="D147" s="839">
        <f>D124 + D101 + D77</f>
        <v>8556</v>
      </c>
      <c r="E147" s="839">
        <f>E124 + E101 + E77</f>
        <v>8648</v>
      </c>
      <c r="F147" s="839">
        <f>F124 + F101 + F77</f>
        <v>8740</v>
      </c>
      <c r="G147" s="839">
        <f>G124 + G101 + G77</f>
        <v>8868</v>
      </c>
      <c r="H147" s="839">
        <f>H124 + H101 + H77</f>
        <v>8974</v>
      </c>
      <c r="I147" s="839">
        <f>I124 + I101 + I77</f>
        <v>9068</v>
      </c>
      <c r="J147" s="839">
        <f>J124 + J101 + J77</f>
        <v>9212</v>
      </c>
      <c r="K147" s="839">
        <f>K124 + K101 + K77</f>
        <v>9487</v>
      </c>
      <c r="L147" s="839">
        <f>L124 + L101 + L77</f>
        <v>9631</v>
      </c>
      <c r="M147" s="839">
        <f>M124 + M101 + M77</f>
        <v>9788</v>
      </c>
      <c r="N147" s="839">
        <f>N124 + N101 + N77</f>
        <v>9896</v>
      </c>
      <c r="O147" s="839">
        <f>O124 + O101 + O77</f>
        <v>10031</v>
      </c>
      <c r="P147" s="839">
        <f>P124 + P101 + P77</f>
        <v>10139</v>
      </c>
      <c r="Q147" s="839">
        <f>Q124 + Q101 + Q77</f>
        <v>10276</v>
      </c>
      <c r="R147" s="839">
        <f>R124 + R101 + R77</f>
        <v>10409</v>
      </c>
      <c r="S147" s="839">
        <f>S124 + S101 + S77</f>
        <v>10569</v>
      </c>
      <c r="T147" s="839">
        <f>T124 + T101 + T77</f>
        <v>10906</v>
      </c>
      <c r="U147" s="839">
        <f>U124 + U101 + U77</f>
        <v>11025</v>
      </c>
      <c r="V147" s="839">
        <f>V124 + V101 + V77</f>
        <v>11126</v>
      </c>
      <c r="W147" s="839">
        <f>W124 + W101 + W77</f>
        <v>11254</v>
      </c>
      <c r="X147" s="839">
        <f>X124 + X101 + X77</f>
        <v>11389</v>
      </c>
      <c r="Y147" s="839">
        <f>Y124 + Y101 + Y77</f>
        <v>11488</v>
      </c>
      <c r="Z147" s="839">
        <f>Z124 + Z101 + Z77</f>
        <v>11582</v>
      </c>
      <c r="AA147" s="839">
        <f>AA124 + AA101 + AA77</f>
        <v>11690</v>
      </c>
      <c r="AB147" s="839">
        <f>AB124 + AB101 + AB77</f>
        <v>11783</v>
      </c>
      <c r="AC147" s="841">
        <f>AC124 + AC101 + AC77</f>
        <v>11898</v>
      </c>
      <c r="AD147" s="841">
        <f>AD124 + AD101 + AD77</f>
        <v>12033</v>
      </c>
      <c r="AE147" s="841">
        <f>AE124 + AE101 + AE77</f>
        <v>12199</v>
      </c>
      <c r="AF147" s="841">
        <f>AF124 + AF101 + AF77</f>
        <v>12370</v>
      </c>
      <c r="AG147" s="841">
        <f>AG124 + AG101 + AG77</f>
        <v>12531</v>
      </c>
      <c r="AH147" s="841">
        <f>AH124 + AH101 + AH77</f>
        <v>12644</v>
      </c>
      <c r="AI147" s="841">
        <f>AI124 + AI101 + AI77</f>
        <v>12779</v>
      </c>
      <c r="AJ147" s="841">
        <f>AJ124 + AJ101 + AJ77</f>
        <v>12895</v>
      </c>
      <c r="AK147" s="841">
        <f>AK124 + AK101 + AK77</f>
        <v>13008</v>
      </c>
      <c r="AL147" s="841">
        <f>AL124 + AL101 + AL77</f>
        <v>13091</v>
      </c>
      <c r="AM147" s="841">
        <f>AM124 + AM101 + AM77</f>
        <v>13211</v>
      </c>
      <c r="AN147" s="841">
        <f>AN124 + AN101 + AN77</f>
        <v>13338</v>
      </c>
      <c r="AO147" s="841">
        <f>AO124 + AO101 + AO77</f>
        <v>13507</v>
      </c>
      <c r="AP147" s="841">
        <f>AP124 + AP101 + AP77</f>
        <v>13771</v>
      </c>
    </row>
    <row r="148" hidden="1">
      <c r="B148" s="842" t="s">
        <v>22</v>
      </c>
      <c r="C148" s="839">
        <f>C125 + C102 + C78</f>
        <v>19093</v>
      </c>
      <c r="D148" s="839">
        <f>D125 + D102 + D78</f>
        <v>19289</v>
      </c>
      <c r="E148" s="839">
        <f>E125 + E102 + E78</f>
        <v>19547</v>
      </c>
      <c r="F148" s="839">
        <f>F125 + F102 + F78</f>
        <v>20337</v>
      </c>
      <c r="G148" s="839">
        <f>G125 + G102 + G78</f>
        <v>20715</v>
      </c>
      <c r="H148" s="839">
        <f>H125 + H102 + H78</f>
        <v>21460</v>
      </c>
      <c r="I148" s="839">
        <f>I125 + I102 + I78</f>
        <v>21762</v>
      </c>
      <c r="J148" s="839">
        <f>J125 + J102 + J78</f>
        <v>22127</v>
      </c>
      <c r="K148" s="839">
        <f>K125 + K102 + K78</f>
        <v>22376</v>
      </c>
      <c r="L148" s="839">
        <f>L125 + L102 + L78</f>
        <v>22697</v>
      </c>
      <c r="M148" s="839">
        <f>M125 + M102 + M78</f>
        <v>23342</v>
      </c>
      <c r="N148" s="839">
        <f>N125 + N102 + N78</f>
        <v>23664</v>
      </c>
      <c r="O148" s="839">
        <f>O125 + O102 + O78</f>
        <v>24804</v>
      </c>
      <c r="P148" s="839">
        <f>P125 + P102 + P78</f>
        <v>25112</v>
      </c>
      <c r="Q148" s="839">
        <f>Q125 + Q102 + Q78</f>
        <v>25522</v>
      </c>
      <c r="R148" s="839">
        <f>R125 + R102 + R78</f>
        <v>25814</v>
      </c>
      <c r="S148" s="839">
        <f>S125 + S102 + S78</f>
        <v>26147</v>
      </c>
      <c r="T148" s="839">
        <f>T125 + T102 + T78</f>
        <v>26358</v>
      </c>
      <c r="U148" s="839">
        <f>U125 + U102 + U78</f>
        <v>26678</v>
      </c>
      <c r="V148" s="839">
        <f>V125 + V102 + V78</f>
        <v>26899</v>
      </c>
      <c r="W148" s="839">
        <f>W125 + W102 + W78</f>
        <v>27234</v>
      </c>
      <c r="X148" s="839">
        <f>X125 + X102 + X78</f>
        <v>27488</v>
      </c>
      <c r="Y148" s="839">
        <f>Y125 + Y102 + Y78</f>
        <v>27766</v>
      </c>
      <c r="Z148" s="839">
        <f>Z125 + Z102 + Z78</f>
        <v>27979</v>
      </c>
      <c r="AA148" s="839">
        <f>AA125 + AA102 + AA78</f>
        <v>28341</v>
      </c>
      <c r="AB148" s="839">
        <f>AB125 + AB102 + AB78</f>
        <v>28553</v>
      </c>
      <c r="AC148" s="841">
        <f>AC125 + AC102 + AC78</f>
        <v>28839</v>
      </c>
      <c r="AD148" s="841">
        <f>AD125 + AD102 + AD78</f>
        <v>29061</v>
      </c>
      <c r="AE148" s="841">
        <f>AE125 + AE102 + AE78</f>
        <v>29369</v>
      </c>
      <c r="AF148" s="841">
        <f>AF125 + AF102 + AF78</f>
        <v>29741</v>
      </c>
      <c r="AG148" s="841">
        <f>AG125 + AG102 + AG78</f>
        <v>30349</v>
      </c>
      <c r="AH148" s="841">
        <f>AH125 + AH102 + AH78</f>
        <v>30601</v>
      </c>
      <c r="AI148" s="841">
        <f>AI125 + AI102 + AI78</f>
        <v>30919</v>
      </c>
      <c r="AJ148" s="841">
        <f>AJ125 + AJ102 + AJ78</f>
        <v>31228</v>
      </c>
      <c r="AK148" s="841">
        <f>AK125 + AK102 + AK78</f>
        <v>31543</v>
      </c>
      <c r="AL148" s="841">
        <f>AL125 + AL102 + AL78</f>
        <v>31770</v>
      </c>
      <c r="AM148" s="841">
        <f>AM125 + AM102 + AM78</f>
        <v>32037</v>
      </c>
      <c r="AN148" s="841">
        <f>AN125 + AN102 + AN78</f>
        <v>32288</v>
      </c>
      <c r="AO148" s="841">
        <f>AO125 + AO102 + AO78</f>
        <v>33155</v>
      </c>
      <c r="AP148" s="841">
        <f>AP125 + AP102 + AP78</f>
        <v>33568</v>
      </c>
    </row>
    <row r="149" hidden="1">
      <c r="B149" s="842" t="s">
        <v>23</v>
      </c>
      <c r="C149" s="839">
        <f>C126 + C103 + C79</f>
        <v>2733</v>
      </c>
      <c r="D149" s="839">
        <f>D126 + D103 + D79</f>
        <v>2786</v>
      </c>
      <c r="E149" s="839">
        <f>E126 + E103 + E79</f>
        <v>2831</v>
      </c>
      <c r="F149" s="839">
        <f>F126 + F103 + F79</f>
        <v>2867</v>
      </c>
      <c r="G149" s="839">
        <f>G126 + G103 + G79</f>
        <v>2919</v>
      </c>
      <c r="H149" s="839">
        <f>H126 + H103 + H79</f>
        <v>2960</v>
      </c>
      <c r="I149" s="839">
        <f>I126 + I103 + I79</f>
        <v>3007</v>
      </c>
      <c r="J149" s="839">
        <f>J126 + J103 + J79</f>
        <v>3047</v>
      </c>
      <c r="K149" s="839">
        <f>K126 + K103 + K79</f>
        <v>3119</v>
      </c>
      <c r="L149" s="839">
        <f>L126 + L103 + L79</f>
        <v>3183</v>
      </c>
      <c r="M149" s="839">
        <f>M126 + M103 + M79</f>
        <v>3233</v>
      </c>
      <c r="N149" s="839">
        <f>N126 + N103 + N79</f>
        <v>3278</v>
      </c>
      <c r="O149" s="839">
        <f>O126 + O103 + O79</f>
        <v>3323</v>
      </c>
      <c r="P149" s="839">
        <f>P126 + P103 + P79</f>
        <v>3364</v>
      </c>
      <c r="Q149" s="839">
        <f>Q126 + Q103 + Q79</f>
        <v>3426</v>
      </c>
      <c r="R149" s="839">
        <f>R126 + R103 + R79</f>
        <v>3468</v>
      </c>
      <c r="S149" s="839">
        <f>S126 + S103 + S79</f>
        <v>3533</v>
      </c>
      <c r="T149" s="839">
        <f>T126 + T103 + T79</f>
        <v>3573</v>
      </c>
      <c r="U149" s="839">
        <f>U126 + U103 + U79</f>
        <v>3622</v>
      </c>
      <c r="V149" s="839">
        <f>V126 + V103 + V79</f>
        <v>3717</v>
      </c>
      <c r="W149" s="839">
        <f>W126 + W103 + W79</f>
        <v>3838</v>
      </c>
      <c r="X149" s="839">
        <f>X126 + X103 + X79</f>
        <v>3880</v>
      </c>
      <c r="Y149" s="839">
        <f>Y126 + Y103 + Y79</f>
        <v>3921</v>
      </c>
      <c r="Z149" s="839">
        <f>Z126 + Z103 + Z79</f>
        <v>3957</v>
      </c>
      <c r="AA149" s="839">
        <f>AA126 + AA103 + AA79</f>
        <v>3998</v>
      </c>
      <c r="AB149" s="839">
        <f>AB126 + AB103 + AB79</f>
        <v>4040</v>
      </c>
      <c r="AC149" s="841">
        <f>AC126 + AC103 + AC79</f>
        <v>4100</v>
      </c>
      <c r="AD149" s="841">
        <f>AD126 + AD103 + AD79</f>
        <v>4136</v>
      </c>
      <c r="AE149" s="841">
        <f>AE126 + AE103 + AE79</f>
        <v>4174</v>
      </c>
      <c r="AF149" s="841">
        <f>AF126 + AF103 + AF79</f>
        <v>4229</v>
      </c>
      <c r="AG149" s="841">
        <f>AG126 + AG103 + AG79</f>
        <v>4306</v>
      </c>
      <c r="AH149" s="841">
        <f>AH126 + AH103 + AH79</f>
        <v>4342</v>
      </c>
      <c r="AI149" s="841">
        <f>AI126 + AI103 + AI79</f>
        <v>4397</v>
      </c>
      <c r="AJ149" s="841">
        <f>AJ126 + AJ103 + AJ79</f>
        <v>4433</v>
      </c>
      <c r="AK149" s="841">
        <f>AK126 + AK103 + AK79</f>
        <v>4468</v>
      </c>
      <c r="AL149" s="841">
        <f>AL126 + AL103 + AL79</f>
        <v>4543</v>
      </c>
      <c r="AM149" s="841">
        <f>AM126 + AM103 + AM79</f>
        <v>4590</v>
      </c>
      <c r="AN149" s="841">
        <f>AN126 + AN103 + AN79</f>
        <v>4625</v>
      </c>
      <c r="AO149" s="841">
        <f>AO126 + AO103 + AO79</f>
        <v>4664</v>
      </c>
      <c r="AP149" s="841">
        <f>AP126 + AP103 + AP79</f>
        <v>5024</v>
      </c>
    </row>
    <row r="150" hidden="1">
      <c r="B150" s="843" t="s">
        <v>24</v>
      </c>
      <c r="C150" s="839">
        <f>C127 + C104 + C80</f>
        <v>9463</v>
      </c>
      <c r="D150" s="839">
        <f>D127 + D104 + D80</f>
        <v>9498</v>
      </c>
      <c r="E150" s="839">
        <f>E127 + E104 + E80</f>
        <v>9576</v>
      </c>
      <c r="F150" s="839">
        <f>F127 + F104 + F80</f>
        <v>9620</v>
      </c>
      <c r="G150" s="839">
        <f>G127 + G104 + G80</f>
        <v>9690</v>
      </c>
      <c r="H150" s="839">
        <f>H127 + H104 + H80</f>
        <v>9752</v>
      </c>
      <c r="I150" s="839">
        <f>I127 + I104 + I80</f>
        <v>9851</v>
      </c>
      <c r="J150" s="839">
        <f>J127 + J104 + J80</f>
        <v>9930</v>
      </c>
      <c r="K150" s="839">
        <f>K127 + K104 + K80</f>
        <v>10318</v>
      </c>
      <c r="L150" s="839">
        <f>L127 + L104 + L80</f>
        <v>10568</v>
      </c>
      <c r="M150" s="839">
        <f>M127 + M104 + M80</f>
        <v>11397</v>
      </c>
      <c r="N150" s="839">
        <f>N127 + N104 + N80</f>
        <v>12019</v>
      </c>
      <c r="O150" s="839">
        <f>O127 + O104 + O80</f>
        <v>12618</v>
      </c>
      <c r="P150" s="839">
        <f>P127 + P104 + P80</f>
        <v>12984</v>
      </c>
      <c r="Q150" s="839">
        <f>Q127 + Q104 + Q80</f>
        <v>13360</v>
      </c>
      <c r="R150" s="839">
        <f>R127 + R104 + R80</f>
        <v>13622</v>
      </c>
      <c r="S150" s="839">
        <f>S127 + S104 + S80</f>
        <v>13948</v>
      </c>
      <c r="T150" s="839">
        <f>T127 + T104 + T80</f>
        <v>14399</v>
      </c>
      <c r="U150" s="839">
        <f>U127 + U104 + U80</f>
        <v>15307</v>
      </c>
      <c r="V150" s="839">
        <f>V127 + V104 + V80</f>
        <v>15927</v>
      </c>
      <c r="W150" s="839">
        <f>W127 + W104 + W80</f>
        <v>16647</v>
      </c>
      <c r="X150" s="839">
        <f>X127 + X104 + X80</f>
        <v>17145</v>
      </c>
      <c r="Y150" s="839">
        <f>Y127 + Y104 + Y80</f>
        <v>17598</v>
      </c>
      <c r="Z150" s="839">
        <f>Z127 + Z104 + Z80</f>
        <v>18018</v>
      </c>
      <c r="AA150" s="839">
        <f>AA127 + AA104 + AA80</f>
        <v>18411</v>
      </c>
      <c r="AB150" s="839">
        <f>AB127 + AB104 + AB80</f>
        <v>18796</v>
      </c>
      <c r="AC150" s="841">
        <f>AC127 + AC104 + AC80</f>
        <v>19217</v>
      </c>
      <c r="AD150" s="841">
        <f>AD127 + AD104 + AD80</f>
        <v>19523</v>
      </c>
      <c r="AE150" s="841">
        <f>AE127 + AE104 + AE80</f>
        <v>19797</v>
      </c>
      <c r="AF150" s="841">
        <f>AF127 + AF104 + AF80</f>
        <v>20191</v>
      </c>
      <c r="AG150" s="841">
        <f>AG127 + AG104 + AG80</f>
        <v>20623</v>
      </c>
      <c r="AH150" s="841">
        <f>AH127 + AH104 + AH80</f>
        <v>21011</v>
      </c>
      <c r="AI150" s="841">
        <f>AI127 + AI104 + AI80</f>
        <v>21584</v>
      </c>
      <c r="AJ150" s="841">
        <f>AJ127 + AJ104 + AJ80</f>
        <v>21961</v>
      </c>
      <c r="AK150" s="841">
        <f>AK127 + AK104 + AK80</f>
        <v>22412</v>
      </c>
      <c r="AL150" s="841">
        <f>AL127 + AL104 + AL80</f>
        <v>22858</v>
      </c>
      <c r="AM150" s="841">
        <f>AM127 + AM104 + AM80</f>
        <v>23388</v>
      </c>
      <c r="AN150" s="841">
        <f>AN127 + AN104 + AN80</f>
        <v>24111</v>
      </c>
      <c r="AO150" s="841">
        <f>AO127 + AO104 + AO80</f>
        <v>24966</v>
      </c>
      <c r="AP150" s="841">
        <f>AP127 + AP104 + AP80</f>
        <v>27355</v>
      </c>
    </row>
    <row r="151" hidden="1">
      <c r="B151" s="842" t="s">
        <v>25</v>
      </c>
      <c r="C151" s="839">
        <f>C128 + C105 + C81</f>
        <v>0</v>
      </c>
      <c r="D151" s="839">
        <f>D128 + D105 + D81</f>
        <v>0</v>
      </c>
      <c r="E151" s="839">
        <f>E128 + E105 + E81</f>
        <v>0</v>
      </c>
      <c r="F151" s="839">
        <f>F128 + F105 + F81</f>
        <v>0</v>
      </c>
      <c r="G151" s="839">
        <f>G128 + G105 + G81</f>
        <v>0</v>
      </c>
      <c r="H151" s="839">
        <f>H128 + H105 + H81</f>
        <v>5</v>
      </c>
      <c r="I151" s="839">
        <f>I128 + I105 + I81</f>
        <v>5</v>
      </c>
      <c r="J151" s="839">
        <f>J128 + J105 + J81</f>
        <v>5</v>
      </c>
      <c r="K151" s="839">
        <f>K128 + K105 + K81</f>
        <v>5</v>
      </c>
      <c r="L151" s="839">
        <f>L128 + L105 + L81</f>
        <v>5</v>
      </c>
      <c r="M151" s="839">
        <f>M128 + M105 + M81</f>
        <v>5</v>
      </c>
      <c r="N151" s="839">
        <f>N128 + N105 + N81</f>
        <v>6</v>
      </c>
      <c r="O151" s="839">
        <f>O128 + O105 + O81</f>
        <v>6</v>
      </c>
      <c r="P151" s="839">
        <f>P128 + P105 + P81</f>
        <v>6</v>
      </c>
      <c r="Q151" s="839">
        <f>Q128 + Q105 + Q81</f>
        <v>6</v>
      </c>
      <c r="R151" s="839">
        <f>R128 + R105 + R81</f>
        <v>6</v>
      </c>
      <c r="S151" s="839">
        <f>S128 + S105 + S81</f>
        <v>6</v>
      </c>
      <c r="T151" s="839">
        <f>T128 + T105 + T81</f>
        <v>6</v>
      </c>
      <c r="U151" s="839">
        <f>U128 + U105 + U81</f>
        <v>6</v>
      </c>
      <c r="V151" s="839">
        <f>V128 + V105 + V81</f>
        <v>7</v>
      </c>
      <c r="W151" s="839">
        <f>W128 + W105 + W81</f>
        <v>7</v>
      </c>
      <c r="X151" s="839">
        <f>X128 + X105 + X81</f>
        <v>7</v>
      </c>
      <c r="Y151" s="839">
        <f>Y128 + Y105 + Y81</f>
        <v>7</v>
      </c>
      <c r="Z151" s="839">
        <f>Z128 + Z105 + Z81</f>
        <v>7</v>
      </c>
      <c r="AA151" s="839">
        <f>AA128 + AA105 + AA81</f>
        <v>8</v>
      </c>
      <c r="AB151" s="839">
        <f>AB128 + AB105 + AB81</f>
        <v>8</v>
      </c>
      <c r="AC151" s="841">
        <f>AC128 + AC105 + AC81</f>
        <v>8</v>
      </c>
      <c r="AD151" s="841">
        <f>AD128 + AD105 + AD81</f>
        <v>8</v>
      </c>
      <c r="AE151" s="841">
        <f>AE128 + AE105 + AE81</f>
        <v>8</v>
      </c>
      <c r="AF151" s="841">
        <f>AF128 + AF105 + AF81</f>
        <v>8</v>
      </c>
      <c r="AG151" s="841">
        <f>AG128 + AG105 + AG81</f>
        <v>8</v>
      </c>
      <c r="AH151" s="841">
        <f>AH128 + AH105 + AH81</f>
        <v>8</v>
      </c>
      <c r="AI151" s="841">
        <f>AI128 + AI105 + AI81</f>
        <v>8</v>
      </c>
      <c r="AJ151" s="841">
        <f>AJ128 + AJ105 + AJ81</f>
        <v>8</v>
      </c>
      <c r="AK151" s="841">
        <f>AK128 + AK105 + AK81</f>
        <v>8</v>
      </c>
      <c r="AL151" s="841">
        <f>AL128 + AL105 + AL81</f>
        <v>8</v>
      </c>
      <c r="AM151" s="841">
        <f>AM128 + AM105 + AM81</f>
        <v>8</v>
      </c>
      <c r="AN151" s="841">
        <f>AN128 + AN105 + AN81</f>
        <v>9</v>
      </c>
      <c r="AO151" s="841">
        <f>AO128 + AO105 + AO81</f>
        <v>10</v>
      </c>
      <c r="AP151" s="841">
        <f>AP128 + AP105 + AP81</f>
        <v>11</v>
      </c>
    </row>
    <row r="152" hidden="1" ht="13.5">
      <c r="B152" s="844" t="s">
        <v>26</v>
      </c>
      <c r="C152" s="839">
        <f>C129 + C106 + C82</f>
        <v>0</v>
      </c>
      <c r="D152" s="839">
        <f>D129 + D106 + D82</f>
        <v>0</v>
      </c>
      <c r="E152" s="839">
        <f>E129 + E106 + E82</f>
        <v>0</v>
      </c>
      <c r="F152" s="839">
        <f>F129 + F106 + F82</f>
        <v>0</v>
      </c>
      <c r="G152" s="839">
        <f>G129 + G106 + G82</f>
        <v>0</v>
      </c>
      <c r="H152" s="839">
        <f>H129 + H106 + H82</f>
        <v>1</v>
      </c>
      <c r="I152" s="839">
        <f>I129 + I106 + I82</f>
        <v>1</v>
      </c>
      <c r="J152" s="839">
        <f>J129 + J106 + J82</f>
        <v>1</v>
      </c>
      <c r="K152" s="839">
        <f>K129 + K106 + K82</f>
        <v>1</v>
      </c>
      <c r="L152" s="839">
        <f>L129 + L106 + L82</f>
        <v>6</v>
      </c>
      <c r="M152" s="839">
        <f>M129 + M106 + M82</f>
        <v>6</v>
      </c>
      <c r="N152" s="839">
        <f>N129 + N106 + N82</f>
        <v>6</v>
      </c>
      <c r="O152" s="839">
        <f>O129 + O106 + O82</f>
        <v>6</v>
      </c>
      <c r="P152" s="839">
        <f>P129 + P106 + P82</f>
        <v>6</v>
      </c>
      <c r="Q152" s="839">
        <f>Q129 + Q106 + Q82</f>
        <v>7</v>
      </c>
      <c r="R152" s="839">
        <f>R129 + R106 + R82</f>
        <v>7</v>
      </c>
      <c r="S152" s="839">
        <f>S129 + S106 + S82</f>
        <v>8</v>
      </c>
      <c r="T152" s="839">
        <f>T129 + T106 + T82</f>
        <v>8</v>
      </c>
      <c r="U152" s="839">
        <f>U129 + U106 + U82</f>
        <v>13</v>
      </c>
      <c r="V152" s="839">
        <f>V129 + V106 + V82</f>
        <v>14</v>
      </c>
      <c r="W152" s="839">
        <f>W129 + W106 + W82</f>
        <v>15</v>
      </c>
      <c r="X152" s="839">
        <f>X129 + X106 + X82</f>
        <v>15</v>
      </c>
      <c r="Y152" s="839">
        <f>Y129 + Y106 + Y82</f>
        <v>15</v>
      </c>
      <c r="Z152" s="839">
        <f>Z129 + Z106 + Z82</f>
        <v>16</v>
      </c>
      <c r="AA152" s="839">
        <f>AA129 + AA106 + AA82</f>
        <v>16</v>
      </c>
      <c r="AB152" s="845">
        <f>AB129 + AB106 + AB82</f>
        <v>17</v>
      </c>
      <c r="AC152" s="841">
        <f>AC129 + AC106 + AC82</f>
        <v>17</v>
      </c>
      <c r="AD152" s="841">
        <f>AD129 + AD106 + AD82</f>
        <v>18</v>
      </c>
      <c r="AE152" s="841">
        <f>AE129 + AE106 + AE82</f>
        <v>18</v>
      </c>
      <c r="AF152" s="841">
        <f>AF129 + AF106 + AF82</f>
        <v>18</v>
      </c>
      <c r="AG152" s="841">
        <f>AG129 + AG106 + AG82</f>
        <v>19</v>
      </c>
      <c r="AH152" s="841">
        <f>AH129 + AH106 + AH82</f>
        <v>19</v>
      </c>
      <c r="AI152" s="841">
        <f>AI129 + AI106 + AI82</f>
        <v>21</v>
      </c>
      <c r="AJ152" s="841">
        <f>AJ129 + AJ106 + AJ82</f>
        <v>21</v>
      </c>
      <c r="AK152" s="841">
        <f>AK129 + AK106 + AK82</f>
        <v>21</v>
      </c>
      <c r="AL152" s="841">
        <f>AL129 + AL106 + AL82</f>
        <v>21</v>
      </c>
      <c r="AM152" s="841">
        <f>AM129 + AM106 + AM82</f>
        <v>22</v>
      </c>
      <c r="AN152" s="841">
        <f>AN129 + AN106 + AN82</f>
        <v>22</v>
      </c>
      <c r="AO152" s="841">
        <f>AO129 + AO106 + AO82</f>
        <v>23</v>
      </c>
      <c r="AP152" s="841">
        <f>AP129 + AP106 + AP82</f>
        <v>23</v>
      </c>
    </row>
    <row r="153" hidden="1" ht="13.5">
      <c r="B153" s="128" t="s">
        <v>7</v>
      </c>
      <c r="C153" s="129" t="str">
        <f>IF(SUM(C134:C152)&lt;&gt;0,SUM(C134:C152),"")</f>
      </c>
      <c r="D153" s="129" t="str">
        <f ref="D153:AA153" t="shared" si="15">IF(SUM(D134:D152)&lt;&gt;0,SUM(D134:D152),"")</f>
      </c>
      <c r="E153" s="129" t="str">
        <f t="shared" si="15"/>
      </c>
      <c r="F153" s="129" t="str">
        <f t="shared" si="15"/>
      </c>
      <c r="G153" s="129" t="str">
        <f t="shared" si="15"/>
      </c>
      <c r="H153" s="129" t="str">
        <f t="shared" si="15"/>
      </c>
      <c r="I153" s="129" t="str">
        <f t="shared" si="15"/>
      </c>
      <c r="J153" s="129" t="str">
        <f t="shared" si="15"/>
      </c>
      <c r="K153" s="129" t="str">
        <f t="shared" si="15"/>
      </c>
      <c r="L153" s="129" t="str">
        <f t="shared" si="15"/>
      </c>
      <c r="M153" s="129" t="str">
        <f t="shared" si="15"/>
      </c>
      <c r="N153" s="129" t="str">
        <f t="shared" si="15"/>
      </c>
      <c r="O153" s="129" t="str">
        <f t="shared" si="15"/>
      </c>
      <c r="P153" s="129" t="str">
        <f t="shared" si="15"/>
      </c>
      <c r="Q153" s="129" t="str">
        <f t="shared" si="15"/>
      </c>
      <c r="R153" s="129" t="str">
        <f t="shared" si="15"/>
      </c>
      <c r="S153" s="129" t="str">
        <f t="shared" si="15"/>
      </c>
      <c r="T153" s="129" t="str">
        <f t="shared" si="15"/>
      </c>
      <c r="U153" s="129" t="str">
        <f t="shared" si="15"/>
      </c>
      <c r="V153" s="129" t="str">
        <f t="shared" si="15"/>
      </c>
      <c r="W153" s="129" t="str">
        <f t="shared" si="15"/>
      </c>
      <c r="X153" s="129" t="str">
        <f t="shared" si="15"/>
      </c>
      <c r="Y153" s="129" t="str">
        <f t="shared" si="15"/>
      </c>
      <c r="Z153" s="129" t="str">
        <f t="shared" si="15"/>
      </c>
      <c r="AA153" s="129" t="str">
        <f t="shared" si="15"/>
      </c>
      <c r="AB153" s="130" t="str">
        <f>IF(SUM(AB134:AB152)&lt;&gt;0,SUM(AB134:AB152),"")</f>
      </c>
      <c r="AC153" s="91" t="str">
        <f ref="AC153:CN153" t="shared" si="16">IF(SUM(AC134:AC152)&lt;&gt;0,SUM(AC134:AC152),"")</f>
      </c>
      <c r="AD153" s="91" t="str">
        <f t="shared" si="16"/>
      </c>
      <c r="AE153" s="91" t="str">
        <f t="shared" si="16"/>
      </c>
      <c r="AF153" s="91" t="str">
        <f t="shared" si="16"/>
      </c>
      <c r="AG153" s="91" t="str">
        <f t="shared" si="16"/>
      </c>
      <c r="AH153" s="91" t="str">
        <f t="shared" si="16"/>
      </c>
      <c r="AI153" s="91" t="str">
        <f t="shared" si="16"/>
      </c>
      <c r="AJ153" s="91" t="str">
        <f t="shared" si="16"/>
      </c>
      <c r="AK153" s="91" t="str">
        <f t="shared" si="16"/>
      </c>
      <c r="AL153" s="91" t="str">
        <f t="shared" si="16"/>
      </c>
      <c r="AM153" s="91" t="str">
        <f t="shared" si="16"/>
      </c>
      <c r="AN153" s="91" t="str">
        <f t="shared" si="16"/>
      </c>
      <c r="AO153" s="91" t="str">
        <f t="shared" si="16"/>
      </c>
      <c r="AP153" s="91" t="str">
        <f t="shared" si="16"/>
      </c>
      <c r="AQ153" s="91" t="str">
        <f t="shared" si="16"/>
      </c>
      <c r="AR153" s="91" t="str">
        <f t="shared" si="16"/>
      </c>
      <c r="AS153" s="91" t="str">
        <f t="shared" si="16"/>
      </c>
      <c r="AT153" s="91" t="str">
        <f t="shared" si="16"/>
      </c>
      <c r="AU153" s="91" t="str">
        <f t="shared" si="16"/>
      </c>
      <c r="AV153" s="91" t="str">
        <f t="shared" si="16"/>
      </c>
      <c r="AW153" s="91" t="str">
        <f t="shared" si="16"/>
      </c>
      <c r="AX153" s="91" t="str">
        <f t="shared" si="16"/>
      </c>
      <c r="AY153" s="91" t="str">
        <f t="shared" si="16"/>
      </c>
      <c r="AZ153" s="91" t="str">
        <f t="shared" si="16"/>
      </c>
      <c r="BA153" s="91" t="str">
        <f t="shared" si="16"/>
      </c>
      <c r="BB153" s="91" t="str">
        <f t="shared" si="16"/>
      </c>
      <c r="BC153" s="91" t="str">
        <f t="shared" si="16"/>
      </c>
      <c r="BD153" s="91" t="str">
        <f t="shared" si="16"/>
      </c>
      <c r="BE153" s="91" t="str">
        <f t="shared" si="16"/>
      </c>
      <c r="BF153" s="91" t="str">
        <f t="shared" si="16"/>
      </c>
      <c r="BG153" s="91" t="str">
        <f t="shared" si="16"/>
      </c>
      <c r="BH153" s="91" t="str">
        <f t="shared" si="16"/>
      </c>
      <c r="BI153" s="91" t="str">
        <f t="shared" si="16"/>
      </c>
      <c r="BJ153" s="91" t="str">
        <f t="shared" si="16"/>
      </c>
      <c r="BK153" s="91" t="str">
        <f t="shared" si="16"/>
      </c>
      <c r="BL153" s="91" t="str">
        <f t="shared" si="16"/>
      </c>
      <c r="BM153" s="91" t="str">
        <f t="shared" si="16"/>
      </c>
      <c r="BN153" s="91" t="str">
        <f t="shared" si="16"/>
      </c>
      <c r="BO153" s="91" t="str">
        <f t="shared" si="16"/>
      </c>
      <c r="BP153" s="91" t="str">
        <f t="shared" si="16"/>
      </c>
      <c r="BQ153" s="91" t="str">
        <f t="shared" si="16"/>
      </c>
      <c r="BR153" s="91" t="str">
        <f t="shared" si="16"/>
      </c>
      <c r="BS153" s="91" t="str">
        <f t="shared" si="16"/>
      </c>
      <c r="BT153" s="91" t="str">
        <f t="shared" si="16"/>
      </c>
      <c r="BU153" s="91" t="str">
        <f t="shared" si="16"/>
      </c>
      <c r="BV153" s="91" t="str">
        <f t="shared" si="16"/>
      </c>
      <c r="BW153" s="91" t="str">
        <f t="shared" si="16"/>
      </c>
      <c r="BX153" s="91" t="str">
        <f t="shared" si="16"/>
      </c>
      <c r="BY153" s="91" t="str">
        <f t="shared" si="16"/>
      </c>
      <c r="BZ153" s="91" t="str">
        <f t="shared" si="16"/>
      </c>
      <c r="CA153" s="91" t="str">
        <f t="shared" si="16"/>
      </c>
      <c r="CB153" s="91" t="str">
        <f t="shared" si="16"/>
      </c>
      <c r="CC153" s="91" t="str">
        <f t="shared" si="16"/>
      </c>
      <c r="CD153" s="91" t="str">
        <f t="shared" si="16"/>
      </c>
      <c r="CE153" s="91" t="str">
        <f t="shared" si="16"/>
      </c>
      <c r="CF153" s="91" t="str">
        <f t="shared" si="16"/>
      </c>
      <c r="CG153" s="91" t="str">
        <f t="shared" si="16"/>
      </c>
      <c r="CH153" s="91" t="str">
        <f t="shared" si="16"/>
      </c>
      <c r="CI153" s="91" t="str">
        <f t="shared" si="16"/>
      </c>
      <c r="CJ153" s="91" t="str">
        <f t="shared" si="16"/>
      </c>
      <c r="CK153" s="91" t="str">
        <f t="shared" si="16"/>
      </c>
      <c r="CL153" s="91" t="str">
        <f t="shared" si="16"/>
      </c>
      <c r="CM153" s="91" t="str">
        <f t="shared" si="16"/>
      </c>
      <c r="CN153" s="91" t="str">
        <f t="shared" si="16"/>
      </c>
      <c r="CO153" s="91" t="str">
        <f ref="CO153:EZ153" t="shared" si="17">IF(SUM(CO134:CO152)&lt;&gt;0,SUM(CO134:CO152),"")</f>
      </c>
      <c r="CP153" s="91" t="str">
        <f t="shared" si="17"/>
      </c>
      <c r="CQ153" s="91" t="str">
        <f t="shared" si="17"/>
      </c>
      <c r="CR153" s="91" t="str">
        <f t="shared" si="17"/>
      </c>
      <c r="CS153" s="91" t="str">
        <f t="shared" si="17"/>
      </c>
      <c r="CT153" s="91" t="str">
        <f t="shared" si="17"/>
      </c>
      <c r="CU153" s="91" t="str">
        <f t="shared" si="17"/>
      </c>
      <c r="CV153" s="91" t="str">
        <f t="shared" si="17"/>
      </c>
      <c r="CW153" s="91" t="str">
        <f t="shared" si="17"/>
      </c>
      <c r="CX153" s="91" t="str">
        <f t="shared" si="17"/>
      </c>
      <c r="CY153" s="91" t="str">
        <f t="shared" si="17"/>
      </c>
      <c r="CZ153" s="91" t="str">
        <f t="shared" si="17"/>
      </c>
      <c r="DA153" s="91" t="str">
        <f t="shared" si="17"/>
      </c>
      <c r="DB153" s="91" t="str">
        <f t="shared" si="17"/>
      </c>
      <c r="DC153" s="91" t="str">
        <f t="shared" si="17"/>
      </c>
      <c r="DD153" s="91" t="str">
        <f t="shared" si="17"/>
      </c>
      <c r="DE153" s="91" t="str">
        <f t="shared" si="17"/>
      </c>
      <c r="DF153" s="91" t="str">
        <f t="shared" si="17"/>
      </c>
      <c r="DG153" s="91" t="str">
        <f t="shared" si="17"/>
      </c>
      <c r="DH153" s="91" t="str">
        <f t="shared" si="17"/>
      </c>
      <c r="DI153" s="91" t="str">
        <f t="shared" si="17"/>
      </c>
      <c r="DJ153" s="91" t="str">
        <f t="shared" si="17"/>
      </c>
      <c r="DK153" s="91" t="str">
        <f t="shared" si="17"/>
      </c>
      <c r="DL153" s="91" t="str">
        <f t="shared" si="17"/>
      </c>
      <c r="DM153" s="91" t="str">
        <f t="shared" si="17"/>
      </c>
      <c r="DN153" s="91" t="str">
        <f t="shared" si="17"/>
      </c>
      <c r="DO153" s="91" t="str">
        <f t="shared" si="17"/>
      </c>
      <c r="DP153" s="91" t="str">
        <f t="shared" si="17"/>
      </c>
      <c r="DQ153" s="91" t="str">
        <f t="shared" si="17"/>
      </c>
      <c r="DR153" s="91" t="str">
        <f t="shared" si="17"/>
      </c>
      <c r="DS153" s="91" t="str">
        <f t="shared" si="17"/>
      </c>
      <c r="DT153" s="91" t="str">
        <f t="shared" si="17"/>
      </c>
      <c r="DU153" s="91" t="str">
        <f t="shared" si="17"/>
      </c>
      <c r="DV153" s="91" t="str">
        <f t="shared" si="17"/>
      </c>
      <c r="DW153" s="91" t="str">
        <f t="shared" si="17"/>
      </c>
      <c r="DX153" s="91" t="str">
        <f t="shared" si="17"/>
      </c>
      <c r="DY153" s="91" t="str">
        <f t="shared" si="17"/>
      </c>
      <c r="DZ153" s="91" t="str">
        <f t="shared" si="17"/>
      </c>
      <c r="EA153" s="91" t="str">
        <f t="shared" si="17"/>
      </c>
      <c r="EB153" s="91" t="str">
        <f t="shared" si="17"/>
      </c>
      <c r="EC153" s="91" t="str">
        <f t="shared" si="17"/>
      </c>
      <c r="ED153" s="91" t="str">
        <f t="shared" si="17"/>
      </c>
      <c r="EE153" s="91" t="str">
        <f t="shared" si="17"/>
      </c>
      <c r="EF153" s="91" t="str">
        <f t="shared" si="17"/>
      </c>
      <c r="EG153" s="91" t="str">
        <f t="shared" si="17"/>
      </c>
      <c r="EH153" s="91" t="str">
        <f t="shared" si="17"/>
      </c>
      <c r="EI153" s="91" t="str">
        <f t="shared" si="17"/>
      </c>
      <c r="EJ153" s="91" t="str">
        <f t="shared" si="17"/>
      </c>
      <c r="EK153" s="91" t="str">
        <f t="shared" si="17"/>
      </c>
      <c r="EL153" s="91" t="str">
        <f t="shared" si="17"/>
      </c>
      <c r="EM153" s="91" t="str">
        <f t="shared" si="17"/>
      </c>
      <c r="EN153" s="91" t="str">
        <f t="shared" si="17"/>
      </c>
      <c r="EO153" s="91" t="str">
        <f t="shared" si="17"/>
      </c>
      <c r="EP153" s="91" t="str">
        <f t="shared" si="17"/>
      </c>
      <c r="EQ153" s="91" t="str">
        <f t="shared" si="17"/>
      </c>
      <c r="ER153" s="91" t="str">
        <f t="shared" si="17"/>
      </c>
      <c r="ES153" s="91" t="str">
        <f t="shared" si="17"/>
      </c>
      <c r="ET153" s="91" t="str">
        <f t="shared" si="17"/>
      </c>
      <c r="EU153" s="91" t="str">
        <f t="shared" si="17"/>
      </c>
      <c r="EV153" s="91" t="str">
        <f t="shared" si="17"/>
      </c>
      <c r="EW153" s="91" t="str">
        <f t="shared" si="17"/>
      </c>
      <c r="EX153" s="91" t="str">
        <f t="shared" si="17"/>
      </c>
      <c r="EY153" s="91" t="str">
        <f t="shared" si="17"/>
      </c>
      <c r="EZ153" s="91" t="str">
        <f t="shared" si="17"/>
      </c>
      <c r="FA153" s="91" t="str">
        <f ref="FA153:HL153" t="shared" si="18">IF(SUM(FA134:FA152)&lt;&gt;0,SUM(FA134:FA152),"")</f>
      </c>
      <c r="FB153" s="91" t="str">
        <f t="shared" si="18"/>
      </c>
      <c r="FC153" s="91" t="str">
        <f t="shared" si="18"/>
      </c>
      <c r="FD153" s="91" t="str">
        <f t="shared" si="18"/>
      </c>
      <c r="FE153" s="91" t="str">
        <f t="shared" si="18"/>
      </c>
      <c r="FF153" s="91" t="str">
        <f t="shared" si="18"/>
      </c>
      <c r="FG153" s="91" t="str">
        <f t="shared" si="18"/>
      </c>
      <c r="FH153" s="91" t="str">
        <f t="shared" si="18"/>
      </c>
      <c r="FI153" s="91" t="str">
        <f t="shared" si="18"/>
      </c>
      <c r="FJ153" s="91" t="str">
        <f t="shared" si="18"/>
      </c>
      <c r="FK153" s="91" t="str">
        <f t="shared" si="18"/>
      </c>
      <c r="FL153" s="91" t="str">
        <f t="shared" si="18"/>
      </c>
      <c r="FM153" s="91" t="str">
        <f t="shared" si="18"/>
      </c>
      <c r="FN153" s="91" t="str">
        <f t="shared" si="18"/>
      </c>
      <c r="FO153" s="91" t="str">
        <f t="shared" si="18"/>
      </c>
      <c r="FP153" s="91" t="str">
        <f t="shared" si="18"/>
      </c>
      <c r="FQ153" s="91" t="str">
        <f t="shared" si="18"/>
      </c>
      <c r="FR153" s="91" t="str">
        <f t="shared" si="18"/>
      </c>
      <c r="FS153" s="91" t="str">
        <f t="shared" si="18"/>
      </c>
      <c r="FT153" s="91" t="str">
        <f t="shared" si="18"/>
      </c>
      <c r="FU153" s="91" t="str">
        <f t="shared" si="18"/>
      </c>
      <c r="FV153" s="91" t="str">
        <f t="shared" si="18"/>
      </c>
      <c r="FW153" s="91" t="str">
        <f t="shared" si="18"/>
      </c>
      <c r="FX153" s="91" t="str">
        <f t="shared" si="18"/>
      </c>
      <c r="FY153" s="91" t="str">
        <f t="shared" si="18"/>
      </c>
      <c r="FZ153" s="91" t="str">
        <f t="shared" si="18"/>
      </c>
      <c r="GA153" s="91" t="str">
        <f t="shared" si="18"/>
      </c>
      <c r="GB153" s="91" t="str">
        <f t="shared" si="18"/>
      </c>
      <c r="GC153" s="91" t="str">
        <f t="shared" si="18"/>
      </c>
      <c r="GD153" s="91" t="str">
        <f t="shared" si="18"/>
      </c>
      <c r="GE153" s="91" t="str">
        <f t="shared" si="18"/>
      </c>
      <c r="GF153" s="91" t="str">
        <f t="shared" si="18"/>
      </c>
      <c r="GG153" s="91" t="str">
        <f t="shared" si="18"/>
      </c>
      <c r="GH153" s="91" t="str">
        <f t="shared" si="18"/>
      </c>
      <c r="GI153" s="91" t="str">
        <f t="shared" si="18"/>
      </c>
      <c r="GJ153" s="91" t="str">
        <f t="shared" si="18"/>
      </c>
      <c r="GK153" s="91" t="str">
        <f t="shared" si="18"/>
      </c>
      <c r="GL153" s="91" t="str">
        <f t="shared" si="18"/>
      </c>
      <c r="GM153" s="91" t="str">
        <f t="shared" si="18"/>
      </c>
      <c r="GN153" s="91" t="str">
        <f t="shared" si="18"/>
      </c>
      <c r="GO153" s="91" t="str">
        <f t="shared" si="18"/>
      </c>
      <c r="GP153" s="91" t="str">
        <f t="shared" si="18"/>
      </c>
      <c r="GQ153" s="91" t="str">
        <f t="shared" si="18"/>
      </c>
      <c r="GR153" s="91" t="str">
        <f t="shared" si="18"/>
      </c>
      <c r="GS153" s="91" t="str">
        <f t="shared" si="18"/>
      </c>
      <c r="GT153" s="91" t="str">
        <f t="shared" si="18"/>
      </c>
      <c r="GU153" s="91" t="str">
        <f t="shared" si="18"/>
      </c>
      <c r="GV153" s="91" t="str">
        <f t="shared" si="18"/>
      </c>
      <c r="GW153" s="91" t="str">
        <f t="shared" si="18"/>
      </c>
      <c r="GX153" s="91" t="str">
        <f t="shared" si="18"/>
      </c>
      <c r="GY153" s="91" t="str">
        <f t="shared" si="18"/>
      </c>
      <c r="GZ153" s="91" t="str">
        <f t="shared" si="18"/>
      </c>
      <c r="HA153" s="91" t="str">
        <f t="shared" si="18"/>
      </c>
      <c r="HB153" s="91" t="str">
        <f t="shared" si="18"/>
      </c>
      <c r="HC153" s="91" t="str">
        <f t="shared" si="18"/>
      </c>
      <c r="HD153" s="91" t="str">
        <f t="shared" si="18"/>
      </c>
      <c r="HE153" s="91" t="str">
        <f t="shared" si="18"/>
      </c>
      <c r="HF153" s="91" t="str">
        <f t="shared" si="18"/>
      </c>
      <c r="HG153" s="91" t="str">
        <f t="shared" si="18"/>
      </c>
      <c r="HH153" s="91" t="str">
        <f t="shared" si="18"/>
      </c>
      <c r="HI153" s="91" t="str">
        <f t="shared" si="18"/>
      </c>
      <c r="HJ153" s="91" t="str">
        <f t="shared" si="18"/>
      </c>
      <c r="HK153" s="91" t="str">
        <f t="shared" si="18"/>
      </c>
      <c r="HL153" s="91" t="str">
        <f t="shared" si="18"/>
      </c>
      <c r="HM153" s="91" t="str">
        <f ref="HM153:IV153" t="shared" si="19">IF(SUM(HM134:HM152)&lt;&gt;0,SUM(HM134:HM152),"")</f>
      </c>
      <c r="HN153" s="91" t="str">
        <f t="shared" si="19"/>
      </c>
      <c r="HO153" s="91" t="str">
        <f t="shared" si="19"/>
      </c>
      <c r="HP153" s="91" t="str">
        <f t="shared" si="19"/>
      </c>
      <c r="HQ153" s="91" t="str">
        <f t="shared" si="19"/>
      </c>
      <c r="HR153" s="91" t="str">
        <f t="shared" si="19"/>
      </c>
      <c r="HS153" s="91" t="str">
        <f t="shared" si="19"/>
      </c>
      <c r="HT153" s="91" t="str">
        <f t="shared" si="19"/>
      </c>
      <c r="HU153" s="91" t="str">
        <f t="shared" si="19"/>
      </c>
      <c r="HV153" s="91" t="str">
        <f t="shared" si="19"/>
      </c>
      <c r="HW153" s="91" t="str">
        <f t="shared" si="19"/>
      </c>
      <c r="HX153" s="91" t="str">
        <f t="shared" si="19"/>
      </c>
      <c r="HY153" s="91" t="str">
        <f t="shared" si="19"/>
      </c>
      <c r="HZ153" s="91" t="str">
        <f t="shared" si="19"/>
      </c>
      <c r="IA153" s="91" t="str">
        <f t="shared" si="19"/>
      </c>
      <c r="IB153" s="91" t="str">
        <f t="shared" si="19"/>
      </c>
      <c r="IC153" s="91" t="str">
        <f t="shared" si="19"/>
      </c>
      <c r="ID153" s="91" t="str">
        <f t="shared" si="19"/>
      </c>
      <c r="IE153" s="91" t="str">
        <f t="shared" si="19"/>
      </c>
      <c r="IF153" s="91" t="str">
        <f t="shared" si="19"/>
      </c>
      <c r="IG153" s="91" t="str">
        <f t="shared" si="19"/>
      </c>
      <c r="IH153" s="91" t="str">
        <f t="shared" si="19"/>
      </c>
      <c r="II153" s="91" t="str">
        <f t="shared" si="19"/>
      </c>
      <c r="IJ153" s="91" t="str">
        <f t="shared" si="19"/>
      </c>
      <c r="IK153" s="91" t="str">
        <f t="shared" si="19"/>
      </c>
      <c r="IL153" s="91" t="str">
        <f t="shared" si="19"/>
      </c>
      <c r="IM153" s="91" t="str">
        <f t="shared" si="19"/>
      </c>
      <c r="IN153" s="91" t="str">
        <f t="shared" si="19"/>
      </c>
      <c r="IO153" s="91" t="str">
        <f t="shared" si="19"/>
      </c>
      <c r="IP153" s="91" t="str">
        <f t="shared" si="19"/>
      </c>
      <c r="IQ153" s="91" t="str">
        <f t="shared" si="19"/>
      </c>
      <c r="IR153" s="91" t="str">
        <f t="shared" si="19"/>
      </c>
      <c r="IS153" s="91" t="str">
        <f t="shared" si="19"/>
      </c>
      <c r="IT153" s="91" t="str">
        <f t="shared" si="19"/>
      </c>
      <c r="IU153" s="91" t="str">
        <f t="shared" si="19"/>
      </c>
      <c r="IV153" s="91" t="str">
        <f t="shared" si="19"/>
      </c>
    </row>
  </sheetData>
  <sheetProtection sheet="1" autoFilter="0" objects="1" scenarios="1" sort="0" password="ed66"/>
  <mergeCells>
    <mergeCell ref="C62:AB62"/>
    <mergeCell ref="C86:AB86"/>
    <mergeCell ref="C109:AB109"/>
    <mergeCell ref="C132:AB132"/>
    <mergeCell ref="B9:D9"/>
    <mergeCell ref="D59:G59"/>
    <mergeCell ref="C13:M13"/>
    <mergeCell ref="C17:M17"/>
    <mergeCell ref="C19:M19"/>
    <mergeCell ref="C21:M21"/>
    <mergeCell ref="C23:M23"/>
  </mergeCells>
  <phoneticPr fontId="3" type="noConversion"/>
  <pageMargins left="0.75" right="0.75" top="0.27" bottom="0.26" header="0" footer="0"/>
  <pageSetup paperSize="9" scale="53" orientation="portrait"/>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5121" r:id="rId4" name="Drop Down 1">
              <controlPr defaultSize="0" autoLine="0" autoPict="0">
                <anchor moveWithCells="1">
                  <from>
                    <xdr:col>4</xdr:col>
                    <xdr:colOff>285750</xdr:colOff>
                    <xdr:row>7</xdr:row>
                    <xdr:rowOff>9525</xdr:rowOff>
                  </from>
                  <to>
                    <xdr:col>6</xdr:col>
                    <xdr:colOff>171450</xdr:colOff>
                    <xdr:row>9</xdr:row>
                    <xdr:rowOff>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ontainsText" priority="8" operator="containsText" id="{86F16337-253D-4DDB-A3D9-F6634DAEC7E0}">
            <xm:f>NOT(ISERROR(SEARCH("",AC130)))</xm:f>
            <xm:f>""</xm:f>
            <x14:dxf>
              <numFmt numFmtId="3" formatCode="#,##0"/>
              <border>
                <left style="thin">
                  <color auto="1"/>
                </left>
                <right style="thin">
                  <color auto="1"/>
                </right>
                <top style="thin">
                  <color auto="1"/>
                </top>
                <bottom style="thin">
                  <color auto="1"/>
                </bottom>
                <vertical/>
                <horizontal/>
              </border>
            </x14:dxf>
          </x14:cfRule>
          <xm:sqref>AC130:IV130</xm:sqref>
        </x14:conditionalFormatting>
        <x14:conditionalFormatting xmlns:xm="http://schemas.microsoft.com/office/excel/2006/main">
          <x14:cfRule type="containsText" priority="7" operator="containsText" id="{9DC20BB4-AD6C-4A76-B25C-6A7C139C9A2C}">
            <xm:f>NOT(ISERROR(SEARCH("",C111)))</xm:f>
            <xm:f>""</xm:f>
            <x14:dxf>
              <numFmt numFmtId="3" formatCode="#,##0"/>
              <border>
                <right style="thin">
                  <color auto="1"/>
                </right>
                <top style="thin">
                  <color auto="1"/>
                </top>
                <bottom style="thin">
                  <color auto="1"/>
                </bottom>
                <vertical/>
                <horizontal/>
              </border>
            </x14:dxf>
          </x14:cfRule>
          <xm:sqref>C111:IV129</xm:sqref>
        </x14:conditionalFormatting>
        <x14:conditionalFormatting xmlns:xm="http://schemas.microsoft.com/office/excel/2006/main">
          <x14:cfRule type="containsText" priority="10" operator="containsText" id="{B72F7DE0-1EC2-4854-B96B-06232087B1D9}">
            <xm:f>NOT(ISERROR(SEARCH("",AD87)))</xm:f>
            <xm:f>""</xm:f>
            <x14:dxf>
              <numFmt numFmtId="3" formatCode="#,##0"/>
              <border>
                <left style="thin">
                  <color auto="1"/>
                </left>
                <right style="thin">
                  <color auto="1"/>
                </right>
                <top style="thin">
                  <color auto="1"/>
                </top>
                <bottom style="thin">
                  <color auto="1"/>
                </bottom>
                <vertical/>
                <horizontal/>
              </border>
            </x14:dxf>
          </x14:cfRule>
          <xm:sqref>AD87:AG87 AI87:AL87 AN87:AQ87 AS87:AV87 AX87:BA87 BC87:BF87 BH87:BK87 BM87:BP87 BR87:BU87 BW87:BZ87 CB87:CE87 CG87:CJ87 CL87:CO87 CQ87:CT87 CV87:CY87 DA87:DD87 DF87:DI87 DK87:DN87 DP87:DS87 DU87:DX87 DZ87:EC87 EE87:EH87 EJ87:EM87 EO87:ER87 ET87:EW87 EY87:FB87 FD87:FG87 FI87:FL87 FN87:FQ87 FS87:FV87 FX87:GA87 GC87:GF87 GH87:GK87 GM87:GP87 GR87:GU87 GW87:GZ87 HB87:HE87 HG87:HJ87 HL87:HO87 HQ87:HT87 HV87:HY87 IA87:ID87 IF87:II87 IK87:IN87 IP87:IS87 IU87:IV87</xm:sqref>
        </x14:conditionalFormatting>
        <x14:conditionalFormatting xmlns:xm="http://schemas.microsoft.com/office/excel/2006/main">
          <x14:cfRule type="containsText" priority="12" operator="containsText" id="{FB66433C-1382-46FF-99DE-B8E6961661DF}">
            <xm:f>NOT(ISERROR(SEARCH("",AC107)))</xm:f>
            <xm:f>""</xm:f>
            <x14:dxf>
              <numFmt numFmtId="3" formatCode="#,##0"/>
              <border>
                <left style="thin">
                  <color auto="1"/>
                </left>
                <right style="thin">
                  <color auto="1"/>
                </right>
                <top style="thin">
                  <color auto="1"/>
                </top>
                <bottom style="thin">
                  <color auto="1"/>
                </bottom>
                <vertical/>
                <horizontal/>
              </border>
            </x14:dxf>
          </x14:cfRule>
          <xm:sqref>AC107:IV107</xm:sqref>
        </x14:conditionalFormatting>
        <x14:conditionalFormatting xmlns:xm="http://schemas.microsoft.com/office/excel/2006/main">
          <x14:cfRule type="containsText" priority="11" operator="containsText" id="{D7CDF007-2F50-4004-9FCD-BB1889AD9656}">
            <xm:f>NOT(ISERROR(SEARCH("",C88)))</xm:f>
            <xm:f>""</xm:f>
            <x14:dxf>
              <numFmt numFmtId="3" formatCode="#,##0"/>
              <border>
                <right style="thin">
                  <color auto="1"/>
                </right>
                <top style="thin">
                  <color auto="1"/>
                </top>
                <bottom style="thin">
                  <color auto="1"/>
                </bottom>
                <vertical/>
                <horizontal/>
              </border>
            </x14:dxf>
          </x14:cfRule>
          <xm:sqref>C88:IV106</xm:sqref>
        </x14:conditionalFormatting>
        <x14:conditionalFormatting xmlns:xm="http://schemas.microsoft.com/office/excel/2006/main">
          <x14:cfRule type="containsText" priority="14" operator="containsText" id="{B6FCF177-9559-46CE-9D75-6BC53EA03E74}">
            <xm:f>NOT(ISERROR(SEARCH("",AD63)))</xm:f>
            <xm:f>""</xm:f>
            <x14:dxf>
              <numFmt numFmtId="3" formatCode="#,##0"/>
              <border>
                <left style="thin">
                  <color auto="1"/>
                </left>
                <right style="thin">
                  <color auto="1"/>
                </right>
                <top style="thin">
                  <color auto="1"/>
                </top>
                <bottom style="thin">
                  <color auto="1"/>
                </bottom>
                <vertical/>
                <horizontal/>
              </border>
            </x14:dxf>
          </x14:cfRule>
          <xm:sqref>AD63:AG63 AI63:AL63 AN63:AQ63 AS63:AV63 AX63:BA63 BC63:BF63 BH63:BK63 BM63:BP63 BR63:BU63 BW63:BZ63 CB63:CE63 CG63:CJ63 CL63:CO63 CQ63:CT63 CV63:CY63 DA63:DD63 DF63:DI63 DK63:DN63 DP63:DS63 DU63:DX63 DZ63:EC63 EE63:EH63 EJ63:EM63 EO63:ER63 ET63:EW63 EY63:FB63 FD63:FG63 FI63:FL63 FN63:FQ63 FS63:FV63 FX63:GA63 GC63:GF63 GH63:GK63 GM63:GP63 GR63:GU63 GW63:GZ63 HB63:HE63 HG63:HJ63 HL63:HO63 HQ63:HT63 HV63:HY63 IA63:ID63 IF63:II63 IK63:IN63 IP63:IS63 IU63:IV63</xm:sqref>
        </x14:conditionalFormatting>
        <x14:conditionalFormatting xmlns:xm="http://schemas.microsoft.com/office/excel/2006/main">
          <x14:cfRule type="containsText" priority="16" operator="containsText" id="{C13AB43C-BBB5-4E54-BEFD-0F9FBB62520A}">
            <xm:f>NOT(ISERROR(SEARCH("",AC83)))</xm:f>
            <xm:f>""</xm:f>
            <x14:dxf>
              <numFmt numFmtId="3" formatCode="#,##0"/>
              <border>
                <left style="thin">
                  <color auto="1"/>
                </left>
                <right style="thin">
                  <color auto="1"/>
                </right>
                <top style="thin">
                  <color auto="1"/>
                </top>
                <bottom style="thin">
                  <color auto="1"/>
                </bottom>
                <vertical/>
                <horizontal/>
              </border>
            </x14:dxf>
          </x14:cfRule>
          <xm:sqref>AC83:IV83</xm:sqref>
        </x14:conditionalFormatting>
        <x14:conditionalFormatting xmlns:xm="http://schemas.microsoft.com/office/excel/2006/main">
          <x14:cfRule type="containsText" priority="15" operator="containsText" id="{514D0CBB-7B71-4CB5-A92E-19B2307029D5}">
            <xm:f>NOT(ISERROR(SEARCH("",C64)))</xm:f>
            <xm:f>""</xm:f>
            <x14:dxf>
              <numFmt numFmtId="3" formatCode="#,##0"/>
              <border>
                <right style="thin">
                  <color auto="1"/>
                </right>
                <top style="thin">
                  <color auto="1"/>
                </top>
                <bottom style="thin">
                  <color auto="1"/>
                </bottom>
                <vertical/>
                <horizontal/>
              </border>
            </x14:dxf>
          </x14:cfRule>
          <xm:sqref>C64:IV82</xm:sqref>
        </x14:conditionalFormatting>
        <x14:conditionalFormatting xmlns:xm="http://schemas.microsoft.com/office/excel/2006/main">
          <x14:cfRule type="containsText" priority="13" operator="containsText" id="{056AB091-B8A1-47EE-A5D8-1D12C06817D1}">
            <xm:f>NOT(ISERROR(SEARCH("",AC63)))</xm:f>
            <xm:f>""</xm:f>
            <x14:dxf>
              <numFmt numFmtId="3" formatCode="#,##0"/>
              <border>
                <left style="thin">
                  <color auto="1"/>
                </left>
                <right style="thin">
                  <color auto="1"/>
                </right>
                <top style="thin">
                  <color auto="1"/>
                </top>
                <bottom style="thin">
                  <color auto="1"/>
                </bottom>
                <vertical/>
                <horizontal/>
              </border>
            </x14:dxf>
          </x14:cfRule>
          <xm:sqref>AC63 AH63 AM63 AR63 AW63 BB63 BG63 BL63 BQ63 BV63 CA63 CF63 CK63 CP63 CU63 CZ63 DE63 DJ63 DO63 DT63 DY63 ED63 EI63 EN63 ES63 EX63 FC63 FH63 FM63 FR63 FW63 GB63 GG63 GL63 GQ63 GV63 HA63 HF63 HK63 HP63 HU63 HZ63 IE63 IJ63 IO63 IT63</xm:sqref>
        </x14:conditionalFormatting>
        <x14:conditionalFormatting xmlns:xm="http://schemas.microsoft.com/office/excel/2006/main">
          <x14:cfRule type="containsText" priority="9" operator="containsText" id="{83CDCA88-6D4F-4F50-8E04-571E8649B847}">
            <xm:f>NOT(ISERROR(SEARCH("",AC87)))</xm:f>
            <xm:f>""</xm:f>
            <x14:dxf>
              <numFmt numFmtId="3" formatCode="#,##0"/>
              <border>
                <left style="thin">
                  <color auto="1"/>
                </left>
                <right style="thin">
                  <color auto="1"/>
                </right>
                <top style="thin">
                  <color auto="1"/>
                </top>
                <bottom style="thin">
                  <color auto="1"/>
                </bottom>
                <vertical/>
                <horizontal/>
              </border>
            </x14:dxf>
          </x14:cfRule>
          <xm:sqref>AC87 AH87 AM87 AR87 AW87 BB87 BG87 BL87 BQ87 BV87 CA87 CF87 CK87 CP87 CU87 CZ87 DE87 DJ87 DO87 DT87 DY87 ED87 EI87 EN87 ES87 EX87 FC87 FH87 FM87 FR87 FW87 GB87 GG87 GL87 GQ87 GV87 HA87 HF87 HK87 HP87 HU87 HZ87 IE87 IJ87 IO87 IT87</xm:sqref>
        </x14:conditionalFormatting>
        <x14:conditionalFormatting xmlns:xm="http://schemas.microsoft.com/office/excel/2006/main">
          <x14:cfRule type="containsText" priority="6" operator="containsText" id="{BEF8AFFC-C866-4023-B56F-DADD6F6DB169}">
            <xm:f>NOT(ISERROR(SEARCH("",AD110)))</xm:f>
            <xm:f>""</xm:f>
            <x14:dxf>
              <numFmt numFmtId="3" formatCode="#,##0"/>
              <border>
                <left style="thin">
                  <color auto="1"/>
                </left>
                <right style="thin">
                  <color auto="1"/>
                </right>
                <top style="thin">
                  <color auto="1"/>
                </top>
                <bottom style="thin">
                  <color auto="1"/>
                </bottom>
                <vertical/>
                <horizontal/>
              </border>
            </x14:dxf>
          </x14:cfRule>
          <xm:sqref>AD110:AG110 AI110:AL110 AN110:AQ110 AS110:AV110 AX110:BA110 BC110:BF110 BH110:BK110 BM110:BP110 BR110:BU110 BW110:BZ110 CB110:CE110 CG110:CJ110 CL110:CO110 CQ110:CT110 CV110:CY110 DA110:DD110 DF110:DI110 DK110:DN110 DP110:DS110 DU110:DX110 DZ110:EC110 EE110:EH110 EJ110:EM110 EO110:ER110 ET110:EW110 EY110:FB110 FD110:FG110 FI110:FL110 FN110:FQ110 FS110:FV110 FX110:GA110 GC110:GF110 GH110:GK110 GM110:GP110 GR110:GU110 GW110:GZ110 HB110:HE110 HG110:HJ110 HL110:HO110 HQ110:HT110 HV110:HY110 IA110:ID110 IF110:II110 IK110:IN110 IP110:IS110 IU110:IV110</xm:sqref>
        </x14:conditionalFormatting>
        <x14:conditionalFormatting xmlns:xm="http://schemas.microsoft.com/office/excel/2006/main">
          <x14:cfRule type="containsText" priority="5" operator="containsText" id="{5E8E3688-A1A7-4A4F-B558-E769E4B85F24}">
            <xm:f>NOT(ISERROR(SEARCH("",AC110)))</xm:f>
            <xm:f>""</xm:f>
            <x14:dxf>
              <numFmt numFmtId="3" formatCode="#,##0"/>
              <border>
                <left style="thin">
                  <color auto="1"/>
                </left>
                <right style="thin">
                  <color auto="1"/>
                </right>
                <top style="thin">
                  <color auto="1"/>
                </top>
                <bottom style="thin">
                  <color auto="1"/>
                </bottom>
                <vertical/>
                <horizontal/>
              </border>
            </x14:dxf>
          </x14:cfRule>
          <xm:sqref>AC110 AH110 AM110 AR110 AW110 BB110 BG110 BL110 BQ110 BV110 CA110 CF110 CK110 CP110 CU110 CZ110 DE110 DJ110 DO110 DT110 DY110 ED110 EI110 EN110 ES110 EX110 FC110 FH110 FM110 FR110 FW110 GB110 GG110 GL110 GQ110 GV110 HA110 HF110 HK110 HP110 HU110 HZ110 IE110 IJ110 IO110 IT110</xm:sqref>
        </x14:conditionalFormatting>
        <x14:conditionalFormatting xmlns:xm="http://schemas.microsoft.com/office/excel/2006/main">
          <x14:cfRule type="containsText" priority="4" operator="containsText" id="{C06D6109-3673-4605-BB98-F1F4C9403FC5}">
            <xm:f>NOT(ISERROR(SEARCH("",AC153)))</xm:f>
            <xm:f>""</xm:f>
            <x14:dxf>
              <numFmt numFmtId="3" formatCode="#,##0"/>
              <border>
                <left style="thin">
                  <color auto="1"/>
                </left>
                <right style="thin">
                  <color auto="1"/>
                </right>
                <top style="thin">
                  <color auto="1"/>
                </top>
                <bottom style="thin">
                  <color auto="1"/>
                </bottom>
                <vertical/>
                <horizontal/>
              </border>
            </x14:dxf>
          </x14:cfRule>
          <xm:sqref>AC153:IV153</xm:sqref>
        </x14:conditionalFormatting>
        <x14:conditionalFormatting xmlns:xm="http://schemas.microsoft.com/office/excel/2006/main">
          <x14:cfRule type="containsText" priority="3" operator="containsText" id="{D09B0603-E1FE-4497-8FF0-B6569C661464}">
            <xm:f>NOT(ISERROR(SEARCH("",C134)))</xm:f>
            <xm:f>""</xm:f>
            <x14:dxf>
              <numFmt numFmtId="3" formatCode="#,##0"/>
              <border>
                <right style="thin">
                  <color auto="1"/>
                </right>
                <top style="thin">
                  <color auto="1"/>
                </top>
                <bottom style="thin">
                  <color auto="1"/>
                </bottom>
                <vertical/>
                <horizontal/>
              </border>
            </x14:dxf>
          </x14:cfRule>
          <xm:sqref>C134:IV152</xm:sqref>
        </x14:conditionalFormatting>
        <x14:conditionalFormatting xmlns:xm="http://schemas.microsoft.com/office/excel/2006/main">
          <x14:cfRule type="containsText" priority="2" operator="containsText" id="{A7DA3C75-DBD9-45AF-B52C-238ED54CAEAF}">
            <xm:f>NOT(ISERROR(SEARCH("",AD133)))</xm:f>
            <xm:f>""</xm:f>
            <x14:dxf>
              <numFmt numFmtId="3" formatCode="#,##0"/>
              <border>
                <left style="thin">
                  <color auto="1"/>
                </left>
                <right style="thin">
                  <color auto="1"/>
                </right>
                <top style="thin">
                  <color auto="1"/>
                </top>
                <bottom style="thin">
                  <color auto="1"/>
                </bottom>
                <vertical/>
                <horizontal/>
              </border>
            </x14:dxf>
          </x14:cfRule>
          <xm:sqref>AD133:AG133 AI133:AL133 AN133:AQ133 AS133:AV133 AX133:BA133 BC133:BF133 BH133:BK133 BM133:BP133 BR133:BU133 BW133:BZ133 CB133:CE133 CG133:CJ133 CL133:CO133 CQ133:CT133 CV133:CY133 DA133:DD133 DF133:DI133 DK133:DN133 DP133:DS133 DU133:DX133 DZ133:EC133 EE133:EH133 EJ133:EM133 EO133:ER133 ET133:EW133 EY133:FB133 FD133:FG133 FI133:FL133 FN133:FQ133 FS133:FV133 FX133:GA133 GC133:GF133 GH133:GK133 GM133:GP133 GR133:GU133 GW133:GZ133 HB133:HE133 HG133:HJ133 HL133:HO133 HQ133:HT133 HV133:HY133 IA133:ID133 IF133:II133 IK133:IN133 IP133:IS133 IU133:IV133</xm:sqref>
        </x14:conditionalFormatting>
        <x14:conditionalFormatting xmlns:xm="http://schemas.microsoft.com/office/excel/2006/main">
          <x14:cfRule type="containsText" priority="1" operator="containsText" id="{930956F4-8D0F-4996-8D82-5F80DFA85C39}">
            <xm:f>NOT(ISERROR(SEARCH("",AC133)))</xm:f>
            <xm:f>""</xm:f>
            <x14:dxf>
              <numFmt numFmtId="3" formatCode="#,##0"/>
              <border>
                <left style="thin">
                  <color auto="1"/>
                </left>
                <right style="thin">
                  <color auto="1"/>
                </right>
                <top style="thin">
                  <color auto="1"/>
                </top>
                <bottom style="thin">
                  <color auto="1"/>
                </bottom>
                <vertical/>
                <horizontal/>
              </border>
            </x14:dxf>
          </x14:cfRule>
          <xm:sqref>AC133 AH133 AM133 AR133 AW133 BB133 BG133 BL133 BQ133 BV133 CA133 CF133 CK133 CP133 CU133 CZ133 DE133 DJ133 DO133 DT133 DY133 ED133 EI133 EN133 ES133 EX133 FC133 FH133 FM133 FR133 FW133 GB133 GG133 GL133 GQ133 GV133 HA133 HF133 HK133 HP133 HU133 HZ133 IE133 IJ133 IO133 IT133</xm:sqref>
        </x14:conditionalFormatting>
      </x14:conditionalFormatting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mc:Ignorable="x14ac xr">
  <sheetPr codeName="Hoja7">
    <tabColor indexed="44"/>
  </sheetPr>
  <dimension ref="A1:IV255"/>
  <sheetViews>
    <sheetView showGridLines="0" view="pageBreakPreview" zoomScaleNormal="100" workbookViewId="0">
      <pane ySplit="9" topLeftCell="A10" activePane="bottomLeft" state="frozen"/>
      <selection pane="bottomLeft" activeCell="A10" sqref="A10"/>
    </sheetView>
  </sheetViews>
  <sheetFormatPr baseColWidth="10" defaultRowHeight="12.75"/>
  <cols>
    <col min="1" max="1" width="26.140625" customWidth="1" style="51"/>
    <col min="2" max="2" width="10.7109375" customWidth="1" style="51"/>
    <col min="3" max="11" width="11.7109375" customWidth="1" style="51"/>
    <col min="12" max="12" width="13" customWidth="1" style="51"/>
    <col min="13" max="13" width="26.140625" customWidth="1" style="51"/>
    <col min="14" max="14" width="12" customWidth="1" style="51"/>
    <col min="15" max="15" width="12.7109375" customWidth="1" style="51"/>
    <col min="16" max="24" width="11.7109375" customWidth="1" style="51"/>
    <col min="25" max="25" width="10.140625" customWidth="1" style="51"/>
    <col min="26" max="16384" width="11.42578125" customWidth="1" style="51"/>
  </cols>
  <sheetData>
    <row r="1">
      <c r="A1" s="46"/>
      <c r="B1" s="47"/>
      <c r="C1" s="47"/>
      <c r="D1" s="47"/>
      <c r="E1" s="47"/>
      <c r="F1" s="47"/>
      <c r="G1" s="47"/>
      <c r="H1" s="47"/>
      <c r="I1" s="47"/>
      <c r="J1" s="47"/>
      <c r="K1" s="47"/>
      <c r="L1" s="48"/>
      <c r="M1" s="46"/>
      <c r="N1" s="47"/>
      <c r="O1" s="47"/>
      <c r="P1" s="47"/>
      <c r="Q1" s="47"/>
      <c r="R1" s="47"/>
      <c r="S1" s="47"/>
      <c r="T1" s="47"/>
      <c r="U1" s="47"/>
      <c r="V1" s="47"/>
      <c r="W1" s="47"/>
      <c r="X1" s="47"/>
      <c r="Y1" s="48"/>
    </row>
    <row r="2">
      <c r="A2" s="52"/>
      <c r="B2" s="49"/>
      <c r="C2" s="49"/>
      <c r="D2" s="49"/>
      <c r="E2" s="49"/>
      <c r="F2" s="49"/>
      <c r="G2" s="49"/>
      <c r="H2" s="49"/>
      <c r="I2" s="49"/>
      <c r="J2" s="49"/>
      <c r="K2" s="49"/>
      <c r="L2" s="53"/>
      <c r="M2" s="52"/>
      <c r="N2" s="49"/>
      <c r="O2" s="49"/>
      <c r="P2" s="49"/>
      <c r="Q2" s="49"/>
      <c r="R2" s="49"/>
      <c r="S2" s="49"/>
      <c r="T2" s="49"/>
      <c r="U2" s="49"/>
      <c r="V2" s="49"/>
      <c r="W2" s="49"/>
      <c r="X2" s="49"/>
      <c r="Y2" s="53"/>
    </row>
    <row r="3">
      <c r="A3" s="52"/>
      <c r="B3" s="49"/>
      <c r="C3" s="49"/>
      <c r="D3" s="49"/>
      <c r="E3" s="49"/>
      <c r="F3" s="49"/>
      <c r="G3" s="49"/>
      <c r="H3" s="49"/>
      <c r="I3" s="49"/>
      <c r="J3" s="49"/>
      <c r="K3" s="49"/>
      <c r="L3" s="53"/>
      <c r="M3" s="52"/>
      <c r="N3" s="49"/>
      <c r="O3" s="49"/>
      <c r="P3" s="49"/>
      <c r="Q3" s="49"/>
      <c r="R3" s="49"/>
      <c r="S3" s="49"/>
      <c r="T3" s="49"/>
      <c r="U3" s="49"/>
      <c r="V3" s="49"/>
      <c r="W3" s="49"/>
      <c r="X3" s="49"/>
      <c r="Y3" s="53"/>
    </row>
    <row r="4">
      <c r="A4" s="52"/>
      <c r="B4" s="49"/>
      <c r="C4" s="49"/>
      <c r="D4" s="49"/>
      <c r="E4" s="49"/>
      <c r="F4" s="49"/>
      <c r="G4" s="49"/>
      <c r="H4" s="49"/>
      <c r="I4" s="49"/>
      <c r="J4" s="49"/>
      <c r="K4" s="49"/>
      <c r="L4" s="53"/>
      <c r="M4" s="52"/>
      <c r="N4" s="49"/>
      <c r="O4" s="49"/>
      <c r="P4" s="49"/>
      <c r="Q4" s="49"/>
      <c r="R4" s="49"/>
      <c r="S4" s="49"/>
      <c r="T4" s="49"/>
      <c r="U4" s="49"/>
      <c r="V4" s="49"/>
      <c r="W4" s="49"/>
      <c r="X4" s="49"/>
      <c r="Y4" s="53"/>
    </row>
    <row r="5">
      <c r="A5" s="52"/>
      <c r="B5" s="49"/>
      <c r="C5" s="49"/>
      <c r="D5" s="49"/>
      <c r="E5" s="49"/>
      <c r="F5" s="49"/>
      <c r="G5" s="49"/>
      <c r="H5" s="49"/>
      <c r="I5" s="49"/>
      <c r="J5" s="49"/>
      <c r="K5" s="49"/>
      <c r="L5" s="53"/>
      <c r="M5" s="52"/>
      <c r="N5" s="49"/>
      <c r="O5" s="49"/>
      <c r="P5" s="49"/>
      <c r="Q5" s="49"/>
      <c r="R5" s="49"/>
      <c r="S5" s="49"/>
      <c r="T5" s="49"/>
      <c r="U5" s="49"/>
      <c r="V5" s="49"/>
      <c r="W5" s="49"/>
      <c r="X5" s="49"/>
      <c r="Y5" s="53"/>
    </row>
    <row r="6" ht="13.5">
      <c r="A6" s="54"/>
      <c r="B6" s="55"/>
      <c r="C6" s="55"/>
      <c r="D6" s="55"/>
      <c r="E6" s="55"/>
      <c r="F6" s="55"/>
      <c r="G6" s="55"/>
      <c r="H6" s="55"/>
      <c r="I6" s="55"/>
      <c r="J6" s="55"/>
      <c r="K6" s="55"/>
      <c r="L6" s="56"/>
      <c r="M6" s="54"/>
      <c r="N6" s="55"/>
      <c r="O6" s="55"/>
      <c r="P6" s="55"/>
      <c r="Q6" s="55"/>
      <c r="R6" s="55"/>
      <c r="S6" s="55"/>
      <c r="T6" s="55"/>
      <c r="U6" s="55"/>
      <c r="V6" s="55"/>
      <c r="W6" s="55"/>
      <c r="X6" s="55"/>
      <c r="Y6" s="56"/>
    </row>
    <row r="7" s="57" customFormat="1"/>
    <row r="8">
      <c r="F8" s="131">
        <v>20</v>
      </c>
      <c r="H8" s="51" t="s">
        <v>100</v>
      </c>
      <c r="I8" s="51" t="e">
        <f>LOOKUP(AUX!$E$10,AUX!$B:$B,AUX!$A:$A)</f>
        <v>#N/A</v>
      </c>
      <c r="R8" s="51">
        <v>20</v>
      </c>
    </row>
    <row r="9">
      <c r="A9" s="133" t="s">
        <v>319</v>
      </c>
      <c r="C9" s="133"/>
      <c r="D9" s="133"/>
      <c r="H9" s="51" t="s">
        <v>1</v>
      </c>
      <c r="I9" s="51" t="str">
        <f>LOOKUP(AUX!$E$11,AUX!$E:$E,AUX!$D:$D)</f>
        <v>Cadencia:</v>
      </c>
      <c r="O9" s="597" t="s">
        <v>101</v>
      </c>
      <c r="P9" s="597"/>
      <c r="Q9" s="605"/>
    </row>
    <row r="11">
      <c r="B11" s="57"/>
    </row>
    <row r="12" ht="13.5"/>
    <row r="13" ht="16.5" customHeight="1">
      <c r="A13" s="607" t="s">
        <v>320</v>
      </c>
      <c r="B13" s="608"/>
      <c r="C13" s="608"/>
      <c r="D13" s="608"/>
      <c r="E13" s="608"/>
      <c r="F13" s="608"/>
      <c r="G13" s="608"/>
      <c r="H13" s="608"/>
      <c r="I13" s="608"/>
      <c r="J13" s="608"/>
      <c r="K13" s="608"/>
      <c r="L13" s="609"/>
      <c r="M13" s="610" t="s">
        <v>321</v>
      </c>
      <c r="N13" s="611"/>
      <c r="O13" s="611"/>
      <c r="P13" s="611"/>
      <c r="Q13" s="611"/>
      <c r="R13" s="611"/>
      <c r="S13" s="611"/>
      <c r="T13" s="611"/>
      <c r="U13" s="611"/>
      <c r="V13" s="611"/>
      <c r="W13" s="611"/>
      <c r="X13" s="612"/>
    </row>
    <row r="14">
      <c r="A14" s="141"/>
      <c r="B14" s="142"/>
      <c r="C14" s="142"/>
      <c r="D14" s="142"/>
      <c r="E14" s="142"/>
      <c r="F14" s="142"/>
      <c r="G14" s="142"/>
      <c r="H14" s="142"/>
      <c r="I14" s="142"/>
      <c r="J14" s="142"/>
      <c r="K14" s="142"/>
      <c r="L14" s="370"/>
      <c r="M14" s="141"/>
      <c r="N14" s="142"/>
      <c r="O14" s="142"/>
      <c r="P14" s="142"/>
      <c r="Q14" s="142"/>
      <c r="R14" s="142"/>
      <c r="S14" s="142"/>
      <c r="T14" s="142"/>
      <c r="U14" s="142"/>
      <c r="V14" s="142"/>
      <c r="W14" s="142"/>
      <c r="X14" s="143"/>
    </row>
    <row r="15" ht="18" customHeight="1">
      <c r="A15" s="364" t="str">
        <f>INDEX($A$98:$G$117,$F$8,1)</f>
        <v>Total</v>
      </c>
      <c r="B15" s="146" t="e">
        <f>INDEX(AUX!$G$1:$IV$1,1,AUX!$E$10+(AUX!$E$11*AUX!G$2))</f>
        <v>#VALUE!</v>
      </c>
      <c r="C15" s="146">
        <f>INDEX(AUX!$G$1:$IV$1,1,AUX!$E$10+(AUX!$E$11*AUX!H$2))</f>
        <v>38899</v>
      </c>
      <c r="D15" s="146">
        <f>INDEX(AUX!$G$1:$IV$1,1,AUX!$E$10+(AUX!$E$11*AUX!I$2))</f>
        <v>39083</v>
      </c>
      <c r="E15" s="146">
        <f>INDEX(AUX!$G$1:$IV$1,1,AUX!$E$10+(AUX!$E$11*AUX!J$2))</f>
        <v>39264</v>
      </c>
      <c r="F15" s="146">
        <f>INDEX(AUX!$G$1:$IV$1,1,AUX!$E$10+(AUX!$E$11*AUX!K$2))</f>
        <v>39448</v>
      </c>
      <c r="G15" s="146">
        <f>INDEX(AUX!$G$1:$IV$1,1,AUX!$E$10+(AUX!$E$11*AUX!L$2))</f>
        <v>39630</v>
      </c>
      <c r="H15" s="146">
        <f>INDEX(AUX!$G$1:$IV$1,1,AUX!$E$10+(AUX!$E$11*AUX!M$2))</f>
        <v>39814</v>
      </c>
      <c r="I15" s="146">
        <f>INDEX(AUX!$G$1:$IV$1,1,AUX!$E$10+(AUX!$E$11*AUX!N$2))</f>
        <v>39995</v>
      </c>
      <c r="J15" s="146">
        <f>INDEX(AUX!$G$1:$IV$1,1,AUX!$E$10+(AUX!$E$11*AUX!O$2))</f>
        <v>40179</v>
      </c>
      <c r="K15" s="146">
        <f>INDEX(AUX!$G$1:$IV$1,1,AUX!$E$10+(AUX!$E$11*AUX!P$2))</f>
        <v>40360</v>
      </c>
      <c r="L15" s="371">
        <f>INDEX(AUX!$G$1:$IV$1,1,AUX!$E$10+(AUX!$E$11*AUX!Q$2))</f>
        <v>40544</v>
      </c>
      <c r="M15" s="374" t="str">
        <f>INDEX($A$98:$G$117,$F$8,1)</f>
        <v>Total</v>
      </c>
      <c r="N15" s="146">
        <f>INDEX(AUX!$G$1:$IV$1,1,AUX!$E$10+(AUX!$E$11*AUX!G$2))</f>
        <v>40179</v>
      </c>
      <c r="O15" s="146">
        <f>INDEX(AUX!$G$1:$IV$1,1,AUX!$E$10+(AUX!$E$11*AUX!H$2))</f>
        <v>38899</v>
      </c>
      <c r="P15" s="146">
        <f>INDEX(AUX!$G$1:$IV$1,1,AUX!$E$10+(AUX!$E$11*AUX!I$2))</f>
        <v>39083</v>
      </c>
      <c r="Q15" s="146">
        <f>INDEX(AUX!$G$1:$IV$1,1,AUX!$E$10+(AUX!$E$11*AUX!J$2))</f>
        <v>39264</v>
      </c>
      <c r="R15" s="146">
        <f>INDEX(AUX!$G$1:$IV$1,1,AUX!$E$10+(AUX!$E$11*AUX!K$2))</f>
        <v>39448</v>
      </c>
      <c r="S15" s="146">
        <f>INDEX(AUX!$G$1:$IV$1,1,AUX!$E$10+(AUX!$E$11*AUX!L$2))</f>
        <v>39630</v>
      </c>
      <c r="T15" s="146">
        <f>INDEX(AUX!$G$1:$IV$1,1,AUX!$E$10+(AUX!$E$11*AUX!M$2))</f>
        <v>39814</v>
      </c>
      <c r="U15" s="146">
        <f>INDEX(AUX!$G$1:$IV$1,1,AUX!$E$10+(AUX!$E$11*AUX!N$2))</f>
        <v>39995</v>
      </c>
      <c r="V15" s="146">
        <f>INDEX(AUX!$G$1:$IV$1,1,AUX!$E$10+(AUX!$E$11*AUX!O$2))</f>
        <v>40179</v>
      </c>
      <c r="W15" s="146">
        <f>INDEX(AUX!$G$1:$IV$1,1,AUX!$E$10+(AUX!$E$11*AUX!P$2))</f>
        <v>40360</v>
      </c>
      <c r="X15" s="147">
        <f>INDEX(AUX!$G$1:$IV$1,1,AUX!$E$10+(AUX!$E$11*AUX!Q$2))</f>
        <v>40544</v>
      </c>
    </row>
    <row r="16" ht="18" customHeight="1">
      <c r="A16" s="365" t="s">
        <v>5</v>
      </c>
      <c r="B16" s="363" t="str">
        <f>IF(INDEX($B$98:$II$117,$F$8,AUX!$E$10+(AUX!$E$11*AUX!G$2))="","--",INDEX($B$98:$II$117,$F$8,AUX!$E$10+(AUX!$E$11*AUX!G$2)))</f>
        <v>--</v>
      </c>
      <c r="C16" s="363" t="str">
        <f>IF(INDEX($B$98:$II$117,$F$8,AUX!$E$10+(AUX!$E$11*AUX!H$2))="","--",INDEX($B$98:$II$117,$F$8,AUX!$E$10+(AUX!$E$11*AUX!H$2)))</f>
        <v>--</v>
      </c>
      <c r="D16" s="363" t="str">
        <f>IF(INDEX($B$98:$II$117,$F$8,AUX!$E$10+(AUX!$E$11*AUX!I$2))="","--",INDEX($B$98:$II$117,$F$8,AUX!$E$10+(AUX!$E$11*AUX!I$2)))</f>
        <v>--</v>
      </c>
      <c r="E16" s="363" t="str">
        <f>IF(INDEX($B$98:$II$117,$F$8,AUX!$E$10+(AUX!$E$11*AUX!J$2))="","--",INDEX($B$98:$II$117,$F$8,AUX!$E$10+(AUX!$E$11*AUX!J$2)))</f>
        <v>--</v>
      </c>
      <c r="F16" s="363" t="str">
        <f>IF(INDEX($B$98:$II$117,$F$8,AUX!$E$10+(AUX!$E$11*AUX!K$2))="","--",INDEX($B$98:$II$117,$F$8,AUX!$E$10+(AUX!$E$11*AUX!K$2)))</f>
        <v>--</v>
      </c>
      <c r="G16" s="363" t="str">
        <f>IF(INDEX($B$98:$II$117,$F$8,AUX!$E$10+(AUX!$E$11*AUX!L$2))="","--",INDEX($B$98:$II$117,$F$8,AUX!$E$10+(AUX!$E$11*AUX!L$2)))</f>
        <v>--</v>
      </c>
      <c r="H16" s="363" t="str">
        <f>IF(INDEX($B$98:$II$117,$F$8,AUX!$E$10+(AUX!$E$11*AUX!M$2))="","--",INDEX($B$98:$II$117,$F$8,AUX!$E$10+(AUX!$E$11*AUX!M$2)))</f>
        <v>--</v>
      </c>
      <c r="I16" s="363" t="str">
        <f>IF(INDEX($B$98:$II$117,$F$8,AUX!$E$10+(AUX!$E$11*AUX!N$2))="","--",INDEX($B$98:$II$117,$F$8,AUX!$E$10+(AUX!$E$11*AUX!N$2)))</f>
        <v>--</v>
      </c>
      <c r="J16" s="363" t="str">
        <f>IF(INDEX($B$98:$II$117,$F$8,AUX!$E$10+(AUX!$E$11*AUX!O$2))="","--",INDEX($B$98:$II$117,$F$8,AUX!$E$10+(AUX!$E$11*AUX!O$2)))</f>
        <v>--</v>
      </c>
      <c r="K16" s="363" t="str">
        <f>IF(INDEX($B$98:$II$117,$F$8,AUX!$E$10+(AUX!$E$11*AUX!P$2))="","--",INDEX($B$98:$II$117,$F$8,AUX!$E$10+(AUX!$E$11*AUX!P$2)))</f>
        <v>--</v>
      </c>
      <c r="L16" s="372" t="str">
        <f>IF(INDEX($B$98:$II$117,$F$8,AUX!$E$10+(AUX!$E$11*AUX!Q$2))="","--",INDEX($B$98:$II$117,$F$8,AUX!$E$10+(AUX!$E$11*AUX!Q$2)))</f>
        <v>--</v>
      </c>
      <c r="M16" s="375" t="s">
        <v>5</v>
      </c>
      <c r="N16" s="363" t="str">
        <f>IF(INDEX($B$170:$II$189,$F$8,AUX!$E$10+(AUX!$E$11*AUX!G$2))="","--",INDEX($B$170:$II$189,$F$8,AUX!$E$10+(AUX!$E$11*AUX!G$2)))</f>
        <v>--</v>
      </c>
      <c r="O16" s="363" t="str">
        <f>IF(INDEX($B$170:$II$189,$F$8,AUX!$E$10+(AUX!$E$11*AUX!H$2))="","--",INDEX($B$170:$II$189,$F$8,AUX!$E$10+(AUX!$E$11*AUX!H$2)))</f>
        <v>--</v>
      </c>
      <c r="P16" s="363" t="str">
        <f>IF(INDEX($B$170:$II$189,$F$8,AUX!$E$10+(AUX!$E$11*AUX!I$2))="","--",INDEX($B$170:$II$189,$F$8,AUX!$E$10+(AUX!$E$11*AUX!I$2)))</f>
        <v>--</v>
      </c>
      <c r="Q16" s="363" t="str">
        <f>IF(INDEX($B$170:$II$189,$F$8,AUX!$E$10+(AUX!$E$11*AUX!J$2))="","--",INDEX($B$170:$II$189,$F$8,AUX!$E$10+(AUX!$E$11*AUX!J$2)))</f>
        <v>--</v>
      </c>
      <c r="R16" s="363" t="str">
        <f>IF(INDEX($B$170:$II$189,$F$8,AUX!$E$10+(AUX!$E$11*AUX!K$2))="","--",INDEX($B$170:$II$189,$F$8,AUX!$E$10+(AUX!$E$11*AUX!K$2)))</f>
        <v>--</v>
      </c>
      <c r="S16" s="363" t="str">
        <f>IF(INDEX($B$170:$II$189,$F$8,AUX!$E$10+(AUX!$E$11*AUX!L$2))="","--",INDEX($B$170:$II$189,$F$8,AUX!$E$10+(AUX!$E$11*AUX!L$2)))</f>
        <v>--</v>
      </c>
      <c r="T16" s="363" t="str">
        <f>IF(INDEX($B$170:$II$189,$F$8,AUX!$E$10+(AUX!$E$11*AUX!M$2))="","--",INDEX($B$170:$II$189,$F$8,AUX!$E$10+(AUX!$E$11*AUX!M$2)))</f>
        <v>--</v>
      </c>
      <c r="U16" s="363" t="str">
        <f>IF(INDEX($B$170:$II$189,$F$8,AUX!$E$10+(AUX!$E$11*AUX!N$2))="","--",INDEX($B$170:$II$189,$F$8,AUX!$E$10+(AUX!$E$11*AUX!N$2)))</f>
        <v>--</v>
      </c>
      <c r="V16" s="363" t="str">
        <f>IF(INDEX($B$170:$II$189,$F$8,AUX!$E$10+(AUX!$E$11*AUX!O$2))="","--",INDEX($B$170:$II$189,$F$8,AUX!$E$10+(AUX!$E$11*AUX!O$2)))</f>
        <v>--</v>
      </c>
      <c r="W16" s="363" t="str">
        <f>IF(INDEX($B$170:$II$189,$F$8,AUX!$E$10+(AUX!$E$11*AUX!P$2))="","--",INDEX($B$170:$II$189,$F$8,AUX!$E$10+(AUX!$E$11*AUX!P$2)))</f>
        <v>--</v>
      </c>
      <c r="X16" s="366" t="str">
        <f>IF(INDEX($B$170:$II$189,$F$8,AUX!$E$10+(AUX!$E$11*AUX!Q$2))="","--",INDEX($B$170:$II$189,$F$8,AUX!$E$10+(AUX!$E$11*AUX!Q$2)))</f>
        <v>--</v>
      </c>
    </row>
    <row r="17" ht="18" customHeight="1">
      <c r="A17" s="365" t="s">
        <v>322</v>
      </c>
      <c r="B17" s="363" t="str">
        <f>IF(INDEX($B$121:$II$140,$F$8,AUX!$E$10+(AUX!$E$11*AUX!G$2))="","--",INDEX($B$121:$II$140,$F$8,AUX!$E$10+(AUX!$E$11*AUX!G$2)))</f>
        <v>--</v>
      </c>
      <c r="C17" s="363" t="str">
        <f>IF(INDEX($B$121:$II$140,$F$8,AUX!$E$10+(AUX!$E$11*AUX!H$2))="","--",INDEX($B$121:$II$140,$F$8,AUX!$E$10+(AUX!$E$11*AUX!H$2)))</f>
        <v>--</v>
      </c>
      <c r="D17" s="363" t="str">
        <f>IF(INDEX($B$121:$II$140,$F$8,AUX!$E$10+(AUX!$E$11*AUX!I$2))="","--",INDEX($B$121:$II$140,$F$8,AUX!$E$10+(AUX!$E$11*AUX!I$2)))</f>
        <v>--</v>
      </c>
      <c r="E17" s="363" t="str">
        <f>IF(INDEX($B$121:$II$140,$F$8,AUX!$E$10+(AUX!$E$11*AUX!J$2))="","--",INDEX($B$121:$II$140,$F$8,AUX!$E$10+(AUX!$E$11*AUX!J$2)))</f>
        <v>--</v>
      </c>
      <c r="F17" s="363" t="str">
        <f>IF(INDEX($B$121:$II$140,$F$8,AUX!$E$10+(AUX!$E$11*AUX!K$2))="","--",INDEX($B$121:$II$140,$F$8,AUX!$E$10+(AUX!$E$11*AUX!K$2)))</f>
        <v>--</v>
      </c>
      <c r="G17" s="363" t="str">
        <f>IF(INDEX($B$121:$II$140,$F$8,AUX!$E$10+(AUX!$E$11*AUX!L$2))="","--",INDEX($B$121:$II$140,$F$8,AUX!$E$10+(AUX!$E$11*AUX!L$2)))</f>
        <v>--</v>
      </c>
      <c r="H17" s="363" t="str">
        <f>IF(INDEX($B$121:$II$140,$F$8,AUX!$E$10+(AUX!$E$11*AUX!M$2))="","--",INDEX($B$121:$II$140,$F$8,AUX!$E$10+(AUX!$E$11*AUX!M$2)))</f>
        <v>--</v>
      </c>
      <c r="I17" s="363" t="str">
        <f>IF(INDEX($B$121:$II$140,$F$8,AUX!$E$10+(AUX!$E$11*AUX!N$2))="","--",INDEX($B$121:$II$140,$F$8,AUX!$E$10+(AUX!$E$11*AUX!N$2)))</f>
        <v>--</v>
      </c>
      <c r="J17" s="363" t="str">
        <f>IF(INDEX($B$121:$II$140,$F$8,AUX!$E$10+(AUX!$E$11*AUX!O$2))="","--",INDEX($B$121:$II$140,$F$8,AUX!$E$10+(AUX!$E$11*AUX!O$2)))</f>
        <v>--</v>
      </c>
      <c r="K17" s="363" t="str">
        <f>IF(INDEX($B$121:$II$140,$F$8,AUX!$E$10+(AUX!$E$11*AUX!P$2))="","--",INDEX($B$121:$II$140,$F$8,AUX!$E$10+(AUX!$E$11*AUX!P$2)))</f>
        <v>--</v>
      </c>
      <c r="L17" s="372" t="str">
        <f>IF(INDEX($B$121:$II$140,$F$8,AUX!$E$10+(AUX!$E$11*AUX!Q$2))="","--",INDEX($B$121:$II$140,$F$8,AUX!$E$10+(AUX!$E$11*AUX!Q$2)))</f>
        <v>--</v>
      </c>
      <c r="M17" s="375" t="s">
        <v>322</v>
      </c>
      <c r="N17" s="363" t="str">
        <f>IF(INDEX($B$193:$II$212,$F$8,AUX!$E$10+(AUX!$E$11*AUX!G$2))="","--",INDEX($B$193:$II$212,$F$8,AUX!$E$10+(AUX!$E$11*AUX!G$2)))</f>
        <v>--</v>
      </c>
      <c r="O17" s="363" t="str">
        <f>IF(INDEX($B$193:$II$212,$F$8,AUX!$E$10+(AUX!$E$11*AUX!H$2))="","--",INDEX($B$193:$II$212,$F$8,AUX!$E$10+(AUX!$E$11*AUX!H$2)))</f>
        <v>--</v>
      </c>
      <c r="P17" s="363" t="str">
        <f>IF(INDEX($B$193:$II$212,$F$8,AUX!$E$10+(AUX!$E$11*AUX!I$2))="","--",INDEX($B$193:$II$212,$F$8,AUX!$E$10+(AUX!$E$11*AUX!I$2)))</f>
        <v>--</v>
      </c>
      <c r="Q17" s="363" t="str">
        <f>IF(INDEX($B$193:$II$212,$F$8,AUX!$E$10+(AUX!$E$11*AUX!J$2))="","--",INDEX($B$193:$II$212,$F$8,AUX!$E$10+(AUX!$E$11*AUX!J$2)))</f>
        <v>--</v>
      </c>
      <c r="R17" s="363" t="str">
        <f>IF(INDEX($B$193:$II$212,$F$8,AUX!$E$10+(AUX!$E$11*AUX!K$2))="","--",INDEX($B$193:$II$212,$F$8,AUX!$E$10+(AUX!$E$11*AUX!K$2)))</f>
        <v>--</v>
      </c>
      <c r="S17" s="363" t="str">
        <f>IF(INDEX($B$193:$II$212,$F$8,AUX!$E$10+(AUX!$E$11*AUX!L$2))="","--",INDEX($B$193:$II$212,$F$8,AUX!$E$10+(AUX!$E$11*AUX!L$2)))</f>
        <v>--</v>
      </c>
      <c r="T17" s="363" t="str">
        <f>IF(INDEX($B$193:$II$212,$F$8,AUX!$E$10+(AUX!$E$11*AUX!M$2))="","--",INDEX($B$193:$II$212,$F$8,AUX!$E$10+(AUX!$E$11*AUX!M$2)))</f>
        <v>--</v>
      </c>
      <c r="U17" s="363" t="str">
        <f>IF(INDEX($B$193:$II$212,$F$8,AUX!$E$10+(AUX!$E$11*AUX!N$2))="","--",INDEX($B$193:$II$212,$F$8,AUX!$E$10+(AUX!$E$11*AUX!N$2)))</f>
        <v>--</v>
      </c>
      <c r="V17" s="363" t="str">
        <f>IF(INDEX($B$193:$II$212,$F$8,AUX!$E$10+(AUX!$E$11*AUX!O$2))="","--",INDEX($B$193:$II$212,$F$8,AUX!$E$10+(AUX!$E$11*AUX!O$2)))</f>
        <v>--</v>
      </c>
      <c r="W17" s="363" t="str">
        <f>IF(INDEX($B$193:$II$212,$F$8,AUX!$E$10+(AUX!$E$11*AUX!P$2))="","--",INDEX($B$193:$II$212,$F$8,AUX!$E$10+(AUX!$E$11*AUX!P$2)))</f>
        <v>--</v>
      </c>
      <c r="X17" s="366" t="str">
        <f>IF(INDEX($B$193:$II$212,$F$8,AUX!$E$10+(AUX!$E$11*AUX!Q$2))="","--",INDEX($B$193:$II$212,$F$8,AUX!$E$10+(AUX!$E$11*AUX!Q$2)))</f>
        <v>--</v>
      </c>
    </row>
    <row r="18" ht="18" customHeight="1">
      <c r="A18" s="367" t="s">
        <v>7</v>
      </c>
      <c r="B18" s="368" t="str">
        <f>IF(INDEX($B$144:$II$163,$F$8,AUX!$E$10+(AUX!$E$11*AUX!G$2))="","--",INDEX($B$144:$II$163,$F$8,AUX!$E$10+(AUX!$E$11*AUX!G$2)))</f>
        <v>--</v>
      </c>
      <c r="C18" s="368" t="str">
        <f>IF(INDEX($B$144:$II$163,$F$8,AUX!$E$10+(AUX!$E$11*AUX!H$2))="","--",INDEX($B$144:$II$163,$F$8,AUX!$E$10+(AUX!$E$11*AUX!H$2)))</f>
        <v>--</v>
      </c>
      <c r="D18" s="368" t="str">
        <f>IF(INDEX($B$144:$II$163,$F$8,AUX!$E$10+(AUX!$E$11*AUX!I$2))="","--",INDEX($B$144:$II$163,$F$8,AUX!$E$10+(AUX!$E$11*AUX!I$2)))</f>
        <v>--</v>
      </c>
      <c r="E18" s="368" t="str">
        <f>IF(INDEX($B$144:$II$163,$F$8,AUX!$E$10+(AUX!$E$11*AUX!J$2))="","--",INDEX($B$144:$II$163,$F$8,AUX!$E$10+(AUX!$E$11*AUX!J$2)))</f>
        <v>--</v>
      </c>
      <c r="F18" s="368" t="str">
        <f>IF(INDEX($B$144:$II$163,$F$8,AUX!$E$10+(AUX!$E$11*AUX!K$2))="","--",INDEX($B$144:$II$163,$F$8,AUX!$E$10+(AUX!$E$11*AUX!K$2)))</f>
        <v>--</v>
      </c>
      <c r="G18" s="368" t="str">
        <f>IF(INDEX($B$144:$II$163,$F$8,AUX!$E$10+(AUX!$E$11*AUX!L$2))="","--",INDEX($B$144:$II$163,$F$8,AUX!$E$10+(AUX!$E$11*AUX!L$2)))</f>
        <v>--</v>
      </c>
      <c r="H18" s="368" t="str">
        <f>IF(INDEX($B$144:$II$163,$F$8,AUX!$E$10+(AUX!$E$11*AUX!M$2))="","--",INDEX($B$144:$II$163,$F$8,AUX!$E$10+(AUX!$E$11*AUX!M$2)))</f>
        <v>--</v>
      </c>
      <c r="I18" s="368" t="str">
        <f>IF(INDEX($B$144:$II$163,$F$8,AUX!$E$10+(AUX!$E$11*AUX!N$2))="","--",INDEX($B$144:$II$163,$F$8,AUX!$E$10+(AUX!$E$11*AUX!N$2)))</f>
        <v>--</v>
      </c>
      <c r="J18" s="368" t="str">
        <f>IF(INDEX($B$144:$II$163,$F$8,AUX!$E$10+(AUX!$E$11*AUX!O$2))="","--",INDEX($B$144:$II$163,$F$8,AUX!$E$10+(AUX!$E$11*AUX!O$2)))</f>
        <v>--</v>
      </c>
      <c r="K18" s="368" t="str">
        <f>IF(INDEX($B$144:$II$163,$F$8,AUX!$E$10+(AUX!$E$11*AUX!P$2))="","--",INDEX($B$144:$II$163,$F$8,AUX!$E$10+(AUX!$E$11*AUX!P$2)))</f>
        <v>--</v>
      </c>
      <c r="L18" s="373" t="str">
        <f>IF(INDEX($B$144:$II$163,$F$8,AUX!$E$10+(AUX!$E$11*AUX!Q$2))="","--",INDEX($B$144:$II$163,$F$8,AUX!$E$10+(AUX!$E$11*AUX!Q$2)))</f>
        <v>--</v>
      </c>
      <c r="M18" s="376" t="s">
        <v>7</v>
      </c>
      <c r="N18" s="368" t="str">
        <f>IF(INDEX($B$216:$II$235,$F$8,AUX!$E$10+(AUX!$E$11*AUX!G$2))="","--",INDEX($B$216:$II$235,$F$8,AUX!$E$10+(AUX!$E$11*AUX!G$2)))</f>
        <v>--</v>
      </c>
      <c r="O18" s="368" t="str">
        <f>IF(INDEX($B$216:$II$235,$F$8,AUX!$E$10+(AUX!$E$11*AUX!H$2))="","--",INDEX($B$216:$II$235,$F$8,AUX!$E$10+(AUX!$E$11*AUX!H$2)))</f>
        <v>--</v>
      </c>
      <c r="P18" s="368" t="str">
        <f>IF(INDEX($B$216:$II$235,$F$8,AUX!$E$10+(AUX!$E$11*AUX!I$2))="","--",INDEX($B$216:$II$235,$F$8,AUX!$E$10+(AUX!$E$11*AUX!I$2)))</f>
        <v>--</v>
      </c>
      <c r="Q18" s="368" t="str">
        <f>IF(INDEX($B$216:$II$235,$F$8,AUX!$E$10+(AUX!$E$11*AUX!J$2))="","--",INDEX($B$216:$II$235,$F$8,AUX!$E$10+(AUX!$E$11*AUX!J$2)))</f>
        <v>--</v>
      </c>
      <c r="R18" s="368" t="str">
        <f>IF(INDEX($B$216:$II$235,$F$8,AUX!$E$10+(AUX!$E$11*AUX!K$2))="","--",INDEX($B$216:$II$235,$F$8,AUX!$E$10+(AUX!$E$11*AUX!K$2)))</f>
        <v>--</v>
      </c>
      <c r="S18" s="368" t="str">
        <f>IF(INDEX($B$216:$II$235,$F$8,AUX!$E$10+(AUX!$E$11*AUX!L$2))="","--",INDEX($B$216:$II$235,$F$8,AUX!$E$10+(AUX!$E$11*AUX!L$2)))</f>
        <v>--</v>
      </c>
      <c r="T18" s="368" t="str">
        <f>IF(INDEX($B$216:$II$235,$F$8,AUX!$E$10+(AUX!$E$11*AUX!M$2))="","--",INDEX($B$216:$II$235,$F$8,AUX!$E$10+(AUX!$E$11*AUX!M$2)))</f>
        <v>--</v>
      </c>
      <c r="U18" s="368" t="str">
        <f>IF(INDEX($B$216:$II$235,$F$8,AUX!$E$10+(AUX!$E$11*AUX!N$2))="","--",INDEX($B$216:$II$235,$F$8,AUX!$E$10+(AUX!$E$11*AUX!N$2)))</f>
        <v>--</v>
      </c>
      <c r="V18" s="368" t="str">
        <f>IF(INDEX($B$216:$II$235,$F$8,AUX!$E$10+(AUX!$E$11*AUX!O$2))="","--",INDEX($B$216:$II$235,$F$8,AUX!$E$10+(AUX!$E$11*AUX!O$2)))</f>
        <v>--</v>
      </c>
      <c r="W18" s="368" t="str">
        <f>IF(INDEX($B$216:$II$235,$F$8,AUX!$E$10+(AUX!$E$11*AUX!P$2))="","--",INDEX($B$216:$II$235,$F$8,AUX!$E$10+(AUX!$E$11*AUX!P$2)))</f>
        <v>--</v>
      </c>
      <c r="X18" s="369" t="str">
        <f>IF(INDEX($B$216:$II$235,$F$8,AUX!$E$10+(AUX!$E$11*AUX!Q$2))="","--",INDEX($B$216:$II$235,$F$8,AUX!$E$10+(AUX!$E$11*AUX!Q$2)))</f>
        <v>--</v>
      </c>
    </row>
    <row r="19">
      <c r="B19" s="134"/>
      <c r="C19" s="135"/>
      <c r="D19" s="135"/>
      <c r="E19" s="135"/>
      <c r="F19" s="135"/>
      <c r="G19" s="135"/>
      <c r="H19" s="135"/>
    </row>
    <row r="21">
      <c r="B21" s="58"/>
      <c r="C21" s="58"/>
      <c r="D21" s="58"/>
      <c r="E21" s="58"/>
      <c r="F21" s="58"/>
      <c r="G21" s="58"/>
      <c r="H21" s="58"/>
    </row>
    <row r="22">
      <c r="B22" s="58"/>
      <c r="C22" s="136"/>
      <c r="D22" s="136"/>
      <c r="E22" s="136"/>
      <c r="F22" s="136"/>
      <c r="G22" s="136"/>
      <c r="H22" s="136"/>
    </row>
    <row r="23">
      <c r="B23" s="58"/>
      <c r="C23" s="58"/>
      <c r="D23" s="137"/>
      <c r="E23" s="137"/>
      <c r="F23" s="137"/>
      <c r="G23" s="137"/>
      <c r="H23" s="137"/>
    </row>
    <row r="24">
      <c r="B24" s="134"/>
      <c r="C24" s="135"/>
      <c r="D24" s="135"/>
      <c r="E24" s="135"/>
      <c r="F24" s="135"/>
      <c r="G24" s="135"/>
      <c r="H24" s="135"/>
    </row>
    <row r="25">
      <c r="B25" s="58"/>
      <c r="C25" s="58"/>
      <c r="D25" s="58"/>
      <c r="E25" s="58"/>
      <c r="F25" s="58"/>
      <c r="G25" s="58"/>
      <c r="H25" s="58"/>
    </row>
    <row r="26">
      <c r="B26" s="58"/>
      <c r="C26" s="136"/>
      <c r="D26" s="136"/>
      <c r="E26" s="136"/>
      <c r="F26" s="136"/>
      <c r="G26" s="136"/>
      <c r="H26" s="136"/>
    </row>
    <row r="27">
      <c r="B27" s="58"/>
      <c r="C27" s="58"/>
      <c r="D27" s="137"/>
      <c r="E27" s="137"/>
      <c r="F27" s="137"/>
      <c r="G27" s="137"/>
      <c r="H27" s="137"/>
    </row>
    <row r="28">
      <c r="B28" s="134"/>
      <c r="C28" s="135"/>
      <c r="D28" s="135"/>
      <c r="E28" s="135"/>
      <c r="F28" s="135"/>
      <c r="G28" s="135"/>
      <c r="H28" s="135"/>
    </row>
    <row r="29">
      <c r="B29" s="58"/>
      <c r="C29" s="58"/>
      <c r="D29" s="58"/>
      <c r="E29" s="58"/>
      <c r="F29" s="58"/>
      <c r="G29" s="58"/>
      <c r="H29" s="58"/>
    </row>
    <row r="30">
      <c r="B30" s="58"/>
      <c r="C30" s="136"/>
      <c r="D30" s="136"/>
      <c r="E30" s="136"/>
      <c r="F30" s="136"/>
      <c r="G30" s="136"/>
      <c r="H30" s="136"/>
    </row>
    <row r="31">
      <c r="B31" s="58"/>
      <c r="C31" s="58"/>
      <c r="D31" s="137"/>
      <c r="E31" s="137"/>
      <c r="F31" s="137"/>
      <c r="G31" s="137"/>
      <c r="H31" s="137"/>
    </row>
    <row r="32">
      <c r="B32" s="134"/>
      <c r="C32" s="135"/>
      <c r="D32" s="135"/>
      <c r="E32" s="135"/>
      <c r="F32" s="135"/>
      <c r="G32" s="135"/>
      <c r="H32" s="135"/>
    </row>
    <row r="33">
      <c r="B33" s="58"/>
      <c r="C33" s="58"/>
      <c r="D33" s="58"/>
      <c r="E33" s="58"/>
      <c r="F33" s="58"/>
      <c r="G33" s="58"/>
      <c r="H33" s="58"/>
    </row>
    <row r="34">
      <c r="B34" s="58"/>
      <c r="C34" s="136"/>
      <c r="D34" s="136"/>
      <c r="E34" s="136"/>
      <c r="F34" s="136"/>
      <c r="G34" s="136"/>
      <c r="H34" s="136"/>
    </row>
    <row r="35">
      <c r="B35" s="58"/>
      <c r="C35" s="58"/>
      <c r="D35" s="137"/>
      <c r="E35" s="137"/>
      <c r="F35" s="137"/>
      <c r="G35" s="137"/>
      <c r="H35" s="137"/>
    </row>
    <row r="36">
      <c r="B36" s="134"/>
      <c r="C36" s="135"/>
      <c r="D36" s="135"/>
      <c r="E36" s="135"/>
      <c r="F36" s="135"/>
      <c r="G36" s="135"/>
      <c r="H36" s="135"/>
    </row>
    <row r="37">
      <c r="B37" s="58"/>
      <c r="C37" s="58"/>
      <c r="D37" s="58"/>
      <c r="E37" s="58"/>
      <c r="F37" s="58"/>
      <c r="G37" s="58"/>
      <c r="H37" s="58"/>
    </row>
    <row r="38">
      <c r="B38" s="58"/>
      <c r="C38" s="136"/>
      <c r="D38" s="136"/>
      <c r="E38" s="136"/>
      <c r="F38" s="136"/>
      <c r="G38" s="136"/>
      <c r="H38" s="136"/>
    </row>
    <row r="39">
      <c r="B39" s="58"/>
      <c r="C39" s="136"/>
      <c r="D39" s="136"/>
      <c r="E39" s="136"/>
      <c r="F39" s="136"/>
      <c r="G39" s="136"/>
      <c r="H39" s="136"/>
    </row>
    <row r="40">
      <c r="B40" s="58"/>
      <c r="C40" s="136"/>
      <c r="D40" s="136"/>
      <c r="E40" s="136"/>
      <c r="F40" s="136"/>
      <c r="G40" s="136"/>
      <c r="H40" s="136"/>
    </row>
    <row r="41">
      <c r="B41" s="58"/>
      <c r="C41" s="136"/>
      <c r="D41" s="136"/>
      <c r="E41" s="136"/>
      <c r="F41" s="136"/>
      <c r="G41" s="136"/>
      <c r="H41" s="136"/>
    </row>
    <row r="42">
      <c r="B42" s="58"/>
      <c r="C42" s="58"/>
      <c r="D42" s="137"/>
      <c r="E42" s="137"/>
      <c r="F42" s="137"/>
      <c r="G42" s="137"/>
      <c r="H42" s="137"/>
    </row>
    <row r="43">
      <c r="B43" s="134"/>
      <c r="C43" s="135"/>
      <c r="D43" s="135"/>
      <c r="E43" s="135"/>
      <c r="F43" s="135"/>
      <c r="G43" s="135"/>
      <c r="H43" s="135"/>
    </row>
    <row r="44">
      <c r="B44" s="58"/>
      <c r="C44" s="58"/>
      <c r="D44" s="58"/>
      <c r="E44" s="58"/>
      <c r="F44" s="58"/>
      <c r="G44" s="58"/>
      <c r="H44" s="58"/>
    </row>
    <row r="45">
      <c r="B45" s="58"/>
      <c r="C45" s="136"/>
      <c r="D45" s="136"/>
      <c r="E45" s="136"/>
      <c r="F45" s="136"/>
      <c r="G45" s="136"/>
      <c r="H45" s="136"/>
    </row>
    <row r="46">
      <c r="B46" s="58"/>
      <c r="C46" s="58"/>
      <c r="D46" s="137"/>
      <c r="E46" s="137"/>
      <c r="F46" s="137"/>
      <c r="G46" s="137"/>
      <c r="H46" s="137"/>
    </row>
    <row r="47">
      <c r="B47" s="134"/>
      <c r="C47" s="135"/>
      <c r="D47" s="135"/>
      <c r="E47" s="135"/>
      <c r="F47" s="135"/>
      <c r="G47" s="135"/>
      <c r="H47" s="135"/>
    </row>
    <row r="48">
      <c r="B48" s="58"/>
      <c r="C48" s="58"/>
      <c r="D48" s="58"/>
      <c r="E48" s="58"/>
      <c r="F48" s="58"/>
      <c r="G48" s="58"/>
      <c r="H48" s="58"/>
    </row>
    <row r="49">
      <c r="B49" s="58"/>
      <c r="C49" s="136"/>
      <c r="D49" s="136"/>
      <c r="E49" s="136"/>
      <c r="F49" s="136"/>
      <c r="G49" s="136"/>
      <c r="H49" s="136"/>
    </row>
    <row r="50">
      <c r="B50" s="58"/>
      <c r="C50" s="58"/>
      <c r="D50" s="137"/>
      <c r="E50" s="137"/>
      <c r="F50" s="137"/>
      <c r="G50" s="137"/>
      <c r="H50" s="137"/>
    </row>
    <row r="51">
      <c r="B51" s="134"/>
      <c r="C51" s="135"/>
      <c r="D51" s="135"/>
      <c r="E51" s="135"/>
      <c r="F51" s="135"/>
      <c r="G51" s="135"/>
      <c r="H51" s="135"/>
    </row>
    <row r="52">
      <c r="B52" s="58"/>
      <c r="C52" s="58"/>
      <c r="D52" s="58"/>
      <c r="E52" s="58"/>
      <c r="F52" s="58"/>
      <c r="G52" s="58"/>
      <c r="H52" s="58"/>
    </row>
    <row r="53">
      <c r="B53" s="58"/>
      <c r="C53" s="136"/>
      <c r="D53" s="136"/>
      <c r="E53" s="136"/>
      <c r="F53" s="136"/>
      <c r="G53" s="136"/>
      <c r="H53" s="136"/>
    </row>
    <row r="54">
      <c r="B54" s="58"/>
      <c r="C54" s="58"/>
      <c r="D54" s="137"/>
      <c r="E54" s="137"/>
      <c r="F54" s="137"/>
      <c r="G54" s="137"/>
      <c r="H54" s="137"/>
    </row>
    <row r="55">
      <c r="B55" s="134"/>
      <c r="C55" s="135"/>
      <c r="D55" s="135"/>
      <c r="E55" s="135"/>
      <c r="F55" s="135"/>
      <c r="G55" s="135"/>
      <c r="H55" s="135"/>
    </row>
    <row r="56">
      <c r="B56" s="58"/>
      <c r="C56" s="58"/>
      <c r="D56" s="58"/>
      <c r="E56" s="58"/>
      <c r="F56" s="58"/>
      <c r="G56" s="58"/>
      <c r="H56" s="58"/>
    </row>
    <row r="57">
      <c r="B57" s="58"/>
      <c r="C57" s="136"/>
      <c r="D57" s="136"/>
      <c r="E57" s="136"/>
      <c r="F57" s="136"/>
      <c r="G57" s="136"/>
      <c r="H57" s="136"/>
    </row>
    <row r="58">
      <c r="B58" s="58"/>
      <c r="C58" s="58"/>
      <c r="D58" s="137"/>
      <c r="E58" s="137"/>
      <c r="F58" s="137"/>
      <c r="G58" s="137"/>
      <c r="H58" s="137"/>
    </row>
    <row r="59">
      <c r="B59" s="134"/>
      <c r="C59" s="135"/>
      <c r="D59" s="135"/>
      <c r="E59" s="135"/>
      <c r="F59" s="135"/>
      <c r="G59" s="135"/>
      <c r="H59" s="135"/>
    </row>
    <row r="60">
      <c r="B60" s="134"/>
      <c r="C60" s="135"/>
      <c r="D60" s="135"/>
      <c r="E60" s="135"/>
      <c r="F60" s="135"/>
      <c r="G60" s="135"/>
      <c r="H60" s="135"/>
    </row>
    <row r="61">
      <c r="B61" s="134"/>
      <c r="C61" s="135"/>
      <c r="D61" s="135"/>
      <c r="E61" s="135"/>
      <c r="F61" s="135"/>
      <c r="G61" s="135"/>
      <c r="H61" s="135"/>
    </row>
    <row r="62">
      <c r="B62" s="134"/>
      <c r="C62" s="135"/>
      <c r="D62" s="135"/>
      <c r="E62" s="135"/>
      <c r="F62" s="135"/>
      <c r="G62" s="135"/>
      <c r="H62" s="135"/>
    </row>
    <row r="63">
      <c r="B63" s="134"/>
      <c r="C63" s="135"/>
      <c r="D63" s="135"/>
      <c r="E63" s="135"/>
      <c r="F63" s="135"/>
      <c r="G63" s="135"/>
      <c r="H63" s="135"/>
    </row>
    <row r="64">
      <c r="B64" s="134"/>
      <c r="C64" s="135"/>
      <c r="D64" s="135"/>
      <c r="E64" s="135"/>
      <c r="F64" s="135"/>
      <c r="G64" s="135"/>
      <c r="H64" s="135"/>
    </row>
    <row r="65">
      <c r="B65" s="134"/>
      <c r="C65" s="135"/>
      <c r="D65" s="135"/>
      <c r="E65" s="135"/>
      <c r="F65" s="135"/>
      <c r="G65" s="135"/>
      <c r="H65" s="135"/>
    </row>
    <row r="95" hidden="1" ht="13.5">
      <c r="B95" s="606"/>
      <c r="C95" s="606"/>
      <c r="D95" s="606"/>
      <c r="E95" s="606"/>
      <c r="F95" s="606"/>
      <c r="G95" s="606"/>
      <c r="H95" s="606"/>
      <c r="I95" s="606"/>
      <c r="J95" s="606"/>
      <c r="K95" s="606"/>
      <c r="L95" s="606"/>
    </row>
    <row r="96" hidden="1" ht="13.5" customHeight="1">
      <c r="A96" s="138"/>
      <c r="B96" s="614" t="s">
        <v>5</v>
      </c>
      <c r="C96" s="615"/>
      <c r="D96" s="615"/>
      <c r="E96" s="615"/>
      <c r="F96" s="615"/>
      <c r="G96" s="615"/>
      <c r="H96" s="615"/>
      <c r="I96" s="615"/>
      <c r="J96" s="615"/>
      <c r="K96" s="615"/>
      <c r="L96" s="615"/>
      <c r="M96" s="615"/>
      <c r="N96" s="615"/>
      <c r="O96" s="615"/>
      <c r="P96" s="615"/>
      <c r="Q96" s="615"/>
      <c r="R96" s="615"/>
      <c r="S96" s="615"/>
      <c r="T96" s="615"/>
      <c r="U96" s="615"/>
      <c r="V96" s="615"/>
      <c r="W96" s="615"/>
      <c r="X96" s="615"/>
      <c r="Y96" s="615"/>
      <c r="Z96" s="615"/>
      <c r="AA96" s="616"/>
    </row>
    <row r="97" hidden="1" ht="13.5">
      <c r="B97" s="435" t="str">
        <f> IF(B117&lt;&gt;"",TEXT(AUX!G$1,"dd-MMM-aa"),"")</f>
      </c>
      <c r="C97" s="435" t="str">
        <f> IF(C117&lt;&gt;"",TEXT(AUX!H$1,"dd-MMM-aa"),"")</f>
      </c>
      <c r="D97" s="435" t="str">
        <f> IF(D117&lt;&gt;"",TEXT(AUX!I$1,"dd-MMM-aa"),"")</f>
      </c>
      <c r="E97" s="435" t="str">
        <f> IF(E117&lt;&gt;"",TEXT(AUX!J$1,"dd-MMM-aa"),"")</f>
      </c>
      <c r="F97" s="435" t="str">
        <f> IF(F117&lt;&gt;"",TEXT(AUX!K$1,"dd-MMM-aa"),"")</f>
      </c>
      <c r="G97" s="435" t="str">
        <f> IF(G117&lt;&gt;"",TEXT(AUX!L$1,"dd-MMM-aa"),"")</f>
      </c>
      <c r="H97" s="435" t="str">
        <f> IF(H117&lt;&gt;"",TEXT(AUX!M$1,"dd-MMM-aa"),"")</f>
      </c>
      <c r="I97" s="435" t="str">
        <f> IF(I117&lt;&gt;"",TEXT(AUX!N$1,"dd-MMM-aa"),"")</f>
      </c>
      <c r="J97" s="435" t="str">
        <f> IF(J117&lt;&gt;"",TEXT(AUX!O$1,"dd-MMM-aa"),"")</f>
      </c>
      <c r="K97" s="435" t="str">
        <f> IF(K117&lt;&gt;"",TEXT(AUX!P$1,"dd-MMM-aa"),"")</f>
      </c>
      <c r="L97" s="435" t="str">
        <f> IF(L117&lt;&gt;"",TEXT(AUX!Q$1,"dd-MMM-aa"),"")</f>
      </c>
      <c r="M97" s="435" t="str">
        <f> IF(M117&lt;&gt;"",TEXT(AUX!R$1,"dd-MMM-aa"),"")</f>
      </c>
      <c r="N97" s="435" t="str">
        <f> IF(N117&lt;&gt;"",TEXT(AUX!S$1,"dd-MMM-aa"),"")</f>
      </c>
      <c r="O97" s="435" t="str">
        <f> IF(O117&lt;&gt;"",TEXT(AUX!T$1,"dd-MMM-aa"),"")</f>
      </c>
      <c r="P97" s="435" t="str">
        <f> IF(P117&lt;&gt;"",TEXT(AUX!U$1,"dd-MMM-aa"),"")</f>
      </c>
      <c r="Q97" s="435" t="str">
        <f> IF(Q117&lt;&gt;"",TEXT(AUX!V$1,"dd-MMM-aa"),"")</f>
      </c>
      <c r="R97" s="435" t="str">
        <f> IF(R117&lt;&gt;"",TEXT(AUX!W$1,"dd-MMM-aa"),"")</f>
      </c>
      <c r="S97" s="435" t="str">
        <f> IF(S117&lt;&gt;"",TEXT(AUX!X$1,"dd-MMM-aa"),"")</f>
      </c>
      <c r="T97" s="435" t="str">
        <f> IF(T117&lt;&gt;"",TEXT(AUX!Y$1,"dd-MMM-aa"),"")</f>
      </c>
      <c r="U97" s="435" t="str">
        <f> IF(U117&lt;&gt;"",TEXT(AUX!Z$1,"dd-MMM-aa"),"")</f>
      </c>
      <c r="V97" s="435" t="str">
        <f> IF(V117&lt;&gt;"",TEXT(AUX!AA$1,"dd-MMM-aa"),"")</f>
      </c>
      <c r="W97" s="435" t="str">
        <f> IF(W117&lt;&gt;"",TEXT(AUX!AB$1,"dd-MMM-aa"),"")</f>
      </c>
      <c r="X97" s="435" t="str">
        <f> IF(X117&lt;&gt;"",TEXT(AUX!AC$1,"dd-MMM-aa"),"")</f>
      </c>
      <c r="Y97" s="435" t="str">
        <f> IF(Y117&lt;&gt;"",TEXT(AUX!AD$1,"dd-MMM-aa"),"")</f>
      </c>
      <c r="Z97" s="435" t="str">
        <f> IF(Z117&lt;&gt;"",TEXT(AUX!AE$1,"dd-MMM-aa"),"")</f>
      </c>
      <c r="AA97" s="497" t="str">
        <f> IF(AA117&lt;&gt;"",TEXT(AUX!AF$1,"dd-MMM-aa"),"")</f>
      </c>
      <c r="AB97" s="496" t="str">
        <f> IF(AB117&lt;&gt;"",TEXT(AUX!AG$1,"dd-MMM-aa"),"")</f>
      </c>
      <c r="AC97" s="496" t="str">
        <f> IF(AC117&lt;&gt;"",TEXT(AUX!AH$1,"dd-MMM-aa"),"")</f>
      </c>
      <c r="AD97" s="496" t="str">
        <f> IF(AD117&lt;&gt;"",TEXT(AUX!AI$1,"dd-MMM-aa"),"")</f>
      </c>
      <c r="AE97" s="496" t="str">
        <f> IF(AE117&lt;&gt;"",TEXT(AUX!AJ$1,"dd-MMM-aa"),"")</f>
      </c>
      <c r="AF97" s="496" t="str">
        <f> IF(AF117&lt;&gt;"",TEXT(AUX!AK$1,"dd-MMM-aa"),"")</f>
      </c>
      <c r="AG97" s="496" t="str">
        <f> IF(AG117&lt;&gt;"",TEXT(AUX!AL$1,"dd-MMM-aa"),"")</f>
      </c>
      <c r="AH97" s="496" t="str">
        <f> IF(AH117&lt;&gt;"",TEXT(AUX!AM$1,"dd-MMM-aa"),"")</f>
      </c>
      <c r="AI97" s="496" t="str">
        <f> IF(AI117&lt;&gt;"",TEXT(AUX!AN$1,"dd-MMM-aa"),"")</f>
      </c>
      <c r="AJ97" s="496" t="str">
        <f> IF(AJ117&lt;&gt;"",TEXT(AUX!AO$1,"dd-MMM-aa"),"")</f>
      </c>
      <c r="AK97" s="496" t="str">
        <f> IF(AK117&lt;&gt;"",TEXT(AUX!AP$1,"dd-MMM-aa"),"")</f>
      </c>
      <c r="AL97" s="496" t="str">
        <f> IF(AL117&lt;&gt;"",TEXT(AUX!AQ$1,"dd-MMM-aa"),"")</f>
      </c>
      <c r="AM97" s="496" t="str">
        <f> IF(AM117&lt;&gt;"",TEXT(AUX!AR$1,"dd-MMM-aa"),"")</f>
      </c>
      <c r="AN97" s="496" t="str">
        <f> IF(AN117&lt;&gt;"",TEXT(AUX!AS$1,"dd-MMM-aa"),"")</f>
      </c>
      <c r="AO97" s="496" t="str">
        <f> IF(AO117&lt;&gt;"",TEXT(AUX!AT$1,"dd-MMM-aa"),"")</f>
      </c>
      <c r="AP97" s="496" t="str">
        <f> IF(AP117&lt;&gt;"",TEXT(AUX!AU$1,"dd-MMM-aa"),"")</f>
      </c>
      <c r="AQ97" s="496" t="str">
        <f> IF(AQ117&lt;&gt;"",TEXT(AUX!AV$1,"dd-MMM-aa"),"")</f>
      </c>
      <c r="AR97" s="496" t="str">
        <f> IF(AR117&lt;&gt;"",TEXT(AUX!AW$1,"dd-MMM-aa"),"")</f>
      </c>
      <c r="AS97" s="496" t="str">
        <f> IF(AS117&lt;&gt;"",TEXT(AUX!AX$1,"dd-MMM-aa"),"")</f>
      </c>
      <c r="AT97" s="496" t="str">
        <f> IF(AT117&lt;&gt;"",TEXT(AUX!AY$1,"dd-MMM-aa"),"")</f>
      </c>
      <c r="AU97" s="496" t="str">
        <f> IF(AU117&lt;&gt;"",TEXT(AUX!AZ$1,"dd-MMM-aa"),"")</f>
      </c>
      <c r="AV97" s="496" t="str">
        <f> IF(AV117&lt;&gt;"",TEXT(AUX!BA$1,"dd-MMM-aa"),"")</f>
      </c>
      <c r="AW97" s="496" t="str">
        <f> IF(AW117&lt;&gt;"",TEXT(AUX!BB$1,"dd-MMM-aa"),"")</f>
      </c>
      <c r="AX97" s="496" t="str">
        <f> IF(AX117&lt;&gt;"",TEXT(AUX!BC$1,"dd-MMM-aa"),"")</f>
      </c>
      <c r="AY97" s="496" t="str">
        <f> IF(AY117&lt;&gt;"",TEXT(AUX!BD$1,"dd-MMM-aa"),"")</f>
      </c>
      <c r="AZ97" s="496" t="str">
        <f> IF(AZ117&lt;&gt;"",TEXT(AUX!BE$1,"dd-MMM-aa"),"")</f>
      </c>
      <c r="BA97" s="496" t="str">
        <f> IF(BA117&lt;&gt;"",TEXT(AUX!BF$1,"dd-MMM-aa"),"")</f>
      </c>
      <c r="BB97" s="496" t="str">
        <f> IF(BB117&lt;&gt;"",TEXT(AUX!BG$1,"dd-MMM-aa"),"")</f>
      </c>
      <c r="BC97" s="496" t="str">
        <f> IF(BC117&lt;&gt;"",TEXT(AUX!BH$1,"dd-MMM-aa"),"")</f>
      </c>
      <c r="BD97" s="496" t="str">
        <f> IF(BD117&lt;&gt;"",TEXT(AUX!BI$1,"dd-MMM-aa"),"")</f>
      </c>
      <c r="BE97" s="496" t="str">
        <f> IF(BE117&lt;&gt;"",TEXT(AUX!BJ$1,"dd-MMM-aa"),"")</f>
      </c>
      <c r="BF97" s="496" t="str">
        <f> IF(BF117&lt;&gt;"",TEXT(AUX!BK$1,"dd-MMM-aa"),"")</f>
      </c>
      <c r="BG97" s="496" t="str">
        <f> IF(BG117&lt;&gt;"",TEXT(AUX!BL$1,"dd-MMM-aa"),"")</f>
      </c>
      <c r="BH97" s="496" t="str">
        <f> IF(BH117&lt;&gt;"",TEXT(AUX!BM$1,"dd-MMM-aa"),"")</f>
      </c>
      <c r="BI97" s="496" t="str">
        <f> IF(BI117&lt;&gt;"",TEXT(AUX!BN$1,"dd-MMM-aa"),"")</f>
      </c>
      <c r="BJ97" s="496" t="str">
        <f> IF(BJ117&lt;&gt;"",TEXT(AUX!BO$1,"dd-MMM-aa"),"")</f>
      </c>
      <c r="BK97" s="496" t="str">
        <f> IF(BK117&lt;&gt;"",TEXT(AUX!BP$1,"dd-MMM-aa"),"")</f>
      </c>
      <c r="BL97" s="496" t="str">
        <f> IF(BL117&lt;&gt;"",TEXT(AUX!BQ$1,"dd-MMM-aa"),"")</f>
      </c>
      <c r="BM97" s="496" t="str">
        <f> IF(BM117&lt;&gt;"",TEXT(AUX!BR$1,"dd-MMM-aa"),"")</f>
      </c>
      <c r="BN97" s="496" t="str">
        <f> IF(BN117&lt;&gt;"",TEXT(AUX!BS$1,"dd-MMM-aa"),"")</f>
      </c>
      <c r="BO97" s="496" t="str">
        <f> IF(BO117&lt;&gt;"",TEXT(AUX!BT$1,"dd-MMM-aa"),"")</f>
      </c>
      <c r="BP97" s="496" t="str">
        <f> IF(BP117&lt;&gt;"",TEXT(AUX!BU$1,"dd-MMM-aa"),"")</f>
      </c>
      <c r="BQ97" s="496" t="str">
        <f> IF(BQ117&lt;&gt;"",TEXT(AUX!BV$1,"dd-MMM-aa"),"")</f>
      </c>
      <c r="BR97" s="496" t="str">
        <f> IF(BR117&lt;&gt;"",TEXT(AUX!BW$1,"dd-MMM-aa"),"")</f>
      </c>
      <c r="BS97" s="496" t="str">
        <f> IF(BS117&lt;&gt;"",TEXT(AUX!BX$1,"dd-MMM-aa"),"")</f>
      </c>
      <c r="BT97" s="496" t="str">
        <f> IF(BT117&lt;&gt;"",TEXT(AUX!BY$1,"dd-MMM-aa"),"")</f>
      </c>
      <c r="BU97" s="496" t="str">
        <f> IF(BU117&lt;&gt;"",TEXT(AUX!BZ$1,"dd-MMM-aa"),"")</f>
      </c>
      <c r="BV97" s="496" t="str">
        <f> IF(BV117&lt;&gt;"",TEXT(AUX!CA$1,"dd-MMM-aa"),"")</f>
      </c>
      <c r="BW97" s="496" t="str">
        <f> IF(BW117&lt;&gt;"",TEXT(AUX!CB$1,"dd-MMM-aa"),"")</f>
      </c>
      <c r="BX97" s="496" t="str">
        <f> IF(BX117&lt;&gt;"",TEXT(AUX!CC$1,"dd-MMM-aa"),"")</f>
      </c>
      <c r="BY97" s="496" t="str">
        <f> IF(BY117&lt;&gt;"",TEXT(AUX!CD$1,"dd-MMM-aa"),"")</f>
      </c>
      <c r="BZ97" s="496" t="str">
        <f> IF(BZ117&lt;&gt;"",TEXT(AUX!CE$1,"dd-MMM-aa"),"")</f>
      </c>
      <c r="CA97" s="496" t="str">
        <f> IF(CA117&lt;&gt;"",TEXT(AUX!CF$1,"dd-MMM-aa"),"")</f>
      </c>
      <c r="CB97" s="496" t="str">
        <f> IF(CB117&lt;&gt;"",TEXT(AUX!CG$1,"dd-MMM-aa"),"")</f>
      </c>
      <c r="CC97" s="496" t="str">
        <f> IF(CC117&lt;&gt;"",TEXT(AUX!CH$1,"dd-MMM-aa"),"")</f>
      </c>
      <c r="CD97" s="496" t="str">
        <f> IF(CD117&lt;&gt;"",TEXT(AUX!CI$1,"dd-MMM-aa"),"")</f>
      </c>
      <c r="CE97" s="496" t="str">
        <f> IF(CE117&lt;&gt;"",TEXT(AUX!CJ$1,"dd-MMM-aa"),"")</f>
      </c>
      <c r="CF97" s="496" t="str">
        <f> IF(CF117&lt;&gt;"",TEXT(AUX!CK$1,"dd-MMM-aa"),"")</f>
      </c>
      <c r="CG97" s="496" t="str">
        <f> IF(CG117&lt;&gt;"",TEXT(AUX!CL$1,"dd-MMM-aa"),"")</f>
      </c>
      <c r="CH97" s="496" t="str">
        <f> IF(CH117&lt;&gt;"",TEXT(AUX!CM$1,"dd-MMM-aa"),"")</f>
      </c>
      <c r="CI97" s="496" t="str">
        <f> IF(CI117&lt;&gt;"",TEXT(AUX!CN$1,"dd-MMM-aa"),"")</f>
      </c>
      <c r="CJ97" s="496" t="str">
        <f> IF(CJ117&lt;&gt;"",TEXT(AUX!CO$1,"dd-MMM-aa"),"")</f>
      </c>
      <c r="CK97" s="496" t="str">
        <f> IF(CK117&lt;&gt;"",TEXT(AUX!CP$1,"dd-MMM-aa"),"")</f>
      </c>
      <c r="CL97" s="496" t="str">
        <f> IF(CL117&lt;&gt;"",TEXT(AUX!CQ$1,"dd-MMM-aa"),"")</f>
      </c>
      <c r="CM97" s="496" t="str">
        <f> IF(CM117&lt;&gt;"",TEXT(AUX!CR$1,"dd-MMM-aa"),"")</f>
      </c>
      <c r="CN97" s="496" t="str">
        <f> IF(CN117&lt;&gt;"",TEXT(AUX!CS$1,"dd-MMM-aa"),"")</f>
      </c>
      <c r="CO97" s="496" t="str">
        <f> IF(CO117&lt;&gt;"",TEXT(AUX!CT$1,"dd-MMM-aa"),"")</f>
      </c>
      <c r="CP97" s="496" t="str">
        <f> IF(CP117&lt;&gt;"",TEXT(AUX!CU$1,"dd-MMM-aa"),"")</f>
      </c>
      <c r="CQ97" s="496" t="str">
        <f> IF(CQ117&lt;&gt;"",TEXT(AUX!CV$1,"dd-MMM-aa"),"")</f>
      </c>
      <c r="CR97" s="496" t="str">
        <f> IF(CR117&lt;&gt;"",TEXT(AUX!CW$1,"dd-MMM-aa"),"")</f>
      </c>
      <c r="CS97" s="496" t="str">
        <f> IF(CS117&lt;&gt;"",TEXT(AUX!CX$1,"dd-MMM-aa"),"")</f>
      </c>
      <c r="CT97" s="496" t="str">
        <f> IF(CT117&lt;&gt;"",TEXT(AUX!CY$1,"dd-MMM-aa"),"")</f>
      </c>
      <c r="CU97" s="496" t="str">
        <f> IF(CU117&lt;&gt;"",TEXT(AUX!CZ$1,"dd-MMM-aa"),"")</f>
      </c>
      <c r="CV97" s="496" t="str">
        <f> IF(CV117&lt;&gt;"",TEXT(AUX!DA$1,"dd-MMM-aa"),"")</f>
      </c>
      <c r="CW97" s="496" t="str">
        <f> IF(CW117&lt;&gt;"",TEXT(AUX!DB$1,"dd-MMM-aa"),"")</f>
      </c>
      <c r="CX97" s="496" t="str">
        <f> IF(CX117&lt;&gt;"",TEXT(AUX!DC$1,"dd-MMM-aa"),"")</f>
      </c>
      <c r="CY97" s="496" t="str">
        <f> IF(CY117&lt;&gt;"",TEXT(AUX!DD$1,"dd-MMM-aa"),"")</f>
      </c>
      <c r="CZ97" s="496" t="str">
        <f> IF(CZ117&lt;&gt;"",TEXT(AUX!DE$1,"dd-MMM-aa"),"")</f>
      </c>
      <c r="DA97" s="496" t="str">
        <f> IF(DA117&lt;&gt;"",TEXT(AUX!DF$1,"dd-MMM-aa"),"")</f>
      </c>
      <c r="DB97" s="496" t="str">
        <f> IF(DB117&lt;&gt;"",TEXT(AUX!DG$1,"dd-MMM-aa"),"")</f>
      </c>
      <c r="DC97" s="496" t="str">
        <f> IF(DC117&lt;&gt;"",TEXT(AUX!DH$1,"dd-MMM-aa"),"")</f>
      </c>
      <c r="DD97" s="496" t="str">
        <f> IF(DD117&lt;&gt;"",TEXT(AUX!DI$1,"dd-MMM-aa"),"")</f>
      </c>
      <c r="DE97" s="496" t="str">
        <f> IF(DE117&lt;&gt;"",TEXT(AUX!DJ$1,"dd-MMM-aa"),"")</f>
      </c>
      <c r="DF97" s="496" t="str">
        <f> IF(DF117&lt;&gt;"",TEXT(AUX!DK$1,"dd-MMM-aa"),"")</f>
      </c>
      <c r="DG97" s="496" t="str">
        <f> IF(DG117&lt;&gt;"",TEXT(AUX!DL$1,"dd-MMM-aa"),"")</f>
      </c>
      <c r="DH97" s="496" t="str">
        <f> IF(DH117&lt;&gt;"",TEXT(AUX!DM$1,"dd-MMM-aa"),"")</f>
      </c>
      <c r="DI97" s="496" t="str">
        <f> IF(DI117&lt;&gt;"",TEXT(AUX!DN$1,"dd-MMM-aa"),"")</f>
      </c>
      <c r="DJ97" s="496" t="str">
        <f> IF(DJ117&lt;&gt;"",TEXT(AUX!DO$1,"dd-MMM-aa"),"")</f>
      </c>
      <c r="DK97" s="496" t="str">
        <f> IF(DK117&lt;&gt;"",TEXT(AUX!DP$1,"dd-MMM-aa"),"")</f>
      </c>
      <c r="DL97" s="496" t="str">
        <f> IF(DL117&lt;&gt;"",TEXT(AUX!DQ$1,"dd-MMM-aa"),"")</f>
      </c>
      <c r="DM97" s="496" t="str">
        <f> IF(DM117&lt;&gt;"",TEXT(AUX!DR$1,"dd-MMM-aa"),"")</f>
      </c>
      <c r="DN97" s="496" t="str">
        <f> IF(DN117&lt;&gt;"",TEXT(AUX!DS$1,"dd-MMM-aa"),"")</f>
      </c>
      <c r="DO97" s="496" t="str">
        <f> IF(DO117&lt;&gt;"",TEXT(AUX!DT$1,"dd-MMM-aa"),"")</f>
      </c>
      <c r="DP97" s="496" t="str">
        <f> IF(DP117&lt;&gt;"",TEXT(AUX!DU$1,"dd-MMM-aa"),"")</f>
      </c>
      <c r="DQ97" s="496" t="str">
        <f> IF(DQ117&lt;&gt;"",TEXT(AUX!DV$1,"dd-MMM-aa"),"")</f>
      </c>
      <c r="DR97" s="496" t="str">
        <f> IF(DR117&lt;&gt;"",TEXT(AUX!DW$1,"dd-MMM-aa"),"")</f>
      </c>
      <c r="DS97" s="496" t="str">
        <f> IF(DS117&lt;&gt;"",TEXT(AUX!DX$1,"dd-MMM-aa"),"")</f>
      </c>
      <c r="DT97" s="496" t="str">
        <f> IF(DT117&lt;&gt;"",TEXT(AUX!DY$1,"dd-MMM-aa"),"")</f>
      </c>
      <c r="DU97" s="496" t="str">
        <f> IF(DU117&lt;&gt;"",TEXT(AUX!DZ$1,"dd-MMM-aa"),"")</f>
      </c>
      <c r="DV97" s="496" t="str">
        <f> IF(DV117&lt;&gt;"",TEXT(AUX!EA$1,"dd-MMM-aa"),"")</f>
      </c>
      <c r="DW97" s="496" t="str">
        <f> IF(DW117&lt;&gt;"",TEXT(AUX!EB$1,"dd-MMM-aa"),"")</f>
      </c>
      <c r="DX97" s="496" t="str">
        <f> IF(DX117&lt;&gt;"",TEXT(AUX!EC$1,"dd-MMM-aa"),"")</f>
      </c>
      <c r="DY97" s="496" t="str">
        <f> IF(DY117&lt;&gt;"",TEXT(AUX!ED$1,"dd-MMM-aa"),"")</f>
      </c>
      <c r="DZ97" s="496" t="str">
        <f> IF(DZ117&lt;&gt;"",TEXT(AUX!EE$1,"dd-MMM-aa"),"")</f>
      </c>
      <c r="EA97" s="496" t="str">
        <f> IF(EA117&lt;&gt;"",TEXT(AUX!EF$1,"dd-MMM-aa"),"")</f>
      </c>
      <c r="EB97" s="496" t="str">
        <f> IF(EB117&lt;&gt;"",TEXT(AUX!EG$1,"dd-MMM-aa"),"")</f>
      </c>
      <c r="EC97" s="496" t="str">
        <f> IF(EC117&lt;&gt;"",TEXT(AUX!EH$1,"dd-MMM-aa"),"")</f>
      </c>
      <c r="ED97" s="496" t="str">
        <f> IF(ED117&lt;&gt;"",TEXT(AUX!EI$1,"dd-MMM-aa"),"")</f>
      </c>
      <c r="EE97" s="496" t="str">
        <f> IF(EE117&lt;&gt;"",TEXT(AUX!EJ$1,"dd-MMM-aa"),"")</f>
      </c>
      <c r="EF97" s="496" t="str">
        <f> IF(EF117&lt;&gt;"",TEXT(AUX!EK$1,"dd-MMM-aa"),"")</f>
      </c>
      <c r="EG97" s="496" t="str">
        <f> IF(EG117&lt;&gt;"",TEXT(AUX!EL$1,"dd-MMM-aa"),"")</f>
      </c>
      <c r="EH97" s="496" t="str">
        <f> IF(EH117&lt;&gt;"",TEXT(AUX!EM$1,"dd-MMM-aa"),"")</f>
      </c>
      <c r="EI97" s="496" t="str">
        <f> IF(EI117&lt;&gt;"",TEXT(AUX!EN$1,"dd-MMM-aa"),"")</f>
      </c>
      <c r="EJ97" s="496" t="str">
        <f> IF(EJ117&lt;&gt;"",TEXT(AUX!EO$1,"dd-MMM-aa"),"")</f>
      </c>
      <c r="EK97" s="496" t="str">
        <f> IF(EK117&lt;&gt;"",TEXT(AUX!EP$1,"dd-MMM-aa"),"")</f>
      </c>
      <c r="EL97" s="496" t="str">
        <f> IF(EL117&lt;&gt;"",TEXT(AUX!EQ$1,"dd-MMM-aa"),"")</f>
      </c>
      <c r="EM97" s="496" t="str">
        <f> IF(EM117&lt;&gt;"",TEXT(AUX!ER$1,"dd-MMM-aa"),"")</f>
      </c>
      <c r="EN97" s="496" t="str">
        <f> IF(EN117&lt;&gt;"",TEXT(AUX!ES$1,"dd-MMM-aa"),"")</f>
      </c>
      <c r="EO97" s="496" t="str">
        <f> IF(EO117&lt;&gt;"",TEXT(AUX!ET$1,"dd-MMM-aa"),"")</f>
      </c>
      <c r="EP97" s="496" t="str">
        <f> IF(EP117&lt;&gt;"",TEXT(AUX!EU$1,"dd-MMM-aa"),"")</f>
      </c>
      <c r="EQ97" s="496" t="str">
        <f> IF(EQ117&lt;&gt;"",TEXT(AUX!EV$1,"dd-MMM-aa"),"")</f>
      </c>
      <c r="ER97" s="496" t="str">
        <f> IF(ER117&lt;&gt;"",TEXT(AUX!EW$1,"dd-MMM-aa"),"")</f>
      </c>
      <c r="ES97" s="496" t="str">
        <f> IF(ES117&lt;&gt;"",TEXT(AUX!EX$1,"dd-MMM-aa"),"")</f>
      </c>
      <c r="ET97" s="496" t="str">
        <f> IF(ET117&lt;&gt;"",TEXT(AUX!EY$1,"dd-MMM-aa"),"")</f>
      </c>
      <c r="EU97" s="496" t="str">
        <f> IF(EU117&lt;&gt;"",TEXT(AUX!EZ$1,"dd-MMM-aa"),"")</f>
      </c>
      <c r="EV97" s="496" t="str">
        <f> IF(EV117&lt;&gt;"",TEXT(AUX!FA$1,"dd-MMM-aa"),"")</f>
      </c>
      <c r="EW97" s="496" t="str">
        <f> IF(EW117&lt;&gt;"",TEXT(AUX!FB$1,"dd-MMM-aa"),"")</f>
      </c>
      <c r="EX97" s="496" t="str">
        <f> IF(EX117&lt;&gt;"",TEXT(AUX!FC$1,"dd-MMM-aa"),"")</f>
      </c>
      <c r="EY97" s="496" t="str">
        <f> IF(EY117&lt;&gt;"",TEXT(AUX!FD$1,"dd-MMM-aa"),"")</f>
      </c>
      <c r="EZ97" s="496" t="str">
        <f> IF(EZ117&lt;&gt;"",TEXT(AUX!FE$1,"dd-MMM-aa"),"")</f>
      </c>
      <c r="FA97" s="496" t="str">
        <f> IF(FA117&lt;&gt;"",TEXT(AUX!FF$1,"dd-MMM-aa"),"")</f>
      </c>
      <c r="FB97" s="496" t="str">
        <f> IF(FB117&lt;&gt;"",TEXT(AUX!FG$1,"dd-MMM-aa"),"")</f>
      </c>
      <c r="FC97" s="496" t="str">
        <f> IF(FC117&lt;&gt;"",TEXT(AUX!FH$1,"dd-MMM-aa"),"")</f>
      </c>
      <c r="FD97" s="496" t="str">
        <f> IF(FD117&lt;&gt;"",TEXT(AUX!FI$1,"dd-MMM-aa"),"")</f>
      </c>
      <c r="FE97" s="496" t="str">
        <f> IF(FE117&lt;&gt;"",TEXT(AUX!FJ$1,"dd-MMM-aa"),"")</f>
      </c>
      <c r="FF97" s="496" t="str">
        <f> IF(FF117&lt;&gt;"",TEXT(AUX!FK$1,"dd-MMM-aa"),"")</f>
      </c>
      <c r="FG97" s="496" t="str">
        <f> IF(FG117&lt;&gt;"",TEXT(AUX!FL$1,"dd-MMM-aa"),"")</f>
      </c>
      <c r="FH97" s="496" t="str">
        <f> IF(FH117&lt;&gt;"",TEXT(AUX!FM$1,"dd-MMM-aa"),"")</f>
      </c>
      <c r="FI97" s="496" t="str">
        <f> IF(FI117&lt;&gt;"",TEXT(AUX!FN$1,"dd-MMM-aa"),"")</f>
      </c>
      <c r="FJ97" s="496" t="str">
        <f> IF(FJ117&lt;&gt;"",TEXT(AUX!FO$1,"dd-MMM-aa"),"")</f>
      </c>
      <c r="FK97" s="496" t="str">
        <f> IF(FK117&lt;&gt;"",TEXT(AUX!FP$1,"dd-MMM-aa"),"")</f>
      </c>
      <c r="FL97" s="496" t="str">
        <f> IF(FL117&lt;&gt;"",TEXT(AUX!FQ$1,"dd-MMM-aa"),"")</f>
      </c>
      <c r="FM97" s="496" t="str">
        <f> IF(FM117&lt;&gt;"",TEXT(AUX!FR$1,"dd-MMM-aa"),"")</f>
      </c>
      <c r="FN97" s="496" t="str">
        <f> IF(FN117&lt;&gt;"",TEXT(AUX!FS$1,"dd-MMM-aa"),"")</f>
      </c>
      <c r="FO97" s="496" t="str">
        <f> IF(FO117&lt;&gt;"",TEXT(AUX!FT$1,"dd-MMM-aa"),"")</f>
      </c>
      <c r="FP97" s="496" t="str">
        <f> IF(FP117&lt;&gt;"",TEXT(AUX!FU$1,"dd-MMM-aa"),"")</f>
      </c>
      <c r="FQ97" s="496" t="str">
        <f> IF(FQ117&lt;&gt;"",TEXT(AUX!FV$1,"dd-MMM-aa"),"")</f>
      </c>
      <c r="FR97" s="496" t="str">
        <f> IF(FR117&lt;&gt;"",TEXT(AUX!FW$1,"dd-MMM-aa"),"")</f>
      </c>
      <c r="FS97" s="496" t="str">
        <f> IF(FS117&lt;&gt;"",TEXT(AUX!FX$1,"dd-MMM-aa"),"")</f>
      </c>
      <c r="FT97" s="496" t="str">
        <f> IF(FT117&lt;&gt;"",TEXT(AUX!FY$1,"dd-MMM-aa"),"")</f>
      </c>
      <c r="FU97" s="496" t="str">
        <f> IF(FU117&lt;&gt;"",TEXT(AUX!FZ$1,"dd-MMM-aa"),"")</f>
      </c>
      <c r="FV97" s="496" t="str">
        <f> IF(FV117&lt;&gt;"",TEXT(AUX!GA$1,"dd-MMM-aa"),"")</f>
      </c>
      <c r="FW97" s="496" t="str">
        <f> IF(FW117&lt;&gt;"",TEXT(AUX!GB$1,"dd-MMM-aa"),"")</f>
      </c>
      <c r="FX97" s="496" t="str">
        <f> IF(FX117&lt;&gt;"",TEXT(AUX!GC$1,"dd-MMM-aa"),"")</f>
      </c>
      <c r="FY97" s="496" t="str">
        <f> IF(FY117&lt;&gt;"",TEXT(AUX!GD$1,"dd-MMM-aa"),"")</f>
      </c>
      <c r="FZ97" s="496" t="str">
        <f> IF(FZ117&lt;&gt;"",TEXT(AUX!GE$1,"dd-MMM-aa"),"")</f>
      </c>
      <c r="GA97" s="496" t="str">
        <f> IF(GA117&lt;&gt;"",TEXT(AUX!GF$1,"dd-MMM-aa"),"")</f>
      </c>
      <c r="GB97" s="496" t="str">
        <f> IF(GB117&lt;&gt;"",TEXT(AUX!GG$1,"dd-MMM-aa"),"")</f>
      </c>
      <c r="GC97" s="496" t="str">
        <f> IF(GC117&lt;&gt;"",TEXT(AUX!GH$1,"dd-MMM-aa"),"")</f>
      </c>
      <c r="GD97" s="496" t="str">
        <f> IF(GD117&lt;&gt;"",TEXT(AUX!GI$1,"dd-MMM-aa"),"")</f>
      </c>
      <c r="GE97" s="496" t="str">
        <f> IF(GE117&lt;&gt;"",TEXT(AUX!GJ$1,"dd-MMM-aa"),"")</f>
      </c>
      <c r="GF97" s="496" t="str">
        <f> IF(GF117&lt;&gt;"",TEXT(AUX!GK$1,"dd-MMM-aa"),"")</f>
      </c>
      <c r="GG97" s="496" t="str">
        <f> IF(GG117&lt;&gt;"",TEXT(AUX!GL$1,"dd-MMM-aa"),"")</f>
      </c>
      <c r="GH97" s="496" t="str">
        <f> IF(GH117&lt;&gt;"",TEXT(AUX!GM$1,"dd-MMM-aa"),"")</f>
      </c>
      <c r="GI97" s="496" t="str">
        <f> IF(GI117&lt;&gt;"",TEXT(AUX!GN$1,"dd-MMM-aa"),"")</f>
      </c>
      <c r="GJ97" s="496" t="str">
        <f> IF(GJ117&lt;&gt;"",TEXT(AUX!GO$1,"dd-MMM-aa"),"")</f>
      </c>
      <c r="GK97" s="496" t="str">
        <f> IF(GK117&lt;&gt;"",TEXT(AUX!GP$1,"dd-MMM-aa"),"")</f>
      </c>
      <c r="GL97" s="496" t="str">
        <f> IF(GL117&lt;&gt;"",TEXT(AUX!GQ$1,"dd-MMM-aa"),"")</f>
      </c>
      <c r="GM97" s="496" t="str">
        <f> IF(GM117&lt;&gt;"",TEXT(AUX!GR$1,"dd-MMM-aa"),"")</f>
      </c>
      <c r="GN97" s="496" t="str">
        <f> IF(GN117&lt;&gt;"",TEXT(AUX!GS$1,"dd-MMM-aa"),"")</f>
      </c>
      <c r="GO97" s="496" t="str">
        <f> IF(GO117&lt;&gt;"",TEXT(AUX!GT$1,"dd-MMM-aa"),"")</f>
      </c>
      <c r="GP97" s="496" t="str">
        <f> IF(GP117&lt;&gt;"",TEXT(AUX!GU$1,"dd-MMM-aa"),"")</f>
      </c>
      <c r="GQ97" s="496" t="str">
        <f> IF(GQ117&lt;&gt;"",TEXT(AUX!GV$1,"dd-MMM-aa"),"")</f>
      </c>
      <c r="GR97" s="496" t="str">
        <f> IF(GR117&lt;&gt;"",TEXT(AUX!GW$1,"dd-MMM-aa"),"")</f>
      </c>
      <c r="GS97" s="496" t="str">
        <f> IF(GS117&lt;&gt;"",TEXT(AUX!GX$1,"dd-MMM-aa"),"")</f>
      </c>
      <c r="GT97" s="496" t="str">
        <f> IF(GT117&lt;&gt;"",TEXT(AUX!GY$1,"dd-MMM-aa"),"")</f>
      </c>
      <c r="GU97" s="496" t="str">
        <f> IF(GU117&lt;&gt;"",TEXT(AUX!GZ$1,"dd-MMM-aa"),"")</f>
      </c>
      <c r="GV97" s="496" t="str">
        <f> IF(GV117&lt;&gt;"",TEXT(AUX!HA$1,"dd-MMM-aa"),"")</f>
      </c>
      <c r="GW97" s="496" t="str">
        <f> IF(GW117&lt;&gt;"",TEXT(AUX!HB$1,"dd-MMM-aa"),"")</f>
      </c>
      <c r="GX97" s="496" t="str">
        <f> IF(GX117&lt;&gt;"",TEXT(AUX!HC$1,"dd-MMM-aa"),"")</f>
      </c>
      <c r="GY97" s="496" t="str">
        <f> IF(GY117&lt;&gt;"",TEXT(AUX!HD$1,"dd-MMM-aa"),"")</f>
      </c>
      <c r="GZ97" s="496" t="str">
        <f> IF(GZ117&lt;&gt;"",TEXT(AUX!HE$1,"dd-MMM-aa"),"")</f>
      </c>
      <c r="HA97" s="496" t="str">
        <f> IF(HA117&lt;&gt;"",TEXT(AUX!HF$1,"dd-MMM-aa"),"")</f>
      </c>
      <c r="HB97" s="496" t="str">
        <f> IF(HB117&lt;&gt;"",TEXT(AUX!HG$1,"dd-MMM-aa"),"")</f>
      </c>
      <c r="HC97" s="496" t="str">
        <f> IF(HC117&lt;&gt;"",TEXT(AUX!HH$1,"dd-MMM-aa"),"")</f>
      </c>
      <c r="HD97" s="496" t="str">
        <f> IF(HD117&lt;&gt;"",TEXT(AUX!HI$1,"dd-MMM-aa"),"")</f>
      </c>
      <c r="HE97" s="496" t="str">
        <f> IF(HE117&lt;&gt;"",TEXT(AUX!HJ$1,"dd-MMM-aa"),"")</f>
      </c>
      <c r="HF97" s="496" t="str">
        <f> IF(HF117&lt;&gt;"",TEXT(AUX!HK$1,"dd-MMM-aa"),"")</f>
      </c>
      <c r="HG97" s="496" t="str">
        <f> IF(HG117&lt;&gt;"",TEXT(AUX!HL$1,"dd-MMM-aa"),"")</f>
      </c>
      <c r="HH97" s="496" t="str">
        <f> IF(HH117&lt;&gt;"",TEXT(AUX!HM$1,"dd-MMM-aa"),"")</f>
      </c>
      <c r="HI97" s="496" t="str">
        <f> IF(HI117&lt;&gt;"",TEXT(AUX!HN$1,"dd-MMM-aa"),"")</f>
      </c>
      <c r="HJ97" s="496" t="str">
        <f> IF(HJ117&lt;&gt;"",TEXT(AUX!HO$1,"dd-MMM-aa"),"")</f>
      </c>
      <c r="HK97" s="496" t="str">
        <f> IF(HK117&lt;&gt;"",TEXT(AUX!HP$1,"dd-MMM-aa"),"")</f>
      </c>
      <c r="HL97" s="496" t="str">
        <f> IF(HL117&lt;&gt;"",TEXT(AUX!HQ$1,"dd-MMM-aa"),"")</f>
      </c>
      <c r="HM97" s="496" t="str">
        <f> IF(HM117&lt;&gt;"",TEXT(AUX!HR$1,"dd-MMM-aa"),"")</f>
      </c>
      <c r="HN97" s="496" t="str">
        <f> IF(HN117&lt;&gt;"",TEXT(AUX!HS$1,"dd-MMM-aa"),"")</f>
      </c>
      <c r="HO97" s="496" t="str">
        <f> IF(HO117&lt;&gt;"",TEXT(AUX!HT$1,"dd-MMM-aa"),"")</f>
      </c>
      <c r="HP97" s="496" t="str">
        <f> IF(HP117&lt;&gt;"",TEXT(AUX!HU$1,"dd-MMM-aa"),"")</f>
      </c>
      <c r="HQ97" s="496" t="str">
        <f> IF(HQ117&lt;&gt;"",TEXT(AUX!HV$1,"dd-MMM-aa"),"")</f>
      </c>
      <c r="HR97" s="496" t="str">
        <f> IF(HR117&lt;&gt;"",TEXT(AUX!HW$1,"dd-MMM-aa"),"")</f>
      </c>
      <c r="HS97" s="496" t="str">
        <f> IF(HS117&lt;&gt;"",TEXT(AUX!HX$1,"dd-MMM-aa"),"")</f>
      </c>
      <c r="HT97" s="496" t="str">
        <f> IF(HT117&lt;&gt;"",TEXT(AUX!HY$1,"dd-MMM-aa"),"")</f>
      </c>
      <c r="HU97" s="496" t="str">
        <f> IF(HU117&lt;&gt;"",TEXT(AUX!HZ$1,"dd-MMM-aa"),"")</f>
      </c>
      <c r="HV97" s="496" t="str">
        <f> IF(HV117&lt;&gt;"",TEXT(AUX!IA$1,"dd-MMM-aa"),"")</f>
      </c>
      <c r="HW97" s="496" t="str">
        <f> IF(HW117&lt;&gt;"",TEXT(AUX!IB$1,"dd-MMM-aa"),"")</f>
      </c>
      <c r="HX97" s="496" t="str">
        <f> IF(HX117&lt;&gt;"",TEXT(AUX!IC$1,"dd-MMM-aa"),"")</f>
      </c>
      <c r="HY97" s="496" t="str">
        <f> IF(HY117&lt;&gt;"",TEXT(AUX!ID$1,"dd-MMM-aa"),"")</f>
      </c>
      <c r="HZ97" s="496" t="str">
        <f> IF(HZ117&lt;&gt;"",TEXT(AUX!IE$1,"dd-MMM-aa"),"")</f>
      </c>
      <c r="IA97" s="496" t="str">
        <f> IF(IA117&lt;&gt;"",TEXT(AUX!IF$1,"dd-MMM-aa"),"")</f>
      </c>
      <c r="IB97" s="496" t="str">
        <f> IF(IB117&lt;&gt;"",TEXT(AUX!IG$1,"dd-MMM-aa"),"")</f>
      </c>
      <c r="IC97" s="496" t="str">
        <f> IF(IC117&lt;&gt;"",TEXT(AUX!IH$1,"dd-MMM-aa"),"")</f>
      </c>
      <c r="ID97" s="496" t="str">
        <f> IF(ID117&lt;&gt;"",TEXT(AUX!II$1,"dd-MMM-aa"),"")</f>
      </c>
      <c r="IE97" s="496" t="str">
        <f> IF(IE117&lt;&gt;"",TEXT(AUX!IJ$1,"dd-MMM-aa"),"")</f>
      </c>
      <c r="IF97" s="496" t="str">
        <f> IF(IF117&lt;&gt;"",TEXT(AUX!IK$1,"dd-MMM-aa"),"")</f>
      </c>
      <c r="IG97" s="496" t="str">
        <f> IF(IG117&lt;&gt;"",TEXT(AUX!IL$1,"dd-MMM-aa"),"")</f>
      </c>
      <c r="IH97" s="496" t="str">
        <f> IF(IH117&lt;&gt;"",TEXT(AUX!IM$1,"dd-MMM-aa"),"")</f>
      </c>
      <c r="II97" s="496" t="str">
        <f> IF(II117&lt;&gt;"",TEXT(AUX!IN$1,"dd-MMM-aa"),"")</f>
      </c>
      <c r="IJ97" s="496" t="str">
        <f> IF(IJ117&lt;&gt;"",TEXT(AUX!IO$1,"dd-MMM-aa"),"")</f>
      </c>
      <c r="IK97" s="496" t="str">
        <f> IF(IK117&lt;&gt;"",TEXT(AUX!IP$1,"dd-MMM-aa"),"")</f>
      </c>
      <c r="IL97" s="496" t="str">
        <f> IF(IL117&lt;&gt;"",TEXT(AUX!IQ$1,"dd-MMM-aa"),"")</f>
      </c>
      <c r="IM97" s="496" t="str">
        <f> IF(IM117&lt;&gt;"",TEXT(AUX!IR$1,"dd-MMM-aa"),"")</f>
      </c>
      <c r="IN97" s="496" t="str">
        <f> IF(IN117&lt;&gt;"",TEXT(AUX!IS$1,"dd-MMM-aa"),"")</f>
      </c>
      <c r="IO97" s="496" t="str">
        <f> IF(IO117&lt;&gt;"",TEXT(AUX!IT$1,"dd-MMM-aa"),"")</f>
      </c>
      <c r="IP97" s="496" t="str">
        <f> IF(IP117&lt;&gt;"",TEXT(AUX!IU$1,"dd-MMM-aa"),"")</f>
      </c>
      <c r="IQ97" s="496" t="str">
        <f> IF(IQ117&lt;&gt;"",TEXT(AUX!IV$1,"dd-MMM-aa"),"")</f>
      </c>
      <c r="IR97" s="496" t="str">
        <f> IF(IR117&lt;&gt;"",TEXT(AUX!#REF!,"dd-MMM-aa"),"")</f>
      </c>
      <c r="IS97" s="496" t="str">
        <f> IF(IS117&lt;&gt;"",TEXT(AUX!#REF!,"dd-MMM-aa"),"")</f>
      </c>
      <c r="IT97" s="496" t="str">
        <f> IF(IT117&lt;&gt;"",TEXT(AUX!#REF!,"dd-MMM-aa"),"")</f>
      </c>
      <c r="IU97" s="496" t="str">
        <f> IF(IU117&lt;&gt;"",TEXT(AUX!#REF!,"dd-MMM-aa"),"")</f>
      </c>
      <c r="IV97" s="496"/>
    </row>
    <row r="98" hidden="1">
      <c r="A98" s="822" t="s">
        <v>8</v>
      </c>
      <c r="B98" s="823">
        <v>61230</v>
      </c>
      <c r="C98" s="823">
        <v>75093</v>
      </c>
      <c r="D98" s="823">
        <v>97330</v>
      </c>
      <c r="E98" s="823">
        <v>105873</v>
      </c>
      <c r="F98" s="823">
        <v>110190</v>
      </c>
      <c r="G98" s="823">
        <v>113063</v>
      </c>
      <c r="H98" s="823">
        <v>115578</v>
      </c>
      <c r="I98" s="823">
        <v>117977</v>
      </c>
      <c r="J98" s="823">
        <v>119941</v>
      </c>
      <c r="K98" s="823">
        <v>121478</v>
      </c>
      <c r="L98" s="823">
        <v>123216</v>
      </c>
      <c r="M98" s="823">
        <v>124540</v>
      </c>
      <c r="N98" s="823">
        <v>126729</v>
      </c>
      <c r="O98" s="823">
        <v>128208</v>
      </c>
      <c r="P98" s="823">
        <v>130005</v>
      </c>
      <c r="Q98" s="823">
        <v>131172</v>
      </c>
      <c r="R98" s="823">
        <v>132510</v>
      </c>
      <c r="S98" s="823">
        <v>133691</v>
      </c>
      <c r="T98" s="823">
        <v>134969</v>
      </c>
      <c r="U98" s="823">
        <v>135738</v>
      </c>
      <c r="V98" s="823">
        <v>136278</v>
      </c>
      <c r="W98" s="823">
        <v>74864</v>
      </c>
      <c r="X98" s="823">
        <v>86144</v>
      </c>
      <c r="Y98" s="823">
        <v>86662</v>
      </c>
      <c r="Z98" s="823">
        <v>87312</v>
      </c>
      <c r="AA98" s="824">
        <v>87842</v>
      </c>
      <c r="AB98" s="825">
        <v>88452</v>
      </c>
      <c r="AC98" s="825">
        <v>88911</v>
      </c>
      <c r="AD98" s="825">
        <v>89317</v>
      </c>
      <c r="AE98" s="825">
        <v>89901</v>
      </c>
      <c r="AF98" s="825">
        <v>90537</v>
      </c>
      <c r="AG98" s="825">
        <v>91008</v>
      </c>
      <c r="AH98" s="825">
        <v>91552</v>
      </c>
      <c r="AI98" s="825">
        <v>92100</v>
      </c>
      <c r="AJ98" s="825">
        <v>92720</v>
      </c>
      <c r="AK98" s="825">
        <v>93218</v>
      </c>
      <c r="AL98" s="825">
        <v>93882</v>
      </c>
      <c r="AM98" s="825">
        <v>94400</v>
      </c>
      <c r="AN98" s="825">
        <v>96786</v>
      </c>
      <c r="AO98" s="825">
        <v>98601</v>
      </c>
    </row>
    <row r="99" hidden="1">
      <c r="A99" s="826" t="s">
        <v>9</v>
      </c>
      <c r="B99" s="827">
        <v>25136</v>
      </c>
      <c r="C99" s="827">
        <v>25277</v>
      </c>
      <c r="D99" s="827">
        <v>25445</v>
      </c>
      <c r="E99" s="827">
        <v>25619</v>
      </c>
      <c r="F99" s="827">
        <v>25778</v>
      </c>
      <c r="G99" s="827">
        <v>25933</v>
      </c>
      <c r="H99" s="827">
        <v>26063</v>
      </c>
      <c r="I99" s="827">
        <v>26157</v>
      </c>
      <c r="J99" s="827">
        <v>26284</v>
      </c>
      <c r="K99" s="827">
        <v>26382</v>
      </c>
      <c r="L99" s="827">
        <v>26552</v>
      </c>
      <c r="M99" s="827">
        <v>26658</v>
      </c>
      <c r="N99" s="827">
        <v>26523</v>
      </c>
      <c r="O99" s="827">
        <v>26665</v>
      </c>
      <c r="P99" s="827">
        <v>26936</v>
      </c>
      <c r="Q99" s="827">
        <v>27129</v>
      </c>
      <c r="R99" s="827">
        <v>27426</v>
      </c>
      <c r="S99" s="827">
        <v>27592</v>
      </c>
      <c r="T99" s="827">
        <v>27904</v>
      </c>
      <c r="U99" s="827">
        <v>28082</v>
      </c>
      <c r="V99" s="827">
        <v>28346</v>
      </c>
      <c r="W99" s="827">
        <v>28591</v>
      </c>
      <c r="X99" s="827">
        <v>28932</v>
      </c>
      <c r="Y99" s="827">
        <v>29116</v>
      </c>
      <c r="Z99" s="827">
        <v>29323</v>
      </c>
      <c r="AA99" s="827">
        <v>29513</v>
      </c>
      <c r="AB99" s="828">
        <v>29725</v>
      </c>
      <c r="AC99" s="828">
        <v>29916</v>
      </c>
      <c r="AD99" s="828">
        <v>30098</v>
      </c>
      <c r="AE99" s="828">
        <v>30314</v>
      </c>
      <c r="AF99" s="828">
        <v>30580</v>
      </c>
      <c r="AG99" s="828">
        <v>30769</v>
      </c>
      <c r="AH99" s="828">
        <v>31038</v>
      </c>
      <c r="AI99" s="828">
        <v>31145</v>
      </c>
      <c r="AJ99" s="828">
        <v>31294</v>
      </c>
      <c r="AK99" s="828">
        <v>31408</v>
      </c>
      <c r="AL99" s="828">
        <v>31560</v>
      </c>
      <c r="AM99" s="828">
        <v>31674</v>
      </c>
      <c r="AN99" s="828">
        <v>32431</v>
      </c>
      <c r="AO99" s="828">
        <v>33775</v>
      </c>
    </row>
    <row r="100" hidden="1">
      <c r="A100" s="829" t="s">
        <v>10</v>
      </c>
      <c r="B100" s="823">
        <v>50208</v>
      </c>
      <c r="C100" s="823">
        <v>50452</v>
      </c>
      <c r="D100" s="823">
        <v>51004</v>
      </c>
      <c r="E100" s="823">
        <v>51583</v>
      </c>
      <c r="F100" s="823">
        <v>52193</v>
      </c>
      <c r="G100" s="823">
        <v>52865</v>
      </c>
      <c r="H100" s="823">
        <v>53438</v>
      </c>
      <c r="I100" s="823">
        <v>53780</v>
      </c>
      <c r="J100" s="823">
        <v>54450</v>
      </c>
      <c r="K100" s="823">
        <v>55291</v>
      </c>
      <c r="L100" s="823">
        <v>55765</v>
      </c>
      <c r="M100" s="823">
        <v>56134</v>
      </c>
      <c r="N100" s="823">
        <v>56487</v>
      </c>
      <c r="O100" s="823">
        <v>56981</v>
      </c>
      <c r="P100" s="823">
        <v>57346</v>
      </c>
      <c r="Q100" s="823">
        <v>57733</v>
      </c>
      <c r="R100" s="823">
        <v>57994</v>
      </c>
      <c r="S100" s="823">
        <v>58246</v>
      </c>
      <c r="T100" s="823">
        <v>58456</v>
      </c>
      <c r="U100" s="823">
        <v>58771</v>
      </c>
      <c r="V100" s="823">
        <v>59091</v>
      </c>
      <c r="W100" s="823">
        <v>59367</v>
      </c>
      <c r="X100" s="823">
        <v>59625</v>
      </c>
      <c r="Y100" s="823">
        <v>59817</v>
      </c>
      <c r="Z100" s="823">
        <v>60084</v>
      </c>
      <c r="AA100" s="823">
        <v>60297</v>
      </c>
      <c r="AB100" s="825">
        <v>60534</v>
      </c>
      <c r="AC100" s="825">
        <v>60714</v>
      </c>
      <c r="AD100" s="825">
        <v>61269</v>
      </c>
      <c r="AE100" s="825">
        <v>61831</v>
      </c>
      <c r="AF100" s="825">
        <v>62381</v>
      </c>
      <c r="AG100" s="825">
        <v>62674</v>
      </c>
      <c r="AH100" s="825">
        <v>63050</v>
      </c>
      <c r="AI100" s="825">
        <v>63326</v>
      </c>
      <c r="AJ100" s="825">
        <v>63698</v>
      </c>
      <c r="AK100" s="825">
        <v>64049</v>
      </c>
      <c r="AL100" s="825">
        <v>64754</v>
      </c>
      <c r="AM100" s="825">
        <v>65685</v>
      </c>
      <c r="AN100" s="825">
        <v>66296</v>
      </c>
      <c r="AO100" s="825">
        <v>67212</v>
      </c>
    </row>
    <row r="101" hidden="1">
      <c r="A101" s="826" t="s">
        <v>11</v>
      </c>
      <c r="B101" s="827">
        <v>10508</v>
      </c>
      <c r="C101" s="827">
        <v>11021</v>
      </c>
      <c r="D101" s="827">
        <v>11188</v>
      </c>
      <c r="E101" s="827">
        <v>11272</v>
      </c>
      <c r="F101" s="827">
        <v>11472</v>
      </c>
      <c r="G101" s="827">
        <v>11659</v>
      </c>
      <c r="H101" s="827">
        <v>11807</v>
      </c>
      <c r="I101" s="827">
        <v>11975</v>
      </c>
      <c r="J101" s="827">
        <v>12201</v>
      </c>
      <c r="K101" s="827">
        <v>12236</v>
      </c>
      <c r="L101" s="827">
        <v>12501</v>
      </c>
      <c r="M101" s="827">
        <v>12662</v>
      </c>
      <c r="N101" s="827">
        <v>12837</v>
      </c>
      <c r="O101" s="827">
        <v>13093</v>
      </c>
      <c r="P101" s="827">
        <v>13293</v>
      </c>
      <c r="Q101" s="827">
        <v>13432</v>
      </c>
      <c r="R101" s="827">
        <v>13633</v>
      </c>
      <c r="S101" s="827">
        <v>13752</v>
      </c>
      <c r="T101" s="827">
        <v>13916</v>
      </c>
      <c r="U101" s="827">
        <v>14022</v>
      </c>
      <c r="V101" s="827">
        <v>14143</v>
      </c>
      <c r="W101" s="827">
        <v>14240</v>
      </c>
      <c r="X101" s="827">
        <v>14373</v>
      </c>
      <c r="Y101" s="827">
        <v>14454</v>
      </c>
      <c r="Z101" s="827">
        <v>14549</v>
      </c>
      <c r="AA101" s="827">
        <v>14606</v>
      </c>
      <c r="AB101" s="828">
        <v>14751</v>
      </c>
      <c r="AC101" s="828">
        <v>14850</v>
      </c>
      <c r="AD101" s="828">
        <v>14953</v>
      </c>
      <c r="AE101" s="828">
        <v>15113</v>
      </c>
      <c r="AF101" s="828">
        <v>15322</v>
      </c>
      <c r="AG101" s="828">
        <v>15510</v>
      </c>
      <c r="AH101" s="828">
        <v>15709</v>
      </c>
      <c r="AI101" s="828">
        <v>15866</v>
      </c>
      <c r="AJ101" s="828">
        <v>16066</v>
      </c>
      <c r="AK101" s="828">
        <v>16261</v>
      </c>
      <c r="AL101" s="828">
        <v>16468</v>
      </c>
      <c r="AM101" s="828">
        <v>16752</v>
      </c>
      <c r="AN101" s="828">
        <v>17295</v>
      </c>
      <c r="AO101" s="828">
        <v>17864</v>
      </c>
    </row>
    <row r="102" hidden="1">
      <c r="A102" s="829" t="s">
        <v>12</v>
      </c>
      <c r="B102" s="823">
        <v>13614</v>
      </c>
      <c r="C102" s="823">
        <v>13831</v>
      </c>
      <c r="D102" s="823">
        <v>14246</v>
      </c>
      <c r="E102" s="823">
        <v>14406</v>
      </c>
      <c r="F102" s="823">
        <v>14648</v>
      </c>
      <c r="G102" s="823">
        <v>14827</v>
      </c>
      <c r="H102" s="823">
        <v>15105</v>
      </c>
      <c r="I102" s="823">
        <v>15226</v>
      </c>
      <c r="J102" s="823">
        <v>15349</v>
      </c>
      <c r="K102" s="823">
        <v>15474</v>
      </c>
      <c r="L102" s="823">
        <v>15651</v>
      </c>
      <c r="M102" s="823">
        <v>15782</v>
      </c>
      <c r="N102" s="823">
        <v>15914</v>
      </c>
      <c r="O102" s="823">
        <v>16003</v>
      </c>
      <c r="P102" s="823">
        <v>16153</v>
      </c>
      <c r="Q102" s="823">
        <v>16263</v>
      </c>
      <c r="R102" s="823">
        <v>16406</v>
      </c>
      <c r="S102" s="823">
        <v>16544</v>
      </c>
      <c r="T102" s="823">
        <v>16683</v>
      </c>
      <c r="U102" s="823">
        <v>16785</v>
      </c>
      <c r="V102" s="823">
        <v>16910</v>
      </c>
      <c r="W102" s="823">
        <v>17024</v>
      </c>
      <c r="X102" s="823">
        <v>17135</v>
      </c>
      <c r="Y102" s="823">
        <v>17179</v>
      </c>
      <c r="Z102" s="823">
        <v>17262</v>
      </c>
      <c r="AA102" s="823">
        <v>17328</v>
      </c>
      <c r="AB102" s="825">
        <v>17407</v>
      </c>
      <c r="AC102" s="825">
        <v>17464</v>
      </c>
      <c r="AD102" s="825">
        <v>17507</v>
      </c>
      <c r="AE102" s="825">
        <v>17571</v>
      </c>
      <c r="AF102" s="825">
        <v>17660</v>
      </c>
      <c r="AG102" s="825">
        <v>17719</v>
      </c>
      <c r="AH102" s="825">
        <v>17797</v>
      </c>
      <c r="AI102" s="825">
        <v>17853</v>
      </c>
      <c r="AJ102" s="825">
        <v>17907</v>
      </c>
      <c r="AK102" s="825">
        <v>17973</v>
      </c>
      <c r="AL102" s="825">
        <v>18022</v>
      </c>
      <c r="AM102" s="825">
        <v>18071</v>
      </c>
      <c r="AN102" s="825">
        <v>18223</v>
      </c>
      <c r="AO102" s="825">
        <v>18384</v>
      </c>
    </row>
    <row r="103" hidden="1">
      <c r="A103" s="826" t="s">
        <v>13</v>
      </c>
      <c r="B103" s="827">
        <v>28591</v>
      </c>
      <c r="C103" s="827">
        <v>28816</v>
      </c>
      <c r="D103" s="827">
        <v>29041</v>
      </c>
      <c r="E103" s="827">
        <v>29316</v>
      </c>
      <c r="F103" s="827">
        <v>29663</v>
      </c>
      <c r="G103" s="827">
        <v>29938</v>
      </c>
      <c r="H103" s="827">
        <v>30180</v>
      </c>
      <c r="I103" s="827">
        <v>30370</v>
      </c>
      <c r="J103" s="827">
        <v>30672</v>
      </c>
      <c r="K103" s="827">
        <v>30905</v>
      </c>
      <c r="L103" s="827">
        <v>31154</v>
      </c>
      <c r="M103" s="827">
        <v>31317</v>
      </c>
      <c r="N103" s="827">
        <v>31065</v>
      </c>
      <c r="O103" s="827">
        <v>31221</v>
      </c>
      <c r="P103" s="827">
        <v>31425</v>
      </c>
      <c r="Q103" s="827">
        <v>31594</v>
      </c>
      <c r="R103" s="827">
        <v>31802</v>
      </c>
      <c r="S103" s="827">
        <v>31953</v>
      </c>
      <c r="T103" s="827">
        <v>32132</v>
      </c>
      <c r="U103" s="827">
        <v>32242</v>
      </c>
      <c r="V103" s="827">
        <v>32404</v>
      </c>
      <c r="W103" s="827">
        <v>32518</v>
      </c>
      <c r="X103" s="827">
        <v>32685</v>
      </c>
      <c r="Y103" s="827">
        <v>32812</v>
      </c>
      <c r="Z103" s="827">
        <v>32948</v>
      </c>
      <c r="AA103" s="827">
        <v>33073</v>
      </c>
      <c r="AB103" s="828">
        <v>33180</v>
      </c>
      <c r="AC103" s="828">
        <v>33347</v>
      </c>
      <c r="AD103" s="828">
        <v>33428</v>
      </c>
      <c r="AE103" s="828">
        <v>33608</v>
      </c>
      <c r="AF103" s="828">
        <v>33779</v>
      </c>
      <c r="AG103" s="828">
        <v>33912</v>
      </c>
      <c r="AH103" s="828">
        <v>34035</v>
      </c>
      <c r="AI103" s="828">
        <v>34176</v>
      </c>
      <c r="AJ103" s="828">
        <v>34305</v>
      </c>
      <c r="AK103" s="828">
        <v>34419</v>
      </c>
      <c r="AL103" s="828">
        <v>34547</v>
      </c>
      <c r="AM103" s="828">
        <v>34694</v>
      </c>
      <c r="AN103" s="828">
        <v>34850</v>
      </c>
      <c r="AO103" s="828">
        <v>35959</v>
      </c>
    </row>
    <row r="104" hidden="1">
      <c r="A104" s="829" t="s">
        <v>109</v>
      </c>
      <c r="B104" s="823">
        <v>25795</v>
      </c>
      <c r="C104" s="823">
        <v>25755</v>
      </c>
      <c r="D104" s="823">
        <v>27566</v>
      </c>
      <c r="E104" s="823">
        <v>27718</v>
      </c>
      <c r="F104" s="823">
        <v>28286</v>
      </c>
      <c r="G104" s="823">
        <v>28424</v>
      </c>
      <c r="H104" s="823">
        <v>28536</v>
      </c>
      <c r="I104" s="823">
        <v>28607</v>
      </c>
      <c r="J104" s="823">
        <v>28728</v>
      </c>
      <c r="K104" s="823">
        <v>28840</v>
      </c>
      <c r="L104" s="823">
        <v>29022</v>
      </c>
      <c r="M104" s="823">
        <v>29189</v>
      </c>
      <c r="N104" s="823">
        <v>29369</v>
      </c>
      <c r="O104" s="823">
        <v>29521</v>
      </c>
      <c r="P104" s="823">
        <v>29769</v>
      </c>
      <c r="Q104" s="823">
        <v>29957</v>
      </c>
      <c r="R104" s="823">
        <v>30207</v>
      </c>
      <c r="S104" s="823">
        <v>30456</v>
      </c>
      <c r="T104" s="823">
        <v>30833</v>
      </c>
      <c r="U104" s="823">
        <v>31104</v>
      </c>
      <c r="V104" s="823">
        <v>31343</v>
      </c>
      <c r="W104" s="823">
        <v>31508</v>
      </c>
      <c r="X104" s="823">
        <v>31701</v>
      </c>
      <c r="Y104" s="823">
        <v>31877</v>
      </c>
      <c r="Z104" s="823">
        <v>32045</v>
      </c>
      <c r="AA104" s="823">
        <v>32261</v>
      </c>
      <c r="AB104" s="825">
        <v>32464</v>
      </c>
      <c r="AC104" s="825">
        <v>32635</v>
      </c>
      <c r="AD104" s="825">
        <v>35354</v>
      </c>
      <c r="AE104" s="825">
        <v>35502</v>
      </c>
      <c r="AF104" s="825">
        <v>35699</v>
      </c>
      <c r="AG104" s="825">
        <v>35877</v>
      </c>
      <c r="AH104" s="825">
        <v>36136</v>
      </c>
      <c r="AI104" s="825">
        <v>36267</v>
      </c>
      <c r="AJ104" s="825">
        <v>36401</v>
      </c>
      <c r="AK104" s="825">
        <v>36547</v>
      </c>
      <c r="AL104" s="825">
        <v>36719</v>
      </c>
      <c r="AM104" s="825">
        <v>36882</v>
      </c>
      <c r="AN104" s="825">
        <v>38863</v>
      </c>
      <c r="AO104" s="825">
        <v>41166</v>
      </c>
    </row>
    <row r="105" hidden="1">
      <c r="A105" s="826" t="s">
        <v>110</v>
      </c>
      <c r="B105" s="827">
        <v>84936</v>
      </c>
      <c r="C105" s="827">
        <v>86292</v>
      </c>
      <c r="D105" s="827">
        <v>88202</v>
      </c>
      <c r="E105" s="827">
        <v>89447</v>
      </c>
      <c r="F105" s="827">
        <v>90549</v>
      </c>
      <c r="G105" s="827">
        <v>91525</v>
      </c>
      <c r="H105" s="827">
        <v>92506</v>
      </c>
      <c r="I105" s="827">
        <v>93608</v>
      </c>
      <c r="J105" s="827">
        <v>95282</v>
      </c>
      <c r="K105" s="827">
        <v>96311</v>
      </c>
      <c r="L105" s="827">
        <v>97403</v>
      </c>
      <c r="M105" s="827">
        <v>98256</v>
      </c>
      <c r="N105" s="827">
        <v>99262</v>
      </c>
      <c r="O105" s="827">
        <v>100190</v>
      </c>
      <c r="P105" s="827">
        <v>101449</v>
      </c>
      <c r="Q105" s="827">
        <v>102392</v>
      </c>
      <c r="R105" s="827">
        <v>103758</v>
      </c>
      <c r="S105" s="827">
        <v>104753</v>
      </c>
      <c r="T105" s="827">
        <v>106171</v>
      </c>
      <c r="U105" s="827">
        <v>107112</v>
      </c>
      <c r="V105" s="827">
        <v>108501</v>
      </c>
      <c r="W105" s="827">
        <v>109567</v>
      </c>
      <c r="X105" s="827">
        <v>110722</v>
      </c>
      <c r="Y105" s="827">
        <v>111563</v>
      </c>
      <c r="Z105" s="827">
        <v>112410</v>
      </c>
      <c r="AA105" s="827">
        <v>113233</v>
      </c>
      <c r="AB105" s="828">
        <v>114531</v>
      </c>
      <c r="AC105" s="828">
        <v>115365</v>
      </c>
      <c r="AD105" s="828">
        <v>116033</v>
      </c>
      <c r="AE105" s="828">
        <v>117157</v>
      </c>
      <c r="AF105" s="828">
        <v>118380</v>
      </c>
      <c r="AG105" s="828">
        <v>119135</v>
      </c>
      <c r="AH105" s="828">
        <v>120475</v>
      </c>
      <c r="AI105" s="828">
        <v>121694</v>
      </c>
      <c r="AJ105" s="828">
        <v>122797</v>
      </c>
      <c r="AK105" s="828">
        <v>123445</v>
      </c>
      <c r="AL105" s="828">
        <v>124628</v>
      </c>
      <c r="AM105" s="828">
        <v>125479</v>
      </c>
      <c r="AN105" s="828">
        <v>129164</v>
      </c>
      <c r="AO105" s="828">
        <v>133181</v>
      </c>
    </row>
    <row r="106" hidden="1">
      <c r="A106" s="829" t="s">
        <v>16</v>
      </c>
      <c r="B106" s="823">
        <v>25731</v>
      </c>
      <c r="C106" s="823">
        <v>26316</v>
      </c>
      <c r="D106" s="823">
        <v>26801</v>
      </c>
      <c r="E106" s="823">
        <v>26960</v>
      </c>
      <c r="F106" s="823">
        <v>27213</v>
      </c>
      <c r="G106" s="823">
        <v>27360</v>
      </c>
      <c r="H106" s="823">
        <v>27645</v>
      </c>
      <c r="I106" s="823">
        <v>27903</v>
      </c>
      <c r="J106" s="823">
        <v>28479</v>
      </c>
      <c r="K106" s="823">
        <v>28893</v>
      </c>
      <c r="L106" s="823">
        <v>29285</v>
      </c>
      <c r="M106" s="823">
        <v>29532</v>
      </c>
      <c r="N106" s="823">
        <v>30166</v>
      </c>
      <c r="O106" s="823">
        <v>30284</v>
      </c>
      <c r="P106" s="823">
        <v>30295</v>
      </c>
      <c r="Q106" s="823">
        <v>30547</v>
      </c>
      <c r="R106" s="823">
        <v>30881</v>
      </c>
      <c r="S106" s="823">
        <v>31142</v>
      </c>
      <c r="T106" s="823">
        <v>31464</v>
      </c>
      <c r="U106" s="823">
        <v>31725</v>
      </c>
      <c r="V106" s="823">
        <v>32062</v>
      </c>
      <c r="W106" s="823">
        <v>32286</v>
      </c>
      <c r="X106" s="823">
        <v>31246</v>
      </c>
      <c r="Y106" s="823">
        <v>31444</v>
      </c>
      <c r="Z106" s="823">
        <v>31754</v>
      </c>
      <c r="AA106" s="823">
        <v>32015</v>
      </c>
      <c r="AB106" s="825">
        <v>32260</v>
      </c>
      <c r="AC106" s="825">
        <v>32434</v>
      </c>
      <c r="AD106" s="825">
        <v>32716</v>
      </c>
      <c r="AE106" s="825">
        <v>33146</v>
      </c>
      <c r="AF106" s="825">
        <v>33519</v>
      </c>
      <c r="AG106" s="825">
        <v>33772</v>
      </c>
      <c r="AH106" s="825">
        <v>34112</v>
      </c>
      <c r="AI106" s="825">
        <v>34353</v>
      </c>
      <c r="AJ106" s="825">
        <v>34534</v>
      </c>
      <c r="AK106" s="825">
        <v>34716</v>
      </c>
      <c r="AL106" s="825">
        <v>34979</v>
      </c>
      <c r="AM106" s="825">
        <v>35282</v>
      </c>
      <c r="AN106" s="825">
        <v>36371</v>
      </c>
      <c r="AO106" s="825">
        <v>37220</v>
      </c>
    </row>
    <row r="107" hidden="1">
      <c r="A107" s="826" t="s">
        <v>17</v>
      </c>
      <c r="B107" s="827">
        <v>51911</v>
      </c>
      <c r="C107" s="827">
        <v>52818</v>
      </c>
      <c r="D107" s="827">
        <v>54140</v>
      </c>
      <c r="E107" s="827">
        <v>55007</v>
      </c>
      <c r="F107" s="827">
        <v>56236</v>
      </c>
      <c r="G107" s="827">
        <v>57054</v>
      </c>
      <c r="H107" s="827">
        <v>58016</v>
      </c>
      <c r="I107" s="827">
        <v>58731</v>
      </c>
      <c r="J107" s="827">
        <v>59901</v>
      </c>
      <c r="K107" s="827">
        <v>60853</v>
      </c>
      <c r="L107" s="827">
        <v>62010</v>
      </c>
      <c r="M107" s="827">
        <v>62842</v>
      </c>
      <c r="N107" s="827">
        <v>63733</v>
      </c>
      <c r="O107" s="827">
        <v>64262</v>
      </c>
      <c r="P107" s="827">
        <v>65389</v>
      </c>
      <c r="Q107" s="827">
        <v>66117</v>
      </c>
      <c r="R107" s="827">
        <v>67369</v>
      </c>
      <c r="S107" s="827">
        <v>68202</v>
      </c>
      <c r="T107" s="827">
        <v>69529</v>
      </c>
      <c r="U107" s="827">
        <v>70379</v>
      </c>
      <c r="V107" s="827">
        <v>71558</v>
      </c>
      <c r="W107" s="827">
        <v>72443</v>
      </c>
      <c r="X107" s="827">
        <v>73584</v>
      </c>
      <c r="Y107" s="827">
        <v>74223</v>
      </c>
      <c r="Z107" s="827">
        <v>74947</v>
      </c>
      <c r="AA107" s="827">
        <v>75629</v>
      </c>
      <c r="AB107" s="828">
        <v>76405</v>
      </c>
      <c r="AC107" s="828">
        <v>76980</v>
      </c>
      <c r="AD107" s="828">
        <v>77625</v>
      </c>
      <c r="AE107" s="828">
        <v>78232</v>
      </c>
      <c r="AF107" s="828">
        <v>78994</v>
      </c>
      <c r="AG107" s="828">
        <v>79515</v>
      </c>
      <c r="AH107" s="828">
        <v>80112</v>
      </c>
      <c r="AI107" s="828">
        <v>80592</v>
      </c>
      <c r="AJ107" s="828">
        <v>81122</v>
      </c>
      <c r="AK107" s="828">
        <v>81504</v>
      </c>
      <c r="AL107" s="828">
        <v>81923</v>
      </c>
      <c r="AM107" s="828">
        <v>82290</v>
      </c>
      <c r="AN107" s="828">
        <v>83035</v>
      </c>
      <c r="AO107" s="828">
        <v>83417</v>
      </c>
    </row>
    <row r="108" hidden="1">
      <c r="A108" s="829" t="s">
        <v>18</v>
      </c>
      <c r="B108" s="823">
        <v>158873</v>
      </c>
      <c r="C108" s="823">
        <v>160740</v>
      </c>
      <c r="D108" s="823">
        <v>162495</v>
      </c>
      <c r="E108" s="823">
        <v>163880</v>
      </c>
      <c r="F108" s="823">
        <v>165428</v>
      </c>
      <c r="G108" s="823">
        <v>166962</v>
      </c>
      <c r="H108" s="823">
        <v>168384</v>
      </c>
      <c r="I108" s="823">
        <v>169683</v>
      </c>
      <c r="J108" s="823">
        <v>170782</v>
      </c>
      <c r="K108" s="823">
        <v>171689</v>
      </c>
      <c r="L108" s="823">
        <v>173005</v>
      </c>
      <c r="M108" s="823">
        <v>173918</v>
      </c>
      <c r="N108" s="823">
        <v>175062</v>
      </c>
      <c r="O108" s="823">
        <v>176163</v>
      </c>
      <c r="P108" s="823">
        <v>177508</v>
      </c>
      <c r="Q108" s="823">
        <v>178793</v>
      </c>
      <c r="R108" s="823">
        <v>180115</v>
      </c>
      <c r="S108" s="823">
        <v>181290</v>
      </c>
      <c r="T108" s="823">
        <v>186084</v>
      </c>
      <c r="U108" s="823">
        <v>187129</v>
      </c>
      <c r="V108" s="823">
        <v>188242</v>
      </c>
      <c r="W108" s="823">
        <v>189192</v>
      </c>
      <c r="X108" s="823">
        <v>190251</v>
      </c>
      <c r="Y108" s="823">
        <v>191120</v>
      </c>
      <c r="Z108" s="823">
        <v>192330</v>
      </c>
      <c r="AA108" s="823">
        <v>193131</v>
      </c>
      <c r="AB108" s="825">
        <v>194093</v>
      </c>
      <c r="AC108" s="825">
        <v>194986</v>
      </c>
      <c r="AD108" s="825">
        <v>196028</v>
      </c>
      <c r="AE108" s="825">
        <v>198427</v>
      </c>
      <c r="AF108" s="825">
        <v>199721</v>
      </c>
      <c r="AG108" s="825">
        <v>200624</v>
      </c>
      <c r="AH108" s="825">
        <v>201644</v>
      </c>
      <c r="AI108" s="825">
        <v>202738</v>
      </c>
      <c r="AJ108" s="825">
        <v>210224</v>
      </c>
      <c r="AK108" s="825">
        <v>218868</v>
      </c>
      <c r="AL108" s="825">
        <v>277367</v>
      </c>
      <c r="AM108" s="825">
        <v>297262</v>
      </c>
      <c r="AN108" s="825">
        <v>310387</v>
      </c>
      <c r="AO108" s="825">
        <v>316443</v>
      </c>
    </row>
    <row r="109" hidden="1">
      <c r="A109" s="826" t="s">
        <v>19</v>
      </c>
      <c r="B109" s="827">
        <v>4011</v>
      </c>
      <c r="C109" s="827">
        <v>4077</v>
      </c>
      <c r="D109" s="827">
        <v>4140</v>
      </c>
      <c r="E109" s="827">
        <v>4188</v>
      </c>
      <c r="F109" s="827">
        <v>4254</v>
      </c>
      <c r="G109" s="827">
        <v>4306</v>
      </c>
      <c r="H109" s="827">
        <v>4335</v>
      </c>
      <c r="I109" s="827">
        <v>4390</v>
      </c>
      <c r="J109" s="827">
        <v>4430</v>
      </c>
      <c r="K109" s="827">
        <v>4481</v>
      </c>
      <c r="L109" s="827">
        <v>4527</v>
      </c>
      <c r="M109" s="827">
        <v>4564</v>
      </c>
      <c r="N109" s="827">
        <v>4610</v>
      </c>
      <c r="O109" s="827">
        <v>4667</v>
      </c>
      <c r="P109" s="827">
        <v>4737</v>
      </c>
      <c r="Q109" s="827">
        <v>4810</v>
      </c>
      <c r="R109" s="827">
        <v>4873</v>
      </c>
      <c r="S109" s="827">
        <v>4935</v>
      </c>
      <c r="T109" s="827">
        <v>4999</v>
      </c>
      <c r="U109" s="827">
        <v>5086</v>
      </c>
      <c r="V109" s="827">
        <v>5170</v>
      </c>
      <c r="W109" s="827">
        <v>5211</v>
      </c>
      <c r="X109" s="827">
        <v>5273</v>
      </c>
      <c r="Y109" s="827">
        <v>5322</v>
      </c>
      <c r="Z109" s="827">
        <v>5366</v>
      </c>
      <c r="AA109" s="827">
        <v>5384</v>
      </c>
      <c r="AB109" s="828">
        <v>5420</v>
      </c>
      <c r="AC109" s="828">
        <v>5484</v>
      </c>
      <c r="AD109" s="828">
        <v>5522</v>
      </c>
      <c r="AE109" s="828">
        <v>5570</v>
      </c>
      <c r="AF109" s="828">
        <v>5618</v>
      </c>
      <c r="AG109" s="828">
        <v>5683</v>
      </c>
      <c r="AH109" s="828">
        <v>5777</v>
      </c>
      <c r="AI109" s="828">
        <v>5827</v>
      </c>
      <c r="AJ109" s="828">
        <v>5897</v>
      </c>
      <c r="AK109" s="828">
        <v>5975</v>
      </c>
      <c r="AL109" s="828">
        <v>6036</v>
      </c>
      <c r="AM109" s="828">
        <v>6104</v>
      </c>
      <c r="AN109" s="828">
        <v>6575</v>
      </c>
      <c r="AO109" s="828">
        <v>7483</v>
      </c>
    </row>
    <row r="110" hidden="1">
      <c r="A110" s="829" t="s">
        <v>20</v>
      </c>
      <c r="B110" s="823">
        <v>11454</v>
      </c>
      <c r="C110" s="823">
        <v>11650</v>
      </c>
      <c r="D110" s="823">
        <v>12099</v>
      </c>
      <c r="E110" s="823">
        <v>12453</v>
      </c>
      <c r="F110" s="823">
        <v>12718</v>
      </c>
      <c r="G110" s="823">
        <v>12894</v>
      </c>
      <c r="H110" s="823">
        <v>13062</v>
      </c>
      <c r="I110" s="823">
        <v>13175</v>
      </c>
      <c r="J110" s="823">
        <v>12961</v>
      </c>
      <c r="K110" s="823">
        <v>13032</v>
      </c>
      <c r="L110" s="823">
        <v>13089</v>
      </c>
      <c r="M110" s="823">
        <v>13112</v>
      </c>
      <c r="N110" s="823">
        <v>12674</v>
      </c>
      <c r="O110" s="823">
        <v>12705</v>
      </c>
      <c r="P110" s="823">
        <v>12726</v>
      </c>
      <c r="Q110" s="823">
        <v>12747</v>
      </c>
      <c r="R110" s="823">
        <v>12774</v>
      </c>
      <c r="S110" s="823">
        <v>12801</v>
      </c>
      <c r="T110" s="823">
        <v>12867</v>
      </c>
      <c r="U110" s="823">
        <v>12901</v>
      </c>
      <c r="V110" s="823">
        <v>12934</v>
      </c>
      <c r="W110" s="823">
        <v>12954</v>
      </c>
      <c r="X110" s="823">
        <v>13049</v>
      </c>
      <c r="Y110" s="823">
        <v>13084</v>
      </c>
      <c r="Z110" s="823">
        <v>13206</v>
      </c>
      <c r="AA110" s="823">
        <v>13245</v>
      </c>
      <c r="AB110" s="825">
        <v>13298</v>
      </c>
      <c r="AC110" s="825">
        <v>13361</v>
      </c>
      <c r="AD110" s="825">
        <v>13510</v>
      </c>
      <c r="AE110" s="825">
        <v>13572</v>
      </c>
      <c r="AF110" s="825">
        <v>13637</v>
      </c>
      <c r="AG110" s="825">
        <v>13702</v>
      </c>
      <c r="AH110" s="825">
        <v>13762</v>
      </c>
      <c r="AI110" s="825">
        <v>13805</v>
      </c>
      <c r="AJ110" s="825">
        <v>13872</v>
      </c>
      <c r="AK110" s="825">
        <v>13927</v>
      </c>
      <c r="AL110" s="825">
        <v>13983</v>
      </c>
      <c r="AM110" s="825">
        <v>14000</v>
      </c>
      <c r="AN110" s="825">
        <v>14041</v>
      </c>
      <c r="AO110" s="825">
        <v>14252</v>
      </c>
    </row>
    <row r="111" hidden="1">
      <c r="A111" s="826" t="s">
        <v>21</v>
      </c>
      <c r="B111" s="827">
        <v>7744</v>
      </c>
      <c r="C111" s="827">
        <v>7825</v>
      </c>
      <c r="D111" s="827">
        <v>7914</v>
      </c>
      <c r="E111" s="827">
        <v>8003</v>
      </c>
      <c r="F111" s="827">
        <v>8127</v>
      </c>
      <c r="G111" s="827">
        <v>8231</v>
      </c>
      <c r="H111" s="827">
        <v>8324</v>
      </c>
      <c r="I111" s="827">
        <v>8459</v>
      </c>
      <c r="J111" s="827">
        <v>8729</v>
      </c>
      <c r="K111" s="827">
        <v>8869</v>
      </c>
      <c r="L111" s="827">
        <v>9025</v>
      </c>
      <c r="M111" s="827">
        <v>9135</v>
      </c>
      <c r="N111" s="827">
        <v>9266</v>
      </c>
      <c r="O111" s="827">
        <v>9369</v>
      </c>
      <c r="P111" s="827">
        <v>9505</v>
      </c>
      <c r="Q111" s="827">
        <v>9624</v>
      </c>
      <c r="R111" s="827">
        <v>9757</v>
      </c>
      <c r="S111" s="827">
        <v>9866</v>
      </c>
      <c r="T111" s="827">
        <v>9976</v>
      </c>
      <c r="U111" s="827">
        <v>10070</v>
      </c>
      <c r="V111" s="827">
        <v>10196</v>
      </c>
      <c r="W111" s="827">
        <v>10283</v>
      </c>
      <c r="X111" s="827">
        <v>10376</v>
      </c>
      <c r="Y111" s="827">
        <v>10463</v>
      </c>
      <c r="Z111" s="827">
        <v>10565</v>
      </c>
      <c r="AA111" s="827">
        <v>10650</v>
      </c>
      <c r="AB111" s="828">
        <v>10762</v>
      </c>
      <c r="AC111" s="828">
        <v>10873</v>
      </c>
      <c r="AD111" s="828">
        <v>11035</v>
      </c>
      <c r="AE111" s="828">
        <v>11203</v>
      </c>
      <c r="AF111" s="828">
        <v>11363</v>
      </c>
      <c r="AG111" s="828">
        <v>11473</v>
      </c>
      <c r="AH111" s="828">
        <v>11597</v>
      </c>
      <c r="AI111" s="828">
        <v>11699</v>
      </c>
      <c r="AJ111" s="828">
        <v>11806</v>
      </c>
      <c r="AK111" s="828">
        <v>11883</v>
      </c>
      <c r="AL111" s="828">
        <v>11997</v>
      </c>
      <c r="AM111" s="828">
        <v>12104</v>
      </c>
      <c r="AN111" s="828">
        <v>12259</v>
      </c>
      <c r="AO111" s="828">
        <v>12514</v>
      </c>
    </row>
    <row r="112" hidden="1">
      <c r="A112" s="829" t="s">
        <v>22</v>
      </c>
      <c r="B112" s="823">
        <v>18749</v>
      </c>
      <c r="C112" s="823">
        <v>18942</v>
      </c>
      <c r="D112" s="823">
        <v>19194</v>
      </c>
      <c r="E112" s="823">
        <v>19975</v>
      </c>
      <c r="F112" s="823">
        <v>20372</v>
      </c>
      <c r="G112" s="823">
        <v>21115</v>
      </c>
      <c r="H112" s="823">
        <v>21412</v>
      </c>
      <c r="I112" s="823">
        <v>21767</v>
      </c>
      <c r="J112" s="823">
        <v>21992</v>
      </c>
      <c r="K112" s="823">
        <v>22281</v>
      </c>
      <c r="L112" s="823">
        <v>22882</v>
      </c>
      <c r="M112" s="823">
        <v>23164</v>
      </c>
      <c r="N112" s="823">
        <v>24195</v>
      </c>
      <c r="O112" s="823">
        <v>24400</v>
      </c>
      <c r="P112" s="823">
        <v>24642</v>
      </c>
      <c r="Q112" s="823">
        <v>24841</v>
      </c>
      <c r="R112" s="823">
        <v>25088</v>
      </c>
      <c r="S112" s="823">
        <v>25254</v>
      </c>
      <c r="T112" s="823">
        <v>25496</v>
      </c>
      <c r="U112" s="823">
        <v>24858</v>
      </c>
      <c r="V112" s="823">
        <v>25185</v>
      </c>
      <c r="W112" s="823">
        <v>25377</v>
      </c>
      <c r="X112" s="823">
        <v>25569</v>
      </c>
      <c r="Y112" s="823">
        <v>25742</v>
      </c>
      <c r="Z112" s="823">
        <v>26016</v>
      </c>
      <c r="AA112" s="823">
        <v>25780</v>
      </c>
      <c r="AB112" s="825">
        <v>26020</v>
      </c>
      <c r="AC112" s="825">
        <v>26211</v>
      </c>
      <c r="AD112" s="825">
        <v>25994</v>
      </c>
      <c r="AE112" s="825">
        <v>26328</v>
      </c>
      <c r="AF112" s="825">
        <v>26672</v>
      </c>
      <c r="AG112" s="825">
        <v>26879</v>
      </c>
      <c r="AH112" s="825">
        <v>27082</v>
      </c>
      <c r="AI112" s="825">
        <v>27366</v>
      </c>
      <c r="AJ112" s="825">
        <v>27655</v>
      </c>
      <c r="AK112" s="825">
        <v>27763</v>
      </c>
      <c r="AL112" s="825">
        <v>27998</v>
      </c>
      <c r="AM112" s="825">
        <v>28159</v>
      </c>
      <c r="AN112" s="825">
        <v>28685</v>
      </c>
      <c r="AO112" s="825">
        <v>29078</v>
      </c>
    </row>
    <row r="113" hidden="1">
      <c r="A113" s="826" t="s">
        <v>23</v>
      </c>
      <c r="B113" s="827">
        <v>2301</v>
      </c>
      <c r="C113" s="827">
        <v>2317</v>
      </c>
      <c r="D113" s="827">
        <v>2336</v>
      </c>
      <c r="E113" s="827">
        <v>2355</v>
      </c>
      <c r="F113" s="827">
        <v>2382</v>
      </c>
      <c r="G113" s="827">
        <v>2403</v>
      </c>
      <c r="H113" s="827">
        <v>2427</v>
      </c>
      <c r="I113" s="827">
        <v>2437</v>
      </c>
      <c r="J113" s="827">
        <v>2467</v>
      </c>
      <c r="K113" s="827">
        <v>2492</v>
      </c>
      <c r="L113" s="827">
        <v>2511</v>
      </c>
      <c r="M113" s="827">
        <v>2532</v>
      </c>
      <c r="N113" s="827">
        <v>2482</v>
      </c>
      <c r="O113" s="827">
        <v>2507</v>
      </c>
      <c r="P113" s="827">
        <v>2545</v>
      </c>
      <c r="Q113" s="827">
        <v>2571</v>
      </c>
      <c r="R113" s="827">
        <v>2617</v>
      </c>
      <c r="S113" s="827">
        <v>2643</v>
      </c>
      <c r="T113" s="827">
        <v>2673</v>
      </c>
      <c r="U113" s="827">
        <v>2720</v>
      </c>
      <c r="V113" s="827">
        <v>2748</v>
      </c>
      <c r="W113" s="827">
        <v>2780</v>
      </c>
      <c r="X113" s="827">
        <v>2819</v>
      </c>
      <c r="Y113" s="827">
        <v>2852</v>
      </c>
      <c r="Z113" s="827">
        <v>2880</v>
      </c>
      <c r="AA113" s="827">
        <v>2913</v>
      </c>
      <c r="AB113" s="828">
        <v>2957</v>
      </c>
      <c r="AC113" s="828">
        <v>2982</v>
      </c>
      <c r="AD113" s="828">
        <v>3004</v>
      </c>
      <c r="AE113" s="828">
        <v>3032</v>
      </c>
      <c r="AF113" s="828">
        <v>3081</v>
      </c>
      <c r="AG113" s="828">
        <v>3101</v>
      </c>
      <c r="AH113" s="828">
        <v>3141</v>
      </c>
      <c r="AI113" s="828">
        <v>3152</v>
      </c>
      <c r="AJ113" s="828">
        <v>3169</v>
      </c>
      <c r="AK113" s="828">
        <v>3183</v>
      </c>
      <c r="AL113" s="828">
        <v>3215</v>
      </c>
      <c r="AM113" s="828">
        <v>3185</v>
      </c>
      <c r="AN113" s="828">
        <v>3218</v>
      </c>
      <c r="AO113" s="828">
        <v>3576</v>
      </c>
    </row>
    <row r="114" hidden="1">
      <c r="A114" s="830" t="s">
        <v>24</v>
      </c>
      <c r="B114" s="823">
        <v>9041</v>
      </c>
      <c r="C114" s="823">
        <v>9067</v>
      </c>
      <c r="D114" s="823">
        <v>9109</v>
      </c>
      <c r="E114" s="823">
        <v>9145</v>
      </c>
      <c r="F114" s="823">
        <v>9202</v>
      </c>
      <c r="G114" s="823">
        <v>9235</v>
      </c>
      <c r="H114" s="823">
        <v>9299</v>
      </c>
      <c r="I114" s="823">
        <v>9361</v>
      </c>
      <c r="J114" s="823">
        <v>9455</v>
      </c>
      <c r="K114" s="823">
        <v>9493</v>
      </c>
      <c r="L114" s="823">
        <v>9554</v>
      </c>
      <c r="M114" s="823">
        <v>9618</v>
      </c>
      <c r="N114" s="823">
        <v>9699</v>
      </c>
      <c r="O114" s="823">
        <v>9762</v>
      </c>
      <c r="P114" s="823">
        <v>9896</v>
      </c>
      <c r="Q114" s="823">
        <v>9994</v>
      </c>
      <c r="R114" s="823">
        <v>10130</v>
      </c>
      <c r="S114" s="823">
        <v>10232</v>
      </c>
      <c r="T114" s="823">
        <v>10390</v>
      </c>
      <c r="U114" s="823">
        <v>10563</v>
      </c>
      <c r="V114" s="823">
        <v>10793</v>
      </c>
      <c r="W114" s="823">
        <v>10943</v>
      </c>
      <c r="X114" s="823">
        <v>11082</v>
      </c>
      <c r="Y114" s="823">
        <v>11208</v>
      </c>
      <c r="Z114" s="823">
        <v>11337</v>
      </c>
      <c r="AA114" s="823">
        <v>11474</v>
      </c>
      <c r="AB114" s="825">
        <v>11648</v>
      </c>
      <c r="AC114" s="825">
        <v>11729</v>
      </c>
      <c r="AD114" s="825">
        <v>11837</v>
      </c>
      <c r="AE114" s="825">
        <v>11966</v>
      </c>
      <c r="AF114" s="825">
        <v>12092</v>
      </c>
      <c r="AG114" s="825">
        <v>12222</v>
      </c>
      <c r="AH114" s="825">
        <v>12345</v>
      </c>
      <c r="AI114" s="825">
        <v>12453</v>
      </c>
      <c r="AJ114" s="825">
        <v>12624</v>
      </c>
      <c r="AK114" s="825">
        <v>12787</v>
      </c>
      <c r="AL114" s="825">
        <v>12947</v>
      </c>
      <c r="AM114" s="825">
        <v>13178</v>
      </c>
      <c r="AN114" s="825">
        <v>13786</v>
      </c>
      <c r="AO114" s="825">
        <v>15861</v>
      </c>
    </row>
    <row r="115" hidden="1">
      <c r="A115" s="826" t="s">
        <v>25</v>
      </c>
      <c r="B115" s="827">
        <v>0</v>
      </c>
      <c r="C115" s="827">
        <v>0</v>
      </c>
      <c r="D115" s="827">
        <v>0</v>
      </c>
      <c r="E115" s="827">
        <v>0</v>
      </c>
      <c r="F115" s="827">
        <v>0</v>
      </c>
      <c r="G115" s="827">
        <v>3</v>
      </c>
      <c r="H115" s="827">
        <v>3</v>
      </c>
      <c r="I115" s="827">
        <v>3</v>
      </c>
      <c r="J115" s="827">
        <v>3</v>
      </c>
      <c r="K115" s="827">
        <v>3</v>
      </c>
      <c r="L115" s="827">
        <v>3</v>
      </c>
      <c r="M115" s="827">
        <v>3</v>
      </c>
      <c r="N115" s="827">
        <v>3</v>
      </c>
      <c r="O115" s="827">
        <v>3</v>
      </c>
      <c r="P115" s="827">
        <v>3</v>
      </c>
      <c r="Q115" s="827">
        <v>3</v>
      </c>
      <c r="R115" s="827">
        <v>3</v>
      </c>
      <c r="S115" s="827">
        <v>3</v>
      </c>
      <c r="T115" s="827">
        <v>3</v>
      </c>
      <c r="U115" s="827">
        <v>4</v>
      </c>
      <c r="V115" s="827">
        <v>4</v>
      </c>
      <c r="W115" s="827">
        <v>4</v>
      </c>
      <c r="X115" s="827">
        <v>4</v>
      </c>
      <c r="Y115" s="827">
        <v>4</v>
      </c>
      <c r="Z115" s="827">
        <v>4</v>
      </c>
      <c r="AA115" s="827">
        <v>4</v>
      </c>
      <c r="AB115" s="828">
        <v>4</v>
      </c>
      <c r="AC115" s="828">
        <v>5</v>
      </c>
      <c r="AD115" s="828">
        <v>5</v>
      </c>
      <c r="AE115" s="828">
        <v>5</v>
      </c>
      <c r="AF115" s="828">
        <v>5</v>
      </c>
      <c r="AG115" s="828">
        <v>5</v>
      </c>
      <c r="AH115" s="828">
        <v>5</v>
      </c>
      <c r="AI115" s="828">
        <v>5</v>
      </c>
      <c r="AJ115" s="828">
        <v>5</v>
      </c>
      <c r="AK115" s="828">
        <v>5</v>
      </c>
      <c r="AL115" s="828">
        <v>5</v>
      </c>
      <c r="AM115" s="828">
        <v>5</v>
      </c>
      <c r="AN115" s="828">
        <v>5</v>
      </c>
      <c r="AO115" s="828">
        <v>5</v>
      </c>
    </row>
    <row r="116" hidden="1" ht="13.5">
      <c r="A116" s="831" t="s">
        <v>26</v>
      </c>
      <c r="B116" s="823">
        <v>0</v>
      </c>
      <c r="C116" s="823">
        <v>0</v>
      </c>
      <c r="D116" s="823">
        <v>0</v>
      </c>
      <c r="E116" s="823">
        <v>0</v>
      </c>
      <c r="F116" s="823">
        <v>0</v>
      </c>
      <c r="G116" s="823">
        <v>0</v>
      </c>
      <c r="H116" s="823">
        <v>0</v>
      </c>
      <c r="I116" s="823">
        <v>0</v>
      </c>
      <c r="J116" s="823">
        <v>0</v>
      </c>
      <c r="K116" s="823">
        <v>0</v>
      </c>
      <c r="L116" s="823">
        <v>0</v>
      </c>
      <c r="M116" s="823">
        <v>0</v>
      </c>
      <c r="N116" s="823">
        <v>0</v>
      </c>
      <c r="O116" s="823">
        <v>0</v>
      </c>
      <c r="P116" s="823">
        <v>0</v>
      </c>
      <c r="Q116" s="823">
        <v>0</v>
      </c>
      <c r="R116" s="823">
        <v>0</v>
      </c>
      <c r="S116" s="823">
        <v>0</v>
      </c>
      <c r="T116" s="823">
        <v>0</v>
      </c>
      <c r="U116" s="823">
        <v>0</v>
      </c>
      <c r="V116" s="823">
        <v>2</v>
      </c>
      <c r="W116" s="823">
        <v>2</v>
      </c>
      <c r="X116" s="823">
        <v>2</v>
      </c>
      <c r="Y116" s="823">
        <v>3</v>
      </c>
      <c r="Z116" s="823">
        <v>3</v>
      </c>
      <c r="AA116" s="832">
        <v>4</v>
      </c>
      <c r="AB116" s="825">
        <v>4</v>
      </c>
      <c r="AC116" s="825">
        <v>4</v>
      </c>
      <c r="AD116" s="825">
        <v>4</v>
      </c>
      <c r="AE116" s="825">
        <v>4</v>
      </c>
      <c r="AF116" s="825">
        <v>5</v>
      </c>
      <c r="AG116" s="825">
        <v>5</v>
      </c>
      <c r="AH116" s="825">
        <v>7</v>
      </c>
      <c r="AI116" s="825">
        <v>7</v>
      </c>
      <c r="AJ116" s="825">
        <v>7</v>
      </c>
      <c r="AK116" s="825">
        <v>7</v>
      </c>
      <c r="AL116" s="825">
        <v>7</v>
      </c>
      <c r="AM116" s="825">
        <v>7</v>
      </c>
      <c r="AN116" s="825">
        <v>7</v>
      </c>
      <c r="AO116" s="825">
        <v>7</v>
      </c>
    </row>
    <row r="117" hidden="1" ht="13.5">
      <c r="A117" s="128" t="s">
        <v>7</v>
      </c>
      <c r="B117" s="129" t="str">
        <f>IF(SUM(B98:B116)&lt;&gt;0,SUM(B98:B116),"")</f>
      </c>
      <c r="C117" s="129" t="str">
        <f ref="C117:Z117" t="shared" si="0">IF(SUM(C98:C116)&lt;&gt;0,SUM(C98:C116),"")</f>
      </c>
      <c r="D117" s="129" t="str">
        <f t="shared" si="0"/>
      </c>
      <c r="E117" s="129" t="str">
        <f t="shared" si="0"/>
      </c>
      <c r="F117" s="129" t="str">
        <f t="shared" si="0"/>
      </c>
      <c r="G117" s="129" t="str">
        <f t="shared" si="0"/>
      </c>
      <c r="H117" s="129" t="str">
        <f t="shared" si="0"/>
      </c>
      <c r="I117" s="129" t="str">
        <f t="shared" si="0"/>
      </c>
      <c r="J117" s="129" t="str">
        <f t="shared" si="0"/>
      </c>
      <c r="K117" s="129" t="str">
        <f t="shared" si="0"/>
      </c>
      <c r="L117" s="129" t="str">
        <f t="shared" si="0"/>
      </c>
      <c r="M117" s="129" t="str">
        <f t="shared" si="0"/>
      </c>
      <c r="N117" s="129" t="str">
        <f t="shared" si="0"/>
      </c>
      <c r="O117" s="129" t="str">
        <f t="shared" si="0"/>
      </c>
      <c r="P117" s="129" t="str">
        <f t="shared" si="0"/>
      </c>
      <c r="Q117" s="129" t="str">
        <f t="shared" si="0"/>
      </c>
      <c r="R117" s="129" t="str">
        <f t="shared" si="0"/>
      </c>
      <c r="S117" s="129" t="str">
        <f t="shared" si="0"/>
      </c>
      <c r="T117" s="129" t="str">
        <f t="shared" si="0"/>
      </c>
      <c r="U117" s="129" t="str">
        <f t="shared" si="0"/>
      </c>
      <c r="V117" s="129" t="str">
        <f t="shared" si="0"/>
      </c>
      <c r="W117" s="129" t="str">
        <f t="shared" si="0"/>
      </c>
      <c r="X117" s="129" t="str">
        <f t="shared" si="0"/>
      </c>
      <c r="Y117" s="129" t="str">
        <f t="shared" si="0"/>
      </c>
      <c r="Z117" s="129" t="str">
        <f t="shared" si="0"/>
      </c>
      <c r="AA117" s="130" t="str">
        <f>IF(SUM(AA98:AA116)&lt;&gt;0,SUM(AA98:AA116),"")</f>
      </c>
      <c r="AB117" s="91" t="str">
        <f ref="AB117:CM117" t="shared" si="1">IF(SUM(AB98:AB116)&lt;&gt;0,SUM(AB98:AB116),"")</f>
      </c>
      <c r="AC117" s="91" t="str">
        <f t="shared" si="1"/>
      </c>
      <c r="AD117" s="91" t="str">
        <f t="shared" si="1"/>
      </c>
      <c r="AE117" s="91" t="str">
        <f t="shared" si="1"/>
      </c>
      <c r="AF117" s="91" t="str">
        <f t="shared" si="1"/>
      </c>
      <c r="AG117" s="91" t="str">
        <f t="shared" si="1"/>
      </c>
      <c r="AH117" s="91" t="str">
        <f t="shared" si="1"/>
      </c>
      <c r="AI117" s="91" t="str">
        <f t="shared" si="1"/>
      </c>
      <c r="AJ117" s="91" t="str">
        <f t="shared" si="1"/>
      </c>
      <c r="AK117" s="91" t="str">
        <f t="shared" si="1"/>
      </c>
      <c r="AL117" s="91" t="str">
        <f t="shared" si="1"/>
      </c>
      <c r="AM117" s="91" t="str">
        <f t="shared" si="1"/>
      </c>
      <c r="AN117" s="91" t="str">
        <f t="shared" si="1"/>
      </c>
      <c r="AO117" s="91" t="str">
        <f t="shared" si="1"/>
      </c>
      <c r="AP117" s="91" t="str">
        <f t="shared" si="1"/>
      </c>
      <c r="AQ117" s="91" t="str">
        <f t="shared" si="1"/>
      </c>
      <c r="AR117" s="91" t="str">
        <f t="shared" si="1"/>
      </c>
      <c r="AS117" s="91" t="str">
        <f t="shared" si="1"/>
      </c>
      <c r="AT117" s="91" t="str">
        <f t="shared" si="1"/>
      </c>
      <c r="AU117" s="91" t="str">
        <f t="shared" si="1"/>
      </c>
      <c r="AV117" s="91" t="str">
        <f t="shared" si="1"/>
      </c>
      <c r="AW117" s="91" t="str">
        <f t="shared" si="1"/>
      </c>
      <c r="AX117" s="91" t="str">
        <f t="shared" si="1"/>
      </c>
      <c r="AY117" s="91" t="str">
        <f t="shared" si="1"/>
      </c>
      <c r="AZ117" s="91" t="str">
        <f t="shared" si="1"/>
      </c>
      <c r="BA117" s="91" t="str">
        <f t="shared" si="1"/>
      </c>
      <c r="BB117" s="91" t="str">
        <f t="shared" si="1"/>
      </c>
      <c r="BC117" s="91" t="str">
        <f t="shared" si="1"/>
      </c>
      <c r="BD117" s="91" t="str">
        <f t="shared" si="1"/>
      </c>
      <c r="BE117" s="91" t="str">
        <f t="shared" si="1"/>
      </c>
      <c r="BF117" s="91" t="str">
        <f t="shared" si="1"/>
      </c>
      <c r="BG117" s="91" t="str">
        <f t="shared" si="1"/>
      </c>
      <c r="BH117" s="91" t="str">
        <f t="shared" si="1"/>
      </c>
      <c r="BI117" s="91" t="str">
        <f t="shared" si="1"/>
      </c>
      <c r="BJ117" s="91" t="str">
        <f t="shared" si="1"/>
      </c>
      <c r="BK117" s="91" t="str">
        <f t="shared" si="1"/>
      </c>
      <c r="BL117" s="91" t="str">
        <f t="shared" si="1"/>
      </c>
      <c r="BM117" s="91" t="str">
        <f t="shared" si="1"/>
      </c>
      <c r="BN117" s="91" t="str">
        <f t="shared" si="1"/>
      </c>
      <c r="BO117" s="91" t="str">
        <f t="shared" si="1"/>
      </c>
      <c r="BP117" s="91" t="str">
        <f t="shared" si="1"/>
      </c>
      <c r="BQ117" s="91" t="str">
        <f t="shared" si="1"/>
      </c>
      <c r="BR117" s="91" t="str">
        <f t="shared" si="1"/>
      </c>
      <c r="BS117" s="91" t="str">
        <f t="shared" si="1"/>
      </c>
      <c r="BT117" s="91" t="str">
        <f t="shared" si="1"/>
      </c>
      <c r="BU117" s="91" t="str">
        <f t="shared" si="1"/>
      </c>
      <c r="BV117" s="91" t="str">
        <f t="shared" si="1"/>
      </c>
      <c r="BW117" s="91" t="str">
        <f t="shared" si="1"/>
      </c>
      <c r="BX117" s="91" t="str">
        <f t="shared" si="1"/>
      </c>
      <c r="BY117" s="91" t="str">
        <f t="shared" si="1"/>
      </c>
      <c r="BZ117" s="91" t="str">
        <f t="shared" si="1"/>
      </c>
      <c r="CA117" s="91" t="str">
        <f t="shared" si="1"/>
      </c>
      <c r="CB117" s="91" t="str">
        <f t="shared" si="1"/>
      </c>
      <c r="CC117" s="91" t="str">
        <f t="shared" si="1"/>
      </c>
      <c r="CD117" s="91" t="str">
        <f t="shared" si="1"/>
      </c>
      <c r="CE117" s="91" t="str">
        <f t="shared" si="1"/>
      </c>
      <c r="CF117" s="91" t="str">
        <f t="shared" si="1"/>
      </c>
      <c r="CG117" s="91" t="str">
        <f t="shared" si="1"/>
      </c>
      <c r="CH117" s="91" t="str">
        <f t="shared" si="1"/>
      </c>
      <c r="CI117" s="91" t="str">
        <f t="shared" si="1"/>
      </c>
      <c r="CJ117" s="91" t="str">
        <f t="shared" si="1"/>
      </c>
      <c r="CK117" s="91" t="str">
        <f t="shared" si="1"/>
      </c>
      <c r="CL117" s="91" t="str">
        <f t="shared" si="1"/>
      </c>
      <c r="CM117" s="91" t="str">
        <f t="shared" si="1"/>
      </c>
      <c r="CN117" s="91" t="str">
        <f ref="CN117:EY117" t="shared" si="2">IF(SUM(CN98:CN116)&lt;&gt;0,SUM(CN98:CN116),"")</f>
      </c>
      <c r="CO117" s="91" t="str">
        <f t="shared" si="2"/>
      </c>
      <c r="CP117" s="91" t="str">
        <f t="shared" si="2"/>
      </c>
      <c r="CQ117" s="91" t="str">
        <f t="shared" si="2"/>
      </c>
      <c r="CR117" s="91" t="str">
        <f t="shared" si="2"/>
      </c>
      <c r="CS117" s="91" t="str">
        <f t="shared" si="2"/>
      </c>
      <c r="CT117" s="91" t="str">
        <f t="shared" si="2"/>
      </c>
      <c r="CU117" s="91" t="str">
        <f t="shared" si="2"/>
      </c>
      <c r="CV117" s="91" t="str">
        <f t="shared" si="2"/>
      </c>
      <c r="CW117" s="91" t="str">
        <f t="shared" si="2"/>
      </c>
      <c r="CX117" s="91" t="str">
        <f t="shared" si="2"/>
      </c>
      <c r="CY117" s="91" t="str">
        <f t="shared" si="2"/>
      </c>
      <c r="CZ117" s="91" t="str">
        <f t="shared" si="2"/>
      </c>
      <c r="DA117" s="91" t="str">
        <f t="shared" si="2"/>
      </c>
      <c r="DB117" s="91" t="str">
        <f t="shared" si="2"/>
      </c>
      <c r="DC117" s="91" t="str">
        <f t="shared" si="2"/>
      </c>
      <c r="DD117" s="91" t="str">
        <f t="shared" si="2"/>
      </c>
      <c r="DE117" s="91" t="str">
        <f t="shared" si="2"/>
      </c>
      <c r="DF117" s="91" t="str">
        <f t="shared" si="2"/>
      </c>
      <c r="DG117" s="91" t="str">
        <f t="shared" si="2"/>
      </c>
      <c r="DH117" s="91" t="str">
        <f t="shared" si="2"/>
      </c>
      <c r="DI117" s="91" t="str">
        <f t="shared" si="2"/>
      </c>
      <c r="DJ117" s="91" t="str">
        <f t="shared" si="2"/>
      </c>
      <c r="DK117" s="91" t="str">
        <f t="shared" si="2"/>
      </c>
      <c r="DL117" s="91" t="str">
        <f t="shared" si="2"/>
      </c>
      <c r="DM117" s="91" t="str">
        <f t="shared" si="2"/>
      </c>
      <c r="DN117" s="91" t="str">
        <f t="shared" si="2"/>
      </c>
      <c r="DO117" s="91" t="str">
        <f t="shared" si="2"/>
      </c>
      <c r="DP117" s="91" t="str">
        <f t="shared" si="2"/>
      </c>
      <c r="DQ117" s="91" t="str">
        <f t="shared" si="2"/>
      </c>
      <c r="DR117" s="91" t="str">
        <f t="shared" si="2"/>
      </c>
      <c r="DS117" s="91" t="str">
        <f t="shared" si="2"/>
      </c>
      <c r="DT117" s="91" t="str">
        <f t="shared" si="2"/>
      </c>
      <c r="DU117" s="91" t="str">
        <f t="shared" si="2"/>
      </c>
      <c r="DV117" s="91" t="str">
        <f t="shared" si="2"/>
      </c>
      <c r="DW117" s="91" t="str">
        <f t="shared" si="2"/>
      </c>
      <c r="DX117" s="91" t="str">
        <f t="shared" si="2"/>
      </c>
      <c r="DY117" s="91" t="str">
        <f t="shared" si="2"/>
      </c>
      <c r="DZ117" s="91" t="str">
        <f t="shared" si="2"/>
      </c>
      <c r="EA117" s="91" t="str">
        <f t="shared" si="2"/>
      </c>
      <c r="EB117" s="91" t="str">
        <f t="shared" si="2"/>
      </c>
      <c r="EC117" s="91" t="str">
        <f t="shared" si="2"/>
      </c>
      <c r="ED117" s="91" t="str">
        <f t="shared" si="2"/>
      </c>
      <c r="EE117" s="91" t="str">
        <f t="shared" si="2"/>
      </c>
      <c r="EF117" s="91" t="str">
        <f t="shared" si="2"/>
      </c>
      <c r="EG117" s="91" t="str">
        <f t="shared" si="2"/>
      </c>
      <c r="EH117" s="91" t="str">
        <f t="shared" si="2"/>
      </c>
      <c r="EI117" s="91" t="str">
        <f t="shared" si="2"/>
      </c>
      <c r="EJ117" s="91" t="str">
        <f t="shared" si="2"/>
      </c>
      <c r="EK117" s="91" t="str">
        <f t="shared" si="2"/>
      </c>
      <c r="EL117" s="91" t="str">
        <f t="shared" si="2"/>
      </c>
      <c r="EM117" s="91" t="str">
        <f t="shared" si="2"/>
      </c>
      <c r="EN117" s="91" t="str">
        <f t="shared" si="2"/>
      </c>
      <c r="EO117" s="91" t="str">
        <f t="shared" si="2"/>
      </c>
      <c r="EP117" s="91" t="str">
        <f t="shared" si="2"/>
      </c>
      <c r="EQ117" s="91" t="str">
        <f t="shared" si="2"/>
      </c>
      <c r="ER117" s="91" t="str">
        <f t="shared" si="2"/>
      </c>
      <c r="ES117" s="91" t="str">
        <f t="shared" si="2"/>
      </c>
      <c r="ET117" s="91" t="str">
        <f t="shared" si="2"/>
      </c>
      <c r="EU117" s="91" t="str">
        <f t="shared" si="2"/>
      </c>
      <c r="EV117" s="91" t="str">
        <f t="shared" si="2"/>
      </c>
      <c r="EW117" s="91" t="str">
        <f t="shared" si="2"/>
      </c>
      <c r="EX117" s="91" t="str">
        <f t="shared" si="2"/>
      </c>
      <c r="EY117" s="91" t="str">
        <f t="shared" si="2"/>
      </c>
      <c r="EZ117" s="91" t="str">
        <f ref="EZ117:HK117" t="shared" si="3">IF(SUM(EZ98:EZ116)&lt;&gt;0,SUM(EZ98:EZ116),"")</f>
      </c>
      <c r="FA117" s="91" t="str">
        <f t="shared" si="3"/>
      </c>
      <c r="FB117" s="91" t="str">
        <f t="shared" si="3"/>
      </c>
      <c r="FC117" s="91" t="str">
        <f t="shared" si="3"/>
      </c>
      <c r="FD117" s="91" t="str">
        <f t="shared" si="3"/>
      </c>
      <c r="FE117" s="91" t="str">
        <f t="shared" si="3"/>
      </c>
      <c r="FF117" s="91" t="str">
        <f t="shared" si="3"/>
      </c>
      <c r="FG117" s="91" t="str">
        <f t="shared" si="3"/>
      </c>
      <c r="FH117" s="91" t="str">
        <f t="shared" si="3"/>
      </c>
      <c r="FI117" s="91" t="str">
        <f t="shared" si="3"/>
      </c>
      <c r="FJ117" s="91" t="str">
        <f t="shared" si="3"/>
      </c>
      <c r="FK117" s="91" t="str">
        <f t="shared" si="3"/>
      </c>
      <c r="FL117" s="91" t="str">
        <f t="shared" si="3"/>
      </c>
      <c r="FM117" s="91" t="str">
        <f t="shared" si="3"/>
      </c>
      <c r="FN117" s="91" t="str">
        <f t="shared" si="3"/>
      </c>
      <c r="FO117" s="91" t="str">
        <f t="shared" si="3"/>
      </c>
      <c r="FP117" s="91" t="str">
        <f t="shared" si="3"/>
      </c>
      <c r="FQ117" s="91" t="str">
        <f t="shared" si="3"/>
      </c>
      <c r="FR117" s="91" t="str">
        <f t="shared" si="3"/>
      </c>
      <c r="FS117" s="91" t="str">
        <f t="shared" si="3"/>
      </c>
      <c r="FT117" s="91" t="str">
        <f t="shared" si="3"/>
      </c>
      <c r="FU117" s="91" t="str">
        <f t="shared" si="3"/>
      </c>
      <c r="FV117" s="91" t="str">
        <f t="shared" si="3"/>
      </c>
      <c r="FW117" s="91" t="str">
        <f t="shared" si="3"/>
      </c>
      <c r="FX117" s="91" t="str">
        <f t="shared" si="3"/>
      </c>
      <c r="FY117" s="91" t="str">
        <f t="shared" si="3"/>
      </c>
      <c r="FZ117" s="91" t="str">
        <f t="shared" si="3"/>
      </c>
      <c r="GA117" s="91" t="str">
        <f t="shared" si="3"/>
      </c>
      <c r="GB117" s="91" t="str">
        <f t="shared" si="3"/>
      </c>
      <c r="GC117" s="91" t="str">
        <f t="shared" si="3"/>
      </c>
      <c r="GD117" s="91" t="str">
        <f t="shared" si="3"/>
      </c>
      <c r="GE117" s="91" t="str">
        <f t="shared" si="3"/>
      </c>
      <c r="GF117" s="91" t="str">
        <f t="shared" si="3"/>
      </c>
      <c r="GG117" s="91" t="str">
        <f t="shared" si="3"/>
      </c>
      <c r="GH117" s="91" t="str">
        <f t="shared" si="3"/>
      </c>
      <c r="GI117" s="91" t="str">
        <f t="shared" si="3"/>
      </c>
      <c r="GJ117" s="91" t="str">
        <f t="shared" si="3"/>
      </c>
      <c r="GK117" s="91" t="str">
        <f t="shared" si="3"/>
      </c>
      <c r="GL117" s="91" t="str">
        <f t="shared" si="3"/>
      </c>
      <c r="GM117" s="91" t="str">
        <f t="shared" si="3"/>
      </c>
      <c r="GN117" s="91" t="str">
        <f t="shared" si="3"/>
      </c>
      <c r="GO117" s="91" t="str">
        <f t="shared" si="3"/>
      </c>
      <c r="GP117" s="91" t="str">
        <f t="shared" si="3"/>
      </c>
      <c r="GQ117" s="91" t="str">
        <f t="shared" si="3"/>
      </c>
      <c r="GR117" s="91" t="str">
        <f t="shared" si="3"/>
      </c>
      <c r="GS117" s="91" t="str">
        <f t="shared" si="3"/>
      </c>
      <c r="GT117" s="91" t="str">
        <f t="shared" si="3"/>
      </c>
      <c r="GU117" s="91" t="str">
        <f t="shared" si="3"/>
      </c>
      <c r="GV117" s="91" t="str">
        <f t="shared" si="3"/>
      </c>
      <c r="GW117" s="91" t="str">
        <f t="shared" si="3"/>
      </c>
      <c r="GX117" s="91" t="str">
        <f t="shared" si="3"/>
      </c>
      <c r="GY117" s="91" t="str">
        <f t="shared" si="3"/>
      </c>
      <c r="GZ117" s="91" t="str">
        <f t="shared" si="3"/>
      </c>
      <c r="HA117" s="91" t="str">
        <f t="shared" si="3"/>
      </c>
      <c r="HB117" s="91" t="str">
        <f t="shared" si="3"/>
      </c>
      <c r="HC117" s="91" t="str">
        <f t="shared" si="3"/>
      </c>
      <c r="HD117" s="91" t="str">
        <f t="shared" si="3"/>
      </c>
      <c r="HE117" s="91" t="str">
        <f t="shared" si="3"/>
      </c>
      <c r="HF117" s="91" t="str">
        <f t="shared" si="3"/>
      </c>
      <c r="HG117" s="91" t="str">
        <f t="shared" si="3"/>
      </c>
      <c r="HH117" s="91" t="str">
        <f t="shared" si="3"/>
      </c>
      <c r="HI117" s="91" t="str">
        <f t="shared" si="3"/>
      </c>
      <c r="HJ117" s="91" t="str">
        <f t="shared" si="3"/>
      </c>
      <c r="HK117" s="91" t="str">
        <f t="shared" si="3"/>
      </c>
      <c r="HL117" s="91" t="str">
        <f ref="HL117:IU117" t="shared" si="4">IF(SUM(HL98:HL116)&lt;&gt;0,SUM(HL98:HL116),"")</f>
      </c>
      <c r="HM117" s="91" t="str">
        <f t="shared" si="4"/>
      </c>
      <c r="HN117" s="91" t="str">
        <f t="shared" si="4"/>
      </c>
      <c r="HO117" s="91" t="str">
        <f t="shared" si="4"/>
      </c>
      <c r="HP117" s="91" t="str">
        <f t="shared" si="4"/>
      </c>
      <c r="HQ117" s="91" t="str">
        <f t="shared" si="4"/>
      </c>
      <c r="HR117" s="91" t="str">
        <f t="shared" si="4"/>
      </c>
      <c r="HS117" s="91" t="str">
        <f t="shared" si="4"/>
      </c>
      <c r="HT117" s="91" t="str">
        <f t="shared" si="4"/>
      </c>
      <c r="HU117" s="91" t="str">
        <f t="shared" si="4"/>
      </c>
      <c r="HV117" s="91" t="str">
        <f t="shared" si="4"/>
      </c>
      <c r="HW117" s="91" t="str">
        <f t="shared" si="4"/>
      </c>
      <c r="HX117" s="91" t="str">
        <f t="shared" si="4"/>
      </c>
      <c r="HY117" s="91" t="str">
        <f t="shared" si="4"/>
      </c>
      <c r="HZ117" s="91" t="str">
        <f t="shared" si="4"/>
      </c>
      <c r="IA117" s="91" t="str">
        <f t="shared" si="4"/>
      </c>
      <c r="IB117" s="91" t="str">
        <f t="shared" si="4"/>
      </c>
      <c r="IC117" s="91" t="str">
        <f t="shared" si="4"/>
      </c>
      <c r="ID117" s="91" t="str">
        <f t="shared" si="4"/>
      </c>
      <c r="IE117" s="91" t="str">
        <f t="shared" si="4"/>
      </c>
      <c r="IF117" s="91" t="str">
        <f t="shared" si="4"/>
      </c>
      <c r="IG117" s="91" t="str">
        <f t="shared" si="4"/>
      </c>
      <c r="IH117" s="91" t="str">
        <f t="shared" si="4"/>
      </c>
      <c r="II117" s="91" t="str">
        <f t="shared" si="4"/>
      </c>
      <c r="IJ117" s="91" t="str">
        <f t="shared" si="4"/>
      </c>
      <c r="IK117" s="91" t="str">
        <f t="shared" si="4"/>
      </c>
      <c r="IL117" s="91" t="str">
        <f t="shared" si="4"/>
      </c>
      <c r="IM117" s="91" t="str">
        <f t="shared" si="4"/>
      </c>
      <c r="IN117" s="91" t="str">
        <f t="shared" si="4"/>
      </c>
      <c r="IO117" s="91" t="str">
        <f t="shared" si="4"/>
      </c>
      <c r="IP117" s="91" t="str">
        <f t="shared" si="4"/>
      </c>
      <c r="IQ117" s="91" t="str">
        <f t="shared" si="4"/>
      </c>
      <c r="IR117" s="91" t="str">
        <f t="shared" si="4"/>
      </c>
      <c r="IS117" s="91" t="str">
        <f t="shared" si="4"/>
      </c>
      <c r="IT117" s="91" t="str">
        <f t="shared" si="4"/>
      </c>
      <c r="IU117" s="91" t="str">
        <f t="shared" si="4"/>
      </c>
    </row>
    <row r="118" hidden="1" ht="13.5"/>
    <row r="119" hidden="1" ht="13.5">
      <c r="B119" s="614" t="s">
        <v>322</v>
      </c>
      <c r="C119" s="615"/>
      <c r="D119" s="615"/>
      <c r="E119" s="615"/>
      <c r="F119" s="615"/>
      <c r="G119" s="615"/>
      <c r="H119" s="615"/>
      <c r="I119" s="615"/>
      <c r="J119" s="615"/>
      <c r="K119" s="615"/>
      <c r="L119" s="615"/>
      <c r="M119" s="615"/>
      <c r="N119" s="615"/>
      <c r="O119" s="615"/>
      <c r="P119" s="615"/>
      <c r="Q119" s="615"/>
      <c r="R119" s="615"/>
      <c r="S119" s="615"/>
      <c r="T119" s="615"/>
      <c r="U119" s="615"/>
      <c r="V119" s="615"/>
      <c r="W119" s="615"/>
      <c r="X119" s="615"/>
      <c r="Y119" s="615"/>
      <c r="Z119" s="615"/>
      <c r="AA119" s="616"/>
    </row>
    <row r="120" hidden="1" ht="13.5">
      <c r="B120" s="435" t="str">
        <f> IF(B140&lt;&gt;"",TEXT(AUX!G$1,"dd-MMM-aa"),"")</f>
      </c>
      <c r="C120" s="435" t="str">
        <f> IF(C140&lt;&gt;"",TEXT(AUX!H$1,"dd-MMM-aa"),"")</f>
      </c>
      <c r="D120" s="435" t="str">
        <f> IF(D140&lt;&gt;"",TEXT(AUX!I$1,"dd-MMM-aa"),"")</f>
      </c>
      <c r="E120" s="435" t="str">
        <f> IF(E140&lt;&gt;"",TEXT(AUX!J$1,"dd-MMM-aa"),"")</f>
      </c>
      <c r="F120" s="435" t="str">
        <f> IF(F140&lt;&gt;"",TEXT(AUX!K$1,"dd-MMM-aa"),"")</f>
      </c>
      <c r="G120" s="435" t="str">
        <f> IF(G140&lt;&gt;"",TEXT(AUX!L$1,"dd-MMM-aa"),"")</f>
      </c>
      <c r="H120" s="435" t="str">
        <f> IF(H140&lt;&gt;"",TEXT(AUX!M$1,"dd-MMM-aa"),"")</f>
      </c>
      <c r="I120" s="435" t="str">
        <f> IF(I140&lt;&gt;"",TEXT(AUX!N$1,"dd-MMM-aa"),"")</f>
      </c>
      <c r="J120" s="435" t="str">
        <f> IF(J140&lt;&gt;"",TEXT(AUX!O$1,"dd-MMM-aa"),"")</f>
      </c>
      <c r="K120" s="435" t="str">
        <f> IF(K140&lt;&gt;"",TEXT(AUX!P$1,"dd-MMM-aa"),"")</f>
      </c>
      <c r="L120" s="435" t="str">
        <f> IF(L140&lt;&gt;"",TEXT(AUX!Q$1,"dd-MMM-aa"),"")</f>
      </c>
      <c r="M120" s="435" t="str">
        <f> IF(M140&lt;&gt;"",TEXT(AUX!R$1,"dd-MMM-aa"),"")</f>
      </c>
      <c r="N120" s="435" t="str">
        <f> IF(N140&lt;&gt;"",TEXT(AUX!S$1,"dd-MMM-aa"),"")</f>
      </c>
      <c r="O120" s="435" t="str">
        <f> IF(O140&lt;&gt;"",TEXT(AUX!T$1,"dd-MMM-aa"),"")</f>
      </c>
      <c r="P120" s="435" t="str">
        <f> IF(P140&lt;&gt;"",TEXT(AUX!U$1,"dd-MMM-aa"),"")</f>
      </c>
      <c r="Q120" s="435" t="str">
        <f> IF(Q140&lt;&gt;"",TEXT(AUX!V$1,"dd-MMM-aa"),"")</f>
      </c>
      <c r="R120" s="435" t="str">
        <f> IF(R140&lt;&gt;"",TEXT(AUX!W$1,"dd-MMM-aa"),"")</f>
      </c>
      <c r="S120" s="435" t="str">
        <f> IF(S140&lt;&gt;"",TEXT(AUX!X$1,"dd-MMM-aa"),"")</f>
      </c>
      <c r="T120" s="435" t="str">
        <f> IF(T140&lt;&gt;"",TEXT(AUX!Y$1,"dd-MMM-aa"),"")</f>
      </c>
      <c r="U120" s="435" t="str">
        <f> IF(U140&lt;&gt;"",TEXT(AUX!Z$1,"dd-MMM-aa"),"")</f>
      </c>
      <c r="V120" s="435" t="str">
        <f> IF(V140&lt;&gt;"",TEXT(AUX!AA$1,"dd-MMM-aa"),"")</f>
      </c>
      <c r="W120" s="435" t="str">
        <f> IF(W140&lt;&gt;"",TEXT(AUX!AB$1,"dd-MMM-aa"),"")</f>
      </c>
      <c r="X120" s="435" t="str">
        <f> IF(X140&lt;&gt;"",TEXT(AUX!AC$1,"dd-MMM-aa"),"")</f>
      </c>
      <c r="Y120" s="435" t="str">
        <f> IF(Y140&lt;&gt;"",TEXT(AUX!AD$1,"dd-MMM-aa"),"")</f>
      </c>
      <c r="Z120" s="435" t="str">
        <f> IF(Z140&lt;&gt;"",TEXT(AUX!AE$1,"dd-MMM-aa"),"")</f>
      </c>
      <c r="AA120" s="497" t="str">
        <f> IF(AA140&lt;&gt;"",TEXT(AUX!AF$1,"dd-MMM-aa"),"")</f>
      </c>
      <c r="AB120" s="496" t="str">
        <f> IF(AB140&lt;&gt;"",TEXT(AUX!AG$1,"dd-MMM-aa"),"")</f>
      </c>
      <c r="AC120" s="496" t="str">
        <f> IF(AC140&lt;&gt;"",TEXT(AUX!AH$1,"dd-MMM-aa"),"")</f>
      </c>
      <c r="AD120" s="496" t="str">
        <f> IF(AD140&lt;&gt;"",TEXT(AUX!AI$1,"dd-MMM-aa"),"")</f>
      </c>
      <c r="AE120" s="496" t="str">
        <f> IF(AE140&lt;&gt;"",TEXT(AUX!AJ$1,"dd-MMM-aa"),"")</f>
      </c>
      <c r="AF120" s="496" t="str">
        <f> IF(AF140&lt;&gt;"",TEXT(AUX!AK$1,"dd-MMM-aa"),"")</f>
      </c>
      <c r="AG120" s="496" t="str">
        <f> IF(AG140&lt;&gt;"",TEXT(AUX!AL$1,"dd-MMM-aa"),"")</f>
      </c>
      <c r="AH120" s="496" t="str">
        <f> IF(AH140&lt;&gt;"",TEXT(AUX!AM$1,"dd-MMM-aa"),"")</f>
      </c>
      <c r="AI120" s="496" t="str">
        <f> IF(AI140&lt;&gt;"",TEXT(AUX!AN$1,"dd-MMM-aa"),"")</f>
      </c>
      <c r="AJ120" s="496" t="str">
        <f> IF(AJ140&lt;&gt;"",TEXT(AUX!AO$1,"dd-MMM-aa"),"")</f>
      </c>
      <c r="AK120" s="496" t="str">
        <f> IF(AK140&lt;&gt;"",TEXT(AUX!AP$1,"dd-MMM-aa"),"")</f>
      </c>
      <c r="AL120" s="496" t="str">
        <f> IF(AL140&lt;&gt;"",TEXT(AUX!AQ$1,"dd-MMM-aa"),"")</f>
      </c>
      <c r="AM120" s="496" t="str">
        <f> IF(AM140&lt;&gt;"",TEXT(AUX!AR$1,"dd-MMM-aa"),"")</f>
      </c>
      <c r="AN120" s="496" t="str">
        <f> IF(AN140&lt;&gt;"",TEXT(AUX!AS$1,"dd-MMM-aa"),"")</f>
      </c>
      <c r="AO120" s="496" t="str">
        <f> IF(AO140&lt;&gt;"",TEXT(AUX!AT$1,"dd-MMM-aa"),"")</f>
      </c>
      <c r="AP120" s="496" t="str">
        <f> IF(AP140&lt;&gt;"",TEXT(AUX!AU$1,"dd-MMM-aa"),"")</f>
      </c>
      <c r="AQ120" s="496" t="str">
        <f> IF(AQ140&lt;&gt;"",TEXT(AUX!AV$1,"dd-MMM-aa"),"")</f>
      </c>
      <c r="AR120" s="496" t="str">
        <f> IF(AR140&lt;&gt;"",TEXT(AUX!AW$1,"dd-MMM-aa"),"")</f>
      </c>
      <c r="AS120" s="496" t="str">
        <f> IF(AS140&lt;&gt;"",TEXT(AUX!AX$1,"dd-MMM-aa"),"")</f>
      </c>
      <c r="AT120" s="496" t="str">
        <f> IF(AT140&lt;&gt;"",TEXT(AUX!AY$1,"dd-MMM-aa"),"")</f>
      </c>
      <c r="AU120" s="496" t="str">
        <f> IF(AU140&lt;&gt;"",TEXT(AUX!AZ$1,"dd-MMM-aa"),"")</f>
      </c>
      <c r="AV120" s="496" t="str">
        <f> IF(AV140&lt;&gt;"",TEXT(AUX!BA$1,"dd-MMM-aa"),"")</f>
      </c>
      <c r="AW120" s="496" t="str">
        <f> IF(AW140&lt;&gt;"",TEXT(AUX!BB$1,"dd-MMM-aa"),"")</f>
      </c>
      <c r="AX120" s="496" t="str">
        <f> IF(AX140&lt;&gt;"",TEXT(AUX!BC$1,"dd-MMM-aa"),"")</f>
      </c>
      <c r="AY120" s="496" t="str">
        <f> IF(AY140&lt;&gt;"",TEXT(AUX!BD$1,"dd-MMM-aa"),"")</f>
      </c>
      <c r="AZ120" s="496" t="str">
        <f> IF(AZ140&lt;&gt;"",TEXT(AUX!BE$1,"dd-MMM-aa"),"")</f>
      </c>
      <c r="BA120" s="496" t="str">
        <f> IF(BA140&lt;&gt;"",TEXT(AUX!BF$1,"dd-MMM-aa"),"")</f>
      </c>
      <c r="BB120" s="496" t="str">
        <f> IF(BB140&lt;&gt;"",TEXT(AUX!BG$1,"dd-MMM-aa"),"")</f>
      </c>
      <c r="BC120" s="496" t="str">
        <f> IF(BC140&lt;&gt;"",TEXT(AUX!BH$1,"dd-MMM-aa"),"")</f>
      </c>
      <c r="BD120" s="496" t="str">
        <f> IF(BD140&lt;&gt;"",TEXT(AUX!BI$1,"dd-MMM-aa"),"")</f>
      </c>
      <c r="BE120" s="496" t="str">
        <f> IF(BE140&lt;&gt;"",TEXT(AUX!BJ$1,"dd-MMM-aa"),"")</f>
      </c>
      <c r="BF120" s="496" t="str">
        <f> IF(BF140&lt;&gt;"",TEXT(AUX!BK$1,"dd-MMM-aa"),"")</f>
      </c>
      <c r="BG120" s="496" t="str">
        <f> IF(BG140&lt;&gt;"",TEXT(AUX!BL$1,"dd-MMM-aa"),"")</f>
      </c>
      <c r="BH120" s="496" t="str">
        <f> IF(BH140&lt;&gt;"",TEXT(AUX!BM$1,"dd-MMM-aa"),"")</f>
      </c>
      <c r="BI120" s="496" t="str">
        <f> IF(BI140&lt;&gt;"",TEXT(AUX!BN$1,"dd-MMM-aa"),"")</f>
      </c>
      <c r="BJ120" s="496" t="str">
        <f> IF(BJ140&lt;&gt;"",TEXT(AUX!BO$1,"dd-MMM-aa"),"")</f>
      </c>
      <c r="BK120" s="496" t="str">
        <f> IF(BK140&lt;&gt;"",TEXT(AUX!BP$1,"dd-MMM-aa"),"")</f>
      </c>
      <c r="BL120" s="496" t="str">
        <f> IF(BL140&lt;&gt;"",TEXT(AUX!BQ$1,"dd-MMM-aa"),"")</f>
      </c>
      <c r="BM120" s="496" t="str">
        <f> IF(BM140&lt;&gt;"",TEXT(AUX!BR$1,"dd-MMM-aa"),"")</f>
      </c>
      <c r="BN120" s="496" t="str">
        <f> IF(BN140&lt;&gt;"",TEXT(AUX!BS$1,"dd-MMM-aa"),"")</f>
      </c>
      <c r="BO120" s="496" t="str">
        <f> IF(BO140&lt;&gt;"",TEXT(AUX!BT$1,"dd-MMM-aa"),"")</f>
      </c>
      <c r="BP120" s="496" t="str">
        <f> IF(BP140&lt;&gt;"",TEXT(AUX!BU$1,"dd-MMM-aa"),"")</f>
      </c>
      <c r="BQ120" s="496" t="str">
        <f> IF(BQ140&lt;&gt;"",TEXT(AUX!BV$1,"dd-MMM-aa"),"")</f>
      </c>
      <c r="BR120" s="496" t="str">
        <f> IF(BR140&lt;&gt;"",TEXT(AUX!BW$1,"dd-MMM-aa"),"")</f>
      </c>
      <c r="BS120" s="496" t="str">
        <f> IF(BS140&lt;&gt;"",TEXT(AUX!BX$1,"dd-MMM-aa"),"")</f>
      </c>
      <c r="BT120" s="496" t="str">
        <f> IF(BT140&lt;&gt;"",TEXT(AUX!BY$1,"dd-MMM-aa"),"")</f>
      </c>
      <c r="BU120" s="496" t="str">
        <f> IF(BU140&lt;&gt;"",TEXT(AUX!BZ$1,"dd-MMM-aa"),"")</f>
      </c>
      <c r="BV120" s="496" t="str">
        <f> IF(BV140&lt;&gt;"",TEXT(AUX!CA$1,"dd-MMM-aa"),"")</f>
      </c>
      <c r="BW120" s="496" t="str">
        <f> IF(BW140&lt;&gt;"",TEXT(AUX!CB$1,"dd-MMM-aa"),"")</f>
      </c>
      <c r="BX120" s="496" t="str">
        <f> IF(BX140&lt;&gt;"",TEXT(AUX!CC$1,"dd-MMM-aa"),"")</f>
      </c>
      <c r="BY120" s="496" t="str">
        <f> IF(BY140&lt;&gt;"",TEXT(AUX!CD$1,"dd-MMM-aa"),"")</f>
      </c>
      <c r="BZ120" s="496" t="str">
        <f> IF(BZ140&lt;&gt;"",TEXT(AUX!CE$1,"dd-MMM-aa"),"")</f>
      </c>
      <c r="CA120" s="496" t="str">
        <f> IF(CA140&lt;&gt;"",TEXT(AUX!CF$1,"dd-MMM-aa"),"")</f>
      </c>
      <c r="CB120" s="496" t="str">
        <f> IF(CB140&lt;&gt;"",TEXT(AUX!CG$1,"dd-MMM-aa"),"")</f>
      </c>
      <c r="CC120" s="496" t="str">
        <f> IF(CC140&lt;&gt;"",TEXT(AUX!CH$1,"dd-MMM-aa"),"")</f>
      </c>
      <c r="CD120" s="496" t="str">
        <f> IF(CD140&lt;&gt;"",TEXT(AUX!CI$1,"dd-MMM-aa"),"")</f>
      </c>
      <c r="CE120" s="496" t="str">
        <f> IF(CE140&lt;&gt;"",TEXT(AUX!CJ$1,"dd-MMM-aa"),"")</f>
      </c>
      <c r="CF120" s="496" t="str">
        <f> IF(CF140&lt;&gt;"",TEXT(AUX!CK$1,"dd-MMM-aa"),"")</f>
      </c>
      <c r="CG120" s="496" t="str">
        <f> IF(CG140&lt;&gt;"",TEXT(AUX!CL$1,"dd-MMM-aa"),"")</f>
      </c>
      <c r="CH120" s="496" t="str">
        <f> IF(CH140&lt;&gt;"",TEXT(AUX!CM$1,"dd-MMM-aa"),"")</f>
      </c>
      <c r="CI120" s="496" t="str">
        <f> IF(CI140&lt;&gt;"",TEXT(AUX!CN$1,"dd-MMM-aa"),"")</f>
      </c>
      <c r="CJ120" s="496" t="str">
        <f> IF(CJ140&lt;&gt;"",TEXT(AUX!CO$1,"dd-MMM-aa"),"")</f>
      </c>
      <c r="CK120" s="496" t="str">
        <f> IF(CK140&lt;&gt;"",TEXT(AUX!CP$1,"dd-MMM-aa"),"")</f>
      </c>
      <c r="CL120" s="496" t="str">
        <f> IF(CL140&lt;&gt;"",TEXT(AUX!CQ$1,"dd-MMM-aa"),"")</f>
      </c>
      <c r="CM120" s="496" t="str">
        <f> IF(CM140&lt;&gt;"",TEXT(AUX!CR$1,"dd-MMM-aa"),"")</f>
      </c>
      <c r="CN120" s="496" t="str">
        <f> IF(CN140&lt;&gt;"",TEXT(AUX!CS$1,"dd-MMM-aa"),"")</f>
      </c>
      <c r="CO120" s="496" t="str">
        <f> IF(CO140&lt;&gt;"",TEXT(AUX!CT$1,"dd-MMM-aa"),"")</f>
      </c>
      <c r="CP120" s="496" t="str">
        <f> IF(CP140&lt;&gt;"",TEXT(AUX!CU$1,"dd-MMM-aa"),"")</f>
      </c>
      <c r="CQ120" s="496" t="str">
        <f> IF(CQ140&lt;&gt;"",TEXT(AUX!CV$1,"dd-MMM-aa"),"")</f>
      </c>
      <c r="CR120" s="496" t="str">
        <f> IF(CR140&lt;&gt;"",TEXT(AUX!CW$1,"dd-MMM-aa"),"")</f>
      </c>
      <c r="CS120" s="496" t="str">
        <f> IF(CS140&lt;&gt;"",TEXT(AUX!CX$1,"dd-MMM-aa"),"")</f>
      </c>
      <c r="CT120" s="496" t="str">
        <f> IF(CT140&lt;&gt;"",TEXT(AUX!CY$1,"dd-MMM-aa"),"")</f>
      </c>
      <c r="CU120" s="496" t="str">
        <f> IF(CU140&lt;&gt;"",TEXT(AUX!CZ$1,"dd-MMM-aa"),"")</f>
      </c>
      <c r="CV120" s="496" t="str">
        <f> IF(CV140&lt;&gt;"",TEXT(AUX!DA$1,"dd-MMM-aa"),"")</f>
      </c>
      <c r="CW120" s="496" t="str">
        <f> IF(CW140&lt;&gt;"",TEXT(AUX!DB$1,"dd-MMM-aa"),"")</f>
      </c>
      <c r="CX120" s="496" t="str">
        <f> IF(CX140&lt;&gt;"",TEXT(AUX!DC$1,"dd-MMM-aa"),"")</f>
      </c>
      <c r="CY120" s="496" t="str">
        <f> IF(CY140&lt;&gt;"",TEXT(AUX!DD$1,"dd-MMM-aa"),"")</f>
      </c>
      <c r="CZ120" s="496" t="str">
        <f> IF(CZ140&lt;&gt;"",TEXT(AUX!DE$1,"dd-MMM-aa"),"")</f>
      </c>
      <c r="DA120" s="496" t="str">
        <f> IF(DA140&lt;&gt;"",TEXT(AUX!DF$1,"dd-MMM-aa"),"")</f>
      </c>
      <c r="DB120" s="496" t="str">
        <f> IF(DB140&lt;&gt;"",TEXT(AUX!DG$1,"dd-MMM-aa"),"")</f>
      </c>
      <c r="DC120" s="496" t="str">
        <f> IF(DC140&lt;&gt;"",TEXT(AUX!DH$1,"dd-MMM-aa"),"")</f>
      </c>
      <c r="DD120" s="496" t="str">
        <f> IF(DD140&lt;&gt;"",TEXT(AUX!DI$1,"dd-MMM-aa"),"")</f>
      </c>
      <c r="DE120" s="496" t="str">
        <f> IF(DE140&lt;&gt;"",TEXT(AUX!DJ$1,"dd-MMM-aa"),"")</f>
      </c>
      <c r="DF120" s="496" t="str">
        <f> IF(DF140&lt;&gt;"",TEXT(AUX!DK$1,"dd-MMM-aa"),"")</f>
      </c>
      <c r="DG120" s="496" t="str">
        <f> IF(DG140&lt;&gt;"",TEXT(AUX!DL$1,"dd-MMM-aa"),"")</f>
      </c>
      <c r="DH120" s="496" t="str">
        <f> IF(DH140&lt;&gt;"",TEXT(AUX!DM$1,"dd-MMM-aa"),"")</f>
      </c>
      <c r="DI120" s="496" t="str">
        <f> IF(DI140&lt;&gt;"",TEXT(AUX!DN$1,"dd-MMM-aa"),"")</f>
      </c>
      <c r="DJ120" s="496" t="str">
        <f> IF(DJ140&lt;&gt;"",TEXT(AUX!DO$1,"dd-MMM-aa"),"")</f>
      </c>
      <c r="DK120" s="496" t="str">
        <f> IF(DK140&lt;&gt;"",TEXT(AUX!DP$1,"dd-MMM-aa"),"")</f>
      </c>
      <c r="DL120" s="496" t="str">
        <f> IF(DL140&lt;&gt;"",TEXT(AUX!DQ$1,"dd-MMM-aa"),"")</f>
      </c>
      <c r="DM120" s="496" t="str">
        <f> IF(DM140&lt;&gt;"",TEXT(AUX!DR$1,"dd-MMM-aa"),"")</f>
      </c>
      <c r="DN120" s="496" t="str">
        <f> IF(DN140&lt;&gt;"",TEXT(AUX!DS$1,"dd-MMM-aa"),"")</f>
      </c>
      <c r="DO120" s="496" t="str">
        <f> IF(DO140&lt;&gt;"",TEXT(AUX!DT$1,"dd-MMM-aa"),"")</f>
      </c>
      <c r="DP120" s="496" t="str">
        <f> IF(DP140&lt;&gt;"",TEXT(AUX!DU$1,"dd-MMM-aa"),"")</f>
      </c>
      <c r="DQ120" s="496" t="str">
        <f> IF(DQ140&lt;&gt;"",TEXT(AUX!DV$1,"dd-MMM-aa"),"")</f>
      </c>
      <c r="DR120" s="496" t="str">
        <f> IF(DR140&lt;&gt;"",TEXT(AUX!DW$1,"dd-MMM-aa"),"")</f>
      </c>
      <c r="DS120" s="496" t="str">
        <f> IF(DS140&lt;&gt;"",TEXT(AUX!DX$1,"dd-MMM-aa"),"")</f>
      </c>
      <c r="DT120" s="496" t="str">
        <f> IF(DT140&lt;&gt;"",TEXT(AUX!DY$1,"dd-MMM-aa"),"")</f>
      </c>
      <c r="DU120" s="496" t="str">
        <f> IF(DU140&lt;&gt;"",TEXT(AUX!DZ$1,"dd-MMM-aa"),"")</f>
      </c>
      <c r="DV120" s="496" t="str">
        <f> IF(DV140&lt;&gt;"",TEXT(AUX!EA$1,"dd-MMM-aa"),"")</f>
      </c>
      <c r="DW120" s="496" t="str">
        <f> IF(DW140&lt;&gt;"",TEXT(AUX!EB$1,"dd-MMM-aa"),"")</f>
      </c>
      <c r="DX120" s="496" t="str">
        <f> IF(DX140&lt;&gt;"",TEXT(AUX!EC$1,"dd-MMM-aa"),"")</f>
      </c>
      <c r="DY120" s="496" t="str">
        <f> IF(DY140&lt;&gt;"",TEXT(AUX!ED$1,"dd-MMM-aa"),"")</f>
      </c>
      <c r="DZ120" s="496" t="str">
        <f> IF(DZ140&lt;&gt;"",TEXT(AUX!EE$1,"dd-MMM-aa"),"")</f>
      </c>
      <c r="EA120" s="496" t="str">
        <f> IF(EA140&lt;&gt;"",TEXT(AUX!EF$1,"dd-MMM-aa"),"")</f>
      </c>
      <c r="EB120" s="496" t="str">
        <f> IF(EB140&lt;&gt;"",TEXT(AUX!EG$1,"dd-MMM-aa"),"")</f>
      </c>
      <c r="EC120" s="496" t="str">
        <f> IF(EC140&lt;&gt;"",TEXT(AUX!EH$1,"dd-MMM-aa"),"")</f>
      </c>
      <c r="ED120" s="496" t="str">
        <f> IF(ED140&lt;&gt;"",TEXT(AUX!EI$1,"dd-MMM-aa"),"")</f>
      </c>
      <c r="EE120" s="496" t="str">
        <f> IF(EE140&lt;&gt;"",TEXT(AUX!EJ$1,"dd-MMM-aa"),"")</f>
      </c>
      <c r="EF120" s="496" t="str">
        <f> IF(EF140&lt;&gt;"",TEXT(AUX!EK$1,"dd-MMM-aa"),"")</f>
      </c>
      <c r="EG120" s="496" t="str">
        <f> IF(EG140&lt;&gt;"",TEXT(AUX!EL$1,"dd-MMM-aa"),"")</f>
      </c>
      <c r="EH120" s="496" t="str">
        <f> IF(EH140&lt;&gt;"",TEXT(AUX!EM$1,"dd-MMM-aa"),"")</f>
      </c>
      <c r="EI120" s="496" t="str">
        <f> IF(EI140&lt;&gt;"",TEXT(AUX!EN$1,"dd-MMM-aa"),"")</f>
      </c>
      <c r="EJ120" s="496" t="str">
        <f> IF(EJ140&lt;&gt;"",TEXT(AUX!EO$1,"dd-MMM-aa"),"")</f>
      </c>
      <c r="EK120" s="496" t="str">
        <f> IF(EK140&lt;&gt;"",TEXT(AUX!EP$1,"dd-MMM-aa"),"")</f>
      </c>
      <c r="EL120" s="496" t="str">
        <f> IF(EL140&lt;&gt;"",TEXT(AUX!EQ$1,"dd-MMM-aa"),"")</f>
      </c>
      <c r="EM120" s="496" t="str">
        <f> IF(EM140&lt;&gt;"",TEXT(AUX!ER$1,"dd-MMM-aa"),"")</f>
      </c>
      <c r="EN120" s="496" t="str">
        <f> IF(EN140&lt;&gt;"",TEXT(AUX!ES$1,"dd-MMM-aa"),"")</f>
      </c>
      <c r="EO120" s="496" t="str">
        <f> IF(EO140&lt;&gt;"",TEXT(AUX!ET$1,"dd-MMM-aa"),"")</f>
      </c>
      <c r="EP120" s="496" t="str">
        <f> IF(EP140&lt;&gt;"",TEXT(AUX!EU$1,"dd-MMM-aa"),"")</f>
      </c>
      <c r="EQ120" s="496" t="str">
        <f> IF(EQ140&lt;&gt;"",TEXT(AUX!EV$1,"dd-MMM-aa"),"")</f>
      </c>
      <c r="ER120" s="496" t="str">
        <f> IF(ER140&lt;&gt;"",TEXT(AUX!EW$1,"dd-MMM-aa"),"")</f>
      </c>
      <c r="ES120" s="496" t="str">
        <f> IF(ES140&lt;&gt;"",TEXT(AUX!EX$1,"dd-MMM-aa"),"")</f>
      </c>
      <c r="ET120" s="496" t="str">
        <f> IF(ET140&lt;&gt;"",TEXT(AUX!EY$1,"dd-MMM-aa"),"")</f>
      </c>
      <c r="EU120" s="496" t="str">
        <f> IF(EU140&lt;&gt;"",TEXT(AUX!EZ$1,"dd-MMM-aa"),"")</f>
      </c>
      <c r="EV120" s="496" t="str">
        <f> IF(EV140&lt;&gt;"",TEXT(AUX!FA$1,"dd-MMM-aa"),"")</f>
      </c>
      <c r="EW120" s="496" t="str">
        <f> IF(EW140&lt;&gt;"",TEXT(AUX!FB$1,"dd-MMM-aa"),"")</f>
      </c>
      <c r="EX120" s="496" t="str">
        <f> IF(EX140&lt;&gt;"",TEXT(AUX!FC$1,"dd-MMM-aa"),"")</f>
      </c>
      <c r="EY120" s="496" t="str">
        <f> IF(EY140&lt;&gt;"",TEXT(AUX!FD$1,"dd-MMM-aa"),"")</f>
      </c>
      <c r="EZ120" s="496" t="str">
        <f> IF(EZ140&lt;&gt;"",TEXT(AUX!FE$1,"dd-MMM-aa"),"")</f>
      </c>
      <c r="FA120" s="496" t="str">
        <f> IF(FA140&lt;&gt;"",TEXT(AUX!FF$1,"dd-MMM-aa"),"")</f>
      </c>
      <c r="FB120" s="496" t="str">
        <f> IF(FB140&lt;&gt;"",TEXT(AUX!FG$1,"dd-MMM-aa"),"")</f>
      </c>
      <c r="FC120" s="496" t="str">
        <f> IF(FC140&lt;&gt;"",TEXT(AUX!FH$1,"dd-MMM-aa"),"")</f>
      </c>
      <c r="FD120" s="496" t="str">
        <f> IF(FD140&lt;&gt;"",TEXT(AUX!FI$1,"dd-MMM-aa"),"")</f>
      </c>
      <c r="FE120" s="496" t="str">
        <f> IF(FE140&lt;&gt;"",TEXT(AUX!FJ$1,"dd-MMM-aa"),"")</f>
      </c>
      <c r="FF120" s="496" t="str">
        <f> IF(FF140&lt;&gt;"",TEXT(AUX!FK$1,"dd-MMM-aa"),"")</f>
      </c>
      <c r="FG120" s="496" t="str">
        <f> IF(FG140&lt;&gt;"",TEXT(AUX!FL$1,"dd-MMM-aa"),"")</f>
      </c>
      <c r="FH120" s="496" t="str">
        <f> IF(FH140&lt;&gt;"",TEXT(AUX!FM$1,"dd-MMM-aa"),"")</f>
      </c>
      <c r="FI120" s="496" t="str">
        <f> IF(FI140&lt;&gt;"",TEXT(AUX!FN$1,"dd-MMM-aa"),"")</f>
      </c>
      <c r="FJ120" s="496" t="str">
        <f> IF(FJ140&lt;&gt;"",TEXT(AUX!FO$1,"dd-MMM-aa"),"")</f>
      </c>
      <c r="FK120" s="496" t="str">
        <f> IF(FK140&lt;&gt;"",TEXT(AUX!FP$1,"dd-MMM-aa"),"")</f>
      </c>
      <c r="FL120" s="496" t="str">
        <f> IF(FL140&lt;&gt;"",TEXT(AUX!FQ$1,"dd-MMM-aa"),"")</f>
      </c>
      <c r="FM120" s="496" t="str">
        <f> IF(FM140&lt;&gt;"",TEXT(AUX!FR$1,"dd-MMM-aa"),"")</f>
      </c>
      <c r="FN120" s="496" t="str">
        <f> IF(FN140&lt;&gt;"",TEXT(AUX!FS$1,"dd-MMM-aa"),"")</f>
      </c>
      <c r="FO120" s="496" t="str">
        <f> IF(FO140&lt;&gt;"",TEXT(AUX!FT$1,"dd-MMM-aa"),"")</f>
      </c>
      <c r="FP120" s="496" t="str">
        <f> IF(FP140&lt;&gt;"",TEXT(AUX!FU$1,"dd-MMM-aa"),"")</f>
      </c>
      <c r="FQ120" s="496" t="str">
        <f> IF(FQ140&lt;&gt;"",TEXT(AUX!FV$1,"dd-MMM-aa"),"")</f>
      </c>
      <c r="FR120" s="496" t="str">
        <f> IF(FR140&lt;&gt;"",TEXT(AUX!FW$1,"dd-MMM-aa"),"")</f>
      </c>
      <c r="FS120" s="496" t="str">
        <f> IF(FS140&lt;&gt;"",TEXT(AUX!FX$1,"dd-MMM-aa"),"")</f>
      </c>
      <c r="FT120" s="496" t="str">
        <f> IF(FT140&lt;&gt;"",TEXT(AUX!FY$1,"dd-MMM-aa"),"")</f>
      </c>
      <c r="FU120" s="496" t="str">
        <f> IF(FU140&lt;&gt;"",TEXT(AUX!FZ$1,"dd-MMM-aa"),"")</f>
      </c>
      <c r="FV120" s="496" t="str">
        <f> IF(FV140&lt;&gt;"",TEXT(AUX!GA$1,"dd-MMM-aa"),"")</f>
      </c>
      <c r="FW120" s="496" t="str">
        <f> IF(FW140&lt;&gt;"",TEXT(AUX!GB$1,"dd-MMM-aa"),"")</f>
      </c>
      <c r="FX120" s="496" t="str">
        <f> IF(FX140&lt;&gt;"",TEXT(AUX!GC$1,"dd-MMM-aa"),"")</f>
      </c>
      <c r="FY120" s="496" t="str">
        <f> IF(FY140&lt;&gt;"",TEXT(AUX!GD$1,"dd-MMM-aa"),"")</f>
      </c>
      <c r="FZ120" s="496" t="str">
        <f> IF(FZ140&lt;&gt;"",TEXT(AUX!GE$1,"dd-MMM-aa"),"")</f>
      </c>
      <c r="GA120" s="496" t="str">
        <f> IF(GA140&lt;&gt;"",TEXT(AUX!GF$1,"dd-MMM-aa"),"")</f>
      </c>
      <c r="GB120" s="496" t="str">
        <f> IF(GB140&lt;&gt;"",TEXT(AUX!GG$1,"dd-MMM-aa"),"")</f>
      </c>
      <c r="GC120" s="496" t="str">
        <f> IF(GC140&lt;&gt;"",TEXT(AUX!GH$1,"dd-MMM-aa"),"")</f>
      </c>
      <c r="GD120" s="496" t="str">
        <f> IF(GD140&lt;&gt;"",TEXT(AUX!GI$1,"dd-MMM-aa"),"")</f>
      </c>
      <c r="GE120" s="496" t="str">
        <f> IF(GE140&lt;&gt;"",TEXT(AUX!GJ$1,"dd-MMM-aa"),"")</f>
      </c>
      <c r="GF120" s="496" t="str">
        <f> IF(GF140&lt;&gt;"",TEXT(AUX!GK$1,"dd-MMM-aa"),"")</f>
      </c>
      <c r="GG120" s="496" t="str">
        <f> IF(GG140&lt;&gt;"",TEXT(AUX!GL$1,"dd-MMM-aa"),"")</f>
      </c>
      <c r="GH120" s="496" t="str">
        <f> IF(GH140&lt;&gt;"",TEXT(AUX!GM$1,"dd-MMM-aa"),"")</f>
      </c>
      <c r="GI120" s="496" t="str">
        <f> IF(GI140&lt;&gt;"",TEXT(AUX!GN$1,"dd-MMM-aa"),"")</f>
      </c>
      <c r="GJ120" s="496" t="str">
        <f> IF(GJ140&lt;&gt;"",TEXT(AUX!GO$1,"dd-MMM-aa"),"")</f>
      </c>
      <c r="GK120" s="496" t="str">
        <f> IF(GK140&lt;&gt;"",TEXT(AUX!GP$1,"dd-MMM-aa"),"")</f>
      </c>
      <c r="GL120" s="496" t="str">
        <f> IF(GL140&lt;&gt;"",TEXT(AUX!GQ$1,"dd-MMM-aa"),"")</f>
      </c>
      <c r="GM120" s="496" t="str">
        <f> IF(GM140&lt;&gt;"",TEXT(AUX!GR$1,"dd-MMM-aa"),"")</f>
      </c>
      <c r="GN120" s="496" t="str">
        <f> IF(GN140&lt;&gt;"",TEXT(AUX!GS$1,"dd-MMM-aa"),"")</f>
      </c>
      <c r="GO120" s="496" t="str">
        <f> IF(GO140&lt;&gt;"",TEXT(AUX!GT$1,"dd-MMM-aa"),"")</f>
      </c>
      <c r="GP120" s="496" t="str">
        <f> IF(GP140&lt;&gt;"",TEXT(AUX!GU$1,"dd-MMM-aa"),"")</f>
      </c>
      <c r="GQ120" s="496" t="str">
        <f> IF(GQ140&lt;&gt;"",TEXT(AUX!GV$1,"dd-MMM-aa"),"")</f>
      </c>
      <c r="GR120" s="496" t="str">
        <f> IF(GR140&lt;&gt;"",TEXT(AUX!GW$1,"dd-MMM-aa"),"")</f>
      </c>
      <c r="GS120" s="496" t="str">
        <f> IF(GS140&lt;&gt;"",TEXT(AUX!GX$1,"dd-MMM-aa"),"")</f>
      </c>
      <c r="GT120" s="496" t="str">
        <f> IF(GT140&lt;&gt;"",TEXT(AUX!GY$1,"dd-MMM-aa"),"")</f>
      </c>
      <c r="GU120" s="496" t="str">
        <f> IF(GU140&lt;&gt;"",TEXT(AUX!GZ$1,"dd-MMM-aa"),"")</f>
      </c>
      <c r="GV120" s="496" t="str">
        <f> IF(GV140&lt;&gt;"",TEXT(AUX!HA$1,"dd-MMM-aa"),"")</f>
      </c>
      <c r="GW120" s="496" t="str">
        <f> IF(GW140&lt;&gt;"",TEXT(AUX!HB$1,"dd-MMM-aa"),"")</f>
      </c>
      <c r="GX120" s="496" t="str">
        <f> IF(GX140&lt;&gt;"",TEXT(AUX!HC$1,"dd-MMM-aa"),"")</f>
      </c>
      <c r="GY120" s="496" t="str">
        <f> IF(GY140&lt;&gt;"",TEXT(AUX!HD$1,"dd-MMM-aa"),"")</f>
      </c>
      <c r="GZ120" s="496" t="str">
        <f> IF(GZ140&lt;&gt;"",TEXT(AUX!HE$1,"dd-MMM-aa"),"")</f>
      </c>
      <c r="HA120" s="496" t="str">
        <f> IF(HA140&lt;&gt;"",TEXT(AUX!HF$1,"dd-MMM-aa"),"")</f>
      </c>
      <c r="HB120" s="496" t="str">
        <f> IF(HB140&lt;&gt;"",TEXT(AUX!HG$1,"dd-MMM-aa"),"")</f>
      </c>
      <c r="HC120" s="496" t="str">
        <f> IF(HC140&lt;&gt;"",TEXT(AUX!HH$1,"dd-MMM-aa"),"")</f>
      </c>
      <c r="HD120" s="496" t="str">
        <f> IF(HD140&lt;&gt;"",TEXT(AUX!HI$1,"dd-MMM-aa"),"")</f>
      </c>
      <c r="HE120" s="496" t="str">
        <f> IF(HE140&lt;&gt;"",TEXT(AUX!HJ$1,"dd-MMM-aa"),"")</f>
      </c>
      <c r="HF120" s="496" t="str">
        <f> IF(HF140&lt;&gt;"",TEXT(AUX!HK$1,"dd-MMM-aa"),"")</f>
      </c>
      <c r="HG120" s="496" t="str">
        <f> IF(HG140&lt;&gt;"",TEXT(AUX!HL$1,"dd-MMM-aa"),"")</f>
      </c>
      <c r="HH120" s="496" t="str">
        <f> IF(HH140&lt;&gt;"",TEXT(AUX!HM$1,"dd-MMM-aa"),"")</f>
      </c>
      <c r="HI120" s="496" t="str">
        <f> IF(HI140&lt;&gt;"",TEXT(AUX!HN$1,"dd-MMM-aa"),"")</f>
      </c>
      <c r="HJ120" s="496" t="str">
        <f> IF(HJ140&lt;&gt;"",TEXT(AUX!HO$1,"dd-MMM-aa"),"")</f>
      </c>
      <c r="HK120" s="496" t="str">
        <f> IF(HK140&lt;&gt;"",TEXT(AUX!HP$1,"dd-MMM-aa"),"")</f>
      </c>
      <c r="HL120" s="496" t="str">
        <f> IF(HL140&lt;&gt;"",TEXT(AUX!HQ$1,"dd-MMM-aa"),"")</f>
      </c>
      <c r="HM120" s="496" t="str">
        <f> IF(HM140&lt;&gt;"",TEXT(AUX!HR$1,"dd-MMM-aa"),"")</f>
      </c>
      <c r="HN120" s="496" t="str">
        <f> IF(HN140&lt;&gt;"",TEXT(AUX!HS$1,"dd-MMM-aa"),"")</f>
      </c>
      <c r="HO120" s="496" t="str">
        <f> IF(HO140&lt;&gt;"",TEXT(AUX!HT$1,"dd-MMM-aa"),"")</f>
      </c>
      <c r="HP120" s="496" t="str">
        <f> IF(HP140&lt;&gt;"",TEXT(AUX!HU$1,"dd-MMM-aa"),"")</f>
      </c>
      <c r="HQ120" s="496" t="str">
        <f> IF(HQ140&lt;&gt;"",TEXT(AUX!HV$1,"dd-MMM-aa"),"")</f>
      </c>
      <c r="HR120" s="496" t="str">
        <f> IF(HR140&lt;&gt;"",TEXT(AUX!HW$1,"dd-MMM-aa"),"")</f>
      </c>
      <c r="HS120" s="496" t="str">
        <f> IF(HS140&lt;&gt;"",TEXT(AUX!HX$1,"dd-MMM-aa"),"")</f>
      </c>
      <c r="HT120" s="496" t="str">
        <f> IF(HT140&lt;&gt;"",TEXT(AUX!HY$1,"dd-MMM-aa"),"")</f>
      </c>
      <c r="HU120" s="496" t="str">
        <f> IF(HU140&lt;&gt;"",TEXT(AUX!HZ$1,"dd-MMM-aa"),"")</f>
      </c>
      <c r="HV120" s="496" t="str">
        <f> IF(HV140&lt;&gt;"",TEXT(AUX!IA$1,"dd-MMM-aa"),"")</f>
      </c>
      <c r="HW120" s="496" t="str">
        <f> IF(HW140&lt;&gt;"",TEXT(AUX!IB$1,"dd-MMM-aa"),"")</f>
      </c>
      <c r="HX120" s="496" t="str">
        <f> IF(HX140&lt;&gt;"",TEXT(AUX!IC$1,"dd-MMM-aa"),"")</f>
      </c>
      <c r="HY120" s="496" t="str">
        <f> IF(HY140&lt;&gt;"",TEXT(AUX!ID$1,"dd-MMM-aa"),"")</f>
      </c>
      <c r="HZ120" s="496" t="str">
        <f> IF(HZ140&lt;&gt;"",TEXT(AUX!IE$1,"dd-MMM-aa"),"")</f>
      </c>
      <c r="IA120" s="496" t="str">
        <f> IF(IA140&lt;&gt;"",TEXT(AUX!IF$1,"dd-MMM-aa"),"")</f>
      </c>
      <c r="IB120" s="496" t="str">
        <f> IF(IB140&lt;&gt;"",TEXT(AUX!IG$1,"dd-MMM-aa"),"")</f>
      </c>
      <c r="IC120" s="496" t="str">
        <f> IF(IC140&lt;&gt;"",TEXT(AUX!IH$1,"dd-MMM-aa"),"")</f>
      </c>
      <c r="ID120" s="496" t="str">
        <f> IF(ID140&lt;&gt;"",TEXT(AUX!II$1,"dd-MMM-aa"),"")</f>
      </c>
      <c r="IE120" s="496" t="str">
        <f> IF(IE140&lt;&gt;"",TEXT(AUX!IJ$1,"dd-MMM-aa"),"")</f>
      </c>
      <c r="IF120" s="496" t="str">
        <f> IF(IF140&lt;&gt;"",TEXT(AUX!IK$1,"dd-MMM-aa"),"")</f>
      </c>
      <c r="IG120" s="496" t="str">
        <f> IF(IG140&lt;&gt;"",TEXT(AUX!IL$1,"dd-MMM-aa"),"")</f>
      </c>
      <c r="IH120" s="496" t="str">
        <f> IF(IH140&lt;&gt;"",TEXT(AUX!IM$1,"dd-MMM-aa"),"")</f>
      </c>
      <c r="II120" s="496" t="str">
        <f> IF(II140&lt;&gt;"",TEXT(AUX!IN$1,"dd-MMM-aa"),"")</f>
      </c>
      <c r="IJ120" s="496" t="str">
        <f> IF(IJ140&lt;&gt;"",TEXT(AUX!IO$1,"dd-MMM-aa"),"")</f>
      </c>
      <c r="IK120" s="496" t="str">
        <f> IF(IK140&lt;&gt;"",TEXT(AUX!IP$1,"dd-MMM-aa"),"")</f>
      </c>
      <c r="IL120" s="496" t="str">
        <f> IF(IL140&lt;&gt;"",TEXT(AUX!IQ$1,"dd-MMM-aa"),"")</f>
      </c>
      <c r="IM120" s="496" t="str">
        <f> IF(IM140&lt;&gt;"",TEXT(AUX!IR$1,"dd-MMM-aa"),"")</f>
      </c>
      <c r="IN120" s="496" t="str">
        <f> IF(IN140&lt;&gt;"",TEXT(AUX!IS$1,"dd-MMM-aa"),"")</f>
      </c>
      <c r="IO120" s="496" t="str">
        <f> IF(IO140&lt;&gt;"",TEXT(AUX!IT$1,"dd-MMM-aa"),"")</f>
      </c>
      <c r="IP120" s="496" t="str">
        <f> IF(IP140&lt;&gt;"",TEXT(AUX!IU$1,"dd-MMM-aa"),"")</f>
      </c>
      <c r="IQ120" s="496" t="str">
        <f> IF(IQ140&lt;&gt;"",TEXT(AUX!IV$1,"dd-MMM-aa"),"")</f>
      </c>
      <c r="IR120" s="496" t="str">
        <f> IF(IR140&lt;&gt;"",TEXT(AUX!#REF!,"dd-MMM-aa"),"")</f>
      </c>
      <c r="IS120" s="496" t="str">
        <f> IF(IS140&lt;&gt;"",TEXT(AUX!#REF!,"dd-MMM-aa"),"")</f>
      </c>
      <c r="IT120" s="496" t="str">
        <f> IF(IT140&lt;&gt;"",TEXT(AUX!#REF!,"dd-MMM-aa"),"")</f>
      </c>
      <c r="IU120" s="496" t="str">
        <f> IF(IU140&lt;&gt;"",TEXT(AUX!#REF!,"dd-MMM-aa"),"")</f>
      </c>
      <c r="IV120" s="496"/>
    </row>
    <row r="121" hidden="1">
      <c r="A121" s="833" t="s">
        <v>8</v>
      </c>
      <c r="B121" s="827">
        <v>1488</v>
      </c>
      <c r="C121" s="827">
        <v>1969</v>
      </c>
      <c r="D121" s="827">
        <v>2850</v>
      </c>
      <c r="E121" s="827">
        <v>3139</v>
      </c>
      <c r="F121" s="827">
        <v>3397</v>
      </c>
      <c r="G121" s="827">
        <v>3739</v>
      </c>
      <c r="H121" s="827">
        <v>3950</v>
      </c>
      <c r="I121" s="827">
        <v>4119</v>
      </c>
      <c r="J121" s="827">
        <v>4373</v>
      </c>
      <c r="K121" s="827">
        <v>4890</v>
      </c>
      <c r="L121" s="827">
        <v>6409</v>
      </c>
      <c r="M121" s="827">
        <v>7574</v>
      </c>
      <c r="N121" s="827">
        <v>8474</v>
      </c>
      <c r="O121" s="827">
        <v>8919</v>
      </c>
      <c r="P121" s="827">
        <v>9426</v>
      </c>
      <c r="Q121" s="827">
        <v>9996</v>
      </c>
      <c r="R121" s="827">
        <v>10755</v>
      </c>
      <c r="S121" s="827">
        <v>11246</v>
      </c>
      <c r="T121" s="827">
        <v>13075</v>
      </c>
      <c r="U121" s="827">
        <v>13919</v>
      </c>
      <c r="V121" s="827">
        <v>15008</v>
      </c>
      <c r="W121" s="827">
        <v>77651</v>
      </c>
      <c r="X121" s="827">
        <v>67712</v>
      </c>
      <c r="Y121" s="827">
        <v>68270</v>
      </c>
      <c r="Z121" s="827">
        <v>68936</v>
      </c>
      <c r="AA121" s="834">
        <v>69433</v>
      </c>
      <c r="AB121" s="828">
        <v>70154</v>
      </c>
      <c r="AC121" s="828">
        <v>70726</v>
      </c>
      <c r="AD121" s="828">
        <v>71093</v>
      </c>
      <c r="AE121" s="828">
        <v>71810</v>
      </c>
      <c r="AF121" s="828">
        <v>72484</v>
      </c>
      <c r="AG121" s="828">
        <v>73086</v>
      </c>
      <c r="AH121" s="828">
        <v>73834</v>
      </c>
      <c r="AI121" s="828">
        <v>74408</v>
      </c>
      <c r="AJ121" s="828">
        <v>75169</v>
      </c>
      <c r="AK121" s="828">
        <v>75995</v>
      </c>
      <c r="AL121" s="828">
        <v>76979</v>
      </c>
      <c r="AM121" s="828">
        <v>77729</v>
      </c>
      <c r="AN121" s="828">
        <v>80908</v>
      </c>
      <c r="AO121" s="828">
        <v>83044</v>
      </c>
    </row>
    <row r="122" hidden="1">
      <c r="A122" s="829" t="s">
        <v>9</v>
      </c>
      <c r="B122" s="823">
        <v>2723</v>
      </c>
      <c r="C122" s="823">
        <v>2791</v>
      </c>
      <c r="D122" s="823">
        <v>2869</v>
      </c>
      <c r="E122" s="823">
        <v>2926</v>
      </c>
      <c r="F122" s="823">
        <v>2970</v>
      </c>
      <c r="G122" s="823">
        <v>2982</v>
      </c>
      <c r="H122" s="823">
        <v>3019</v>
      </c>
      <c r="I122" s="823">
        <v>3062</v>
      </c>
      <c r="J122" s="823">
        <v>3165</v>
      </c>
      <c r="K122" s="823">
        <v>3242</v>
      </c>
      <c r="L122" s="823">
        <v>3300</v>
      </c>
      <c r="M122" s="823">
        <v>3350</v>
      </c>
      <c r="N122" s="823">
        <v>3758</v>
      </c>
      <c r="O122" s="823">
        <v>3932</v>
      </c>
      <c r="P122" s="823">
        <v>4210</v>
      </c>
      <c r="Q122" s="823">
        <v>4465</v>
      </c>
      <c r="R122" s="823">
        <v>4660</v>
      </c>
      <c r="S122" s="823">
        <v>4824</v>
      </c>
      <c r="T122" s="823">
        <v>4977</v>
      </c>
      <c r="U122" s="823">
        <v>5123</v>
      </c>
      <c r="V122" s="823">
        <v>5281</v>
      </c>
      <c r="W122" s="823">
        <v>5427</v>
      </c>
      <c r="X122" s="823">
        <v>5625</v>
      </c>
      <c r="Y122" s="823">
        <v>5758</v>
      </c>
      <c r="Z122" s="823">
        <v>6356</v>
      </c>
      <c r="AA122" s="823">
        <v>6491</v>
      </c>
      <c r="AB122" s="825">
        <v>6642</v>
      </c>
      <c r="AC122" s="825">
        <v>6798</v>
      </c>
      <c r="AD122" s="825">
        <v>6876</v>
      </c>
      <c r="AE122" s="825">
        <v>7007</v>
      </c>
      <c r="AF122" s="825">
        <v>7146</v>
      </c>
      <c r="AG122" s="825">
        <v>7274</v>
      </c>
      <c r="AH122" s="825">
        <v>7325</v>
      </c>
      <c r="AI122" s="825">
        <v>7442</v>
      </c>
      <c r="AJ122" s="825">
        <v>7616</v>
      </c>
      <c r="AK122" s="825">
        <v>7802</v>
      </c>
      <c r="AL122" s="825">
        <v>7924</v>
      </c>
      <c r="AM122" s="825">
        <v>8014</v>
      </c>
      <c r="AN122" s="825">
        <v>8104</v>
      </c>
      <c r="AO122" s="825">
        <v>8188</v>
      </c>
    </row>
    <row r="123" hidden="1">
      <c r="A123" s="826" t="s">
        <v>10</v>
      </c>
      <c r="B123" s="827">
        <v>292</v>
      </c>
      <c r="C123" s="827">
        <v>298</v>
      </c>
      <c r="D123" s="827">
        <v>304</v>
      </c>
      <c r="E123" s="827">
        <v>327</v>
      </c>
      <c r="F123" s="827">
        <v>368</v>
      </c>
      <c r="G123" s="827">
        <v>395</v>
      </c>
      <c r="H123" s="827">
        <v>403</v>
      </c>
      <c r="I123" s="827">
        <v>421</v>
      </c>
      <c r="J123" s="827">
        <v>434</v>
      </c>
      <c r="K123" s="827">
        <v>569</v>
      </c>
      <c r="L123" s="827">
        <v>650</v>
      </c>
      <c r="M123" s="827">
        <v>960</v>
      </c>
      <c r="N123" s="827">
        <v>1063</v>
      </c>
      <c r="O123" s="827">
        <v>1204</v>
      </c>
      <c r="P123" s="827">
        <v>1287</v>
      </c>
      <c r="Q123" s="827">
        <v>1388</v>
      </c>
      <c r="R123" s="827">
        <v>1461</v>
      </c>
      <c r="S123" s="827">
        <v>1508</v>
      </c>
      <c r="T123" s="827">
        <v>1551</v>
      </c>
      <c r="U123" s="827">
        <v>1589</v>
      </c>
      <c r="V123" s="827">
        <v>1657</v>
      </c>
      <c r="W123" s="827">
        <v>1700</v>
      </c>
      <c r="X123" s="827">
        <v>1753</v>
      </c>
      <c r="Y123" s="827">
        <v>1794</v>
      </c>
      <c r="Z123" s="827">
        <v>1832</v>
      </c>
      <c r="AA123" s="827">
        <v>1862</v>
      </c>
      <c r="AB123" s="828">
        <v>1893</v>
      </c>
      <c r="AC123" s="828">
        <v>1914</v>
      </c>
      <c r="AD123" s="828">
        <v>1960</v>
      </c>
      <c r="AE123" s="828">
        <v>2005</v>
      </c>
      <c r="AF123" s="828">
        <v>2076</v>
      </c>
      <c r="AG123" s="828">
        <v>2123</v>
      </c>
      <c r="AH123" s="828">
        <v>2149</v>
      </c>
      <c r="AI123" s="828">
        <v>2175</v>
      </c>
      <c r="AJ123" s="828">
        <v>2535</v>
      </c>
      <c r="AK123" s="828">
        <v>2561</v>
      </c>
      <c r="AL123" s="828">
        <v>2600</v>
      </c>
      <c r="AM123" s="828">
        <v>2628</v>
      </c>
      <c r="AN123" s="828">
        <v>2653</v>
      </c>
      <c r="AO123" s="828">
        <v>2681</v>
      </c>
    </row>
    <row r="124" hidden="1">
      <c r="A124" s="829" t="s">
        <v>11</v>
      </c>
      <c r="B124" s="823">
        <v>550</v>
      </c>
      <c r="C124" s="823">
        <v>619</v>
      </c>
      <c r="D124" s="823">
        <v>679</v>
      </c>
      <c r="E124" s="823">
        <v>713</v>
      </c>
      <c r="F124" s="823">
        <v>794</v>
      </c>
      <c r="G124" s="823">
        <v>836</v>
      </c>
      <c r="H124" s="823">
        <v>896</v>
      </c>
      <c r="I124" s="823">
        <v>978</v>
      </c>
      <c r="J124" s="823">
        <v>1069</v>
      </c>
      <c r="K124" s="823">
        <v>1090</v>
      </c>
      <c r="L124" s="823">
        <v>1225</v>
      </c>
      <c r="M124" s="823">
        <v>1297</v>
      </c>
      <c r="N124" s="823">
        <v>1347</v>
      </c>
      <c r="O124" s="823">
        <v>1632</v>
      </c>
      <c r="P124" s="823">
        <v>1702</v>
      </c>
      <c r="Q124" s="823">
        <v>1764</v>
      </c>
      <c r="R124" s="823">
        <v>1817</v>
      </c>
      <c r="S124" s="823">
        <v>1867</v>
      </c>
      <c r="T124" s="823">
        <v>1960</v>
      </c>
      <c r="U124" s="823">
        <v>2031</v>
      </c>
      <c r="V124" s="823">
        <v>2121</v>
      </c>
      <c r="W124" s="823">
        <v>2171</v>
      </c>
      <c r="X124" s="823">
        <v>2253</v>
      </c>
      <c r="Y124" s="823">
        <v>2314</v>
      </c>
      <c r="Z124" s="823">
        <v>2375</v>
      </c>
      <c r="AA124" s="823">
        <v>2419</v>
      </c>
      <c r="AB124" s="825">
        <v>2523</v>
      </c>
      <c r="AC124" s="825">
        <v>2593</v>
      </c>
      <c r="AD124" s="825">
        <v>2655</v>
      </c>
      <c r="AE124" s="825">
        <v>2745</v>
      </c>
      <c r="AF124" s="825">
        <v>2832</v>
      </c>
      <c r="AG124" s="825">
        <v>2933</v>
      </c>
      <c r="AH124" s="825">
        <v>3004</v>
      </c>
      <c r="AI124" s="825">
        <v>3081</v>
      </c>
      <c r="AJ124" s="825">
        <v>3172</v>
      </c>
      <c r="AK124" s="825">
        <v>3275</v>
      </c>
      <c r="AL124" s="825">
        <v>3364</v>
      </c>
      <c r="AM124" s="825">
        <v>3426</v>
      </c>
      <c r="AN124" s="825">
        <v>3662</v>
      </c>
      <c r="AO124" s="825">
        <v>3795</v>
      </c>
    </row>
    <row r="125" hidden="1">
      <c r="A125" s="826" t="s">
        <v>12</v>
      </c>
      <c r="B125" s="827">
        <v>1144</v>
      </c>
      <c r="C125" s="827">
        <v>1346</v>
      </c>
      <c r="D125" s="827">
        <v>1529</v>
      </c>
      <c r="E125" s="827">
        <v>1670</v>
      </c>
      <c r="F125" s="827">
        <v>1827</v>
      </c>
      <c r="G125" s="827">
        <v>1969</v>
      </c>
      <c r="H125" s="827">
        <v>2125</v>
      </c>
      <c r="I125" s="827">
        <v>2178</v>
      </c>
      <c r="J125" s="827">
        <v>2229</v>
      </c>
      <c r="K125" s="827">
        <v>2276</v>
      </c>
      <c r="L125" s="827">
        <v>2328</v>
      </c>
      <c r="M125" s="827">
        <v>2368</v>
      </c>
      <c r="N125" s="827">
        <v>2439</v>
      </c>
      <c r="O125" s="827">
        <v>2476</v>
      </c>
      <c r="P125" s="827">
        <v>2519</v>
      </c>
      <c r="Q125" s="827">
        <v>2583</v>
      </c>
      <c r="R125" s="827">
        <v>2631</v>
      </c>
      <c r="S125" s="827">
        <v>2678</v>
      </c>
      <c r="T125" s="827">
        <v>2715</v>
      </c>
      <c r="U125" s="827">
        <v>2862</v>
      </c>
      <c r="V125" s="827">
        <v>2951</v>
      </c>
      <c r="W125" s="827">
        <v>3023</v>
      </c>
      <c r="X125" s="827">
        <v>3156</v>
      </c>
      <c r="Y125" s="827">
        <v>3229</v>
      </c>
      <c r="Z125" s="827">
        <v>3299</v>
      </c>
      <c r="AA125" s="827">
        <v>3380</v>
      </c>
      <c r="AB125" s="828">
        <v>3406</v>
      </c>
      <c r="AC125" s="828">
        <v>3435</v>
      </c>
      <c r="AD125" s="828">
        <v>3484</v>
      </c>
      <c r="AE125" s="828">
        <v>3545</v>
      </c>
      <c r="AF125" s="828">
        <v>3635</v>
      </c>
      <c r="AG125" s="828">
        <v>3707</v>
      </c>
      <c r="AH125" s="828">
        <v>3760</v>
      </c>
      <c r="AI125" s="828">
        <v>3824</v>
      </c>
      <c r="AJ125" s="828">
        <v>3870</v>
      </c>
      <c r="AK125" s="828">
        <v>3965</v>
      </c>
      <c r="AL125" s="828">
        <v>4136</v>
      </c>
      <c r="AM125" s="828">
        <v>4329</v>
      </c>
      <c r="AN125" s="828">
        <v>4404</v>
      </c>
      <c r="AO125" s="828">
        <v>4477</v>
      </c>
    </row>
    <row r="126" hidden="1">
      <c r="A126" s="829" t="s">
        <v>13</v>
      </c>
      <c r="B126" s="823">
        <v>1541</v>
      </c>
      <c r="C126" s="823">
        <v>1629</v>
      </c>
      <c r="D126" s="823">
        <v>1706</v>
      </c>
      <c r="E126" s="823">
        <v>1804</v>
      </c>
      <c r="F126" s="823">
        <v>1905</v>
      </c>
      <c r="G126" s="823">
        <v>1968</v>
      </c>
      <c r="H126" s="823">
        <v>2020</v>
      </c>
      <c r="I126" s="823">
        <v>2068</v>
      </c>
      <c r="J126" s="823">
        <v>2129</v>
      </c>
      <c r="K126" s="823">
        <v>2174</v>
      </c>
      <c r="L126" s="823">
        <v>2225</v>
      </c>
      <c r="M126" s="823">
        <v>2272</v>
      </c>
      <c r="N126" s="823">
        <v>2808</v>
      </c>
      <c r="O126" s="823">
        <v>2846</v>
      </c>
      <c r="P126" s="823">
        <v>2908</v>
      </c>
      <c r="Q126" s="823">
        <v>2948</v>
      </c>
      <c r="R126" s="823">
        <v>3014</v>
      </c>
      <c r="S126" s="823">
        <v>3050</v>
      </c>
      <c r="T126" s="823">
        <v>3111</v>
      </c>
      <c r="U126" s="823">
        <v>3182</v>
      </c>
      <c r="V126" s="823">
        <v>3258</v>
      </c>
      <c r="W126" s="823">
        <v>3300</v>
      </c>
      <c r="X126" s="823">
        <v>3377</v>
      </c>
      <c r="Y126" s="823">
        <v>3428</v>
      </c>
      <c r="Z126" s="823">
        <v>3486</v>
      </c>
      <c r="AA126" s="823">
        <v>3523</v>
      </c>
      <c r="AB126" s="825">
        <v>3585</v>
      </c>
      <c r="AC126" s="825">
        <v>3632</v>
      </c>
      <c r="AD126" s="825">
        <v>3685</v>
      </c>
      <c r="AE126" s="825">
        <v>3720</v>
      </c>
      <c r="AF126" s="825">
        <v>3777</v>
      </c>
      <c r="AG126" s="825">
        <v>3818</v>
      </c>
      <c r="AH126" s="825">
        <v>3871</v>
      </c>
      <c r="AI126" s="825">
        <v>3903</v>
      </c>
      <c r="AJ126" s="825">
        <v>3968</v>
      </c>
      <c r="AK126" s="825">
        <v>4058</v>
      </c>
      <c r="AL126" s="825">
        <v>4272</v>
      </c>
      <c r="AM126" s="825">
        <v>4379</v>
      </c>
      <c r="AN126" s="825">
        <v>4423</v>
      </c>
      <c r="AO126" s="825">
        <v>4466</v>
      </c>
    </row>
    <row r="127" hidden="1">
      <c r="A127" s="826" t="s">
        <v>109</v>
      </c>
      <c r="B127" s="827">
        <v>3420</v>
      </c>
      <c r="C127" s="827">
        <v>3786</v>
      </c>
      <c r="D127" s="827">
        <v>4005</v>
      </c>
      <c r="E127" s="827">
        <v>4218</v>
      </c>
      <c r="F127" s="827">
        <v>4467</v>
      </c>
      <c r="G127" s="827">
        <v>4645</v>
      </c>
      <c r="H127" s="827">
        <v>4849</v>
      </c>
      <c r="I127" s="827">
        <v>5072</v>
      </c>
      <c r="J127" s="827">
        <v>5330</v>
      </c>
      <c r="K127" s="827">
        <v>5603</v>
      </c>
      <c r="L127" s="827">
        <v>5856</v>
      </c>
      <c r="M127" s="827">
        <v>6107</v>
      </c>
      <c r="N127" s="827">
        <v>6381</v>
      </c>
      <c r="O127" s="827">
        <v>6606</v>
      </c>
      <c r="P127" s="827">
        <v>6880</v>
      </c>
      <c r="Q127" s="827">
        <v>7125</v>
      </c>
      <c r="R127" s="827">
        <v>7386</v>
      </c>
      <c r="S127" s="827">
        <v>7592</v>
      </c>
      <c r="T127" s="827">
        <v>7776</v>
      </c>
      <c r="U127" s="827">
        <v>8863</v>
      </c>
      <c r="V127" s="827">
        <v>9070</v>
      </c>
      <c r="W127" s="827">
        <v>9289</v>
      </c>
      <c r="X127" s="827">
        <v>9485</v>
      </c>
      <c r="Y127" s="827">
        <v>9679</v>
      </c>
      <c r="Z127" s="827">
        <v>9878</v>
      </c>
      <c r="AA127" s="827">
        <v>10045</v>
      </c>
      <c r="AB127" s="828">
        <v>10300</v>
      </c>
      <c r="AC127" s="828">
        <v>10638</v>
      </c>
      <c r="AD127" s="828">
        <v>10802</v>
      </c>
      <c r="AE127" s="828">
        <v>11056</v>
      </c>
      <c r="AF127" s="828">
        <v>11452</v>
      </c>
      <c r="AG127" s="828">
        <v>11715</v>
      </c>
      <c r="AH127" s="828">
        <v>12129</v>
      </c>
      <c r="AI127" s="828">
        <v>12901</v>
      </c>
      <c r="AJ127" s="828">
        <v>13137</v>
      </c>
      <c r="AK127" s="828">
        <v>13343</v>
      </c>
      <c r="AL127" s="828">
        <v>13876</v>
      </c>
      <c r="AM127" s="828">
        <v>14108</v>
      </c>
      <c r="AN127" s="828">
        <v>14558</v>
      </c>
      <c r="AO127" s="828">
        <v>14757</v>
      </c>
    </row>
    <row r="128" hidden="1">
      <c r="A128" s="829" t="s">
        <v>110</v>
      </c>
      <c r="B128" s="823">
        <v>10267</v>
      </c>
      <c r="C128" s="823">
        <v>10632</v>
      </c>
      <c r="D128" s="823">
        <v>11119</v>
      </c>
      <c r="E128" s="823">
        <v>11619</v>
      </c>
      <c r="F128" s="823">
        <v>12070</v>
      </c>
      <c r="G128" s="823">
        <v>12531</v>
      </c>
      <c r="H128" s="823">
        <v>12932</v>
      </c>
      <c r="I128" s="823">
        <v>13466</v>
      </c>
      <c r="J128" s="823">
        <v>14647</v>
      </c>
      <c r="K128" s="823">
        <v>15224</v>
      </c>
      <c r="L128" s="823">
        <v>15885</v>
      </c>
      <c r="M128" s="823">
        <v>16599</v>
      </c>
      <c r="N128" s="823">
        <v>17737</v>
      </c>
      <c r="O128" s="823">
        <v>18369</v>
      </c>
      <c r="P128" s="823">
        <v>18821</v>
      </c>
      <c r="Q128" s="823">
        <v>19276</v>
      </c>
      <c r="R128" s="823">
        <v>20578</v>
      </c>
      <c r="S128" s="823">
        <v>21287</v>
      </c>
      <c r="T128" s="823">
        <v>21841</v>
      </c>
      <c r="U128" s="823">
        <v>22348</v>
      </c>
      <c r="V128" s="823">
        <v>22633</v>
      </c>
      <c r="W128" s="823">
        <v>22893</v>
      </c>
      <c r="X128" s="823">
        <v>23420</v>
      </c>
      <c r="Y128" s="823">
        <v>23852</v>
      </c>
      <c r="Z128" s="823">
        <v>24196</v>
      </c>
      <c r="AA128" s="823">
        <v>24581</v>
      </c>
      <c r="AB128" s="825">
        <v>24732</v>
      </c>
      <c r="AC128" s="825">
        <v>25118</v>
      </c>
      <c r="AD128" s="825">
        <v>25351</v>
      </c>
      <c r="AE128" s="825">
        <v>25790</v>
      </c>
      <c r="AF128" s="825">
        <v>26296</v>
      </c>
      <c r="AG128" s="825">
        <v>26644</v>
      </c>
      <c r="AH128" s="825">
        <v>27128</v>
      </c>
      <c r="AI128" s="825">
        <v>27563</v>
      </c>
      <c r="AJ128" s="825">
        <v>27984</v>
      </c>
      <c r="AK128" s="825">
        <v>28321</v>
      </c>
      <c r="AL128" s="825">
        <v>28779</v>
      </c>
      <c r="AM128" s="825">
        <v>29131</v>
      </c>
      <c r="AN128" s="825">
        <v>29483</v>
      </c>
      <c r="AO128" s="825">
        <v>29796</v>
      </c>
    </row>
    <row r="129" hidden="1">
      <c r="A129" s="826" t="s">
        <v>16</v>
      </c>
      <c r="B129" s="827">
        <v>2091</v>
      </c>
      <c r="C129" s="827">
        <v>2169</v>
      </c>
      <c r="D129" s="827">
        <v>2287</v>
      </c>
      <c r="E129" s="827">
        <v>2335</v>
      </c>
      <c r="F129" s="827">
        <v>2422</v>
      </c>
      <c r="G129" s="827">
        <v>2496</v>
      </c>
      <c r="H129" s="827">
        <v>2530</v>
      </c>
      <c r="I129" s="827">
        <v>2590</v>
      </c>
      <c r="J129" s="827">
        <v>2649</v>
      </c>
      <c r="K129" s="827">
        <v>2670</v>
      </c>
      <c r="L129" s="827">
        <v>2734</v>
      </c>
      <c r="M129" s="827">
        <v>2775</v>
      </c>
      <c r="N129" s="827">
        <v>2833</v>
      </c>
      <c r="O129" s="827">
        <v>2921</v>
      </c>
      <c r="P129" s="827">
        <v>3352</v>
      </c>
      <c r="Q129" s="827">
        <v>3470</v>
      </c>
      <c r="R129" s="827">
        <v>3567</v>
      </c>
      <c r="S129" s="827">
        <v>3646</v>
      </c>
      <c r="T129" s="827">
        <v>3814</v>
      </c>
      <c r="U129" s="827">
        <v>3945</v>
      </c>
      <c r="V129" s="827">
        <v>4061</v>
      </c>
      <c r="W129" s="827">
        <v>4220</v>
      </c>
      <c r="X129" s="827">
        <v>6085</v>
      </c>
      <c r="Y129" s="827">
        <v>6268</v>
      </c>
      <c r="Z129" s="827">
        <v>6433</v>
      </c>
      <c r="AA129" s="827">
        <v>6577</v>
      </c>
      <c r="AB129" s="828">
        <v>6770</v>
      </c>
      <c r="AC129" s="828">
        <v>6942</v>
      </c>
      <c r="AD129" s="828">
        <v>6999</v>
      </c>
      <c r="AE129" s="828">
        <v>7186</v>
      </c>
      <c r="AF129" s="828">
        <v>7421</v>
      </c>
      <c r="AG129" s="828">
        <v>7658</v>
      </c>
      <c r="AH129" s="828">
        <v>7900</v>
      </c>
      <c r="AI129" s="828">
        <v>8130</v>
      </c>
      <c r="AJ129" s="828">
        <v>8661</v>
      </c>
      <c r="AK129" s="828">
        <v>8825</v>
      </c>
      <c r="AL129" s="828">
        <v>9007</v>
      </c>
      <c r="AM129" s="828">
        <v>9215</v>
      </c>
      <c r="AN129" s="828">
        <v>9443</v>
      </c>
      <c r="AO129" s="828">
        <v>9628</v>
      </c>
    </row>
    <row r="130" hidden="1">
      <c r="A130" s="829" t="s">
        <v>17</v>
      </c>
      <c r="B130" s="823">
        <v>2848</v>
      </c>
      <c r="C130" s="823">
        <v>3319</v>
      </c>
      <c r="D130" s="823">
        <v>3427</v>
      </c>
      <c r="E130" s="823">
        <v>3504</v>
      </c>
      <c r="F130" s="823">
        <v>3623</v>
      </c>
      <c r="G130" s="823">
        <v>3718</v>
      </c>
      <c r="H130" s="823">
        <v>3819</v>
      </c>
      <c r="I130" s="823">
        <v>3891</v>
      </c>
      <c r="J130" s="823">
        <v>4001</v>
      </c>
      <c r="K130" s="823">
        <v>4111</v>
      </c>
      <c r="L130" s="823">
        <v>4216</v>
      </c>
      <c r="M130" s="823">
        <v>4307</v>
      </c>
      <c r="N130" s="823">
        <v>4678</v>
      </c>
      <c r="O130" s="823">
        <v>4963</v>
      </c>
      <c r="P130" s="823">
        <v>5376</v>
      </c>
      <c r="Q130" s="823">
        <v>5702</v>
      </c>
      <c r="R130" s="823">
        <v>5982</v>
      </c>
      <c r="S130" s="823">
        <v>6249</v>
      </c>
      <c r="T130" s="823">
        <v>6581</v>
      </c>
      <c r="U130" s="823">
        <v>6790</v>
      </c>
      <c r="V130" s="823">
        <v>7101</v>
      </c>
      <c r="W130" s="823">
        <v>7306</v>
      </c>
      <c r="X130" s="823">
        <v>7732</v>
      </c>
      <c r="Y130" s="823">
        <v>7978</v>
      </c>
      <c r="Z130" s="823">
        <v>8180</v>
      </c>
      <c r="AA130" s="823">
        <v>8326</v>
      </c>
      <c r="AB130" s="825">
        <v>8556</v>
      </c>
      <c r="AC130" s="825">
        <v>8617</v>
      </c>
      <c r="AD130" s="825">
        <v>8726</v>
      </c>
      <c r="AE130" s="825">
        <v>8802</v>
      </c>
      <c r="AF130" s="825">
        <v>8924</v>
      </c>
      <c r="AG130" s="825">
        <v>9005</v>
      </c>
      <c r="AH130" s="825">
        <v>9100</v>
      </c>
      <c r="AI130" s="825">
        <v>9334</v>
      </c>
      <c r="AJ130" s="825">
        <v>9475</v>
      </c>
      <c r="AK130" s="825">
        <v>10245</v>
      </c>
      <c r="AL130" s="825">
        <v>10512</v>
      </c>
      <c r="AM130" s="825">
        <v>10750</v>
      </c>
      <c r="AN130" s="825">
        <v>10969</v>
      </c>
      <c r="AO130" s="825">
        <v>11165</v>
      </c>
    </row>
    <row r="131" hidden="1">
      <c r="A131" s="826" t="s">
        <v>18</v>
      </c>
      <c r="B131" s="827">
        <v>3849</v>
      </c>
      <c r="C131" s="827">
        <v>3951</v>
      </c>
      <c r="D131" s="827">
        <v>4073</v>
      </c>
      <c r="E131" s="827">
        <v>4143</v>
      </c>
      <c r="F131" s="827">
        <v>4181</v>
      </c>
      <c r="G131" s="827">
        <v>4228</v>
      </c>
      <c r="H131" s="827">
        <v>4293</v>
      </c>
      <c r="I131" s="827">
        <v>4391</v>
      </c>
      <c r="J131" s="827">
        <v>4670</v>
      </c>
      <c r="K131" s="827">
        <v>5077</v>
      </c>
      <c r="L131" s="827">
        <v>6355</v>
      </c>
      <c r="M131" s="827">
        <v>7215</v>
      </c>
      <c r="N131" s="827">
        <v>7898</v>
      </c>
      <c r="O131" s="827">
        <v>8449</v>
      </c>
      <c r="P131" s="827">
        <v>9205</v>
      </c>
      <c r="Q131" s="827">
        <v>9690</v>
      </c>
      <c r="R131" s="827">
        <v>10103</v>
      </c>
      <c r="S131" s="827">
        <v>10470</v>
      </c>
      <c r="T131" s="827">
        <v>10836</v>
      </c>
      <c r="U131" s="827">
        <v>11182</v>
      </c>
      <c r="V131" s="827">
        <v>11466</v>
      </c>
      <c r="W131" s="827">
        <v>11688</v>
      </c>
      <c r="X131" s="827">
        <v>11895</v>
      </c>
      <c r="Y131" s="827">
        <v>12097</v>
      </c>
      <c r="Z131" s="827">
        <v>12357</v>
      </c>
      <c r="AA131" s="827">
        <v>12538</v>
      </c>
      <c r="AB131" s="828">
        <v>12800</v>
      </c>
      <c r="AC131" s="828">
        <v>12982</v>
      </c>
      <c r="AD131" s="828">
        <v>13080</v>
      </c>
      <c r="AE131" s="828">
        <v>13308</v>
      </c>
      <c r="AF131" s="828">
        <v>13482</v>
      </c>
      <c r="AG131" s="828">
        <v>13658</v>
      </c>
      <c r="AH131" s="828">
        <v>13866</v>
      </c>
      <c r="AI131" s="828">
        <v>14076</v>
      </c>
      <c r="AJ131" s="828">
        <v>14286</v>
      </c>
      <c r="AK131" s="828">
        <v>14416</v>
      </c>
      <c r="AL131" s="828">
        <v>14363</v>
      </c>
      <c r="AM131" s="828">
        <v>14452</v>
      </c>
      <c r="AN131" s="828">
        <v>14578</v>
      </c>
      <c r="AO131" s="828">
        <v>14754</v>
      </c>
    </row>
    <row r="132" hidden="1">
      <c r="A132" s="829" t="s">
        <v>19</v>
      </c>
      <c r="B132" s="823">
        <v>1184</v>
      </c>
      <c r="C132" s="823">
        <v>1315</v>
      </c>
      <c r="D132" s="823">
        <v>1395</v>
      </c>
      <c r="E132" s="823">
        <v>1492</v>
      </c>
      <c r="F132" s="823">
        <v>1594</v>
      </c>
      <c r="G132" s="823">
        <v>1679</v>
      </c>
      <c r="H132" s="823">
        <v>1725</v>
      </c>
      <c r="I132" s="823">
        <v>1770</v>
      </c>
      <c r="J132" s="823">
        <v>1835</v>
      </c>
      <c r="K132" s="823">
        <v>1889</v>
      </c>
      <c r="L132" s="823">
        <v>1960</v>
      </c>
      <c r="M132" s="823">
        <v>2034</v>
      </c>
      <c r="N132" s="823">
        <v>2121</v>
      </c>
      <c r="O132" s="823">
        <v>2195</v>
      </c>
      <c r="P132" s="823">
        <v>2293</v>
      </c>
      <c r="Q132" s="823">
        <v>2350</v>
      </c>
      <c r="R132" s="823">
        <v>2402</v>
      </c>
      <c r="S132" s="823">
        <v>2492</v>
      </c>
      <c r="T132" s="823">
        <v>2538</v>
      </c>
      <c r="U132" s="823">
        <v>2584</v>
      </c>
      <c r="V132" s="823">
        <v>2628</v>
      </c>
      <c r="W132" s="823">
        <v>2666</v>
      </c>
      <c r="X132" s="823">
        <v>2710</v>
      </c>
      <c r="Y132" s="823">
        <v>2743</v>
      </c>
      <c r="Z132" s="823">
        <v>2774</v>
      </c>
      <c r="AA132" s="823">
        <v>2800</v>
      </c>
      <c r="AB132" s="825">
        <v>2826</v>
      </c>
      <c r="AC132" s="825">
        <v>2873</v>
      </c>
      <c r="AD132" s="825">
        <v>2896</v>
      </c>
      <c r="AE132" s="825">
        <v>2922</v>
      </c>
      <c r="AF132" s="825">
        <v>2956</v>
      </c>
      <c r="AG132" s="825">
        <v>3018</v>
      </c>
      <c r="AH132" s="825">
        <v>3107</v>
      </c>
      <c r="AI132" s="825">
        <v>3168</v>
      </c>
      <c r="AJ132" s="825">
        <v>3253</v>
      </c>
      <c r="AK132" s="825">
        <v>3334</v>
      </c>
      <c r="AL132" s="825">
        <v>3411</v>
      </c>
      <c r="AM132" s="825">
        <v>3464</v>
      </c>
      <c r="AN132" s="825">
        <v>3577</v>
      </c>
      <c r="AO132" s="825">
        <v>3923</v>
      </c>
    </row>
    <row r="133" hidden="1">
      <c r="A133" s="826" t="s">
        <v>20</v>
      </c>
      <c r="B133" s="827">
        <v>148</v>
      </c>
      <c r="C133" s="827">
        <v>157</v>
      </c>
      <c r="D133" s="827">
        <v>167</v>
      </c>
      <c r="E133" s="827">
        <v>173</v>
      </c>
      <c r="F133" s="827">
        <v>174</v>
      </c>
      <c r="G133" s="827">
        <v>175</v>
      </c>
      <c r="H133" s="827">
        <v>183</v>
      </c>
      <c r="I133" s="827">
        <v>191</v>
      </c>
      <c r="J133" s="827">
        <v>616</v>
      </c>
      <c r="K133" s="827">
        <v>744</v>
      </c>
      <c r="L133" s="827">
        <v>918</v>
      </c>
      <c r="M133" s="827">
        <v>979</v>
      </c>
      <c r="N133" s="827">
        <v>1646</v>
      </c>
      <c r="O133" s="827">
        <v>1753</v>
      </c>
      <c r="P133" s="827">
        <v>1844</v>
      </c>
      <c r="Q133" s="827">
        <v>1916</v>
      </c>
      <c r="R133" s="827">
        <v>1994</v>
      </c>
      <c r="S133" s="827">
        <v>2226</v>
      </c>
      <c r="T133" s="827">
        <v>2310</v>
      </c>
      <c r="U133" s="827">
        <v>2371</v>
      </c>
      <c r="V133" s="827">
        <v>2468</v>
      </c>
      <c r="W133" s="827">
        <v>2521</v>
      </c>
      <c r="X133" s="827">
        <v>2608</v>
      </c>
      <c r="Y133" s="827">
        <v>2663</v>
      </c>
      <c r="Z133" s="827">
        <v>2729</v>
      </c>
      <c r="AA133" s="827">
        <v>2780</v>
      </c>
      <c r="AB133" s="828">
        <v>2834</v>
      </c>
      <c r="AC133" s="828">
        <v>2885</v>
      </c>
      <c r="AD133" s="828">
        <v>2934</v>
      </c>
      <c r="AE133" s="828">
        <v>2973</v>
      </c>
      <c r="AF133" s="828">
        <v>3049</v>
      </c>
      <c r="AG133" s="828">
        <v>3086</v>
      </c>
      <c r="AH133" s="828">
        <v>3151</v>
      </c>
      <c r="AI133" s="828">
        <v>3251</v>
      </c>
      <c r="AJ133" s="828">
        <v>3362</v>
      </c>
      <c r="AK133" s="828">
        <v>3447</v>
      </c>
      <c r="AL133" s="828">
        <v>3566</v>
      </c>
      <c r="AM133" s="828">
        <v>3732</v>
      </c>
      <c r="AN133" s="828">
        <v>3804</v>
      </c>
      <c r="AO133" s="828">
        <v>3855</v>
      </c>
    </row>
    <row r="134" hidden="1">
      <c r="A134" s="829" t="s">
        <v>21</v>
      </c>
      <c r="B134" s="823">
        <v>728</v>
      </c>
      <c r="C134" s="823">
        <v>731</v>
      </c>
      <c r="D134" s="823">
        <v>734</v>
      </c>
      <c r="E134" s="823">
        <v>737</v>
      </c>
      <c r="F134" s="823">
        <v>741</v>
      </c>
      <c r="G134" s="823">
        <v>743</v>
      </c>
      <c r="H134" s="823">
        <v>744</v>
      </c>
      <c r="I134" s="823">
        <v>753</v>
      </c>
      <c r="J134" s="823">
        <v>758</v>
      </c>
      <c r="K134" s="823">
        <v>762</v>
      </c>
      <c r="L134" s="823">
        <v>763</v>
      </c>
      <c r="M134" s="823">
        <v>761</v>
      </c>
      <c r="N134" s="823">
        <v>765</v>
      </c>
      <c r="O134" s="823">
        <v>770</v>
      </c>
      <c r="P134" s="823">
        <v>771</v>
      </c>
      <c r="Q134" s="823">
        <v>785</v>
      </c>
      <c r="R134" s="823">
        <v>812</v>
      </c>
      <c r="S134" s="823">
        <v>1040</v>
      </c>
      <c r="T134" s="823">
        <v>1049</v>
      </c>
      <c r="U134" s="823">
        <v>1056</v>
      </c>
      <c r="V134" s="823">
        <v>1058</v>
      </c>
      <c r="W134" s="823">
        <v>1106</v>
      </c>
      <c r="X134" s="823">
        <v>1112</v>
      </c>
      <c r="Y134" s="823">
        <v>1119</v>
      </c>
      <c r="Z134" s="823">
        <v>1125</v>
      </c>
      <c r="AA134" s="823">
        <v>1133</v>
      </c>
      <c r="AB134" s="825">
        <v>1136</v>
      </c>
      <c r="AC134" s="825">
        <v>1160</v>
      </c>
      <c r="AD134" s="825">
        <v>1164</v>
      </c>
      <c r="AE134" s="825">
        <v>1167</v>
      </c>
      <c r="AF134" s="825">
        <v>1168</v>
      </c>
      <c r="AG134" s="825">
        <v>1171</v>
      </c>
      <c r="AH134" s="825">
        <v>1182</v>
      </c>
      <c r="AI134" s="825">
        <v>1196</v>
      </c>
      <c r="AJ134" s="825">
        <v>1202</v>
      </c>
      <c r="AK134" s="825">
        <v>1208</v>
      </c>
      <c r="AL134" s="825">
        <v>1214</v>
      </c>
      <c r="AM134" s="825">
        <v>1234</v>
      </c>
      <c r="AN134" s="825">
        <v>1248</v>
      </c>
      <c r="AO134" s="825">
        <v>1257</v>
      </c>
    </row>
    <row r="135" hidden="1">
      <c r="A135" s="826" t="s">
        <v>22</v>
      </c>
      <c r="B135" s="827">
        <v>344</v>
      </c>
      <c r="C135" s="827">
        <v>347</v>
      </c>
      <c r="D135" s="827">
        <v>353</v>
      </c>
      <c r="E135" s="827">
        <v>362</v>
      </c>
      <c r="F135" s="827">
        <v>343</v>
      </c>
      <c r="G135" s="827">
        <v>345</v>
      </c>
      <c r="H135" s="827">
        <v>350</v>
      </c>
      <c r="I135" s="827">
        <v>360</v>
      </c>
      <c r="J135" s="827">
        <v>384</v>
      </c>
      <c r="K135" s="827">
        <v>416</v>
      </c>
      <c r="L135" s="827">
        <v>460</v>
      </c>
      <c r="M135" s="827">
        <v>500</v>
      </c>
      <c r="N135" s="827">
        <v>609</v>
      </c>
      <c r="O135" s="827">
        <v>712</v>
      </c>
      <c r="P135" s="827">
        <v>880</v>
      </c>
      <c r="Q135" s="827">
        <v>973</v>
      </c>
      <c r="R135" s="827">
        <v>1059</v>
      </c>
      <c r="S135" s="827">
        <v>1104</v>
      </c>
      <c r="T135" s="827">
        <v>1182</v>
      </c>
      <c r="U135" s="827">
        <v>2041</v>
      </c>
      <c r="V135" s="827">
        <v>2049</v>
      </c>
      <c r="W135" s="827">
        <v>2111</v>
      </c>
      <c r="X135" s="827">
        <v>2197</v>
      </c>
      <c r="Y135" s="827">
        <v>2237</v>
      </c>
      <c r="Z135" s="827">
        <v>2325</v>
      </c>
      <c r="AA135" s="827">
        <v>2773</v>
      </c>
      <c r="AB135" s="828">
        <v>2819</v>
      </c>
      <c r="AC135" s="828">
        <v>2850</v>
      </c>
      <c r="AD135" s="828">
        <v>3375</v>
      </c>
      <c r="AE135" s="828">
        <v>3413</v>
      </c>
      <c r="AF135" s="828">
        <v>3677</v>
      </c>
      <c r="AG135" s="828">
        <v>3722</v>
      </c>
      <c r="AH135" s="828">
        <v>3837</v>
      </c>
      <c r="AI135" s="828">
        <v>3862</v>
      </c>
      <c r="AJ135" s="828">
        <v>3888</v>
      </c>
      <c r="AK135" s="828">
        <v>4007</v>
      </c>
      <c r="AL135" s="828">
        <v>4039</v>
      </c>
      <c r="AM135" s="828">
        <v>4129</v>
      </c>
      <c r="AN135" s="828">
        <v>4470</v>
      </c>
      <c r="AO135" s="828">
        <v>4490</v>
      </c>
    </row>
    <row r="136" hidden="1">
      <c r="A136" s="829" t="s">
        <v>23</v>
      </c>
      <c r="B136" s="823">
        <v>432</v>
      </c>
      <c r="C136" s="823">
        <v>469</v>
      </c>
      <c r="D136" s="823">
        <v>495</v>
      </c>
      <c r="E136" s="823">
        <v>512</v>
      </c>
      <c r="F136" s="823">
        <v>537</v>
      </c>
      <c r="G136" s="823">
        <v>557</v>
      </c>
      <c r="H136" s="823">
        <v>580</v>
      </c>
      <c r="I136" s="823">
        <v>610</v>
      </c>
      <c r="J136" s="823">
        <v>652</v>
      </c>
      <c r="K136" s="823">
        <v>691</v>
      </c>
      <c r="L136" s="823">
        <v>722</v>
      </c>
      <c r="M136" s="823">
        <v>746</v>
      </c>
      <c r="N136" s="823">
        <v>841</v>
      </c>
      <c r="O136" s="823">
        <v>857</v>
      </c>
      <c r="P136" s="823">
        <v>881</v>
      </c>
      <c r="Q136" s="823">
        <v>897</v>
      </c>
      <c r="R136" s="823">
        <v>916</v>
      </c>
      <c r="S136" s="823">
        <v>930</v>
      </c>
      <c r="T136" s="823">
        <v>949</v>
      </c>
      <c r="U136" s="823">
        <v>997</v>
      </c>
      <c r="V136" s="823">
        <v>1090</v>
      </c>
      <c r="W136" s="823">
        <v>1100</v>
      </c>
      <c r="X136" s="823">
        <v>1102</v>
      </c>
      <c r="Y136" s="823">
        <v>1105</v>
      </c>
      <c r="Z136" s="823">
        <v>1118</v>
      </c>
      <c r="AA136" s="823">
        <v>1127</v>
      </c>
      <c r="AB136" s="825">
        <v>1143</v>
      </c>
      <c r="AC136" s="825">
        <v>1154</v>
      </c>
      <c r="AD136" s="825">
        <v>1170</v>
      </c>
      <c r="AE136" s="825">
        <v>1197</v>
      </c>
      <c r="AF136" s="825">
        <v>1225</v>
      </c>
      <c r="AG136" s="825">
        <v>1241</v>
      </c>
      <c r="AH136" s="825">
        <v>1256</v>
      </c>
      <c r="AI136" s="825">
        <v>1281</v>
      </c>
      <c r="AJ136" s="825">
        <v>1299</v>
      </c>
      <c r="AK136" s="825">
        <v>1360</v>
      </c>
      <c r="AL136" s="825">
        <v>1375</v>
      </c>
      <c r="AM136" s="825">
        <v>1440</v>
      </c>
      <c r="AN136" s="825">
        <v>1446</v>
      </c>
      <c r="AO136" s="825">
        <v>1448</v>
      </c>
    </row>
    <row r="137" hidden="1">
      <c r="A137" s="835" t="s">
        <v>24</v>
      </c>
      <c r="B137" s="827">
        <v>422</v>
      </c>
      <c r="C137" s="827">
        <v>431</v>
      </c>
      <c r="D137" s="827">
        <v>467</v>
      </c>
      <c r="E137" s="827">
        <v>475</v>
      </c>
      <c r="F137" s="827">
        <v>488</v>
      </c>
      <c r="G137" s="827">
        <v>517</v>
      </c>
      <c r="H137" s="827">
        <v>552</v>
      </c>
      <c r="I137" s="827">
        <v>569</v>
      </c>
      <c r="J137" s="827">
        <v>863</v>
      </c>
      <c r="K137" s="827">
        <v>1075</v>
      </c>
      <c r="L137" s="827">
        <v>1843</v>
      </c>
      <c r="M137" s="827">
        <v>2401</v>
      </c>
      <c r="N137" s="827">
        <v>2919</v>
      </c>
      <c r="O137" s="827">
        <v>3222</v>
      </c>
      <c r="P137" s="827">
        <v>3464</v>
      </c>
      <c r="Q137" s="827">
        <v>3628</v>
      </c>
      <c r="R137" s="827">
        <v>3818</v>
      </c>
      <c r="S137" s="827">
        <v>4167</v>
      </c>
      <c r="T137" s="827">
        <v>4917</v>
      </c>
      <c r="U137" s="827">
        <v>5364</v>
      </c>
      <c r="V137" s="827">
        <v>5854</v>
      </c>
      <c r="W137" s="827">
        <v>6202</v>
      </c>
      <c r="X137" s="827">
        <v>6516</v>
      </c>
      <c r="Y137" s="827">
        <v>6810</v>
      </c>
      <c r="Z137" s="827">
        <v>7074</v>
      </c>
      <c r="AA137" s="827">
        <v>7322</v>
      </c>
      <c r="AB137" s="828">
        <v>7569</v>
      </c>
      <c r="AC137" s="828">
        <v>7794</v>
      </c>
      <c r="AD137" s="828">
        <v>7960</v>
      </c>
      <c r="AE137" s="828">
        <v>8225</v>
      </c>
      <c r="AF137" s="828">
        <v>8531</v>
      </c>
      <c r="AG137" s="828">
        <v>8789</v>
      </c>
      <c r="AH137" s="828">
        <v>9239</v>
      </c>
      <c r="AI137" s="828">
        <v>9508</v>
      </c>
      <c r="AJ137" s="828">
        <v>9788</v>
      </c>
      <c r="AK137" s="828">
        <v>10071</v>
      </c>
      <c r="AL137" s="828">
        <v>10441</v>
      </c>
      <c r="AM137" s="828">
        <v>10933</v>
      </c>
      <c r="AN137" s="828">
        <v>11180</v>
      </c>
      <c r="AO137" s="828">
        <v>11494</v>
      </c>
    </row>
    <row r="138" hidden="1">
      <c r="A138" s="829" t="s">
        <v>25</v>
      </c>
      <c r="B138" s="823">
        <v>0</v>
      </c>
      <c r="C138" s="823">
        <v>0</v>
      </c>
      <c r="D138" s="823">
        <v>0</v>
      </c>
      <c r="E138" s="823">
        <v>0</v>
      </c>
      <c r="F138" s="823">
        <v>0</v>
      </c>
      <c r="G138" s="823">
        <v>2</v>
      </c>
      <c r="H138" s="823">
        <v>2</v>
      </c>
      <c r="I138" s="823">
        <v>2</v>
      </c>
      <c r="J138" s="823">
        <v>2</v>
      </c>
      <c r="K138" s="823">
        <v>2</v>
      </c>
      <c r="L138" s="823">
        <v>2</v>
      </c>
      <c r="M138" s="823">
        <v>3</v>
      </c>
      <c r="N138" s="823">
        <v>3</v>
      </c>
      <c r="O138" s="823">
        <v>3</v>
      </c>
      <c r="P138" s="823">
        <v>3</v>
      </c>
      <c r="Q138" s="823">
        <v>3</v>
      </c>
      <c r="R138" s="823">
        <v>3</v>
      </c>
      <c r="S138" s="823">
        <v>3</v>
      </c>
      <c r="T138" s="823">
        <v>3</v>
      </c>
      <c r="U138" s="823">
        <v>3</v>
      </c>
      <c r="V138" s="823">
        <v>3</v>
      </c>
      <c r="W138" s="823">
        <v>3</v>
      </c>
      <c r="X138" s="823">
        <v>3</v>
      </c>
      <c r="Y138" s="823">
        <v>3</v>
      </c>
      <c r="Z138" s="823">
        <v>4</v>
      </c>
      <c r="AA138" s="823">
        <v>4</v>
      </c>
      <c r="AB138" s="825">
        <v>4</v>
      </c>
      <c r="AC138" s="825">
        <v>3</v>
      </c>
      <c r="AD138" s="825">
        <v>3</v>
      </c>
      <c r="AE138" s="825">
        <v>3</v>
      </c>
      <c r="AF138" s="825">
        <v>3</v>
      </c>
      <c r="AG138" s="825">
        <v>3</v>
      </c>
      <c r="AH138" s="825">
        <v>3</v>
      </c>
      <c r="AI138" s="825">
        <v>3</v>
      </c>
      <c r="AJ138" s="825">
        <v>3</v>
      </c>
      <c r="AK138" s="825">
        <v>3</v>
      </c>
      <c r="AL138" s="825">
        <v>3</v>
      </c>
      <c r="AM138" s="825">
        <v>4</v>
      </c>
      <c r="AN138" s="825">
        <v>5</v>
      </c>
      <c r="AO138" s="825">
        <v>6</v>
      </c>
    </row>
    <row r="139" hidden="1" ht="13.5">
      <c r="A139" s="836" t="s">
        <v>26</v>
      </c>
      <c r="B139" s="827">
        <v>0</v>
      </c>
      <c r="C139" s="827">
        <v>0</v>
      </c>
      <c r="D139" s="827">
        <v>0</v>
      </c>
      <c r="E139" s="827">
        <v>0</v>
      </c>
      <c r="F139" s="827">
        <v>0</v>
      </c>
      <c r="G139" s="827">
        <v>1</v>
      </c>
      <c r="H139" s="827">
        <v>1</v>
      </c>
      <c r="I139" s="827">
        <v>1</v>
      </c>
      <c r="J139" s="827">
        <v>1</v>
      </c>
      <c r="K139" s="827">
        <v>6</v>
      </c>
      <c r="L139" s="827">
        <v>6</v>
      </c>
      <c r="M139" s="827">
        <v>6</v>
      </c>
      <c r="N139" s="827">
        <v>6</v>
      </c>
      <c r="O139" s="827">
        <v>6</v>
      </c>
      <c r="P139" s="827">
        <v>7</v>
      </c>
      <c r="Q139" s="827">
        <v>7</v>
      </c>
      <c r="R139" s="827">
        <v>8</v>
      </c>
      <c r="S139" s="827">
        <v>8</v>
      </c>
      <c r="T139" s="827">
        <v>13</v>
      </c>
      <c r="U139" s="827">
        <v>14</v>
      </c>
      <c r="V139" s="827">
        <v>13</v>
      </c>
      <c r="W139" s="827">
        <v>13</v>
      </c>
      <c r="X139" s="827">
        <v>13</v>
      </c>
      <c r="Y139" s="827">
        <v>13</v>
      </c>
      <c r="Z139" s="827">
        <v>13</v>
      </c>
      <c r="AA139" s="837">
        <v>13</v>
      </c>
      <c r="AB139" s="828">
        <v>13</v>
      </c>
      <c r="AC139" s="828">
        <v>14</v>
      </c>
      <c r="AD139" s="828">
        <v>14</v>
      </c>
      <c r="AE139" s="828">
        <v>14</v>
      </c>
      <c r="AF139" s="828">
        <v>14</v>
      </c>
      <c r="AG139" s="828">
        <v>14</v>
      </c>
      <c r="AH139" s="828">
        <v>14</v>
      </c>
      <c r="AI139" s="828">
        <v>14</v>
      </c>
      <c r="AJ139" s="828">
        <v>14</v>
      </c>
      <c r="AK139" s="828">
        <v>14</v>
      </c>
      <c r="AL139" s="828">
        <v>15</v>
      </c>
      <c r="AM139" s="828">
        <v>15</v>
      </c>
      <c r="AN139" s="828">
        <v>16</v>
      </c>
      <c r="AO139" s="828">
        <v>16</v>
      </c>
    </row>
    <row r="140" hidden="1" ht="13.5">
      <c r="A140" s="128" t="s">
        <v>7</v>
      </c>
      <c r="B140" s="129" t="str">
        <f>IF(SUM(B121:B139)&lt;&gt;0,SUM(B121:B139),"")</f>
      </c>
      <c r="C140" s="129" t="str">
        <f ref="C140:Z140" t="shared" si="5">IF(SUM(C121:C139)&lt;&gt;0,SUM(C121:C139),"")</f>
      </c>
      <c r="D140" s="129" t="str">
        <f t="shared" si="5"/>
      </c>
      <c r="E140" s="129" t="str">
        <f t="shared" si="5"/>
      </c>
      <c r="F140" s="129" t="str">
        <f t="shared" si="5"/>
      </c>
      <c r="G140" s="129" t="str">
        <f t="shared" si="5"/>
      </c>
      <c r="H140" s="129" t="str">
        <f t="shared" si="5"/>
      </c>
      <c r="I140" s="129" t="str">
        <f t="shared" si="5"/>
      </c>
      <c r="J140" s="129" t="str">
        <f t="shared" si="5"/>
      </c>
      <c r="K140" s="129" t="str">
        <f t="shared" si="5"/>
      </c>
      <c r="L140" s="129" t="str">
        <f t="shared" si="5"/>
      </c>
      <c r="M140" s="129" t="str">
        <f t="shared" si="5"/>
      </c>
      <c r="N140" s="129" t="str">
        <f t="shared" si="5"/>
      </c>
      <c r="O140" s="129" t="str">
        <f t="shared" si="5"/>
      </c>
      <c r="P140" s="129" t="str">
        <f t="shared" si="5"/>
      </c>
      <c r="Q140" s="129" t="str">
        <f t="shared" si="5"/>
      </c>
      <c r="R140" s="129" t="str">
        <f t="shared" si="5"/>
      </c>
      <c r="S140" s="129" t="str">
        <f t="shared" si="5"/>
      </c>
      <c r="T140" s="129" t="str">
        <f t="shared" si="5"/>
      </c>
      <c r="U140" s="129" t="str">
        <f t="shared" si="5"/>
      </c>
      <c r="V140" s="129" t="str">
        <f t="shared" si="5"/>
      </c>
      <c r="W140" s="129" t="str">
        <f t="shared" si="5"/>
      </c>
      <c r="X140" s="129" t="str">
        <f t="shared" si="5"/>
      </c>
      <c r="Y140" s="129" t="str">
        <f t="shared" si="5"/>
      </c>
      <c r="Z140" s="129" t="str">
        <f t="shared" si="5"/>
      </c>
      <c r="AA140" s="130" t="str">
        <f>IF(SUM(AA121:AA139)&lt;&gt;0,SUM(AA121:AA139),"")</f>
      </c>
      <c r="AB140" s="91" t="str">
        <f ref="AB140:CM140" t="shared" si="6">IF(SUM(AB121:AB139)&lt;&gt;0,SUM(AB121:AB139),"")</f>
      </c>
      <c r="AC140" s="91" t="str">
        <f t="shared" si="6"/>
      </c>
      <c r="AD140" s="91" t="str">
        <f t="shared" si="6"/>
      </c>
      <c r="AE140" s="91" t="str">
        <f t="shared" si="6"/>
      </c>
      <c r="AF140" s="91" t="str">
        <f t="shared" si="6"/>
      </c>
      <c r="AG140" s="91" t="str">
        <f t="shared" si="6"/>
      </c>
      <c r="AH140" s="91" t="str">
        <f t="shared" si="6"/>
      </c>
      <c r="AI140" s="91" t="str">
        <f t="shared" si="6"/>
      </c>
      <c r="AJ140" s="91" t="str">
        <f t="shared" si="6"/>
      </c>
      <c r="AK140" s="91" t="str">
        <f t="shared" si="6"/>
      </c>
      <c r="AL140" s="91" t="str">
        <f t="shared" si="6"/>
      </c>
      <c r="AM140" s="91" t="str">
        <f t="shared" si="6"/>
      </c>
      <c r="AN140" s="91" t="str">
        <f t="shared" si="6"/>
      </c>
      <c r="AO140" s="91" t="str">
        <f t="shared" si="6"/>
      </c>
      <c r="AP140" s="91" t="str">
        <f t="shared" si="6"/>
      </c>
      <c r="AQ140" s="91" t="str">
        <f t="shared" si="6"/>
      </c>
      <c r="AR140" s="91" t="str">
        <f t="shared" si="6"/>
      </c>
      <c r="AS140" s="91" t="str">
        <f t="shared" si="6"/>
      </c>
      <c r="AT140" s="91" t="str">
        <f t="shared" si="6"/>
      </c>
      <c r="AU140" s="91" t="str">
        <f t="shared" si="6"/>
      </c>
      <c r="AV140" s="91" t="str">
        <f t="shared" si="6"/>
      </c>
      <c r="AW140" s="91" t="str">
        <f t="shared" si="6"/>
      </c>
      <c r="AX140" s="91" t="str">
        <f t="shared" si="6"/>
      </c>
      <c r="AY140" s="91" t="str">
        <f t="shared" si="6"/>
      </c>
      <c r="AZ140" s="91" t="str">
        <f t="shared" si="6"/>
      </c>
      <c r="BA140" s="91" t="str">
        <f t="shared" si="6"/>
      </c>
      <c r="BB140" s="91" t="str">
        <f t="shared" si="6"/>
      </c>
      <c r="BC140" s="91" t="str">
        <f t="shared" si="6"/>
      </c>
      <c r="BD140" s="91" t="str">
        <f t="shared" si="6"/>
      </c>
      <c r="BE140" s="91" t="str">
        <f t="shared" si="6"/>
      </c>
      <c r="BF140" s="91" t="str">
        <f t="shared" si="6"/>
      </c>
      <c r="BG140" s="91" t="str">
        <f t="shared" si="6"/>
      </c>
      <c r="BH140" s="91" t="str">
        <f t="shared" si="6"/>
      </c>
      <c r="BI140" s="91" t="str">
        <f t="shared" si="6"/>
      </c>
      <c r="BJ140" s="91" t="str">
        <f t="shared" si="6"/>
      </c>
      <c r="BK140" s="91" t="str">
        <f t="shared" si="6"/>
      </c>
      <c r="BL140" s="91" t="str">
        <f t="shared" si="6"/>
      </c>
      <c r="BM140" s="91" t="str">
        <f t="shared" si="6"/>
      </c>
      <c r="BN140" s="91" t="str">
        <f t="shared" si="6"/>
      </c>
      <c r="BO140" s="91" t="str">
        <f t="shared" si="6"/>
      </c>
      <c r="BP140" s="91" t="str">
        <f t="shared" si="6"/>
      </c>
      <c r="BQ140" s="91" t="str">
        <f t="shared" si="6"/>
      </c>
      <c r="BR140" s="91" t="str">
        <f t="shared" si="6"/>
      </c>
      <c r="BS140" s="91" t="str">
        <f t="shared" si="6"/>
      </c>
      <c r="BT140" s="91" t="str">
        <f t="shared" si="6"/>
      </c>
      <c r="BU140" s="91" t="str">
        <f t="shared" si="6"/>
      </c>
      <c r="BV140" s="91" t="str">
        <f t="shared" si="6"/>
      </c>
      <c r="BW140" s="91" t="str">
        <f t="shared" si="6"/>
      </c>
      <c r="BX140" s="91" t="str">
        <f t="shared" si="6"/>
      </c>
      <c r="BY140" s="91" t="str">
        <f t="shared" si="6"/>
      </c>
      <c r="BZ140" s="91" t="str">
        <f t="shared" si="6"/>
      </c>
      <c r="CA140" s="91" t="str">
        <f t="shared" si="6"/>
      </c>
      <c r="CB140" s="91" t="str">
        <f t="shared" si="6"/>
      </c>
      <c r="CC140" s="91" t="str">
        <f t="shared" si="6"/>
      </c>
      <c r="CD140" s="91" t="str">
        <f t="shared" si="6"/>
      </c>
      <c r="CE140" s="91" t="str">
        <f t="shared" si="6"/>
      </c>
      <c r="CF140" s="91" t="str">
        <f t="shared" si="6"/>
      </c>
      <c r="CG140" s="91" t="str">
        <f t="shared" si="6"/>
      </c>
      <c r="CH140" s="91" t="str">
        <f t="shared" si="6"/>
      </c>
      <c r="CI140" s="91" t="str">
        <f t="shared" si="6"/>
      </c>
      <c r="CJ140" s="91" t="str">
        <f t="shared" si="6"/>
      </c>
      <c r="CK140" s="91" t="str">
        <f t="shared" si="6"/>
      </c>
      <c r="CL140" s="91" t="str">
        <f t="shared" si="6"/>
      </c>
      <c r="CM140" s="91" t="str">
        <f t="shared" si="6"/>
      </c>
      <c r="CN140" s="91" t="str">
        <f ref="CN140:EY140" t="shared" si="7">IF(SUM(CN121:CN139)&lt;&gt;0,SUM(CN121:CN139),"")</f>
      </c>
      <c r="CO140" s="91" t="str">
        <f t="shared" si="7"/>
      </c>
      <c r="CP140" s="91" t="str">
        <f t="shared" si="7"/>
      </c>
      <c r="CQ140" s="91" t="str">
        <f t="shared" si="7"/>
      </c>
      <c r="CR140" s="91" t="str">
        <f t="shared" si="7"/>
      </c>
      <c r="CS140" s="91" t="str">
        <f t="shared" si="7"/>
      </c>
      <c r="CT140" s="91" t="str">
        <f t="shared" si="7"/>
      </c>
      <c r="CU140" s="91" t="str">
        <f t="shared" si="7"/>
      </c>
      <c r="CV140" s="91" t="str">
        <f t="shared" si="7"/>
      </c>
      <c r="CW140" s="91" t="str">
        <f t="shared" si="7"/>
      </c>
      <c r="CX140" s="91" t="str">
        <f t="shared" si="7"/>
      </c>
      <c r="CY140" s="91" t="str">
        <f t="shared" si="7"/>
      </c>
      <c r="CZ140" s="91" t="str">
        <f t="shared" si="7"/>
      </c>
      <c r="DA140" s="91" t="str">
        <f t="shared" si="7"/>
      </c>
      <c r="DB140" s="91" t="str">
        <f t="shared" si="7"/>
      </c>
      <c r="DC140" s="91" t="str">
        <f t="shared" si="7"/>
      </c>
      <c r="DD140" s="91" t="str">
        <f t="shared" si="7"/>
      </c>
      <c r="DE140" s="91" t="str">
        <f t="shared" si="7"/>
      </c>
      <c r="DF140" s="91" t="str">
        <f t="shared" si="7"/>
      </c>
      <c r="DG140" s="91" t="str">
        <f t="shared" si="7"/>
      </c>
      <c r="DH140" s="91" t="str">
        <f t="shared" si="7"/>
      </c>
      <c r="DI140" s="91" t="str">
        <f t="shared" si="7"/>
      </c>
      <c r="DJ140" s="91" t="str">
        <f t="shared" si="7"/>
      </c>
      <c r="DK140" s="91" t="str">
        <f t="shared" si="7"/>
      </c>
      <c r="DL140" s="91" t="str">
        <f t="shared" si="7"/>
      </c>
      <c r="DM140" s="91" t="str">
        <f t="shared" si="7"/>
      </c>
      <c r="DN140" s="91" t="str">
        <f t="shared" si="7"/>
      </c>
      <c r="DO140" s="91" t="str">
        <f t="shared" si="7"/>
      </c>
      <c r="DP140" s="91" t="str">
        <f t="shared" si="7"/>
      </c>
      <c r="DQ140" s="91" t="str">
        <f t="shared" si="7"/>
      </c>
      <c r="DR140" s="91" t="str">
        <f t="shared" si="7"/>
      </c>
      <c r="DS140" s="91" t="str">
        <f t="shared" si="7"/>
      </c>
      <c r="DT140" s="91" t="str">
        <f t="shared" si="7"/>
      </c>
      <c r="DU140" s="91" t="str">
        <f t="shared" si="7"/>
      </c>
      <c r="DV140" s="91" t="str">
        <f t="shared" si="7"/>
      </c>
      <c r="DW140" s="91" t="str">
        <f t="shared" si="7"/>
      </c>
      <c r="DX140" s="91" t="str">
        <f t="shared" si="7"/>
      </c>
      <c r="DY140" s="91" t="str">
        <f t="shared" si="7"/>
      </c>
      <c r="DZ140" s="91" t="str">
        <f t="shared" si="7"/>
      </c>
      <c r="EA140" s="91" t="str">
        <f t="shared" si="7"/>
      </c>
      <c r="EB140" s="91" t="str">
        <f t="shared" si="7"/>
      </c>
      <c r="EC140" s="91" t="str">
        <f t="shared" si="7"/>
      </c>
      <c r="ED140" s="91" t="str">
        <f t="shared" si="7"/>
      </c>
      <c r="EE140" s="91" t="str">
        <f t="shared" si="7"/>
      </c>
      <c r="EF140" s="91" t="str">
        <f t="shared" si="7"/>
      </c>
      <c r="EG140" s="91" t="str">
        <f t="shared" si="7"/>
      </c>
      <c r="EH140" s="91" t="str">
        <f t="shared" si="7"/>
      </c>
      <c r="EI140" s="91" t="str">
        <f t="shared" si="7"/>
      </c>
      <c r="EJ140" s="91" t="str">
        <f t="shared" si="7"/>
      </c>
      <c r="EK140" s="91" t="str">
        <f t="shared" si="7"/>
      </c>
      <c r="EL140" s="91" t="str">
        <f t="shared" si="7"/>
      </c>
      <c r="EM140" s="91" t="str">
        <f t="shared" si="7"/>
      </c>
      <c r="EN140" s="91" t="str">
        <f t="shared" si="7"/>
      </c>
      <c r="EO140" s="91" t="str">
        <f t="shared" si="7"/>
      </c>
      <c r="EP140" s="91" t="str">
        <f t="shared" si="7"/>
      </c>
      <c r="EQ140" s="91" t="str">
        <f t="shared" si="7"/>
      </c>
      <c r="ER140" s="91" t="str">
        <f t="shared" si="7"/>
      </c>
      <c r="ES140" s="91" t="str">
        <f t="shared" si="7"/>
      </c>
      <c r="ET140" s="91" t="str">
        <f t="shared" si="7"/>
      </c>
      <c r="EU140" s="91" t="str">
        <f t="shared" si="7"/>
      </c>
      <c r="EV140" s="91" t="str">
        <f t="shared" si="7"/>
      </c>
      <c r="EW140" s="91" t="str">
        <f t="shared" si="7"/>
      </c>
      <c r="EX140" s="91" t="str">
        <f t="shared" si="7"/>
      </c>
      <c r="EY140" s="91" t="str">
        <f t="shared" si="7"/>
      </c>
      <c r="EZ140" s="91" t="str">
        <f ref="EZ140:HK140" t="shared" si="8">IF(SUM(EZ121:EZ139)&lt;&gt;0,SUM(EZ121:EZ139),"")</f>
      </c>
      <c r="FA140" s="91" t="str">
        <f t="shared" si="8"/>
      </c>
      <c r="FB140" s="91" t="str">
        <f t="shared" si="8"/>
      </c>
      <c r="FC140" s="91" t="str">
        <f t="shared" si="8"/>
      </c>
      <c r="FD140" s="91" t="str">
        <f t="shared" si="8"/>
      </c>
      <c r="FE140" s="91" t="str">
        <f t="shared" si="8"/>
      </c>
      <c r="FF140" s="91" t="str">
        <f t="shared" si="8"/>
      </c>
      <c r="FG140" s="91" t="str">
        <f t="shared" si="8"/>
      </c>
      <c r="FH140" s="91" t="str">
        <f t="shared" si="8"/>
      </c>
      <c r="FI140" s="91" t="str">
        <f t="shared" si="8"/>
      </c>
      <c r="FJ140" s="91" t="str">
        <f t="shared" si="8"/>
      </c>
      <c r="FK140" s="91" t="str">
        <f t="shared" si="8"/>
      </c>
      <c r="FL140" s="91" t="str">
        <f t="shared" si="8"/>
      </c>
      <c r="FM140" s="91" t="str">
        <f t="shared" si="8"/>
      </c>
      <c r="FN140" s="91" t="str">
        <f t="shared" si="8"/>
      </c>
      <c r="FO140" s="91" t="str">
        <f t="shared" si="8"/>
      </c>
      <c r="FP140" s="91" t="str">
        <f t="shared" si="8"/>
      </c>
      <c r="FQ140" s="91" t="str">
        <f t="shared" si="8"/>
      </c>
      <c r="FR140" s="91" t="str">
        <f t="shared" si="8"/>
      </c>
      <c r="FS140" s="91" t="str">
        <f t="shared" si="8"/>
      </c>
      <c r="FT140" s="91" t="str">
        <f t="shared" si="8"/>
      </c>
      <c r="FU140" s="91" t="str">
        <f t="shared" si="8"/>
      </c>
      <c r="FV140" s="91" t="str">
        <f t="shared" si="8"/>
      </c>
      <c r="FW140" s="91" t="str">
        <f t="shared" si="8"/>
      </c>
      <c r="FX140" s="91" t="str">
        <f t="shared" si="8"/>
      </c>
      <c r="FY140" s="91" t="str">
        <f t="shared" si="8"/>
      </c>
      <c r="FZ140" s="91" t="str">
        <f t="shared" si="8"/>
      </c>
      <c r="GA140" s="91" t="str">
        <f t="shared" si="8"/>
      </c>
      <c r="GB140" s="91" t="str">
        <f t="shared" si="8"/>
      </c>
      <c r="GC140" s="91" t="str">
        <f t="shared" si="8"/>
      </c>
      <c r="GD140" s="91" t="str">
        <f t="shared" si="8"/>
      </c>
      <c r="GE140" s="91" t="str">
        <f t="shared" si="8"/>
      </c>
      <c r="GF140" s="91" t="str">
        <f t="shared" si="8"/>
      </c>
      <c r="GG140" s="91" t="str">
        <f t="shared" si="8"/>
      </c>
      <c r="GH140" s="91" t="str">
        <f t="shared" si="8"/>
      </c>
      <c r="GI140" s="91" t="str">
        <f t="shared" si="8"/>
      </c>
      <c r="GJ140" s="91" t="str">
        <f t="shared" si="8"/>
      </c>
      <c r="GK140" s="91" t="str">
        <f t="shared" si="8"/>
      </c>
      <c r="GL140" s="91" t="str">
        <f t="shared" si="8"/>
      </c>
      <c r="GM140" s="91" t="str">
        <f t="shared" si="8"/>
      </c>
      <c r="GN140" s="91" t="str">
        <f t="shared" si="8"/>
      </c>
      <c r="GO140" s="91" t="str">
        <f t="shared" si="8"/>
      </c>
      <c r="GP140" s="91" t="str">
        <f t="shared" si="8"/>
      </c>
      <c r="GQ140" s="91" t="str">
        <f t="shared" si="8"/>
      </c>
      <c r="GR140" s="91" t="str">
        <f t="shared" si="8"/>
      </c>
      <c r="GS140" s="91" t="str">
        <f t="shared" si="8"/>
      </c>
      <c r="GT140" s="91" t="str">
        <f t="shared" si="8"/>
      </c>
      <c r="GU140" s="91" t="str">
        <f t="shared" si="8"/>
      </c>
      <c r="GV140" s="91" t="str">
        <f t="shared" si="8"/>
      </c>
      <c r="GW140" s="91" t="str">
        <f t="shared" si="8"/>
      </c>
      <c r="GX140" s="91" t="str">
        <f t="shared" si="8"/>
      </c>
      <c r="GY140" s="91" t="str">
        <f t="shared" si="8"/>
      </c>
      <c r="GZ140" s="91" t="str">
        <f t="shared" si="8"/>
      </c>
      <c r="HA140" s="91" t="str">
        <f t="shared" si="8"/>
      </c>
      <c r="HB140" s="91" t="str">
        <f t="shared" si="8"/>
      </c>
      <c r="HC140" s="91" t="str">
        <f t="shared" si="8"/>
      </c>
      <c r="HD140" s="91" t="str">
        <f t="shared" si="8"/>
      </c>
      <c r="HE140" s="91" t="str">
        <f t="shared" si="8"/>
      </c>
      <c r="HF140" s="91" t="str">
        <f t="shared" si="8"/>
      </c>
      <c r="HG140" s="91" t="str">
        <f t="shared" si="8"/>
      </c>
      <c r="HH140" s="91" t="str">
        <f t="shared" si="8"/>
      </c>
      <c r="HI140" s="91" t="str">
        <f t="shared" si="8"/>
      </c>
      <c r="HJ140" s="91" t="str">
        <f t="shared" si="8"/>
      </c>
      <c r="HK140" s="91" t="str">
        <f t="shared" si="8"/>
      </c>
      <c r="HL140" s="91" t="str">
        <f ref="HL140:IU140" t="shared" si="9">IF(SUM(HL121:HL139)&lt;&gt;0,SUM(HL121:HL139),"")</f>
      </c>
      <c r="HM140" s="91" t="str">
        <f t="shared" si="9"/>
      </c>
      <c r="HN140" s="91" t="str">
        <f t="shared" si="9"/>
      </c>
      <c r="HO140" s="91" t="str">
        <f t="shared" si="9"/>
      </c>
      <c r="HP140" s="91" t="str">
        <f t="shared" si="9"/>
      </c>
      <c r="HQ140" s="91" t="str">
        <f t="shared" si="9"/>
      </c>
      <c r="HR140" s="91" t="str">
        <f t="shared" si="9"/>
      </c>
      <c r="HS140" s="91" t="str">
        <f t="shared" si="9"/>
      </c>
      <c r="HT140" s="91" t="str">
        <f t="shared" si="9"/>
      </c>
      <c r="HU140" s="91" t="str">
        <f t="shared" si="9"/>
      </c>
      <c r="HV140" s="91" t="str">
        <f t="shared" si="9"/>
      </c>
      <c r="HW140" s="91" t="str">
        <f t="shared" si="9"/>
      </c>
      <c r="HX140" s="91" t="str">
        <f t="shared" si="9"/>
      </c>
      <c r="HY140" s="91" t="str">
        <f t="shared" si="9"/>
      </c>
      <c r="HZ140" s="91" t="str">
        <f t="shared" si="9"/>
      </c>
      <c r="IA140" s="91" t="str">
        <f t="shared" si="9"/>
      </c>
      <c r="IB140" s="91" t="str">
        <f t="shared" si="9"/>
      </c>
      <c r="IC140" s="91" t="str">
        <f t="shared" si="9"/>
      </c>
      <c r="ID140" s="91" t="str">
        <f t="shared" si="9"/>
      </c>
      <c r="IE140" s="91" t="str">
        <f t="shared" si="9"/>
      </c>
      <c r="IF140" s="91" t="str">
        <f t="shared" si="9"/>
      </c>
      <c r="IG140" s="91" t="str">
        <f t="shared" si="9"/>
      </c>
      <c r="IH140" s="91" t="str">
        <f t="shared" si="9"/>
      </c>
      <c r="II140" s="91" t="str">
        <f t="shared" si="9"/>
      </c>
      <c r="IJ140" s="91" t="str">
        <f t="shared" si="9"/>
      </c>
      <c r="IK140" s="91" t="str">
        <f t="shared" si="9"/>
      </c>
      <c r="IL140" s="91" t="str">
        <f t="shared" si="9"/>
      </c>
      <c r="IM140" s="91" t="str">
        <f t="shared" si="9"/>
      </c>
      <c r="IN140" s="91" t="str">
        <f t="shared" si="9"/>
      </c>
      <c r="IO140" s="91" t="str">
        <f t="shared" si="9"/>
      </c>
      <c r="IP140" s="91" t="str">
        <f t="shared" si="9"/>
      </c>
      <c r="IQ140" s="91" t="str">
        <f t="shared" si="9"/>
      </c>
      <c r="IR140" s="91" t="str">
        <f t="shared" si="9"/>
      </c>
      <c r="IS140" s="91" t="str">
        <f t="shared" si="9"/>
      </c>
      <c r="IT140" s="91" t="str">
        <f t="shared" si="9"/>
      </c>
      <c r="IU140" s="91" t="str">
        <f t="shared" si="9"/>
      </c>
    </row>
    <row r="141" hidden="1" ht="13.5"/>
    <row r="142" hidden="1" ht="13.5">
      <c r="B142" s="614" t="s">
        <v>7</v>
      </c>
      <c r="C142" s="615"/>
      <c r="D142" s="615"/>
      <c r="E142" s="615"/>
      <c r="F142" s="615"/>
      <c r="G142" s="615"/>
      <c r="H142" s="615"/>
      <c r="I142" s="615"/>
      <c r="J142" s="615"/>
      <c r="K142" s="615"/>
      <c r="L142" s="615"/>
      <c r="M142" s="615"/>
      <c r="N142" s="615"/>
      <c r="O142" s="615"/>
      <c r="P142" s="615"/>
      <c r="Q142" s="615"/>
      <c r="R142" s="615"/>
      <c r="S142" s="615"/>
      <c r="T142" s="615"/>
      <c r="U142" s="615"/>
      <c r="V142" s="615"/>
      <c r="W142" s="615"/>
      <c r="X142" s="615"/>
      <c r="Y142" s="615"/>
      <c r="Z142" s="615"/>
      <c r="AA142" s="616"/>
    </row>
    <row r="143" hidden="1" ht="13.5">
      <c r="B143" s="435" t="str">
        <f> IF(B163&lt;&gt;"",TEXT(AUX!G$1,"dd-MMM-aa"),"")</f>
      </c>
      <c r="C143" s="435" t="str">
        <f> IF(C163&lt;&gt;"",TEXT(AUX!H$1,"dd-MMM-aa"),"")</f>
      </c>
      <c r="D143" s="435" t="str">
        <f> IF(D163&lt;&gt;"",TEXT(AUX!I$1,"dd-MMM-aa"),"")</f>
      </c>
      <c r="E143" s="435" t="str">
        <f> IF(E163&lt;&gt;"",TEXT(AUX!J$1,"dd-MMM-aa"),"")</f>
      </c>
      <c r="F143" s="435" t="str">
        <f> IF(F163&lt;&gt;"",TEXT(AUX!K$1,"dd-MMM-aa"),"")</f>
      </c>
      <c r="G143" s="435" t="str">
        <f> IF(G163&lt;&gt;"",TEXT(AUX!L$1,"dd-MMM-aa"),"")</f>
      </c>
      <c r="H143" s="435" t="str">
        <f> IF(H163&lt;&gt;"",TEXT(AUX!M$1,"dd-MMM-aa"),"")</f>
      </c>
      <c r="I143" s="435" t="str">
        <f> IF(I163&lt;&gt;"",TEXT(AUX!N$1,"dd-MMM-aa"),"")</f>
      </c>
      <c r="J143" s="435" t="str">
        <f> IF(J163&lt;&gt;"",TEXT(AUX!O$1,"dd-MMM-aa"),"")</f>
      </c>
      <c r="K143" s="435" t="str">
        <f> IF(K163&lt;&gt;"",TEXT(AUX!P$1,"dd-MMM-aa"),"")</f>
      </c>
      <c r="L143" s="435" t="str">
        <f> IF(L163&lt;&gt;"",TEXT(AUX!Q$1,"dd-MMM-aa"),"")</f>
      </c>
      <c r="M143" s="435" t="str">
        <f> IF(M163&lt;&gt;"",TEXT(AUX!R$1,"dd-MMM-aa"),"")</f>
      </c>
      <c r="N143" s="435" t="str">
        <f> IF(N163&lt;&gt;"",TEXT(AUX!S$1,"dd-MMM-aa"),"")</f>
      </c>
      <c r="O143" s="435" t="str">
        <f> IF(O163&lt;&gt;"",TEXT(AUX!T$1,"dd-MMM-aa"),"")</f>
      </c>
      <c r="P143" s="435" t="str">
        <f> IF(P163&lt;&gt;"",TEXT(AUX!U$1,"dd-MMM-aa"),"")</f>
      </c>
      <c r="Q143" s="435" t="str">
        <f> IF(Q163&lt;&gt;"",TEXT(AUX!V$1,"dd-MMM-aa"),"")</f>
      </c>
      <c r="R143" s="435" t="str">
        <f> IF(R163&lt;&gt;"",TEXT(AUX!W$1,"dd-MMM-aa"),"")</f>
      </c>
      <c r="S143" s="435" t="str">
        <f> IF(S163&lt;&gt;"",TEXT(AUX!X$1,"dd-MMM-aa"),"")</f>
      </c>
      <c r="T143" s="435" t="str">
        <f> IF(T163&lt;&gt;"",TEXT(AUX!Y$1,"dd-MMM-aa"),"")</f>
      </c>
      <c r="U143" s="435" t="str">
        <f> IF(U163&lt;&gt;"",TEXT(AUX!Z$1,"dd-MMM-aa"),"")</f>
      </c>
      <c r="V143" s="435" t="str">
        <f> IF(V163&lt;&gt;"",TEXT(AUX!AA$1,"dd-MMM-aa"),"")</f>
      </c>
      <c r="W143" s="435" t="str">
        <f> IF(W163&lt;&gt;"",TEXT(AUX!AB$1,"dd-MMM-aa"),"")</f>
      </c>
      <c r="X143" s="435" t="str">
        <f> IF(X163&lt;&gt;"",TEXT(AUX!AC$1,"dd-MMM-aa"),"")</f>
      </c>
      <c r="Y143" s="435" t="str">
        <f> IF(Y163&lt;&gt;"",TEXT(AUX!AD$1,"dd-MMM-aa"),"")</f>
      </c>
      <c r="Z143" s="435" t="str">
        <f> IF(Z163&lt;&gt;"",TEXT(AUX!AE$1,"dd-MMM-aa"),"")</f>
      </c>
      <c r="AA143" s="497" t="str">
        <f> IF(AA163&lt;&gt;"",TEXT(AUX!AF$1,"dd-MMM-aa"),"")</f>
      </c>
      <c r="AB143" s="496" t="str">
        <f> IF(AB163&lt;&gt;"",TEXT(AUX!AG$1,"dd-MMM-aa"),"")</f>
      </c>
      <c r="AC143" s="496" t="str">
        <f> IF(AC163&lt;&gt;"",TEXT(AUX!AH$1,"dd-MMM-aa"),"")</f>
      </c>
      <c r="AD143" s="496" t="str">
        <f> IF(AD163&lt;&gt;"",TEXT(AUX!AI$1,"dd-MMM-aa"),"")</f>
      </c>
      <c r="AE143" s="496" t="str">
        <f> IF(AE163&lt;&gt;"",TEXT(AUX!AJ$1,"dd-MMM-aa"),"")</f>
      </c>
      <c r="AF143" s="496" t="str">
        <f> IF(AF163&lt;&gt;"",TEXT(AUX!AK$1,"dd-MMM-aa"),"")</f>
      </c>
      <c r="AG143" s="496" t="str">
        <f> IF(AG163&lt;&gt;"",TEXT(AUX!AL$1,"dd-MMM-aa"),"")</f>
      </c>
      <c r="AH143" s="496" t="str">
        <f> IF(AH163&lt;&gt;"",TEXT(AUX!AM$1,"dd-MMM-aa"),"")</f>
      </c>
      <c r="AI143" s="496" t="str">
        <f> IF(AI163&lt;&gt;"",TEXT(AUX!AN$1,"dd-MMM-aa"),"")</f>
      </c>
      <c r="AJ143" s="496" t="str">
        <f> IF(AJ163&lt;&gt;"",TEXT(AUX!AO$1,"dd-MMM-aa"),"")</f>
      </c>
      <c r="AK143" s="496" t="str">
        <f> IF(AK163&lt;&gt;"",TEXT(AUX!AP$1,"dd-MMM-aa"),"")</f>
      </c>
      <c r="AL143" s="496" t="str">
        <f> IF(AL163&lt;&gt;"",TEXT(AUX!AQ$1,"dd-MMM-aa"),"")</f>
      </c>
      <c r="AM143" s="496" t="str">
        <f> IF(AM163&lt;&gt;"",TEXT(AUX!AR$1,"dd-MMM-aa"),"")</f>
      </c>
      <c r="AN143" s="496" t="str">
        <f> IF(AN163&lt;&gt;"",TEXT(AUX!AS$1,"dd-MMM-aa"),"")</f>
      </c>
      <c r="AO143" s="496" t="str">
        <f> IF(AO163&lt;&gt;"",TEXT(AUX!AT$1,"dd-MMM-aa"),"")</f>
      </c>
      <c r="AP143" s="496" t="str">
        <f> IF(AP163&lt;&gt;"",TEXT(AUX!AU$1,"dd-MMM-aa"),"")</f>
      </c>
      <c r="AQ143" s="496" t="str">
        <f> IF(AQ163&lt;&gt;"",TEXT(AUX!AV$1,"dd-MMM-aa"),"")</f>
      </c>
      <c r="AR143" s="496" t="str">
        <f> IF(AR163&lt;&gt;"",TEXT(AUX!AW$1,"dd-MMM-aa"),"")</f>
      </c>
      <c r="AS143" s="496" t="str">
        <f> IF(AS163&lt;&gt;"",TEXT(AUX!AX$1,"dd-MMM-aa"),"")</f>
      </c>
      <c r="AT143" s="496" t="str">
        <f> IF(AT163&lt;&gt;"",TEXT(AUX!AY$1,"dd-MMM-aa"),"")</f>
      </c>
      <c r="AU143" s="496" t="str">
        <f> IF(AU163&lt;&gt;"",TEXT(AUX!AZ$1,"dd-MMM-aa"),"")</f>
      </c>
      <c r="AV143" s="496" t="str">
        <f> IF(AV163&lt;&gt;"",TEXT(AUX!BA$1,"dd-MMM-aa"),"")</f>
      </c>
      <c r="AW143" s="496" t="str">
        <f> IF(AW163&lt;&gt;"",TEXT(AUX!BB$1,"dd-MMM-aa"),"")</f>
      </c>
      <c r="AX143" s="496" t="str">
        <f> IF(AX163&lt;&gt;"",TEXT(AUX!BC$1,"dd-MMM-aa"),"")</f>
      </c>
      <c r="AY143" s="496" t="str">
        <f> IF(AY163&lt;&gt;"",TEXT(AUX!BD$1,"dd-MMM-aa"),"")</f>
      </c>
      <c r="AZ143" s="496" t="str">
        <f> IF(AZ163&lt;&gt;"",TEXT(AUX!BE$1,"dd-MMM-aa"),"")</f>
      </c>
      <c r="BA143" s="496" t="str">
        <f> IF(BA163&lt;&gt;"",TEXT(AUX!BF$1,"dd-MMM-aa"),"")</f>
      </c>
      <c r="BB143" s="496" t="str">
        <f> IF(BB163&lt;&gt;"",TEXT(AUX!BG$1,"dd-MMM-aa"),"")</f>
      </c>
      <c r="BC143" s="496" t="str">
        <f> IF(BC163&lt;&gt;"",TEXT(AUX!BH$1,"dd-MMM-aa"),"")</f>
      </c>
      <c r="BD143" s="496" t="str">
        <f> IF(BD163&lt;&gt;"",TEXT(AUX!BI$1,"dd-MMM-aa"),"")</f>
      </c>
      <c r="BE143" s="496" t="str">
        <f> IF(BE163&lt;&gt;"",TEXT(AUX!BJ$1,"dd-MMM-aa"),"")</f>
      </c>
      <c r="BF143" s="496" t="str">
        <f> IF(BF163&lt;&gt;"",TEXT(AUX!BK$1,"dd-MMM-aa"),"")</f>
      </c>
      <c r="BG143" s="496" t="str">
        <f> IF(BG163&lt;&gt;"",TEXT(AUX!BL$1,"dd-MMM-aa"),"")</f>
      </c>
      <c r="BH143" s="496" t="str">
        <f> IF(BH163&lt;&gt;"",TEXT(AUX!BM$1,"dd-MMM-aa"),"")</f>
      </c>
      <c r="BI143" s="496" t="str">
        <f> IF(BI163&lt;&gt;"",TEXT(AUX!BN$1,"dd-MMM-aa"),"")</f>
      </c>
      <c r="BJ143" s="496" t="str">
        <f> IF(BJ163&lt;&gt;"",TEXT(AUX!BO$1,"dd-MMM-aa"),"")</f>
      </c>
      <c r="BK143" s="496" t="str">
        <f> IF(BK163&lt;&gt;"",TEXT(AUX!BP$1,"dd-MMM-aa"),"")</f>
      </c>
      <c r="BL143" s="496" t="str">
        <f> IF(BL163&lt;&gt;"",TEXT(AUX!BQ$1,"dd-MMM-aa"),"")</f>
      </c>
      <c r="BM143" s="496" t="str">
        <f> IF(BM163&lt;&gt;"",TEXT(AUX!BR$1,"dd-MMM-aa"),"")</f>
      </c>
      <c r="BN143" s="496" t="str">
        <f> IF(BN163&lt;&gt;"",TEXT(AUX!BS$1,"dd-MMM-aa"),"")</f>
      </c>
      <c r="BO143" s="496" t="str">
        <f> IF(BO163&lt;&gt;"",TEXT(AUX!BT$1,"dd-MMM-aa"),"")</f>
      </c>
      <c r="BP143" s="496" t="str">
        <f> IF(BP163&lt;&gt;"",TEXT(AUX!BU$1,"dd-MMM-aa"),"")</f>
      </c>
      <c r="BQ143" s="496" t="str">
        <f> IF(BQ163&lt;&gt;"",TEXT(AUX!BV$1,"dd-MMM-aa"),"")</f>
      </c>
      <c r="BR143" s="496" t="str">
        <f> IF(BR163&lt;&gt;"",TEXT(AUX!BW$1,"dd-MMM-aa"),"")</f>
      </c>
      <c r="BS143" s="496" t="str">
        <f> IF(BS163&lt;&gt;"",TEXT(AUX!BX$1,"dd-MMM-aa"),"")</f>
      </c>
      <c r="BT143" s="496" t="str">
        <f> IF(BT163&lt;&gt;"",TEXT(AUX!BY$1,"dd-MMM-aa"),"")</f>
      </c>
      <c r="BU143" s="496" t="str">
        <f> IF(BU163&lt;&gt;"",TEXT(AUX!BZ$1,"dd-MMM-aa"),"")</f>
      </c>
      <c r="BV143" s="496" t="str">
        <f> IF(BV163&lt;&gt;"",TEXT(AUX!CA$1,"dd-MMM-aa"),"")</f>
      </c>
      <c r="BW143" s="496" t="str">
        <f> IF(BW163&lt;&gt;"",TEXT(AUX!CB$1,"dd-MMM-aa"),"")</f>
      </c>
      <c r="BX143" s="496" t="str">
        <f> IF(BX163&lt;&gt;"",TEXT(AUX!CC$1,"dd-MMM-aa"),"")</f>
      </c>
      <c r="BY143" s="496" t="str">
        <f> IF(BY163&lt;&gt;"",TEXT(AUX!CD$1,"dd-MMM-aa"),"")</f>
      </c>
      <c r="BZ143" s="496" t="str">
        <f> IF(BZ163&lt;&gt;"",TEXT(AUX!CE$1,"dd-MMM-aa"),"")</f>
      </c>
      <c r="CA143" s="496" t="str">
        <f> IF(CA163&lt;&gt;"",TEXT(AUX!CF$1,"dd-MMM-aa"),"")</f>
      </c>
      <c r="CB143" s="496" t="str">
        <f> IF(CB163&lt;&gt;"",TEXT(AUX!CG$1,"dd-MMM-aa"),"")</f>
      </c>
      <c r="CC143" s="496" t="str">
        <f> IF(CC163&lt;&gt;"",TEXT(AUX!CH$1,"dd-MMM-aa"),"")</f>
      </c>
      <c r="CD143" s="496" t="str">
        <f> IF(CD163&lt;&gt;"",TEXT(AUX!CI$1,"dd-MMM-aa"),"")</f>
      </c>
      <c r="CE143" s="496" t="str">
        <f> IF(CE163&lt;&gt;"",TEXT(AUX!CJ$1,"dd-MMM-aa"),"")</f>
      </c>
      <c r="CF143" s="496" t="str">
        <f> IF(CF163&lt;&gt;"",TEXT(AUX!CK$1,"dd-MMM-aa"),"")</f>
      </c>
      <c r="CG143" s="496" t="str">
        <f> IF(CG163&lt;&gt;"",TEXT(AUX!CL$1,"dd-MMM-aa"),"")</f>
      </c>
      <c r="CH143" s="496" t="str">
        <f> IF(CH163&lt;&gt;"",TEXT(AUX!CM$1,"dd-MMM-aa"),"")</f>
      </c>
      <c r="CI143" s="496" t="str">
        <f> IF(CI163&lt;&gt;"",TEXT(AUX!CN$1,"dd-MMM-aa"),"")</f>
      </c>
      <c r="CJ143" s="496" t="str">
        <f> IF(CJ163&lt;&gt;"",TEXT(AUX!CO$1,"dd-MMM-aa"),"")</f>
      </c>
      <c r="CK143" s="496" t="str">
        <f> IF(CK163&lt;&gt;"",TEXT(AUX!CP$1,"dd-MMM-aa"),"")</f>
      </c>
      <c r="CL143" s="496" t="str">
        <f> IF(CL163&lt;&gt;"",TEXT(AUX!CQ$1,"dd-MMM-aa"),"")</f>
      </c>
      <c r="CM143" s="496" t="str">
        <f> IF(CM163&lt;&gt;"",TEXT(AUX!CR$1,"dd-MMM-aa"),"")</f>
      </c>
      <c r="CN143" s="496" t="str">
        <f> IF(CN163&lt;&gt;"",TEXT(AUX!CS$1,"dd-MMM-aa"),"")</f>
      </c>
      <c r="CO143" s="496" t="str">
        <f> IF(CO163&lt;&gt;"",TEXT(AUX!CT$1,"dd-MMM-aa"),"")</f>
      </c>
      <c r="CP143" s="496" t="str">
        <f> IF(CP163&lt;&gt;"",TEXT(AUX!CU$1,"dd-MMM-aa"),"")</f>
      </c>
      <c r="CQ143" s="496" t="str">
        <f> IF(CQ163&lt;&gt;"",TEXT(AUX!CV$1,"dd-MMM-aa"),"")</f>
      </c>
      <c r="CR143" s="496" t="str">
        <f> IF(CR163&lt;&gt;"",TEXT(AUX!CW$1,"dd-MMM-aa"),"")</f>
      </c>
      <c r="CS143" s="496" t="str">
        <f> IF(CS163&lt;&gt;"",TEXT(AUX!CX$1,"dd-MMM-aa"),"")</f>
      </c>
      <c r="CT143" s="496" t="str">
        <f> IF(CT163&lt;&gt;"",TEXT(AUX!CY$1,"dd-MMM-aa"),"")</f>
      </c>
      <c r="CU143" s="496" t="str">
        <f> IF(CU163&lt;&gt;"",TEXT(AUX!CZ$1,"dd-MMM-aa"),"")</f>
      </c>
      <c r="CV143" s="496" t="str">
        <f> IF(CV163&lt;&gt;"",TEXT(AUX!DA$1,"dd-MMM-aa"),"")</f>
      </c>
      <c r="CW143" s="496" t="str">
        <f> IF(CW163&lt;&gt;"",TEXT(AUX!DB$1,"dd-MMM-aa"),"")</f>
      </c>
      <c r="CX143" s="496" t="str">
        <f> IF(CX163&lt;&gt;"",TEXT(AUX!DC$1,"dd-MMM-aa"),"")</f>
      </c>
      <c r="CY143" s="496" t="str">
        <f> IF(CY163&lt;&gt;"",TEXT(AUX!DD$1,"dd-MMM-aa"),"")</f>
      </c>
      <c r="CZ143" s="496" t="str">
        <f> IF(CZ163&lt;&gt;"",TEXT(AUX!DE$1,"dd-MMM-aa"),"")</f>
      </c>
      <c r="DA143" s="496" t="str">
        <f> IF(DA163&lt;&gt;"",TEXT(AUX!DF$1,"dd-MMM-aa"),"")</f>
      </c>
      <c r="DB143" s="496" t="str">
        <f> IF(DB163&lt;&gt;"",TEXT(AUX!DG$1,"dd-MMM-aa"),"")</f>
      </c>
      <c r="DC143" s="496" t="str">
        <f> IF(DC163&lt;&gt;"",TEXT(AUX!DH$1,"dd-MMM-aa"),"")</f>
      </c>
      <c r="DD143" s="496" t="str">
        <f> IF(DD163&lt;&gt;"",TEXT(AUX!DI$1,"dd-MMM-aa"),"")</f>
      </c>
      <c r="DE143" s="496" t="str">
        <f> IF(DE163&lt;&gt;"",TEXT(AUX!DJ$1,"dd-MMM-aa"),"")</f>
      </c>
      <c r="DF143" s="496" t="str">
        <f> IF(DF163&lt;&gt;"",TEXT(AUX!DK$1,"dd-MMM-aa"),"")</f>
      </c>
      <c r="DG143" s="496" t="str">
        <f> IF(DG163&lt;&gt;"",TEXT(AUX!DL$1,"dd-MMM-aa"),"")</f>
      </c>
      <c r="DH143" s="496" t="str">
        <f> IF(DH163&lt;&gt;"",TEXT(AUX!DM$1,"dd-MMM-aa"),"")</f>
      </c>
      <c r="DI143" s="496" t="str">
        <f> IF(DI163&lt;&gt;"",TEXT(AUX!DN$1,"dd-MMM-aa"),"")</f>
      </c>
      <c r="DJ143" s="496" t="str">
        <f> IF(DJ163&lt;&gt;"",TEXT(AUX!DO$1,"dd-MMM-aa"),"")</f>
      </c>
      <c r="DK143" s="496" t="str">
        <f> IF(DK163&lt;&gt;"",TEXT(AUX!DP$1,"dd-MMM-aa"),"")</f>
      </c>
      <c r="DL143" s="496" t="str">
        <f> IF(DL163&lt;&gt;"",TEXT(AUX!DQ$1,"dd-MMM-aa"),"")</f>
      </c>
      <c r="DM143" s="496" t="str">
        <f> IF(DM163&lt;&gt;"",TEXT(AUX!DR$1,"dd-MMM-aa"),"")</f>
      </c>
      <c r="DN143" s="496" t="str">
        <f> IF(DN163&lt;&gt;"",TEXT(AUX!DS$1,"dd-MMM-aa"),"")</f>
      </c>
      <c r="DO143" s="496" t="str">
        <f> IF(DO163&lt;&gt;"",TEXT(AUX!DT$1,"dd-MMM-aa"),"")</f>
      </c>
      <c r="DP143" s="496" t="str">
        <f> IF(DP163&lt;&gt;"",TEXT(AUX!DU$1,"dd-MMM-aa"),"")</f>
      </c>
      <c r="DQ143" s="496" t="str">
        <f> IF(DQ163&lt;&gt;"",TEXT(AUX!DV$1,"dd-MMM-aa"),"")</f>
      </c>
      <c r="DR143" s="496" t="str">
        <f> IF(DR163&lt;&gt;"",TEXT(AUX!DW$1,"dd-MMM-aa"),"")</f>
      </c>
      <c r="DS143" s="496" t="str">
        <f> IF(DS163&lt;&gt;"",TEXT(AUX!DX$1,"dd-MMM-aa"),"")</f>
      </c>
      <c r="DT143" s="496" t="str">
        <f> IF(DT163&lt;&gt;"",TEXT(AUX!DY$1,"dd-MMM-aa"),"")</f>
      </c>
      <c r="DU143" s="496" t="str">
        <f> IF(DU163&lt;&gt;"",TEXT(AUX!DZ$1,"dd-MMM-aa"),"")</f>
      </c>
      <c r="DV143" s="496" t="str">
        <f> IF(DV163&lt;&gt;"",TEXT(AUX!EA$1,"dd-MMM-aa"),"")</f>
      </c>
      <c r="DW143" s="496" t="str">
        <f> IF(DW163&lt;&gt;"",TEXT(AUX!EB$1,"dd-MMM-aa"),"")</f>
      </c>
      <c r="DX143" s="496" t="str">
        <f> IF(DX163&lt;&gt;"",TEXT(AUX!EC$1,"dd-MMM-aa"),"")</f>
      </c>
      <c r="DY143" s="496" t="str">
        <f> IF(DY163&lt;&gt;"",TEXT(AUX!ED$1,"dd-MMM-aa"),"")</f>
      </c>
      <c r="DZ143" s="496" t="str">
        <f> IF(DZ163&lt;&gt;"",TEXT(AUX!EE$1,"dd-MMM-aa"),"")</f>
      </c>
      <c r="EA143" s="496" t="str">
        <f> IF(EA163&lt;&gt;"",TEXT(AUX!EF$1,"dd-MMM-aa"),"")</f>
      </c>
      <c r="EB143" s="496" t="str">
        <f> IF(EB163&lt;&gt;"",TEXT(AUX!EG$1,"dd-MMM-aa"),"")</f>
      </c>
      <c r="EC143" s="496" t="str">
        <f> IF(EC163&lt;&gt;"",TEXT(AUX!EH$1,"dd-MMM-aa"),"")</f>
      </c>
      <c r="ED143" s="496" t="str">
        <f> IF(ED163&lt;&gt;"",TEXT(AUX!EI$1,"dd-MMM-aa"),"")</f>
      </c>
      <c r="EE143" s="496" t="str">
        <f> IF(EE163&lt;&gt;"",TEXT(AUX!EJ$1,"dd-MMM-aa"),"")</f>
      </c>
      <c r="EF143" s="496" t="str">
        <f> IF(EF163&lt;&gt;"",TEXT(AUX!EK$1,"dd-MMM-aa"),"")</f>
      </c>
      <c r="EG143" s="496" t="str">
        <f> IF(EG163&lt;&gt;"",TEXT(AUX!EL$1,"dd-MMM-aa"),"")</f>
      </c>
      <c r="EH143" s="496" t="str">
        <f> IF(EH163&lt;&gt;"",TEXT(AUX!EM$1,"dd-MMM-aa"),"")</f>
      </c>
      <c r="EI143" s="496" t="str">
        <f> IF(EI163&lt;&gt;"",TEXT(AUX!EN$1,"dd-MMM-aa"),"")</f>
      </c>
      <c r="EJ143" s="496" t="str">
        <f> IF(EJ163&lt;&gt;"",TEXT(AUX!EO$1,"dd-MMM-aa"),"")</f>
      </c>
      <c r="EK143" s="496" t="str">
        <f> IF(EK163&lt;&gt;"",TEXT(AUX!EP$1,"dd-MMM-aa"),"")</f>
      </c>
      <c r="EL143" s="496" t="str">
        <f> IF(EL163&lt;&gt;"",TEXT(AUX!EQ$1,"dd-MMM-aa"),"")</f>
      </c>
      <c r="EM143" s="496" t="str">
        <f> IF(EM163&lt;&gt;"",TEXT(AUX!ER$1,"dd-MMM-aa"),"")</f>
      </c>
      <c r="EN143" s="496" t="str">
        <f> IF(EN163&lt;&gt;"",TEXT(AUX!ES$1,"dd-MMM-aa"),"")</f>
      </c>
      <c r="EO143" s="496" t="str">
        <f> IF(EO163&lt;&gt;"",TEXT(AUX!ET$1,"dd-MMM-aa"),"")</f>
      </c>
      <c r="EP143" s="496" t="str">
        <f> IF(EP163&lt;&gt;"",TEXT(AUX!EU$1,"dd-MMM-aa"),"")</f>
      </c>
      <c r="EQ143" s="496" t="str">
        <f> IF(EQ163&lt;&gt;"",TEXT(AUX!EV$1,"dd-MMM-aa"),"")</f>
      </c>
      <c r="ER143" s="496" t="str">
        <f> IF(ER163&lt;&gt;"",TEXT(AUX!EW$1,"dd-MMM-aa"),"")</f>
      </c>
      <c r="ES143" s="496" t="str">
        <f> IF(ES163&lt;&gt;"",TEXT(AUX!EX$1,"dd-MMM-aa"),"")</f>
      </c>
      <c r="ET143" s="496" t="str">
        <f> IF(ET163&lt;&gt;"",TEXT(AUX!EY$1,"dd-MMM-aa"),"")</f>
      </c>
      <c r="EU143" s="496" t="str">
        <f> IF(EU163&lt;&gt;"",TEXT(AUX!EZ$1,"dd-MMM-aa"),"")</f>
      </c>
      <c r="EV143" s="496" t="str">
        <f> IF(EV163&lt;&gt;"",TEXT(AUX!FA$1,"dd-MMM-aa"),"")</f>
      </c>
      <c r="EW143" s="496" t="str">
        <f> IF(EW163&lt;&gt;"",TEXT(AUX!FB$1,"dd-MMM-aa"),"")</f>
      </c>
      <c r="EX143" s="496" t="str">
        <f> IF(EX163&lt;&gt;"",TEXT(AUX!FC$1,"dd-MMM-aa"),"")</f>
      </c>
      <c r="EY143" s="496" t="str">
        <f> IF(EY163&lt;&gt;"",TEXT(AUX!FD$1,"dd-MMM-aa"),"")</f>
      </c>
      <c r="EZ143" s="496" t="str">
        <f> IF(EZ163&lt;&gt;"",TEXT(AUX!FE$1,"dd-MMM-aa"),"")</f>
      </c>
      <c r="FA143" s="496" t="str">
        <f> IF(FA163&lt;&gt;"",TEXT(AUX!FF$1,"dd-MMM-aa"),"")</f>
      </c>
      <c r="FB143" s="496" t="str">
        <f> IF(FB163&lt;&gt;"",TEXT(AUX!FG$1,"dd-MMM-aa"),"")</f>
      </c>
      <c r="FC143" s="496" t="str">
        <f> IF(FC163&lt;&gt;"",TEXT(AUX!FH$1,"dd-MMM-aa"),"")</f>
      </c>
      <c r="FD143" s="496" t="str">
        <f> IF(FD163&lt;&gt;"",TEXT(AUX!FI$1,"dd-MMM-aa"),"")</f>
      </c>
      <c r="FE143" s="496" t="str">
        <f> IF(FE163&lt;&gt;"",TEXT(AUX!FJ$1,"dd-MMM-aa"),"")</f>
      </c>
      <c r="FF143" s="496" t="str">
        <f> IF(FF163&lt;&gt;"",TEXT(AUX!FK$1,"dd-MMM-aa"),"")</f>
      </c>
      <c r="FG143" s="496" t="str">
        <f> IF(FG163&lt;&gt;"",TEXT(AUX!FL$1,"dd-MMM-aa"),"")</f>
      </c>
      <c r="FH143" s="496" t="str">
        <f> IF(FH163&lt;&gt;"",TEXT(AUX!FM$1,"dd-MMM-aa"),"")</f>
      </c>
      <c r="FI143" s="496" t="str">
        <f> IF(FI163&lt;&gt;"",TEXT(AUX!FN$1,"dd-MMM-aa"),"")</f>
      </c>
      <c r="FJ143" s="496" t="str">
        <f> IF(FJ163&lt;&gt;"",TEXT(AUX!FO$1,"dd-MMM-aa"),"")</f>
      </c>
      <c r="FK143" s="496" t="str">
        <f> IF(FK163&lt;&gt;"",TEXT(AUX!FP$1,"dd-MMM-aa"),"")</f>
      </c>
      <c r="FL143" s="496" t="str">
        <f> IF(FL163&lt;&gt;"",TEXT(AUX!FQ$1,"dd-MMM-aa"),"")</f>
      </c>
      <c r="FM143" s="496" t="str">
        <f> IF(FM163&lt;&gt;"",TEXT(AUX!FR$1,"dd-MMM-aa"),"")</f>
      </c>
      <c r="FN143" s="496" t="str">
        <f> IF(FN163&lt;&gt;"",TEXT(AUX!FS$1,"dd-MMM-aa"),"")</f>
      </c>
      <c r="FO143" s="496" t="str">
        <f> IF(FO163&lt;&gt;"",TEXT(AUX!FT$1,"dd-MMM-aa"),"")</f>
      </c>
      <c r="FP143" s="496" t="str">
        <f> IF(FP163&lt;&gt;"",TEXT(AUX!FU$1,"dd-MMM-aa"),"")</f>
      </c>
      <c r="FQ143" s="496" t="str">
        <f> IF(FQ163&lt;&gt;"",TEXT(AUX!FV$1,"dd-MMM-aa"),"")</f>
      </c>
      <c r="FR143" s="496" t="str">
        <f> IF(FR163&lt;&gt;"",TEXT(AUX!FW$1,"dd-MMM-aa"),"")</f>
      </c>
      <c r="FS143" s="496" t="str">
        <f> IF(FS163&lt;&gt;"",TEXT(AUX!FX$1,"dd-MMM-aa"),"")</f>
      </c>
      <c r="FT143" s="496" t="str">
        <f> IF(FT163&lt;&gt;"",TEXT(AUX!FY$1,"dd-MMM-aa"),"")</f>
      </c>
      <c r="FU143" s="496" t="str">
        <f> IF(FU163&lt;&gt;"",TEXT(AUX!FZ$1,"dd-MMM-aa"),"")</f>
      </c>
      <c r="FV143" s="496" t="str">
        <f> IF(FV163&lt;&gt;"",TEXT(AUX!GA$1,"dd-MMM-aa"),"")</f>
      </c>
      <c r="FW143" s="496" t="str">
        <f> IF(FW163&lt;&gt;"",TEXT(AUX!GB$1,"dd-MMM-aa"),"")</f>
      </c>
      <c r="FX143" s="496" t="str">
        <f> IF(FX163&lt;&gt;"",TEXT(AUX!GC$1,"dd-MMM-aa"),"")</f>
      </c>
      <c r="FY143" s="496" t="str">
        <f> IF(FY163&lt;&gt;"",TEXT(AUX!GD$1,"dd-MMM-aa"),"")</f>
      </c>
      <c r="FZ143" s="496" t="str">
        <f> IF(FZ163&lt;&gt;"",TEXT(AUX!GE$1,"dd-MMM-aa"),"")</f>
      </c>
      <c r="GA143" s="496" t="str">
        <f> IF(GA163&lt;&gt;"",TEXT(AUX!GF$1,"dd-MMM-aa"),"")</f>
      </c>
      <c r="GB143" s="496" t="str">
        <f> IF(GB163&lt;&gt;"",TEXT(AUX!GG$1,"dd-MMM-aa"),"")</f>
      </c>
      <c r="GC143" s="496" t="str">
        <f> IF(GC163&lt;&gt;"",TEXT(AUX!GH$1,"dd-MMM-aa"),"")</f>
      </c>
      <c r="GD143" s="496" t="str">
        <f> IF(GD163&lt;&gt;"",TEXT(AUX!GI$1,"dd-MMM-aa"),"")</f>
      </c>
      <c r="GE143" s="496" t="str">
        <f> IF(GE163&lt;&gt;"",TEXT(AUX!GJ$1,"dd-MMM-aa"),"")</f>
      </c>
      <c r="GF143" s="496" t="str">
        <f> IF(GF163&lt;&gt;"",TEXT(AUX!GK$1,"dd-MMM-aa"),"")</f>
      </c>
      <c r="GG143" s="496" t="str">
        <f> IF(GG163&lt;&gt;"",TEXT(AUX!GL$1,"dd-MMM-aa"),"")</f>
      </c>
      <c r="GH143" s="496" t="str">
        <f> IF(GH163&lt;&gt;"",TEXT(AUX!GM$1,"dd-MMM-aa"),"")</f>
      </c>
      <c r="GI143" s="496" t="str">
        <f> IF(GI163&lt;&gt;"",TEXT(AUX!GN$1,"dd-MMM-aa"),"")</f>
      </c>
      <c r="GJ143" s="496" t="str">
        <f> IF(GJ163&lt;&gt;"",TEXT(AUX!GO$1,"dd-MMM-aa"),"")</f>
      </c>
      <c r="GK143" s="496" t="str">
        <f> IF(GK163&lt;&gt;"",TEXT(AUX!GP$1,"dd-MMM-aa"),"")</f>
      </c>
      <c r="GL143" s="496" t="str">
        <f> IF(GL163&lt;&gt;"",TEXT(AUX!GQ$1,"dd-MMM-aa"),"")</f>
      </c>
      <c r="GM143" s="496" t="str">
        <f> IF(GM163&lt;&gt;"",TEXT(AUX!GR$1,"dd-MMM-aa"),"")</f>
      </c>
      <c r="GN143" s="496" t="str">
        <f> IF(GN163&lt;&gt;"",TEXT(AUX!GS$1,"dd-MMM-aa"),"")</f>
      </c>
      <c r="GO143" s="496" t="str">
        <f> IF(GO163&lt;&gt;"",TEXT(AUX!GT$1,"dd-MMM-aa"),"")</f>
      </c>
      <c r="GP143" s="496" t="str">
        <f> IF(GP163&lt;&gt;"",TEXT(AUX!GU$1,"dd-MMM-aa"),"")</f>
      </c>
      <c r="GQ143" s="496" t="str">
        <f> IF(GQ163&lt;&gt;"",TEXT(AUX!GV$1,"dd-MMM-aa"),"")</f>
      </c>
      <c r="GR143" s="496" t="str">
        <f> IF(GR163&lt;&gt;"",TEXT(AUX!GW$1,"dd-MMM-aa"),"")</f>
      </c>
      <c r="GS143" s="496" t="str">
        <f> IF(GS163&lt;&gt;"",TEXT(AUX!GX$1,"dd-MMM-aa"),"")</f>
      </c>
      <c r="GT143" s="496" t="str">
        <f> IF(GT163&lt;&gt;"",TEXT(AUX!GY$1,"dd-MMM-aa"),"")</f>
      </c>
      <c r="GU143" s="496" t="str">
        <f> IF(GU163&lt;&gt;"",TEXT(AUX!GZ$1,"dd-MMM-aa"),"")</f>
      </c>
      <c r="GV143" s="496" t="str">
        <f> IF(GV163&lt;&gt;"",TEXT(AUX!HA$1,"dd-MMM-aa"),"")</f>
      </c>
      <c r="GW143" s="496" t="str">
        <f> IF(GW163&lt;&gt;"",TEXT(AUX!HB$1,"dd-MMM-aa"),"")</f>
      </c>
      <c r="GX143" s="496" t="str">
        <f> IF(GX163&lt;&gt;"",TEXT(AUX!HC$1,"dd-MMM-aa"),"")</f>
      </c>
      <c r="GY143" s="496" t="str">
        <f> IF(GY163&lt;&gt;"",TEXT(AUX!HD$1,"dd-MMM-aa"),"")</f>
      </c>
      <c r="GZ143" s="496" t="str">
        <f> IF(GZ163&lt;&gt;"",TEXT(AUX!HE$1,"dd-MMM-aa"),"")</f>
      </c>
      <c r="HA143" s="496" t="str">
        <f> IF(HA163&lt;&gt;"",TEXT(AUX!HF$1,"dd-MMM-aa"),"")</f>
      </c>
      <c r="HB143" s="496" t="str">
        <f> IF(HB163&lt;&gt;"",TEXT(AUX!HG$1,"dd-MMM-aa"),"")</f>
      </c>
      <c r="HC143" s="496" t="str">
        <f> IF(HC163&lt;&gt;"",TEXT(AUX!HH$1,"dd-MMM-aa"),"")</f>
      </c>
      <c r="HD143" s="496" t="str">
        <f> IF(HD163&lt;&gt;"",TEXT(AUX!HI$1,"dd-MMM-aa"),"")</f>
      </c>
      <c r="HE143" s="496" t="str">
        <f> IF(HE163&lt;&gt;"",TEXT(AUX!HJ$1,"dd-MMM-aa"),"")</f>
      </c>
      <c r="HF143" s="496" t="str">
        <f> IF(HF163&lt;&gt;"",TEXT(AUX!HK$1,"dd-MMM-aa"),"")</f>
      </c>
      <c r="HG143" s="496" t="str">
        <f> IF(HG163&lt;&gt;"",TEXT(AUX!HL$1,"dd-MMM-aa"),"")</f>
      </c>
      <c r="HH143" s="496" t="str">
        <f> IF(HH163&lt;&gt;"",TEXT(AUX!HM$1,"dd-MMM-aa"),"")</f>
      </c>
      <c r="HI143" s="496" t="str">
        <f> IF(HI163&lt;&gt;"",TEXT(AUX!HN$1,"dd-MMM-aa"),"")</f>
      </c>
      <c r="HJ143" s="496" t="str">
        <f> IF(HJ163&lt;&gt;"",TEXT(AUX!HO$1,"dd-MMM-aa"),"")</f>
      </c>
      <c r="HK143" s="496" t="str">
        <f> IF(HK163&lt;&gt;"",TEXT(AUX!HP$1,"dd-MMM-aa"),"")</f>
      </c>
      <c r="HL143" s="496" t="str">
        <f> IF(HL163&lt;&gt;"",TEXT(AUX!HQ$1,"dd-MMM-aa"),"")</f>
      </c>
      <c r="HM143" s="496" t="str">
        <f> IF(HM163&lt;&gt;"",TEXT(AUX!HR$1,"dd-MMM-aa"),"")</f>
      </c>
      <c r="HN143" s="496" t="str">
        <f> IF(HN163&lt;&gt;"",TEXT(AUX!HS$1,"dd-MMM-aa"),"")</f>
      </c>
      <c r="HO143" s="496" t="str">
        <f> IF(HO163&lt;&gt;"",TEXT(AUX!HT$1,"dd-MMM-aa"),"")</f>
      </c>
      <c r="HP143" s="496" t="str">
        <f> IF(HP163&lt;&gt;"",TEXT(AUX!HU$1,"dd-MMM-aa"),"")</f>
      </c>
      <c r="HQ143" s="496" t="str">
        <f> IF(HQ163&lt;&gt;"",TEXT(AUX!HV$1,"dd-MMM-aa"),"")</f>
      </c>
      <c r="HR143" s="496" t="str">
        <f> IF(HR163&lt;&gt;"",TEXT(AUX!HW$1,"dd-MMM-aa"),"")</f>
      </c>
      <c r="HS143" s="496" t="str">
        <f> IF(HS163&lt;&gt;"",TEXT(AUX!HX$1,"dd-MMM-aa"),"")</f>
      </c>
      <c r="HT143" s="496" t="str">
        <f> IF(HT163&lt;&gt;"",TEXT(AUX!HY$1,"dd-MMM-aa"),"")</f>
      </c>
      <c r="HU143" s="496" t="str">
        <f> IF(HU163&lt;&gt;"",TEXT(AUX!HZ$1,"dd-MMM-aa"),"")</f>
      </c>
      <c r="HV143" s="496" t="str">
        <f> IF(HV163&lt;&gt;"",TEXT(AUX!IA$1,"dd-MMM-aa"),"")</f>
      </c>
      <c r="HW143" s="496" t="str">
        <f> IF(HW163&lt;&gt;"",TEXT(AUX!IB$1,"dd-MMM-aa"),"")</f>
      </c>
      <c r="HX143" s="496" t="str">
        <f> IF(HX163&lt;&gt;"",TEXT(AUX!IC$1,"dd-MMM-aa"),"")</f>
      </c>
      <c r="HY143" s="496" t="str">
        <f> IF(HY163&lt;&gt;"",TEXT(AUX!ID$1,"dd-MMM-aa"),"")</f>
      </c>
      <c r="HZ143" s="496" t="str">
        <f> IF(HZ163&lt;&gt;"",TEXT(AUX!IE$1,"dd-MMM-aa"),"")</f>
      </c>
      <c r="IA143" s="496" t="str">
        <f> IF(IA163&lt;&gt;"",TEXT(AUX!IF$1,"dd-MMM-aa"),"")</f>
      </c>
      <c r="IB143" s="496" t="str">
        <f> IF(IB163&lt;&gt;"",TEXT(AUX!IG$1,"dd-MMM-aa"),"")</f>
      </c>
      <c r="IC143" s="496" t="str">
        <f> IF(IC163&lt;&gt;"",TEXT(AUX!IH$1,"dd-MMM-aa"),"")</f>
      </c>
      <c r="ID143" s="496" t="str">
        <f> IF(ID163&lt;&gt;"",TEXT(AUX!II$1,"dd-MMM-aa"),"")</f>
      </c>
      <c r="IE143" s="496" t="str">
        <f> IF(IE163&lt;&gt;"",TEXT(AUX!IJ$1,"dd-MMM-aa"),"")</f>
      </c>
      <c r="IF143" s="496" t="str">
        <f> IF(IF163&lt;&gt;"",TEXT(AUX!IK$1,"dd-MMM-aa"),"")</f>
      </c>
      <c r="IG143" s="496" t="str">
        <f> IF(IG163&lt;&gt;"",TEXT(AUX!IL$1,"dd-MMM-aa"),"")</f>
      </c>
      <c r="IH143" s="496" t="str">
        <f> IF(IH163&lt;&gt;"",TEXT(AUX!IM$1,"dd-MMM-aa"),"")</f>
      </c>
      <c r="II143" s="496" t="str">
        <f> IF(II163&lt;&gt;"",TEXT(AUX!IN$1,"dd-MMM-aa"),"")</f>
      </c>
      <c r="IJ143" s="496" t="str">
        <f> IF(IJ163&lt;&gt;"",TEXT(AUX!IO$1,"dd-MMM-aa"),"")</f>
      </c>
      <c r="IK143" s="496" t="str">
        <f> IF(IK163&lt;&gt;"",TEXT(AUX!IP$1,"dd-MMM-aa"),"")</f>
      </c>
      <c r="IL143" s="496" t="str">
        <f> IF(IL163&lt;&gt;"",TEXT(AUX!IQ$1,"dd-MMM-aa"),"")</f>
      </c>
      <c r="IM143" s="496" t="str">
        <f> IF(IM163&lt;&gt;"",TEXT(AUX!IR$1,"dd-MMM-aa"),"")</f>
      </c>
      <c r="IN143" s="496" t="str">
        <f> IF(IN163&lt;&gt;"",TEXT(AUX!IS$1,"dd-MMM-aa"),"")</f>
      </c>
      <c r="IO143" s="496" t="str">
        <f> IF(IO163&lt;&gt;"",TEXT(AUX!IT$1,"dd-MMM-aa"),"")</f>
      </c>
      <c r="IP143" s="496" t="str">
        <f> IF(IP163&lt;&gt;"",TEXT(AUX!IU$1,"dd-MMM-aa"),"")</f>
      </c>
      <c r="IQ143" s="496" t="str">
        <f> IF(IQ163&lt;&gt;"",TEXT(AUX!IV$1,"dd-MMM-aa"),"")</f>
      </c>
      <c r="IR143" s="496" t="str">
        <f> IF(IR163&lt;&gt;"",TEXT(AUX!#REF!,"dd-MMM-aa"),"")</f>
      </c>
      <c r="IS143" s="496" t="str">
        <f> IF(IS163&lt;&gt;"",TEXT(AUX!#REF!,"dd-MMM-aa"),"")</f>
      </c>
      <c r="IT143" s="496" t="str">
        <f> IF(IT163&lt;&gt;"",TEXT(AUX!#REF!,"dd-MMM-aa"),"")</f>
      </c>
      <c r="IU143" s="496" t="str">
        <f> IF(IU163&lt;&gt;"",TEXT(AUX!#REF!,"dd-MMM-aa"),"")</f>
      </c>
      <c r="IV143" s="496"/>
    </row>
    <row r="144" hidden="1">
      <c r="A144" s="838" t="s">
        <v>8</v>
      </c>
      <c r="B144" s="839">
        <f>B121 + B98</f>
        <v>62718</v>
      </c>
      <c r="C144" s="839">
        <f>C121 + C98</f>
        <v>77062</v>
      </c>
      <c r="D144" s="839">
        <f>D121 + D98</f>
        <v>100180</v>
      </c>
      <c r="E144" s="839">
        <f>E121 + E98</f>
        <v>109012</v>
      </c>
      <c r="F144" s="839">
        <f>F121 + F98</f>
        <v>113587</v>
      </c>
      <c r="G144" s="839">
        <f>G121 + G98</f>
        <v>116802</v>
      </c>
      <c r="H144" s="839">
        <f>H121 + H98</f>
        <v>119528</v>
      </c>
      <c r="I144" s="839">
        <f>I121 + I98</f>
        <v>122096</v>
      </c>
      <c r="J144" s="839">
        <f>J121 + J98</f>
        <v>124314</v>
      </c>
      <c r="K144" s="839">
        <f>K121 + K98</f>
        <v>126368</v>
      </c>
      <c r="L144" s="839">
        <f>L121 + L98</f>
        <v>129625</v>
      </c>
      <c r="M144" s="839">
        <f>M121 + M98</f>
        <v>132114</v>
      </c>
      <c r="N144" s="839">
        <f>N121 + N98</f>
        <v>135203</v>
      </c>
      <c r="O144" s="839">
        <f>O121 + O98</f>
        <v>137127</v>
      </c>
      <c r="P144" s="839">
        <f>P121 + P98</f>
        <v>139431</v>
      </c>
      <c r="Q144" s="839">
        <f>Q121 + Q98</f>
        <v>141168</v>
      </c>
      <c r="R144" s="839">
        <f>R121 + R98</f>
        <v>143265</v>
      </c>
      <c r="S144" s="839">
        <f>S121 + S98</f>
        <v>144937</v>
      </c>
      <c r="T144" s="839">
        <f>T121 + T98</f>
        <v>148044</v>
      </c>
      <c r="U144" s="839">
        <f>U121 + U98</f>
        <v>149657</v>
      </c>
      <c r="V144" s="839">
        <f>V121 + V98</f>
        <v>151286</v>
      </c>
      <c r="W144" s="839">
        <f>W121 + W98</f>
        <v>152515</v>
      </c>
      <c r="X144" s="839">
        <f>X121 + X98</f>
        <v>153856</v>
      </c>
      <c r="Y144" s="839">
        <f>Y121 + Y98</f>
        <v>154932</v>
      </c>
      <c r="Z144" s="839">
        <f>Z121 + Z98</f>
        <v>156248</v>
      </c>
      <c r="AA144" s="840">
        <f>AA121 + AA98</f>
        <v>157275</v>
      </c>
      <c r="AB144" s="841">
        <f>AB121 + AB98</f>
        <v>158606</v>
      </c>
      <c r="AC144" s="841">
        <f>AC121 + AC98</f>
        <v>159637</v>
      </c>
      <c r="AD144" s="841">
        <f>AD121 + AD98</f>
        <v>160410</v>
      </c>
      <c r="AE144" s="841">
        <f>AE121 + AE98</f>
        <v>161711</v>
      </c>
      <c r="AF144" s="841">
        <f>AF121 + AF98</f>
        <v>163021</v>
      </c>
      <c r="AG144" s="841">
        <f>AG121 + AG98</f>
        <v>164094</v>
      </c>
      <c r="AH144" s="841">
        <f>AH121 + AH98</f>
        <v>165386</v>
      </c>
      <c r="AI144" s="841">
        <f>AI121 + AI98</f>
        <v>166508</v>
      </c>
      <c r="AJ144" s="841">
        <f>AJ121 + AJ98</f>
        <v>167889</v>
      </c>
      <c r="AK144" s="841">
        <f>AK121 + AK98</f>
        <v>169213</v>
      </c>
      <c r="AL144" s="841">
        <f>AL121 + AL98</f>
        <v>170861</v>
      </c>
      <c r="AM144" s="841">
        <f>AM121 + AM98</f>
        <v>172129</v>
      </c>
      <c r="AN144" s="841">
        <f>AN121 + AN98</f>
        <v>177694</v>
      </c>
      <c r="AO144" s="841">
        <f>AO121 + AO98</f>
        <v>181645</v>
      </c>
    </row>
    <row r="145" hidden="1">
      <c r="A145" s="842" t="s">
        <v>9</v>
      </c>
      <c r="B145" s="839">
        <f>B122 + B99</f>
        <v>27859</v>
      </c>
      <c r="C145" s="839">
        <f>C122 + C99</f>
        <v>28068</v>
      </c>
      <c r="D145" s="839">
        <f>D122 + D99</f>
        <v>28314</v>
      </c>
      <c r="E145" s="839">
        <f>E122 + E99</f>
        <v>28545</v>
      </c>
      <c r="F145" s="839">
        <f>F122 + F99</f>
        <v>28748</v>
      </c>
      <c r="G145" s="839">
        <f>G122 + G99</f>
        <v>28915</v>
      </c>
      <c r="H145" s="839">
        <f>H122 + H99</f>
        <v>29082</v>
      </c>
      <c r="I145" s="839">
        <f>I122 + I99</f>
        <v>29219</v>
      </c>
      <c r="J145" s="839">
        <f>J122 + J99</f>
        <v>29449</v>
      </c>
      <c r="K145" s="839">
        <f>K122 + K99</f>
        <v>29624</v>
      </c>
      <c r="L145" s="839">
        <f>L122 + L99</f>
        <v>29852</v>
      </c>
      <c r="M145" s="839">
        <f>M122 + M99</f>
        <v>30008</v>
      </c>
      <c r="N145" s="839">
        <f>N122 + N99</f>
        <v>30281</v>
      </c>
      <c r="O145" s="839">
        <f>O122 + O99</f>
        <v>30597</v>
      </c>
      <c r="P145" s="839">
        <f>P122 + P99</f>
        <v>31146</v>
      </c>
      <c r="Q145" s="839">
        <f>Q122 + Q99</f>
        <v>31594</v>
      </c>
      <c r="R145" s="839">
        <f>R122 + R99</f>
        <v>32086</v>
      </c>
      <c r="S145" s="839">
        <f>S122 + S99</f>
        <v>32416</v>
      </c>
      <c r="T145" s="839">
        <f>T122 + T99</f>
        <v>32881</v>
      </c>
      <c r="U145" s="839">
        <f>U122 + U99</f>
        <v>33205</v>
      </c>
      <c r="V145" s="839">
        <f>V122 + V99</f>
        <v>33627</v>
      </c>
      <c r="W145" s="839">
        <f>W122 + W99</f>
        <v>34018</v>
      </c>
      <c r="X145" s="839">
        <f>X122 + X99</f>
        <v>34557</v>
      </c>
      <c r="Y145" s="839">
        <f>Y122 + Y99</f>
        <v>34874</v>
      </c>
      <c r="Z145" s="839">
        <f>Z122 + Z99</f>
        <v>35679</v>
      </c>
      <c r="AA145" s="839">
        <f>AA122 + AA99</f>
        <v>36004</v>
      </c>
      <c r="AB145" s="841">
        <f>AB122 + AB99</f>
        <v>36367</v>
      </c>
      <c r="AC145" s="841">
        <f>AC122 + AC99</f>
        <v>36714</v>
      </c>
      <c r="AD145" s="841">
        <f>AD122 + AD99</f>
        <v>36974</v>
      </c>
      <c r="AE145" s="841">
        <f>AE122 + AE99</f>
        <v>37321</v>
      </c>
      <c r="AF145" s="841">
        <f>AF122 + AF99</f>
        <v>37726</v>
      </c>
      <c r="AG145" s="841">
        <f>AG122 + AG99</f>
        <v>38043</v>
      </c>
      <c r="AH145" s="841">
        <f>AH122 + AH99</f>
        <v>38363</v>
      </c>
      <c r="AI145" s="841">
        <f>AI122 + AI99</f>
        <v>38587</v>
      </c>
      <c r="AJ145" s="841">
        <f>AJ122 + AJ99</f>
        <v>38910</v>
      </c>
      <c r="AK145" s="841">
        <f>AK122 + AK99</f>
        <v>39210</v>
      </c>
      <c r="AL145" s="841">
        <f>AL122 + AL99</f>
        <v>39484</v>
      </c>
      <c r="AM145" s="841">
        <f>AM122 + AM99</f>
        <v>39688</v>
      </c>
      <c r="AN145" s="841">
        <f>AN122 + AN99</f>
        <v>40535</v>
      </c>
      <c r="AO145" s="841">
        <f>AO122 + AO99</f>
        <v>41963</v>
      </c>
    </row>
    <row r="146" hidden="1">
      <c r="A146" s="842" t="s">
        <v>10</v>
      </c>
      <c r="B146" s="839">
        <f>B123 + B100</f>
        <v>50500</v>
      </c>
      <c r="C146" s="839">
        <f>C123 + C100</f>
        <v>50750</v>
      </c>
      <c r="D146" s="839">
        <f>D123 + D100</f>
        <v>51308</v>
      </c>
      <c r="E146" s="839">
        <f>E123 + E100</f>
        <v>51910</v>
      </c>
      <c r="F146" s="839">
        <f>F123 + F100</f>
        <v>52561</v>
      </c>
      <c r="G146" s="839">
        <f>G123 + G100</f>
        <v>53260</v>
      </c>
      <c r="H146" s="839">
        <f>H123 + H100</f>
        <v>53841</v>
      </c>
      <c r="I146" s="839">
        <f>I123 + I100</f>
        <v>54201</v>
      </c>
      <c r="J146" s="839">
        <f>J123 + J100</f>
        <v>54884</v>
      </c>
      <c r="K146" s="839">
        <f>K123 + K100</f>
        <v>55860</v>
      </c>
      <c r="L146" s="839">
        <f>L123 + L100</f>
        <v>56415</v>
      </c>
      <c r="M146" s="839">
        <f>M123 + M100</f>
        <v>57094</v>
      </c>
      <c r="N146" s="839">
        <f>N123 + N100</f>
        <v>57550</v>
      </c>
      <c r="O146" s="839">
        <f>O123 + O100</f>
        <v>58185</v>
      </c>
      <c r="P146" s="839">
        <f>P123 + P100</f>
        <v>58633</v>
      </c>
      <c r="Q146" s="839">
        <f>Q123 + Q100</f>
        <v>59121</v>
      </c>
      <c r="R146" s="839">
        <f>R123 + R100</f>
        <v>59455</v>
      </c>
      <c r="S146" s="839">
        <f>S123 + S100</f>
        <v>59754</v>
      </c>
      <c r="T146" s="839">
        <f>T123 + T100</f>
        <v>60007</v>
      </c>
      <c r="U146" s="839">
        <f>U123 + U100</f>
        <v>60360</v>
      </c>
      <c r="V146" s="839">
        <f>V123 + V100</f>
        <v>60748</v>
      </c>
      <c r="W146" s="839">
        <f>W123 + W100</f>
        <v>61067</v>
      </c>
      <c r="X146" s="839">
        <f>X123 + X100</f>
        <v>61378</v>
      </c>
      <c r="Y146" s="839">
        <f>Y123 + Y100</f>
        <v>61611</v>
      </c>
      <c r="Z146" s="839">
        <f>Z123 + Z100</f>
        <v>61916</v>
      </c>
      <c r="AA146" s="839">
        <f>AA123 + AA100</f>
        <v>62159</v>
      </c>
      <c r="AB146" s="841">
        <f>AB123 + AB100</f>
        <v>62427</v>
      </c>
      <c r="AC146" s="841">
        <f>AC123 + AC100</f>
        <v>62628</v>
      </c>
      <c r="AD146" s="841">
        <f>AD123 + AD100</f>
        <v>63229</v>
      </c>
      <c r="AE146" s="841">
        <f>AE123 + AE100</f>
        <v>63836</v>
      </c>
      <c r="AF146" s="841">
        <f>AF123 + AF100</f>
        <v>64457</v>
      </c>
      <c r="AG146" s="841">
        <f>AG123 + AG100</f>
        <v>64797</v>
      </c>
      <c r="AH146" s="841">
        <f>AH123 + AH100</f>
        <v>65199</v>
      </c>
      <c r="AI146" s="841">
        <f>AI123 + AI100</f>
        <v>65501</v>
      </c>
      <c r="AJ146" s="841">
        <f>AJ123 + AJ100</f>
        <v>66233</v>
      </c>
      <c r="AK146" s="841">
        <f>AK123 + AK100</f>
        <v>66610</v>
      </c>
      <c r="AL146" s="841">
        <f>AL123 + AL100</f>
        <v>67354</v>
      </c>
      <c r="AM146" s="841">
        <f>AM123 + AM100</f>
        <v>68313</v>
      </c>
      <c r="AN146" s="841">
        <f>AN123 + AN100</f>
        <v>68949</v>
      </c>
      <c r="AO146" s="841">
        <f>AO123 + AO100</f>
        <v>69893</v>
      </c>
    </row>
    <row r="147" hidden="1">
      <c r="A147" s="842" t="s">
        <v>11</v>
      </c>
      <c r="B147" s="839">
        <f>B124 + B101</f>
        <v>11058</v>
      </c>
      <c r="C147" s="839">
        <f>C124 + C101</f>
        <v>11640</v>
      </c>
      <c r="D147" s="839">
        <f>D124 + D101</f>
        <v>11867</v>
      </c>
      <c r="E147" s="839">
        <f>E124 + E101</f>
        <v>11985</v>
      </c>
      <c r="F147" s="839">
        <f>F124 + F101</f>
        <v>12266</v>
      </c>
      <c r="G147" s="839">
        <f>G124 + G101</f>
        <v>12495</v>
      </c>
      <c r="H147" s="839">
        <f>H124 + H101</f>
        <v>12703</v>
      </c>
      <c r="I147" s="839">
        <f>I124 + I101</f>
        <v>12953</v>
      </c>
      <c r="J147" s="839">
        <f>J124 + J101</f>
        <v>13270</v>
      </c>
      <c r="K147" s="839">
        <f>K124 + K101</f>
        <v>13326</v>
      </c>
      <c r="L147" s="839">
        <f>L124 + L101</f>
        <v>13726</v>
      </c>
      <c r="M147" s="839">
        <f>M124 + M101</f>
        <v>13959</v>
      </c>
      <c r="N147" s="839">
        <f>N124 + N101</f>
        <v>14184</v>
      </c>
      <c r="O147" s="839">
        <f>O124 + O101</f>
        <v>14725</v>
      </c>
      <c r="P147" s="839">
        <f>P124 + P101</f>
        <v>14995</v>
      </c>
      <c r="Q147" s="839">
        <f>Q124 + Q101</f>
        <v>15196</v>
      </c>
      <c r="R147" s="839">
        <f>R124 + R101</f>
        <v>15450</v>
      </c>
      <c r="S147" s="839">
        <f>S124 + S101</f>
        <v>15619</v>
      </c>
      <c r="T147" s="839">
        <f>T124 + T101</f>
        <v>15876</v>
      </c>
      <c r="U147" s="839">
        <f>U124 + U101</f>
        <v>16053</v>
      </c>
      <c r="V147" s="839">
        <f>V124 + V101</f>
        <v>16264</v>
      </c>
      <c r="W147" s="839">
        <f>W124 + W101</f>
        <v>16411</v>
      </c>
      <c r="X147" s="839">
        <f>X124 + X101</f>
        <v>16626</v>
      </c>
      <c r="Y147" s="839">
        <f>Y124 + Y101</f>
        <v>16768</v>
      </c>
      <c r="Z147" s="839">
        <f>Z124 + Z101</f>
        <v>16924</v>
      </c>
      <c r="AA147" s="839">
        <f>AA124 + AA101</f>
        <v>17025</v>
      </c>
      <c r="AB147" s="841">
        <f>AB124 + AB101</f>
        <v>17274</v>
      </c>
      <c r="AC147" s="841">
        <f>AC124 + AC101</f>
        <v>17443</v>
      </c>
      <c r="AD147" s="841">
        <f>AD124 + AD101</f>
        <v>17608</v>
      </c>
      <c r="AE147" s="841">
        <f>AE124 + AE101</f>
        <v>17858</v>
      </c>
      <c r="AF147" s="841">
        <f>AF124 + AF101</f>
        <v>18154</v>
      </c>
      <c r="AG147" s="841">
        <f>AG124 + AG101</f>
        <v>18443</v>
      </c>
      <c r="AH147" s="841">
        <f>AH124 + AH101</f>
        <v>18713</v>
      </c>
      <c r="AI147" s="841">
        <f>AI124 + AI101</f>
        <v>18947</v>
      </c>
      <c r="AJ147" s="841">
        <f>AJ124 + AJ101</f>
        <v>19238</v>
      </c>
      <c r="AK147" s="841">
        <f>AK124 + AK101</f>
        <v>19536</v>
      </c>
      <c r="AL147" s="841">
        <f>AL124 + AL101</f>
        <v>19832</v>
      </c>
      <c r="AM147" s="841">
        <f>AM124 + AM101</f>
        <v>20178</v>
      </c>
      <c r="AN147" s="841">
        <f>AN124 + AN101</f>
        <v>20957</v>
      </c>
      <c r="AO147" s="841">
        <f>AO124 + AO101</f>
        <v>21659</v>
      </c>
    </row>
    <row r="148" hidden="1">
      <c r="A148" s="842" t="s">
        <v>12</v>
      </c>
      <c r="B148" s="839">
        <f>B125 + B102</f>
        <v>14758</v>
      </c>
      <c r="C148" s="839">
        <f>C125 + C102</f>
        <v>15177</v>
      </c>
      <c r="D148" s="839">
        <f>D125 + D102</f>
        <v>15775</v>
      </c>
      <c r="E148" s="839">
        <f>E125 + E102</f>
        <v>16076</v>
      </c>
      <c r="F148" s="839">
        <f>F125 + F102</f>
        <v>16475</v>
      </c>
      <c r="G148" s="839">
        <f>G125 + G102</f>
        <v>16796</v>
      </c>
      <c r="H148" s="839">
        <f>H125 + H102</f>
        <v>17230</v>
      </c>
      <c r="I148" s="839">
        <f>I125 + I102</f>
        <v>17404</v>
      </c>
      <c r="J148" s="839">
        <f>J125 + J102</f>
        <v>17578</v>
      </c>
      <c r="K148" s="839">
        <f>K125 + K102</f>
        <v>17750</v>
      </c>
      <c r="L148" s="839">
        <f>L125 + L102</f>
        <v>17979</v>
      </c>
      <c r="M148" s="839">
        <f>M125 + M102</f>
        <v>18150</v>
      </c>
      <c r="N148" s="839">
        <f>N125 + N102</f>
        <v>18353</v>
      </c>
      <c r="O148" s="839">
        <f>O125 + O102</f>
        <v>18479</v>
      </c>
      <c r="P148" s="839">
        <f>P125 + P102</f>
        <v>18672</v>
      </c>
      <c r="Q148" s="839">
        <f>Q125 + Q102</f>
        <v>18846</v>
      </c>
      <c r="R148" s="839">
        <f>R125 + R102</f>
        <v>19037</v>
      </c>
      <c r="S148" s="839">
        <f>S125 + S102</f>
        <v>19222</v>
      </c>
      <c r="T148" s="839">
        <f>T125 + T102</f>
        <v>19398</v>
      </c>
      <c r="U148" s="839">
        <f>U125 + U102</f>
        <v>19647</v>
      </c>
      <c r="V148" s="839">
        <f>V125 + V102</f>
        <v>19861</v>
      </c>
      <c r="W148" s="839">
        <f>W125 + W102</f>
        <v>20047</v>
      </c>
      <c r="X148" s="839">
        <f>X125 + X102</f>
        <v>20291</v>
      </c>
      <c r="Y148" s="839">
        <f>Y125 + Y102</f>
        <v>20408</v>
      </c>
      <c r="Z148" s="839">
        <f>Z125 + Z102</f>
        <v>20561</v>
      </c>
      <c r="AA148" s="839">
        <f>AA125 + AA102</f>
        <v>20708</v>
      </c>
      <c r="AB148" s="841">
        <f>AB125 + AB102</f>
        <v>20813</v>
      </c>
      <c r="AC148" s="841">
        <f>AC125 + AC102</f>
        <v>20899</v>
      </c>
      <c r="AD148" s="841">
        <f>AD125 + AD102</f>
        <v>20991</v>
      </c>
      <c r="AE148" s="841">
        <f>AE125 + AE102</f>
        <v>21116</v>
      </c>
      <c r="AF148" s="841">
        <f>AF125 + AF102</f>
        <v>21295</v>
      </c>
      <c r="AG148" s="841">
        <f>AG125 + AG102</f>
        <v>21426</v>
      </c>
      <c r="AH148" s="841">
        <f>AH125 + AH102</f>
        <v>21557</v>
      </c>
      <c r="AI148" s="841">
        <f>AI125 + AI102</f>
        <v>21677</v>
      </c>
      <c r="AJ148" s="841">
        <f>AJ125 + AJ102</f>
        <v>21777</v>
      </c>
      <c r="AK148" s="841">
        <f>AK125 + AK102</f>
        <v>21938</v>
      </c>
      <c r="AL148" s="841">
        <f>AL125 + AL102</f>
        <v>22158</v>
      </c>
      <c r="AM148" s="841">
        <f>AM125 + AM102</f>
        <v>22400</v>
      </c>
      <c r="AN148" s="841">
        <f>AN125 + AN102</f>
        <v>22627</v>
      </c>
      <c r="AO148" s="841">
        <f>AO125 + AO102</f>
        <v>22861</v>
      </c>
    </row>
    <row r="149" hidden="1">
      <c r="A149" s="842" t="s">
        <v>13</v>
      </c>
      <c r="B149" s="839">
        <f>B126 + B103</f>
        <v>30132</v>
      </c>
      <c r="C149" s="839">
        <f>C126 + C103</f>
        <v>30445</v>
      </c>
      <c r="D149" s="839">
        <f>D126 + D103</f>
        <v>30747</v>
      </c>
      <c r="E149" s="839">
        <f>E126 + E103</f>
        <v>31120</v>
      </c>
      <c r="F149" s="839">
        <f>F126 + F103</f>
        <v>31568</v>
      </c>
      <c r="G149" s="839">
        <f>G126 + G103</f>
        <v>31906</v>
      </c>
      <c r="H149" s="839">
        <f>H126 + H103</f>
        <v>32200</v>
      </c>
      <c r="I149" s="839">
        <f>I126 + I103</f>
        <v>32438</v>
      </c>
      <c r="J149" s="839">
        <f>J126 + J103</f>
        <v>32801</v>
      </c>
      <c r="K149" s="839">
        <f>K126 + K103</f>
        <v>33079</v>
      </c>
      <c r="L149" s="839">
        <f>L126 + L103</f>
        <v>33379</v>
      </c>
      <c r="M149" s="839">
        <f>M126 + M103</f>
        <v>33589</v>
      </c>
      <c r="N149" s="839">
        <f>N126 + N103</f>
        <v>33873</v>
      </c>
      <c r="O149" s="839">
        <f>O126 + O103</f>
        <v>34067</v>
      </c>
      <c r="P149" s="839">
        <f>P126 + P103</f>
        <v>34333</v>
      </c>
      <c r="Q149" s="839">
        <f>Q126 + Q103</f>
        <v>34542</v>
      </c>
      <c r="R149" s="839">
        <f>R126 + R103</f>
        <v>34816</v>
      </c>
      <c r="S149" s="839">
        <f>S126 + S103</f>
        <v>35003</v>
      </c>
      <c r="T149" s="839">
        <f>T126 + T103</f>
        <v>35243</v>
      </c>
      <c r="U149" s="839">
        <f>U126 + U103</f>
        <v>35424</v>
      </c>
      <c r="V149" s="839">
        <f>V126 + V103</f>
        <v>35662</v>
      </c>
      <c r="W149" s="839">
        <f>W126 + W103</f>
        <v>35818</v>
      </c>
      <c r="X149" s="839">
        <f>X126 + X103</f>
        <v>36062</v>
      </c>
      <c r="Y149" s="839">
        <f>Y126 + Y103</f>
        <v>36240</v>
      </c>
      <c r="Z149" s="839">
        <f>Z126 + Z103</f>
        <v>36434</v>
      </c>
      <c r="AA149" s="839">
        <f>AA126 + AA103</f>
        <v>36596</v>
      </c>
      <c r="AB149" s="841">
        <f>AB126 + AB103</f>
        <v>36765</v>
      </c>
      <c r="AC149" s="841">
        <f>AC126 + AC103</f>
        <v>36979</v>
      </c>
      <c r="AD149" s="841">
        <f>AD126 + AD103</f>
        <v>37113</v>
      </c>
      <c r="AE149" s="841">
        <f>AE126 + AE103</f>
        <v>37328</v>
      </c>
      <c r="AF149" s="841">
        <f>AF126 + AF103</f>
        <v>37556</v>
      </c>
      <c r="AG149" s="841">
        <f>AG126 + AG103</f>
        <v>37730</v>
      </c>
      <c r="AH149" s="841">
        <f>AH126 + AH103</f>
        <v>37906</v>
      </c>
      <c r="AI149" s="841">
        <f>AI126 + AI103</f>
        <v>38079</v>
      </c>
      <c r="AJ149" s="841">
        <f>AJ126 + AJ103</f>
        <v>38273</v>
      </c>
      <c r="AK149" s="841">
        <f>AK126 + AK103</f>
        <v>38477</v>
      </c>
      <c r="AL149" s="841">
        <f>AL126 + AL103</f>
        <v>38819</v>
      </c>
      <c r="AM149" s="841">
        <f>AM126 + AM103</f>
        <v>39073</v>
      </c>
      <c r="AN149" s="841">
        <f>AN126 + AN103</f>
        <v>39273</v>
      </c>
      <c r="AO149" s="841">
        <f>AO126 + AO103</f>
        <v>40425</v>
      </c>
    </row>
    <row r="150" hidden="1">
      <c r="A150" s="842" t="s">
        <v>109</v>
      </c>
      <c r="B150" s="839">
        <f>B127 + B104</f>
        <v>29215</v>
      </c>
      <c r="C150" s="839">
        <f>C127 + C104</f>
        <v>29541</v>
      </c>
      <c r="D150" s="839">
        <f>D127 + D104</f>
        <v>31571</v>
      </c>
      <c r="E150" s="839">
        <f>E127 + E104</f>
        <v>31936</v>
      </c>
      <c r="F150" s="839">
        <f>F127 + F104</f>
        <v>32753</v>
      </c>
      <c r="G150" s="839">
        <f>G127 + G104</f>
        <v>33069</v>
      </c>
      <c r="H150" s="839">
        <f>H127 + H104</f>
        <v>33385</v>
      </c>
      <c r="I150" s="839">
        <f>I127 + I104</f>
        <v>33679</v>
      </c>
      <c r="J150" s="839">
        <f>J127 + J104</f>
        <v>34058</v>
      </c>
      <c r="K150" s="839">
        <f>K127 + K104</f>
        <v>34443</v>
      </c>
      <c r="L150" s="839">
        <f>L127 + L104</f>
        <v>34878</v>
      </c>
      <c r="M150" s="839">
        <f>M127 + M104</f>
        <v>35296</v>
      </c>
      <c r="N150" s="839">
        <f>N127 + N104</f>
        <v>35750</v>
      </c>
      <c r="O150" s="839">
        <f>O127 + O104</f>
        <v>36127</v>
      </c>
      <c r="P150" s="839">
        <f>P127 + P104</f>
        <v>36649</v>
      </c>
      <c r="Q150" s="839">
        <f>Q127 + Q104</f>
        <v>37082</v>
      </c>
      <c r="R150" s="839">
        <f>R127 + R104</f>
        <v>37593</v>
      </c>
      <c r="S150" s="839">
        <f>S127 + S104</f>
        <v>38048</v>
      </c>
      <c r="T150" s="839">
        <f>T127 + T104</f>
        <v>38609</v>
      </c>
      <c r="U150" s="839">
        <f>U127 + U104</f>
        <v>39967</v>
      </c>
      <c r="V150" s="839">
        <f>V127 + V104</f>
        <v>40413</v>
      </c>
      <c r="W150" s="839">
        <f>W127 + W104</f>
        <v>40797</v>
      </c>
      <c r="X150" s="839">
        <f>X127 + X104</f>
        <v>41186</v>
      </c>
      <c r="Y150" s="839">
        <f>Y127 + Y104</f>
        <v>41556</v>
      </c>
      <c r="Z150" s="839">
        <f>Z127 + Z104</f>
        <v>41923</v>
      </c>
      <c r="AA150" s="839">
        <f>AA127 + AA104</f>
        <v>42306</v>
      </c>
      <c r="AB150" s="841">
        <f>AB127 + AB104</f>
        <v>42764</v>
      </c>
      <c r="AC150" s="841">
        <f>AC127 + AC104</f>
        <v>43273</v>
      </c>
      <c r="AD150" s="841">
        <f>AD127 + AD104</f>
        <v>46156</v>
      </c>
      <c r="AE150" s="841">
        <f>AE127 + AE104</f>
        <v>46558</v>
      </c>
      <c r="AF150" s="841">
        <f>AF127 + AF104</f>
        <v>47151</v>
      </c>
      <c r="AG150" s="841">
        <f>AG127 + AG104</f>
        <v>47592</v>
      </c>
      <c r="AH150" s="841">
        <f>AH127 + AH104</f>
        <v>48265</v>
      </c>
      <c r="AI150" s="841">
        <f>AI127 + AI104</f>
        <v>49168</v>
      </c>
      <c r="AJ150" s="841">
        <f>AJ127 + AJ104</f>
        <v>49538</v>
      </c>
      <c r="AK150" s="841">
        <f>AK127 + AK104</f>
        <v>49890</v>
      </c>
      <c r="AL150" s="841">
        <f>AL127 + AL104</f>
        <v>50595</v>
      </c>
      <c r="AM150" s="841">
        <f>AM127 + AM104</f>
        <v>50990</v>
      </c>
      <c r="AN150" s="841">
        <f>AN127 + AN104</f>
        <v>53421</v>
      </c>
      <c r="AO150" s="841">
        <f>AO127 + AO104</f>
        <v>55923</v>
      </c>
    </row>
    <row r="151" hidden="1">
      <c r="A151" s="842" t="s">
        <v>110</v>
      </c>
      <c r="B151" s="839">
        <f>B128 + B105</f>
        <v>95203</v>
      </c>
      <c r="C151" s="839">
        <f>C128 + C105</f>
        <v>96924</v>
      </c>
      <c r="D151" s="839">
        <f>D128 + D105</f>
        <v>99321</v>
      </c>
      <c r="E151" s="839">
        <f>E128 + E105</f>
        <v>101066</v>
      </c>
      <c r="F151" s="839">
        <f>F128 + F105</f>
        <v>102619</v>
      </c>
      <c r="G151" s="839">
        <f>G128 + G105</f>
        <v>104056</v>
      </c>
      <c r="H151" s="839">
        <f>H128 + H105</f>
        <v>105438</v>
      </c>
      <c r="I151" s="839">
        <f>I128 + I105</f>
        <v>107074</v>
      </c>
      <c r="J151" s="839">
        <f>J128 + J105</f>
        <v>109929</v>
      </c>
      <c r="K151" s="839">
        <f>K128 + K105</f>
        <v>111535</v>
      </c>
      <c r="L151" s="839">
        <f>L128 + L105</f>
        <v>113288</v>
      </c>
      <c r="M151" s="839">
        <f>M128 + M105</f>
        <v>114855</v>
      </c>
      <c r="N151" s="839">
        <f>N128 + N105</f>
        <v>116999</v>
      </c>
      <c r="O151" s="839">
        <f>O128 + O105</f>
        <v>118559</v>
      </c>
      <c r="P151" s="839">
        <f>P128 + P105</f>
        <v>120270</v>
      </c>
      <c r="Q151" s="839">
        <f>Q128 + Q105</f>
        <v>121668</v>
      </c>
      <c r="R151" s="839">
        <f>R128 + R105</f>
        <v>124336</v>
      </c>
      <c r="S151" s="839">
        <f>S128 + S105</f>
        <v>126040</v>
      </c>
      <c r="T151" s="839">
        <f>T128 + T105</f>
        <v>128012</v>
      </c>
      <c r="U151" s="839">
        <f>U128 + U105</f>
        <v>129460</v>
      </c>
      <c r="V151" s="839">
        <f>V128 + V105</f>
        <v>131134</v>
      </c>
      <c r="W151" s="839">
        <f>W128 + W105</f>
        <v>132460</v>
      </c>
      <c r="X151" s="839">
        <f>X128 + X105</f>
        <v>134142</v>
      </c>
      <c r="Y151" s="839">
        <f>Y128 + Y105</f>
        <v>135415</v>
      </c>
      <c r="Z151" s="839">
        <f>Z128 + Z105</f>
        <v>136606</v>
      </c>
      <c r="AA151" s="839">
        <f>AA128 + AA105</f>
        <v>137814</v>
      </c>
      <c r="AB151" s="841">
        <f>AB128 + AB105</f>
        <v>139263</v>
      </c>
      <c r="AC151" s="841">
        <f>AC128 + AC105</f>
        <v>140483</v>
      </c>
      <c r="AD151" s="841">
        <f>AD128 + AD105</f>
        <v>141384</v>
      </c>
      <c r="AE151" s="841">
        <f>AE128 + AE105</f>
        <v>142947</v>
      </c>
      <c r="AF151" s="841">
        <f>AF128 + AF105</f>
        <v>144676</v>
      </c>
      <c r="AG151" s="841">
        <f>AG128 + AG105</f>
        <v>145779</v>
      </c>
      <c r="AH151" s="841">
        <f>AH128 + AH105</f>
        <v>147603</v>
      </c>
      <c r="AI151" s="841">
        <f>AI128 + AI105</f>
        <v>149257</v>
      </c>
      <c r="AJ151" s="841">
        <f>AJ128 + AJ105</f>
        <v>150781</v>
      </c>
      <c r="AK151" s="841">
        <f>AK128 + AK105</f>
        <v>151766</v>
      </c>
      <c r="AL151" s="841">
        <f>AL128 + AL105</f>
        <v>153407</v>
      </c>
      <c r="AM151" s="841">
        <f>AM128 + AM105</f>
        <v>154610</v>
      </c>
      <c r="AN151" s="841">
        <f>AN128 + AN105</f>
        <v>158647</v>
      </c>
      <c r="AO151" s="841">
        <f>AO128 + AO105</f>
        <v>162977</v>
      </c>
    </row>
    <row r="152" hidden="1">
      <c r="A152" s="842" t="s">
        <v>16</v>
      </c>
      <c r="B152" s="839">
        <f>B129 + B106</f>
        <v>27822</v>
      </c>
      <c r="C152" s="839">
        <f>C129 + C106</f>
        <v>28485</v>
      </c>
      <c r="D152" s="839">
        <f>D129 + D106</f>
        <v>29088</v>
      </c>
      <c r="E152" s="839">
        <f>E129 + E106</f>
        <v>29295</v>
      </c>
      <c r="F152" s="839">
        <f>F129 + F106</f>
        <v>29635</v>
      </c>
      <c r="G152" s="839">
        <f>G129 + G106</f>
        <v>29856</v>
      </c>
      <c r="H152" s="839">
        <f>H129 + H106</f>
        <v>30175</v>
      </c>
      <c r="I152" s="839">
        <f>I129 + I106</f>
        <v>30493</v>
      </c>
      <c r="J152" s="839">
        <f>J129 + J106</f>
        <v>31128</v>
      </c>
      <c r="K152" s="839">
        <f>K129 + K106</f>
        <v>31563</v>
      </c>
      <c r="L152" s="839">
        <f>L129 + L106</f>
        <v>32019</v>
      </c>
      <c r="M152" s="839">
        <f>M129 + M106</f>
        <v>32307</v>
      </c>
      <c r="N152" s="839">
        <f>N129 + N106</f>
        <v>32999</v>
      </c>
      <c r="O152" s="839">
        <f>O129 + O106</f>
        <v>33205</v>
      </c>
      <c r="P152" s="839">
        <f>P129 + P106</f>
        <v>33647</v>
      </c>
      <c r="Q152" s="839">
        <f>Q129 + Q106</f>
        <v>34017</v>
      </c>
      <c r="R152" s="839">
        <f>R129 + R106</f>
        <v>34448</v>
      </c>
      <c r="S152" s="839">
        <f>S129 + S106</f>
        <v>34788</v>
      </c>
      <c r="T152" s="839">
        <f>T129 + T106</f>
        <v>35278</v>
      </c>
      <c r="U152" s="839">
        <f>U129 + U106</f>
        <v>35670</v>
      </c>
      <c r="V152" s="839">
        <f>V129 + V106</f>
        <v>36123</v>
      </c>
      <c r="W152" s="839">
        <f>W129 + W106</f>
        <v>36506</v>
      </c>
      <c r="X152" s="839">
        <f>X129 + X106</f>
        <v>37331</v>
      </c>
      <c r="Y152" s="839">
        <f>Y129 + Y106</f>
        <v>37712</v>
      </c>
      <c r="Z152" s="839">
        <f>Z129 + Z106</f>
        <v>38187</v>
      </c>
      <c r="AA152" s="839">
        <f>AA129 + AA106</f>
        <v>38592</v>
      </c>
      <c r="AB152" s="841">
        <f>AB129 + AB106</f>
        <v>39030</v>
      </c>
      <c r="AC152" s="841">
        <f>AC129 + AC106</f>
        <v>39376</v>
      </c>
      <c r="AD152" s="841">
        <f>AD129 + AD106</f>
        <v>39715</v>
      </c>
      <c r="AE152" s="841">
        <f>AE129 + AE106</f>
        <v>40332</v>
      </c>
      <c r="AF152" s="841">
        <f>AF129 + AF106</f>
        <v>40940</v>
      </c>
      <c r="AG152" s="841">
        <f>AG129 + AG106</f>
        <v>41430</v>
      </c>
      <c r="AH152" s="841">
        <f>AH129 + AH106</f>
        <v>42012</v>
      </c>
      <c r="AI152" s="841">
        <f>AI129 + AI106</f>
        <v>42483</v>
      </c>
      <c r="AJ152" s="841">
        <f>AJ129 + AJ106</f>
        <v>43195</v>
      </c>
      <c r="AK152" s="841">
        <f>AK129 + AK106</f>
        <v>43541</v>
      </c>
      <c r="AL152" s="841">
        <f>AL129 + AL106</f>
        <v>43986</v>
      </c>
      <c r="AM152" s="841">
        <f>AM129 + AM106</f>
        <v>44497</v>
      </c>
      <c r="AN152" s="841">
        <f>AN129 + AN106</f>
        <v>45814</v>
      </c>
      <c r="AO152" s="841">
        <f>AO129 + AO106</f>
        <v>46848</v>
      </c>
    </row>
    <row r="153" hidden="1">
      <c r="A153" s="842" t="s">
        <v>17</v>
      </c>
      <c r="B153" s="839">
        <f>B130 + B107</f>
        <v>54759</v>
      </c>
      <c r="C153" s="839">
        <f>C130 + C107</f>
        <v>56137</v>
      </c>
      <c r="D153" s="839">
        <f>D130 + D107</f>
        <v>57567</v>
      </c>
      <c r="E153" s="839">
        <f>E130 + E107</f>
        <v>58511</v>
      </c>
      <c r="F153" s="839">
        <f>F130 + F107</f>
        <v>59859</v>
      </c>
      <c r="G153" s="839">
        <f>G130 + G107</f>
        <v>60772</v>
      </c>
      <c r="H153" s="839">
        <f>H130 + H107</f>
        <v>61835</v>
      </c>
      <c r="I153" s="839">
        <f>I130 + I107</f>
        <v>62622</v>
      </c>
      <c r="J153" s="839">
        <f>J130 + J107</f>
        <v>63902</v>
      </c>
      <c r="K153" s="839">
        <f>K130 + K107</f>
        <v>64964</v>
      </c>
      <c r="L153" s="839">
        <f>L130 + L107</f>
        <v>66226</v>
      </c>
      <c r="M153" s="839">
        <f>M130 + M107</f>
        <v>67149</v>
      </c>
      <c r="N153" s="839">
        <f>N130 + N107</f>
        <v>68411</v>
      </c>
      <c r="O153" s="839">
        <f>O130 + O107</f>
        <v>69225</v>
      </c>
      <c r="P153" s="839">
        <f>P130 + P107</f>
        <v>70765</v>
      </c>
      <c r="Q153" s="839">
        <f>Q130 + Q107</f>
        <v>71819</v>
      </c>
      <c r="R153" s="839">
        <f>R130 + R107</f>
        <v>73351</v>
      </c>
      <c r="S153" s="839">
        <f>S130 + S107</f>
        <v>74451</v>
      </c>
      <c r="T153" s="839">
        <f>T130 + T107</f>
        <v>76110</v>
      </c>
      <c r="U153" s="839">
        <f>U130 + U107</f>
        <v>77169</v>
      </c>
      <c r="V153" s="839">
        <f>V130 + V107</f>
        <v>78659</v>
      </c>
      <c r="W153" s="839">
        <f>W130 + W107</f>
        <v>79749</v>
      </c>
      <c r="X153" s="839">
        <f>X130 + X107</f>
        <v>81316</v>
      </c>
      <c r="Y153" s="839">
        <f>Y130 + Y107</f>
        <v>82201</v>
      </c>
      <c r="Z153" s="839">
        <f>Z130 + Z107</f>
        <v>83127</v>
      </c>
      <c r="AA153" s="839">
        <f>AA130 + AA107</f>
        <v>83955</v>
      </c>
      <c r="AB153" s="841">
        <f>AB130 + AB107</f>
        <v>84961</v>
      </c>
      <c r="AC153" s="841">
        <f>AC130 + AC107</f>
        <v>85597</v>
      </c>
      <c r="AD153" s="841">
        <f>AD130 + AD107</f>
        <v>86351</v>
      </c>
      <c r="AE153" s="841">
        <f>AE130 + AE107</f>
        <v>87034</v>
      </c>
      <c r="AF153" s="841">
        <f>AF130 + AF107</f>
        <v>87918</v>
      </c>
      <c r="AG153" s="841">
        <f>AG130 + AG107</f>
        <v>88520</v>
      </c>
      <c r="AH153" s="841">
        <f>AH130 + AH107</f>
        <v>89212</v>
      </c>
      <c r="AI153" s="841">
        <f>AI130 + AI107</f>
        <v>89926</v>
      </c>
      <c r="AJ153" s="841">
        <f>AJ130 + AJ107</f>
        <v>90597</v>
      </c>
      <c r="AK153" s="841">
        <f>AK130 + AK107</f>
        <v>91749</v>
      </c>
      <c r="AL153" s="841">
        <f>AL130 + AL107</f>
        <v>92435</v>
      </c>
      <c r="AM153" s="841">
        <f>AM130 + AM107</f>
        <v>93040</v>
      </c>
      <c r="AN153" s="841">
        <f>AN130 + AN107</f>
        <v>94004</v>
      </c>
      <c r="AO153" s="841">
        <f>AO130 + AO107</f>
        <v>94582</v>
      </c>
    </row>
    <row r="154" hidden="1">
      <c r="A154" s="842" t="s">
        <v>18</v>
      </c>
      <c r="B154" s="839">
        <f>B131 + B108</f>
        <v>162722</v>
      </c>
      <c r="C154" s="839">
        <f>C131 + C108</f>
        <v>164691</v>
      </c>
      <c r="D154" s="839">
        <f>D131 + D108</f>
        <v>166568</v>
      </c>
      <c r="E154" s="839">
        <f>E131 + E108</f>
        <v>168023</v>
      </c>
      <c r="F154" s="839">
        <f>F131 + F108</f>
        <v>169609</v>
      </c>
      <c r="G154" s="839">
        <f>G131 + G108</f>
        <v>171190</v>
      </c>
      <c r="H154" s="839">
        <f>H131 + H108</f>
        <v>172677</v>
      </c>
      <c r="I154" s="839">
        <f>I131 + I108</f>
        <v>174074</v>
      </c>
      <c r="J154" s="839">
        <f>J131 + J108</f>
        <v>175452</v>
      </c>
      <c r="K154" s="839">
        <f>K131 + K108</f>
        <v>176766</v>
      </c>
      <c r="L154" s="839">
        <f>L131 + L108</f>
        <v>179360</v>
      </c>
      <c r="M154" s="839">
        <f>M131 + M108</f>
        <v>181133</v>
      </c>
      <c r="N154" s="839">
        <f>N131 + N108</f>
        <v>182960</v>
      </c>
      <c r="O154" s="839">
        <f>O131 + O108</f>
        <v>184612</v>
      </c>
      <c r="P154" s="839">
        <f>P131 + P108</f>
        <v>186713</v>
      </c>
      <c r="Q154" s="839">
        <f>Q131 + Q108</f>
        <v>188483</v>
      </c>
      <c r="R154" s="839">
        <f>R131 + R108</f>
        <v>190218</v>
      </c>
      <c r="S154" s="839">
        <f>S131 + S108</f>
        <v>191760</v>
      </c>
      <c r="T154" s="839">
        <f>T131 + T108</f>
        <v>196920</v>
      </c>
      <c r="U154" s="839">
        <f>U131 + U108</f>
        <v>198311</v>
      </c>
      <c r="V154" s="839">
        <f>V131 + V108</f>
        <v>199708</v>
      </c>
      <c r="W154" s="839">
        <f>W131 + W108</f>
        <v>200880</v>
      </c>
      <c r="X154" s="839">
        <f>X131 + X108</f>
        <v>202146</v>
      </c>
      <c r="Y154" s="839">
        <f>Y131 + Y108</f>
        <v>203217</v>
      </c>
      <c r="Z154" s="839">
        <f>Z131 + Z108</f>
        <v>204687</v>
      </c>
      <c r="AA154" s="839">
        <f>AA131 + AA108</f>
        <v>205669</v>
      </c>
      <c r="AB154" s="841">
        <f>AB131 + AB108</f>
        <v>206893</v>
      </c>
      <c r="AC154" s="841">
        <f>AC131 + AC108</f>
        <v>207968</v>
      </c>
      <c r="AD154" s="841">
        <f>AD131 + AD108</f>
        <v>209108</v>
      </c>
      <c r="AE154" s="841">
        <f>AE131 + AE108</f>
        <v>211735</v>
      </c>
      <c r="AF154" s="841">
        <f>AF131 + AF108</f>
        <v>213203</v>
      </c>
      <c r="AG154" s="841">
        <f>AG131 + AG108</f>
        <v>214282</v>
      </c>
      <c r="AH154" s="841">
        <f>AH131 + AH108</f>
        <v>215510</v>
      </c>
      <c r="AI154" s="841">
        <f>AI131 + AI108</f>
        <v>216814</v>
      </c>
      <c r="AJ154" s="841">
        <f>AJ131 + AJ108</f>
        <v>224510</v>
      </c>
      <c r="AK154" s="841">
        <f>AK131 + AK108</f>
        <v>233284</v>
      </c>
      <c r="AL154" s="841">
        <f>AL131 + AL108</f>
        <v>291730</v>
      </c>
      <c r="AM154" s="841">
        <f>AM131 + AM108</f>
        <v>311714</v>
      </c>
      <c r="AN154" s="841">
        <f>AN131 + AN108</f>
        <v>324965</v>
      </c>
      <c r="AO154" s="841">
        <f>AO131 + AO108</f>
        <v>331197</v>
      </c>
    </row>
    <row r="155" hidden="1">
      <c r="A155" s="842" t="s">
        <v>19</v>
      </c>
      <c r="B155" s="839">
        <f>B132 + B109</f>
        <v>5195</v>
      </c>
      <c r="C155" s="839">
        <f>C132 + C109</f>
        <v>5392</v>
      </c>
      <c r="D155" s="839">
        <f>D132 + D109</f>
        <v>5535</v>
      </c>
      <c r="E155" s="839">
        <f>E132 + E109</f>
        <v>5680</v>
      </c>
      <c r="F155" s="839">
        <f>F132 + F109</f>
        <v>5848</v>
      </c>
      <c r="G155" s="839">
        <f>G132 + G109</f>
        <v>5985</v>
      </c>
      <c r="H155" s="839">
        <f>H132 + H109</f>
        <v>6060</v>
      </c>
      <c r="I155" s="839">
        <f>I132 + I109</f>
        <v>6160</v>
      </c>
      <c r="J155" s="839">
        <f>J132 + J109</f>
        <v>6265</v>
      </c>
      <c r="K155" s="839">
        <f>K132 + K109</f>
        <v>6370</v>
      </c>
      <c r="L155" s="839">
        <f>L132 + L109</f>
        <v>6487</v>
      </c>
      <c r="M155" s="839">
        <f>M132 + M109</f>
        <v>6598</v>
      </c>
      <c r="N155" s="839">
        <f>N132 + N109</f>
        <v>6731</v>
      </c>
      <c r="O155" s="839">
        <f>O132 + O109</f>
        <v>6862</v>
      </c>
      <c r="P155" s="839">
        <f>P132 + P109</f>
        <v>7030</v>
      </c>
      <c r="Q155" s="839">
        <f>Q132 + Q109</f>
        <v>7160</v>
      </c>
      <c r="R155" s="839">
        <f>R132 + R109</f>
        <v>7275</v>
      </c>
      <c r="S155" s="839">
        <f>S132 + S109</f>
        <v>7427</v>
      </c>
      <c r="T155" s="839">
        <f>T132 + T109</f>
        <v>7537</v>
      </c>
      <c r="U155" s="839">
        <f>U132 + U109</f>
        <v>7670</v>
      </c>
      <c r="V155" s="839">
        <f>V132 + V109</f>
        <v>7798</v>
      </c>
      <c r="W155" s="839">
        <f>W132 + W109</f>
        <v>7877</v>
      </c>
      <c r="X155" s="839">
        <f>X132 + X109</f>
        <v>7983</v>
      </c>
      <c r="Y155" s="839">
        <f>Y132 + Y109</f>
        <v>8065</v>
      </c>
      <c r="Z155" s="839">
        <f>Z132 + Z109</f>
        <v>8140</v>
      </c>
      <c r="AA155" s="839">
        <f>AA132 + AA109</f>
        <v>8184</v>
      </c>
      <c r="AB155" s="841">
        <f>AB132 + AB109</f>
        <v>8246</v>
      </c>
      <c r="AC155" s="841">
        <f>AC132 + AC109</f>
        <v>8357</v>
      </c>
      <c r="AD155" s="841">
        <f>AD132 + AD109</f>
        <v>8418</v>
      </c>
      <c r="AE155" s="841">
        <f>AE132 + AE109</f>
        <v>8492</v>
      </c>
      <c r="AF155" s="841">
        <f>AF132 + AF109</f>
        <v>8574</v>
      </c>
      <c r="AG155" s="841">
        <f>AG132 + AG109</f>
        <v>8701</v>
      </c>
      <c r="AH155" s="841">
        <f>AH132 + AH109</f>
        <v>8884</v>
      </c>
      <c r="AI155" s="841">
        <f>AI132 + AI109</f>
        <v>8995</v>
      </c>
      <c r="AJ155" s="841">
        <f>AJ132 + AJ109</f>
        <v>9150</v>
      </c>
      <c r="AK155" s="841">
        <f>AK132 + AK109</f>
        <v>9309</v>
      </c>
      <c r="AL155" s="841">
        <f>AL132 + AL109</f>
        <v>9447</v>
      </c>
      <c r="AM155" s="841">
        <f>AM132 + AM109</f>
        <v>9568</v>
      </c>
      <c r="AN155" s="841">
        <f>AN132 + AN109</f>
        <v>10152</v>
      </c>
      <c r="AO155" s="841">
        <f>AO132 + AO109</f>
        <v>11406</v>
      </c>
    </row>
    <row r="156" hidden="1">
      <c r="A156" s="842" t="s">
        <v>20</v>
      </c>
      <c r="B156" s="839">
        <f>B133 + B110</f>
        <v>11602</v>
      </c>
      <c r="C156" s="839">
        <f>C133 + C110</f>
        <v>11807</v>
      </c>
      <c r="D156" s="839">
        <f>D133 + D110</f>
        <v>12266</v>
      </c>
      <c r="E156" s="839">
        <f>E133 + E110</f>
        <v>12626</v>
      </c>
      <c r="F156" s="839">
        <f>F133 + F110</f>
        <v>12892</v>
      </c>
      <c r="G156" s="839">
        <f>G133 + G110</f>
        <v>13069</v>
      </c>
      <c r="H156" s="839">
        <f>H133 + H110</f>
        <v>13245</v>
      </c>
      <c r="I156" s="839">
        <f>I133 + I110</f>
        <v>13366</v>
      </c>
      <c r="J156" s="839">
        <f>J133 + J110</f>
        <v>13577</v>
      </c>
      <c r="K156" s="839">
        <f>K133 + K110</f>
        <v>13776</v>
      </c>
      <c r="L156" s="839">
        <f>L133 + L110</f>
        <v>14007</v>
      </c>
      <c r="M156" s="839">
        <f>M133 + M110</f>
        <v>14091</v>
      </c>
      <c r="N156" s="839">
        <f>N133 + N110</f>
        <v>14320</v>
      </c>
      <c r="O156" s="839">
        <f>O133 + O110</f>
        <v>14458</v>
      </c>
      <c r="P156" s="839">
        <f>P133 + P110</f>
        <v>14570</v>
      </c>
      <c r="Q156" s="839">
        <f>Q133 + Q110</f>
        <v>14663</v>
      </c>
      <c r="R156" s="839">
        <f>R133 + R110</f>
        <v>14768</v>
      </c>
      <c r="S156" s="839">
        <f>S133 + S110</f>
        <v>15027</v>
      </c>
      <c r="T156" s="839">
        <f>T133 + T110</f>
        <v>15177</v>
      </c>
      <c r="U156" s="839">
        <f>U133 + U110</f>
        <v>15272</v>
      </c>
      <c r="V156" s="839">
        <f>V133 + V110</f>
        <v>15402</v>
      </c>
      <c r="W156" s="839">
        <f>W133 + W110</f>
        <v>15475</v>
      </c>
      <c r="X156" s="839">
        <f>X133 + X110</f>
        <v>15657</v>
      </c>
      <c r="Y156" s="839">
        <f>Y133 + Y110</f>
        <v>15747</v>
      </c>
      <c r="Z156" s="839">
        <f>Z133 + Z110</f>
        <v>15935</v>
      </c>
      <c r="AA156" s="839">
        <f>AA133 + AA110</f>
        <v>16025</v>
      </c>
      <c r="AB156" s="841">
        <f>AB133 + AB110</f>
        <v>16132</v>
      </c>
      <c r="AC156" s="841">
        <f>AC133 + AC110</f>
        <v>16246</v>
      </c>
      <c r="AD156" s="841">
        <f>AD133 + AD110</f>
        <v>16444</v>
      </c>
      <c r="AE156" s="841">
        <f>AE133 + AE110</f>
        <v>16545</v>
      </c>
      <c r="AF156" s="841">
        <f>AF133 + AF110</f>
        <v>16686</v>
      </c>
      <c r="AG156" s="841">
        <f>AG133 + AG110</f>
        <v>16788</v>
      </c>
      <c r="AH156" s="841">
        <f>AH133 + AH110</f>
        <v>16913</v>
      </c>
      <c r="AI156" s="841">
        <f>AI133 + AI110</f>
        <v>17056</v>
      </c>
      <c r="AJ156" s="841">
        <f>AJ133 + AJ110</f>
        <v>17234</v>
      </c>
      <c r="AK156" s="841">
        <f>AK133 + AK110</f>
        <v>17374</v>
      </c>
      <c r="AL156" s="841">
        <f>AL133 + AL110</f>
        <v>17549</v>
      </c>
      <c r="AM156" s="841">
        <f>AM133 + AM110</f>
        <v>17732</v>
      </c>
      <c r="AN156" s="841">
        <f>AN133 + AN110</f>
        <v>17845</v>
      </c>
      <c r="AO156" s="841">
        <f>AO133 + AO110</f>
        <v>18107</v>
      </c>
    </row>
    <row r="157" hidden="1">
      <c r="A157" s="842" t="s">
        <v>21</v>
      </c>
      <c r="B157" s="839">
        <f>B134 + B111</f>
        <v>8472</v>
      </c>
      <c r="C157" s="839">
        <f>C134 + C111</f>
        <v>8556</v>
      </c>
      <c r="D157" s="839">
        <f>D134 + D111</f>
        <v>8648</v>
      </c>
      <c r="E157" s="839">
        <f>E134 + E111</f>
        <v>8740</v>
      </c>
      <c r="F157" s="839">
        <f>F134 + F111</f>
        <v>8868</v>
      </c>
      <c r="G157" s="839">
        <f>G134 + G111</f>
        <v>8974</v>
      </c>
      <c r="H157" s="839">
        <f>H134 + H111</f>
        <v>9068</v>
      </c>
      <c r="I157" s="839">
        <f>I134 + I111</f>
        <v>9212</v>
      </c>
      <c r="J157" s="839">
        <f>J134 + J111</f>
        <v>9487</v>
      </c>
      <c r="K157" s="839">
        <f>K134 + K111</f>
        <v>9631</v>
      </c>
      <c r="L157" s="839">
        <f>L134 + L111</f>
        <v>9788</v>
      </c>
      <c r="M157" s="839">
        <f>M134 + M111</f>
        <v>9896</v>
      </c>
      <c r="N157" s="839">
        <f>N134 + N111</f>
        <v>10031</v>
      </c>
      <c r="O157" s="839">
        <f>O134 + O111</f>
        <v>10139</v>
      </c>
      <c r="P157" s="839">
        <f>P134 + P111</f>
        <v>10276</v>
      </c>
      <c r="Q157" s="839">
        <f>Q134 + Q111</f>
        <v>10409</v>
      </c>
      <c r="R157" s="839">
        <f>R134 + R111</f>
        <v>10569</v>
      </c>
      <c r="S157" s="839">
        <f>S134 + S111</f>
        <v>10906</v>
      </c>
      <c r="T157" s="839">
        <f>T134 + T111</f>
        <v>11025</v>
      </c>
      <c r="U157" s="839">
        <f>U134 + U111</f>
        <v>11126</v>
      </c>
      <c r="V157" s="839">
        <f>V134 + V111</f>
        <v>11254</v>
      </c>
      <c r="W157" s="839">
        <f>W134 + W111</f>
        <v>11389</v>
      </c>
      <c r="X157" s="839">
        <f>X134 + X111</f>
        <v>11488</v>
      </c>
      <c r="Y157" s="839">
        <f>Y134 + Y111</f>
        <v>11582</v>
      </c>
      <c r="Z157" s="839">
        <f>Z134 + Z111</f>
        <v>11690</v>
      </c>
      <c r="AA157" s="839">
        <f>AA134 + AA111</f>
        <v>11783</v>
      </c>
      <c r="AB157" s="841">
        <f>AB134 + AB111</f>
        <v>11898</v>
      </c>
      <c r="AC157" s="841">
        <f>AC134 + AC111</f>
        <v>12033</v>
      </c>
      <c r="AD157" s="841">
        <f>AD134 + AD111</f>
        <v>12199</v>
      </c>
      <c r="AE157" s="841">
        <f>AE134 + AE111</f>
        <v>12370</v>
      </c>
      <c r="AF157" s="841">
        <f>AF134 + AF111</f>
        <v>12531</v>
      </c>
      <c r="AG157" s="841">
        <f>AG134 + AG111</f>
        <v>12644</v>
      </c>
      <c r="AH157" s="841">
        <f>AH134 + AH111</f>
        <v>12779</v>
      </c>
      <c r="AI157" s="841">
        <f>AI134 + AI111</f>
        <v>12895</v>
      </c>
      <c r="AJ157" s="841">
        <f>AJ134 + AJ111</f>
        <v>13008</v>
      </c>
      <c r="AK157" s="841">
        <f>AK134 + AK111</f>
        <v>13091</v>
      </c>
      <c r="AL157" s="841">
        <f>AL134 + AL111</f>
        <v>13211</v>
      </c>
      <c r="AM157" s="841">
        <f>AM134 + AM111</f>
        <v>13338</v>
      </c>
      <c r="AN157" s="841">
        <f>AN134 + AN111</f>
        <v>13507</v>
      </c>
      <c r="AO157" s="841">
        <f>AO134 + AO111</f>
        <v>13771</v>
      </c>
    </row>
    <row r="158" hidden="1">
      <c r="A158" s="842" t="s">
        <v>22</v>
      </c>
      <c r="B158" s="839">
        <f>B135 + B112</f>
        <v>19093</v>
      </c>
      <c r="C158" s="839">
        <f>C135 + C112</f>
        <v>19289</v>
      </c>
      <c r="D158" s="839">
        <f>D135 + D112</f>
        <v>19547</v>
      </c>
      <c r="E158" s="839">
        <f>E135 + E112</f>
        <v>20337</v>
      </c>
      <c r="F158" s="839">
        <f>F135 + F112</f>
        <v>20715</v>
      </c>
      <c r="G158" s="839">
        <f>G135 + G112</f>
        <v>21460</v>
      </c>
      <c r="H158" s="839">
        <f>H135 + H112</f>
        <v>21762</v>
      </c>
      <c r="I158" s="839">
        <f>I135 + I112</f>
        <v>22127</v>
      </c>
      <c r="J158" s="839">
        <f>J135 + J112</f>
        <v>22376</v>
      </c>
      <c r="K158" s="839">
        <f>K135 + K112</f>
        <v>22697</v>
      </c>
      <c r="L158" s="839">
        <f>L135 + L112</f>
        <v>23342</v>
      </c>
      <c r="M158" s="839">
        <f>M135 + M112</f>
        <v>23664</v>
      </c>
      <c r="N158" s="839">
        <f>N135 + N112</f>
        <v>24804</v>
      </c>
      <c r="O158" s="839">
        <f>O135 + O112</f>
        <v>25112</v>
      </c>
      <c r="P158" s="839">
        <f>P135 + P112</f>
        <v>25522</v>
      </c>
      <c r="Q158" s="839">
        <f>Q135 + Q112</f>
        <v>25814</v>
      </c>
      <c r="R158" s="839">
        <f>R135 + R112</f>
        <v>26147</v>
      </c>
      <c r="S158" s="839">
        <f>S135 + S112</f>
        <v>26358</v>
      </c>
      <c r="T158" s="839">
        <f>T135 + T112</f>
        <v>26678</v>
      </c>
      <c r="U158" s="839">
        <f>U135 + U112</f>
        <v>26899</v>
      </c>
      <c r="V158" s="839">
        <f>V135 + V112</f>
        <v>27234</v>
      </c>
      <c r="W158" s="839">
        <f>W135 + W112</f>
        <v>27488</v>
      </c>
      <c r="X158" s="839">
        <f>X135 + X112</f>
        <v>27766</v>
      </c>
      <c r="Y158" s="839">
        <f>Y135 + Y112</f>
        <v>27979</v>
      </c>
      <c r="Z158" s="839">
        <f>Z135 + Z112</f>
        <v>28341</v>
      </c>
      <c r="AA158" s="839">
        <f>AA135 + AA112</f>
        <v>28553</v>
      </c>
      <c r="AB158" s="841">
        <f>AB135 + AB112</f>
        <v>28839</v>
      </c>
      <c r="AC158" s="841">
        <f>AC135 + AC112</f>
        <v>29061</v>
      </c>
      <c r="AD158" s="841">
        <f>AD135 + AD112</f>
        <v>29369</v>
      </c>
      <c r="AE158" s="841">
        <f>AE135 + AE112</f>
        <v>29741</v>
      </c>
      <c r="AF158" s="841">
        <f>AF135 + AF112</f>
        <v>30349</v>
      </c>
      <c r="AG158" s="841">
        <f>AG135 + AG112</f>
        <v>30601</v>
      </c>
      <c r="AH158" s="841">
        <f>AH135 + AH112</f>
        <v>30919</v>
      </c>
      <c r="AI158" s="841">
        <f>AI135 + AI112</f>
        <v>31228</v>
      </c>
      <c r="AJ158" s="841">
        <f>AJ135 + AJ112</f>
        <v>31543</v>
      </c>
      <c r="AK158" s="841">
        <f>AK135 + AK112</f>
        <v>31770</v>
      </c>
      <c r="AL158" s="841">
        <f>AL135 + AL112</f>
        <v>32037</v>
      </c>
      <c r="AM158" s="841">
        <f>AM135 + AM112</f>
        <v>32288</v>
      </c>
      <c r="AN158" s="841">
        <f>AN135 + AN112</f>
        <v>33155</v>
      </c>
      <c r="AO158" s="841">
        <f>AO135 + AO112</f>
        <v>33568</v>
      </c>
    </row>
    <row r="159" hidden="1">
      <c r="A159" s="842" t="s">
        <v>23</v>
      </c>
      <c r="B159" s="839">
        <f>B136 + B113</f>
        <v>2733</v>
      </c>
      <c r="C159" s="839">
        <f>C136 + C113</f>
        <v>2786</v>
      </c>
      <c r="D159" s="839">
        <f>D136 + D113</f>
        <v>2831</v>
      </c>
      <c r="E159" s="839">
        <f>E136 + E113</f>
        <v>2867</v>
      </c>
      <c r="F159" s="839">
        <f>F136 + F113</f>
        <v>2919</v>
      </c>
      <c r="G159" s="839">
        <f>G136 + G113</f>
        <v>2960</v>
      </c>
      <c r="H159" s="839">
        <f>H136 + H113</f>
        <v>3007</v>
      </c>
      <c r="I159" s="839">
        <f>I136 + I113</f>
        <v>3047</v>
      </c>
      <c r="J159" s="839">
        <f>J136 + J113</f>
        <v>3119</v>
      </c>
      <c r="K159" s="839">
        <f>K136 + K113</f>
        <v>3183</v>
      </c>
      <c r="L159" s="839">
        <f>L136 + L113</f>
        <v>3233</v>
      </c>
      <c r="M159" s="839">
        <f>M136 + M113</f>
        <v>3278</v>
      </c>
      <c r="N159" s="839">
        <f>N136 + N113</f>
        <v>3323</v>
      </c>
      <c r="O159" s="839">
        <f>O136 + O113</f>
        <v>3364</v>
      </c>
      <c r="P159" s="839">
        <f>P136 + P113</f>
        <v>3426</v>
      </c>
      <c r="Q159" s="839">
        <f>Q136 + Q113</f>
        <v>3468</v>
      </c>
      <c r="R159" s="839">
        <f>R136 + R113</f>
        <v>3533</v>
      </c>
      <c r="S159" s="839">
        <f>S136 + S113</f>
        <v>3573</v>
      </c>
      <c r="T159" s="839">
        <f>T136 + T113</f>
        <v>3622</v>
      </c>
      <c r="U159" s="839">
        <f>U136 + U113</f>
        <v>3717</v>
      </c>
      <c r="V159" s="839">
        <f>V136 + V113</f>
        <v>3838</v>
      </c>
      <c r="W159" s="839">
        <f>W136 + W113</f>
        <v>3880</v>
      </c>
      <c r="X159" s="839">
        <f>X136 + X113</f>
        <v>3921</v>
      </c>
      <c r="Y159" s="839">
        <f>Y136 + Y113</f>
        <v>3957</v>
      </c>
      <c r="Z159" s="839">
        <f>Z136 + Z113</f>
        <v>3998</v>
      </c>
      <c r="AA159" s="839">
        <f>AA136 + AA113</f>
        <v>4040</v>
      </c>
      <c r="AB159" s="841">
        <f>AB136 + AB113</f>
        <v>4100</v>
      </c>
      <c r="AC159" s="841">
        <f>AC136 + AC113</f>
        <v>4136</v>
      </c>
      <c r="AD159" s="841">
        <f>AD136 + AD113</f>
        <v>4174</v>
      </c>
      <c r="AE159" s="841">
        <f>AE136 + AE113</f>
        <v>4229</v>
      </c>
      <c r="AF159" s="841">
        <f>AF136 + AF113</f>
        <v>4306</v>
      </c>
      <c r="AG159" s="841">
        <f>AG136 + AG113</f>
        <v>4342</v>
      </c>
      <c r="AH159" s="841">
        <f>AH136 + AH113</f>
        <v>4397</v>
      </c>
      <c r="AI159" s="841">
        <f>AI136 + AI113</f>
        <v>4433</v>
      </c>
      <c r="AJ159" s="841">
        <f>AJ136 + AJ113</f>
        <v>4468</v>
      </c>
      <c r="AK159" s="841">
        <f>AK136 + AK113</f>
        <v>4543</v>
      </c>
      <c r="AL159" s="841">
        <f>AL136 + AL113</f>
        <v>4590</v>
      </c>
      <c r="AM159" s="841">
        <f>AM136 + AM113</f>
        <v>4625</v>
      </c>
      <c r="AN159" s="841">
        <f>AN136 + AN113</f>
        <v>4664</v>
      </c>
      <c r="AO159" s="841">
        <f>AO136 + AO113</f>
        <v>5024</v>
      </c>
    </row>
    <row r="160" hidden="1">
      <c r="A160" s="843" t="s">
        <v>24</v>
      </c>
      <c r="B160" s="839">
        <f>B137 + B114</f>
        <v>9463</v>
      </c>
      <c r="C160" s="839">
        <f>C137 + C114</f>
        <v>9498</v>
      </c>
      <c r="D160" s="839">
        <f>D137 + D114</f>
        <v>9576</v>
      </c>
      <c r="E160" s="839">
        <f>E137 + E114</f>
        <v>9620</v>
      </c>
      <c r="F160" s="839">
        <f>F137 + F114</f>
        <v>9690</v>
      </c>
      <c r="G160" s="839">
        <f>G137 + G114</f>
        <v>9752</v>
      </c>
      <c r="H160" s="839">
        <f>H137 + H114</f>
        <v>9851</v>
      </c>
      <c r="I160" s="839">
        <f>I137 + I114</f>
        <v>9930</v>
      </c>
      <c r="J160" s="839">
        <f>J137 + J114</f>
        <v>10318</v>
      </c>
      <c r="K160" s="839">
        <f>K137 + K114</f>
        <v>10568</v>
      </c>
      <c r="L160" s="839">
        <f>L137 + L114</f>
        <v>11397</v>
      </c>
      <c r="M160" s="839">
        <f>M137 + M114</f>
        <v>12019</v>
      </c>
      <c r="N160" s="839">
        <f>N137 + N114</f>
        <v>12618</v>
      </c>
      <c r="O160" s="839">
        <f>O137 + O114</f>
        <v>12984</v>
      </c>
      <c r="P160" s="839">
        <f>P137 + P114</f>
        <v>13360</v>
      </c>
      <c r="Q160" s="839">
        <f>Q137 + Q114</f>
        <v>13622</v>
      </c>
      <c r="R160" s="839">
        <f>R137 + R114</f>
        <v>13948</v>
      </c>
      <c r="S160" s="839">
        <f>S137 + S114</f>
        <v>14399</v>
      </c>
      <c r="T160" s="839">
        <f>T137 + T114</f>
        <v>15307</v>
      </c>
      <c r="U160" s="839">
        <f>U137 + U114</f>
        <v>15927</v>
      </c>
      <c r="V160" s="839">
        <f>V137 + V114</f>
        <v>16647</v>
      </c>
      <c r="W160" s="839">
        <f>W137 + W114</f>
        <v>17145</v>
      </c>
      <c r="X160" s="839">
        <f>X137 + X114</f>
        <v>17598</v>
      </c>
      <c r="Y160" s="839">
        <f>Y137 + Y114</f>
        <v>18018</v>
      </c>
      <c r="Z160" s="839">
        <f>Z137 + Z114</f>
        <v>18411</v>
      </c>
      <c r="AA160" s="839">
        <f>AA137 + AA114</f>
        <v>18796</v>
      </c>
      <c r="AB160" s="841">
        <f>AB137 + AB114</f>
        <v>19217</v>
      </c>
      <c r="AC160" s="841">
        <f>AC137 + AC114</f>
        <v>19523</v>
      </c>
      <c r="AD160" s="841">
        <f>AD137 + AD114</f>
        <v>19797</v>
      </c>
      <c r="AE160" s="841">
        <f>AE137 + AE114</f>
        <v>20191</v>
      </c>
      <c r="AF160" s="841">
        <f>AF137 + AF114</f>
        <v>20623</v>
      </c>
      <c r="AG160" s="841">
        <f>AG137 + AG114</f>
        <v>21011</v>
      </c>
      <c r="AH160" s="841">
        <f>AH137 + AH114</f>
        <v>21584</v>
      </c>
      <c r="AI160" s="841">
        <f>AI137 + AI114</f>
        <v>21961</v>
      </c>
      <c r="AJ160" s="841">
        <f>AJ137 + AJ114</f>
        <v>22412</v>
      </c>
      <c r="AK160" s="841">
        <f>AK137 + AK114</f>
        <v>22858</v>
      </c>
      <c r="AL160" s="841">
        <f>AL137 + AL114</f>
        <v>23388</v>
      </c>
      <c r="AM160" s="841">
        <f>AM137 + AM114</f>
        <v>24111</v>
      </c>
      <c r="AN160" s="841">
        <f>AN137 + AN114</f>
        <v>24966</v>
      </c>
      <c r="AO160" s="841">
        <f>AO137 + AO114</f>
        <v>27355</v>
      </c>
    </row>
    <row r="161" hidden="1">
      <c r="A161" s="842" t="s">
        <v>25</v>
      </c>
      <c r="B161" s="839">
        <f>B138 + B115</f>
        <v>0</v>
      </c>
      <c r="C161" s="839">
        <f>C138 + C115</f>
        <v>0</v>
      </c>
      <c r="D161" s="839">
        <f>D138 + D115</f>
        <v>0</v>
      </c>
      <c r="E161" s="839">
        <f>E138 + E115</f>
        <v>0</v>
      </c>
      <c r="F161" s="839">
        <f>F138 + F115</f>
        <v>0</v>
      </c>
      <c r="G161" s="839">
        <f>G138 + G115</f>
        <v>5</v>
      </c>
      <c r="H161" s="839">
        <f>H138 + H115</f>
        <v>5</v>
      </c>
      <c r="I161" s="839">
        <f>I138 + I115</f>
        <v>5</v>
      </c>
      <c r="J161" s="839">
        <f>J138 + J115</f>
        <v>5</v>
      </c>
      <c r="K161" s="839">
        <f>K138 + K115</f>
        <v>5</v>
      </c>
      <c r="L161" s="839">
        <f>L138 + L115</f>
        <v>5</v>
      </c>
      <c r="M161" s="839">
        <f>M138 + M115</f>
        <v>6</v>
      </c>
      <c r="N161" s="839">
        <f>N138 + N115</f>
        <v>6</v>
      </c>
      <c r="O161" s="839">
        <f>O138 + O115</f>
        <v>6</v>
      </c>
      <c r="P161" s="839">
        <f>P138 + P115</f>
        <v>6</v>
      </c>
      <c r="Q161" s="839">
        <f>Q138 + Q115</f>
        <v>6</v>
      </c>
      <c r="R161" s="839">
        <f>R138 + R115</f>
        <v>6</v>
      </c>
      <c r="S161" s="839">
        <f>S138 + S115</f>
        <v>6</v>
      </c>
      <c r="T161" s="839">
        <f>T138 + T115</f>
        <v>6</v>
      </c>
      <c r="U161" s="839">
        <f>U138 + U115</f>
        <v>7</v>
      </c>
      <c r="V161" s="839">
        <f>V138 + V115</f>
        <v>7</v>
      </c>
      <c r="W161" s="839">
        <f>W138 + W115</f>
        <v>7</v>
      </c>
      <c r="X161" s="839">
        <f>X138 + X115</f>
        <v>7</v>
      </c>
      <c r="Y161" s="839">
        <f>Y138 + Y115</f>
        <v>7</v>
      </c>
      <c r="Z161" s="839">
        <f>Z138 + Z115</f>
        <v>8</v>
      </c>
      <c r="AA161" s="839">
        <f>AA138 + AA115</f>
        <v>8</v>
      </c>
      <c r="AB161" s="841">
        <f>AB138 + AB115</f>
        <v>8</v>
      </c>
      <c r="AC161" s="841">
        <f>AC138 + AC115</f>
        <v>8</v>
      </c>
      <c r="AD161" s="841">
        <f>AD138 + AD115</f>
        <v>8</v>
      </c>
      <c r="AE161" s="841">
        <f>AE138 + AE115</f>
        <v>8</v>
      </c>
      <c r="AF161" s="841">
        <f>AF138 + AF115</f>
        <v>8</v>
      </c>
      <c r="AG161" s="841">
        <f>AG138 + AG115</f>
        <v>8</v>
      </c>
      <c r="AH161" s="841">
        <f>AH138 + AH115</f>
        <v>8</v>
      </c>
      <c r="AI161" s="841">
        <f>AI138 + AI115</f>
        <v>8</v>
      </c>
      <c r="AJ161" s="841">
        <f>AJ138 + AJ115</f>
        <v>8</v>
      </c>
      <c r="AK161" s="841">
        <f>AK138 + AK115</f>
        <v>8</v>
      </c>
      <c r="AL161" s="841">
        <f>AL138 + AL115</f>
        <v>8</v>
      </c>
      <c r="AM161" s="841">
        <f>AM138 + AM115</f>
        <v>9</v>
      </c>
      <c r="AN161" s="841">
        <f>AN138 + AN115</f>
        <v>10</v>
      </c>
      <c r="AO161" s="841">
        <f>AO138 + AO115</f>
        <v>11</v>
      </c>
    </row>
    <row r="162" hidden="1" ht="13.5">
      <c r="A162" s="844" t="s">
        <v>26</v>
      </c>
      <c r="B162" s="839">
        <f>B139 + B116</f>
        <v>0</v>
      </c>
      <c r="C162" s="839">
        <f>C139 + C116</f>
        <v>0</v>
      </c>
      <c r="D162" s="839">
        <f>D139 + D116</f>
        <v>0</v>
      </c>
      <c r="E162" s="839">
        <f>E139 + E116</f>
        <v>0</v>
      </c>
      <c r="F162" s="839">
        <f>F139 + F116</f>
        <v>0</v>
      </c>
      <c r="G162" s="839">
        <f>G139 + G116</f>
        <v>1</v>
      </c>
      <c r="H162" s="839">
        <f>H139 + H116</f>
        <v>1</v>
      </c>
      <c r="I162" s="839">
        <f>I139 + I116</f>
        <v>1</v>
      </c>
      <c r="J162" s="839">
        <f>J139 + J116</f>
        <v>1</v>
      </c>
      <c r="K162" s="839">
        <f>K139 + K116</f>
        <v>6</v>
      </c>
      <c r="L162" s="839">
        <f>L139 + L116</f>
        <v>6</v>
      </c>
      <c r="M162" s="839">
        <f>M139 + M116</f>
        <v>6</v>
      </c>
      <c r="N162" s="839">
        <f>N139 + N116</f>
        <v>6</v>
      </c>
      <c r="O162" s="839">
        <f>O139 + O116</f>
        <v>6</v>
      </c>
      <c r="P162" s="839">
        <f>P139 + P116</f>
        <v>7</v>
      </c>
      <c r="Q162" s="839">
        <f>Q139 + Q116</f>
        <v>7</v>
      </c>
      <c r="R162" s="839">
        <f>R139 + R116</f>
        <v>8</v>
      </c>
      <c r="S162" s="839">
        <f>S139 + S116</f>
        <v>8</v>
      </c>
      <c r="T162" s="839">
        <f>T139 + T116</f>
        <v>13</v>
      </c>
      <c r="U162" s="839">
        <f>U139 + U116</f>
        <v>14</v>
      </c>
      <c r="V162" s="839">
        <f>V139 + V116</f>
        <v>15</v>
      </c>
      <c r="W162" s="839">
        <f>W139 + W116</f>
        <v>15</v>
      </c>
      <c r="X162" s="839">
        <f>X139 + X116</f>
        <v>15</v>
      </c>
      <c r="Y162" s="839">
        <f>Y139 + Y116</f>
        <v>16</v>
      </c>
      <c r="Z162" s="839">
        <f>Z139 + Z116</f>
        <v>16</v>
      </c>
      <c r="AA162" s="845">
        <f>AA139 + AA116</f>
        <v>17</v>
      </c>
      <c r="AB162" s="841">
        <f>AB139 + AB116</f>
        <v>17</v>
      </c>
      <c r="AC162" s="841">
        <f>AC139 + AC116</f>
        <v>18</v>
      </c>
      <c r="AD162" s="841">
        <f>AD139 + AD116</f>
        <v>18</v>
      </c>
      <c r="AE162" s="841">
        <f>AE139 + AE116</f>
        <v>18</v>
      </c>
      <c r="AF162" s="841">
        <f>AF139 + AF116</f>
        <v>19</v>
      </c>
      <c r="AG162" s="841">
        <f>AG139 + AG116</f>
        <v>19</v>
      </c>
      <c r="AH162" s="841">
        <f>AH139 + AH116</f>
        <v>21</v>
      </c>
      <c r="AI162" s="841">
        <f>AI139 + AI116</f>
        <v>21</v>
      </c>
      <c r="AJ162" s="841">
        <f>AJ139 + AJ116</f>
        <v>21</v>
      </c>
      <c r="AK162" s="841">
        <f>AK139 + AK116</f>
        <v>21</v>
      </c>
      <c r="AL162" s="841">
        <f>AL139 + AL116</f>
        <v>22</v>
      </c>
      <c r="AM162" s="841">
        <f>AM139 + AM116</f>
        <v>22</v>
      </c>
      <c r="AN162" s="841">
        <f>AN139 + AN116</f>
        <v>23</v>
      </c>
      <c r="AO162" s="841">
        <f>AO139 + AO116</f>
        <v>23</v>
      </c>
    </row>
    <row r="163" hidden="1" ht="13.5">
      <c r="A163" s="128" t="s">
        <v>7</v>
      </c>
      <c r="B163" s="129" t="str">
        <f>IF(SUM(B144:B162)&lt;&gt;0,SUM(B144:B162),"")</f>
      </c>
      <c r="C163" s="129" t="str">
        <f ref="C163:Z163" t="shared" si="10">IF(SUM(C144:C162)&lt;&gt;0,SUM(C144:C162),"")</f>
      </c>
      <c r="D163" s="129" t="str">
        <f t="shared" si="10"/>
      </c>
      <c r="E163" s="129" t="str">
        <f t="shared" si="10"/>
      </c>
      <c r="F163" s="129" t="str">
        <f t="shared" si="10"/>
      </c>
      <c r="G163" s="129" t="str">
        <f t="shared" si="10"/>
      </c>
      <c r="H163" s="129" t="str">
        <f t="shared" si="10"/>
      </c>
      <c r="I163" s="129" t="str">
        <f t="shared" si="10"/>
      </c>
      <c r="J163" s="129" t="str">
        <f t="shared" si="10"/>
      </c>
      <c r="K163" s="129" t="str">
        <f t="shared" si="10"/>
      </c>
      <c r="L163" s="129" t="str">
        <f t="shared" si="10"/>
      </c>
      <c r="M163" s="129" t="str">
        <f t="shared" si="10"/>
      </c>
      <c r="N163" s="129" t="str">
        <f t="shared" si="10"/>
      </c>
      <c r="O163" s="129" t="str">
        <f t="shared" si="10"/>
      </c>
      <c r="P163" s="129" t="str">
        <f t="shared" si="10"/>
      </c>
      <c r="Q163" s="129" t="str">
        <f t="shared" si="10"/>
      </c>
      <c r="R163" s="129" t="str">
        <f t="shared" si="10"/>
      </c>
      <c r="S163" s="129" t="str">
        <f t="shared" si="10"/>
      </c>
      <c r="T163" s="129" t="str">
        <f t="shared" si="10"/>
      </c>
      <c r="U163" s="129" t="str">
        <f t="shared" si="10"/>
      </c>
      <c r="V163" s="129" t="str">
        <f t="shared" si="10"/>
      </c>
      <c r="W163" s="129" t="str">
        <f t="shared" si="10"/>
      </c>
      <c r="X163" s="129" t="str">
        <f t="shared" si="10"/>
      </c>
      <c r="Y163" s="129" t="str">
        <f t="shared" si="10"/>
      </c>
      <c r="Z163" s="129" t="str">
        <f t="shared" si="10"/>
      </c>
      <c r="AA163" s="130" t="str">
        <f>IF(SUM(AA144:AA162)&lt;&gt;0,SUM(AA144:AA162),"")</f>
      </c>
      <c r="AB163" s="91" t="str">
        <f ref="AB163:CM163" t="shared" si="11">IF(SUM(AB144:AB162)&lt;&gt;0,SUM(AB144:AB162),"")</f>
      </c>
      <c r="AC163" s="91" t="str">
        <f t="shared" si="11"/>
      </c>
      <c r="AD163" s="91" t="str">
        <f t="shared" si="11"/>
      </c>
      <c r="AE163" s="91" t="str">
        <f t="shared" si="11"/>
      </c>
      <c r="AF163" s="91" t="str">
        <f t="shared" si="11"/>
      </c>
      <c r="AG163" s="91" t="str">
        <f t="shared" si="11"/>
      </c>
      <c r="AH163" s="91" t="str">
        <f t="shared" si="11"/>
      </c>
      <c r="AI163" s="91" t="str">
        <f t="shared" si="11"/>
      </c>
      <c r="AJ163" s="91" t="str">
        <f t="shared" si="11"/>
      </c>
      <c r="AK163" s="91" t="str">
        <f t="shared" si="11"/>
      </c>
      <c r="AL163" s="91" t="str">
        <f t="shared" si="11"/>
      </c>
      <c r="AM163" s="91" t="str">
        <f t="shared" si="11"/>
      </c>
      <c r="AN163" s="91" t="str">
        <f t="shared" si="11"/>
      </c>
      <c r="AO163" s="91" t="str">
        <f t="shared" si="11"/>
      </c>
      <c r="AP163" s="91" t="str">
        <f t="shared" si="11"/>
      </c>
      <c r="AQ163" s="91" t="str">
        <f t="shared" si="11"/>
      </c>
      <c r="AR163" s="91" t="str">
        <f t="shared" si="11"/>
      </c>
      <c r="AS163" s="91" t="str">
        <f t="shared" si="11"/>
      </c>
      <c r="AT163" s="91" t="str">
        <f t="shared" si="11"/>
      </c>
      <c r="AU163" s="91" t="str">
        <f t="shared" si="11"/>
      </c>
      <c r="AV163" s="91" t="str">
        <f t="shared" si="11"/>
      </c>
      <c r="AW163" s="91" t="str">
        <f t="shared" si="11"/>
      </c>
      <c r="AX163" s="91" t="str">
        <f t="shared" si="11"/>
      </c>
      <c r="AY163" s="91" t="str">
        <f t="shared" si="11"/>
      </c>
      <c r="AZ163" s="91" t="str">
        <f t="shared" si="11"/>
      </c>
      <c r="BA163" s="91" t="str">
        <f t="shared" si="11"/>
      </c>
      <c r="BB163" s="91" t="str">
        <f t="shared" si="11"/>
      </c>
      <c r="BC163" s="91" t="str">
        <f t="shared" si="11"/>
      </c>
      <c r="BD163" s="91" t="str">
        <f t="shared" si="11"/>
      </c>
      <c r="BE163" s="91" t="str">
        <f t="shared" si="11"/>
      </c>
      <c r="BF163" s="91" t="str">
        <f t="shared" si="11"/>
      </c>
      <c r="BG163" s="91" t="str">
        <f t="shared" si="11"/>
      </c>
      <c r="BH163" s="91" t="str">
        <f t="shared" si="11"/>
      </c>
      <c r="BI163" s="91" t="str">
        <f t="shared" si="11"/>
      </c>
      <c r="BJ163" s="91" t="str">
        <f t="shared" si="11"/>
      </c>
      <c r="BK163" s="91" t="str">
        <f t="shared" si="11"/>
      </c>
      <c r="BL163" s="91" t="str">
        <f t="shared" si="11"/>
      </c>
      <c r="BM163" s="91" t="str">
        <f t="shared" si="11"/>
      </c>
      <c r="BN163" s="91" t="str">
        <f t="shared" si="11"/>
      </c>
      <c r="BO163" s="91" t="str">
        <f t="shared" si="11"/>
      </c>
      <c r="BP163" s="91" t="str">
        <f t="shared" si="11"/>
      </c>
      <c r="BQ163" s="91" t="str">
        <f t="shared" si="11"/>
      </c>
      <c r="BR163" s="91" t="str">
        <f t="shared" si="11"/>
      </c>
      <c r="BS163" s="91" t="str">
        <f t="shared" si="11"/>
      </c>
      <c r="BT163" s="91" t="str">
        <f t="shared" si="11"/>
      </c>
      <c r="BU163" s="91" t="str">
        <f t="shared" si="11"/>
      </c>
      <c r="BV163" s="91" t="str">
        <f t="shared" si="11"/>
      </c>
      <c r="BW163" s="91" t="str">
        <f t="shared" si="11"/>
      </c>
      <c r="BX163" s="91" t="str">
        <f t="shared" si="11"/>
      </c>
      <c r="BY163" s="91" t="str">
        <f t="shared" si="11"/>
      </c>
      <c r="BZ163" s="91" t="str">
        <f t="shared" si="11"/>
      </c>
      <c r="CA163" s="91" t="str">
        <f t="shared" si="11"/>
      </c>
      <c r="CB163" s="91" t="str">
        <f t="shared" si="11"/>
      </c>
      <c r="CC163" s="91" t="str">
        <f t="shared" si="11"/>
      </c>
      <c r="CD163" s="91" t="str">
        <f t="shared" si="11"/>
      </c>
      <c r="CE163" s="91" t="str">
        <f t="shared" si="11"/>
      </c>
      <c r="CF163" s="91" t="str">
        <f t="shared" si="11"/>
      </c>
      <c r="CG163" s="91" t="str">
        <f t="shared" si="11"/>
      </c>
      <c r="CH163" s="91" t="str">
        <f t="shared" si="11"/>
      </c>
      <c r="CI163" s="91" t="str">
        <f t="shared" si="11"/>
      </c>
      <c r="CJ163" s="91" t="str">
        <f t="shared" si="11"/>
      </c>
      <c r="CK163" s="91" t="str">
        <f t="shared" si="11"/>
      </c>
      <c r="CL163" s="91" t="str">
        <f t="shared" si="11"/>
      </c>
      <c r="CM163" s="91" t="str">
        <f t="shared" si="11"/>
      </c>
      <c r="CN163" s="91" t="str">
        <f ref="CN163:EY163" t="shared" si="12">IF(SUM(CN144:CN162)&lt;&gt;0,SUM(CN144:CN162),"")</f>
      </c>
      <c r="CO163" s="91" t="str">
        <f t="shared" si="12"/>
      </c>
      <c r="CP163" s="91" t="str">
        <f t="shared" si="12"/>
      </c>
      <c r="CQ163" s="91" t="str">
        <f t="shared" si="12"/>
      </c>
      <c r="CR163" s="91" t="str">
        <f t="shared" si="12"/>
      </c>
      <c r="CS163" s="91" t="str">
        <f t="shared" si="12"/>
      </c>
      <c r="CT163" s="91" t="str">
        <f t="shared" si="12"/>
      </c>
      <c r="CU163" s="91" t="str">
        <f t="shared" si="12"/>
      </c>
      <c r="CV163" s="91" t="str">
        <f t="shared" si="12"/>
      </c>
      <c r="CW163" s="91" t="str">
        <f t="shared" si="12"/>
      </c>
      <c r="CX163" s="91" t="str">
        <f t="shared" si="12"/>
      </c>
      <c r="CY163" s="91" t="str">
        <f t="shared" si="12"/>
      </c>
      <c r="CZ163" s="91" t="str">
        <f t="shared" si="12"/>
      </c>
      <c r="DA163" s="91" t="str">
        <f t="shared" si="12"/>
      </c>
      <c r="DB163" s="91" t="str">
        <f t="shared" si="12"/>
      </c>
      <c r="DC163" s="91" t="str">
        <f t="shared" si="12"/>
      </c>
      <c r="DD163" s="91" t="str">
        <f t="shared" si="12"/>
      </c>
      <c r="DE163" s="91" t="str">
        <f t="shared" si="12"/>
      </c>
      <c r="DF163" s="91" t="str">
        <f t="shared" si="12"/>
      </c>
      <c r="DG163" s="91" t="str">
        <f t="shared" si="12"/>
      </c>
      <c r="DH163" s="91" t="str">
        <f t="shared" si="12"/>
      </c>
      <c r="DI163" s="91" t="str">
        <f t="shared" si="12"/>
      </c>
      <c r="DJ163" s="91" t="str">
        <f t="shared" si="12"/>
      </c>
      <c r="DK163" s="91" t="str">
        <f t="shared" si="12"/>
      </c>
      <c r="DL163" s="91" t="str">
        <f t="shared" si="12"/>
      </c>
      <c r="DM163" s="91" t="str">
        <f t="shared" si="12"/>
      </c>
      <c r="DN163" s="91" t="str">
        <f t="shared" si="12"/>
      </c>
      <c r="DO163" s="91" t="str">
        <f t="shared" si="12"/>
      </c>
      <c r="DP163" s="91" t="str">
        <f t="shared" si="12"/>
      </c>
      <c r="DQ163" s="91" t="str">
        <f t="shared" si="12"/>
      </c>
      <c r="DR163" s="91" t="str">
        <f t="shared" si="12"/>
      </c>
      <c r="DS163" s="91" t="str">
        <f t="shared" si="12"/>
      </c>
      <c r="DT163" s="91" t="str">
        <f t="shared" si="12"/>
      </c>
      <c r="DU163" s="91" t="str">
        <f t="shared" si="12"/>
      </c>
      <c r="DV163" s="91" t="str">
        <f t="shared" si="12"/>
      </c>
      <c r="DW163" s="91" t="str">
        <f t="shared" si="12"/>
      </c>
      <c r="DX163" s="91" t="str">
        <f t="shared" si="12"/>
      </c>
      <c r="DY163" s="91" t="str">
        <f t="shared" si="12"/>
      </c>
      <c r="DZ163" s="91" t="str">
        <f t="shared" si="12"/>
      </c>
      <c r="EA163" s="91" t="str">
        <f t="shared" si="12"/>
      </c>
      <c r="EB163" s="91" t="str">
        <f t="shared" si="12"/>
      </c>
      <c r="EC163" s="91" t="str">
        <f t="shared" si="12"/>
      </c>
      <c r="ED163" s="91" t="str">
        <f t="shared" si="12"/>
      </c>
      <c r="EE163" s="91" t="str">
        <f t="shared" si="12"/>
      </c>
      <c r="EF163" s="91" t="str">
        <f t="shared" si="12"/>
      </c>
      <c r="EG163" s="91" t="str">
        <f t="shared" si="12"/>
      </c>
      <c r="EH163" s="91" t="str">
        <f t="shared" si="12"/>
      </c>
      <c r="EI163" s="91" t="str">
        <f t="shared" si="12"/>
      </c>
      <c r="EJ163" s="91" t="str">
        <f t="shared" si="12"/>
      </c>
      <c r="EK163" s="91" t="str">
        <f t="shared" si="12"/>
      </c>
      <c r="EL163" s="91" t="str">
        <f t="shared" si="12"/>
      </c>
      <c r="EM163" s="91" t="str">
        <f t="shared" si="12"/>
      </c>
      <c r="EN163" s="91" t="str">
        <f t="shared" si="12"/>
      </c>
      <c r="EO163" s="91" t="str">
        <f t="shared" si="12"/>
      </c>
      <c r="EP163" s="91" t="str">
        <f t="shared" si="12"/>
      </c>
      <c r="EQ163" s="91" t="str">
        <f t="shared" si="12"/>
      </c>
      <c r="ER163" s="91" t="str">
        <f t="shared" si="12"/>
      </c>
      <c r="ES163" s="91" t="str">
        <f t="shared" si="12"/>
      </c>
      <c r="ET163" s="91" t="str">
        <f t="shared" si="12"/>
      </c>
      <c r="EU163" s="91" t="str">
        <f t="shared" si="12"/>
      </c>
      <c r="EV163" s="91" t="str">
        <f t="shared" si="12"/>
      </c>
      <c r="EW163" s="91" t="str">
        <f t="shared" si="12"/>
      </c>
      <c r="EX163" s="91" t="str">
        <f t="shared" si="12"/>
      </c>
      <c r="EY163" s="91" t="str">
        <f t="shared" si="12"/>
      </c>
      <c r="EZ163" s="91" t="str">
        <f ref="EZ163:HK163" t="shared" si="13">IF(SUM(EZ144:EZ162)&lt;&gt;0,SUM(EZ144:EZ162),"")</f>
      </c>
      <c r="FA163" s="91" t="str">
        <f t="shared" si="13"/>
      </c>
      <c r="FB163" s="91" t="str">
        <f t="shared" si="13"/>
      </c>
      <c r="FC163" s="91" t="str">
        <f t="shared" si="13"/>
      </c>
      <c r="FD163" s="91" t="str">
        <f t="shared" si="13"/>
      </c>
      <c r="FE163" s="91" t="str">
        <f t="shared" si="13"/>
      </c>
      <c r="FF163" s="91" t="str">
        <f t="shared" si="13"/>
      </c>
      <c r="FG163" s="91" t="str">
        <f t="shared" si="13"/>
      </c>
      <c r="FH163" s="91" t="str">
        <f t="shared" si="13"/>
      </c>
      <c r="FI163" s="91" t="str">
        <f t="shared" si="13"/>
      </c>
      <c r="FJ163" s="91" t="str">
        <f t="shared" si="13"/>
      </c>
      <c r="FK163" s="91" t="str">
        <f t="shared" si="13"/>
      </c>
      <c r="FL163" s="91" t="str">
        <f t="shared" si="13"/>
      </c>
      <c r="FM163" s="91" t="str">
        <f t="shared" si="13"/>
      </c>
      <c r="FN163" s="91" t="str">
        <f t="shared" si="13"/>
      </c>
      <c r="FO163" s="91" t="str">
        <f t="shared" si="13"/>
      </c>
      <c r="FP163" s="91" t="str">
        <f t="shared" si="13"/>
      </c>
      <c r="FQ163" s="91" t="str">
        <f t="shared" si="13"/>
      </c>
      <c r="FR163" s="91" t="str">
        <f t="shared" si="13"/>
      </c>
      <c r="FS163" s="91" t="str">
        <f t="shared" si="13"/>
      </c>
      <c r="FT163" s="91" t="str">
        <f t="shared" si="13"/>
      </c>
      <c r="FU163" s="91" t="str">
        <f t="shared" si="13"/>
      </c>
      <c r="FV163" s="91" t="str">
        <f t="shared" si="13"/>
      </c>
      <c r="FW163" s="91" t="str">
        <f t="shared" si="13"/>
      </c>
      <c r="FX163" s="91" t="str">
        <f t="shared" si="13"/>
      </c>
      <c r="FY163" s="91" t="str">
        <f t="shared" si="13"/>
      </c>
      <c r="FZ163" s="91" t="str">
        <f t="shared" si="13"/>
      </c>
      <c r="GA163" s="91" t="str">
        <f t="shared" si="13"/>
      </c>
      <c r="GB163" s="91" t="str">
        <f t="shared" si="13"/>
      </c>
      <c r="GC163" s="91" t="str">
        <f t="shared" si="13"/>
      </c>
      <c r="GD163" s="91" t="str">
        <f t="shared" si="13"/>
      </c>
      <c r="GE163" s="91" t="str">
        <f t="shared" si="13"/>
      </c>
      <c r="GF163" s="91" t="str">
        <f t="shared" si="13"/>
      </c>
      <c r="GG163" s="91" t="str">
        <f t="shared" si="13"/>
      </c>
      <c r="GH163" s="91" t="str">
        <f t="shared" si="13"/>
      </c>
      <c r="GI163" s="91" t="str">
        <f t="shared" si="13"/>
      </c>
      <c r="GJ163" s="91" t="str">
        <f t="shared" si="13"/>
      </c>
      <c r="GK163" s="91" t="str">
        <f t="shared" si="13"/>
      </c>
      <c r="GL163" s="91" t="str">
        <f t="shared" si="13"/>
      </c>
      <c r="GM163" s="91" t="str">
        <f t="shared" si="13"/>
      </c>
      <c r="GN163" s="91" t="str">
        <f t="shared" si="13"/>
      </c>
      <c r="GO163" s="91" t="str">
        <f t="shared" si="13"/>
      </c>
      <c r="GP163" s="91" t="str">
        <f t="shared" si="13"/>
      </c>
      <c r="GQ163" s="91" t="str">
        <f t="shared" si="13"/>
      </c>
      <c r="GR163" s="91" t="str">
        <f t="shared" si="13"/>
      </c>
      <c r="GS163" s="91" t="str">
        <f t="shared" si="13"/>
      </c>
      <c r="GT163" s="91" t="str">
        <f t="shared" si="13"/>
      </c>
      <c r="GU163" s="91" t="str">
        <f t="shared" si="13"/>
      </c>
      <c r="GV163" s="91" t="str">
        <f t="shared" si="13"/>
      </c>
      <c r="GW163" s="91" t="str">
        <f t="shared" si="13"/>
      </c>
      <c r="GX163" s="91" t="str">
        <f t="shared" si="13"/>
      </c>
      <c r="GY163" s="91" t="str">
        <f t="shared" si="13"/>
      </c>
      <c r="GZ163" s="91" t="str">
        <f t="shared" si="13"/>
      </c>
      <c r="HA163" s="91" t="str">
        <f t="shared" si="13"/>
      </c>
      <c r="HB163" s="91" t="str">
        <f t="shared" si="13"/>
      </c>
      <c r="HC163" s="91" t="str">
        <f t="shared" si="13"/>
      </c>
      <c r="HD163" s="91" t="str">
        <f t="shared" si="13"/>
      </c>
      <c r="HE163" s="91" t="str">
        <f t="shared" si="13"/>
      </c>
      <c r="HF163" s="91" t="str">
        <f t="shared" si="13"/>
      </c>
      <c r="HG163" s="91" t="str">
        <f t="shared" si="13"/>
      </c>
      <c r="HH163" s="91" t="str">
        <f t="shared" si="13"/>
      </c>
      <c r="HI163" s="91" t="str">
        <f t="shared" si="13"/>
      </c>
      <c r="HJ163" s="91" t="str">
        <f t="shared" si="13"/>
      </c>
      <c r="HK163" s="91" t="str">
        <f t="shared" si="13"/>
      </c>
      <c r="HL163" s="91" t="str">
        <f ref="HL163:IU163" t="shared" si="14">IF(SUM(HL144:HL162)&lt;&gt;0,SUM(HL144:HL162),"")</f>
      </c>
      <c r="HM163" s="91" t="str">
        <f t="shared" si="14"/>
      </c>
      <c r="HN163" s="91" t="str">
        <f t="shared" si="14"/>
      </c>
      <c r="HO163" s="91" t="str">
        <f t="shared" si="14"/>
      </c>
      <c r="HP163" s="91" t="str">
        <f t="shared" si="14"/>
      </c>
      <c r="HQ163" s="91" t="str">
        <f t="shared" si="14"/>
      </c>
      <c r="HR163" s="91" t="str">
        <f t="shared" si="14"/>
      </c>
      <c r="HS163" s="91" t="str">
        <f t="shared" si="14"/>
      </c>
      <c r="HT163" s="91" t="str">
        <f t="shared" si="14"/>
      </c>
      <c r="HU163" s="91" t="str">
        <f t="shared" si="14"/>
      </c>
      <c r="HV163" s="91" t="str">
        <f t="shared" si="14"/>
      </c>
      <c r="HW163" s="91" t="str">
        <f t="shared" si="14"/>
      </c>
      <c r="HX163" s="91" t="str">
        <f t="shared" si="14"/>
      </c>
      <c r="HY163" s="91" t="str">
        <f t="shared" si="14"/>
      </c>
      <c r="HZ163" s="91" t="str">
        <f t="shared" si="14"/>
      </c>
      <c r="IA163" s="91" t="str">
        <f t="shared" si="14"/>
      </c>
      <c r="IB163" s="91" t="str">
        <f t="shared" si="14"/>
      </c>
      <c r="IC163" s="91" t="str">
        <f t="shared" si="14"/>
      </c>
      <c r="ID163" s="91" t="str">
        <f t="shared" si="14"/>
      </c>
      <c r="IE163" s="91" t="str">
        <f t="shared" si="14"/>
      </c>
      <c r="IF163" s="91" t="str">
        <f t="shared" si="14"/>
      </c>
      <c r="IG163" s="91" t="str">
        <f t="shared" si="14"/>
      </c>
      <c r="IH163" s="91" t="str">
        <f t="shared" si="14"/>
      </c>
      <c r="II163" s="91" t="str">
        <f t="shared" si="14"/>
      </c>
      <c r="IJ163" s="91" t="str">
        <f t="shared" si="14"/>
      </c>
      <c r="IK163" s="91" t="str">
        <f t="shared" si="14"/>
      </c>
      <c r="IL163" s="91" t="str">
        <f t="shared" si="14"/>
      </c>
      <c r="IM163" s="91" t="str">
        <f t="shared" si="14"/>
      </c>
      <c r="IN163" s="91" t="str">
        <f t="shared" si="14"/>
      </c>
      <c r="IO163" s="91" t="str">
        <f t="shared" si="14"/>
      </c>
      <c r="IP163" s="91" t="str">
        <f t="shared" si="14"/>
      </c>
      <c r="IQ163" s="91" t="str">
        <f t="shared" si="14"/>
      </c>
      <c r="IR163" s="91" t="str">
        <f t="shared" si="14"/>
      </c>
      <c r="IS163" s="91" t="str">
        <f t="shared" si="14"/>
      </c>
      <c r="IT163" s="91" t="str">
        <f t="shared" si="14"/>
      </c>
      <c r="IU163" s="91" t="str">
        <f t="shared" si="14"/>
      </c>
    </row>
    <row r="164" hidden="1"/>
    <row r="165" hidden="1"/>
    <row r="166" hidden="1"/>
    <row r="167" hidden="1" ht="13.5" customHeight="1">
      <c r="A167" s="613"/>
      <c r="B167" s="613"/>
      <c r="C167" s="613"/>
      <c r="D167" s="613"/>
      <c r="E167" s="613"/>
      <c r="F167" s="613"/>
      <c r="G167" s="613"/>
      <c r="H167" s="613"/>
      <c r="I167" s="613"/>
      <c r="J167" s="613"/>
      <c r="K167" s="613"/>
    </row>
    <row r="168" hidden="1" ht="13.5" customHeight="1">
      <c r="A168" s="138"/>
      <c r="B168" s="614" t="s">
        <v>323</v>
      </c>
      <c r="C168" s="615"/>
      <c r="D168" s="615"/>
      <c r="E168" s="615"/>
      <c r="F168" s="615"/>
      <c r="G168" s="615"/>
      <c r="H168" s="615"/>
      <c r="I168" s="615"/>
      <c r="J168" s="615"/>
      <c r="K168" s="615"/>
      <c r="L168" s="615"/>
      <c r="M168" s="615"/>
      <c r="N168" s="615"/>
      <c r="O168" s="615"/>
      <c r="P168" s="615"/>
      <c r="Q168" s="615"/>
      <c r="R168" s="615"/>
      <c r="S168" s="615"/>
      <c r="T168" s="615"/>
      <c r="U168" s="615"/>
      <c r="V168" s="615"/>
      <c r="W168" s="615"/>
      <c r="X168" s="615"/>
      <c r="Y168" s="615"/>
      <c r="Z168" s="615"/>
      <c r="AA168" s="616"/>
    </row>
    <row r="169" hidden="1" ht="13.5">
      <c r="B169" s="435" t="str">
        <f> IF(B189&lt;&gt;"",TEXT(AUX!G$1,"dd-MMM-aa"),"")</f>
      </c>
      <c r="C169" s="435" t="str">
        <f> IF(C189&lt;&gt;"",TEXT(AUX!H$1,"dd-MMM-aa"),"")</f>
      </c>
      <c r="D169" s="435" t="str">
        <f> IF(D189&lt;&gt;"",TEXT(AUX!I$1,"dd-MMM-aa"),"")</f>
      </c>
      <c r="E169" s="435" t="str">
        <f> IF(E189&lt;&gt;"",TEXT(AUX!J$1,"dd-MMM-aa"),"")</f>
      </c>
      <c r="F169" s="435" t="str">
        <f> IF(F189&lt;&gt;"",TEXT(AUX!K$1,"dd-MMM-aa"),"")</f>
      </c>
      <c r="G169" s="435" t="str">
        <f> IF(G189&lt;&gt;"",TEXT(AUX!L$1,"dd-MMM-aa"),"")</f>
      </c>
      <c r="H169" s="435" t="str">
        <f> IF(H189&lt;&gt;"",TEXT(AUX!M$1,"dd-MMM-aa"),"")</f>
      </c>
      <c r="I169" s="435" t="str">
        <f> IF(I189&lt;&gt;"",TEXT(AUX!N$1,"dd-MMM-aa"),"")</f>
      </c>
      <c r="J169" s="435" t="str">
        <f> IF(J189&lt;&gt;"",TEXT(AUX!O$1,"dd-MMM-aa"),"")</f>
      </c>
      <c r="K169" s="435" t="str">
        <f> IF(K189&lt;&gt;"",TEXT(AUX!P$1,"dd-MMM-aa"),"")</f>
      </c>
      <c r="L169" s="435" t="str">
        <f> IF(L189&lt;&gt;"",TEXT(AUX!Q$1,"dd-MMM-aa"),"")</f>
      </c>
      <c r="M169" s="435" t="str">
        <f> IF(M189&lt;&gt;"",TEXT(AUX!R$1,"dd-MMM-aa"),"")</f>
      </c>
      <c r="N169" s="435" t="str">
        <f> IF(N189&lt;&gt;"",TEXT(AUX!S$1,"dd-MMM-aa"),"")</f>
      </c>
      <c r="O169" s="435" t="str">
        <f> IF(O189&lt;&gt;"",TEXT(AUX!T$1,"dd-MMM-aa"),"")</f>
      </c>
      <c r="P169" s="435" t="str">
        <f> IF(P189&lt;&gt;"",TEXT(AUX!U$1,"dd-MMM-aa"),"")</f>
      </c>
      <c r="Q169" s="435" t="str">
        <f> IF(Q189&lt;&gt;"",TEXT(AUX!V$1,"dd-MMM-aa"),"")</f>
      </c>
      <c r="R169" s="435" t="str">
        <f> IF(R189&lt;&gt;"",TEXT(AUX!W$1,"dd-MMM-aa"),"")</f>
      </c>
      <c r="S169" s="435" t="str">
        <f> IF(S189&lt;&gt;"",TEXT(AUX!X$1,"dd-MMM-aa"),"")</f>
      </c>
      <c r="T169" s="435" t="str">
        <f> IF(T189&lt;&gt;"",TEXT(AUX!Y$1,"dd-MMM-aa"),"")</f>
      </c>
      <c r="U169" s="435" t="str">
        <f> IF(U189&lt;&gt;"",TEXT(AUX!Z$1,"dd-MMM-aa"),"")</f>
      </c>
      <c r="V169" s="435" t="str">
        <f> IF(V189&lt;&gt;"",TEXT(AUX!AA$1,"dd-MMM-aa"),"")</f>
      </c>
      <c r="W169" s="435" t="str">
        <f> IF(W189&lt;&gt;"",TEXT(AUX!AB$1,"dd-MMM-aa"),"")</f>
      </c>
      <c r="X169" s="435" t="str">
        <f> IF(X189&lt;&gt;"",TEXT(AUX!AC$1,"dd-MMM-aa"),"")</f>
      </c>
      <c r="Y169" s="435" t="str">
        <f> IF(Y189&lt;&gt;"",TEXT(AUX!AD$1,"dd-MMM-aa"),"")</f>
      </c>
      <c r="Z169" s="435" t="str">
        <f> IF(Z189&lt;&gt;"",TEXT(AUX!AE$1,"dd-MMM-aa"),"")</f>
      </c>
      <c r="AA169" s="497" t="str">
        <f> IF(AA189&lt;&gt;"",TEXT(AUX!AF$1,"dd-MMM-aa"),"")</f>
      </c>
      <c r="AB169" s="496" t="str">
        <f> IF(AB189&lt;&gt;"",TEXT(AUX!AG$1,"dd-MMM-aa"),"")</f>
      </c>
      <c r="AC169" s="496" t="str">
        <f> IF(AC189&lt;&gt;"",TEXT(AUX!AH$1,"dd-MMM-aa"),"")</f>
      </c>
      <c r="AD169" s="496" t="str">
        <f> IF(AD189&lt;&gt;"",TEXT(AUX!AI$1,"dd-MMM-aa"),"")</f>
      </c>
      <c r="AE169" s="496" t="str">
        <f> IF(AE189&lt;&gt;"",TEXT(AUX!AJ$1,"dd-MMM-aa"),"")</f>
      </c>
      <c r="AF169" s="496" t="str">
        <f> IF(AF189&lt;&gt;"",TEXT(AUX!AK$1,"dd-MMM-aa"),"")</f>
      </c>
      <c r="AG169" s="496" t="str">
        <f> IF(AG189&lt;&gt;"",TEXT(AUX!AL$1,"dd-MMM-aa"),"")</f>
      </c>
      <c r="AH169" s="496" t="str">
        <f> IF(AH189&lt;&gt;"",TEXT(AUX!AM$1,"dd-MMM-aa"),"")</f>
      </c>
      <c r="AI169" s="496" t="str">
        <f> IF(AI189&lt;&gt;"",TEXT(AUX!AN$1,"dd-MMM-aa"),"")</f>
      </c>
      <c r="AJ169" s="496" t="str">
        <f> IF(AJ189&lt;&gt;"",TEXT(AUX!AO$1,"dd-MMM-aa"),"")</f>
      </c>
      <c r="AK169" s="496" t="str">
        <f> IF(AK189&lt;&gt;"",TEXT(AUX!AP$1,"dd-MMM-aa"),"")</f>
      </c>
      <c r="AL169" s="496" t="str">
        <f> IF(AL189&lt;&gt;"",TEXT(AUX!AQ$1,"dd-MMM-aa"),"")</f>
      </c>
      <c r="AM169" s="496" t="str">
        <f> IF(AM189&lt;&gt;"",TEXT(AUX!AR$1,"dd-MMM-aa"),"")</f>
      </c>
      <c r="AN169" s="496" t="str">
        <f> IF(AN189&lt;&gt;"",TEXT(AUX!AS$1,"dd-MMM-aa"),"")</f>
      </c>
      <c r="AO169" s="496" t="str">
        <f> IF(AO189&lt;&gt;"",TEXT(AUX!AT$1,"dd-MMM-aa"),"")</f>
      </c>
      <c r="AP169" s="496" t="str">
        <f> IF(AP189&lt;&gt;"",TEXT(AUX!AU$1,"dd-MMM-aa"),"")</f>
      </c>
      <c r="AQ169" s="496" t="str">
        <f> IF(AQ189&lt;&gt;"",TEXT(AUX!AV$1,"dd-MMM-aa"),"")</f>
      </c>
      <c r="AR169" s="496" t="str">
        <f> IF(AR189&lt;&gt;"",TEXT(AUX!AW$1,"dd-MMM-aa"),"")</f>
      </c>
      <c r="AS169" s="496" t="str">
        <f> IF(AS189&lt;&gt;"",TEXT(AUX!AX$1,"dd-MMM-aa"),"")</f>
      </c>
      <c r="AT169" s="496" t="str">
        <f> IF(AT189&lt;&gt;"",TEXT(AUX!AY$1,"dd-MMM-aa"),"")</f>
      </c>
      <c r="AU169" s="496" t="str">
        <f> IF(AU189&lt;&gt;"",TEXT(AUX!AZ$1,"dd-MMM-aa"),"")</f>
      </c>
      <c r="AV169" s="496" t="str">
        <f> IF(AV189&lt;&gt;"",TEXT(AUX!BA$1,"dd-MMM-aa"),"")</f>
      </c>
      <c r="AW169" s="496" t="str">
        <f> IF(AW189&lt;&gt;"",TEXT(AUX!BB$1,"dd-MMM-aa"),"")</f>
      </c>
      <c r="AX169" s="496" t="str">
        <f> IF(AX189&lt;&gt;"",TEXT(AUX!BC$1,"dd-MMM-aa"),"")</f>
      </c>
      <c r="AY169" s="496" t="str">
        <f> IF(AY189&lt;&gt;"",TEXT(AUX!BD$1,"dd-MMM-aa"),"")</f>
      </c>
      <c r="AZ169" s="496" t="str">
        <f> IF(AZ189&lt;&gt;"",TEXT(AUX!BE$1,"dd-MMM-aa"),"")</f>
      </c>
      <c r="BA169" s="496" t="str">
        <f> IF(BA189&lt;&gt;"",TEXT(AUX!BF$1,"dd-MMM-aa"),"")</f>
      </c>
      <c r="BB169" s="496" t="str">
        <f> IF(BB189&lt;&gt;"",TEXT(AUX!BG$1,"dd-MMM-aa"),"")</f>
      </c>
      <c r="BC169" s="496" t="str">
        <f> IF(BC189&lt;&gt;"",TEXT(AUX!BH$1,"dd-MMM-aa"),"")</f>
      </c>
      <c r="BD169" s="496" t="str">
        <f> IF(BD189&lt;&gt;"",TEXT(AUX!BI$1,"dd-MMM-aa"),"")</f>
      </c>
      <c r="BE169" s="496" t="str">
        <f> IF(BE189&lt;&gt;"",TEXT(AUX!BJ$1,"dd-MMM-aa"),"")</f>
      </c>
      <c r="BF169" s="496" t="str">
        <f> IF(BF189&lt;&gt;"",TEXT(AUX!BK$1,"dd-MMM-aa"),"")</f>
      </c>
      <c r="BG169" s="496" t="str">
        <f> IF(BG189&lt;&gt;"",TEXT(AUX!BL$1,"dd-MMM-aa"),"")</f>
      </c>
      <c r="BH169" s="496" t="str">
        <f> IF(BH189&lt;&gt;"",TEXT(AUX!BM$1,"dd-MMM-aa"),"")</f>
      </c>
      <c r="BI169" s="496" t="str">
        <f> IF(BI189&lt;&gt;"",TEXT(AUX!BN$1,"dd-MMM-aa"),"")</f>
      </c>
      <c r="BJ169" s="496" t="str">
        <f> IF(BJ189&lt;&gt;"",TEXT(AUX!BO$1,"dd-MMM-aa"),"")</f>
      </c>
      <c r="BK169" s="496" t="str">
        <f> IF(BK189&lt;&gt;"",TEXT(AUX!BP$1,"dd-MMM-aa"),"")</f>
      </c>
      <c r="BL169" s="496" t="str">
        <f> IF(BL189&lt;&gt;"",TEXT(AUX!BQ$1,"dd-MMM-aa"),"")</f>
      </c>
      <c r="BM169" s="496" t="str">
        <f> IF(BM189&lt;&gt;"",TEXT(AUX!BR$1,"dd-MMM-aa"),"")</f>
      </c>
      <c r="BN169" s="496" t="str">
        <f> IF(BN189&lt;&gt;"",TEXT(AUX!BS$1,"dd-MMM-aa"),"")</f>
      </c>
      <c r="BO169" s="496" t="str">
        <f> IF(BO189&lt;&gt;"",TEXT(AUX!BT$1,"dd-MMM-aa"),"")</f>
      </c>
      <c r="BP169" s="496" t="str">
        <f> IF(BP189&lt;&gt;"",TEXT(AUX!BU$1,"dd-MMM-aa"),"")</f>
      </c>
      <c r="BQ169" s="496" t="str">
        <f> IF(BQ189&lt;&gt;"",TEXT(AUX!BV$1,"dd-MMM-aa"),"")</f>
      </c>
      <c r="BR169" s="496" t="str">
        <f> IF(BR189&lt;&gt;"",TEXT(AUX!BW$1,"dd-MMM-aa"),"")</f>
      </c>
      <c r="BS169" s="496" t="str">
        <f> IF(BS189&lt;&gt;"",TEXT(AUX!BX$1,"dd-MMM-aa"),"")</f>
      </c>
      <c r="BT169" s="496" t="str">
        <f> IF(BT189&lt;&gt;"",TEXT(AUX!BY$1,"dd-MMM-aa"),"")</f>
      </c>
      <c r="BU169" s="496" t="str">
        <f> IF(BU189&lt;&gt;"",TEXT(AUX!BZ$1,"dd-MMM-aa"),"")</f>
      </c>
      <c r="BV169" s="496" t="str">
        <f> IF(BV189&lt;&gt;"",TEXT(AUX!CA$1,"dd-MMM-aa"),"")</f>
      </c>
      <c r="BW169" s="496" t="str">
        <f> IF(BW189&lt;&gt;"",TEXT(AUX!CB$1,"dd-MMM-aa"),"")</f>
      </c>
      <c r="BX169" s="496" t="str">
        <f> IF(BX189&lt;&gt;"",TEXT(AUX!CC$1,"dd-MMM-aa"),"")</f>
      </c>
      <c r="BY169" s="496" t="str">
        <f> IF(BY189&lt;&gt;"",TEXT(AUX!CD$1,"dd-MMM-aa"),"")</f>
      </c>
      <c r="BZ169" s="496" t="str">
        <f> IF(BZ189&lt;&gt;"",TEXT(AUX!CE$1,"dd-MMM-aa"),"")</f>
      </c>
      <c r="CA169" s="496" t="str">
        <f> IF(CA189&lt;&gt;"",TEXT(AUX!CF$1,"dd-MMM-aa"),"")</f>
      </c>
      <c r="CB169" s="496" t="str">
        <f> IF(CB189&lt;&gt;"",TEXT(AUX!CG$1,"dd-MMM-aa"),"")</f>
      </c>
      <c r="CC169" s="496" t="str">
        <f> IF(CC189&lt;&gt;"",TEXT(AUX!CH$1,"dd-MMM-aa"),"")</f>
      </c>
      <c r="CD169" s="496" t="str">
        <f> IF(CD189&lt;&gt;"",TEXT(AUX!CI$1,"dd-MMM-aa"),"")</f>
      </c>
      <c r="CE169" s="496" t="str">
        <f> IF(CE189&lt;&gt;"",TEXT(AUX!CJ$1,"dd-MMM-aa"),"")</f>
      </c>
      <c r="CF169" s="496" t="str">
        <f> IF(CF189&lt;&gt;"",TEXT(AUX!CK$1,"dd-MMM-aa"),"")</f>
      </c>
      <c r="CG169" s="496" t="str">
        <f> IF(CG189&lt;&gt;"",TEXT(AUX!CL$1,"dd-MMM-aa"),"")</f>
      </c>
      <c r="CH169" s="496" t="str">
        <f> IF(CH189&lt;&gt;"",TEXT(AUX!CM$1,"dd-MMM-aa"),"")</f>
      </c>
      <c r="CI169" s="496" t="str">
        <f> IF(CI189&lt;&gt;"",TEXT(AUX!CN$1,"dd-MMM-aa"),"")</f>
      </c>
      <c r="CJ169" s="496" t="str">
        <f> IF(CJ189&lt;&gt;"",TEXT(AUX!CO$1,"dd-MMM-aa"),"")</f>
      </c>
      <c r="CK169" s="496" t="str">
        <f> IF(CK189&lt;&gt;"",TEXT(AUX!CP$1,"dd-MMM-aa"),"")</f>
      </c>
      <c r="CL169" s="496" t="str">
        <f> IF(CL189&lt;&gt;"",TEXT(AUX!CQ$1,"dd-MMM-aa"),"")</f>
      </c>
      <c r="CM169" s="496" t="str">
        <f> IF(CM189&lt;&gt;"",TEXT(AUX!CR$1,"dd-MMM-aa"),"")</f>
      </c>
      <c r="CN169" s="496" t="str">
        <f> IF(CN189&lt;&gt;"",TEXT(AUX!CS$1,"dd-MMM-aa"),"")</f>
      </c>
      <c r="CO169" s="496" t="str">
        <f> IF(CO189&lt;&gt;"",TEXT(AUX!CT$1,"dd-MMM-aa"),"")</f>
      </c>
      <c r="CP169" s="496" t="str">
        <f> IF(CP189&lt;&gt;"",TEXT(AUX!CU$1,"dd-MMM-aa"),"")</f>
      </c>
      <c r="CQ169" s="496" t="str">
        <f> IF(CQ189&lt;&gt;"",TEXT(AUX!CV$1,"dd-MMM-aa"),"")</f>
      </c>
      <c r="CR169" s="496" t="str">
        <f> IF(CR189&lt;&gt;"",TEXT(AUX!CW$1,"dd-MMM-aa"),"")</f>
      </c>
      <c r="CS169" s="496" t="str">
        <f> IF(CS189&lt;&gt;"",TEXT(AUX!CX$1,"dd-MMM-aa"),"")</f>
      </c>
      <c r="CT169" s="496" t="str">
        <f> IF(CT189&lt;&gt;"",TEXT(AUX!CY$1,"dd-MMM-aa"),"")</f>
      </c>
      <c r="CU169" s="496" t="str">
        <f> IF(CU189&lt;&gt;"",TEXT(AUX!CZ$1,"dd-MMM-aa"),"")</f>
      </c>
      <c r="CV169" s="496" t="str">
        <f> IF(CV189&lt;&gt;"",TEXT(AUX!DA$1,"dd-MMM-aa"),"")</f>
      </c>
      <c r="CW169" s="496" t="str">
        <f> IF(CW189&lt;&gt;"",TEXT(AUX!DB$1,"dd-MMM-aa"),"")</f>
      </c>
      <c r="CX169" s="496" t="str">
        <f> IF(CX189&lt;&gt;"",TEXT(AUX!DC$1,"dd-MMM-aa"),"")</f>
      </c>
      <c r="CY169" s="496" t="str">
        <f> IF(CY189&lt;&gt;"",TEXT(AUX!DD$1,"dd-MMM-aa"),"")</f>
      </c>
      <c r="CZ169" s="496" t="str">
        <f> IF(CZ189&lt;&gt;"",TEXT(AUX!DE$1,"dd-MMM-aa"),"")</f>
      </c>
      <c r="DA169" s="496" t="str">
        <f> IF(DA189&lt;&gt;"",TEXT(AUX!DF$1,"dd-MMM-aa"),"")</f>
      </c>
      <c r="DB169" s="496" t="str">
        <f> IF(DB189&lt;&gt;"",TEXT(AUX!DG$1,"dd-MMM-aa"),"")</f>
      </c>
      <c r="DC169" s="496" t="str">
        <f> IF(DC189&lt;&gt;"",TEXT(AUX!DH$1,"dd-MMM-aa"),"")</f>
      </c>
      <c r="DD169" s="496" t="str">
        <f> IF(DD189&lt;&gt;"",TEXT(AUX!DI$1,"dd-MMM-aa"),"")</f>
      </c>
      <c r="DE169" s="496" t="str">
        <f> IF(DE189&lt;&gt;"",TEXT(AUX!DJ$1,"dd-MMM-aa"),"")</f>
      </c>
      <c r="DF169" s="496" t="str">
        <f> IF(DF189&lt;&gt;"",TEXT(AUX!DK$1,"dd-MMM-aa"),"")</f>
      </c>
      <c r="DG169" s="496" t="str">
        <f> IF(DG189&lt;&gt;"",TEXT(AUX!DL$1,"dd-MMM-aa"),"")</f>
      </c>
      <c r="DH169" s="496" t="str">
        <f> IF(DH189&lt;&gt;"",TEXT(AUX!DM$1,"dd-MMM-aa"),"")</f>
      </c>
      <c r="DI169" s="496" t="str">
        <f> IF(DI189&lt;&gt;"",TEXT(AUX!DN$1,"dd-MMM-aa"),"")</f>
      </c>
      <c r="DJ169" s="496" t="str">
        <f> IF(DJ189&lt;&gt;"",TEXT(AUX!DO$1,"dd-MMM-aa"),"")</f>
      </c>
      <c r="DK169" s="496" t="str">
        <f> IF(DK189&lt;&gt;"",TEXT(AUX!DP$1,"dd-MMM-aa"),"")</f>
      </c>
      <c r="DL169" s="496" t="str">
        <f> IF(DL189&lt;&gt;"",TEXT(AUX!DQ$1,"dd-MMM-aa"),"")</f>
      </c>
      <c r="DM169" s="496" t="str">
        <f> IF(DM189&lt;&gt;"",TEXT(AUX!DR$1,"dd-MMM-aa"),"")</f>
      </c>
      <c r="DN169" s="496" t="str">
        <f> IF(DN189&lt;&gt;"",TEXT(AUX!DS$1,"dd-MMM-aa"),"")</f>
      </c>
      <c r="DO169" s="496" t="str">
        <f> IF(DO189&lt;&gt;"",TEXT(AUX!DT$1,"dd-MMM-aa"),"")</f>
      </c>
      <c r="DP169" s="496" t="str">
        <f> IF(DP189&lt;&gt;"",TEXT(AUX!DU$1,"dd-MMM-aa"),"")</f>
      </c>
      <c r="DQ169" s="496" t="str">
        <f> IF(DQ189&lt;&gt;"",TEXT(AUX!DV$1,"dd-MMM-aa"),"")</f>
      </c>
      <c r="DR169" s="496" t="str">
        <f> IF(DR189&lt;&gt;"",TEXT(AUX!DW$1,"dd-MMM-aa"),"")</f>
      </c>
      <c r="DS169" s="496" t="str">
        <f> IF(DS189&lt;&gt;"",TEXT(AUX!DX$1,"dd-MMM-aa"),"")</f>
      </c>
      <c r="DT169" s="496" t="str">
        <f> IF(DT189&lt;&gt;"",TEXT(AUX!DY$1,"dd-MMM-aa"),"")</f>
      </c>
      <c r="DU169" s="496" t="str">
        <f> IF(DU189&lt;&gt;"",TEXT(AUX!DZ$1,"dd-MMM-aa"),"")</f>
      </c>
      <c r="DV169" s="496" t="str">
        <f> IF(DV189&lt;&gt;"",TEXT(AUX!EA$1,"dd-MMM-aa"),"")</f>
      </c>
      <c r="DW169" s="496" t="str">
        <f> IF(DW189&lt;&gt;"",TEXT(AUX!EB$1,"dd-MMM-aa"),"")</f>
      </c>
      <c r="DX169" s="496" t="str">
        <f> IF(DX189&lt;&gt;"",TEXT(AUX!EC$1,"dd-MMM-aa"),"")</f>
      </c>
      <c r="DY169" s="496" t="str">
        <f> IF(DY189&lt;&gt;"",TEXT(AUX!ED$1,"dd-MMM-aa"),"")</f>
      </c>
      <c r="DZ169" s="496" t="str">
        <f> IF(DZ189&lt;&gt;"",TEXT(AUX!EE$1,"dd-MMM-aa"),"")</f>
      </c>
      <c r="EA169" s="496" t="str">
        <f> IF(EA189&lt;&gt;"",TEXT(AUX!EF$1,"dd-MMM-aa"),"")</f>
      </c>
      <c r="EB169" s="496" t="str">
        <f> IF(EB189&lt;&gt;"",TEXT(AUX!EG$1,"dd-MMM-aa"),"")</f>
      </c>
      <c r="EC169" s="496" t="str">
        <f> IF(EC189&lt;&gt;"",TEXT(AUX!EH$1,"dd-MMM-aa"),"")</f>
      </c>
      <c r="ED169" s="496" t="str">
        <f> IF(ED189&lt;&gt;"",TEXT(AUX!EI$1,"dd-MMM-aa"),"")</f>
      </c>
      <c r="EE169" s="496" t="str">
        <f> IF(EE189&lt;&gt;"",TEXT(AUX!EJ$1,"dd-MMM-aa"),"")</f>
      </c>
      <c r="EF169" s="496" t="str">
        <f> IF(EF189&lt;&gt;"",TEXT(AUX!EK$1,"dd-MMM-aa"),"")</f>
      </c>
      <c r="EG169" s="496" t="str">
        <f> IF(EG189&lt;&gt;"",TEXT(AUX!EL$1,"dd-MMM-aa"),"")</f>
      </c>
      <c r="EH169" s="496" t="str">
        <f> IF(EH189&lt;&gt;"",TEXT(AUX!EM$1,"dd-MMM-aa"),"")</f>
      </c>
      <c r="EI169" s="496" t="str">
        <f> IF(EI189&lt;&gt;"",TEXT(AUX!EN$1,"dd-MMM-aa"),"")</f>
      </c>
      <c r="EJ169" s="496" t="str">
        <f> IF(EJ189&lt;&gt;"",TEXT(AUX!EO$1,"dd-MMM-aa"),"")</f>
      </c>
      <c r="EK169" s="496" t="str">
        <f> IF(EK189&lt;&gt;"",TEXT(AUX!EP$1,"dd-MMM-aa"),"")</f>
      </c>
      <c r="EL169" s="496" t="str">
        <f> IF(EL189&lt;&gt;"",TEXT(AUX!EQ$1,"dd-MMM-aa"),"")</f>
      </c>
      <c r="EM169" s="496" t="str">
        <f> IF(EM189&lt;&gt;"",TEXT(AUX!ER$1,"dd-MMM-aa"),"")</f>
      </c>
      <c r="EN169" s="496" t="str">
        <f> IF(EN189&lt;&gt;"",TEXT(AUX!ES$1,"dd-MMM-aa"),"")</f>
      </c>
      <c r="EO169" s="496" t="str">
        <f> IF(EO189&lt;&gt;"",TEXT(AUX!ET$1,"dd-MMM-aa"),"")</f>
      </c>
      <c r="EP169" s="496" t="str">
        <f> IF(EP189&lt;&gt;"",TEXT(AUX!EU$1,"dd-MMM-aa"),"")</f>
      </c>
      <c r="EQ169" s="496" t="str">
        <f> IF(EQ189&lt;&gt;"",TEXT(AUX!EV$1,"dd-MMM-aa"),"")</f>
      </c>
      <c r="ER169" s="496" t="str">
        <f> IF(ER189&lt;&gt;"",TEXT(AUX!EW$1,"dd-MMM-aa"),"")</f>
      </c>
      <c r="ES169" s="496" t="str">
        <f> IF(ES189&lt;&gt;"",TEXT(AUX!EX$1,"dd-MMM-aa"),"")</f>
      </c>
      <c r="ET169" s="496" t="str">
        <f> IF(ET189&lt;&gt;"",TEXT(AUX!EY$1,"dd-MMM-aa"),"")</f>
      </c>
      <c r="EU169" s="496" t="str">
        <f> IF(EU189&lt;&gt;"",TEXT(AUX!EZ$1,"dd-MMM-aa"),"")</f>
      </c>
      <c r="EV169" s="496" t="str">
        <f> IF(EV189&lt;&gt;"",TEXT(AUX!FA$1,"dd-MMM-aa"),"")</f>
      </c>
      <c r="EW169" s="496" t="str">
        <f> IF(EW189&lt;&gt;"",TEXT(AUX!FB$1,"dd-MMM-aa"),"")</f>
      </c>
      <c r="EX169" s="496" t="str">
        <f> IF(EX189&lt;&gt;"",TEXT(AUX!FC$1,"dd-MMM-aa"),"")</f>
      </c>
      <c r="EY169" s="496" t="str">
        <f> IF(EY189&lt;&gt;"",TEXT(AUX!FD$1,"dd-MMM-aa"),"")</f>
      </c>
      <c r="EZ169" s="496" t="str">
        <f> IF(EZ189&lt;&gt;"",TEXT(AUX!FE$1,"dd-MMM-aa"),"")</f>
      </c>
      <c r="FA169" s="496" t="str">
        <f> IF(FA189&lt;&gt;"",TEXT(AUX!FF$1,"dd-MMM-aa"),"")</f>
      </c>
      <c r="FB169" s="496" t="str">
        <f> IF(FB189&lt;&gt;"",TEXT(AUX!FG$1,"dd-MMM-aa"),"")</f>
      </c>
      <c r="FC169" s="496" t="str">
        <f> IF(FC189&lt;&gt;"",TEXT(AUX!FH$1,"dd-MMM-aa"),"")</f>
      </c>
      <c r="FD169" s="496" t="str">
        <f> IF(FD189&lt;&gt;"",TEXT(AUX!FI$1,"dd-MMM-aa"),"")</f>
      </c>
      <c r="FE169" s="496" t="str">
        <f> IF(FE189&lt;&gt;"",TEXT(AUX!FJ$1,"dd-MMM-aa"),"")</f>
      </c>
      <c r="FF169" s="496" t="str">
        <f> IF(FF189&lt;&gt;"",TEXT(AUX!FK$1,"dd-MMM-aa"),"")</f>
      </c>
      <c r="FG169" s="496" t="str">
        <f> IF(FG189&lt;&gt;"",TEXT(AUX!FL$1,"dd-MMM-aa"),"")</f>
      </c>
      <c r="FH169" s="496" t="str">
        <f> IF(FH189&lt;&gt;"",TEXT(AUX!FM$1,"dd-MMM-aa"),"")</f>
      </c>
      <c r="FI169" s="496" t="str">
        <f> IF(FI189&lt;&gt;"",TEXT(AUX!FN$1,"dd-MMM-aa"),"")</f>
      </c>
      <c r="FJ169" s="496" t="str">
        <f> IF(FJ189&lt;&gt;"",TEXT(AUX!FO$1,"dd-MMM-aa"),"")</f>
      </c>
      <c r="FK169" s="496" t="str">
        <f> IF(FK189&lt;&gt;"",TEXT(AUX!FP$1,"dd-MMM-aa"),"")</f>
      </c>
      <c r="FL169" s="496" t="str">
        <f> IF(FL189&lt;&gt;"",TEXT(AUX!FQ$1,"dd-MMM-aa"),"")</f>
      </c>
      <c r="FM169" s="496" t="str">
        <f> IF(FM189&lt;&gt;"",TEXT(AUX!FR$1,"dd-MMM-aa"),"")</f>
      </c>
      <c r="FN169" s="496" t="str">
        <f> IF(FN189&lt;&gt;"",TEXT(AUX!FS$1,"dd-MMM-aa"),"")</f>
      </c>
      <c r="FO169" s="496" t="str">
        <f> IF(FO189&lt;&gt;"",TEXT(AUX!FT$1,"dd-MMM-aa"),"")</f>
      </c>
      <c r="FP169" s="496" t="str">
        <f> IF(FP189&lt;&gt;"",TEXT(AUX!FU$1,"dd-MMM-aa"),"")</f>
      </c>
      <c r="FQ169" s="496" t="str">
        <f> IF(FQ189&lt;&gt;"",TEXT(AUX!FV$1,"dd-MMM-aa"),"")</f>
      </c>
      <c r="FR169" s="496" t="str">
        <f> IF(FR189&lt;&gt;"",TEXT(AUX!FW$1,"dd-MMM-aa"),"")</f>
      </c>
      <c r="FS169" s="496" t="str">
        <f> IF(FS189&lt;&gt;"",TEXT(AUX!FX$1,"dd-MMM-aa"),"")</f>
      </c>
      <c r="FT169" s="496" t="str">
        <f> IF(FT189&lt;&gt;"",TEXT(AUX!FY$1,"dd-MMM-aa"),"")</f>
      </c>
      <c r="FU169" s="496" t="str">
        <f> IF(FU189&lt;&gt;"",TEXT(AUX!FZ$1,"dd-MMM-aa"),"")</f>
      </c>
      <c r="FV169" s="496" t="str">
        <f> IF(FV189&lt;&gt;"",TEXT(AUX!GA$1,"dd-MMM-aa"),"")</f>
      </c>
      <c r="FW169" s="496" t="str">
        <f> IF(FW189&lt;&gt;"",TEXT(AUX!GB$1,"dd-MMM-aa"),"")</f>
      </c>
      <c r="FX169" s="496" t="str">
        <f> IF(FX189&lt;&gt;"",TEXT(AUX!GC$1,"dd-MMM-aa"),"")</f>
      </c>
      <c r="FY169" s="496" t="str">
        <f> IF(FY189&lt;&gt;"",TEXT(AUX!GD$1,"dd-MMM-aa"),"")</f>
      </c>
      <c r="FZ169" s="496" t="str">
        <f> IF(FZ189&lt;&gt;"",TEXT(AUX!GE$1,"dd-MMM-aa"),"")</f>
      </c>
      <c r="GA169" s="496" t="str">
        <f> IF(GA189&lt;&gt;"",TEXT(AUX!GF$1,"dd-MMM-aa"),"")</f>
      </c>
      <c r="GB169" s="496" t="str">
        <f> IF(GB189&lt;&gt;"",TEXT(AUX!GG$1,"dd-MMM-aa"),"")</f>
      </c>
      <c r="GC169" s="496" t="str">
        <f> IF(GC189&lt;&gt;"",TEXT(AUX!GH$1,"dd-MMM-aa"),"")</f>
      </c>
      <c r="GD169" s="496" t="str">
        <f> IF(GD189&lt;&gt;"",TEXT(AUX!GI$1,"dd-MMM-aa"),"")</f>
      </c>
      <c r="GE169" s="496" t="str">
        <f> IF(GE189&lt;&gt;"",TEXT(AUX!GJ$1,"dd-MMM-aa"),"")</f>
      </c>
      <c r="GF169" s="496" t="str">
        <f> IF(GF189&lt;&gt;"",TEXT(AUX!GK$1,"dd-MMM-aa"),"")</f>
      </c>
      <c r="GG169" s="496" t="str">
        <f> IF(GG189&lt;&gt;"",TEXT(AUX!GL$1,"dd-MMM-aa"),"")</f>
      </c>
      <c r="GH169" s="496" t="str">
        <f> IF(GH189&lt;&gt;"",TEXT(AUX!GM$1,"dd-MMM-aa"),"")</f>
      </c>
      <c r="GI169" s="496" t="str">
        <f> IF(GI189&lt;&gt;"",TEXT(AUX!GN$1,"dd-MMM-aa"),"")</f>
      </c>
      <c r="GJ169" s="496" t="str">
        <f> IF(GJ189&lt;&gt;"",TEXT(AUX!GO$1,"dd-MMM-aa"),"")</f>
      </c>
      <c r="GK169" s="496" t="str">
        <f> IF(GK189&lt;&gt;"",TEXT(AUX!GP$1,"dd-MMM-aa"),"")</f>
      </c>
      <c r="GL169" s="496" t="str">
        <f> IF(GL189&lt;&gt;"",TEXT(AUX!GQ$1,"dd-MMM-aa"),"")</f>
      </c>
      <c r="GM169" s="496" t="str">
        <f> IF(GM189&lt;&gt;"",TEXT(AUX!GR$1,"dd-MMM-aa"),"")</f>
      </c>
      <c r="GN169" s="496" t="str">
        <f> IF(GN189&lt;&gt;"",TEXT(AUX!GS$1,"dd-MMM-aa"),"")</f>
      </c>
      <c r="GO169" s="496" t="str">
        <f> IF(GO189&lt;&gt;"",TEXT(AUX!GT$1,"dd-MMM-aa"),"")</f>
      </c>
      <c r="GP169" s="496" t="str">
        <f> IF(GP189&lt;&gt;"",TEXT(AUX!GU$1,"dd-MMM-aa"),"")</f>
      </c>
      <c r="GQ169" s="496" t="str">
        <f> IF(GQ189&lt;&gt;"",TEXT(AUX!GV$1,"dd-MMM-aa"),"")</f>
      </c>
      <c r="GR169" s="496" t="str">
        <f> IF(GR189&lt;&gt;"",TEXT(AUX!GW$1,"dd-MMM-aa"),"")</f>
      </c>
      <c r="GS169" s="496" t="str">
        <f> IF(GS189&lt;&gt;"",TEXT(AUX!GX$1,"dd-MMM-aa"),"")</f>
      </c>
      <c r="GT169" s="496" t="str">
        <f> IF(GT189&lt;&gt;"",TEXT(AUX!GY$1,"dd-MMM-aa"),"")</f>
      </c>
      <c r="GU169" s="496" t="str">
        <f> IF(GU189&lt;&gt;"",TEXT(AUX!GZ$1,"dd-MMM-aa"),"")</f>
      </c>
      <c r="GV169" s="496" t="str">
        <f> IF(GV189&lt;&gt;"",TEXT(AUX!HA$1,"dd-MMM-aa"),"")</f>
      </c>
      <c r="GW169" s="496" t="str">
        <f> IF(GW189&lt;&gt;"",TEXT(AUX!HB$1,"dd-MMM-aa"),"")</f>
      </c>
      <c r="GX169" s="496" t="str">
        <f> IF(GX189&lt;&gt;"",TEXT(AUX!HC$1,"dd-MMM-aa"),"")</f>
      </c>
      <c r="GY169" s="496" t="str">
        <f> IF(GY189&lt;&gt;"",TEXT(AUX!HD$1,"dd-MMM-aa"),"")</f>
      </c>
      <c r="GZ169" s="496" t="str">
        <f> IF(GZ189&lt;&gt;"",TEXT(AUX!HE$1,"dd-MMM-aa"),"")</f>
      </c>
      <c r="HA169" s="496" t="str">
        <f> IF(HA189&lt;&gt;"",TEXT(AUX!HF$1,"dd-MMM-aa"),"")</f>
      </c>
      <c r="HB169" s="496" t="str">
        <f> IF(HB189&lt;&gt;"",TEXT(AUX!HG$1,"dd-MMM-aa"),"")</f>
      </c>
      <c r="HC169" s="496" t="str">
        <f> IF(HC189&lt;&gt;"",TEXT(AUX!HH$1,"dd-MMM-aa"),"")</f>
      </c>
      <c r="HD169" s="496" t="str">
        <f> IF(HD189&lt;&gt;"",TEXT(AUX!HI$1,"dd-MMM-aa"),"")</f>
      </c>
      <c r="HE169" s="496" t="str">
        <f> IF(HE189&lt;&gt;"",TEXT(AUX!HJ$1,"dd-MMM-aa"),"")</f>
      </c>
      <c r="HF169" s="496" t="str">
        <f> IF(HF189&lt;&gt;"",TEXT(AUX!HK$1,"dd-MMM-aa"),"")</f>
      </c>
      <c r="HG169" s="496" t="str">
        <f> IF(HG189&lt;&gt;"",TEXT(AUX!HL$1,"dd-MMM-aa"),"")</f>
      </c>
      <c r="HH169" s="496" t="str">
        <f> IF(HH189&lt;&gt;"",TEXT(AUX!HM$1,"dd-MMM-aa"),"")</f>
      </c>
      <c r="HI169" s="496" t="str">
        <f> IF(HI189&lt;&gt;"",TEXT(AUX!HN$1,"dd-MMM-aa"),"")</f>
      </c>
      <c r="HJ169" s="496" t="str">
        <f> IF(HJ189&lt;&gt;"",TEXT(AUX!HO$1,"dd-MMM-aa"),"")</f>
      </c>
      <c r="HK169" s="496" t="str">
        <f> IF(HK189&lt;&gt;"",TEXT(AUX!HP$1,"dd-MMM-aa"),"")</f>
      </c>
      <c r="HL169" s="496" t="str">
        <f> IF(HL189&lt;&gt;"",TEXT(AUX!HQ$1,"dd-MMM-aa"),"")</f>
      </c>
      <c r="HM169" s="496" t="str">
        <f> IF(HM189&lt;&gt;"",TEXT(AUX!HR$1,"dd-MMM-aa"),"")</f>
      </c>
      <c r="HN169" s="496" t="str">
        <f> IF(HN189&lt;&gt;"",TEXT(AUX!HS$1,"dd-MMM-aa"),"")</f>
      </c>
      <c r="HO169" s="496" t="str">
        <f> IF(HO189&lt;&gt;"",TEXT(AUX!HT$1,"dd-MMM-aa"),"")</f>
      </c>
      <c r="HP169" s="496" t="str">
        <f> IF(HP189&lt;&gt;"",TEXT(AUX!HU$1,"dd-MMM-aa"),"")</f>
      </c>
      <c r="HQ169" s="496" t="str">
        <f> IF(HQ189&lt;&gt;"",TEXT(AUX!HV$1,"dd-MMM-aa"),"")</f>
      </c>
      <c r="HR169" s="496" t="str">
        <f> IF(HR189&lt;&gt;"",TEXT(AUX!HW$1,"dd-MMM-aa"),"")</f>
      </c>
      <c r="HS169" s="496" t="str">
        <f> IF(HS189&lt;&gt;"",TEXT(AUX!HX$1,"dd-MMM-aa"),"")</f>
      </c>
      <c r="HT169" s="496" t="str">
        <f> IF(HT189&lt;&gt;"",TEXT(AUX!HY$1,"dd-MMM-aa"),"")</f>
      </c>
      <c r="HU169" s="496" t="str">
        <f> IF(HU189&lt;&gt;"",TEXT(AUX!HZ$1,"dd-MMM-aa"),"")</f>
      </c>
      <c r="HV169" s="496" t="str">
        <f> IF(HV189&lt;&gt;"",TEXT(AUX!IA$1,"dd-MMM-aa"),"")</f>
      </c>
      <c r="HW169" s="496" t="str">
        <f> IF(HW189&lt;&gt;"",TEXT(AUX!IB$1,"dd-MMM-aa"),"")</f>
      </c>
      <c r="HX169" s="496" t="str">
        <f> IF(HX189&lt;&gt;"",TEXT(AUX!IC$1,"dd-MMM-aa"),"")</f>
      </c>
      <c r="HY169" s="496" t="str">
        <f> IF(HY189&lt;&gt;"",TEXT(AUX!ID$1,"dd-MMM-aa"),"")</f>
      </c>
      <c r="HZ169" s="496" t="str">
        <f> IF(HZ189&lt;&gt;"",TEXT(AUX!IE$1,"dd-MMM-aa"),"")</f>
      </c>
      <c r="IA169" s="496" t="str">
        <f> IF(IA189&lt;&gt;"",TEXT(AUX!IF$1,"dd-MMM-aa"),"")</f>
      </c>
      <c r="IB169" s="496" t="str">
        <f> IF(IB189&lt;&gt;"",TEXT(AUX!IG$1,"dd-MMM-aa"),"")</f>
      </c>
      <c r="IC169" s="496" t="str">
        <f> IF(IC189&lt;&gt;"",TEXT(AUX!IH$1,"dd-MMM-aa"),"")</f>
      </c>
      <c r="ID169" s="496" t="str">
        <f> IF(ID189&lt;&gt;"",TEXT(AUX!II$1,"dd-MMM-aa"),"")</f>
      </c>
      <c r="IE169" s="496" t="str">
        <f> IF(IE189&lt;&gt;"",TEXT(AUX!IJ$1,"dd-MMM-aa"),"")</f>
      </c>
      <c r="IF169" s="496" t="str">
        <f> IF(IF189&lt;&gt;"",TEXT(AUX!IK$1,"dd-MMM-aa"),"")</f>
      </c>
      <c r="IG169" s="496" t="str">
        <f> IF(IG189&lt;&gt;"",TEXT(AUX!IL$1,"dd-MMM-aa"),"")</f>
      </c>
      <c r="IH169" s="496" t="str">
        <f> IF(IH189&lt;&gt;"",TEXT(AUX!IM$1,"dd-MMM-aa"),"")</f>
      </c>
      <c r="II169" s="496" t="str">
        <f> IF(II189&lt;&gt;"",TEXT(AUX!IN$1,"dd-MMM-aa"),"")</f>
      </c>
      <c r="IJ169" s="496" t="str">
        <f> IF(IJ189&lt;&gt;"",TEXT(AUX!IO$1,"dd-MMM-aa"),"")</f>
      </c>
      <c r="IK169" s="496" t="str">
        <f> IF(IK189&lt;&gt;"",TEXT(AUX!IP$1,"dd-MMM-aa"),"")</f>
      </c>
      <c r="IL169" s="496" t="str">
        <f> IF(IL189&lt;&gt;"",TEXT(AUX!IQ$1,"dd-MMM-aa"),"")</f>
      </c>
      <c r="IM169" s="496" t="str">
        <f> IF(IM189&lt;&gt;"",TEXT(AUX!IR$1,"dd-MMM-aa"),"")</f>
      </c>
      <c r="IN169" s="496" t="str">
        <f> IF(IN189&lt;&gt;"",TEXT(AUX!IS$1,"dd-MMM-aa"),"")</f>
      </c>
      <c r="IO169" s="496" t="str">
        <f> IF(IO189&lt;&gt;"",TEXT(AUX!IT$1,"dd-MMM-aa"),"")</f>
      </c>
      <c r="IP169" s="496" t="str">
        <f> IF(IP189&lt;&gt;"",TEXT(AUX!IU$1,"dd-MMM-aa"),"")</f>
      </c>
      <c r="IQ169" s="496" t="str">
        <f> IF(IQ189&lt;&gt;"",TEXT(AUX!IV$1,"dd-MMM-aa"),"")</f>
      </c>
      <c r="IR169" s="496" t="str">
        <f> IF(IR189&lt;&gt;"",TEXT(AUX!#REF!,"dd-MMM-aa"),"")</f>
      </c>
      <c r="IS169" s="496" t="str">
        <f> IF(IS189&lt;&gt;"",TEXT(AUX!#REF!,"dd-MMM-aa"),"")</f>
      </c>
      <c r="IT169" s="496" t="str">
        <f> IF(IT189&lt;&gt;"",TEXT(AUX!#REF!,"dd-MMM-aa"),"")</f>
      </c>
      <c r="IU169" s="496" t="str">
        <f> IF(IU189&lt;&gt;"",TEXT(AUX!#REF!,"dd-MMM-aa"),"")</f>
      </c>
      <c r="IV169" s="496"/>
    </row>
    <row r="170" hidden="1">
      <c r="A170" s="822" t="s">
        <v>8</v>
      </c>
      <c r="B170" s="823">
        <v>46718</v>
      </c>
      <c r="C170" s="823">
        <v>59828</v>
      </c>
      <c r="D170" s="823">
        <v>80910</v>
      </c>
      <c r="E170" s="823">
        <v>88733</v>
      </c>
      <c r="F170" s="823">
        <v>88480</v>
      </c>
      <c r="G170" s="823">
        <v>90834</v>
      </c>
      <c r="H170" s="823">
        <v>92153</v>
      </c>
      <c r="I170" s="823">
        <v>93663</v>
      </c>
      <c r="J170" s="823">
        <v>94830</v>
      </c>
      <c r="K170" s="823">
        <v>95708</v>
      </c>
      <c r="L170" s="823">
        <v>96399</v>
      </c>
      <c r="M170" s="823">
        <v>97370</v>
      </c>
      <c r="N170" s="823">
        <v>98448</v>
      </c>
      <c r="O170" s="823">
        <v>99458</v>
      </c>
      <c r="P170" s="823">
        <v>100260</v>
      </c>
      <c r="Q170" s="823">
        <v>100975</v>
      </c>
      <c r="R170" s="823">
        <v>101507</v>
      </c>
      <c r="S170" s="823">
        <v>101560</v>
      </c>
      <c r="T170" s="823">
        <v>101836</v>
      </c>
      <c r="U170" s="823">
        <v>102111</v>
      </c>
      <c r="V170" s="823">
        <v>101223</v>
      </c>
      <c r="W170" s="823">
        <v>38857</v>
      </c>
      <c r="X170" s="823">
        <v>49568</v>
      </c>
      <c r="Y170" s="823">
        <v>49654</v>
      </c>
      <c r="Z170" s="823">
        <v>49446</v>
      </c>
      <c r="AA170" s="824">
        <v>49436</v>
      </c>
      <c r="AB170" s="825">
        <v>49343</v>
      </c>
      <c r="AC170" s="825">
        <v>49552</v>
      </c>
      <c r="AD170" s="825">
        <v>49746</v>
      </c>
      <c r="AE170" s="825">
        <v>49928</v>
      </c>
      <c r="AF170" s="825">
        <v>50093</v>
      </c>
      <c r="AG170" s="825">
        <v>50177</v>
      </c>
      <c r="AH170" s="825">
        <v>50024</v>
      </c>
      <c r="AI170" s="825">
        <v>50123</v>
      </c>
      <c r="AJ170" s="825">
        <v>50175</v>
      </c>
      <c r="AK170" s="825">
        <v>50303</v>
      </c>
      <c r="AL170" s="825">
        <v>47569</v>
      </c>
      <c r="AM170" s="825">
        <v>47422</v>
      </c>
      <c r="AN170" s="825">
        <v>49274</v>
      </c>
      <c r="AO170" s="825">
        <v>50706</v>
      </c>
    </row>
    <row r="171" hidden="1">
      <c r="A171" s="826" t="s">
        <v>9</v>
      </c>
      <c r="B171" s="827">
        <v>15525</v>
      </c>
      <c r="C171" s="827">
        <v>15338</v>
      </c>
      <c r="D171" s="827">
        <v>15198</v>
      </c>
      <c r="E171" s="827">
        <v>15263</v>
      </c>
      <c r="F171" s="827">
        <v>15125</v>
      </c>
      <c r="G171" s="827">
        <v>15173</v>
      </c>
      <c r="H171" s="827">
        <v>14941</v>
      </c>
      <c r="I171" s="827">
        <v>14968</v>
      </c>
      <c r="J171" s="827">
        <v>14480</v>
      </c>
      <c r="K171" s="827">
        <v>14473</v>
      </c>
      <c r="L171" s="827">
        <v>14314</v>
      </c>
      <c r="M171" s="827">
        <v>14244</v>
      </c>
      <c r="N171" s="827">
        <v>13544</v>
      </c>
      <c r="O171" s="827">
        <v>13553</v>
      </c>
      <c r="P171" s="827">
        <v>13401</v>
      </c>
      <c r="Q171" s="827">
        <v>13467</v>
      </c>
      <c r="R171" s="827">
        <v>13639</v>
      </c>
      <c r="S171" s="827">
        <v>13786</v>
      </c>
      <c r="T171" s="827">
        <v>13872</v>
      </c>
      <c r="U171" s="827">
        <v>13736</v>
      </c>
      <c r="V171" s="827">
        <v>13797</v>
      </c>
      <c r="W171" s="827">
        <v>13856</v>
      </c>
      <c r="X171" s="827">
        <v>13934</v>
      </c>
      <c r="Y171" s="827">
        <v>13937</v>
      </c>
      <c r="Z171" s="827">
        <v>13972</v>
      </c>
      <c r="AA171" s="827">
        <v>13983</v>
      </c>
      <c r="AB171" s="828">
        <v>14064</v>
      </c>
      <c r="AC171" s="828">
        <v>13962</v>
      </c>
      <c r="AD171" s="828">
        <v>14076</v>
      </c>
      <c r="AE171" s="828">
        <v>14136</v>
      </c>
      <c r="AF171" s="828">
        <v>14268</v>
      </c>
      <c r="AG171" s="828">
        <v>14328</v>
      </c>
      <c r="AH171" s="828">
        <v>14447</v>
      </c>
      <c r="AI171" s="828">
        <v>14336</v>
      </c>
      <c r="AJ171" s="828">
        <v>14359</v>
      </c>
      <c r="AK171" s="828">
        <v>14415</v>
      </c>
      <c r="AL171" s="828">
        <v>14259</v>
      </c>
      <c r="AM171" s="828">
        <v>14176</v>
      </c>
      <c r="AN171" s="828">
        <v>14822</v>
      </c>
      <c r="AO171" s="828">
        <v>16035</v>
      </c>
    </row>
    <row r="172" hidden="1">
      <c r="A172" s="829" t="s">
        <v>10</v>
      </c>
      <c r="B172" s="823">
        <v>40275</v>
      </c>
      <c r="C172" s="823">
        <v>40173</v>
      </c>
      <c r="D172" s="823">
        <v>34869</v>
      </c>
      <c r="E172" s="823">
        <v>33078</v>
      </c>
      <c r="F172" s="823">
        <v>31077</v>
      </c>
      <c r="G172" s="823">
        <v>31209</v>
      </c>
      <c r="H172" s="823">
        <v>30656</v>
      </c>
      <c r="I172" s="823">
        <v>30309</v>
      </c>
      <c r="J172" s="823">
        <v>30027</v>
      </c>
      <c r="K172" s="823">
        <v>30665</v>
      </c>
      <c r="L172" s="823">
        <v>30229</v>
      </c>
      <c r="M172" s="823">
        <v>30622</v>
      </c>
      <c r="N172" s="823">
        <v>30263</v>
      </c>
      <c r="O172" s="823">
        <v>30772</v>
      </c>
      <c r="P172" s="823">
        <v>30156</v>
      </c>
      <c r="Q172" s="823">
        <v>30598</v>
      </c>
      <c r="R172" s="823">
        <v>30320</v>
      </c>
      <c r="S172" s="823">
        <v>30163</v>
      </c>
      <c r="T172" s="823">
        <v>29245</v>
      </c>
      <c r="U172" s="823">
        <v>27908</v>
      </c>
      <c r="V172" s="823">
        <v>28546</v>
      </c>
      <c r="W172" s="823">
        <v>27742</v>
      </c>
      <c r="X172" s="823">
        <v>28258</v>
      </c>
      <c r="Y172" s="823">
        <v>27667</v>
      </c>
      <c r="Z172" s="823">
        <v>28147</v>
      </c>
      <c r="AA172" s="823">
        <v>27568</v>
      </c>
      <c r="AB172" s="825">
        <v>27958</v>
      </c>
      <c r="AC172" s="825">
        <v>27552</v>
      </c>
      <c r="AD172" s="825">
        <v>28189</v>
      </c>
      <c r="AE172" s="825">
        <v>27849</v>
      </c>
      <c r="AF172" s="825">
        <v>28480</v>
      </c>
      <c r="AG172" s="825">
        <v>27961</v>
      </c>
      <c r="AH172" s="825">
        <v>28378</v>
      </c>
      <c r="AI172" s="825">
        <v>27895</v>
      </c>
      <c r="AJ172" s="825">
        <v>28336</v>
      </c>
      <c r="AK172" s="825">
        <v>27906</v>
      </c>
      <c r="AL172" s="825">
        <v>28698</v>
      </c>
      <c r="AM172" s="825">
        <v>28621</v>
      </c>
      <c r="AN172" s="825">
        <v>29320</v>
      </c>
      <c r="AO172" s="825">
        <v>29490</v>
      </c>
    </row>
    <row r="173" hidden="1">
      <c r="A173" s="826" t="s">
        <v>11</v>
      </c>
      <c r="B173" s="827">
        <v>7543</v>
      </c>
      <c r="C173" s="827">
        <v>7022</v>
      </c>
      <c r="D173" s="827">
        <v>7078</v>
      </c>
      <c r="E173" s="827">
        <v>7101</v>
      </c>
      <c r="F173" s="827">
        <v>6987</v>
      </c>
      <c r="G173" s="827">
        <v>6669</v>
      </c>
      <c r="H173" s="827">
        <v>6821</v>
      </c>
      <c r="I173" s="827">
        <v>6628</v>
      </c>
      <c r="J173" s="827">
        <v>6667</v>
      </c>
      <c r="K173" s="827">
        <v>6533</v>
      </c>
      <c r="L173" s="827">
        <v>6802</v>
      </c>
      <c r="M173" s="827">
        <v>6935</v>
      </c>
      <c r="N173" s="827">
        <v>7069</v>
      </c>
      <c r="O173" s="827">
        <v>7192</v>
      </c>
      <c r="P173" s="827">
        <v>7186</v>
      </c>
      <c r="Q173" s="827">
        <v>7144</v>
      </c>
      <c r="R173" s="827">
        <v>7352</v>
      </c>
      <c r="S173" s="827">
        <v>7445</v>
      </c>
      <c r="T173" s="827">
        <v>7261</v>
      </c>
      <c r="U173" s="827">
        <v>7331</v>
      </c>
      <c r="V173" s="827">
        <v>7192</v>
      </c>
      <c r="W173" s="827">
        <v>7276</v>
      </c>
      <c r="X173" s="827">
        <v>6987</v>
      </c>
      <c r="Y173" s="827">
        <v>7098</v>
      </c>
      <c r="Z173" s="827">
        <v>6889</v>
      </c>
      <c r="AA173" s="827">
        <v>6962</v>
      </c>
      <c r="AB173" s="828">
        <v>7083</v>
      </c>
      <c r="AC173" s="828">
        <v>7164</v>
      </c>
      <c r="AD173" s="828">
        <v>7250</v>
      </c>
      <c r="AE173" s="828">
        <v>7405</v>
      </c>
      <c r="AF173" s="828">
        <v>6636</v>
      </c>
      <c r="AG173" s="828">
        <v>6938</v>
      </c>
      <c r="AH173" s="828">
        <v>7162</v>
      </c>
      <c r="AI173" s="828">
        <v>7322</v>
      </c>
      <c r="AJ173" s="828">
        <v>7549</v>
      </c>
      <c r="AK173" s="828">
        <v>7724</v>
      </c>
      <c r="AL173" s="828">
        <v>7977</v>
      </c>
      <c r="AM173" s="828">
        <v>8182</v>
      </c>
      <c r="AN173" s="828">
        <v>8666</v>
      </c>
      <c r="AO173" s="828">
        <v>8959</v>
      </c>
    </row>
    <row r="174" hidden="1">
      <c r="A174" s="829" t="s">
        <v>12</v>
      </c>
      <c r="B174" s="823">
        <v>6767</v>
      </c>
      <c r="C174" s="823">
        <v>6905</v>
      </c>
      <c r="D174" s="823">
        <v>7263</v>
      </c>
      <c r="E174" s="823">
        <v>7022</v>
      </c>
      <c r="F174" s="823">
        <v>7197</v>
      </c>
      <c r="G174" s="823">
        <v>7353</v>
      </c>
      <c r="H174" s="823">
        <v>7479</v>
      </c>
      <c r="I174" s="823">
        <v>5971</v>
      </c>
      <c r="J174" s="823">
        <v>5833</v>
      </c>
      <c r="K174" s="823">
        <v>5850</v>
      </c>
      <c r="L174" s="823">
        <v>5737</v>
      </c>
      <c r="M174" s="823">
        <v>5802</v>
      </c>
      <c r="N174" s="823">
        <v>5700</v>
      </c>
      <c r="O174" s="823">
        <v>5659</v>
      </c>
      <c r="P174" s="823">
        <v>5588</v>
      </c>
      <c r="Q174" s="823">
        <v>5635</v>
      </c>
      <c r="R174" s="823">
        <v>5436</v>
      </c>
      <c r="S174" s="823">
        <v>5426</v>
      </c>
      <c r="T174" s="823">
        <v>5237</v>
      </c>
      <c r="U174" s="823">
        <v>5257</v>
      </c>
      <c r="V174" s="823">
        <v>5098</v>
      </c>
      <c r="W174" s="823">
        <v>5158</v>
      </c>
      <c r="X174" s="823">
        <v>4964</v>
      </c>
      <c r="Y174" s="823">
        <v>4929</v>
      </c>
      <c r="Z174" s="823">
        <v>4681</v>
      </c>
      <c r="AA174" s="823">
        <v>4661</v>
      </c>
      <c r="AB174" s="825">
        <v>4462</v>
      </c>
      <c r="AC174" s="825">
        <v>4441</v>
      </c>
      <c r="AD174" s="825">
        <v>4106</v>
      </c>
      <c r="AE174" s="825">
        <v>4116</v>
      </c>
      <c r="AF174" s="825">
        <v>4023</v>
      </c>
      <c r="AG174" s="825">
        <v>4045</v>
      </c>
      <c r="AH174" s="825">
        <v>4032</v>
      </c>
      <c r="AI174" s="825">
        <v>4033</v>
      </c>
      <c r="AJ174" s="825">
        <v>3971</v>
      </c>
      <c r="AK174" s="825">
        <v>3894</v>
      </c>
      <c r="AL174" s="825">
        <v>3715</v>
      </c>
      <c r="AM174" s="825">
        <v>3708</v>
      </c>
      <c r="AN174" s="825">
        <v>3756</v>
      </c>
      <c r="AO174" s="825">
        <v>3887</v>
      </c>
    </row>
    <row r="175" hidden="1">
      <c r="A175" s="826" t="s">
        <v>13</v>
      </c>
      <c r="B175" s="827">
        <v>17214</v>
      </c>
      <c r="C175" s="827">
        <v>13692</v>
      </c>
      <c r="D175" s="827">
        <v>13752</v>
      </c>
      <c r="E175" s="827">
        <v>13479</v>
      </c>
      <c r="F175" s="827">
        <v>13774</v>
      </c>
      <c r="G175" s="827">
        <v>13913</v>
      </c>
      <c r="H175" s="827">
        <v>13361</v>
      </c>
      <c r="I175" s="827">
        <v>13512</v>
      </c>
      <c r="J175" s="827">
        <v>13717</v>
      </c>
      <c r="K175" s="827">
        <v>13019</v>
      </c>
      <c r="L175" s="827">
        <v>13373</v>
      </c>
      <c r="M175" s="827">
        <v>12496</v>
      </c>
      <c r="N175" s="827">
        <v>12306</v>
      </c>
      <c r="O175" s="827">
        <v>12322</v>
      </c>
      <c r="P175" s="827">
        <v>12450</v>
      </c>
      <c r="Q175" s="827">
        <v>12240</v>
      </c>
      <c r="R175" s="827">
        <v>12328</v>
      </c>
      <c r="S175" s="827">
        <v>12492</v>
      </c>
      <c r="T175" s="827">
        <v>12648</v>
      </c>
      <c r="U175" s="827">
        <v>12730</v>
      </c>
      <c r="V175" s="827">
        <v>12659</v>
      </c>
      <c r="W175" s="827">
        <v>12352</v>
      </c>
      <c r="X175" s="827">
        <v>11704</v>
      </c>
      <c r="Y175" s="827">
        <v>11507</v>
      </c>
      <c r="Z175" s="827">
        <v>11769</v>
      </c>
      <c r="AA175" s="827">
        <v>11650</v>
      </c>
      <c r="AB175" s="828">
        <v>11809</v>
      </c>
      <c r="AC175" s="828">
        <v>11679</v>
      </c>
      <c r="AD175" s="828">
        <v>11741</v>
      </c>
      <c r="AE175" s="828">
        <v>11636</v>
      </c>
      <c r="AF175" s="828">
        <v>11892</v>
      </c>
      <c r="AG175" s="828">
        <v>11805</v>
      </c>
      <c r="AH175" s="828">
        <v>11985</v>
      </c>
      <c r="AI175" s="828">
        <v>11799</v>
      </c>
      <c r="AJ175" s="828">
        <v>11945</v>
      </c>
      <c r="AK175" s="828">
        <v>10493</v>
      </c>
      <c r="AL175" s="828">
        <v>10482</v>
      </c>
      <c r="AM175" s="828">
        <v>10511</v>
      </c>
      <c r="AN175" s="828">
        <v>10702</v>
      </c>
      <c r="AO175" s="828">
        <v>11277</v>
      </c>
    </row>
    <row r="176" hidden="1">
      <c r="A176" s="829" t="s">
        <v>109</v>
      </c>
      <c r="B176" s="823">
        <v>18454</v>
      </c>
      <c r="C176" s="823">
        <v>17403</v>
      </c>
      <c r="D176" s="823">
        <v>16181</v>
      </c>
      <c r="E176" s="823">
        <v>15875</v>
      </c>
      <c r="F176" s="823">
        <v>15430</v>
      </c>
      <c r="G176" s="823">
        <v>15213</v>
      </c>
      <c r="H176" s="823">
        <v>15028</v>
      </c>
      <c r="I176" s="823">
        <v>14696</v>
      </c>
      <c r="J176" s="823">
        <v>14590</v>
      </c>
      <c r="K176" s="823">
        <v>14481</v>
      </c>
      <c r="L176" s="823">
        <v>14392</v>
      </c>
      <c r="M176" s="823">
        <v>14386</v>
      </c>
      <c r="N176" s="823">
        <v>14087</v>
      </c>
      <c r="O176" s="823">
        <v>14162</v>
      </c>
      <c r="P176" s="823">
        <v>14155</v>
      </c>
      <c r="Q176" s="823">
        <v>14103</v>
      </c>
      <c r="R176" s="823">
        <v>14086</v>
      </c>
      <c r="S176" s="823">
        <v>14277</v>
      </c>
      <c r="T176" s="823">
        <v>14500</v>
      </c>
      <c r="U176" s="823">
        <v>14651</v>
      </c>
      <c r="V176" s="823">
        <v>14591</v>
      </c>
      <c r="W176" s="823">
        <v>14358</v>
      </c>
      <c r="X176" s="823">
        <v>14263</v>
      </c>
      <c r="Y176" s="823">
        <v>14290</v>
      </c>
      <c r="Z176" s="823">
        <v>14078</v>
      </c>
      <c r="AA176" s="823">
        <v>14231</v>
      </c>
      <c r="AB176" s="825">
        <v>14006</v>
      </c>
      <c r="AC176" s="825">
        <v>14105</v>
      </c>
      <c r="AD176" s="825">
        <v>13927</v>
      </c>
      <c r="AE176" s="825">
        <v>13960</v>
      </c>
      <c r="AF176" s="825">
        <v>13909</v>
      </c>
      <c r="AG176" s="825">
        <v>13990</v>
      </c>
      <c r="AH176" s="825">
        <v>13994</v>
      </c>
      <c r="AI176" s="825">
        <v>13406</v>
      </c>
      <c r="AJ176" s="825">
        <v>13370</v>
      </c>
      <c r="AK176" s="825">
        <v>13391</v>
      </c>
      <c r="AL176" s="825">
        <v>12993</v>
      </c>
      <c r="AM176" s="825">
        <v>13104</v>
      </c>
      <c r="AN176" s="825">
        <v>14517</v>
      </c>
      <c r="AO176" s="825">
        <v>16668</v>
      </c>
    </row>
    <row r="177" hidden="1">
      <c r="A177" s="826" t="s">
        <v>110</v>
      </c>
      <c r="B177" s="827">
        <v>61970</v>
      </c>
      <c r="C177" s="827">
        <v>63082</v>
      </c>
      <c r="D177" s="827">
        <v>63937</v>
      </c>
      <c r="E177" s="827">
        <v>64391</v>
      </c>
      <c r="F177" s="827">
        <v>64170</v>
      </c>
      <c r="G177" s="827">
        <v>63370</v>
      </c>
      <c r="H177" s="827">
        <v>58029</v>
      </c>
      <c r="I177" s="827">
        <v>58446</v>
      </c>
      <c r="J177" s="827">
        <v>59335</v>
      </c>
      <c r="K177" s="827">
        <v>59361</v>
      </c>
      <c r="L177" s="827">
        <v>59267</v>
      </c>
      <c r="M177" s="827">
        <v>56398</v>
      </c>
      <c r="N177" s="827">
        <v>53662</v>
      </c>
      <c r="O177" s="827">
        <v>51447</v>
      </c>
      <c r="P177" s="827">
        <v>52642</v>
      </c>
      <c r="Q177" s="827">
        <v>52351</v>
      </c>
      <c r="R177" s="827">
        <v>53541</v>
      </c>
      <c r="S177" s="827">
        <v>53236</v>
      </c>
      <c r="T177" s="827">
        <v>53546</v>
      </c>
      <c r="U177" s="827">
        <v>53483</v>
      </c>
      <c r="V177" s="827">
        <v>53447</v>
      </c>
      <c r="W177" s="827">
        <v>53594</v>
      </c>
      <c r="X177" s="827">
        <v>53242</v>
      </c>
      <c r="Y177" s="827">
        <v>52795</v>
      </c>
      <c r="Z177" s="827">
        <v>52552</v>
      </c>
      <c r="AA177" s="827">
        <v>52489</v>
      </c>
      <c r="AB177" s="828">
        <v>52419</v>
      </c>
      <c r="AC177" s="828">
        <v>52489</v>
      </c>
      <c r="AD177" s="828">
        <v>52499</v>
      </c>
      <c r="AE177" s="828">
        <v>52016</v>
      </c>
      <c r="AF177" s="828">
        <v>52317</v>
      </c>
      <c r="AG177" s="828">
        <v>52462</v>
      </c>
      <c r="AH177" s="828">
        <v>52628</v>
      </c>
      <c r="AI177" s="828">
        <v>53044</v>
      </c>
      <c r="AJ177" s="828">
        <v>53295</v>
      </c>
      <c r="AK177" s="828">
        <v>52819</v>
      </c>
      <c r="AL177" s="828">
        <v>52270</v>
      </c>
      <c r="AM177" s="828">
        <v>52303</v>
      </c>
      <c r="AN177" s="828">
        <v>54663</v>
      </c>
      <c r="AO177" s="828">
        <v>58086</v>
      </c>
    </row>
    <row r="178" hidden="1">
      <c r="A178" s="829" t="s">
        <v>16</v>
      </c>
      <c r="B178" s="823">
        <v>21704</v>
      </c>
      <c r="C178" s="823">
        <v>21819</v>
      </c>
      <c r="D178" s="823">
        <v>21629</v>
      </c>
      <c r="E178" s="823">
        <v>21488</v>
      </c>
      <c r="F178" s="823">
        <v>21220</v>
      </c>
      <c r="G178" s="823">
        <v>21039</v>
      </c>
      <c r="H178" s="823">
        <v>20936</v>
      </c>
      <c r="I178" s="823">
        <v>20818</v>
      </c>
      <c r="J178" s="823">
        <v>21068</v>
      </c>
      <c r="K178" s="823">
        <v>21312</v>
      </c>
      <c r="L178" s="823">
        <v>21439</v>
      </c>
      <c r="M178" s="823">
        <v>21346</v>
      </c>
      <c r="N178" s="823">
        <v>21096</v>
      </c>
      <c r="O178" s="823">
        <v>21047</v>
      </c>
      <c r="P178" s="823">
        <v>20726</v>
      </c>
      <c r="Q178" s="823">
        <v>20728</v>
      </c>
      <c r="R178" s="823">
        <v>20828</v>
      </c>
      <c r="S178" s="823">
        <v>20915</v>
      </c>
      <c r="T178" s="823">
        <v>20883</v>
      </c>
      <c r="U178" s="823">
        <v>20999</v>
      </c>
      <c r="V178" s="823">
        <v>21077</v>
      </c>
      <c r="W178" s="823">
        <v>21150</v>
      </c>
      <c r="X178" s="823">
        <v>19796</v>
      </c>
      <c r="Y178" s="823">
        <v>19811</v>
      </c>
      <c r="Z178" s="823">
        <v>19895</v>
      </c>
      <c r="AA178" s="823">
        <v>19907</v>
      </c>
      <c r="AB178" s="825">
        <v>19812</v>
      </c>
      <c r="AC178" s="825">
        <v>19713</v>
      </c>
      <c r="AD178" s="825">
        <v>19781</v>
      </c>
      <c r="AE178" s="825">
        <v>19968</v>
      </c>
      <c r="AF178" s="825">
        <v>20100</v>
      </c>
      <c r="AG178" s="825">
        <v>20146</v>
      </c>
      <c r="AH178" s="825">
        <v>20191</v>
      </c>
      <c r="AI178" s="825">
        <v>20275</v>
      </c>
      <c r="AJ178" s="825">
        <v>20204</v>
      </c>
      <c r="AK178" s="825">
        <v>20156</v>
      </c>
      <c r="AL178" s="825">
        <v>20178</v>
      </c>
      <c r="AM178" s="825">
        <v>20272</v>
      </c>
      <c r="AN178" s="825">
        <v>21141</v>
      </c>
      <c r="AO178" s="825">
        <v>21795</v>
      </c>
    </row>
    <row r="179" hidden="1">
      <c r="A179" s="826" t="s">
        <v>17</v>
      </c>
      <c r="B179" s="827">
        <v>39339</v>
      </c>
      <c r="C179" s="827">
        <v>38842</v>
      </c>
      <c r="D179" s="827">
        <v>39233</v>
      </c>
      <c r="E179" s="827">
        <v>39805</v>
      </c>
      <c r="F179" s="827">
        <v>37582</v>
      </c>
      <c r="G179" s="827">
        <v>37994</v>
      </c>
      <c r="H179" s="827">
        <v>37799</v>
      </c>
      <c r="I179" s="827">
        <v>38153</v>
      </c>
      <c r="J179" s="827">
        <v>38493</v>
      </c>
      <c r="K179" s="827">
        <v>38953</v>
      </c>
      <c r="L179" s="827">
        <v>39325</v>
      </c>
      <c r="M179" s="827">
        <v>39715</v>
      </c>
      <c r="N179" s="827">
        <v>39652</v>
      </c>
      <c r="O179" s="827">
        <v>39976</v>
      </c>
      <c r="P179" s="827">
        <v>36828</v>
      </c>
      <c r="Q179" s="827">
        <v>37165</v>
      </c>
      <c r="R179" s="827">
        <v>36671</v>
      </c>
      <c r="S179" s="827">
        <v>37158</v>
      </c>
      <c r="T179" s="827">
        <v>37895</v>
      </c>
      <c r="U179" s="827">
        <v>38551</v>
      </c>
      <c r="V179" s="827">
        <v>37027</v>
      </c>
      <c r="W179" s="827">
        <v>37048</v>
      </c>
      <c r="X179" s="827">
        <v>37616</v>
      </c>
      <c r="Y179" s="827">
        <v>38126</v>
      </c>
      <c r="Z179" s="827">
        <v>38532</v>
      </c>
      <c r="AA179" s="827">
        <v>38780</v>
      </c>
      <c r="AB179" s="828">
        <v>39274</v>
      </c>
      <c r="AC179" s="828">
        <v>39663</v>
      </c>
      <c r="AD179" s="828">
        <v>40066</v>
      </c>
      <c r="AE179" s="828">
        <v>40482</v>
      </c>
      <c r="AF179" s="828">
        <v>40983</v>
      </c>
      <c r="AG179" s="828">
        <v>41277</v>
      </c>
      <c r="AH179" s="828">
        <v>41644</v>
      </c>
      <c r="AI179" s="828">
        <v>41933</v>
      </c>
      <c r="AJ179" s="828">
        <v>42185</v>
      </c>
      <c r="AK179" s="828">
        <v>42353</v>
      </c>
      <c r="AL179" s="828">
        <v>42514</v>
      </c>
      <c r="AM179" s="828">
        <v>42618</v>
      </c>
      <c r="AN179" s="828">
        <v>42990</v>
      </c>
      <c r="AO179" s="828">
        <v>43120</v>
      </c>
    </row>
    <row r="180" hidden="1">
      <c r="A180" s="829" t="s">
        <v>18</v>
      </c>
      <c r="B180" s="823">
        <v>111063</v>
      </c>
      <c r="C180" s="823">
        <v>101594</v>
      </c>
      <c r="D180" s="823">
        <v>102741</v>
      </c>
      <c r="E180" s="823">
        <v>103678</v>
      </c>
      <c r="F180" s="823">
        <v>98638</v>
      </c>
      <c r="G180" s="823">
        <v>99522</v>
      </c>
      <c r="H180" s="823">
        <v>95840</v>
      </c>
      <c r="I180" s="823">
        <v>95124</v>
      </c>
      <c r="J180" s="823">
        <v>94545</v>
      </c>
      <c r="K180" s="823">
        <v>92538</v>
      </c>
      <c r="L180" s="823">
        <v>91443</v>
      </c>
      <c r="M180" s="823">
        <v>90752</v>
      </c>
      <c r="N180" s="823">
        <v>89684</v>
      </c>
      <c r="O180" s="823">
        <v>88258</v>
      </c>
      <c r="P180" s="823">
        <v>87429</v>
      </c>
      <c r="Q180" s="823">
        <v>86832</v>
      </c>
      <c r="R180" s="823">
        <v>86449</v>
      </c>
      <c r="S180" s="823">
        <v>86217</v>
      </c>
      <c r="T180" s="823">
        <v>89452</v>
      </c>
      <c r="U180" s="823">
        <v>88918</v>
      </c>
      <c r="V180" s="823">
        <v>88332</v>
      </c>
      <c r="W180" s="823">
        <v>88009</v>
      </c>
      <c r="X180" s="823">
        <v>86636</v>
      </c>
      <c r="Y180" s="823">
        <v>86715</v>
      </c>
      <c r="Z180" s="823">
        <v>85839</v>
      </c>
      <c r="AA180" s="823">
        <v>85583</v>
      </c>
      <c r="AB180" s="825">
        <v>85744</v>
      </c>
      <c r="AC180" s="825">
        <v>85957</v>
      </c>
      <c r="AD180" s="825">
        <v>86858</v>
      </c>
      <c r="AE180" s="825">
        <v>88474</v>
      </c>
      <c r="AF180" s="825">
        <v>87802</v>
      </c>
      <c r="AG180" s="825">
        <v>87527</v>
      </c>
      <c r="AH180" s="825">
        <v>80147</v>
      </c>
      <c r="AI180" s="825">
        <v>79793</v>
      </c>
      <c r="AJ180" s="825">
        <v>84954</v>
      </c>
      <c r="AK180" s="825">
        <v>93999</v>
      </c>
      <c r="AL180" s="825">
        <v>160869</v>
      </c>
      <c r="AM180" s="825">
        <v>182182</v>
      </c>
      <c r="AN180" s="825">
        <v>194965</v>
      </c>
      <c r="AO180" s="825">
        <v>200737</v>
      </c>
    </row>
    <row r="181" hidden="1">
      <c r="A181" s="826" t="s">
        <v>19</v>
      </c>
      <c r="B181" s="827">
        <v>3170</v>
      </c>
      <c r="C181" s="827">
        <v>3177</v>
      </c>
      <c r="D181" s="827">
        <v>3181</v>
      </c>
      <c r="E181" s="827">
        <v>3190</v>
      </c>
      <c r="F181" s="827">
        <v>3204</v>
      </c>
      <c r="G181" s="827">
        <v>3209</v>
      </c>
      <c r="H181" s="827">
        <v>3122</v>
      </c>
      <c r="I181" s="827">
        <v>3177</v>
      </c>
      <c r="J181" s="827">
        <v>3178</v>
      </c>
      <c r="K181" s="827">
        <v>3217</v>
      </c>
      <c r="L181" s="827">
        <v>2910</v>
      </c>
      <c r="M181" s="827">
        <v>2946</v>
      </c>
      <c r="N181" s="827">
        <v>3008</v>
      </c>
      <c r="O181" s="827">
        <v>3066</v>
      </c>
      <c r="P181" s="827">
        <v>2975</v>
      </c>
      <c r="Q181" s="827">
        <v>3057</v>
      </c>
      <c r="R181" s="827">
        <v>3126</v>
      </c>
      <c r="S181" s="827">
        <v>3192</v>
      </c>
      <c r="T181" s="827">
        <v>3251</v>
      </c>
      <c r="U181" s="827">
        <v>3342</v>
      </c>
      <c r="V181" s="827">
        <v>3406</v>
      </c>
      <c r="W181" s="827">
        <v>3433</v>
      </c>
      <c r="X181" s="827">
        <v>3483</v>
      </c>
      <c r="Y181" s="827">
        <v>3530</v>
      </c>
      <c r="Z181" s="827">
        <v>3555</v>
      </c>
      <c r="AA181" s="827">
        <v>3569</v>
      </c>
      <c r="AB181" s="828">
        <v>3596</v>
      </c>
      <c r="AC181" s="828">
        <v>3653</v>
      </c>
      <c r="AD181" s="828">
        <v>3677</v>
      </c>
      <c r="AE181" s="828">
        <v>3717</v>
      </c>
      <c r="AF181" s="828">
        <v>3745</v>
      </c>
      <c r="AG181" s="828">
        <v>3787</v>
      </c>
      <c r="AH181" s="828">
        <v>3856</v>
      </c>
      <c r="AI181" s="828">
        <v>3478</v>
      </c>
      <c r="AJ181" s="828">
        <v>3581</v>
      </c>
      <c r="AK181" s="828">
        <v>3662</v>
      </c>
      <c r="AL181" s="828">
        <v>3722</v>
      </c>
      <c r="AM181" s="828">
        <v>3792</v>
      </c>
      <c r="AN181" s="828">
        <v>4253</v>
      </c>
      <c r="AO181" s="828">
        <v>5156</v>
      </c>
    </row>
    <row r="182" hidden="1">
      <c r="A182" s="829" t="s">
        <v>20</v>
      </c>
      <c r="B182" s="823">
        <v>6797</v>
      </c>
      <c r="C182" s="823">
        <v>6965</v>
      </c>
      <c r="D182" s="823">
        <v>7368</v>
      </c>
      <c r="E182" s="823">
        <v>7232</v>
      </c>
      <c r="F182" s="823">
        <v>7049</v>
      </c>
      <c r="G182" s="823">
        <v>7081</v>
      </c>
      <c r="H182" s="823">
        <v>7149</v>
      </c>
      <c r="I182" s="823">
        <v>7232</v>
      </c>
      <c r="J182" s="823">
        <v>6779</v>
      </c>
      <c r="K182" s="823">
        <v>6822</v>
      </c>
      <c r="L182" s="823">
        <v>6601</v>
      </c>
      <c r="M182" s="823">
        <v>6223</v>
      </c>
      <c r="N182" s="823">
        <v>5838</v>
      </c>
      <c r="O182" s="823">
        <v>5887</v>
      </c>
      <c r="P182" s="823">
        <v>5850</v>
      </c>
      <c r="Q182" s="823">
        <v>5883</v>
      </c>
      <c r="R182" s="823">
        <v>5502</v>
      </c>
      <c r="S182" s="823">
        <v>5550</v>
      </c>
      <c r="T182" s="823">
        <v>5593</v>
      </c>
      <c r="U182" s="823">
        <v>5658</v>
      </c>
      <c r="V182" s="823">
        <v>5531</v>
      </c>
      <c r="W182" s="823">
        <v>5517</v>
      </c>
      <c r="X182" s="823">
        <v>5610</v>
      </c>
      <c r="Y182" s="823">
        <v>5656</v>
      </c>
      <c r="Z182" s="823">
        <v>5791</v>
      </c>
      <c r="AA182" s="823">
        <v>5772</v>
      </c>
      <c r="AB182" s="825">
        <v>5816</v>
      </c>
      <c r="AC182" s="825">
        <v>5892</v>
      </c>
      <c r="AD182" s="825">
        <v>6056</v>
      </c>
      <c r="AE182" s="825">
        <v>6120</v>
      </c>
      <c r="AF182" s="825">
        <v>5088</v>
      </c>
      <c r="AG182" s="825">
        <v>5139</v>
      </c>
      <c r="AH182" s="825">
        <v>5150</v>
      </c>
      <c r="AI182" s="825">
        <v>5129</v>
      </c>
      <c r="AJ182" s="825">
        <v>5138</v>
      </c>
      <c r="AK182" s="825">
        <v>5079</v>
      </c>
      <c r="AL182" s="825">
        <v>5027</v>
      </c>
      <c r="AM182" s="825">
        <v>4983</v>
      </c>
      <c r="AN182" s="825">
        <v>4966</v>
      </c>
      <c r="AO182" s="825">
        <v>5112</v>
      </c>
    </row>
    <row r="183" hidden="1">
      <c r="A183" s="826" t="s">
        <v>21</v>
      </c>
      <c r="B183" s="827">
        <v>5731</v>
      </c>
      <c r="C183" s="827">
        <v>5589</v>
      </c>
      <c r="D183" s="827">
        <v>5408</v>
      </c>
      <c r="E183" s="827">
        <v>5500</v>
      </c>
      <c r="F183" s="827">
        <v>5458</v>
      </c>
      <c r="G183" s="827">
        <v>5443</v>
      </c>
      <c r="H183" s="827">
        <v>5303</v>
      </c>
      <c r="I183" s="827">
        <v>5443</v>
      </c>
      <c r="J183" s="827">
        <v>5613</v>
      </c>
      <c r="K183" s="827">
        <v>5684</v>
      </c>
      <c r="L183" s="827">
        <v>5775</v>
      </c>
      <c r="M183" s="827">
        <v>5816</v>
      </c>
      <c r="N183" s="827">
        <v>5877</v>
      </c>
      <c r="O183" s="827">
        <v>5852</v>
      </c>
      <c r="P183" s="827">
        <v>5912</v>
      </c>
      <c r="Q183" s="827">
        <v>5941</v>
      </c>
      <c r="R183" s="827">
        <v>5977</v>
      </c>
      <c r="S183" s="827">
        <v>6063</v>
      </c>
      <c r="T183" s="827">
        <v>6086</v>
      </c>
      <c r="U183" s="827">
        <v>6139</v>
      </c>
      <c r="V183" s="827">
        <v>6083</v>
      </c>
      <c r="W183" s="827">
        <v>6173</v>
      </c>
      <c r="X183" s="827">
        <v>6207</v>
      </c>
      <c r="Y183" s="827">
        <v>6140</v>
      </c>
      <c r="Z183" s="827">
        <v>6096</v>
      </c>
      <c r="AA183" s="827">
        <v>6175</v>
      </c>
      <c r="AB183" s="828">
        <v>6065</v>
      </c>
      <c r="AC183" s="828">
        <v>6180</v>
      </c>
      <c r="AD183" s="828">
        <v>6322</v>
      </c>
      <c r="AE183" s="828">
        <v>6345</v>
      </c>
      <c r="AF183" s="828">
        <v>6363</v>
      </c>
      <c r="AG183" s="828">
        <v>6425</v>
      </c>
      <c r="AH183" s="828">
        <v>6458</v>
      </c>
      <c r="AI183" s="828">
        <v>6439</v>
      </c>
      <c r="AJ183" s="828">
        <v>6380</v>
      </c>
      <c r="AK183" s="828">
        <v>6426</v>
      </c>
      <c r="AL183" s="828">
        <v>6427</v>
      </c>
      <c r="AM183" s="828">
        <v>6538</v>
      </c>
      <c r="AN183" s="828">
        <v>6663</v>
      </c>
      <c r="AO183" s="828">
        <v>6930</v>
      </c>
    </row>
    <row r="184" hidden="1">
      <c r="A184" s="829" t="s">
        <v>22</v>
      </c>
      <c r="B184" s="823">
        <v>17859</v>
      </c>
      <c r="C184" s="823">
        <v>18081</v>
      </c>
      <c r="D184" s="823">
        <v>18293</v>
      </c>
      <c r="E184" s="823">
        <v>19090</v>
      </c>
      <c r="F184" s="823">
        <v>19444</v>
      </c>
      <c r="G184" s="823">
        <v>20174</v>
      </c>
      <c r="H184" s="823">
        <v>19149</v>
      </c>
      <c r="I184" s="823">
        <v>19433</v>
      </c>
      <c r="J184" s="823">
        <v>18886</v>
      </c>
      <c r="K184" s="823">
        <v>19053</v>
      </c>
      <c r="L184" s="823">
        <v>16871</v>
      </c>
      <c r="M184" s="823">
        <v>17205</v>
      </c>
      <c r="N184" s="823">
        <v>17255</v>
      </c>
      <c r="O184" s="823">
        <v>17394</v>
      </c>
      <c r="P184" s="823">
        <v>17133</v>
      </c>
      <c r="Q184" s="823">
        <v>17322</v>
      </c>
      <c r="R184" s="823">
        <v>17289</v>
      </c>
      <c r="S184" s="823">
        <v>17444</v>
      </c>
      <c r="T184" s="823">
        <v>16089</v>
      </c>
      <c r="U184" s="823">
        <v>15363</v>
      </c>
      <c r="V184" s="823">
        <v>15247</v>
      </c>
      <c r="W184" s="823">
        <v>14947</v>
      </c>
      <c r="X184" s="823">
        <v>14732</v>
      </c>
      <c r="Y184" s="823">
        <v>14948</v>
      </c>
      <c r="Z184" s="823">
        <v>14859</v>
      </c>
      <c r="AA184" s="823">
        <v>14561</v>
      </c>
      <c r="AB184" s="825">
        <v>14476</v>
      </c>
      <c r="AC184" s="825">
        <v>14561</v>
      </c>
      <c r="AD184" s="825">
        <v>14134</v>
      </c>
      <c r="AE184" s="825">
        <v>14445</v>
      </c>
      <c r="AF184" s="825">
        <v>14708</v>
      </c>
      <c r="AG184" s="825">
        <v>14739</v>
      </c>
      <c r="AH184" s="825">
        <v>14717</v>
      </c>
      <c r="AI184" s="825">
        <v>14807</v>
      </c>
      <c r="AJ184" s="825">
        <v>14770</v>
      </c>
      <c r="AK184" s="825">
        <v>14816</v>
      </c>
      <c r="AL184" s="825">
        <v>14860</v>
      </c>
      <c r="AM184" s="825">
        <v>14888</v>
      </c>
      <c r="AN184" s="825">
        <v>15373</v>
      </c>
      <c r="AO184" s="825">
        <v>15735</v>
      </c>
    </row>
    <row r="185" hidden="1">
      <c r="A185" s="826" t="s">
        <v>23</v>
      </c>
      <c r="B185" s="827">
        <v>1744</v>
      </c>
      <c r="C185" s="827">
        <v>1728</v>
      </c>
      <c r="D185" s="827">
        <v>1687</v>
      </c>
      <c r="E185" s="827">
        <v>1669</v>
      </c>
      <c r="F185" s="827">
        <v>1658</v>
      </c>
      <c r="G185" s="827">
        <v>1674</v>
      </c>
      <c r="H185" s="827">
        <v>1613</v>
      </c>
      <c r="I185" s="827">
        <v>1600</v>
      </c>
      <c r="J185" s="827">
        <v>1563</v>
      </c>
      <c r="K185" s="827">
        <v>1528</v>
      </c>
      <c r="L185" s="827">
        <v>1484</v>
      </c>
      <c r="M185" s="827">
        <v>1488</v>
      </c>
      <c r="N185" s="827">
        <v>1392</v>
      </c>
      <c r="O185" s="827">
        <v>1379</v>
      </c>
      <c r="P185" s="827">
        <v>1350</v>
      </c>
      <c r="Q185" s="827">
        <v>1366</v>
      </c>
      <c r="R185" s="827">
        <v>1381</v>
      </c>
      <c r="S185" s="827">
        <v>1378</v>
      </c>
      <c r="T185" s="827">
        <v>1385</v>
      </c>
      <c r="U185" s="827">
        <v>1410</v>
      </c>
      <c r="V185" s="827">
        <v>1418</v>
      </c>
      <c r="W185" s="827">
        <v>1428</v>
      </c>
      <c r="X185" s="827">
        <v>1437</v>
      </c>
      <c r="Y185" s="827">
        <v>1433</v>
      </c>
      <c r="Z185" s="827">
        <v>1442</v>
      </c>
      <c r="AA185" s="827">
        <v>1448</v>
      </c>
      <c r="AB185" s="828">
        <v>1466</v>
      </c>
      <c r="AC185" s="828">
        <v>1475</v>
      </c>
      <c r="AD185" s="828">
        <v>1476</v>
      </c>
      <c r="AE185" s="828">
        <v>1469</v>
      </c>
      <c r="AF185" s="828">
        <v>1500</v>
      </c>
      <c r="AG185" s="828">
        <v>1498</v>
      </c>
      <c r="AH185" s="828">
        <v>1519</v>
      </c>
      <c r="AI185" s="828">
        <v>1495</v>
      </c>
      <c r="AJ185" s="828">
        <v>1482</v>
      </c>
      <c r="AK185" s="828">
        <v>1472</v>
      </c>
      <c r="AL185" s="828">
        <v>1479</v>
      </c>
      <c r="AM185" s="828">
        <v>1430</v>
      </c>
      <c r="AN185" s="828">
        <v>1453</v>
      </c>
      <c r="AO185" s="828">
        <v>1807</v>
      </c>
    </row>
    <row r="186" hidden="1">
      <c r="A186" s="830" t="s">
        <v>24</v>
      </c>
      <c r="B186" s="823">
        <v>7015</v>
      </c>
      <c r="C186" s="823">
        <v>6794</v>
      </c>
      <c r="D186" s="823">
        <v>6297</v>
      </c>
      <c r="E186" s="823">
        <v>6117</v>
      </c>
      <c r="F186" s="823">
        <v>5963</v>
      </c>
      <c r="G186" s="823">
        <v>5864</v>
      </c>
      <c r="H186" s="823">
        <v>5787</v>
      </c>
      <c r="I186" s="823">
        <v>5736</v>
      </c>
      <c r="J186" s="823">
        <v>5729</v>
      </c>
      <c r="K186" s="823">
        <v>5656</v>
      </c>
      <c r="L186" s="823">
        <v>5615</v>
      </c>
      <c r="M186" s="823">
        <v>5614</v>
      </c>
      <c r="N186" s="823">
        <v>5551</v>
      </c>
      <c r="O186" s="823">
        <v>5545</v>
      </c>
      <c r="P186" s="823">
        <v>5531</v>
      </c>
      <c r="Q186" s="823">
        <v>5557</v>
      </c>
      <c r="R186" s="823">
        <v>5620</v>
      </c>
      <c r="S186" s="823">
        <v>5708</v>
      </c>
      <c r="T186" s="823">
        <v>5764</v>
      </c>
      <c r="U186" s="823">
        <v>5872</v>
      </c>
      <c r="V186" s="823">
        <v>5953</v>
      </c>
      <c r="W186" s="823">
        <v>6021</v>
      </c>
      <c r="X186" s="823">
        <v>5987</v>
      </c>
      <c r="Y186" s="823">
        <v>6058</v>
      </c>
      <c r="Z186" s="823">
        <v>6051</v>
      </c>
      <c r="AA186" s="823">
        <v>6129</v>
      </c>
      <c r="AB186" s="825">
        <v>6177</v>
      </c>
      <c r="AC186" s="825">
        <v>6189</v>
      </c>
      <c r="AD186" s="825">
        <v>6210</v>
      </c>
      <c r="AE186" s="825">
        <v>6284</v>
      </c>
      <c r="AF186" s="825">
        <v>6257</v>
      </c>
      <c r="AG186" s="825">
        <v>6296</v>
      </c>
      <c r="AH186" s="825">
        <v>6271</v>
      </c>
      <c r="AI186" s="825">
        <v>6311</v>
      </c>
      <c r="AJ186" s="825">
        <v>6269</v>
      </c>
      <c r="AK186" s="825">
        <v>6329</v>
      </c>
      <c r="AL186" s="825">
        <v>6230</v>
      </c>
      <c r="AM186" s="825">
        <v>6375</v>
      </c>
      <c r="AN186" s="825">
        <v>6871</v>
      </c>
      <c r="AO186" s="825">
        <v>8890</v>
      </c>
    </row>
    <row r="187" hidden="1">
      <c r="A187" s="826" t="s">
        <v>25</v>
      </c>
      <c r="B187" s="827">
        <v>0</v>
      </c>
      <c r="C187" s="827">
        <v>0</v>
      </c>
      <c r="D187" s="827">
        <v>0</v>
      </c>
      <c r="E187" s="827">
        <v>0</v>
      </c>
      <c r="F187" s="827">
        <v>0</v>
      </c>
      <c r="G187" s="827">
        <v>3</v>
      </c>
      <c r="H187" s="827">
        <v>3</v>
      </c>
      <c r="I187" s="827">
        <v>3</v>
      </c>
      <c r="J187" s="827">
        <v>3</v>
      </c>
      <c r="K187" s="827">
        <v>3</v>
      </c>
      <c r="L187" s="827">
        <v>3</v>
      </c>
      <c r="M187" s="827">
        <v>3</v>
      </c>
      <c r="N187" s="827">
        <v>3</v>
      </c>
      <c r="O187" s="827">
        <v>3</v>
      </c>
      <c r="P187" s="827">
        <v>3</v>
      </c>
      <c r="Q187" s="827">
        <v>3</v>
      </c>
      <c r="R187" s="827">
        <v>3</v>
      </c>
      <c r="S187" s="827">
        <v>3</v>
      </c>
      <c r="T187" s="827">
        <v>3</v>
      </c>
      <c r="U187" s="827">
        <v>4</v>
      </c>
      <c r="V187" s="827">
        <v>4</v>
      </c>
      <c r="W187" s="827">
        <v>4</v>
      </c>
      <c r="X187" s="827">
        <v>4</v>
      </c>
      <c r="Y187" s="827">
        <v>4</v>
      </c>
      <c r="Z187" s="827">
        <v>4</v>
      </c>
      <c r="AA187" s="827">
        <v>4</v>
      </c>
      <c r="AB187" s="828">
        <v>4</v>
      </c>
      <c r="AC187" s="828">
        <v>5</v>
      </c>
      <c r="AD187" s="828">
        <v>5</v>
      </c>
      <c r="AE187" s="828">
        <v>5</v>
      </c>
      <c r="AF187" s="828">
        <v>5</v>
      </c>
      <c r="AG187" s="828">
        <v>5</v>
      </c>
      <c r="AH187" s="828">
        <v>5</v>
      </c>
      <c r="AI187" s="828">
        <v>5</v>
      </c>
      <c r="AJ187" s="828">
        <v>5</v>
      </c>
      <c r="AK187" s="828">
        <v>5</v>
      </c>
      <c r="AL187" s="828">
        <v>5</v>
      </c>
      <c r="AM187" s="828">
        <v>5</v>
      </c>
      <c r="AN187" s="828">
        <v>5</v>
      </c>
      <c r="AO187" s="828">
        <v>5</v>
      </c>
    </row>
    <row r="188" hidden="1" ht="13.5">
      <c r="A188" s="831" t="s">
        <v>26</v>
      </c>
      <c r="B188" s="823">
        <v>0</v>
      </c>
      <c r="C188" s="823">
        <v>0</v>
      </c>
      <c r="D188" s="823">
        <v>0</v>
      </c>
      <c r="E188" s="823">
        <v>0</v>
      </c>
      <c r="F188" s="823">
        <v>0</v>
      </c>
      <c r="G188" s="823">
        <v>0</v>
      </c>
      <c r="H188" s="823">
        <v>0</v>
      </c>
      <c r="I188" s="823">
        <v>0</v>
      </c>
      <c r="J188" s="823">
        <v>0</v>
      </c>
      <c r="K188" s="823">
        <v>0</v>
      </c>
      <c r="L188" s="823">
        <v>0</v>
      </c>
      <c r="M188" s="823">
        <v>0</v>
      </c>
      <c r="N188" s="823">
        <v>0</v>
      </c>
      <c r="O188" s="823">
        <v>0</v>
      </c>
      <c r="P188" s="823">
        <v>0</v>
      </c>
      <c r="Q188" s="823">
        <v>0</v>
      </c>
      <c r="R188" s="823">
        <v>0</v>
      </c>
      <c r="S188" s="823">
        <v>0</v>
      </c>
      <c r="T188" s="823">
        <v>0</v>
      </c>
      <c r="U188" s="823">
        <v>0</v>
      </c>
      <c r="V188" s="823">
        <v>2</v>
      </c>
      <c r="W188" s="823">
        <v>2</v>
      </c>
      <c r="X188" s="823">
        <v>2</v>
      </c>
      <c r="Y188" s="823">
        <v>3</v>
      </c>
      <c r="Z188" s="823">
        <v>3</v>
      </c>
      <c r="AA188" s="832">
        <v>4</v>
      </c>
      <c r="AB188" s="825">
        <v>4</v>
      </c>
      <c r="AC188" s="825">
        <v>4</v>
      </c>
      <c r="AD188" s="825">
        <v>4</v>
      </c>
      <c r="AE188" s="825">
        <v>4</v>
      </c>
      <c r="AF188" s="825">
        <v>5</v>
      </c>
      <c r="AG188" s="825">
        <v>5</v>
      </c>
      <c r="AH188" s="825">
        <v>7</v>
      </c>
      <c r="AI188" s="825">
        <v>7</v>
      </c>
      <c r="AJ188" s="825">
        <v>7</v>
      </c>
      <c r="AK188" s="825">
        <v>7</v>
      </c>
      <c r="AL188" s="825">
        <v>7</v>
      </c>
      <c r="AM188" s="825">
        <v>7</v>
      </c>
      <c r="AN188" s="825">
        <v>7</v>
      </c>
      <c r="AO188" s="825">
        <v>7</v>
      </c>
    </row>
    <row r="189" hidden="1" ht="13.5">
      <c r="A189" s="128" t="s">
        <v>7</v>
      </c>
      <c r="B189" s="129" t="str">
        <f>IF(SUM(B170:B188)&lt;&gt;0,SUM(B170:B188),"")</f>
      </c>
      <c r="C189" s="129" t="str">
        <f ref="C189:Z189" t="shared" si="15">IF(SUM(C170:C188)&lt;&gt;0,SUM(C170:C188),"")</f>
      </c>
      <c r="D189" s="129" t="str">
        <f t="shared" si="15"/>
      </c>
      <c r="E189" s="129" t="str">
        <f t="shared" si="15"/>
      </c>
      <c r="F189" s="129" t="str">
        <f t="shared" si="15"/>
      </c>
      <c r="G189" s="129" t="str">
        <f t="shared" si="15"/>
      </c>
      <c r="H189" s="129" t="str">
        <f t="shared" si="15"/>
      </c>
      <c r="I189" s="129" t="str">
        <f t="shared" si="15"/>
      </c>
      <c r="J189" s="129" t="str">
        <f t="shared" si="15"/>
      </c>
      <c r="K189" s="129" t="str">
        <f t="shared" si="15"/>
      </c>
      <c r="L189" s="129" t="str">
        <f t="shared" si="15"/>
      </c>
      <c r="M189" s="129" t="str">
        <f t="shared" si="15"/>
      </c>
      <c r="N189" s="129" t="str">
        <f t="shared" si="15"/>
      </c>
      <c r="O189" s="129" t="str">
        <f t="shared" si="15"/>
      </c>
      <c r="P189" s="129" t="str">
        <f t="shared" si="15"/>
      </c>
      <c r="Q189" s="129" t="str">
        <f t="shared" si="15"/>
      </c>
      <c r="R189" s="129" t="str">
        <f t="shared" si="15"/>
      </c>
      <c r="S189" s="129" t="str">
        <f t="shared" si="15"/>
      </c>
      <c r="T189" s="129" t="str">
        <f t="shared" si="15"/>
      </c>
      <c r="U189" s="129" t="str">
        <f t="shared" si="15"/>
      </c>
      <c r="V189" s="129" t="str">
        <f t="shared" si="15"/>
      </c>
      <c r="W189" s="129" t="str">
        <f t="shared" si="15"/>
      </c>
      <c r="X189" s="129" t="str">
        <f t="shared" si="15"/>
      </c>
      <c r="Y189" s="129" t="str">
        <f t="shared" si="15"/>
      </c>
      <c r="Z189" s="129" t="str">
        <f t="shared" si="15"/>
      </c>
      <c r="AA189" s="130" t="str">
        <f>IF(SUM(AA170:AA188)&lt;&gt;0,SUM(AA170:AA188),"")</f>
      </c>
      <c r="AB189" s="91" t="str">
        <f ref="AB189:CM189" t="shared" si="16">IF(SUM(AB170:AB188)&lt;&gt;0,SUM(AB170:AB188),"")</f>
      </c>
      <c r="AC189" s="91" t="str">
        <f t="shared" si="16"/>
      </c>
      <c r="AD189" s="91" t="str">
        <f t="shared" si="16"/>
      </c>
      <c r="AE189" s="91" t="str">
        <f t="shared" si="16"/>
      </c>
      <c r="AF189" s="91" t="str">
        <f t="shared" si="16"/>
      </c>
      <c r="AG189" s="91" t="str">
        <f t="shared" si="16"/>
      </c>
      <c r="AH189" s="91" t="str">
        <f t="shared" si="16"/>
      </c>
      <c r="AI189" s="91" t="str">
        <f t="shared" si="16"/>
      </c>
      <c r="AJ189" s="91" t="str">
        <f t="shared" si="16"/>
      </c>
      <c r="AK189" s="91" t="str">
        <f t="shared" si="16"/>
      </c>
      <c r="AL189" s="91" t="str">
        <f t="shared" si="16"/>
      </c>
      <c r="AM189" s="91" t="str">
        <f t="shared" si="16"/>
      </c>
      <c r="AN189" s="91" t="str">
        <f t="shared" si="16"/>
      </c>
      <c r="AO189" s="91" t="str">
        <f t="shared" si="16"/>
      </c>
      <c r="AP189" s="91" t="str">
        <f t="shared" si="16"/>
      </c>
      <c r="AQ189" s="91" t="str">
        <f t="shared" si="16"/>
      </c>
      <c r="AR189" s="91" t="str">
        <f t="shared" si="16"/>
      </c>
      <c r="AS189" s="91" t="str">
        <f t="shared" si="16"/>
      </c>
      <c r="AT189" s="91" t="str">
        <f t="shared" si="16"/>
      </c>
      <c r="AU189" s="91" t="str">
        <f t="shared" si="16"/>
      </c>
      <c r="AV189" s="91" t="str">
        <f t="shared" si="16"/>
      </c>
      <c r="AW189" s="91" t="str">
        <f t="shared" si="16"/>
      </c>
      <c r="AX189" s="91" t="str">
        <f t="shared" si="16"/>
      </c>
      <c r="AY189" s="91" t="str">
        <f t="shared" si="16"/>
      </c>
      <c r="AZ189" s="91" t="str">
        <f t="shared" si="16"/>
      </c>
      <c r="BA189" s="91" t="str">
        <f t="shared" si="16"/>
      </c>
      <c r="BB189" s="91" t="str">
        <f t="shared" si="16"/>
      </c>
      <c r="BC189" s="91" t="str">
        <f t="shared" si="16"/>
      </c>
      <c r="BD189" s="91" t="str">
        <f t="shared" si="16"/>
      </c>
      <c r="BE189" s="91" t="str">
        <f t="shared" si="16"/>
      </c>
      <c r="BF189" s="91" t="str">
        <f t="shared" si="16"/>
      </c>
      <c r="BG189" s="91" t="str">
        <f t="shared" si="16"/>
      </c>
      <c r="BH189" s="91" t="str">
        <f t="shared" si="16"/>
      </c>
      <c r="BI189" s="91" t="str">
        <f t="shared" si="16"/>
      </c>
      <c r="BJ189" s="91" t="str">
        <f t="shared" si="16"/>
      </c>
      <c r="BK189" s="91" t="str">
        <f t="shared" si="16"/>
      </c>
      <c r="BL189" s="91" t="str">
        <f t="shared" si="16"/>
      </c>
      <c r="BM189" s="91" t="str">
        <f t="shared" si="16"/>
      </c>
      <c r="BN189" s="91" t="str">
        <f t="shared" si="16"/>
      </c>
      <c r="BO189" s="91" t="str">
        <f t="shared" si="16"/>
      </c>
      <c r="BP189" s="91" t="str">
        <f t="shared" si="16"/>
      </c>
      <c r="BQ189" s="91" t="str">
        <f t="shared" si="16"/>
      </c>
      <c r="BR189" s="91" t="str">
        <f t="shared" si="16"/>
      </c>
      <c r="BS189" s="91" t="str">
        <f t="shared" si="16"/>
      </c>
      <c r="BT189" s="91" t="str">
        <f t="shared" si="16"/>
      </c>
      <c r="BU189" s="91" t="str">
        <f t="shared" si="16"/>
      </c>
      <c r="BV189" s="91" t="str">
        <f t="shared" si="16"/>
      </c>
      <c r="BW189" s="91" t="str">
        <f t="shared" si="16"/>
      </c>
      <c r="BX189" s="91" t="str">
        <f t="shared" si="16"/>
      </c>
      <c r="BY189" s="91" t="str">
        <f t="shared" si="16"/>
      </c>
      <c r="BZ189" s="91" t="str">
        <f t="shared" si="16"/>
      </c>
      <c r="CA189" s="91" t="str">
        <f t="shared" si="16"/>
      </c>
      <c r="CB189" s="91" t="str">
        <f t="shared" si="16"/>
      </c>
      <c r="CC189" s="91" t="str">
        <f t="shared" si="16"/>
      </c>
      <c r="CD189" s="91" t="str">
        <f t="shared" si="16"/>
      </c>
      <c r="CE189" s="91" t="str">
        <f t="shared" si="16"/>
      </c>
      <c r="CF189" s="91" t="str">
        <f t="shared" si="16"/>
      </c>
      <c r="CG189" s="91" t="str">
        <f t="shared" si="16"/>
      </c>
      <c r="CH189" s="91" t="str">
        <f t="shared" si="16"/>
      </c>
      <c r="CI189" s="91" t="str">
        <f t="shared" si="16"/>
      </c>
      <c r="CJ189" s="91" t="str">
        <f t="shared" si="16"/>
      </c>
      <c r="CK189" s="91" t="str">
        <f t="shared" si="16"/>
      </c>
      <c r="CL189" s="91" t="str">
        <f t="shared" si="16"/>
      </c>
      <c r="CM189" s="91" t="str">
        <f t="shared" si="16"/>
      </c>
      <c r="CN189" s="91" t="str">
        <f ref="CN189:EY189" t="shared" si="17">IF(SUM(CN170:CN188)&lt;&gt;0,SUM(CN170:CN188),"")</f>
      </c>
      <c r="CO189" s="91" t="str">
        <f t="shared" si="17"/>
      </c>
      <c r="CP189" s="91" t="str">
        <f t="shared" si="17"/>
      </c>
      <c r="CQ189" s="91" t="str">
        <f t="shared" si="17"/>
      </c>
      <c r="CR189" s="91" t="str">
        <f t="shared" si="17"/>
      </c>
      <c r="CS189" s="91" t="str">
        <f t="shared" si="17"/>
      </c>
      <c r="CT189" s="91" t="str">
        <f t="shared" si="17"/>
      </c>
      <c r="CU189" s="91" t="str">
        <f t="shared" si="17"/>
      </c>
      <c r="CV189" s="91" t="str">
        <f t="shared" si="17"/>
      </c>
      <c r="CW189" s="91" t="str">
        <f t="shared" si="17"/>
      </c>
      <c r="CX189" s="91" t="str">
        <f t="shared" si="17"/>
      </c>
      <c r="CY189" s="91" t="str">
        <f t="shared" si="17"/>
      </c>
      <c r="CZ189" s="91" t="str">
        <f t="shared" si="17"/>
      </c>
      <c r="DA189" s="91" t="str">
        <f t="shared" si="17"/>
      </c>
      <c r="DB189" s="91" t="str">
        <f t="shared" si="17"/>
      </c>
      <c r="DC189" s="91" t="str">
        <f t="shared" si="17"/>
      </c>
      <c r="DD189" s="91" t="str">
        <f t="shared" si="17"/>
      </c>
      <c r="DE189" s="91" t="str">
        <f t="shared" si="17"/>
      </c>
      <c r="DF189" s="91" t="str">
        <f t="shared" si="17"/>
      </c>
      <c r="DG189" s="91" t="str">
        <f t="shared" si="17"/>
      </c>
      <c r="DH189" s="91" t="str">
        <f t="shared" si="17"/>
      </c>
      <c r="DI189" s="91" t="str">
        <f t="shared" si="17"/>
      </c>
      <c r="DJ189" s="91" t="str">
        <f t="shared" si="17"/>
      </c>
      <c r="DK189" s="91" t="str">
        <f t="shared" si="17"/>
      </c>
      <c r="DL189" s="91" t="str">
        <f t="shared" si="17"/>
      </c>
      <c r="DM189" s="91" t="str">
        <f t="shared" si="17"/>
      </c>
      <c r="DN189" s="91" t="str">
        <f t="shared" si="17"/>
      </c>
      <c r="DO189" s="91" t="str">
        <f t="shared" si="17"/>
      </c>
      <c r="DP189" s="91" t="str">
        <f t="shared" si="17"/>
      </c>
      <c r="DQ189" s="91" t="str">
        <f t="shared" si="17"/>
      </c>
      <c r="DR189" s="91" t="str">
        <f t="shared" si="17"/>
      </c>
      <c r="DS189" s="91" t="str">
        <f t="shared" si="17"/>
      </c>
      <c r="DT189" s="91" t="str">
        <f t="shared" si="17"/>
      </c>
      <c r="DU189" s="91" t="str">
        <f t="shared" si="17"/>
      </c>
      <c r="DV189" s="91" t="str">
        <f t="shared" si="17"/>
      </c>
      <c r="DW189" s="91" t="str">
        <f t="shared" si="17"/>
      </c>
      <c r="DX189" s="91" t="str">
        <f t="shared" si="17"/>
      </c>
      <c r="DY189" s="91" t="str">
        <f t="shared" si="17"/>
      </c>
      <c r="DZ189" s="91" t="str">
        <f t="shared" si="17"/>
      </c>
      <c r="EA189" s="91" t="str">
        <f t="shared" si="17"/>
      </c>
      <c r="EB189" s="91" t="str">
        <f t="shared" si="17"/>
      </c>
      <c r="EC189" s="91" t="str">
        <f t="shared" si="17"/>
      </c>
      <c r="ED189" s="91" t="str">
        <f t="shared" si="17"/>
      </c>
      <c r="EE189" s="91" t="str">
        <f t="shared" si="17"/>
      </c>
      <c r="EF189" s="91" t="str">
        <f t="shared" si="17"/>
      </c>
      <c r="EG189" s="91" t="str">
        <f t="shared" si="17"/>
      </c>
      <c r="EH189" s="91" t="str">
        <f t="shared" si="17"/>
      </c>
      <c r="EI189" s="91" t="str">
        <f t="shared" si="17"/>
      </c>
      <c r="EJ189" s="91" t="str">
        <f t="shared" si="17"/>
      </c>
      <c r="EK189" s="91" t="str">
        <f t="shared" si="17"/>
      </c>
      <c r="EL189" s="91" t="str">
        <f t="shared" si="17"/>
      </c>
      <c r="EM189" s="91" t="str">
        <f t="shared" si="17"/>
      </c>
      <c r="EN189" s="91" t="str">
        <f t="shared" si="17"/>
      </c>
      <c r="EO189" s="91" t="str">
        <f t="shared" si="17"/>
      </c>
      <c r="EP189" s="91" t="str">
        <f t="shared" si="17"/>
      </c>
      <c r="EQ189" s="91" t="str">
        <f t="shared" si="17"/>
      </c>
      <c r="ER189" s="91" t="str">
        <f t="shared" si="17"/>
      </c>
      <c r="ES189" s="91" t="str">
        <f t="shared" si="17"/>
      </c>
      <c r="ET189" s="91" t="str">
        <f t="shared" si="17"/>
      </c>
      <c r="EU189" s="91" t="str">
        <f t="shared" si="17"/>
      </c>
      <c r="EV189" s="91" t="str">
        <f t="shared" si="17"/>
      </c>
      <c r="EW189" s="91" t="str">
        <f t="shared" si="17"/>
      </c>
      <c r="EX189" s="91" t="str">
        <f t="shared" si="17"/>
      </c>
      <c r="EY189" s="91" t="str">
        <f t="shared" si="17"/>
      </c>
      <c r="EZ189" s="91" t="str">
        <f ref="EZ189:HK189" t="shared" si="18">IF(SUM(EZ170:EZ188)&lt;&gt;0,SUM(EZ170:EZ188),"")</f>
      </c>
      <c r="FA189" s="91" t="str">
        <f t="shared" si="18"/>
      </c>
      <c r="FB189" s="91" t="str">
        <f t="shared" si="18"/>
      </c>
      <c r="FC189" s="91" t="str">
        <f t="shared" si="18"/>
      </c>
      <c r="FD189" s="91" t="str">
        <f t="shared" si="18"/>
      </c>
      <c r="FE189" s="91" t="str">
        <f t="shared" si="18"/>
      </c>
      <c r="FF189" s="91" t="str">
        <f t="shared" si="18"/>
      </c>
      <c r="FG189" s="91" t="str">
        <f t="shared" si="18"/>
      </c>
      <c r="FH189" s="91" t="str">
        <f t="shared" si="18"/>
      </c>
      <c r="FI189" s="91" t="str">
        <f t="shared" si="18"/>
      </c>
      <c r="FJ189" s="91" t="str">
        <f t="shared" si="18"/>
      </c>
      <c r="FK189" s="91" t="str">
        <f t="shared" si="18"/>
      </c>
      <c r="FL189" s="91" t="str">
        <f t="shared" si="18"/>
      </c>
      <c r="FM189" s="91" t="str">
        <f t="shared" si="18"/>
      </c>
      <c r="FN189" s="91" t="str">
        <f t="shared" si="18"/>
      </c>
      <c r="FO189" s="91" t="str">
        <f t="shared" si="18"/>
      </c>
      <c r="FP189" s="91" t="str">
        <f t="shared" si="18"/>
      </c>
      <c r="FQ189" s="91" t="str">
        <f t="shared" si="18"/>
      </c>
      <c r="FR189" s="91" t="str">
        <f t="shared" si="18"/>
      </c>
      <c r="FS189" s="91" t="str">
        <f t="shared" si="18"/>
      </c>
      <c r="FT189" s="91" t="str">
        <f t="shared" si="18"/>
      </c>
      <c r="FU189" s="91" t="str">
        <f t="shared" si="18"/>
      </c>
      <c r="FV189" s="91" t="str">
        <f t="shared" si="18"/>
      </c>
      <c r="FW189" s="91" t="str">
        <f t="shared" si="18"/>
      </c>
      <c r="FX189" s="91" t="str">
        <f t="shared" si="18"/>
      </c>
      <c r="FY189" s="91" t="str">
        <f t="shared" si="18"/>
      </c>
      <c r="FZ189" s="91" t="str">
        <f t="shared" si="18"/>
      </c>
      <c r="GA189" s="91" t="str">
        <f t="shared" si="18"/>
      </c>
      <c r="GB189" s="91" t="str">
        <f t="shared" si="18"/>
      </c>
      <c r="GC189" s="91" t="str">
        <f t="shared" si="18"/>
      </c>
      <c r="GD189" s="91" t="str">
        <f t="shared" si="18"/>
      </c>
      <c r="GE189" s="91" t="str">
        <f t="shared" si="18"/>
      </c>
      <c r="GF189" s="91" t="str">
        <f t="shared" si="18"/>
      </c>
      <c r="GG189" s="91" t="str">
        <f t="shared" si="18"/>
      </c>
      <c r="GH189" s="91" t="str">
        <f t="shared" si="18"/>
      </c>
      <c r="GI189" s="91" t="str">
        <f t="shared" si="18"/>
      </c>
      <c r="GJ189" s="91" t="str">
        <f t="shared" si="18"/>
      </c>
      <c r="GK189" s="91" t="str">
        <f t="shared" si="18"/>
      </c>
      <c r="GL189" s="91" t="str">
        <f t="shared" si="18"/>
      </c>
      <c r="GM189" s="91" t="str">
        <f t="shared" si="18"/>
      </c>
      <c r="GN189" s="91" t="str">
        <f t="shared" si="18"/>
      </c>
      <c r="GO189" s="91" t="str">
        <f t="shared" si="18"/>
      </c>
      <c r="GP189" s="91" t="str">
        <f t="shared" si="18"/>
      </c>
      <c r="GQ189" s="91" t="str">
        <f t="shared" si="18"/>
      </c>
      <c r="GR189" s="91" t="str">
        <f t="shared" si="18"/>
      </c>
      <c r="GS189" s="91" t="str">
        <f t="shared" si="18"/>
      </c>
      <c r="GT189" s="91" t="str">
        <f t="shared" si="18"/>
      </c>
      <c r="GU189" s="91" t="str">
        <f t="shared" si="18"/>
      </c>
      <c r="GV189" s="91" t="str">
        <f t="shared" si="18"/>
      </c>
      <c r="GW189" s="91" t="str">
        <f t="shared" si="18"/>
      </c>
      <c r="GX189" s="91" t="str">
        <f t="shared" si="18"/>
      </c>
      <c r="GY189" s="91" t="str">
        <f t="shared" si="18"/>
      </c>
      <c r="GZ189" s="91" t="str">
        <f t="shared" si="18"/>
      </c>
      <c r="HA189" s="91" t="str">
        <f t="shared" si="18"/>
      </c>
      <c r="HB189" s="91" t="str">
        <f t="shared" si="18"/>
      </c>
      <c r="HC189" s="91" t="str">
        <f t="shared" si="18"/>
      </c>
      <c r="HD189" s="91" t="str">
        <f t="shared" si="18"/>
      </c>
      <c r="HE189" s="91" t="str">
        <f t="shared" si="18"/>
      </c>
      <c r="HF189" s="91" t="str">
        <f t="shared" si="18"/>
      </c>
      <c r="HG189" s="91" t="str">
        <f t="shared" si="18"/>
      </c>
      <c r="HH189" s="91" t="str">
        <f t="shared" si="18"/>
      </c>
      <c r="HI189" s="91" t="str">
        <f t="shared" si="18"/>
      </c>
      <c r="HJ189" s="91" t="str">
        <f t="shared" si="18"/>
      </c>
      <c r="HK189" s="91" t="str">
        <f t="shared" si="18"/>
      </c>
      <c r="HL189" s="91" t="str">
        <f ref="HL189:IU189" t="shared" si="19">IF(SUM(HL170:HL188)&lt;&gt;0,SUM(HL170:HL188),"")</f>
      </c>
      <c r="HM189" s="91" t="str">
        <f t="shared" si="19"/>
      </c>
      <c r="HN189" s="91" t="str">
        <f t="shared" si="19"/>
      </c>
      <c r="HO189" s="91" t="str">
        <f t="shared" si="19"/>
      </c>
      <c r="HP189" s="91" t="str">
        <f t="shared" si="19"/>
      </c>
      <c r="HQ189" s="91" t="str">
        <f t="shared" si="19"/>
      </c>
      <c r="HR189" s="91" t="str">
        <f t="shared" si="19"/>
      </c>
      <c r="HS189" s="91" t="str">
        <f t="shared" si="19"/>
      </c>
      <c r="HT189" s="91" t="str">
        <f t="shared" si="19"/>
      </c>
      <c r="HU189" s="91" t="str">
        <f t="shared" si="19"/>
      </c>
      <c r="HV189" s="91" t="str">
        <f t="shared" si="19"/>
      </c>
      <c r="HW189" s="91" t="str">
        <f t="shared" si="19"/>
      </c>
      <c r="HX189" s="91" t="str">
        <f t="shared" si="19"/>
      </c>
      <c r="HY189" s="91" t="str">
        <f t="shared" si="19"/>
      </c>
      <c r="HZ189" s="91" t="str">
        <f t="shared" si="19"/>
      </c>
      <c r="IA189" s="91" t="str">
        <f t="shared" si="19"/>
      </c>
      <c r="IB189" s="91" t="str">
        <f t="shared" si="19"/>
      </c>
      <c r="IC189" s="91" t="str">
        <f t="shared" si="19"/>
      </c>
      <c r="ID189" s="91" t="str">
        <f t="shared" si="19"/>
      </c>
      <c r="IE189" s="91" t="str">
        <f t="shared" si="19"/>
      </c>
      <c r="IF189" s="91" t="str">
        <f t="shared" si="19"/>
      </c>
      <c r="IG189" s="91" t="str">
        <f t="shared" si="19"/>
      </c>
      <c r="IH189" s="91" t="str">
        <f t="shared" si="19"/>
      </c>
      <c r="II189" s="91" t="str">
        <f t="shared" si="19"/>
      </c>
      <c r="IJ189" s="91" t="str">
        <f t="shared" si="19"/>
      </c>
      <c r="IK189" s="91" t="str">
        <f t="shared" si="19"/>
      </c>
      <c r="IL189" s="91" t="str">
        <f t="shared" si="19"/>
      </c>
      <c r="IM189" s="91" t="str">
        <f t="shared" si="19"/>
      </c>
      <c r="IN189" s="91" t="str">
        <f t="shared" si="19"/>
      </c>
      <c r="IO189" s="91" t="str">
        <f t="shared" si="19"/>
      </c>
      <c r="IP189" s="91" t="str">
        <f t="shared" si="19"/>
      </c>
      <c r="IQ189" s="91" t="str">
        <f t="shared" si="19"/>
      </c>
      <c r="IR189" s="91" t="str">
        <f t="shared" si="19"/>
      </c>
      <c r="IS189" s="91" t="str">
        <f t="shared" si="19"/>
      </c>
      <c r="IT189" s="91" t="str">
        <f t="shared" si="19"/>
      </c>
      <c r="IU189" s="91" t="str">
        <f t="shared" si="19"/>
      </c>
    </row>
    <row r="190" hidden="1" ht="13.5"/>
    <row r="191" hidden="1" ht="13.5" customHeight="1">
      <c r="B191" s="614" t="s">
        <v>324</v>
      </c>
      <c r="C191" s="615"/>
      <c r="D191" s="615"/>
      <c r="E191" s="615"/>
      <c r="F191" s="615"/>
      <c r="G191" s="615"/>
      <c r="H191" s="615"/>
      <c r="I191" s="615"/>
      <c r="J191" s="615"/>
      <c r="K191" s="615"/>
      <c r="L191" s="615"/>
      <c r="M191" s="615"/>
      <c r="N191" s="615"/>
      <c r="O191" s="615"/>
      <c r="P191" s="615"/>
      <c r="Q191" s="615"/>
      <c r="R191" s="615"/>
      <c r="S191" s="615"/>
      <c r="T191" s="615"/>
      <c r="U191" s="615"/>
      <c r="V191" s="615"/>
      <c r="W191" s="615"/>
      <c r="X191" s="615"/>
      <c r="Y191" s="615"/>
      <c r="Z191" s="615"/>
      <c r="AA191" s="616"/>
    </row>
    <row r="192" hidden="1" ht="13.5">
      <c r="B192" s="435" t="str">
        <f> IF(B212&lt;&gt;"",TEXT(AUX!G$1,"dd-MMM-aa"),"")</f>
      </c>
      <c r="C192" s="435" t="str">
        <f> IF(C212&lt;&gt;"",TEXT(AUX!H$1,"dd-MMM-aa"),"")</f>
      </c>
      <c r="D192" s="435" t="str">
        <f> IF(D212&lt;&gt;"",TEXT(AUX!I$1,"dd-MMM-aa"),"")</f>
      </c>
      <c r="E192" s="435" t="str">
        <f> IF(E212&lt;&gt;"",TEXT(AUX!J$1,"dd-MMM-aa"),"")</f>
      </c>
      <c r="F192" s="435" t="str">
        <f> IF(F212&lt;&gt;"",TEXT(AUX!K$1,"dd-MMM-aa"),"")</f>
      </c>
      <c r="G192" s="435" t="str">
        <f> IF(G212&lt;&gt;"",TEXT(AUX!L$1,"dd-MMM-aa"),"")</f>
      </c>
      <c r="H192" s="435" t="str">
        <f> IF(H212&lt;&gt;"",TEXT(AUX!M$1,"dd-MMM-aa"),"")</f>
      </c>
      <c r="I192" s="435" t="str">
        <f> IF(I212&lt;&gt;"",TEXT(AUX!N$1,"dd-MMM-aa"),"")</f>
      </c>
      <c r="J192" s="435" t="str">
        <f> IF(J212&lt;&gt;"",TEXT(AUX!O$1,"dd-MMM-aa"),"")</f>
      </c>
      <c r="K192" s="435" t="str">
        <f> IF(K212&lt;&gt;"",TEXT(AUX!P$1,"dd-MMM-aa"),"")</f>
      </c>
      <c r="L192" s="435" t="str">
        <f> IF(L212&lt;&gt;"",TEXT(AUX!Q$1,"dd-MMM-aa"),"")</f>
      </c>
      <c r="M192" s="435" t="str">
        <f> IF(M212&lt;&gt;"",TEXT(AUX!R$1,"dd-MMM-aa"),"")</f>
      </c>
      <c r="N192" s="435" t="str">
        <f> IF(N212&lt;&gt;"",TEXT(AUX!S$1,"dd-MMM-aa"),"")</f>
      </c>
      <c r="O192" s="435" t="str">
        <f> IF(O212&lt;&gt;"",TEXT(AUX!T$1,"dd-MMM-aa"),"")</f>
      </c>
      <c r="P192" s="435" t="str">
        <f> IF(P212&lt;&gt;"",TEXT(AUX!U$1,"dd-MMM-aa"),"")</f>
      </c>
      <c r="Q192" s="435" t="str">
        <f> IF(Q212&lt;&gt;"",TEXT(AUX!V$1,"dd-MMM-aa"),"")</f>
      </c>
      <c r="R192" s="435" t="str">
        <f> IF(R212&lt;&gt;"",TEXT(AUX!W$1,"dd-MMM-aa"),"")</f>
      </c>
      <c r="S192" s="435" t="str">
        <f> IF(S212&lt;&gt;"",TEXT(AUX!X$1,"dd-MMM-aa"),"")</f>
      </c>
      <c r="T192" s="435" t="str">
        <f> IF(T212&lt;&gt;"",TEXT(AUX!Y$1,"dd-MMM-aa"),"")</f>
      </c>
      <c r="U192" s="435" t="str">
        <f> IF(U212&lt;&gt;"",TEXT(AUX!Z$1,"dd-MMM-aa"),"")</f>
      </c>
      <c r="V192" s="435" t="str">
        <f> IF(V212&lt;&gt;"",TEXT(AUX!AA$1,"dd-MMM-aa"),"")</f>
      </c>
      <c r="W192" s="435" t="str">
        <f> IF(W212&lt;&gt;"",TEXT(AUX!AB$1,"dd-MMM-aa"),"")</f>
      </c>
      <c r="X192" s="435" t="str">
        <f> IF(X212&lt;&gt;"",TEXT(AUX!AC$1,"dd-MMM-aa"),"")</f>
      </c>
      <c r="Y192" s="435" t="str">
        <f> IF(Y212&lt;&gt;"",TEXT(AUX!AD$1,"dd-MMM-aa"),"")</f>
      </c>
      <c r="Z192" s="435" t="str">
        <f> IF(Z212&lt;&gt;"",TEXT(AUX!AE$1,"dd-MMM-aa"),"")</f>
      </c>
      <c r="AA192" s="497" t="str">
        <f> IF(AA212&lt;&gt;"",TEXT(AUX!AF$1,"dd-MMM-aa"),"")</f>
      </c>
      <c r="AB192" s="496" t="str">
        <f> IF(AB212&lt;&gt;"",TEXT(AUX!AG$1,"dd-MMM-aa"),"")</f>
      </c>
      <c r="AC192" s="496" t="str">
        <f> IF(AC212&lt;&gt;"",TEXT(AUX!AH$1,"dd-MMM-aa"),"")</f>
      </c>
      <c r="AD192" s="496" t="str">
        <f> IF(AD212&lt;&gt;"",TEXT(AUX!AI$1,"dd-MMM-aa"),"")</f>
      </c>
      <c r="AE192" s="496" t="str">
        <f> IF(AE212&lt;&gt;"",TEXT(AUX!AJ$1,"dd-MMM-aa"),"")</f>
      </c>
      <c r="AF192" s="496" t="str">
        <f> IF(AF212&lt;&gt;"",TEXT(AUX!AK$1,"dd-MMM-aa"),"")</f>
      </c>
      <c r="AG192" s="496" t="str">
        <f> IF(AG212&lt;&gt;"",TEXT(AUX!AL$1,"dd-MMM-aa"),"")</f>
      </c>
      <c r="AH192" s="496" t="str">
        <f> IF(AH212&lt;&gt;"",TEXT(AUX!AM$1,"dd-MMM-aa"),"")</f>
      </c>
      <c r="AI192" s="496" t="str">
        <f> IF(AI212&lt;&gt;"",TEXT(AUX!AN$1,"dd-MMM-aa"),"")</f>
      </c>
      <c r="AJ192" s="496" t="str">
        <f> IF(AJ212&lt;&gt;"",TEXT(AUX!AO$1,"dd-MMM-aa"),"")</f>
      </c>
      <c r="AK192" s="496" t="str">
        <f> IF(AK212&lt;&gt;"",TEXT(AUX!AP$1,"dd-MMM-aa"),"")</f>
      </c>
      <c r="AL192" s="496" t="str">
        <f> IF(AL212&lt;&gt;"",TEXT(AUX!AQ$1,"dd-MMM-aa"),"")</f>
      </c>
      <c r="AM192" s="496" t="str">
        <f> IF(AM212&lt;&gt;"",TEXT(AUX!AR$1,"dd-MMM-aa"),"")</f>
      </c>
      <c r="AN192" s="496" t="str">
        <f> IF(AN212&lt;&gt;"",TEXT(AUX!AS$1,"dd-MMM-aa"),"")</f>
      </c>
      <c r="AO192" s="496" t="str">
        <f> IF(AO212&lt;&gt;"",TEXT(AUX!AT$1,"dd-MMM-aa"),"")</f>
      </c>
      <c r="AP192" s="496" t="str">
        <f> IF(AP212&lt;&gt;"",TEXT(AUX!AU$1,"dd-MMM-aa"),"")</f>
      </c>
      <c r="AQ192" s="496" t="str">
        <f> IF(AQ212&lt;&gt;"",TEXT(AUX!AV$1,"dd-MMM-aa"),"")</f>
      </c>
      <c r="AR192" s="496" t="str">
        <f> IF(AR212&lt;&gt;"",TEXT(AUX!AW$1,"dd-MMM-aa"),"")</f>
      </c>
      <c r="AS192" s="496" t="str">
        <f> IF(AS212&lt;&gt;"",TEXT(AUX!AX$1,"dd-MMM-aa"),"")</f>
      </c>
      <c r="AT192" s="496" t="str">
        <f> IF(AT212&lt;&gt;"",TEXT(AUX!AY$1,"dd-MMM-aa"),"")</f>
      </c>
      <c r="AU192" s="496" t="str">
        <f> IF(AU212&lt;&gt;"",TEXT(AUX!AZ$1,"dd-MMM-aa"),"")</f>
      </c>
      <c r="AV192" s="496" t="str">
        <f> IF(AV212&lt;&gt;"",TEXT(AUX!BA$1,"dd-MMM-aa"),"")</f>
      </c>
      <c r="AW192" s="496" t="str">
        <f> IF(AW212&lt;&gt;"",TEXT(AUX!BB$1,"dd-MMM-aa"),"")</f>
      </c>
      <c r="AX192" s="496" t="str">
        <f> IF(AX212&lt;&gt;"",TEXT(AUX!BC$1,"dd-MMM-aa"),"")</f>
      </c>
      <c r="AY192" s="496" t="str">
        <f> IF(AY212&lt;&gt;"",TEXT(AUX!BD$1,"dd-MMM-aa"),"")</f>
      </c>
      <c r="AZ192" s="496" t="str">
        <f> IF(AZ212&lt;&gt;"",TEXT(AUX!BE$1,"dd-MMM-aa"),"")</f>
      </c>
      <c r="BA192" s="496" t="str">
        <f> IF(BA212&lt;&gt;"",TEXT(AUX!BF$1,"dd-MMM-aa"),"")</f>
      </c>
      <c r="BB192" s="496" t="str">
        <f> IF(BB212&lt;&gt;"",TEXT(AUX!BG$1,"dd-MMM-aa"),"")</f>
      </c>
      <c r="BC192" s="496" t="str">
        <f> IF(BC212&lt;&gt;"",TEXT(AUX!BH$1,"dd-MMM-aa"),"")</f>
      </c>
      <c r="BD192" s="496" t="str">
        <f> IF(BD212&lt;&gt;"",TEXT(AUX!BI$1,"dd-MMM-aa"),"")</f>
      </c>
      <c r="BE192" s="496" t="str">
        <f> IF(BE212&lt;&gt;"",TEXT(AUX!BJ$1,"dd-MMM-aa"),"")</f>
      </c>
      <c r="BF192" s="496" t="str">
        <f> IF(BF212&lt;&gt;"",TEXT(AUX!BK$1,"dd-MMM-aa"),"")</f>
      </c>
      <c r="BG192" s="496" t="str">
        <f> IF(BG212&lt;&gt;"",TEXT(AUX!BL$1,"dd-MMM-aa"),"")</f>
      </c>
      <c r="BH192" s="496" t="str">
        <f> IF(BH212&lt;&gt;"",TEXT(AUX!BM$1,"dd-MMM-aa"),"")</f>
      </c>
      <c r="BI192" s="496" t="str">
        <f> IF(BI212&lt;&gt;"",TEXT(AUX!BN$1,"dd-MMM-aa"),"")</f>
      </c>
      <c r="BJ192" s="496" t="str">
        <f> IF(BJ212&lt;&gt;"",TEXT(AUX!BO$1,"dd-MMM-aa"),"")</f>
      </c>
      <c r="BK192" s="496" t="str">
        <f> IF(BK212&lt;&gt;"",TEXT(AUX!BP$1,"dd-MMM-aa"),"")</f>
      </c>
      <c r="BL192" s="496" t="str">
        <f> IF(BL212&lt;&gt;"",TEXT(AUX!BQ$1,"dd-MMM-aa"),"")</f>
      </c>
      <c r="BM192" s="496" t="str">
        <f> IF(BM212&lt;&gt;"",TEXT(AUX!BR$1,"dd-MMM-aa"),"")</f>
      </c>
      <c r="BN192" s="496" t="str">
        <f> IF(BN212&lt;&gt;"",TEXT(AUX!BS$1,"dd-MMM-aa"),"")</f>
      </c>
      <c r="BO192" s="496" t="str">
        <f> IF(BO212&lt;&gt;"",TEXT(AUX!BT$1,"dd-MMM-aa"),"")</f>
      </c>
      <c r="BP192" s="496" t="str">
        <f> IF(BP212&lt;&gt;"",TEXT(AUX!BU$1,"dd-MMM-aa"),"")</f>
      </c>
      <c r="BQ192" s="496" t="str">
        <f> IF(BQ212&lt;&gt;"",TEXT(AUX!BV$1,"dd-MMM-aa"),"")</f>
      </c>
      <c r="BR192" s="496" t="str">
        <f> IF(BR212&lt;&gt;"",TEXT(AUX!BW$1,"dd-MMM-aa"),"")</f>
      </c>
      <c r="BS192" s="496" t="str">
        <f> IF(BS212&lt;&gt;"",TEXT(AUX!BX$1,"dd-MMM-aa"),"")</f>
      </c>
      <c r="BT192" s="496" t="str">
        <f> IF(BT212&lt;&gt;"",TEXT(AUX!BY$1,"dd-MMM-aa"),"")</f>
      </c>
      <c r="BU192" s="496" t="str">
        <f> IF(BU212&lt;&gt;"",TEXT(AUX!BZ$1,"dd-MMM-aa"),"")</f>
      </c>
      <c r="BV192" s="496" t="str">
        <f> IF(BV212&lt;&gt;"",TEXT(AUX!CA$1,"dd-MMM-aa"),"")</f>
      </c>
      <c r="BW192" s="496" t="str">
        <f> IF(BW212&lt;&gt;"",TEXT(AUX!CB$1,"dd-MMM-aa"),"")</f>
      </c>
      <c r="BX192" s="496" t="str">
        <f> IF(BX212&lt;&gt;"",TEXT(AUX!CC$1,"dd-MMM-aa"),"")</f>
      </c>
      <c r="BY192" s="496" t="str">
        <f> IF(BY212&lt;&gt;"",TEXT(AUX!CD$1,"dd-MMM-aa"),"")</f>
      </c>
      <c r="BZ192" s="496" t="str">
        <f> IF(BZ212&lt;&gt;"",TEXT(AUX!CE$1,"dd-MMM-aa"),"")</f>
      </c>
      <c r="CA192" s="496" t="str">
        <f> IF(CA212&lt;&gt;"",TEXT(AUX!CF$1,"dd-MMM-aa"),"")</f>
      </c>
      <c r="CB192" s="496" t="str">
        <f> IF(CB212&lt;&gt;"",TEXT(AUX!CG$1,"dd-MMM-aa"),"")</f>
      </c>
      <c r="CC192" s="496" t="str">
        <f> IF(CC212&lt;&gt;"",TEXT(AUX!CH$1,"dd-MMM-aa"),"")</f>
      </c>
      <c r="CD192" s="496" t="str">
        <f> IF(CD212&lt;&gt;"",TEXT(AUX!CI$1,"dd-MMM-aa"),"")</f>
      </c>
      <c r="CE192" s="496" t="str">
        <f> IF(CE212&lt;&gt;"",TEXT(AUX!CJ$1,"dd-MMM-aa"),"")</f>
      </c>
      <c r="CF192" s="496" t="str">
        <f> IF(CF212&lt;&gt;"",TEXT(AUX!CK$1,"dd-MMM-aa"),"")</f>
      </c>
      <c r="CG192" s="496" t="str">
        <f> IF(CG212&lt;&gt;"",TEXT(AUX!CL$1,"dd-MMM-aa"),"")</f>
      </c>
      <c r="CH192" s="496" t="str">
        <f> IF(CH212&lt;&gt;"",TEXT(AUX!CM$1,"dd-MMM-aa"),"")</f>
      </c>
      <c r="CI192" s="496" t="str">
        <f> IF(CI212&lt;&gt;"",TEXT(AUX!CN$1,"dd-MMM-aa"),"")</f>
      </c>
      <c r="CJ192" s="496" t="str">
        <f> IF(CJ212&lt;&gt;"",TEXT(AUX!CO$1,"dd-MMM-aa"),"")</f>
      </c>
      <c r="CK192" s="496" t="str">
        <f> IF(CK212&lt;&gt;"",TEXT(AUX!CP$1,"dd-MMM-aa"),"")</f>
      </c>
      <c r="CL192" s="496" t="str">
        <f> IF(CL212&lt;&gt;"",TEXT(AUX!CQ$1,"dd-MMM-aa"),"")</f>
      </c>
      <c r="CM192" s="496" t="str">
        <f> IF(CM212&lt;&gt;"",TEXT(AUX!CR$1,"dd-MMM-aa"),"")</f>
      </c>
      <c r="CN192" s="496" t="str">
        <f> IF(CN212&lt;&gt;"",TEXT(AUX!CS$1,"dd-MMM-aa"),"")</f>
      </c>
      <c r="CO192" s="496" t="str">
        <f> IF(CO212&lt;&gt;"",TEXT(AUX!CT$1,"dd-MMM-aa"),"")</f>
      </c>
      <c r="CP192" s="496" t="str">
        <f> IF(CP212&lt;&gt;"",TEXT(AUX!CU$1,"dd-MMM-aa"),"")</f>
      </c>
      <c r="CQ192" s="496" t="str">
        <f> IF(CQ212&lt;&gt;"",TEXT(AUX!CV$1,"dd-MMM-aa"),"")</f>
      </c>
      <c r="CR192" s="496" t="str">
        <f> IF(CR212&lt;&gt;"",TEXT(AUX!CW$1,"dd-MMM-aa"),"")</f>
      </c>
      <c r="CS192" s="496" t="str">
        <f> IF(CS212&lt;&gt;"",TEXT(AUX!CX$1,"dd-MMM-aa"),"")</f>
      </c>
      <c r="CT192" s="496" t="str">
        <f> IF(CT212&lt;&gt;"",TEXT(AUX!CY$1,"dd-MMM-aa"),"")</f>
      </c>
      <c r="CU192" s="496" t="str">
        <f> IF(CU212&lt;&gt;"",TEXT(AUX!CZ$1,"dd-MMM-aa"),"")</f>
      </c>
      <c r="CV192" s="496" t="str">
        <f> IF(CV212&lt;&gt;"",TEXT(AUX!DA$1,"dd-MMM-aa"),"")</f>
      </c>
      <c r="CW192" s="496" t="str">
        <f> IF(CW212&lt;&gt;"",TEXT(AUX!DB$1,"dd-MMM-aa"),"")</f>
      </c>
      <c r="CX192" s="496" t="str">
        <f> IF(CX212&lt;&gt;"",TEXT(AUX!DC$1,"dd-MMM-aa"),"")</f>
      </c>
      <c r="CY192" s="496" t="str">
        <f> IF(CY212&lt;&gt;"",TEXT(AUX!DD$1,"dd-MMM-aa"),"")</f>
      </c>
      <c r="CZ192" s="496" t="str">
        <f> IF(CZ212&lt;&gt;"",TEXT(AUX!DE$1,"dd-MMM-aa"),"")</f>
      </c>
      <c r="DA192" s="496" t="str">
        <f> IF(DA212&lt;&gt;"",TEXT(AUX!DF$1,"dd-MMM-aa"),"")</f>
      </c>
      <c r="DB192" s="496" t="str">
        <f> IF(DB212&lt;&gt;"",TEXT(AUX!DG$1,"dd-MMM-aa"),"")</f>
      </c>
      <c r="DC192" s="496" t="str">
        <f> IF(DC212&lt;&gt;"",TEXT(AUX!DH$1,"dd-MMM-aa"),"")</f>
      </c>
      <c r="DD192" s="496" t="str">
        <f> IF(DD212&lt;&gt;"",TEXT(AUX!DI$1,"dd-MMM-aa"),"")</f>
      </c>
      <c r="DE192" s="496" t="str">
        <f> IF(DE212&lt;&gt;"",TEXT(AUX!DJ$1,"dd-MMM-aa"),"")</f>
      </c>
      <c r="DF192" s="496" t="str">
        <f> IF(DF212&lt;&gt;"",TEXT(AUX!DK$1,"dd-MMM-aa"),"")</f>
      </c>
      <c r="DG192" s="496" t="str">
        <f> IF(DG212&lt;&gt;"",TEXT(AUX!DL$1,"dd-MMM-aa"),"")</f>
      </c>
      <c r="DH192" s="496" t="str">
        <f> IF(DH212&lt;&gt;"",TEXT(AUX!DM$1,"dd-MMM-aa"),"")</f>
      </c>
      <c r="DI192" s="496" t="str">
        <f> IF(DI212&lt;&gt;"",TEXT(AUX!DN$1,"dd-MMM-aa"),"")</f>
      </c>
      <c r="DJ192" s="496" t="str">
        <f> IF(DJ212&lt;&gt;"",TEXT(AUX!DO$1,"dd-MMM-aa"),"")</f>
      </c>
      <c r="DK192" s="496" t="str">
        <f> IF(DK212&lt;&gt;"",TEXT(AUX!DP$1,"dd-MMM-aa"),"")</f>
      </c>
      <c r="DL192" s="496" t="str">
        <f> IF(DL212&lt;&gt;"",TEXT(AUX!DQ$1,"dd-MMM-aa"),"")</f>
      </c>
      <c r="DM192" s="496" t="str">
        <f> IF(DM212&lt;&gt;"",TEXT(AUX!DR$1,"dd-MMM-aa"),"")</f>
      </c>
      <c r="DN192" s="496" t="str">
        <f> IF(DN212&lt;&gt;"",TEXT(AUX!DS$1,"dd-MMM-aa"),"")</f>
      </c>
      <c r="DO192" s="496" t="str">
        <f> IF(DO212&lt;&gt;"",TEXT(AUX!DT$1,"dd-MMM-aa"),"")</f>
      </c>
      <c r="DP192" s="496" t="str">
        <f> IF(DP212&lt;&gt;"",TEXT(AUX!DU$1,"dd-MMM-aa"),"")</f>
      </c>
      <c r="DQ192" s="496" t="str">
        <f> IF(DQ212&lt;&gt;"",TEXT(AUX!DV$1,"dd-MMM-aa"),"")</f>
      </c>
      <c r="DR192" s="496" t="str">
        <f> IF(DR212&lt;&gt;"",TEXT(AUX!DW$1,"dd-MMM-aa"),"")</f>
      </c>
      <c r="DS192" s="496" t="str">
        <f> IF(DS212&lt;&gt;"",TEXT(AUX!DX$1,"dd-MMM-aa"),"")</f>
      </c>
      <c r="DT192" s="496" t="str">
        <f> IF(DT212&lt;&gt;"",TEXT(AUX!DY$1,"dd-MMM-aa"),"")</f>
      </c>
      <c r="DU192" s="496" t="str">
        <f> IF(DU212&lt;&gt;"",TEXT(AUX!DZ$1,"dd-MMM-aa"),"")</f>
      </c>
      <c r="DV192" s="496" t="str">
        <f> IF(DV212&lt;&gt;"",TEXT(AUX!EA$1,"dd-MMM-aa"),"")</f>
      </c>
      <c r="DW192" s="496" t="str">
        <f> IF(DW212&lt;&gt;"",TEXT(AUX!EB$1,"dd-MMM-aa"),"")</f>
      </c>
      <c r="DX192" s="496" t="str">
        <f> IF(DX212&lt;&gt;"",TEXT(AUX!EC$1,"dd-MMM-aa"),"")</f>
      </c>
      <c r="DY192" s="496" t="str">
        <f> IF(DY212&lt;&gt;"",TEXT(AUX!ED$1,"dd-MMM-aa"),"")</f>
      </c>
      <c r="DZ192" s="496" t="str">
        <f> IF(DZ212&lt;&gt;"",TEXT(AUX!EE$1,"dd-MMM-aa"),"")</f>
      </c>
      <c r="EA192" s="496" t="str">
        <f> IF(EA212&lt;&gt;"",TEXT(AUX!EF$1,"dd-MMM-aa"),"")</f>
      </c>
      <c r="EB192" s="496" t="str">
        <f> IF(EB212&lt;&gt;"",TEXT(AUX!EG$1,"dd-MMM-aa"),"")</f>
      </c>
      <c r="EC192" s="496" t="str">
        <f> IF(EC212&lt;&gt;"",TEXT(AUX!EH$1,"dd-MMM-aa"),"")</f>
      </c>
      <c r="ED192" s="496" t="str">
        <f> IF(ED212&lt;&gt;"",TEXT(AUX!EI$1,"dd-MMM-aa"),"")</f>
      </c>
      <c r="EE192" s="496" t="str">
        <f> IF(EE212&lt;&gt;"",TEXT(AUX!EJ$1,"dd-MMM-aa"),"")</f>
      </c>
      <c r="EF192" s="496" t="str">
        <f> IF(EF212&lt;&gt;"",TEXT(AUX!EK$1,"dd-MMM-aa"),"")</f>
      </c>
      <c r="EG192" s="496" t="str">
        <f> IF(EG212&lt;&gt;"",TEXT(AUX!EL$1,"dd-MMM-aa"),"")</f>
      </c>
      <c r="EH192" s="496" t="str">
        <f> IF(EH212&lt;&gt;"",TEXT(AUX!EM$1,"dd-MMM-aa"),"")</f>
      </c>
      <c r="EI192" s="496" t="str">
        <f> IF(EI212&lt;&gt;"",TEXT(AUX!EN$1,"dd-MMM-aa"),"")</f>
      </c>
      <c r="EJ192" s="496" t="str">
        <f> IF(EJ212&lt;&gt;"",TEXT(AUX!EO$1,"dd-MMM-aa"),"")</f>
      </c>
      <c r="EK192" s="496" t="str">
        <f> IF(EK212&lt;&gt;"",TEXT(AUX!EP$1,"dd-MMM-aa"),"")</f>
      </c>
      <c r="EL192" s="496" t="str">
        <f> IF(EL212&lt;&gt;"",TEXT(AUX!EQ$1,"dd-MMM-aa"),"")</f>
      </c>
      <c r="EM192" s="496" t="str">
        <f> IF(EM212&lt;&gt;"",TEXT(AUX!ER$1,"dd-MMM-aa"),"")</f>
      </c>
      <c r="EN192" s="496" t="str">
        <f> IF(EN212&lt;&gt;"",TEXT(AUX!ES$1,"dd-MMM-aa"),"")</f>
      </c>
      <c r="EO192" s="496" t="str">
        <f> IF(EO212&lt;&gt;"",TEXT(AUX!ET$1,"dd-MMM-aa"),"")</f>
      </c>
      <c r="EP192" s="496" t="str">
        <f> IF(EP212&lt;&gt;"",TEXT(AUX!EU$1,"dd-MMM-aa"),"")</f>
      </c>
      <c r="EQ192" s="496" t="str">
        <f> IF(EQ212&lt;&gt;"",TEXT(AUX!EV$1,"dd-MMM-aa"),"")</f>
      </c>
      <c r="ER192" s="496" t="str">
        <f> IF(ER212&lt;&gt;"",TEXT(AUX!EW$1,"dd-MMM-aa"),"")</f>
      </c>
      <c r="ES192" s="496" t="str">
        <f> IF(ES212&lt;&gt;"",TEXT(AUX!EX$1,"dd-MMM-aa"),"")</f>
      </c>
      <c r="ET192" s="496" t="str">
        <f> IF(ET212&lt;&gt;"",TEXT(AUX!EY$1,"dd-MMM-aa"),"")</f>
      </c>
      <c r="EU192" s="496" t="str">
        <f> IF(EU212&lt;&gt;"",TEXT(AUX!EZ$1,"dd-MMM-aa"),"")</f>
      </c>
      <c r="EV192" s="496" t="str">
        <f> IF(EV212&lt;&gt;"",TEXT(AUX!FA$1,"dd-MMM-aa"),"")</f>
      </c>
      <c r="EW192" s="496" t="str">
        <f> IF(EW212&lt;&gt;"",TEXT(AUX!FB$1,"dd-MMM-aa"),"")</f>
      </c>
      <c r="EX192" s="496" t="str">
        <f> IF(EX212&lt;&gt;"",TEXT(AUX!FC$1,"dd-MMM-aa"),"")</f>
      </c>
      <c r="EY192" s="496" t="str">
        <f> IF(EY212&lt;&gt;"",TEXT(AUX!FD$1,"dd-MMM-aa"),"")</f>
      </c>
      <c r="EZ192" s="496" t="str">
        <f> IF(EZ212&lt;&gt;"",TEXT(AUX!FE$1,"dd-MMM-aa"),"")</f>
      </c>
      <c r="FA192" s="496" t="str">
        <f> IF(FA212&lt;&gt;"",TEXT(AUX!FF$1,"dd-MMM-aa"),"")</f>
      </c>
      <c r="FB192" s="496" t="str">
        <f> IF(FB212&lt;&gt;"",TEXT(AUX!FG$1,"dd-MMM-aa"),"")</f>
      </c>
      <c r="FC192" s="496" t="str">
        <f> IF(FC212&lt;&gt;"",TEXT(AUX!FH$1,"dd-MMM-aa"),"")</f>
      </c>
      <c r="FD192" s="496" t="str">
        <f> IF(FD212&lt;&gt;"",TEXT(AUX!FI$1,"dd-MMM-aa"),"")</f>
      </c>
      <c r="FE192" s="496" t="str">
        <f> IF(FE212&lt;&gt;"",TEXT(AUX!FJ$1,"dd-MMM-aa"),"")</f>
      </c>
      <c r="FF192" s="496" t="str">
        <f> IF(FF212&lt;&gt;"",TEXT(AUX!FK$1,"dd-MMM-aa"),"")</f>
      </c>
      <c r="FG192" s="496" t="str">
        <f> IF(FG212&lt;&gt;"",TEXT(AUX!FL$1,"dd-MMM-aa"),"")</f>
      </c>
      <c r="FH192" s="496" t="str">
        <f> IF(FH212&lt;&gt;"",TEXT(AUX!FM$1,"dd-MMM-aa"),"")</f>
      </c>
      <c r="FI192" s="496" t="str">
        <f> IF(FI212&lt;&gt;"",TEXT(AUX!FN$1,"dd-MMM-aa"),"")</f>
      </c>
      <c r="FJ192" s="496" t="str">
        <f> IF(FJ212&lt;&gt;"",TEXT(AUX!FO$1,"dd-MMM-aa"),"")</f>
      </c>
      <c r="FK192" s="496" t="str">
        <f> IF(FK212&lt;&gt;"",TEXT(AUX!FP$1,"dd-MMM-aa"),"")</f>
      </c>
      <c r="FL192" s="496" t="str">
        <f> IF(FL212&lt;&gt;"",TEXT(AUX!FQ$1,"dd-MMM-aa"),"")</f>
      </c>
      <c r="FM192" s="496" t="str">
        <f> IF(FM212&lt;&gt;"",TEXT(AUX!FR$1,"dd-MMM-aa"),"")</f>
      </c>
      <c r="FN192" s="496" t="str">
        <f> IF(FN212&lt;&gt;"",TEXT(AUX!FS$1,"dd-MMM-aa"),"")</f>
      </c>
      <c r="FO192" s="496" t="str">
        <f> IF(FO212&lt;&gt;"",TEXT(AUX!FT$1,"dd-MMM-aa"),"")</f>
      </c>
      <c r="FP192" s="496" t="str">
        <f> IF(FP212&lt;&gt;"",TEXT(AUX!FU$1,"dd-MMM-aa"),"")</f>
      </c>
      <c r="FQ192" s="496" t="str">
        <f> IF(FQ212&lt;&gt;"",TEXT(AUX!FV$1,"dd-MMM-aa"),"")</f>
      </c>
      <c r="FR192" s="496" t="str">
        <f> IF(FR212&lt;&gt;"",TEXT(AUX!FW$1,"dd-MMM-aa"),"")</f>
      </c>
      <c r="FS192" s="496" t="str">
        <f> IF(FS212&lt;&gt;"",TEXT(AUX!FX$1,"dd-MMM-aa"),"")</f>
      </c>
      <c r="FT192" s="496" t="str">
        <f> IF(FT212&lt;&gt;"",TEXT(AUX!FY$1,"dd-MMM-aa"),"")</f>
      </c>
      <c r="FU192" s="496" t="str">
        <f> IF(FU212&lt;&gt;"",TEXT(AUX!FZ$1,"dd-MMM-aa"),"")</f>
      </c>
      <c r="FV192" s="496" t="str">
        <f> IF(FV212&lt;&gt;"",TEXT(AUX!GA$1,"dd-MMM-aa"),"")</f>
      </c>
      <c r="FW192" s="496" t="str">
        <f> IF(FW212&lt;&gt;"",TEXT(AUX!GB$1,"dd-MMM-aa"),"")</f>
      </c>
      <c r="FX192" s="496" t="str">
        <f> IF(FX212&lt;&gt;"",TEXT(AUX!GC$1,"dd-MMM-aa"),"")</f>
      </c>
      <c r="FY192" s="496" t="str">
        <f> IF(FY212&lt;&gt;"",TEXT(AUX!GD$1,"dd-MMM-aa"),"")</f>
      </c>
      <c r="FZ192" s="496" t="str">
        <f> IF(FZ212&lt;&gt;"",TEXT(AUX!GE$1,"dd-MMM-aa"),"")</f>
      </c>
      <c r="GA192" s="496" t="str">
        <f> IF(GA212&lt;&gt;"",TEXT(AUX!GF$1,"dd-MMM-aa"),"")</f>
      </c>
      <c r="GB192" s="496" t="str">
        <f> IF(GB212&lt;&gt;"",TEXT(AUX!GG$1,"dd-MMM-aa"),"")</f>
      </c>
      <c r="GC192" s="496" t="str">
        <f> IF(GC212&lt;&gt;"",TEXT(AUX!GH$1,"dd-MMM-aa"),"")</f>
      </c>
      <c r="GD192" s="496" t="str">
        <f> IF(GD212&lt;&gt;"",TEXT(AUX!GI$1,"dd-MMM-aa"),"")</f>
      </c>
      <c r="GE192" s="496" t="str">
        <f> IF(GE212&lt;&gt;"",TEXT(AUX!GJ$1,"dd-MMM-aa"),"")</f>
      </c>
      <c r="GF192" s="496" t="str">
        <f> IF(GF212&lt;&gt;"",TEXT(AUX!GK$1,"dd-MMM-aa"),"")</f>
      </c>
      <c r="GG192" s="496" t="str">
        <f> IF(GG212&lt;&gt;"",TEXT(AUX!GL$1,"dd-MMM-aa"),"")</f>
      </c>
      <c r="GH192" s="496" t="str">
        <f> IF(GH212&lt;&gt;"",TEXT(AUX!GM$1,"dd-MMM-aa"),"")</f>
      </c>
      <c r="GI192" s="496" t="str">
        <f> IF(GI212&lt;&gt;"",TEXT(AUX!GN$1,"dd-MMM-aa"),"")</f>
      </c>
      <c r="GJ192" s="496" t="str">
        <f> IF(GJ212&lt;&gt;"",TEXT(AUX!GO$1,"dd-MMM-aa"),"")</f>
      </c>
      <c r="GK192" s="496" t="str">
        <f> IF(GK212&lt;&gt;"",TEXT(AUX!GP$1,"dd-MMM-aa"),"")</f>
      </c>
      <c r="GL192" s="496" t="str">
        <f> IF(GL212&lt;&gt;"",TEXT(AUX!GQ$1,"dd-MMM-aa"),"")</f>
      </c>
      <c r="GM192" s="496" t="str">
        <f> IF(GM212&lt;&gt;"",TEXT(AUX!GR$1,"dd-MMM-aa"),"")</f>
      </c>
      <c r="GN192" s="496" t="str">
        <f> IF(GN212&lt;&gt;"",TEXT(AUX!GS$1,"dd-MMM-aa"),"")</f>
      </c>
      <c r="GO192" s="496" t="str">
        <f> IF(GO212&lt;&gt;"",TEXT(AUX!GT$1,"dd-MMM-aa"),"")</f>
      </c>
      <c r="GP192" s="496" t="str">
        <f> IF(GP212&lt;&gt;"",TEXT(AUX!GU$1,"dd-MMM-aa"),"")</f>
      </c>
      <c r="GQ192" s="496" t="str">
        <f> IF(GQ212&lt;&gt;"",TEXT(AUX!GV$1,"dd-MMM-aa"),"")</f>
      </c>
      <c r="GR192" s="496" t="str">
        <f> IF(GR212&lt;&gt;"",TEXT(AUX!GW$1,"dd-MMM-aa"),"")</f>
      </c>
      <c r="GS192" s="496" t="str">
        <f> IF(GS212&lt;&gt;"",TEXT(AUX!GX$1,"dd-MMM-aa"),"")</f>
      </c>
      <c r="GT192" s="496" t="str">
        <f> IF(GT212&lt;&gt;"",TEXT(AUX!GY$1,"dd-MMM-aa"),"")</f>
      </c>
      <c r="GU192" s="496" t="str">
        <f> IF(GU212&lt;&gt;"",TEXT(AUX!GZ$1,"dd-MMM-aa"),"")</f>
      </c>
      <c r="GV192" s="496" t="str">
        <f> IF(GV212&lt;&gt;"",TEXT(AUX!HA$1,"dd-MMM-aa"),"")</f>
      </c>
      <c r="GW192" s="496" t="str">
        <f> IF(GW212&lt;&gt;"",TEXT(AUX!HB$1,"dd-MMM-aa"),"")</f>
      </c>
      <c r="GX192" s="496" t="str">
        <f> IF(GX212&lt;&gt;"",TEXT(AUX!HC$1,"dd-MMM-aa"),"")</f>
      </c>
      <c r="GY192" s="496" t="str">
        <f> IF(GY212&lt;&gt;"",TEXT(AUX!HD$1,"dd-MMM-aa"),"")</f>
      </c>
      <c r="GZ192" s="496" t="str">
        <f> IF(GZ212&lt;&gt;"",TEXT(AUX!HE$1,"dd-MMM-aa"),"")</f>
      </c>
      <c r="HA192" s="496" t="str">
        <f> IF(HA212&lt;&gt;"",TEXT(AUX!HF$1,"dd-MMM-aa"),"")</f>
      </c>
      <c r="HB192" s="496" t="str">
        <f> IF(HB212&lt;&gt;"",TEXT(AUX!HG$1,"dd-MMM-aa"),"")</f>
      </c>
      <c r="HC192" s="496" t="str">
        <f> IF(HC212&lt;&gt;"",TEXT(AUX!HH$1,"dd-MMM-aa"),"")</f>
      </c>
      <c r="HD192" s="496" t="str">
        <f> IF(HD212&lt;&gt;"",TEXT(AUX!HI$1,"dd-MMM-aa"),"")</f>
      </c>
      <c r="HE192" s="496" t="str">
        <f> IF(HE212&lt;&gt;"",TEXT(AUX!HJ$1,"dd-MMM-aa"),"")</f>
      </c>
      <c r="HF192" s="496" t="str">
        <f> IF(HF212&lt;&gt;"",TEXT(AUX!HK$1,"dd-MMM-aa"),"")</f>
      </c>
      <c r="HG192" s="496" t="str">
        <f> IF(HG212&lt;&gt;"",TEXT(AUX!HL$1,"dd-MMM-aa"),"")</f>
      </c>
      <c r="HH192" s="496" t="str">
        <f> IF(HH212&lt;&gt;"",TEXT(AUX!HM$1,"dd-MMM-aa"),"")</f>
      </c>
      <c r="HI192" s="496" t="str">
        <f> IF(HI212&lt;&gt;"",TEXT(AUX!HN$1,"dd-MMM-aa"),"")</f>
      </c>
      <c r="HJ192" s="496" t="str">
        <f> IF(HJ212&lt;&gt;"",TEXT(AUX!HO$1,"dd-MMM-aa"),"")</f>
      </c>
      <c r="HK192" s="496" t="str">
        <f> IF(HK212&lt;&gt;"",TEXT(AUX!HP$1,"dd-MMM-aa"),"")</f>
      </c>
      <c r="HL192" s="496" t="str">
        <f> IF(HL212&lt;&gt;"",TEXT(AUX!HQ$1,"dd-MMM-aa"),"")</f>
      </c>
      <c r="HM192" s="496" t="str">
        <f> IF(HM212&lt;&gt;"",TEXT(AUX!HR$1,"dd-MMM-aa"),"")</f>
      </c>
      <c r="HN192" s="496" t="str">
        <f> IF(HN212&lt;&gt;"",TEXT(AUX!HS$1,"dd-MMM-aa"),"")</f>
      </c>
      <c r="HO192" s="496" t="str">
        <f> IF(HO212&lt;&gt;"",TEXT(AUX!HT$1,"dd-MMM-aa"),"")</f>
      </c>
      <c r="HP192" s="496" t="str">
        <f> IF(HP212&lt;&gt;"",TEXT(AUX!HU$1,"dd-MMM-aa"),"")</f>
      </c>
      <c r="HQ192" s="496" t="str">
        <f> IF(HQ212&lt;&gt;"",TEXT(AUX!HV$1,"dd-MMM-aa"),"")</f>
      </c>
      <c r="HR192" s="496" t="str">
        <f> IF(HR212&lt;&gt;"",TEXT(AUX!HW$1,"dd-MMM-aa"),"")</f>
      </c>
      <c r="HS192" s="496" t="str">
        <f> IF(HS212&lt;&gt;"",TEXT(AUX!HX$1,"dd-MMM-aa"),"")</f>
      </c>
      <c r="HT192" s="496" t="str">
        <f> IF(HT212&lt;&gt;"",TEXT(AUX!HY$1,"dd-MMM-aa"),"")</f>
      </c>
      <c r="HU192" s="496" t="str">
        <f> IF(HU212&lt;&gt;"",TEXT(AUX!HZ$1,"dd-MMM-aa"),"")</f>
      </c>
      <c r="HV192" s="496" t="str">
        <f> IF(HV212&lt;&gt;"",TEXT(AUX!IA$1,"dd-MMM-aa"),"")</f>
      </c>
      <c r="HW192" s="496" t="str">
        <f> IF(HW212&lt;&gt;"",TEXT(AUX!IB$1,"dd-MMM-aa"),"")</f>
      </c>
      <c r="HX192" s="496" t="str">
        <f> IF(HX212&lt;&gt;"",TEXT(AUX!IC$1,"dd-MMM-aa"),"")</f>
      </c>
      <c r="HY192" s="496" t="str">
        <f> IF(HY212&lt;&gt;"",TEXT(AUX!ID$1,"dd-MMM-aa"),"")</f>
      </c>
      <c r="HZ192" s="496" t="str">
        <f> IF(HZ212&lt;&gt;"",TEXT(AUX!IE$1,"dd-MMM-aa"),"")</f>
      </c>
      <c r="IA192" s="496" t="str">
        <f> IF(IA212&lt;&gt;"",TEXT(AUX!IF$1,"dd-MMM-aa"),"")</f>
      </c>
      <c r="IB192" s="496" t="str">
        <f> IF(IB212&lt;&gt;"",TEXT(AUX!IG$1,"dd-MMM-aa"),"")</f>
      </c>
      <c r="IC192" s="496" t="str">
        <f> IF(IC212&lt;&gt;"",TEXT(AUX!IH$1,"dd-MMM-aa"),"")</f>
      </c>
      <c r="ID192" s="496" t="str">
        <f> IF(ID212&lt;&gt;"",TEXT(AUX!II$1,"dd-MMM-aa"),"")</f>
      </c>
      <c r="IE192" s="496" t="str">
        <f> IF(IE212&lt;&gt;"",TEXT(AUX!IJ$1,"dd-MMM-aa"),"")</f>
      </c>
      <c r="IF192" s="496" t="str">
        <f> IF(IF212&lt;&gt;"",TEXT(AUX!IK$1,"dd-MMM-aa"),"")</f>
      </c>
      <c r="IG192" s="496" t="str">
        <f> IF(IG212&lt;&gt;"",TEXT(AUX!IL$1,"dd-MMM-aa"),"")</f>
      </c>
      <c r="IH192" s="496" t="str">
        <f> IF(IH212&lt;&gt;"",TEXT(AUX!IM$1,"dd-MMM-aa"),"")</f>
      </c>
      <c r="II192" s="496" t="str">
        <f> IF(II212&lt;&gt;"",TEXT(AUX!IN$1,"dd-MMM-aa"),"")</f>
      </c>
      <c r="IJ192" s="496" t="str">
        <f> IF(IJ212&lt;&gt;"",TEXT(AUX!IO$1,"dd-MMM-aa"),"")</f>
      </c>
      <c r="IK192" s="496" t="str">
        <f> IF(IK212&lt;&gt;"",TEXT(AUX!IP$1,"dd-MMM-aa"),"")</f>
      </c>
      <c r="IL192" s="496" t="str">
        <f> IF(IL212&lt;&gt;"",TEXT(AUX!IQ$1,"dd-MMM-aa"),"")</f>
      </c>
      <c r="IM192" s="496" t="str">
        <f> IF(IM212&lt;&gt;"",TEXT(AUX!IR$1,"dd-MMM-aa"),"")</f>
      </c>
      <c r="IN192" s="496" t="str">
        <f> IF(IN212&lt;&gt;"",TEXT(AUX!IS$1,"dd-MMM-aa"),"")</f>
      </c>
      <c r="IO192" s="496" t="str">
        <f> IF(IO212&lt;&gt;"",TEXT(AUX!IT$1,"dd-MMM-aa"),"")</f>
      </c>
      <c r="IP192" s="496" t="str">
        <f> IF(IP212&lt;&gt;"",TEXT(AUX!IU$1,"dd-MMM-aa"),"")</f>
      </c>
      <c r="IQ192" s="496" t="str">
        <f> IF(IQ212&lt;&gt;"",TEXT(AUX!IV$1,"dd-MMM-aa"),"")</f>
      </c>
      <c r="IR192" s="496" t="str">
        <f> IF(IR212&lt;&gt;"",TEXT(AUX!#REF!,"dd-MMM-aa"),"")</f>
      </c>
      <c r="IS192" s="496" t="str">
        <f> IF(IS212&lt;&gt;"",TEXT(AUX!#REF!,"dd-MMM-aa"),"")</f>
      </c>
      <c r="IT192" s="496" t="str">
        <f> IF(IT212&lt;&gt;"",TEXT(AUX!#REF!,"dd-MMM-aa"),"")</f>
      </c>
      <c r="IU192" s="496" t="str">
        <f> IF(IU212&lt;&gt;"",TEXT(AUX!#REF!,"dd-MMM-aa"),"")</f>
      </c>
      <c r="IV192" s="496"/>
    </row>
    <row r="193" hidden="1">
      <c r="A193" s="833" t="s">
        <v>8</v>
      </c>
      <c r="B193" s="827">
        <v>1397</v>
      </c>
      <c r="C193" s="827">
        <v>1829</v>
      </c>
      <c r="D193" s="827">
        <v>2663</v>
      </c>
      <c r="E193" s="827">
        <v>2891</v>
      </c>
      <c r="F193" s="827">
        <v>2958</v>
      </c>
      <c r="G193" s="827">
        <v>3268</v>
      </c>
      <c r="H193" s="827">
        <v>3352</v>
      </c>
      <c r="I193" s="827">
        <v>3469</v>
      </c>
      <c r="J193" s="827">
        <v>3648</v>
      </c>
      <c r="K193" s="827">
        <v>4131</v>
      </c>
      <c r="L193" s="827">
        <v>5575</v>
      </c>
      <c r="M193" s="827">
        <v>6667</v>
      </c>
      <c r="N193" s="827">
        <v>7484</v>
      </c>
      <c r="O193" s="827">
        <v>7866</v>
      </c>
      <c r="P193" s="827">
        <v>8249</v>
      </c>
      <c r="Q193" s="827">
        <v>8768</v>
      </c>
      <c r="R193" s="827">
        <v>9476</v>
      </c>
      <c r="S193" s="827">
        <v>9896</v>
      </c>
      <c r="T193" s="827">
        <v>11593</v>
      </c>
      <c r="U193" s="827">
        <v>12362</v>
      </c>
      <c r="V193" s="827">
        <v>13309</v>
      </c>
      <c r="W193" s="827">
        <v>75813</v>
      </c>
      <c r="X193" s="827">
        <v>65001</v>
      </c>
      <c r="Y193" s="827">
        <v>65078</v>
      </c>
      <c r="Z193" s="827">
        <v>64548</v>
      </c>
      <c r="AA193" s="834">
        <v>64398</v>
      </c>
      <c r="AB193" s="828">
        <v>64376</v>
      </c>
      <c r="AC193" s="828">
        <v>64400</v>
      </c>
      <c r="AD193" s="828">
        <v>64546</v>
      </c>
      <c r="AE193" s="828">
        <v>64772</v>
      </c>
      <c r="AF193" s="828">
        <v>64822</v>
      </c>
      <c r="AG193" s="828">
        <v>64953</v>
      </c>
      <c r="AH193" s="828">
        <v>65044</v>
      </c>
      <c r="AI193" s="828">
        <v>65102</v>
      </c>
      <c r="AJ193" s="828">
        <v>65510</v>
      </c>
      <c r="AK193" s="828">
        <v>65895</v>
      </c>
      <c r="AL193" s="828">
        <v>59576</v>
      </c>
      <c r="AM193" s="828">
        <v>57803</v>
      </c>
      <c r="AN193" s="828">
        <v>60623</v>
      </c>
      <c r="AO193" s="828">
        <v>62462</v>
      </c>
    </row>
    <row r="194" hidden="1">
      <c r="A194" s="829" t="s">
        <v>9</v>
      </c>
      <c r="B194" s="823">
        <v>2298</v>
      </c>
      <c r="C194" s="823">
        <v>2291</v>
      </c>
      <c r="D194" s="823">
        <v>2362</v>
      </c>
      <c r="E194" s="823">
        <v>2371</v>
      </c>
      <c r="F194" s="823">
        <v>2401</v>
      </c>
      <c r="G194" s="823">
        <v>2397</v>
      </c>
      <c r="H194" s="823">
        <v>2426</v>
      </c>
      <c r="I194" s="823">
        <v>2450</v>
      </c>
      <c r="J194" s="823">
        <v>2538</v>
      </c>
      <c r="K194" s="823">
        <v>2603</v>
      </c>
      <c r="L194" s="823">
        <v>2641</v>
      </c>
      <c r="M194" s="823">
        <v>2657</v>
      </c>
      <c r="N194" s="823">
        <v>2915</v>
      </c>
      <c r="O194" s="823">
        <v>3037</v>
      </c>
      <c r="P194" s="823">
        <v>3170</v>
      </c>
      <c r="Q194" s="823">
        <v>3390</v>
      </c>
      <c r="R194" s="823">
        <v>3568</v>
      </c>
      <c r="S194" s="823">
        <v>3728</v>
      </c>
      <c r="T194" s="823">
        <v>3845</v>
      </c>
      <c r="U194" s="823">
        <v>3982</v>
      </c>
      <c r="V194" s="823">
        <v>4110</v>
      </c>
      <c r="W194" s="823">
        <v>4239</v>
      </c>
      <c r="X194" s="823">
        <v>4434</v>
      </c>
      <c r="Y194" s="823">
        <v>4553</v>
      </c>
      <c r="Z194" s="823">
        <v>5098</v>
      </c>
      <c r="AA194" s="823">
        <v>5193</v>
      </c>
      <c r="AB194" s="825">
        <v>5293</v>
      </c>
      <c r="AC194" s="825">
        <v>5420</v>
      </c>
      <c r="AD194" s="825">
        <v>5470</v>
      </c>
      <c r="AE194" s="825">
        <v>5598</v>
      </c>
      <c r="AF194" s="825">
        <v>5703</v>
      </c>
      <c r="AG194" s="825">
        <v>5807</v>
      </c>
      <c r="AH194" s="825">
        <v>5815</v>
      </c>
      <c r="AI194" s="825">
        <v>5953</v>
      </c>
      <c r="AJ194" s="825">
        <v>6106</v>
      </c>
      <c r="AK194" s="825">
        <v>6277</v>
      </c>
      <c r="AL194" s="825">
        <v>6355</v>
      </c>
      <c r="AM194" s="825">
        <v>6444</v>
      </c>
      <c r="AN194" s="825">
        <v>6506</v>
      </c>
      <c r="AO194" s="825">
        <v>6588</v>
      </c>
    </row>
    <row r="195" hidden="1">
      <c r="A195" s="826" t="s">
        <v>10</v>
      </c>
      <c r="B195" s="827">
        <v>269</v>
      </c>
      <c r="C195" s="827">
        <v>274</v>
      </c>
      <c r="D195" s="827">
        <v>273</v>
      </c>
      <c r="E195" s="827">
        <v>291</v>
      </c>
      <c r="F195" s="827">
        <v>326</v>
      </c>
      <c r="G195" s="827">
        <v>347</v>
      </c>
      <c r="H195" s="827">
        <v>351</v>
      </c>
      <c r="I195" s="827">
        <v>367</v>
      </c>
      <c r="J195" s="827">
        <v>380</v>
      </c>
      <c r="K195" s="827">
        <v>513</v>
      </c>
      <c r="L195" s="827">
        <v>591</v>
      </c>
      <c r="M195" s="827">
        <v>900</v>
      </c>
      <c r="N195" s="827">
        <v>998</v>
      </c>
      <c r="O195" s="827">
        <v>1138</v>
      </c>
      <c r="P195" s="827">
        <v>1122</v>
      </c>
      <c r="Q195" s="827">
        <v>1216</v>
      </c>
      <c r="R195" s="827">
        <v>1285</v>
      </c>
      <c r="S195" s="827">
        <v>1252</v>
      </c>
      <c r="T195" s="827">
        <v>1277</v>
      </c>
      <c r="U195" s="827">
        <v>1232</v>
      </c>
      <c r="V195" s="827">
        <v>1307</v>
      </c>
      <c r="W195" s="827">
        <v>1315</v>
      </c>
      <c r="X195" s="827">
        <v>1368</v>
      </c>
      <c r="Y195" s="827">
        <v>1369</v>
      </c>
      <c r="Z195" s="827">
        <v>1407</v>
      </c>
      <c r="AA195" s="827">
        <v>1416</v>
      </c>
      <c r="AB195" s="828">
        <v>1443</v>
      </c>
      <c r="AC195" s="828">
        <v>1470</v>
      </c>
      <c r="AD195" s="828">
        <v>1518</v>
      </c>
      <c r="AE195" s="828">
        <v>1568</v>
      </c>
      <c r="AF195" s="828">
        <v>1636</v>
      </c>
      <c r="AG195" s="828">
        <v>1681</v>
      </c>
      <c r="AH195" s="828">
        <v>1707</v>
      </c>
      <c r="AI195" s="828">
        <v>1735</v>
      </c>
      <c r="AJ195" s="828">
        <v>1947</v>
      </c>
      <c r="AK195" s="828">
        <v>1974</v>
      </c>
      <c r="AL195" s="828">
        <v>2006</v>
      </c>
      <c r="AM195" s="828">
        <v>2033</v>
      </c>
      <c r="AN195" s="828">
        <v>2056</v>
      </c>
      <c r="AO195" s="828">
        <v>2081</v>
      </c>
    </row>
    <row r="196" hidden="1">
      <c r="A196" s="829" t="s">
        <v>11</v>
      </c>
      <c r="B196" s="823">
        <v>487</v>
      </c>
      <c r="C196" s="823">
        <v>554</v>
      </c>
      <c r="D196" s="823">
        <v>609</v>
      </c>
      <c r="E196" s="823">
        <v>638</v>
      </c>
      <c r="F196" s="823">
        <v>627</v>
      </c>
      <c r="G196" s="823">
        <v>633</v>
      </c>
      <c r="H196" s="823">
        <v>691</v>
      </c>
      <c r="I196" s="823">
        <v>704</v>
      </c>
      <c r="J196" s="823">
        <v>763</v>
      </c>
      <c r="K196" s="823">
        <v>742</v>
      </c>
      <c r="L196" s="823">
        <v>918</v>
      </c>
      <c r="M196" s="823">
        <v>988</v>
      </c>
      <c r="N196" s="823">
        <v>1038</v>
      </c>
      <c r="O196" s="823">
        <v>1294</v>
      </c>
      <c r="P196" s="823">
        <v>1306</v>
      </c>
      <c r="Q196" s="823">
        <v>1352</v>
      </c>
      <c r="R196" s="823">
        <v>1418</v>
      </c>
      <c r="S196" s="823">
        <v>1466</v>
      </c>
      <c r="T196" s="823">
        <v>1458</v>
      </c>
      <c r="U196" s="823">
        <v>1528</v>
      </c>
      <c r="V196" s="823">
        <v>1529</v>
      </c>
      <c r="W196" s="823">
        <v>1577</v>
      </c>
      <c r="X196" s="823">
        <v>1528</v>
      </c>
      <c r="Y196" s="823">
        <v>1613</v>
      </c>
      <c r="Z196" s="823">
        <v>1585</v>
      </c>
      <c r="AA196" s="823">
        <v>1641</v>
      </c>
      <c r="AB196" s="825">
        <v>1753</v>
      </c>
      <c r="AC196" s="825">
        <v>1815</v>
      </c>
      <c r="AD196" s="825">
        <v>1873</v>
      </c>
      <c r="AE196" s="825">
        <v>1961</v>
      </c>
      <c r="AF196" s="825">
        <v>1658</v>
      </c>
      <c r="AG196" s="825">
        <v>1797</v>
      </c>
      <c r="AH196" s="825">
        <v>1887</v>
      </c>
      <c r="AI196" s="825">
        <v>1969</v>
      </c>
      <c r="AJ196" s="825">
        <v>2067</v>
      </c>
      <c r="AK196" s="825">
        <v>2172</v>
      </c>
      <c r="AL196" s="825">
        <v>2291</v>
      </c>
      <c r="AM196" s="825">
        <v>2324</v>
      </c>
      <c r="AN196" s="825">
        <v>2543</v>
      </c>
      <c r="AO196" s="825">
        <v>2583</v>
      </c>
    </row>
    <row r="197" hidden="1">
      <c r="A197" s="826" t="s">
        <v>12</v>
      </c>
      <c r="B197" s="827">
        <v>1035</v>
      </c>
      <c r="C197" s="827">
        <v>1213</v>
      </c>
      <c r="D197" s="827">
        <v>1385</v>
      </c>
      <c r="E197" s="827">
        <v>1516</v>
      </c>
      <c r="F197" s="827">
        <v>1655</v>
      </c>
      <c r="G197" s="827">
        <v>1787</v>
      </c>
      <c r="H197" s="827">
        <v>1936</v>
      </c>
      <c r="I197" s="827">
        <v>1105</v>
      </c>
      <c r="J197" s="827">
        <v>1033</v>
      </c>
      <c r="K197" s="827">
        <v>1008</v>
      </c>
      <c r="L197" s="827">
        <v>919</v>
      </c>
      <c r="M197" s="827">
        <v>937</v>
      </c>
      <c r="N197" s="827">
        <v>936</v>
      </c>
      <c r="O197" s="827">
        <v>975</v>
      </c>
      <c r="P197" s="827">
        <v>984</v>
      </c>
      <c r="Q197" s="827">
        <v>1049</v>
      </c>
      <c r="R197" s="827">
        <v>1027</v>
      </c>
      <c r="S197" s="827">
        <v>1068</v>
      </c>
      <c r="T197" s="827">
        <v>1055</v>
      </c>
      <c r="U197" s="827">
        <v>1166</v>
      </c>
      <c r="V197" s="827">
        <v>1173</v>
      </c>
      <c r="W197" s="827">
        <v>1218</v>
      </c>
      <c r="X197" s="827">
        <v>1179</v>
      </c>
      <c r="Y197" s="827">
        <v>1127</v>
      </c>
      <c r="Z197" s="827">
        <v>914</v>
      </c>
      <c r="AA197" s="827">
        <v>986</v>
      </c>
      <c r="AB197" s="828">
        <v>944</v>
      </c>
      <c r="AC197" s="828">
        <v>984</v>
      </c>
      <c r="AD197" s="828">
        <v>971</v>
      </c>
      <c r="AE197" s="828">
        <v>1030</v>
      </c>
      <c r="AF197" s="828">
        <v>1099</v>
      </c>
      <c r="AG197" s="828">
        <v>1171</v>
      </c>
      <c r="AH197" s="828">
        <v>1206</v>
      </c>
      <c r="AI197" s="828">
        <v>1264</v>
      </c>
      <c r="AJ197" s="828">
        <v>1293</v>
      </c>
      <c r="AK197" s="828">
        <v>1384</v>
      </c>
      <c r="AL197" s="828">
        <v>1527</v>
      </c>
      <c r="AM197" s="828">
        <v>1715</v>
      </c>
      <c r="AN197" s="828">
        <v>1769</v>
      </c>
      <c r="AO197" s="828">
        <v>1842</v>
      </c>
    </row>
    <row r="198" hidden="1">
      <c r="A198" s="829" t="s">
        <v>13</v>
      </c>
      <c r="B198" s="823">
        <v>1386</v>
      </c>
      <c r="C198" s="823">
        <v>1466</v>
      </c>
      <c r="D198" s="823">
        <v>1529</v>
      </c>
      <c r="E198" s="823">
        <v>1623</v>
      </c>
      <c r="F198" s="823">
        <v>1681</v>
      </c>
      <c r="G198" s="823">
        <v>1740</v>
      </c>
      <c r="H198" s="823">
        <v>1717</v>
      </c>
      <c r="I198" s="823">
        <v>1753</v>
      </c>
      <c r="J198" s="823">
        <v>1779</v>
      </c>
      <c r="K198" s="823">
        <v>1816</v>
      </c>
      <c r="L198" s="823">
        <v>1831</v>
      </c>
      <c r="M198" s="823">
        <v>1873</v>
      </c>
      <c r="N198" s="823">
        <v>2163</v>
      </c>
      <c r="O198" s="823">
        <v>2211</v>
      </c>
      <c r="P198" s="823">
        <v>2270</v>
      </c>
      <c r="Q198" s="823">
        <v>2308</v>
      </c>
      <c r="R198" s="823">
        <v>2368</v>
      </c>
      <c r="S198" s="823">
        <v>2397</v>
      </c>
      <c r="T198" s="823">
        <v>2437</v>
      </c>
      <c r="U198" s="823">
        <v>2492</v>
      </c>
      <c r="V198" s="823">
        <v>2437</v>
      </c>
      <c r="W198" s="823">
        <v>2473</v>
      </c>
      <c r="X198" s="823">
        <v>2456</v>
      </c>
      <c r="Y198" s="823">
        <v>2462</v>
      </c>
      <c r="Z198" s="823">
        <v>2498</v>
      </c>
      <c r="AA198" s="823">
        <v>2491</v>
      </c>
      <c r="AB198" s="825">
        <v>2550</v>
      </c>
      <c r="AC198" s="825">
        <v>2563</v>
      </c>
      <c r="AD198" s="825">
        <v>2605</v>
      </c>
      <c r="AE198" s="825">
        <v>2600</v>
      </c>
      <c r="AF198" s="825">
        <v>2645</v>
      </c>
      <c r="AG198" s="825">
        <v>2660</v>
      </c>
      <c r="AH198" s="825">
        <v>2705</v>
      </c>
      <c r="AI198" s="825">
        <v>2711</v>
      </c>
      <c r="AJ198" s="825">
        <v>2761</v>
      </c>
      <c r="AK198" s="825">
        <v>2805</v>
      </c>
      <c r="AL198" s="825">
        <v>2980</v>
      </c>
      <c r="AM198" s="825">
        <v>3088</v>
      </c>
      <c r="AN198" s="825">
        <v>3115</v>
      </c>
      <c r="AO198" s="825">
        <v>3147</v>
      </c>
    </row>
    <row r="199" hidden="1">
      <c r="A199" s="826" t="s">
        <v>109</v>
      </c>
      <c r="B199" s="827">
        <v>3156</v>
      </c>
      <c r="C199" s="827">
        <v>3342</v>
      </c>
      <c r="D199" s="827">
        <v>3492</v>
      </c>
      <c r="E199" s="827">
        <v>3601</v>
      </c>
      <c r="F199" s="827">
        <v>3808</v>
      </c>
      <c r="G199" s="827">
        <v>3891</v>
      </c>
      <c r="H199" s="827">
        <v>4028</v>
      </c>
      <c r="I199" s="827">
        <v>4003</v>
      </c>
      <c r="J199" s="827">
        <v>4270</v>
      </c>
      <c r="K199" s="827">
        <v>4526</v>
      </c>
      <c r="L199" s="827">
        <v>4763</v>
      </c>
      <c r="M199" s="827">
        <v>4961</v>
      </c>
      <c r="N199" s="827">
        <v>5178</v>
      </c>
      <c r="O199" s="827">
        <v>5371</v>
      </c>
      <c r="P199" s="827">
        <v>5514</v>
      </c>
      <c r="Q199" s="827">
        <v>5514</v>
      </c>
      <c r="R199" s="827">
        <v>5773</v>
      </c>
      <c r="S199" s="827">
        <v>5972</v>
      </c>
      <c r="T199" s="827">
        <v>6101</v>
      </c>
      <c r="U199" s="827">
        <v>7164</v>
      </c>
      <c r="V199" s="827">
        <v>7198</v>
      </c>
      <c r="W199" s="827">
        <v>7235</v>
      </c>
      <c r="X199" s="827">
        <v>7361</v>
      </c>
      <c r="Y199" s="827">
        <v>7454</v>
      </c>
      <c r="Z199" s="827">
        <v>7512</v>
      </c>
      <c r="AA199" s="827">
        <v>7671</v>
      </c>
      <c r="AB199" s="828">
        <v>7164</v>
      </c>
      <c r="AC199" s="828">
        <v>7487</v>
      </c>
      <c r="AD199" s="828">
        <v>7566</v>
      </c>
      <c r="AE199" s="828">
        <v>7788</v>
      </c>
      <c r="AF199" s="828">
        <v>8052</v>
      </c>
      <c r="AG199" s="828">
        <v>8282</v>
      </c>
      <c r="AH199" s="828">
        <v>8626</v>
      </c>
      <c r="AI199" s="828">
        <v>8598</v>
      </c>
      <c r="AJ199" s="828">
        <v>8902</v>
      </c>
      <c r="AK199" s="828">
        <v>9154</v>
      </c>
      <c r="AL199" s="828">
        <v>9610</v>
      </c>
      <c r="AM199" s="828">
        <v>9781</v>
      </c>
      <c r="AN199" s="828">
        <v>10158</v>
      </c>
      <c r="AO199" s="828">
        <v>10292</v>
      </c>
    </row>
    <row r="200" hidden="1">
      <c r="A200" s="829" t="s">
        <v>110</v>
      </c>
      <c r="B200" s="823">
        <v>7327</v>
      </c>
      <c r="C200" s="823">
        <v>7735</v>
      </c>
      <c r="D200" s="823">
        <v>8105</v>
      </c>
      <c r="E200" s="823">
        <v>8632</v>
      </c>
      <c r="F200" s="823">
        <v>9033</v>
      </c>
      <c r="G200" s="823">
        <v>9446</v>
      </c>
      <c r="H200" s="823">
        <v>9496</v>
      </c>
      <c r="I200" s="823">
        <v>10120</v>
      </c>
      <c r="J200" s="823">
        <v>11241</v>
      </c>
      <c r="K200" s="823">
        <v>11756</v>
      </c>
      <c r="L200" s="823">
        <v>12154</v>
      </c>
      <c r="M200" s="823">
        <v>12700</v>
      </c>
      <c r="N200" s="823">
        <v>13732</v>
      </c>
      <c r="O200" s="823">
        <v>14243</v>
      </c>
      <c r="P200" s="823">
        <v>14602</v>
      </c>
      <c r="Q200" s="823">
        <v>14936</v>
      </c>
      <c r="R200" s="823">
        <v>16049</v>
      </c>
      <c r="S200" s="823">
        <v>16671</v>
      </c>
      <c r="T200" s="823">
        <v>17033</v>
      </c>
      <c r="U200" s="823">
        <v>17394</v>
      </c>
      <c r="V200" s="823">
        <v>17351</v>
      </c>
      <c r="W200" s="823">
        <v>17493</v>
      </c>
      <c r="X200" s="823">
        <v>17872</v>
      </c>
      <c r="Y200" s="823">
        <v>18228</v>
      </c>
      <c r="Z200" s="823">
        <v>18231</v>
      </c>
      <c r="AA200" s="823">
        <v>18386</v>
      </c>
      <c r="AB200" s="825">
        <v>17220</v>
      </c>
      <c r="AC200" s="825">
        <v>17335</v>
      </c>
      <c r="AD200" s="825">
        <v>17437</v>
      </c>
      <c r="AE200" s="825">
        <v>17595</v>
      </c>
      <c r="AF200" s="825">
        <v>17632</v>
      </c>
      <c r="AG200" s="825">
        <v>17824</v>
      </c>
      <c r="AH200" s="825">
        <v>18127</v>
      </c>
      <c r="AI200" s="825">
        <v>18248</v>
      </c>
      <c r="AJ200" s="825">
        <v>18571</v>
      </c>
      <c r="AK200" s="825">
        <v>18700</v>
      </c>
      <c r="AL200" s="825">
        <v>18973</v>
      </c>
      <c r="AM200" s="825">
        <v>19147</v>
      </c>
      <c r="AN200" s="825">
        <v>19303</v>
      </c>
      <c r="AO200" s="825">
        <v>19457</v>
      </c>
    </row>
    <row r="201" hidden="1">
      <c r="A201" s="826" t="s">
        <v>16</v>
      </c>
      <c r="B201" s="827">
        <v>1904</v>
      </c>
      <c r="C201" s="827">
        <v>1948</v>
      </c>
      <c r="D201" s="827">
        <v>2027</v>
      </c>
      <c r="E201" s="827">
        <v>2066</v>
      </c>
      <c r="F201" s="827">
        <v>2128</v>
      </c>
      <c r="G201" s="827">
        <v>2172</v>
      </c>
      <c r="H201" s="827">
        <v>2182</v>
      </c>
      <c r="I201" s="827">
        <v>2234</v>
      </c>
      <c r="J201" s="827">
        <v>2276</v>
      </c>
      <c r="K201" s="827">
        <v>2280</v>
      </c>
      <c r="L201" s="827">
        <v>2317</v>
      </c>
      <c r="M201" s="827">
        <v>2330</v>
      </c>
      <c r="N201" s="827">
        <v>2356</v>
      </c>
      <c r="O201" s="827">
        <v>2414</v>
      </c>
      <c r="P201" s="827">
        <v>2670</v>
      </c>
      <c r="Q201" s="827">
        <v>2769</v>
      </c>
      <c r="R201" s="827">
        <v>2837</v>
      </c>
      <c r="S201" s="827">
        <v>2898</v>
      </c>
      <c r="T201" s="827">
        <v>2992</v>
      </c>
      <c r="U201" s="827">
        <v>3073</v>
      </c>
      <c r="V201" s="827">
        <v>3168</v>
      </c>
      <c r="W201" s="827">
        <v>3290</v>
      </c>
      <c r="X201" s="827">
        <v>5001</v>
      </c>
      <c r="Y201" s="827">
        <v>5162</v>
      </c>
      <c r="Z201" s="827">
        <v>5269</v>
      </c>
      <c r="AA201" s="827">
        <v>5394</v>
      </c>
      <c r="AB201" s="828">
        <v>5458</v>
      </c>
      <c r="AC201" s="828">
        <v>5508</v>
      </c>
      <c r="AD201" s="828">
        <v>5464</v>
      </c>
      <c r="AE201" s="828">
        <v>5586</v>
      </c>
      <c r="AF201" s="828">
        <v>5682</v>
      </c>
      <c r="AG201" s="828">
        <v>5856</v>
      </c>
      <c r="AH201" s="828">
        <v>6057</v>
      </c>
      <c r="AI201" s="828">
        <v>6241</v>
      </c>
      <c r="AJ201" s="828">
        <v>6539</v>
      </c>
      <c r="AK201" s="828">
        <v>6643</v>
      </c>
      <c r="AL201" s="828">
        <v>6750</v>
      </c>
      <c r="AM201" s="828">
        <v>6898</v>
      </c>
      <c r="AN201" s="828">
        <v>7050</v>
      </c>
      <c r="AO201" s="828">
        <v>7170</v>
      </c>
    </row>
    <row r="202" hidden="1">
      <c r="A202" s="829" t="s">
        <v>17</v>
      </c>
      <c r="B202" s="823">
        <v>2710</v>
      </c>
      <c r="C202" s="823">
        <v>3156</v>
      </c>
      <c r="D202" s="823">
        <v>3222</v>
      </c>
      <c r="E202" s="823">
        <v>3280</v>
      </c>
      <c r="F202" s="823">
        <v>3356</v>
      </c>
      <c r="G202" s="823">
        <v>3421</v>
      </c>
      <c r="H202" s="823">
        <v>2748</v>
      </c>
      <c r="I202" s="823">
        <v>2790</v>
      </c>
      <c r="J202" s="823">
        <v>2823</v>
      </c>
      <c r="K202" s="823">
        <v>2926</v>
      </c>
      <c r="L202" s="823">
        <v>3008</v>
      </c>
      <c r="M202" s="823">
        <v>3083</v>
      </c>
      <c r="N202" s="823">
        <v>3427</v>
      </c>
      <c r="O202" s="823">
        <v>3690</v>
      </c>
      <c r="P202" s="823">
        <v>4066</v>
      </c>
      <c r="Q202" s="823">
        <v>4354</v>
      </c>
      <c r="R202" s="823">
        <v>4339</v>
      </c>
      <c r="S202" s="823">
        <v>4544</v>
      </c>
      <c r="T202" s="823">
        <v>4850</v>
      </c>
      <c r="U202" s="823">
        <v>5043</v>
      </c>
      <c r="V202" s="823">
        <v>5276</v>
      </c>
      <c r="W202" s="823">
        <v>5399</v>
      </c>
      <c r="X202" s="823">
        <v>5787</v>
      </c>
      <c r="Y202" s="823">
        <v>5962</v>
      </c>
      <c r="Z202" s="823">
        <v>6115</v>
      </c>
      <c r="AA202" s="823">
        <v>6222</v>
      </c>
      <c r="AB202" s="825">
        <v>6363</v>
      </c>
      <c r="AC202" s="825">
        <v>6383</v>
      </c>
      <c r="AD202" s="825">
        <v>6457</v>
      </c>
      <c r="AE202" s="825">
        <v>6490</v>
      </c>
      <c r="AF202" s="825">
        <v>6568</v>
      </c>
      <c r="AG202" s="825">
        <v>6600</v>
      </c>
      <c r="AH202" s="825">
        <v>6648</v>
      </c>
      <c r="AI202" s="825">
        <v>6843</v>
      </c>
      <c r="AJ202" s="825">
        <v>6916</v>
      </c>
      <c r="AK202" s="825">
        <v>7628</v>
      </c>
      <c r="AL202" s="825">
        <v>7840</v>
      </c>
      <c r="AM202" s="825">
        <v>8030</v>
      </c>
      <c r="AN202" s="825">
        <v>8195</v>
      </c>
      <c r="AO202" s="825">
        <v>8321</v>
      </c>
    </row>
    <row r="203" hidden="1">
      <c r="A203" s="826" t="s">
        <v>18</v>
      </c>
      <c r="B203" s="827">
        <v>2049</v>
      </c>
      <c r="C203" s="827">
        <v>2147</v>
      </c>
      <c r="D203" s="827">
        <v>2209</v>
      </c>
      <c r="E203" s="827">
        <v>2259</v>
      </c>
      <c r="F203" s="827">
        <v>2245</v>
      </c>
      <c r="G203" s="827">
        <v>2261</v>
      </c>
      <c r="H203" s="827">
        <v>2257</v>
      </c>
      <c r="I203" s="827">
        <v>2326</v>
      </c>
      <c r="J203" s="827">
        <v>2514</v>
      </c>
      <c r="K203" s="827">
        <v>2881</v>
      </c>
      <c r="L203" s="827">
        <v>4005</v>
      </c>
      <c r="M203" s="827">
        <v>4776</v>
      </c>
      <c r="N203" s="827">
        <v>5385</v>
      </c>
      <c r="O203" s="827">
        <v>5904</v>
      </c>
      <c r="P203" s="827">
        <v>6568</v>
      </c>
      <c r="Q203" s="827">
        <v>6914</v>
      </c>
      <c r="R203" s="827">
        <v>7233</v>
      </c>
      <c r="S203" s="827">
        <v>7448</v>
      </c>
      <c r="T203" s="827">
        <v>7564</v>
      </c>
      <c r="U203" s="827">
        <v>7806</v>
      </c>
      <c r="V203" s="827">
        <v>7909</v>
      </c>
      <c r="W203" s="827">
        <v>7833</v>
      </c>
      <c r="X203" s="827">
        <v>7856</v>
      </c>
      <c r="Y203" s="827">
        <v>7943</v>
      </c>
      <c r="Z203" s="827">
        <v>7849</v>
      </c>
      <c r="AA203" s="827">
        <v>7829</v>
      </c>
      <c r="AB203" s="828">
        <v>7551</v>
      </c>
      <c r="AC203" s="828">
        <v>7600</v>
      </c>
      <c r="AD203" s="828">
        <v>7524</v>
      </c>
      <c r="AE203" s="828">
        <v>7717</v>
      </c>
      <c r="AF203" s="828">
        <v>7804</v>
      </c>
      <c r="AG203" s="828">
        <v>7906</v>
      </c>
      <c r="AH203" s="828">
        <v>6941</v>
      </c>
      <c r="AI203" s="828">
        <v>7044</v>
      </c>
      <c r="AJ203" s="828">
        <v>6921</v>
      </c>
      <c r="AK203" s="828">
        <v>6882</v>
      </c>
      <c r="AL203" s="828">
        <v>6673</v>
      </c>
      <c r="AM203" s="828">
        <v>6623</v>
      </c>
      <c r="AN203" s="828">
        <v>6596</v>
      </c>
      <c r="AO203" s="828">
        <v>6628</v>
      </c>
    </row>
    <row r="204" hidden="1">
      <c r="A204" s="829" t="s">
        <v>19</v>
      </c>
      <c r="B204" s="823">
        <v>608</v>
      </c>
      <c r="C204" s="823">
        <v>777</v>
      </c>
      <c r="D204" s="823">
        <v>850</v>
      </c>
      <c r="E204" s="823">
        <v>903</v>
      </c>
      <c r="F204" s="823">
        <v>1051</v>
      </c>
      <c r="G204" s="823">
        <v>1207</v>
      </c>
      <c r="H204" s="823">
        <v>1171</v>
      </c>
      <c r="I204" s="823">
        <v>1216</v>
      </c>
      <c r="J204" s="823">
        <v>1252</v>
      </c>
      <c r="K204" s="823">
        <v>1278</v>
      </c>
      <c r="L204" s="823">
        <v>1187</v>
      </c>
      <c r="M204" s="823">
        <v>1263</v>
      </c>
      <c r="N204" s="823">
        <v>1370</v>
      </c>
      <c r="O204" s="823">
        <v>1408</v>
      </c>
      <c r="P204" s="823">
        <v>1411</v>
      </c>
      <c r="Q204" s="823">
        <v>1471</v>
      </c>
      <c r="R204" s="823">
        <v>1532</v>
      </c>
      <c r="S204" s="823">
        <v>1607</v>
      </c>
      <c r="T204" s="823">
        <v>1675</v>
      </c>
      <c r="U204" s="823">
        <v>1715</v>
      </c>
      <c r="V204" s="823">
        <v>1771</v>
      </c>
      <c r="W204" s="823">
        <v>1790</v>
      </c>
      <c r="X204" s="823">
        <v>1840</v>
      </c>
      <c r="Y204" s="823">
        <v>1881</v>
      </c>
      <c r="Z204" s="823">
        <v>1864</v>
      </c>
      <c r="AA204" s="823">
        <v>1862</v>
      </c>
      <c r="AB204" s="825">
        <v>1934</v>
      </c>
      <c r="AC204" s="825">
        <v>1936</v>
      </c>
      <c r="AD204" s="825">
        <v>1962</v>
      </c>
      <c r="AE204" s="825">
        <v>1991</v>
      </c>
      <c r="AF204" s="825">
        <v>2026</v>
      </c>
      <c r="AG204" s="825">
        <v>2118</v>
      </c>
      <c r="AH204" s="825">
        <v>2287</v>
      </c>
      <c r="AI204" s="825">
        <v>1986</v>
      </c>
      <c r="AJ204" s="825">
        <v>2142</v>
      </c>
      <c r="AK204" s="825">
        <v>2342</v>
      </c>
      <c r="AL204" s="825">
        <v>2448</v>
      </c>
      <c r="AM204" s="825">
        <v>2510</v>
      </c>
      <c r="AN204" s="825">
        <v>2631</v>
      </c>
      <c r="AO204" s="825">
        <v>2973</v>
      </c>
    </row>
    <row r="205" hidden="1">
      <c r="A205" s="826" t="s">
        <v>20</v>
      </c>
      <c r="B205" s="827">
        <v>138</v>
      </c>
      <c r="C205" s="827">
        <v>147</v>
      </c>
      <c r="D205" s="827">
        <v>157</v>
      </c>
      <c r="E205" s="827">
        <v>163</v>
      </c>
      <c r="F205" s="827">
        <v>148</v>
      </c>
      <c r="G205" s="827">
        <v>148</v>
      </c>
      <c r="H205" s="827">
        <v>156</v>
      </c>
      <c r="I205" s="827">
        <v>158</v>
      </c>
      <c r="J205" s="827">
        <v>583</v>
      </c>
      <c r="K205" s="827">
        <v>711</v>
      </c>
      <c r="L205" s="827">
        <v>884</v>
      </c>
      <c r="M205" s="827">
        <v>945</v>
      </c>
      <c r="N205" s="827">
        <v>1611</v>
      </c>
      <c r="O205" s="827">
        <v>1715</v>
      </c>
      <c r="P205" s="827">
        <v>1805</v>
      </c>
      <c r="Q205" s="827">
        <v>1877</v>
      </c>
      <c r="R205" s="827">
        <v>1952</v>
      </c>
      <c r="S205" s="827">
        <v>2181</v>
      </c>
      <c r="T205" s="827">
        <v>2261</v>
      </c>
      <c r="U205" s="827">
        <v>2317</v>
      </c>
      <c r="V205" s="827">
        <v>2412</v>
      </c>
      <c r="W205" s="827">
        <v>2465</v>
      </c>
      <c r="X205" s="827">
        <v>2546</v>
      </c>
      <c r="Y205" s="827">
        <v>2599</v>
      </c>
      <c r="Z205" s="827">
        <v>2663</v>
      </c>
      <c r="AA205" s="827">
        <v>2711</v>
      </c>
      <c r="AB205" s="828">
        <v>2762</v>
      </c>
      <c r="AC205" s="828">
        <v>2759</v>
      </c>
      <c r="AD205" s="828">
        <v>2803</v>
      </c>
      <c r="AE205" s="828">
        <v>2841</v>
      </c>
      <c r="AF205" s="828">
        <v>2169</v>
      </c>
      <c r="AG205" s="828">
        <v>2239</v>
      </c>
      <c r="AH205" s="828">
        <v>2279</v>
      </c>
      <c r="AI205" s="828">
        <v>2365</v>
      </c>
      <c r="AJ205" s="828">
        <v>2470</v>
      </c>
      <c r="AK205" s="828">
        <v>2522</v>
      </c>
      <c r="AL205" s="828">
        <v>2634</v>
      </c>
      <c r="AM205" s="828">
        <v>2768</v>
      </c>
      <c r="AN205" s="828">
        <v>2814</v>
      </c>
      <c r="AO205" s="828">
        <v>2836</v>
      </c>
    </row>
    <row r="206" hidden="1">
      <c r="A206" s="829" t="s">
        <v>21</v>
      </c>
      <c r="B206" s="823">
        <v>713</v>
      </c>
      <c r="C206" s="823">
        <v>706</v>
      </c>
      <c r="D206" s="823">
        <v>707</v>
      </c>
      <c r="E206" s="823">
        <v>710</v>
      </c>
      <c r="F206" s="823">
        <v>714</v>
      </c>
      <c r="G206" s="823">
        <v>715</v>
      </c>
      <c r="H206" s="823">
        <v>715</v>
      </c>
      <c r="I206" s="823">
        <v>720</v>
      </c>
      <c r="J206" s="823">
        <v>724</v>
      </c>
      <c r="K206" s="823">
        <v>726</v>
      </c>
      <c r="L206" s="823">
        <v>727</v>
      </c>
      <c r="M206" s="823">
        <v>724</v>
      </c>
      <c r="N206" s="823">
        <v>727</v>
      </c>
      <c r="O206" s="823">
        <v>732</v>
      </c>
      <c r="P206" s="823">
        <v>731</v>
      </c>
      <c r="Q206" s="823">
        <v>744</v>
      </c>
      <c r="R206" s="823">
        <v>771</v>
      </c>
      <c r="S206" s="823">
        <v>999</v>
      </c>
      <c r="T206" s="823">
        <v>1005</v>
      </c>
      <c r="U206" s="823">
        <v>1011</v>
      </c>
      <c r="V206" s="823">
        <v>1013</v>
      </c>
      <c r="W206" s="823">
        <v>1060</v>
      </c>
      <c r="X206" s="823">
        <v>1060</v>
      </c>
      <c r="Y206" s="823">
        <v>1068</v>
      </c>
      <c r="Z206" s="823">
        <v>1072</v>
      </c>
      <c r="AA206" s="823">
        <v>1080</v>
      </c>
      <c r="AB206" s="825">
        <v>1081</v>
      </c>
      <c r="AC206" s="825">
        <v>1104</v>
      </c>
      <c r="AD206" s="825">
        <v>1107</v>
      </c>
      <c r="AE206" s="825">
        <v>1111</v>
      </c>
      <c r="AF206" s="825">
        <v>1110</v>
      </c>
      <c r="AG206" s="825">
        <v>1111</v>
      </c>
      <c r="AH206" s="825">
        <v>1120</v>
      </c>
      <c r="AI206" s="825">
        <v>1130</v>
      </c>
      <c r="AJ206" s="825">
        <v>1134</v>
      </c>
      <c r="AK206" s="825">
        <v>1139</v>
      </c>
      <c r="AL206" s="825">
        <v>1145</v>
      </c>
      <c r="AM206" s="825">
        <v>1165</v>
      </c>
      <c r="AN206" s="825">
        <v>1177</v>
      </c>
      <c r="AO206" s="825">
        <v>1185</v>
      </c>
    </row>
    <row r="207" hidden="1">
      <c r="A207" s="826" t="s">
        <v>22</v>
      </c>
      <c r="B207" s="827">
        <v>337</v>
      </c>
      <c r="C207" s="827">
        <v>340</v>
      </c>
      <c r="D207" s="827">
        <v>348</v>
      </c>
      <c r="E207" s="827">
        <v>357</v>
      </c>
      <c r="F207" s="827">
        <v>338</v>
      </c>
      <c r="G207" s="827">
        <v>339</v>
      </c>
      <c r="H207" s="827">
        <v>340</v>
      </c>
      <c r="I207" s="827">
        <v>349</v>
      </c>
      <c r="J207" s="827">
        <v>369</v>
      </c>
      <c r="K207" s="827">
        <v>396</v>
      </c>
      <c r="L207" s="827">
        <v>386</v>
      </c>
      <c r="M207" s="827">
        <v>420</v>
      </c>
      <c r="N207" s="827">
        <v>511</v>
      </c>
      <c r="O207" s="827">
        <v>613</v>
      </c>
      <c r="P207" s="827">
        <v>766</v>
      </c>
      <c r="Q207" s="827">
        <v>846</v>
      </c>
      <c r="R207" s="827">
        <v>902</v>
      </c>
      <c r="S207" s="827">
        <v>944</v>
      </c>
      <c r="T207" s="827">
        <v>982</v>
      </c>
      <c r="U207" s="827">
        <v>1854</v>
      </c>
      <c r="V207" s="827">
        <v>1845</v>
      </c>
      <c r="W207" s="827">
        <v>1842</v>
      </c>
      <c r="X207" s="827">
        <v>1765</v>
      </c>
      <c r="Y207" s="827">
        <v>1800</v>
      </c>
      <c r="Z207" s="827">
        <v>1567</v>
      </c>
      <c r="AA207" s="827">
        <v>1911</v>
      </c>
      <c r="AB207" s="828">
        <v>1874</v>
      </c>
      <c r="AC207" s="828">
        <v>1851</v>
      </c>
      <c r="AD207" s="828">
        <v>2299</v>
      </c>
      <c r="AE207" s="828">
        <v>2313</v>
      </c>
      <c r="AF207" s="828">
        <v>2522</v>
      </c>
      <c r="AG207" s="828">
        <v>2526</v>
      </c>
      <c r="AH207" s="828">
        <v>2492</v>
      </c>
      <c r="AI207" s="828">
        <v>2424</v>
      </c>
      <c r="AJ207" s="828">
        <v>2307</v>
      </c>
      <c r="AK207" s="828">
        <v>2398</v>
      </c>
      <c r="AL207" s="828">
        <v>2354</v>
      </c>
      <c r="AM207" s="828">
        <v>2325</v>
      </c>
      <c r="AN207" s="828">
        <v>2616</v>
      </c>
      <c r="AO207" s="828">
        <v>2602</v>
      </c>
    </row>
    <row r="208" hidden="1">
      <c r="A208" s="829" t="s">
        <v>23</v>
      </c>
      <c r="B208" s="823">
        <v>368</v>
      </c>
      <c r="C208" s="823">
        <v>396</v>
      </c>
      <c r="D208" s="823">
        <v>409</v>
      </c>
      <c r="E208" s="823">
        <v>427</v>
      </c>
      <c r="F208" s="823">
        <v>444</v>
      </c>
      <c r="G208" s="823">
        <v>465</v>
      </c>
      <c r="H208" s="823">
        <v>467</v>
      </c>
      <c r="I208" s="823">
        <v>496</v>
      </c>
      <c r="J208" s="823">
        <v>522</v>
      </c>
      <c r="K208" s="823">
        <v>544</v>
      </c>
      <c r="L208" s="823">
        <v>557</v>
      </c>
      <c r="M208" s="823">
        <v>579</v>
      </c>
      <c r="N208" s="823">
        <v>663</v>
      </c>
      <c r="O208" s="823">
        <v>665</v>
      </c>
      <c r="P208" s="823">
        <v>659</v>
      </c>
      <c r="Q208" s="823">
        <v>660</v>
      </c>
      <c r="R208" s="823">
        <v>656</v>
      </c>
      <c r="S208" s="823">
        <v>615</v>
      </c>
      <c r="T208" s="823">
        <v>628</v>
      </c>
      <c r="U208" s="823">
        <v>643</v>
      </c>
      <c r="V208" s="823">
        <v>730</v>
      </c>
      <c r="W208" s="823">
        <v>737</v>
      </c>
      <c r="X208" s="823">
        <v>737</v>
      </c>
      <c r="Y208" s="823">
        <v>738</v>
      </c>
      <c r="Z208" s="823">
        <v>744</v>
      </c>
      <c r="AA208" s="823">
        <v>744</v>
      </c>
      <c r="AB208" s="825">
        <v>743</v>
      </c>
      <c r="AC208" s="825">
        <v>751</v>
      </c>
      <c r="AD208" s="825">
        <v>758</v>
      </c>
      <c r="AE208" s="825">
        <v>782</v>
      </c>
      <c r="AF208" s="825">
        <v>807</v>
      </c>
      <c r="AG208" s="825">
        <v>820</v>
      </c>
      <c r="AH208" s="825">
        <v>824</v>
      </c>
      <c r="AI208" s="825">
        <v>823</v>
      </c>
      <c r="AJ208" s="825">
        <v>831</v>
      </c>
      <c r="AK208" s="825">
        <v>884</v>
      </c>
      <c r="AL208" s="825">
        <v>893</v>
      </c>
      <c r="AM208" s="825">
        <v>956</v>
      </c>
      <c r="AN208" s="825">
        <v>959</v>
      </c>
      <c r="AO208" s="825">
        <v>965</v>
      </c>
    </row>
    <row r="209" hidden="1">
      <c r="A209" s="835" t="s">
        <v>24</v>
      </c>
      <c r="B209" s="827">
        <v>382</v>
      </c>
      <c r="C209" s="827">
        <v>385</v>
      </c>
      <c r="D209" s="827">
        <v>415</v>
      </c>
      <c r="E209" s="827">
        <v>416</v>
      </c>
      <c r="F209" s="827">
        <v>428</v>
      </c>
      <c r="G209" s="827">
        <v>453</v>
      </c>
      <c r="H209" s="827">
        <v>477</v>
      </c>
      <c r="I209" s="827">
        <v>494</v>
      </c>
      <c r="J209" s="827">
        <v>785</v>
      </c>
      <c r="K209" s="827">
        <v>984</v>
      </c>
      <c r="L209" s="827">
        <v>1741</v>
      </c>
      <c r="M209" s="827">
        <v>2286</v>
      </c>
      <c r="N209" s="827">
        <v>2772</v>
      </c>
      <c r="O209" s="827">
        <v>3044</v>
      </c>
      <c r="P209" s="827">
        <v>3248</v>
      </c>
      <c r="Q209" s="827">
        <v>3397</v>
      </c>
      <c r="R209" s="827">
        <v>3551</v>
      </c>
      <c r="S209" s="827">
        <v>3875</v>
      </c>
      <c r="T209" s="827">
        <v>4532</v>
      </c>
      <c r="U209" s="827">
        <v>4897</v>
      </c>
      <c r="V209" s="827">
        <v>5260</v>
      </c>
      <c r="W209" s="827">
        <v>5545</v>
      </c>
      <c r="X209" s="827">
        <v>5775</v>
      </c>
      <c r="Y209" s="827">
        <v>6008</v>
      </c>
      <c r="Z209" s="827">
        <v>6131</v>
      </c>
      <c r="AA209" s="827">
        <v>6304</v>
      </c>
      <c r="AB209" s="828">
        <v>6449</v>
      </c>
      <c r="AC209" s="828">
        <v>6607</v>
      </c>
      <c r="AD209" s="828">
        <v>6686</v>
      </c>
      <c r="AE209" s="828">
        <v>6902</v>
      </c>
      <c r="AF209" s="828">
        <v>7070</v>
      </c>
      <c r="AG209" s="828">
        <v>7273</v>
      </c>
      <c r="AH209" s="828">
        <v>7611</v>
      </c>
      <c r="AI209" s="828">
        <v>7816</v>
      </c>
      <c r="AJ209" s="828">
        <v>7995</v>
      </c>
      <c r="AK209" s="828">
        <v>8141</v>
      </c>
      <c r="AL209" s="828">
        <v>8260</v>
      </c>
      <c r="AM209" s="828">
        <v>8689</v>
      </c>
      <c r="AN209" s="828">
        <v>8855</v>
      </c>
      <c r="AO209" s="828">
        <v>9116</v>
      </c>
    </row>
    <row r="210" hidden="1">
      <c r="A210" s="829" t="s">
        <v>25</v>
      </c>
      <c r="B210" s="823">
        <v>0</v>
      </c>
      <c r="C210" s="823">
        <v>0</v>
      </c>
      <c r="D210" s="823">
        <v>0</v>
      </c>
      <c r="E210" s="823">
        <v>0</v>
      </c>
      <c r="F210" s="823">
        <v>0</v>
      </c>
      <c r="G210" s="823">
        <v>2</v>
      </c>
      <c r="H210" s="823">
        <v>2</v>
      </c>
      <c r="I210" s="823">
        <v>2</v>
      </c>
      <c r="J210" s="823">
        <v>2</v>
      </c>
      <c r="K210" s="823">
        <v>2</v>
      </c>
      <c r="L210" s="823">
        <v>2</v>
      </c>
      <c r="M210" s="823">
        <v>3</v>
      </c>
      <c r="N210" s="823">
        <v>3</v>
      </c>
      <c r="O210" s="823">
        <v>3</v>
      </c>
      <c r="P210" s="823">
        <v>3</v>
      </c>
      <c r="Q210" s="823">
        <v>3</v>
      </c>
      <c r="R210" s="823">
        <v>3</v>
      </c>
      <c r="S210" s="823">
        <v>3</v>
      </c>
      <c r="T210" s="823">
        <v>3</v>
      </c>
      <c r="U210" s="823">
        <v>3</v>
      </c>
      <c r="V210" s="823">
        <v>3</v>
      </c>
      <c r="W210" s="823">
        <v>3</v>
      </c>
      <c r="X210" s="823">
        <v>3</v>
      </c>
      <c r="Y210" s="823">
        <v>3</v>
      </c>
      <c r="Z210" s="823">
        <v>4</v>
      </c>
      <c r="AA210" s="823">
        <v>4</v>
      </c>
      <c r="AB210" s="825">
        <v>4</v>
      </c>
      <c r="AC210" s="825">
        <v>3</v>
      </c>
      <c r="AD210" s="825">
        <v>3</v>
      </c>
      <c r="AE210" s="825">
        <v>3</v>
      </c>
      <c r="AF210" s="825">
        <v>3</v>
      </c>
      <c r="AG210" s="825">
        <v>3</v>
      </c>
      <c r="AH210" s="825">
        <v>3</v>
      </c>
      <c r="AI210" s="825">
        <v>3</v>
      </c>
      <c r="AJ210" s="825">
        <v>3</v>
      </c>
      <c r="AK210" s="825">
        <v>3</v>
      </c>
      <c r="AL210" s="825">
        <v>3</v>
      </c>
      <c r="AM210" s="825">
        <v>4</v>
      </c>
      <c r="AN210" s="825">
        <v>4</v>
      </c>
      <c r="AO210" s="825">
        <v>5</v>
      </c>
    </row>
    <row r="211" hidden="1" ht="13.5">
      <c r="A211" s="836" t="s">
        <v>26</v>
      </c>
      <c r="B211" s="827">
        <v>0</v>
      </c>
      <c r="C211" s="827">
        <v>0</v>
      </c>
      <c r="D211" s="827">
        <v>0</v>
      </c>
      <c r="E211" s="827">
        <v>0</v>
      </c>
      <c r="F211" s="827">
        <v>0</v>
      </c>
      <c r="G211" s="827">
        <v>1</v>
      </c>
      <c r="H211" s="827">
        <v>1</v>
      </c>
      <c r="I211" s="827">
        <v>1</v>
      </c>
      <c r="J211" s="827">
        <v>1</v>
      </c>
      <c r="K211" s="827">
        <v>6</v>
      </c>
      <c r="L211" s="827">
        <v>6</v>
      </c>
      <c r="M211" s="827">
        <v>6</v>
      </c>
      <c r="N211" s="827">
        <v>6</v>
      </c>
      <c r="O211" s="827">
        <v>6</v>
      </c>
      <c r="P211" s="827">
        <v>7</v>
      </c>
      <c r="Q211" s="827">
        <v>7</v>
      </c>
      <c r="R211" s="827">
        <v>8</v>
      </c>
      <c r="S211" s="827">
        <v>8</v>
      </c>
      <c r="T211" s="827">
        <v>12</v>
      </c>
      <c r="U211" s="827">
        <v>13</v>
      </c>
      <c r="V211" s="827">
        <v>12</v>
      </c>
      <c r="W211" s="827">
        <v>12</v>
      </c>
      <c r="X211" s="827">
        <v>12</v>
      </c>
      <c r="Y211" s="827">
        <v>12</v>
      </c>
      <c r="Z211" s="827">
        <v>12</v>
      </c>
      <c r="AA211" s="837">
        <v>12</v>
      </c>
      <c r="AB211" s="828">
        <v>12</v>
      </c>
      <c r="AC211" s="828">
        <v>13</v>
      </c>
      <c r="AD211" s="828">
        <v>13</v>
      </c>
      <c r="AE211" s="828">
        <v>13</v>
      </c>
      <c r="AF211" s="828">
        <v>13</v>
      </c>
      <c r="AG211" s="828">
        <v>13</v>
      </c>
      <c r="AH211" s="828">
        <v>13</v>
      </c>
      <c r="AI211" s="828">
        <v>13</v>
      </c>
      <c r="AJ211" s="828">
        <v>13</v>
      </c>
      <c r="AK211" s="828">
        <v>13</v>
      </c>
      <c r="AL211" s="828">
        <v>14</v>
      </c>
      <c r="AM211" s="828">
        <v>14</v>
      </c>
      <c r="AN211" s="828">
        <v>15</v>
      </c>
      <c r="AO211" s="828">
        <v>15</v>
      </c>
    </row>
    <row r="212" hidden="1" ht="13.5">
      <c r="A212" s="128" t="s">
        <v>7</v>
      </c>
      <c r="B212" s="129" t="str">
        <f>IF(SUM(B193:B211)&lt;&gt;0,SUM(B193:B211),"")</f>
      </c>
      <c r="C212" s="129" t="str">
        <f ref="C212:Z212" t="shared" si="20">IF(SUM(C193:C211)&lt;&gt;0,SUM(C193:C211),"")</f>
      </c>
      <c r="D212" s="129" t="str">
        <f t="shared" si="20"/>
      </c>
      <c r="E212" s="129" t="str">
        <f t="shared" si="20"/>
      </c>
      <c r="F212" s="129" t="str">
        <f t="shared" si="20"/>
      </c>
      <c r="G212" s="129" t="str">
        <f t="shared" si="20"/>
      </c>
      <c r="H212" s="129" t="str">
        <f t="shared" si="20"/>
      </c>
      <c r="I212" s="129" t="str">
        <f t="shared" si="20"/>
      </c>
      <c r="J212" s="129" t="str">
        <f t="shared" si="20"/>
      </c>
      <c r="K212" s="129" t="str">
        <f t="shared" si="20"/>
      </c>
      <c r="L212" s="129" t="str">
        <f t="shared" si="20"/>
      </c>
      <c r="M212" s="129" t="str">
        <f t="shared" si="20"/>
      </c>
      <c r="N212" s="129" t="str">
        <f t="shared" si="20"/>
      </c>
      <c r="O212" s="129" t="str">
        <f t="shared" si="20"/>
      </c>
      <c r="P212" s="129" t="str">
        <f t="shared" si="20"/>
      </c>
      <c r="Q212" s="129" t="str">
        <f t="shared" si="20"/>
      </c>
      <c r="R212" s="129" t="str">
        <f t="shared" si="20"/>
      </c>
      <c r="S212" s="129" t="str">
        <f t="shared" si="20"/>
      </c>
      <c r="T212" s="129" t="str">
        <f t="shared" si="20"/>
      </c>
      <c r="U212" s="129" t="str">
        <f t="shared" si="20"/>
      </c>
      <c r="V212" s="129" t="str">
        <f t="shared" si="20"/>
      </c>
      <c r="W212" s="129" t="str">
        <f t="shared" si="20"/>
      </c>
      <c r="X212" s="129" t="str">
        <f t="shared" si="20"/>
      </c>
      <c r="Y212" s="129" t="str">
        <f t="shared" si="20"/>
      </c>
      <c r="Z212" s="129" t="str">
        <f t="shared" si="20"/>
      </c>
      <c r="AA212" s="130" t="str">
        <f>IF(SUM(AA193:AA211)&lt;&gt;0,SUM(AA193:AA211),"")</f>
      </c>
      <c r="AB212" s="91" t="str">
        <f ref="AB212:CM212" t="shared" si="21">IF(SUM(AB193:AB211)&lt;&gt;0,SUM(AB193:AB211),"")</f>
      </c>
      <c r="AC212" s="91" t="str">
        <f t="shared" si="21"/>
      </c>
      <c r="AD212" s="91" t="str">
        <f t="shared" si="21"/>
      </c>
      <c r="AE212" s="91" t="str">
        <f t="shared" si="21"/>
      </c>
      <c r="AF212" s="91" t="str">
        <f t="shared" si="21"/>
      </c>
      <c r="AG212" s="91" t="str">
        <f t="shared" si="21"/>
      </c>
      <c r="AH212" s="91" t="str">
        <f t="shared" si="21"/>
      </c>
      <c r="AI212" s="91" t="str">
        <f t="shared" si="21"/>
      </c>
      <c r="AJ212" s="91" t="str">
        <f t="shared" si="21"/>
      </c>
      <c r="AK212" s="91" t="str">
        <f t="shared" si="21"/>
      </c>
      <c r="AL212" s="91" t="str">
        <f t="shared" si="21"/>
      </c>
      <c r="AM212" s="91" t="str">
        <f t="shared" si="21"/>
      </c>
      <c r="AN212" s="91" t="str">
        <f t="shared" si="21"/>
      </c>
      <c r="AO212" s="91" t="str">
        <f t="shared" si="21"/>
      </c>
      <c r="AP212" s="91" t="str">
        <f t="shared" si="21"/>
      </c>
      <c r="AQ212" s="91" t="str">
        <f t="shared" si="21"/>
      </c>
      <c r="AR212" s="91" t="str">
        <f t="shared" si="21"/>
      </c>
      <c r="AS212" s="91" t="str">
        <f t="shared" si="21"/>
      </c>
      <c r="AT212" s="91" t="str">
        <f t="shared" si="21"/>
      </c>
      <c r="AU212" s="91" t="str">
        <f t="shared" si="21"/>
      </c>
      <c r="AV212" s="91" t="str">
        <f t="shared" si="21"/>
      </c>
      <c r="AW212" s="91" t="str">
        <f t="shared" si="21"/>
      </c>
      <c r="AX212" s="91" t="str">
        <f t="shared" si="21"/>
      </c>
      <c r="AY212" s="91" t="str">
        <f t="shared" si="21"/>
      </c>
      <c r="AZ212" s="91" t="str">
        <f t="shared" si="21"/>
      </c>
      <c r="BA212" s="91" t="str">
        <f t="shared" si="21"/>
      </c>
      <c r="BB212" s="91" t="str">
        <f t="shared" si="21"/>
      </c>
      <c r="BC212" s="91" t="str">
        <f t="shared" si="21"/>
      </c>
      <c r="BD212" s="91" t="str">
        <f t="shared" si="21"/>
      </c>
      <c r="BE212" s="91" t="str">
        <f t="shared" si="21"/>
      </c>
      <c r="BF212" s="91" t="str">
        <f t="shared" si="21"/>
      </c>
      <c r="BG212" s="91" t="str">
        <f t="shared" si="21"/>
      </c>
      <c r="BH212" s="91" t="str">
        <f t="shared" si="21"/>
      </c>
      <c r="BI212" s="91" t="str">
        <f t="shared" si="21"/>
      </c>
      <c r="BJ212" s="91" t="str">
        <f t="shared" si="21"/>
      </c>
      <c r="BK212" s="91" t="str">
        <f t="shared" si="21"/>
      </c>
      <c r="BL212" s="91" t="str">
        <f t="shared" si="21"/>
      </c>
      <c r="BM212" s="91" t="str">
        <f t="shared" si="21"/>
      </c>
      <c r="BN212" s="91" t="str">
        <f t="shared" si="21"/>
      </c>
      <c r="BO212" s="91" t="str">
        <f t="shared" si="21"/>
      </c>
      <c r="BP212" s="91" t="str">
        <f t="shared" si="21"/>
      </c>
      <c r="BQ212" s="91" t="str">
        <f t="shared" si="21"/>
      </c>
      <c r="BR212" s="91" t="str">
        <f t="shared" si="21"/>
      </c>
      <c r="BS212" s="91" t="str">
        <f t="shared" si="21"/>
      </c>
      <c r="BT212" s="91" t="str">
        <f t="shared" si="21"/>
      </c>
      <c r="BU212" s="91" t="str">
        <f t="shared" si="21"/>
      </c>
      <c r="BV212" s="91" t="str">
        <f t="shared" si="21"/>
      </c>
      <c r="BW212" s="91" t="str">
        <f t="shared" si="21"/>
      </c>
      <c r="BX212" s="91" t="str">
        <f t="shared" si="21"/>
      </c>
      <c r="BY212" s="91" t="str">
        <f t="shared" si="21"/>
      </c>
      <c r="BZ212" s="91" t="str">
        <f t="shared" si="21"/>
      </c>
      <c r="CA212" s="91" t="str">
        <f t="shared" si="21"/>
      </c>
      <c r="CB212" s="91" t="str">
        <f t="shared" si="21"/>
      </c>
      <c r="CC212" s="91" t="str">
        <f t="shared" si="21"/>
      </c>
      <c r="CD212" s="91" t="str">
        <f t="shared" si="21"/>
      </c>
      <c r="CE212" s="91" t="str">
        <f t="shared" si="21"/>
      </c>
      <c r="CF212" s="91" t="str">
        <f t="shared" si="21"/>
      </c>
      <c r="CG212" s="91" t="str">
        <f t="shared" si="21"/>
      </c>
      <c r="CH212" s="91" t="str">
        <f t="shared" si="21"/>
      </c>
      <c r="CI212" s="91" t="str">
        <f t="shared" si="21"/>
      </c>
      <c r="CJ212" s="91" t="str">
        <f t="shared" si="21"/>
      </c>
      <c r="CK212" s="91" t="str">
        <f t="shared" si="21"/>
      </c>
      <c r="CL212" s="91" t="str">
        <f t="shared" si="21"/>
      </c>
      <c r="CM212" s="91" t="str">
        <f t="shared" si="21"/>
      </c>
      <c r="CN212" s="91" t="str">
        <f ref="CN212:EY212" t="shared" si="22">IF(SUM(CN193:CN211)&lt;&gt;0,SUM(CN193:CN211),"")</f>
      </c>
      <c r="CO212" s="91" t="str">
        <f t="shared" si="22"/>
      </c>
      <c r="CP212" s="91" t="str">
        <f t="shared" si="22"/>
      </c>
      <c r="CQ212" s="91" t="str">
        <f t="shared" si="22"/>
      </c>
      <c r="CR212" s="91" t="str">
        <f t="shared" si="22"/>
      </c>
      <c r="CS212" s="91" t="str">
        <f t="shared" si="22"/>
      </c>
      <c r="CT212" s="91" t="str">
        <f t="shared" si="22"/>
      </c>
      <c r="CU212" s="91" t="str">
        <f t="shared" si="22"/>
      </c>
      <c r="CV212" s="91" t="str">
        <f t="shared" si="22"/>
      </c>
      <c r="CW212" s="91" t="str">
        <f t="shared" si="22"/>
      </c>
      <c r="CX212" s="91" t="str">
        <f t="shared" si="22"/>
      </c>
      <c r="CY212" s="91" t="str">
        <f t="shared" si="22"/>
      </c>
      <c r="CZ212" s="91" t="str">
        <f t="shared" si="22"/>
      </c>
      <c r="DA212" s="91" t="str">
        <f t="shared" si="22"/>
      </c>
      <c r="DB212" s="91" t="str">
        <f t="shared" si="22"/>
      </c>
      <c r="DC212" s="91" t="str">
        <f t="shared" si="22"/>
      </c>
      <c r="DD212" s="91" t="str">
        <f t="shared" si="22"/>
      </c>
      <c r="DE212" s="91" t="str">
        <f t="shared" si="22"/>
      </c>
      <c r="DF212" s="91" t="str">
        <f t="shared" si="22"/>
      </c>
      <c r="DG212" s="91" t="str">
        <f t="shared" si="22"/>
      </c>
      <c r="DH212" s="91" t="str">
        <f t="shared" si="22"/>
      </c>
      <c r="DI212" s="91" t="str">
        <f t="shared" si="22"/>
      </c>
      <c r="DJ212" s="91" t="str">
        <f t="shared" si="22"/>
      </c>
      <c r="DK212" s="91" t="str">
        <f t="shared" si="22"/>
      </c>
      <c r="DL212" s="91" t="str">
        <f t="shared" si="22"/>
      </c>
      <c r="DM212" s="91" t="str">
        <f t="shared" si="22"/>
      </c>
      <c r="DN212" s="91" t="str">
        <f t="shared" si="22"/>
      </c>
      <c r="DO212" s="91" t="str">
        <f t="shared" si="22"/>
      </c>
      <c r="DP212" s="91" t="str">
        <f t="shared" si="22"/>
      </c>
      <c r="DQ212" s="91" t="str">
        <f t="shared" si="22"/>
      </c>
      <c r="DR212" s="91" t="str">
        <f t="shared" si="22"/>
      </c>
      <c r="DS212" s="91" t="str">
        <f t="shared" si="22"/>
      </c>
      <c r="DT212" s="91" t="str">
        <f t="shared" si="22"/>
      </c>
      <c r="DU212" s="91" t="str">
        <f t="shared" si="22"/>
      </c>
      <c r="DV212" s="91" t="str">
        <f t="shared" si="22"/>
      </c>
      <c r="DW212" s="91" t="str">
        <f t="shared" si="22"/>
      </c>
      <c r="DX212" s="91" t="str">
        <f t="shared" si="22"/>
      </c>
      <c r="DY212" s="91" t="str">
        <f t="shared" si="22"/>
      </c>
      <c r="DZ212" s="91" t="str">
        <f t="shared" si="22"/>
      </c>
      <c r="EA212" s="91" t="str">
        <f t="shared" si="22"/>
      </c>
      <c r="EB212" s="91" t="str">
        <f t="shared" si="22"/>
      </c>
      <c r="EC212" s="91" t="str">
        <f t="shared" si="22"/>
      </c>
      <c r="ED212" s="91" t="str">
        <f t="shared" si="22"/>
      </c>
      <c r="EE212" s="91" t="str">
        <f t="shared" si="22"/>
      </c>
      <c r="EF212" s="91" t="str">
        <f t="shared" si="22"/>
      </c>
      <c r="EG212" s="91" t="str">
        <f t="shared" si="22"/>
      </c>
      <c r="EH212" s="91" t="str">
        <f t="shared" si="22"/>
      </c>
      <c r="EI212" s="91" t="str">
        <f t="shared" si="22"/>
      </c>
      <c r="EJ212" s="91" t="str">
        <f t="shared" si="22"/>
      </c>
      <c r="EK212" s="91" t="str">
        <f t="shared" si="22"/>
      </c>
      <c r="EL212" s="91" t="str">
        <f t="shared" si="22"/>
      </c>
      <c r="EM212" s="91" t="str">
        <f t="shared" si="22"/>
      </c>
      <c r="EN212" s="91" t="str">
        <f t="shared" si="22"/>
      </c>
      <c r="EO212" s="91" t="str">
        <f t="shared" si="22"/>
      </c>
      <c r="EP212" s="91" t="str">
        <f t="shared" si="22"/>
      </c>
      <c r="EQ212" s="91" t="str">
        <f t="shared" si="22"/>
      </c>
      <c r="ER212" s="91" t="str">
        <f t="shared" si="22"/>
      </c>
      <c r="ES212" s="91" t="str">
        <f t="shared" si="22"/>
      </c>
      <c r="ET212" s="91" t="str">
        <f t="shared" si="22"/>
      </c>
      <c r="EU212" s="91" t="str">
        <f t="shared" si="22"/>
      </c>
      <c r="EV212" s="91" t="str">
        <f t="shared" si="22"/>
      </c>
      <c r="EW212" s="91" t="str">
        <f t="shared" si="22"/>
      </c>
      <c r="EX212" s="91" t="str">
        <f t="shared" si="22"/>
      </c>
      <c r="EY212" s="91" t="str">
        <f t="shared" si="22"/>
      </c>
      <c r="EZ212" s="91" t="str">
        <f ref="EZ212:HK212" t="shared" si="23">IF(SUM(EZ193:EZ211)&lt;&gt;0,SUM(EZ193:EZ211),"")</f>
      </c>
      <c r="FA212" s="91" t="str">
        <f t="shared" si="23"/>
      </c>
      <c r="FB212" s="91" t="str">
        <f t="shared" si="23"/>
      </c>
      <c r="FC212" s="91" t="str">
        <f t="shared" si="23"/>
      </c>
      <c r="FD212" s="91" t="str">
        <f t="shared" si="23"/>
      </c>
      <c r="FE212" s="91" t="str">
        <f t="shared" si="23"/>
      </c>
      <c r="FF212" s="91" t="str">
        <f t="shared" si="23"/>
      </c>
      <c r="FG212" s="91" t="str">
        <f t="shared" si="23"/>
      </c>
      <c r="FH212" s="91" t="str">
        <f t="shared" si="23"/>
      </c>
      <c r="FI212" s="91" t="str">
        <f t="shared" si="23"/>
      </c>
      <c r="FJ212" s="91" t="str">
        <f t="shared" si="23"/>
      </c>
      <c r="FK212" s="91" t="str">
        <f t="shared" si="23"/>
      </c>
      <c r="FL212" s="91" t="str">
        <f t="shared" si="23"/>
      </c>
      <c r="FM212" s="91" t="str">
        <f t="shared" si="23"/>
      </c>
      <c r="FN212" s="91" t="str">
        <f t="shared" si="23"/>
      </c>
      <c r="FO212" s="91" t="str">
        <f t="shared" si="23"/>
      </c>
      <c r="FP212" s="91" t="str">
        <f t="shared" si="23"/>
      </c>
      <c r="FQ212" s="91" t="str">
        <f t="shared" si="23"/>
      </c>
      <c r="FR212" s="91" t="str">
        <f t="shared" si="23"/>
      </c>
      <c r="FS212" s="91" t="str">
        <f t="shared" si="23"/>
      </c>
      <c r="FT212" s="91" t="str">
        <f t="shared" si="23"/>
      </c>
      <c r="FU212" s="91" t="str">
        <f t="shared" si="23"/>
      </c>
      <c r="FV212" s="91" t="str">
        <f t="shared" si="23"/>
      </c>
      <c r="FW212" s="91" t="str">
        <f t="shared" si="23"/>
      </c>
      <c r="FX212" s="91" t="str">
        <f t="shared" si="23"/>
      </c>
      <c r="FY212" s="91" t="str">
        <f t="shared" si="23"/>
      </c>
      <c r="FZ212" s="91" t="str">
        <f t="shared" si="23"/>
      </c>
      <c r="GA212" s="91" t="str">
        <f t="shared" si="23"/>
      </c>
      <c r="GB212" s="91" t="str">
        <f t="shared" si="23"/>
      </c>
      <c r="GC212" s="91" t="str">
        <f t="shared" si="23"/>
      </c>
      <c r="GD212" s="91" t="str">
        <f t="shared" si="23"/>
      </c>
      <c r="GE212" s="91" t="str">
        <f t="shared" si="23"/>
      </c>
      <c r="GF212" s="91" t="str">
        <f t="shared" si="23"/>
      </c>
      <c r="GG212" s="91" t="str">
        <f t="shared" si="23"/>
      </c>
      <c r="GH212" s="91" t="str">
        <f t="shared" si="23"/>
      </c>
      <c r="GI212" s="91" t="str">
        <f t="shared" si="23"/>
      </c>
      <c r="GJ212" s="91" t="str">
        <f t="shared" si="23"/>
      </c>
      <c r="GK212" s="91" t="str">
        <f t="shared" si="23"/>
      </c>
      <c r="GL212" s="91" t="str">
        <f t="shared" si="23"/>
      </c>
      <c r="GM212" s="91" t="str">
        <f t="shared" si="23"/>
      </c>
      <c r="GN212" s="91" t="str">
        <f t="shared" si="23"/>
      </c>
      <c r="GO212" s="91" t="str">
        <f t="shared" si="23"/>
      </c>
      <c r="GP212" s="91" t="str">
        <f t="shared" si="23"/>
      </c>
      <c r="GQ212" s="91" t="str">
        <f t="shared" si="23"/>
      </c>
      <c r="GR212" s="91" t="str">
        <f t="shared" si="23"/>
      </c>
      <c r="GS212" s="91" t="str">
        <f t="shared" si="23"/>
      </c>
      <c r="GT212" s="91" t="str">
        <f t="shared" si="23"/>
      </c>
      <c r="GU212" s="91" t="str">
        <f t="shared" si="23"/>
      </c>
      <c r="GV212" s="91" t="str">
        <f t="shared" si="23"/>
      </c>
      <c r="GW212" s="91" t="str">
        <f t="shared" si="23"/>
      </c>
      <c r="GX212" s="91" t="str">
        <f t="shared" si="23"/>
      </c>
      <c r="GY212" s="91" t="str">
        <f t="shared" si="23"/>
      </c>
      <c r="GZ212" s="91" t="str">
        <f t="shared" si="23"/>
      </c>
      <c r="HA212" s="91" t="str">
        <f t="shared" si="23"/>
      </c>
      <c r="HB212" s="91" t="str">
        <f t="shared" si="23"/>
      </c>
      <c r="HC212" s="91" t="str">
        <f t="shared" si="23"/>
      </c>
      <c r="HD212" s="91" t="str">
        <f t="shared" si="23"/>
      </c>
      <c r="HE212" s="91" t="str">
        <f t="shared" si="23"/>
      </c>
      <c r="HF212" s="91" t="str">
        <f t="shared" si="23"/>
      </c>
      <c r="HG212" s="91" t="str">
        <f t="shared" si="23"/>
      </c>
      <c r="HH212" s="91" t="str">
        <f t="shared" si="23"/>
      </c>
      <c r="HI212" s="91" t="str">
        <f t="shared" si="23"/>
      </c>
      <c r="HJ212" s="91" t="str">
        <f t="shared" si="23"/>
      </c>
      <c r="HK212" s="91" t="str">
        <f t="shared" si="23"/>
      </c>
      <c r="HL212" s="91" t="str">
        <f ref="HL212:IU212" t="shared" si="24">IF(SUM(HL193:HL211)&lt;&gt;0,SUM(HL193:HL211),"")</f>
      </c>
      <c r="HM212" s="91" t="str">
        <f t="shared" si="24"/>
      </c>
      <c r="HN212" s="91" t="str">
        <f t="shared" si="24"/>
      </c>
      <c r="HO212" s="91" t="str">
        <f t="shared" si="24"/>
      </c>
      <c r="HP212" s="91" t="str">
        <f t="shared" si="24"/>
      </c>
      <c r="HQ212" s="91" t="str">
        <f t="shared" si="24"/>
      </c>
      <c r="HR212" s="91" t="str">
        <f t="shared" si="24"/>
      </c>
      <c r="HS212" s="91" t="str">
        <f t="shared" si="24"/>
      </c>
      <c r="HT212" s="91" t="str">
        <f t="shared" si="24"/>
      </c>
      <c r="HU212" s="91" t="str">
        <f t="shared" si="24"/>
      </c>
      <c r="HV212" s="91" t="str">
        <f t="shared" si="24"/>
      </c>
      <c r="HW212" s="91" t="str">
        <f t="shared" si="24"/>
      </c>
      <c r="HX212" s="91" t="str">
        <f t="shared" si="24"/>
      </c>
      <c r="HY212" s="91" t="str">
        <f t="shared" si="24"/>
      </c>
      <c r="HZ212" s="91" t="str">
        <f t="shared" si="24"/>
      </c>
      <c r="IA212" s="91" t="str">
        <f t="shared" si="24"/>
      </c>
      <c r="IB212" s="91" t="str">
        <f t="shared" si="24"/>
      </c>
      <c r="IC212" s="91" t="str">
        <f t="shared" si="24"/>
      </c>
      <c r="ID212" s="91" t="str">
        <f t="shared" si="24"/>
      </c>
      <c r="IE212" s="91" t="str">
        <f t="shared" si="24"/>
      </c>
      <c r="IF212" s="91" t="str">
        <f t="shared" si="24"/>
      </c>
      <c r="IG212" s="91" t="str">
        <f t="shared" si="24"/>
      </c>
      <c r="IH212" s="91" t="str">
        <f t="shared" si="24"/>
      </c>
      <c r="II212" s="91" t="str">
        <f t="shared" si="24"/>
      </c>
      <c r="IJ212" s="91" t="str">
        <f t="shared" si="24"/>
      </c>
      <c r="IK212" s="91" t="str">
        <f t="shared" si="24"/>
      </c>
      <c r="IL212" s="91" t="str">
        <f t="shared" si="24"/>
      </c>
      <c r="IM212" s="91" t="str">
        <f t="shared" si="24"/>
      </c>
      <c r="IN212" s="91" t="str">
        <f t="shared" si="24"/>
      </c>
      <c r="IO212" s="91" t="str">
        <f t="shared" si="24"/>
      </c>
      <c r="IP212" s="91" t="str">
        <f t="shared" si="24"/>
      </c>
      <c r="IQ212" s="91" t="str">
        <f t="shared" si="24"/>
      </c>
      <c r="IR212" s="91" t="str">
        <f t="shared" si="24"/>
      </c>
      <c r="IS212" s="91" t="str">
        <f t="shared" si="24"/>
      </c>
      <c r="IT212" s="91" t="str">
        <f t="shared" si="24"/>
      </c>
      <c r="IU212" s="91" t="str">
        <f t="shared" si="24"/>
      </c>
    </row>
    <row r="213" hidden="1" ht="13.5"/>
    <row r="214" hidden="1" ht="13.5" customHeight="1">
      <c r="B214" s="614" t="s">
        <v>325</v>
      </c>
      <c r="C214" s="615"/>
      <c r="D214" s="615"/>
      <c r="E214" s="615"/>
      <c r="F214" s="615"/>
      <c r="G214" s="615"/>
      <c r="H214" s="615"/>
      <c r="I214" s="615"/>
      <c r="J214" s="615"/>
      <c r="K214" s="615"/>
      <c r="L214" s="615"/>
      <c r="M214" s="615"/>
      <c r="N214" s="615"/>
      <c r="O214" s="615"/>
      <c r="P214" s="615"/>
      <c r="Q214" s="615"/>
      <c r="R214" s="615"/>
      <c r="S214" s="615"/>
      <c r="T214" s="615"/>
      <c r="U214" s="615"/>
      <c r="V214" s="615"/>
      <c r="W214" s="615"/>
      <c r="X214" s="615"/>
      <c r="Y214" s="615"/>
      <c r="Z214" s="615"/>
      <c r="AA214" s="616"/>
    </row>
    <row r="215" hidden="1" ht="13.5">
      <c r="B215" s="435" t="str">
        <f> IF(B235&lt;&gt;"",TEXT(AUX!G$1,"dd-MMM-aa"),"")</f>
      </c>
      <c r="C215" s="435" t="str">
        <f> IF(C235&lt;&gt;"",TEXT(AUX!H$1,"dd-MMM-aa"),"")</f>
      </c>
      <c r="D215" s="435" t="str">
        <f> IF(D235&lt;&gt;"",TEXT(AUX!I$1,"dd-MMM-aa"),"")</f>
      </c>
      <c r="E215" s="435" t="str">
        <f> IF(E235&lt;&gt;"",TEXT(AUX!J$1,"dd-MMM-aa"),"")</f>
      </c>
      <c r="F215" s="435" t="str">
        <f> IF(F235&lt;&gt;"",TEXT(AUX!K$1,"dd-MMM-aa"),"")</f>
      </c>
      <c r="G215" s="435" t="str">
        <f> IF(G235&lt;&gt;"",TEXT(AUX!L$1,"dd-MMM-aa"),"")</f>
      </c>
      <c r="H215" s="435" t="str">
        <f> IF(H235&lt;&gt;"",TEXT(AUX!M$1,"dd-MMM-aa"),"")</f>
      </c>
      <c r="I215" s="435" t="str">
        <f> IF(I235&lt;&gt;"",TEXT(AUX!N$1,"dd-MMM-aa"),"")</f>
      </c>
      <c r="J215" s="435" t="str">
        <f> IF(J235&lt;&gt;"",TEXT(AUX!O$1,"dd-MMM-aa"),"")</f>
      </c>
      <c r="K215" s="435" t="str">
        <f> IF(K235&lt;&gt;"",TEXT(AUX!P$1,"dd-MMM-aa"),"")</f>
      </c>
      <c r="L215" s="435" t="str">
        <f> IF(L235&lt;&gt;"",TEXT(AUX!Q$1,"dd-MMM-aa"),"")</f>
      </c>
      <c r="M215" s="435" t="str">
        <f> IF(M235&lt;&gt;"",TEXT(AUX!R$1,"dd-MMM-aa"),"")</f>
      </c>
      <c r="N215" s="435" t="str">
        <f> IF(N235&lt;&gt;"",TEXT(AUX!S$1,"dd-MMM-aa"),"")</f>
      </c>
      <c r="O215" s="435" t="str">
        <f> IF(O235&lt;&gt;"",TEXT(AUX!T$1,"dd-MMM-aa"),"")</f>
      </c>
      <c r="P215" s="435" t="str">
        <f> IF(P235&lt;&gt;"",TEXT(AUX!U$1,"dd-MMM-aa"),"")</f>
      </c>
      <c r="Q215" s="435" t="str">
        <f> IF(Q235&lt;&gt;"",TEXT(AUX!V$1,"dd-MMM-aa"),"")</f>
      </c>
      <c r="R215" s="435" t="str">
        <f> IF(R235&lt;&gt;"",TEXT(AUX!W$1,"dd-MMM-aa"),"")</f>
      </c>
      <c r="S215" s="435" t="str">
        <f> IF(S235&lt;&gt;"",TEXT(AUX!X$1,"dd-MMM-aa"),"")</f>
      </c>
      <c r="T215" s="435" t="str">
        <f> IF(T235&lt;&gt;"",TEXT(AUX!Y$1,"dd-MMM-aa"),"")</f>
      </c>
      <c r="U215" s="435" t="str">
        <f> IF(U235&lt;&gt;"",TEXT(AUX!Z$1,"dd-MMM-aa"),"")</f>
      </c>
      <c r="V215" s="435" t="str">
        <f> IF(V235&lt;&gt;"",TEXT(AUX!AA$1,"dd-MMM-aa"),"")</f>
      </c>
      <c r="W215" s="435" t="str">
        <f> IF(W235&lt;&gt;"",TEXT(AUX!AB$1,"dd-MMM-aa"),"")</f>
      </c>
      <c r="X215" s="435" t="str">
        <f> IF(X235&lt;&gt;"",TEXT(AUX!AC$1,"dd-MMM-aa"),"")</f>
      </c>
      <c r="Y215" s="435" t="str">
        <f> IF(Y235&lt;&gt;"",TEXT(AUX!AD$1,"dd-MMM-aa"),"")</f>
      </c>
      <c r="Z215" s="435" t="str">
        <f> IF(Z235&lt;&gt;"",TEXT(AUX!AE$1,"dd-MMM-aa"),"")</f>
      </c>
      <c r="AA215" s="497" t="str">
        <f> IF(AA235&lt;&gt;"",TEXT(AUX!AF$1,"dd-MMM-aa"),"")</f>
      </c>
      <c r="AB215" s="496" t="str">
        <f> IF(AB235&lt;&gt;"",TEXT(AUX!AG$1,"dd-MMM-aa"),"")</f>
      </c>
      <c r="AC215" s="496" t="str">
        <f> IF(AC235&lt;&gt;"",TEXT(AUX!AH$1,"dd-MMM-aa"),"")</f>
      </c>
      <c r="AD215" s="496" t="str">
        <f> IF(AD235&lt;&gt;"",TEXT(AUX!AI$1,"dd-MMM-aa"),"")</f>
      </c>
      <c r="AE215" s="496" t="str">
        <f> IF(AE235&lt;&gt;"",TEXT(AUX!AJ$1,"dd-MMM-aa"),"")</f>
      </c>
      <c r="AF215" s="496" t="str">
        <f> IF(AF235&lt;&gt;"",TEXT(AUX!AK$1,"dd-MMM-aa"),"")</f>
      </c>
      <c r="AG215" s="496" t="str">
        <f> IF(AG235&lt;&gt;"",TEXT(AUX!AL$1,"dd-MMM-aa"),"")</f>
      </c>
      <c r="AH215" s="496" t="str">
        <f> IF(AH235&lt;&gt;"",TEXT(AUX!AM$1,"dd-MMM-aa"),"")</f>
      </c>
      <c r="AI215" s="496" t="str">
        <f> IF(AI235&lt;&gt;"",TEXT(AUX!AN$1,"dd-MMM-aa"),"")</f>
      </c>
      <c r="AJ215" s="496" t="str">
        <f> IF(AJ235&lt;&gt;"",TEXT(AUX!AO$1,"dd-MMM-aa"),"")</f>
      </c>
      <c r="AK215" s="496" t="str">
        <f> IF(AK235&lt;&gt;"",TEXT(AUX!AP$1,"dd-MMM-aa"),"")</f>
      </c>
      <c r="AL215" s="496" t="str">
        <f> IF(AL235&lt;&gt;"",TEXT(AUX!AQ$1,"dd-MMM-aa"),"")</f>
      </c>
      <c r="AM215" s="496" t="str">
        <f> IF(AM235&lt;&gt;"",TEXT(AUX!AR$1,"dd-MMM-aa"),"")</f>
      </c>
      <c r="AN215" s="496" t="str">
        <f> IF(AN235&lt;&gt;"",TEXT(AUX!AS$1,"dd-MMM-aa"),"")</f>
      </c>
      <c r="AO215" s="496" t="str">
        <f> IF(AO235&lt;&gt;"",TEXT(AUX!AT$1,"dd-MMM-aa"),"")</f>
      </c>
      <c r="AP215" s="496" t="str">
        <f> IF(AP235&lt;&gt;"",TEXT(AUX!AU$1,"dd-MMM-aa"),"")</f>
      </c>
      <c r="AQ215" s="496" t="str">
        <f> IF(AQ235&lt;&gt;"",TEXT(AUX!AV$1,"dd-MMM-aa"),"")</f>
      </c>
      <c r="AR215" s="496" t="str">
        <f> IF(AR235&lt;&gt;"",TEXT(AUX!AW$1,"dd-MMM-aa"),"")</f>
      </c>
      <c r="AS215" s="496" t="str">
        <f> IF(AS235&lt;&gt;"",TEXT(AUX!AX$1,"dd-MMM-aa"),"")</f>
      </c>
      <c r="AT215" s="496" t="str">
        <f> IF(AT235&lt;&gt;"",TEXT(AUX!AY$1,"dd-MMM-aa"),"")</f>
      </c>
      <c r="AU215" s="496" t="str">
        <f> IF(AU235&lt;&gt;"",TEXT(AUX!AZ$1,"dd-MMM-aa"),"")</f>
      </c>
      <c r="AV215" s="496" t="str">
        <f> IF(AV235&lt;&gt;"",TEXT(AUX!BA$1,"dd-MMM-aa"),"")</f>
      </c>
      <c r="AW215" s="496" t="str">
        <f> IF(AW235&lt;&gt;"",TEXT(AUX!BB$1,"dd-MMM-aa"),"")</f>
      </c>
      <c r="AX215" s="496" t="str">
        <f> IF(AX235&lt;&gt;"",TEXT(AUX!BC$1,"dd-MMM-aa"),"")</f>
      </c>
      <c r="AY215" s="496" t="str">
        <f> IF(AY235&lt;&gt;"",TEXT(AUX!BD$1,"dd-MMM-aa"),"")</f>
      </c>
      <c r="AZ215" s="496" t="str">
        <f> IF(AZ235&lt;&gt;"",TEXT(AUX!BE$1,"dd-MMM-aa"),"")</f>
      </c>
      <c r="BA215" s="496" t="str">
        <f> IF(BA235&lt;&gt;"",TEXT(AUX!BF$1,"dd-MMM-aa"),"")</f>
      </c>
      <c r="BB215" s="496" t="str">
        <f> IF(BB235&lt;&gt;"",TEXT(AUX!BG$1,"dd-MMM-aa"),"")</f>
      </c>
      <c r="BC215" s="496" t="str">
        <f> IF(BC235&lt;&gt;"",TEXT(AUX!BH$1,"dd-MMM-aa"),"")</f>
      </c>
      <c r="BD215" s="496" t="str">
        <f> IF(BD235&lt;&gt;"",TEXT(AUX!BI$1,"dd-MMM-aa"),"")</f>
      </c>
      <c r="BE215" s="496" t="str">
        <f> IF(BE235&lt;&gt;"",TEXT(AUX!BJ$1,"dd-MMM-aa"),"")</f>
      </c>
      <c r="BF215" s="496" t="str">
        <f> IF(BF235&lt;&gt;"",TEXT(AUX!BK$1,"dd-MMM-aa"),"")</f>
      </c>
      <c r="BG215" s="496" t="str">
        <f> IF(BG235&lt;&gt;"",TEXT(AUX!BL$1,"dd-MMM-aa"),"")</f>
      </c>
      <c r="BH215" s="496" t="str">
        <f> IF(BH235&lt;&gt;"",TEXT(AUX!BM$1,"dd-MMM-aa"),"")</f>
      </c>
      <c r="BI215" s="496" t="str">
        <f> IF(BI235&lt;&gt;"",TEXT(AUX!BN$1,"dd-MMM-aa"),"")</f>
      </c>
      <c r="BJ215" s="496" t="str">
        <f> IF(BJ235&lt;&gt;"",TEXT(AUX!BO$1,"dd-MMM-aa"),"")</f>
      </c>
      <c r="BK215" s="496" t="str">
        <f> IF(BK235&lt;&gt;"",TEXT(AUX!BP$1,"dd-MMM-aa"),"")</f>
      </c>
      <c r="BL215" s="496" t="str">
        <f> IF(BL235&lt;&gt;"",TEXT(AUX!BQ$1,"dd-MMM-aa"),"")</f>
      </c>
      <c r="BM215" s="496" t="str">
        <f> IF(BM235&lt;&gt;"",TEXT(AUX!BR$1,"dd-MMM-aa"),"")</f>
      </c>
      <c r="BN215" s="496" t="str">
        <f> IF(BN235&lt;&gt;"",TEXT(AUX!BS$1,"dd-MMM-aa"),"")</f>
      </c>
      <c r="BO215" s="496" t="str">
        <f> IF(BO235&lt;&gt;"",TEXT(AUX!BT$1,"dd-MMM-aa"),"")</f>
      </c>
      <c r="BP215" s="496" t="str">
        <f> IF(BP235&lt;&gt;"",TEXT(AUX!BU$1,"dd-MMM-aa"),"")</f>
      </c>
      <c r="BQ215" s="496" t="str">
        <f> IF(BQ235&lt;&gt;"",TEXT(AUX!BV$1,"dd-MMM-aa"),"")</f>
      </c>
      <c r="BR215" s="496" t="str">
        <f> IF(BR235&lt;&gt;"",TEXT(AUX!BW$1,"dd-MMM-aa"),"")</f>
      </c>
      <c r="BS215" s="496" t="str">
        <f> IF(BS235&lt;&gt;"",TEXT(AUX!BX$1,"dd-MMM-aa"),"")</f>
      </c>
      <c r="BT215" s="496" t="str">
        <f> IF(BT235&lt;&gt;"",TEXT(AUX!BY$1,"dd-MMM-aa"),"")</f>
      </c>
      <c r="BU215" s="496" t="str">
        <f> IF(BU235&lt;&gt;"",TEXT(AUX!BZ$1,"dd-MMM-aa"),"")</f>
      </c>
      <c r="BV215" s="496" t="str">
        <f> IF(BV235&lt;&gt;"",TEXT(AUX!CA$1,"dd-MMM-aa"),"")</f>
      </c>
      <c r="BW215" s="496" t="str">
        <f> IF(BW235&lt;&gt;"",TEXT(AUX!CB$1,"dd-MMM-aa"),"")</f>
      </c>
      <c r="BX215" s="496" t="str">
        <f> IF(BX235&lt;&gt;"",TEXT(AUX!CC$1,"dd-MMM-aa"),"")</f>
      </c>
      <c r="BY215" s="496" t="str">
        <f> IF(BY235&lt;&gt;"",TEXT(AUX!CD$1,"dd-MMM-aa"),"")</f>
      </c>
      <c r="BZ215" s="496" t="str">
        <f> IF(BZ235&lt;&gt;"",TEXT(AUX!CE$1,"dd-MMM-aa"),"")</f>
      </c>
      <c r="CA215" s="496" t="str">
        <f> IF(CA235&lt;&gt;"",TEXT(AUX!CF$1,"dd-MMM-aa"),"")</f>
      </c>
      <c r="CB215" s="496" t="str">
        <f> IF(CB235&lt;&gt;"",TEXT(AUX!CG$1,"dd-MMM-aa"),"")</f>
      </c>
      <c r="CC215" s="496" t="str">
        <f> IF(CC235&lt;&gt;"",TEXT(AUX!CH$1,"dd-MMM-aa"),"")</f>
      </c>
      <c r="CD215" s="496" t="str">
        <f> IF(CD235&lt;&gt;"",TEXT(AUX!CI$1,"dd-MMM-aa"),"")</f>
      </c>
      <c r="CE215" s="496" t="str">
        <f> IF(CE235&lt;&gt;"",TEXT(AUX!CJ$1,"dd-MMM-aa"),"")</f>
      </c>
      <c r="CF215" s="496" t="str">
        <f> IF(CF235&lt;&gt;"",TEXT(AUX!CK$1,"dd-MMM-aa"),"")</f>
      </c>
      <c r="CG215" s="496" t="str">
        <f> IF(CG235&lt;&gt;"",TEXT(AUX!CL$1,"dd-MMM-aa"),"")</f>
      </c>
      <c r="CH215" s="496" t="str">
        <f> IF(CH235&lt;&gt;"",TEXT(AUX!CM$1,"dd-MMM-aa"),"")</f>
      </c>
      <c r="CI215" s="496" t="str">
        <f> IF(CI235&lt;&gt;"",TEXT(AUX!CN$1,"dd-MMM-aa"),"")</f>
      </c>
      <c r="CJ215" s="496" t="str">
        <f> IF(CJ235&lt;&gt;"",TEXT(AUX!CO$1,"dd-MMM-aa"),"")</f>
      </c>
      <c r="CK215" s="496" t="str">
        <f> IF(CK235&lt;&gt;"",TEXT(AUX!CP$1,"dd-MMM-aa"),"")</f>
      </c>
      <c r="CL215" s="496" t="str">
        <f> IF(CL235&lt;&gt;"",TEXT(AUX!CQ$1,"dd-MMM-aa"),"")</f>
      </c>
      <c r="CM215" s="496" t="str">
        <f> IF(CM235&lt;&gt;"",TEXT(AUX!CR$1,"dd-MMM-aa"),"")</f>
      </c>
      <c r="CN215" s="496" t="str">
        <f> IF(CN235&lt;&gt;"",TEXT(AUX!CS$1,"dd-MMM-aa"),"")</f>
      </c>
      <c r="CO215" s="496" t="str">
        <f> IF(CO235&lt;&gt;"",TEXT(AUX!CT$1,"dd-MMM-aa"),"")</f>
      </c>
      <c r="CP215" s="496" t="str">
        <f> IF(CP235&lt;&gt;"",TEXT(AUX!CU$1,"dd-MMM-aa"),"")</f>
      </c>
      <c r="CQ215" s="496" t="str">
        <f> IF(CQ235&lt;&gt;"",TEXT(AUX!CV$1,"dd-MMM-aa"),"")</f>
      </c>
      <c r="CR215" s="496" t="str">
        <f> IF(CR235&lt;&gt;"",TEXT(AUX!CW$1,"dd-MMM-aa"),"")</f>
      </c>
      <c r="CS215" s="496" t="str">
        <f> IF(CS235&lt;&gt;"",TEXT(AUX!CX$1,"dd-MMM-aa"),"")</f>
      </c>
      <c r="CT215" s="496" t="str">
        <f> IF(CT235&lt;&gt;"",TEXT(AUX!CY$1,"dd-MMM-aa"),"")</f>
      </c>
      <c r="CU215" s="496" t="str">
        <f> IF(CU235&lt;&gt;"",TEXT(AUX!CZ$1,"dd-MMM-aa"),"")</f>
      </c>
      <c r="CV215" s="496" t="str">
        <f> IF(CV235&lt;&gt;"",TEXT(AUX!DA$1,"dd-MMM-aa"),"")</f>
      </c>
      <c r="CW215" s="496" t="str">
        <f> IF(CW235&lt;&gt;"",TEXT(AUX!DB$1,"dd-MMM-aa"),"")</f>
      </c>
      <c r="CX215" s="496" t="str">
        <f> IF(CX235&lt;&gt;"",TEXT(AUX!DC$1,"dd-MMM-aa"),"")</f>
      </c>
      <c r="CY215" s="496" t="str">
        <f> IF(CY235&lt;&gt;"",TEXT(AUX!DD$1,"dd-MMM-aa"),"")</f>
      </c>
      <c r="CZ215" s="496" t="str">
        <f> IF(CZ235&lt;&gt;"",TEXT(AUX!DE$1,"dd-MMM-aa"),"")</f>
      </c>
      <c r="DA215" s="496" t="str">
        <f> IF(DA235&lt;&gt;"",TEXT(AUX!DF$1,"dd-MMM-aa"),"")</f>
      </c>
      <c r="DB215" s="496" t="str">
        <f> IF(DB235&lt;&gt;"",TEXT(AUX!DG$1,"dd-MMM-aa"),"")</f>
      </c>
      <c r="DC215" s="496" t="str">
        <f> IF(DC235&lt;&gt;"",TEXT(AUX!DH$1,"dd-MMM-aa"),"")</f>
      </c>
      <c r="DD215" s="496" t="str">
        <f> IF(DD235&lt;&gt;"",TEXT(AUX!DI$1,"dd-MMM-aa"),"")</f>
      </c>
      <c r="DE215" s="496" t="str">
        <f> IF(DE235&lt;&gt;"",TEXT(AUX!DJ$1,"dd-MMM-aa"),"")</f>
      </c>
      <c r="DF215" s="496" t="str">
        <f> IF(DF235&lt;&gt;"",TEXT(AUX!DK$1,"dd-MMM-aa"),"")</f>
      </c>
      <c r="DG215" s="496" t="str">
        <f> IF(DG235&lt;&gt;"",TEXT(AUX!DL$1,"dd-MMM-aa"),"")</f>
      </c>
      <c r="DH215" s="496" t="str">
        <f> IF(DH235&lt;&gt;"",TEXT(AUX!DM$1,"dd-MMM-aa"),"")</f>
      </c>
      <c r="DI215" s="496" t="str">
        <f> IF(DI235&lt;&gt;"",TEXT(AUX!DN$1,"dd-MMM-aa"),"")</f>
      </c>
      <c r="DJ215" s="496" t="str">
        <f> IF(DJ235&lt;&gt;"",TEXT(AUX!DO$1,"dd-MMM-aa"),"")</f>
      </c>
      <c r="DK215" s="496" t="str">
        <f> IF(DK235&lt;&gt;"",TEXT(AUX!DP$1,"dd-MMM-aa"),"")</f>
      </c>
      <c r="DL215" s="496" t="str">
        <f> IF(DL235&lt;&gt;"",TEXT(AUX!DQ$1,"dd-MMM-aa"),"")</f>
      </c>
      <c r="DM215" s="496" t="str">
        <f> IF(DM235&lt;&gt;"",TEXT(AUX!DR$1,"dd-MMM-aa"),"")</f>
      </c>
      <c r="DN215" s="496" t="str">
        <f> IF(DN235&lt;&gt;"",TEXT(AUX!DS$1,"dd-MMM-aa"),"")</f>
      </c>
      <c r="DO215" s="496" t="str">
        <f> IF(DO235&lt;&gt;"",TEXT(AUX!DT$1,"dd-MMM-aa"),"")</f>
      </c>
      <c r="DP215" s="496" t="str">
        <f> IF(DP235&lt;&gt;"",TEXT(AUX!DU$1,"dd-MMM-aa"),"")</f>
      </c>
      <c r="DQ215" s="496" t="str">
        <f> IF(DQ235&lt;&gt;"",TEXT(AUX!DV$1,"dd-MMM-aa"),"")</f>
      </c>
      <c r="DR215" s="496" t="str">
        <f> IF(DR235&lt;&gt;"",TEXT(AUX!DW$1,"dd-MMM-aa"),"")</f>
      </c>
      <c r="DS215" s="496" t="str">
        <f> IF(DS235&lt;&gt;"",TEXT(AUX!DX$1,"dd-MMM-aa"),"")</f>
      </c>
      <c r="DT215" s="496" t="str">
        <f> IF(DT235&lt;&gt;"",TEXT(AUX!DY$1,"dd-MMM-aa"),"")</f>
      </c>
      <c r="DU215" s="496" t="str">
        <f> IF(DU235&lt;&gt;"",TEXT(AUX!DZ$1,"dd-MMM-aa"),"")</f>
      </c>
      <c r="DV215" s="496" t="str">
        <f> IF(DV235&lt;&gt;"",TEXT(AUX!EA$1,"dd-MMM-aa"),"")</f>
      </c>
      <c r="DW215" s="496" t="str">
        <f> IF(DW235&lt;&gt;"",TEXT(AUX!EB$1,"dd-MMM-aa"),"")</f>
      </c>
      <c r="DX215" s="496" t="str">
        <f> IF(DX235&lt;&gt;"",TEXT(AUX!EC$1,"dd-MMM-aa"),"")</f>
      </c>
      <c r="DY215" s="496" t="str">
        <f> IF(DY235&lt;&gt;"",TEXT(AUX!ED$1,"dd-MMM-aa"),"")</f>
      </c>
      <c r="DZ215" s="496" t="str">
        <f> IF(DZ235&lt;&gt;"",TEXT(AUX!EE$1,"dd-MMM-aa"),"")</f>
      </c>
      <c r="EA215" s="496" t="str">
        <f> IF(EA235&lt;&gt;"",TEXT(AUX!EF$1,"dd-MMM-aa"),"")</f>
      </c>
      <c r="EB215" s="496" t="str">
        <f> IF(EB235&lt;&gt;"",TEXT(AUX!EG$1,"dd-MMM-aa"),"")</f>
      </c>
      <c r="EC215" s="496" t="str">
        <f> IF(EC235&lt;&gt;"",TEXT(AUX!EH$1,"dd-MMM-aa"),"")</f>
      </c>
      <c r="ED215" s="496" t="str">
        <f> IF(ED235&lt;&gt;"",TEXT(AUX!EI$1,"dd-MMM-aa"),"")</f>
      </c>
      <c r="EE215" s="496" t="str">
        <f> IF(EE235&lt;&gt;"",TEXT(AUX!EJ$1,"dd-MMM-aa"),"")</f>
      </c>
      <c r="EF215" s="496" t="str">
        <f> IF(EF235&lt;&gt;"",TEXT(AUX!EK$1,"dd-MMM-aa"),"")</f>
      </c>
      <c r="EG215" s="496" t="str">
        <f> IF(EG235&lt;&gt;"",TEXT(AUX!EL$1,"dd-MMM-aa"),"")</f>
      </c>
      <c r="EH215" s="496" t="str">
        <f> IF(EH235&lt;&gt;"",TEXT(AUX!EM$1,"dd-MMM-aa"),"")</f>
      </c>
      <c r="EI215" s="496" t="str">
        <f> IF(EI235&lt;&gt;"",TEXT(AUX!EN$1,"dd-MMM-aa"),"")</f>
      </c>
      <c r="EJ215" s="496" t="str">
        <f> IF(EJ235&lt;&gt;"",TEXT(AUX!EO$1,"dd-MMM-aa"),"")</f>
      </c>
      <c r="EK215" s="496" t="str">
        <f> IF(EK235&lt;&gt;"",TEXT(AUX!EP$1,"dd-MMM-aa"),"")</f>
      </c>
      <c r="EL215" s="496" t="str">
        <f> IF(EL235&lt;&gt;"",TEXT(AUX!EQ$1,"dd-MMM-aa"),"")</f>
      </c>
      <c r="EM215" s="496" t="str">
        <f> IF(EM235&lt;&gt;"",TEXT(AUX!ER$1,"dd-MMM-aa"),"")</f>
      </c>
      <c r="EN215" s="496" t="str">
        <f> IF(EN235&lt;&gt;"",TEXT(AUX!ES$1,"dd-MMM-aa"),"")</f>
      </c>
      <c r="EO215" s="496" t="str">
        <f> IF(EO235&lt;&gt;"",TEXT(AUX!ET$1,"dd-MMM-aa"),"")</f>
      </c>
      <c r="EP215" s="496" t="str">
        <f> IF(EP235&lt;&gt;"",TEXT(AUX!EU$1,"dd-MMM-aa"),"")</f>
      </c>
      <c r="EQ215" s="496" t="str">
        <f> IF(EQ235&lt;&gt;"",TEXT(AUX!EV$1,"dd-MMM-aa"),"")</f>
      </c>
      <c r="ER215" s="496" t="str">
        <f> IF(ER235&lt;&gt;"",TEXT(AUX!EW$1,"dd-MMM-aa"),"")</f>
      </c>
      <c r="ES215" s="496" t="str">
        <f> IF(ES235&lt;&gt;"",TEXT(AUX!EX$1,"dd-MMM-aa"),"")</f>
      </c>
      <c r="ET215" s="496" t="str">
        <f> IF(ET235&lt;&gt;"",TEXT(AUX!EY$1,"dd-MMM-aa"),"")</f>
      </c>
      <c r="EU215" s="496" t="str">
        <f> IF(EU235&lt;&gt;"",TEXT(AUX!EZ$1,"dd-MMM-aa"),"")</f>
      </c>
      <c r="EV215" s="496" t="str">
        <f> IF(EV235&lt;&gt;"",TEXT(AUX!FA$1,"dd-MMM-aa"),"")</f>
      </c>
      <c r="EW215" s="496" t="str">
        <f> IF(EW235&lt;&gt;"",TEXT(AUX!FB$1,"dd-MMM-aa"),"")</f>
      </c>
      <c r="EX215" s="496" t="str">
        <f> IF(EX235&lt;&gt;"",TEXT(AUX!FC$1,"dd-MMM-aa"),"")</f>
      </c>
      <c r="EY215" s="496" t="str">
        <f> IF(EY235&lt;&gt;"",TEXT(AUX!FD$1,"dd-MMM-aa"),"")</f>
      </c>
      <c r="EZ215" s="496" t="str">
        <f> IF(EZ235&lt;&gt;"",TEXT(AUX!FE$1,"dd-MMM-aa"),"")</f>
      </c>
      <c r="FA215" s="496" t="str">
        <f> IF(FA235&lt;&gt;"",TEXT(AUX!FF$1,"dd-MMM-aa"),"")</f>
      </c>
      <c r="FB215" s="496" t="str">
        <f> IF(FB235&lt;&gt;"",TEXT(AUX!FG$1,"dd-MMM-aa"),"")</f>
      </c>
      <c r="FC215" s="496" t="str">
        <f> IF(FC235&lt;&gt;"",TEXT(AUX!FH$1,"dd-MMM-aa"),"")</f>
      </c>
      <c r="FD215" s="496" t="str">
        <f> IF(FD235&lt;&gt;"",TEXT(AUX!FI$1,"dd-MMM-aa"),"")</f>
      </c>
      <c r="FE215" s="496" t="str">
        <f> IF(FE235&lt;&gt;"",TEXT(AUX!FJ$1,"dd-MMM-aa"),"")</f>
      </c>
      <c r="FF215" s="496" t="str">
        <f> IF(FF235&lt;&gt;"",TEXT(AUX!FK$1,"dd-MMM-aa"),"")</f>
      </c>
      <c r="FG215" s="496" t="str">
        <f> IF(FG235&lt;&gt;"",TEXT(AUX!FL$1,"dd-MMM-aa"),"")</f>
      </c>
      <c r="FH215" s="496" t="str">
        <f> IF(FH235&lt;&gt;"",TEXT(AUX!FM$1,"dd-MMM-aa"),"")</f>
      </c>
      <c r="FI215" s="496" t="str">
        <f> IF(FI235&lt;&gt;"",TEXT(AUX!FN$1,"dd-MMM-aa"),"")</f>
      </c>
      <c r="FJ215" s="496" t="str">
        <f> IF(FJ235&lt;&gt;"",TEXT(AUX!FO$1,"dd-MMM-aa"),"")</f>
      </c>
      <c r="FK215" s="496" t="str">
        <f> IF(FK235&lt;&gt;"",TEXT(AUX!FP$1,"dd-MMM-aa"),"")</f>
      </c>
      <c r="FL215" s="496" t="str">
        <f> IF(FL235&lt;&gt;"",TEXT(AUX!FQ$1,"dd-MMM-aa"),"")</f>
      </c>
      <c r="FM215" s="496" t="str">
        <f> IF(FM235&lt;&gt;"",TEXT(AUX!FR$1,"dd-MMM-aa"),"")</f>
      </c>
      <c r="FN215" s="496" t="str">
        <f> IF(FN235&lt;&gt;"",TEXT(AUX!FS$1,"dd-MMM-aa"),"")</f>
      </c>
      <c r="FO215" s="496" t="str">
        <f> IF(FO235&lt;&gt;"",TEXT(AUX!FT$1,"dd-MMM-aa"),"")</f>
      </c>
      <c r="FP215" s="496" t="str">
        <f> IF(FP235&lt;&gt;"",TEXT(AUX!FU$1,"dd-MMM-aa"),"")</f>
      </c>
      <c r="FQ215" s="496" t="str">
        <f> IF(FQ235&lt;&gt;"",TEXT(AUX!FV$1,"dd-MMM-aa"),"")</f>
      </c>
      <c r="FR215" s="496" t="str">
        <f> IF(FR235&lt;&gt;"",TEXT(AUX!FW$1,"dd-MMM-aa"),"")</f>
      </c>
      <c r="FS215" s="496" t="str">
        <f> IF(FS235&lt;&gt;"",TEXT(AUX!FX$1,"dd-MMM-aa"),"")</f>
      </c>
      <c r="FT215" s="496" t="str">
        <f> IF(FT235&lt;&gt;"",TEXT(AUX!FY$1,"dd-MMM-aa"),"")</f>
      </c>
      <c r="FU215" s="496" t="str">
        <f> IF(FU235&lt;&gt;"",TEXT(AUX!FZ$1,"dd-MMM-aa"),"")</f>
      </c>
      <c r="FV215" s="496" t="str">
        <f> IF(FV235&lt;&gt;"",TEXT(AUX!GA$1,"dd-MMM-aa"),"")</f>
      </c>
      <c r="FW215" s="496" t="str">
        <f> IF(FW235&lt;&gt;"",TEXT(AUX!GB$1,"dd-MMM-aa"),"")</f>
      </c>
      <c r="FX215" s="496" t="str">
        <f> IF(FX235&lt;&gt;"",TEXT(AUX!GC$1,"dd-MMM-aa"),"")</f>
      </c>
      <c r="FY215" s="496" t="str">
        <f> IF(FY235&lt;&gt;"",TEXT(AUX!GD$1,"dd-MMM-aa"),"")</f>
      </c>
      <c r="FZ215" s="496" t="str">
        <f> IF(FZ235&lt;&gt;"",TEXT(AUX!GE$1,"dd-MMM-aa"),"")</f>
      </c>
      <c r="GA215" s="496" t="str">
        <f> IF(GA235&lt;&gt;"",TEXT(AUX!GF$1,"dd-MMM-aa"),"")</f>
      </c>
      <c r="GB215" s="496" t="str">
        <f> IF(GB235&lt;&gt;"",TEXT(AUX!GG$1,"dd-MMM-aa"),"")</f>
      </c>
      <c r="GC215" s="496" t="str">
        <f> IF(GC235&lt;&gt;"",TEXT(AUX!GH$1,"dd-MMM-aa"),"")</f>
      </c>
      <c r="GD215" s="496" t="str">
        <f> IF(GD235&lt;&gt;"",TEXT(AUX!GI$1,"dd-MMM-aa"),"")</f>
      </c>
      <c r="GE215" s="496" t="str">
        <f> IF(GE235&lt;&gt;"",TEXT(AUX!GJ$1,"dd-MMM-aa"),"")</f>
      </c>
      <c r="GF215" s="496" t="str">
        <f> IF(GF235&lt;&gt;"",TEXT(AUX!GK$1,"dd-MMM-aa"),"")</f>
      </c>
      <c r="GG215" s="496" t="str">
        <f> IF(GG235&lt;&gt;"",TEXT(AUX!GL$1,"dd-MMM-aa"),"")</f>
      </c>
      <c r="GH215" s="496" t="str">
        <f> IF(GH235&lt;&gt;"",TEXT(AUX!GM$1,"dd-MMM-aa"),"")</f>
      </c>
      <c r="GI215" s="496" t="str">
        <f> IF(GI235&lt;&gt;"",TEXT(AUX!GN$1,"dd-MMM-aa"),"")</f>
      </c>
      <c r="GJ215" s="496" t="str">
        <f> IF(GJ235&lt;&gt;"",TEXT(AUX!GO$1,"dd-MMM-aa"),"")</f>
      </c>
      <c r="GK215" s="496" t="str">
        <f> IF(GK235&lt;&gt;"",TEXT(AUX!GP$1,"dd-MMM-aa"),"")</f>
      </c>
      <c r="GL215" s="496" t="str">
        <f> IF(GL235&lt;&gt;"",TEXT(AUX!GQ$1,"dd-MMM-aa"),"")</f>
      </c>
      <c r="GM215" s="496" t="str">
        <f> IF(GM235&lt;&gt;"",TEXT(AUX!GR$1,"dd-MMM-aa"),"")</f>
      </c>
      <c r="GN215" s="496" t="str">
        <f> IF(GN235&lt;&gt;"",TEXT(AUX!GS$1,"dd-MMM-aa"),"")</f>
      </c>
      <c r="GO215" s="496" t="str">
        <f> IF(GO235&lt;&gt;"",TEXT(AUX!GT$1,"dd-MMM-aa"),"")</f>
      </c>
      <c r="GP215" s="496" t="str">
        <f> IF(GP235&lt;&gt;"",TEXT(AUX!GU$1,"dd-MMM-aa"),"")</f>
      </c>
      <c r="GQ215" s="496" t="str">
        <f> IF(GQ235&lt;&gt;"",TEXT(AUX!GV$1,"dd-MMM-aa"),"")</f>
      </c>
      <c r="GR215" s="496" t="str">
        <f> IF(GR235&lt;&gt;"",TEXT(AUX!GW$1,"dd-MMM-aa"),"")</f>
      </c>
      <c r="GS215" s="496" t="str">
        <f> IF(GS235&lt;&gt;"",TEXT(AUX!GX$1,"dd-MMM-aa"),"")</f>
      </c>
      <c r="GT215" s="496" t="str">
        <f> IF(GT235&lt;&gt;"",TEXT(AUX!GY$1,"dd-MMM-aa"),"")</f>
      </c>
      <c r="GU215" s="496" t="str">
        <f> IF(GU235&lt;&gt;"",TEXT(AUX!GZ$1,"dd-MMM-aa"),"")</f>
      </c>
      <c r="GV215" s="496" t="str">
        <f> IF(GV235&lt;&gt;"",TEXT(AUX!HA$1,"dd-MMM-aa"),"")</f>
      </c>
      <c r="GW215" s="496" t="str">
        <f> IF(GW235&lt;&gt;"",TEXT(AUX!HB$1,"dd-MMM-aa"),"")</f>
      </c>
      <c r="GX215" s="496" t="str">
        <f> IF(GX235&lt;&gt;"",TEXT(AUX!HC$1,"dd-MMM-aa"),"")</f>
      </c>
      <c r="GY215" s="496" t="str">
        <f> IF(GY235&lt;&gt;"",TEXT(AUX!HD$1,"dd-MMM-aa"),"")</f>
      </c>
      <c r="GZ215" s="496" t="str">
        <f> IF(GZ235&lt;&gt;"",TEXT(AUX!HE$1,"dd-MMM-aa"),"")</f>
      </c>
      <c r="HA215" s="496" t="str">
        <f> IF(HA235&lt;&gt;"",TEXT(AUX!HF$1,"dd-MMM-aa"),"")</f>
      </c>
      <c r="HB215" s="496" t="str">
        <f> IF(HB235&lt;&gt;"",TEXT(AUX!HG$1,"dd-MMM-aa"),"")</f>
      </c>
      <c r="HC215" s="496" t="str">
        <f> IF(HC235&lt;&gt;"",TEXT(AUX!HH$1,"dd-MMM-aa"),"")</f>
      </c>
      <c r="HD215" s="496" t="str">
        <f> IF(HD235&lt;&gt;"",TEXT(AUX!HI$1,"dd-MMM-aa"),"")</f>
      </c>
      <c r="HE215" s="496" t="str">
        <f> IF(HE235&lt;&gt;"",TEXT(AUX!HJ$1,"dd-MMM-aa"),"")</f>
      </c>
      <c r="HF215" s="496" t="str">
        <f> IF(HF235&lt;&gt;"",TEXT(AUX!HK$1,"dd-MMM-aa"),"")</f>
      </c>
      <c r="HG215" s="496" t="str">
        <f> IF(HG235&lt;&gt;"",TEXT(AUX!HL$1,"dd-MMM-aa"),"")</f>
      </c>
      <c r="HH215" s="496" t="str">
        <f> IF(HH235&lt;&gt;"",TEXT(AUX!HM$1,"dd-MMM-aa"),"")</f>
      </c>
      <c r="HI215" s="496" t="str">
        <f> IF(HI235&lt;&gt;"",TEXT(AUX!HN$1,"dd-MMM-aa"),"")</f>
      </c>
      <c r="HJ215" s="496" t="str">
        <f> IF(HJ235&lt;&gt;"",TEXT(AUX!HO$1,"dd-MMM-aa"),"")</f>
      </c>
      <c r="HK215" s="496" t="str">
        <f> IF(HK235&lt;&gt;"",TEXT(AUX!HP$1,"dd-MMM-aa"),"")</f>
      </c>
      <c r="HL215" s="496" t="str">
        <f> IF(HL235&lt;&gt;"",TEXT(AUX!HQ$1,"dd-MMM-aa"),"")</f>
      </c>
      <c r="HM215" s="496" t="str">
        <f> IF(HM235&lt;&gt;"",TEXT(AUX!HR$1,"dd-MMM-aa"),"")</f>
      </c>
      <c r="HN215" s="496" t="str">
        <f> IF(HN235&lt;&gt;"",TEXT(AUX!HS$1,"dd-MMM-aa"),"")</f>
      </c>
      <c r="HO215" s="496" t="str">
        <f> IF(HO235&lt;&gt;"",TEXT(AUX!HT$1,"dd-MMM-aa"),"")</f>
      </c>
      <c r="HP215" s="496" t="str">
        <f> IF(HP235&lt;&gt;"",TEXT(AUX!HU$1,"dd-MMM-aa"),"")</f>
      </c>
      <c r="HQ215" s="496" t="str">
        <f> IF(HQ235&lt;&gt;"",TEXT(AUX!HV$1,"dd-MMM-aa"),"")</f>
      </c>
      <c r="HR215" s="496" t="str">
        <f> IF(HR235&lt;&gt;"",TEXT(AUX!HW$1,"dd-MMM-aa"),"")</f>
      </c>
      <c r="HS215" s="496" t="str">
        <f> IF(HS235&lt;&gt;"",TEXT(AUX!HX$1,"dd-MMM-aa"),"")</f>
      </c>
      <c r="HT215" s="496" t="str">
        <f> IF(HT235&lt;&gt;"",TEXT(AUX!HY$1,"dd-MMM-aa"),"")</f>
      </c>
      <c r="HU215" s="496" t="str">
        <f> IF(HU235&lt;&gt;"",TEXT(AUX!HZ$1,"dd-MMM-aa"),"")</f>
      </c>
      <c r="HV215" s="496" t="str">
        <f> IF(HV235&lt;&gt;"",TEXT(AUX!IA$1,"dd-MMM-aa"),"")</f>
      </c>
      <c r="HW215" s="496" t="str">
        <f> IF(HW235&lt;&gt;"",TEXT(AUX!IB$1,"dd-MMM-aa"),"")</f>
      </c>
      <c r="HX215" s="496" t="str">
        <f> IF(HX235&lt;&gt;"",TEXT(AUX!IC$1,"dd-MMM-aa"),"")</f>
      </c>
      <c r="HY215" s="496" t="str">
        <f> IF(HY235&lt;&gt;"",TEXT(AUX!ID$1,"dd-MMM-aa"),"")</f>
      </c>
      <c r="HZ215" s="496" t="str">
        <f> IF(HZ235&lt;&gt;"",TEXT(AUX!IE$1,"dd-MMM-aa"),"")</f>
      </c>
      <c r="IA215" s="496" t="str">
        <f> IF(IA235&lt;&gt;"",TEXT(AUX!IF$1,"dd-MMM-aa"),"")</f>
      </c>
      <c r="IB215" s="496" t="str">
        <f> IF(IB235&lt;&gt;"",TEXT(AUX!IG$1,"dd-MMM-aa"),"")</f>
      </c>
      <c r="IC215" s="496" t="str">
        <f> IF(IC235&lt;&gt;"",TEXT(AUX!IH$1,"dd-MMM-aa"),"")</f>
      </c>
      <c r="ID215" s="496" t="str">
        <f> IF(ID235&lt;&gt;"",TEXT(AUX!II$1,"dd-MMM-aa"),"")</f>
      </c>
      <c r="IE215" s="496" t="str">
        <f> IF(IE235&lt;&gt;"",TEXT(AUX!IJ$1,"dd-MMM-aa"),"")</f>
      </c>
      <c r="IF215" s="496" t="str">
        <f> IF(IF235&lt;&gt;"",TEXT(AUX!IK$1,"dd-MMM-aa"),"")</f>
      </c>
      <c r="IG215" s="496" t="str">
        <f> IF(IG235&lt;&gt;"",TEXT(AUX!IL$1,"dd-MMM-aa"),"")</f>
      </c>
      <c r="IH215" s="496" t="str">
        <f> IF(IH235&lt;&gt;"",TEXT(AUX!IM$1,"dd-MMM-aa"),"")</f>
      </c>
      <c r="II215" s="496" t="str">
        <f> IF(II235&lt;&gt;"",TEXT(AUX!IN$1,"dd-MMM-aa"),"")</f>
      </c>
      <c r="IJ215" s="496" t="str">
        <f> IF(IJ235&lt;&gt;"",TEXT(AUX!IO$1,"dd-MMM-aa"),"")</f>
      </c>
      <c r="IK215" s="496" t="str">
        <f> IF(IK235&lt;&gt;"",TEXT(AUX!IP$1,"dd-MMM-aa"),"")</f>
      </c>
      <c r="IL215" s="496" t="str">
        <f> IF(IL235&lt;&gt;"",TEXT(AUX!IQ$1,"dd-MMM-aa"),"")</f>
      </c>
      <c r="IM215" s="496" t="str">
        <f> IF(IM235&lt;&gt;"",TEXT(AUX!IR$1,"dd-MMM-aa"),"")</f>
      </c>
      <c r="IN215" s="496" t="str">
        <f> IF(IN235&lt;&gt;"",TEXT(AUX!IS$1,"dd-MMM-aa"),"")</f>
      </c>
      <c r="IO215" s="496" t="str">
        <f> IF(IO235&lt;&gt;"",TEXT(AUX!IT$1,"dd-MMM-aa"),"")</f>
      </c>
      <c r="IP215" s="496" t="str">
        <f> IF(IP235&lt;&gt;"",TEXT(AUX!IU$1,"dd-MMM-aa"),"")</f>
      </c>
      <c r="IQ215" s="496" t="str">
        <f> IF(IQ235&lt;&gt;"",TEXT(AUX!IV$1,"dd-MMM-aa"),"")</f>
      </c>
      <c r="IR215" s="496" t="str">
        <f> IF(IR235&lt;&gt;"",TEXT(AUX!#REF!,"dd-MMM-aa"),"")</f>
      </c>
      <c r="IS215" s="496" t="str">
        <f> IF(IS235&lt;&gt;"",TEXT(AUX!#REF!,"dd-MMM-aa"),"")</f>
      </c>
      <c r="IT215" s="496" t="str">
        <f> IF(IT235&lt;&gt;"",TEXT(AUX!#REF!,"dd-MMM-aa"),"")</f>
      </c>
      <c r="IU215" s="496" t="str">
        <f> IF(IU235&lt;&gt;"",TEXT(AUX!#REF!,"dd-MMM-aa"),"")</f>
      </c>
      <c r="IV215" s="496"/>
    </row>
    <row r="216" hidden="1">
      <c r="A216" s="838" t="s">
        <v>8</v>
      </c>
      <c r="B216" s="839">
        <f>B193 + B170</f>
        <v>48115</v>
      </c>
      <c r="C216" s="839">
        <f>C193 + C170</f>
        <v>61657</v>
      </c>
      <c r="D216" s="839">
        <f>D193 + D170</f>
        <v>83573</v>
      </c>
      <c r="E216" s="839">
        <f>E193 + E170</f>
        <v>91624</v>
      </c>
      <c r="F216" s="839">
        <f>F193 + F170</f>
        <v>91438</v>
      </c>
      <c r="G216" s="839">
        <f>G193 + G170</f>
        <v>94102</v>
      </c>
      <c r="H216" s="839">
        <f>H193 + H170</f>
        <v>95505</v>
      </c>
      <c r="I216" s="839">
        <f>I193 + I170</f>
        <v>97132</v>
      </c>
      <c r="J216" s="839">
        <f>J193 + J170</f>
        <v>98478</v>
      </c>
      <c r="K216" s="839">
        <f>K193 + K170</f>
        <v>99839</v>
      </c>
      <c r="L216" s="839">
        <f>L193 + L170</f>
        <v>101974</v>
      </c>
      <c r="M216" s="839">
        <f>M193 + M170</f>
        <v>104037</v>
      </c>
      <c r="N216" s="839">
        <f>N193 + N170</f>
        <v>105932</v>
      </c>
      <c r="O216" s="839">
        <f>O193 + O170</f>
        <v>107324</v>
      </c>
      <c r="P216" s="839">
        <f>P193 + P170</f>
        <v>108509</v>
      </c>
      <c r="Q216" s="839">
        <f>Q193 + Q170</f>
        <v>109743</v>
      </c>
      <c r="R216" s="839">
        <f>R193 + R170</f>
        <v>110983</v>
      </c>
      <c r="S216" s="839">
        <f>S193 + S170</f>
        <v>111456</v>
      </c>
      <c r="T216" s="839">
        <f>T193 + T170</f>
        <v>113429</v>
      </c>
      <c r="U216" s="839">
        <f>U193 + U170</f>
        <v>114473</v>
      </c>
      <c r="V216" s="839">
        <f>V193 + V170</f>
        <v>114532</v>
      </c>
      <c r="W216" s="839">
        <f>W193 + W170</f>
        <v>114670</v>
      </c>
      <c r="X216" s="839">
        <f>X193 + X170</f>
        <v>114569</v>
      </c>
      <c r="Y216" s="839">
        <f>Y193 + Y170</f>
        <v>114732</v>
      </c>
      <c r="Z216" s="839">
        <f>Z193 + Z170</f>
        <v>113994</v>
      </c>
      <c r="AA216" s="840">
        <f>AA193 + AA170</f>
        <v>113834</v>
      </c>
      <c r="AB216" s="841">
        <f>AB193 + AB170</f>
        <v>113719</v>
      </c>
      <c r="AC216" s="841">
        <f>AC193 + AC170</f>
        <v>113952</v>
      </c>
      <c r="AD216" s="841">
        <f>AD193 + AD170</f>
        <v>114292</v>
      </c>
      <c r="AE216" s="841">
        <f>AE193 + AE170</f>
        <v>114700</v>
      </c>
      <c r="AF216" s="841">
        <f>AF193 + AF170</f>
        <v>114915</v>
      </c>
      <c r="AG216" s="841">
        <f>AG193 + AG170</f>
        <v>115130</v>
      </c>
      <c r="AH216" s="841">
        <f>AH193 + AH170</f>
        <v>115068</v>
      </c>
      <c r="AI216" s="841">
        <f>AI193 + AI170</f>
        <v>115225</v>
      </c>
      <c r="AJ216" s="841">
        <f>AJ193 + AJ170</f>
        <v>115685</v>
      </c>
      <c r="AK216" s="841">
        <f>AK193 + AK170</f>
        <v>116198</v>
      </c>
      <c r="AL216" s="841">
        <f>AL193 + AL170</f>
        <v>107145</v>
      </c>
      <c r="AM216" s="841">
        <f>AM193 + AM170</f>
        <v>105225</v>
      </c>
      <c r="AN216" s="841">
        <f>AN193 + AN170</f>
        <v>109897</v>
      </c>
      <c r="AO216" s="841">
        <f>AO193 + AO170</f>
        <v>113168</v>
      </c>
    </row>
    <row r="217" hidden="1">
      <c r="A217" s="842" t="s">
        <v>9</v>
      </c>
      <c r="B217" s="839">
        <f>B194 + B171</f>
        <v>17823</v>
      </c>
      <c r="C217" s="839">
        <f>C194 + C171</f>
        <v>17629</v>
      </c>
      <c r="D217" s="839">
        <f>D194 + D171</f>
        <v>17560</v>
      </c>
      <c r="E217" s="839">
        <f>E194 + E171</f>
        <v>17634</v>
      </c>
      <c r="F217" s="839">
        <f>F194 + F171</f>
        <v>17526</v>
      </c>
      <c r="G217" s="839">
        <f>G194 + G171</f>
        <v>17570</v>
      </c>
      <c r="H217" s="839">
        <f>H194 + H171</f>
        <v>17367</v>
      </c>
      <c r="I217" s="839">
        <f>I194 + I171</f>
        <v>17418</v>
      </c>
      <c r="J217" s="839">
        <f>J194 + J171</f>
        <v>17018</v>
      </c>
      <c r="K217" s="839">
        <f>K194 + K171</f>
        <v>17076</v>
      </c>
      <c r="L217" s="839">
        <f>L194 + L171</f>
        <v>16955</v>
      </c>
      <c r="M217" s="839">
        <f>M194 + M171</f>
        <v>16901</v>
      </c>
      <c r="N217" s="839">
        <f>N194 + N171</f>
        <v>16459</v>
      </c>
      <c r="O217" s="839">
        <f>O194 + O171</f>
        <v>16590</v>
      </c>
      <c r="P217" s="839">
        <f>P194 + P171</f>
        <v>16571</v>
      </c>
      <c r="Q217" s="839">
        <f>Q194 + Q171</f>
        <v>16857</v>
      </c>
      <c r="R217" s="839">
        <f>R194 + R171</f>
        <v>17207</v>
      </c>
      <c r="S217" s="839">
        <f>S194 + S171</f>
        <v>17514</v>
      </c>
      <c r="T217" s="839">
        <f>T194 + T171</f>
        <v>17717</v>
      </c>
      <c r="U217" s="839">
        <f>U194 + U171</f>
        <v>17718</v>
      </c>
      <c r="V217" s="839">
        <f>V194 + V171</f>
        <v>17907</v>
      </c>
      <c r="W217" s="839">
        <f>W194 + W171</f>
        <v>18095</v>
      </c>
      <c r="X217" s="839">
        <f>X194 + X171</f>
        <v>18368</v>
      </c>
      <c r="Y217" s="839">
        <f>Y194 + Y171</f>
        <v>18490</v>
      </c>
      <c r="Z217" s="839">
        <f>Z194 + Z171</f>
        <v>19070</v>
      </c>
      <c r="AA217" s="839">
        <f>AA194 + AA171</f>
        <v>19176</v>
      </c>
      <c r="AB217" s="841">
        <f>AB194 + AB171</f>
        <v>19357</v>
      </c>
      <c r="AC217" s="841">
        <f>AC194 + AC171</f>
        <v>19382</v>
      </c>
      <c r="AD217" s="841">
        <f>AD194 + AD171</f>
        <v>19546</v>
      </c>
      <c r="AE217" s="841">
        <f>AE194 + AE171</f>
        <v>19734</v>
      </c>
      <c r="AF217" s="841">
        <f>AF194 + AF171</f>
        <v>19971</v>
      </c>
      <c r="AG217" s="841">
        <f>AG194 + AG171</f>
        <v>20135</v>
      </c>
      <c r="AH217" s="841">
        <f>AH194 + AH171</f>
        <v>20262</v>
      </c>
      <c r="AI217" s="841">
        <f>AI194 + AI171</f>
        <v>20289</v>
      </c>
      <c r="AJ217" s="841">
        <f>AJ194 + AJ171</f>
        <v>20465</v>
      </c>
      <c r="AK217" s="841">
        <f>AK194 + AK171</f>
        <v>20692</v>
      </c>
      <c r="AL217" s="841">
        <f>AL194 + AL171</f>
        <v>20614</v>
      </c>
      <c r="AM217" s="841">
        <f>AM194 + AM171</f>
        <v>20620</v>
      </c>
      <c r="AN217" s="841">
        <f>AN194 + AN171</f>
        <v>21328</v>
      </c>
      <c r="AO217" s="841">
        <f>AO194 + AO171</f>
        <v>22623</v>
      </c>
    </row>
    <row r="218" hidden="1">
      <c r="A218" s="842" t="s">
        <v>10</v>
      </c>
      <c r="B218" s="839">
        <f>B195 + B172</f>
        <v>40544</v>
      </c>
      <c r="C218" s="839">
        <f>C195 + C172</f>
        <v>40447</v>
      </c>
      <c r="D218" s="839">
        <f>D195 + D172</f>
        <v>35142</v>
      </c>
      <c r="E218" s="839">
        <f>E195 + E172</f>
        <v>33369</v>
      </c>
      <c r="F218" s="839">
        <f>F195 + F172</f>
        <v>31403</v>
      </c>
      <c r="G218" s="839">
        <f>G195 + G172</f>
        <v>31556</v>
      </c>
      <c r="H218" s="839">
        <f>H195 + H172</f>
        <v>31007</v>
      </c>
      <c r="I218" s="839">
        <f>I195 + I172</f>
        <v>30676</v>
      </c>
      <c r="J218" s="839">
        <f>J195 + J172</f>
        <v>30407</v>
      </c>
      <c r="K218" s="839">
        <f>K195 + K172</f>
        <v>31178</v>
      </c>
      <c r="L218" s="839">
        <f>L195 + L172</f>
        <v>30820</v>
      </c>
      <c r="M218" s="839">
        <f>M195 + M172</f>
        <v>31522</v>
      </c>
      <c r="N218" s="839">
        <f>N195 + N172</f>
        <v>31261</v>
      </c>
      <c r="O218" s="839">
        <f>O195 + O172</f>
        <v>31910</v>
      </c>
      <c r="P218" s="839">
        <f>P195 + P172</f>
        <v>31278</v>
      </c>
      <c r="Q218" s="839">
        <f>Q195 + Q172</f>
        <v>31814</v>
      </c>
      <c r="R218" s="839">
        <f>R195 + R172</f>
        <v>31605</v>
      </c>
      <c r="S218" s="839">
        <f>S195 + S172</f>
        <v>31415</v>
      </c>
      <c r="T218" s="839">
        <f>T195 + T172</f>
        <v>30522</v>
      </c>
      <c r="U218" s="839">
        <f>U195 + U172</f>
        <v>29140</v>
      </c>
      <c r="V218" s="839">
        <f>V195 + V172</f>
        <v>29853</v>
      </c>
      <c r="W218" s="839">
        <f>W195 + W172</f>
        <v>29057</v>
      </c>
      <c r="X218" s="839">
        <f>X195 + X172</f>
        <v>29626</v>
      </c>
      <c r="Y218" s="839">
        <f>Y195 + Y172</f>
        <v>29036</v>
      </c>
      <c r="Z218" s="839">
        <f>Z195 + Z172</f>
        <v>29554</v>
      </c>
      <c r="AA218" s="839">
        <f>AA195 + AA172</f>
        <v>28984</v>
      </c>
      <c r="AB218" s="841">
        <f>AB195 + AB172</f>
        <v>29401</v>
      </c>
      <c r="AC218" s="841">
        <f>AC195 + AC172</f>
        <v>29022</v>
      </c>
      <c r="AD218" s="841">
        <f>AD195 + AD172</f>
        <v>29707</v>
      </c>
      <c r="AE218" s="841">
        <f>AE195 + AE172</f>
        <v>29417</v>
      </c>
      <c r="AF218" s="841">
        <f>AF195 + AF172</f>
        <v>30116</v>
      </c>
      <c r="AG218" s="841">
        <f>AG195 + AG172</f>
        <v>29642</v>
      </c>
      <c r="AH218" s="841">
        <f>AH195 + AH172</f>
        <v>30085</v>
      </c>
      <c r="AI218" s="841">
        <f>AI195 + AI172</f>
        <v>29630</v>
      </c>
      <c r="AJ218" s="841">
        <f>AJ195 + AJ172</f>
        <v>30283</v>
      </c>
      <c r="AK218" s="841">
        <f>AK195 + AK172</f>
        <v>29880</v>
      </c>
      <c r="AL218" s="841">
        <f>AL195 + AL172</f>
        <v>30704</v>
      </c>
      <c r="AM218" s="841">
        <f>AM195 + AM172</f>
        <v>30654</v>
      </c>
      <c r="AN218" s="841">
        <f>AN195 + AN172</f>
        <v>31376</v>
      </c>
      <c r="AO218" s="841">
        <f>AO195 + AO172</f>
        <v>31571</v>
      </c>
    </row>
    <row r="219" hidden="1">
      <c r="A219" s="842" t="s">
        <v>11</v>
      </c>
      <c r="B219" s="839">
        <f>B196 + B173</f>
        <v>8030</v>
      </c>
      <c r="C219" s="839">
        <f>C196 + C173</f>
        <v>7576</v>
      </c>
      <c r="D219" s="839">
        <f>D196 + D173</f>
        <v>7687</v>
      </c>
      <c r="E219" s="839">
        <f>E196 + E173</f>
        <v>7739</v>
      </c>
      <c r="F219" s="839">
        <f>F196 + F173</f>
        <v>7614</v>
      </c>
      <c r="G219" s="839">
        <f>G196 + G173</f>
        <v>7302</v>
      </c>
      <c r="H219" s="839">
        <f>H196 + H173</f>
        <v>7512</v>
      </c>
      <c r="I219" s="839">
        <f>I196 + I173</f>
        <v>7332</v>
      </c>
      <c r="J219" s="839">
        <f>J196 + J173</f>
        <v>7430</v>
      </c>
      <c r="K219" s="839">
        <f>K196 + K173</f>
        <v>7275</v>
      </c>
      <c r="L219" s="839">
        <f>L196 + L173</f>
        <v>7720</v>
      </c>
      <c r="M219" s="839">
        <f>M196 + M173</f>
        <v>7923</v>
      </c>
      <c r="N219" s="839">
        <f>N196 + N173</f>
        <v>8107</v>
      </c>
      <c r="O219" s="839">
        <f>O196 + O173</f>
        <v>8486</v>
      </c>
      <c r="P219" s="839">
        <f>P196 + P173</f>
        <v>8492</v>
      </c>
      <c r="Q219" s="839">
        <f>Q196 + Q173</f>
        <v>8496</v>
      </c>
      <c r="R219" s="839">
        <f>R196 + R173</f>
        <v>8770</v>
      </c>
      <c r="S219" s="839">
        <f>S196 + S173</f>
        <v>8911</v>
      </c>
      <c r="T219" s="839">
        <f>T196 + T173</f>
        <v>8719</v>
      </c>
      <c r="U219" s="839">
        <f>U196 + U173</f>
        <v>8859</v>
      </c>
      <c r="V219" s="839">
        <f>V196 + V173</f>
        <v>8721</v>
      </c>
      <c r="W219" s="839">
        <f>W196 + W173</f>
        <v>8853</v>
      </c>
      <c r="X219" s="839">
        <f>X196 + X173</f>
        <v>8515</v>
      </c>
      <c r="Y219" s="839">
        <f>Y196 + Y173</f>
        <v>8711</v>
      </c>
      <c r="Z219" s="839">
        <f>Z196 + Z173</f>
        <v>8474</v>
      </c>
      <c r="AA219" s="839">
        <f>AA196 + AA173</f>
        <v>8603</v>
      </c>
      <c r="AB219" s="841">
        <f>AB196 + AB173</f>
        <v>8836</v>
      </c>
      <c r="AC219" s="841">
        <f>AC196 + AC173</f>
        <v>8979</v>
      </c>
      <c r="AD219" s="841">
        <f>AD196 + AD173</f>
        <v>9123</v>
      </c>
      <c r="AE219" s="841">
        <f>AE196 + AE173</f>
        <v>9366</v>
      </c>
      <c r="AF219" s="841">
        <f>AF196 + AF173</f>
        <v>8294</v>
      </c>
      <c r="AG219" s="841">
        <f>AG196 + AG173</f>
        <v>8735</v>
      </c>
      <c r="AH219" s="841">
        <f>AH196 + AH173</f>
        <v>9049</v>
      </c>
      <c r="AI219" s="841">
        <f>AI196 + AI173</f>
        <v>9291</v>
      </c>
      <c r="AJ219" s="841">
        <f>AJ196 + AJ173</f>
        <v>9616</v>
      </c>
      <c r="AK219" s="841">
        <f>AK196 + AK173</f>
        <v>9896</v>
      </c>
      <c r="AL219" s="841">
        <f>AL196 + AL173</f>
        <v>10268</v>
      </c>
      <c r="AM219" s="841">
        <f>AM196 + AM173</f>
        <v>10506</v>
      </c>
      <c r="AN219" s="841">
        <f>AN196 + AN173</f>
        <v>11209</v>
      </c>
      <c r="AO219" s="841">
        <f>AO196 + AO173</f>
        <v>11542</v>
      </c>
    </row>
    <row r="220" hidden="1">
      <c r="A220" s="842" t="s">
        <v>12</v>
      </c>
      <c r="B220" s="839">
        <f>B197 + B174</f>
        <v>7802</v>
      </c>
      <c r="C220" s="839">
        <f>C197 + C174</f>
        <v>8118</v>
      </c>
      <c r="D220" s="839">
        <f>D197 + D174</f>
        <v>8648</v>
      </c>
      <c r="E220" s="839">
        <f>E197 + E174</f>
        <v>8538</v>
      </c>
      <c r="F220" s="839">
        <f>F197 + F174</f>
        <v>8852</v>
      </c>
      <c r="G220" s="839">
        <f>G197 + G174</f>
        <v>9140</v>
      </c>
      <c r="H220" s="839">
        <f>H197 + H174</f>
        <v>9415</v>
      </c>
      <c r="I220" s="839">
        <f>I197 + I174</f>
        <v>7076</v>
      </c>
      <c r="J220" s="839">
        <f>J197 + J174</f>
        <v>6866</v>
      </c>
      <c r="K220" s="839">
        <f>K197 + K174</f>
        <v>6858</v>
      </c>
      <c r="L220" s="839">
        <f>L197 + L174</f>
        <v>6656</v>
      </c>
      <c r="M220" s="839">
        <f>M197 + M174</f>
        <v>6739</v>
      </c>
      <c r="N220" s="839">
        <f>N197 + N174</f>
        <v>6636</v>
      </c>
      <c r="O220" s="839">
        <f>O197 + O174</f>
        <v>6634</v>
      </c>
      <c r="P220" s="839">
        <f>P197 + P174</f>
        <v>6572</v>
      </c>
      <c r="Q220" s="839">
        <f>Q197 + Q174</f>
        <v>6684</v>
      </c>
      <c r="R220" s="839">
        <f>R197 + R174</f>
        <v>6463</v>
      </c>
      <c r="S220" s="839">
        <f>S197 + S174</f>
        <v>6494</v>
      </c>
      <c r="T220" s="839">
        <f>T197 + T174</f>
        <v>6292</v>
      </c>
      <c r="U220" s="839">
        <f>U197 + U174</f>
        <v>6423</v>
      </c>
      <c r="V220" s="839">
        <f>V197 + V174</f>
        <v>6271</v>
      </c>
      <c r="W220" s="839">
        <f>W197 + W174</f>
        <v>6376</v>
      </c>
      <c r="X220" s="839">
        <f>X197 + X174</f>
        <v>6143</v>
      </c>
      <c r="Y220" s="839">
        <f>Y197 + Y174</f>
        <v>6056</v>
      </c>
      <c r="Z220" s="839">
        <f>Z197 + Z174</f>
        <v>5595</v>
      </c>
      <c r="AA220" s="839">
        <f>AA197 + AA174</f>
        <v>5647</v>
      </c>
      <c r="AB220" s="841">
        <f>AB197 + AB174</f>
        <v>5406</v>
      </c>
      <c r="AC220" s="841">
        <f>AC197 + AC174</f>
        <v>5425</v>
      </c>
      <c r="AD220" s="841">
        <f>AD197 + AD174</f>
        <v>5077</v>
      </c>
      <c r="AE220" s="841">
        <f>AE197 + AE174</f>
        <v>5146</v>
      </c>
      <c r="AF220" s="841">
        <f>AF197 + AF174</f>
        <v>5122</v>
      </c>
      <c r="AG220" s="841">
        <f>AG197 + AG174</f>
        <v>5216</v>
      </c>
      <c r="AH220" s="841">
        <f>AH197 + AH174</f>
        <v>5238</v>
      </c>
      <c r="AI220" s="841">
        <f>AI197 + AI174</f>
        <v>5297</v>
      </c>
      <c r="AJ220" s="841">
        <f>AJ197 + AJ174</f>
        <v>5264</v>
      </c>
      <c r="AK220" s="841">
        <f>AK197 + AK174</f>
        <v>5278</v>
      </c>
      <c r="AL220" s="841">
        <f>AL197 + AL174</f>
        <v>5242</v>
      </c>
      <c r="AM220" s="841">
        <f>AM197 + AM174</f>
        <v>5423</v>
      </c>
      <c r="AN220" s="841">
        <f>AN197 + AN174</f>
        <v>5525</v>
      </c>
      <c r="AO220" s="841">
        <f>AO197 + AO174</f>
        <v>5729</v>
      </c>
    </row>
    <row r="221" hidden="1">
      <c r="A221" s="842" t="s">
        <v>13</v>
      </c>
      <c r="B221" s="839">
        <f>B198 + B175</f>
        <v>18600</v>
      </c>
      <c r="C221" s="839">
        <f>C198 + C175</f>
        <v>15158</v>
      </c>
      <c r="D221" s="839">
        <f>D198 + D175</f>
        <v>15281</v>
      </c>
      <c r="E221" s="839">
        <f>E198 + E175</f>
        <v>15102</v>
      </c>
      <c r="F221" s="839">
        <f>F198 + F175</f>
        <v>15455</v>
      </c>
      <c r="G221" s="839">
        <f>G198 + G175</f>
        <v>15653</v>
      </c>
      <c r="H221" s="839">
        <f>H198 + H175</f>
        <v>15078</v>
      </c>
      <c r="I221" s="839">
        <f>I198 + I175</f>
        <v>15265</v>
      </c>
      <c r="J221" s="839">
        <f>J198 + J175</f>
        <v>15496</v>
      </c>
      <c r="K221" s="839">
        <f>K198 + K175</f>
        <v>14835</v>
      </c>
      <c r="L221" s="839">
        <f>L198 + L175</f>
        <v>15204</v>
      </c>
      <c r="M221" s="839">
        <f>M198 + M175</f>
        <v>14369</v>
      </c>
      <c r="N221" s="839">
        <f>N198 + N175</f>
        <v>14469</v>
      </c>
      <c r="O221" s="839">
        <f>O198 + O175</f>
        <v>14533</v>
      </c>
      <c r="P221" s="839">
        <f>P198 + P175</f>
        <v>14720</v>
      </c>
      <c r="Q221" s="839">
        <f>Q198 + Q175</f>
        <v>14548</v>
      </c>
      <c r="R221" s="839">
        <f>R198 + R175</f>
        <v>14696</v>
      </c>
      <c r="S221" s="839">
        <f>S198 + S175</f>
        <v>14889</v>
      </c>
      <c r="T221" s="839">
        <f>T198 + T175</f>
        <v>15085</v>
      </c>
      <c r="U221" s="839">
        <f>U198 + U175</f>
        <v>15222</v>
      </c>
      <c r="V221" s="839">
        <f>V198 + V175</f>
        <v>15096</v>
      </c>
      <c r="W221" s="839">
        <f>W198 + W175</f>
        <v>14825</v>
      </c>
      <c r="X221" s="839">
        <f>X198 + X175</f>
        <v>14160</v>
      </c>
      <c r="Y221" s="839">
        <f>Y198 + Y175</f>
        <v>13969</v>
      </c>
      <c r="Z221" s="839">
        <f>Z198 + Z175</f>
        <v>14267</v>
      </c>
      <c r="AA221" s="839">
        <f>AA198 + AA175</f>
        <v>14141</v>
      </c>
      <c r="AB221" s="841">
        <f>AB198 + AB175</f>
        <v>14359</v>
      </c>
      <c r="AC221" s="841">
        <f>AC198 + AC175</f>
        <v>14242</v>
      </c>
      <c r="AD221" s="841">
        <f>AD198 + AD175</f>
        <v>14346</v>
      </c>
      <c r="AE221" s="841">
        <f>AE198 + AE175</f>
        <v>14236</v>
      </c>
      <c r="AF221" s="841">
        <f>AF198 + AF175</f>
        <v>14537</v>
      </c>
      <c r="AG221" s="841">
        <f>AG198 + AG175</f>
        <v>14465</v>
      </c>
      <c r="AH221" s="841">
        <f>AH198 + AH175</f>
        <v>14690</v>
      </c>
      <c r="AI221" s="841">
        <f>AI198 + AI175</f>
        <v>14510</v>
      </c>
      <c r="AJ221" s="841">
        <f>AJ198 + AJ175</f>
        <v>14706</v>
      </c>
      <c r="AK221" s="841">
        <f>AK198 + AK175</f>
        <v>13298</v>
      </c>
      <c r="AL221" s="841">
        <f>AL198 + AL175</f>
        <v>13462</v>
      </c>
      <c r="AM221" s="841">
        <f>AM198 + AM175</f>
        <v>13599</v>
      </c>
      <c r="AN221" s="841">
        <f>AN198 + AN175</f>
        <v>13817</v>
      </c>
      <c r="AO221" s="841">
        <f>AO198 + AO175</f>
        <v>14424</v>
      </c>
    </row>
    <row r="222" hidden="1">
      <c r="A222" s="842" t="s">
        <v>109</v>
      </c>
      <c r="B222" s="839">
        <f>B199 + B176</f>
        <v>21610</v>
      </c>
      <c r="C222" s="839">
        <f>C199 + C176</f>
        <v>20745</v>
      </c>
      <c r="D222" s="839">
        <f>D199 + D176</f>
        <v>19673</v>
      </c>
      <c r="E222" s="839">
        <f>E199 + E176</f>
        <v>19476</v>
      </c>
      <c r="F222" s="839">
        <f>F199 + F176</f>
        <v>19238</v>
      </c>
      <c r="G222" s="839">
        <f>G199 + G176</f>
        <v>19104</v>
      </c>
      <c r="H222" s="839">
        <f>H199 + H176</f>
        <v>19056</v>
      </c>
      <c r="I222" s="839">
        <f>I199 + I176</f>
        <v>18699</v>
      </c>
      <c r="J222" s="839">
        <f>J199 + J176</f>
        <v>18860</v>
      </c>
      <c r="K222" s="839">
        <f>K199 + K176</f>
        <v>19007</v>
      </c>
      <c r="L222" s="839">
        <f>L199 + L176</f>
        <v>19155</v>
      </c>
      <c r="M222" s="839">
        <f>M199 + M176</f>
        <v>19347</v>
      </c>
      <c r="N222" s="839">
        <f>N199 + N176</f>
        <v>19265</v>
      </c>
      <c r="O222" s="839">
        <f>O199 + O176</f>
        <v>19533</v>
      </c>
      <c r="P222" s="839">
        <f>P199 + P176</f>
        <v>19669</v>
      </c>
      <c r="Q222" s="839">
        <f>Q199 + Q176</f>
        <v>19617</v>
      </c>
      <c r="R222" s="839">
        <f>R199 + R176</f>
        <v>19859</v>
      </c>
      <c r="S222" s="839">
        <f>S199 + S176</f>
        <v>20249</v>
      </c>
      <c r="T222" s="839">
        <f>T199 + T176</f>
        <v>20601</v>
      </c>
      <c r="U222" s="839">
        <f>U199 + U176</f>
        <v>21815</v>
      </c>
      <c r="V222" s="839">
        <f>V199 + V176</f>
        <v>21789</v>
      </c>
      <c r="W222" s="839">
        <f>W199 + W176</f>
        <v>21593</v>
      </c>
      <c r="X222" s="839">
        <f>X199 + X176</f>
        <v>21624</v>
      </c>
      <c r="Y222" s="839">
        <f>Y199 + Y176</f>
        <v>21744</v>
      </c>
      <c r="Z222" s="839">
        <f>Z199 + Z176</f>
        <v>21590</v>
      </c>
      <c r="AA222" s="839">
        <f>AA199 + AA176</f>
        <v>21902</v>
      </c>
      <c r="AB222" s="841">
        <f>AB199 + AB176</f>
        <v>21170</v>
      </c>
      <c r="AC222" s="841">
        <f>AC199 + AC176</f>
        <v>21592</v>
      </c>
      <c r="AD222" s="841">
        <f>AD199 + AD176</f>
        <v>21493</v>
      </c>
      <c r="AE222" s="841">
        <f>AE199 + AE176</f>
        <v>21748</v>
      </c>
      <c r="AF222" s="841">
        <f>AF199 + AF176</f>
        <v>21961</v>
      </c>
      <c r="AG222" s="841">
        <f>AG199 + AG176</f>
        <v>22272</v>
      </c>
      <c r="AH222" s="841">
        <f>AH199 + AH176</f>
        <v>22620</v>
      </c>
      <c r="AI222" s="841">
        <f>AI199 + AI176</f>
        <v>22004</v>
      </c>
      <c r="AJ222" s="841">
        <f>AJ199 + AJ176</f>
        <v>22272</v>
      </c>
      <c r="AK222" s="841">
        <f>AK199 + AK176</f>
        <v>22545</v>
      </c>
      <c r="AL222" s="841">
        <f>AL199 + AL176</f>
        <v>22603</v>
      </c>
      <c r="AM222" s="841">
        <f>AM199 + AM176</f>
        <v>22885</v>
      </c>
      <c r="AN222" s="841">
        <f>AN199 + AN176</f>
        <v>24675</v>
      </c>
      <c r="AO222" s="841">
        <f>AO199 + AO176</f>
        <v>26960</v>
      </c>
    </row>
    <row r="223" hidden="1">
      <c r="A223" s="842" t="s">
        <v>110</v>
      </c>
      <c r="B223" s="839">
        <f>B200 + B177</f>
        <v>69297</v>
      </c>
      <c r="C223" s="839">
        <f>C200 + C177</f>
        <v>70817</v>
      </c>
      <c r="D223" s="839">
        <f>D200 + D177</f>
        <v>72042</v>
      </c>
      <c r="E223" s="839">
        <f>E200 + E177</f>
        <v>73023</v>
      </c>
      <c r="F223" s="839">
        <f>F200 + F177</f>
        <v>73203</v>
      </c>
      <c r="G223" s="839">
        <f>G200 + G177</f>
        <v>72816</v>
      </c>
      <c r="H223" s="839">
        <f>H200 + H177</f>
        <v>67525</v>
      </c>
      <c r="I223" s="839">
        <f>I200 + I177</f>
        <v>68566</v>
      </c>
      <c r="J223" s="839">
        <f>J200 + J177</f>
        <v>70576</v>
      </c>
      <c r="K223" s="839">
        <f>K200 + K177</f>
        <v>71117</v>
      </c>
      <c r="L223" s="839">
        <f>L200 + L177</f>
        <v>71421</v>
      </c>
      <c r="M223" s="839">
        <f>M200 + M177</f>
        <v>69098</v>
      </c>
      <c r="N223" s="839">
        <f>N200 + N177</f>
        <v>67394</v>
      </c>
      <c r="O223" s="839">
        <f>O200 + O177</f>
        <v>65690</v>
      </c>
      <c r="P223" s="839">
        <f>P200 + P177</f>
        <v>67244</v>
      </c>
      <c r="Q223" s="839">
        <f>Q200 + Q177</f>
        <v>67287</v>
      </c>
      <c r="R223" s="839">
        <f>R200 + R177</f>
        <v>69590</v>
      </c>
      <c r="S223" s="839">
        <f>S200 + S177</f>
        <v>69907</v>
      </c>
      <c r="T223" s="839">
        <f>T200 + T177</f>
        <v>70579</v>
      </c>
      <c r="U223" s="839">
        <f>U200 + U177</f>
        <v>70877</v>
      </c>
      <c r="V223" s="839">
        <f>V200 + V177</f>
        <v>70798</v>
      </c>
      <c r="W223" s="839">
        <f>W200 + W177</f>
        <v>71087</v>
      </c>
      <c r="X223" s="839">
        <f>X200 + X177</f>
        <v>71114</v>
      </c>
      <c r="Y223" s="839">
        <f>Y200 + Y177</f>
        <v>71023</v>
      </c>
      <c r="Z223" s="839">
        <f>Z200 + Z177</f>
        <v>70783</v>
      </c>
      <c r="AA223" s="839">
        <f>AA200 + AA177</f>
        <v>70875</v>
      </c>
      <c r="AB223" s="841">
        <f>AB200 + AB177</f>
        <v>69639</v>
      </c>
      <c r="AC223" s="841">
        <f>AC200 + AC177</f>
        <v>69824</v>
      </c>
      <c r="AD223" s="841">
        <f>AD200 + AD177</f>
        <v>69936</v>
      </c>
      <c r="AE223" s="841">
        <f>AE200 + AE177</f>
        <v>69611</v>
      </c>
      <c r="AF223" s="841">
        <f>AF200 + AF177</f>
        <v>69949</v>
      </c>
      <c r="AG223" s="841">
        <f>AG200 + AG177</f>
        <v>70286</v>
      </c>
      <c r="AH223" s="841">
        <f>AH200 + AH177</f>
        <v>70755</v>
      </c>
      <c r="AI223" s="841">
        <f>AI200 + AI177</f>
        <v>71292</v>
      </c>
      <c r="AJ223" s="841">
        <f>AJ200 + AJ177</f>
        <v>71866</v>
      </c>
      <c r="AK223" s="841">
        <f>AK200 + AK177</f>
        <v>71519</v>
      </c>
      <c r="AL223" s="841">
        <f>AL200 + AL177</f>
        <v>71243</v>
      </c>
      <c r="AM223" s="841">
        <f>AM200 + AM177</f>
        <v>71450</v>
      </c>
      <c r="AN223" s="841">
        <f>AN200 + AN177</f>
        <v>73966</v>
      </c>
      <c r="AO223" s="841">
        <f>AO200 + AO177</f>
        <v>77543</v>
      </c>
    </row>
    <row r="224" hidden="1">
      <c r="A224" s="842" t="s">
        <v>16</v>
      </c>
      <c r="B224" s="839">
        <f>B201 + B178</f>
        <v>23608</v>
      </c>
      <c r="C224" s="839">
        <f>C201 + C178</f>
        <v>23767</v>
      </c>
      <c r="D224" s="839">
        <f>D201 + D178</f>
        <v>23656</v>
      </c>
      <c r="E224" s="839">
        <f>E201 + E178</f>
        <v>23554</v>
      </c>
      <c r="F224" s="839">
        <f>F201 + F178</f>
        <v>23348</v>
      </c>
      <c r="G224" s="839">
        <f>G201 + G178</f>
        <v>23211</v>
      </c>
      <c r="H224" s="839">
        <f>H201 + H178</f>
        <v>23118</v>
      </c>
      <c r="I224" s="839">
        <f>I201 + I178</f>
        <v>23052</v>
      </c>
      <c r="J224" s="839">
        <f>J201 + J178</f>
        <v>23344</v>
      </c>
      <c r="K224" s="839">
        <f>K201 + K178</f>
        <v>23592</v>
      </c>
      <c r="L224" s="839">
        <f>L201 + L178</f>
        <v>23756</v>
      </c>
      <c r="M224" s="839">
        <f>M201 + M178</f>
        <v>23676</v>
      </c>
      <c r="N224" s="839">
        <f>N201 + N178</f>
        <v>23452</v>
      </c>
      <c r="O224" s="839">
        <f>O201 + O178</f>
        <v>23461</v>
      </c>
      <c r="P224" s="839">
        <f>P201 + P178</f>
        <v>23396</v>
      </c>
      <c r="Q224" s="839">
        <f>Q201 + Q178</f>
        <v>23497</v>
      </c>
      <c r="R224" s="839">
        <f>R201 + R178</f>
        <v>23665</v>
      </c>
      <c r="S224" s="839">
        <f>S201 + S178</f>
        <v>23813</v>
      </c>
      <c r="T224" s="839">
        <f>T201 + T178</f>
        <v>23875</v>
      </c>
      <c r="U224" s="839">
        <f>U201 + U178</f>
        <v>24072</v>
      </c>
      <c r="V224" s="839">
        <f>V201 + V178</f>
        <v>24245</v>
      </c>
      <c r="W224" s="839">
        <f>W201 + W178</f>
        <v>24440</v>
      </c>
      <c r="X224" s="839">
        <f>X201 + X178</f>
        <v>24797</v>
      </c>
      <c r="Y224" s="839">
        <f>Y201 + Y178</f>
        <v>24973</v>
      </c>
      <c r="Z224" s="839">
        <f>Z201 + Z178</f>
        <v>25164</v>
      </c>
      <c r="AA224" s="839">
        <f>AA201 + AA178</f>
        <v>25301</v>
      </c>
      <c r="AB224" s="841">
        <f>AB201 + AB178</f>
        <v>25270</v>
      </c>
      <c r="AC224" s="841">
        <f>AC201 + AC178</f>
        <v>25221</v>
      </c>
      <c r="AD224" s="841">
        <f>AD201 + AD178</f>
        <v>25245</v>
      </c>
      <c r="AE224" s="841">
        <f>AE201 + AE178</f>
        <v>25554</v>
      </c>
      <c r="AF224" s="841">
        <f>AF201 + AF178</f>
        <v>25782</v>
      </c>
      <c r="AG224" s="841">
        <f>AG201 + AG178</f>
        <v>26002</v>
      </c>
      <c r="AH224" s="841">
        <f>AH201 + AH178</f>
        <v>26248</v>
      </c>
      <c r="AI224" s="841">
        <f>AI201 + AI178</f>
        <v>26516</v>
      </c>
      <c r="AJ224" s="841">
        <f>AJ201 + AJ178</f>
        <v>26743</v>
      </c>
      <c r="AK224" s="841">
        <f>AK201 + AK178</f>
        <v>26799</v>
      </c>
      <c r="AL224" s="841">
        <f>AL201 + AL178</f>
        <v>26928</v>
      </c>
      <c r="AM224" s="841">
        <f>AM201 + AM178</f>
        <v>27170</v>
      </c>
      <c r="AN224" s="841">
        <f>AN201 + AN178</f>
        <v>28191</v>
      </c>
      <c r="AO224" s="841">
        <f>AO201 + AO178</f>
        <v>28965</v>
      </c>
    </row>
    <row r="225" hidden="1">
      <c r="A225" s="842" t="s">
        <v>17</v>
      </c>
      <c r="B225" s="839">
        <f>B202 + B179</f>
        <v>42049</v>
      </c>
      <c r="C225" s="839">
        <f>C202 + C179</f>
        <v>41998</v>
      </c>
      <c r="D225" s="839">
        <f>D202 + D179</f>
        <v>42455</v>
      </c>
      <c r="E225" s="839">
        <f>E202 + E179</f>
        <v>43085</v>
      </c>
      <c r="F225" s="839">
        <f>F202 + F179</f>
        <v>40938</v>
      </c>
      <c r="G225" s="839">
        <f>G202 + G179</f>
        <v>41415</v>
      </c>
      <c r="H225" s="839">
        <f>H202 + H179</f>
        <v>40547</v>
      </c>
      <c r="I225" s="839">
        <f>I202 + I179</f>
        <v>40943</v>
      </c>
      <c r="J225" s="839">
        <f>J202 + J179</f>
        <v>41316</v>
      </c>
      <c r="K225" s="839">
        <f>K202 + K179</f>
        <v>41879</v>
      </c>
      <c r="L225" s="839">
        <f>L202 + L179</f>
        <v>42333</v>
      </c>
      <c r="M225" s="839">
        <f>M202 + M179</f>
        <v>42798</v>
      </c>
      <c r="N225" s="839">
        <f>N202 + N179</f>
        <v>43079</v>
      </c>
      <c r="O225" s="839">
        <f>O202 + O179</f>
        <v>43666</v>
      </c>
      <c r="P225" s="839">
        <f>P202 + P179</f>
        <v>40894</v>
      </c>
      <c r="Q225" s="839">
        <f>Q202 + Q179</f>
        <v>41519</v>
      </c>
      <c r="R225" s="839">
        <f>R202 + R179</f>
        <v>41010</v>
      </c>
      <c r="S225" s="839">
        <f>S202 + S179</f>
        <v>41702</v>
      </c>
      <c r="T225" s="839">
        <f>T202 + T179</f>
        <v>42745</v>
      </c>
      <c r="U225" s="839">
        <f>U202 + U179</f>
        <v>43594</v>
      </c>
      <c r="V225" s="839">
        <f>V202 + V179</f>
        <v>42303</v>
      </c>
      <c r="W225" s="839">
        <f>W202 + W179</f>
        <v>42447</v>
      </c>
      <c r="X225" s="839">
        <f>X202 + X179</f>
        <v>43403</v>
      </c>
      <c r="Y225" s="839">
        <f>Y202 + Y179</f>
        <v>44088</v>
      </c>
      <c r="Z225" s="839">
        <f>Z202 + Z179</f>
        <v>44647</v>
      </c>
      <c r="AA225" s="839">
        <f>AA202 + AA179</f>
        <v>45002</v>
      </c>
      <c r="AB225" s="841">
        <f>AB202 + AB179</f>
        <v>45637</v>
      </c>
      <c r="AC225" s="841">
        <f>AC202 + AC179</f>
        <v>46046</v>
      </c>
      <c r="AD225" s="841">
        <f>AD202 + AD179</f>
        <v>46523</v>
      </c>
      <c r="AE225" s="841">
        <f>AE202 + AE179</f>
        <v>46972</v>
      </c>
      <c r="AF225" s="841">
        <f>AF202 + AF179</f>
        <v>47551</v>
      </c>
      <c r="AG225" s="841">
        <f>AG202 + AG179</f>
        <v>47877</v>
      </c>
      <c r="AH225" s="841">
        <f>AH202 + AH179</f>
        <v>48292</v>
      </c>
      <c r="AI225" s="841">
        <f>AI202 + AI179</f>
        <v>48776</v>
      </c>
      <c r="AJ225" s="841">
        <f>AJ202 + AJ179</f>
        <v>49101</v>
      </c>
      <c r="AK225" s="841">
        <f>AK202 + AK179</f>
        <v>49981</v>
      </c>
      <c r="AL225" s="841">
        <f>AL202 + AL179</f>
        <v>50354</v>
      </c>
      <c r="AM225" s="841">
        <f>AM202 + AM179</f>
        <v>50648</v>
      </c>
      <c r="AN225" s="841">
        <f>AN202 + AN179</f>
        <v>51185</v>
      </c>
      <c r="AO225" s="841">
        <f>AO202 + AO179</f>
        <v>51441</v>
      </c>
    </row>
    <row r="226" hidden="1">
      <c r="A226" s="842" t="s">
        <v>18</v>
      </c>
      <c r="B226" s="839">
        <f>B203 + B180</f>
        <v>113112</v>
      </c>
      <c r="C226" s="839">
        <f>C203 + C180</f>
        <v>103741</v>
      </c>
      <c r="D226" s="839">
        <f>D203 + D180</f>
        <v>104950</v>
      </c>
      <c r="E226" s="839">
        <f>E203 + E180</f>
        <v>105937</v>
      </c>
      <c r="F226" s="839">
        <f>F203 + F180</f>
        <v>100883</v>
      </c>
      <c r="G226" s="839">
        <f>G203 + G180</f>
        <v>101783</v>
      </c>
      <c r="H226" s="839">
        <f>H203 + H180</f>
        <v>98097</v>
      </c>
      <c r="I226" s="839">
        <f>I203 + I180</f>
        <v>97450</v>
      </c>
      <c r="J226" s="839">
        <f>J203 + J180</f>
        <v>97059</v>
      </c>
      <c r="K226" s="839">
        <f>K203 + K180</f>
        <v>95419</v>
      </c>
      <c r="L226" s="839">
        <f>L203 + L180</f>
        <v>95448</v>
      </c>
      <c r="M226" s="839">
        <f>M203 + M180</f>
        <v>95528</v>
      </c>
      <c r="N226" s="839">
        <f>N203 + N180</f>
        <v>95069</v>
      </c>
      <c r="O226" s="839">
        <f>O203 + O180</f>
        <v>94162</v>
      </c>
      <c r="P226" s="839">
        <f>P203 + P180</f>
        <v>93997</v>
      </c>
      <c r="Q226" s="839">
        <f>Q203 + Q180</f>
        <v>93746</v>
      </c>
      <c r="R226" s="839">
        <f>R203 + R180</f>
        <v>93682</v>
      </c>
      <c r="S226" s="839">
        <f>S203 + S180</f>
        <v>93665</v>
      </c>
      <c r="T226" s="839">
        <f>T203 + T180</f>
        <v>97016</v>
      </c>
      <c r="U226" s="839">
        <f>U203 + U180</f>
        <v>96724</v>
      </c>
      <c r="V226" s="839">
        <f>V203 + V180</f>
        <v>96241</v>
      </c>
      <c r="W226" s="839">
        <f>W203 + W180</f>
        <v>95842</v>
      </c>
      <c r="X226" s="839">
        <f>X203 + X180</f>
        <v>94492</v>
      </c>
      <c r="Y226" s="839">
        <f>Y203 + Y180</f>
        <v>94658</v>
      </c>
      <c r="Z226" s="839">
        <f>Z203 + Z180</f>
        <v>93688</v>
      </c>
      <c r="AA226" s="839">
        <f>AA203 + AA180</f>
        <v>93412</v>
      </c>
      <c r="AB226" s="841">
        <f>AB203 + AB180</f>
        <v>93295</v>
      </c>
      <c r="AC226" s="841">
        <f>AC203 + AC180</f>
        <v>93557</v>
      </c>
      <c r="AD226" s="841">
        <f>AD203 + AD180</f>
        <v>94382</v>
      </c>
      <c r="AE226" s="841">
        <f>AE203 + AE180</f>
        <v>96191</v>
      </c>
      <c r="AF226" s="841">
        <f>AF203 + AF180</f>
        <v>95606</v>
      </c>
      <c r="AG226" s="841">
        <f>AG203 + AG180</f>
        <v>95433</v>
      </c>
      <c r="AH226" s="841">
        <f>AH203 + AH180</f>
        <v>87088</v>
      </c>
      <c r="AI226" s="841">
        <f>AI203 + AI180</f>
        <v>86837</v>
      </c>
      <c r="AJ226" s="841">
        <f>AJ203 + AJ180</f>
        <v>91875</v>
      </c>
      <c r="AK226" s="841">
        <f>AK203 + AK180</f>
        <v>100881</v>
      </c>
      <c r="AL226" s="841">
        <f>AL203 + AL180</f>
        <v>167542</v>
      </c>
      <c r="AM226" s="841">
        <f>AM203 + AM180</f>
        <v>188805</v>
      </c>
      <c r="AN226" s="841">
        <f>AN203 + AN180</f>
        <v>201561</v>
      </c>
      <c r="AO226" s="841">
        <f>AO203 + AO180</f>
        <v>207365</v>
      </c>
    </row>
    <row r="227" hidden="1">
      <c r="A227" s="842" t="s">
        <v>19</v>
      </c>
      <c r="B227" s="839">
        <f>B204 + B181</f>
        <v>3778</v>
      </c>
      <c r="C227" s="839">
        <f>C204 + C181</f>
        <v>3954</v>
      </c>
      <c r="D227" s="839">
        <f>D204 + D181</f>
        <v>4031</v>
      </c>
      <c r="E227" s="839">
        <f>E204 + E181</f>
        <v>4093</v>
      </c>
      <c r="F227" s="839">
        <f>F204 + F181</f>
        <v>4255</v>
      </c>
      <c r="G227" s="839">
        <f>G204 + G181</f>
        <v>4416</v>
      </c>
      <c r="H227" s="839">
        <f>H204 + H181</f>
        <v>4293</v>
      </c>
      <c r="I227" s="839">
        <f>I204 + I181</f>
        <v>4393</v>
      </c>
      <c r="J227" s="839">
        <f>J204 + J181</f>
        <v>4430</v>
      </c>
      <c r="K227" s="839">
        <f>K204 + K181</f>
        <v>4495</v>
      </c>
      <c r="L227" s="839">
        <f>L204 + L181</f>
        <v>4097</v>
      </c>
      <c r="M227" s="839">
        <f>M204 + M181</f>
        <v>4209</v>
      </c>
      <c r="N227" s="839">
        <f>N204 + N181</f>
        <v>4378</v>
      </c>
      <c r="O227" s="839">
        <f>O204 + O181</f>
        <v>4474</v>
      </c>
      <c r="P227" s="839">
        <f>P204 + P181</f>
        <v>4386</v>
      </c>
      <c r="Q227" s="839">
        <f>Q204 + Q181</f>
        <v>4528</v>
      </c>
      <c r="R227" s="839">
        <f>R204 + R181</f>
        <v>4658</v>
      </c>
      <c r="S227" s="839">
        <f>S204 + S181</f>
        <v>4799</v>
      </c>
      <c r="T227" s="839">
        <f>T204 + T181</f>
        <v>4926</v>
      </c>
      <c r="U227" s="839">
        <f>U204 + U181</f>
        <v>5057</v>
      </c>
      <c r="V227" s="839">
        <f>V204 + V181</f>
        <v>5177</v>
      </c>
      <c r="W227" s="839">
        <f>W204 + W181</f>
        <v>5223</v>
      </c>
      <c r="X227" s="839">
        <f>X204 + X181</f>
        <v>5323</v>
      </c>
      <c r="Y227" s="839">
        <f>Y204 + Y181</f>
        <v>5411</v>
      </c>
      <c r="Z227" s="839">
        <f>Z204 + Z181</f>
        <v>5419</v>
      </c>
      <c r="AA227" s="839">
        <f>AA204 + AA181</f>
        <v>5431</v>
      </c>
      <c r="AB227" s="841">
        <f>AB204 + AB181</f>
        <v>5530</v>
      </c>
      <c r="AC227" s="841">
        <f>AC204 + AC181</f>
        <v>5589</v>
      </c>
      <c r="AD227" s="841">
        <f>AD204 + AD181</f>
        <v>5639</v>
      </c>
      <c r="AE227" s="841">
        <f>AE204 + AE181</f>
        <v>5708</v>
      </c>
      <c r="AF227" s="841">
        <f>AF204 + AF181</f>
        <v>5771</v>
      </c>
      <c r="AG227" s="841">
        <f>AG204 + AG181</f>
        <v>5905</v>
      </c>
      <c r="AH227" s="841">
        <f>AH204 + AH181</f>
        <v>6143</v>
      </c>
      <c r="AI227" s="841">
        <f>AI204 + AI181</f>
        <v>5464</v>
      </c>
      <c r="AJ227" s="841">
        <f>AJ204 + AJ181</f>
        <v>5723</v>
      </c>
      <c r="AK227" s="841">
        <f>AK204 + AK181</f>
        <v>6004</v>
      </c>
      <c r="AL227" s="841">
        <f>AL204 + AL181</f>
        <v>6170</v>
      </c>
      <c r="AM227" s="841">
        <f>AM204 + AM181</f>
        <v>6302</v>
      </c>
      <c r="AN227" s="841">
        <f>AN204 + AN181</f>
        <v>6884</v>
      </c>
      <c r="AO227" s="841">
        <f>AO204 + AO181</f>
        <v>8129</v>
      </c>
    </row>
    <row r="228" hidden="1">
      <c r="A228" s="842" t="s">
        <v>20</v>
      </c>
      <c r="B228" s="839">
        <f>B205 + B182</f>
        <v>6935</v>
      </c>
      <c r="C228" s="839">
        <f>C205 + C182</f>
        <v>7112</v>
      </c>
      <c r="D228" s="839">
        <f>D205 + D182</f>
        <v>7525</v>
      </c>
      <c r="E228" s="839">
        <f>E205 + E182</f>
        <v>7395</v>
      </c>
      <c r="F228" s="839">
        <f>F205 + F182</f>
        <v>7197</v>
      </c>
      <c r="G228" s="839">
        <f>G205 + G182</f>
        <v>7229</v>
      </c>
      <c r="H228" s="839">
        <f>H205 + H182</f>
        <v>7305</v>
      </c>
      <c r="I228" s="839">
        <f>I205 + I182</f>
        <v>7390</v>
      </c>
      <c r="J228" s="839">
        <f>J205 + J182</f>
        <v>7362</v>
      </c>
      <c r="K228" s="839">
        <f>K205 + K182</f>
        <v>7533</v>
      </c>
      <c r="L228" s="839">
        <f>L205 + L182</f>
        <v>7485</v>
      </c>
      <c r="M228" s="839">
        <f>M205 + M182</f>
        <v>7168</v>
      </c>
      <c r="N228" s="839">
        <f>N205 + N182</f>
        <v>7449</v>
      </c>
      <c r="O228" s="839">
        <f>O205 + O182</f>
        <v>7602</v>
      </c>
      <c r="P228" s="839">
        <f>P205 + P182</f>
        <v>7655</v>
      </c>
      <c r="Q228" s="839">
        <f>Q205 + Q182</f>
        <v>7760</v>
      </c>
      <c r="R228" s="839">
        <f>R205 + R182</f>
        <v>7454</v>
      </c>
      <c r="S228" s="839">
        <f>S205 + S182</f>
        <v>7731</v>
      </c>
      <c r="T228" s="839">
        <f>T205 + T182</f>
        <v>7854</v>
      </c>
      <c r="U228" s="839">
        <f>U205 + U182</f>
        <v>7975</v>
      </c>
      <c r="V228" s="839">
        <f>V205 + V182</f>
        <v>7943</v>
      </c>
      <c r="W228" s="839">
        <f>W205 + W182</f>
        <v>7982</v>
      </c>
      <c r="X228" s="839">
        <f>X205 + X182</f>
        <v>8156</v>
      </c>
      <c r="Y228" s="839">
        <f>Y205 + Y182</f>
        <v>8255</v>
      </c>
      <c r="Z228" s="839">
        <f>Z205 + Z182</f>
        <v>8454</v>
      </c>
      <c r="AA228" s="839">
        <f>AA205 + AA182</f>
        <v>8483</v>
      </c>
      <c r="AB228" s="841">
        <f>AB205 + AB182</f>
        <v>8578</v>
      </c>
      <c r="AC228" s="841">
        <f>AC205 + AC182</f>
        <v>8651</v>
      </c>
      <c r="AD228" s="841">
        <f>AD205 + AD182</f>
        <v>8859</v>
      </c>
      <c r="AE228" s="841">
        <f>AE205 + AE182</f>
        <v>8961</v>
      </c>
      <c r="AF228" s="841">
        <f>AF205 + AF182</f>
        <v>7257</v>
      </c>
      <c r="AG228" s="841">
        <f>AG205 + AG182</f>
        <v>7378</v>
      </c>
      <c r="AH228" s="841">
        <f>AH205 + AH182</f>
        <v>7429</v>
      </c>
      <c r="AI228" s="841">
        <f>AI205 + AI182</f>
        <v>7494</v>
      </c>
      <c r="AJ228" s="841">
        <f>AJ205 + AJ182</f>
        <v>7608</v>
      </c>
      <c r="AK228" s="841">
        <f>AK205 + AK182</f>
        <v>7601</v>
      </c>
      <c r="AL228" s="841">
        <f>AL205 + AL182</f>
        <v>7661</v>
      </c>
      <c r="AM228" s="841">
        <f>AM205 + AM182</f>
        <v>7751</v>
      </c>
      <c r="AN228" s="841">
        <f>AN205 + AN182</f>
        <v>7780</v>
      </c>
      <c r="AO228" s="841">
        <f>AO205 + AO182</f>
        <v>7948</v>
      </c>
    </row>
    <row r="229" hidden="1">
      <c r="A229" s="842" t="s">
        <v>21</v>
      </c>
      <c r="B229" s="839">
        <f>B206 + B183</f>
        <v>6444</v>
      </c>
      <c r="C229" s="839">
        <f>C206 + C183</f>
        <v>6295</v>
      </c>
      <c r="D229" s="839">
        <f>D206 + D183</f>
        <v>6115</v>
      </c>
      <c r="E229" s="839">
        <f>E206 + E183</f>
        <v>6210</v>
      </c>
      <c r="F229" s="839">
        <f>F206 + F183</f>
        <v>6172</v>
      </c>
      <c r="G229" s="839">
        <f>G206 + G183</f>
        <v>6158</v>
      </c>
      <c r="H229" s="839">
        <f>H206 + H183</f>
        <v>6018</v>
      </c>
      <c r="I229" s="839">
        <f>I206 + I183</f>
        <v>6163</v>
      </c>
      <c r="J229" s="839">
        <f>J206 + J183</f>
        <v>6337</v>
      </c>
      <c r="K229" s="839">
        <f>K206 + K183</f>
        <v>6410</v>
      </c>
      <c r="L229" s="839">
        <f>L206 + L183</f>
        <v>6502</v>
      </c>
      <c r="M229" s="839">
        <f>M206 + M183</f>
        <v>6540</v>
      </c>
      <c r="N229" s="839">
        <f>N206 + N183</f>
        <v>6604</v>
      </c>
      <c r="O229" s="839">
        <f>O206 + O183</f>
        <v>6584</v>
      </c>
      <c r="P229" s="839">
        <f>P206 + P183</f>
        <v>6643</v>
      </c>
      <c r="Q229" s="839">
        <f>Q206 + Q183</f>
        <v>6685</v>
      </c>
      <c r="R229" s="839">
        <f>R206 + R183</f>
        <v>6748</v>
      </c>
      <c r="S229" s="839">
        <f>S206 + S183</f>
        <v>7062</v>
      </c>
      <c r="T229" s="839">
        <f>T206 + T183</f>
        <v>7091</v>
      </c>
      <c r="U229" s="839">
        <f>U206 + U183</f>
        <v>7150</v>
      </c>
      <c r="V229" s="839">
        <f>V206 + V183</f>
        <v>7096</v>
      </c>
      <c r="W229" s="839">
        <f>W206 + W183</f>
        <v>7233</v>
      </c>
      <c r="X229" s="839">
        <f>X206 + X183</f>
        <v>7267</v>
      </c>
      <c r="Y229" s="839">
        <f>Y206 + Y183</f>
        <v>7208</v>
      </c>
      <c r="Z229" s="839">
        <f>Z206 + Z183</f>
        <v>7168</v>
      </c>
      <c r="AA229" s="839">
        <f>AA206 + AA183</f>
        <v>7255</v>
      </c>
      <c r="AB229" s="841">
        <f>AB206 + AB183</f>
        <v>7146</v>
      </c>
      <c r="AC229" s="841">
        <f>AC206 + AC183</f>
        <v>7284</v>
      </c>
      <c r="AD229" s="841">
        <f>AD206 + AD183</f>
        <v>7429</v>
      </c>
      <c r="AE229" s="841">
        <f>AE206 + AE183</f>
        <v>7456</v>
      </c>
      <c r="AF229" s="841">
        <f>AF206 + AF183</f>
        <v>7473</v>
      </c>
      <c r="AG229" s="841">
        <f>AG206 + AG183</f>
        <v>7536</v>
      </c>
      <c r="AH229" s="841">
        <f>AH206 + AH183</f>
        <v>7578</v>
      </c>
      <c r="AI229" s="841">
        <f>AI206 + AI183</f>
        <v>7569</v>
      </c>
      <c r="AJ229" s="841">
        <f>AJ206 + AJ183</f>
        <v>7514</v>
      </c>
      <c r="AK229" s="841">
        <f>AK206 + AK183</f>
        <v>7565</v>
      </c>
      <c r="AL229" s="841">
        <f>AL206 + AL183</f>
        <v>7572</v>
      </c>
      <c r="AM229" s="841">
        <f>AM206 + AM183</f>
        <v>7703</v>
      </c>
      <c r="AN229" s="841">
        <f>AN206 + AN183</f>
        <v>7840</v>
      </c>
      <c r="AO229" s="841">
        <f>AO206 + AO183</f>
        <v>8115</v>
      </c>
    </row>
    <row r="230" hidden="1">
      <c r="A230" s="842" t="s">
        <v>22</v>
      </c>
      <c r="B230" s="839">
        <f>B207 + B184</f>
        <v>18196</v>
      </c>
      <c r="C230" s="839">
        <f>C207 + C184</f>
        <v>18421</v>
      </c>
      <c r="D230" s="839">
        <f>D207 + D184</f>
        <v>18641</v>
      </c>
      <c r="E230" s="839">
        <f>E207 + E184</f>
        <v>19447</v>
      </c>
      <c r="F230" s="839">
        <f>F207 + F184</f>
        <v>19782</v>
      </c>
      <c r="G230" s="839">
        <f>G207 + G184</f>
        <v>20513</v>
      </c>
      <c r="H230" s="839">
        <f>H207 + H184</f>
        <v>19489</v>
      </c>
      <c r="I230" s="839">
        <f>I207 + I184</f>
        <v>19782</v>
      </c>
      <c r="J230" s="839">
        <f>J207 + J184</f>
        <v>19255</v>
      </c>
      <c r="K230" s="839">
        <f>K207 + K184</f>
        <v>19449</v>
      </c>
      <c r="L230" s="839">
        <f>L207 + L184</f>
        <v>17257</v>
      </c>
      <c r="M230" s="839">
        <f>M207 + M184</f>
        <v>17625</v>
      </c>
      <c r="N230" s="839">
        <f>N207 + N184</f>
        <v>17766</v>
      </c>
      <c r="O230" s="839">
        <f>O207 + O184</f>
        <v>18007</v>
      </c>
      <c r="P230" s="839">
        <f>P207 + P184</f>
        <v>17899</v>
      </c>
      <c r="Q230" s="839">
        <f>Q207 + Q184</f>
        <v>18168</v>
      </c>
      <c r="R230" s="839">
        <f>R207 + R184</f>
        <v>18191</v>
      </c>
      <c r="S230" s="839">
        <f>S207 + S184</f>
        <v>18388</v>
      </c>
      <c r="T230" s="839">
        <f>T207 + T184</f>
        <v>17071</v>
      </c>
      <c r="U230" s="839">
        <f>U207 + U184</f>
        <v>17217</v>
      </c>
      <c r="V230" s="839">
        <f>V207 + V184</f>
        <v>17092</v>
      </c>
      <c r="W230" s="839">
        <f>W207 + W184</f>
        <v>16789</v>
      </c>
      <c r="X230" s="839">
        <f>X207 + X184</f>
        <v>16497</v>
      </c>
      <c r="Y230" s="839">
        <f>Y207 + Y184</f>
        <v>16748</v>
      </c>
      <c r="Z230" s="839">
        <f>Z207 + Z184</f>
        <v>16426</v>
      </c>
      <c r="AA230" s="839">
        <f>AA207 + AA184</f>
        <v>16472</v>
      </c>
      <c r="AB230" s="841">
        <f>AB207 + AB184</f>
        <v>16350</v>
      </c>
      <c r="AC230" s="841">
        <f>AC207 + AC184</f>
        <v>16412</v>
      </c>
      <c r="AD230" s="841">
        <f>AD207 + AD184</f>
        <v>16433</v>
      </c>
      <c r="AE230" s="841">
        <f>AE207 + AE184</f>
        <v>16758</v>
      </c>
      <c r="AF230" s="841">
        <f>AF207 + AF184</f>
        <v>17230</v>
      </c>
      <c r="AG230" s="841">
        <f>AG207 + AG184</f>
        <v>17265</v>
      </c>
      <c r="AH230" s="841">
        <f>AH207 + AH184</f>
        <v>17209</v>
      </c>
      <c r="AI230" s="841">
        <f>AI207 + AI184</f>
        <v>17231</v>
      </c>
      <c r="AJ230" s="841">
        <f>AJ207 + AJ184</f>
        <v>17077</v>
      </c>
      <c r="AK230" s="841">
        <f>AK207 + AK184</f>
        <v>17214</v>
      </c>
      <c r="AL230" s="841">
        <f>AL207 + AL184</f>
        <v>17214</v>
      </c>
      <c r="AM230" s="841">
        <f>AM207 + AM184</f>
        <v>17213</v>
      </c>
      <c r="AN230" s="841">
        <f>AN207 + AN184</f>
        <v>17989</v>
      </c>
      <c r="AO230" s="841">
        <f>AO207 + AO184</f>
        <v>18337</v>
      </c>
    </row>
    <row r="231" hidden="1">
      <c r="A231" s="842" t="s">
        <v>23</v>
      </c>
      <c r="B231" s="839">
        <f>B208 + B185</f>
        <v>2112</v>
      </c>
      <c r="C231" s="839">
        <f>C208 + C185</f>
        <v>2124</v>
      </c>
      <c r="D231" s="839">
        <f>D208 + D185</f>
        <v>2096</v>
      </c>
      <c r="E231" s="839">
        <f>E208 + E185</f>
        <v>2096</v>
      </c>
      <c r="F231" s="839">
        <f>F208 + F185</f>
        <v>2102</v>
      </c>
      <c r="G231" s="839">
        <f>G208 + G185</f>
        <v>2139</v>
      </c>
      <c r="H231" s="839">
        <f>H208 + H185</f>
        <v>2080</v>
      </c>
      <c r="I231" s="839">
        <f>I208 + I185</f>
        <v>2096</v>
      </c>
      <c r="J231" s="839">
        <f>J208 + J185</f>
        <v>2085</v>
      </c>
      <c r="K231" s="839">
        <f>K208 + K185</f>
        <v>2072</v>
      </c>
      <c r="L231" s="839">
        <f>L208 + L185</f>
        <v>2041</v>
      </c>
      <c r="M231" s="839">
        <f>M208 + M185</f>
        <v>2067</v>
      </c>
      <c r="N231" s="839">
        <f>N208 + N185</f>
        <v>2055</v>
      </c>
      <c r="O231" s="839">
        <f>O208 + O185</f>
        <v>2044</v>
      </c>
      <c r="P231" s="839">
        <f>P208 + P185</f>
        <v>2009</v>
      </c>
      <c r="Q231" s="839">
        <f>Q208 + Q185</f>
        <v>2026</v>
      </c>
      <c r="R231" s="839">
        <f>R208 + R185</f>
        <v>2037</v>
      </c>
      <c r="S231" s="839">
        <f>S208 + S185</f>
        <v>1993</v>
      </c>
      <c r="T231" s="839">
        <f>T208 + T185</f>
        <v>2013</v>
      </c>
      <c r="U231" s="839">
        <f>U208 + U185</f>
        <v>2053</v>
      </c>
      <c r="V231" s="839">
        <f>V208 + V185</f>
        <v>2148</v>
      </c>
      <c r="W231" s="839">
        <f>W208 + W185</f>
        <v>2165</v>
      </c>
      <c r="X231" s="839">
        <f>X208 + X185</f>
        <v>2174</v>
      </c>
      <c r="Y231" s="839">
        <f>Y208 + Y185</f>
        <v>2171</v>
      </c>
      <c r="Z231" s="839">
        <f>Z208 + Z185</f>
        <v>2186</v>
      </c>
      <c r="AA231" s="839">
        <f>AA208 + AA185</f>
        <v>2192</v>
      </c>
      <c r="AB231" s="841">
        <f>AB208 + AB185</f>
        <v>2209</v>
      </c>
      <c r="AC231" s="841">
        <f>AC208 + AC185</f>
        <v>2226</v>
      </c>
      <c r="AD231" s="841">
        <f>AD208 + AD185</f>
        <v>2234</v>
      </c>
      <c r="AE231" s="841">
        <f>AE208 + AE185</f>
        <v>2251</v>
      </c>
      <c r="AF231" s="841">
        <f>AF208 + AF185</f>
        <v>2307</v>
      </c>
      <c r="AG231" s="841">
        <f>AG208 + AG185</f>
        <v>2318</v>
      </c>
      <c r="AH231" s="841">
        <f>AH208 + AH185</f>
        <v>2343</v>
      </c>
      <c r="AI231" s="841">
        <f>AI208 + AI185</f>
        <v>2318</v>
      </c>
      <c r="AJ231" s="841">
        <f>AJ208 + AJ185</f>
        <v>2313</v>
      </c>
      <c r="AK231" s="841">
        <f>AK208 + AK185</f>
        <v>2356</v>
      </c>
      <c r="AL231" s="841">
        <f>AL208 + AL185</f>
        <v>2372</v>
      </c>
      <c r="AM231" s="841">
        <f>AM208 + AM185</f>
        <v>2386</v>
      </c>
      <c r="AN231" s="841">
        <f>AN208 + AN185</f>
        <v>2412</v>
      </c>
      <c r="AO231" s="841">
        <f>AO208 + AO185</f>
        <v>2772</v>
      </c>
    </row>
    <row r="232" hidden="1">
      <c r="A232" s="843" t="s">
        <v>24</v>
      </c>
      <c r="B232" s="839">
        <f>B209 + B186</f>
        <v>7397</v>
      </c>
      <c r="C232" s="839">
        <f>C209 + C186</f>
        <v>7179</v>
      </c>
      <c r="D232" s="839">
        <f>D209 + D186</f>
        <v>6712</v>
      </c>
      <c r="E232" s="839">
        <f>E209 + E186</f>
        <v>6533</v>
      </c>
      <c r="F232" s="839">
        <f>F209 + F186</f>
        <v>6391</v>
      </c>
      <c r="G232" s="839">
        <f>G209 + G186</f>
        <v>6317</v>
      </c>
      <c r="H232" s="839">
        <f>H209 + H186</f>
        <v>6264</v>
      </c>
      <c r="I232" s="839">
        <f>I209 + I186</f>
        <v>6230</v>
      </c>
      <c r="J232" s="839">
        <f>J209 + J186</f>
        <v>6514</v>
      </c>
      <c r="K232" s="839">
        <f>K209 + K186</f>
        <v>6640</v>
      </c>
      <c r="L232" s="839">
        <f>L209 + L186</f>
        <v>7356</v>
      </c>
      <c r="M232" s="839">
        <f>M209 + M186</f>
        <v>7900</v>
      </c>
      <c r="N232" s="839">
        <f>N209 + N186</f>
        <v>8323</v>
      </c>
      <c r="O232" s="839">
        <f>O209 + O186</f>
        <v>8589</v>
      </c>
      <c r="P232" s="839">
        <f>P209 + P186</f>
        <v>8779</v>
      </c>
      <c r="Q232" s="839">
        <f>Q209 + Q186</f>
        <v>8954</v>
      </c>
      <c r="R232" s="839">
        <f>R209 + R186</f>
        <v>9171</v>
      </c>
      <c r="S232" s="839">
        <f>S209 + S186</f>
        <v>9583</v>
      </c>
      <c r="T232" s="839">
        <f>T209 + T186</f>
        <v>10296</v>
      </c>
      <c r="U232" s="839">
        <f>U209 + U186</f>
        <v>10769</v>
      </c>
      <c r="V232" s="839">
        <f>V209 + V186</f>
        <v>11213</v>
      </c>
      <c r="W232" s="839">
        <f>W209 + W186</f>
        <v>11566</v>
      </c>
      <c r="X232" s="839">
        <f>X209 + X186</f>
        <v>11762</v>
      </c>
      <c r="Y232" s="839">
        <f>Y209 + Y186</f>
        <v>12066</v>
      </c>
      <c r="Z232" s="839">
        <f>Z209 + Z186</f>
        <v>12182</v>
      </c>
      <c r="AA232" s="839">
        <f>AA209 + AA186</f>
        <v>12433</v>
      </c>
      <c r="AB232" s="841">
        <f>AB209 + AB186</f>
        <v>12626</v>
      </c>
      <c r="AC232" s="841">
        <f>AC209 + AC186</f>
        <v>12796</v>
      </c>
      <c r="AD232" s="841">
        <f>AD209 + AD186</f>
        <v>12896</v>
      </c>
      <c r="AE232" s="841">
        <f>AE209 + AE186</f>
        <v>13186</v>
      </c>
      <c r="AF232" s="841">
        <f>AF209 + AF186</f>
        <v>13327</v>
      </c>
      <c r="AG232" s="841">
        <f>AG209 + AG186</f>
        <v>13569</v>
      </c>
      <c r="AH232" s="841">
        <f>AH209 + AH186</f>
        <v>13882</v>
      </c>
      <c r="AI232" s="841">
        <f>AI209 + AI186</f>
        <v>14127</v>
      </c>
      <c r="AJ232" s="841">
        <f>AJ209 + AJ186</f>
        <v>14264</v>
      </c>
      <c r="AK232" s="841">
        <f>AK209 + AK186</f>
        <v>14470</v>
      </c>
      <c r="AL232" s="841">
        <f>AL209 + AL186</f>
        <v>14490</v>
      </c>
      <c r="AM232" s="841">
        <f>AM209 + AM186</f>
        <v>15064</v>
      </c>
      <c r="AN232" s="841">
        <f>AN209 + AN186</f>
        <v>15726</v>
      </c>
      <c r="AO232" s="841">
        <f>AO209 + AO186</f>
        <v>18006</v>
      </c>
    </row>
    <row r="233" hidden="1">
      <c r="A233" s="842" t="s">
        <v>25</v>
      </c>
      <c r="B233" s="839">
        <f>B210 + B187</f>
        <v>0</v>
      </c>
      <c r="C233" s="839">
        <f>C210 + C187</f>
        <v>0</v>
      </c>
      <c r="D233" s="839">
        <f>D210 + D187</f>
        <v>0</v>
      </c>
      <c r="E233" s="839">
        <f>E210 + E187</f>
        <v>0</v>
      </c>
      <c r="F233" s="839">
        <f>F210 + F187</f>
        <v>0</v>
      </c>
      <c r="G233" s="839">
        <f>G210 + G187</f>
        <v>5</v>
      </c>
      <c r="H233" s="839">
        <f>H210 + H187</f>
        <v>5</v>
      </c>
      <c r="I233" s="839">
        <f>I210 + I187</f>
        <v>5</v>
      </c>
      <c r="J233" s="839">
        <f>J210 + J187</f>
        <v>5</v>
      </c>
      <c r="K233" s="839">
        <f>K210 + K187</f>
        <v>5</v>
      </c>
      <c r="L233" s="839">
        <f>L210 + L187</f>
        <v>5</v>
      </c>
      <c r="M233" s="839">
        <f>M210 + M187</f>
        <v>6</v>
      </c>
      <c r="N233" s="839">
        <f>N210 + N187</f>
        <v>6</v>
      </c>
      <c r="O233" s="839">
        <f>O210 + O187</f>
        <v>6</v>
      </c>
      <c r="P233" s="839">
        <f>P210 + P187</f>
        <v>6</v>
      </c>
      <c r="Q233" s="839">
        <f>Q210 + Q187</f>
        <v>6</v>
      </c>
      <c r="R233" s="839">
        <f>R210 + R187</f>
        <v>6</v>
      </c>
      <c r="S233" s="839">
        <f>S210 + S187</f>
        <v>6</v>
      </c>
      <c r="T233" s="839">
        <f>T210 + T187</f>
        <v>6</v>
      </c>
      <c r="U233" s="839">
        <f>U210 + U187</f>
        <v>7</v>
      </c>
      <c r="V233" s="839">
        <f>V210 + V187</f>
        <v>7</v>
      </c>
      <c r="W233" s="839">
        <f>W210 + W187</f>
        <v>7</v>
      </c>
      <c r="X233" s="839">
        <f>X210 + X187</f>
        <v>7</v>
      </c>
      <c r="Y233" s="839">
        <f>Y210 + Y187</f>
        <v>7</v>
      </c>
      <c r="Z233" s="839">
        <f>Z210 + Z187</f>
        <v>8</v>
      </c>
      <c r="AA233" s="839">
        <f>AA210 + AA187</f>
        <v>8</v>
      </c>
      <c r="AB233" s="841">
        <f>AB210 + AB187</f>
        <v>8</v>
      </c>
      <c r="AC233" s="841">
        <f>AC210 + AC187</f>
        <v>8</v>
      </c>
      <c r="AD233" s="841">
        <f>AD210 + AD187</f>
        <v>8</v>
      </c>
      <c r="AE233" s="841">
        <f>AE210 + AE187</f>
        <v>8</v>
      </c>
      <c r="AF233" s="841">
        <f>AF210 + AF187</f>
        <v>8</v>
      </c>
      <c r="AG233" s="841">
        <f>AG210 + AG187</f>
        <v>8</v>
      </c>
      <c r="AH233" s="841">
        <f>AH210 + AH187</f>
        <v>8</v>
      </c>
      <c r="AI233" s="841">
        <f>AI210 + AI187</f>
        <v>8</v>
      </c>
      <c r="AJ233" s="841">
        <f>AJ210 + AJ187</f>
        <v>8</v>
      </c>
      <c r="AK233" s="841">
        <f>AK210 + AK187</f>
        <v>8</v>
      </c>
      <c r="AL233" s="841">
        <f>AL210 + AL187</f>
        <v>8</v>
      </c>
      <c r="AM233" s="841">
        <f>AM210 + AM187</f>
        <v>9</v>
      </c>
      <c r="AN233" s="841">
        <f>AN210 + AN187</f>
        <v>9</v>
      </c>
      <c r="AO233" s="841">
        <f>AO210 + AO187</f>
        <v>10</v>
      </c>
    </row>
    <row r="234" hidden="1" ht="13.5">
      <c r="A234" s="844" t="s">
        <v>26</v>
      </c>
      <c r="B234" s="839">
        <f>B211 + B188</f>
        <v>0</v>
      </c>
      <c r="C234" s="839">
        <f>C211 + C188</f>
        <v>0</v>
      </c>
      <c r="D234" s="839">
        <f>D211 + D188</f>
        <v>0</v>
      </c>
      <c r="E234" s="839">
        <f>E211 + E188</f>
        <v>0</v>
      </c>
      <c r="F234" s="839">
        <f>F211 + F188</f>
        <v>0</v>
      </c>
      <c r="G234" s="839">
        <f>G211 + G188</f>
        <v>1</v>
      </c>
      <c r="H234" s="839">
        <f>H211 + H188</f>
        <v>1</v>
      </c>
      <c r="I234" s="839">
        <f>I211 + I188</f>
        <v>1</v>
      </c>
      <c r="J234" s="839">
        <f>J211 + J188</f>
        <v>1</v>
      </c>
      <c r="K234" s="839">
        <f>K211 + K188</f>
        <v>6</v>
      </c>
      <c r="L234" s="839">
        <f>L211 + L188</f>
        <v>6</v>
      </c>
      <c r="M234" s="839">
        <f>M211 + M188</f>
        <v>6</v>
      </c>
      <c r="N234" s="839">
        <f>N211 + N188</f>
        <v>6</v>
      </c>
      <c r="O234" s="839">
        <f>O211 + O188</f>
        <v>6</v>
      </c>
      <c r="P234" s="839">
        <f>P211 + P188</f>
        <v>7</v>
      </c>
      <c r="Q234" s="839">
        <f>Q211 + Q188</f>
        <v>7</v>
      </c>
      <c r="R234" s="839">
        <f>R211 + R188</f>
        <v>8</v>
      </c>
      <c r="S234" s="839">
        <f>S211 + S188</f>
        <v>8</v>
      </c>
      <c r="T234" s="839">
        <f>T211 + T188</f>
        <v>12</v>
      </c>
      <c r="U234" s="839">
        <f>U211 + U188</f>
        <v>13</v>
      </c>
      <c r="V234" s="839">
        <f>V211 + V188</f>
        <v>14</v>
      </c>
      <c r="W234" s="839">
        <f>W211 + W188</f>
        <v>14</v>
      </c>
      <c r="X234" s="839">
        <f>X211 + X188</f>
        <v>14</v>
      </c>
      <c r="Y234" s="839">
        <f>Y211 + Y188</f>
        <v>15</v>
      </c>
      <c r="Z234" s="839">
        <f>Z211 + Z188</f>
        <v>15</v>
      </c>
      <c r="AA234" s="845">
        <f>AA211 + AA188</f>
        <v>16</v>
      </c>
      <c r="AB234" s="841">
        <f>AB211 + AB188</f>
        <v>16</v>
      </c>
      <c r="AC234" s="841">
        <f>AC211 + AC188</f>
        <v>17</v>
      </c>
      <c r="AD234" s="841">
        <f>AD211 + AD188</f>
        <v>17</v>
      </c>
      <c r="AE234" s="841">
        <f>AE211 + AE188</f>
        <v>17</v>
      </c>
      <c r="AF234" s="841">
        <f>AF211 + AF188</f>
        <v>18</v>
      </c>
      <c r="AG234" s="841">
        <f>AG211 + AG188</f>
        <v>18</v>
      </c>
      <c r="AH234" s="841">
        <f>AH211 + AH188</f>
        <v>20</v>
      </c>
      <c r="AI234" s="841">
        <f>AI211 + AI188</f>
        <v>20</v>
      </c>
      <c r="AJ234" s="841">
        <f>AJ211 + AJ188</f>
        <v>20</v>
      </c>
      <c r="AK234" s="841">
        <f>AK211 + AK188</f>
        <v>20</v>
      </c>
      <c r="AL234" s="841">
        <f>AL211 + AL188</f>
        <v>21</v>
      </c>
      <c r="AM234" s="841">
        <f>AM211 + AM188</f>
        <v>21</v>
      </c>
      <c r="AN234" s="841">
        <f>AN211 + AN188</f>
        <v>22</v>
      </c>
      <c r="AO234" s="841">
        <f>AO211 + AO188</f>
        <v>22</v>
      </c>
    </row>
    <row r="235" hidden="1" ht="13.5">
      <c r="A235" s="128" t="s">
        <v>7</v>
      </c>
      <c r="B235" s="129" t="str">
        <f>IF(SUM(B216:B234)&lt;&gt;0,SUM(B216:B234),"")</f>
      </c>
      <c r="C235" s="129" t="str">
        <f ref="C235:Z235" t="shared" si="25">IF(SUM(C216:C234)&lt;&gt;0,SUM(C216:C234),"")</f>
      </c>
      <c r="D235" s="129" t="str">
        <f t="shared" si="25"/>
      </c>
      <c r="E235" s="129" t="str">
        <f t="shared" si="25"/>
      </c>
      <c r="F235" s="129" t="str">
        <f t="shared" si="25"/>
      </c>
      <c r="G235" s="129" t="str">
        <f t="shared" si="25"/>
      </c>
      <c r="H235" s="129" t="str">
        <f t="shared" si="25"/>
      </c>
      <c r="I235" s="129" t="str">
        <f t="shared" si="25"/>
      </c>
      <c r="J235" s="129" t="str">
        <f t="shared" si="25"/>
      </c>
      <c r="K235" s="129" t="str">
        <f t="shared" si="25"/>
      </c>
      <c r="L235" s="129" t="str">
        <f t="shared" si="25"/>
      </c>
      <c r="M235" s="129" t="str">
        <f t="shared" si="25"/>
      </c>
      <c r="N235" s="129" t="str">
        <f t="shared" si="25"/>
      </c>
      <c r="O235" s="129" t="str">
        <f t="shared" si="25"/>
      </c>
      <c r="P235" s="129" t="str">
        <f t="shared" si="25"/>
      </c>
      <c r="Q235" s="129" t="str">
        <f t="shared" si="25"/>
      </c>
      <c r="R235" s="129" t="str">
        <f t="shared" si="25"/>
      </c>
      <c r="S235" s="129" t="str">
        <f t="shared" si="25"/>
      </c>
      <c r="T235" s="129" t="str">
        <f t="shared" si="25"/>
      </c>
      <c r="U235" s="129" t="str">
        <f t="shared" si="25"/>
      </c>
      <c r="V235" s="129" t="str">
        <f t="shared" si="25"/>
      </c>
      <c r="W235" s="129" t="str">
        <f t="shared" si="25"/>
      </c>
      <c r="X235" s="129" t="str">
        <f t="shared" si="25"/>
      </c>
      <c r="Y235" s="129" t="str">
        <f t="shared" si="25"/>
      </c>
      <c r="Z235" s="129" t="str">
        <f t="shared" si="25"/>
      </c>
      <c r="AA235" s="130" t="str">
        <f>IF(SUM(AA216:AA234)&lt;&gt;0,SUM(AA216:AA234),"")</f>
      </c>
      <c r="AB235" s="91" t="str">
        <f ref="AB235:CM235" t="shared" si="26">IF(SUM(AB216:AB234)&lt;&gt;0,SUM(AB216:AB234),"")</f>
      </c>
      <c r="AC235" s="91" t="str">
        <f t="shared" si="26"/>
      </c>
      <c r="AD235" s="91" t="str">
        <f t="shared" si="26"/>
      </c>
      <c r="AE235" s="91" t="str">
        <f t="shared" si="26"/>
      </c>
      <c r="AF235" s="91" t="str">
        <f t="shared" si="26"/>
      </c>
      <c r="AG235" s="91" t="str">
        <f t="shared" si="26"/>
      </c>
      <c r="AH235" s="91" t="str">
        <f t="shared" si="26"/>
      </c>
      <c r="AI235" s="91" t="str">
        <f t="shared" si="26"/>
      </c>
      <c r="AJ235" s="91" t="str">
        <f t="shared" si="26"/>
      </c>
      <c r="AK235" s="91" t="str">
        <f t="shared" si="26"/>
      </c>
      <c r="AL235" s="91" t="str">
        <f t="shared" si="26"/>
      </c>
      <c r="AM235" s="91" t="str">
        <f t="shared" si="26"/>
      </c>
      <c r="AN235" s="91" t="str">
        <f t="shared" si="26"/>
      </c>
      <c r="AO235" s="91" t="str">
        <f t="shared" si="26"/>
      </c>
      <c r="AP235" s="91" t="str">
        <f t="shared" si="26"/>
      </c>
      <c r="AQ235" s="91" t="str">
        <f t="shared" si="26"/>
      </c>
      <c r="AR235" s="91" t="str">
        <f t="shared" si="26"/>
      </c>
      <c r="AS235" s="91" t="str">
        <f t="shared" si="26"/>
      </c>
      <c r="AT235" s="91" t="str">
        <f t="shared" si="26"/>
      </c>
      <c r="AU235" s="91" t="str">
        <f t="shared" si="26"/>
      </c>
      <c r="AV235" s="91" t="str">
        <f t="shared" si="26"/>
      </c>
      <c r="AW235" s="91" t="str">
        <f t="shared" si="26"/>
      </c>
      <c r="AX235" s="91" t="str">
        <f t="shared" si="26"/>
      </c>
      <c r="AY235" s="91" t="str">
        <f t="shared" si="26"/>
      </c>
      <c r="AZ235" s="91" t="str">
        <f t="shared" si="26"/>
      </c>
      <c r="BA235" s="91" t="str">
        <f t="shared" si="26"/>
      </c>
      <c r="BB235" s="91" t="str">
        <f t="shared" si="26"/>
      </c>
      <c r="BC235" s="91" t="str">
        <f t="shared" si="26"/>
      </c>
      <c r="BD235" s="91" t="str">
        <f t="shared" si="26"/>
      </c>
      <c r="BE235" s="91" t="str">
        <f t="shared" si="26"/>
      </c>
      <c r="BF235" s="91" t="str">
        <f t="shared" si="26"/>
      </c>
      <c r="BG235" s="91" t="str">
        <f t="shared" si="26"/>
      </c>
      <c r="BH235" s="91" t="str">
        <f t="shared" si="26"/>
      </c>
      <c r="BI235" s="91" t="str">
        <f t="shared" si="26"/>
      </c>
      <c r="BJ235" s="91" t="str">
        <f t="shared" si="26"/>
      </c>
      <c r="BK235" s="91" t="str">
        <f t="shared" si="26"/>
      </c>
      <c r="BL235" s="91" t="str">
        <f t="shared" si="26"/>
      </c>
      <c r="BM235" s="91" t="str">
        <f t="shared" si="26"/>
      </c>
      <c r="BN235" s="91" t="str">
        <f t="shared" si="26"/>
      </c>
      <c r="BO235" s="91" t="str">
        <f t="shared" si="26"/>
      </c>
      <c r="BP235" s="91" t="str">
        <f t="shared" si="26"/>
      </c>
      <c r="BQ235" s="91" t="str">
        <f t="shared" si="26"/>
      </c>
      <c r="BR235" s="91" t="str">
        <f t="shared" si="26"/>
      </c>
      <c r="BS235" s="91" t="str">
        <f t="shared" si="26"/>
      </c>
      <c r="BT235" s="91" t="str">
        <f t="shared" si="26"/>
      </c>
      <c r="BU235" s="91" t="str">
        <f t="shared" si="26"/>
      </c>
      <c r="BV235" s="91" t="str">
        <f t="shared" si="26"/>
      </c>
      <c r="BW235" s="91" t="str">
        <f t="shared" si="26"/>
      </c>
      <c r="BX235" s="91" t="str">
        <f t="shared" si="26"/>
      </c>
      <c r="BY235" s="91" t="str">
        <f t="shared" si="26"/>
      </c>
      <c r="BZ235" s="91" t="str">
        <f t="shared" si="26"/>
      </c>
      <c r="CA235" s="91" t="str">
        <f t="shared" si="26"/>
      </c>
      <c r="CB235" s="91" t="str">
        <f t="shared" si="26"/>
      </c>
      <c r="CC235" s="91" t="str">
        <f t="shared" si="26"/>
      </c>
      <c r="CD235" s="91" t="str">
        <f t="shared" si="26"/>
      </c>
      <c r="CE235" s="91" t="str">
        <f t="shared" si="26"/>
      </c>
      <c r="CF235" s="91" t="str">
        <f t="shared" si="26"/>
      </c>
      <c r="CG235" s="91" t="str">
        <f t="shared" si="26"/>
      </c>
      <c r="CH235" s="91" t="str">
        <f t="shared" si="26"/>
      </c>
      <c r="CI235" s="91" t="str">
        <f t="shared" si="26"/>
      </c>
      <c r="CJ235" s="91" t="str">
        <f t="shared" si="26"/>
      </c>
      <c r="CK235" s="91" t="str">
        <f t="shared" si="26"/>
      </c>
      <c r="CL235" s="91" t="str">
        <f t="shared" si="26"/>
      </c>
      <c r="CM235" s="91" t="str">
        <f t="shared" si="26"/>
      </c>
      <c r="CN235" s="91" t="str">
        <f ref="CN235:EY235" t="shared" si="27">IF(SUM(CN216:CN234)&lt;&gt;0,SUM(CN216:CN234),"")</f>
      </c>
      <c r="CO235" s="91" t="str">
        <f t="shared" si="27"/>
      </c>
      <c r="CP235" s="91" t="str">
        <f t="shared" si="27"/>
      </c>
      <c r="CQ235" s="91" t="str">
        <f t="shared" si="27"/>
      </c>
      <c r="CR235" s="91" t="str">
        <f t="shared" si="27"/>
      </c>
      <c r="CS235" s="91" t="str">
        <f t="shared" si="27"/>
      </c>
      <c r="CT235" s="91" t="str">
        <f t="shared" si="27"/>
      </c>
      <c r="CU235" s="91" t="str">
        <f t="shared" si="27"/>
      </c>
      <c r="CV235" s="91" t="str">
        <f t="shared" si="27"/>
      </c>
      <c r="CW235" s="91" t="str">
        <f t="shared" si="27"/>
      </c>
      <c r="CX235" s="91" t="str">
        <f t="shared" si="27"/>
      </c>
      <c r="CY235" s="91" t="str">
        <f t="shared" si="27"/>
      </c>
      <c r="CZ235" s="91" t="str">
        <f t="shared" si="27"/>
      </c>
      <c r="DA235" s="91" t="str">
        <f t="shared" si="27"/>
      </c>
      <c r="DB235" s="91" t="str">
        <f t="shared" si="27"/>
      </c>
      <c r="DC235" s="91" t="str">
        <f t="shared" si="27"/>
      </c>
      <c r="DD235" s="91" t="str">
        <f t="shared" si="27"/>
      </c>
      <c r="DE235" s="91" t="str">
        <f t="shared" si="27"/>
      </c>
      <c r="DF235" s="91" t="str">
        <f t="shared" si="27"/>
      </c>
      <c r="DG235" s="91" t="str">
        <f t="shared" si="27"/>
      </c>
      <c r="DH235" s="91" t="str">
        <f t="shared" si="27"/>
      </c>
      <c r="DI235" s="91" t="str">
        <f t="shared" si="27"/>
      </c>
      <c r="DJ235" s="91" t="str">
        <f t="shared" si="27"/>
      </c>
      <c r="DK235" s="91" t="str">
        <f t="shared" si="27"/>
      </c>
      <c r="DL235" s="91" t="str">
        <f t="shared" si="27"/>
      </c>
      <c r="DM235" s="91" t="str">
        <f t="shared" si="27"/>
      </c>
      <c r="DN235" s="91" t="str">
        <f t="shared" si="27"/>
      </c>
      <c r="DO235" s="91" t="str">
        <f t="shared" si="27"/>
      </c>
      <c r="DP235" s="91" t="str">
        <f t="shared" si="27"/>
      </c>
      <c r="DQ235" s="91" t="str">
        <f t="shared" si="27"/>
      </c>
      <c r="DR235" s="91" t="str">
        <f t="shared" si="27"/>
      </c>
      <c r="DS235" s="91" t="str">
        <f t="shared" si="27"/>
      </c>
      <c r="DT235" s="91" t="str">
        <f t="shared" si="27"/>
      </c>
      <c r="DU235" s="91" t="str">
        <f t="shared" si="27"/>
      </c>
      <c r="DV235" s="91" t="str">
        <f t="shared" si="27"/>
      </c>
      <c r="DW235" s="91" t="str">
        <f t="shared" si="27"/>
      </c>
      <c r="DX235" s="91" t="str">
        <f t="shared" si="27"/>
      </c>
      <c r="DY235" s="91" t="str">
        <f t="shared" si="27"/>
      </c>
      <c r="DZ235" s="91" t="str">
        <f t="shared" si="27"/>
      </c>
      <c r="EA235" s="91" t="str">
        <f t="shared" si="27"/>
      </c>
      <c r="EB235" s="91" t="str">
        <f t="shared" si="27"/>
      </c>
      <c r="EC235" s="91" t="str">
        <f t="shared" si="27"/>
      </c>
      <c r="ED235" s="91" t="str">
        <f t="shared" si="27"/>
      </c>
      <c r="EE235" s="91" t="str">
        <f t="shared" si="27"/>
      </c>
      <c r="EF235" s="91" t="str">
        <f t="shared" si="27"/>
      </c>
      <c r="EG235" s="91" t="str">
        <f t="shared" si="27"/>
      </c>
      <c r="EH235" s="91" t="str">
        <f t="shared" si="27"/>
      </c>
      <c r="EI235" s="91" t="str">
        <f t="shared" si="27"/>
      </c>
      <c r="EJ235" s="91" t="str">
        <f t="shared" si="27"/>
      </c>
      <c r="EK235" s="91" t="str">
        <f t="shared" si="27"/>
      </c>
      <c r="EL235" s="91" t="str">
        <f t="shared" si="27"/>
      </c>
      <c r="EM235" s="91" t="str">
        <f t="shared" si="27"/>
      </c>
      <c r="EN235" s="91" t="str">
        <f t="shared" si="27"/>
      </c>
      <c r="EO235" s="91" t="str">
        <f t="shared" si="27"/>
      </c>
      <c r="EP235" s="91" t="str">
        <f t="shared" si="27"/>
      </c>
      <c r="EQ235" s="91" t="str">
        <f t="shared" si="27"/>
      </c>
      <c r="ER235" s="91" t="str">
        <f t="shared" si="27"/>
      </c>
      <c r="ES235" s="91" t="str">
        <f t="shared" si="27"/>
      </c>
      <c r="ET235" s="91" t="str">
        <f t="shared" si="27"/>
      </c>
      <c r="EU235" s="91" t="str">
        <f t="shared" si="27"/>
      </c>
      <c r="EV235" s="91" t="str">
        <f t="shared" si="27"/>
      </c>
      <c r="EW235" s="91" t="str">
        <f t="shared" si="27"/>
      </c>
      <c r="EX235" s="91" t="str">
        <f t="shared" si="27"/>
      </c>
      <c r="EY235" s="91" t="str">
        <f t="shared" si="27"/>
      </c>
      <c r="EZ235" s="91" t="str">
        <f ref="EZ235:HK235" t="shared" si="28">IF(SUM(EZ216:EZ234)&lt;&gt;0,SUM(EZ216:EZ234),"")</f>
      </c>
      <c r="FA235" s="91" t="str">
        <f t="shared" si="28"/>
      </c>
      <c r="FB235" s="91" t="str">
        <f t="shared" si="28"/>
      </c>
      <c r="FC235" s="91" t="str">
        <f t="shared" si="28"/>
      </c>
      <c r="FD235" s="91" t="str">
        <f t="shared" si="28"/>
      </c>
      <c r="FE235" s="91" t="str">
        <f t="shared" si="28"/>
      </c>
      <c r="FF235" s="91" t="str">
        <f t="shared" si="28"/>
      </c>
      <c r="FG235" s="91" t="str">
        <f t="shared" si="28"/>
      </c>
      <c r="FH235" s="91" t="str">
        <f t="shared" si="28"/>
      </c>
      <c r="FI235" s="91" t="str">
        <f t="shared" si="28"/>
      </c>
      <c r="FJ235" s="91" t="str">
        <f t="shared" si="28"/>
      </c>
      <c r="FK235" s="91" t="str">
        <f t="shared" si="28"/>
      </c>
      <c r="FL235" s="91" t="str">
        <f t="shared" si="28"/>
      </c>
      <c r="FM235" s="91" t="str">
        <f t="shared" si="28"/>
      </c>
      <c r="FN235" s="91" t="str">
        <f t="shared" si="28"/>
      </c>
      <c r="FO235" s="91" t="str">
        <f t="shared" si="28"/>
      </c>
      <c r="FP235" s="91" t="str">
        <f t="shared" si="28"/>
      </c>
      <c r="FQ235" s="91" t="str">
        <f t="shared" si="28"/>
      </c>
      <c r="FR235" s="91" t="str">
        <f t="shared" si="28"/>
      </c>
      <c r="FS235" s="91" t="str">
        <f t="shared" si="28"/>
      </c>
      <c r="FT235" s="91" t="str">
        <f t="shared" si="28"/>
      </c>
      <c r="FU235" s="91" t="str">
        <f t="shared" si="28"/>
      </c>
      <c r="FV235" s="91" t="str">
        <f t="shared" si="28"/>
      </c>
      <c r="FW235" s="91" t="str">
        <f t="shared" si="28"/>
      </c>
      <c r="FX235" s="91" t="str">
        <f t="shared" si="28"/>
      </c>
      <c r="FY235" s="91" t="str">
        <f t="shared" si="28"/>
      </c>
      <c r="FZ235" s="91" t="str">
        <f t="shared" si="28"/>
      </c>
      <c r="GA235" s="91" t="str">
        <f t="shared" si="28"/>
      </c>
      <c r="GB235" s="91" t="str">
        <f t="shared" si="28"/>
      </c>
      <c r="GC235" s="91" t="str">
        <f t="shared" si="28"/>
      </c>
      <c r="GD235" s="91" t="str">
        <f t="shared" si="28"/>
      </c>
      <c r="GE235" s="91" t="str">
        <f t="shared" si="28"/>
      </c>
      <c r="GF235" s="91" t="str">
        <f t="shared" si="28"/>
      </c>
      <c r="GG235" s="91" t="str">
        <f t="shared" si="28"/>
      </c>
      <c r="GH235" s="91" t="str">
        <f t="shared" si="28"/>
      </c>
      <c r="GI235" s="91" t="str">
        <f t="shared" si="28"/>
      </c>
      <c r="GJ235" s="91" t="str">
        <f t="shared" si="28"/>
      </c>
      <c r="GK235" s="91" t="str">
        <f t="shared" si="28"/>
      </c>
      <c r="GL235" s="91" t="str">
        <f t="shared" si="28"/>
      </c>
      <c r="GM235" s="91" t="str">
        <f t="shared" si="28"/>
      </c>
      <c r="GN235" s="91" t="str">
        <f t="shared" si="28"/>
      </c>
      <c r="GO235" s="91" t="str">
        <f t="shared" si="28"/>
      </c>
      <c r="GP235" s="91" t="str">
        <f t="shared" si="28"/>
      </c>
      <c r="GQ235" s="91" t="str">
        <f t="shared" si="28"/>
      </c>
      <c r="GR235" s="91" t="str">
        <f t="shared" si="28"/>
      </c>
      <c r="GS235" s="91" t="str">
        <f t="shared" si="28"/>
      </c>
      <c r="GT235" s="91" t="str">
        <f t="shared" si="28"/>
      </c>
      <c r="GU235" s="91" t="str">
        <f t="shared" si="28"/>
      </c>
      <c r="GV235" s="91" t="str">
        <f t="shared" si="28"/>
      </c>
      <c r="GW235" s="91" t="str">
        <f t="shared" si="28"/>
      </c>
      <c r="GX235" s="91" t="str">
        <f t="shared" si="28"/>
      </c>
      <c r="GY235" s="91" t="str">
        <f t="shared" si="28"/>
      </c>
      <c r="GZ235" s="91" t="str">
        <f t="shared" si="28"/>
      </c>
      <c r="HA235" s="91" t="str">
        <f t="shared" si="28"/>
      </c>
      <c r="HB235" s="91" t="str">
        <f t="shared" si="28"/>
      </c>
      <c r="HC235" s="91" t="str">
        <f t="shared" si="28"/>
      </c>
      <c r="HD235" s="91" t="str">
        <f t="shared" si="28"/>
      </c>
      <c r="HE235" s="91" t="str">
        <f t="shared" si="28"/>
      </c>
      <c r="HF235" s="91" t="str">
        <f t="shared" si="28"/>
      </c>
      <c r="HG235" s="91" t="str">
        <f t="shared" si="28"/>
      </c>
      <c r="HH235" s="91" t="str">
        <f t="shared" si="28"/>
      </c>
      <c r="HI235" s="91" t="str">
        <f t="shared" si="28"/>
      </c>
      <c r="HJ235" s="91" t="str">
        <f t="shared" si="28"/>
      </c>
      <c r="HK235" s="91" t="str">
        <f t="shared" si="28"/>
      </c>
      <c r="HL235" s="91" t="str">
        <f ref="HL235:IU235" t="shared" si="29">IF(SUM(HL216:HL234)&lt;&gt;0,SUM(HL216:HL234),"")</f>
      </c>
      <c r="HM235" s="91" t="str">
        <f t="shared" si="29"/>
      </c>
      <c r="HN235" s="91" t="str">
        <f t="shared" si="29"/>
      </c>
      <c r="HO235" s="91" t="str">
        <f t="shared" si="29"/>
      </c>
      <c r="HP235" s="91" t="str">
        <f t="shared" si="29"/>
      </c>
      <c r="HQ235" s="91" t="str">
        <f t="shared" si="29"/>
      </c>
      <c r="HR235" s="91" t="str">
        <f t="shared" si="29"/>
      </c>
      <c r="HS235" s="91" t="str">
        <f t="shared" si="29"/>
      </c>
      <c r="HT235" s="91" t="str">
        <f t="shared" si="29"/>
      </c>
      <c r="HU235" s="91" t="str">
        <f t="shared" si="29"/>
      </c>
      <c r="HV235" s="91" t="str">
        <f t="shared" si="29"/>
      </c>
      <c r="HW235" s="91" t="str">
        <f t="shared" si="29"/>
      </c>
      <c r="HX235" s="91" t="str">
        <f t="shared" si="29"/>
      </c>
      <c r="HY235" s="91" t="str">
        <f t="shared" si="29"/>
      </c>
      <c r="HZ235" s="91" t="str">
        <f t="shared" si="29"/>
      </c>
      <c r="IA235" s="91" t="str">
        <f t="shared" si="29"/>
      </c>
      <c r="IB235" s="91" t="str">
        <f t="shared" si="29"/>
      </c>
      <c r="IC235" s="91" t="str">
        <f t="shared" si="29"/>
      </c>
      <c r="ID235" s="91" t="str">
        <f t="shared" si="29"/>
      </c>
      <c r="IE235" s="91" t="str">
        <f t="shared" si="29"/>
      </c>
      <c r="IF235" s="91" t="str">
        <f t="shared" si="29"/>
      </c>
      <c r="IG235" s="91" t="str">
        <f t="shared" si="29"/>
      </c>
      <c r="IH235" s="91" t="str">
        <f t="shared" si="29"/>
      </c>
      <c r="II235" s="91" t="str">
        <f t="shared" si="29"/>
      </c>
      <c r="IJ235" s="91" t="str">
        <f t="shared" si="29"/>
      </c>
      <c r="IK235" s="91" t="str">
        <f t="shared" si="29"/>
      </c>
      <c r="IL235" s="91" t="str">
        <f t="shared" si="29"/>
      </c>
      <c r="IM235" s="91" t="str">
        <f t="shared" si="29"/>
      </c>
      <c r="IN235" s="91" t="str">
        <f t="shared" si="29"/>
      </c>
      <c r="IO235" s="91" t="str">
        <f t="shared" si="29"/>
      </c>
      <c r="IP235" s="91" t="str">
        <f t="shared" si="29"/>
      </c>
      <c r="IQ235" s="91" t="str">
        <f t="shared" si="29"/>
      </c>
      <c r="IR235" s="91" t="str">
        <f t="shared" si="29"/>
      </c>
      <c r="IS235" s="91" t="str">
        <f t="shared" si="29"/>
      </c>
      <c r="IT235" s="91" t="str">
        <f t="shared" si="29"/>
      </c>
      <c r="IU235" s="91" t="str">
        <f t="shared" si="29"/>
      </c>
    </row>
    <row r="236" hidden="1" ht="13.5"/>
    <row r="237" hidden="1">
      <c r="A237" s="509" t="s">
        <v>8</v>
      </c>
      <c r="B237" s="505" t="e">
        <f>INDIRECT(ADDRESS(144,MATCH(9000000000+307,'4- Nº Explot. por CA y Tipo'!144:144,1),1,,"4- Nº Explot. por CA y Tipo"))</f>
        <v>#N/A</v>
      </c>
      <c r="C237" s="505" t="e">
        <f>INDIRECT(ADDRESS(216,MATCH(9000000000+307,'4- Nº Explot. por CA y Tipo'!216:216,1),1,,"4- Nº Explot. por CA y Tipo"))</f>
        <v>#N/A</v>
      </c>
    </row>
    <row r="238" hidden="1">
      <c r="A238" s="507" t="s">
        <v>9</v>
      </c>
      <c r="B238" s="505" t="e">
        <f>INDIRECT(ADDRESS(145,MATCH(9000000000+307,'4- Nº Explot. por CA y Tipo'!145:145,1),1,,"4- Nº Explot. por CA y Tipo"))</f>
        <v>#N/A</v>
      </c>
      <c r="C238" s="505" t="e">
        <f>INDIRECT(ADDRESS(217,MATCH(9000000000+307,'4- Nº Explot. por CA y Tipo'!217:217,1),1,,"4- Nº Explot. por CA y Tipo"))</f>
        <v>#N/A</v>
      </c>
    </row>
    <row r="239" hidden="1">
      <c r="A239" s="507" t="s">
        <v>10</v>
      </c>
      <c r="B239" s="505" t="e">
        <f>INDIRECT(ADDRESS(146,MATCH(9000000000+307,'4- Nº Explot. por CA y Tipo'!146:146,1),1,,"4- Nº Explot. por CA y Tipo"))</f>
        <v>#N/A</v>
      </c>
      <c r="C239" s="505" t="e">
        <f>INDIRECT(ADDRESS(218,MATCH(9000000000+307,'4- Nº Explot. por CA y Tipo'!218:218,1),1,,"4- Nº Explot. por CA y Tipo"))</f>
        <v>#N/A</v>
      </c>
    </row>
    <row r="240" hidden="1">
      <c r="A240" s="507" t="s">
        <v>11</v>
      </c>
      <c r="B240" s="505" t="e">
        <f>INDIRECT(ADDRESS(147,MATCH(9000000000+307,'4- Nº Explot. por CA y Tipo'!147:147,1),1,,"4- Nº Explot. por CA y Tipo"))</f>
        <v>#N/A</v>
      </c>
      <c r="C240" s="505" t="e">
        <f>INDIRECT(ADDRESS(219,MATCH(9000000000+307,'4- Nº Explot. por CA y Tipo'!219:219,1),1,,"4- Nº Explot. por CA y Tipo"))</f>
        <v>#N/A</v>
      </c>
    </row>
    <row r="241" hidden="1">
      <c r="A241" s="507" t="s">
        <v>12</v>
      </c>
      <c r="B241" s="505" t="e">
        <f>INDIRECT(ADDRESS(148,MATCH(9000000000+307,'4- Nº Explot. por CA y Tipo'!148:148,1),1,,"4- Nº Explot. por CA y Tipo"))</f>
        <v>#N/A</v>
      </c>
      <c r="C241" s="505" t="e">
        <f>INDIRECT(ADDRESS(220,MATCH(9000000000+307,'4- Nº Explot. por CA y Tipo'!220:220,1),1,,"4- Nº Explot. por CA y Tipo"))</f>
        <v>#N/A</v>
      </c>
    </row>
    <row r="242" hidden="1">
      <c r="A242" s="507" t="s">
        <v>13</v>
      </c>
      <c r="B242" s="505" t="e">
        <f>INDIRECT(ADDRESS(149,MATCH(9000000000+307,'4- Nº Explot. por CA y Tipo'!149:149,1),1,,"4- Nº Explot. por CA y Tipo"))</f>
        <v>#N/A</v>
      </c>
      <c r="C242" s="505" t="e">
        <f>INDIRECT(ADDRESS(221,MATCH(9000000000+307,'4- Nº Explot. por CA y Tipo'!221:221,1),1,,"4- Nº Explot. por CA y Tipo"))</f>
        <v>#N/A</v>
      </c>
    </row>
    <row r="243" hidden="1">
      <c r="A243" s="507" t="s">
        <v>109</v>
      </c>
      <c r="B243" s="505" t="e">
        <f>INDIRECT(ADDRESS(150,MATCH(9000000000+307,'4- Nº Explot. por CA y Tipo'!150:150,1),1,,"4- Nº Explot. por CA y Tipo"))</f>
        <v>#N/A</v>
      </c>
      <c r="C243" s="505" t="e">
        <f>INDIRECT(ADDRESS(222,MATCH(9000000000+307,'4- Nº Explot. por CA y Tipo'!222:222,1),1,,"4- Nº Explot. por CA y Tipo"))</f>
        <v>#N/A</v>
      </c>
    </row>
    <row r="244" hidden="1">
      <c r="A244" s="507" t="s">
        <v>110</v>
      </c>
      <c r="B244" s="505" t="e">
        <f>INDIRECT(ADDRESS(151,MATCH(9000000000+307,'4- Nº Explot. por CA y Tipo'!151:151,1),1,,"4- Nº Explot. por CA y Tipo"))</f>
        <v>#N/A</v>
      </c>
      <c r="C244" s="505" t="e">
        <f>INDIRECT(ADDRESS(223,MATCH(9000000000+307,'4- Nº Explot. por CA y Tipo'!223:223,1),1,,"4- Nº Explot. por CA y Tipo"))</f>
        <v>#N/A</v>
      </c>
    </row>
    <row r="245" hidden="1">
      <c r="A245" s="507" t="s">
        <v>16</v>
      </c>
      <c r="B245" s="505" t="e">
        <f>INDIRECT(ADDRESS(152,MATCH(9000000000+307,'4- Nº Explot. por CA y Tipo'!152:152,1),1,,"4- Nº Explot. por CA y Tipo"))</f>
        <v>#N/A</v>
      </c>
      <c r="C245" s="505" t="e">
        <f>INDIRECT(ADDRESS(224,MATCH(9000000000+307,'4- Nº Explot. por CA y Tipo'!224:224,1),1,,"4- Nº Explot. por CA y Tipo"))</f>
        <v>#N/A</v>
      </c>
    </row>
    <row r="246" hidden="1">
      <c r="A246" s="507" t="s">
        <v>17</v>
      </c>
      <c r="B246" s="505" t="e">
        <f>INDIRECT(ADDRESS(153,MATCH(9000000000+307,'4- Nº Explot. por CA y Tipo'!153:153,1),1,,"4- Nº Explot. por CA y Tipo"))</f>
        <v>#N/A</v>
      </c>
      <c r="C246" s="505" t="e">
        <f>INDIRECT(ADDRESS(225,MATCH(9000000000+307,'4- Nº Explot. por CA y Tipo'!225:225,1),1,,"4- Nº Explot. por CA y Tipo"))</f>
        <v>#N/A</v>
      </c>
    </row>
    <row r="247" hidden="1">
      <c r="A247" s="507" t="s">
        <v>18</v>
      </c>
      <c r="B247" s="505" t="e">
        <f>INDIRECT(ADDRESS(154,MATCH(9000000000+307,'4- Nº Explot. por CA y Tipo'!154:154,1),1,,"4- Nº Explot. por CA y Tipo"))</f>
        <v>#N/A</v>
      </c>
      <c r="C247" s="505" t="e">
        <f>INDIRECT(ADDRESS(226,MATCH(9000000000+307,'4- Nº Explot. por CA y Tipo'!226:226,1),1,,"4- Nº Explot. por CA y Tipo"))</f>
        <v>#N/A</v>
      </c>
    </row>
    <row r="248" hidden="1">
      <c r="A248" s="507" t="s">
        <v>19</v>
      </c>
      <c r="B248" s="505" t="e">
        <f>INDIRECT(ADDRESS(155,MATCH(9000000000+307,'4- Nº Explot. por CA y Tipo'!155:155,1),1,,"4- Nº Explot. por CA y Tipo"))</f>
        <v>#N/A</v>
      </c>
      <c r="C248" s="505" t="e">
        <f>INDIRECT(ADDRESS(227,MATCH(9000000000+307,'4- Nº Explot. por CA y Tipo'!227:227,1),1,,"4- Nº Explot. por CA y Tipo"))</f>
        <v>#N/A</v>
      </c>
    </row>
    <row r="249" hidden="1">
      <c r="A249" s="507" t="s">
        <v>20</v>
      </c>
      <c r="B249" s="505" t="e">
        <f>INDIRECT(ADDRESS(156,MATCH(9000000000+307,'4- Nº Explot. por CA y Tipo'!156:156,1),1,,"4- Nº Explot. por CA y Tipo"))</f>
        <v>#N/A</v>
      </c>
      <c r="C249" s="505" t="e">
        <f>INDIRECT(ADDRESS(228,MATCH(9000000000+307,'4- Nº Explot. por CA y Tipo'!228:228,1),1,,"4- Nº Explot. por CA y Tipo"))</f>
        <v>#N/A</v>
      </c>
    </row>
    <row r="250" hidden="1">
      <c r="A250" s="507" t="s">
        <v>21</v>
      </c>
      <c r="B250" s="505" t="e">
        <f>INDIRECT(ADDRESS(157,MATCH(9000000000+307,'4- Nº Explot. por CA y Tipo'!157:157,1),1,,"4- Nº Explot. por CA y Tipo"))</f>
        <v>#N/A</v>
      </c>
      <c r="C250" s="505" t="e">
        <f>INDIRECT(ADDRESS(229,MATCH(9000000000+307,'4- Nº Explot. por CA y Tipo'!229:229,1),1,,"4- Nº Explot. por CA y Tipo"))</f>
        <v>#N/A</v>
      </c>
    </row>
    <row r="251" hidden="1">
      <c r="A251" s="507" t="s">
        <v>22</v>
      </c>
      <c r="B251" s="505" t="e">
        <f>INDIRECT(ADDRESS(158,MATCH(9000000000+307,'4- Nº Explot. por CA y Tipo'!158:158,1),1,,"4- Nº Explot. por CA y Tipo"))</f>
        <v>#N/A</v>
      </c>
      <c r="C251" s="505" t="e">
        <f>INDIRECT(ADDRESS(230,MATCH(9000000000+307,'4- Nº Explot. por CA y Tipo'!230:230,1),1,,"4- Nº Explot. por CA y Tipo"))</f>
        <v>#N/A</v>
      </c>
    </row>
    <row r="252" hidden="1">
      <c r="A252" s="507" t="s">
        <v>23</v>
      </c>
      <c r="B252" s="505" t="e">
        <f>INDIRECT(ADDRESS(159,MATCH(9000000000+307,'4- Nº Explot. por CA y Tipo'!159:159,1),1,,"4- Nº Explot. por CA y Tipo"))</f>
        <v>#N/A</v>
      </c>
      <c r="C252" s="505" t="e">
        <f>INDIRECT(ADDRESS(231,MATCH(9000000000+307,'4- Nº Explot. por CA y Tipo'!231:231,1),1,,"4- Nº Explot. por CA y Tipo"))</f>
        <v>#N/A</v>
      </c>
    </row>
    <row r="253" hidden="1">
      <c r="A253" s="508" t="s">
        <v>24</v>
      </c>
      <c r="B253" s="505" t="e">
        <f>INDIRECT(ADDRESS(160,MATCH(9000000000+307,'4- Nº Explot. por CA y Tipo'!160:160,1),1,,"4- Nº Explot. por CA y Tipo"))</f>
        <v>#N/A</v>
      </c>
      <c r="C253" s="505" t="e">
        <f>INDIRECT(ADDRESS(232,MATCH(9000000000+307,'4- Nº Explot. por CA y Tipo'!232:232,1),1,,"4- Nº Explot. por CA y Tipo"))</f>
        <v>#N/A</v>
      </c>
    </row>
    <row r="254" hidden="1">
      <c r="A254" s="507" t="s">
        <v>25</v>
      </c>
      <c r="B254" s="505" t="e">
        <f>INDIRECT(ADDRESS(161,MATCH(9000000000+307,'4- Nº Explot. por CA y Tipo'!161:161,1),1,,"4- Nº Explot. por CA y Tipo"))</f>
        <v>#N/A</v>
      </c>
      <c r="C254" s="505" t="e">
        <f>INDIRECT(ADDRESS(233,MATCH(9000000000+307,'4- Nº Explot. por CA y Tipo'!233:233,1),1,,"4- Nº Explot. por CA y Tipo"))</f>
        <v>#N/A</v>
      </c>
    </row>
    <row r="255" hidden="1" ht="13.5">
      <c r="A255" s="506" t="s">
        <v>26</v>
      </c>
      <c r="B255" s="505" t="e">
        <f>INDIRECT(ADDRESS(162,MATCH(9000000000+307,'4- Nº Explot. por CA y Tipo'!162:162,1),1,,"4- Nº Explot. por CA y Tipo"))</f>
        <v>#N/A</v>
      </c>
      <c r="C255" s="505" t="e">
        <f>INDIRECT(ADDRESS(234,MATCH(9000000000+307,'4- Nº Explot. por CA y Tipo'!234:234,1),1,,"4- Nº Explot. por CA y Tipo"))</f>
        <v>#N/A</v>
      </c>
    </row>
    <row r="256" hidden="1"/>
  </sheetData>
  <sheetProtection sheet="1" autoFilter="0" objects="1" scenarios="1" sort="0" password="ed66"/>
  <mergeCells>
    <mergeCell ref="B214:AA214"/>
    <mergeCell ref="B96:AA96"/>
    <mergeCell ref="B119:AA119"/>
    <mergeCell ref="B142:AA142"/>
    <mergeCell ref="B168:AA168"/>
    <mergeCell ref="B191:AA191"/>
    <mergeCell ref="O9:Q9"/>
    <mergeCell ref="B95:L95"/>
    <mergeCell ref="A13:L13"/>
    <mergeCell ref="M13:X13"/>
    <mergeCell ref="A167:K167"/>
  </mergeCells>
  <phoneticPr fontId="3" type="noConversion"/>
  <pageMargins left="0.23622047244094491" right="0.23622047244094491" top="0.19685039370078741" bottom="0.15748031496062992" header="0" footer="0"/>
  <pageSetup paperSize="9" scale="60" fitToWidth="2" orientation="portrait"/>
  <headerFooter alignWithMargins="0"/>
  <colBreaks count="1" manualBreakCount="1">
    <brk id="12" max="16383" man="1"/>
  </colBreaks>
  <drawing r:id="rId2"/>
  <legacyDrawing r:id="rId3"/>
  <mc:AlternateContent xmlns:mc="http://schemas.openxmlformats.org/markup-compatibility/2006">
    <mc:Choice Requires="x14">
      <controls>
        <mc:AlternateContent xmlns:mc="http://schemas.openxmlformats.org/markup-compatibility/2006">
          <mc:Choice Requires="x14">
            <control shapeId="7169" r:id="rId4" name="Drop Down 1">
              <controlPr defaultSize="0" autoLine="0" autoPict="0">
                <anchor moveWithCells="1">
                  <from>
                    <xdr:col>4</xdr:col>
                    <xdr:colOff>9525</xdr:colOff>
                    <xdr:row>7</xdr:row>
                    <xdr:rowOff>0</xdr:rowOff>
                  </from>
                  <to>
                    <xdr:col>6</xdr:col>
                    <xdr:colOff>209550</xdr:colOff>
                    <xdr:row>9</xdr:row>
                    <xdr:rowOff>0</xdr:rowOff>
                  </to>
                </anchor>
              </controlPr>
            </control>
          </mc:Choice>
        </mc:AlternateContent>
        <mc:AlternateContent xmlns:mc="http://schemas.openxmlformats.org/markup-compatibility/2006">
          <mc:Choice Requires="x14">
            <control shapeId="7178" r:id="rId5" name="Drop Down 10">
              <controlPr defaultSize="0" autoLine="0" autoPict="0">
                <anchor moveWithCells="1">
                  <from>
                    <xdr:col>17</xdr:col>
                    <xdr:colOff>0</xdr:colOff>
                    <xdr:row>7</xdr:row>
                    <xdr:rowOff>0</xdr:rowOff>
                  </from>
                  <to>
                    <xdr:col>19</xdr:col>
                    <xdr:colOff>200025</xdr:colOff>
                    <xdr:row>9</xdr:row>
                    <xdr:rowOff>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ontainsText" priority="26" operator="containsText" id="{5C5B1797-03FD-423B-A116-A2DEBC939BD8}">
            <xm:f>NOT(ISERROR(SEARCH("",AB117)))</xm:f>
            <xm:f>""</xm:f>
            <x14:dxf>
              <numFmt numFmtId="3" formatCode="#,##0"/>
              <border>
                <left style="thin">
                  <color auto="1"/>
                </left>
                <right style="thin">
                  <color auto="1"/>
                </right>
                <top style="thin">
                  <color auto="1"/>
                </top>
                <bottom style="thin">
                  <color auto="1"/>
                </bottom>
                <vertical/>
                <horizontal/>
              </border>
            </x14:dxf>
          </x14:cfRule>
          <xm:sqref>AB117:IU117</xm:sqref>
        </x14:conditionalFormatting>
        <x14:conditionalFormatting xmlns:xm="http://schemas.microsoft.com/office/excel/2006/main">
          <x14:cfRule type="containsText" priority="25" operator="containsText" id="{94888D2F-B3C8-47FB-BFEB-DAC9EA3DF040}">
            <xm:f>NOT(ISERROR(SEARCH("",B98)))</xm:f>
            <xm:f>""</xm:f>
            <x14:dxf>
              <numFmt numFmtId="3" formatCode="#,##0"/>
              <border>
                <right style="thin">
                  <color auto="1"/>
                </right>
                <top style="thin">
                  <color auto="1"/>
                </top>
                <bottom style="thin">
                  <color auto="1"/>
                </bottom>
                <vertical/>
                <horizontal/>
              </border>
            </x14:dxf>
          </x14:cfRule>
          <xm:sqref>B98:IU116</xm:sqref>
        </x14:conditionalFormatting>
        <x14:conditionalFormatting xmlns:xm="http://schemas.microsoft.com/office/excel/2006/main">
          <x14:cfRule type="containsText" priority="24" operator="containsText" id="{03C167FE-211C-45F1-97D2-AE8C276568FA}">
            <xm:f>NOT(ISERROR(SEARCH("",AB97)))</xm:f>
            <xm:f>""</xm:f>
            <x14:dxf>
              <numFmt numFmtId="3" formatCode="#,##0"/>
              <border>
                <left style="thin">
                  <color auto="1"/>
                </left>
                <right style="thin">
                  <color auto="1"/>
                </right>
                <top style="thin">
                  <color auto="1"/>
                </top>
                <bottom style="thin">
                  <color auto="1"/>
                </bottom>
                <vertical/>
                <horizontal/>
              </border>
            </x14:dxf>
          </x14:cfRule>
          <xm:sqref>AB97:AE97 AG97:AJ97 AL97:AO97 AQ97:AT97 AV97:AY97 BA97:BD97 BF97:BI97 BK97:BN97 BP97:BS97 BU97:BX97 BZ97:CC97 CE97:CH97 CJ97:CM97 CO97:CR97 CT97:CW97 CY97:DB97 DD97:DG97 DI97:DL97 DN97:DQ97 DS97:DV97 DX97:EA97 EC97:EF97 EH97:EK97 EM97:EP97 ER97:EU97 EW97:EZ97 FB97:FE97 FG97:FJ97 FL97:FO97 FQ97:FT97 FV97:FY97 GA97:GD97 GF97:GI97 GK97:GN97 GP97:GS97 GU97:GX97 GZ97:HC97 HE97:HH97 HJ97:HM97 HO97:HR97 HT97:HW97 HY97:IB97 ID97:IG97 II97:IL97 IN97:IQ97 IS97:IU97</xm:sqref>
        </x14:conditionalFormatting>
        <x14:conditionalFormatting xmlns:xm="http://schemas.microsoft.com/office/excel/2006/main">
          <x14:cfRule type="containsText" priority="23" operator="containsText" id="{C8A70472-0F66-4674-A7A6-BC1A5BD8CEFA}">
            <xm:f>NOT(ISERROR(SEARCH("",AF97)))</xm:f>
            <xm:f>""</xm:f>
            <x14:dxf>
              <numFmt numFmtId="3" formatCode="#,##0"/>
              <border>
                <left style="thin">
                  <color auto="1"/>
                </left>
                <right style="thin">
                  <color auto="1"/>
                </right>
                <top style="thin">
                  <color auto="1"/>
                </top>
                <bottom style="thin">
                  <color auto="1"/>
                </bottom>
                <vertical/>
                <horizontal/>
              </border>
            </x14:dxf>
          </x14:cfRule>
          <xm:sqref>AF97 AK97 AP97 AU97 AZ97 BE97 BJ97 BO97 BT97 BY97 CD97 CI97 CN97 CS97 CX97 DC97 DH97 DM97 DR97 DW97 EB97 EG97 EL97 EQ97 EV97 FA97 FF97 FK97 FP97 FU97 FZ97 GE97 GJ97 GO97 GT97 GY97 HD97 HI97 HN97 HS97 HX97 IC97 IH97 IM97 IR97</xm:sqref>
        </x14:conditionalFormatting>
        <x14:conditionalFormatting xmlns:xm="http://schemas.microsoft.com/office/excel/2006/main">
          <x14:cfRule type="containsText" priority="22" operator="containsText" id="{330A09C7-4DC5-4F53-8691-67E6A4648D00}">
            <xm:f>NOT(ISERROR(SEARCH("",AB140)))</xm:f>
            <xm:f>""</xm:f>
            <x14:dxf>
              <numFmt numFmtId="3" formatCode="#,##0"/>
              <border>
                <left style="thin">
                  <color auto="1"/>
                </left>
                <right style="thin">
                  <color auto="1"/>
                </right>
                <top style="thin">
                  <color auto="1"/>
                </top>
                <bottom style="thin">
                  <color auto="1"/>
                </bottom>
                <vertical/>
                <horizontal/>
              </border>
            </x14:dxf>
          </x14:cfRule>
          <xm:sqref>AB140:IU140</xm:sqref>
        </x14:conditionalFormatting>
        <x14:conditionalFormatting xmlns:xm="http://schemas.microsoft.com/office/excel/2006/main">
          <x14:cfRule type="containsText" priority="21" operator="containsText" id="{A1B7D3BC-85AB-4886-B69D-1FCDBDA9BE55}">
            <xm:f>NOT(ISERROR(SEARCH("",B121)))</xm:f>
            <xm:f>""</xm:f>
            <x14:dxf>
              <numFmt numFmtId="3" formatCode="#,##0"/>
              <border>
                <right style="thin">
                  <color auto="1"/>
                </right>
                <top style="thin">
                  <color auto="1"/>
                </top>
                <bottom style="thin">
                  <color auto="1"/>
                </bottom>
                <vertical/>
                <horizontal/>
              </border>
            </x14:dxf>
          </x14:cfRule>
          <xm:sqref>B121:IU139</xm:sqref>
        </x14:conditionalFormatting>
        <x14:conditionalFormatting xmlns:xm="http://schemas.microsoft.com/office/excel/2006/main">
          <x14:cfRule type="containsText" priority="20" operator="containsText" id="{48858946-24CA-4324-B383-E804C9DCA19A}">
            <xm:f>NOT(ISERROR(SEARCH("",AB120)))</xm:f>
            <xm:f>""</xm:f>
            <x14:dxf>
              <numFmt numFmtId="3" formatCode="#,##0"/>
              <border>
                <left style="thin">
                  <color auto="1"/>
                </left>
                <right style="thin">
                  <color auto="1"/>
                </right>
                <top style="thin">
                  <color auto="1"/>
                </top>
                <bottom style="thin">
                  <color auto="1"/>
                </bottom>
                <vertical/>
                <horizontal/>
              </border>
            </x14:dxf>
          </x14:cfRule>
          <xm:sqref>AB120:AE120 AG120:AJ120 AL120:AO120 AQ120:AT120 AV120:AY120 BA120:BD120 BF120:BI120 BK120:BN120 BP120:BS120 BU120:BX120 BZ120:CC120 CE120:CH120 CJ120:CM120 CO120:CR120 CT120:CW120 CY120:DB120 DD120:DG120 DI120:DL120 DN120:DQ120 DS120:DV120 DX120:EA120 EC120:EF120 EH120:EK120 EM120:EP120 ER120:EU120 EW120:EZ120 FB120:FE120 FG120:FJ120 FL120:FO120 FQ120:FT120 FV120:FY120 GA120:GD120 GF120:GI120 GK120:GN120 GP120:GS120 GU120:GX120 GZ120:HC120 HE120:HH120 HJ120:HM120 HO120:HR120 HT120:HW120 HY120:IB120 ID120:IG120 II120:IL120 IN120:IQ120 IS120:IU120</xm:sqref>
        </x14:conditionalFormatting>
        <x14:conditionalFormatting xmlns:xm="http://schemas.microsoft.com/office/excel/2006/main">
          <x14:cfRule type="containsText" priority="19" operator="containsText" id="{CFDB1A58-8B73-45A3-ADF4-1A46E7815E20}">
            <xm:f>NOT(ISERROR(SEARCH("",AF120)))</xm:f>
            <xm:f>""</xm:f>
            <x14:dxf>
              <numFmt numFmtId="3" formatCode="#,##0"/>
              <border>
                <left style="thin">
                  <color auto="1"/>
                </left>
                <right style="thin">
                  <color auto="1"/>
                </right>
                <top style="thin">
                  <color auto="1"/>
                </top>
                <bottom style="thin">
                  <color auto="1"/>
                </bottom>
                <vertical/>
                <horizontal/>
              </border>
            </x14:dxf>
          </x14:cfRule>
          <xm:sqref>AF120 AK120 AP120 AU120 AZ120 BE120 BJ120 BO120 BT120 BY120 CD120 CI120 CN120 CS120 CX120 DC120 DH120 DM120 DR120 DW120 EB120 EG120 EL120 EQ120 EV120 FA120 FF120 FK120 FP120 FU120 FZ120 GE120 GJ120 GO120 GT120 GY120 HD120 HI120 HN120 HS120 HX120 IC120 IH120 IM120 IR120</xm:sqref>
        </x14:conditionalFormatting>
        <x14:conditionalFormatting xmlns:xm="http://schemas.microsoft.com/office/excel/2006/main">
          <x14:cfRule type="containsText" priority="18" operator="containsText" id="{6202F1E6-4531-434F-B23F-357184F5AEE4}">
            <xm:f>NOT(ISERROR(SEARCH("",AB163)))</xm:f>
            <xm:f>""</xm:f>
            <x14:dxf>
              <numFmt numFmtId="3" formatCode="#,##0"/>
              <border>
                <left style="thin">
                  <color auto="1"/>
                </left>
                <right style="thin">
                  <color auto="1"/>
                </right>
                <top style="thin">
                  <color auto="1"/>
                </top>
                <bottom style="thin">
                  <color auto="1"/>
                </bottom>
                <vertical/>
                <horizontal/>
              </border>
            </x14:dxf>
          </x14:cfRule>
          <xm:sqref>AB163:IU163</xm:sqref>
        </x14:conditionalFormatting>
        <x14:conditionalFormatting xmlns:xm="http://schemas.microsoft.com/office/excel/2006/main">
          <x14:cfRule type="containsText" priority="17" operator="containsText" id="{A0BCE81B-54FF-4F34-A730-006DF649A666}">
            <xm:f>NOT(ISERROR(SEARCH("",B144)))</xm:f>
            <xm:f>""</xm:f>
            <x14:dxf>
              <numFmt numFmtId="3" formatCode="#,##0"/>
              <border>
                <right style="thin">
                  <color auto="1"/>
                </right>
                <top style="thin">
                  <color auto="1"/>
                </top>
                <bottom style="thin">
                  <color auto="1"/>
                </bottom>
                <vertical/>
                <horizontal/>
              </border>
            </x14:dxf>
          </x14:cfRule>
          <xm:sqref>B144:IU162</xm:sqref>
        </x14:conditionalFormatting>
        <x14:conditionalFormatting xmlns:xm="http://schemas.microsoft.com/office/excel/2006/main">
          <x14:cfRule type="containsText" priority="16" operator="containsText" id="{4AC6C8E7-D225-4E20-ABFB-F6ED0A7D40D0}">
            <xm:f>NOT(ISERROR(SEARCH("",AB143)))</xm:f>
            <xm:f>""</xm:f>
            <x14:dxf>
              <numFmt numFmtId="3" formatCode="#,##0"/>
              <border>
                <left style="thin">
                  <color auto="1"/>
                </left>
                <right style="thin">
                  <color auto="1"/>
                </right>
                <top style="thin">
                  <color auto="1"/>
                </top>
                <bottom style="thin">
                  <color auto="1"/>
                </bottom>
                <vertical/>
                <horizontal/>
              </border>
            </x14:dxf>
          </x14:cfRule>
          <xm:sqref>AB143:AE143 AG143:AJ143 AL143:AO143 AQ143:AT143 AV143:AY143 BA143:BD143 BF143:BI143 BK143:BN143 BP143:BS143 BU143:BX143 BZ143:CC143 CE143:CH143 CJ143:CM143 CO143:CR143 CT143:CW143 CY143:DB143 DD143:DG143 DI143:DL143 DN143:DQ143 DS143:DV143 DX143:EA143 EC143:EF143 EH143:EK143 EM143:EP143 ER143:EU143 EW143:EZ143 FB143:FE143 FG143:FJ143 FL143:FO143 FQ143:FT143 FV143:FY143 GA143:GD143 GF143:GI143 GK143:GN143 GP143:GS143 GU143:GX143 GZ143:HC143 HE143:HH143 HJ143:HM143 HO143:HR143 HT143:HW143 HY143:IB143 ID143:IG143 II143:IL143 IN143:IQ143 IS143:IU143</xm:sqref>
        </x14:conditionalFormatting>
        <x14:conditionalFormatting xmlns:xm="http://schemas.microsoft.com/office/excel/2006/main">
          <x14:cfRule type="containsText" priority="15" operator="containsText" id="{1DBC119E-D124-403E-B47A-BBED944AD604}">
            <xm:f>NOT(ISERROR(SEARCH("",AF143)))</xm:f>
            <xm:f>""</xm:f>
            <x14:dxf>
              <numFmt numFmtId="3" formatCode="#,##0"/>
              <border>
                <left style="thin">
                  <color auto="1"/>
                </left>
                <right style="thin">
                  <color auto="1"/>
                </right>
                <top style="thin">
                  <color auto="1"/>
                </top>
                <bottom style="thin">
                  <color auto="1"/>
                </bottom>
                <vertical/>
                <horizontal/>
              </border>
            </x14:dxf>
          </x14:cfRule>
          <xm:sqref>AF143 AK143 AP143 AU143 AZ143 BE143 BJ143 BO143 BT143 BY143 CD143 CI143 CN143 CS143 CX143 DC143 DH143 DM143 DR143 DW143 EB143 EG143 EL143 EQ143 EV143 FA143 FF143 FK143 FP143 FU143 FZ143 GE143 GJ143 GO143 GT143 GY143 HD143 HI143 HN143 HS143 HX143 IC143 IH143 IM143 IR143</xm:sqref>
        </x14:conditionalFormatting>
        <x14:conditionalFormatting xmlns:xm="http://schemas.microsoft.com/office/excel/2006/main">
          <x14:cfRule type="containsText" priority="14" operator="containsText" id="{B2FD18C8-F74E-4DE3-A476-89BB9BD1CFFF}">
            <xm:f>NOT(ISERROR(SEARCH("",AB189)))</xm:f>
            <xm:f>""</xm:f>
            <x14:dxf>
              <numFmt numFmtId="3" formatCode="#,##0"/>
              <border>
                <left style="thin">
                  <color auto="1"/>
                </left>
                <right style="thin">
                  <color auto="1"/>
                </right>
                <top style="thin">
                  <color auto="1"/>
                </top>
                <bottom style="thin">
                  <color auto="1"/>
                </bottom>
                <vertical/>
                <horizontal/>
              </border>
            </x14:dxf>
          </x14:cfRule>
          <xm:sqref>AB189:IU189</xm:sqref>
        </x14:conditionalFormatting>
        <x14:conditionalFormatting xmlns:xm="http://schemas.microsoft.com/office/excel/2006/main">
          <x14:cfRule type="containsText" priority="13" operator="containsText" id="{2AA518ED-6D49-41E7-8D8F-98FC4B940340}">
            <xm:f>NOT(ISERROR(SEARCH("",B170)))</xm:f>
            <xm:f>""</xm:f>
            <x14:dxf>
              <numFmt numFmtId="3" formatCode="#,##0"/>
              <border>
                <right style="thin">
                  <color auto="1"/>
                </right>
                <top style="thin">
                  <color auto="1"/>
                </top>
                <bottom style="thin">
                  <color auto="1"/>
                </bottom>
                <vertical/>
                <horizontal/>
              </border>
            </x14:dxf>
          </x14:cfRule>
          <xm:sqref>B170:IU188</xm:sqref>
        </x14:conditionalFormatting>
        <x14:conditionalFormatting xmlns:xm="http://schemas.microsoft.com/office/excel/2006/main">
          <x14:cfRule type="containsText" priority="12" operator="containsText" id="{DFFFFAF4-B962-4E8A-80BC-3419F2FDE1E6}">
            <xm:f>NOT(ISERROR(SEARCH("",AB169)))</xm:f>
            <xm:f>""</xm:f>
            <x14:dxf>
              <numFmt numFmtId="3" formatCode="#,##0"/>
              <border>
                <left style="thin">
                  <color auto="1"/>
                </left>
                <right style="thin">
                  <color auto="1"/>
                </right>
                <top style="thin">
                  <color auto="1"/>
                </top>
                <bottom style="thin">
                  <color auto="1"/>
                </bottom>
                <vertical/>
                <horizontal/>
              </border>
            </x14:dxf>
          </x14:cfRule>
          <xm:sqref>AB169:AE169 AG169:AJ169 AL169:AO169 AQ169:AT169 AV169:AY169 BA169:BD169 BF169:BI169 BK169:BN169 BP169:BS169 BU169:BX169 BZ169:CC169 CE169:CH169 CJ169:CM169 CO169:CR169 CT169:CW169 CY169:DB169 DD169:DG169 DI169:DL169 DN169:DQ169 DS169:DV169 DX169:EA169 EC169:EF169 EH169:EK169 EM169:EP169 ER169:EU169 EW169:EZ169 FB169:FE169 FG169:FJ169 FL169:FO169 FQ169:FT169 FV169:FY169 GA169:GD169 GF169:GI169 GK169:GN169 GP169:GS169 GU169:GX169 GZ169:HC169 HE169:HH169 HJ169:HM169 HO169:HR169 HT169:HW169 HY169:IB169 ID169:IG169 II169:IL169 IN169:IQ169 IS169:IU169</xm:sqref>
        </x14:conditionalFormatting>
        <x14:conditionalFormatting xmlns:xm="http://schemas.microsoft.com/office/excel/2006/main">
          <x14:cfRule type="containsText" priority="11" operator="containsText" id="{10FCA925-FA83-451A-B0FB-3370F70A0745}">
            <xm:f>NOT(ISERROR(SEARCH("",AF169)))</xm:f>
            <xm:f>""</xm:f>
            <x14:dxf>
              <numFmt numFmtId="3" formatCode="#,##0"/>
              <border>
                <left style="thin">
                  <color auto="1"/>
                </left>
                <right style="thin">
                  <color auto="1"/>
                </right>
                <top style="thin">
                  <color auto="1"/>
                </top>
                <bottom style="thin">
                  <color auto="1"/>
                </bottom>
                <vertical/>
                <horizontal/>
              </border>
            </x14:dxf>
          </x14:cfRule>
          <xm:sqref>AF169 AK169 AP169 AU169 AZ169 BE169 BJ169 BO169 BT169 BY169 CD169 CI169 CN169 CS169 CX169 DC169 DH169 DM169 DR169 DW169 EB169 EG169 EL169 EQ169 EV169 FA169 FF169 FK169 FP169 FU169 FZ169 GE169 GJ169 GO169 GT169 GY169 HD169 HI169 HN169 HS169 HX169 IC169 IH169 IM169 IR169</xm:sqref>
        </x14:conditionalFormatting>
        <x14:conditionalFormatting xmlns:xm="http://schemas.microsoft.com/office/excel/2006/main">
          <x14:cfRule type="containsText" priority="10" operator="containsText" id="{BE4A2FA3-F9A2-4EDF-934D-A7EC07E8D8C9}">
            <xm:f>NOT(ISERROR(SEARCH("",AB212)))</xm:f>
            <xm:f>""</xm:f>
            <x14:dxf>
              <numFmt numFmtId="3" formatCode="#,##0"/>
              <border>
                <left style="thin">
                  <color auto="1"/>
                </left>
                <right style="thin">
                  <color auto="1"/>
                </right>
                <top style="thin">
                  <color auto="1"/>
                </top>
                <bottom style="thin">
                  <color auto="1"/>
                </bottom>
                <vertical/>
                <horizontal/>
              </border>
            </x14:dxf>
          </x14:cfRule>
          <xm:sqref>AB212:IU212</xm:sqref>
        </x14:conditionalFormatting>
        <x14:conditionalFormatting xmlns:xm="http://schemas.microsoft.com/office/excel/2006/main">
          <x14:cfRule type="containsText" priority="9" operator="containsText" id="{62D175A2-B12B-4E9B-8C51-76E7840D1B8C}">
            <xm:f>NOT(ISERROR(SEARCH("",B193)))</xm:f>
            <xm:f>""</xm:f>
            <x14:dxf>
              <numFmt numFmtId="3" formatCode="#,##0"/>
              <border>
                <right style="thin">
                  <color auto="1"/>
                </right>
                <top style="thin">
                  <color auto="1"/>
                </top>
                <bottom style="thin">
                  <color auto="1"/>
                </bottom>
                <vertical/>
                <horizontal/>
              </border>
            </x14:dxf>
          </x14:cfRule>
          <xm:sqref>B193:IU211</xm:sqref>
        </x14:conditionalFormatting>
        <x14:conditionalFormatting xmlns:xm="http://schemas.microsoft.com/office/excel/2006/main">
          <x14:cfRule type="containsText" priority="8" operator="containsText" id="{4BECF9CF-2757-4B13-B61D-2197120AE7CC}">
            <xm:f>NOT(ISERROR(SEARCH("",AB192)))</xm:f>
            <xm:f>""</xm:f>
            <x14:dxf>
              <numFmt numFmtId="3" formatCode="#,##0"/>
              <border>
                <left style="thin">
                  <color auto="1"/>
                </left>
                <right style="thin">
                  <color auto="1"/>
                </right>
                <top style="thin">
                  <color auto="1"/>
                </top>
                <bottom style="thin">
                  <color auto="1"/>
                </bottom>
                <vertical/>
                <horizontal/>
              </border>
            </x14:dxf>
          </x14:cfRule>
          <xm:sqref>AB192:AE192 AG192:AJ192 AL192:AO192 AQ192:AT192 AV192:AY192 BA192:BD192 BF192:BI192 BK192:BN192 BP192:BS192 BU192:BX192 BZ192:CC192 CE192:CH192 CJ192:CM192 CO192:CR192 CT192:CW192 CY192:DB192 DD192:DG192 DI192:DL192 DN192:DQ192 DS192:DV192 DX192:EA192 EC192:EF192 EH192:EK192 EM192:EP192 ER192:EU192 EW192:EZ192 FB192:FE192 FG192:FJ192 FL192:FO192 FQ192:FT192 FV192:FY192 GA192:GD192 GF192:GI192 GK192:GN192 GP192:GS192 GU192:GX192 GZ192:HC192 HE192:HH192 HJ192:HM192 HO192:HR192 HT192:HW192 HY192:IB192 ID192:IG192 II192:IL192 IN192:IQ192 IS192:IU192</xm:sqref>
        </x14:conditionalFormatting>
        <x14:conditionalFormatting xmlns:xm="http://schemas.microsoft.com/office/excel/2006/main">
          <x14:cfRule type="containsText" priority="7" operator="containsText" id="{1B3A4571-1862-44AD-9B93-63EFE70D6A14}">
            <xm:f>NOT(ISERROR(SEARCH("",AF192)))</xm:f>
            <xm:f>""</xm:f>
            <x14:dxf>
              <numFmt numFmtId="3" formatCode="#,##0"/>
              <border>
                <left style="thin">
                  <color auto="1"/>
                </left>
                <right style="thin">
                  <color auto="1"/>
                </right>
                <top style="thin">
                  <color auto="1"/>
                </top>
                <bottom style="thin">
                  <color auto="1"/>
                </bottom>
                <vertical/>
                <horizontal/>
              </border>
            </x14:dxf>
          </x14:cfRule>
          <xm:sqref>AF192 AK192 AP192 AU192 AZ192 BE192 BJ192 BO192 BT192 BY192 CD192 CI192 CN192 CS192 CX192 DC192 DH192 DM192 DR192 DW192 EB192 EG192 EL192 EQ192 EV192 FA192 FF192 FK192 FP192 FU192 FZ192 GE192 GJ192 GO192 GT192 GY192 HD192 HI192 HN192 HS192 HX192 IC192 IH192 IM192 IR192</xm:sqref>
        </x14:conditionalFormatting>
        <x14:conditionalFormatting xmlns:xm="http://schemas.microsoft.com/office/excel/2006/main">
          <x14:cfRule type="containsText" priority="6" operator="containsText" id="{0C5C0965-EC15-4216-A67C-7188D23E9EF0}">
            <xm:f>NOT(ISERROR(SEARCH("",AB235)))</xm:f>
            <xm:f>""</xm:f>
            <x14:dxf>
              <numFmt numFmtId="3" formatCode="#,##0"/>
              <border>
                <left style="thin">
                  <color auto="1"/>
                </left>
                <right style="thin">
                  <color auto="1"/>
                </right>
                <top style="thin">
                  <color auto="1"/>
                </top>
                <bottom style="thin">
                  <color auto="1"/>
                </bottom>
                <vertical/>
                <horizontal/>
              </border>
            </x14:dxf>
          </x14:cfRule>
          <xm:sqref>AB235:IU235</xm:sqref>
        </x14:conditionalFormatting>
        <x14:conditionalFormatting xmlns:xm="http://schemas.microsoft.com/office/excel/2006/main">
          <x14:cfRule type="containsText" priority="5" operator="containsText" id="{440CF45E-75F7-492E-9E39-2D6B30EB589E}">
            <xm:f>NOT(ISERROR(SEARCH("",B216)))</xm:f>
            <xm:f>""</xm:f>
            <x14:dxf>
              <numFmt numFmtId="3" formatCode="#,##0"/>
              <border>
                <right style="thin">
                  <color auto="1"/>
                </right>
                <top style="thin">
                  <color auto="1"/>
                </top>
                <bottom style="thin">
                  <color auto="1"/>
                </bottom>
                <vertical/>
                <horizontal/>
              </border>
            </x14:dxf>
          </x14:cfRule>
          <xm:sqref>B216:IU234</xm:sqref>
        </x14:conditionalFormatting>
        <x14:conditionalFormatting xmlns:xm="http://schemas.microsoft.com/office/excel/2006/main">
          <x14:cfRule type="containsText" priority="4" operator="containsText" id="{F21901B4-2C6C-403D-BFBE-E74DFF333DE2}">
            <xm:f>NOT(ISERROR(SEARCH("",AB215)))</xm:f>
            <xm:f>""</xm:f>
            <x14:dxf>
              <numFmt numFmtId="3" formatCode="#,##0"/>
              <border>
                <left style="thin">
                  <color auto="1"/>
                </left>
                <right style="thin">
                  <color auto="1"/>
                </right>
                <top style="thin">
                  <color auto="1"/>
                </top>
                <bottom style="thin">
                  <color auto="1"/>
                </bottom>
                <vertical/>
                <horizontal/>
              </border>
            </x14:dxf>
          </x14:cfRule>
          <xm:sqref>AB215:AE215 AG215:AJ215 AL215:AO215 AQ215:AT215 AV215:AY215 BA215:BD215 BF215:BI215 BK215:BN215 BP215:BS215 BU215:BX215 BZ215:CC215 CE215:CH215 CJ215:CM215 CO215:CR215 CT215:CW215 CY215:DB215 DD215:DG215 DI215:DL215 DN215:DQ215 DS215:DV215 DX215:EA215 EC215:EF215 EH215:EK215 EM215:EP215 ER215:EU215 EW215:EZ215 FB215:FE215 FG215:FJ215 FL215:FO215 FQ215:FT215 FV215:FY215 GA215:GD215 GF215:GI215 GK215:GN215 GP215:GS215 GU215:GX215 GZ215:HC215 HE215:HH215 HJ215:HM215 HO215:HR215 HT215:HW215 HY215:IB215 ID215:IG215 II215:IL215 IN215:IQ215 IS215:IU215</xm:sqref>
        </x14:conditionalFormatting>
        <x14:conditionalFormatting xmlns:xm="http://schemas.microsoft.com/office/excel/2006/main">
          <x14:cfRule type="containsText" priority="3" operator="containsText" id="{E4CFEFF9-44B7-492E-8389-E9B760974E0E}">
            <xm:f>NOT(ISERROR(SEARCH("",AF215)))</xm:f>
            <xm:f>""</xm:f>
            <x14:dxf>
              <numFmt numFmtId="3" formatCode="#,##0"/>
              <border>
                <left style="thin">
                  <color auto="1"/>
                </left>
                <right style="thin">
                  <color auto="1"/>
                </right>
                <top style="thin">
                  <color auto="1"/>
                </top>
                <bottom style="thin">
                  <color auto="1"/>
                </bottom>
                <vertical/>
                <horizontal/>
              </border>
            </x14:dxf>
          </x14:cfRule>
          <xm:sqref>AF215 AK215 AP215 AU215 AZ215 BE215 BJ215 BO215 BT215 BY215 CD215 CI215 CN215 CS215 CX215 DC215 DH215 DM215 DR215 DW215 EB215 EG215 EL215 EQ215 EV215 FA215 FF215 FK215 FP215 FU215 FZ215 GE215 GJ215 GO215 GT215 GY215 HD215 HI215 HN215 HS215 HX215 IC215 IH215 IM215 IR215</xm:sqref>
        </x14:conditionalFormatting>
        <x14:conditionalFormatting xmlns:xm="http://schemas.microsoft.com/office/excel/2006/main">
          <x14:cfRule type="containsText" priority="2" operator="containsText" id="{9A90C67B-A3C1-487A-AFB2-57A04978DD19}">
            <xm:f>NOT(ISERROR(SEARCH("",B237)))</xm:f>
            <xm:f>""</xm:f>
            <x14:dxf>
              <numFmt numFmtId="3" formatCode="#,##0"/>
              <border>
                <right style="thin">
                  <color auto="1"/>
                </right>
                <top style="thin">
                  <color auto="1"/>
                </top>
                <bottom style="thin">
                  <color auto="1"/>
                </bottom>
                <vertical/>
                <horizontal/>
              </border>
            </x14:dxf>
          </x14:cfRule>
          <xm:sqref>B237:B255</xm:sqref>
        </x14:conditionalFormatting>
        <x14:conditionalFormatting xmlns:xm="http://schemas.microsoft.com/office/excel/2006/main">
          <x14:cfRule type="containsText" priority="1" operator="containsText" id="{6D4612BC-3203-4F03-B195-8591239CD40E}">
            <xm:f>NOT(ISERROR(SEARCH("",C237)))</xm:f>
            <xm:f>""</xm:f>
            <x14:dxf>
              <numFmt numFmtId="3" formatCode="#,##0"/>
              <border>
                <right style="thin">
                  <color auto="1"/>
                </right>
                <top style="thin">
                  <color auto="1"/>
                </top>
                <bottom style="thin">
                  <color auto="1"/>
                </bottom>
                <vertical/>
                <horizontal/>
              </border>
            </x14:dxf>
          </x14:cfRule>
          <xm:sqref>C237:C255</xm:sqref>
        </x14:conditionalFormatting>
      </x14:conditionalFormatting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mc:Ignorable="x14ac xr">
  <sheetPr codeName="Hoja8">
    <tabColor indexed="50"/>
  </sheetPr>
  <dimension ref="A1:IV539"/>
  <sheetViews>
    <sheetView showGridLines="0" view="pageBreakPreview" zoomScale="85" zoomScaleNormal="100" workbookViewId="0">
      <pane ySplit="16" topLeftCell="A17" activePane="bottomLeft" state="frozen"/>
      <selection pane="bottomLeft" activeCell="A7" sqref="A7"/>
    </sheetView>
  </sheetViews>
  <sheetFormatPr baseColWidth="10" defaultRowHeight="12.75"/>
  <cols>
    <col min="1" max="1" width="5.42578125" customWidth="1" style="51"/>
    <col min="2" max="2" width="18" customWidth="1" style="51"/>
    <col min="3" max="3" bestFit="1" width="12.28515625" customWidth="1" style="51"/>
    <col min="4" max="4" bestFit="1" width="13" customWidth="1" style="51"/>
    <col min="5" max="5" bestFit="1" width="12.140625" customWidth="1" style="51"/>
    <col min="6" max="6" width="13" customWidth="1" style="51"/>
    <col min="7" max="7" bestFit="1" width="11.85546875" customWidth="1" style="51"/>
    <col min="8" max="8" bestFit="1" width="13" customWidth="1" style="51"/>
    <col min="9" max="9" width="12.85546875" customWidth="1" style="51"/>
    <col min="10" max="12" width="11.42578125" customWidth="1" style="51"/>
    <col min="13" max="13" bestFit="1" width="13.85546875" customWidth="1" style="51"/>
    <col min="14" max="14" width="12.85546875" customWidth="1" style="51"/>
    <col min="15" max="17" width="13.5703125" customWidth="1" style="51"/>
    <col min="18" max="18" width="9.85546875" customWidth="1" style="51"/>
    <col min="19" max="19" width="9.7109375" customWidth="1" style="51"/>
    <col min="20" max="20" width="9.7109375" customWidth="1" style="50"/>
    <col min="21" max="22" width="11.5703125" customWidth="1" style="51"/>
    <col min="23" max="27" width="11.42578125" customWidth="1" style="51"/>
    <col min="28" max="28" width="11.28515625" customWidth="1" style="51"/>
    <col min="29" max="29" width="11.42578125" customWidth="1" style="51"/>
    <col min="30" max="30" bestFit="1" width="12.28515625" customWidth="1" style="51"/>
    <col min="31" max="16384" width="11.42578125" customWidth="1" style="51"/>
  </cols>
  <sheetData>
    <row r="1">
      <c r="A1" s="46"/>
      <c r="B1" s="47"/>
      <c r="C1" s="47"/>
      <c r="D1" s="47"/>
      <c r="E1" s="47"/>
      <c r="F1" s="47"/>
      <c r="G1" s="47"/>
      <c r="H1" s="47"/>
      <c r="I1" s="47"/>
      <c r="J1" s="47"/>
      <c r="K1" s="47"/>
      <c r="L1" s="47"/>
      <c r="M1" s="47"/>
      <c r="N1" s="48"/>
    </row>
    <row r="2">
      <c r="A2" s="52"/>
      <c r="B2" s="49"/>
      <c r="C2" s="49"/>
      <c r="D2" s="49"/>
      <c r="E2" s="49"/>
      <c r="F2" s="49"/>
      <c r="G2" s="49"/>
      <c r="H2" s="49"/>
      <c r="I2" s="49"/>
      <c r="J2" s="49"/>
      <c r="K2" s="49"/>
      <c r="L2" s="49"/>
      <c r="M2" s="49"/>
      <c r="N2" s="53"/>
    </row>
    <row r="3">
      <c r="A3" s="52"/>
      <c r="B3" s="49"/>
      <c r="C3" s="49"/>
      <c r="D3" s="49"/>
      <c r="E3" s="49"/>
      <c r="F3" s="49"/>
      <c r="G3" s="49"/>
      <c r="H3" s="49"/>
      <c r="I3" s="49"/>
      <c r="J3" s="49"/>
      <c r="K3" s="49"/>
      <c r="L3" s="49"/>
      <c r="M3" s="49"/>
      <c r="N3" s="53"/>
    </row>
    <row r="4">
      <c r="A4" s="52"/>
      <c r="B4" s="49"/>
      <c r="C4" s="49"/>
      <c r="D4" s="49"/>
      <c r="E4" s="49"/>
      <c r="F4" s="49"/>
      <c r="G4" s="49"/>
      <c r="H4" s="49"/>
      <c r="I4" s="49"/>
      <c r="J4" s="49"/>
      <c r="K4" s="49"/>
      <c r="L4" s="49"/>
      <c r="M4" s="49"/>
      <c r="N4" s="53"/>
    </row>
    <row r="5">
      <c r="A5" s="52"/>
      <c r="B5" s="49"/>
      <c r="C5" s="49"/>
      <c r="D5" s="49"/>
      <c r="E5" s="49"/>
      <c r="F5" s="49"/>
      <c r="G5" s="49"/>
      <c r="H5" s="49"/>
      <c r="I5" s="49"/>
      <c r="J5" s="49"/>
      <c r="K5" s="49"/>
      <c r="L5" s="49"/>
      <c r="M5" s="49"/>
      <c r="N5" s="53"/>
    </row>
    <row r="6" ht="13.5">
      <c r="A6" s="54"/>
      <c r="B6" s="55"/>
      <c r="C6" s="55"/>
      <c r="D6" s="55"/>
      <c r="E6" s="55"/>
      <c r="F6" s="55"/>
      <c r="G6" s="55"/>
      <c r="H6" s="55"/>
      <c r="I6" s="55"/>
      <c r="J6" s="55"/>
      <c r="K6" s="55"/>
      <c r="L6" s="55"/>
      <c r="M6" s="55"/>
      <c r="N6" s="56"/>
    </row>
    <row r="7" s="57" customFormat="1">
      <c r="M7" s="58"/>
      <c r="N7" s="58"/>
      <c r="T7" s="58"/>
    </row>
    <row r="8">
      <c r="F8" s="131">
        <v>20</v>
      </c>
    </row>
    <row r="9">
      <c r="B9" s="597" t="s">
        <v>101</v>
      </c>
      <c r="C9" s="597"/>
      <c r="D9" s="597"/>
      <c r="E9" s="597"/>
      <c r="I9" s="51" t="s">
        <v>100</v>
      </c>
      <c r="J9" s="51" t="e">
        <f>LOOKUP(AUX!$E$10,AUX!$B:$B,AUX!$A:$A)</f>
        <v>#N/A</v>
      </c>
    </row>
    <row r="10">
      <c r="I10" s="51" t="s">
        <v>1</v>
      </c>
      <c r="J10" s="51" t="str">
        <f>LOOKUP(AUX!$E$11,AUX!$E1:$E5,AUX!$D1:$D5)</f>
        <v>6 meses</v>
      </c>
    </row>
    <row r="12" ht="13.5"/>
    <row r="13" ht="17.25" customHeight="1">
      <c r="C13" s="632" t="s">
        <v>88</v>
      </c>
      <c r="D13" s="633"/>
      <c r="E13" s="633"/>
      <c r="F13" s="633"/>
      <c r="G13" s="633"/>
      <c r="H13" s="633"/>
      <c r="I13" s="633"/>
      <c r="J13" s="633"/>
      <c r="K13" s="633"/>
      <c r="L13" s="633"/>
      <c r="M13" s="634"/>
    </row>
    <row r="14" ht="17.25" customHeight="1">
      <c r="C14" s="635" t="s">
        <v>272</v>
      </c>
      <c r="D14" s="636"/>
      <c r="E14" s="636"/>
      <c r="F14" s="636"/>
      <c r="G14" s="636"/>
      <c r="H14" s="636"/>
      <c r="I14" s="636"/>
      <c r="J14" s="636"/>
      <c r="K14" s="636"/>
      <c r="L14" s="636"/>
      <c r="M14" s="637"/>
    </row>
    <row r="15">
      <c r="C15" s="141"/>
      <c r="D15" s="142"/>
      <c r="E15" s="142"/>
      <c r="F15" s="142"/>
      <c r="G15" s="142"/>
      <c r="H15" s="142"/>
      <c r="I15" s="142"/>
      <c r="J15" s="142"/>
      <c r="K15" s="142"/>
      <c r="L15" s="142"/>
      <c r="M15" s="143"/>
    </row>
    <row r="16" ht="16.5" customHeight="1">
      <c r="B16" s="144"/>
      <c r="C16" s="145" t="e">
        <f>INDEX(AUX!$G$1:$IV$1,1,AUX!$E$10+(AUX!$E$11*AUX!G$2))</f>
        <v>#VALUE!</v>
      </c>
      <c r="D16" s="146">
        <f>INDEX(AUX!$G$1:$IV$1,1,AUX!$E$10+(AUX!$E$11*AUX!H$2))</f>
        <v>38899</v>
      </c>
      <c r="E16" s="146">
        <f>INDEX(AUX!$G$1:$IV$1,1,AUX!$E$10+(AUX!$E$11*AUX!I$2))</f>
        <v>39083</v>
      </c>
      <c r="F16" s="146">
        <f>INDEX(AUX!$G$1:$IV$1,1,AUX!$E$10+(AUX!$E$11*AUX!J$2))</f>
        <v>39264</v>
      </c>
      <c r="G16" s="146">
        <f>INDEX(AUX!$G$1:$IV$1,1,AUX!$E$10+(AUX!$E$11*AUX!K$2))</f>
        <v>39448</v>
      </c>
      <c r="H16" s="146">
        <f>INDEX(AUX!$G$1:$IV$1,1,AUX!$E$10+(AUX!$E$11*AUX!L$2))</f>
        <v>39630</v>
      </c>
      <c r="I16" s="146">
        <f>INDEX(AUX!$G$1:$IV$1,1,AUX!$E$10+(AUX!$E$11*AUX!M$2))</f>
        <v>39814</v>
      </c>
      <c r="J16" s="146">
        <f>INDEX(AUX!$G$1:$IV$1,1,AUX!$E$10+(AUX!$E$11*AUX!N$2))</f>
        <v>39995</v>
      </c>
      <c r="K16" s="146">
        <f>INDEX(AUX!$G$1:$IV$1,1,AUX!$E$10+(AUX!$E$11*AUX!O$2))</f>
        <v>40179</v>
      </c>
      <c r="L16" s="146">
        <f>INDEX(AUX!$G$1:$IV$1,1,AUX!$E$10+(AUX!$E$11*AUX!P$2))</f>
        <v>40360</v>
      </c>
      <c r="M16" s="147">
        <f>INDEX(AUX!$G$1:$IV$1,1,AUX!$E$10+(AUX!$E$11*AUX!Q$2))</f>
        <v>40544</v>
      </c>
      <c r="Q16" s="50"/>
    </row>
    <row r="17" ht="16.5" customHeight="1">
      <c r="B17" s="148" t="str">
        <f>INDEX(B180:H199, $F$8, 1)</f>
        <v>Total</v>
      </c>
      <c r="C17" s="628" t="s">
        <v>273</v>
      </c>
      <c r="D17" s="629"/>
      <c r="E17" s="629"/>
      <c r="F17" s="629"/>
      <c r="G17" s="629"/>
      <c r="H17" s="629"/>
      <c r="I17" s="629"/>
      <c r="J17" s="629"/>
      <c r="K17" s="629"/>
      <c r="L17" s="629"/>
      <c r="M17" s="630"/>
      <c r="Q17" s="50"/>
    </row>
    <row r="18" ht="16.5" customHeight="1">
      <c r="B18" s="149"/>
      <c r="C18" s="624" t="s">
        <v>274</v>
      </c>
      <c r="D18" s="625"/>
      <c r="E18" s="625"/>
      <c r="F18" s="625"/>
      <c r="G18" s="625"/>
      <c r="H18" s="625"/>
      <c r="I18" s="625"/>
      <c r="J18" s="625"/>
      <c r="K18" s="625"/>
      <c r="L18" s="625"/>
      <c r="M18" s="626"/>
    </row>
    <row r="19" ht="16.5" customHeight="1">
      <c r="B19" s="149"/>
      <c r="C19" s="150" t="str">
        <f>IF(INDEX($C$351:$BB$370,$F$8,AUX!$E$10+(AUX!$E$11*AUX!G$2))="","--",IF(INDEX($C$351:$BB$370,$F$8,AUX!$E$10+(AUX!$E$11*AUX!G$2))=0,"-",INDEX($C$351:$BB$370,$F$8,AUX!$E$10+(AUX!$E$11*AUX!G$2))))</f>
        <v>--</v>
      </c>
      <c r="D19" s="151" t="str">
        <f>IF(INDEX($C$351:$BB$370,$F$8,AUX!$E$10+(AUX!$E$11*AUX!H$2))="","--",IF(INDEX($C$351:$BB$370,$F$8,AUX!$E$10+(AUX!$E$11*AUX!H$2))=0,"-",INDEX($C$351:$BB$370,$F$8,AUX!$E$10+(AUX!$E$11*AUX!H$2))))</f>
        <v>--</v>
      </c>
      <c r="E19" s="151" t="str">
        <f>IF(INDEX($C$351:$BB$370,$F$8,AUX!$E$10+(AUX!$E$11*AUX!I$2))="","--",IF(INDEX($C$351:$BB$370,$F$8,AUX!$E$10+(AUX!$E$11*AUX!I$2))=0,"-",INDEX($C$351:$BB$370,$F$8,AUX!$E$10+(AUX!$E$11*AUX!I$2))))</f>
        <v>--</v>
      </c>
      <c r="F19" s="151" t="str">
        <f>IF(INDEX($C$351:$BB$370,$F$8,AUX!$E$10+(AUX!$E$11*AUX!J$2))="","--",IF(INDEX($C$351:$BB$370,$F$8,AUX!$E$10+(AUX!$E$11*AUX!J$2))=0,"-",INDEX($C$351:$BB$370,$F$8,AUX!$E$10+(AUX!$E$11*AUX!J$2))))</f>
        <v>--</v>
      </c>
      <c r="G19" s="151" t="str">
        <f>IF(INDEX($C$351:$BB$370,$F$8,AUX!$E$10+(AUX!$E$11*AUX!K$2))="","--",IF(INDEX($C$351:$BB$370,$F$8,AUX!$E$10+(AUX!$E$11*AUX!K$2))=0,"-",INDEX($C$351:$BB$370,$F$8,AUX!$E$10+(AUX!$E$11*AUX!K$2))))</f>
        <v>--</v>
      </c>
      <c r="H19" s="151" t="str">
        <f>IF(INDEX($C$351:$BB$370,$F$8,AUX!$E$10+(AUX!$E$11*AUX!L$2))="","--",IF(INDEX($C$351:$BB$370,$F$8,AUX!$E$10+(AUX!$E$11*AUX!L$2))=0,"-",INDEX($C$351:$BB$370,$F$8,AUX!$E$10+(AUX!$E$11*AUX!L$2))))</f>
        <v>--</v>
      </c>
      <c r="I19" s="151" t="str">
        <f>IF(INDEX($C$351:$BB$370,$F$8,AUX!$E$10+(AUX!$E$11*AUX!M$2))="","--",IF(INDEX($C$351:$BB$370,$F$8,AUX!$E$10+(AUX!$E$11*AUX!M$2))=0,"-",INDEX($C$351:$BB$370,$F$8,AUX!$E$10+(AUX!$E$11*AUX!M$2))))</f>
        <v>--</v>
      </c>
      <c r="J19" s="151" t="str">
        <f>IF(INDEX($C$351:$BB$370,$F$8,AUX!$E$10+(AUX!$E$11*AUX!N$2))="","--",IF(INDEX($C$351:$BB$370,$F$8,AUX!$E$10+(AUX!$E$11*AUX!N$2))=0,"-",INDEX($C$351:$BB$370,$F$8,AUX!$E$10+(AUX!$E$11*AUX!N$2))))</f>
        <v>--</v>
      </c>
      <c r="K19" s="151" t="str">
        <f>IF(INDEX($C$351:$BB$370,$F$8,AUX!$E$10+(AUX!$E$11*AUX!O$2))="","--",IF(INDEX($C$351:$BB$370,$F$8,AUX!$E$10+(AUX!$E$11*AUX!O$2))=0,"-",INDEX($C$351:$BB$370,$F$8,AUX!$E$10+(AUX!$E$11*AUX!O$2))))</f>
        <v>--</v>
      </c>
      <c r="L19" s="151" t="str">
        <f>IF(INDEX($C$351:$BB$370,$F$8,AUX!$E$10+(AUX!$E$11*AUX!P$2))="","--",IF(INDEX($C$351:$BB$370,$F$8,AUX!$E$10+(AUX!$E$11*AUX!P$2))=0,"-",INDEX($C$351:$BB$370,$F$8,AUX!$E$10+(AUX!$E$11*AUX!P$2))))</f>
        <v>--</v>
      </c>
      <c r="M19" s="152" t="str">
        <f>IF(INDEX($C$351:$BB$370,$F$8,AUX!$E$10+(AUX!$E$11*AUX!Q$2))="","--",IF(INDEX($C$351:$BB$370,$F$8,AUX!$E$10+(AUX!$E$11*AUX!Q$2))=0,"-",INDEX($C$351:$BB$370,$F$8,AUX!$E$10+(AUX!$E$11*AUX!Q$2))))</f>
        <v>--</v>
      </c>
    </row>
    <row r="20" ht="16.5" customHeight="1">
      <c r="B20" s="149"/>
      <c r="C20" s="624" t="s">
        <v>275</v>
      </c>
      <c r="D20" s="625"/>
      <c r="E20" s="625"/>
      <c r="F20" s="625"/>
      <c r="G20" s="625"/>
      <c r="H20" s="625"/>
      <c r="I20" s="625"/>
      <c r="J20" s="625"/>
      <c r="K20" s="625"/>
      <c r="L20" s="625"/>
      <c r="M20" s="626"/>
    </row>
    <row r="21" ht="16.5" customHeight="1">
      <c r="B21" s="149"/>
      <c r="C21" s="150" t="str">
        <f>IF(INDEX($C$448:$BB$467,$F$8,AUX!$E$10+(AUX!$E$11*AUX!G$2))="","--",IF(INDEX($C$448:$BB$467,$F$8,AUX!$E$10+(AUX!$E$11*AUX!G$2))=0,"-",INDEX($C$448:$BB$467,$F$8,AUX!$E$10+(AUX!$E$11*AUX!G$2))))</f>
        <v>--</v>
      </c>
      <c r="D21" s="151" t="str">
        <f>IF(INDEX($C$448:$BB$467,$F$8,AUX!$E$10+(AUX!$E$11*AUX!H$2))="","--",IF(INDEX($C$448:$BB$467,$F$8,AUX!$E$10+(AUX!$E$11*AUX!H$2))=0,"-",INDEX($C$448:$BB$467,$F$8,AUX!$E$10+(AUX!$E$11*AUX!H$2))))</f>
        <v>--</v>
      </c>
      <c r="E21" s="151" t="str">
        <f>IF(INDEX($C$448:$BB$467,$F$8,AUX!$E$10+(AUX!$E$11*AUX!I$2))="","--",IF(INDEX($C$448:$BB$467,$F$8,AUX!$E$10+(AUX!$E$11*AUX!I$2))=0,"-",INDEX($C$448:$BB$467,$F$8,AUX!$E$10+(AUX!$E$11*AUX!I$2))))</f>
        <v>--</v>
      </c>
      <c r="F21" s="151" t="str">
        <f>IF(INDEX($C$448:$BB$467,$F$8,AUX!$E$10+(AUX!$E$11*AUX!J$2))="","--",IF(INDEX($C$448:$BB$467,$F$8,AUX!$E$10+(AUX!$E$11*AUX!J$2))=0,"-",INDEX($C$448:$BB$467,$F$8,AUX!$E$10+(AUX!$E$11*AUX!J$2))))</f>
        <v>--</v>
      </c>
      <c r="G21" s="151" t="str">
        <f>IF(INDEX($C$448:$BB$467,$F$8,AUX!$E$10+(AUX!$E$11*AUX!K$2))="","--",IF(INDEX($C$448:$BB$467,$F$8,AUX!$E$10+(AUX!$E$11*AUX!K$2))=0,"-",INDEX($C$448:$BB$467,$F$8,AUX!$E$10+(AUX!$E$11*AUX!K$2))))</f>
        <v>--</v>
      </c>
      <c r="H21" s="151" t="str">
        <f>IF(INDEX($C$448:$BB$467,$F$8,AUX!$E$10+(AUX!$E$11*AUX!L$2))="","--",IF(INDEX($C$448:$BB$467,$F$8,AUX!$E$10+(AUX!$E$11*AUX!L$2))=0,"-",INDEX($C$448:$BB$467,$F$8,AUX!$E$10+(AUX!$E$11*AUX!L$2))))</f>
        <v>--</v>
      </c>
      <c r="I21" s="151" t="str">
        <f>IF(INDEX($C$448:$BB$467,$F$8,AUX!$E$10+(AUX!$E$11*AUX!M$2))="","--",IF(INDEX($C$448:$BB$467,$F$8,AUX!$E$10+(AUX!$E$11*AUX!M$2))=0,"-",INDEX($C$448:$BB$467,$F$8,AUX!$E$10+(AUX!$E$11*AUX!M$2))))</f>
        <v>--</v>
      </c>
      <c r="J21" s="151" t="str">
        <f>IF(INDEX($C$448:$BB$467,$F$8,AUX!$E$10+(AUX!$E$11*AUX!N$2))="","--",IF(INDEX($C$448:$BB$467,$F$8,AUX!$E$10+(AUX!$E$11*AUX!N$2))=0,"-",INDEX($C$448:$BB$467,$F$8,AUX!$E$10+(AUX!$E$11*AUX!N$2))))</f>
        <v>--</v>
      </c>
      <c r="K21" s="151" t="str">
        <f>IF(INDEX($C$448:$BB$467,$F$8,AUX!$E$10+(AUX!$E$11*AUX!O$2))="","--",IF(INDEX($C$448:$BB$467,$F$8,AUX!$E$10+(AUX!$E$11*AUX!O$2))=0,"-",INDEX($C$448:$BB$467,$F$8,AUX!$E$10+(AUX!$E$11*AUX!O$2))))</f>
        <v>--</v>
      </c>
      <c r="L21" s="151" t="str">
        <f>IF(INDEX($C$448:$BB$467,$F$8,AUX!$E$10+(AUX!$E$11*AUX!P$2))="","--",IF(INDEX($C$448:$BB$467,$F$8,AUX!$E$10+(AUX!$E$11*AUX!P$2))=0,"-",INDEX($C$448:$BB$467,$F$8,AUX!$E$10+(AUX!$E$11*AUX!P$2))))</f>
        <v>--</v>
      </c>
      <c r="M21" s="152" t="str">
        <f>IF(INDEX($C$448:$BB$467,$F$8,AUX!$E$10+(AUX!$E$11*AUX!Q$2))="","--",IF(INDEX($C$448:$BB$467,$F$8,AUX!$E$10+(AUX!$E$11*AUX!Q$2))=0,"-",INDEX($C$448:$BB$467,$F$8,AUX!$E$10+(AUX!$E$11*AUX!Q$2))))</f>
        <v>--</v>
      </c>
      <c r="S21" s="50"/>
      <c r="T21" s="51"/>
    </row>
    <row r="22" ht="16.5" customHeight="1">
      <c r="B22" s="149"/>
      <c r="C22" s="624" t="s">
        <v>7</v>
      </c>
      <c r="D22" s="625"/>
      <c r="E22" s="625"/>
      <c r="F22" s="625"/>
      <c r="G22" s="625"/>
      <c r="H22" s="625"/>
      <c r="I22" s="625"/>
      <c r="J22" s="625"/>
      <c r="K22" s="625"/>
      <c r="L22" s="625"/>
      <c r="M22" s="626"/>
    </row>
    <row r="23" ht="16.5" customHeight="1">
      <c r="C23" s="150" t="str">
        <f>IF(INDEX($C$203:$BB$222,$F$8,AUX!$E$10+(AUX!$E$11*AUX!G$2))="","--",IF(INDEX($C$203:$BB$222,$F$8,AUX!$E$10+(AUX!$E$11*AUX!G$2))=0,"-",INDEX($C$203:$BB$222,$F$8,AUX!$E$10+(AUX!$E$11*AUX!G$2))))</f>
        <v>--</v>
      </c>
      <c r="D23" s="151" t="str">
        <f>IF(INDEX($C$203:$BB$222,$F$8,AUX!$E$10+(AUX!$E$11*AUX!H$2))="","--",IF(INDEX($C$203:$BB$222,$F$8,AUX!$E$10+(AUX!$E$11*AUX!H$2))=0,"-",INDEX($C$203:$BB$222,$F$8,AUX!$E$10+(AUX!$E$11*AUX!H$2))))</f>
        <v>--</v>
      </c>
      <c r="E23" s="151" t="str">
        <f>IF(INDEX($C$203:$BB$222,$F$8,AUX!$E$10+(AUX!$E$11*AUX!I$2))="","--",IF(INDEX($C$203:$BB$222,$F$8,AUX!$E$10+(AUX!$E$11*AUX!I$2))=0,"-",INDEX($C$203:$BB$222,$F$8,AUX!$E$10+(AUX!$E$11*AUX!I$2))))</f>
        <v>--</v>
      </c>
      <c r="F23" s="151" t="str">
        <f>IF(INDEX($C$203:$BB$222,$F$8,AUX!$E$10+(AUX!$E$11*AUX!J$2))="","--",IF(INDEX($C$203:$BB$222,$F$8,AUX!$E$10+(AUX!$E$11*AUX!J$2))=0,"-",INDEX($C$203:$BB$222,$F$8,AUX!$E$10+(AUX!$E$11*AUX!J$2))))</f>
        <v>--</v>
      </c>
      <c r="G23" s="151" t="str">
        <f>IF(INDEX($C$203:$BB$222,$F$8,AUX!$E$10+(AUX!$E$11*AUX!K$2))="","--",IF(INDEX($C$203:$BB$222,$F$8,AUX!$E$10+(AUX!$E$11*AUX!K$2))=0,"-",INDEX($C$203:$BB$222,$F$8,AUX!$E$10+(AUX!$E$11*AUX!K$2))))</f>
        <v>--</v>
      </c>
      <c r="H23" s="151" t="str">
        <f>IF(INDEX($C$203:$BB$222,$F$8,AUX!$E$10+(AUX!$E$11*AUX!L$2))="","--",IF(INDEX($C$203:$BB$222,$F$8,AUX!$E$10+(AUX!$E$11*AUX!L$2))=0,"-",INDEX($C$203:$BB$222,$F$8,AUX!$E$10+(AUX!$E$11*AUX!L$2))))</f>
        <v>--</v>
      </c>
      <c r="I23" s="151" t="str">
        <f>IF(INDEX($C$203:$BB$222,$F$8,AUX!$E$10+(AUX!$E$11*AUX!M$2))="","--",IF(INDEX($C$203:$BB$222,$F$8,AUX!$E$10+(AUX!$E$11*AUX!M$2))=0,"-",INDEX($C$203:$BB$222,$F$8,AUX!$E$10+(AUX!$E$11*AUX!M$2))))</f>
        <v>--</v>
      </c>
      <c r="J23" s="151" t="str">
        <f>IF(INDEX($C$203:$BB$222,$F$8,AUX!$E$10+(AUX!$E$11*AUX!N$2))="","--",IF(INDEX($C$203:$BB$222,$F$8,AUX!$E$10+(AUX!$E$11*AUX!N$2))=0,"-",INDEX($C$203:$BB$222,$F$8,AUX!$E$10+(AUX!$E$11*AUX!N$2))))</f>
        <v>--</v>
      </c>
      <c r="K23" s="151" t="str">
        <f>IF(INDEX($C$203:$BB$222,$F$8,AUX!$E$10+(AUX!$E$11*AUX!O$2))="","--",IF(INDEX($C$203:$BB$222,$F$8,AUX!$E$10+(AUX!$E$11*AUX!O$2))=0,"-",INDEX($C$203:$BB$222,$F$8,AUX!$E$10+(AUX!$E$11*AUX!O$2))))</f>
        <v>--</v>
      </c>
      <c r="L23" s="151" t="str">
        <f>IF(INDEX($C$203:$BB$222,$F$8,AUX!$E$10+(AUX!$E$11*AUX!P$2))="","--",IF(INDEX($C$203:$BB$222,$F$8,AUX!$E$10+(AUX!$E$11*AUX!P$2))=0,"-",INDEX($C$203:$BB$222,$F$8,AUX!$E$10+(AUX!$E$11*AUX!P$2))))</f>
        <v>--</v>
      </c>
      <c r="M23" s="152" t="str">
        <f>IF(INDEX($C$203:$BB$222,$F$8,AUX!$E$10+(AUX!$E$11*AUX!Q$2))="","--",IF(INDEX($C$203:$BB$222,$F$8,AUX!$E$10+(AUX!$E$11*AUX!Q$2))=0,"-",INDEX($C$203:$BB$222,$F$8,AUX!$E$10+(AUX!$E$11*AUX!Q$2))))</f>
        <v>--</v>
      </c>
      <c r="S23" s="50"/>
      <c r="T23" s="51"/>
    </row>
    <row r="24" ht="16.5" customHeight="1">
      <c r="B24" s="149"/>
      <c r="C24" s="628" t="s">
        <v>276</v>
      </c>
      <c r="D24" s="629"/>
      <c r="E24" s="629"/>
      <c r="F24" s="629"/>
      <c r="G24" s="629"/>
      <c r="H24" s="629"/>
      <c r="I24" s="629"/>
      <c r="J24" s="629"/>
      <c r="K24" s="629"/>
      <c r="L24" s="629"/>
      <c r="M24" s="630"/>
    </row>
    <row r="25" ht="16.5" customHeight="1">
      <c r="B25" s="149"/>
      <c r="C25" s="624" t="s">
        <v>274</v>
      </c>
      <c r="D25" s="625"/>
      <c r="E25" s="625"/>
      <c r="F25" s="625"/>
      <c r="G25" s="625"/>
      <c r="H25" s="625"/>
      <c r="I25" s="625"/>
      <c r="J25" s="625"/>
      <c r="K25" s="625"/>
      <c r="L25" s="625"/>
      <c r="M25" s="626"/>
    </row>
    <row r="26" ht="16.5" customHeight="1">
      <c r="B26" s="149"/>
      <c r="C26" s="150" t="str">
        <f>IF(INDEX($C$375:$BB$394,$F$8,AUX!$E$10+(AUX!$E$11*AUX!G$2))="","--",IF(INDEX($C$375:$BB$394,$F$8,AUX!$E$10+(AUX!$E$11*AUX!G$2))=0,"-",INDEX($C$375:$BB$394,$F$8,AUX!$E$10+(AUX!$E$11*AUX!G$2))))</f>
        <v>--</v>
      </c>
      <c r="D26" s="151" t="str">
        <f>IF(INDEX($C$375:$BB$394,$F$8,AUX!$E$10+(AUX!$E$11*AUX!H$2))="","--",IF(INDEX($C$375:$BB$394,$F$8,AUX!$E$10+(AUX!$E$11*AUX!H$2))=0,"-",INDEX($C$375:$BB$394,$F$8,AUX!$E$10+(AUX!$E$11*AUX!H$2))))</f>
        <v>--</v>
      </c>
      <c r="E26" s="151" t="str">
        <f>IF(INDEX($C$375:$BB$394,$F$8,AUX!$E$10+(AUX!$E$11*AUX!I$2))="","--",IF(INDEX($C$375:$BB$394,$F$8,AUX!$E$10+(AUX!$E$11*AUX!I$2))=0,"-",INDEX($C$375:$BB$394,$F$8,AUX!$E$10+(AUX!$E$11*AUX!I$2))))</f>
        <v>--</v>
      </c>
      <c r="F26" s="151" t="str">
        <f>IF(INDEX($C$375:$BB$394,$F$8,AUX!$E$10+(AUX!$E$11*AUX!J$2))="","--",IF(INDEX($C$375:$BB$394,$F$8,AUX!$E$10+(AUX!$E$11*AUX!J$2))=0,"-",INDEX($C$375:$BB$394,$F$8,AUX!$E$10+(AUX!$E$11*AUX!J$2))))</f>
        <v>--</v>
      </c>
      <c r="G26" s="151" t="str">
        <f>IF(INDEX($C$375:$BB$394,$F$8,AUX!$E$10+(AUX!$E$11*AUX!K$2))="","--",IF(INDEX($C$375:$BB$394,$F$8,AUX!$E$10+(AUX!$E$11*AUX!K$2))=0,"-",INDEX($C$375:$BB$394,$F$8,AUX!$E$10+(AUX!$E$11*AUX!K$2))))</f>
        <v>--</v>
      </c>
      <c r="H26" s="151" t="str">
        <f>IF(INDEX($C$375:$BB$394,$F$8,AUX!$E$10+(AUX!$E$11*AUX!L$2))="","--",IF(INDEX($C$375:$BB$394,$F$8,AUX!$E$10+(AUX!$E$11*AUX!L$2))=0,"-",INDEX($C$375:$BB$394,$F$8,AUX!$E$10+(AUX!$E$11*AUX!L$2))))</f>
        <v>--</v>
      </c>
      <c r="I26" s="151" t="str">
        <f>IF(INDEX($C$375:$BB$394,$F$8,AUX!$E$10+(AUX!$E$11*AUX!M$2))="","--",IF(INDEX($C$375:$BB$394,$F$8,AUX!$E$10+(AUX!$E$11*AUX!M$2))=0,"-",INDEX($C$375:$BB$394,$F$8,AUX!$E$10+(AUX!$E$11*AUX!M$2))))</f>
        <v>--</v>
      </c>
      <c r="J26" s="151" t="str">
        <f>IF(INDEX($C$375:$BB$394,$F$8,AUX!$E$10+(AUX!$E$11*AUX!N$2))="","--",IF(INDEX($C$375:$BB$394,$F$8,AUX!$E$10+(AUX!$E$11*AUX!N$2))=0,"-",INDEX($C$375:$BB$394,$F$8,AUX!$E$10+(AUX!$E$11*AUX!N$2))))</f>
        <v>--</v>
      </c>
      <c r="K26" s="151" t="str">
        <f>IF(INDEX($C$375:$BB$394,$F$8,AUX!$E$10+(AUX!$E$11*AUX!O$2))="","--",IF(INDEX($C$375:$BB$394,$F$8,AUX!$E$10+(AUX!$E$11*AUX!O$2))=0,"-",INDEX($C$375:$BB$394,$F$8,AUX!$E$10+(AUX!$E$11*AUX!O$2))))</f>
        <v>--</v>
      </c>
      <c r="L26" s="151" t="str">
        <f>IF(INDEX($C$375:$BB$394,$F$8,AUX!$E$10+(AUX!$E$11*AUX!P$2))="","--",IF(INDEX($C$375:$BB$394,$F$8,AUX!$E$10+(AUX!$E$11*AUX!P$2))=0,"-",INDEX($C$375:$BB$394,$F$8,AUX!$E$10+(AUX!$E$11*AUX!P$2))))</f>
        <v>--</v>
      </c>
      <c r="M26" s="152" t="str">
        <f>IF(INDEX($C$375:$BB$394,$F$8,AUX!$E$10+(AUX!$E$11*AUX!Q$2))="","--",IF(INDEX($C$375:$BB$394,$F$8,AUX!$E$10+(AUX!$E$11*AUX!Q$2))=0,"-",INDEX($C$375:$BB$394,$F$8,AUX!$E$10+(AUX!$E$11*AUX!Q$2))))</f>
        <v>--</v>
      </c>
      <c r="S26" s="50"/>
      <c r="T26" s="51"/>
    </row>
    <row r="27" ht="16.5" customHeight="1">
      <c r="B27" s="149"/>
      <c r="C27" s="624" t="s">
        <v>275</v>
      </c>
      <c r="D27" s="625"/>
      <c r="E27" s="625"/>
      <c r="F27" s="625"/>
      <c r="G27" s="625"/>
      <c r="H27" s="625"/>
      <c r="I27" s="625"/>
      <c r="J27" s="625"/>
      <c r="K27" s="625"/>
      <c r="L27" s="625"/>
      <c r="M27" s="626"/>
    </row>
    <row r="28" ht="16.5" customHeight="1">
      <c r="B28" s="149"/>
      <c r="C28" s="150" t="str">
        <f>IF(INDEX($C$472:$BB$491,$F$8,AUX!$E$10+(AUX!$E$11*AUX!G$2))="","--",IF(INDEX($C$472:$BB$491,$F$8,AUX!$E$10+(AUX!$E$11*AUX!G$2))=0,"-",INDEX($C$472:$BB$491,$F$8,AUX!$E$10+(AUX!$E$11*AUX!G$2))))</f>
        <v>--</v>
      </c>
      <c r="D28" s="151" t="str">
        <f>IF(INDEX($C$472:$BB$491,$F$8,AUX!$E$10+(AUX!$E$11*AUX!H$2))="","--",IF(INDEX($C$472:$BB$491,$F$8,AUX!$E$10+(AUX!$E$11*AUX!H$2))=0,"-",INDEX($C$472:$BB$491,$F$8,AUX!$E$10+(AUX!$E$11*AUX!H$2))))</f>
        <v>--</v>
      </c>
      <c r="E28" s="151" t="str">
        <f>IF(INDEX($C$472:$BB$491,$F$8,AUX!$E$10+(AUX!$E$11*AUX!I$2))="","--",IF(INDEX($C$472:$BB$491,$F$8,AUX!$E$10+(AUX!$E$11*AUX!I$2))=0,"-",INDEX($C$472:$BB$491,$F$8,AUX!$E$10+(AUX!$E$11*AUX!I$2))))</f>
        <v>--</v>
      </c>
      <c r="F28" s="151" t="str">
        <f>IF(INDEX($C$472:$BB$491,$F$8,AUX!$E$10+(AUX!$E$11*AUX!J$2))="","--",IF(INDEX($C$472:$BB$491,$F$8,AUX!$E$10+(AUX!$E$11*AUX!J$2))=0,"-",INDEX($C$472:$BB$491,$F$8,AUX!$E$10+(AUX!$E$11*AUX!J$2))))</f>
        <v>--</v>
      </c>
      <c r="G28" s="151" t="str">
        <f>IF(INDEX($C$472:$BB$491,$F$8,AUX!$E$10+(AUX!$E$11*AUX!K$2))="","--",IF(INDEX($C$472:$BB$491,$F$8,AUX!$E$10+(AUX!$E$11*AUX!K$2))=0,"-",INDEX($C$472:$BB$491,$F$8,AUX!$E$10+(AUX!$E$11*AUX!K$2))))</f>
        <v>--</v>
      </c>
      <c r="H28" s="151" t="str">
        <f>IF(INDEX($C$472:$BB$491,$F$8,AUX!$E$10+(AUX!$E$11*AUX!L$2))="","--",IF(INDEX($C$472:$BB$491,$F$8,AUX!$E$10+(AUX!$E$11*AUX!L$2))=0,"-",INDEX($C$472:$BB$491,$F$8,AUX!$E$10+(AUX!$E$11*AUX!L$2))))</f>
        <v>--</v>
      </c>
      <c r="I28" s="151" t="str">
        <f>IF(INDEX($C$472:$BB$491,$F$8,AUX!$E$10+(AUX!$E$11*AUX!M$2))="","--",IF(INDEX($C$472:$BB$491,$F$8,AUX!$E$10+(AUX!$E$11*AUX!M$2))=0,"-",INDEX($C$472:$BB$491,$F$8,AUX!$E$10+(AUX!$E$11*AUX!M$2))))</f>
        <v>--</v>
      </c>
      <c r="J28" s="151" t="str">
        <f>IF(INDEX($C$472:$BB$491,$F$8,AUX!$E$10+(AUX!$E$11*AUX!N$2))="","--",IF(INDEX($C$472:$BB$491,$F$8,AUX!$E$10+(AUX!$E$11*AUX!N$2))=0,"-",INDEX($C$472:$BB$491,$F$8,AUX!$E$10+(AUX!$E$11*AUX!N$2))))</f>
        <v>--</v>
      </c>
      <c r="K28" s="151" t="str">
        <f>IF(INDEX($C$472:$BB$491,$F$8,AUX!$E$10+(AUX!$E$11*AUX!O$2))="","--",IF(INDEX($C$472:$BB$491,$F$8,AUX!$E$10+(AUX!$E$11*AUX!O$2))=0,"-",INDEX($C$472:$BB$491,$F$8,AUX!$E$10+(AUX!$E$11*AUX!O$2))))</f>
        <v>--</v>
      </c>
      <c r="L28" s="151" t="str">
        <f>IF(INDEX($C$472:$BB$491,$F$8,AUX!$E$10+(AUX!$E$11*AUX!P$2))="","--",IF(INDEX($C$472:$BB$491,$F$8,AUX!$E$10+(AUX!$E$11*AUX!P$2))=0,"-",INDEX($C$472:$BB$491,$F$8,AUX!$E$10+(AUX!$E$11*AUX!P$2))))</f>
        <v>--</v>
      </c>
      <c r="M28" s="152" t="str">
        <f>IF(INDEX($C$472:$BB$491,$F$8,AUX!$E$10+(AUX!$E$11*AUX!Q$2))="","--",IF(INDEX($C$472:$BB$491,$F$8,AUX!$E$10+(AUX!$E$11*AUX!Q$2))=0,"-",INDEX($C$472:$BB$491,$F$8,AUX!$E$10+(AUX!$E$11*AUX!Q$2))))</f>
        <v>--</v>
      </c>
      <c r="S28" s="50"/>
      <c r="T28" s="51"/>
    </row>
    <row r="29" ht="16.5" customHeight="1">
      <c r="B29" s="149"/>
      <c r="C29" s="624" t="s">
        <v>7</v>
      </c>
      <c r="D29" s="625"/>
      <c r="E29" s="625"/>
      <c r="F29" s="625"/>
      <c r="G29" s="625"/>
      <c r="H29" s="625"/>
      <c r="I29" s="625"/>
      <c r="J29" s="625"/>
      <c r="K29" s="625"/>
      <c r="L29" s="625"/>
      <c r="M29" s="626"/>
      <c r="N29" s="98"/>
    </row>
    <row r="30" ht="16.5" customHeight="1">
      <c r="B30" s="153"/>
      <c r="C30" s="150" t="str">
        <f>IF(INDEX($C$227:$II$246,$F$8,AUX!$E$10+(AUX!$E$11*AUX!G$2))="","--",IF(INDEX($C$227:$II$246,$F$8,AUX!$E$10+(AUX!$E$11*AUX!G$2))=0,"-",INDEX($C$227:$II$246,$F$8,AUX!$E$10+(AUX!$E$11*AUX!G$2))))</f>
        <v>--</v>
      </c>
      <c r="D30" s="151" t="str">
        <f>IF(INDEX($C$227:$II$246,$F$8,AUX!$E$10+(AUX!$E$11*AUX!H$2))="","--",IF(INDEX($C$227:$II$246,$F$8,AUX!$E$10+(AUX!$E$11*AUX!H$2))=0,"-",INDEX($C$227:$II$246,$F$8,AUX!$E$10+(AUX!$E$11*AUX!H$2))))</f>
        <v>--</v>
      </c>
      <c r="E30" s="151" t="str">
        <f>IF(INDEX($C$227:$II$246,$F$8,AUX!$E$10+(AUX!$E$11*AUX!I$2))="","--",IF(INDEX($C$227:$II$246,$F$8,AUX!$E$10+(AUX!$E$11*AUX!I$2))=0,"-",INDEX($C$227:$II$246,$F$8,AUX!$E$10+(AUX!$E$11*AUX!I$2))))</f>
        <v>--</v>
      </c>
      <c r="F30" s="151" t="str">
        <f>IF(INDEX($C$227:$II$246,$F$8,AUX!$E$10+(AUX!$E$11*AUX!J$2))="","--",IF(INDEX($C$227:$II$246,$F$8,AUX!$E$10+(AUX!$E$11*AUX!J$2))=0,"-",INDEX($C$227:$II$246,$F$8,AUX!$E$10+(AUX!$E$11*AUX!J$2))))</f>
        <v>--</v>
      </c>
      <c r="G30" s="151" t="str">
        <f>IF(INDEX($C$227:$II$246,$F$8,AUX!$E$10+(AUX!$E$11*AUX!K$2))="","--",IF(INDEX($C$227:$II$246,$F$8,AUX!$E$10+(AUX!$E$11*AUX!K$2))=0,"-",INDEX($C$227:$II$246,$F$8,AUX!$E$10+(AUX!$E$11*AUX!K$2))))</f>
        <v>--</v>
      </c>
      <c r="H30" s="151" t="str">
        <f>IF(INDEX($C$227:$II$246,$F$8,AUX!$E$10+(AUX!$E$11*AUX!L$2))="","--",IF(INDEX($C$227:$II$246,$F$8,AUX!$E$10+(AUX!$E$11*AUX!L$2))=0,"-",INDEX($C$227:$II$246,$F$8,AUX!$E$10+(AUX!$E$11*AUX!L$2))))</f>
        <v>--</v>
      </c>
      <c r="I30" s="151" t="str">
        <f>IF(INDEX($C$227:$II$246,$F$8,AUX!$E$10+(AUX!$E$11*AUX!M$2))="","--",IF(INDEX($C$227:$II$246,$F$8,AUX!$E$10+(AUX!$E$11*AUX!M$2))=0,"-",INDEX($C$227:$II$246,$F$8,AUX!$E$10+(AUX!$E$11*AUX!M$2))))</f>
        <v>--</v>
      </c>
      <c r="J30" s="151" t="str">
        <f>IF(INDEX($C$227:$II$246,$F$8,AUX!$E$10+(AUX!$E$11*AUX!N$2))="","--",IF(INDEX($C$227:$II$246,$F$8,AUX!$E$10+(AUX!$E$11*AUX!N$2))=0,"-",INDEX($C$227:$II$246,$F$8,AUX!$E$10+(AUX!$E$11*AUX!N$2))))</f>
        <v>--</v>
      </c>
      <c r="K30" s="151" t="str">
        <f>IF(INDEX($C$227:$II$246,$F$8,AUX!$E$10+(AUX!$E$11*AUX!O$2))="","--",IF(INDEX($C$227:$II$246,$F$8,AUX!$E$10+(AUX!$E$11*AUX!O$2))=0,"-",INDEX($C$227:$II$246,$F$8,AUX!$E$10+(AUX!$E$11*AUX!O$2))))</f>
        <v>--</v>
      </c>
      <c r="L30" s="151" t="str">
        <f>IF(INDEX($C$227:$II$246,$F$8,AUX!$E$10+(AUX!$E$11*AUX!P$2))="","--",IF(INDEX($C$227:$II$246,$F$8,AUX!$E$10+(AUX!$E$11*AUX!P$2))=0,"-",INDEX($C$227:$II$246,$F$8,AUX!$E$10+(AUX!$E$11*AUX!P$2))))</f>
        <v>--</v>
      </c>
      <c r="M30" s="152" t="str">
        <f>IF(INDEX($C$227:$II$246,$F$8,AUX!$E$10+(AUX!$E$11*AUX!Q$2))="","--",IF(INDEX($C$227:$II$246,$F$8,AUX!$E$10+(AUX!$E$11*AUX!Q$2))=0,"-",INDEX($C$227:$II$246,$F$8,AUX!$E$10+(AUX!$E$11*AUX!Q$2))))</f>
        <v>--</v>
      </c>
      <c r="S30" s="50"/>
      <c r="T30" s="51"/>
    </row>
    <row r="31" ht="16.5" customHeight="1">
      <c r="B31" s="154"/>
      <c r="C31" s="628" t="s">
        <v>277</v>
      </c>
      <c r="D31" s="629"/>
      <c r="E31" s="629"/>
      <c r="F31" s="629"/>
      <c r="G31" s="629"/>
      <c r="H31" s="629"/>
      <c r="I31" s="629"/>
      <c r="J31" s="629"/>
      <c r="K31" s="629"/>
      <c r="L31" s="629"/>
      <c r="M31" s="630"/>
      <c r="N31" s="98"/>
    </row>
    <row r="32" ht="16.5" customHeight="1">
      <c r="B32" s="149"/>
      <c r="C32" s="624" t="s">
        <v>274</v>
      </c>
      <c r="D32" s="625"/>
      <c r="E32" s="625"/>
      <c r="F32" s="625"/>
      <c r="G32" s="625"/>
      <c r="H32" s="625"/>
      <c r="I32" s="625"/>
      <c r="J32" s="625"/>
      <c r="K32" s="625"/>
      <c r="L32" s="625"/>
      <c r="M32" s="626"/>
    </row>
    <row r="33" ht="16.5" customHeight="1">
      <c r="B33" s="153"/>
      <c r="C33" s="150" t="str">
        <f>IF(INDEX($C$399:$II$418,$F$8,AUX!$E$10+(AUX!$E$11*AUX!G$2))="","--",IF(INDEX($C$399:$II$418,$F$8,AUX!$E$10+(AUX!$E$11*AUX!G$2))=0,"-",INDEX($C$399:$II$418,$F$8,AUX!$E$10+(AUX!$E$11*AUX!G$2))))</f>
        <v>--</v>
      </c>
      <c r="D33" s="151" t="str">
        <f>IF(INDEX($C$399:$II$418,$F$8,AUX!$E$10+(AUX!$E$11*AUX!H$2))="","--",IF(INDEX($C$399:$II$418,$F$8,AUX!$E$10+(AUX!$E$11*AUX!H$2))=0,"-",INDEX($C$399:$II$418,$F$8,AUX!$E$10+(AUX!$E$11*AUX!H$2))))</f>
        <v>--</v>
      </c>
      <c r="E33" s="151" t="str">
        <f>IF(INDEX($C$399:$II$418,$F$8,AUX!$E$10+(AUX!$E$11*AUX!I$2))="","--",IF(INDEX($C$399:$II$418,$F$8,AUX!$E$10+(AUX!$E$11*AUX!I$2))=0,"-",INDEX($C$399:$II$418,$F$8,AUX!$E$10+(AUX!$E$11*AUX!I$2))))</f>
        <v>--</v>
      </c>
      <c r="F33" s="151" t="str">
        <f>IF(INDEX($C$399:$II$418,$F$8,AUX!$E$10+(AUX!$E$11*AUX!J$2))="","--",IF(INDEX($C$399:$II$418,$F$8,AUX!$E$10+(AUX!$E$11*AUX!J$2))=0,"-",INDEX($C$399:$II$418,$F$8,AUX!$E$10+(AUX!$E$11*AUX!J$2))))</f>
        <v>--</v>
      </c>
      <c r="G33" s="151" t="str">
        <f>IF(INDEX($C$399:$II$418,$F$8,AUX!$E$10+(AUX!$E$11*AUX!K$2))="","--",IF(INDEX($C$399:$II$418,$F$8,AUX!$E$10+(AUX!$E$11*AUX!K$2))=0,"-",INDEX($C$399:$II$418,$F$8,AUX!$E$10+(AUX!$E$11*AUX!K$2))))</f>
        <v>--</v>
      </c>
      <c r="H33" s="151" t="str">
        <f>IF(INDEX($C$399:$II$418,$F$8,AUX!$E$10+(AUX!$E$11*AUX!L$2))="","--",IF(INDEX($C$399:$II$418,$F$8,AUX!$E$10+(AUX!$E$11*AUX!L$2))=0,"-",INDEX($C$399:$II$418,$F$8,AUX!$E$10+(AUX!$E$11*AUX!L$2))))</f>
        <v>--</v>
      </c>
      <c r="I33" s="151" t="str">
        <f>IF(INDEX($C$399:$II$418,$F$8,AUX!$E$10+(AUX!$E$11*AUX!M$2))="","--",IF(INDEX($C$399:$II$418,$F$8,AUX!$E$10+(AUX!$E$11*AUX!M$2))=0,"-",INDEX($C$399:$II$418,$F$8,AUX!$E$10+(AUX!$E$11*AUX!M$2))))</f>
        <v>--</v>
      </c>
      <c r="J33" s="151" t="str">
        <f>IF(INDEX($C$399:$II$418,$F$8,AUX!$E$10+(AUX!$E$11*AUX!N$2))="","--",IF(INDEX($C$399:$II$418,$F$8,AUX!$E$10+(AUX!$E$11*AUX!N$2))=0,"-",INDEX($C$399:$II$418,$F$8,AUX!$E$10+(AUX!$E$11*AUX!N$2))))</f>
        <v>--</v>
      </c>
      <c r="K33" s="151" t="str">
        <f>IF(INDEX($C$399:$II$418,$F$8,AUX!$E$10+(AUX!$E$11*AUX!O$2))="","--",IF(INDEX($C$399:$II$418,$F$8,AUX!$E$10+(AUX!$E$11*AUX!O$2))=0,"-",INDEX($C$399:$II$418,$F$8,AUX!$E$10+(AUX!$E$11*AUX!O$2))))</f>
        <v>--</v>
      </c>
      <c r="L33" s="151" t="str">
        <f>IF(INDEX($C$399:$II$418,$F$8,AUX!$E$10+(AUX!$E$11*AUX!P$2))="","--",IF(INDEX($C$399:$II$418,$F$8,AUX!$E$10+(AUX!$E$11*AUX!P$2))=0,"-",INDEX($C$399:$II$418,$F$8,AUX!$E$10+(AUX!$E$11*AUX!P$2))))</f>
        <v>--</v>
      </c>
      <c r="M33" s="152" t="str">
        <f>IF(INDEX($C$399:$II$418,$F$8,AUX!$E$10+(AUX!$E$11*AUX!Q$2))="","--",IF(INDEX($C$399:$II$418,$F$8,AUX!$E$10+(AUX!$E$11*AUX!Q$2))=0,"-",INDEX($C$399:$II$418,$F$8,AUX!$E$10+(AUX!$E$11*AUX!Q$2))))</f>
        <v>--</v>
      </c>
      <c r="S33" s="50"/>
      <c r="T33" s="51"/>
    </row>
    <row r="34" ht="16.5" customHeight="1">
      <c r="B34" s="154"/>
      <c r="C34" s="624" t="s">
        <v>275</v>
      </c>
      <c r="D34" s="625"/>
      <c r="E34" s="625"/>
      <c r="F34" s="625"/>
      <c r="G34" s="625"/>
      <c r="H34" s="625"/>
      <c r="I34" s="625"/>
      <c r="J34" s="625"/>
      <c r="K34" s="625"/>
      <c r="L34" s="625"/>
      <c r="M34" s="626"/>
    </row>
    <row r="35" ht="16.5" customHeight="1">
      <c r="B35" s="153"/>
      <c r="C35" s="150" t="str">
        <f>IF(INDEX($C$496:$II$515,$F$8,AUX!$E$10+(AUX!$E$11*AUX!G$2))="","--",IF(INDEX($C$496:$II$515,$F$8,AUX!$E$10+(AUX!$E$11*AUX!G$2))=0,"-",INDEX($C$496:$II$515,$F$8,AUX!$E$10+(AUX!$E$11*AUX!G$2))))</f>
        <v>--</v>
      </c>
      <c r="D35" s="151" t="str">
        <f>IF(INDEX($C$496:$II$515,$F$8,AUX!$E$10+(AUX!$E$11*AUX!H$2))="","--",IF(INDEX($C$496:$II$515,$F$8,AUX!$E$10+(AUX!$E$11*AUX!H$2))=0,"-",INDEX($C$496:$II$515,$F$8,AUX!$E$10+(AUX!$E$11*AUX!H$2))))</f>
        <v>--</v>
      </c>
      <c r="E35" s="151" t="str">
        <f>IF(INDEX($C$496:$II$515,$F$8,AUX!$E$10+(AUX!$E$11*AUX!I$2))="","--",IF(INDEX($C$496:$II$515,$F$8,AUX!$E$10+(AUX!$E$11*AUX!I$2))=0,"-",INDEX($C$496:$II$515,$F$8,AUX!$E$10+(AUX!$E$11*AUX!I$2))))</f>
        <v>--</v>
      </c>
      <c r="F35" s="151" t="str">
        <f>IF(INDEX($C$496:$II$515,$F$8,AUX!$E$10+(AUX!$E$11*AUX!J$2))="","--",IF(INDEX($C$496:$II$515,$F$8,AUX!$E$10+(AUX!$E$11*AUX!J$2))=0,"-",INDEX($C$496:$II$515,$F$8,AUX!$E$10+(AUX!$E$11*AUX!J$2))))</f>
        <v>--</v>
      </c>
      <c r="G35" s="151" t="str">
        <f>IF(INDEX($C$496:$II$515,$F$8,AUX!$E$10+(AUX!$E$11*AUX!K$2))="","--",IF(INDEX($C$496:$II$515,$F$8,AUX!$E$10+(AUX!$E$11*AUX!K$2))=0,"-",INDEX($C$496:$II$515,$F$8,AUX!$E$10+(AUX!$E$11*AUX!K$2))))</f>
        <v>--</v>
      </c>
      <c r="H35" s="151" t="str">
        <f>IF(INDEX($C$496:$II$515,$F$8,AUX!$E$10+(AUX!$E$11*AUX!L$2))="","--",IF(INDEX($C$496:$II$515,$F$8,AUX!$E$10+(AUX!$E$11*AUX!L$2))=0,"-",INDEX($C$496:$II$515,$F$8,AUX!$E$10+(AUX!$E$11*AUX!L$2))))</f>
        <v>--</v>
      </c>
      <c r="I35" s="151" t="str">
        <f>IF(INDEX($C$496:$II$515,$F$8,AUX!$E$10+(AUX!$E$11*AUX!M$2))="","--",IF(INDEX($C$496:$II$515,$F$8,AUX!$E$10+(AUX!$E$11*AUX!M$2))=0,"-",INDEX($C$496:$II$515,$F$8,AUX!$E$10+(AUX!$E$11*AUX!M$2))))</f>
        <v>--</v>
      </c>
      <c r="J35" s="151" t="str">
        <f>IF(INDEX($C$496:$II$515,$F$8,AUX!$E$10+(AUX!$E$11*AUX!N$2))="","--",IF(INDEX($C$496:$II$515,$F$8,AUX!$E$10+(AUX!$E$11*AUX!N$2))=0,"-",INDEX($C$496:$II$515,$F$8,AUX!$E$10+(AUX!$E$11*AUX!N$2))))</f>
        <v>--</v>
      </c>
      <c r="K35" s="151" t="str">
        <f>IF(INDEX($C$496:$II$515,$F$8,AUX!$E$10+(AUX!$E$11*AUX!O$2))="","--",IF(INDEX($C$496:$II$515,$F$8,AUX!$E$10+(AUX!$E$11*AUX!O$2))=0,"-",INDEX($C$496:$II$515,$F$8,AUX!$E$10+(AUX!$E$11*AUX!O$2))))</f>
        <v>--</v>
      </c>
      <c r="L35" s="151" t="str">
        <f>IF(INDEX($C$496:$II$515,$F$8,AUX!$E$10+(AUX!$E$11*AUX!P$2))="","--",IF(INDEX($C$496:$II$515,$F$8,AUX!$E$10+(AUX!$E$11*AUX!P$2))=0,"-",INDEX($C$496:$II$515,$F$8,AUX!$E$10+(AUX!$E$11*AUX!P$2))))</f>
        <v>--</v>
      </c>
      <c r="M35" s="152" t="str">
        <f>IF(INDEX($C$496:$II$515,$F$8,AUX!$E$10+(AUX!$E$11*AUX!Q$2))="","--",IF(INDEX($C$496:$II$515,$F$8,AUX!$E$10+(AUX!$E$11*AUX!Q$2))=0,"-",INDEX($C$496:$II$515,$F$8,AUX!$E$10+(AUX!$E$11*AUX!Q$2))))</f>
        <v>--</v>
      </c>
      <c r="S35" s="50"/>
      <c r="T35" s="51"/>
    </row>
    <row r="36" ht="16.5" customHeight="1">
      <c r="B36" s="154"/>
      <c r="C36" s="621" t="s">
        <v>278</v>
      </c>
      <c r="D36" s="622"/>
      <c r="E36" s="622"/>
      <c r="F36" s="622"/>
      <c r="G36" s="622"/>
      <c r="H36" s="622"/>
      <c r="I36" s="622"/>
      <c r="J36" s="622"/>
      <c r="K36" s="622"/>
      <c r="L36" s="622"/>
      <c r="M36" s="623"/>
    </row>
    <row r="37" ht="16.5" customHeight="1">
      <c r="B37" s="153"/>
      <c r="C37" s="150" t="str">
        <f>IF(INDEX($C$275:$II$294,$F$8,AUX!$E$10+(AUX!$E$11*AUX!G$2))="","--",IF(INDEX($C$275:$II$294,$F$8,AUX!$E$10+(AUX!$E$11*AUX!G$2))=0,"-",INDEX($C$275:$II$294,$F$8,AUX!$E$10+(AUX!$E$11*AUX!G$2))))</f>
        <v>--</v>
      </c>
      <c r="D37" s="151" t="str">
        <f>IF(INDEX($C$275:$II$294,$F$8,AUX!$E$10+(AUX!$E$11*AUX!H$2))="","--",IF(INDEX($C$275:$II$294,$F$8,AUX!$E$10+(AUX!$E$11*AUX!H$2))=0,"-",INDEX($C$275:$II$294,$F$8,AUX!$E$10+(AUX!$E$11*AUX!H$2))))</f>
        <v>--</v>
      </c>
      <c r="E37" s="151" t="str">
        <f>IF(INDEX($C$275:$II$294,$F$8,AUX!$E$10+(AUX!$E$11*AUX!I$2))="","--",IF(INDEX($C$275:$II$294,$F$8,AUX!$E$10+(AUX!$E$11*AUX!I$2))=0,"-",INDEX($C$275:$II$294,$F$8,AUX!$E$10+(AUX!$E$11*AUX!I$2))))</f>
        <v>--</v>
      </c>
      <c r="F37" s="151" t="str">
        <f>IF(INDEX($C$275:$II$294,$F$8,AUX!$E$10+(AUX!$E$11*AUX!J$2))="","--",IF(INDEX($C$275:$II$294,$F$8,AUX!$E$10+(AUX!$E$11*AUX!J$2))=0,"-",INDEX($C$275:$II$294,$F$8,AUX!$E$10+(AUX!$E$11*AUX!J$2))))</f>
        <v>--</v>
      </c>
      <c r="G37" s="151" t="str">
        <f>IF(INDEX($C$275:$II$294,$F$8,AUX!$E$10+(AUX!$E$11*AUX!K$2))="","--",IF(INDEX($C$275:$II$294,$F$8,AUX!$E$10+(AUX!$E$11*AUX!K$2))=0,"-",INDEX($C$275:$II$294,$F$8,AUX!$E$10+(AUX!$E$11*AUX!K$2))))</f>
        <v>--</v>
      </c>
      <c r="H37" s="151" t="str">
        <f>IF(INDEX($C$275:$II$294,$F$8,AUX!$E$10+(AUX!$E$11*AUX!L$2))="","--",IF(INDEX($C$275:$II$294,$F$8,AUX!$E$10+(AUX!$E$11*AUX!L$2))=0,"-",INDEX($C$275:$II$294,$F$8,AUX!$E$10+(AUX!$E$11*AUX!L$2))))</f>
        <v>--</v>
      </c>
      <c r="I37" s="151" t="str">
        <f>IF(INDEX($C$275:$II$294,$F$8,AUX!$E$10+(AUX!$E$11*AUX!M$2))="","--",IF(INDEX($C$275:$II$294,$F$8,AUX!$E$10+(AUX!$E$11*AUX!M$2))=0,"-",INDEX($C$275:$II$294,$F$8,AUX!$E$10+(AUX!$E$11*AUX!M$2))))</f>
        <v>--</v>
      </c>
      <c r="J37" s="151" t="str">
        <f>IF(INDEX($C$275:$II$294,$F$8,AUX!$E$10+(AUX!$E$11*AUX!N$2))="","--",IF(INDEX($C$275:$II$294,$F$8,AUX!$E$10+(AUX!$E$11*AUX!N$2))=0,"-",INDEX($C$275:$II$294,$F$8,AUX!$E$10+(AUX!$E$11*AUX!N$2))))</f>
        <v>--</v>
      </c>
      <c r="K37" s="151" t="str">
        <f>IF(INDEX($C$275:$II$294,$F$8,AUX!$E$10+(AUX!$E$11*AUX!O$2))="","--",IF(INDEX($C$275:$II$294,$F$8,AUX!$E$10+(AUX!$E$11*AUX!O$2))=0,"-",INDEX($C$275:$II$294,$F$8,AUX!$E$10+(AUX!$E$11*AUX!O$2))))</f>
        <v>--</v>
      </c>
      <c r="L37" s="151" t="str">
        <f>IF(INDEX($C$275:$II$294,$F$8,AUX!$E$10+(AUX!$E$11*AUX!P$2))="","--",IF(INDEX($C$275:$II$294,$F$8,AUX!$E$10+(AUX!$E$11*AUX!P$2))=0,"-",INDEX($C$275:$II$294,$F$8,AUX!$E$10+(AUX!$E$11*AUX!P$2))))</f>
        <v>--</v>
      </c>
      <c r="M37" s="152" t="str">
        <f>IF(INDEX($C$275:$II$294,$F$8,AUX!$E$10+(AUX!$E$11*AUX!Q$2))="","--",IF(INDEX($C$275:$II$294,$F$8,AUX!$E$10+(AUX!$E$11*AUX!Q$2))=0,"-",INDEX($C$275:$II$294,$F$8,AUX!$E$10+(AUX!$E$11*AUX!Q$2))))</f>
        <v>--</v>
      </c>
      <c r="S37" s="50"/>
      <c r="T37" s="51"/>
    </row>
    <row r="38" ht="16.5" customHeight="1">
      <c r="B38" s="149"/>
      <c r="C38" s="621" t="s">
        <v>279</v>
      </c>
      <c r="D38" s="622"/>
      <c r="E38" s="622"/>
      <c r="F38" s="622"/>
      <c r="G38" s="622"/>
      <c r="H38" s="622"/>
      <c r="I38" s="622"/>
      <c r="J38" s="622"/>
      <c r="K38" s="622"/>
      <c r="L38" s="622"/>
      <c r="M38" s="623"/>
    </row>
    <row r="39" ht="16.5" customHeight="1">
      <c r="B39" s="149"/>
      <c r="C39" s="150" t="str">
        <f>IF(INDEX($C$299:$II$318,$F$8,AUX!$E$10+(AUX!$E$11*AUX!G$2))="","--",IF(INDEX($C$299:$II$318,$F$8,AUX!$E$10+(AUX!$E$11*AUX!G$2))=0,"-",INDEX($C$299:$II$318,$F$8,AUX!$E$10+(AUX!$E$11*AUX!G$2))))</f>
        <v>--</v>
      </c>
      <c r="D39" s="151" t="str">
        <f>IF(INDEX($C$299:$II$318,$F$8,AUX!$E$10+(AUX!$E$11*AUX!H$2))="","--",IF(INDEX($C$299:$II$318,$F$8,AUX!$E$10+(AUX!$E$11*AUX!H$2))=0,"-",INDEX($C$299:$II$318,$F$8,AUX!$E$10+(AUX!$E$11*AUX!H$2))))</f>
        <v>--</v>
      </c>
      <c r="E39" s="151" t="str">
        <f>IF(INDEX($C$299:$II$318,$F$8,AUX!$E$10+(AUX!$E$11*AUX!I$2))="","--",IF(INDEX($C$299:$II$318,$F$8,AUX!$E$10+(AUX!$E$11*AUX!I$2))=0,"-",INDEX($C$299:$II$318,$F$8,AUX!$E$10+(AUX!$E$11*AUX!I$2))))</f>
        <v>--</v>
      </c>
      <c r="F39" s="151" t="str">
        <f>IF(INDEX($C$299:$II$318,$F$8,AUX!$E$10+(AUX!$E$11*AUX!J$2))="","--",IF(INDEX($C$299:$II$318,$F$8,AUX!$E$10+(AUX!$E$11*AUX!J$2))=0,"-",INDEX($C$299:$II$318,$F$8,AUX!$E$10+(AUX!$E$11*AUX!J$2))))</f>
        <v>--</v>
      </c>
      <c r="G39" s="151" t="str">
        <f>IF(INDEX($C$299:$II$318,$F$8,AUX!$E$10+(AUX!$E$11*AUX!K$2))="","--",IF(INDEX($C$299:$II$318,$F$8,AUX!$E$10+(AUX!$E$11*AUX!K$2))=0,"-",INDEX($C$299:$II$318,$F$8,AUX!$E$10+(AUX!$E$11*AUX!K$2))))</f>
        <v>--</v>
      </c>
      <c r="H39" s="151" t="str">
        <f>IF(INDEX($C$299:$II$318,$F$8,AUX!$E$10+(AUX!$E$11*AUX!L$2))="","--",IF(INDEX($C$299:$II$318,$F$8,AUX!$E$10+(AUX!$E$11*AUX!L$2))=0,"-",INDEX($C$299:$II$318,$F$8,AUX!$E$10+(AUX!$E$11*AUX!L$2))))</f>
        <v>--</v>
      </c>
      <c r="I39" s="151" t="str">
        <f>IF(INDEX($C$299:$II$318,$F$8,AUX!$E$10+(AUX!$E$11*AUX!M$2))="","--",IF(INDEX($C$299:$II$318,$F$8,AUX!$E$10+(AUX!$E$11*AUX!M$2))=0,"-",INDEX($C$299:$II$318,$F$8,AUX!$E$10+(AUX!$E$11*AUX!M$2))))</f>
        <v>--</v>
      </c>
      <c r="J39" s="151" t="str">
        <f>IF(INDEX($C$299:$II$318,$F$8,AUX!$E$10+(AUX!$E$11*AUX!N$2))="","--",IF(INDEX($C$299:$II$318,$F$8,AUX!$E$10+(AUX!$E$11*AUX!N$2))=0,"-",INDEX($C$299:$II$318,$F$8,AUX!$E$10+(AUX!$E$11*AUX!N$2))))</f>
        <v>--</v>
      </c>
      <c r="K39" s="151" t="str">
        <f>IF(INDEX($C$299:$II$318,$F$8,AUX!$E$10+(AUX!$E$11*AUX!O$2))="","--",IF(INDEX($C$299:$II$318,$F$8,AUX!$E$10+(AUX!$E$11*AUX!O$2))=0,"-",INDEX($C$299:$II$318,$F$8,AUX!$E$10+(AUX!$E$11*AUX!O$2))))</f>
        <v>--</v>
      </c>
      <c r="L39" s="151" t="str">
        <f>IF(INDEX($C$299:$II$318,$F$8,AUX!$E$10+(AUX!$E$11*AUX!P$2))="","--",IF(INDEX($C$299:$II$318,$F$8,AUX!$E$10+(AUX!$E$11*AUX!P$2))=0,"-",INDEX($C$299:$II$318,$F$8,AUX!$E$10+(AUX!$E$11*AUX!P$2))))</f>
        <v>--</v>
      </c>
      <c r="M39" s="152" t="str">
        <f>IF(INDEX($C$299:$II$318,$F$8,AUX!$E$10+(AUX!$E$11*AUX!Q$2))="","--",IF(INDEX($C$299:$II$318,$F$8,AUX!$E$10+(AUX!$E$11*AUX!Q$2))=0,"-",INDEX($C$299:$II$318,$F$8,AUX!$E$10+(AUX!$E$11*AUX!Q$2))))</f>
        <v>--</v>
      </c>
      <c r="S39" s="50"/>
      <c r="T39" s="51"/>
    </row>
    <row r="40" ht="16.5" customHeight="1">
      <c r="B40" s="154"/>
      <c r="C40" s="624" t="s">
        <v>7</v>
      </c>
      <c r="D40" s="625"/>
      <c r="E40" s="625"/>
      <c r="F40" s="625"/>
      <c r="G40" s="625"/>
      <c r="H40" s="625"/>
      <c r="I40" s="625"/>
      <c r="J40" s="625"/>
      <c r="K40" s="625"/>
      <c r="L40" s="625"/>
      <c r="M40" s="626"/>
    </row>
    <row r="41" ht="16.5" customHeight="1">
      <c r="B41" s="153"/>
      <c r="C41" s="150" t="str">
        <f>IF(INDEX($C$251:$II$270,$F$8,AUX!$E$10+(AUX!$E$11*AUX!G$2))="","--",IF(INDEX($C$251:$II$270,$F$8,AUX!$E$10+(AUX!$E$11*AUX!G$2))=0,"-",INDEX($C$251:$II$270,$F$8,AUX!$E$10+(AUX!$E$11*AUX!G$2))))</f>
        <v>--</v>
      </c>
      <c r="D41" s="151" t="str">
        <f>IF(INDEX($C$251:$II$270,$F$8,AUX!$E$10+(AUX!$E$11*AUX!H$2))="","--",IF(INDEX($C$251:$II$270,$F$8,AUX!$E$10+(AUX!$E$11*AUX!H$2))=0,"-",INDEX($C$251:$II$270,$F$8,AUX!$E$10+(AUX!$E$11*AUX!H$2))))</f>
        <v>--</v>
      </c>
      <c r="E41" s="151" t="str">
        <f>IF(INDEX($C$251:$II$270,$F$8,AUX!$E$10+(AUX!$E$11*AUX!I$2))="","--",IF(INDEX($C$251:$II$270,$F$8,AUX!$E$10+(AUX!$E$11*AUX!I$2))=0,"-",INDEX($C$251:$II$270,$F$8,AUX!$E$10+(AUX!$E$11*AUX!I$2))))</f>
        <v>--</v>
      </c>
      <c r="F41" s="151" t="str">
        <f>IF(INDEX($C$251:$II$270,$F$8,AUX!$E$10+(AUX!$E$11*AUX!J$2))="","--",IF(INDEX($C$251:$II$270,$F$8,AUX!$E$10+(AUX!$E$11*AUX!J$2))=0,"-",INDEX($C$251:$II$270,$F$8,AUX!$E$10+(AUX!$E$11*AUX!J$2))))</f>
        <v>--</v>
      </c>
      <c r="G41" s="151" t="str">
        <f>IF(INDEX($C$251:$II$270,$F$8,AUX!$E$10+(AUX!$E$11*AUX!K$2))="","--",IF(INDEX($C$251:$II$270,$F$8,AUX!$E$10+(AUX!$E$11*AUX!K$2))=0,"-",INDEX($C$251:$II$270,$F$8,AUX!$E$10+(AUX!$E$11*AUX!K$2))))</f>
        <v>--</v>
      </c>
      <c r="H41" s="151" t="str">
        <f>IF(INDEX($C$251:$II$270,$F$8,AUX!$E$10+(AUX!$E$11*AUX!L$2))="","--",IF(INDEX($C$251:$II$270,$F$8,AUX!$E$10+(AUX!$E$11*AUX!L$2))=0,"-",INDEX($C$251:$II$270,$F$8,AUX!$E$10+(AUX!$E$11*AUX!L$2))))</f>
        <v>--</v>
      </c>
      <c r="I41" s="151" t="str">
        <f>IF(INDEX($C$251:$II$270,$F$8,AUX!$E$10+(AUX!$E$11*AUX!M$2))="","--",IF(INDEX($C$251:$II$270,$F$8,AUX!$E$10+(AUX!$E$11*AUX!M$2))=0,"-",INDEX($C$251:$II$270,$F$8,AUX!$E$10+(AUX!$E$11*AUX!M$2))))</f>
        <v>--</v>
      </c>
      <c r="J41" s="151" t="str">
        <f>IF(INDEX($C$251:$II$270,$F$8,AUX!$E$10+(AUX!$E$11*AUX!N$2))="","--",IF(INDEX($C$251:$II$270,$F$8,AUX!$E$10+(AUX!$E$11*AUX!N$2))=0,"-",INDEX($C$251:$II$270,$F$8,AUX!$E$10+(AUX!$E$11*AUX!N$2))))</f>
        <v>--</v>
      </c>
      <c r="K41" s="151" t="str">
        <f>IF(INDEX($C$251:$II$270,$F$8,AUX!$E$10+(AUX!$E$11*AUX!O$2))="","--",IF(INDEX($C$251:$II$270,$F$8,AUX!$E$10+(AUX!$E$11*AUX!O$2))=0,"-",INDEX($C$251:$II$270,$F$8,AUX!$E$10+(AUX!$E$11*AUX!O$2))))</f>
        <v>--</v>
      </c>
      <c r="L41" s="151" t="str">
        <f>IF(INDEX($C$251:$II$270,$F$8,AUX!$E$10+(AUX!$E$11*AUX!P$2))="","--",IF(INDEX($C$251:$II$270,$F$8,AUX!$E$10+(AUX!$E$11*AUX!P$2))=0,"-",INDEX($C$251:$II$270,$F$8,AUX!$E$10+(AUX!$E$11*AUX!P$2))))</f>
        <v>--</v>
      </c>
      <c r="M41" s="152" t="str">
        <f>IF(INDEX($C$251:$II$270,$F$8,AUX!$E$10+(AUX!$E$11*AUX!Q$2))="","--",IF(INDEX($C$251:$II$270,$F$8,AUX!$E$10+(AUX!$E$11*AUX!Q$2))=0,"-",INDEX($C$251:$II$270,$F$8,AUX!$E$10+(AUX!$E$11*AUX!Q$2))))</f>
        <v>--</v>
      </c>
      <c r="S41" s="50"/>
      <c r="T41" s="51"/>
    </row>
    <row r="42" ht="16.5" customHeight="1">
      <c r="C42" s="628" t="s">
        <v>280</v>
      </c>
      <c r="D42" s="629"/>
      <c r="E42" s="629"/>
      <c r="F42" s="629"/>
      <c r="G42" s="629"/>
      <c r="H42" s="629"/>
      <c r="I42" s="629"/>
      <c r="J42" s="629"/>
      <c r="K42" s="629"/>
      <c r="L42" s="629"/>
      <c r="M42" s="630"/>
    </row>
    <row r="43" ht="16.5" customHeight="1">
      <c r="C43" s="155" t="str">
        <f>IF(INDEX($C$180:$II$199,$F$8,AUX!$E$10+(AUX!$E$11*AUX!G$2))="","--",IF(INDEX($C$180:$II$199,$F$8,AUX!$E$10+(AUX!$E$11*AUX!G$2))=0,"-",INDEX($C$180:$II$199,$F$8,AUX!$E$10+(AUX!$E$11*AUX!G$2))))</f>
        <v>--</v>
      </c>
      <c r="D43" s="156" t="str">
        <f>IF(INDEX($C$180:$II$199,$F$8,AUX!$E$10+(AUX!$E$11*AUX!H$2))="","--",IF(INDEX($C$180:$II$199,$F$8,AUX!$E$10+(AUX!$E$11*AUX!H$2))=0,"-",INDEX($C$180:$II$199,$F$8,AUX!$E$10+(AUX!$E$11*AUX!H$2))))</f>
        <v>--</v>
      </c>
      <c r="E43" s="156" t="str">
        <f>IF(INDEX($C$180:$II$199,$F$8,AUX!$E$10+(AUX!$E$11*AUX!I$2))="","--",IF(INDEX($C$180:$II$199,$F$8,AUX!$E$10+(AUX!$E$11*AUX!I$2))=0,"-",INDEX($C$180:$II$199,$F$8,AUX!$E$10+(AUX!$E$11*AUX!I$2))))</f>
        <v>--</v>
      </c>
      <c r="F43" s="156" t="str">
        <f>IF(INDEX($C$180:$II$199,$F$8,AUX!$E$10+(AUX!$E$11*AUX!J$2))="","--",IF(INDEX($C$180:$II$199,$F$8,AUX!$E$10+(AUX!$E$11*AUX!J$2))=0,"-",INDEX($C$180:$II$199,$F$8,AUX!$E$10+(AUX!$E$11*AUX!J$2))))</f>
        <v>--</v>
      </c>
      <c r="G43" s="156" t="str">
        <f>IF(INDEX($C$180:$II$199,$F$8,AUX!$E$10+(AUX!$E$11*AUX!K$2))="","--",IF(INDEX($C$180:$II$199,$F$8,AUX!$E$10+(AUX!$E$11*AUX!K$2))=0,"-",INDEX($C$180:$II$199,$F$8,AUX!$E$10+(AUX!$E$11*AUX!K$2))))</f>
        <v>--</v>
      </c>
      <c r="H43" s="156" t="str">
        <f>IF(INDEX($C$180:$II$199,$F$8,AUX!$E$10+(AUX!$E$11*AUX!L$2))="","--",IF(INDEX($C$180:$II$199,$F$8,AUX!$E$10+(AUX!$E$11*AUX!L$2))=0,"-",INDEX($C$180:$II$199,$F$8,AUX!$E$10+(AUX!$E$11*AUX!L$2))))</f>
        <v>--</v>
      </c>
      <c r="I43" s="156" t="str">
        <f>IF(INDEX($C$180:$II$199,$F$8,AUX!$E$10+(AUX!$E$11*AUX!M$2))="","--",IF(INDEX($C$180:$II$199,$F$8,AUX!$E$10+(AUX!$E$11*AUX!M$2))=0,"-",INDEX($C$180:$II$199,$F$8,AUX!$E$10+(AUX!$E$11*AUX!M$2))))</f>
        <v>--</v>
      </c>
      <c r="J43" s="156" t="str">
        <f>IF(INDEX($C$180:$II$199,$F$8,AUX!$E$10+(AUX!$E$11*AUX!N$2))="","--",IF(INDEX($C$180:$II$199,$F$8,AUX!$E$10+(AUX!$E$11*AUX!N$2))=0,"-",INDEX($C$180:$II$199,$F$8,AUX!$E$10+(AUX!$E$11*AUX!N$2))))</f>
        <v>--</v>
      </c>
      <c r="K43" s="156" t="str">
        <f>IF(INDEX($C$180:$II$199,$F$8,AUX!$E$10+(AUX!$E$11*AUX!O$2))="","--",IF(INDEX($C$180:$II$199,$F$8,AUX!$E$10+(AUX!$E$11*AUX!O$2))=0,"-",INDEX($C$180:$II$199,$F$8,AUX!$E$10+(AUX!$E$11*AUX!O$2))))</f>
        <v>--</v>
      </c>
      <c r="L43" s="156" t="str">
        <f>IF(INDEX($C$180:$II$199,$F$8,AUX!$E$10+(AUX!$E$11*AUX!P$2))="","--",IF(INDEX($C$180:$II$199,$F$8,AUX!$E$10+(AUX!$E$11*AUX!P$2))=0,"-",INDEX($C$180:$II$199,$F$8,AUX!$E$10+(AUX!$E$11*AUX!P$2))))</f>
        <v>--</v>
      </c>
      <c r="M43" s="157" t="str">
        <f>IF(INDEX($C$180:$II$199,$F$8,AUX!$E$10+(AUX!$E$11*AUX!Q$2))="","--",IF(INDEX($C$180:$II$199,$F$8,AUX!$E$10+(AUX!$E$11*AUX!Q$2))=0,"-",INDEX($C$180:$II$199,$F$8,AUX!$E$10+(AUX!$E$11*AUX!Q$2))))</f>
        <v>--</v>
      </c>
      <c r="S43" s="50"/>
      <c r="T43" s="51"/>
    </row>
    <row r="44" ht="12.75" customHeight="1">
      <c r="B44" s="153"/>
      <c r="C44" s="158"/>
      <c r="D44" s="158"/>
      <c r="E44" s="158"/>
      <c r="F44" s="159"/>
      <c r="G44" s="50"/>
      <c r="H44" s="50"/>
      <c r="I44" s="50"/>
      <c r="J44" s="50"/>
      <c r="K44" s="50"/>
      <c r="L44" s="50"/>
    </row>
    <row r="45" ht="12.75" customHeight="1">
      <c r="B45" s="153"/>
      <c r="C45" s="158"/>
      <c r="D45" s="158"/>
      <c r="E45" s="158"/>
      <c r="F45" s="159"/>
      <c r="G45" s="50"/>
      <c r="H45" s="50"/>
      <c r="I45" s="50"/>
      <c r="J45" s="50"/>
      <c r="K45" s="50"/>
      <c r="L45" s="50"/>
    </row>
    <row r="46" ht="12.75" customHeight="1">
      <c r="B46" s="153"/>
      <c r="C46" s="158"/>
      <c r="D46" s="158"/>
      <c r="E46" s="158"/>
      <c r="F46" s="159"/>
      <c r="G46" s="50"/>
      <c r="H46" s="50"/>
      <c r="I46" s="50"/>
      <c r="J46" s="50"/>
      <c r="K46" s="50"/>
      <c r="L46" s="50"/>
    </row>
    <row r="47" ht="12.75" customHeight="1">
      <c r="B47" s="153"/>
      <c r="C47" s="158"/>
      <c r="D47" s="158"/>
      <c r="E47" s="158"/>
      <c r="F47" s="159"/>
      <c r="G47" s="50"/>
      <c r="H47" s="50"/>
      <c r="I47" s="50"/>
      <c r="J47" s="50"/>
      <c r="K47" s="50"/>
      <c r="L47" s="50"/>
    </row>
    <row r="48" ht="12.75" customHeight="1">
      <c r="B48" s="153"/>
      <c r="C48" s="158"/>
      <c r="D48" s="158"/>
      <c r="E48" s="158"/>
      <c r="F48" s="159"/>
      <c r="G48" s="50"/>
      <c r="H48" s="50"/>
      <c r="I48" s="50"/>
      <c r="J48" s="50"/>
      <c r="K48" s="50"/>
      <c r="L48" s="50"/>
    </row>
    <row r="49" ht="12.75" customHeight="1">
      <c r="B49" s="153"/>
      <c r="C49" s="158"/>
      <c r="D49" s="158"/>
      <c r="E49" s="158"/>
      <c r="F49" s="159"/>
      <c r="G49" s="50"/>
      <c r="H49" s="50"/>
      <c r="I49" s="50"/>
      <c r="J49" s="50"/>
      <c r="K49" s="50"/>
      <c r="L49" s="50"/>
    </row>
    <row r="50" ht="12.75" customHeight="1">
      <c r="B50" s="153"/>
      <c r="C50" s="158"/>
      <c r="D50" s="158"/>
      <c r="E50" s="158"/>
      <c r="F50" s="159"/>
      <c r="G50" s="50"/>
      <c r="H50" s="50"/>
      <c r="I50" s="50"/>
      <c r="J50" s="50"/>
      <c r="K50" s="50"/>
      <c r="L50" s="50"/>
    </row>
    <row r="51" ht="12.75" customHeight="1">
      <c r="B51" s="153"/>
      <c r="C51" s="158"/>
      <c r="D51" s="158"/>
      <c r="E51" s="158"/>
      <c r="F51" s="159"/>
      <c r="G51" s="50"/>
      <c r="H51" s="50"/>
      <c r="I51" s="50"/>
      <c r="J51" s="50"/>
      <c r="K51" s="50"/>
      <c r="L51" s="50"/>
    </row>
    <row r="52" ht="12.75" customHeight="1">
      <c r="B52" s="153"/>
      <c r="C52" s="158"/>
      <c r="D52" s="158"/>
      <c r="E52" s="158"/>
      <c r="F52" s="159"/>
      <c r="G52" s="58"/>
      <c r="H52" s="58"/>
      <c r="I52" s="58"/>
      <c r="J52" s="50"/>
      <c r="K52" s="50"/>
      <c r="L52" s="50"/>
    </row>
    <row r="53">
      <c r="B53" s="153"/>
      <c r="C53" s="158"/>
      <c r="D53" s="158"/>
      <c r="E53" s="158"/>
      <c r="F53" s="159"/>
      <c r="G53" s="58"/>
      <c r="H53" s="58"/>
      <c r="I53" s="58"/>
      <c r="J53" s="50"/>
      <c r="K53" s="50"/>
      <c r="L53" s="50"/>
    </row>
    <row r="54" ht="13.5" customHeight="1">
      <c r="B54" s="153"/>
      <c r="C54" s="160"/>
      <c r="D54" s="160"/>
      <c r="E54" s="160"/>
      <c r="F54" s="160"/>
      <c r="G54" s="160"/>
      <c r="H54" s="160"/>
      <c r="I54" s="58"/>
      <c r="J54" s="50"/>
      <c r="K54" s="50"/>
      <c r="L54" s="50"/>
    </row>
    <row r="55" ht="12.75" customHeight="1">
      <c r="B55" s="153"/>
      <c r="C55" s="158"/>
      <c r="D55" s="158"/>
      <c r="E55" s="158"/>
      <c r="F55" s="159"/>
      <c r="G55" s="58"/>
      <c r="H55" s="58"/>
      <c r="I55" s="58"/>
      <c r="J55" s="50"/>
      <c r="K55" s="50"/>
      <c r="L55" s="50"/>
    </row>
    <row r="56" ht="12.75" customHeight="1">
      <c r="B56" s="153"/>
      <c r="C56" s="158"/>
      <c r="D56" s="158"/>
      <c r="E56" s="158"/>
      <c r="F56" s="159"/>
      <c r="G56" s="58"/>
      <c r="H56" s="58"/>
      <c r="I56" s="58"/>
      <c r="J56" s="50"/>
      <c r="K56" s="50"/>
      <c r="L56" s="50"/>
    </row>
    <row r="57">
      <c r="B57" s="90"/>
      <c r="C57" s="90"/>
      <c r="D57" s="90"/>
      <c r="E57" s="58"/>
      <c r="F57" s="58"/>
      <c r="G57" s="58"/>
      <c r="H57" s="58"/>
      <c r="I57" s="58"/>
      <c r="J57" s="50"/>
      <c r="K57" s="50"/>
      <c r="L57" s="50"/>
    </row>
    <row r="58" ht="12.75" customHeight="1">
      <c r="B58" s="58"/>
      <c r="C58" s="58"/>
      <c r="D58" s="58"/>
      <c r="E58" s="58"/>
      <c r="F58" s="58"/>
      <c r="G58" s="58"/>
      <c r="H58" s="58"/>
      <c r="I58" s="58"/>
      <c r="J58" s="90"/>
      <c r="K58" s="90"/>
      <c r="L58" s="90"/>
      <c r="M58" s="90"/>
      <c r="N58" s="90"/>
      <c r="O58" s="90"/>
      <c r="Q58" s="90"/>
      <c r="R58" s="90"/>
      <c r="W58" s="50"/>
      <c r="X58" s="50"/>
      <c r="Y58" s="50"/>
      <c r="Z58" s="50"/>
    </row>
    <row r="59" ht="12.75" customHeight="1">
      <c r="B59" s="58"/>
      <c r="C59" s="58"/>
      <c r="D59" s="58"/>
      <c r="E59" s="58"/>
      <c r="F59" s="58"/>
      <c r="G59" s="58"/>
      <c r="H59" s="58"/>
      <c r="I59" s="58"/>
      <c r="J59" s="50"/>
      <c r="K59" s="50"/>
      <c r="L59" s="50"/>
      <c r="M59" s="90"/>
      <c r="N59" s="90"/>
      <c r="O59" s="90"/>
      <c r="P59" s="90"/>
      <c r="Q59" s="90"/>
      <c r="R59" s="90"/>
      <c r="S59" s="90"/>
      <c r="T59" s="90"/>
      <c r="X59" s="50"/>
      <c r="Y59" s="50"/>
      <c r="Z59" s="50"/>
      <c r="AA59" s="50"/>
    </row>
    <row r="60" ht="12.75" customHeight="1">
      <c r="B60" s="58"/>
      <c r="C60" s="58"/>
      <c r="D60" s="58"/>
      <c r="E60" s="58"/>
      <c r="F60" s="58"/>
      <c r="G60" s="58"/>
      <c r="H60" s="58"/>
      <c r="I60" s="58"/>
      <c r="J60" s="50"/>
      <c r="K60" s="50"/>
      <c r="L60" s="50"/>
      <c r="M60" s="90"/>
      <c r="N60" s="90"/>
      <c r="O60" s="90"/>
      <c r="P60" s="90"/>
      <c r="Q60" s="90"/>
      <c r="R60" s="90"/>
      <c r="S60" s="90"/>
      <c r="T60" s="90"/>
      <c r="X60" s="50"/>
      <c r="Y60" s="50"/>
      <c r="Z60" s="50"/>
      <c r="AA60" s="50"/>
    </row>
    <row r="61" ht="12.75" customHeight="1">
      <c r="B61" s="58"/>
      <c r="C61" s="58"/>
      <c r="D61" s="58"/>
      <c r="E61" s="58"/>
      <c r="F61" s="58"/>
      <c r="G61" s="58"/>
      <c r="H61" s="58"/>
      <c r="I61" s="58"/>
      <c r="J61" s="50"/>
      <c r="K61" s="50"/>
      <c r="L61" s="50"/>
      <c r="M61" s="90"/>
      <c r="N61" s="90"/>
      <c r="O61" s="90"/>
      <c r="P61" s="90"/>
      <c r="Q61" s="90"/>
      <c r="R61" s="90"/>
      <c r="S61" s="90"/>
      <c r="T61" s="90"/>
      <c r="X61" s="50"/>
      <c r="Y61" s="50"/>
      <c r="Z61" s="50"/>
      <c r="AA61" s="50"/>
    </row>
    <row r="62" ht="12.75" customHeight="1">
      <c r="B62" s="58"/>
      <c r="C62" s="161"/>
      <c r="D62" s="58"/>
      <c r="E62" s="58"/>
      <c r="F62" s="58"/>
      <c r="G62" s="58"/>
      <c r="H62" s="58"/>
      <c r="I62" s="58"/>
      <c r="J62" s="50"/>
      <c r="K62" s="50"/>
      <c r="L62" s="50"/>
      <c r="M62" s="159"/>
      <c r="N62" s="159"/>
      <c r="O62" s="159"/>
      <c r="P62" s="159"/>
      <c r="Q62" s="159"/>
      <c r="R62" s="159"/>
      <c r="S62" s="159"/>
      <c r="T62" s="159"/>
      <c r="X62" s="50"/>
      <c r="Y62" s="50"/>
      <c r="Z62" s="50"/>
      <c r="AA62" s="50"/>
    </row>
    <row r="63">
      <c r="B63" s="58"/>
      <c r="C63" s="58"/>
      <c r="D63" s="58"/>
      <c r="E63" s="161"/>
      <c r="F63" s="58"/>
      <c r="G63" s="58"/>
      <c r="H63" s="58"/>
      <c r="I63" s="58"/>
      <c r="J63" s="50"/>
      <c r="K63" s="50"/>
      <c r="L63" s="50"/>
      <c r="M63" s="90"/>
      <c r="N63" s="90"/>
      <c r="O63" s="90"/>
      <c r="P63" s="90"/>
      <c r="Q63" s="90"/>
      <c r="R63" s="90"/>
      <c r="S63" s="90"/>
      <c r="T63" s="90"/>
      <c r="X63" s="50"/>
      <c r="Y63" s="50"/>
      <c r="Z63" s="50"/>
      <c r="AA63" s="50"/>
    </row>
    <row r="64" ht="12.75" customHeight="1">
      <c r="B64" s="162"/>
      <c r="C64" s="90"/>
      <c r="D64" s="90"/>
      <c r="E64" s="90"/>
      <c r="F64" s="90"/>
      <c r="G64" s="58"/>
      <c r="H64" s="58"/>
      <c r="I64" s="58"/>
      <c r="J64" s="50"/>
      <c r="K64" s="50"/>
      <c r="L64" s="50"/>
      <c r="O64" s="91"/>
      <c r="P64" s="91"/>
      <c r="X64" s="50"/>
      <c r="Y64" s="50"/>
      <c r="Z64" s="50"/>
      <c r="AA64" s="50"/>
    </row>
    <row r="65" ht="12.75" customHeight="1">
      <c r="B65" s="162"/>
      <c r="C65" s="90"/>
      <c r="D65" s="90"/>
      <c r="E65" s="90"/>
      <c r="F65" s="90"/>
      <c r="G65" s="58"/>
      <c r="H65" s="58"/>
      <c r="I65" s="58"/>
      <c r="J65" s="50"/>
      <c r="K65" s="50"/>
      <c r="L65" s="50"/>
      <c r="O65" s="91"/>
      <c r="P65" s="91"/>
      <c r="X65" s="50"/>
      <c r="Y65" s="50"/>
      <c r="Z65" s="50"/>
      <c r="AA65" s="50"/>
    </row>
    <row r="66" ht="12.75" customHeight="1">
      <c r="B66" s="162"/>
      <c r="C66" s="90"/>
      <c r="D66" s="90"/>
      <c r="E66" s="90"/>
      <c r="F66" s="90"/>
      <c r="G66" s="58"/>
      <c r="H66" s="58"/>
      <c r="I66" s="58"/>
      <c r="J66" s="50"/>
      <c r="K66" s="50"/>
      <c r="L66" s="50"/>
      <c r="O66" s="91"/>
      <c r="P66" s="91"/>
      <c r="X66" s="50"/>
      <c r="Y66" s="50"/>
      <c r="Z66" s="50"/>
      <c r="AA66" s="50"/>
    </row>
    <row r="67" ht="12.75" customHeight="1">
      <c r="B67" s="162"/>
      <c r="C67" s="90"/>
      <c r="D67" s="90"/>
      <c r="E67" s="90"/>
      <c r="F67" s="90"/>
      <c r="G67" s="58"/>
      <c r="H67" s="58"/>
      <c r="I67" s="58"/>
      <c r="J67" s="50"/>
      <c r="K67" s="50"/>
      <c r="L67" s="50"/>
      <c r="O67" s="91"/>
      <c r="P67" s="91"/>
      <c r="X67" s="50"/>
      <c r="Y67" s="50"/>
      <c r="Z67" s="50"/>
      <c r="AA67" s="50"/>
    </row>
    <row r="68">
      <c r="B68" s="162"/>
      <c r="C68" s="90"/>
      <c r="D68" s="90"/>
      <c r="E68" s="90"/>
      <c r="F68" s="90"/>
      <c r="G68" s="58"/>
      <c r="H68" s="58"/>
      <c r="I68" s="58"/>
      <c r="J68" s="50"/>
      <c r="K68" s="50"/>
      <c r="L68" s="50"/>
      <c r="O68" s="91"/>
      <c r="P68" s="91"/>
      <c r="X68" s="50"/>
      <c r="Y68" s="50"/>
      <c r="Z68" s="50"/>
      <c r="AA68" s="50"/>
    </row>
    <row r="69" ht="12.75" customHeight="1">
      <c r="B69" s="162"/>
      <c r="C69" s="90"/>
      <c r="D69" s="90"/>
      <c r="E69" s="90"/>
      <c r="F69" s="90"/>
      <c r="G69" s="58"/>
      <c r="H69" s="58"/>
      <c r="I69" s="58"/>
      <c r="J69" s="50"/>
      <c r="K69" s="50"/>
      <c r="L69" s="50"/>
      <c r="O69" s="91"/>
      <c r="P69" s="91"/>
      <c r="X69" s="50"/>
      <c r="Y69" s="50"/>
      <c r="Z69" s="50"/>
      <c r="AA69" s="50"/>
    </row>
    <row r="70">
      <c r="B70" s="162"/>
      <c r="C70" s="90"/>
      <c r="D70" s="90"/>
      <c r="E70" s="90"/>
      <c r="F70" s="90"/>
      <c r="G70" s="58"/>
      <c r="H70" s="58"/>
      <c r="I70" s="58"/>
      <c r="J70" s="50"/>
      <c r="K70" s="50"/>
      <c r="L70" s="50"/>
      <c r="O70" s="91"/>
      <c r="P70" s="91"/>
      <c r="X70" s="50"/>
      <c r="Y70" s="50"/>
      <c r="Z70" s="50"/>
      <c r="AA70" s="50"/>
    </row>
    <row r="71">
      <c r="B71" s="162"/>
      <c r="C71" s="91"/>
      <c r="D71" s="91"/>
      <c r="E71" s="91"/>
      <c r="F71" s="91"/>
      <c r="I71" s="50"/>
      <c r="J71" s="50"/>
      <c r="K71" s="50"/>
      <c r="L71" s="50"/>
      <c r="O71" s="91"/>
      <c r="P71" s="91"/>
      <c r="X71" s="50"/>
      <c r="Y71" s="50"/>
      <c r="Z71" s="50"/>
      <c r="AA71" s="50"/>
    </row>
    <row r="72">
      <c r="B72" s="162"/>
      <c r="C72" s="91"/>
      <c r="D72" s="91"/>
      <c r="E72" s="91"/>
      <c r="F72" s="91"/>
      <c r="I72" s="50"/>
      <c r="J72" s="50"/>
      <c r="K72" s="50"/>
      <c r="L72" s="50"/>
      <c r="O72" s="91"/>
      <c r="P72" s="91"/>
      <c r="X72" s="50"/>
      <c r="Y72" s="50"/>
      <c r="Z72" s="50"/>
      <c r="AA72" s="50"/>
    </row>
    <row r="73">
      <c r="B73" s="162"/>
      <c r="C73" s="91"/>
      <c r="D73" s="91"/>
      <c r="E73" s="91"/>
      <c r="F73" s="91"/>
      <c r="I73" s="50"/>
      <c r="J73" s="50"/>
      <c r="K73" s="50"/>
      <c r="L73" s="50"/>
      <c r="O73" s="91"/>
      <c r="P73" s="91"/>
      <c r="X73" s="50"/>
      <c r="Y73" s="50"/>
      <c r="Z73" s="50"/>
      <c r="AA73" s="50"/>
    </row>
    <row r="74">
      <c r="B74" s="162"/>
      <c r="C74" s="91"/>
      <c r="D74" s="91"/>
      <c r="E74" s="91"/>
      <c r="F74" s="91"/>
      <c r="I74" s="50"/>
      <c r="J74" s="50"/>
      <c r="K74" s="50"/>
      <c r="L74" s="50"/>
      <c r="O74" s="91"/>
      <c r="P74" s="91"/>
      <c r="X74" s="50"/>
      <c r="Y74" s="50"/>
      <c r="Z74" s="50"/>
      <c r="AA74" s="50"/>
    </row>
    <row r="75">
      <c r="B75" s="162"/>
      <c r="C75" s="91"/>
      <c r="D75" s="91"/>
      <c r="E75" s="91"/>
      <c r="F75" s="91"/>
      <c r="I75" s="50"/>
      <c r="J75" s="50"/>
      <c r="K75" s="50"/>
      <c r="L75" s="50"/>
      <c r="O75" s="91"/>
      <c r="P75" s="91"/>
      <c r="X75" s="50"/>
      <c r="Y75" s="50"/>
      <c r="Z75" s="50"/>
      <c r="AA75" s="50"/>
    </row>
    <row r="76">
      <c r="B76" s="162"/>
      <c r="C76" s="91"/>
      <c r="D76" s="91"/>
      <c r="E76" s="91"/>
      <c r="F76" s="91"/>
      <c r="I76" s="50"/>
      <c r="J76" s="50"/>
      <c r="K76" s="50"/>
      <c r="L76" s="50"/>
      <c r="O76" s="91"/>
      <c r="P76" s="91"/>
      <c r="X76" s="50"/>
      <c r="Y76" s="50"/>
      <c r="Z76" s="50"/>
      <c r="AA76" s="50"/>
    </row>
    <row r="77">
      <c r="B77" s="162"/>
      <c r="C77" s="91"/>
      <c r="D77" s="91"/>
      <c r="E77" s="91"/>
      <c r="F77" s="91"/>
      <c r="I77" s="50"/>
      <c r="J77" s="50"/>
      <c r="K77" s="50"/>
      <c r="L77" s="50"/>
      <c r="O77" s="91"/>
      <c r="P77" s="91"/>
      <c r="X77" s="50"/>
      <c r="Y77" s="50"/>
      <c r="Z77" s="50"/>
      <c r="AA77" s="50"/>
    </row>
    <row r="78">
      <c r="B78" s="162"/>
      <c r="C78" s="91"/>
      <c r="D78" s="91"/>
      <c r="E78" s="91"/>
      <c r="F78" s="91"/>
      <c r="I78" s="50"/>
      <c r="J78" s="50"/>
      <c r="K78" s="50"/>
      <c r="L78" s="50"/>
      <c r="O78" s="91"/>
      <c r="P78" s="91"/>
      <c r="X78" s="50"/>
      <c r="Y78" s="50"/>
      <c r="Z78" s="50"/>
      <c r="AA78" s="50"/>
    </row>
    <row r="79">
      <c r="B79" s="162"/>
      <c r="C79" s="91"/>
      <c r="D79" s="91"/>
      <c r="E79" s="91"/>
      <c r="F79" s="91"/>
      <c r="I79" s="50"/>
      <c r="J79" s="50"/>
      <c r="K79" s="50"/>
      <c r="L79" s="50"/>
      <c r="O79" s="91"/>
      <c r="P79" s="91"/>
      <c r="X79" s="50"/>
      <c r="Y79" s="50"/>
      <c r="Z79" s="50"/>
      <c r="AA79" s="50"/>
    </row>
    <row r="80">
      <c r="B80" s="162"/>
      <c r="C80" s="91"/>
      <c r="D80" s="91"/>
      <c r="E80" s="91"/>
      <c r="F80" s="91"/>
      <c r="I80" s="50"/>
      <c r="J80" s="50"/>
      <c r="K80" s="50"/>
      <c r="L80" s="50"/>
      <c r="O80" s="91"/>
      <c r="P80" s="91"/>
      <c r="X80" s="50"/>
      <c r="Y80" s="50"/>
      <c r="Z80" s="50"/>
      <c r="AA80" s="50"/>
    </row>
    <row r="81">
      <c r="B81" s="162"/>
      <c r="C81" s="91"/>
      <c r="D81" s="91"/>
      <c r="E81" s="91"/>
      <c r="F81" s="91"/>
      <c r="I81" s="50"/>
      <c r="J81" s="50"/>
      <c r="K81" s="50"/>
      <c r="L81" s="50"/>
      <c r="O81" s="91"/>
      <c r="P81" s="91"/>
      <c r="X81" s="50"/>
      <c r="Y81" s="50"/>
      <c r="Z81" s="50"/>
      <c r="AA81" s="50"/>
    </row>
    <row r="82">
      <c r="B82" s="162"/>
      <c r="C82" s="91"/>
      <c r="D82" s="91"/>
      <c r="E82" s="91"/>
      <c r="F82" s="91"/>
      <c r="I82" s="50"/>
      <c r="J82" s="50"/>
      <c r="K82" s="50"/>
      <c r="L82" s="50"/>
      <c r="O82" s="91"/>
      <c r="P82" s="91"/>
      <c r="X82" s="50"/>
      <c r="Y82" s="50"/>
      <c r="Z82" s="50"/>
      <c r="AA82" s="50"/>
    </row>
    <row r="83">
      <c r="B83" s="162"/>
      <c r="C83" s="91"/>
      <c r="D83" s="91"/>
      <c r="E83" s="91"/>
      <c r="F83" s="91"/>
      <c r="I83" s="50"/>
      <c r="J83" s="50"/>
      <c r="K83" s="50"/>
      <c r="L83" s="50"/>
      <c r="O83" s="91"/>
      <c r="P83" s="91"/>
      <c r="X83" s="50"/>
      <c r="Y83" s="50"/>
      <c r="Z83" s="50"/>
      <c r="AA83" s="50"/>
    </row>
    <row r="84">
      <c r="B84" s="162"/>
      <c r="C84" s="91"/>
      <c r="D84" s="91"/>
      <c r="E84" s="91"/>
      <c r="F84" s="91"/>
      <c r="I84" s="50"/>
      <c r="J84" s="50"/>
      <c r="K84" s="50"/>
      <c r="L84" s="50"/>
      <c r="O84" s="91"/>
      <c r="P84" s="91"/>
      <c r="X84" s="50"/>
      <c r="Y84" s="50"/>
      <c r="Z84" s="50"/>
      <c r="AA84" s="50"/>
    </row>
    <row r="85">
      <c r="B85" s="162"/>
      <c r="C85" s="91"/>
      <c r="D85" s="91"/>
      <c r="E85" s="91"/>
      <c r="F85" s="91"/>
      <c r="I85" s="50"/>
      <c r="J85" s="50"/>
      <c r="K85" s="50"/>
      <c r="L85" s="50"/>
      <c r="O85" s="91"/>
      <c r="P85" s="91"/>
      <c r="X85" s="50"/>
      <c r="Y85" s="50"/>
      <c r="Z85" s="50"/>
      <c r="AA85" s="50"/>
    </row>
    <row r="86">
      <c r="B86" s="162"/>
      <c r="C86" s="91"/>
      <c r="D86" s="91"/>
      <c r="E86" s="91"/>
      <c r="F86" s="91"/>
      <c r="I86" s="50"/>
      <c r="J86" s="50"/>
      <c r="K86" s="50"/>
      <c r="L86" s="50"/>
      <c r="O86" s="91"/>
      <c r="P86" s="91"/>
      <c r="X86" s="50"/>
      <c r="Y86" s="50"/>
      <c r="Z86" s="50"/>
      <c r="AA86" s="50"/>
    </row>
    <row r="87">
      <c r="B87" s="162"/>
      <c r="C87" s="91"/>
      <c r="D87" s="91"/>
      <c r="E87" s="91"/>
      <c r="F87" s="91"/>
      <c r="I87" s="50"/>
      <c r="J87" s="50"/>
      <c r="K87" s="50"/>
      <c r="L87" s="50"/>
      <c r="O87" s="91"/>
      <c r="P87" s="91"/>
      <c r="X87" s="50"/>
      <c r="Y87" s="50"/>
      <c r="Z87" s="50"/>
      <c r="AA87" s="50"/>
    </row>
    <row r="88">
      <c r="B88" s="162"/>
      <c r="C88" s="91"/>
      <c r="D88" s="91"/>
      <c r="E88" s="91"/>
      <c r="F88" s="91"/>
      <c r="I88" s="50"/>
      <c r="J88" s="50"/>
      <c r="K88" s="50"/>
      <c r="L88" s="50"/>
      <c r="O88" s="91"/>
      <c r="P88" s="91"/>
      <c r="X88" s="50"/>
      <c r="Y88" s="50"/>
      <c r="Z88" s="50"/>
      <c r="AA88" s="50"/>
    </row>
    <row r="89">
      <c r="B89" s="162"/>
      <c r="C89" s="91"/>
      <c r="D89" s="91"/>
      <c r="E89" s="91"/>
      <c r="F89" s="91"/>
      <c r="I89" s="50"/>
      <c r="J89" s="50"/>
      <c r="K89" s="50"/>
      <c r="L89" s="50"/>
      <c r="O89" s="91"/>
      <c r="P89" s="91"/>
      <c r="X89" s="50"/>
      <c r="Y89" s="50"/>
      <c r="Z89" s="50"/>
      <c r="AA89" s="50"/>
    </row>
    <row r="90">
      <c r="B90" s="162"/>
      <c r="C90" s="91"/>
      <c r="D90" s="91"/>
      <c r="E90" s="91"/>
      <c r="F90" s="91"/>
      <c r="I90" s="50"/>
      <c r="J90" s="50"/>
      <c r="K90" s="50"/>
      <c r="L90" s="50"/>
      <c r="O90" s="91"/>
      <c r="P90" s="91"/>
      <c r="X90" s="50"/>
      <c r="Y90" s="50"/>
      <c r="Z90" s="50"/>
      <c r="AA90" s="50"/>
    </row>
    <row r="91">
      <c r="B91" s="162"/>
      <c r="C91" s="91"/>
      <c r="D91" s="91"/>
      <c r="E91" s="91"/>
      <c r="F91" s="91"/>
      <c r="I91" s="50"/>
      <c r="J91" s="50"/>
      <c r="K91" s="50"/>
      <c r="L91" s="50"/>
      <c r="O91" s="91"/>
      <c r="P91" s="91"/>
      <c r="X91" s="50"/>
      <c r="Y91" s="50"/>
      <c r="Z91" s="50"/>
      <c r="AA91" s="50"/>
    </row>
    <row r="92">
      <c r="B92" s="162"/>
      <c r="C92" s="91"/>
      <c r="D92" s="91"/>
      <c r="E92" s="91"/>
      <c r="F92" s="91"/>
      <c r="I92" s="50"/>
      <c r="J92" s="50"/>
      <c r="K92" s="50"/>
      <c r="L92" s="50"/>
      <c r="O92" s="91"/>
      <c r="P92" s="91"/>
      <c r="X92" s="50"/>
      <c r="Y92" s="50"/>
      <c r="Z92" s="50"/>
      <c r="AA92" s="50"/>
    </row>
    <row r="93">
      <c r="B93" s="162"/>
      <c r="C93" s="91"/>
      <c r="D93" s="91"/>
      <c r="E93" s="91"/>
      <c r="F93" s="91"/>
      <c r="I93" s="50"/>
      <c r="J93" s="50"/>
      <c r="K93" s="50"/>
      <c r="L93" s="50"/>
      <c r="O93" s="91"/>
      <c r="P93" s="91"/>
      <c r="X93" s="50"/>
      <c r="Y93" s="50"/>
      <c r="Z93" s="50"/>
      <c r="AA93" s="50"/>
    </row>
    <row r="94">
      <c r="B94" s="162"/>
      <c r="C94" s="91"/>
      <c r="D94" s="91"/>
      <c r="E94" s="91"/>
      <c r="F94" s="91"/>
      <c r="I94" s="50"/>
      <c r="J94" s="50"/>
      <c r="K94" s="50"/>
      <c r="L94" s="50"/>
      <c r="O94" s="91"/>
      <c r="P94" s="91"/>
      <c r="X94" s="50"/>
      <c r="Y94" s="50"/>
      <c r="Z94" s="50"/>
      <c r="AA94" s="50"/>
    </row>
    <row r="95">
      <c r="B95" s="162"/>
      <c r="C95" s="91"/>
      <c r="D95" s="91"/>
      <c r="E95" s="91"/>
      <c r="F95" s="91"/>
      <c r="I95" s="50"/>
      <c r="J95" s="50"/>
      <c r="K95" s="50"/>
      <c r="L95" s="50"/>
      <c r="O95" s="91"/>
      <c r="P95" s="91"/>
      <c r="X95" s="50"/>
      <c r="Y95" s="50"/>
      <c r="Z95" s="50"/>
      <c r="AA95" s="50"/>
    </row>
    <row r="96">
      <c r="B96" s="162"/>
      <c r="C96" s="91"/>
      <c r="D96" s="91"/>
      <c r="E96" s="91"/>
      <c r="F96" s="91"/>
      <c r="I96" s="50"/>
      <c r="J96" s="50"/>
      <c r="K96" s="50"/>
      <c r="L96" s="50"/>
      <c r="O96" s="91"/>
      <c r="P96" s="91"/>
      <c r="X96" s="50"/>
      <c r="Y96" s="50"/>
      <c r="Z96" s="50"/>
      <c r="AA96" s="50"/>
    </row>
    <row r="97">
      <c r="B97" s="162"/>
      <c r="C97" s="91"/>
      <c r="D97" s="91"/>
      <c r="E97" s="91"/>
      <c r="F97" s="91"/>
      <c r="I97" s="50"/>
      <c r="J97" s="50"/>
      <c r="K97" s="50"/>
      <c r="L97" s="50"/>
      <c r="O97" s="91"/>
      <c r="P97" s="91"/>
      <c r="X97" s="50"/>
      <c r="Y97" s="50"/>
      <c r="Z97" s="50"/>
      <c r="AA97" s="50"/>
    </row>
    <row r="98">
      <c r="B98" s="162"/>
      <c r="C98" s="91"/>
      <c r="D98" s="91"/>
      <c r="E98" s="91"/>
      <c r="F98" s="91"/>
      <c r="I98" s="50"/>
      <c r="J98" s="50"/>
      <c r="K98" s="50"/>
      <c r="L98" s="50"/>
      <c r="O98" s="91"/>
      <c r="P98" s="91"/>
      <c r="X98" s="50"/>
      <c r="Y98" s="50"/>
      <c r="Z98" s="50"/>
      <c r="AA98" s="50"/>
    </row>
    <row r="99">
      <c r="B99" s="162"/>
      <c r="C99" s="91"/>
      <c r="D99" s="91"/>
      <c r="E99" s="91"/>
      <c r="F99" s="91"/>
      <c r="I99" s="50"/>
      <c r="J99" s="50"/>
      <c r="K99" s="50"/>
      <c r="L99" s="50"/>
      <c r="O99" s="91"/>
      <c r="P99" s="91"/>
      <c r="X99" s="50"/>
      <c r="Y99" s="50"/>
      <c r="Z99" s="50"/>
      <c r="AA99" s="50"/>
    </row>
    <row r="100">
      <c r="B100" s="162"/>
      <c r="C100" s="91"/>
      <c r="D100" s="91"/>
      <c r="E100" s="91"/>
      <c r="F100" s="91"/>
      <c r="I100" s="50"/>
      <c r="J100" s="50"/>
      <c r="K100" s="50"/>
      <c r="L100" s="50"/>
      <c r="O100" s="91"/>
      <c r="P100" s="91"/>
      <c r="X100" s="50"/>
      <c r="Y100" s="50"/>
      <c r="Z100" s="50"/>
      <c r="AA100" s="50"/>
    </row>
    <row r="101">
      <c r="B101" s="162"/>
      <c r="C101" s="91"/>
      <c r="D101" s="91"/>
      <c r="E101" s="91"/>
      <c r="F101" s="91"/>
      <c r="I101" s="50"/>
      <c r="J101" s="50"/>
      <c r="K101" s="50"/>
      <c r="L101" s="50"/>
      <c r="O101" s="91"/>
      <c r="P101" s="91"/>
      <c r="X101" s="50"/>
      <c r="Y101" s="50"/>
      <c r="Z101" s="50"/>
      <c r="AA101" s="50"/>
    </row>
    <row r="102">
      <c r="B102" s="162"/>
      <c r="C102" s="91"/>
      <c r="D102" s="91"/>
      <c r="E102" s="91"/>
      <c r="F102" s="91"/>
      <c r="I102" s="50"/>
      <c r="J102" s="50"/>
      <c r="K102" s="50"/>
      <c r="L102" s="50"/>
      <c r="O102" s="91"/>
      <c r="P102" s="91"/>
      <c r="X102" s="50"/>
      <c r="Y102" s="50"/>
      <c r="Z102" s="50"/>
      <c r="AA102" s="50"/>
    </row>
    <row r="103">
      <c r="B103" s="162"/>
      <c r="C103" s="91"/>
      <c r="D103" s="91"/>
      <c r="E103" s="91"/>
      <c r="F103" s="91"/>
      <c r="I103" s="50"/>
      <c r="J103" s="50"/>
      <c r="K103" s="50"/>
      <c r="L103" s="50"/>
      <c r="O103" s="91"/>
      <c r="P103" s="91"/>
      <c r="X103" s="50"/>
      <c r="Y103" s="50"/>
      <c r="Z103" s="50"/>
      <c r="AA103" s="50"/>
    </row>
    <row r="104">
      <c r="B104" s="162"/>
      <c r="C104" s="91"/>
      <c r="D104" s="91"/>
      <c r="E104" s="91"/>
      <c r="F104" s="91"/>
      <c r="I104" s="50"/>
      <c r="J104" s="50"/>
      <c r="K104" s="50"/>
      <c r="L104" s="50"/>
      <c r="O104" s="91"/>
      <c r="P104" s="91"/>
      <c r="X104" s="50"/>
      <c r="Y104" s="50"/>
      <c r="Z104" s="50"/>
      <c r="AA104" s="50"/>
    </row>
    <row r="105">
      <c r="B105" s="162"/>
      <c r="C105" s="91"/>
      <c r="D105" s="91"/>
      <c r="E105" s="91"/>
      <c r="F105" s="91"/>
      <c r="I105" s="50"/>
      <c r="J105" s="50"/>
      <c r="K105" s="50"/>
      <c r="L105" s="50"/>
      <c r="O105" s="91"/>
      <c r="P105" s="91"/>
      <c r="X105" s="50"/>
      <c r="Y105" s="50"/>
      <c r="Z105" s="50"/>
      <c r="AA105" s="50"/>
    </row>
    <row r="106">
      <c r="B106" s="162"/>
      <c r="C106" s="91"/>
      <c r="D106" s="91"/>
      <c r="E106" s="91"/>
      <c r="F106" s="91"/>
      <c r="I106" s="50"/>
      <c r="J106" s="50"/>
      <c r="K106" s="50"/>
      <c r="L106" s="50"/>
      <c r="O106" s="91"/>
      <c r="P106" s="91"/>
      <c r="X106" s="50"/>
      <c r="Y106" s="50"/>
      <c r="Z106" s="50"/>
      <c r="AA106" s="50"/>
    </row>
    <row r="107">
      <c r="B107" s="162"/>
      <c r="C107" s="91"/>
      <c r="D107" s="91"/>
      <c r="E107" s="91"/>
      <c r="F107" s="91"/>
      <c r="I107" s="50"/>
      <c r="J107" s="50"/>
      <c r="K107" s="50"/>
      <c r="L107" s="50"/>
      <c r="O107" s="91"/>
      <c r="P107" s="91"/>
      <c r="X107" s="50"/>
      <c r="Y107" s="50"/>
      <c r="Z107" s="50"/>
      <c r="AA107" s="50"/>
    </row>
    <row r="108">
      <c r="B108" s="162"/>
      <c r="C108" s="91"/>
      <c r="D108" s="91"/>
      <c r="E108" s="91"/>
      <c r="F108" s="91"/>
      <c r="I108" s="50"/>
      <c r="J108" s="50"/>
      <c r="K108" s="50"/>
      <c r="L108" s="50"/>
      <c r="O108" s="91"/>
      <c r="P108" s="91"/>
      <c r="X108" s="50"/>
      <c r="Y108" s="50"/>
      <c r="Z108" s="50"/>
      <c r="AA108" s="50"/>
    </row>
    <row r="109">
      <c r="B109" s="162"/>
      <c r="C109" s="91"/>
      <c r="D109" s="91"/>
      <c r="E109" s="91"/>
      <c r="F109" s="91"/>
      <c r="I109" s="50"/>
      <c r="J109" s="50"/>
      <c r="K109" s="50"/>
      <c r="L109" s="50"/>
      <c r="O109" s="91"/>
      <c r="P109" s="91"/>
      <c r="X109" s="50"/>
      <c r="Y109" s="50"/>
      <c r="Z109" s="50"/>
      <c r="AA109" s="50"/>
    </row>
    <row r="110">
      <c r="B110" s="162"/>
      <c r="C110" s="91"/>
      <c r="D110" s="91"/>
      <c r="E110" s="91"/>
      <c r="F110" s="91"/>
      <c r="I110" s="50"/>
      <c r="J110" s="50"/>
      <c r="K110" s="50"/>
      <c r="L110" s="50"/>
      <c r="O110" s="91"/>
      <c r="P110" s="91"/>
      <c r="X110" s="50"/>
      <c r="Y110" s="50"/>
      <c r="Z110" s="50"/>
      <c r="AA110" s="50"/>
    </row>
    <row r="111">
      <c r="B111" s="162"/>
      <c r="C111" s="91"/>
      <c r="D111" s="91"/>
      <c r="E111" s="91"/>
      <c r="F111" s="91"/>
      <c r="I111" s="50"/>
      <c r="J111" s="50"/>
      <c r="K111" s="50"/>
      <c r="L111" s="50"/>
      <c r="O111" s="91"/>
      <c r="P111" s="91"/>
      <c r="X111" s="50"/>
      <c r="Y111" s="50"/>
      <c r="Z111" s="50"/>
      <c r="AA111" s="50"/>
    </row>
    <row r="112">
      <c r="B112" s="162"/>
      <c r="C112" s="91"/>
      <c r="D112" s="91"/>
      <c r="E112" s="91"/>
      <c r="F112" s="91"/>
      <c r="I112" s="50"/>
      <c r="J112" s="50"/>
      <c r="K112" s="50"/>
      <c r="L112" s="50"/>
      <c r="O112" s="91"/>
      <c r="P112" s="91"/>
      <c r="X112" s="50"/>
      <c r="Y112" s="50"/>
      <c r="Z112" s="50"/>
      <c r="AA112" s="50"/>
    </row>
    <row r="113">
      <c r="B113" s="162"/>
      <c r="C113" s="91"/>
      <c r="D113" s="91"/>
      <c r="E113" s="91"/>
      <c r="F113" s="91"/>
      <c r="I113" s="50"/>
      <c r="J113" s="50"/>
      <c r="K113" s="50"/>
      <c r="L113" s="50"/>
      <c r="O113" s="91"/>
      <c r="P113" s="91"/>
      <c r="X113" s="50"/>
      <c r="Y113" s="50"/>
      <c r="Z113" s="50"/>
      <c r="AA113" s="50"/>
    </row>
    <row r="114">
      <c r="B114" s="162"/>
      <c r="C114" s="91"/>
      <c r="D114" s="91"/>
      <c r="E114" s="91"/>
      <c r="F114" s="91"/>
      <c r="I114" s="50"/>
      <c r="J114" s="50"/>
      <c r="K114" s="50"/>
      <c r="L114" s="50"/>
      <c r="O114" s="91"/>
      <c r="P114" s="91"/>
      <c r="X114" s="50"/>
      <c r="Y114" s="50"/>
      <c r="Z114" s="50"/>
      <c r="AA114" s="50"/>
    </row>
    <row r="115">
      <c r="B115" s="162"/>
      <c r="C115" s="91"/>
      <c r="D115" s="91"/>
      <c r="E115" s="91"/>
      <c r="F115" s="91"/>
      <c r="I115" s="50"/>
      <c r="J115" s="50"/>
      <c r="K115" s="50"/>
      <c r="L115" s="50"/>
      <c r="O115" s="91"/>
      <c r="P115" s="91"/>
      <c r="X115" s="50"/>
      <c r="Y115" s="50"/>
      <c r="Z115" s="50"/>
      <c r="AA115" s="50"/>
    </row>
    <row r="116">
      <c r="B116" s="162"/>
      <c r="C116" s="91"/>
      <c r="D116" s="91"/>
      <c r="E116" s="91"/>
      <c r="F116" s="91"/>
      <c r="I116" s="50"/>
      <c r="J116" s="50"/>
      <c r="K116" s="50"/>
      <c r="L116" s="50"/>
      <c r="O116" s="91"/>
      <c r="P116" s="91"/>
      <c r="X116" s="50"/>
      <c r="Y116" s="50"/>
      <c r="Z116" s="50"/>
      <c r="AA116" s="50"/>
    </row>
    <row r="117">
      <c r="B117" s="162"/>
      <c r="C117" s="91"/>
      <c r="D117" s="91"/>
      <c r="E117" s="91"/>
      <c r="F117" s="91"/>
      <c r="I117" s="50"/>
      <c r="J117" s="50"/>
      <c r="K117" s="50"/>
      <c r="L117" s="50"/>
      <c r="O117" s="91"/>
      <c r="P117" s="91"/>
      <c r="X117" s="50"/>
      <c r="Y117" s="50"/>
      <c r="Z117" s="50"/>
      <c r="AA117" s="50"/>
    </row>
    <row r="118">
      <c r="B118" s="162"/>
      <c r="C118" s="91"/>
      <c r="D118" s="91"/>
      <c r="E118" s="91"/>
      <c r="F118" s="91"/>
      <c r="I118" s="50"/>
      <c r="J118" s="50"/>
      <c r="K118" s="50"/>
      <c r="L118" s="50"/>
      <c r="O118" s="91"/>
      <c r="P118" s="91"/>
      <c r="X118" s="50"/>
      <c r="Y118" s="50"/>
      <c r="Z118" s="50"/>
      <c r="AA118" s="50"/>
    </row>
    <row r="119">
      <c r="B119" s="162"/>
      <c r="C119" s="91"/>
      <c r="D119" s="91"/>
      <c r="E119" s="91"/>
      <c r="F119" s="91"/>
      <c r="I119" s="50"/>
      <c r="J119" s="50"/>
      <c r="K119" s="50"/>
      <c r="L119" s="50"/>
      <c r="O119" s="91"/>
      <c r="P119" s="91"/>
      <c r="X119" s="50"/>
      <c r="Y119" s="50"/>
      <c r="Z119" s="50"/>
      <c r="AA119" s="50"/>
    </row>
    <row r="120">
      <c r="B120" s="162"/>
      <c r="C120" s="91"/>
      <c r="D120" s="91"/>
      <c r="E120" s="91"/>
      <c r="F120" s="91"/>
      <c r="I120" s="50"/>
      <c r="J120" s="50"/>
      <c r="K120" s="50"/>
      <c r="L120" s="50"/>
      <c r="O120" s="91"/>
      <c r="P120" s="91"/>
      <c r="X120" s="50"/>
      <c r="Y120" s="50"/>
      <c r="Z120" s="50"/>
      <c r="AA120" s="50"/>
    </row>
    <row r="121">
      <c r="B121" s="162"/>
      <c r="C121" s="91"/>
      <c r="D121" s="91"/>
      <c r="E121" s="91"/>
      <c r="F121" s="91"/>
      <c r="I121" s="50"/>
      <c r="J121" s="50"/>
      <c r="K121" s="50"/>
      <c r="L121" s="50"/>
      <c r="O121" s="91"/>
      <c r="P121" s="91"/>
      <c r="X121" s="50"/>
      <c r="Y121" s="50"/>
      <c r="Z121" s="50"/>
      <c r="AA121" s="50"/>
    </row>
    <row r="122">
      <c r="B122" s="162"/>
      <c r="C122" s="91"/>
      <c r="D122" s="91"/>
      <c r="E122" s="91"/>
      <c r="F122" s="91"/>
      <c r="I122" s="50"/>
      <c r="J122" s="50"/>
      <c r="K122" s="50"/>
      <c r="L122" s="50"/>
      <c r="O122" s="91"/>
      <c r="P122" s="91"/>
      <c r="X122" s="50"/>
      <c r="Y122" s="50"/>
      <c r="Z122" s="50"/>
      <c r="AA122" s="50"/>
    </row>
    <row r="123" ht="15.75">
      <c r="C123" s="163"/>
      <c r="D123" s="631" t="s">
        <v>281</v>
      </c>
      <c r="E123" s="631"/>
      <c r="F123" s="91"/>
      <c r="I123" s="50"/>
      <c r="J123" s="50"/>
      <c r="K123" s="50"/>
      <c r="L123" s="50"/>
      <c r="O123" s="91"/>
      <c r="P123" s="91"/>
      <c r="X123" s="50"/>
      <c r="Y123" s="50"/>
      <c r="Z123" s="50"/>
      <c r="AA123" s="50"/>
    </row>
    <row r="124">
      <c r="B124" s="162"/>
      <c r="C124" s="91"/>
      <c r="D124" s="91"/>
      <c r="E124" s="91"/>
      <c r="F124" s="91"/>
      <c r="I124" s="50"/>
      <c r="J124" s="50"/>
      <c r="K124" s="50"/>
      <c r="L124" s="50"/>
      <c r="O124" s="91"/>
      <c r="P124" s="91"/>
      <c r="X124" s="50"/>
      <c r="Y124" s="50"/>
      <c r="Z124" s="50"/>
      <c r="AA124" s="50"/>
    </row>
    <row r="125">
      <c r="B125" s="162"/>
      <c r="C125" s="91"/>
      <c r="D125" s="91"/>
      <c r="E125" s="91"/>
      <c r="F125" s="91"/>
      <c r="I125" s="50"/>
      <c r="J125" s="50"/>
      <c r="K125" s="50"/>
      <c r="L125" s="50"/>
      <c r="O125" s="91"/>
      <c r="P125" s="91"/>
      <c r="X125" s="50"/>
      <c r="Y125" s="50"/>
      <c r="Z125" s="50"/>
      <c r="AA125" s="50"/>
    </row>
    <row r="126">
      <c r="B126" s="162"/>
      <c r="C126" s="91"/>
      <c r="D126" s="91"/>
      <c r="E126" s="91"/>
      <c r="F126" s="91"/>
      <c r="I126" s="50"/>
      <c r="J126" s="50"/>
      <c r="K126" s="50"/>
      <c r="L126" s="50"/>
      <c r="O126" s="91"/>
      <c r="P126" s="91"/>
      <c r="X126" s="50"/>
      <c r="Y126" s="50"/>
      <c r="Z126" s="50"/>
      <c r="AA126" s="50"/>
    </row>
    <row r="127">
      <c r="B127" s="162"/>
      <c r="C127" s="91"/>
      <c r="D127" s="91"/>
      <c r="E127" s="91"/>
      <c r="F127" s="91"/>
      <c r="I127" s="50"/>
      <c r="J127" s="50"/>
      <c r="K127" s="50"/>
      <c r="L127" s="50"/>
      <c r="O127" s="91"/>
      <c r="P127" s="91"/>
      <c r="X127" s="50"/>
      <c r="Y127" s="50"/>
      <c r="Z127" s="50"/>
      <c r="AA127" s="50"/>
    </row>
    <row r="128" ht="15">
      <c r="B128" s="162"/>
      <c r="C128" s="627" t="s">
        <v>282</v>
      </c>
      <c r="D128" s="627"/>
      <c r="E128" s="91"/>
      <c r="F128" s="91"/>
      <c r="I128" s="50"/>
      <c r="J128" s="50"/>
      <c r="K128" s="50"/>
      <c r="L128" s="50"/>
      <c r="O128" s="91"/>
      <c r="P128" s="91"/>
      <c r="X128" s="50"/>
      <c r="Y128" s="50"/>
      <c r="Z128" s="50"/>
      <c r="AA128" s="50"/>
    </row>
    <row r="129" ht="15">
      <c r="B129" s="162"/>
      <c r="C129" s="627" t="s">
        <v>283</v>
      </c>
      <c r="D129" s="627"/>
      <c r="E129" s="91"/>
      <c r="F129" s="91"/>
      <c r="I129" s="50"/>
      <c r="J129" s="50"/>
      <c r="K129" s="50"/>
      <c r="L129" s="50"/>
      <c r="O129" s="91"/>
      <c r="P129" s="91"/>
      <c r="X129" s="50"/>
      <c r="Y129" s="50"/>
      <c r="Z129" s="50"/>
      <c r="AA129" s="50"/>
    </row>
    <row r="130" ht="15">
      <c r="B130" s="162"/>
      <c r="C130" s="627" t="s">
        <v>284</v>
      </c>
      <c r="D130" s="627"/>
      <c r="E130" s="91"/>
      <c r="F130" s="91"/>
      <c r="I130" s="50"/>
      <c r="J130" s="50"/>
      <c r="K130" s="50"/>
      <c r="L130" s="50"/>
      <c r="O130" s="91"/>
      <c r="P130" s="91"/>
      <c r="X130" s="50"/>
      <c r="Y130" s="50"/>
      <c r="Z130" s="50"/>
      <c r="AA130" s="50"/>
    </row>
    <row r="131" ht="15">
      <c r="B131" s="162"/>
      <c r="C131" s="627" t="s">
        <v>285</v>
      </c>
      <c r="D131" s="627"/>
      <c r="E131" s="91"/>
      <c r="F131" s="91"/>
      <c r="I131" s="50"/>
      <c r="J131" s="50"/>
      <c r="K131" s="50"/>
      <c r="L131" s="50"/>
      <c r="O131" s="91"/>
      <c r="P131" s="91"/>
      <c r="X131" s="50"/>
      <c r="Y131" s="50"/>
      <c r="Z131" s="50"/>
      <c r="AA131" s="50"/>
    </row>
    <row r="132" ht="15">
      <c r="B132" s="162"/>
      <c r="C132" s="627" t="s">
        <v>286</v>
      </c>
      <c r="D132" s="627"/>
      <c r="E132" s="91"/>
      <c r="F132" s="91"/>
      <c r="I132" s="50"/>
      <c r="J132" s="50"/>
      <c r="K132" s="50"/>
      <c r="L132" s="50"/>
      <c r="O132" s="91"/>
      <c r="P132" s="91"/>
      <c r="X132" s="50"/>
      <c r="Y132" s="50"/>
      <c r="Z132" s="50"/>
      <c r="AA132" s="50"/>
    </row>
    <row r="133" ht="15">
      <c r="B133" s="162"/>
      <c r="C133" s="627" t="s">
        <v>287</v>
      </c>
      <c r="D133" s="627"/>
      <c r="E133" s="91"/>
      <c r="F133" s="91"/>
      <c r="I133" s="50"/>
      <c r="J133" s="50"/>
      <c r="K133" s="50"/>
      <c r="L133" s="50"/>
      <c r="O133" s="91"/>
      <c r="P133" s="91"/>
      <c r="X133" s="50"/>
      <c r="Y133" s="50"/>
      <c r="Z133" s="50"/>
      <c r="AA133" s="50"/>
    </row>
    <row r="134" ht="15">
      <c r="B134" s="162"/>
      <c r="C134" s="627" t="s">
        <v>288</v>
      </c>
      <c r="D134" s="627"/>
      <c r="E134" s="91"/>
      <c r="F134" s="91"/>
      <c r="I134" s="50"/>
      <c r="J134" s="50"/>
      <c r="K134" s="50"/>
      <c r="L134" s="50"/>
      <c r="O134" s="91"/>
      <c r="P134" s="91"/>
      <c r="X134" s="50"/>
      <c r="Y134" s="50"/>
      <c r="Z134" s="50"/>
      <c r="AA134" s="50"/>
    </row>
    <row r="135" ht="15">
      <c r="B135" s="162"/>
      <c r="C135" s="627" t="s">
        <v>289</v>
      </c>
      <c r="D135" s="627"/>
      <c r="E135" s="91"/>
      <c r="F135" s="91"/>
      <c r="I135" s="50"/>
      <c r="J135" s="50"/>
      <c r="K135" s="50"/>
      <c r="L135" s="50"/>
      <c r="O135" s="91"/>
      <c r="P135" s="91"/>
      <c r="X135" s="50"/>
      <c r="Y135" s="50"/>
      <c r="Z135" s="50"/>
      <c r="AA135" s="50"/>
    </row>
    <row r="136" ht="15">
      <c r="B136" s="162"/>
      <c r="C136" s="627" t="s">
        <v>290</v>
      </c>
      <c r="D136" s="627"/>
      <c r="E136" s="91"/>
      <c r="F136" s="91"/>
      <c r="I136" s="50"/>
      <c r="J136" s="50"/>
      <c r="K136" s="50"/>
      <c r="L136" s="50"/>
      <c r="O136" s="91"/>
      <c r="P136" s="91"/>
      <c r="X136" s="50"/>
      <c r="Y136" s="50"/>
      <c r="Z136" s="50"/>
      <c r="AA136" s="50"/>
    </row>
    <row r="137" ht="15">
      <c r="B137" s="162"/>
      <c r="C137" s="627" t="s">
        <v>291</v>
      </c>
      <c r="D137" s="627"/>
      <c r="E137" s="91"/>
      <c r="F137" s="91"/>
      <c r="I137" s="50"/>
      <c r="J137" s="50"/>
      <c r="K137" s="50"/>
      <c r="L137" s="50"/>
      <c r="O137" s="91"/>
      <c r="P137" s="91"/>
      <c r="X137" s="50"/>
      <c r="Y137" s="50"/>
      <c r="Z137" s="50"/>
      <c r="AA137" s="50"/>
    </row>
    <row r="138" ht="15">
      <c r="B138" s="162"/>
      <c r="C138" s="627" t="s">
        <v>292</v>
      </c>
      <c r="D138" s="627"/>
      <c r="E138" s="91"/>
      <c r="F138" s="91"/>
      <c r="I138" s="50"/>
      <c r="J138" s="50"/>
      <c r="K138" s="50"/>
      <c r="L138" s="50"/>
      <c r="O138" s="91"/>
      <c r="P138" s="91"/>
      <c r="X138" s="50"/>
      <c r="Y138" s="50"/>
      <c r="Z138" s="50"/>
      <c r="AA138" s="50"/>
    </row>
    <row r="139">
      <c r="B139" s="162"/>
      <c r="C139" s="638"/>
      <c r="D139" s="638"/>
      <c r="E139" s="91"/>
      <c r="F139" s="91"/>
      <c r="I139" s="50"/>
      <c r="J139" s="50"/>
      <c r="K139" s="50"/>
      <c r="L139" s="50"/>
      <c r="O139" s="91"/>
      <c r="P139" s="91"/>
      <c r="X139" s="50"/>
      <c r="Y139" s="50"/>
      <c r="Z139" s="50"/>
      <c r="AA139" s="50"/>
    </row>
    <row r="140">
      <c r="B140" s="162"/>
      <c r="C140" s="638"/>
      <c r="D140" s="638"/>
      <c r="E140" s="91"/>
      <c r="F140" s="91"/>
      <c r="I140" s="50"/>
      <c r="J140" s="50"/>
      <c r="K140" s="50"/>
      <c r="L140" s="50"/>
      <c r="O140" s="91"/>
      <c r="P140" s="91"/>
      <c r="X140" s="50"/>
      <c r="Y140" s="50"/>
      <c r="Z140" s="50"/>
      <c r="AA140" s="50"/>
    </row>
    <row r="141">
      <c r="B141" s="162"/>
      <c r="C141" s="638"/>
      <c r="D141" s="638"/>
      <c r="E141" s="91"/>
      <c r="F141" s="91"/>
      <c r="I141" s="50"/>
      <c r="J141" s="50"/>
      <c r="K141" s="50"/>
      <c r="L141" s="50"/>
      <c r="O141" s="91"/>
      <c r="P141" s="91"/>
      <c r="X141" s="50"/>
      <c r="Y141" s="50"/>
      <c r="Z141" s="50"/>
      <c r="AA141" s="50"/>
    </row>
    <row r="142">
      <c r="B142" s="162"/>
      <c r="C142" s="638"/>
      <c r="D142" s="638"/>
      <c r="E142" s="91"/>
      <c r="F142" s="91"/>
      <c r="I142" s="50"/>
      <c r="J142" s="50"/>
      <c r="K142" s="50"/>
      <c r="L142" s="50"/>
      <c r="O142" s="91"/>
      <c r="P142" s="91"/>
      <c r="X142" s="50"/>
      <c r="Y142" s="50"/>
      <c r="Z142" s="50"/>
      <c r="AA142" s="50"/>
    </row>
    <row r="143">
      <c r="B143" s="162"/>
      <c r="C143" s="91"/>
      <c r="D143" s="91"/>
      <c r="E143" s="91"/>
      <c r="F143" s="91"/>
      <c r="I143" s="50"/>
      <c r="J143" s="50"/>
      <c r="K143" s="50"/>
      <c r="L143" s="50"/>
      <c r="O143" s="91"/>
      <c r="P143" s="91"/>
      <c r="X143" s="50"/>
      <c r="Y143" s="50"/>
      <c r="Z143" s="50"/>
      <c r="AA143" s="50"/>
    </row>
    <row r="144">
      <c r="B144" s="162"/>
      <c r="C144" s="91"/>
      <c r="D144" s="91"/>
      <c r="E144" s="91"/>
      <c r="F144" s="91"/>
      <c r="I144" s="50"/>
      <c r="J144" s="50"/>
      <c r="K144" s="50"/>
      <c r="L144" s="50"/>
      <c r="O144" s="91"/>
      <c r="P144" s="91"/>
      <c r="X144" s="50"/>
      <c r="Y144" s="50"/>
      <c r="Z144" s="50"/>
      <c r="AA144" s="50"/>
    </row>
    <row r="145">
      <c r="B145" s="162"/>
      <c r="C145" s="91"/>
      <c r="D145" s="91"/>
      <c r="E145" s="91"/>
      <c r="F145" s="91"/>
      <c r="I145" s="50"/>
      <c r="J145" s="50"/>
      <c r="K145" s="50"/>
      <c r="L145" s="50"/>
      <c r="O145" s="91"/>
      <c r="P145" s="91"/>
      <c r="X145" s="50"/>
      <c r="Y145" s="50"/>
      <c r="Z145" s="50"/>
      <c r="AA145" s="50"/>
    </row>
    <row r="146">
      <c r="B146" s="162"/>
      <c r="C146" s="91"/>
      <c r="E146" s="91"/>
      <c r="F146" s="91"/>
      <c r="I146" s="50"/>
      <c r="J146" s="50"/>
      <c r="K146" s="50"/>
      <c r="L146" s="50"/>
      <c r="O146" s="91"/>
      <c r="P146" s="91"/>
      <c r="X146" s="50"/>
      <c r="Y146" s="50"/>
      <c r="Z146" s="50"/>
      <c r="AA146" s="50"/>
    </row>
    <row r="147">
      <c r="B147" s="162"/>
      <c r="C147" s="91"/>
      <c r="E147" s="91"/>
      <c r="F147" s="91"/>
      <c r="I147" s="50"/>
      <c r="J147" s="50"/>
      <c r="K147" s="50"/>
      <c r="L147" s="50"/>
      <c r="O147" s="91"/>
      <c r="P147" s="91"/>
      <c r="X147" s="50"/>
      <c r="Y147" s="50"/>
      <c r="Z147" s="50"/>
      <c r="AA147" s="50"/>
    </row>
    <row r="148">
      <c r="B148" s="162"/>
      <c r="C148" s="91"/>
      <c r="E148" s="91"/>
      <c r="F148" s="91"/>
      <c r="I148" s="50"/>
      <c r="J148" s="50"/>
      <c r="K148" s="50"/>
      <c r="L148" s="50"/>
      <c r="O148" s="91"/>
      <c r="P148" s="91"/>
      <c r="X148" s="50"/>
      <c r="Y148" s="50"/>
      <c r="Z148" s="50"/>
      <c r="AA148" s="50"/>
    </row>
    <row r="149">
      <c r="B149" s="162"/>
      <c r="C149" s="91"/>
      <c r="E149" s="91"/>
      <c r="F149" s="91"/>
      <c r="I149" s="50"/>
      <c r="J149" s="50"/>
      <c r="K149" s="50"/>
      <c r="L149" s="50"/>
      <c r="O149" s="91"/>
      <c r="P149" s="91"/>
      <c r="X149" s="50"/>
      <c r="Y149" s="50"/>
      <c r="Z149" s="50"/>
      <c r="AA149" s="50"/>
    </row>
    <row r="150">
      <c r="B150" s="164"/>
      <c r="C150" s="164"/>
      <c r="E150" s="164"/>
      <c r="F150" s="91"/>
      <c r="I150" s="50"/>
      <c r="J150" s="50"/>
      <c r="K150" s="50"/>
      <c r="L150" s="50"/>
      <c r="O150" s="91"/>
      <c r="P150" s="91"/>
      <c r="X150" s="50"/>
      <c r="Y150" s="50"/>
      <c r="Z150" s="50"/>
      <c r="AA150" s="50"/>
    </row>
    <row r="151">
      <c r="B151" s="162"/>
      <c r="C151" s="58"/>
      <c r="E151" s="58"/>
      <c r="F151" s="91"/>
      <c r="I151" s="50"/>
      <c r="J151" s="50"/>
      <c r="K151" s="50"/>
      <c r="L151" s="50"/>
      <c r="O151" s="91"/>
      <c r="P151" s="91"/>
      <c r="X151" s="50"/>
      <c r="Y151" s="50"/>
      <c r="Z151" s="50"/>
      <c r="AA151" s="50"/>
    </row>
    <row r="152" ht="14.25" customHeight="1">
      <c r="B152" s="89"/>
      <c r="C152" s="165"/>
      <c r="E152" s="165"/>
      <c r="F152" s="91"/>
      <c r="I152" s="50"/>
      <c r="J152" s="50"/>
      <c r="K152" s="50"/>
      <c r="L152" s="50"/>
      <c r="O152" s="91"/>
      <c r="P152" s="91"/>
      <c r="X152" s="50"/>
      <c r="Y152" s="50"/>
      <c r="Z152" s="50"/>
      <c r="AA152" s="50"/>
    </row>
    <row r="153">
      <c r="B153" s="162"/>
      <c r="C153" s="90"/>
      <c r="D153" s="90"/>
      <c r="E153" s="90"/>
      <c r="F153" s="91"/>
      <c r="I153" s="50"/>
      <c r="J153" s="50"/>
      <c r="K153" s="50"/>
      <c r="L153" s="50"/>
      <c r="O153" s="91"/>
      <c r="P153" s="91"/>
      <c r="X153" s="50"/>
      <c r="Y153" s="50"/>
      <c r="Z153" s="50"/>
      <c r="AA153" s="50"/>
    </row>
    <row r="154">
      <c r="B154" s="162"/>
      <c r="C154" s="91"/>
      <c r="D154" s="199">
        <v>1</v>
      </c>
      <c r="E154" s="91"/>
      <c r="F154" s="91"/>
      <c r="I154" s="50"/>
      <c r="J154" s="50"/>
      <c r="K154" s="50"/>
      <c r="L154" s="50"/>
      <c r="O154" s="91"/>
      <c r="P154" s="91"/>
      <c r="X154" s="50"/>
      <c r="Y154" s="50"/>
      <c r="Z154" s="50"/>
      <c r="AA154" s="50"/>
    </row>
    <row r="155">
      <c r="B155" s="162"/>
      <c r="C155" s="91"/>
      <c r="D155" s="91"/>
      <c r="E155" s="91"/>
      <c r="F155" s="91"/>
      <c r="I155" s="50"/>
      <c r="J155" s="50"/>
      <c r="K155" s="50"/>
      <c r="L155" s="50"/>
      <c r="O155" s="91"/>
      <c r="P155" s="91"/>
      <c r="X155" s="50"/>
      <c r="Y155" s="50"/>
      <c r="Z155" s="50"/>
      <c r="AA155" s="50"/>
    </row>
    <row r="156">
      <c r="B156" s="162"/>
      <c r="C156" s="91"/>
      <c r="D156" s="91"/>
      <c r="E156" s="91"/>
      <c r="F156" s="91"/>
      <c r="I156" s="50"/>
      <c r="J156" s="50"/>
      <c r="K156" s="50"/>
      <c r="L156" s="50"/>
      <c r="O156" s="91"/>
      <c r="P156" s="91"/>
      <c r="X156" s="50"/>
      <c r="Y156" s="50"/>
      <c r="Z156" s="50"/>
      <c r="AA156" s="50"/>
    </row>
    <row r="157">
      <c r="B157" s="162"/>
      <c r="C157" s="91"/>
      <c r="D157" s="91"/>
      <c r="E157" s="91"/>
      <c r="F157" s="91"/>
      <c r="I157" s="50"/>
      <c r="J157" s="50"/>
      <c r="K157" s="50"/>
      <c r="L157" s="50"/>
      <c r="O157" s="91"/>
      <c r="P157" s="91"/>
      <c r="X157" s="50"/>
      <c r="Y157" s="50"/>
      <c r="Z157" s="50"/>
      <c r="AA157" s="50"/>
    </row>
    <row r="158">
      <c r="B158" s="162"/>
      <c r="C158" s="91"/>
      <c r="D158" s="91"/>
      <c r="E158" s="91"/>
      <c r="F158" s="91"/>
      <c r="I158" s="50"/>
      <c r="J158" s="50"/>
      <c r="K158" s="50"/>
      <c r="L158" s="50"/>
      <c r="O158" s="91"/>
      <c r="P158" s="91"/>
      <c r="X158" s="50"/>
      <c r="Y158" s="50"/>
      <c r="Z158" s="50"/>
      <c r="AA158" s="50"/>
    </row>
    <row r="159">
      <c r="B159" s="162"/>
      <c r="C159" s="91"/>
      <c r="D159" s="91"/>
      <c r="E159" s="91"/>
      <c r="F159" s="91"/>
      <c r="I159" s="50"/>
      <c r="J159" s="50"/>
      <c r="K159" s="50"/>
      <c r="L159" s="50"/>
      <c r="O159" s="91"/>
      <c r="P159" s="91"/>
      <c r="X159" s="50"/>
      <c r="Y159" s="50"/>
      <c r="Z159" s="50"/>
      <c r="AA159" s="50"/>
    </row>
    <row r="160">
      <c r="B160" s="162"/>
      <c r="C160" s="91"/>
      <c r="D160" s="91"/>
      <c r="E160" s="91"/>
      <c r="F160" s="91"/>
      <c r="I160" s="50"/>
      <c r="J160" s="50"/>
      <c r="K160" s="50"/>
      <c r="L160" s="50"/>
      <c r="O160" s="91"/>
      <c r="P160" s="91"/>
      <c r="X160" s="50"/>
      <c r="Y160" s="50"/>
      <c r="Z160" s="50"/>
      <c r="AA160" s="50"/>
    </row>
    <row r="161">
      <c r="B161" s="162"/>
      <c r="C161" s="91"/>
      <c r="D161" s="91"/>
      <c r="E161" s="91"/>
      <c r="F161" s="91"/>
      <c r="I161" s="50"/>
      <c r="J161" s="50"/>
      <c r="K161" s="50"/>
      <c r="L161" s="50"/>
      <c r="O161" s="91"/>
      <c r="P161" s="91"/>
      <c r="X161" s="50"/>
      <c r="Y161" s="50"/>
      <c r="Z161" s="50"/>
      <c r="AA161" s="50"/>
    </row>
    <row r="162">
      <c r="B162" s="162"/>
      <c r="C162" s="91"/>
      <c r="D162" s="91"/>
      <c r="E162" s="91"/>
      <c r="F162" s="91"/>
      <c r="I162" s="50"/>
      <c r="J162" s="50"/>
      <c r="K162" s="50"/>
      <c r="L162" s="50"/>
      <c r="O162" s="91"/>
      <c r="P162" s="91"/>
      <c r="X162" s="50"/>
      <c r="Y162" s="50"/>
      <c r="Z162" s="50"/>
      <c r="AA162" s="50"/>
    </row>
    <row r="163">
      <c r="B163" s="162"/>
      <c r="C163" s="91"/>
      <c r="D163" s="91"/>
      <c r="E163" s="91"/>
      <c r="F163" s="91"/>
      <c r="I163" s="50"/>
      <c r="J163" s="50"/>
      <c r="K163" s="50"/>
      <c r="L163" s="50"/>
      <c r="O163" s="91"/>
      <c r="P163" s="91"/>
      <c r="X163" s="50"/>
      <c r="Y163" s="50"/>
      <c r="Z163" s="50"/>
      <c r="AA163" s="50"/>
    </row>
    <row r="164">
      <c r="B164" s="162"/>
      <c r="C164" s="91"/>
      <c r="D164" s="91"/>
      <c r="E164" s="91"/>
      <c r="F164" s="91"/>
      <c r="I164" s="50"/>
      <c r="J164" s="50"/>
      <c r="K164" s="50"/>
      <c r="L164" s="50"/>
      <c r="O164" s="91"/>
      <c r="P164" s="91"/>
      <c r="X164" s="50"/>
      <c r="Y164" s="50"/>
      <c r="Z164" s="50"/>
      <c r="AA164" s="50"/>
    </row>
    <row r="165">
      <c r="B165" s="162"/>
      <c r="C165" s="91"/>
      <c r="D165" s="91"/>
      <c r="E165" s="91"/>
      <c r="F165" s="91"/>
      <c r="I165" s="50"/>
      <c r="J165" s="50"/>
      <c r="K165" s="50"/>
      <c r="L165" s="50"/>
      <c r="O165" s="91"/>
      <c r="P165" s="91"/>
      <c r="X165" s="50"/>
      <c r="Y165" s="50"/>
      <c r="Z165" s="50"/>
      <c r="AA165" s="50"/>
    </row>
    <row r="166">
      <c r="B166" s="162"/>
      <c r="C166" s="91"/>
      <c r="D166" s="91"/>
      <c r="E166" s="91"/>
      <c r="F166" s="91"/>
      <c r="I166" s="50"/>
      <c r="J166" s="50"/>
      <c r="K166" s="50"/>
      <c r="L166" s="50"/>
      <c r="O166" s="91"/>
      <c r="P166" s="91"/>
      <c r="X166" s="50"/>
      <c r="Y166" s="50"/>
      <c r="Z166" s="50"/>
      <c r="AA166" s="50"/>
    </row>
    <row r="167">
      <c r="B167" s="162"/>
      <c r="C167" s="91"/>
      <c r="D167" s="91"/>
      <c r="E167" s="91"/>
      <c r="F167" s="91"/>
      <c r="I167" s="50"/>
      <c r="J167" s="50"/>
      <c r="K167" s="50"/>
      <c r="L167" s="50"/>
      <c r="O167" s="91"/>
      <c r="P167" s="91"/>
      <c r="X167" s="50"/>
      <c r="Y167" s="50"/>
      <c r="Z167" s="50"/>
      <c r="AA167" s="50"/>
    </row>
    <row r="168">
      <c r="B168" s="162"/>
      <c r="C168" s="91"/>
      <c r="D168" s="91"/>
      <c r="E168" s="91"/>
      <c r="F168" s="91"/>
      <c r="I168" s="50"/>
      <c r="J168" s="50"/>
      <c r="K168" s="50"/>
      <c r="L168" s="50"/>
      <c r="O168" s="91"/>
      <c r="P168" s="91"/>
      <c r="X168" s="50"/>
      <c r="Y168" s="50"/>
      <c r="Z168" s="50"/>
      <c r="AA168" s="50"/>
    </row>
    <row r="169">
      <c r="B169" s="162"/>
      <c r="C169" s="91"/>
      <c r="D169" s="91"/>
      <c r="E169" s="91"/>
      <c r="F169" s="91"/>
      <c r="I169" s="50"/>
      <c r="J169" s="50"/>
      <c r="K169" s="50"/>
      <c r="L169" s="50"/>
      <c r="O169" s="91"/>
      <c r="P169" s="91"/>
      <c r="X169" s="50"/>
      <c r="Y169" s="50"/>
      <c r="Z169" s="50"/>
      <c r="AA169" s="50"/>
    </row>
    <row r="170">
      <c r="B170" s="162"/>
      <c r="C170" s="91"/>
      <c r="D170" s="91"/>
      <c r="E170" s="91"/>
      <c r="F170" s="91"/>
      <c r="I170" s="50"/>
      <c r="J170" s="50"/>
      <c r="K170" s="50"/>
      <c r="L170" s="50"/>
      <c r="O170" s="91"/>
      <c r="P170" s="91"/>
      <c r="X170" s="50"/>
      <c r="Y170" s="50"/>
      <c r="Z170" s="50"/>
      <c r="AA170" s="50"/>
    </row>
    <row r="171">
      <c r="B171" s="162"/>
      <c r="C171" s="91"/>
      <c r="D171" s="91"/>
      <c r="E171" s="91"/>
      <c r="F171" s="91"/>
      <c r="I171" s="50"/>
      <c r="J171" s="50"/>
      <c r="K171" s="50"/>
      <c r="L171" s="50"/>
      <c r="O171" s="91"/>
      <c r="P171" s="91"/>
      <c r="X171" s="50"/>
      <c r="Y171" s="50"/>
      <c r="Z171" s="50"/>
      <c r="AA171" s="50"/>
    </row>
    <row r="172">
      <c r="B172" s="162"/>
      <c r="C172" s="91"/>
      <c r="D172" s="91"/>
      <c r="E172" s="91"/>
      <c r="F172" s="91"/>
      <c r="I172" s="50"/>
      <c r="J172" s="50"/>
      <c r="K172" s="50"/>
      <c r="L172" s="50"/>
      <c r="O172" s="91"/>
      <c r="P172" s="91"/>
      <c r="X172" s="50"/>
      <c r="Y172" s="50"/>
      <c r="Z172" s="50"/>
      <c r="AA172" s="50"/>
    </row>
    <row r="173">
      <c r="B173" s="162"/>
      <c r="C173" s="91"/>
      <c r="D173" s="91"/>
      <c r="E173" s="91"/>
      <c r="F173" s="91"/>
      <c r="I173" s="50"/>
      <c r="J173" s="50"/>
      <c r="K173" s="50"/>
      <c r="L173" s="50"/>
      <c r="O173" s="91"/>
      <c r="P173" s="91"/>
      <c r="X173" s="50"/>
      <c r="Y173" s="50"/>
      <c r="Z173" s="50"/>
      <c r="AA173" s="50"/>
    </row>
    <row r="174">
      <c r="B174" s="162"/>
      <c r="C174" s="91"/>
      <c r="D174" s="91"/>
      <c r="E174" s="91"/>
      <c r="F174" s="91"/>
      <c r="I174" s="50"/>
      <c r="J174" s="50"/>
      <c r="K174" s="50"/>
      <c r="L174" s="50"/>
      <c r="O174" s="91"/>
      <c r="P174" s="91"/>
      <c r="X174" s="50"/>
      <c r="Y174" s="50"/>
      <c r="Z174" s="50"/>
      <c r="AA174" s="50"/>
    </row>
    <row r="175">
      <c r="B175" s="162"/>
      <c r="C175" s="91"/>
      <c r="D175" s="91"/>
      <c r="E175" s="91"/>
      <c r="F175" s="91"/>
      <c r="I175" s="50"/>
      <c r="J175" s="50"/>
      <c r="K175" s="50"/>
      <c r="L175" s="50"/>
      <c r="O175" s="91"/>
      <c r="P175" s="91"/>
      <c r="X175" s="50"/>
      <c r="Y175" s="50"/>
      <c r="Z175" s="50"/>
      <c r="AA175" s="50"/>
    </row>
    <row r="176">
      <c r="B176" s="162"/>
      <c r="C176" s="91"/>
      <c r="D176" s="91"/>
      <c r="E176" s="91"/>
      <c r="F176" s="91"/>
      <c r="I176" s="50"/>
      <c r="J176" s="50"/>
      <c r="K176" s="50"/>
      <c r="L176" s="50"/>
      <c r="O176" s="91"/>
      <c r="P176" s="91"/>
      <c r="X176" s="50"/>
      <c r="Y176" s="50"/>
      <c r="Z176" s="50"/>
      <c r="AA176" s="50"/>
    </row>
    <row r="178" hidden="1" ht="13.5" customHeight="1">
      <c r="C178" s="617" t="s">
        <v>293</v>
      </c>
      <c r="D178" s="618"/>
      <c r="E178" s="618"/>
      <c r="F178" s="618"/>
      <c r="G178" s="618"/>
      <c r="H178" s="618"/>
      <c r="I178" s="618"/>
      <c r="J178" s="618"/>
      <c r="K178" s="618"/>
      <c r="L178" s="618"/>
      <c r="M178" s="618"/>
      <c r="N178" s="618"/>
      <c r="O178" s="618"/>
      <c r="P178" s="618"/>
      <c r="Q178" s="618"/>
      <c r="R178" s="618"/>
      <c r="S178" s="618"/>
      <c r="T178" s="618"/>
      <c r="U178" s="618"/>
      <c r="V178" s="618"/>
      <c r="W178" s="618"/>
      <c r="X178" s="618"/>
      <c r="Y178" s="618"/>
      <c r="Z178" s="618"/>
      <c r="AA178" s="618"/>
      <c r="AB178" s="619"/>
    </row>
    <row r="179" hidden="1" ht="13.5" customHeight="1">
      <c r="C179" s="435" t="str">
        <f> IF(C199&lt;&gt;"",TEXT(AUX!G$1,"dd-MMM-aa"),"")</f>
      </c>
      <c r="D179" s="435" t="str">
        <f> IF(D199&lt;&gt;"",TEXT(AUX!H$1,"dd-MMM-aa"),"")</f>
      </c>
      <c r="E179" s="435" t="str">
        <f> IF(E199&lt;&gt;"",TEXT(AUX!I$1,"dd-MMM-aa"),"")</f>
      </c>
      <c r="F179" s="435" t="str">
        <f> IF(F199&lt;&gt;"",TEXT(AUX!J$1,"dd-MMM-aa"),"")</f>
      </c>
      <c r="G179" s="435" t="str">
        <f> IF(G199&lt;&gt;"",TEXT(AUX!K$1,"dd-MMM-aa"),"")</f>
      </c>
      <c r="H179" s="435" t="str">
        <f> IF(H199&lt;&gt;"",TEXT(AUX!L$1,"dd-MMM-aa"),"")</f>
      </c>
      <c r="I179" s="435" t="str">
        <f> IF(I199&lt;&gt;"",TEXT(AUX!M$1,"dd-MMM-aa"),"")</f>
      </c>
      <c r="J179" s="435" t="str">
        <f> IF(J199&lt;&gt;"",TEXT(AUX!N$1,"dd-MMM-aa"),"")</f>
      </c>
      <c r="K179" s="435" t="str">
        <f> IF(K199&lt;&gt;"",TEXT(AUX!O$1,"dd-MMM-aa"),"")</f>
      </c>
      <c r="L179" s="435" t="str">
        <f> IF(L199&lt;&gt;"",TEXT(AUX!P$1,"dd-MMM-aa"),"")</f>
      </c>
      <c r="M179" s="435" t="str">
        <f> IF(M199&lt;&gt;"",TEXT(AUX!Q$1,"dd-MMM-aa"),"")</f>
      </c>
      <c r="N179" s="435" t="str">
        <f> IF(N199&lt;&gt;"",TEXT(AUX!R$1,"dd-MMM-aa"),"")</f>
      </c>
      <c r="O179" s="435" t="str">
        <f> IF(O199&lt;&gt;"",TEXT(AUX!S$1,"dd-MMM-aa"),"")</f>
      </c>
      <c r="P179" s="435" t="str">
        <f> IF(P199&lt;&gt;"",TEXT(AUX!T$1,"dd-MMM-aa"),"")</f>
      </c>
      <c r="Q179" s="435" t="str">
        <f> IF(Q199&lt;&gt;"",TEXT(AUX!U$1,"dd-MMM-aa"),"")</f>
      </c>
      <c r="R179" s="435" t="str">
        <f> IF(R199&lt;&gt;"",TEXT(AUX!V$1,"dd-MMM-aa"),"")</f>
      </c>
      <c r="S179" s="435" t="str">
        <f> IF(S199&lt;&gt;"",TEXT(AUX!W$1,"dd-MMM-aa"),"")</f>
      </c>
      <c r="T179" s="435" t="str">
        <f> IF(T199&lt;&gt;"",TEXT(AUX!X$1,"dd-MMM-aa"),"")</f>
      </c>
      <c r="U179" s="435" t="str">
        <f> IF(U199&lt;&gt;"",TEXT(AUX!Y$1,"dd-MMM-aa"),"")</f>
      </c>
      <c r="V179" s="435" t="str">
        <f> IF(V199&lt;&gt;"",TEXT(AUX!Z$1,"dd-MMM-aa"),"")</f>
      </c>
      <c r="W179" s="435" t="str">
        <f> IF(W199&lt;&gt;"",TEXT(AUX!AA$1,"dd-MMM-aa"),"")</f>
      </c>
      <c r="X179" s="435" t="str">
        <f> IF(X199&lt;&gt;"",TEXT(AUX!AB$1,"dd-MMM-aa"),"")</f>
      </c>
      <c r="Y179" s="435" t="str">
        <f> IF(Y199&lt;&gt;"",TEXT(AUX!AC$1,"dd-MMM-aa"),"")</f>
      </c>
      <c r="Z179" s="435" t="str">
        <f> IF(Z199&lt;&gt;"",TEXT(AUX!AD$1,"dd-MMM-aa"),"")</f>
      </c>
      <c r="AA179" s="435" t="str">
        <f> IF(AA199&lt;&gt;"",TEXT(AUX!AE$1,"dd-MMM-aa"),"")</f>
      </c>
      <c r="AB179" s="497" t="str">
        <f> IF(AB199&lt;&gt;"",TEXT(AUX!AF$1,"dd-MMM-aa"),"")</f>
      </c>
      <c r="AC179" s="496" t="str">
        <f> IF(AC199&lt;&gt;"",TEXT(AUX!AG$1,"dd-MMM-aa"),"")</f>
      </c>
      <c r="AD179" s="496" t="str">
        <f> IF(AD199&lt;&gt;"",TEXT(AUX!AH$1,"dd-MMM-aa"),"")</f>
      </c>
      <c r="AE179" s="496" t="str">
        <f> IF(AE199&lt;&gt;"",TEXT(AUX!AI$1,"dd-MMM-aa"),"")</f>
      </c>
      <c r="AF179" s="496" t="str">
        <f> IF(AF199&lt;&gt;"",TEXT(AUX!AJ$1,"dd-MMM-aa"),"")</f>
      </c>
      <c r="AG179" s="496" t="str">
        <f> IF(AG199&lt;&gt;"",TEXT(AUX!AK$1,"dd-MMM-aa"),"")</f>
      </c>
      <c r="AH179" s="496" t="str">
        <f> IF(AH199&lt;&gt;"",TEXT(AUX!AL$1,"dd-MMM-aa"),"")</f>
      </c>
      <c r="AI179" s="496" t="str">
        <f> IF(AI199&lt;&gt;"",TEXT(AUX!AM$1,"dd-MMM-aa"),"")</f>
      </c>
      <c r="AJ179" s="496" t="str">
        <f> IF(AJ199&lt;&gt;"",TEXT(AUX!AN$1,"dd-MMM-aa"),"")</f>
      </c>
      <c r="AK179" s="496" t="str">
        <f> IF(AK199&lt;&gt;"",TEXT(AUX!AO$1,"dd-MMM-aa"),"")</f>
      </c>
      <c r="AL179" s="496" t="str">
        <f> IF(AL199&lt;&gt;"",TEXT(AUX!AP$1,"dd-MMM-aa"),"")</f>
      </c>
      <c r="AM179" s="496" t="str">
        <f> IF(AM199&lt;&gt;"",TEXT(AUX!AQ$1,"dd-MMM-aa"),"")</f>
      </c>
      <c r="AN179" s="496" t="str">
        <f> IF(AN199&lt;&gt;"",TEXT(AUX!AR$1,"dd-MMM-aa"),"")</f>
      </c>
      <c r="AO179" s="496" t="str">
        <f> IF(AO199&lt;&gt;"",TEXT(AUX!AS$1,"dd-MMM-aa"),"")</f>
      </c>
      <c r="AP179" s="496" t="str">
        <f> IF(AP199&lt;&gt;"",TEXT(AUX!AT$1,"dd-MMM-aa"),"")</f>
      </c>
      <c r="AQ179" s="496" t="str">
        <f> IF(AQ199&lt;&gt;"",TEXT(AUX!AU$1,"dd-MMM-aa"),"")</f>
      </c>
      <c r="AR179" s="496" t="str">
        <f> IF(AR199&lt;&gt;"",TEXT(AUX!AV$1,"dd-MMM-aa"),"")</f>
      </c>
      <c r="AS179" s="496" t="str">
        <f> IF(AS199&lt;&gt;"",TEXT(AUX!AW$1,"dd-MMM-aa"),"")</f>
      </c>
      <c r="AT179" s="496" t="str">
        <f> IF(AT199&lt;&gt;"",TEXT(AUX!AX$1,"dd-MMM-aa"),"")</f>
      </c>
      <c r="AU179" s="496" t="str">
        <f> IF(AU199&lt;&gt;"",TEXT(AUX!AY$1,"dd-MMM-aa"),"")</f>
      </c>
      <c r="AV179" s="496" t="str">
        <f> IF(AV199&lt;&gt;"",TEXT(AUX!AZ$1,"dd-MMM-aa"),"")</f>
      </c>
      <c r="AW179" s="496" t="str">
        <f> IF(AW199&lt;&gt;"",TEXT(AUX!BA$1,"dd-MMM-aa"),"")</f>
      </c>
      <c r="AX179" s="496" t="str">
        <f> IF(AX199&lt;&gt;"",TEXT(AUX!BB$1,"dd-MMM-aa"),"")</f>
      </c>
      <c r="AY179" s="496" t="str">
        <f> IF(AY199&lt;&gt;"",TEXT(AUX!BC$1,"dd-MMM-aa"),"")</f>
      </c>
      <c r="AZ179" s="496" t="str">
        <f> IF(AZ199&lt;&gt;"",TEXT(AUX!BD$1,"dd-MMM-aa"),"")</f>
      </c>
      <c r="BA179" s="496" t="str">
        <f> IF(BA199&lt;&gt;"",TEXT(AUX!BE$1,"dd-MMM-aa"),"")</f>
      </c>
      <c r="BB179" s="496" t="str">
        <f> IF(BB199&lt;&gt;"",TEXT(AUX!BF$1,"dd-MMM-aa"),"")</f>
      </c>
      <c r="BC179" s="496" t="str">
        <f> IF(BC199&lt;&gt;"",TEXT(AUX!BG$1,"dd-MMM-aa"),"")</f>
      </c>
      <c r="BD179" s="496" t="str">
        <f> IF(BD199&lt;&gt;"",TEXT(AUX!BH$1,"dd-MMM-aa"),"")</f>
      </c>
      <c r="BE179" s="496" t="str">
        <f> IF(BE199&lt;&gt;"",TEXT(AUX!BI$1,"dd-MMM-aa"),"")</f>
      </c>
      <c r="BF179" s="496" t="str">
        <f> IF(BF199&lt;&gt;"",TEXT(AUX!BJ$1,"dd-MMM-aa"),"")</f>
      </c>
      <c r="BG179" s="496" t="str">
        <f> IF(BG199&lt;&gt;"",TEXT(AUX!BK$1,"dd-MMM-aa"),"")</f>
      </c>
      <c r="BH179" s="496" t="str">
        <f> IF(BH199&lt;&gt;"",TEXT(AUX!BL$1,"dd-MMM-aa"),"")</f>
      </c>
      <c r="BI179" s="496" t="str">
        <f> IF(BI199&lt;&gt;"",TEXT(AUX!BM$1,"dd-MMM-aa"),"")</f>
      </c>
      <c r="BJ179" s="496" t="str">
        <f> IF(BJ199&lt;&gt;"",TEXT(AUX!BN$1,"dd-MMM-aa"),"")</f>
      </c>
      <c r="BK179" s="496" t="str">
        <f> IF(BK199&lt;&gt;"",TEXT(AUX!BO$1,"dd-MMM-aa"),"")</f>
      </c>
      <c r="BL179" s="496" t="str">
        <f> IF(BL199&lt;&gt;"",TEXT(AUX!BP$1,"dd-MMM-aa"),"")</f>
      </c>
      <c r="BM179" s="496" t="str">
        <f> IF(BM199&lt;&gt;"",TEXT(AUX!BQ$1,"dd-MMM-aa"),"")</f>
      </c>
      <c r="BN179" s="496" t="str">
        <f> IF(BN199&lt;&gt;"",TEXT(AUX!BR$1,"dd-MMM-aa"),"")</f>
      </c>
      <c r="BO179" s="496" t="str">
        <f> IF(BO199&lt;&gt;"",TEXT(AUX!BS$1,"dd-MMM-aa"),"")</f>
      </c>
      <c r="BP179" s="496" t="str">
        <f> IF(BP199&lt;&gt;"",TEXT(AUX!BT$1,"dd-MMM-aa"),"")</f>
      </c>
      <c r="BQ179" s="496" t="str">
        <f> IF(BQ199&lt;&gt;"",TEXT(AUX!BU$1,"dd-MMM-aa"),"")</f>
      </c>
      <c r="BR179" s="496" t="str">
        <f> IF(BR199&lt;&gt;"",TEXT(AUX!BV$1,"dd-MMM-aa"),"")</f>
      </c>
      <c r="BS179" s="496" t="str">
        <f> IF(BS199&lt;&gt;"",TEXT(AUX!BW$1,"dd-MMM-aa"),"")</f>
      </c>
      <c r="BT179" s="496" t="str">
        <f> IF(BT199&lt;&gt;"",TEXT(AUX!BX$1,"dd-MMM-aa"),"")</f>
      </c>
      <c r="BU179" s="496" t="str">
        <f> IF(BU199&lt;&gt;"",TEXT(AUX!BY$1,"dd-MMM-aa"),"")</f>
      </c>
      <c r="BV179" s="496" t="str">
        <f> IF(BV199&lt;&gt;"",TEXT(AUX!BZ$1,"dd-MMM-aa"),"")</f>
      </c>
      <c r="BW179" s="496" t="str">
        <f> IF(BW199&lt;&gt;"",TEXT(AUX!CA$1,"dd-MMM-aa"),"")</f>
      </c>
      <c r="BX179" s="496" t="str">
        <f> IF(BX199&lt;&gt;"",TEXT(AUX!CB$1,"dd-MMM-aa"),"")</f>
      </c>
      <c r="BY179" s="496" t="str">
        <f> IF(BY199&lt;&gt;"",TEXT(AUX!CC$1,"dd-MMM-aa"),"")</f>
      </c>
      <c r="BZ179" s="496" t="str">
        <f> IF(BZ199&lt;&gt;"",TEXT(AUX!CD$1,"dd-MMM-aa"),"")</f>
      </c>
      <c r="CA179" s="496" t="str">
        <f> IF(CA199&lt;&gt;"",TEXT(AUX!CE$1,"dd-MMM-aa"),"")</f>
      </c>
      <c r="CB179" s="496" t="str">
        <f> IF(CB199&lt;&gt;"",TEXT(AUX!CF$1,"dd-MMM-aa"),"")</f>
      </c>
      <c r="CC179" s="496" t="str">
        <f> IF(CC199&lt;&gt;"",TEXT(AUX!CG$1,"dd-MMM-aa"),"")</f>
      </c>
      <c r="CD179" s="496" t="str">
        <f> IF(CD199&lt;&gt;"",TEXT(AUX!CH$1,"dd-MMM-aa"),"")</f>
      </c>
      <c r="CE179" s="496" t="str">
        <f> IF(CE199&lt;&gt;"",TEXT(AUX!CI$1,"dd-MMM-aa"),"")</f>
      </c>
      <c r="CF179" s="496" t="str">
        <f> IF(CF199&lt;&gt;"",TEXT(AUX!CJ$1,"dd-MMM-aa"),"")</f>
      </c>
      <c r="CG179" s="496" t="str">
        <f> IF(CG199&lt;&gt;"",TEXT(AUX!CK$1,"dd-MMM-aa"),"")</f>
      </c>
      <c r="CH179" s="496" t="str">
        <f> IF(CH199&lt;&gt;"",TEXT(AUX!CL$1,"dd-MMM-aa"),"")</f>
      </c>
      <c r="CI179" s="496" t="str">
        <f> IF(CI199&lt;&gt;"",TEXT(AUX!CM$1,"dd-MMM-aa"),"")</f>
      </c>
      <c r="CJ179" s="496" t="str">
        <f> IF(CJ199&lt;&gt;"",TEXT(AUX!CN$1,"dd-MMM-aa"),"")</f>
      </c>
      <c r="CK179" s="496" t="str">
        <f> IF(CK199&lt;&gt;"",TEXT(AUX!CO$1,"dd-MMM-aa"),"")</f>
      </c>
      <c r="CL179" s="496" t="str">
        <f> IF(CL199&lt;&gt;"",TEXT(AUX!CP$1,"dd-MMM-aa"),"")</f>
      </c>
      <c r="CM179" s="496" t="str">
        <f> IF(CM199&lt;&gt;"",TEXT(AUX!CQ$1,"dd-MMM-aa"),"")</f>
      </c>
      <c r="CN179" s="496" t="str">
        <f> IF(CN199&lt;&gt;"",TEXT(AUX!CR$1,"dd-MMM-aa"),"")</f>
      </c>
      <c r="CO179" s="496" t="str">
        <f> IF(CO199&lt;&gt;"",TEXT(AUX!CS$1,"dd-MMM-aa"),"")</f>
      </c>
      <c r="CP179" s="496" t="str">
        <f> IF(CP199&lt;&gt;"",TEXT(AUX!CT$1,"dd-MMM-aa"),"")</f>
      </c>
      <c r="CQ179" s="496" t="str">
        <f> IF(CQ199&lt;&gt;"",TEXT(AUX!CU$1,"dd-MMM-aa"),"")</f>
      </c>
      <c r="CR179" s="496" t="str">
        <f> IF(CR199&lt;&gt;"",TEXT(AUX!CV$1,"dd-MMM-aa"),"")</f>
      </c>
      <c r="CS179" s="496" t="str">
        <f> IF(CS199&lt;&gt;"",TEXT(AUX!CW$1,"dd-MMM-aa"),"")</f>
      </c>
      <c r="CT179" s="496" t="str">
        <f> IF(CT199&lt;&gt;"",TEXT(AUX!CX$1,"dd-MMM-aa"),"")</f>
      </c>
      <c r="CU179" s="496" t="str">
        <f> IF(CU199&lt;&gt;"",TEXT(AUX!CY$1,"dd-MMM-aa"),"")</f>
      </c>
      <c r="CV179" s="496" t="str">
        <f> IF(CV199&lt;&gt;"",TEXT(AUX!CZ$1,"dd-MMM-aa"),"")</f>
      </c>
      <c r="CW179" s="496" t="str">
        <f> IF(CW199&lt;&gt;"",TEXT(AUX!DA$1,"dd-MMM-aa"),"")</f>
      </c>
      <c r="CX179" s="496" t="str">
        <f> IF(CX199&lt;&gt;"",TEXT(AUX!DB$1,"dd-MMM-aa"),"")</f>
      </c>
      <c r="CY179" s="496" t="str">
        <f> IF(CY199&lt;&gt;"",TEXT(AUX!DC$1,"dd-MMM-aa"),"")</f>
      </c>
      <c r="CZ179" s="496" t="str">
        <f> IF(CZ199&lt;&gt;"",TEXT(AUX!DD$1,"dd-MMM-aa"),"")</f>
      </c>
      <c r="DA179" s="496" t="str">
        <f> IF(DA199&lt;&gt;"",TEXT(AUX!DE$1,"dd-MMM-aa"),"")</f>
      </c>
      <c r="DB179" s="496" t="str">
        <f> IF(DB199&lt;&gt;"",TEXT(AUX!DF$1,"dd-MMM-aa"),"")</f>
      </c>
      <c r="DC179" s="496" t="str">
        <f> IF(DC199&lt;&gt;"",TEXT(AUX!DG$1,"dd-MMM-aa"),"")</f>
      </c>
      <c r="DD179" s="496" t="str">
        <f> IF(DD199&lt;&gt;"",TEXT(AUX!DH$1,"dd-MMM-aa"),"")</f>
      </c>
      <c r="DE179" s="496" t="str">
        <f> IF(DE199&lt;&gt;"",TEXT(AUX!DI$1,"dd-MMM-aa"),"")</f>
      </c>
      <c r="DF179" s="496" t="str">
        <f> IF(DF199&lt;&gt;"",TEXT(AUX!DJ$1,"dd-MMM-aa"),"")</f>
      </c>
      <c r="DG179" s="496" t="str">
        <f> IF(DG199&lt;&gt;"",TEXT(AUX!DK$1,"dd-MMM-aa"),"")</f>
      </c>
      <c r="DH179" s="496" t="str">
        <f> IF(DH199&lt;&gt;"",TEXT(AUX!DL$1,"dd-MMM-aa"),"")</f>
      </c>
      <c r="DI179" s="496" t="str">
        <f> IF(DI199&lt;&gt;"",TEXT(AUX!DM$1,"dd-MMM-aa"),"")</f>
      </c>
      <c r="DJ179" s="496" t="str">
        <f> IF(DJ199&lt;&gt;"",TEXT(AUX!DN$1,"dd-MMM-aa"),"")</f>
      </c>
      <c r="DK179" s="496" t="str">
        <f> IF(DK199&lt;&gt;"",TEXT(AUX!DO$1,"dd-MMM-aa"),"")</f>
      </c>
      <c r="DL179" s="496" t="str">
        <f> IF(DL199&lt;&gt;"",TEXT(AUX!DP$1,"dd-MMM-aa"),"")</f>
      </c>
      <c r="DM179" s="496" t="str">
        <f> IF(DM199&lt;&gt;"",TEXT(AUX!DQ$1,"dd-MMM-aa"),"")</f>
      </c>
      <c r="DN179" s="496" t="str">
        <f> IF(DN199&lt;&gt;"",TEXT(AUX!DR$1,"dd-MMM-aa"),"")</f>
      </c>
      <c r="DO179" s="496" t="str">
        <f> IF(DO199&lt;&gt;"",TEXT(AUX!DS$1,"dd-MMM-aa"),"")</f>
      </c>
      <c r="DP179" s="496" t="str">
        <f> IF(DP199&lt;&gt;"",TEXT(AUX!DT$1,"dd-MMM-aa"),"")</f>
      </c>
      <c r="DQ179" s="496" t="str">
        <f> IF(DQ199&lt;&gt;"",TEXT(AUX!DU$1,"dd-MMM-aa"),"")</f>
      </c>
      <c r="DR179" s="496" t="str">
        <f> IF(DR199&lt;&gt;"",TEXT(AUX!DV$1,"dd-MMM-aa"),"")</f>
      </c>
      <c r="DS179" s="496" t="str">
        <f> IF(DS199&lt;&gt;"",TEXT(AUX!DW$1,"dd-MMM-aa"),"")</f>
      </c>
      <c r="DT179" s="496" t="str">
        <f> IF(DT199&lt;&gt;"",TEXT(AUX!DX$1,"dd-MMM-aa"),"")</f>
      </c>
      <c r="DU179" s="496" t="str">
        <f> IF(DU199&lt;&gt;"",TEXT(AUX!DY$1,"dd-MMM-aa"),"")</f>
      </c>
      <c r="DV179" s="496" t="str">
        <f> IF(DV199&lt;&gt;"",TEXT(AUX!DZ$1,"dd-MMM-aa"),"")</f>
      </c>
      <c r="DW179" s="496" t="str">
        <f> IF(DW199&lt;&gt;"",TEXT(AUX!EA$1,"dd-MMM-aa"),"")</f>
      </c>
      <c r="DX179" s="496" t="str">
        <f> IF(DX199&lt;&gt;"",TEXT(AUX!EB$1,"dd-MMM-aa"),"")</f>
      </c>
      <c r="DY179" s="496" t="str">
        <f> IF(DY199&lt;&gt;"",TEXT(AUX!EC$1,"dd-MMM-aa"),"")</f>
      </c>
      <c r="DZ179" s="496" t="str">
        <f> IF(DZ199&lt;&gt;"",TEXT(AUX!ED$1,"dd-MMM-aa"),"")</f>
      </c>
      <c r="EA179" s="496" t="str">
        <f> IF(EA199&lt;&gt;"",TEXT(AUX!EE$1,"dd-MMM-aa"),"")</f>
      </c>
      <c r="EB179" s="496" t="str">
        <f> IF(EB199&lt;&gt;"",TEXT(AUX!EF$1,"dd-MMM-aa"),"")</f>
      </c>
      <c r="EC179" s="496" t="str">
        <f> IF(EC199&lt;&gt;"",TEXT(AUX!EG$1,"dd-MMM-aa"),"")</f>
      </c>
      <c r="ED179" s="496" t="str">
        <f> IF(ED199&lt;&gt;"",TEXT(AUX!EH$1,"dd-MMM-aa"),"")</f>
      </c>
      <c r="EE179" s="496" t="str">
        <f> IF(EE199&lt;&gt;"",TEXT(AUX!EI$1,"dd-MMM-aa"),"")</f>
      </c>
      <c r="EF179" s="496" t="str">
        <f> IF(EF199&lt;&gt;"",TEXT(AUX!EJ$1,"dd-MMM-aa"),"")</f>
      </c>
      <c r="EG179" s="496" t="str">
        <f> IF(EG199&lt;&gt;"",TEXT(AUX!EK$1,"dd-MMM-aa"),"")</f>
      </c>
      <c r="EH179" s="496" t="str">
        <f> IF(EH199&lt;&gt;"",TEXT(AUX!EL$1,"dd-MMM-aa"),"")</f>
      </c>
      <c r="EI179" s="496" t="str">
        <f> IF(EI199&lt;&gt;"",TEXT(AUX!EM$1,"dd-MMM-aa"),"")</f>
      </c>
      <c r="EJ179" s="496" t="str">
        <f> IF(EJ199&lt;&gt;"",TEXT(AUX!EN$1,"dd-MMM-aa"),"")</f>
      </c>
      <c r="EK179" s="496" t="str">
        <f> IF(EK199&lt;&gt;"",TEXT(AUX!EO$1,"dd-MMM-aa"),"")</f>
      </c>
      <c r="EL179" s="496" t="str">
        <f> IF(EL199&lt;&gt;"",TEXT(AUX!EP$1,"dd-MMM-aa"),"")</f>
      </c>
      <c r="EM179" s="496" t="str">
        <f> IF(EM199&lt;&gt;"",TEXT(AUX!EQ$1,"dd-MMM-aa"),"")</f>
      </c>
      <c r="EN179" s="496" t="str">
        <f> IF(EN199&lt;&gt;"",TEXT(AUX!ER$1,"dd-MMM-aa"),"")</f>
      </c>
      <c r="EO179" s="496" t="str">
        <f> IF(EO199&lt;&gt;"",TEXT(AUX!ES$1,"dd-MMM-aa"),"")</f>
      </c>
      <c r="EP179" s="496" t="str">
        <f> IF(EP199&lt;&gt;"",TEXT(AUX!ET$1,"dd-MMM-aa"),"")</f>
      </c>
      <c r="EQ179" s="496" t="str">
        <f> IF(EQ199&lt;&gt;"",TEXT(AUX!EU$1,"dd-MMM-aa"),"")</f>
      </c>
      <c r="ER179" s="496" t="str">
        <f> IF(ER199&lt;&gt;"",TEXT(AUX!EV$1,"dd-MMM-aa"),"")</f>
      </c>
      <c r="ES179" s="496" t="str">
        <f> IF(ES199&lt;&gt;"",TEXT(AUX!EW$1,"dd-MMM-aa"),"")</f>
      </c>
      <c r="ET179" s="496" t="str">
        <f> IF(ET199&lt;&gt;"",TEXT(AUX!EX$1,"dd-MMM-aa"),"")</f>
      </c>
      <c r="EU179" s="496" t="str">
        <f> IF(EU199&lt;&gt;"",TEXT(AUX!EY$1,"dd-MMM-aa"),"")</f>
      </c>
      <c r="EV179" s="496" t="str">
        <f> IF(EV199&lt;&gt;"",TEXT(AUX!EZ$1,"dd-MMM-aa"),"")</f>
      </c>
      <c r="EW179" s="496" t="str">
        <f> IF(EW199&lt;&gt;"",TEXT(AUX!FA$1,"dd-MMM-aa"),"")</f>
      </c>
      <c r="EX179" s="496" t="str">
        <f> IF(EX199&lt;&gt;"",TEXT(AUX!FB$1,"dd-MMM-aa"),"")</f>
      </c>
      <c r="EY179" s="496" t="str">
        <f> IF(EY199&lt;&gt;"",TEXT(AUX!FC$1,"dd-MMM-aa"),"")</f>
      </c>
      <c r="EZ179" s="496" t="str">
        <f> IF(EZ199&lt;&gt;"",TEXT(AUX!FD$1,"dd-MMM-aa"),"")</f>
      </c>
      <c r="FA179" s="496" t="str">
        <f> IF(FA199&lt;&gt;"",TEXT(AUX!FE$1,"dd-MMM-aa"),"")</f>
      </c>
      <c r="FB179" s="496" t="str">
        <f> IF(FB199&lt;&gt;"",TEXT(AUX!FF$1,"dd-MMM-aa"),"")</f>
      </c>
      <c r="FC179" s="496" t="str">
        <f> IF(FC199&lt;&gt;"",TEXT(AUX!FG$1,"dd-MMM-aa"),"")</f>
      </c>
      <c r="FD179" s="496" t="str">
        <f> IF(FD199&lt;&gt;"",TEXT(AUX!FH$1,"dd-MMM-aa"),"")</f>
      </c>
      <c r="FE179" s="496" t="str">
        <f> IF(FE199&lt;&gt;"",TEXT(AUX!FI$1,"dd-MMM-aa"),"")</f>
      </c>
      <c r="FF179" s="496" t="str">
        <f> IF(FF199&lt;&gt;"",TEXT(AUX!FJ$1,"dd-MMM-aa"),"")</f>
      </c>
      <c r="FG179" s="496" t="str">
        <f> IF(FG199&lt;&gt;"",TEXT(AUX!FK$1,"dd-MMM-aa"),"")</f>
      </c>
      <c r="FH179" s="496" t="str">
        <f> IF(FH199&lt;&gt;"",TEXT(AUX!FL$1,"dd-MMM-aa"),"")</f>
      </c>
      <c r="FI179" s="496" t="str">
        <f> IF(FI199&lt;&gt;"",TEXT(AUX!FM$1,"dd-MMM-aa"),"")</f>
      </c>
      <c r="FJ179" s="496" t="str">
        <f> IF(FJ199&lt;&gt;"",TEXT(AUX!FN$1,"dd-MMM-aa"),"")</f>
      </c>
      <c r="FK179" s="496" t="str">
        <f> IF(FK199&lt;&gt;"",TEXT(AUX!FO$1,"dd-MMM-aa"),"")</f>
      </c>
      <c r="FL179" s="496" t="str">
        <f> IF(FL199&lt;&gt;"",TEXT(AUX!FP$1,"dd-MMM-aa"),"")</f>
      </c>
      <c r="FM179" s="496" t="str">
        <f> IF(FM199&lt;&gt;"",TEXT(AUX!FQ$1,"dd-MMM-aa"),"")</f>
      </c>
      <c r="FN179" s="496" t="str">
        <f> IF(FN199&lt;&gt;"",TEXT(AUX!FR$1,"dd-MMM-aa"),"")</f>
      </c>
      <c r="FO179" s="496" t="str">
        <f> IF(FO199&lt;&gt;"",TEXT(AUX!FS$1,"dd-MMM-aa"),"")</f>
      </c>
      <c r="FP179" s="496" t="str">
        <f> IF(FP199&lt;&gt;"",TEXT(AUX!FT$1,"dd-MMM-aa"),"")</f>
      </c>
      <c r="FQ179" s="496" t="str">
        <f> IF(FQ199&lt;&gt;"",TEXT(AUX!FU$1,"dd-MMM-aa"),"")</f>
      </c>
      <c r="FR179" s="496" t="str">
        <f> IF(FR199&lt;&gt;"",TEXT(AUX!FV$1,"dd-MMM-aa"),"")</f>
      </c>
      <c r="FS179" s="496" t="str">
        <f> IF(FS199&lt;&gt;"",TEXT(AUX!FW$1,"dd-MMM-aa"),"")</f>
      </c>
      <c r="FT179" s="496" t="str">
        <f> IF(FT199&lt;&gt;"",TEXT(AUX!FX$1,"dd-MMM-aa"),"")</f>
      </c>
      <c r="FU179" s="496" t="str">
        <f> IF(FU199&lt;&gt;"",TEXT(AUX!FY$1,"dd-MMM-aa"),"")</f>
      </c>
      <c r="FV179" s="496" t="str">
        <f> IF(FV199&lt;&gt;"",TEXT(AUX!FZ$1,"dd-MMM-aa"),"")</f>
      </c>
      <c r="FW179" s="496" t="str">
        <f> IF(FW199&lt;&gt;"",TEXT(AUX!GA$1,"dd-MMM-aa"),"")</f>
      </c>
      <c r="FX179" s="496" t="str">
        <f> IF(FX199&lt;&gt;"",TEXT(AUX!GB$1,"dd-MMM-aa"),"")</f>
      </c>
      <c r="FY179" s="496" t="str">
        <f> IF(FY199&lt;&gt;"",TEXT(AUX!GC$1,"dd-MMM-aa"),"")</f>
      </c>
      <c r="FZ179" s="496" t="str">
        <f> IF(FZ199&lt;&gt;"",TEXT(AUX!GD$1,"dd-MMM-aa"),"")</f>
      </c>
      <c r="GA179" s="496" t="str">
        <f> IF(GA199&lt;&gt;"",TEXT(AUX!GE$1,"dd-MMM-aa"),"")</f>
      </c>
      <c r="GB179" s="496" t="str">
        <f> IF(GB199&lt;&gt;"",TEXT(AUX!GF$1,"dd-MMM-aa"),"")</f>
      </c>
      <c r="GC179" s="496" t="str">
        <f> IF(GC199&lt;&gt;"",TEXT(AUX!GG$1,"dd-MMM-aa"),"")</f>
      </c>
      <c r="GD179" s="496" t="str">
        <f> IF(GD199&lt;&gt;"",TEXT(AUX!GH$1,"dd-MMM-aa"),"")</f>
      </c>
      <c r="GE179" s="496" t="str">
        <f> IF(GE199&lt;&gt;"",TEXT(AUX!GI$1,"dd-MMM-aa"),"")</f>
      </c>
      <c r="GF179" s="496" t="str">
        <f> IF(GF199&lt;&gt;"",TEXT(AUX!GJ$1,"dd-MMM-aa"),"")</f>
      </c>
      <c r="GG179" s="496" t="str">
        <f> IF(GG199&lt;&gt;"",TEXT(AUX!GK$1,"dd-MMM-aa"),"")</f>
      </c>
      <c r="GH179" s="496" t="str">
        <f> IF(GH199&lt;&gt;"",TEXT(AUX!GL$1,"dd-MMM-aa"),"")</f>
      </c>
      <c r="GI179" s="496" t="str">
        <f> IF(GI199&lt;&gt;"",TEXT(AUX!GM$1,"dd-MMM-aa"),"")</f>
      </c>
      <c r="GJ179" s="496" t="str">
        <f> IF(GJ199&lt;&gt;"",TEXT(AUX!GN$1,"dd-MMM-aa"),"")</f>
      </c>
      <c r="GK179" s="496" t="str">
        <f> IF(GK199&lt;&gt;"",TEXT(AUX!GO$1,"dd-MMM-aa"),"")</f>
      </c>
      <c r="GL179" s="496" t="str">
        <f> IF(GL199&lt;&gt;"",TEXT(AUX!GP$1,"dd-MMM-aa"),"")</f>
      </c>
      <c r="GM179" s="496" t="str">
        <f> IF(GM199&lt;&gt;"",TEXT(AUX!GQ$1,"dd-MMM-aa"),"")</f>
      </c>
      <c r="GN179" s="496" t="str">
        <f> IF(GN199&lt;&gt;"",TEXT(AUX!GR$1,"dd-MMM-aa"),"")</f>
      </c>
      <c r="GO179" s="496" t="str">
        <f> IF(GO199&lt;&gt;"",TEXT(AUX!GS$1,"dd-MMM-aa"),"")</f>
      </c>
      <c r="GP179" s="496" t="str">
        <f> IF(GP199&lt;&gt;"",TEXT(AUX!GT$1,"dd-MMM-aa"),"")</f>
      </c>
      <c r="GQ179" s="496" t="str">
        <f> IF(GQ199&lt;&gt;"",TEXT(AUX!GU$1,"dd-MMM-aa"),"")</f>
      </c>
      <c r="GR179" s="496" t="str">
        <f> IF(GR199&lt;&gt;"",TEXT(AUX!GV$1,"dd-MMM-aa"),"")</f>
      </c>
      <c r="GS179" s="496" t="str">
        <f> IF(GS199&lt;&gt;"",TEXT(AUX!GW$1,"dd-MMM-aa"),"")</f>
      </c>
      <c r="GT179" s="496" t="str">
        <f> IF(GT199&lt;&gt;"",TEXT(AUX!GX$1,"dd-MMM-aa"),"")</f>
      </c>
      <c r="GU179" s="496" t="str">
        <f> IF(GU199&lt;&gt;"",TEXT(AUX!GY$1,"dd-MMM-aa"),"")</f>
      </c>
      <c r="GV179" s="496" t="str">
        <f> IF(GV199&lt;&gt;"",TEXT(AUX!GZ$1,"dd-MMM-aa"),"")</f>
      </c>
      <c r="GW179" s="496" t="str">
        <f> IF(GW199&lt;&gt;"",TEXT(AUX!HA$1,"dd-MMM-aa"),"")</f>
      </c>
      <c r="GX179" s="496" t="str">
        <f> IF(GX199&lt;&gt;"",TEXT(AUX!HB$1,"dd-MMM-aa"),"")</f>
      </c>
      <c r="GY179" s="496" t="str">
        <f> IF(GY199&lt;&gt;"",TEXT(AUX!HC$1,"dd-MMM-aa"),"")</f>
      </c>
      <c r="GZ179" s="496" t="str">
        <f> IF(GZ199&lt;&gt;"",TEXT(AUX!HD$1,"dd-MMM-aa"),"")</f>
      </c>
      <c r="HA179" s="496" t="str">
        <f> IF(HA199&lt;&gt;"",TEXT(AUX!HE$1,"dd-MMM-aa"),"")</f>
      </c>
      <c r="HB179" s="496" t="str">
        <f> IF(HB199&lt;&gt;"",TEXT(AUX!HF$1,"dd-MMM-aa"),"")</f>
      </c>
      <c r="HC179" s="496" t="str">
        <f> IF(HC199&lt;&gt;"",TEXT(AUX!HG$1,"dd-MMM-aa"),"")</f>
      </c>
      <c r="HD179" s="496" t="str">
        <f> IF(HD199&lt;&gt;"",TEXT(AUX!HH$1,"dd-MMM-aa"),"")</f>
      </c>
      <c r="HE179" s="496" t="str">
        <f> IF(HE199&lt;&gt;"",TEXT(AUX!HI$1,"dd-MMM-aa"),"")</f>
      </c>
      <c r="HF179" s="496" t="str">
        <f> IF(HF199&lt;&gt;"",TEXT(AUX!HJ$1,"dd-MMM-aa"),"")</f>
      </c>
      <c r="HG179" s="496" t="str">
        <f> IF(HG199&lt;&gt;"",TEXT(AUX!HK$1,"dd-MMM-aa"),"")</f>
      </c>
      <c r="HH179" s="496" t="str">
        <f> IF(HH199&lt;&gt;"",TEXT(AUX!HL$1,"dd-MMM-aa"),"")</f>
      </c>
      <c r="HI179" s="496" t="str">
        <f> IF(HI199&lt;&gt;"",TEXT(AUX!HM$1,"dd-MMM-aa"),"")</f>
      </c>
      <c r="HJ179" s="496" t="str">
        <f> IF(HJ199&lt;&gt;"",TEXT(AUX!HN$1,"dd-MMM-aa"),"")</f>
      </c>
      <c r="HK179" s="496" t="str">
        <f> IF(HK199&lt;&gt;"",TEXT(AUX!HO$1,"dd-MMM-aa"),"")</f>
      </c>
      <c r="HL179" s="496" t="str">
        <f> IF(HL199&lt;&gt;"",TEXT(AUX!HP$1,"dd-MMM-aa"),"")</f>
      </c>
      <c r="HM179" s="496" t="str">
        <f> IF(HM199&lt;&gt;"",TEXT(AUX!HQ$1,"dd-MMM-aa"),"")</f>
      </c>
      <c r="HN179" s="496" t="str">
        <f> IF(HN199&lt;&gt;"",TEXT(AUX!HR$1,"dd-MMM-aa"),"")</f>
      </c>
      <c r="HO179" s="496" t="str">
        <f> IF(HO199&lt;&gt;"",TEXT(AUX!HS$1,"dd-MMM-aa"),"")</f>
      </c>
      <c r="HP179" s="496" t="str">
        <f> IF(HP199&lt;&gt;"",TEXT(AUX!HT$1,"dd-MMM-aa"),"")</f>
      </c>
      <c r="HQ179" s="496" t="str">
        <f> IF(HQ199&lt;&gt;"",TEXT(AUX!HU$1,"dd-MMM-aa"),"")</f>
      </c>
      <c r="HR179" s="496" t="str">
        <f> IF(HR199&lt;&gt;"",TEXT(AUX!HV$1,"dd-MMM-aa"),"")</f>
      </c>
      <c r="HS179" s="496" t="str">
        <f> IF(HS199&lt;&gt;"",TEXT(AUX!HW$1,"dd-MMM-aa"),"")</f>
      </c>
      <c r="HT179" s="496" t="str">
        <f> IF(HT199&lt;&gt;"",TEXT(AUX!HX$1,"dd-MMM-aa"),"")</f>
      </c>
      <c r="HU179" s="496" t="str">
        <f> IF(HU199&lt;&gt;"",TEXT(AUX!HY$1,"dd-MMM-aa"),"")</f>
      </c>
      <c r="HV179" s="496" t="str">
        <f> IF(HV199&lt;&gt;"",TEXT(AUX!HZ$1,"dd-MMM-aa"),"")</f>
      </c>
      <c r="HW179" s="496" t="str">
        <f> IF(HW199&lt;&gt;"",TEXT(AUX!IA$1,"dd-MMM-aa"),"")</f>
      </c>
      <c r="HX179" s="496" t="str">
        <f> IF(HX199&lt;&gt;"",TEXT(AUX!IB$1,"dd-MMM-aa"),"")</f>
      </c>
      <c r="HY179" s="496" t="str">
        <f> IF(HY199&lt;&gt;"",TEXT(AUX!IC$1,"dd-MMM-aa"),"")</f>
      </c>
      <c r="HZ179" s="496" t="str">
        <f> IF(HZ199&lt;&gt;"",TEXT(AUX!ID$1,"dd-MMM-aa"),"")</f>
      </c>
      <c r="IA179" s="496" t="str">
        <f> IF(IA199&lt;&gt;"",TEXT(AUX!IE$1,"dd-MMM-aa"),"")</f>
      </c>
      <c r="IB179" s="496" t="str">
        <f> IF(IB199&lt;&gt;"",TEXT(AUX!IF$1,"dd-MMM-aa"),"")</f>
      </c>
      <c r="IC179" s="496" t="str">
        <f> IF(IC199&lt;&gt;"",TEXT(AUX!IG$1,"dd-MMM-aa"),"")</f>
      </c>
      <c r="ID179" s="496" t="str">
        <f> IF(ID199&lt;&gt;"",TEXT(AUX!IH$1,"dd-MMM-aa"),"")</f>
      </c>
      <c r="IE179" s="496" t="str">
        <f> IF(IE199&lt;&gt;"",TEXT(AUX!II$1,"dd-MMM-aa"),"")</f>
      </c>
      <c r="IF179" s="496" t="str">
        <f> IF(IF199&lt;&gt;"",TEXT(AUX!IJ$1,"dd-MMM-aa"),"")</f>
      </c>
      <c r="IG179" s="496" t="str">
        <f> IF(IG199&lt;&gt;"",TEXT(AUX!IK$1,"dd-MMM-aa"),"")</f>
      </c>
      <c r="IH179" s="496" t="str">
        <f> IF(IH199&lt;&gt;"",TEXT(AUX!IL$1,"dd-MMM-aa"),"")</f>
      </c>
      <c r="II179" s="496" t="str">
        <f> IF(II199&lt;&gt;"",TEXT(AUX!IM$1,"dd-MMM-aa"),"")</f>
      </c>
      <c r="IJ179" s="496" t="str">
        <f> IF(IJ199&lt;&gt;"",TEXT(AUX!IN$1,"dd-MMM-aa"),"")</f>
      </c>
      <c r="IK179" s="496" t="str">
        <f> IF(IK199&lt;&gt;"",TEXT(AUX!IO$1,"dd-MMM-aa"),"")</f>
      </c>
      <c r="IL179" s="496" t="str">
        <f> IF(IL199&lt;&gt;"",TEXT(AUX!IP$1,"dd-MMM-aa"),"")</f>
      </c>
      <c r="IM179" s="496" t="str">
        <f> IF(IM199&lt;&gt;"",TEXT(AUX!IQ$1,"dd-MMM-aa"),"")</f>
      </c>
      <c r="IN179" s="496" t="str">
        <f> IF(IN199&lt;&gt;"",TEXT(AUX!IR$1,"dd-MMM-aa"),"")</f>
      </c>
      <c r="IO179" s="496" t="str">
        <f> IF(IO199&lt;&gt;"",TEXT(AUX!IS$1,"dd-MMM-aa"),"")</f>
      </c>
      <c r="IP179" s="496" t="str">
        <f> IF(IP199&lt;&gt;"",TEXT(AUX!IT$1,"dd-MMM-aa"),"")</f>
      </c>
      <c r="IQ179" s="496" t="str">
        <f> IF(IQ199&lt;&gt;"",TEXT(AUX!IU$1,"dd-MMM-aa"),"")</f>
      </c>
      <c r="IR179" s="496" t="str">
        <f> IF(IR199&lt;&gt;"",TEXT(AUX!IV$1,"dd-MMM-aa"),"")</f>
      </c>
      <c r="IS179" s="496" t="str">
        <f> IF(IS199&lt;&gt;"",TEXT(AUX!#REF!,"dd-MMM-aa"),"")</f>
      </c>
      <c r="IT179" s="496" t="str">
        <f> IF(IT199&lt;&gt;"",TEXT(AUX!#REF!,"dd-MMM-aa"),"")</f>
      </c>
      <c r="IU179" s="496" t="str">
        <f> IF(IU199&lt;&gt;"",TEXT(AUX!#REF!,"dd-MMM-aa"),"")</f>
      </c>
      <c r="IV179" s="496" t="str">
        <f> IF(IV199&lt;&gt;"",TEXT(AUX!#REF!,"dd-MMM-aa"),"")</f>
      </c>
    </row>
    <row r="180" hidden="1" ht="12.75" customHeight="1">
      <c r="B180" s="838" t="s">
        <v>8</v>
      </c>
      <c r="C180" s="839">
        <f>C203 + C227 + C251</f>
        <v>0</v>
      </c>
      <c r="D180" s="839">
        <f>D203 + D227 + D251</f>
        <v>0</v>
      </c>
      <c r="E180" s="839">
        <f>E203 + E227 + E251</f>
        <v>0</v>
      </c>
      <c r="F180" s="839">
        <f>F203 + F227 + F251</f>
        <v>0</v>
      </c>
      <c r="G180" s="839">
        <f>G203 + G227 + G251</f>
        <v>0</v>
      </c>
      <c r="H180" s="839">
        <f>H203 + H227 + H251</f>
        <v>0</v>
      </c>
      <c r="I180" s="839">
        <f>I203 + I227 + I251</f>
        <v>0</v>
      </c>
      <c r="J180" s="839">
        <f>J203 + J227 + J251</f>
        <v>0</v>
      </c>
      <c r="K180" s="839">
        <f>K203 + K227 + K251</f>
        <v>0</v>
      </c>
      <c r="L180" s="839">
        <f>L203 + L227 + L251</f>
        <v>0</v>
      </c>
      <c r="M180" s="839">
        <f>M203 + M227 + M251</f>
        <v>0</v>
      </c>
      <c r="N180" s="839">
        <f>N203 + N227 + N251</f>
        <v>0</v>
      </c>
      <c r="O180" s="839">
        <f>O203 + O227 + O251</f>
        <v>0</v>
      </c>
      <c r="P180" s="839">
        <f>P203 + P227 + P251</f>
        <v>0</v>
      </c>
      <c r="Q180" s="839">
        <f>Q203 + Q227 + Q251</f>
        <v>0</v>
      </c>
      <c r="R180" s="839">
        <f>R203 + R227 + R251</f>
        <v>0</v>
      </c>
      <c r="S180" s="839">
        <f>S203 + S227 + S251</f>
        <v>0</v>
      </c>
      <c r="T180" s="839">
        <f>T203 + T227 + T251</f>
        <v>0</v>
      </c>
      <c r="U180" s="839">
        <f>U203 + U227 + U251</f>
        <v>0</v>
      </c>
      <c r="V180" s="839">
        <f>V203 + V227 + V251</f>
        <v>0</v>
      </c>
      <c r="W180" s="839">
        <f>W203 + W227 + W251</f>
        <v>0</v>
      </c>
      <c r="X180" s="839">
        <f>X203 + X227 + X251</f>
        <v>0</v>
      </c>
      <c r="Y180" s="839">
        <f>Y203 + Y227 + Y251</f>
        <v>0</v>
      </c>
      <c r="Z180" s="839">
        <f>Z203 + Z227 + Z251</f>
        <v>0</v>
      </c>
      <c r="AA180" s="839">
        <f>AA203 + AA227 + AA251</f>
        <v>0</v>
      </c>
      <c r="AB180" s="840">
        <f>AB203 + AB227 + AB251</f>
        <v>0</v>
      </c>
      <c r="AC180" s="841">
        <f>AC203 + AC227 + AC251</f>
        <v>0</v>
      </c>
      <c r="AD180" s="841">
        <f>AD203 + AD227 + AD251</f>
        <v>0</v>
      </c>
      <c r="AE180" s="841">
        <f>AE203 + AE227 + AE251</f>
        <v>0</v>
      </c>
      <c r="AF180" s="841">
        <f>AF203 + AF227 + AF251</f>
        <v>0</v>
      </c>
      <c r="AG180" s="841">
        <f>AG203 + AG227 + AG251</f>
        <v>0</v>
      </c>
      <c r="AH180" s="841">
        <f>AH203 + AH227 + AH251</f>
        <v>0</v>
      </c>
      <c r="AI180" s="841">
        <f>AI203 + AI227 + AI251</f>
        <v>0</v>
      </c>
      <c r="AJ180" s="841">
        <f>AJ203 + AJ227 + AJ251</f>
        <v>0</v>
      </c>
      <c r="AK180" s="841">
        <f>AK203 + AK227 + AK251</f>
        <v>0</v>
      </c>
      <c r="AL180" s="841">
        <f>AL203 + AL227 + AL251</f>
        <v>0</v>
      </c>
      <c r="AM180" s="841">
        <f>AM203 + AM227 + AM251</f>
        <v>0</v>
      </c>
      <c r="AN180" s="841">
        <f>AN203 + AN227 + AN251</f>
        <v>0</v>
      </c>
      <c r="AO180" s="841">
        <f>AO203 + AO227 + AO251</f>
        <v>0</v>
      </c>
      <c r="AP180" s="841">
        <f>AP203 + AP227 + AP251</f>
        <v>0</v>
      </c>
    </row>
    <row r="181" hidden="1" ht="12.75" customHeight="1">
      <c r="B181" s="842" t="s">
        <v>9</v>
      </c>
      <c r="C181" s="839">
        <f>C204 + C228 + C252</f>
        <v>0</v>
      </c>
      <c r="D181" s="839">
        <f>D204 + D228 + D252</f>
        <v>0</v>
      </c>
      <c r="E181" s="839">
        <f>E204 + E228 + E252</f>
        <v>0</v>
      </c>
      <c r="F181" s="839">
        <f>F204 + F228 + F252</f>
        <v>0</v>
      </c>
      <c r="G181" s="839">
        <f>G204 + G228 + G252</f>
        <v>0</v>
      </c>
      <c r="H181" s="839">
        <f>H204 + H228 + H252</f>
        <v>0</v>
      </c>
      <c r="I181" s="839">
        <f>I204 + I228 + I252</f>
        <v>0</v>
      </c>
      <c r="J181" s="839">
        <f>J204 + J228 + J252</f>
        <v>0</v>
      </c>
      <c r="K181" s="839">
        <f>K204 + K228 + K252</f>
        <v>0</v>
      </c>
      <c r="L181" s="839">
        <f>L204 + L228 + L252</f>
        <v>0</v>
      </c>
      <c r="M181" s="839">
        <f>M204 + M228 + M252</f>
        <v>0</v>
      </c>
      <c r="N181" s="839">
        <f>N204 + N228 + N252</f>
        <v>0</v>
      </c>
      <c r="O181" s="839">
        <f>O204 + O228 + O252</f>
        <v>0</v>
      </c>
      <c r="P181" s="839">
        <f>P204 + P228 + P252</f>
        <v>0</v>
      </c>
      <c r="Q181" s="839">
        <f>Q204 + Q228 + Q252</f>
        <v>0</v>
      </c>
      <c r="R181" s="839">
        <f>R204 + R228 + R252</f>
        <v>0</v>
      </c>
      <c r="S181" s="839">
        <f>S204 + S228 + S252</f>
        <v>0</v>
      </c>
      <c r="T181" s="839">
        <f>T204 + T228 + T252</f>
        <v>0</v>
      </c>
      <c r="U181" s="839">
        <f>U204 + U228 + U252</f>
        <v>0</v>
      </c>
      <c r="V181" s="839">
        <f>V204 + V228 + V252</f>
        <v>0</v>
      </c>
      <c r="W181" s="839">
        <f>W204 + W228 + W252</f>
        <v>0</v>
      </c>
      <c r="X181" s="839">
        <f>X204 + X228 + X252</f>
        <v>0</v>
      </c>
      <c r="Y181" s="839">
        <f>Y204 + Y228 + Y252</f>
        <v>0</v>
      </c>
      <c r="Z181" s="839">
        <f>Z204 + Z228 + Z252</f>
        <v>0</v>
      </c>
      <c r="AA181" s="839">
        <f>AA204 + AA228 + AA252</f>
        <v>0</v>
      </c>
      <c r="AB181" s="839">
        <f>AB204 + AB228 + AB252</f>
        <v>0</v>
      </c>
      <c r="AC181" s="841">
        <f>AC204 + AC228 + AC252</f>
        <v>0</v>
      </c>
      <c r="AD181" s="841">
        <f>AD204 + AD228 + AD252</f>
        <v>0</v>
      </c>
      <c r="AE181" s="841">
        <f>AE204 + AE228 + AE252</f>
        <v>0</v>
      </c>
      <c r="AF181" s="841">
        <f>AF204 + AF228 + AF252</f>
        <v>0</v>
      </c>
      <c r="AG181" s="841">
        <f>AG204 + AG228 + AG252</f>
        <v>0</v>
      </c>
      <c r="AH181" s="841">
        <f>AH204 + AH228 + AH252</f>
        <v>0</v>
      </c>
      <c r="AI181" s="841">
        <f>AI204 + AI228 + AI252</f>
        <v>0</v>
      </c>
      <c r="AJ181" s="841">
        <f>AJ204 + AJ228 + AJ252</f>
        <v>0</v>
      </c>
      <c r="AK181" s="841">
        <f>AK204 + AK228 + AK252</f>
        <v>0</v>
      </c>
      <c r="AL181" s="841">
        <f>AL204 + AL228 + AL252</f>
        <v>0</v>
      </c>
      <c r="AM181" s="841">
        <f>AM204 + AM228 + AM252</f>
        <v>0</v>
      </c>
      <c r="AN181" s="841">
        <f>AN204 + AN228 + AN252</f>
        <v>0</v>
      </c>
      <c r="AO181" s="841">
        <f>AO204 + AO228 + AO252</f>
        <v>0</v>
      </c>
      <c r="AP181" s="841">
        <f>AP204 + AP228 + AP252</f>
        <v>0</v>
      </c>
    </row>
    <row r="182" hidden="1" ht="12.75" customHeight="1">
      <c r="B182" s="842" t="s">
        <v>10</v>
      </c>
      <c r="C182" s="839">
        <f>C205 + C229 + C253</f>
        <v>0</v>
      </c>
      <c r="D182" s="839">
        <f>D205 + D229 + D253</f>
        <v>0</v>
      </c>
      <c r="E182" s="839">
        <f>E205 + E229 + E253</f>
        <v>0</v>
      </c>
      <c r="F182" s="839">
        <f>F205 + F229 + F253</f>
        <v>0</v>
      </c>
      <c r="G182" s="839">
        <f>G205 + G229 + G253</f>
        <v>0</v>
      </c>
      <c r="H182" s="839">
        <f>H205 + H229 + H253</f>
        <v>0</v>
      </c>
      <c r="I182" s="839">
        <f>I205 + I229 + I253</f>
        <v>0</v>
      </c>
      <c r="J182" s="839">
        <f>J205 + J229 + J253</f>
        <v>0</v>
      </c>
      <c r="K182" s="839">
        <f>K205 + K229 + K253</f>
        <v>0</v>
      </c>
      <c r="L182" s="839">
        <f>L205 + L229 + L253</f>
        <v>0</v>
      </c>
      <c r="M182" s="839">
        <f>M205 + M229 + M253</f>
        <v>0</v>
      </c>
      <c r="N182" s="839">
        <f>N205 + N229 + N253</f>
        <v>0</v>
      </c>
      <c r="O182" s="839">
        <f>O205 + O229 + O253</f>
        <v>0</v>
      </c>
      <c r="P182" s="839">
        <f>P205 + P229 + P253</f>
        <v>0</v>
      </c>
      <c r="Q182" s="839">
        <f>Q205 + Q229 + Q253</f>
        <v>0</v>
      </c>
      <c r="R182" s="839">
        <f>R205 + R229 + R253</f>
        <v>0</v>
      </c>
      <c r="S182" s="839">
        <f>S205 + S229 + S253</f>
        <v>0</v>
      </c>
      <c r="T182" s="839">
        <f>T205 + T229 + T253</f>
        <v>0</v>
      </c>
      <c r="U182" s="839">
        <f>U205 + U229 + U253</f>
        <v>0</v>
      </c>
      <c r="V182" s="839">
        <f>V205 + V229 + V253</f>
        <v>0</v>
      </c>
      <c r="W182" s="839">
        <f>W205 + W229 + W253</f>
        <v>0</v>
      </c>
      <c r="X182" s="839">
        <f>X205 + X229 + X253</f>
        <v>0</v>
      </c>
      <c r="Y182" s="839">
        <f>Y205 + Y229 + Y253</f>
        <v>0</v>
      </c>
      <c r="Z182" s="839">
        <f>Z205 + Z229 + Z253</f>
        <v>0</v>
      </c>
      <c r="AA182" s="839">
        <f>AA205 + AA229 + AA253</f>
        <v>0</v>
      </c>
      <c r="AB182" s="839">
        <f>AB205 + AB229 + AB253</f>
        <v>0</v>
      </c>
      <c r="AC182" s="841">
        <f>AC205 + AC229 + AC253</f>
        <v>0</v>
      </c>
      <c r="AD182" s="841">
        <f>AD205 + AD229 + AD253</f>
        <v>0</v>
      </c>
      <c r="AE182" s="841">
        <f>AE205 + AE229 + AE253</f>
        <v>0</v>
      </c>
      <c r="AF182" s="841">
        <f>AF205 + AF229 + AF253</f>
        <v>0</v>
      </c>
      <c r="AG182" s="841">
        <f>AG205 + AG229 + AG253</f>
        <v>0</v>
      </c>
      <c r="AH182" s="841">
        <f>AH205 + AH229 + AH253</f>
        <v>0</v>
      </c>
      <c r="AI182" s="841">
        <f>AI205 + AI229 + AI253</f>
        <v>0</v>
      </c>
      <c r="AJ182" s="841">
        <f>AJ205 + AJ229 + AJ253</f>
        <v>0</v>
      </c>
      <c r="AK182" s="841">
        <f>AK205 + AK229 + AK253</f>
        <v>0</v>
      </c>
      <c r="AL182" s="841">
        <f>AL205 + AL229 + AL253</f>
        <v>0</v>
      </c>
      <c r="AM182" s="841">
        <f>AM205 + AM229 + AM253</f>
        <v>0</v>
      </c>
      <c r="AN182" s="841">
        <f>AN205 + AN229 + AN253</f>
        <v>0</v>
      </c>
      <c r="AO182" s="841">
        <f>AO205 + AO229 + AO253</f>
        <v>0</v>
      </c>
      <c r="AP182" s="841">
        <f>AP205 + AP229 + AP253</f>
        <v>0</v>
      </c>
    </row>
    <row r="183" hidden="1" ht="12.75" customHeight="1">
      <c r="B183" s="842" t="s">
        <v>11</v>
      </c>
      <c r="C183" s="839">
        <f>C206 + C230 + C254</f>
        <v>0</v>
      </c>
      <c r="D183" s="839">
        <f>D206 + D230 + D254</f>
        <v>0</v>
      </c>
      <c r="E183" s="839">
        <f>E206 + E230 + E254</f>
        <v>0</v>
      </c>
      <c r="F183" s="839">
        <f>F206 + F230 + F254</f>
        <v>0</v>
      </c>
      <c r="G183" s="839">
        <f>G206 + G230 + G254</f>
        <v>0</v>
      </c>
      <c r="H183" s="839">
        <f>H206 + H230 + H254</f>
        <v>0</v>
      </c>
      <c r="I183" s="839">
        <f>I206 + I230 + I254</f>
        <v>0</v>
      </c>
      <c r="J183" s="839">
        <f>J206 + J230 + J254</f>
        <v>0</v>
      </c>
      <c r="K183" s="839">
        <f>K206 + K230 + K254</f>
        <v>0</v>
      </c>
      <c r="L183" s="839">
        <f>L206 + L230 + L254</f>
        <v>0</v>
      </c>
      <c r="M183" s="839">
        <f>M206 + M230 + M254</f>
        <v>0</v>
      </c>
      <c r="N183" s="839">
        <f>N206 + N230 + N254</f>
        <v>0</v>
      </c>
      <c r="O183" s="839">
        <f>O206 + O230 + O254</f>
        <v>0</v>
      </c>
      <c r="P183" s="839">
        <f>P206 + P230 + P254</f>
        <v>0</v>
      </c>
      <c r="Q183" s="839">
        <f>Q206 + Q230 + Q254</f>
        <v>0</v>
      </c>
      <c r="R183" s="839">
        <f>R206 + R230 + R254</f>
        <v>0</v>
      </c>
      <c r="S183" s="839">
        <f>S206 + S230 + S254</f>
        <v>0</v>
      </c>
      <c r="T183" s="839">
        <f>T206 + T230 + T254</f>
        <v>0</v>
      </c>
      <c r="U183" s="839">
        <f>U206 + U230 + U254</f>
        <v>0</v>
      </c>
      <c r="V183" s="839">
        <f>V206 + V230 + V254</f>
        <v>0</v>
      </c>
      <c r="W183" s="839">
        <f>W206 + W230 + W254</f>
        <v>0</v>
      </c>
      <c r="X183" s="839">
        <f>X206 + X230 + X254</f>
        <v>0</v>
      </c>
      <c r="Y183" s="839">
        <f>Y206 + Y230 + Y254</f>
        <v>0</v>
      </c>
      <c r="Z183" s="839">
        <f>Z206 + Z230 + Z254</f>
        <v>0</v>
      </c>
      <c r="AA183" s="839">
        <f>AA206 + AA230 + AA254</f>
        <v>0</v>
      </c>
      <c r="AB183" s="839">
        <f>AB206 + AB230 + AB254</f>
        <v>0</v>
      </c>
      <c r="AC183" s="841">
        <f>AC206 + AC230 + AC254</f>
        <v>0</v>
      </c>
      <c r="AD183" s="841">
        <f>AD206 + AD230 + AD254</f>
        <v>0</v>
      </c>
      <c r="AE183" s="841">
        <f>AE206 + AE230 + AE254</f>
        <v>0</v>
      </c>
      <c r="AF183" s="841">
        <f>AF206 + AF230 + AF254</f>
        <v>0</v>
      </c>
      <c r="AG183" s="841">
        <f>AG206 + AG230 + AG254</f>
        <v>0</v>
      </c>
      <c r="AH183" s="841">
        <f>AH206 + AH230 + AH254</f>
        <v>0</v>
      </c>
      <c r="AI183" s="841">
        <f>AI206 + AI230 + AI254</f>
        <v>0</v>
      </c>
      <c r="AJ183" s="841">
        <f>AJ206 + AJ230 + AJ254</f>
        <v>0</v>
      </c>
      <c r="AK183" s="841">
        <f>AK206 + AK230 + AK254</f>
        <v>0</v>
      </c>
      <c r="AL183" s="841">
        <f>AL206 + AL230 + AL254</f>
        <v>0</v>
      </c>
      <c r="AM183" s="841">
        <f>AM206 + AM230 + AM254</f>
        <v>0</v>
      </c>
      <c r="AN183" s="841">
        <f>AN206 + AN230 + AN254</f>
        <v>0</v>
      </c>
      <c r="AO183" s="841">
        <f>AO206 + AO230 + AO254</f>
        <v>0</v>
      </c>
      <c r="AP183" s="841">
        <f>AP206 + AP230 + AP254</f>
        <v>0</v>
      </c>
    </row>
    <row r="184" hidden="1" ht="12.75" customHeight="1">
      <c r="B184" s="842" t="s">
        <v>12</v>
      </c>
      <c r="C184" s="839">
        <f>C207 + C231 + C255</f>
        <v>0</v>
      </c>
      <c r="D184" s="839">
        <f>D207 + D231 + D255</f>
        <v>0</v>
      </c>
      <c r="E184" s="839">
        <f>E207 + E231 + E255</f>
        <v>0</v>
      </c>
      <c r="F184" s="839">
        <f>F207 + F231 + F255</f>
        <v>0</v>
      </c>
      <c r="G184" s="839">
        <f>G207 + G231 + G255</f>
        <v>0</v>
      </c>
      <c r="H184" s="839">
        <f>H207 + H231 + H255</f>
        <v>0</v>
      </c>
      <c r="I184" s="839">
        <f>I207 + I231 + I255</f>
        <v>0</v>
      </c>
      <c r="J184" s="839">
        <f>J207 + J231 + J255</f>
        <v>0</v>
      </c>
      <c r="K184" s="839">
        <f>K207 + K231 + K255</f>
        <v>0</v>
      </c>
      <c r="L184" s="839">
        <f>L207 + L231 + L255</f>
        <v>0</v>
      </c>
      <c r="M184" s="839">
        <f>M207 + M231 + M255</f>
        <v>0</v>
      </c>
      <c r="N184" s="839">
        <f>N207 + N231 + N255</f>
        <v>0</v>
      </c>
      <c r="O184" s="839">
        <f>O207 + O231 + O255</f>
        <v>0</v>
      </c>
      <c r="P184" s="839">
        <f>P207 + P231 + P255</f>
        <v>0</v>
      </c>
      <c r="Q184" s="839">
        <f>Q207 + Q231 + Q255</f>
        <v>0</v>
      </c>
      <c r="R184" s="839">
        <f>R207 + R231 + R255</f>
        <v>0</v>
      </c>
      <c r="S184" s="839">
        <f>S207 + S231 + S255</f>
        <v>0</v>
      </c>
      <c r="T184" s="839">
        <f>T207 + T231 + T255</f>
        <v>0</v>
      </c>
      <c r="U184" s="839">
        <f>U207 + U231 + U255</f>
        <v>0</v>
      </c>
      <c r="V184" s="839">
        <f>V207 + V231 + V255</f>
        <v>0</v>
      </c>
      <c r="W184" s="839">
        <f>W207 + W231 + W255</f>
        <v>0</v>
      </c>
      <c r="X184" s="839">
        <f>X207 + X231 + X255</f>
        <v>0</v>
      </c>
      <c r="Y184" s="839">
        <f>Y207 + Y231 + Y255</f>
        <v>0</v>
      </c>
      <c r="Z184" s="839">
        <f>Z207 + Z231 + Z255</f>
        <v>0</v>
      </c>
      <c r="AA184" s="839">
        <f>AA207 + AA231 + AA255</f>
        <v>0</v>
      </c>
      <c r="AB184" s="839">
        <f>AB207 + AB231 + AB255</f>
        <v>0</v>
      </c>
      <c r="AC184" s="841">
        <f>AC207 + AC231 + AC255</f>
        <v>0</v>
      </c>
      <c r="AD184" s="841">
        <f>AD207 + AD231 + AD255</f>
        <v>0</v>
      </c>
      <c r="AE184" s="841">
        <f>AE207 + AE231 + AE255</f>
        <v>0</v>
      </c>
      <c r="AF184" s="841">
        <f>AF207 + AF231 + AF255</f>
        <v>0</v>
      </c>
      <c r="AG184" s="841">
        <f>AG207 + AG231 + AG255</f>
        <v>0</v>
      </c>
      <c r="AH184" s="841">
        <f>AH207 + AH231 + AH255</f>
        <v>0</v>
      </c>
      <c r="AI184" s="841">
        <f>AI207 + AI231 + AI255</f>
        <v>0</v>
      </c>
      <c r="AJ184" s="841">
        <f>AJ207 + AJ231 + AJ255</f>
        <v>0</v>
      </c>
      <c r="AK184" s="841">
        <f>AK207 + AK231 + AK255</f>
        <v>0</v>
      </c>
      <c r="AL184" s="841">
        <f>AL207 + AL231 + AL255</f>
        <v>0</v>
      </c>
      <c r="AM184" s="841">
        <f>AM207 + AM231 + AM255</f>
        <v>0</v>
      </c>
      <c r="AN184" s="841">
        <f>AN207 + AN231 + AN255</f>
        <v>0</v>
      </c>
      <c r="AO184" s="841">
        <f>AO207 + AO231 + AO255</f>
        <v>0</v>
      </c>
      <c r="AP184" s="841">
        <f>AP207 + AP231 + AP255</f>
        <v>0</v>
      </c>
    </row>
    <row r="185" hidden="1" ht="12.75" customHeight="1">
      <c r="B185" s="842" t="s">
        <v>13</v>
      </c>
      <c r="C185" s="839">
        <f>C208 + C232 + C256</f>
        <v>0</v>
      </c>
      <c r="D185" s="839">
        <f>D208 + D232 + D256</f>
        <v>0</v>
      </c>
      <c r="E185" s="839">
        <f>E208 + E232 + E256</f>
        <v>0</v>
      </c>
      <c r="F185" s="839">
        <f>F208 + F232 + F256</f>
        <v>0</v>
      </c>
      <c r="G185" s="839">
        <f>G208 + G232 + G256</f>
        <v>0</v>
      </c>
      <c r="H185" s="839">
        <f>H208 + H232 + H256</f>
        <v>0</v>
      </c>
      <c r="I185" s="839">
        <f>I208 + I232 + I256</f>
        <v>0</v>
      </c>
      <c r="J185" s="839">
        <f>J208 + J232 + J256</f>
        <v>0</v>
      </c>
      <c r="K185" s="839">
        <f>K208 + K232 + K256</f>
        <v>0</v>
      </c>
      <c r="L185" s="839">
        <f>L208 + L232 + L256</f>
        <v>0</v>
      </c>
      <c r="M185" s="839">
        <f>M208 + M232 + M256</f>
        <v>0</v>
      </c>
      <c r="N185" s="839">
        <f>N208 + N232 + N256</f>
        <v>0</v>
      </c>
      <c r="O185" s="839">
        <f>O208 + O232 + O256</f>
        <v>0</v>
      </c>
      <c r="P185" s="839">
        <f>P208 + P232 + P256</f>
        <v>0</v>
      </c>
      <c r="Q185" s="839">
        <f>Q208 + Q232 + Q256</f>
        <v>0</v>
      </c>
      <c r="R185" s="839">
        <f>R208 + R232 + R256</f>
        <v>0</v>
      </c>
      <c r="S185" s="839">
        <f>S208 + S232 + S256</f>
        <v>0</v>
      </c>
      <c r="T185" s="839">
        <f>T208 + T232 + T256</f>
        <v>0</v>
      </c>
      <c r="U185" s="839">
        <f>U208 + U232 + U256</f>
        <v>0</v>
      </c>
      <c r="V185" s="839">
        <f>V208 + V232 + V256</f>
        <v>0</v>
      </c>
      <c r="W185" s="839">
        <f>W208 + W232 + W256</f>
        <v>0</v>
      </c>
      <c r="X185" s="839">
        <f>X208 + X232 + X256</f>
        <v>0</v>
      </c>
      <c r="Y185" s="839">
        <f>Y208 + Y232 + Y256</f>
        <v>0</v>
      </c>
      <c r="Z185" s="839">
        <f>Z208 + Z232 + Z256</f>
        <v>0</v>
      </c>
      <c r="AA185" s="839">
        <f>AA208 + AA232 + AA256</f>
        <v>0</v>
      </c>
      <c r="AB185" s="839">
        <f>AB208 + AB232 + AB256</f>
        <v>0</v>
      </c>
      <c r="AC185" s="841">
        <f>AC208 + AC232 + AC256</f>
        <v>0</v>
      </c>
      <c r="AD185" s="841">
        <f>AD208 + AD232 + AD256</f>
        <v>0</v>
      </c>
      <c r="AE185" s="841">
        <f>AE208 + AE232 + AE256</f>
        <v>0</v>
      </c>
      <c r="AF185" s="841">
        <f>AF208 + AF232 + AF256</f>
        <v>0</v>
      </c>
      <c r="AG185" s="841">
        <f>AG208 + AG232 + AG256</f>
        <v>0</v>
      </c>
      <c r="AH185" s="841">
        <f>AH208 + AH232 + AH256</f>
        <v>0</v>
      </c>
      <c r="AI185" s="841">
        <f>AI208 + AI232 + AI256</f>
        <v>0</v>
      </c>
      <c r="AJ185" s="841">
        <f>AJ208 + AJ232 + AJ256</f>
        <v>0</v>
      </c>
      <c r="AK185" s="841">
        <f>AK208 + AK232 + AK256</f>
        <v>0</v>
      </c>
      <c r="AL185" s="841">
        <f>AL208 + AL232 + AL256</f>
        <v>0</v>
      </c>
      <c r="AM185" s="841">
        <f>AM208 + AM232 + AM256</f>
        <v>0</v>
      </c>
      <c r="AN185" s="841">
        <f>AN208 + AN232 + AN256</f>
        <v>0</v>
      </c>
      <c r="AO185" s="841">
        <f>AO208 + AO232 + AO256</f>
        <v>0</v>
      </c>
      <c r="AP185" s="841">
        <f>AP208 + AP232 + AP256</f>
        <v>0</v>
      </c>
    </row>
    <row r="186" hidden="1" ht="12.75" customHeight="1">
      <c r="B186" s="842" t="s">
        <v>109</v>
      </c>
      <c r="C186" s="839">
        <f>C209 + C233 + C257</f>
        <v>0</v>
      </c>
      <c r="D186" s="839">
        <f>D209 + D233 + D257</f>
        <v>0</v>
      </c>
      <c r="E186" s="839">
        <f>E209 + E233 + E257</f>
        <v>0</v>
      </c>
      <c r="F186" s="839">
        <f>F209 + F233 + F257</f>
        <v>0</v>
      </c>
      <c r="G186" s="839">
        <f>G209 + G233 + G257</f>
        <v>0</v>
      </c>
      <c r="H186" s="839">
        <f>H209 + H233 + H257</f>
        <v>0</v>
      </c>
      <c r="I186" s="839">
        <f>I209 + I233 + I257</f>
        <v>0</v>
      </c>
      <c r="J186" s="839">
        <f>J209 + J233 + J257</f>
        <v>0</v>
      </c>
      <c r="K186" s="839">
        <f>K209 + K233 + K257</f>
        <v>0</v>
      </c>
      <c r="L186" s="839">
        <f>L209 + L233 + L257</f>
        <v>0</v>
      </c>
      <c r="M186" s="839">
        <f>M209 + M233 + M257</f>
        <v>0</v>
      </c>
      <c r="N186" s="839">
        <f>N209 + N233 + N257</f>
        <v>0</v>
      </c>
      <c r="O186" s="839">
        <f>O209 + O233 + O257</f>
        <v>0</v>
      </c>
      <c r="P186" s="839">
        <f>P209 + P233 + P257</f>
        <v>0</v>
      </c>
      <c r="Q186" s="839">
        <f>Q209 + Q233 + Q257</f>
        <v>0</v>
      </c>
      <c r="R186" s="839">
        <f>R209 + R233 + R257</f>
        <v>0</v>
      </c>
      <c r="S186" s="839">
        <f>S209 + S233 + S257</f>
        <v>0</v>
      </c>
      <c r="T186" s="839">
        <f>T209 + T233 + T257</f>
        <v>0</v>
      </c>
      <c r="U186" s="839">
        <f>U209 + U233 + U257</f>
        <v>0</v>
      </c>
      <c r="V186" s="839">
        <f>V209 + V233 + V257</f>
        <v>0</v>
      </c>
      <c r="W186" s="839">
        <f>W209 + W233 + W257</f>
        <v>0</v>
      </c>
      <c r="X186" s="839">
        <f>X209 + X233 + X257</f>
        <v>0</v>
      </c>
      <c r="Y186" s="839">
        <f>Y209 + Y233 + Y257</f>
        <v>0</v>
      </c>
      <c r="Z186" s="839">
        <f>Z209 + Z233 + Z257</f>
        <v>0</v>
      </c>
      <c r="AA186" s="839">
        <f>AA209 + AA233 + AA257</f>
        <v>0</v>
      </c>
      <c r="AB186" s="839">
        <f>AB209 + AB233 + AB257</f>
        <v>0</v>
      </c>
      <c r="AC186" s="841">
        <f>AC209 + AC233 + AC257</f>
        <v>0</v>
      </c>
      <c r="AD186" s="841">
        <f>AD209 + AD233 + AD257</f>
        <v>0</v>
      </c>
      <c r="AE186" s="841">
        <f>AE209 + AE233 + AE257</f>
        <v>0</v>
      </c>
      <c r="AF186" s="841">
        <f>AF209 + AF233 + AF257</f>
        <v>0</v>
      </c>
      <c r="AG186" s="841">
        <f>AG209 + AG233 + AG257</f>
        <v>0</v>
      </c>
      <c r="AH186" s="841">
        <f>AH209 + AH233 + AH257</f>
        <v>0</v>
      </c>
      <c r="AI186" s="841">
        <f>AI209 + AI233 + AI257</f>
        <v>0</v>
      </c>
      <c r="AJ186" s="841">
        <f>AJ209 + AJ233 + AJ257</f>
        <v>0</v>
      </c>
      <c r="AK186" s="841">
        <f>AK209 + AK233 + AK257</f>
        <v>0</v>
      </c>
      <c r="AL186" s="841">
        <f>AL209 + AL233 + AL257</f>
        <v>0</v>
      </c>
      <c r="AM186" s="841">
        <f>AM209 + AM233 + AM257</f>
        <v>0</v>
      </c>
      <c r="AN186" s="841">
        <f>AN209 + AN233 + AN257</f>
        <v>0</v>
      </c>
      <c r="AO186" s="841">
        <f>AO209 + AO233 + AO257</f>
        <v>0</v>
      </c>
      <c r="AP186" s="841">
        <f>AP209 + AP233 + AP257</f>
        <v>0</v>
      </c>
    </row>
    <row r="187" hidden="1" ht="12.75" customHeight="1">
      <c r="B187" s="842" t="s">
        <v>110</v>
      </c>
      <c r="C187" s="839">
        <f>C210 + C234 + C258</f>
        <v>0</v>
      </c>
      <c r="D187" s="839">
        <f>D210 + D234 + D258</f>
        <v>0</v>
      </c>
      <c r="E187" s="839">
        <f>E210 + E234 + E258</f>
        <v>0</v>
      </c>
      <c r="F187" s="839">
        <f>F210 + F234 + F258</f>
        <v>0</v>
      </c>
      <c r="G187" s="839">
        <f>G210 + G234 + G258</f>
        <v>0</v>
      </c>
      <c r="H187" s="839">
        <f>H210 + H234 + H258</f>
        <v>0</v>
      </c>
      <c r="I187" s="839">
        <f>I210 + I234 + I258</f>
        <v>0</v>
      </c>
      <c r="J187" s="839">
        <f>J210 + J234 + J258</f>
        <v>0</v>
      </c>
      <c r="K187" s="839">
        <f>K210 + K234 + K258</f>
        <v>0</v>
      </c>
      <c r="L187" s="839">
        <f>L210 + L234 + L258</f>
        <v>0</v>
      </c>
      <c r="M187" s="839">
        <f>M210 + M234 + M258</f>
        <v>0</v>
      </c>
      <c r="N187" s="839">
        <f>N210 + N234 + N258</f>
        <v>0</v>
      </c>
      <c r="O187" s="839">
        <f>O210 + O234 + O258</f>
        <v>0</v>
      </c>
      <c r="P187" s="839">
        <f>P210 + P234 + P258</f>
        <v>0</v>
      </c>
      <c r="Q187" s="839">
        <f>Q210 + Q234 + Q258</f>
        <v>0</v>
      </c>
      <c r="R187" s="839">
        <f>R210 + R234 + R258</f>
        <v>0</v>
      </c>
      <c r="S187" s="839">
        <f>S210 + S234 + S258</f>
        <v>0</v>
      </c>
      <c r="T187" s="839">
        <f>T210 + T234 + T258</f>
        <v>0</v>
      </c>
      <c r="U187" s="839">
        <f>U210 + U234 + U258</f>
        <v>0</v>
      </c>
      <c r="V187" s="839">
        <f>V210 + V234 + V258</f>
        <v>0</v>
      </c>
      <c r="W187" s="839">
        <f>W210 + W234 + W258</f>
        <v>0</v>
      </c>
      <c r="X187" s="839">
        <f>X210 + X234 + X258</f>
        <v>0</v>
      </c>
      <c r="Y187" s="839">
        <f>Y210 + Y234 + Y258</f>
        <v>0</v>
      </c>
      <c r="Z187" s="839">
        <f>Z210 + Z234 + Z258</f>
        <v>0</v>
      </c>
      <c r="AA187" s="839">
        <f>AA210 + AA234 + AA258</f>
        <v>0</v>
      </c>
      <c r="AB187" s="839">
        <f>AB210 + AB234 + AB258</f>
        <v>0</v>
      </c>
      <c r="AC187" s="841">
        <f>AC210 + AC234 + AC258</f>
        <v>0</v>
      </c>
      <c r="AD187" s="841">
        <f>AD210 + AD234 + AD258</f>
        <v>0</v>
      </c>
      <c r="AE187" s="841">
        <f>AE210 + AE234 + AE258</f>
        <v>0</v>
      </c>
      <c r="AF187" s="841">
        <f>AF210 + AF234 + AF258</f>
        <v>0</v>
      </c>
      <c r="AG187" s="841">
        <f>AG210 + AG234 + AG258</f>
        <v>0</v>
      </c>
      <c r="AH187" s="841">
        <f>AH210 + AH234 + AH258</f>
        <v>0</v>
      </c>
      <c r="AI187" s="841">
        <f>AI210 + AI234 + AI258</f>
        <v>0</v>
      </c>
      <c r="AJ187" s="841">
        <f>AJ210 + AJ234 + AJ258</f>
        <v>0</v>
      </c>
      <c r="AK187" s="841">
        <f>AK210 + AK234 + AK258</f>
        <v>0</v>
      </c>
      <c r="AL187" s="841">
        <f>AL210 + AL234 + AL258</f>
        <v>0</v>
      </c>
      <c r="AM187" s="841">
        <f>AM210 + AM234 + AM258</f>
        <v>0</v>
      </c>
      <c r="AN187" s="841">
        <f>AN210 + AN234 + AN258</f>
        <v>0</v>
      </c>
      <c r="AO187" s="841">
        <f>AO210 + AO234 + AO258</f>
        <v>0</v>
      </c>
      <c r="AP187" s="841">
        <f>AP210 + AP234 + AP258</f>
        <v>0</v>
      </c>
    </row>
    <row r="188" hidden="1" ht="12.75" customHeight="1">
      <c r="B188" s="842" t="s">
        <v>16</v>
      </c>
      <c r="C188" s="839">
        <f>C211 + C235 + C259</f>
        <v>0</v>
      </c>
      <c r="D188" s="839">
        <f>D211 + D235 + D259</f>
        <v>0</v>
      </c>
      <c r="E188" s="839">
        <f>E211 + E235 + E259</f>
        <v>0</v>
      </c>
      <c r="F188" s="839">
        <f>F211 + F235 + F259</f>
        <v>0</v>
      </c>
      <c r="G188" s="839">
        <f>G211 + G235 + G259</f>
        <v>0</v>
      </c>
      <c r="H188" s="839">
        <f>H211 + H235 + H259</f>
        <v>0</v>
      </c>
      <c r="I188" s="839">
        <f>I211 + I235 + I259</f>
        <v>0</v>
      </c>
      <c r="J188" s="839">
        <f>J211 + J235 + J259</f>
        <v>0</v>
      </c>
      <c r="K188" s="839">
        <f>K211 + K235 + K259</f>
        <v>0</v>
      </c>
      <c r="L188" s="839">
        <f>L211 + L235 + L259</f>
        <v>0</v>
      </c>
      <c r="M188" s="839">
        <f>M211 + M235 + M259</f>
        <v>0</v>
      </c>
      <c r="N188" s="839">
        <f>N211 + N235 + N259</f>
        <v>0</v>
      </c>
      <c r="O188" s="839">
        <f>O211 + O235 + O259</f>
        <v>0</v>
      </c>
      <c r="P188" s="839">
        <f>P211 + P235 + P259</f>
        <v>0</v>
      </c>
      <c r="Q188" s="839">
        <f>Q211 + Q235 + Q259</f>
        <v>0</v>
      </c>
      <c r="R188" s="839">
        <f>R211 + R235 + R259</f>
        <v>0</v>
      </c>
      <c r="S188" s="839">
        <f>S211 + S235 + S259</f>
        <v>0</v>
      </c>
      <c r="T188" s="839">
        <f>T211 + T235 + T259</f>
        <v>0</v>
      </c>
      <c r="U188" s="839">
        <f>U211 + U235 + U259</f>
        <v>0</v>
      </c>
      <c r="V188" s="839">
        <f>V211 + V235 + V259</f>
        <v>0</v>
      </c>
      <c r="W188" s="839">
        <f>W211 + W235 + W259</f>
        <v>0</v>
      </c>
      <c r="X188" s="839">
        <f>X211 + X235 + X259</f>
        <v>0</v>
      </c>
      <c r="Y188" s="839">
        <f>Y211 + Y235 + Y259</f>
        <v>0</v>
      </c>
      <c r="Z188" s="839">
        <f>Z211 + Z235 + Z259</f>
        <v>0</v>
      </c>
      <c r="AA188" s="839">
        <f>AA211 + AA235 + AA259</f>
        <v>0</v>
      </c>
      <c r="AB188" s="839">
        <f>AB211 + AB235 + AB259</f>
        <v>0</v>
      </c>
      <c r="AC188" s="841">
        <f>AC211 + AC235 + AC259</f>
        <v>0</v>
      </c>
      <c r="AD188" s="841">
        <f>AD211 + AD235 + AD259</f>
        <v>0</v>
      </c>
      <c r="AE188" s="841">
        <f>AE211 + AE235 + AE259</f>
        <v>0</v>
      </c>
      <c r="AF188" s="841">
        <f>AF211 + AF235 + AF259</f>
        <v>0</v>
      </c>
      <c r="AG188" s="841">
        <f>AG211 + AG235 + AG259</f>
        <v>0</v>
      </c>
      <c r="AH188" s="841">
        <f>AH211 + AH235 + AH259</f>
        <v>0</v>
      </c>
      <c r="AI188" s="841">
        <f>AI211 + AI235 + AI259</f>
        <v>0</v>
      </c>
      <c r="AJ188" s="841">
        <f>AJ211 + AJ235 + AJ259</f>
        <v>0</v>
      </c>
      <c r="AK188" s="841">
        <f>AK211 + AK235 + AK259</f>
        <v>0</v>
      </c>
      <c r="AL188" s="841">
        <f>AL211 + AL235 + AL259</f>
        <v>0</v>
      </c>
      <c r="AM188" s="841">
        <f>AM211 + AM235 + AM259</f>
        <v>0</v>
      </c>
      <c r="AN188" s="841">
        <f>AN211 + AN235 + AN259</f>
        <v>0</v>
      </c>
      <c r="AO188" s="841">
        <f>AO211 + AO235 + AO259</f>
        <v>0</v>
      </c>
      <c r="AP188" s="841">
        <f>AP211 + AP235 + AP259</f>
        <v>0</v>
      </c>
    </row>
    <row r="189" hidden="1" ht="12.75" customHeight="1">
      <c r="B189" s="842" t="s">
        <v>17</v>
      </c>
      <c r="C189" s="839">
        <f>C212 + C236 + C260</f>
        <v>0</v>
      </c>
      <c r="D189" s="839">
        <f>D212 + D236 + D260</f>
        <v>0</v>
      </c>
      <c r="E189" s="839">
        <f>E212 + E236 + E260</f>
        <v>0</v>
      </c>
      <c r="F189" s="839">
        <f>F212 + F236 + F260</f>
        <v>0</v>
      </c>
      <c r="G189" s="839">
        <f>G212 + G236 + G260</f>
        <v>0</v>
      </c>
      <c r="H189" s="839">
        <f>H212 + H236 + H260</f>
        <v>0</v>
      </c>
      <c r="I189" s="839">
        <f>I212 + I236 + I260</f>
        <v>0</v>
      </c>
      <c r="J189" s="839">
        <f>J212 + J236 + J260</f>
        <v>0</v>
      </c>
      <c r="K189" s="839">
        <f>K212 + K236 + K260</f>
        <v>0</v>
      </c>
      <c r="L189" s="839">
        <f>L212 + L236 + L260</f>
        <v>0</v>
      </c>
      <c r="M189" s="839">
        <f>M212 + M236 + M260</f>
        <v>0</v>
      </c>
      <c r="N189" s="839">
        <f>N212 + N236 + N260</f>
        <v>0</v>
      </c>
      <c r="O189" s="839">
        <f>O212 + O236 + O260</f>
        <v>0</v>
      </c>
      <c r="P189" s="839">
        <f>P212 + P236 + P260</f>
        <v>0</v>
      </c>
      <c r="Q189" s="839">
        <f>Q212 + Q236 + Q260</f>
        <v>0</v>
      </c>
      <c r="R189" s="839">
        <f>R212 + R236 + R260</f>
        <v>0</v>
      </c>
      <c r="S189" s="839">
        <f>S212 + S236 + S260</f>
        <v>0</v>
      </c>
      <c r="T189" s="839">
        <f>T212 + T236 + T260</f>
        <v>0</v>
      </c>
      <c r="U189" s="839">
        <f>U212 + U236 + U260</f>
        <v>0</v>
      </c>
      <c r="V189" s="839">
        <f>V212 + V236 + V260</f>
        <v>0</v>
      </c>
      <c r="W189" s="839">
        <f>W212 + W236 + W260</f>
        <v>0</v>
      </c>
      <c r="X189" s="839">
        <f>X212 + X236 + X260</f>
        <v>0</v>
      </c>
      <c r="Y189" s="839">
        <f>Y212 + Y236 + Y260</f>
        <v>0</v>
      </c>
      <c r="Z189" s="839">
        <f>Z212 + Z236 + Z260</f>
        <v>0</v>
      </c>
      <c r="AA189" s="839">
        <f>AA212 + AA236 + AA260</f>
        <v>0</v>
      </c>
      <c r="AB189" s="839">
        <f>AB212 + AB236 + AB260</f>
        <v>0</v>
      </c>
      <c r="AC189" s="841">
        <f>AC212 + AC236 + AC260</f>
        <v>0</v>
      </c>
      <c r="AD189" s="841">
        <f>AD212 + AD236 + AD260</f>
        <v>0</v>
      </c>
      <c r="AE189" s="841">
        <f>AE212 + AE236 + AE260</f>
        <v>0</v>
      </c>
      <c r="AF189" s="841">
        <f>AF212 + AF236 + AF260</f>
        <v>0</v>
      </c>
      <c r="AG189" s="841">
        <f>AG212 + AG236 + AG260</f>
        <v>0</v>
      </c>
      <c r="AH189" s="841">
        <f>AH212 + AH236 + AH260</f>
        <v>0</v>
      </c>
      <c r="AI189" s="841">
        <f>AI212 + AI236 + AI260</f>
        <v>0</v>
      </c>
      <c r="AJ189" s="841">
        <f>AJ212 + AJ236 + AJ260</f>
        <v>0</v>
      </c>
      <c r="AK189" s="841">
        <f>AK212 + AK236 + AK260</f>
        <v>0</v>
      </c>
      <c r="AL189" s="841">
        <f>AL212 + AL236 + AL260</f>
        <v>0</v>
      </c>
      <c r="AM189" s="841">
        <f>AM212 + AM236 + AM260</f>
        <v>0</v>
      </c>
      <c r="AN189" s="841">
        <f>AN212 + AN236 + AN260</f>
        <v>0</v>
      </c>
      <c r="AO189" s="841">
        <f>AO212 + AO236 + AO260</f>
        <v>0</v>
      </c>
      <c r="AP189" s="841">
        <f>AP212 + AP236 + AP260</f>
        <v>0</v>
      </c>
    </row>
    <row r="190" hidden="1" ht="12.75" customHeight="1">
      <c r="B190" s="842" t="s">
        <v>18</v>
      </c>
      <c r="C190" s="839">
        <f>C213 + C237 + C261</f>
        <v>0</v>
      </c>
      <c r="D190" s="839">
        <f>D213 + D237 + D261</f>
        <v>0</v>
      </c>
      <c r="E190" s="839">
        <f>E213 + E237 + E261</f>
        <v>0</v>
      </c>
      <c r="F190" s="839">
        <f>F213 + F237 + F261</f>
        <v>0</v>
      </c>
      <c r="G190" s="839">
        <f>G213 + G237 + G261</f>
        <v>0</v>
      </c>
      <c r="H190" s="839">
        <f>H213 + H237 + H261</f>
        <v>0</v>
      </c>
      <c r="I190" s="839">
        <f>I213 + I237 + I261</f>
        <v>0</v>
      </c>
      <c r="J190" s="839">
        <f>J213 + J237 + J261</f>
        <v>0</v>
      </c>
      <c r="K190" s="839">
        <f>K213 + K237 + K261</f>
        <v>0</v>
      </c>
      <c r="L190" s="839">
        <f>L213 + L237 + L261</f>
        <v>0</v>
      </c>
      <c r="M190" s="839">
        <f>M213 + M237 + M261</f>
        <v>0</v>
      </c>
      <c r="N190" s="839">
        <f>N213 + N237 + N261</f>
        <v>0</v>
      </c>
      <c r="O190" s="839">
        <f>O213 + O237 + O261</f>
        <v>0</v>
      </c>
      <c r="P190" s="839">
        <f>P213 + P237 + P261</f>
        <v>0</v>
      </c>
      <c r="Q190" s="839">
        <f>Q213 + Q237 + Q261</f>
        <v>0</v>
      </c>
      <c r="R190" s="839">
        <f>R213 + R237 + R261</f>
        <v>0</v>
      </c>
      <c r="S190" s="839">
        <f>S213 + S237 + S261</f>
        <v>0</v>
      </c>
      <c r="T190" s="839">
        <f>T213 + T237 + T261</f>
        <v>0</v>
      </c>
      <c r="U190" s="839">
        <f>U213 + U237 + U261</f>
        <v>0</v>
      </c>
      <c r="V190" s="839">
        <f>V213 + V237 + V261</f>
        <v>0</v>
      </c>
      <c r="W190" s="839">
        <f>W213 + W237 + W261</f>
        <v>0</v>
      </c>
      <c r="X190" s="839">
        <f>X213 + X237 + X261</f>
        <v>0</v>
      </c>
      <c r="Y190" s="839">
        <f>Y213 + Y237 + Y261</f>
        <v>0</v>
      </c>
      <c r="Z190" s="839">
        <f>Z213 + Z237 + Z261</f>
        <v>0</v>
      </c>
      <c r="AA190" s="839">
        <f>AA213 + AA237 + AA261</f>
        <v>0</v>
      </c>
      <c r="AB190" s="839">
        <f>AB213 + AB237 + AB261</f>
        <v>0</v>
      </c>
      <c r="AC190" s="841">
        <f>AC213 + AC237 + AC261</f>
        <v>0</v>
      </c>
      <c r="AD190" s="841">
        <f>AD213 + AD237 + AD261</f>
        <v>0</v>
      </c>
      <c r="AE190" s="841">
        <f>AE213 + AE237 + AE261</f>
        <v>0</v>
      </c>
      <c r="AF190" s="841">
        <f>AF213 + AF237 + AF261</f>
        <v>0</v>
      </c>
      <c r="AG190" s="841">
        <f>AG213 + AG237 + AG261</f>
        <v>0</v>
      </c>
      <c r="AH190" s="841">
        <f>AH213 + AH237 + AH261</f>
        <v>0</v>
      </c>
      <c r="AI190" s="841">
        <f>AI213 + AI237 + AI261</f>
        <v>0</v>
      </c>
      <c r="AJ190" s="841">
        <f>AJ213 + AJ237 + AJ261</f>
        <v>0</v>
      </c>
      <c r="AK190" s="841">
        <f>AK213 + AK237 + AK261</f>
        <v>0</v>
      </c>
      <c r="AL190" s="841">
        <f>AL213 + AL237 + AL261</f>
        <v>0</v>
      </c>
      <c r="AM190" s="841">
        <f>AM213 + AM237 + AM261</f>
        <v>0</v>
      </c>
      <c r="AN190" s="841">
        <f>AN213 + AN237 + AN261</f>
        <v>0</v>
      </c>
      <c r="AO190" s="841">
        <f>AO213 + AO237 + AO261</f>
        <v>0</v>
      </c>
      <c r="AP190" s="841">
        <f>AP213 + AP237 + AP261</f>
        <v>0</v>
      </c>
    </row>
    <row r="191" hidden="1" ht="12.75" customHeight="1">
      <c r="B191" s="842" t="s">
        <v>19</v>
      </c>
      <c r="C191" s="839">
        <f>C214 + C238 + C262</f>
        <v>0</v>
      </c>
      <c r="D191" s="839">
        <f>D214 + D238 + D262</f>
        <v>0</v>
      </c>
      <c r="E191" s="839">
        <f>E214 + E238 + E262</f>
        <v>0</v>
      </c>
      <c r="F191" s="839">
        <f>F214 + F238 + F262</f>
        <v>0</v>
      </c>
      <c r="G191" s="839">
        <f>G214 + G238 + G262</f>
        <v>0</v>
      </c>
      <c r="H191" s="839">
        <f>H214 + H238 + H262</f>
        <v>0</v>
      </c>
      <c r="I191" s="839">
        <f>I214 + I238 + I262</f>
        <v>0</v>
      </c>
      <c r="J191" s="839">
        <f>J214 + J238 + J262</f>
        <v>0</v>
      </c>
      <c r="K191" s="839">
        <f>K214 + K238 + K262</f>
        <v>0</v>
      </c>
      <c r="L191" s="839">
        <f>L214 + L238 + L262</f>
        <v>0</v>
      </c>
      <c r="M191" s="839">
        <f>M214 + M238 + M262</f>
        <v>0</v>
      </c>
      <c r="N191" s="839">
        <f>N214 + N238 + N262</f>
        <v>0</v>
      </c>
      <c r="O191" s="839">
        <f>O214 + O238 + O262</f>
        <v>0</v>
      </c>
      <c r="P191" s="839">
        <f>P214 + P238 + P262</f>
        <v>0</v>
      </c>
      <c r="Q191" s="839">
        <f>Q214 + Q238 + Q262</f>
        <v>0</v>
      </c>
      <c r="R191" s="839">
        <f>R214 + R238 + R262</f>
        <v>0</v>
      </c>
      <c r="S191" s="839">
        <f>S214 + S238 + S262</f>
        <v>0</v>
      </c>
      <c r="T191" s="839">
        <f>T214 + T238 + T262</f>
        <v>0</v>
      </c>
      <c r="U191" s="839">
        <f>U214 + U238 + U262</f>
        <v>0</v>
      </c>
      <c r="V191" s="839">
        <f>V214 + V238 + V262</f>
        <v>0</v>
      </c>
      <c r="W191" s="839">
        <f>W214 + W238 + W262</f>
        <v>0</v>
      </c>
      <c r="X191" s="839">
        <f>X214 + X238 + X262</f>
        <v>0</v>
      </c>
      <c r="Y191" s="839">
        <f>Y214 + Y238 + Y262</f>
        <v>0</v>
      </c>
      <c r="Z191" s="839">
        <f>Z214 + Z238 + Z262</f>
        <v>0</v>
      </c>
      <c r="AA191" s="839">
        <f>AA214 + AA238 + AA262</f>
        <v>0</v>
      </c>
      <c r="AB191" s="839">
        <f>AB214 + AB238 + AB262</f>
        <v>0</v>
      </c>
      <c r="AC191" s="841">
        <f>AC214 + AC238 + AC262</f>
        <v>0</v>
      </c>
      <c r="AD191" s="841">
        <f>AD214 + AD238 + AD262</f>
        <v>0</v>
      </c>
      <c r="AE191" s="841">
        <f>AE214 + AE238 + AE262</f>
        <v>0</v>
      </c>
      <c r="AF191" s="841">
        <f>AF214 + AF238 + AF262</f>
        <v>0</v>
      </c>
      <c r="AG191" s="841">
        <f>AG214 + AG238 + AG262</f>
        <v>0</v>
      </c>
      <c r="AH191" s="841">
        <f>AH214 + AH238 + AH262</f>
        <v>0</v>
      </c>
      <c r="AI191" s="841">
        <f>AI214 + AI238 + AI262</f>
        <v>0</v>
      </c>
      <c r="AJ191" s="841">
        <f>AJ214 + AJ238 + AJ262</f>
        <v>0</v>
      </c>
      <c r="AK191" s="841">
        <f>AK214 + AK238 + AK262</f>
        <v>0</v>
      </c>
      <c r="AL191" s="841">
        <f>AL214 + AL238 + AL262</f>
        <v>0</v>
      </c>
      <c r="AM191" s="841">
        <f>AM214 + AM238 + AM262</f>
        <v>0</v>
      </c>
      <c r="AN191" s="841">
        <f>AN214 + AN238 + AN262</f>
        <v>0</v>
      </c>
      <c r="AO191" s="841">
        <f>AO214 + AO238 + AO262</f>
        <v>0</v>
      </c>
      <c r="AP191" s="841">
        <f>AP214 + AP238 + AP262</f>
        <v>0</v>
      </c>
    </row>
    <row r="192" hidden="1" ht="12.75" customHeight="1">
      <c r="B192" s="842" t="s">
        <v>20</v>
      </c>
      <c r="C192" s="839">
        <f>C215 + C239 + C263</f>
        <v>0</v>
      </c>
      <c r="D192" s="839">
        <f>D215 + D239 + D263</f>
        <v>0</v>
      </c>
      <c r="E192" s="839">
        <f>E215 + E239 + E263</f>
        <v>0</v>
      </c>
      <c r="F192" s="839">
        <f>F215 + F239 + F263</f>
        <v>0</v>
      </c>
      <c r="G192" s="839">
        <f>G215 + G239 + G263</f>
        <v>0</v>
      </c>
      <c r="H192" s="839">
        <f>H215 + H239 + H263</f>
        <v>0</v>
      </c>
      <c r="I192" s="839">
        <f>I215 + I239 + I263</f>
        <v>0</v>
      </c>
      <c r="J192" s="839">
        <f>J215 + J239 + J263</f>
        <v>0</v>
      </c>
      <c r="K192" s="839">
        <f>K215 + K239 + K263</f>
        <v>0</v>
      </c>
      <c r="L192" s="839">
        <f>L215 + L239 + L263</f>
        <v>0</v>
      </c>
      <c r="M192" s="839">
        <f>M215 + M239 + M263</f>
        <v>0</v>
      </c>
      <c r="N192" s="839">
        <f>N215 + N239 + N263</f>
        <v>0</v>
      </c>
      <c r="O192" s="839">
        <f>O215 + O239 + O263</f>
        <v>0</v>
      </c>
      <c r="P192" s="839">
        <f>P215 + P239 + P263</f>
        <v>0</v>
      </c>
      <c r="Q192" s="839">
        <f>Q215 + Q239 + Q263</f>
        <v>0</v>
      </c>
      <c r="R192" s="839">
        <f>R215 + R239 + R263</f>
        <v>0</v>
      </c>
      <c r="S192" s="839">
        <f>S215 + S239 + S263</f>
        <v>0</v>
      </c>
      <c r="T192" s="839">
        <f>T215 + T239 + T263</f>
        <v>0</v>
      </c>
      <c r="U192" s="839">
        <f>U215 + U239 + U263</f>
        <v>0</v>
      </c>
      <c r="V192" s="839">
        <f>V215 + V239 + V263</f>
        <v>0</v>
      </c>
      <c r="W192" s="839">
        <f>W215 + W239 + W263</f>
        <v>0</v>
      </c>
      <c r="X192" s="839">
        <f>X215 + X239 + X263</f>
        <v>0</v>
      </c>
      <c r="Y192" s="839">
        <f>Y215 + Y239 + Y263</f>
        <v>0</v>
      </c>
      <c r="Z192" s="839">
        <f>Z215 + Z239 + Z263</f>
        <v>0</v>
      </c>
      <c r="AA192" s="839">
        <f>AA215 + AA239 + AA263</f>
        <v>0</v>
      </c>
      <c r="AB192" s="839">
        <f>AB215 + AB239 + AB263</f>
        <v>0</v>
      </c>
      <c r="AC192" s="841">
        <f>AC215 + AC239 + AC263</f>
        <v>0</v>
      </c>
      <c r="AD192" s="841">
        <f>AD215 + AD239 + AD263</f>
        <v>0</v>
      </c>
      <c r="AE192" s="841">
        <f>AE215 + AE239 + AE263</f>
        <v>0</v>
      </c>
      <c r="AF192" s="841">
        <f>AF215 + AF239 + AF263</f>
        <v>0</v>
      </c>
      <c r="AG192" s="841">
        <f>AG215 + AG239 + AG263</f>
        <v>0</v>
      </c>
      <c r="AH192" s="841">
        <f>AH215 + AH239 + AH263</f>
        <v>0</v>
      </c>
      <c r="AI192" s="841">
        <f>AI215 + AI239 + AI263</f>
        <v>0</v>
      </c>
      <c r="AJ192" s="841">
        <f>AJ215 + AJ239 + AJ263</f>
        <v>0</v>
      </c>
      <c r="AK192" s="841">
        <f>AK215 + AK239 + AK263</f>
        <v>0</v>
      </c>
      <c r="AL192" s="841">
        <f>AL215 + AL239 + AL263</f>
        <v>0</v>
      </c>
      <c r="AM192" s="841">
        <f>AM215 + AM239 + AM263</f>
        <v>0</v>
      </c>
      <c r="AN192" s="841">
        <f>AN215 + AN239 + AN263</f>
        <v>0</v>
      </c>
      <c r="AO192" s="841">
        <f>AO215 + AO239 + AO263</f>
        <v>0</v>
      </c>
      <c r="AP192" s="841">
        <f>AP215 + AP239 + AP263</f>
        <v>0</v>
      </c>
    </row>
    <row r="193" hidden="1" ht="12.75" customHeight="1">
      <c r="B193" s="842" t="s">
        <v>21</v>
      </c>
      <c r="C193" s="839">
        <f>C216 + C240 + C264</f>
        <v>0</v>
      </c>
      <c r="D193" s="839">
        <f>D216 + D240 + D264</f>
        <v>0</v>
      </c>
      <c r="E193" s="839">
        <f>E216 + E240 + E264</f>
        <v>0</v>
      </c>
      <c r="F193" s="839">
        <f>F216 + F240 + F264</f>
        <v>0</v>
      </c>
      <c r="G193" s="839">
        <f>G216 + G240 + G264</f>
        <v>0</v>
      </c>
      <c r="H193" s="839">
        <f>H216 + H240 + H264</f>
        <v>0</v>
      </c>
      <c r="I193" s="839">
        <f>I216 + I240 + I264</f>
        <v>0</v>
      </c>
      <c r="J193" s="839">
        <f>J216 + J240 + J264</f>
        <v>0</v>
      </c>
      <c r="K193" s="839">
        <f>K216 + K240 + K264</f>
        <v>0</v>
      </c>
      <c r="L193" s="839">
        <f>L216 + L240 + L264</f>
        <v>0</v>
      </c>
      <c r="M193" s="839">
        <f>M216 + M240 + M264</f>
        <v>0</v>
      </c>
      <c r="N193" s="839">
        <f>N216 + N240 + N264</f>
        <v>0</v>
      </c>
      <c r="O193" s="839">
        <f>O216 + O240 + O264</f>
        <v>0</v>
      </c>
      <c r="P193" s="839">
        <f>P216 + P240 + P264</f>
        <v>0</v>
      </c>
      <c r="Q193" s="839">
        <f>Q216 + Q240 + Q264</f>
        <v>0</v>
      </c>
      <c r="R193" s="839">
        <f>R216 + R240 + R264</f>
        <v>0</v>
      </c>
      <c r="S193" s="839">
        <f>S216 + S240 + S264</f>
        <v>0</v>
      </c>
      <c r="T193" s="839">
        <f>T216 + T240 + T264</f>
        <v>0</v>
      </c>
      <c r="U193" s="839">
        <f>U216 + U240 + U264</f>
        <v>0</v>
      </c>
      <c r="V193" s="839">
        <f>V216 + V240 + V264</f>
        <v>0</v>
      </c>
      <c r="W193" s="839">
        <f>W216 + W240 + W264</f>
        <v>0</v>
      </c>
      <c r="X193" s="839">
        <f>X216 + X240 + X264</f>
        <v>0</v>
      </c>
      <c r="Y193" s="839">
        <f>Y216 + Y240 + Y264</f>
        <v>0</v>
      </c>
      <c r="Z193" s="839">
        <f>Z216 + Z240 + Z264</f>
        <v>0</v>
      </c>
      <c r="AA193" s="839">
        <f>AA216 + AA240 + AA264</f>
        <v>0</v>
      </c>
      <c r="AB193" s="839">
        <f>AB216 + AB240 + AB264</f>
        <v>0</v>
      </c>
      <c r="AC193" s="841">
        <f>AC216 + AC240 + AC264</f>
        <v>0</v>
      </c>
      <c r="AD193" s="841">
        <f>AD216 + AD240 + AD264</f>
        <v>0</v>
      </c>
      <c r="AE193" s="841">
        <f>AE216 + AE240 + AE264</f>
        <v>0</v>
      </c>
      <c r="AF193" s="841">
        <f>AF216 + AF240 + AF264</f>
        <v>0</v>
      </c>
      <c r="AG193" s="841">
        <f>AG216 + AG240 + AG264</f>
        <v>0</v>
      </c>
      <c r="AH193" s="841">
        <f>AH216 + AH240 + AH264</f>
        <v>0</v>
      </c>
      <c r="AI193" s="841">
        <f>AI216 + AI240 + AI264</f>
        <v>0</v>
      </c>
      <c r="AJ193" s="841">
        <f>AJ216 + AJ240 + AJ264</f>
        <v>0</v>
      </c>
      <c r="AK193" s="841">
        <f>AK216 + AK240 + AK264</f>
        <v>0</v>
      </c>
      <c r="AL193" s="841">
        <f>AL216 + AL240 + AL264</f>
        <v>0</v>
      </c>
      <c r="AM193" s="841">
        <f>AM216 + AM240 + AM264</f>
        <v>0</v>
      </c>
      <c r="AN193" s="841">
        <f>AN216 + AN240 + AN264</f>
        <v>0</v>
      </c>
      <c r="AO193" s="841">
        <f>AO216 + AO240 + AO264</f>
        <v>0</v>
      </c>
      <c r="AP193" s="841">
        <f>AP216 + AP240 + AP264</f>
        <v>0</v>
      </c>
    </row>
    <row r="194" hidden="1" ht="12.75" customHeight="1">
      <c r="B194" s="842" t="s">
        <v>22</v>
      </c>
      <c r="C194" s="839">
        <f>C217 + C241 + C265</f>
        <v>0</v>
      </c>
      <c r="D194" s="839">
        <f>D217 + D241 + D265</f>
        <v>0</v>
      </c>
      <c r="E194" s="839">
        <f>E217 + E241 + E265</f>
        <v>0</v>
      </c>
      <c r="F194" s="839">
        <f>F217 + F241 + F265</f>
        <v>0</v>
      </c>
      <c r="G194" s="839">
        <f>G217 + G241 + G265</f>
        <v>0</v>
      </c>
      <c r="H194" s="839">
        <f>H217 + H241 + H265</f>
        <v>0</v>
      </c>
      <c r="I194" s="839">
        <f>I217 + I241 + I265</f>
        <v>0</v>
      </c>
      <c r="J194" s="839">
        <f>J217 + J241 + J265</f>
        <v>0</v>
      </c>
      <c r="K194" s="839">
        <f>K217 + K241 + K265</f>
        <v>0</v>
      </c>
      <c r="L194" s="839">
        <f>L217 + L241 + L265</f>
        <v>0</v>
      </c>
      <c r="M194" s="839">
        <f>M217 + M241 + M265</f>
        <v>0</v>
      </c>
      <c r="N194" s="839">
        <f>N217 + N241 + N265</f>
        <v>0</v>
      </c>
      <c r="O194" s="839">
        <f>O217 + O241 + O265</f>
        <v>0</v>
      </c>
      <c r="P194" s="839">
        <f>P217 + P241 + P265</f>
        <v>0</v>
      </c>
      <c r="Q194" s="839">
        <f>Q217 + Q241 + Q265</f>
        <v>0</v>
      </c>
      <c r="R194" s="839">
        <f>R217 + R241 + R265</f>
        <v>0</v>
      </c>
      <c r="S194" s="839">
        <f>S217 + S241 + S265</f>
        <v>0</v>
      </c>
      <c r="T194" s="839">
        <f>T217 + T241 + T265</f>
        <v>0</v>
      </c>
      <c r="U194" s="839">
        <f>U217 + U241 + U265</f>
        <v>0</v>
      </c>
      <c r="V194" s="839">
        <f>V217 + V241 + V265</f>
        <v>0</v>
      </c>
      <c r="W194" s="839">
        <f>W217 + W241 + W265</f>
        <v>0</v>
      </c>
      <c r="X194" s="839">
        <f>X217 + X241 + X265</f>
        <v>0</v>
      </c>
      <c r="Y194" s="839">
        <f>Y217 + Y241 + Y265</f>
        <v>0</v>
      </c>
      <c r="Z194" s="839">
        <f>Z217 + Z241 + Z265</f>
        <v>0</v>
      </c>
      <c r="AA194" s="839">
        <f>AA217 + AA241 + AA265</f>
        <v>0</v>
      </c>
      <c r="AB194" s="839">
        <f>AB217 + AB241 + AB265</f>
        <v>0</v>
      </c>
      <c r="AC194" s="841">
        <f>AC217 + AC241 + AC265</f>
        <v>0</v>
      </c>
      <c r="AD194" s="841">
        <f>AD217 + AD241 + AD265</f>
        <v>0</v>
      </c>
      <c r="AE194" s="841">
        <f>AE217 + AE241 + AE265</f>
        <v>0</v>
      </c>
      <c r="AF194" s="841">
        <f>AF217 + AF241 + AF265</f>
        <v>0</v>
      </c>
      <c r="AG194" s="841">
        <f>AG217 + AG241 + AG265</f>
        <v>0</v>
      </c>
      <c r="AH194" s="841">
        <f>AH217 + AH241 + AH265</f>
        <v>0</v>
      </c>
      <c r="AI194" s="841">
        <f>AI217 + AI241 + AI265</f>
        <v>0</v>
      </c>
      <c r="AJ194" s="841">
        <f>AJ217 + AJ241 + AJ265</f>
        <v>0</v>
      </c>
      <c r="AK194" s="841">
        <f>AK217 + AK241 + AK265</f>
        <v>0</v>
      </c>
      <c r="AL194" s="841">
        <f>AL217 + AL241 + AL265</f>
        <v>0</v>
      </c>
      <c r="AM194" s="841">
        <f>AM217 + AM241 + AM265</f>
        <v>0</v>
      </c>
      <c r="AN194" s="841">
        <f>AN217 + AN241 + AN265</f>
        <v>0</v>
      </c>
      <c r="AO194" s="841">
        <f>AO217 + AO241 + AO265</f>
        <v>0</v>
      </c>
      <c r="AP194" s="841">
        <f>AP217 + AP241 + AP265</f>
        <v>0</v>
      </c>
    </row>
    <row r="195" hidden="1" ht="12.75" customHeight="1">
      <c r="B195" s="842" t="s">
        <v>23</v>
      </c>
      <c r="C195" s="839">
        <f>C218 + C242 + C266</f>
        <v>0</v>
      </c>
      <c r="D195" s="839">
        <f>D218 + D242 + D266</f>
        <v>0</v>
      </c>
      <c r="E195" s="839">
        <f>E218 + E242 + E266</f>
        <v>0</v>
      </c>
      <c r="F195" s="839">
        <f>F218 + F242 + F266</f>
        <v>0</v>
      </c>
      <c r="G195" s="839">
        <f>G218 + G242 + G266</f>
        <v>0</v>
      </c>
      <c r="H195" s="839">
        <f>H218 + H242 + H266</f>
        <v>0</v>
      </c>
      <c r="I195" s="839">
        <f>I218 + I242 + I266</f>
        <v>0</v>
      </c>
      <c r="J195" s="839">
        <f>J218 + J242 + J266</f>
        <v>0</v>
      </c>
      <c r="K195" s="839">
        <f>K218 + K242 + K266</f>
        <v>0</v>
      </c>
      <c r="L195" s="839">
        <f>L218 + L242 + L266</f>
        <v>0</v>
      </c>
      <c r="M195" s="839">
        <f>M218 + M242 + M266</f>
        <v>0</v>
      </c>
      <c r="N195" s="839">
        <f>N218 + N242 + N266</f>
        <v>0</v>
      </c>
      <c r="O195" s="839">
        <f>O218 + O242 + O266</f>
        <v>0</v>
      </c>
      <c r="P195" s="839">
        <f>P218 + P242 + P266</f>
        <v>0</v>
      </c>
      <c r="Q195" s="839">
        <f>Q218 + Q242 + Q266</f>
        <v>0</v>
      </c>
      <c r="R195" s="839">
        <f>R218 + R242 + R266</f>
        <v>0</v>
      </c>
      <c r="S195" s="839">
        <f>S218 + S242 + S266</f>
        <v>0</v>
      </c>
      <c r="T195" s="839">
        <f>T218 + T242 + T266</f>
        <v>0</v>
      </c>
      <c r="U195" s="839">
        <f>U218 + U242 + U266</f>
        <v>0</v>
      </c>
      <c r="V195" s="839">
        <f>V218 + V242 + V266</f>
        <v>0</v>
      </c>
      <c r="W195" s="839">
        <f>W218 + W242 + W266</f>
        <v>0</v>
      </c>
      <c r="X195" s="839">
        <f>X218 + X242 + X266</f>
        <v>0</v>
      </c>
      <c r="Y195" s="839">
        <f>Y218 + Y242 + Y266</f>
        <v>0</v>
      </c>
      <c r="Z195" s="839">
        <f>Z218 + Z242 + Z266</f>
        <v>0</v>
      </c>
      <c r="AA195" s="839">
        <f>AA218 + AA242 + AA266</f>
        <v>0</v>
      </c>
      <c r="AB195" s="839">
        <f>AB218 + AB242 + AB266</f>
        <v>0</v>
      </c>
      <c r="AC195" s="841">
        <f>AC218 + AC242 + AC266</f>
        <v>0</v>
      </c>
      <c r="AD195" s="841">
        <f>AD218 + AD242 + AD266</f>
        <v>0</v>
      </c>
      <c r="AE195" s="841">
        <f>AE218 + AE242 + AE266</f>
        <v>0</v>
      </c>
      <c r="AF195" s="841">
        <f>AF218 + AF242 + AF266</f>
        <v>0</v>
      </c>
      <c r="AG195" s="841">
        <f>AG218 + AG242 + AG266</f>
        <v>0</v>
      </c>
      <c r="AH195" s="841">
        <f>AH218 + AH242 + AH266</f>
        <v>0</v>
      </c>
      <c r="AI195" s="841">
        <f>AI218 + AI242 + AI266</f>
        <v>0</v>
      </c>
      <c r="AJ195" s="841">
        <f>AJ218 + AJ242 + AJ266</f>
        <v>0</v>
      </c>
      <c r="AK195" s="841">
        <f>AK218 + AK242 + AK266</f>
        <v>0</v>
      </c>
      <c r="AL195" s="841">
        <f>AL218 + AL242 + AL266</f>
        <v>0</v>
      </c>
      <c r="AM195" s="841">
        <f>AM218 + AM242 + AM266</f>
        <v>0</v>
      </c>
      <c r="AN195" s="841">
        <f>AN218 + AN242 + AN266</f>
        <v>0</v>
      </c>
      <c r="AO195" s="841">
        <f>AO218 + AO242 + AO266</f>
        <v>0</v>
      </c>
      <c r="AP195" s="841">
        <f>AP218 + AP242 + AP266</f>
        <v>0</v>
      </c>
    </row>
    <row r="196" hidden="1" ht="12.75" customHeight="1">
      <c r="B196" s="843" t="s">
        <v>24</v>
      </c>
      <c r="C196" s="839">
        <f>C219 + C243 + C267</f>
        <v>0</v>
      </c>
      <c r="D196" s="839">
        <f>D219 + D243 + D267</f>
        <v>0</v>
      </c>
      <c r="E196" s="839">
        <f>E219 + E243 + E267</f>
        <v>0</v>
      </c>
      <c r="F196" s="839">
        <f>F219 + F243 + F267</f>
        <v>0</v>
      </c>
      <c r="G196" s="839">
        <f>G219 + G243 + G267</f>
        <v>0</v>
      </c>
      <c r="H196" s="839">
        <f>H219 + H243 + H267</f>
        <v>0</v>
      </c>
      <c r="I196" s="839">
        <f>I219 + I243 + I267</f>
        <v>0</v>
      </c>
      <c r="J196" s="839">
        <f>J219 + J243 + J267</f>
        <v>0</v>
      </c>
      <c r="K196" s="839">
        <f>K219 + K243 + K267</f>
        <v>0</v>
      </c>
      <c r="L196" s="839">
        <f>L219 + L243 + L267</f>
        <v>0</v>
      </c>
      <c r="M196" s="839">
        <f>M219 + M243 + M267</f>
        <v>0</v>
      </c>
      <c r="N196" s="839">
        <f>N219 + N243 + N267</f>
        <v>0</v>
      </c>
      <c r="O196" s="839">
        <f>O219 + O243 + O267</f>
        <v>0</v>
      </c>
      <c r="P196" s="839">
        <f>P219 + P243 + P267</f>
        <v>0</v>
      </c>
      <c r="Q196" s="839">
        <f>Q219 + Q243 + Q267</f>
        <v>0</v>
      </c>
      <c r="R196" s="839">
        <f>R219 + R243 + R267</f>
        <v>0</v>
      </c>
      <c r="S196" s="839">
        <f>S219 + S243 + S267</f>
        <v>0</v>
      </c>
      <c r="T196" s="839">
        <f>T219 + T243 + T267</f>
        <v>0</v>
      </c>
      <c r="U196" s="839">
        <f>U219 + U243 + U267</f>
        <v>0</v>
      </c>
      <c r="V196" s="839">
        <f>V219 + V243 + V267</f>
        <v>0</v>
      </c>
      <c r="W196" s="839">
        <f>W219 + W243 + W267</f>
        <v>0</v>
      </c>
      <c r="X196" s="839">
        <f>X219 + X243 + X267</f>
        <v>0</v>
      </c>
      <c r="Y196" s="839">
        <f>Y219 + Y243 + Y267</f>
        <v>0</v>
      </c>
      <c r="Z196" s="839">
        <f>Z219 + Z243 + Z267</f>
        <v>0</v>
      </c>
      <c r="AA196" s="839">
        <f>AA219 + AA243 + AA267</f>
        <v>0</v>
      </c>
      <c r="AB196" s="839">
        <f>AB219 + AB243 + AB267</f>
        <v>0</v>
      </c>
      <c r="AC196" s="841">
        <f>AC219 + AC243 + AC267</f>
        <v>0</v>
      </c>
      <c r="AD196" s="841">
        <f>AD219 + AD243 + AD267</f>
        <v>0</v>
      </c>
      <c r="AE196" s="841">
        <f>AE219 + AE243 + AE267</f>
        <v>0</v>
      </c>
      <c r="AF196" s="841">
        <f>AF219 + AF243 + AF267</f>
        <v>0</v>
      </c>
      <c r="AG196" s="841">
        <f>AG219 + AG243 + AG267</f>
        <v>0</v>
      </c>
      <c r="AH196" s="841">
        <f>AH219 + AH243 + AH267</f>
        <v>0</v>
      </c>
      <c r="AI196" s="841">
        <f>AI219 + AI243 + AI267</f>
        <v>0</v>
      </c>
      <c r="AJ196" s="841">
        <f>AJ219 + AJ243 + AJ267</f>
        <v>0</v>
      </c>
      <c r="AK196" s="841">
        <f>AK219 + AK243 + AK267</f>
        <v>0</v>
      </c>
      <c r="AL196" s="841">
        <f>AL219 + AL243 + AL267</f>
        <v>0</v>
      </c>
      <c r="AM196" s="841">
        <f>AM219 + AM243 + AM267</f>
        <v>0</v>
      </c>
      <c r="AN196" s="841">
        <f>AN219 + AN243 + AN267</f>
        <v>0</v>
      </c>
      <c r="AO196" s="841">
        <f>AO219 + AO243 + AO267</f>
        <v>0</v>
      </c>
      <c r="AP196" s="841">
        <f>AP219 + AP243 + AP267</f>
        <v>0</v>
      </c>
    </row>
    <row r="197" hidden="1" ht="12.75" customHeight="1">
      <c r="B197" s="842" t="s">
        <v>25</v>
      </c>
      <c r="C197" s="839">
        <f>C220 + C244 + C268</f>
        <v>0</v>
      </c>
      <c r="D197" s="839">
        <f>D220 + D244 + D268</f>
        <v>0</v>
      </c>
      <c r="E197" s="839">
        <f>E220 + E244 + E268</f>
        <v>0</v>
      </c>
      <c r="F197" s="839">
        <f>F220 + F244 + F268</f>
        <v>0</v>
      </c>
      <c r="G197" s="839">
        <f>G220 + G244 + G268</f>
        <v>0</v>
      </c>
      <c r="H197" s="839">
        <f>H220 + H244 + H268</f>
        <v>0</v>
      </c>
      <c r="I197" s="839">
        <f>I220 + I244 + I268</f>
        <v>0</v>
      </c>
      <c r="J197" s="839">
        <f>J220 + J244 + J268</f>
        <v>0</v>
      </c>
      <c r="K197" s="839">
        <f>K220 + K244 + K268</f>
        <v>0</v>
      </c>
      <c r="L197" s="839">
        <f>L220 + L244 + L268</f>
        <v>0</v>
      </c>
      <c r="M197" s="839">
        <f>M220 + M244 + M268</f>
        <v>0</v>
      </c>
      <c r="N197" s="839">
        <f>N220 + N244 + N268</f>
        <v>0</v>
      </c>
      <c r="O197" s="839">
        <f>O220 + O244 + O268</f>
        <v>0</v>
      </c>
      <c r="P197" s="839">
        <f>P220 + P244 + P268</f>
        <v>0</v>
      </c>
      <c r="Q197" s="839">
        <f>Q220 + Q244 + Q268</f>
        <v>0</v>
      </c>
      <c r="R197" s="839">
        <f>R220 + R244 + R268</f>
        <v>0</v>
      </c>
      <c r="S197" s="839">
        <f>S220 + S244 + S268</f>
        <v>0</v>
      </c>
      <c r="T197" s="839">
        <f>T220 + T244 + T268</f>
        <v>0</v>
      </c>
      <c r="U197" s="839">
        <f>U220 + U244 + U268</f>
        <v>0</v>
      </c>
      <c r="V197" s="839">
        <f>V220 + V244 + V268</f>
        <v>0</v>
      </c>
      <c r="W197" s="839">
        <f>W220 + W244 + W268</f>
        <v>0</v>
      </c>
      <c r="X197" s="839">
        <f>X220 + X244 + X268</f>
        <v>0</v>
      </c>
      <c r="Y197" s="839">
        <f>Y220 + Y244 + Y268</f>
        <v>0</v>
      </c>
      <c r="Z197" s="839">
        <f>Z220 + Z244 + Z268</f>
        <v>0</v>
      </c>
      <c r="AA197" s="839">
        <f>AA220 + AA244 + AA268</f>
        <v>0</v>
      </c>
      <c r="AB197" s="839">
        <f>AB220 + AB244 + AB268</f>
        <v>0</v>
      </c>
      <c r="AC197" s="841">
        <f>AC220 + AC244 + AC268</f>
        <v>0</v>
      </c>
      <c r="AD197" s="841">
        <f>AD220 + AD244 + AD268</f>
        <v>0</v>
      </c>
      <c r="AE197" s="841">
        <f>AE220 + AE244 + AE268</f>
        <v>0</v>
      </c>
      <c r="AF197" s="841">
        <f>AF220 + AF244 + AF268</f>
        <v>0</v>
      </c>
      <c r="AG197" s="841">
        <f>AG220 + AG244 + AG268</f>
        <v>0</v>
      </c>
      <c r="AH197" s="841">
        <f>AH220 + AH244 + AH268</f>
        <v>0</v>
      </c>
      <c r="AI197" s="841">
        <f>AI220 + AI244 + AI268</f>
        <v>0</v>
      </c>
      <c r="AJ197" s="841">
        <f>AJ220 + AJ244 + AJ268</f>
        <v>0</v>
      </c>
      <c r="AK197" s="841">
        <f>AK220 + AK244 + AK268</f>
        <v>0</v>
      </c>
      <c r="AL197" s="841">
        <f>AL220 + AL244 + AL268</f>
        <v>0</v>
      </c>
      <c r="AM197" s="841">
        <f>AM220 + AM244 + AM268</f>
        <v>0</v>
      </c>
      <c r="AN197" s="841">
        <f>AN220 + AN244 + AN268</f>
        <v>0</v>
      </c>
      <c r="AO197" s="841">
        <f>AO220 + AO244 + AO268</f>
        <v>0</v>
      </c>
      <c r="AP197" s="841">
        <f>AP220 + AP244 + AP268</f>
        <v>0</v>
      </c>
    </row>
    <row r="198" hidden="1" ht="13.5" customHeight="1">
      <c r="B198" s="844" t="s">
        <v>26</v>
      </c>
      <c r="C198" s="839">
        <f>C221 + C245 + C269</f>
        <v>0</v>
      </c>
      <c r="D198" s="839">
        <f>D221 + D245 + D269</f>
        <v>0</v>
      </c>
      <c r="E198" s="839">
        <f>E221 + E245 + E269</f>
        <v>0</v>
      </c>
      <c r="F198" s="839">
        <f>F221 + F245 + F269</f>
        <v>0</v>
      </c>
      <c r="G198" s="839">
        <f>G221 + G245 + G269</f>
        <v>0</v>
      </c>
      <c r="H198" s="839">
        <f>H221 + H245 + H269</f>
        <v>0</v>
      </c>
      <c r="I198" s="839">
        <f>I221 + I245 + I269</f>
        <v>0</v>
      </c>
      <c r="J198" s="839">
        <f>J221 + J245 + J269</f>
        <v>0</v>
      </c>
      <c r="K198" s="839">
        <f>K221 + K245 + K269</f>
        <v>0</v>
      </c>
      <c r="L198" s="839">
        <f>L221 + L245 + L269</f>
        <v>0</v>
      </c>
      <c r="M198" s="839">
        <f>M221 + M245 + M269</f>
        <v>0</v>
      </c>
      <c r="N198" s="839">
        <f>N221 + N245 + N269</f>
        <v>0</v>
      </c>
      <c r="O198" s="839">
        <f>O221 + O245 + O269</f>
        <v>0</v>
      </c>
      <c r="P198" s="839">
        <f>P221 + P245 + P269</f>
        <v>0</v>
      </c>
      <c r="Q198" s="839">
        <f>Q221 + Q245 + Q269</f>
        <v>0</v>
      </c>
      <c r="R198" s="839">
        <f>R221 + R245 + R269</f>
        <v>0</v>
      </c>
      <c r="S198" s="839">
        <f>S221 + S245 + S269</f>
        <v>0</v>
      </c>
      <c r="T198" s="839">
        <f>T221 + T245 + T269</f>
        <v>0</v>
      </c>
      <c r="U198" s="839">
        <f>U221 + U245 + U269</f>
        <v>0</v>
      </c>
      <c r="V198" s="839">
        <f>V221 + V245 + V269</f>
        <v>0</v>
      </c>
      <c r="W198" s="839">
        <f>W221 + W245 + W269</f>
        <v>0</v>
      </c>
      <c r="X198" s="839">
        <f>X221 + X245 + X269</f>
        <v>0</v>
      </c>
      <c r="Y198" s="839">
        <f>Y221 + Y245 + Y269</f>
        <v>0</v>
      </c>
      <c r="Z198" s="839">
        <f>Z221 + Z245 + Z269</f>
        <v>0</v>
      </c>
      <c r="AA198" s="839">
        <f>AA221 + AA245 + AA269</f>
        <v>0</v>
      </c>
      <c r="AB198" s="845">
        <f>AB221 + AB245 + AB269</f>
        <v>0</v>
      </c>
      <c r="AC198" s="841">
        <f>AC221 + AC245 + AC269</f>
        <v>0</v>
      </c>
      <c r="AD198" s="841">
        <f>AD221 + AD245 + AD269</f>
        <v>0</v>
      </c>
      <c r="AE198" s="841">
        <f>AE221 + AE245 + AE269</f>
        <v>0</v>
      </c>
      <c r="AF198" s="841">
        <f>AF221 + AF245 + AF269</f>
        <v>0</v>
      </c>
      <c r="AG198" s="841">
        <f>AG221 + AG245 + AG269</f>
        <v>0</v>
      </c>
      <c r="AH198" s="841">
        <f>AH221 + AH245 + AH269</f>
        <v>0</v>
      </c>
      <c r="AI198" s="841">
        <f>AI221 + AI245 + AI269</f>
        <v>0</v>
      </c>
      <c r="AJ198" s="841">
        <f>AJ221 + AJ245 + AJ269</f>
        <v>0</v>
      </c>
      <c r="AK198" s="841">
        <f>AK221 + AK245 + AK269</f>
        <v>0</v>
      </c>
      <c r="AL198" s="841">
        <f>AL221 + AL245 + AL269</f>
        <v>0</v>
      </c>
      <c r="AM198" s="841">
        <f>AM221 + AM245 + AM269</f>
        <v>0</v>
      </c>
      <c r="AN198" s="841">
        <f>AN221 + AN245 + AN269</f>
        <v>0</v>
      </c>
      <c r="AO198" s="841">
        <f>AO221 + AO245 + AO269</f>
        <v>0</v>
      </c>
      <c r="AP198" s="841">
        <f>AP221 + AP245 + AP269</f>
        <v>0</v>
      </c>
    </row>
    <row r="199" hidden="1" ht="13.5" customHeight="1">
      <c r="B199" s="128" t="s">
        <v>7</v>
      </c>
      <c r="C199" s="129" t="str">
        <f>IF(SUM(C180:C198)&lt;&gt;0,SUM(C180:C198),"")</f>
      </c>
      <c r="D199" s="129" t="str">
        <f ref="D199:AA199" t="shared" si="0">IF(SUM(D180:D198)&lt;&gt;0,SUM(D180:D198),"")</f>
      </c>
      <c r="E199" s="129" t="str">
        <f t="shared" si="0"/>
      </c>
      <c r="F199" s="129" t="str">
        <f t="shared" si="0"/>
      </c>
      <c r="G199" s="129" t="str">
        <f t="shared" si="0"/>
      </c>
      <c r="H199" s="129" t="str">
        <f t="shared" si="0"/>
      </c>
      <c r="I199" s="129" t="str">
        <f t="shared" si="0"/>
      </c>
      <c r="J199" s="129" t="str">
        <f t="shared" si="0"/>
      </c>
      <c r="K199" s="129" t="str">
        <f t="shared" si="0"/>
      </c>
      <c r="L199" s="129" t="str">
        <f t="shared" si="0"/>
      </c>
      <c r="M199" s="129" t="str">
        <f t="shared" si="0"/>
      </c>
      <c r="N199" s="129" t="str">
        <f t="shared" si="0"/>
      </c>
      <c r="O199" s="129" t="str">
        <f t="shared" si="0"/>
      </c>
      <c r="P199" s="129" t="str">
        <f t="shared" si="0"/>
      </c>
      <c r="Q199" s="129" t="str">
        <f t="shared" si="0"/>
      </c>
      <c r="R199" s="129" t="str">
        <f t="shared" si="0"/>
      </c>
      <c r="S199" s="129" t="str">
        <f t="shared" si="0"/>
      </c>
      <c r="T199" s="129" t="str">
        <f t="shared" si="0"/>
      </c>
      <c r="U199" s="129" t="str">
        <f t="shared" si="0"/>
      </c>
      <c r="V199" s="129" t="str">
        <f t="shared" si="0"/>
      </c>
      <c r="W199" s="129" t="str">
        <f t="shared" si="0"/>
      </c>
      <c r="X199" s="129" t="str">
        <f t="shared" si="0"/>
      </c>
      <c r="Y199" s="129" t="str">
        <f t="shared" si="0"/>
      </c>
      <c r="Z199" s="129" t="str">
        <f t="shared" si="0"/>
      </c>
      <c r="AA199" s="129" t="str">
        <f t="shared" si="0"/>
      </c>
      <c r="AB199" s="130" t="str">
        <f>IF(SUM(AB180:AB198)&lt;&gt;0,SUM(AB180:AB198),"")</f>
      </c>
      <c r="AC199" s="91" t="str">
        <f ref="AC199:CN199" t="shared" si="1">IF(SUM(AC180:AC198)&lt;&gt;0,SUM(AC180:AC198),"")</f>
      </c>
      <c r="AD199" s="91" t="str">
        <f t="shared" si="1"/>
      </c>
      <c r="AE199" s="91" t="str">
        <f t="shared" si="1"/>
      </c>
      <c r="AF199" s="91" t="str">
        <f t="shared" si="1"/>
      </c>
      <c r="AG199" s="91" t="str">
        <f t="shared" si="1"/>
      </c>
      <c r="AH199" s="91" t="str">
        <f t="shared" si="1"/>
      </c>
      <c r="AI199" s="91" t="str">
        <f t="shared" si="1"/>
      </c>
      <c r="AJ199" s="91" t="str">
        <f t="shared" si="1"/>
      </c>
      <c r="AK199" s="91" t="str">
        <f t="shared" si="1"/>
      </c>
      <c r="AL199" s="91" t="str">
        <f t="shared" si="1"/>
      </c>
      <c r="AM199" s="91" t="str">
        <f t="shared" si="1"/>
      </c>
      <c r="AN199" s="91" t="str">
        <f t="shared" si="1"/>
      </c>
      <c r="AO199" s="91" t="str">
        <f t="shared" si="1"/>
      </c>
      <c r="AP199" s="91" t="str">
        <f t="shared" si="1"/>
      </c>
      <c r="AQ199" s="91" t="str">
        <f t="shared" si="1"/>
      </c>
      <c r="AR199" s="91" t="str">
        <f t="shared" si="1"/>
      </c>
      <c r="AS199" s="91" t="str">
        <f t="shared" si="1"/>
      </c>
      <c r="AT199" s="91" t="str">
        <f t="shared" si="1"/>
      </c>
      <c r="AU199" s="91" t="str">
        <f t="shared" si="1"/>
      </c>
      <c r="AV199" s="91" t="str">
        <f t="shared" si="1"/>
      </c>
      <c r="AW199" s="91" t="str">
        <f t="shared" si="1"/>
      </c>
      <c r="AX199" s="91" t="str">
        <f t="shared" si="1"/>
      </c>
      <c r="AY199" s="91" t="str">
        <f t="shared" si="1"/>
      </c>
      <c r="AZ199" s="91" t="str">
        <f t="shared" si="1"/>
      </c>
      <c r="BA199" s="91" t="str">
        <f t="shared" si="1"/>
      </c>
      <c r="BB199" s="91" t="str">
        <f t="shared" si="1"/>
      </c>
      <c r="BC199" s="91" t="str">
        <f t="shared" si="1"/>
      </c>
      <c r="BD199" s="91" t="str">
        <f t="shared" si="1"/>
      </c>
      <c r="BE199" s="91" t="str">
        <f t="shared" si="1"/>
      </c>
      <c r="BF199" s="91" t="str">
        <f t="shared" si="1"/>
      </c>
      <c r="BG199" s="91" t="str">
        <f t="shared" si="1"/>
      </c>
      <c r="BH199" s="91" t="str">
        <f t="shared" si="1"/>
      </c>
      <c r="BI199" s="91" t="str">
        <f t="shared" si="1"/>
      </c>
      <c r="BJ199" s="91" t="str">
        <f t="shared" si="1"/>
      </c>
      <c r="BK199" s="91" t="str">
        <f t="shared" si="1"/>
      </c>
      <c r="BL199" s="91" t="str">
        <f t="shared" si="1"/>
      </c>
      <c r="BM199" s="91" t="str">
        <f t="shared" si="1"/>
      </c>
      <c r="BN199" s="91" t="str">
        <f t="shared" si="1"/>
      </c>
      <c r="BO199" s="91" t="str">
        <f t="shared" si="1"/>
      </c>
      <c r="BP199" s="91" t="str">
        <f t="shared" si="1"/>
      </c>
      <c r="BQ199" s="91" t="str">
        <f t="shared" si="1"/>
      </c>
      <c r="BR199" s="91" t="str">
        <f t="shared" si="1"/>
      </c>
      <c r="BS199" s="91" t="str">
        <f t="shared" si="1"/>
      </c>
      <c r="BT199" s="91" t="str">
        <f t="shared" si="1"/>
      </c>
      <c r="BU199" s="91" t="str">
        <f t="shared" si="1"/>
      </c>
      <c r="BV199" s="91" t="str">
        <f t="shared" si="1"/>
      </c>
      <c r="BW199" s="91" t="str">
        <f t="shared" si="1"/>
      </c>
      <c r="BX199" s="91" t="str">
        <f t="shared" si="1"/>
      </c>
      <c r="BY199" s="91" t="str">
        <f t="shared" si="1"/>
      </c>
      <c r="BZ199" s="91" t="str">
        <f t="shared" si="1"/>
      </c>
      <c r="CA199" s="91" t="str">
        <f t="shared" si="1"/>
      </c>
      <c r="CB199" s="91" t="str">
        <f t="shared" si="1"/>
      </c>
      <c r="CC199" s="91" t="str">
        <f t="shared" si="1"/>
      </c>
      <c r="CD199" s="91" t="str">
        <f t="shared" si="1"/>
      </c>
      <c r="CE199" s="91" t="str">
        <f t="shared" si="1"/>
      </c>
      <c r="CF199" s="91" t="str">
        <f t="shared" si="1"/>
      </c>
      <c r="CG199" s="91" t="str">
        <f t="shared" si="1"/>
      </c>
      <c r="CH199" s="91" t="str">
        <f t="shared" si="1"/>
      </c>
      <c r="CI199" s="91" t="str">
        <f t="shared" si="1"/>
      </c>
      <c r="CJ199" s="91" t="str">
        <f t="shared" si="1"/>
      </c>
      <c r="CK199" s="91" t="str">
        <f t="shared" si="1"/>
      </c>
      <c r="CL199" s="91" t="str">
        <f t="shared" si="1"/>
      </c>
      <c r="CM199" s="91" t="str">
        <f t="shared" si="1"/>
      </c>
      <c r="CN199" s="91" t="str">
        <f t="shared" si="1"/>
      </c>
      <c r="CO199" s="91" t="str">
        <f ref="CO199:EZ199" t="shared" si="2">IF(SUM(CO180:CO198)&lt;&gt;0,SUM(CO180:CO198),"")</f>
      </c>
      <c r="CP199" s="91" t="str">
        <f t="shared" si="2"/>
      </c>
      <c r="CQ199" s="91" t="str">
        <f t="shared" si="2"/>
      </c>
      <c r="CR199" s="91" t="str">
        <f t="shared" si="2"/>
      </c>
      <c r="CS199" s="91" t="str">
        <f t="shared" si="2"/>
      </c>
      <c r="CT199" s="91" t="str">
        <f t="shared" si="2"/>
      </c>
      <c r="CU199" s="91" t="str">
        <f t="shared" si="2"/>
      </c>
      <c r="CV199" s="91" t="str">
        <f t="shared" si="2"/>
      </c>
      <c r="CW199" s="91" t="str">
        <f t="shared" si="2"/>
      </c>
      <c r="CX199" s="91" t="str">
        <f t="shared" si="2"/>
      </c>
      <c r="CY199" s="91" t="str">
        <f t="shared" si="2"/>
      </c>
      <c r="CZ199" s="91" t="str">
        <f t="shared" si="2"/>
      </c>
      <c r="DA199" s="91" t="str">
        <f t="shared" si="2"/>
      </c>
      <c r="DB199" s="91" t="str">
        <f t="shared" si="2"/>
      </c>
      <c r="DC199" s="91" t="str">
        <f t="shared" si="2"/>
      </c>
      <c r="DD199" s="91" t="str">
        <f t="shared" si="2"/>
      </c>
      <c r="DE199" s="91" t="str">
        <f t="shared" si="2"/>
      </c>
      <c r="DF199" s="91" t="str">
        <f t="shared" si="2"/>
      </c>
      <c r="DG199" s="91" t="str">
        <f t="shared" si="2"/>
      </c>
      <c r="DH199" s="91" t="str">
        <f t="shared" si="2"/>
      </c>
      <c r="DI199" s="91" t="str">
        <f t="shared" si="2"/>
      </c>
      <c r="DJ199" s="91" t="str">
        <f t="shared" si="2"/>
      </c>
      <c r="DK199" s="91" t="str">
        <f t="shared" si="2"/>
      </c>
      <c r="DL199" s="91" t="str">
        <f t="shared" si="2"/>
      </c>
      <c r="DM199" s="91" t="str">
        <f t="shared" si="2"/>
      </c>
      <c r="DN199" s="91" t="str">
        <f t="shared" si="2"/>
      </c>
      <c r="DO199" s="91" t="str">
        <f t="shared" si="2"/>
      </c>
      <c r="DP199" s="91" t="str">
        <f t="shared" si="2"/>
      </c>
      <c r="DQ199" s="91" t="str">
        <f t="shared" si="2"/>
      </c>
      <c r="DR199" s="91" t="str">
        <f t="shared" si="2"/>
      </c>
      <c r="DS199" s="91" t="str">
        <f t="shared" si="2"/>
      </c>
      <c r="DT199" s="91" t="str">
        <f t="shared" si="2"/>
      </c>
      <c r="DU199" s="91" t="str">
        <f t="shared" si="2"/>
      </c>
      <c r="DV199" s="91" t="str">
        <f t="shared" si="2"/>
      </c>
      <c r="DW199" s="91" t="str">
        <f t="shared" si="2"/>
      </c>
      <c r="DX199" s="91" t="str">
        <f t="shared" si="2"/>
      </c>
      <c r="DY199" s="91" t="str">
        <f t="shared" si="2"/>
      </c>
      <c r="DZ199" s="91" t="str">
        <f t="shared" si="2"/>
      </c>
      <c r="EA199" s="91" t="str">
        <f t="shared" si="2"/>
      </c>
      <c r="EB199" s="91" t="str">
        <f t="shared" si="2"/>
      </c>
      <c r="EC199" s="91" t="str">
        <f t="shared" si="2"/>
      </c>
      <c r="ED199" s="91" t="str">
        <f t="shared" si="2"/>
      </c>
      <c r="EE199" s="91" t="str">
        <f t="shared" si="2"/>
      </c>
      <c r="EF199" s="91" t="str">
        <f t="shared" si="2"/>
      </c>
      <c r="EG199" s="91" t="str">
        <f t="shared" si="2"/>
      </c>
      <c r="EH199" s="91" t="str">
        <f t="shared" si="2"/>
      </c>
      <c r="EI199" s="91" t="str">
        <f t="shared" si="2"/>
      </c>
      <c r="EJ199" s="91" t="str">
        <f t="shared" si="2"/>
      </c>
      <c r="EK199" s="91" t="str">
        <f t="shared" si="2"/>
      </c>
      <c r="EL199" s="91" t="str">
        <f t="shared" si="2"/>
      </c>
      <c r="EM199" s="91" t="str">
        <f t="shared" si="2"/>
      </c>
      <c r="EN199" s="91" t="str">
        <f t="shared" si="2"/>
      </c>
      <c r="EO199" s="91" t="str">
        <f t="shared" si="2"/>
      </c>
      <c r="EP199" s="91" t="str">
        <f t="shared" si="2"/>
      </c>
      <c r="EQ199" s="91" t="str">
        <f t="shared" si="2"/>
      </c>
      <c r="ER199" s="91" t="str">
        <f t="shared" si="2"/>
      </c>
      <c r="ES199" s="91" t="str">
        <f t="shared" si="2"/>
      </c>
      <c r="ET199" s="91" t="str">
        <f t="shared" si="2"/>
      </c>
      <c r="EU199" s="91" t="str">
        <f t="shared" si="2"/>
      </c>
      <c r="EV199" s="91" t="str">
        <f t="shared" si="2"/>
      </c>
      <c r="EW199" s="91" t="str">
        <f t="shared" si="2"/>
      </c>
      <c r="EX199" s="91" t="str">
        <f t="shared" si="2"/>
      </c>
      <c r="EY199" s="91" t="str">
        <f t="shared" si="2"/>
      </c>
      <c r="EZ199" s="91" t="str">
        <f t="shared" si="2"/>
      </c>
      <c r="FA199" s="91" t="str">
        <f ref="FA199:HL199" t="shared" si="3">IF(SUM(FA180:FA198)&lt;&gt;0,SUM(FA180:FA198),"")</f>
      </c>
      <c r="FB199" s="91" t="str">
        <f t="shared" si="3"/>
      </c>
      <c r="FC199" s="91" t="str">
        <f t="shared" si="3"/>
      </c>
      <c r="FD199" s="91" t="str">
        <f t="shared" si="3"/>
      </c>
      <c r="FE199" s="91" t="str">
        <f t="shared" si="3"/>
      </c>
      <c r="FF199" s="91" t="str">
        <f t="shared" si="3"/>
      </c>
      <c r="FG199" s="91" t="str">
        <f t="shared" si="3"/>
      </c>
      <c r="FH199" s="91" t="str">
        <f t="shared" si="3"/>
      </c>
      <c r="FI199" s="91" t="str">
        <f t="shared" si="3"/>
      </c>
      <c r="FJ199" s="91" t="str">
        <f t="shared" si="3"/>
      </c>
      <c r="FK199" s="91" t="str">
        <f t="shared" si="3"/>
      </c>
      <c r="FL199" s="91" t="str">
        <f t="shared" si="3"/>
      </c>
      <c r="FM199" s="91" t="str">
        <f t="shared" si="3"/>
      </c>
      <c r="FN199" s="91" t="str">
        <f t="shared" si="3"/>
      </c>
      <c r="FO199" s="91" t="str">
        <f t="shared" si="3"/>
      </c>
      <c r="FP199" s="91" t="str">
        <f t="shared" si="3"/>
      </c>
      <c r="FQ199" s="91" t="str">
        <f t="shared" si="3"/>
      </c>
      <c r="FR199" s="91" t="str">
        <f t="shared" si="3"/>
      </c>
      <c r="FS199" s="91" t="str">
        <f t="shared" si="3"/>
      </c>
      <c r="FT199" s="91" t="str">
        <f t="shared" si="3"/>
      </c>
      <c r="FU199" s="91" t="str">
        <f t="shared" si="3"/>
      </c>
      <c r="FV199" s="91" t="str">
        <f t="shared" si="3"/>
      </c>
      <c r="FW199" s="91" t="str">
        <f t="shared" si="3"/>
      </c>
      <c r="FX199" s="91" t="str">
        <f t="shared" si="3"/>
      </c>
      <c r="FY199" s="91" t="str">
        <f t="shared" si="3"/>
      </c>
      <c r="FZ199" s="91" t="str">
        <f t="shared" si="3"/>
      </c>
      <c r="GA199" s="91" t="str">
        <f t="shared" si="3"/>
      </c>
      <c r="GB199" s="91" t="str">
        <f t="shared" si="3"/>
      </c>
      <c r="GC199" s="91" t="str">
        <f t="shared" si="3"/>
      </c>
      <c r="GD199" s="91" t="str">
        <f t="shared" si="3"/>
      </c>
      <c r="GE199" s="91" t="str">
        <f t="shared" si="3"/>
      </c>
      <c r="GF199" s="91" t="str">
        <f t="shared" si="3"/>
      </c>
      <c r="GG199" s="91" t="str">
        <f t="shared" si="3"/>
      </c>
      <c r="GH199" s="91" t="str">
        <f t="shared" si="3"/>
      </c>
      <c r="GI199" s="91" t="str">
        <f t="shared" si="3"/>
      </c>
      <c r="GJ199" s="91" t="str">
        <f t="shared" si="3"/>
      </c>
      <c r="GK199" s="91" t="str">
        <f t="shared" si="3"/>
      </c>
      <c r="GL199" s="91" t="str">
        <f t="shared" si="3"/>
      </c>
      <c r="GM199" s="91" t="str">
        <f t="shared" si="3"/>
      </c>
      <c r="GN199" s="91" t="str">
        <f t="shared" si="3"/>
      </c>
      <c r="GO199" s="91" t="str">
        <f t="shared" si="3"/>
      </c>
      <c r="GP199" s="91" t="str">
        <f t="shared" si="3"/>
      </c>
      <c r="GQ199" s="91" t="str">
        <f t="shared" si="3"/>
      </c>
      <c r="GR199" s="91" t="str">
        <f t="shared" si="3"/>
      </c>
      <c r="GS199" s="91" t="str">
        <f t="shared" si="3"/>
      </c>
      <c r="GT199" s="91" t="str">
        <f t="shared" si="3"/>
      </c>
      <c r="GU199" s="91" t="str">
        <f t="shared" si="3"/>
      </c>
      <c r="GV199" s="91" t="str">
        <f t="shared" si="3"/>
      </c>
      <c r="GW199" s="91" t="str">
        <f t="shared" si="3"/>
      </c>
      <c r="GX199" s="91" t="str">
        <f t="shared" si="3"/>
      </c>
      <c r="GY199" s="91" t="str">
        <f t="shared" si="3"/>
      </c>
      <c r="GZ199" s="91" t="str">
        <f t="shared" si="3"/>
      </c>
      <c r="HA199" s="91" t="str">
        <f t="shared" si="3"/>
      </c>
      <c r="HB199" s="91" t="str">
        <f t="shared" si="3"/>
      </c>
      <c r="HC199" s="91" t="str">
        <f t="shared" si="3"/>
      </c>
      <c r="HD199" s="91" t="str">
        <f t="shared" si="3"/>
      </c>
      <c r="HE199" s="91" t="str">
        <f t="shared" si="3"/>
      </c>
      <c r="HF199" s="91" t="str">
        <f t="shared" si="3"/>
      </c>
      <c r="HG199" s="91" t="str">
        <f t="shared" si="3"/>
      </c>
      <c r="HH199" s="91" t="str">
        <f t="shared" si="3"/>
      </c>
      <c r="HI199" s="91" t="str">
        <f t="shared" si="3"/>
      </c>
      <c r="HJ199" s="91" t="str">
        <f t="shared" si="3"/>
      </c>
      <c r="HK199" s="91" t="str">
        <f t="shared" si="3"/>
      </c>
      <c r="HL199" s="91" t="str">
        <f t="shared" si="3"/>
      </c>
      <c r="HM199" s="91" t="str">
        <f ref="HM199:IV199" t="shared" si="4">IF(SUM(HM180:HM198)&lt;&gt;0,SUM(HM180:HM198),"")</f>
      </c>
      <c r="HN199" s="91" t="str">
        <f t="shared" si="4"/>
      </c>
      <c r="HO199" s="91" t="str">
        <f t="shared" si="4"/>
      </c>
      <c r="HP199" s="91" t="str">
        <f t="shared" si="4"/>
      </c>
      <c r="HQ199" s="91" t="str">
        <f t="shared" si="4"/>
      </c>
      <c r="HR199" s="91" t="str">
        <f t="shared" si="4"/>
      </c>
      <c r="HS199" s="91" t="str">
        <f t="shared" si="4"/>
      </c>
      <c r="HT199" s="91" t="str">
        <f t="shared" si="4"/>
      </c>
      <c r="HU199" s="91" t="str">
        <f t="shared" si="4"/>
      </c>
      <c r="HV199" s="91" t="str">
        <f t="shared" si="4"/>
      </c>
      <c r="HW199" s="91" t="str">
        <f t="shared" si="4"/>
      </c>
      <c r="HX199" s="91" t="str">
        <f t="shared" si="4"/>
      </c>
      <c r="HY199" s="91" t="str">
        <f t="shared" si="4"/>
      </c>
      <c r="HZ199" s="91" t="str">
        <f t="shared" si="4"/>
      </c>
      <c r="IA199" s="91" t="str">
        <f t="shared" si="4"/>
      </c>
      <c r="IB199" s="91" t="str">
        <f t="shared" si="4"/>
      </c>
      <c r="IC199" s="91" t="str">
        <f t="shared" si="4"/>
      </c>
      <c r="ID199" s="91" t="str">
        <f t="shared" si="4"/>
      </c>
      <c r="IE199" s="91" t="str">
        <f t="shared" si="4"/>
      </c>
      <c r="IF199" s="91" t="str">
        <f t="shared" si="4"/>
      </c>
      <c r="IG199" s="91" t="str">
        <f t="shared" si="4"/>
      </c>
      <c r="IH199" s="91" t="str">
        <f t="shared" si="4"/>
      </c>
      <c r="II199" s="91" t="str">
        <f t="shared" si="4"/>
      </c>
      <c r="IJ199" s="91" t="str">
        <f t="shared" si="4"/>
      </c>
      <c r="IK199" s="91" t="str">
        <f t="shared" si="4"/>
      </c>
      <c r="IL199" s="91" t="str">
        <f t="shared" si="4"/>
      </c>
      <c r="IM199" s="91" t="str">
        <f t="shared" si="4"/>
      </c>
      <c r="IN199" s="91" t="str">
        <f t="shared" si="4"/>
      </c>
      <c r="IO199" s="91" t="str">
        <f t="shared" si="4"/>
      </c>
      <c r="IP199" s="91" t="str">
        <f t="shared" si="4"/>
      </c>
      <c r="IQ199" s="91" t="str">
        <f t="shared" si="4"/>
      </c>
      <c r="IR199" s="91" t="str">
        <f t="shared" si="4"/>
      </c>
      <c r="IS199" s="91" t="str">
        <f t="shared" si="4"/>
      </c>
      <c r="IT199" s="91" t="str">
        <f t="shared" si="4"/>
      </c>
      <c r="IU199" s="91" t="str">
        <f t="shared" si="4"/>
      </c>
      <c r="IV199" s="91" t="str">
        <f t="shared" si="4"/>
      </c>
    </row>
    <row r="200" hidden="1" ht="13.5" customHeight="1"/>
    <row r="201" hidden="1" ht="12.75" customHeight="1">
      <c r="C201" s="617" t="s">
        <v>294</v>
      </c>
      <c r="D201" s="618"/>
      <c r="E201" s="618"/>
      <c r="F201" s="618"/>
      <c r="G201" s="618"/>
      <c r="H201" s="618"/>
      <c r="I201" s="618"/>
      <c r="J201" s="618"/>
      <c r="K201" s="618"/>
      <c r="L201" s="618"/>
      <c r="M201" s="618"/>
      <c r="N201" s="618"/>
      <c r="O201" s="618"/>
      <c r="P201" s="618"/>
      <c r="Q201" s="618"/>
      <c r="R201" s="618"/>
      <c r="S201" s="618"/>
      <c r="T201" s="618"/>
      <c r="U201" s="618"/>
      <c r="V201" s="618"/>
      <c r="W201" s="618"/>
      <c r="X201" s="618"/>
      <c r="Y201" s="618"/>
      <c r="Z201" s="618"/>
      <c r="AA201" s="618"/>
      <c r="AB201" s="619"/>
    </row>
    <row r="202" hidden="1" ht="13.5" customHeight="1">
      <c r="C202" s="435" t="str">
        <f> IF(C222&lt;&gt;"",TEXT(AUX!G$1,"dd-MMM-aa"),"")</f>
      </c>
      <c r="D202" s="435" t="str">
        <f> IF(D222&lt;&gt;"",TEXT(AUX!H$1,"dd-MMM-aa"),"")</f>
      </c>
      <c r="E202" s="435" t="str">
        <f> IF(E222&lt;&gt;"",TEXT(AUX!I$1,"dd-MMM-aa"),"")</f>
      </c>
      <c r="F202" s="435" t="str">
        <f> IF(F222&lt;&gt;"",TEXT(AUX!J$1,"dd-MMM-aa"),"")</f>
      </c>
      <c r="G202" s="435" t="str">
        <f> IF(G222&lt;&gt;"",TEXT(AUX!K$1,"dd-MMM-aa"),"")</f>
      </c>
      <c r="H202" s="435" t="str">
        <f> IF(H222&lt;&gt;"",TEXT(AUX!L$1,"dd-MMM-aa"),"")</f>
      </c>
      <c r="I202" s="435" t="str">
        <f> IF(I222&lt;&gt;"",TEXT(AUX!M$1,"dd-MMM-aa"),"")</f>
      </c>
      <c r="J202" s="435" t="str">
        <f> IF(J222&lt;&gt;"",TEXT(AUX!N$1,"dd-MMM-aa"),"")</f>
      </c>
      <c r="K202" s="435" t="str">
        <f> IF(K222&lt;&gt;"",TEXT(AUX!O$1,"dd-MMM-aa"),"")</f>
      </c>
      <c r="L202" s="435" t="str">
        <f> IF(L222&lt;&gt;"",TEXT(AUX!P$1,"dd-MMM-aa"),"")</f>
      </c>
      <c r="M202" s="435" t="str">
        <f> IF(M222&lt;&gt;"",TEXT(AUX!Q$1,"dd-MMM-aa"),"")</f>
      </c>
      <c r="N202" s="435" t="str">
        <f> IF(N222&lt;&gt;"",TEXT(AUX!R$1,"dd-MMM-aa"),"")</f>
      </c>
      <c r="O202" s="435" t="str">
        <f> IF(O222&lt;&gt;"",TEXT(AUX!S$1,"dd-MMM-aa"),"")</f>
      </c>
      <c r="P202" s="435" t="str">
        <f> IF(P222&lt;&gt;"",TEXT(AUX!T$1,"dd-MMM-aa"),"")</f>
      </c>
      <c r="Q202" s="435" t="str">
        <f> IF(Q222&lt;&gt;"",TEXT(AUX!U$1,"dd-MMM-aa"),"")</f>
      </c>
      <c r="R202" s="435" t="str">
        <f> IF(R222&lt;&gt;"",TEXT(AUX!V$1,"dd-MMM-aa"),"")</f>
      </c>
      <c r="S202" s="435" t="str">
        <f> IF(S222&lt;&gt;"",TEXT(AUX!W$1,"dd-MMM-aa"),"")</f>
      </c>
      <c r="T202" s="435" t="str">
        <f> IF(T222&lt;&gt;"",TEXT(AUX!X$1,"dd-MMM-aa"),"")</f>
      </c>
      <c r="U202" s="435" t="str">
        <f> IF(U222&lt;&gt;"",TEXT(AUX!Y$1,"dd-MMM-aa"),"")</f>
      </c>
      <c r="V202" s="435" t="str">
        <f> IF(V222&lt;&gt;"",TEXT(AUX!Z$1,"dd-MMM-aa"),"")</f>
      </c>
      <c r="W202" s="435" t="str">
        <f> IF(W222&lt;&gt;"",TEXT(AUX!AA$1,"dd-MMM-aa"),"")</f>
      </c>
      <c r="X202" s="435" t="str">
        <f> IF(X222&lt;&gt;"",TEXT(AUX!AB$1,"dd-MMM-aa"),"")</f>
      </c>
      <c r="Y202" s="435" t="str">
        <f> IF(Y222&lt;&gt;"",TEXT(AUX!AC$1,"dd-MMM-aa"),"")</f>
      </c>
      <c r="Z202" s="435" t="str">
        <f> IF(Z222&lt;&gt;"",TEXT(AUX!AD$1,"dd-MMM-aa"),"")</f>
      </c>
      <c r="AA202" s="435" t="str">
        <f> IF(AA222&lt;&gt;"",TEXT(AUX!AE$1,"dd-MMM-aa"),"")</f>
      </c>
      <c r="AB202" s="497" t="str">
        <f> IF(AB222&lt;&gt;"",TEXT(AUX!AF$1,"dd-MMM-aa"),"")</f>
      </c>
      <c r="AC202" s="496" t="str">
        <f> IF(AC222&lt;&gt;"",TEXT(AUX!AG$1,"dd-MMM-aa"),"")</f>
      </c>
      <c r="AD202" s="496" t="str">
        <f> IF(AD222&lt;&gt;"",TEXT(AUX!AH$1,"dd-MMM-aa"),"")</f>
      </c>
      <c r="AE202" s="496" t="str">
        <f> IF(AE222&lt;&gt;"",TEXT(AUX!AI$1,"dd-MMM-aa"),"")</f>
      </c>
      <c r="AF202" s="496" t="str">
        <f> IF(AF222&lt;&gt;"",TEXT(AUX!AJ$1,"dd-MMM-aa"),"")</f>
      </c>
      <c r="AG202" s="496" t="str">
        <f> IF(AG222&lt;&gt;"",TEXT(AUX!AK$1,"dd-MMM-aa"),"")</f>
      </c>
      <c r="AH202" s="496" t="str">
        <f> IF(AH222&lt;&gt;"",TEXT(AUX!AL$1,"dd-MMM-aa"),"")</f>
      </c>
      <c r="AI202" s="496" t="str">
        <f> IF(AI222&lt;&gt;"",TEXT(AUX!AM$1,"dd-MMM-aa"),"")</f>
      </c>
      <c r="AJ202" s="496" t="str">
        <f> IF(AJ222&lt;&gt;"",TEXT(AUX!AN$1,"dd-MMM-aa"),"")</f>
      </c>
      <c r="AK202" s="496" t="str">
        <f> IF(AK222&lt;&gt;"",TEXT(AUX!AO$1,"dd-MMM-aa"),"")</f>
      </c>
      <c r="AL202" s="496" t="str">
        <f> IF(AL222&lt;&gt;"",TEXT(AUX!AP$1,"dd-MMM-aa"),"")</f>
      </c>
      <c r="AM202" s="496" t="str">
        <f> IF(AM222&lt;&gt;"",TEXT(AUX!AQ$1,"dd-MMM-aa"),"")</f>
      </c>
      <c r="AN202" s="496" t="str">
        <f> IF(AN222&lt;&gt;"",TEXT(AUX!AR$1,"dd-MMM-aa"),"")</f>
      </c>
      <c r="AO202" s="496" t="str">
        <f> IF(AO222&lt;&gt;"",TEXT(AUX!AS$1,"dd-MMM-aa"),"")</f>
      </c>
      <c r="AP202" s="496" t="str">
        <f> IF(AP222&lt;&gt;"",TEXT(AUX!AT$1,"dd-MMM-aa"),"")</f>
      </c>
      <c r="AQ202" s="496" t="str">
        <f> IF(AQ222&lt;&gt;"",TEXT(AUX!AU$1,"dd-MMM-aa"),"")</f>
      </c>
      <c r="AR202" s="496" t="str">
        <f> IF(AR222&lt;&gt;"",TEXT(AUX!AV$1,"dd-MMM-aa"),"")</f>
      </c>
      <c r="AS202" s="496" t="str">
        <f> IF(AS222&lt;&gt;"",TEXT(AUX!AW$1,"dd-MMM-aa"),"")</f>
      </c>
      <c r="AT202" s="496" t="str">
        <f> IF(AT222&lt;&gt;"",TEXT(AUX!AX$1,"dd-MMM-aa"),"")</f>
      </c>
      <c r="AU202" s="496" t="str">
        <f> IF(AU222&lt;&gt;"",TEXT(AUX!AY$1,"dd-MMM-aa"),"")</f>
      </c>
      <c r="AV202" s="496" t="str">
        <f> IF(AV222&lt;&gt;"",TEXT(AUX!AZ$1,"dd-MMM-aa"),"")</f>
      </c>
      <c r="AW202" s="496" t="str">
        <f> IF(AW222&lt;&gt;"",TEXT(AUX!BA$1,"dd-MMM-aa"),"")</f>
      </c>
      <c r="AX202" s="496" t="str">
        <f> IF(AX222&lt;&gt;"",TEXT(AUX!BB$1,"dd-MMM-aa"),"")</f>
      </c>
      <c r="AY202" s="496" t="str">
        <f> IF(AY222&lt;&gt;"",TEXT(AUX!BC$1,"dd-MMM-aa"),"")</f>
      </c>
      <c r="AZ202" s="496" t="str">
        <f> IF(AZ222&lt;&gt;"",TEXT(AUX!BD$1,"dd-MMM-aa"),"")</f>
      </c>
      <c r="BA202" s="496" t="str">
        <f> IF(BA222&lt;&gt;"",TEXT(AUX!BE$1,"dd-MMM-aa"),"")</f>
      </c>
      <c r="BB202" s="496" t="str">
        <f> IF(BB222&lt;&gt;"",TEXT(AUX!BF$1,"dd-MMM-aa"),"")</f>
      </c>
      <c r="BC202" s="496" t="str">
        <f> IF(BC222&lt;&gt;"",TEXT(AUX!BG$1,"dd-MMM-aa"),"")</f>
      </c>
      <c r="BD202" s="496" t="str">
        <f> IF(BD222&lt;&gt;"",TEXT(AUX!BH$1,"dd-MMM-aa"),"")</f>
      </c>
      <c r="BE202" s="496" t="str">
        <f> IF(BE222&lt;&gt;"",TEXT(AUX!BI$1,"dd-MMM-aa"),"")</f>
      </c>
      <c r="BF202" s="496" t="str">
        <f> IF(BF222&lt;&gt;"",TEXT(AUX!BJ$1,"dd-MMM-aa"),"")</f>
      </c>
      <c r="BG202" s="496" t="str">
        <f> IF(BG222&lt;&gt;"",TEXT(AUX!BK$1,"dd-MMM-aa"),"")</f>
      </c>
      <c r="BH202" s="496" t="str">
        <f> IF(BH222&lt;&gt;"",TEXT(AUX!BL$1,"dd-MMM-aa"),"")</f>
      </c>
      <c r="BI202" s="496" t="str">
        <f> IF(BI222&lt;&gt;"",TEXT(AUX!BM$1,"dd-MMM-aa"),"")</f>
      </c>
      <c r="BJ202" s="496" t="str">
        <f> IF(BJ222&lt;&gt;"",TEXT(AUX!BN$1,"dd-MMM-aa"),"")</f>
      </c>
      <c r="BK202" s="496" t="str">
        <f> IF(BK222&lt;&gt;"",TEXT(AUX!BO$1,"dd-MMM-aa"),"")</f>
      </c>
      <c r="BL202" s="496" t="str">
        <f> IF(BL222&lt;&gt;"",TEXT(AUX!BP$1,"dd-MMM-aa"),"")</f>
      </c>
      <c r="BM202" s="496" t="str">
        <f> IF(BM222&lt;&gt;"",TEXT(AUX!BQ$1,"dd-MMM-aa"),"")</f>
      </c>
      <c r="BN202" s="496" t="str">
        <f> IF(BN222&lt;&gt;"",TEXT(AUX!BR$1,"dd-MMM-aa"),"")</f>
      </c>
      <c r="BO202" s="496" t="str">
        <f> IF(BO222&lt;&gt;"",TEXT(AUX!BS$1,"dd-MMM-aa"),"")</f>
      </c>
      <c r="BP202" s="496" t="str">
        <f> IF(BP222&lt;&gt;"",TEXT(AUX!BT$1,"dd-MMM-aa"),"")</f>
      </c>
      <c r="BQ202" s="496" t="str">
        <f> IF(BQ222&lt;&gt;"",TEXT(AUX!BU$1,"dd-MMM-aa"),"")</f>
      </c>
      <c r="BR202" s="496" t="str">
        <f> IF(BR222&lt;&gt;"",TEXT(AUX!BV$1,"dd-MMM-aa"),"")</f>
      </c>
      <c r="BS202" s="496" t="str">
        <f> IF(BS222&lt;&gt;"",TEXT(AUX!BW$1,"dd-MMM-aa"),"")</f>
      </c>
      <c r="BT202" s="496" t="str">
        <f> IF(BT222&lt;&gt;"",TEXT(AUX!BX$1,"dd-MMM-aa"),"")</f>
      </c>
      <c r="BU202" s="496" t="str">
        <f> IF(BU222&lt;&gt;"",TEXT(AUX!BY$1,"dd-MMM-aa"),"")</f>
      </c>
      <c r="BV202" s="496" t="str">
        <f> IF(BV222&lt;&gt;"",TEXT(AUX!BZ$1,"dd-MMM-aa"),"")</f>
      </c>
      <c r="BW202" s="496" t="str">
        <f> IF(BW222&lt;&gt;"",TEXT(AUX!CA$1,"dd-MMM-aa"),"")</f>
      </c>
      <c r="BX202" s="496" t="str">
        <f> IF(BX222&lt;&gt;"",TEXT(AUX!CB$1,"dd-MMM-aa"),"")</f>
      </c>
      <c r="BY202" s="496" t="str">
        <f> IF(BY222&lt;&gt;"",TEXT(AUX!CC$1,"dd-MMM-aa"),"")</f>
      </c>
      <c r="BZ202" s="496" t="str">
        <f> IF(BZ222&lt;&gt;"",TEXT(AUX!CD$1,"dd-MMM-aa"),"")</f>
      </c>
      <c r="CA202" s="496" t="str">
        <f> IF(CA222&lt;&gt;"",TEXT(AUX!CE$1,"dd-MMM-aa"),"")</f>
      </c>
      <c r="CB202" s="496" t="str">
        <f> IF(CB222&lt;&gt;"",TEXT(AUX!CF$1,"dd-MMM-aa"),"")</f>
      </c>
      <c r="CC202" s="496" t="str">
        <f> IF(CC222&lt;&gt;"",TEXT(AUX!CG$1,"dd-MMM-aa"),"")</f>
      </c>
      <c r="CD202" s="496" t="str">
        <f> IF(CD222&lt;&gt;"",TEXT(AUX!CH$1,"dd-MMM-aa"),"")</f>
      </c>
      <c r="CE202" s="496" t="str">
        <f> IF(CE222&lt;&gt;"",TEXT(AUX!CI$1,"dd-MMM-aa"),"")</f>
      </c>
      <c r="CF202" s="496" t="str">
        <f> IF(CF222&lt;&gt;"",TEXT(AUX!CJ$1,"dd-MMM-aa"),"")</f>
      </c>
      <c r="CG202" s="496" t="str">
        <f> IF(CG222&lt;&gt;"",TEXT(AUX!CK$1,"dd-MMM-aa"),"")</f>
      </c>
      <c r="CH202" s="496" t="str">
        <f> IF(CH222&lt;&gt;"",TEXT(AUX!CL$1,"dd-MMM-aa"),"")</f>
      </c>
      <c r="CI202" s="496" t="str">
        <f> IF(CI222&lt;&gt;"",TEXT(AUX!CM$1,"dd-MMM-aa"),"")</f>
      </c>
      <c r="CJ202" s="496" t="str">
        <f> IF(CJ222&lt;&gt;"",TEXT(AUX!CN$1,"dd-MMM-aa"),"")</f>
      </c>
      <c r="CK202" s="496" t="str">
        <f> IF(CK222&lt;&gt;"",TEXT(AUX!CO$1,"dd-MMM-aa"),"")</f>
      </c>
      <c r="CL202" s="496" t="str">
        <f> IF(CL222&lt;&gt;"",TEXT(AUX!CP$1,"dd-MMM-aa"),"")</f>
      </c>
      <c r="CM202" s="496" t="str">
        <f> IF(CM222&lt;&gt;"",TEXT(AUX!CQ$1,"dd-MMM-aa"),"")</f>
      </c>
      <c r="CN202" s="496" t="str">
        <f> IF(CN222&lt;&gt;"",TEXT(AUX!CR$1,"dd-MMM-aa"),"")</f>
      </c>
      <c r="CO202" s="496" t="str">
        <f> IF(CO222&lt;&gt;"",TEXT(AUX!CS$1,"dd-MMM-aa"),"")</f>
      </c>
      <c r="CP202" s="496" t="str">
        <f> IF(CP222&lt;&gt;"",TEXT(AUX!CT$1,"dd-MMM-aa"),"")</f>
      </c>
      <c r="CQ202" s="496" t="str">
        <f> IF(CQ222&lt;&gt;"",TEXT(AUX!CU$1,"dd-MMM-aa"),"")</f>
      </c>
      <c r="CR202" s="496" t="str">
        <f> IF(CR222&lt;&gt;"",TEXT(AUX!CV$1,"dd-MMM-aa"),"")</f>
      </c>
      <c r="CS202" s="496" t="str">
        <f> IF(CS222&lt;&gt;"",TEXT(AUX!CW$1,"dd-MMM-aa"),"")</f>
      </c>
      <c r="CT202" s="496" t="str">
        <f> IF(CT222&lt;&gt;"",TEXT(AUX!CX$1,"dd-MMM-aa"),"")</f>
      </c>
      <c r="CU202" s="496" t="str">
        <f> IF(CU222&lt;&gt;"",TEXT(AUX!CY$1,"dd-MMM-aa"),"")</f>
      </c>
      <c r="CV202" s="496" t="str">
        <f> IF(CV222&lt;&gt;"",TEXT(AUX!CZ$1,"dd-MMM-aa"),"")</f>
      </c>
      <c r="CW202" s="496" t="str">
        <f> IF(CW222&lt;&gt;"",TEXT(AUX!DA$1,"dd-MMM-aa"),"")</f>
      </c>
      <c r="CX202" s="496" t="str">
        <f> IF(CX222&lt;&gt;"",TEXT(AUX!DB$1,"dd-MMM-aa"),"")</f>
      </c>
      <c r="CY202" s="496" t="str">
        <f> IF(CY222&lt;&gt;"",TEXT(AUX!DC$1,"dd-MMM-aa"),"")</f>
      </c>
      <c r="CZ202" s="496" t="str">
        <f> IF(CZ222&lt;&gt;"",TEXT(AUX!DD$1,"dd-MMM-aa"),"")</f>
      </c>
      <c r="DA202" s="496" t="str">
        <f> IF(DA222&lt;&gt;"",TEXT(AUX!DE$1,"dd-MMM-aa"),"")</f>
      </c>
      <c r="DB202" s="496" t="str">
        <f> IF(DB222&lt;&gt;"",TEXT(AUX!DF$1,"dd-MMM-aa"),"")</f>
      </c>
      <c r="DC202" s="496" t="str">
        <f> IF(DC222&lt;&gt;"",TEXT(AUX!DG$1,"dd-MMM-aa"),"")</f>
      </c>
      <c r="DD202" s="496" t="str">
        <f> IF(DD222&lt;&gt;"",TEXT(AUX!DH$1,"dd-MMM-aa"),"")</f>
      </c>
      <c r="DE202" s="496" t="str">
        <f> IF(DE222&lt;&gt;"",TEXT(AUX!DI$1,"dd-MMM-aa"),"")</f>
      </c>
      <c r="DF202" s="496" t="str">
        <f> IF(DF222&lt;&gt;"",TEXT(AUX!DJ$1,"dd-MMM-aa"),"")</f>
      </c>
      <c r="DG202" s="496" t="str">
        <f> IF(DG222&lt;&gt;"",TEXT(AUX!DK$1,"dd-MMM-aa"),"")</f>
      </c>
      <c r="DH202" s="496" t="str">
        <f> IF(DH222&lt;&gt;"",TEXT(AUX!DL$1,"dd-MMM-aa"),"")</f>
      </c>
      <c r="DI202" s="496" t="str">
        <f> IF(DI222&lt;&gt;"",TEXT(AUX!DM$1,"dd-MMM-aa"),"")</f>
      </c>
      <c r="DJ202" s="496" t="str">
        <f> IF(DJ222&lt;&gt;"",TEXT(AUX!DN$1,"dd-MMM-aa"),"")</f>
      </c>
      <c r="DK202" s="496" t="str">
        <f> IF(DK222&lt;&gt;"",TEXT(AUX!DO$1,"dd-MMM-aa"),"")</f>
      </c>
      <c r="DL202" s="496" t="str">
        <f> IF(DL222&lt;&gt;"",TEXT(AUX!DP$1,"dd-MMM-aa"),"")</f>
      </c>
      <c r="DM202" s="496" t="str">
        <f> IF(DM222&lt;&gt;"",TEXT(AUX!DQ$1,"dd-MMM-aa"),"")</f>
      </c>
      <c r="DN202" s="496" t="str">
        <f> IF(DN222&lt;&gt;"",TEXT(AUX!DR$1,"dd-MMM-aa"),"")</f>
      </c>
      <c r="DO202" s="496" t="str">
        <f> IF(DO222&lt;&gt;"",TEXT(AUX!DS$1,"dd-MMM-aa"),"")</f>
      </c>
      <c r="DP202" s="496" t="str">
        <f> IF(DP222&lt;&gt;"",TEXT(AUX!DT$1,"dd-MMM-aa"),"")</f>
      </c>
      <c r="DQ202" s="496" t="str">
        <f> IF(DQ222&lt;&gt;"",TEXT(AUX!DU$1,"dd-MMM-aa"),"")</f>
      </c>
      <c r="DR202" s="496" t="str">
        <f> IF(DR222&lt;&gt;"",TEXT(AUX!DV$1,"dd-MMM-aa"),"")</f>
      </c>
      <c r="DS202" s="496" t="str">
        <f> IF(DS222&lt;&gt;"",TEXT(AUX!DW$1,"dd-MMM-aa"),"")</f>
      </c>
      <c r="DT202" s="496" t="str">
        <f> IF(DT222&lt;&gt;"",TEXT(AUX!DX$1,"dd-MMM-aa"),"")</f>
      </c>
      <c r="DU202" s="496" t="str">
        <f> IF(DU222&lt;&gt;"",TEXT(AUX!DY$1,"dd-MMM-aa"),"")</f>
      </c>
      <c r="DV202" s="496" t="str">
        <f> IF(DV222&lt;&gt;"",TEXT(AUX!DZ$1,"dd-MMM-aa"),"")</f>
      </c>
      <c r="DW202" s="496" t="str">
        <f> IF(DW222&lt;&gt;"",TEXT(AUX!EA$1,"dd-MMM-aa"),"")</f>
      </c>
      <c r="DX202" s="496" t="str">
        <f> IF(DX222&lt;&gt;"",TEXT(AUX!EB$1,"dd-MMM-aa"),"")</f>
      </c>
      <c r="DY202" s="496" t="str">
        <f> IF(DY222&lt;&gt;"",TEXT(AUX!EC$1,"dd-MMM-aa"),"")</f>
      </c>
      <c r="DZ202" s="496" t="str">
        <f> IF(DZ222&lt;&gt;"",TEXT(AUX!ED$1,"dd-MMM-aa"),"")</f>
      </c>
      <c r="EA202" s="496" t="str">
        <f> IF(EA222&lt;&gt;"",TEXT(AUX!EE$1,"dd-MMM-aa"),"")</f>
      </c>
      <c r="EB202" s="496" t="str">
        <f> IF(EB222&lt;&gt;"",TEXT(AUX!EF$1,"dd-MMM-aa"),"")</f>
      </c>
      <c r="EC202" s="496" t="str">
        <f> IF(EC222&lt;&gt;"",TEXT(AUX!EG$1,"dd-MMM-aa"),"")</f>
      </c>
      <c r="ED202" s="496" t="str">
        <f> IF(ED222&lt;&gt;"",TEXT(AUX!EH$1,"dd-MMM-aa"),"")</f>
      </c>
      <c r="EE202" s="496" t="str">
        <f> IF(EE222&lt;&gt;"",TEXT(AUX!EI$1,"dd-MMM-aa"),"")</f>
      </c>
      <c r="EF202" s="496" t="str">
        <f> IF(EF222&lt;&gt;"",TEXT(AUX!EJ$1,"dd-MMM-aa"),"")</f>
      </c>
      <c r="EG202" s="496" t="str">
        <f> IF(EG222&lt;&gt;"",TEXT(AUX!EK$1,"dd-MMM-aa"),"")</f>
      </c>
      <c r="EH202" s="496" t="str">
        <f> IF(EH222&lt;&gt;"",TEXT(AUX!EL$1,"dd-MMM-aa"),"")</f>
      </c>
      <c r="EI202" s="496" t="str">
        <f> IF(EI222&lt;&gt;"",TEXT(AUX!EM$1,"dd-MMM-aa"),"")</f>
      </c>
      <c r="EJ202" s="496" t="str">
        <f> IF(EJ222&lt;&gt;"",TEXT(AUX!EN$1,"dd-MMM-aa"),"")</f>
      </c>
      <c r="EK202" s="496" t="str">
        <f> IF(EK222&lt;&gt;"",TEXT(AUX!EO$1,"dd-MMM-aa"),"")</f>
      </c>
      <c r="EL202" s="496" t="str">
        <f> IF(EL222&lt;&gt;"",TEXT(AUX!EP$1,"dd-MMM-aa"),"")</f>
      </c>
      <c r="EM202" s="496" t="str">
        <f> IF(EM222&lt;&gt;"",TEXT(AUX!EQ$1,"dd-MMM-aa"),"")</f>
      </c>
      <c r="EN202" s="496" t="str">
        <f> IF(EN222&lt;&gt;"",TEXT(AUX!ER$1,"dd-MMM-aa"),"")</f>
      </c>
      <c r="EO202" s="496" t="str">
        <f> IF(EO222&lt;&gt;"",TEXT(AUX!ES$1,"dd-MMM-aa"),"")</f>
      </c>
      <c r="EP202" s="496" t="str">
        <f> IF(EP222&lt;&gt;"",TEXT(AUX!ET$1,"dd-MMM-aa"),"")</f>
      </c>
      <c r="EQ202" s="496" t="str">
        <f> IF(EQ222&lt;&gt;"",TEXT(AUX!EU$1,"dd-MMM-aa"),"")</f>
      </c>
      <c r="ER202" s="496" t="str">
        <f> IF(ER222&lt;&gt;"",TEXT(AUX!EV$1,"dd-MMM-aa"),"")</f>
      </c>
      <c r="ES202" s="496" t="str">
        <f> IF(ES222&lt;&gt;"",TEXT(AUX!EW$1,"dd-MMM-aa"),"")</f>
      </c>
      <c r="ET202" s="496" t="str">
        <f> IF(ET222&lt;&gt;"",TEXT(AUX!EX$1,"dd-MMM-aa"),"")</f>
      </c>
      <c r="EU202" s="496" t="str">
        <f> IF(EU222&lt;&gt;"",TEXT(AUX!EY$1,"dd-MMM-aa"),"")</f>
      </c>
      <c r="EV202" s="496" t="str">
        <f> IF(EV222&lt;&gt;"",TEXT(AUX!EZ$1,"dd-MMM-aa"),"")</f>
      </c>
      <c r="EW202" s="496" t="str">
        <f> IF(EW222&lt;&gt;"",TEXT(AUX!FA$1,"dd-MMM-aa"),"")</f>
      </c>
      <c r="EX202" s="496" t="str">
        <f> IF(EX222&lt;&gt;"",TEXT(AUX!FB$1,"dd-MMM-aa"),"")</f>
      </c>
      <c r="EY202" s="496" t="str">
        <f> IF(EY222&lt;&gt;"",TEXT(AUX!FC$1,"dd-MMM-aa"),"")</f>
      </c>
      <c r="EZ202" s="496" t="str">
        <f> IF(EZ222&lt;&gt;"",TEXT(AUX!FD$1,"dd-MMM-aa"),"")</f>
      </c>
      <c r="FA202" s="496" t="str">
        <f> IF(FA222&lt;&gt;"",TEXT(AUX!FE$1,"dd-MMM-aa"),"")</f>
      </c>
      <c r="FB202" s="496" t="str">
        <f> IF(FB222&lt;&gt;"",TEXT(AUX!FF$1,"dd-MMM-aa"),"")</f>
      </c>
      <c r="FC202" s="496" t="str">
        <f> IF(FC222&lt;&gt;"",TEXT(AUX!FG$1,"dd-MMM-aa"),"")</f>
      </c>
      <c r="FD202" s="496" t="str">
        <f> IF(FD222&lt;&gt;"",TEXT(AUX!FH$1,"dd-MMM-aa"),"")</f>
      </c>
      <c r="FE202" s="496" t="str">
        <f> IF(FE222&lt;&gt;"",TEXT(AUX!FI$1,"dd-MMM-aa"),"")</f>
      </c>
      <c r="FF202" s="496" t="str">
        <f> IF(FF222&lt;&gt;"",TEXT(AUX!FJ$1,"dd-MMM-aa"),"")</f>
      </c>
      <c r="FG202" s="496" t="str">
        <f> IF(FG222&lt;&gt;"",TEXT(AUX!FK$1,"dd-MMM-aa"),"")</f>
      </c>
      <c r="FH202" s="496" t="str">
        <f> IF(FH222&lt;&gt;"",TEXT(AUX!FL$1,"dd-MMM-aa"),"")</f>
      </c>
      <c r="FI202" s="496" t="str">
        <f> IF(FI222&lt;&gt;"",TEXT(AUX!FM$1,"dd-MMM-aa"),"")</f>
      </c>
      <c r="FJ202" s="496" t="str">
        <f> IF(FJ222&lt;&gt;"",TEXT(AUX!FN$1,"dd-MMM-aa"),"")</f>
      </c>
      <c r="FK202" s="496" t="str">
        <f> IF(FK222&lt;&gt;"",TEXT(AUX!FO$1,"dd-MMM-aa"),"")</f>
      </c>
      <c r="FL202" s="496" t="str">
        <f> IF(FL222&lt;&gt;"",TEXT(AUX!FP$1,"dd-MMM-aa"),"")</f>
      </c>
      <c r="FM202" s="496" t="str">
        <f> IF(FM222&lt;&gt;"",TEXT(AUX!FQ$1,"dd-MMM-aa"),"")</f>
      </c>
      <c r="FN202" s="496" t="str">
        <f> IF(FN222&lt;&gt;"",TEXT(AUX!FR$1,"dd-MMM-aa"),"")</f>
      </c>
      <c r="FO202" s="496" t="str">
        <f> IF(FO222&lt;&gt;"",TEXT(AUX!FS$1,"dd-MMM-aa"),"")</f>
      </c>
      <c r="FP202" s="496" t="str">
        <f> IF(FP222&lt;&gt;"",TEXT(AUX!FT$1,"dd-MMM-aa"),"")</f>
      </c>
      <c r="FQ202" s="496" t="str">
        <f> IF(FQ222&lt;&gt;"",TEXT(AUX!FU$1,"dd-MMM-aa"),"")</f>
      </c>
      <c r="FR202" s="496" t="str">
        <f> IF(FR222&lt;&gt;"",TEXT(AUX!FV$1,"dd-MMM-aa"),"")</f>
      </c>
      <c r="FS202" s="496" t="str">
        <f> IF(FS222&lt;&gt;"",TEXT(AUX!FW$1,"dd-MMM-aa"),"")</f>
      </c>
      <c r="FT202" s="496" t="str">
        <f> IF(FT222&lt;&gt;"",TEXT(AUX!FX$1,"dd-MMM-aa"),"")</f>
      </c>
      <c r="FU202" s="496" t="str">
        <f> IF(FU222&lt;&gt;"",TEXT(AUX!FY$1,"dd-MMM-aa"),"")</f>
      </c>
      <c r="FV202" s="496" t="str">
        <f> IF(FV222&lt;&gt;"",TEXT(AUX!FZ$1,"dd-MMM-aa"),"")</f>
      </c>
      <c r="FW202" s="496" t="str">
        <f> IF(FW222&lt;&gt;"",TEXT(AUX!GA$1,"dd-MMM-aa"),"")</f>
      </c>
      <c r="FX202" s="496" t="str">
        <f> IF(FX222&lt;&gt;"",TEXT(AUX!GB$1,"dd-MMM-aa"),"")</f>
      </c>
      <c r="FY202" s="496" t="str">
        <f> IF(FY222&lt;&gt;"",TEXT(AUX!GC$1,"dd-MMM-aa"),"")</f>
      </c>
      <c r="FZ202" s="496" t="str">
        <f> IF(FZ222&lt;&gt;"",TEXT(AUX!GD$1,"dd-MMM-aa"),"")</f>
      </c>
      <c r="GA202" s="496" t="str">
        <f> IF(GA222&lt;&gt;"",TEXT(AUX!GE$1,"dd-MMM-aa"),"")</f>
      </c>
      <c r="GB202" s="496" t="str">
        <f> IF(GB222&lt;&gt;"",TEXT(AUX!GF$1,"dd-MMM-aa"),"")</f>
      </c>
      <c r="GC202" s="496" t="str">
        <f> IF(GC222&lt;&gt;"",TEXT(AUX!GG$1,"dd-MMM-aa"),"")</f>
      </c>
      <c r="GD202" s="496" t="str">
        <f> IF(GD222&lt;&gt;"",TEXT(AUX!GH$1,"dd-MMM-aa"),"")</f>
      </c>
      <c r="GE202" s="496" t="str">
        <f> IF(GE222&lt;&gt;"",TEXT(AUX!GI$1,"dd-MMM-aa"),"")</f>
      </c>
      <c r="GF202" s="496" t="str">
        <f> IF(GF222&lt;&gt;"",TEXT(AUX!GJ$1,"dd-MMM-aa"),"")</f>
      </c>
      <c r="GG202" s="496" t="str">
        <f> IF(GG222&lt;&gt;"",TEXT(AUX!GK$1,"dd-MMM-aa"),"")</f>
      </c>
      <c r="GH202" s="496" t="str">
        <f> IF(GH222&lt;&gt;"",TEXT(AUX!GL$1,"dd-MMM-aa"),"")</f>
      </c>
      <c r="GI202" s="496" t="str">
        <f> IF(GI222&lt;&gt;"",TEXT(AUX!GM$1,"dd-MMM-aa"),"")</f>
      </c>
      <c r="GJ202" s="496" t="str">
        <f> IF(GJ222&lt;&gt;"",TEXT(AUX!GN$1,"dd-MMM-aa"),"")</f>
      </c>
      <c r="GK202" s="496" t="str">
        <f> IF(GK222&lt;&gt;"",TEXT(AUX!GO$1,"dd-MMM-aa"),"")</f>
      </c>
      <c r="GL202" s="496" t="str">
        <f> IF(GL222&lt;&gt;"",TEXT(AUX!GP$1,"dd-MMM-aa"),"")</f>
      </c>
      <c r="GM202" s="496" t="str">
        <f> IF(GM222&lt;&gt;"",TEXT(AUX!GQ$1,"dd-MMM-aa"),"")</f>
      </c>
      <c r="GN202" s="496" t="str">
        <f> IF(GN222&lt;&gt;"",TEXT(AUX!GR$1,"dd-MMM-aa"),"")</f>
      </c>
      <c r="GO202" s="496" t="str">
        <f> IF(GO222&lt;&gt;"",TEXT(AUX!GS$1,"dd-MMM-aa"),"")</f>
      </c>
      <c r="GP202" s="496" t="str">
        <f> IF(GP222&lt;&gt;"",TEXT(AUX!GT$1,"dd-MMM-aa"),"")</f>
      </c>
      <c r="GQ202" s="496" t="str">
        <f> IF(GQ222&lt;&gt;"",TEXT(AUX!GU$1,"dd-MMM-aa"),"")</f>
      </c>
      <c r="GR202" s="496" t="str">
        <f> IF(GR222&lt;&gt;"",TEXT(AUX!GV$1,"dd-MMM-aa"),"")</f>
      </c>
      <c r="GS202" s="496" t="str">
        <f> IF(GS222&lt;&gt;"",TEXT(AUX!GW$1,"dd-MMM-aa"),"")</f>
      </c>
      <c r="GT202" s="496" t="str">
        <f> IF(GT222&lt;&gt;"",TEXT(AUX!GX$1,"dd-MMM-aa"),"")</f>
      </c>
      <c r="GU202" s="496" t="str">
        <f> IF(GU222&lt;&gt;"",TEXT(AUX!GY$1,"dd-MMM-aa"),"")</f>
      </c>
      <c r="GV202" s="496" t="str">
        <f> IF(GV222&lt;&gt;"",TEXT(AUX!GZ$1,"dd-MMM-aa"),"")</f>
      </c>
      <c r="GW202" s="496" t="str">
        <f> IF(GW222&lt;&gt;"",TEXT(AUX!HA$1,"dd-MMM-aa"),"")</f>
      </c>
      <c r="GX202" s="496" t="str">
        <f> IF(GX222&lt;&gt;"",TEXT(AUX!HB$1,"dd-MMM-aa"),"")</f>
      </c>
      <c r="GY202" s="496" t="str">
        <f> IF(GY222&lt;&gt;"",TEXT(AUX!HC$1,"dd-MMM-aa"),"")</f>
      </c>
      <c r="GZ202" s="496" t="str">
        <f> IF(GZ222&lt;&gt;"",TEXT(AUX!HD$1,"dd-MMM-aa"),"")</f>
      </c>
      <c r="HA202" s="496" t="str">
        <f> IF(HA222&lt;&gt;"",TEXT(AUX!HE$1,"dd-MMM-aa"),"")</f>
      </c>
      <c r="HB202" s="496" t="str">
        <f> IF(HB222&lt;&gt;"",TEXT(AUX!HF$1,"dd-MMM-aa"),"")</f>
      </c>
      <c r="HC202" s="496" t="str">
        <f> IF(HC222&lt;&gt;"",TEXT(AUX!HG$1,"dd-MMM-aa"),"")</f>
      </c>
      <c r="HD202" s="496" t="str">
        <f> IF(HD222&lt;&gt;"",TEXT(AUX!HH$1,"dd-MMM-aa"),"")</f>
      </c>
      <c r="HE202" s="496" t="str">
        <f> IF(HE222&lt;&gt;"",TEXT(AUX!HI$1,"dd-MMM-aa"),"")</f>
      </c>
      <c r="HF202" s="496" t="str">
        <f> IF(HF222&lt;&gt;"",TEXT(AUX!HJ$1,"dd-MMM-aa"),"")</f>
      </c>
      <c r="HG202" s="496" t="str">
        <f> IF(HG222&lt;&gt;"",TEXT(AUX!HK$1,"dd-MMM-aa"),"")</f>
      </c>
      <c r="HH202" s="496" t="str">
        <f> IF(HH222&lt;&gt;"",TEXT(AUX!HL$1,"dd-MMM-aa"),"")</f>
      </c>
      <c r="HI202" s="496" t="str">
        <f> IF(HI222&lt;&gt;"",TEXT(AUX!HM$1,"dd-MMM-aa"),"")</f>
      </c>
      <c r="HJ202" s="496" t="str">
        <f> IF(HJ222&lt;&gt;"",TEXT(AUX!HN$1,"dd-MMM-aa"),"")</f>
      </c>
      <c r="HK202" s="496" t="str">
        <f> IF(HK222&lt;&gt;"",TEXT(AUX!HO$1,"dd-MMM-aa"),"")</f>
      </c>
      <c r="HL202" s="496" t="str">
        <f> IF(HL222&lt;&gt;"",TEXT(AUX!HP$1,"dd-MMM-aa"),"")</f>
      </c>
      <c r="HM202" s="496" t="str">
        <f> IF(HM222&lt;&gt;"",TEXT(AUX!HQ$1,"dd-MMM-aa"),"")</f>
      </c>
      <c r="HN202" s="496" t="str">
        <f> IF(HN222&lt;&gt;"",TEXT(AUX!HR$1,"dd-MMM-aa"),"")</f>
      </c>
      <c r="HO202" s="496" t="str">
        <f> IF(HO222&lt;&gt;"",TEXT(AUX!HS$1,"dd-MMM-aa"),"")</f>
      </c>
      <c r="HP202" s="496" t="str">
        <f> IF(HP222&lt;&gt;"",TEXT(AUX!HT$1,"dd-MMM-aa"),"")</f>
      </c>
      <c r="HQ202" s="496" t="str">
        <f> IF(HQ222&lt;&gt;"",TEXT(AUX!HU$1,"dd-MMM-aa"),"")</f>
      </c>
      <c r="HR202" s="496" t="str">
        <f> IF(HR222&lt;&gt;"",TEXT(AUX!HV$1,"dd-MMM-aa"),"")</f>
      </c>
      <c r="HS202" s="496" t="str">
        <f> IF(HS222&lt;&gt;"",TEXT(AUX!HW$1,"dd-MMM-aa"),"")</f>
      </c>
      <c r="HT202" s="496" t="str">
        <f> IF(HT222&lt;&gt;"",TEXT(AUX!HX$1,"dd-MMM-aa"),"")</f>
      </c>
      <c r="HU202" s="496" t="str">
        <f> IF(HU222&lt;&gt;"",TEXT(AUX!HY$1,"dd-MMM-aa"),"")</f>
      </c>
      <c r="HV202" s="496" t="str">
        <f> IF(HV222&lt;&gt;"",TEXT(AUX!HZ$1,"dd-MMM-aa"),"")</f>
      </c>
      <c r="HW202" s="496" t="str">
        <f> IF(HW222&lt;&gt;"",TEXT(AUX!IA$1,"dd-MMM-aa"),"")</f>
      </c>
      <c r="HX202" s="496" t="str">
        <f> IF(HX222&lt;&gt;"",TEXT(AUX!IB$1,"dd-MMM-aa"),"")</f>
      </c>
      <c r="HY202" s="496" t="str">
        <f> IF(HY222&lt;&gt;"",TEXT(AUX!IC$1,"dd-MMM-aa"),"")</f>
      </c>
      <c r="HZ202" s="496" t="str">
        <f> IF(HZ222&lt;&gt;"",TEXT(AUX!ID$1,"dd-MMM-aa"),"")</f>
      </c>
      <c r="IA202" s="496" t="str">
        <f> IF(IA222&lt;&gt;"",TEXT(AUX!IE$1,"dd-MMM-aa"),"")</f>
      </c>
      <c r="IB202" s="496" t="str">
        <f> IF(IB222&lt;&gt;"",TEXT(AUX!IF$1,"dd-MMM-aa"),"")</f>
      </c>
      <c r="IC202" s="496" t="str">
        <f> IF(IC222&lt;&gt;"",TEXT(AUX!IG$1,"dd-MMM-aa"),"")</f>
      </c>
      <c r="ID202" s="496" t="str">
        <f> IF(ID222&lt;&gt;"",TEXT(AUX!IH$1,"dd-MMM-aa"),"")</f>
      </c>
      <c r="IE202" s="496" t="str">
        <f> IF(IE222&lt;&gt;"",TEXT(AUX!II$1,"dd-MMM-aa"),"")</f>
      </c>
      <c r="IF202" s="496" t="str">
        <f> IF(IF222&lt;&gt;"",TEXT(AUX!IJ$1,"dd-MMM-aa"),"")</f>
      </c>
      <c r="IG202" s="496" t="str">
        <f> IF(IG222&lt;&gt;"",TEXT(AUX!IK$1,"dd-MMM-aa"),"")</f>
      </c>
      <c r="IH202" s="496" t="str">
        <f> IF(IH222&lt;&gt;"",TEXT(AUX!IL$1,"dd-MMM-aa"),"")</f>
      </c>
      <c r="II202" s="496" t="str">
        <f> IF(II222&lt;&gt;"",TEXT(AUX!IM$1,"dd-MMM-aa"),"")</f>
      </c>
      <c r="IJ202" s="496" t="str">
        <f> IF(IJ222&lt;&gt;"",TEXT(AUX!IN$1,"dd-MMM-aa"),"")</f>
      </c>
      <c r="IK202" s="496" t="str">
        <f> IF(IK222&lt;&gt;"",TEXT(AUX!IO$1,"dd-MMM-aa"),"")</f>
      </c>
      <c r="IL202" s="496" t="str">
        <f> IF(IL222&lt;&gt;"",TEXT(AUX!IP$1,"dd-MMM-aa"),"")</f>
      </c>
      <c r="IM202" s="496" t="str">
        <f> IF(IM222&lt;&gt;"",TEXT(AUX!IQ$1,"dd-MMM-aa"),"")</f>
      </c>
      <c r="IN202" s="496" t="str">
        <f> IF(IN222&lt;&gt;"",TEXT(AUX!IR$1,"dd-MMM-aa"),"")</f>
      </c>
      <c r="IO202" s="496" t="str">
        <f> IF(IO222&lt;&gt;"",TEXT(AUX!IS$1,"dd-MMM-aa"),"")</f>
      </c>
      <c r="IP202" s="496" t="str">
        <f> IF(IP222&lt;&gt;"",TEXT(AUX!IT$1,"dd-MMM-aa"),"")</f>
      </c>
      <c r="IQ202" s="496" t="str">
        <f> IF(IQ222&lt;&gt;"",TEXT(AUX!IU$1,"dd-MMM-aa"),"")</f>
      </c>
      <c r="IR202" s="496" t="str">
        <f> IF(IR222&lt;&gt;"",TEXT(AUX!IV$1,"dd-MMM-aa"),"")</f>
      </c>
      <c r="IS202" s="496" t="str">
        <f> IF(IS222&lt;&gt;"",TEXT(AUX!#REF!,"dd-MMM-aa"),"")</f>
      </c>
      <c r="IT202" s="496" t="str">
        <f> IF(IT222&lt;&gt;"",TEXT(AUX!#REF!,"dd-MMM-aa"),"")</f>
      </c>
      <c r="IU202" s="496" t="str">
        <f> IF(IU222&lt;&gt;"",TEXT(AUX!#REF!,"dd-MMM-aa"),"")</f>
      </c>
      <c r="IV202" s="496" t="str">
        <f> IF(IV222&lt;&gt;"",TEXT(AUX!#REF!,"dd-MMM-aa"),"")</f>
      </c>
    </row>
    <row r="203" hidden="1" ht="12.75" customHeight="1">
      <c r="B203" s="838" t="s">
        <v>8</v>
      </c>
      <c r="C203" s="839">
        <f>C351 + C448</f>
        <v>156304</v>
      </c>
      <c r="D203" s="839">
        <f>D351 + D448</f>
        <v>148529</v>
      </c>
      <c r="E203" s="839">
        <f>E351 + E448</f>
        <v>173018</v>
      </c>
      <c r="F203" s="839">
        <f>F351 + F448</f>
        <v>167978</v>
      </c>
      <c r="G203" s="839">
        <f>G351 + G448</f>
        <v>171982</v>
      </c>
      <c r="H203" s="839">
        <f>H351 + H448</f>
        <v>148179</v>
      </c>
      <c r="I203" s="839">
        <f>I351 + I448</f>
        <v>152614</v>
      </c>
      <c r="J203" s="839">
        <f>J351 + J448</f>
        <v>141447</v>
      </c>
      <c r="K203" s="839">
        <f>K351 + K448</f>
        <v>152936</v>
      </c>
      <c r="L203" s="839">
        <f>L351 + L448</f>
        <v>133442</v>
      </c>
      <c r="M203" s="839">
        <f>M351 + M448</f>
        <v>143117</v>
      </c>
      <c r="N203" s="839">
        <f>N351 + N448</f>
        <v>138652</v>
      </c>
      <c r="O203" s="839">
        <f>O351 + O448</f>
        <v>142021</v>
      </c>
      <c r="P203" s="839">
        <f>P351 + P448</f>
        <v>126643</v>
      </c>
      <c r="Q203" s="839">
        <f>Q351 + Q448</f>
        <v>126614</v>
      </c>
      <c r="R203" s="839">
        <f>R351 + R448</f>
        <v>124222</v>
      </c>
      <c r="S203" s="839">
        <f>S351 + S448</f>
        <v>148848</v>
      </c>
      <c r="T203" s="839">
        <f>T351 + T448</f>
        <v>138685</v>
      </c>
      <c r="U203" s="839">
        <f>U351 + U448</f>
        <v>143278</v>
      </c>
      <c r="V203" s="839">
        <f>V351 + V448</f>
        <v>136940</v>
      </c>
      <c r="W203" s="839">
        <f>W351 + W448</f>
        <v>143658</v>
      </c>
      <c r="X203" s="839">
        <f>X351 + X448</f>
        <v>133774</v>
      </c>
      <c r="Y203" s="839">
        <f>Y351 + Y448</f>
        <v>148691</v>
      </c>
      <c r="Z203" s="839">
        <f>Z351 + Z448</f>
        <v>135818</v>
      </c>
      <c r="AA203" s="839">
        <f>AA351 + AA448</f>
        <v>149815</v>
      </c>
      <c r="AB203" s="840">
        <f>AB351 + AB448</f>
        <v>133089</v>
      </c>
      <c r="AC203" s="841">
        <f>AC351 + AC448</f>
        <v>149622</v>
      </c>
      <c r="AD203" s="841">
        <f>AD351 + AD448</f>
        <v>141740</v>
      </c>
      <c r="AE203" s="841">
        <f>AE351 + AE448</f>
        <v>153751</v>
      </c>
      <c r="AF203" s="841">
        <f>AF351 + AF448</f>
        <v>134717</v>
      </c>
      <c r="AG203" s="841">
        <f>AG351 + AG448</f>
        <v>151042</v>
      </c>
      <c r="AH203" s="841">
        <f>AH351 + AH448</f>
        <v>137269</v>
      </c>
      <c r="AI203" s="841">
        <f>AI351 + AI448</f>
        <v>149813</v>
      </c>
      <c r="AJ203" s="841">
        <f>AJ351 + AJ448</f>
        <v>129587</v>
      </c>
      <c r="AK203" s="841">
        <f>AK351 + AK448</f>
        <v>135983</v>
      </c>
      <c r="AL203" s="841">
        <f>AL351 + AL448</f>
        <v>117298</v>
      </c>
      <c r="AM203" s="841">
        <f>AM351 + AM448</f>
        <v>126643</v>
      </c>
      <c r="AN203" s="841">
        <f>AN351 + AN448</f>
        <v>129253</v>
      </c>
      <c r="AO203" s="841">
        <f>AO351 + AO448</f>
        <v>146594</v>
      </c>
      <c r="AP203" s="841">
        <f>AP351 + AP448</f>
        <v>132444</v>
      </c>
    </row>
    <row r="204" hidden="1" ht="12.75" customHeight="1">
      <c r="B204" s="842" t="s">
        <v>9</v>
      </c>
      <c r="C204" s="839">
        <f>C352 + C449</f>
        <v>146423</v>
      </c>
      <c r="D204" s="839">
        <f>D352 + D449</f>
        <v>149397</v>
      </c>
      <c r="E204" s="839">
        <f>E352 + E449</f>
        <v>133275</v>
      </c>
      <c r="F204" s="839">
        <f>F352 + F449</f>
        <v>123273</v>
      </c>
      <c r="G204" s="839">
        <f>G352 + G449</f>
        <v>151672</v>
      </c>
      <c r="H204" s="839">
        <f>H352 + H449</f>
        <v>146883</v>
      </c>
      <c r="I204" s="839">
        <f>I352 + I449</f>
        <v>163668</v>
      </c>
      <c r="J204" s="839">
        <f>J352 + J449</f>
        <v>188572</v>
      </c>
      <c r="K204" s="839">
        <f>K352 + K449</f>
        <v>183109</v>
      </c>
      <c r="L204" s="839">
        <f>L352 + L449</f>
        <v>192848</v>
      </c>
      <c r="M204" s="839">
        <f>M352 + M449</f>
        <v>179061</v>
      </c>
      <c r="N204" s="839">
        <f>N352 + N449</f>
        <v>203201</v>
      </c>
      <c r="O204" s="839">
        <f>O352 + O449</f>
        <v>186649</v>
      </c>
      <c r="P204" s="839">
        <f>P352 + P449</f>
        <v>203643</v>
      </c>
      <c r="Q204" s="839">
        <f>Q352 + Q449</f>
        <v>186629</v>
      </c>
      <c r="R204" s="839">
        <f>R352 + R449</f>
        <v>202111</v>
      </c>
      <c r="S204" s="839">
        <f>S352 + S449</f>
        <v>202598</v>
      </c>
      <c r="T204" s="839">
        <f>T352 + T449</f>
        <v>216691</v>
      </c>
      <c r="U204" s="839">
        <f>U352 + U449</f>
        <v>210937</v>
      </c>
      <c r="V204" s="839">
        <f>V352 + V449</f>
        <v>230222</v>
      </c>
      <c r="W204" s="839">
        <f>W352 + W449</f>
        <v>225608</v>
      </c>
      <c r="X204" s="839">
        <f>X352 + X449</f>
        <v>239674</v>
      </c>
      <c r="Y204" s="839">
        <f>Y352 + Y449</f>
        <v>244042</v>
      </c>
      <c r="Z204" s="839">
        <f>Z352 + Z449</f>
        <v>258566</v>
      </c>
      <c r="AA204" s="839">
        <f>AA352 + AA449</f>
        <v>252695</v>
      </c>
      <c r="AB204" s="839">
        <f>AB352 + AB449</f>
        <v>269289</v>
      </c>
      <c r="AC204" s="841">
        <f>AC352 + AC449</f>
        <v>244800</v>
      </c>
      <c r="AD204" s="841">
        <f>AD352 + AD449</f>
        <v>264391</v>
      </c>
      <c r="AE204" s="841">
        <f>AE352 + AE449</f>
        <v>260285</v>
      </c>
      <c r="AF204" s="841">
        <f>AF352 + AF449</f>
        <v>279334</v>
      </c>
      <c r="AG204" s="841">
        <f>AG352 + AG449</f>
        <v>271343</v>
      </c>
      <c r="AH204" s="841">
        <f>AH352 + AH449</f>
        <v>285462</v>
      </c>
      <c r="AI204" s="841">
        <f>AI352 + AI449</f>
        <v>274925</v>
      </c>
      <c r="AJ204" s="841">
        <f>AJ352 + AJ449</f>
        <v>302171</v>
      </c>
      <c r="AK204" s="841">
        <f>AK352 + AK449</f>
        <v>271492</v>
      </c>
      <c r="AL204" s="841">
        <f>AL352 + AL449</f>
        <v>289628</v>
      </c>
      <c r="AM204" s="841">
        <f>AM352 + AM449</f>
        <v>272108</v>
      </c>
      <c r="AN204" s="841">
        <f>AN352 + AN449</f>
        <v>286507</v>
      </c>
      <c r="AO204" s="841">
        <f>AO352 + AO449</f>
        <v>288709</v>
      </c>
      <c r="AP204" s="841">
        <f>AP352 + AP449</f>
        <v>308739</v>
      </c>
    </row>
    <row r="205" hidden="1" ht="12.75" customHeight="1">
      <c r="B205" s="842" t="s">
        <v>10</v>
      </c>
      <c r="C205" s="839">
        <f>C353 + C450</f>
        <v>105431</v>
      </c>
      <c r="D205" s="839">
        <f>D353 + D450</f>
        <v>95741</v>
      </c>
      <c r="E205" s="839">
        <f>E353 + E450</f>
        <v>107129</v>
      </c>
      <c r="F205" s="839">
        <f>F353 + F450</f>
        <v>105442</v>
      </c>
      <c r="G205" s="839">
        <f>G353 + G450</f>
        <v>118275</v>
      </c>
      <c r="H205" s="839">
        <f>H353 + H450</f>
        <v>109878</v>
      </c>
      <c r="I205" s="839">
        <f>I353 + I450</f>
        <v>103789</v>
      </c>
      <c r="J205" s="839">
        <f>J353 + J450</f>
        <v>95363</v>
      </c>
      <c r="K205" s="839">
        <f>K353 + K450</f>
        <v>104870</v>
      </c>
      <c r="L205" s="839">
        <f>L353 + L450</f>
        <v>95698</v>
      </c>
      <c r="M205" s="839">
        <f>M353 + M450</f>
        <v>102425</v>
      </c>
      <c r="N205" s="839">
        <f>N353 + N450</f>
        <v>94684</v>
      </c>
      <c r="O205" s="839">
        <f>O353 + O450</f>
        <v>105318</v>
      </c>
      <c r="P205" s="839">
        <f>P353 + P450</f>
        <v>94598</v>
      </c>
      <c r="Q205" s="839">
        <f>Q353 + Q450</f>
        <v>100784</v>
      </c>
      <c r="R205" s="839">
        <f>R353 + R450</f>
        <v>93263</v>
      </c>
      <c r="S205" s="839">
        <f>S353 + S450</f>
        <v>104865</v>
      </c>
      <c r="T205" s="839">
        <f>T353 + T450</f>
        <v>98627</v>
      </c>
      <c r="U205" s="839">
        <f>U353 + U450</f>
        <v>109880</v>
      </c>
      <c r="V205" s="839">
        <f>V353 + V450</f>
        <v>97566</v>
      </c>
      <c r="W205" s="839">
        <f>W353 + W450</f>
        <v>104930</v>
      </c>
      <c r="X205" s="839">
        <f>X353 + X450</f>
        <v>95029</v>
      </c>
      <c r="Y205" s="839">
        <f>Y353 + Y450</f>
        <v>107655</v>
      </c>
      <c r="Z205" s="839">
        <f>Z353 + Z450</f>
        <v>97027</v>
      </c>
      <c r="AA205" s="839">
        <f>AA353 + AA450</f>
        <v>106964</v>
      </c>
      <c r="AB205" s="839">
        <f>AB353 + AB450</f>
        <v>93520</v>
      </c>
      <c r="AC205" s="841">
        <f>AC353 + AC450</f>
        <v>106981</v>
      </c>
      <c r="AD205" s="841">
        <f>AD353 + AD450</f>
        <v>96344</v>
      </c>
      <c r="AE205" s="841">
        <f>AE353 + AE450</f>
        <v>111200</v>
      </c>
      <c r="AF205" s="841">
        <f>AF353 + AF450</f>
        <v>97019</v>
      </c>
      <c r="AG205" s="841">
        <f>AG353 + AG450</f>
        <v>110824</v>
      </c>
      <c r="AH205" s="841">
        <f>AH353 + AH450</f>
        <v>95164</v>
      </c>
      <c r="AI205" s="841">
        <f>AI353 + AI450</f>
        <v>107798</v>
      </c>
      <c r="AJ205" s="841">
        <f>AJ353 + AJ450</f>
        <v>90974</v>
      </c>
      <c r="AK205" s="841">
        <f>AK353 + AK450</f>
        <v>100983</v>
      </c>
      <c r="AL205" s="841">
        <f>AL353 + AL450</f>
        <v>87414</v>
      </c>
      <c r="AM205" s="841">
        <f>AM353 + AM450</f>
        <v>93962</v>
      </c>
      <c r="AN205" s="841">
        <f>AN353 + AN450</f>
        <v>79062</v>
      </c>
      <c r="AO205" s="841">
        <f>AO353 + AO450</f>
        <v>97665</v>
      </c>
      <c r="AP205" s="841">
        <f>AP353 + AP450</f>
        <v>84723</v>
      </c>
    </row>
    <row r="206" hidden="1" ht="12.75" customHeight="1">
      <c r="B206" s="842" t="s">
        <v>11</v>
      </c>
      <c r="C206" s="839">
        <f>C354 + C451</f>
        <v>12248</v>
      </c>
      <c r="D206" s="839">
        <f>D354 + D451</f>
        <v>12093</v>
      </c>
      <c r="E206" s="839">
        <f>E354 + E451</f>
        <v>12939</v>
      </c>
      <c r="F206" s="839">
        <f>F354 + F451</f>
        <v>12091</v>
      </c>
      <c r="G206" s="839">
        <f>G354 + G451</f>
        <v>13048</v>
      </c>
      <c r="H206" s="839">
        <f>H354 + H451</f>
        <v>12440</v>
      </c>
      <c r="I206" s="839">
        <f>I354 + I451</f>
        <v>12397</v>
      </c>
      <c r="J206" s="839">
        <f>J354 + J451</f>
        <v>12562</v>
      </c>
      <c r="K206" s="839">
        <f>K354 + K451</f>
        <v>11942</v>
      </c>
      <c r="L206" s="839">
        <f>L354 + L451</f>
        <v>12703</v>
      </c>
      <c r="M206" s="839">
        <f>M354 + M451</f>
        <v>12313</v>
      </c>
      <c r="N206" s="839">
        <f>N354 + N451</f>
        <v>11761</v>
      </c>
      <c r="O206" s="839">
        <f>O354 + O451</f>
        <v>11036</v>
      </c>
      <c r="P206" s="839">
        <f>P354 + P451</f>
        <v>10399</v>
      </c>
      <c r="Q206" s="839">
        <f>Q354 + Q451</f>
        <v>10730</v>
      </c>
      <c r="R206" s="839">
        <f>R354 + R451</f>
        <v>10828</v>
      </c>
      <c r="S206" s="839">
        <f>S354 + S451</f>
        <v>10722</v>
      </c>
      <c r="T206" s="839">
        <f>T354 + T451</f>
        <v>10304</v>
      </c>
      <c r="U206" s="839">
        <f>U354 + U451</f>
        <v>9614</v>
      </c>
      <c r="V206" s="839">
        <f>V354 + V451</f>
        <v>9922</v>
      </c>
      <c r="W206" s="839">
        <f>W354 + W451</f>
        <v>10830</v>
      </c>
      <c r="X206" s="839">
        <f>X354 + X451</f>
        <v>10471</v>
      </c>
      <c r="Y206" s="839">
        <f>Y354 + Y451</f>
        <v>9791</v>
      </c>
      <c r="Z206" s="839">
        <f>Z354 + Z451</f>
        <v>9668</v>
      </c>
      <c r="AA206" s="839">
        <f>AA354 + AA451</f>
        <v>9509</v>
      </c>
      <c r="AB206" s="839">
        <f>AB354 + AB451</f>
        <v>9747</v>
      </c>
      <c r="AC206" s="841">
        <f>AC354 + AC451</f>
        <v>9348</v>
      </c>
      <c r="AD206" s="841">
        <f>AD354 + AD451</f>
        <v>9181</v>
      </c>
      <c r="AE206" s="841">
        <f>AE354 + AE451</f>
        <v>9068</v>
      </c>
      <c r="AF206" s="841">
        <f>AF354 + AF451</f>
        <v>8995</v>
      </c>
      <c r="AG206" s="841">
        <f>AG354 + AG451</f>
        <v>9025</v>
      </c>
      <c r="AH206" s="841">
        <f>AH354 + AH451</f>
        <v>8691</v>
      </c>
      <c r="AI206" s="841">
        <f>AI354 + AI451</f>
        <v>8681</v>
      </c>
      <c r="AJ206" s="841">
        <f>AJ354 + AJ451</f>
        <v>8425</v>
      </c>
      <c r="AK206" s="841">
        <f>AK354 + AK451</f>
        <v>7802</v>
      </c>
      <c r="AL206" s="841">
        <f>AL354 + AL451</f>
        <v>7540</v>
      </c>
      <c r="AM206" s="841">
        <f>AM354 + AM451</f>
        <v>7226</v>
      </c>
      <c r="AN206" s="841">
        <f>AN354 + AN451</f>
        <v>6816</v>
      </c>
      <c r="AO206" s="841">
        <f>AO354 + AO451</f>
        <v>6661</v>
      </c>
      <c r="AP206" s="841">
        <f>AP354 + AP451</f>
        <v>7104</v>
      </c>
    </row>
    <row r="207" hidden="1" ht="12.75" customHeight="1">
      <c r="B207" s="842" t="s">
        <v>12</v>
      </c>
      <c r="C207" s="839">
        <f>C355 + C452</f>
        <v>5743</v>
      </c>
      <c r="D207" s="839">
        <f>D355 + D452</f>
        <v>5451</v>
      </c>
      <c r="E207" s="839">
        <f>E355 + E452</f>
        <v>5834</v>
      </c>
      <c r="F207" s="839">
        <f>F355 + F452</f>
        <v>5512</v>
      </c>
      <c r="G207" s="839">
        <f>G355 + G452</f>
        <v>5225</v>
      </c>
      <c r="H207" s="839">
        <f>H355 + H452</f>
        <v>5133</v>
      </c>
      <c r="I207" s="839">
        <f>I355 + I452</f>
        <v>5427</v>
      </c>
      <c r="J207" s="839">
        <f>J355 + J452</f>
        <v>4072</v>
      </c>
      <c r="K207" s="839">
        <f>K355 + K452</f>
        <v>5932</v>
      </c>
      <c r="L207" s="839">
        <f>L355 + L452</f>
        <v>5430</v>
      </c>
      <c r="M207" s="839">
        <f>M355 + M452</f>
        <v>6011</v>
      </c>
      <c r="N207" s="839">
        <f>N355 + N452</f>
        <v>5518</v>
      </c>
      <c r="O207" s="839">
        <f>O355 + O452</f>
        <v>5800</v>
      </c>
      <c r="P207" s="839">
        <f>P355 + P452</f>
        <v>5089</v>
      </c>
      <c r="Q207" s="839">
        <f>Q355 + Q452</f>
        <v>5968</v>
      </c>
      <c r="R207" s="839">
        <f>R355 + R452</f>
        <v>5599</v>
      </c>
      <c r="S207" s="839">
        <f>S355 + S452</f>
        <v>5990</v>
      </c>
      <c r="T207" s="839">
        <f>T355 + T452</f>
        <v>6149</v>
      </c>
      <c r="U207" s="839">
        <f>U355 + U452</f>
        <v>6803</v>
      </c>
      <c r="V207" s="839">
        <f>V355 + V452</f>
        <v>5629</v>
      </c>
      <c r="W207" s="839">
        <f>W355 + W452</f>
        <v>7219</v>
      </c>
      <c r="X207" s="839">
        <f>X355 + X452</f>
        <v>6168</v>
      </c>
      <c r="Y207" s="839">
        <f>Y355 + Y452</f>
        <v>7452</v>
      </c>
      <c r="Z207" s="839">
        <f>Z355 + Z452</f>
        <v>6107</v>
      </c>
      <c r="AA207" s="839">
        <f>AA355 + AA452</f>
        <v>7817</v>
      </c>
      <c r="AB207" s="839">
        <f>AB355 + AB452</f>
        <v>5764</v>
      </c>
      <c r="AC207" s="841">
        <f>AC355 + AC452</f>
        <v>7200</v>
      </c>
      <c r="AD207" s="841">
        <f>AD355 + AD452</f>
        <v>6299</v>
      </c>
      <c r="AE207" s="841">
        <f>AE355 + AE452</f>
        <v>6473</v>
      </c>
      <c r="AF207" s="841">
        <f>AF355 + AF452</f>
        <v>6900</v>
      </c>
      <c r="AG207" s="841">
        <f>AG355 + AG452</f>
        <v>7676</v>
      </c>
      <c r="AH207" s="841">
        <f>AH355 + AH452</f>
        <v>6283</v>
      </c>
      <c r="AI207" s="841">
        <f>AI355 + AI452</f>
        <v>7960</v>
      </c>
      <c r="AJ207" s="841">
        <f>AJ355 + AJ452</f>
        <v>6876</v>
      </c>
      <c r="AK207" s="841">
        <f>AK355 + AK452</f>
        <v>7089</v>
      </c>
      <c r="AL207" s="841">
        <f>AL355 + AL452</f>
        <v>5712</v>
      </c>
      <c r="AM207" s="841">
        <f>AM355 + AM452</f>
        <v>7443</v>
      </c>
      <c r="AN207" s="841">
        <f>AN355 + AN452</f>
        <v>6512</v>
      </c>
      <c r="AO207" s="841">
        <f>AO355 + AO452</f>
        <v>8576</v>
      </c>
      <c r="AP207" s="841">
        <f>AP355 + AP452</f>
        <v>7733</v>
      </c>
    </row>
    <row r="208" hidden="1" ht="12.75" customHeight="1">
      <c r="B208" s="842" t="s">
        <v>13</v>
      </c>
      <c r="C208" s="839">
        <f>C356 + C453</f>
        <v>60397</v>
      </c>
      <c r="D208" s="839">
        <f>D356 + D453</f>
        <v>52159</v>
      </c>
      <c r="E208" s="839">
        <f>E356 + E453</f>
        <v>62040</v>
      </c>
      <c r="F208" s="839">
        <f>F356 + F453</f>
        <v>57231</v>
      </c>
      <c r="G208" s="839">
        <f>G356 + G453</f>
        <v>61849</v>
      </c>
      <c r="H208" s="839">
        <f>H356 + H453</f>
        <v>59157</v>
      </c>
      <c r="I208" s="839">
        <f>I356 + I453</f>
        <v>60925</v>
      </c>
      <c r="J208" s="839">
        <f>J356 + J453</f>
        <v>52775</v>
      </c>
      <c r="K208" s="839">
        <f>K356 + K453</f>
        <v>57590</v>
      </c>
      <c r="L208" s="839">
        <f>L356 + L453</f>
        <v>53265</v>
      </c>
      <c r="M208" s="839">
        <f>M356 + M453</f>
        <v>58505</v>
      </c>
      <c r="N208" s="839">
        <f>N356 + N453</f>
        <v>54255</v>
      </c>
      <c r="O208" s="839">
        <f>O356 + O453</f>
        <v>60849</v>
      </c>
      <c r="P208" s="839">
        <f>P356 + P453</f>
        <v>54561</v>
      </c>
      <c r="Q208" s="839">
        <f>Q356 + Q453</f>
        <v>61120</v>
      </c>
      <c r="R208" s="839">
        <f>R356 + R453</f>
        <v>53153</v>
      </c>
      <c r="S208" s="839">
        <f>S356 + S453</f>
        <v>64055</v>
      </c>
      <c r="T208" s="839">
        <f>T356 + T453</f>
        <v>57300</v>
      </c>
      <c r="U208" s="839">
        <f>U356 + U453</f>
        <v>66804</v>
      </c>
      <c r="V208" s="839">
        <f>V356 + V453</f>
        <v>54891</v>
      </c>
      <c r="W208" s="839">
        <f>W356 + W453</f>
        <v>65866</v>
      </c>
      <c r="X208" s="839">
        <f>X356 + X453</f>
        <v>58249</v>
      </c>
      <c r="Y208" s="839">
        <f>Y356 + Y453</f>
        <v>68334</v>
      </c>
      <c r="Z208" s="839">
        <f>Z356 + Z453</f>
        <v>58395</v>
      </c>
      <c r="AA208" s="839">
        <f>AA356 + AA453</f>
        <v>68248</v>
      </c>
      <c r="AB208" s="839">
        <f>AB356 + AB453</f>
        <v>55952</v>
      </c>
      <c r="AC208" s="841">
        <f>AC356 + AC453</f>
        <v>69249</v>
      </c>
      <c r="AD208" s="841">
        <f>AD356 + AD453</f>
        <v>58048</v>
      </c>
      <c r="AE208" s="841">
        <f>AE356 + AE453</f>
        <v>72133</v>
      </c>
      <c r="AF208" s="841">
        <f>AF356 + AF453</f>
        <v>59131</v>
      </c>
      <c r="AG208" s="841">
        <f>AG356 + AG453</f>
        <v>71777</v>
      </c>
      <c r="AH208" s="841">
        <f>AH356 + AH453</f>
        <v>56246</v>
      </c>
      <c r="AI208" s="841">
        <f>AI356 + AI453</f>
        <v>69892</v>
      </c>
      <c r="AJ208" s="841">
        <f>AJ356 + AJ453</f>
        <v>51366</v>
      </c>
      <c r="AK208" s="841">
        <f>AK356 + AK453</f>
        <v>60873</v>
      </c>
      <c r="AL208" s="841">
        <f>AL356 + AL453</f>
        <v>50364</v>
      </c>
      <c r="AM208" s="841">
        <f>AM356 + AM453</f>
        <v>58954</v>
      </c>
      <c r="AN208" s="841">
        <f>AN356 + AN453</f>
        <v>47541</v>
      </c>
      <c r="AO208" s="841">
        <f>AO356 + AO453</f>
        <v>61290</v>
      </c>
      <c r="AP208" s="841">
        <f>AP356 + AP453</f>
        <v>50402</v>
      </c>
    </row>
    <row r="209" hidden="1" ht="12.75" customHeight="1">
      <c r="B209" s="842" t="s">
        <v>109</v>
      </c>
      <c r="C209" s="839">
        <f>C357 + C454</f>
        <v>124398</v>
      </c>
      <c r="D209" s="839">
        <f>D357 + D454</f>
        <v>139953</v>
      </c>
      <c r="E209" s="839">
        <f>E357 + E454</f>
        <v>127553</v>
      </c>
      <c r="F209" s="839">
        <f>F357 + F454</f>
        <v>127692</v>
      </c>
      <c r="G209" s="839">
        <f>G357 + G454</f>
        <v>121818</v>
      </c>
      <c r="H209" s="839">
        <f>H357 + H454</f>
        <v>142868</v>
      </c>
      <c r="I209" s="839">
        <f>I357 + I454</f>
        <v>135106</v>
      </c>
      <c r="J209" s="839">
        <f>J357 + J454</f>
        <v>163804</v>
      </c>
      <c r="K209" s="839">
        <f>K357 + K454</f>
        <v>124483</v>
      </c>
      <c r="L209" s="839">
        <f>L357 + L454</f>
        <v>159067</v>
      </c>
      <c r="M209" s="839">
        <f>M357 + M454</f>
        <v>126286</v>
      </c>
      <c r="N209" s="839">
        <f>N357 + N454</f>
        <v>168401</v>
      </c>
      <c r="O209" s="839">
        <f>O357 + O454</f>
        <v>133246</v>
      </c>
      <c r="P209" s="839">
        <f>P357 + P454</f>
        <v>154454</v>
      </c>
      <c r="Q209" s="839">
        <f>Q357 + Q454</f>
        <v>130037</v>
      </c>
      <c r="R209" s="839">
        <f>R357 + R454</f>
        <v>155905</v>
      </c>
      <c r="S209" s="839">
        <f>S357 + S454</f>
        <v>124503</v>
      </c>
      <c r="T209" s="839">
        <f>T357 + T454</f>
        <v>179113</v>
      </c>
      <c r="U209" s="839">
        <f>U357 + U454</f>
        <v>168615</v>
      </c>
      <c r="V209" s="839">
        <f>V357 + V454</f>
        <v>195317</v>
      </c>
      <c r="W209" s="839">
        <f>W357 + W454</f>
        <v>177632</v>
      </c>
      <c r="X209" s="839">
        <f>X357 + X454</f>
        <v>198193</v>
      </c>
      <c r="Y209" s="839">
        <f>Y357 + Y454</f>
        <v>191945</v>
      </c>
      <c r="Z209" s="839">
        <f>Z357 + Z454</f>
        <v>225222</v>
      </c>
      <c r="AA209" s="839">
        <f>AA357 + AA454</f>
        <v>203235</v>
      </c>
      <c r="AB209" s="839">
        <f>AB357 + AB454</f>
        <v>226642</v>
      </c>
      <c r="AC209" s="841">
        <f>AC357 + AC454</f>
        <v>210909</v>
      </c>
      <c r="AD209" s="841">
        <f>AD357 + AD454</f>
        <v>230616</v>
      </c>
      <c r="AE209" s="841">
        <f>AE357 + AE454</f>
        <v>205788</v>
      </c>
      <c r="AF209" s="841">
        <f>AF357 + AF454</f>
        <v>236922</v>
      </c>
      <c r="AG209" s="841">
        <f>AG357 + AG454</f>
        <v>213514</v>
      </c>
      <c r="AH209" s="841">
        <f>AH357 + AH454</f>
        <v>233391</v>
      </c>
      <c r="AI209" s="841">
        <f>AI357 + AI454</f>
        <v>213482</v>
      </c>
      <c r="AJ209" s="841">
        <f>AJ357 + AJ454</f>
        <v>245100</v>
      </c>
      <c r="AK209" s="841">
        <f>AK357 + AK454</f>
        <v>217143</v>
      </c>
      <c r="AL209" s="841">
        <f>AL357 + AL454</f>
        <v>219930</v>
      </c>
      <c r="AM209" s="841">
        <f>AM357 + AM454</f>
        <v>193729</v>
      </c>
      <c r="AN209" s="841">
        <f>AN357 + AN454</f>
        <v>220588</v>
      </c>
      <c r="AO209" s="841">
        <f>AO357 + AO454</f>
        <v>216658</v>
      </c>
      <c r="AP209" s="841">
        <f>AP357 + AP454</f>
        <v>236250</v>
      </c>
    </row>
    <row r="210" hidden="1" ht="12.75" customHeight="1">
      <c r="B210" s="842" t="s">
        <v>110</v>
      </c>
      <c r="C210" s="839">
        <f>C358 + C455</f>
        <v>398927</v>
      </c>
      <c r="D210" s="839">
        <f>D358 + D455</f>
        <v>388776</v>
      </c>
      <c r="E210" s="839">
        <f>E358 + E455</f>
        <v>429592</v>
      </c>
      <c r="F210" s="839">
        <f>F358 + F455</f>
        <v>425123</v>
      </c>
      <c r="G210" s="839">
        <f>G358 + G455</f>
        <v>462058</v>
      </c>
      <c r="H210" s="839">
        <f>H358 + H455</f>
        <v>412236</v>
      </c>
      <c r="I210" s="839">
        <f>I358 + I455</f>
        <v>457799</v>
      </c>
      <c r="J210" s="839">
        <f>J358 + J455</f>
        <v>426217</v>
      </c>
      <c r="K210" s="839">
        <f>K358 + K455</f>
        <v>441780</v>
      </c>
      <c r="L210" s="839">
        <f>L358 + L455</f>
        <v>424486</v>
      </c>
      <c r="M210" s="839">
        <f>M358 + M455</f>
        <v>460893</v>
      </c>
      <c r="N210" s="839">
        <f>N358 + N455</f>
        <v>445361</v>
      </c>
      <c r="O210" s="839">
        <f>O358 + O455</f>
        <v>464000</v>
      </c>
      <c r="P210" s="839">
        <f>P358 + P455</f>
        <v>433037</v>
      </c>
      <c r="Q210" s="839">
        <f>Q358 + Q455</f>
        <v>435918</v>
      </c>
      <c r="R210" s="839">
        <f>R358 + R455</f>
        <v>425578</v>
      </c>
      <c r="S210" s="839">
        <f>S358 + S455</f>
        <v>476575</v>
      </c>
      <c r="T210" s="839">
        <f>T358 + T455</f>
        <v>470477</v>
      </c>
      <c r="U210" s="839">
        <f>U358 + U455</f>
        <v>501725</v>
      </c>
      <c r="V210" s="839">
        <f>V358 + V455</f>
        <v>468786</v>
      </c>
      <c r="W210" s="839">
        <f>W358 + W455</f>
        <v>505104</v>
      </c>
      <c r="X210" s="839">
        <f>X358 + X455</f>
        <v>478527</v>
      </c>
      <c r="Y210" s="839">
        <f>Y358 + Y455</f>
        <v>529057</v>
      </c>
      <c r="Z210" s="839">
        <f>Z358 + Z455</f>
        <v>502488</v>
      </c>
      <c r="AA210" s="839">
        <f>AA358 + AA455</f>
        <v>525249</v>
      </c>
      <c r="AB210" s="839">
        <f>AB358 + AB455</f>
        <v>491099</v>
      </c>
      <c r="AC210" s="841">
        <f>AC358 + AC455</f>
        <v>542018</v>
      </c>
      <c r="AD210" s="841">
        <f>AD358 + AD455</f>
        <v>518621</v>
      </c>
      <c r="AE210" s="841">
        <f>AE358 + AE455</f>
        <v>538361</v>
      </c>
      <c r="AF210" s="841">
        <f>AF358 + AF455</f>
        <v>524113</v>
      </c>
      <c r="AG210" s="841">
        <f>AG358 + AG455</f>
        <v>567961</v>
      </c>
      <c r="AH210" s="841">
        <f>AH358 + AH455</f>
        <v>526284</v>
      </c>
      <c r="AI210" s="841">
        <f>AI358 + AI455</f>
        <v>554960</v>
      </c>
      <c r="AJ210" s="841">
        <f>AJ358 + AJ455</f>
        <v>524287</v>
      </c>
      <c r="AK210" s="841">
        <f>AK358 + AK455</f>
        <v>535565</v>
      </c>
      <c r="AL210" s="841">
        <f>AL358 + AL455</f>
        <v>489753</v>
      </c>
      <c r="AM210" s="841">
        <f>AM358 + AM455</f>
        <v>516111</v>
      </c>
      <c r="AN210" s="841">
        <f>AN358 + AN455</f>
        <v>477892</v>
      </c>
      <c r="AO210" s="841">
        <f>AO358 + AO455</f>
        <v>548950</v>
      </c>
      <c r="AP210" s="841">
        <f>AP358 + AP455</f>
        <v>517608</v>
      </c>
    </row>
    <row r="211" hidden="1" ht="12.75" customHeight="1">
      <c r="B211" s="842" t="s">
        <v>16</v>
      </c>
      <c r="C211" s="839">
        <f>C359 + C456</f>
        <v>444653</v>
      </c>
      <c r="D211" s="839">
        <f>D359 + D456</f>
        <v>451756</v>
      </c>
      <c r="E211" s="839">
        <f>E359 + E456</f>
        <v>450982</v>
      </c>
      <c r="F211" s="839">
        <f>F359 + F456</f>
        <v>399384</v>
      </c>
      <c r="G211" s="839">
        <f>G359 + G456</f>
        <v>351277</v>
      </c>
      <c r="H211" s="839">
        <f>H359 + H456</f>
        <v>287046</v>
      </c>
      <c r="I211" s="839">
        <f>I359 + I456</f>
        <v>348302</v>
      </c>
      <c r="J211" s="839">
        <f>J359 + J456</f>
        <v>285869</v>
      </c>
      <c r="K211" s="839">
        <f>K359 + K456</f>
        <v>351199</v>
      </c>
      <c r="L211" s="839">
        <f>L359 + L456</f>
        <v>340481</v>
      </c>
      <c r="M211" s="839">
        <f>M359 + M456</f>
        <v>337813</v>
      </c>
      <c r="N211" s="839">
        <f>N359 + N456</f>
        <v>357711</v>
      </c>
      <c r="O211" s="839">
        <f>O359 + O456</f>
        <v>352539</v>
      </c>
      <c r="P211" s="839">
        <f>P359 + P456</f>
        <v>355150</v>
      </c>
      <c r="Q211" s="839">
        <f>Q359 + Q456</f>
        <v>372031</v>
      </c>
      <c r="R211" s="839">
        <f>R359 + R456</f>
        <v>0</v>
      </c>
      <c r="S211" s="839">
        <f>S359 + S456</f>
        <v>394770</v>
      </c>
      <c r="T211" s="839">
        <f>T359 + T456</f>
        <v>334816</v>
      </c>
      <c r="U211" s="839">
        <f>U359 + U456</f>
        <v>395089</v>
      </c>
      <c r="V211" s="839">
        <f>V359 + V456</f>
        <v>414204</v>
      </c>
      <c r="W211" s="839">
        <f>W359 + W456</f>
        <v>421537</v>
      </c>
      <c r="X211" s="839">
        <f>X359 + X456</f>
        <v>409047</v>
      </c>
      <c r="Y211" s="839">
        <f>Y359 + Y456</f>
        <v>429337</v>
      </c>
      <c r="Z211" s="839">
        <f>Z359 + Z456</f>
        <v>444935</v>
      </c>
      <c r="AA211" s="839">
        <f>AA359 + AA456</f>
        <v>463282</v>
      </c>
      <c r="AB211" s="839">
        <f>AB359 + AB456</f>
        <v>449222</v>
      </c>
      <c r="AC211" s="841">
        <f>AC359 + AC456</f>
        <v>443378</v>
      </c>
      <c r="AD211" s="841">
        <f>AD359 + AD456</f>
        <v>427539</v>
      </c>
      <c r="AE211" s="841">
        <f>AE359 + AE456</f>
        <v>436092</v>
      </c>
      <c r="AF211" s="841">
        <f>AF359 + AF456</f>
        <v>434451</v>
      </c>
      <c r="AG211" s="841">
        <f>AG359 + AG456</f>
        <v>431041</v>
      </c>
      <c r="AH211" s="841">
        <f>AH359 + AH456</f>
        <v>407990</v>
      </c>
      <c r="AI211" s="841">
        <f>AI359 + AI456</f>
        <v>410525</v>
      </c>
      <c r="AJ211" s="841">
        <f>AJ359 + AJ456</f>
        <v>406810</v>
      </c>
      <c r="AK211" s="841">
        <f>AK359 + AK456</f>
        <v>394358</v>
      </c>
      <c r="AL211" s="841">
        <f>AL359 + AL456</f>
        <v>382492</v>
      </c>
      <c r="AM211" s="841">
        <f>AM359 + AM456</f>
        <v>399534</v>
      </c>
      <c r="AN211" s="841">
        <f>AN359 + AN456</f>
        <v>392395</v>
      </c>
      <c r="AO211" s="841">
        <f>AO359 + AO456</f>
        <v>405018</v>
      </c>
      <c r="AP211" s="841">
        <f>AP359 + AP456</f>
        <v>415155</v>
      </c>
    </row>
    <row r="212" hidden="1" ht="12.75" customHeight="1">
      <c r="B212" s="842" t="s">
        <v>17</v>
      </c>
      <c r="C212" s="839">
        <f>C360 + C457</f>
        <v>230298</v>
      </c>
      <c r="D212" s="839">
        <f>D360 + D457</f>
        <v>220426</v>
      </c>
      <c r="E212" s="839">
        <f>E360 + E457</f>
        <v>265053</v>
      </c>
      <c r="F212" s="839">
        <f>F360 + F457</f>
        <v>263802</v>
      </c>
      <c r="G212" s="839">
        <f>G360 + G457</f>
        <v>262895</v>
      </c>
      <c r="H212" s="839">
        <f>H360 + H457</f>
        <v>223690</v>
      </c>
      <c r="I212" s="839">
        <f>I360 + I457</f>
        <v>230489</v>
      </c>
      <c r="J212" s="839">
        <f>J360 + J457</f>
        <v>191092</v>
      </c>
      <c r="K212" s="839">
        <f>K360 + K457</f>
        <v>223851</v>
      </c>
      <c r="L212" s="839">
        <f>L360 + L457</f>
        <v>195818</v>
      </c>
      <c r="M212" s="839">
        <f>M360 + M457</f>
        <v>226501</v>
      </c>
      <c r="N212" s="839">
        <f>N360 + N457</f>
        <v>204767</v>
      </c>
      <c r="O212" s="839">
        <f>O360 + O457</f>
        <v>234387</v>
      </c>
      <c r="P212" s="839">
        <f>P360 + P457</f>
        <v>207503</v>
      </c>
      <c r="Q212" s="839">
        <f>Q360 + Q457</f>
        <v>212819</v>
      </c>
      <c r="R212" s="839">
        <f>R360 + R457</f>
        <v>214449</v>
      </c>
      <c r="S212" s="839">
        <f>S360 + S457</f>
        <v>248679</v>
      </c>
      <c r="T212" s="839">
        <f>T360 + T457</f>
        <v>243750</v>
      </c>
      <c r="U212" s="839">
        <f>U360 + U457</f>
        <v>254420</v>
      </c>
      <c r="V212" s="839">
        <f>V360 + V457</f>
        <v>254512</v>
      </c>
      <c r="W212" s="839">
        <f>W360 + W457</f>
        <v>266570</v>
      </c>
      <c r="X212" s="839">
        <f>X360 + X457</f>
        <v>261030</v>
      </c>
      <c r="Y212" s="839">
        <f>Y360 + Y457</f>
        <v>273910</v>
      </c>
      <c r="Z212" s="839">
        <f>Z360 + Z457</f>
        <v>252004</v>
      </c>
      <c r="AA212" s="839">
        <f>AA360 + AA457</f>
        <v>278505</v>
      </c>
      <c r="AB212" s="839">
        <f>AB360 + AB457</f>
        <v>248511</v>
      </c>
      <c r="AC212" s="841">
        <f>AC360 + AC457</f>
        <v>281570</v>
      </c>
      <c r="AD212" s="841">
        <f>AD360 + AD457</f>
        <v>269380</v>
      </c>
      <c r="AE212" s="841">
        <f>AE360 + AE457</f>
        <v>292810</v>
      </c>
      <c r="AF212" s="841">
        <f>AF360 + AF457</f>
        <v>262522</v>
      </c>
      <c r="AG212" s="841">
        <f>AG360 + AG457</f>
        <v>292915</v>
      </c>
      <c r="AH212" s="841">
        <f>AH360 + AH457</f>
        <v>274467</v>
      </c>
      <c r="AI212" s="841">
        <f>AI360 + AI457</f>
        <v>275782</v>
      </c>
      <c r="AJ212" s="841">
        <f>AJ360 + AJ457</f>
        <v>272536</v>
      </c>
      <c r="AK212" s="841">
        <f>AK360 + AK457</f>
        <v>265651</v>
      </c>
      <c r="AL212" s="841">
        <f>AL360 + AL457</f>
        <v>246058</v>
      </c>
      <c r="AM212" s="841">
        <f>AM360 + AM457</f>
        <v>252383</v>
      </c>
      <c r="AN212" s="841">
        <f>AN360 + AN457</f>
        <v>264397</v>
      </c>
      <c r="AO212" s="841">
        <f>AO360 + AO457</f>
        <v>275224</v>
      </c>
      <c r="AP212" s="841">
        <f>AP360 + AP457</f>
        <v>266770</v>
      </c>
    </row>
    <row r="213" hidden="1" ht="12.75" customHeight="1">
      <c r="B213" s="842" t="s">
        <v>18</v>
      </c>
      <c r="C213" s="839">
        <f>C361 + C458</f>
        <v>273007</v>
      </c>
      <c r="D213" s="839">
        <f>D361 + D458</f>
        <v>274796</v>
      </c>
      <c r="E213" s="839">
        <f>E361 + E458</f>
        <v>287802</v>
      </c>
      <c r="F213" s="839">
        <f>F361 + F458</f>
        <v>284378</v>
      </c>
      <c r="G213" s="839">
        <f>G361 + G458</f>
        <v>168827</v>
      </c>
      <c r="H213" s="839">
        <f>H361 + H458</f>
        <v>148635</v>
      </c>
      <c r="I213" s="839">
        <f>I361 + I458</f>
        <v>66432</v>
      </c>
      <c r="J213" s="839">
        <f>J361 + J458</f>
        <v>260900</v>
      </c>
      <c r="K213" s="839">
        <f>K361 + K458</f>
        <v>276264</v>
      </c>
      <c r="L213" s="839">
        <f>L361 + L458</f>
        <v>267531</v>
      </c>
      <c r="M213" s="839">
        <f>M361 + M458</f>
        <v>272701</v>
      </c>
      <c r="N213" s="839">
        <f>N361 + N458</f>
        <v>265743</v>
      </c>
      <c r="O213" s="839">
        <f>O361 + O458</f>
        <v>275403</v>
      </c>
      <c r="P213" s="839">
        <f>P361 + P458</f>
        <v>266741</v>
      </c>
      <c r="Q213" s="839">
        <f>Q361 + Q458</f>
        <v>267001</v>
      </c>
      <c r="R213" s="839">
        <f>R361 + R458</f>
        <v>270305</v>
      </c>
      <c r="S213" s="839">
        <f>S361 + S458</f>
        <v>279181</v>
      </c>
      <c r="T213" s="839">
        <f>T361 + T458</f>
        <v>278726</v>
      </c>
      <c r="U213" s="839">
        <f>U361 + U458</f>
        <v>286434</v>
      </c>
      <c r="V213" s="839">
        <f>V361 + V458</f>
        <v>274665</v>
      </c>
      <c r="W213" s="839">
        <f>W361 + W458</f>
        <v>277970</v>
      </c>
      <c r="X213" s="839">
        <f>X361 + X458</f>
        <v>264891</v>
      </c>
      <c r="Y213" s="839">
        <f>Y361 + Y458</f>
        <v>278484</v>
      </c>
      <c r="Z213" s="839">
        <f>Z361 + Z458</f>
        <v>268133</v>
      </c>
      <c r="AA213" s="839">
        <f>AA361 + AA458</f>
        <v>278361</v>
      </c>
      <c r="AB213" s="839">
        <f>AB361 + AB458</f>
        <v>271966</v>
      </c>
      <c r="AC213" s="841">
        <f>AC361 + AC458</f>
        <v>273960</v>
      </c>
      <c r="AD213" s="841">
        <f>AD361 + AD458</f>
        <v>268599</v>
      </c>
      <c r="AE213" s="841">
        <f>AE361 + AE458</f>
        <v>286127</v>
      </c>
      <c r="AF213" s="841">
        <f>AF361 + AF458</f>
        <v>271242</v>
      </c>
      <c r="AG213" s="841">
        <f>AG361 + AG458</f>
        <v>287434</v>
      </c>
      <c r="AH213" s="841">
        <f>AH361 + AH458</f>
        <v>276216</v>
      </c>
      <c r="AI213" s="841">
        <f>AI361 + AI458</f>
        <v>291127</v>
      </c>
      <c r="AJ213" s="841">
        <f>AJ361 + AJ458</f>
        <v>275585</v>
      </c>
      <c r="AK213" s="841">
        <f>AK361 + AK458</f>
        <v>274942</v>
      </c>
      <c r="AL213" s="841">
        <f>AL361 + AL458</f>
        <v>269636</v>
      </c>
      <c r="AM213" s="841">
        <f>AM361 + AM458</f>
        <v>268340</v>
      </c>
      <c r="AN213" s="841">
        <f>AN361 + AN458</f>
        <v>256813</v>
      </c>
      <c r="AO213" s="841">
        <f>AO361 + AO458</f>
        <v>271047</v>
      </c>
      <c r="AP213" s="841">
        <f>AP361 + AP458</f>
        <v>263183</v>
      </c>
    </row>
    <row r="214" hidden="1" ht="12.75" customHeight="1">
      <c r="B214" s="842" t="s">
        <v>19</v>
      </c>
      <c r="C214" s="839">
        <f>C362 + C459</f>
        <v>30794</v>
      </c>
      <c r="D214" s="839">
        <f>D362 + D459</f>
        <v>32233</v>
      </c>
      <c r="E214" s="839">
        <f>E362 + E459</f>
        <v>32000</v>
      </c>
      <c r="F214" s="839">
        <f>F362 + F459</f>
        <v>33157</v>
      </c>
      <c r="G214" s="839">
        <f>G362 + G459</f>
        <v>26555</v>
      </c>
      <c r="H214" s="839">
        <f>H362 + H459</f>
        <v>31597</v>
      </c>
      <c r="I214" s="839">
        <f>I362 + I459</f>
        <v>31087</v>
      </c>
      <c r="J214" s="839">
        <f>J362 + J459</f>
        <v>30402</v>
      </c>
      <c r="K214" s="839">
        <f>K362 + K459</f>
        <v>28828</v>
      </c>
      <c r="L214" s="839">
        <f>L362 + L459</f>
        <v>581</v>
      </c>
      <c r="M214" s="839">
        <f>M362 + M459</f>
        <v>29199</v>
      </c>
      <c r="N214" s="839">
        <f>N362 + N459</f>
        <v>30672</v>
      </c>
      <c r="O214" s="839">
        <f>O362 + O459</f>
        <v>29508</v>
      </c>
      <c r="P214" s="839">
        <f>P362 + P459</f>
        <v>28880</v>
      </c>
      <c r="Q214" s="839">
        <f>Q362 + Q459</f>
        <v>25905</v>
      </c>
      <c r="R214" s="839">
        <f>R362 + R459</f>
        <v>27202</v>
      </c>
      <c r="S214" s="839">
        <f>S362 + S459</f>
        <v>27391</v>
      </c>
      <c r="T214" s="839">
        <f>T362 + T459</f>
        <v>28888</v>
      </c>
      <c r="U214" s="839">
        <f>U362 + U459</f>
        <v>30063</v>
      </c>
      <c r="V214" s="839">
        <f>V362 + V459</f>
        <v>30759</v>
      </c>
      <c r="W214" s="839">
        <f>W362 + W459</f>
        <v>30409</v>
      </c>
      <c r="X214" s="839">
        <f>X362 + X459</f>
        <v>28815</v>
      </c>
      <c r="Y214" s="839">
        <f>Y362 + Y459</f>
        <v>29394</v>
      </c>
      <c r="Z214" s="839">
        <f>Z362 + Z459</f>
        <v>31796</v>
      </c>
      <c r="AA214" s="839">
        <f>AA362 + AA459</f>
        <v>29581</v>
      </c>
      <c r="AB214" s="839">
        <f>AB362 + AB459</f>
        <v>29398</v>
      </c>
      <c r="AC214" s="841">
        <f>AC362 + AC459</f>
        <v>29901</v>
      </c>
      <c r="AD214" s="841">
        <f>AD362 + AD459</f>
        <v>29683</v>
      </c>
      <c r="AE214" s="841">
        <f>AE362 + AE459</f>
        <v>27931</v>
      </c>
      <c r="AF214" s="841">
        <f>AF362 + AF459</f>
        <v>30534</v>
      </c>
      <c r="AG214" s="841">
        <f>AG362 + AG459</f>
        <v>30078</v>
      </c>
      <c r="AH214" s="841">
        <f>AH362 + AH459</f>
        <v>31685</v>
      </c>
      <c r="AI214" s="841">
        <f>AI362 + AI459</f>
        <v>29469</v>
      </c>
      <c r="AJ214" s="841">
        <f>AJ362 + AJ459</f>
        <v>29293</v>
      </c>
      <c r="AK214" s="841">
        <f>AK362 + AK459</f>
        <v>27054</v>
      </c>
      <c r="AL214" s="841">
        <f>AL362 + AL459</f>
        <v>24005</v>
      </c>
      <c r="AM214" s="841">
        <f>AM362 + AM459</f>
        <v>26033</v>
      </c>
      <c r="AN214" s="841">
        <f>AN362 + AN459</f>
        <v>26553</v>
      </c>
      <c r="AO214" s="841">
        <f>AO362 + AO459</f>
        <v>29602</v>
      </c>
      <c r="AP214" s="841">
        <f>AP362 + AP459</f>
        <v>24303</v>
      </c>
    </row>
    <row r="215" hidden="1" ht="12.75" customHeight="1">
      <c r="B215" s="842" t="s">
        <v>20</v>
      </c>
      <c r="C215" s="839">
        <f>C363 + C460</f>
        <v>33745</v>
      </c>
      <c r="D215" s="839">
        <f>D363 + D460</f>
        <v>47919</v>
      </c>
      <c r="E215" s="839">
        <f>E363 + E460</f>
        <v>31688</v>
      </c>
      <c r="F215" s="839">
        <f>F363 + F460</f>
        <v>35368</v>
      </c>
      <c r="G215" s="839">
        <f>G363 + G460</f>
        <v>26287</v>
      </c>
      <c r="H215" s="839">
        <f>H363 + H460</f>
        <v>29532</v>
      </c>
      <c r="I215" s="839">
        <f>I363 + I460</f>
        <v>24026</v>
      </c>
      <c r="J215" s="839">
        <f>J363 + J460</f>
        <v>36340</v>
      </c>
      <c r="K215" s="839">
        <f>K363 + K460</f>
        <v>25844</v>
      </c>
      <c r="L215" s="839">
        <f>L363 + L460</f>
        <v>36293</v>
      </c>
      <c r="M215" s="839">
        <f>M363 + M460</f>
        <v>24914</v>
      </c>
      <c r="N215" s="839">
        <f>N363 + N460</f>
        <v>37203</v>
      </c>
      <c r="O215" s="839">
        <f>O363 + O460</f>
        <v>29611</v>
      </c>
      <c r="P215" s="839">
        <f>P363 + P460</f>
        <v>40715</v>
      </c>
      <c r="Q215" s="839">
        <f>Q363 + Q460</f>
        <v>31519</v>
      </c>
      <c r="R215" s="839">
        <f>R363 + R460</f>
        <v>41657</v>
      </c>
      <c r="S215" s="839">
        <f>S363 + S460</f>
        <v>35328</v>
      </c>
      <c r="T215" s="839">
        <f>T363 + T460</f>
        <v>43150</v>
      </c>
      <c r="U215" s="839">
        <f>U363 + U460</f>
        <v>38235</v>
      </c>
      <c r="V215" s="839">
        <f>V363 + V460</f>
        <v>46486</v>
      </c>
      <c r="W215" s="839">
        <f>W363 + W460</f>
        <v>38322</v>
      </c>
      <c r="X215" s="839">
        <f>X363 + X460</f>
        <v>49506</v>
      </c>
      <c r="Y215" s="839">
        <f>Y363 + Y460</f>
        <v>37305</v>
      </c>
      <c r="Z215" s="839">
        <f>Z363 + Z460</f>
        <v>51524</v>
      </c>
      <c r="AA215" s="839">
        <f>AA363 + AA460</f>
        <v>39456</v>
      </c>
      <c r="AB215" s="839">
        <f>AB363 + AB460</f>
        <v>51840</v>
      </c>
      <c r="AC215" s="841">
        <f>AC363 + AC460</f>
        <v>40137</v>
      </c>
      <c r="AD215" s="841">
        <f>AD363 + AD460</f>
        <v>50974</v>
      </c>
      <c r="AE215" s="841">
        <f>AE363 + AE460</f>
        <v>39542</v>
      </c>
      <c r="AF215" s="841">
        <f>AF363 + AF460</f>
        <v>49848</v>
      </c>
      <c r="AG215" s="841">
        <f>AG363 + AG460</f>
        <v>42058</v>
      </c>
      <c r="AH215" s="841">
        <f>AH363 + AH460</f>
        <v>46481</v>
      </c>
      <c r="AI215" s="841">
        <f>AI363 + AI460</f>
        <v>43168</v>
      </c>
      <c r="AJ215" s="841">
        <f>AJ363 + AJ460</f>
        <v>50836</v>
      </c>
      <c r="AK215" s="841">
        <f>AK363 + AK460</f>
        <v>41042</v>
      </c>
      <c r="AL215" s="841">
        <f>AL363 + AL460</f>
        <v>46024</v>
      </c>
      <c r="AM215" s="841">
        <f>AM363 + AM460</f>
        <v>41329</v>
      </c>
      <c r="AN215" s="841">
        <f>AN363 + AN460</f>
        <v>42042</v>
      </c>
      <c r="AO215" s="841">
        <f>AO363 + AO460</f>
        <v>46323</v>
      </c>
      <c r="AP215" s="841">
        <f>AP363 + AP460</f>
        <v>51198</v>
      </c>
    </row>
    <row r="216" hidden="1" ht="12.75" customHeight="1">
      <c r="B216" s="842" t="s">
        <v>21</v>
      </c>
      <c r="C216" s="839">
        <f>C364 + C461</f>
        <v>37637</v>
      </c>
      <c r="D216" s="839">
        <f>D364 + D461</f>
        <v>37224</v>
      </c>
      <c r="E216" s="839">
        <f>E364 + E461</f>
        <v>34688</v>
      </c>
      <c r="F216" s="839">
        <f>F364 + F461</f>
        <v>36126</v>
      </c>
      <c r="G216" s="839">
        <f>G364 + G461</f>
        <v>36403</v>
      </c>
      <c r="H216" s="839">
        <f>H364 + H461</f>
        <v>37349</v>
      </c>
      <c r="I216" s="839">
        <f>I364 + I461</f>
        <v>33397</v>
      </c>
      <c r="J216" s="839">
        <f>J364 + J461</f>
        <v>36091</v>
      </c>
      <c r="K216" s="839">
        <f>K364 + K461</f>
        <v>33207</v>
      </c>
      <c r="L216" s="839">
        <f>L364 + L461</f>
        <v>35551</v>
      </c>
      <c r="M216" s="839">
        <f>M364 + M461</f>
        <v>33438</v>
      </c>
      <c r="N216" s="839">
        <f>N364 + N461</f>
        <v>37154</v>
      </c>
      <c r="O216" s="839">
        <f>O364 + O461</f>
        <v>33965</v>
      </c>
      <c r="P216" s="839">
        <f>P364 + P461</f>
        <v>36750</v>
      </c>
      <c r="Q216" s="839">
        <f>Q364 + Q461</f>
        <v>33355</v>
      </c>
      <c r="R216" s="839">
        <f>R364 + R461</f>
        <v>36151</v>
      </c>
      <c r="S216" s="839">
        <f>S364 + S461</f>
        <v>34615</v>
      </c>
      <c r="T216" s="839">
        <f>T364 + T461</f>
        <v>38079</v>
      </c>
      <c r="U216" s="839">
        <f>U364 + U461</f>
        <v>37109</v>
      </c>
      <c r="V216" s="839">
        <f>V364 + V461</f>
        <v>39667</v>
      </c>
      <c r="W216" s="839">
        <f>W364 + W461</f>
        <v>37704</v>
      </c>
      <c r="X216" s="839">
        <f>X364 + X461</f>
        <v>40687</v>
      </c>
      <c r="Y216" s="839">
        <f>Y364 + Y461</f>
        <v>42008</v>
      </c>
      <c r="Z216" s="839">
        <f>Z364 + Z461</f>
        <v>44186</v>
      </c>
      <c r="AA216" s="839">
        <f>AA364 + AA461</f>
        <v>41551</v>
      </c>
      <c r="AB216" s="839">
        <f>AB364 + AB461</f>
        <v>43108</v>
      </c>
      <c r="AC216" s="841">
        <f>AC364 + AC461</f>
        <v>41463</v>
      </c>
      <c r="AD216" s="841">
        <f>AD364 + AD461</f>
        <v>42421</v>
      </c>
      <c r="AE216" s="841">
        <f>AE364 + AE461</f>
        <v>42077</v>
      </c>
      <c r="AF216" s="841">
        <f>AF364 + AF461</f>
        <v>45067</v>
      </c>
      <c r="AG216" s="841">
        <f>AG364 + AG461</f>
        <v>42413</v>
      </c>
      <c r="AH216" s="841">
        <f>AH364 + AH461</f>
        <v>42656</v>
      </c>
      <c r="AI216" s="841">
        <f>AI364 + AI461</f>
        <v>43114</v>
      </c>
      <c r="AJ216" s="841">
        <f>AJ364 + AJ461</f>
        <v>42119</v>
      </c>
      <c r="AK216" s="841">
        <f>AK364 + AK461</f>
        <v>38385</v>
      </c>
      <c r="AL216" s="841">
        <f>AL364 + AL461</f>
        <v>39538</v>
      </c>
      <c r="AM216" s="841">
        <f>AM364 + AM461</f>
        <v>39192</v>
      </c>
      <c r="AN216" s="841">
        <f>AN364 + AN461</f>
        <v>39998</v>
      </c>
      <c r="AO216" s="841">
        <f>AO364 + AO461</f>
        <v>40237</v>
      </c>
      <c r="AP216" s="841">
        <f>AP364 + AP461</f>
        <v>41220</v>
      </c>
    </row>
    <row r="217" hidden="1" ht="12.75" customHeight="1">
      <c r="B217" s="842" t="s">
        <v>22</v>
      </c>
      <c r="C217" s="839">
        <f>C365 + C462</f>
        <v>41034</v>
      </c>
      <c r="D217" s="839">
        <f>D365 + D462</f>
        <v>41484</v>
      </c>
      <c r="E217" s="839">
        <f>E365 + E462</f>
        <v>42360</v>
      </c>
      <c r="F217" s="839">
        <f>F365 + F462</f>
        <v>43189</v>
      </c>
      <c r="G217" s="839">
        <f>G365 + G462</f>
        <v>44546</v>
      </c>
      <c r="H217" s="839">
        <f>H365 + H462</f>
        <v>43363</v>
      </c>
      <c r="I217" s="839">
        <f>I365 + I462</f>
        <v>40741</v>
      </c>
      <c r="J217" s="839">
        <f>J365 + J462</f>
        <v>38764</v>
      </c>
      <c r="K217" s="839">
        <f>K365 + K462</f>
        <v>39332</v>
      </c>
      <c r="L217" s="839">
        <f>L365 + L462</f>
        <v>39623</v>
      </c>
      <c r="M217" s="839">
        <f>M365 + M462</f>
        <v>40469</v>
      </c>
      <c r="N217" s="839">
        <f>N365 + N462</f>
        <v>39708</v>
      </c>
      <c r="O217" s="839">
        <f>O365 + O462</f>
        <v>40492</v>
      </c>
      <c r="P217" s="839">
        <f>P365 + P462</f>
        <v>38110</v>
      </c>
      <c r="Q217" s="839">
        <f>Q365 + Q462</f>
        <v>38699</v>
      </c>
      <c r="R217" s="839">
        <f>R365 + R462</f>
        <v>37134</v>
      </c>
      <c r="S217" s="839">
        <f>S365 + S462</f>
        <v>40624</v>
      </c>
      <c r="T217" s="839">
        <f>T365 + T462</f>
        <v>39444</v>
      </c>
      <c r="U217" s="839">
        <f>U365 + U462</f>
        <v>41344</v>
      </c>
      <c r="V217" s="839">
        <f>V365 + V462</f>
        <v>39439</v>
      </c>
      <c r="W217" s="839">
        <f>W365 + W462</f>
        <v>41031</v>
      </c>
      <c r="X217" s="839">
        <f>X365 + X462</f>
        <v>39616</v>
      </c>
      <c r="Y217" s="839">
        <f>Y365 + Y462</f>
        <v>42460</v>
      </c>
      <c r="Z217" s="839">
        <f>Z365 + Z462</f>
        <v>39261</v>
      </c>
      <c r="AA217" s="839">
        <f>AA365 + AA462</f>
        <v>42130</v>
      </c>
      <c r="AB217" s="839">
        <f>AB365 + AB462</f>
        <v>39082</v>
      </c>
      <c r="AC217" s="841">
        <f>AC365 + AC462</f>
        <v>42454</v>
      </c>
      <c r="AD217" s="841">
        <f>AD365 + AD462</f>
        <v>37966</v>
      </c>
      <c r="AE217" s="841">
        <f>AE365 + AE462</f>
        <v>42936</v>
      </c>
      <c r="AF217" s="841">
        <f>AF365 + AF462</f>
        <v>41602</v>
      </c>
      <c r="AG217" s="841">
        <f>AG365 + AG462</f>
        <v>42836</v>
      </c>
      <c r="AH217" s="841">
        <f>AH365 + AH462</f>
        <v>38351</v>
      </c>
      <c r="AI217" s="841">
        <f>AI365 + AI462</f>
        <v>41250</v>
      </c>
      <c r="AJ217" s="841">
        <f>AJ365 + AJ462</f>
        <v>38397</v>
      </c>
      <c r="AK217" s="841">
        <f>AK365 + AK462</f>
        <v>37944</v>
      </c>
      <c r="AL217" s="841">
        <f>AL365 + AL462</f>
        <v>35212</v>
      </c>
      <c r="AM217" s="841">
        <f>AM365 + AM462</f>
        <v>36968</v>
      </c>
      <c r="AN217" s="841">
        <f>AN365 + AN462</f>
        <v>35126</v>
      </c>
      <c r="AO217" s="841">
        <f>AO365 + AO462</f>
        <v>38586</v>
      </c>
      <c r="AP217" s="841">
        <f>AP365 + AP462</f>
        <v>36526</v>
      </c>
    </row>
    <row r="218" hidden="1" ht="12.75" customHeight="1">
      <c r="B218" s="842" t="s">
        <v>23</v>
      </c>
      <c r="C218" s="839">
        <f>C366 + C463</f>
        <v>12572</v>
      </c>
      <c r="D218" s="839">
        <f>D366 + D463</f>
        <v>14484</v>
      </c>
      <c r="E218" s="839">
        <f>E366 + E463</f>
        <v>12165</v>
      </c>
      <c r="F218" s="839">
        <f>F366 + F463</f>
        <v>14248</v>
      </c>
      <c r="G218" s="839">
        <f>G366 + G463</f>
        <v>13029</v>
      </c>
      <c r="H218" s="839">
        <f>H366 + H463</f>
        <v>13455</v>
      </c>
      <c r="I218" s="839">
        <f>I366 + I463</f>
        <v>12089</v>
      </c>
      <c r="J218" s="839">
        <f>J366 + J463</f>
        <v>11792</v>
      </c>
      <c r="K218" s="839">
        <f>K366 + K463</f>
        <v>11514</v>
      </c>
      <c r="L218" s="839">
        <f>L366 + L463</f>
        <v>12962</v>
      </c>
      <c r="M218" s="839">
        <f>M366 + M463</f>
        <v>14809</v>
      </c>
      <c r="N218" s="839">
        <f>N366 + N463</f>
        <v>16168</v>
      </c>
      <c r="O218" s="839">
        <f>O366 + O463</f>
        <v>14767</v>
      </c>
      <c r="P218" s="839">
        <f>P366 + P463</f>
        <v>14742</v>
      </c>
      <c r="Q218" s="839">
        <f>Q366 + Q463</f>
        <v>13171</v>
      </c>
      <c r="R218" s="839">
        <f>R366 + R463</f>
        <v>13817</v>
      </c>
      <c r="S218" s="839">
        <f>S366 + S463</f>
        <v>15595</v>
      </c>
      <c r="T218" s="839">
        <f>T366 + T463</f>
        <v>15218</v>
      </c>
      <c r="U218" s="839">
        <f>U366 + U463</f>
        <v>16424</v>
      </c>
      <c r="V218" s="839">
        <f>V366 + V463</f>
        <v>15925</v>
      </c>
      <c r="W218" s="839">
        <f>W366 + W463</f>
        <v>15792</v>
      </c>
      <c r="X218" s="839">
        <f>X366 + X463</f>
        <v>16066</v>
      </c>
      <c r="Y218" s="839">
        <f>Y366 + Y463</f>
        <v>19913</v>
      </c>
      <c r="Z218" s="839">
        <f>Z366 + Z463</f>
        <v>18124</v>
      </c>
      <c r="AA218" s="839">
        <f>AA366 + AA463</f>
        <v>19638</v>
      </c>
      <c r="AB218" s="839">
        <f>AB366 + AB463</f>
        <v>18405</v>
      </c>
      <c r="AC218" s="841">
        <f>AC366 + AC463</f>
        <v>16921</v>
      </c>
      <c r="AD218" s="841">
        <f>AD366 + AD463</f>
        <v>14920</v>
      </c>
      <c r="AE218" s="841">
        <f>AE366 + AE463</f>
        <v>16449</v>
      </c>
      <c r="AF218" s="841">
        <f>AF366 + AF463</f>
        <v>15929</v>
      </c>
      <c r="AG218" s="841">
        <f>AG366 + AG463</f>
        <v>16138</v>
      </c>
      <c r="AH218" s="841">
        <f>AH366 + AH463</f>
        <v>15469</v>
      </c>
      <c r="AI218" s="841">
        <f>AI366 + AI463</f>
        <v>15434</v>
      </c>
      <c r="AJ218" s="841">
        <f>AJ366 + AJ463</f>
        <v>17381</v>
      </c>
      <c r="AK218" s="841">
        <f>AK366 + AK463</f>
        <v>15860</v>
      </c>
      <c r="AL218" s="841">
        <f>AL366 + AL463</f>
        <v>15166</v>
      </c>
      <c r="AM218" s="841">
        <f>AM366 + AM463</f>
        <v>15679</v>
      </c>
      <c r="AN218" s="841">
        <f>AN366 + AN463</f>
        <v>14876</v>
      </c>
      <c r="AO218" s="841">
        <f>AO366 + AO463</f>
        <v>18008</v>
      </c>
      <c r="AP218" s="841">
        <f>AP366 + AP463</f>
        <v>17485</v>
      </c>
    </row>
    <row r="219" hidden="1" ht="12.75" customHeight="1">
      <c r="B219" s="843" t="s">
        <v>24</v>
      </c>
      <c r="C219" s="839">
        <f>C367 + C464</f>
        <v>27324</v>
      </c>
      <c r="D219" s="839">
        <f>D367 + D464</f>
        <v>31331</v>
      </c>
      <c r="E219" s="839">
        <f>E367 + E464</f>
        <v>25058</v>
      </c>
      <c r="F219" s="839">
        <f>F367 + F464</f>
        <v>28706</v>
      </c>
      <c r="G219" s="839">
        <f>G367 + G464</f>
        <v>16922</v>
      </c>
      <c r="H219" s="839">
        <f>H367 + H464</f>
        <v>18951</v>
      </c>
      <c r="I219" s="839">
        <f>I367 + I464</f>
        <v>15869</v>
      </c>
      <c r="J219" s="839">
        <f>J367 + J464</f>
        <v>20544</v>
      </c>
      <c r="K219" s="839">
        <f>K367 + K464</f>
        <v>14931</v>
      </c>
      <c r="L219" s="839">
        <f>L367 + L464</f>
        <v>19792</v>
      </c>
      <c r="M219" s="839">
        <f>M367 + M464</f>
        <v>14627</v>
      </c>
      <c r="N219" s="839">
        <f>N367 + N464</f>
        <v>20707</v>
      </c>
      <c r="O219" s="839">
        <f>O367 + O464</f>
        <v>16696</v>
      </c>
      <c r="P219" s="839">
        <f>P367 + P464</f>
        <v>17877</v>
      </c>
      <c r="Q219" s="839">
        <f>Q367 + Q464</f>
        <v>14441</v>
      </c>
      <c r="R219" s="839">
        <f>R367 + R464</f>
        <v>19026</v>
      </c>
      <c r="S219" s="839">
        <f>S367 + S464</f>
        <v>16829</v>
      </c>
      <c r="T219" s="839">
        <f>T367 + T464</f>
        <v>21598</v>
      </c>
      <c r="U219" s="839">
        <f>U367 + U464</f>
        <v>18390</v>
      </c>
      <c r="V219" s="839">
        <f>V367 + V464</f>
        <v>22540</v>
      </c>
      <c r="W219" s="839">
        <f>W367 + W464</f>
        <v>19468</v>
      </c>
      <c r="X219" s="839">
        <f>X367 + X464</f>
        <v>21735</v>
      </c>
      <c r="Y219" s="839">
        <f>Y367 + Y464</f>
        <v>19469</v>
      </c>
      <c r="Z219" s="839">
        <f>Z367 + Z464</f>
        <v>22279</v>
      </c>
      <c r="AA219" s="839">
        <f>AA367 + AA464</f>
        <v>21458</v>
      </c>
      <c r="AB219" s="839">
        <f>AB367 + AB464</f>
        <v>23167</v>
      </c>
      <c r="AC219" s="841">
        <f>AC367 + AC464</f>
        <v>18618</v>
      </c>
      <c r="AD219" s="841">
        <f>AD367 + AD464</f>
        <v>22857</v>
      </c>
      <c r="AE219" s="841">
        <f>AE367 + AE464</f>
        <v>18421</v>
      </c>
      <c r="AF219" s="841">
        <f>AF367 + AF464</f>
        <v>22658</v>
      </c>
      <c r="AG219" s="841">
        <f>AG367 + AG464</f>
        <v>19378</v>
      </c>
      <c r="AH219" s="841">
        <f>AH367 + AH464</f>
        <v>21617</v>
      </c>
      <c r="AI219" s="841">
        <f>AI367 + AI464</f>
        <v>19979</v>
      </c>
      <c r="AJ219" s="841">
        <f>AJ367 + AJ464</f>
        <v>22947</v>
      </c>
      <c r="AK219" s="841">
        <f>AK367 + AK464</f>
        <v>18914</v>
      </c>
      <c r="AL219" s="841">
        <f>AL367 + AL464</f>
        <v>21250</v>
      </c>
      <c r="AM219" s="841">
        <f>AM367 + AM464</f>
        <v>18364</v>
      </c>
      <c r="AN219" s="841">
        <f>AN367 + AN464</f>
        <v>20166</v>
      </c>
      <c r="AO219" s="841">
        <f>AO367 + AO464</f>
        <v>20551</v>
      </c>
      <c r="AP219" s="841">
        <f>AP367 + AP464</f>
        <v>22865</v>
      </c>
    </row>
    <row r="220" hidden="1" ht="12.75" customHeight="1">
      <c r="B220" s="842" t="s">
        <v>25</v>
      </c>
      <c r="C220" s="839">
        <f>C368 + C465</f>
        <v>0</v>
      </c>
      <c r="D220" s="839">
        <f>D368 + D465</f>
        <v>0</v>
      </c>
      <c r="E220" s="839">
        <f>E368 + E465</f>
        <v>0</v>
      </c>
      <c r="F220" s="839">
        <f>F368 + F465</f>
        <v>0</v>
      </c>
      <c r="G220" s="839">
        <f>G368 + G465</f>
        <v>0</v>
      </c>
      <c r="H220" s="839">
        <f>H368 + H465</f>
        <v>0</v>
      </c>
      <c r="I220" s="839">
        <f>I368 + I465</f>
        <v>0</v>
      </c>
      <c r="J220" s="839">
        <f>J368 + J465</f>
        <v>0</v>
      </c>
      <c r="K220" s="839">
        <f>K368 + K465</f>
        <v>0</v>
      </c>
      <c r="L220" s="839">
        <f>L368 + L465</f>
        <v>0</v>
      </c>
      <c r="M220" s="839">
        <f>M368 + M465</f>
        <v>0</v>
      </c>
      <c r="N220" s="839">
        <f>N368 + N465</f>
        <v>0</v>
      </c>
      <c r="O220" s="839">
        <f>O368 + O465</f>
        <v>0</v>
      </c>
      <c r="P220" s="839">
        <f>P368 + P465</f>
        <v>0</v>
      </c>
      <c r="Q220" s="839">
        <f>Q368 + Q465</f>
        <v>0</v>
      </c>
      <c r="R220" s="839">
        <f>R368 + R465</f>
        <v>0</v>
      </c>
      <c r="S220" s="839">
        <f>S368 + S465</f>
        <v>0</v>
      </c>
      <c r="T220" s="839">
        <f>T368 + T465</f>
        <v>0</v>
      </c>
      <c r="U220" s="839">
        <f>U368 + U465</f>
        <v>0</v>
      </c>
      <c r="V220" s="839">
        <f>V368 + V465</f>
        <v>0</v>
      </c>
      <c r="W220" s="839">
        <f>W368 + W465</f>
        <v>0</v>
      </c>
      <c r="X220" s="839">
        <f>X368 + X465</f>
        <v>0</v>
      </c>
      <c r="Y220" s="839">
        <f>Y368 + Y465</f>
        <v>0</v>
      </c>
      <c r="Z220" s="839">
        <f>Z368 + Z465</f>
        <v>0</v>
      </c>
      <c r="AA220" s="839">
        <f>AA368 + AA465</f>
        <v>0</v>
      </c>
      <c r="AB220" s="839">
        <f>AB368 + AB465</f>
        <v>0</v>
      </c>
      <c r="AC220" s="841">
        <f>AC368 + AC465</f>
        <v>0</v>
      </c>
      <c r="AD220" s="841">
        <f>AD368 + AD465</f>
        <v>0</v>
      </c>
      <c r="AE220" s="841">
        <f>AE368 + AE465</f>
        <v>0</v>
      </c>
      <c r="AF220" s="841">
        <f>AF368 + AF465</f>
        <v>0</v>
      </c>
      <c r="AG220" s="841">
        <f>AG368 + AG465</f>
        <v>0</v>
      </c>
      <c r="AH220" s="841">
        <f>AH368 + AH465</f>
        <v>0</v>
      </c>
      <c r="AI220" s="841">
        <f>AI368 + AI465</f>
        <v>0</v>
      </c>
      <c r="AJ220" s="841">
        <f>AJ368 + AJ465</f>
        <v>0</v>
      </c>
      <c r="AK220" s="841">
        <f>AK368 + AK465</f>
        <v>0</v>
      </c>
      <c r="AL220" s="841">
        <f>AL368 + AL465</f>
        <v>0</v>
      </c>
      <c r="AM220" s="841">
        <f>AM368 + AM465</f>
        <v>0</v>
      </c>
      <c r="AN220" s="841">
        <f>AN368 + AN465</f>
        <v>0</v>
      </c>
      <c r="AO220" s="841">
        <f>AO368 + AO465</f>
        <v>0</v>
      </c>
      <c r="AP220" s="841">
        <f>AP368 + AP465</f>
        <v>0</v>
      </c>
    </row>
    <row r="221" hidden="1" ht="13.5" customHeight="1">
      <c r="B221" s="844" t="s">
        <v>26</v>
      </c>
      <c r="C221" s="839">
        <f>C369 + C466</f>
        <v>0</v>
      </c>
      <c r="D221" s="839">
        <f>D369 + D466</f>
        <v>0</v>
      </c>
      <c r="E221" s="839">
        <f>E369 + E466</f>
        <v>0</v>
      </c>
      <c r="F221" s="839">
        <f>F369 + F466</f>
        <v>0</v>
      </c>
      <c r="G221" s="839">
        <f>G369 + G466</f>
        <v>0</v>
      </c>
      <c r="H221" s="839">
        <f>H369 + H466</f>
        <v>0</v>
      </c>
      <c r="I221" s="839">
        <f>I369 + I466</f>
        <v>0</v>
      </c>
      <c r="J221" s="839">
        <f>J369 + J466</f>
        <v>0</v>
      </c>
      <c r="K221" s="839">
        <f>K369 + K466</f>
        <v>0</v>
      </c>
      <c r="L221" s="839">
        <f>L369 + L466</f>
        <v>0</v>
      </c>
      <c r="M221" s="839">
        <f>M369 + M466</f>
        <v>0</v>
      </c>
      <c r="N221" s="839">
        <f>N369 + N466</f>
        <v>0</v>
      </c>
      <c r="O221" s="839">
        <f>O369 + O466</f>
        <v>0</v>
      </c>
      <c r="P221" s="839">
        <f>P369 + P466</f>
        <v>0</v>
      </c>
      <c r="Q221" s="839">
        <f>Q369 + Q466</f>
        <v>0</v>
      </c>
      <c r="R221" s="839">
        <f>R369 + R466</f>
        <v>0</v>
      </c>
      <c r="S221" s="839">
        <f>S369 + S466</f>
        <v>0</v>
      </c>
      <c r="T221" s="839">
        <f>T369 + T466</f>
        <v>0</v>
      </c>
      <c r="U221" s="839">
        <f>U369 + U466</f>
        <v>0</v>
      </c>
      <c r="V221" s="839">
        <f>V369 + V466</f>
        <v>0</v>
      </c>
      <c r="W221" s="839">
        <f>W369 + W466</f>
        <v>0</v>
      </c>
      <c r="X221" s="839">
        <f>X369 + X466</f>
        <v>0</v>
      </c>
      <c r="Y221" s="839">
        <f>Y369 + Y466</f>
        <v>0</v>
      </c>
      <c r="Z221" s="839">
        <f>Z369 + Z466</f>
        <v>0</v>
      </c>
      <c r="AA221" s="839">
        <f>AA369 + AA466</f>
        <v>0</v>
      </c>
      <c r="AB221" s="845">
        <f>AB369 + AB466</f>
        <v>0</v>
      </c>
      <c r="AC221" s="841">
        <f>AC369 + AC466</f>
        <v>0</v>
      </c>
      <c r="AD221" s="841">
        <f>AD369 + AD466</f>
        <v>0</v>
      </c>
      <c r="AE221" s="841">
        <f>AE369 + AE466</f>
        <v>0</v>
      </c>
      <c r="AF221" s="841">
        <f>AF369 + AF466</f>
        <v>0</v>
      </c>
      <c r="AG221" s="841">
        <f>AG369 + AG466</f>
        <v>0</v>
      </c>
      <c r="AH221" s="841">
        <f>AH369 + AH466</f>
        <v>0</v>
      </c>
      <c r="AI221" s="841">
        <f>AI369 + AI466</f>
        <v>0</v>
      </c>
      <c r="AJ221" s="841">
        <f>AJ369 + AJ466</f>
        <v>0</v>
      </c>
      <c r="AK221" s="841">
        <f>AK369 + AK466</f>
        <v>0</v>
      </c>
      <c r="AL221" s="841">
        <f>AL369 + AL466</f>
        <v>0</v>
      </c>
      <c r="AM221" s="841">
        <f>AM369 + AM466</f>
        <v>6</v>
      </c>
      <c r="AN221" s="841">
        <f>AN369 + AN466</f>
        <v>0</v>
      </c>
      <c r="AO221" s="841">
        <f>AO369 + AO466</f>
        <v>2</v>
      </c>
      <c r="AP221" s="841">
        <f>AP369 + AP466</f>
        <v>5</v>
      </c>
    </row>
    <row r="222" hidden="1" ht="13.5" customHeight="1">
      <c r="B222" s="128" t="s">
        <v>7</v>
      </c>
      <c r="C222" s="129" t="str">
        <f>IF(SUM(C203:C221)&lt;&gt;0,SUM(C203:C221),"")</f>
      </c>
      <c r="D222" s="129" t="str">
        <f ref="D222:AA222" t="shared" si="5">IF(SUM(D203:D221)&lt;&gt;0,SUM(D203:D221),"")</f>
      </c>
      <c r="E222" s="129" t="str">
        <f t="shared" si="5"/>
      </c>
      <c r="F222" s="129" t="str">
        <f t="shared" si="5"/>
      </c>
      <c r="G222" s="129" t="str">
        <f t="shared" si="5"/>
      </c>
      <c r="H222" s="129" t="str">
        <f t="shared" si="5"/>
      </c>
      <c r="I222" s="129" t="str">
        <f t="shared" si="5"/>
      </c>
      <c r="J222" s="129" t="str">
        <f t="shared" si="5"/>
      </c>
      <c r="K222" s="129" t="str">
        <f t="shared" si="5"/>
      </c>
      <c r="L222" s="129" t="str">
        <f t="shared" si="5"/>
      </c>
      <c r="M222" s="129" t="str">
        <f t="shared" si="5"/>
      </c>
      <c r="N222" s="129" t="str">
        <f t="shared" si="5"/>
      </c>
      <c r="O222" s="129" t="str">
        <f t="shared" si="5"/>
      </c>
      <c r="P222" s="129" t="str">
        <f t="shared" si="5"/>
      </c>
      <c r="Q222" s="129" t="str">
        <f t="shared" si="5"/>
      </c>
      <c r="R222" s="129" t="str">
        <f t="shared" si="5"/>
      </c>
      <c r="S222" s="129" t="str">
        <f t="shared" si="5"/>
      </c>
      <c r="T222" s="129" t="str">
        <f t="shared" si="5"/>
      </c>
      <c r="U222" s="129" t="str">
        <f t="shared" si="5"/>
      </c>
      <c r="V222" s="129" t="str">
        <f t="shared" si="5"/>
      </c>
      <c r="W222" s="129" t="str">
        <f t="shared" si="5"/>
      </c>
      <c r="X222" s="129" t="str">
        <f t="shared" si="5"/>
      </c>
      <c r="Y222" s="129" t="str">
        <f t="shared" si="5"/>
      </c>
      <c r="Z222" s="129" t="str">
        <f t="shared" si="5"/>
      </c>
      <c r="AA222" s="129" t="str">
        <f t="shared" si="5"/>
      </c>
      <c r="AB222" s="130" t="str">
        <f>IF(SUM(AB203:AB221)&lt;&gt;0,SUM(AB203:AB221),"")</f>
      </c>
      <c r="AC222" s="91" t="str">
        <f ref="AC222:CN222" t="shared" si="6">IF(SUM(AC203:AC221)&lt;&gt;0,SUM(AC203:AC221),"")</f>
      </c>
      <c r="AD222" s="91" t="str">
        <f t="shared" si="6"/>
      </c>
      <c r="AE222" s="91" t="str">
        <f t="shared" si="6"/>
      </c>
      <c r="AF222" s="91" t="str">
        <f t="shared" si="6"/>
      </c>
      <c r="AG222" s="91" t="str">
        <f t="shared" si="6"/>
      </c>
      <c r="AH222" s="91" t="str">
        <f t="shared" si="6"/>
      </c>
      <c r="AI222" s="91" t="str">
        <f t="shared" si="6"/>
      </c>
      <c r="AJ222" s="91" t="str">
        <f t="shared" si="6"/>
      </c>
      <c r="AK222" s="91" t="str">
        <f t="shared" si="6"/>
      </c>
      <c r="AL222" s="91" t="str">
        <f t="shared" si="6"/>
      </c>
      <c r="AM222" s="91" t="str">
        <f t="shared" si="6"/>
      </c>
      <c r="AN222" s="91" t="str">
        <f t="shared" si="6"/>
      </c>
      <c r="AO222" s="91" t="str">
        <f t="shared" si="6"/>
      </c>
      <c r="AP222" s="91" t="str">
        <f t="shared" si="6"/>
      </c>
      <c r="AQ222" s="91" t="str">
        <f t="shared" si="6"/>
      </c>
      <c r="AR222" s="91" t="str">
        <f t="shared" si="6"/>
      </c>
      <c r="AS222" s="91" t="str">
        <f t="shared" si="6"/>
      </c>
      <c r="AT222" s="91" t="str">
        <f t="shared" si="6"/>
      </c>
      <c r="AU222" s="91" t="str">
        <f t="shared" si="6"/>
      </c>
      <c r="AV222" s="91" t="str">
        <f t="shared" si="6"/>
      </c>
      <c r="AW222" s="91" t="str">
        <f t="shared" si="6"/>
      </c>
      <c r="AX222" s="91" t="str">
        <f t="shared" si="6"/>
      </c>
      <c r="AY222" s="91" t="str">
        <f t="shared" si="6"/>
      </c>
      <c r="AZ222" s="91" t="str">
        <f t="shared" si="6"/>
      </c>
      <c r="BA222" s="91" t="str">
        <f t="shared" si="6"/>
      </c>
      <c r="BB222" s="91" t="str">
        <f t="shared" si="6"/>
      </c>
      <c r="BC222" s="91" t="str">
        <f t="shared" si="6"/>
      </c>
      <c r="BD222" s="91" t="str">
        <f t="shared" si="6"/>
      </c>
      <c r="BE222" s="91" t="str">
        <f t="shared" si="6"/>
      </c>
      <c r="BF222" s="91" t="str">
        <f t="shared" si="6"/>
      </c>
      <c r="BG222" s="91" t="str">
        <f t="shared" si="6"/>
      </c>
      <c r="BH222" s="91" t="str">
        <f t="shared" si="6"/>
      </c>
      <c r="BI222" s="91" t="str">
        <f t="shared" si="6"/>
      </c>
      <c r="BJ222" s="91" t="str">
        <f t="shared" si="6"/>
      </c>
      <c r="BK222" s="91" t="str">
        <f t="shared" si="6"/>
      </c>
      <c r="BL222" s="91" t="str">
        <f t="shared" si="6"/>
      </c>
      <c r="BM222" s="91" t="str">
        <f t="shared" si="6"/>
      </c>
      <c r="BN222" s="91" t="str">
        <f t="shared" si="6"/>
      </c>
      <c r="BO222" s="91" t="str">
        <f t="shared" si="6"/>
      </c>
      <c r="BP222" s="91" t="str">
        <f t="shared" si="6"/>
      </c>
      <c r="BQ222" s="91" t="str">
        <f t="shared" si="6"/>
      </c>
      <c r="BR222" s="91" t="str">
        <f t="shared" si="6"/>
      </c>
      <c r="BS222" s="91" t="str">
        <f t="shared" si="6"/>
      </c>
      <c r="BT222" s="91" t="str">
        <f t="shared" si="6"/>
      </c>
      <c r="BU222" s="91" t="str">
        <f t="shared" si="6"/>
      </c>
      <c r="BV222" s="91" t="str">
        <f t="shared" si="6"/>
      </c>
      <c r="BW222" s="91" t="str">
        <f t="shared" si="6"/>
      </c>
      <c r="BX222" s="91" t="str">
        <f t="shared" si="6"/>
      </c>
      <c r="BY222" s="91" t="str">
        <f t="shared" si="6"/>
      </c>
      <c r="BZ222" s="91" t="str">
        <f t="shared" si="6"/>
      </c>
      <c r="CA222" s="91" t="str">
        <f t="shared" si="6"/>
      </c>
      <c r="CB222" s="91" t="str">
        <f t="shared" si="6"/>
      </c>
      <c r="CC222" s="91" t="str">
        <f t="shared" si="6"/>
      </c>
      <c r="CD222" s="91" t="str">
        <f t="shared" si="6"/>
      </c>
      <c r="CE222" s="91" t="str">
        <f t="shared" si="6"/>
      </c>
      <c r="CF222" s="91" t="str">
        <f t="shared" si="6"/>
      </c>
      <c r="CG222" s="91" t="str">
        <f t="shared" si="6"/>
      </c>
      <c r="CH222" s="91" t="str">
        <f t="shared" si="6"/>
      </c>
      <c r="CI222" s="91" t="str">
        <f t="shared" si="6"/>
      </c>
      <c r="CJ222" s="91" t="str">
        <f t="shared" si="6"/>
      </c>
      <c r="CK222" s="91" t="str">
        <f t="shared" si="6"/>
      </c>
      <c r="CL222" s="91" t="str">
        <f t="shared" si="6"/>
      </c>
      <c r="CM222" s="91" t="str">
        <f t="shared" si="6"/>
      </c>
      <c r="CN222" s="91" t="str">
        <f t="shared" si="6"/>
      </c>
      <c r="CO222" s="91" t="str">
        <f ref="CO222:EZ222" t="shared" si="7">IF(SUM(CO203:CO221)&lt;&gt;0,SUM(CO203:CO221),"")</f>
      </c>
      <c r="CP222" s="91" t="str">
        <f t="shared" si="7"/>
      </c>
      <c r="CQ222" s="91" t="str">
        <f t="shared" si="7"/>
      </c>
      <c r="CR222" s="91" t="str">
        <f t="shared" si="7"/>
      </c>
      <c r="CS222" s="91" t="str">
        <f t="shared" si="7"/>
      </c>
      <c r="CT222" s="91" t="str">
        <f t="shared" si="7"/>
      </c>
      <c r="CU222" s="91" t="str">
        <f t="shared" si="7"/>
      </c>
      <c r="CV222" s="91" t="str">
        <f t="shared" si="7"/>
      </c>
      <c r="CW222" s="91" t="str">
        <f t="shared" si="7"/>
      </c>
      <c r="CX222" s="91" t="str">
        <f t="shared" si="7"/>
      </c>
      <c r="CY222" s="91" t="str">
        <f t="shared" si="7"/>
      </c>
      <c r="CZ222" s="91" t="str">
        <f t="shared" si="7"/>
      </c>
      <c r="DA222" s="91" t="str">
        <f t="shared" si="7"/>
      </c>
      <c r="DB222" s="91" t="str">
        <f t="shared" si="7"/>
      </c>
      <c r="DC222" s="91" t="str">
        <f t="shared" si="7"/>
      </c>
      <c r="DD222" s="91" t="str">
        <f t="shared" si="7"/>
      </c>
      <c r="DE222" s="91" t="str">
        <f t="shared" si="7"/>
      </c>
      <c r="DF222" s="91" t="str">
        <f t="shared" si="7"/>
      </c>
      <c r="DG222" s="91" t="str">
        <f t="shared" si="7"/>
      </c>
      <c r="DH222" s="91" t="str">
        <f t="shared" si="7"/>
      </c>
      <c r="DI222" s="91" t="str">
        <f t="shared" si="7"/>
      </c>
      <c r="DJ222" s="91" t="str">
        <f t="shared" si="7"/>
      </c>
      <c r="DK222" s="91" t="str">
        <f t="shared" si="7"/>
      </c>
      <c r="DL222" s="91" t="str">
        <f t="shared" si="7"/>
      </c>
      <c r="DM222" s="91" t="str">
        <f t="shared" si="7"/>
      </c>
      <c r="DN222" s="91" t="str">
        <f t="shared" si="7"/>
      </c>
      <c r="DO222" s="91" t="str">
        <f t="shared" si="7"/>
      </c>
      <c r="DP222" s="91" t="str">
        <f t="shared" si="7"/>
      </c>
      <c r="DQ222" s="91" t="str">
        <f t="shared" si="7"/>
      </c>
      <c r="DR222" s="91" t="str">
        <f t="shared" si="7"/>
      </c>
      <c r="DS222" s="91" t="str">
        <f t="shared" si="7"/>
      </c>
      <c r="DT222" s="91" t="str">
        <f t="shared" si="7"/>
      </c>
      <c r="DU222" s="91" t="str">
        <f t="shared" si="7"/>
      </c>
      <c r="DV222" s="91" t="str">
        <f t="shared" si="7"/>
      </c>
      <c r="DW222" s="91" t="str">
        <f t="shared" si="7"/>
      </c>
      <c r="DX222" s="91" t="str">
        <f t="shared" si="7"/>
      </c>
      <c r="DY222" s="91" t="str">
        <f t="shared" si="7"/>
      </c>
      <c r="DZ222" s="91" t="str">
        <f t="shared" si="7"/>
      </c>
      <c r="EA222" s="91" t="str">
        <f t="shared" si="7"/>
      </c>
      <c r="EB222" s="91" t="str">
        <f t="shared" si="7"/>
      </c>
      <c r="EC222" s="91" t="str">
        <f t="shared" si="7"/>
      </c>
      <c r="ED222" s="91" t="str">
        <f t="shared" si="7"/>
      </c>
      <c r="EE222" s="91" t="str">
        <f t="shared" si="7"/>
      </c>
      <c r="EF222" s="91" t="str">
        <f t="shared" si="7"/>
      </c>
      <c r="EG222" s="91" t="str">
        <f t="shared" si="7"/>
      </c>
      <c r="EH222" s="91" t="str">
        <f t="shared" si="7"/>
      </c>
      <c r="EI222" s="91" t="str">
        <f t="shared" si="7"/>
      </c>
      <c r="EJ222" s="91" t="str">
        <f t="shared" si="7"/>
      </c>
      <c r="EK222" s="91" t="str">
        <f t="shared" si="7"/>
      </c>
      <c r="EL222" s="91" t="str">
        <f t="shared" si="7"/>
      </c>
      <c r="EM222" s="91" t="str">
        <f t="shared" si="7"/>
      </c>
      <c r="EN222" s="91" t="str">
        <f t="shared" si="7"/>
      </c>
      <c r="EO222" s="91" t="str">
        <f t="shared" si="7"/>
      </c>
      <c r="EP222" s="91" t="str">
        <f t="shared" si="7"/>
      </c>
      <c r="EQ222" s="91" t="str">
        <f t="shared" si="7"/>
      </c>
      <c r="ER222" s="91" t="str">
        <f t="shared" si="7"/>
      </c>
      <c r="ES222" s="91" t="str">
        <f t="shared" si="7"/>
      </c>
      <c r="ET222" s="91" t="str">
        <f t="shared" si="7"/>
      </c>
      <c r="EU222" s="91" t="str">
        <f t="shared" si="7"/>
      </c>
      <c r="EV222" s="91" t="str">
        <f t="shared" si="7"/>
      </c>
      <c r="EW222" s="91" t="str">
        <f t="shared" si="7"/>
      </c>
      <c r="EX222" s="91" t="str">
        <f t="shared" si="7"/>
      </c>
      <c r="EY222" s="91" t="str">
        <f t="shared" si="7"/>
      </c>
      <c r="EZ222" s="91" t="str">
        <f t="shared" si="7"/>
      </c>
      <c r="FA222" s="91" t="str">
        <f ref="FA222:HL222" t="shared" si="8">IF(SUM(FA203:FA221)&lt;&gt;0,SUM(FA203:FA221),"")</f>
      </c>
      <c r="FB222" s="91" t="str">
        <f t="shared" si="8"/>
      </c>
      <c r="FC222" s="91" t="str">
        <f t="shared" si="8"/>
      </c>
      <c r="FD222" s="91" t="str">
        <f t="shared" si="8"/>
      </c>
      <c r="FE222" s="91" t="str">
        <f t="shared" si="8"/>
      </c>
      <c r="FF222" s="91" t="str">
        <f t="shared" si="8"/>
      </c>
      <c r="FG222" s="91" t="str">
        <f t="shared" si="8"/>
      </c>
      <c r="FH222" s="91" t="str">
        <f t="shared" si="8"/>
      </c>
      <c r="FI222" s="91" t="str">
        <f t="shared" si="8"/>
      </c>
      <c r="FJ222" s="91" t="str">
        <f t="shared" si="8"/>
      </c>
      <c r="FK222" s="91" t="str">
        <f t="shared" si="8"/>
      </c>
      <c r="FL222" s="91" t="str">
        <f t="shared" si="8"/>
      </c>
      <c r="FM222" s="91" t="str">
        <f t="shared" si="8"/>
      </c>
      <c r="FN222" s="91" t="str">
        <f t="shared" si="8"/>
      </c>
      <c r="FO222" s="91" t="str">
        <f t="shared" si="8"/>
      </c>
      <c r="FP222" s="91" t="str">
        <f t="shared" si="8"/>
      </c>
      <c r="FQ222" s="91" t="str">
        <f t="shared" si="8"/>
      </c>
      <c r="FR222" s="91" t="str">
        <f t="shared" si="8"/>
      </c>
      <c r="FS222" s="91" t="str">
        <f t="shared" si="8"/>
      </c>
      <c r="FT222" s="91" t="str">
        <f t="shared" si="8"/>
      </c>
      <c r="FU222" s="91" t="str">
        <f t="shared" si="8"/>
      </c>
      <c r="FV222" s="91" t="str">
        <f t="shared" si="8"/>
      </c>
      <c r="FW222" s="91" t="str">
        <f t="shared" si="8"/>
      </c>
      <c r="FX222" s="91" t="str">
        <f t="shared" si="8"/>
      </c>
      <c r="FY222" s="91" t="str">
        <f t="shared" si="8"/>
      </c>
      <c r="FZ222" s="91" t="str">
        <f t="shared" si="8"/>
      </c>
      <c r="GA222" s="91" t="str">
        <f t="shared" si="8"/>
      </c>
      <c r="GB222" s="91" t="str">
        <f t="shared" si="8"/>
      </c>
      <c r="GC222" s="91" t="str">
        <f t="shared" si="8"/>
      </c>
      <c r="GD222" s="91" t="str">
        <f t="shared" si="8"/>
      </c>
      <c r="GE222" s="91" t="str">
        <f t="shared" si="8"/>
      </c>
      <c r="GF222" s="91" t="str">
        <f t="shared" si="8"/>
      </c>
      <c r="GG222" s="91" t="str">
        <f t="shared" si="8"/>
      </c>
      <c r="GH222" s="91" t="str">
        <f t="shared" si="8"/>
      </c>
      <c r="GI222" s="91" t="str">
        <f t="shared" si="8"/>
      </c>
      <c r="GJ222" s="91" t="str">
        <f t="shared" si="8"/>
      </c>
      <c r="GK222" s="91" t="str">
        <f t="shared" si="8"/>
      </c>
      <c r="GL222" s="91" t="str">
        <f t="shared" si="8"/>
      </c>
      <c r="GM222" s="91" t="str">
        <f t="shared" si="8"/>
      </c>
      <c r="GN222" s="91" t="str">
        <f t="shared" si="8"/>
      </c>
      <c r="GO222" s="91" t="str">
        <f t="shared" si="8"/>
      </c>
      <c r="GP222" s="91" t="str">
        <f t="shared" si="8"/>
      </c>
      <c r="GQ222" s="91" t="str">
        <f t="shared" si="8"/>
      </c>
      <c r="GR222" s="91" t="str">
        <f t="shared" si="8"/>
      </c>
      <c r="GS222" s="91" t="str">
        <f t="shared" si="8"/>
      </c>
      <c r="GT222" s="91" t="str">
        <f t="shared" si="8"/>
      </c>
      <c r="GU222" s="91" t="str">
        <f t="shared" si="8"/>
      </c>
      <c r="GV222" s="91" t="str">
        <f t="shared" si="8"/>
      </c>
      <c r="GW222" s="91" t="str">
        <f t="shared" si="8"/>
      </c>
      <c r="GX222" s="91" t="str">
        <f t="shared" si="8"/>
      </c>
      <c r="GY222" s="91" t="str">
        <f t="shared" si="8"/>
      </c>
      <c r="GZ222" s="91" t="str">
        <f t="shared" si="8"/>
      </c>
      <c r="HA222" s="91" t="str">
        <f t="shared" si="8"/>
      </c>
      <c r="HB222" s="91" t="str">
        <f t="shared" si="8"/>
      </c>
      <c r="HC222" s="91" t="str">
        <f t="shared" si="8"/>
      </c>
      <c r="HD222" s="91" t="str">
        <f t="shared" si="8"/>
      </c>
      <c r="HE222" s="91" t="str">
        <f t="shared" si="8"/>
      </c>
      <c r="HF222" s="91" t="str">
        <f t="shared" si="8"/>
      </c>
      <c r="HG222" s="91" t="str">
        <f t="shared" si="8"/>
      </c>
      <c r="HH222" s="91" t="str">
        <f t="shared" si="8"/>
      </c>
      <c r="HI222" s="91" t="str">
        <f t="shared" si="8"/>
      </c>
      <c r="HJ222" s="91" t="str">
        <f t="shared" si="8"/>
      </c>
      <c r="HK222" s="91" t="str">
        <f t="shared" si="8"/>
      </c>
      <c r="HL222" s="91" t="str">
        <f t="shared" si="8"/>
      </c>
      <c r="HM222" s="91" t="str">
        <f ref="HM222:IV222" t="shared" si="9">IF(SUM(HM203:HM221)&lt;&gt;0,SUM(HM203:HM221),"")</f>
      </c>
      <c r="HN222" s="91" t="str">
        <f t="shared" si="9"/>
      </c>
      <c r="HO222" s="91" t="str">
        <f t="shared" si="9"/>
      </c>
      <c r="HP222" s="91" t="str">
        <f t="shared" si="9"/>
      </c>
      <c r="HQ222" s="91" t="str">
        <f t="shared" si="9"/>
      </c>
      <c r="HR222" s="91" t="str">
        <f t="shared" si="9"/>
      </c>
      <c r="HS222" s="91" t="str">
        <f t="shared" si="9"/>
      </c>
      <c r="HT222" s="91" t="str">
        <f t="shared" si="9"/>
      </c>
      <c r="HU222" s="91" t="str">
        <f t="shared" si="9"/>
      </c>
      <c r="HV222" s="91" t="str">
        <f t="shared" si="9"/>
      </c>
      <c r="HW222" s="91" t="str">
        <f t="shared" si="9"/>
      </c>
      <c r="HX222" s="91" t="str">
        <f t="shared" si="9"/>
      </c>
      <c r="HY222" s="91" t="str">
        <f t="shared" si="9"/>
      </c>
      <c r="HZ222" s="91" t="str">
        <f t="shared" si="9"/>
      </c>
      <c r="IA222" s="91" t="str">
        <f t="shared" si="9"/>
      </c>
      <c r="IB222" s="91" t="str">
        <f t="shared" si="9"/>
      </c>
      <c r="IC222" s="91" t="str">
        <f t="shared" si="9"/>
      </c>
      <c r="ID222" s="91" t="str">
        <f t="shared" si="9"/>
      </c>
      <c r="IE222" s="91" t="str">
        <f t="shared" si="9"/>
      </c>
      <c r="IF222" s="91" t="str">
        <f t="shared" si="9"/>
      </c>
      <c r="IG222" s="91" t="str">
        <f t="shared" si="9"/>
      </c>
      <c r="IH222" s="91" t="str">
        <f t="shared" si="9"/>
      </c>
      <c r="II222" s="91" t="str">
        <f t="shared" si="9"/>
      </c>
      <c r="IJ222" s="91" t="str">
        <f t="shared" si="9"/>
      </c>
      <c r="IK222" s="91" t="str">
        <f t="shared" si="9"/>
      </c>
      <c r="IL222" s="91" t="str">
        <f t="shared" si="9"/>
      </c>
      <c r="IM222" s="91" t="str">
        <f t="shared" si="9"/>
      </c>
      <c r="IN222" s="91" t="str">
        <f t="shared" si="9"/>
      </c>
      <c r="IO222" s="91" t="str">
        <f t="shared" si="9"/>
      </c>
      <c r="IP222" s="91" t="str">
        <f t="shared" si="9"/>
      </c>
      <c r="IQ222" s="91" t="str">
        <f t="shared" si="9"/>
      </c>
      <c r="IR222" s="91" t="str">
        <f t="shared" si="9"/>
      </c>
      <c r="IS222" s="91" t="str">
        <f t="shared" si="9"/>
      </c>
      <c r="IT222" s="91" t="str">
        <f t="shared" si="9"/>
      </c>
      <c r="IU222" s="91" t="str">
        <f t="shared" si="9"/>
      </c>
      <c r="IV222" s="91" t="str">
        <f t="shared" si="9"/>
      </c>
    </row>
    <row r="223" hidden="1" ht="12.75" customHeight="1">
      <c r="W223" s="50"/>
    </row>
    <row r="224" hidden="1" ht="13.5" customHeight="1">
      <c r="W224" s="50"/>
    </row>
    <row r="225" hidden="1" ht="13.5" customHeight="1">
      <c r="C225" s="617" t="s">
        <v>295</v>
      </c>
      <c r="D225" s="618"/>
      <c r="E225" s="618"/>
      <c r="F225" s="618"/>
      <c r="G225" s="618"/>
      <c r="H225" s="618"/>
      <c r="I225" s="618"/>
      <c r="J225" s="618"/>
      <c r="K225" s="618"/>
      <c r="L225" s="618"/>
      <c r="M225" s="618"/>
      <c r="N225" s="618"/>
      <c r="O225" s="618"/>
      <c r="P225" s="618"/>
      <c r="Q225" s="618"/>
      <c r="R225" s="618"/>
      <c r="S225" s="618"/>
      <c r="T225" s="618"/>
      <c r="U225" s="618"/>
      <c r="V225" s="618"/>
      <c r="W225" s="618"/>
      <c r="X225" s="618"/>
      <c r="Y225" s="618"/>
      <c r="Z225" s="618"/>
      <c r="AA225" s="618"/>
      <c r="AB225" s="619"/>
    </row>
    <row r="226" hidden="1" ht="13.5" customHeight="1">
      <c r="C226" s="435" t="str">
        <f> IF(C246&lt;&gt;"",TEXT(AUX!G$1,"dd-MMM-aa"),"")</f>
      </c>
      <c r="D226" s="435" t="str">
        <f> IF(D246&lt;&gt;"",TEXT(AUX!H$1,"dd-MMM-aa"),"")</f>
      </c>
      <c r="E226" s="435" t="str">
        <f> IF(E246&lt;&gt;"",TEXT(AUX!I$1,"dd-MMM-aa"),"")</f>
      </c>
      <c r="F226" s="435" t="str">
        <f> IF(F246&lt;&gt;"",TEXT(AUX!J$1,"dd-MMM-aa"),"")</f>
      </c>
      <c r="G226" s="435" t="str">
        <f> IF(G246&lt;&gt;"",TEXT(AUX!K$1,"dd-MMM-aa"),"")</f>
      </c>
      <c r="H226" s="435" t="str">
        <f> IF(H246&lt;&gt;"",TEXT(AUX!L$1,"dd-MMM-aa"),"")</f>
      </c>
      <c r="I226" s="435" t="str">
        <f> IF(I246&lt;&gt;"",TEXT(AUX!M$1,"dd-MMM-aa"),"")</f>
      </c>
      <c r="J226" s="435" t="str">
        <f> IF(J246&lt;&gt;"",TEXT(AUX!N$1,"dd-MMM-aa"),"")</f>
      </c>
      <c r="K226" s="435" t="str">
        <f> IF(K246&lt;&gt;"",TEXT(AUX!O$1,"dd-MMM-aa"),"")</f>
      </c>
      <c r="L226" s="435" t="str">
        <f> IF(L246&lt;&gt;"",TEXT(AUX!P$1,"dd-MMM-aa"),"")</f>
      </c>
      <c r="M226" s="435" t="str">
        <f> IF(M246&lt;&gt;"",TEXT(AUX!Q$1,"dd-MMM-aa"),"")</f>
      </c>
      <c r="N226" s="435" t="str">
        <f> IF(N246&lt;&gt;"",TEXT(AUX!R$1,"dd-MMM-aa"),"")</f>
      </c>
      <c r="O226" s="435" t="str">
        <f> IF(O246&lt;&gt;"",TEXT(AUX!S$1,"dd-MMM-aa"),"")</f>
      </c>
      <c r="P226" s="435" t="str">
        <f> IF(P246&lt;&gt;"",TEXT(AUX!T$1,"dd-MMM-aa"),"")</f>
      </c>
      <c r="Q226" s="435" t="str">
        <f> IF(Q246&lt;&gt;"",TEXT(AUX!U$1,"dd-MMM-aa"),"")</f>
      </c>
      <c r="R226" s="435" t="str">
        <f> IF(R246&lt;&gt;"",TEXT(AUX!V$1,"dd-MMM-aa"),"")</f>
      </c>
      <c r="S226" s="435" t="str">
        <f> IF(S246&lt;&gt;"",TEXT(AUX!W$1,"dd-MMM-aa"),"")</f>
      </c>
      <c r="T226" s="435" t="str">
        <f> IF(T246&lt;&gt;"",TEXT(AUX!X$1,"dd-MMM-aa"),"")</f>
      </c>
      <c r="U226" s="435" t="str">
        <f> IF(U246&lt;&gt;"",TEXT(AUX!Y$1,"dd-MMM-aa"),"")</f>
      </c>
      <c r="V226" s="435" t="str">
        <f> IF(V246&lt;&gt;"",TEXT(AUX!Z$1,"dd-MMM-aa"),"")</f>
      </c>
      <c r="W226" s="435" t="str">
        <f> IF(W246&lt;&gt;"",TEXT(AUX!AA$1,"dd-MMM-aa"),"")</f>
      </c>
      <c r="X226" s="435" t="str">
        <f> IF(X246&lt;&gt;"",TEXT(AUX!AB$1,"dd-MMM-aa"),"")</f>
      </c>
      <c r="Y226" s="435" t="str">
        <f> IF(Y246&lt;&gt;"",TEXT(AUX!AC$1,"dd-MMM-aa"),"")</f>
      </c>
      <c r="Z226" s="435" t="str">
        <f> IF(Z246&lt;&gt;"",TEXT(AUX!AD$1,"dd-MMM-aa"),"")</f>
      </c>
      <c r="AA226" s="435" t="str">
        <f> IF(AA246&lt;&gt;"",TEXT(AUX!AE$1,"dd-MMM-aa"),"")</f>
      </c>
      <c r="AB226" s="497" t="str">
        <f> IF(AB246&lt;&gt;"",TEXT(AUX!AF$1,"dd-MMM-aa"),"")</f>
      </c>
      <c r="AC226" s="496" t="str">
        <f> IF(AC246&lt;&gt;"",TEXT(AUX!AG$1,"dd-MMM-aa"),"")</f>
      </c>
      <c r="AD226" s="496" t="str">
        <f> IF(AD246&lt;&gt;"",TEXT(AUX!AH$1,"dd-MMM-aa"),"")</f>
      </c>
      <c r="AE226" s="496" t="str">
        <f> IF(AE246&lt;&gt;"",TEXT(AUX!AI$1,"dd-MMM-aa"),"")</f>
      </c>
      <c r="AF226" s="496" t="str">
        <f> IF(AF246&lt;&gt;"",TEXT(AUX!AJ$1,"dd-MMM-aa"),"")</f>
      </c>
      <c r="AG226" s="496" t="str">
        <f> IF(AG246&lt;&gt;"",TEXT(AUX!AK$1,"dd-MMM-aa"),"")</f>
      </c>
      <c r="AH226" s="496" t="str">
        <f> IF(AH246&lt;&gt;"",TEXT(AUX!AL$1,"dd-MMM-aa"),"")</f>
      </c>
      <c r="AI226" s="496" t="str">
        <f> IF(AI246&lt;&gt;"",TEXT(AUX!AM$1,"dd-MMM-aa"),"")</f>
      </c>
      <c r="AJ226" s="496" t="str">
        <f> IF(AJ246&lt;&gt;"",TEXT(AUX!AN$1,"dd-MMM-aa"),"")</f>
      </c>
      <c r="AK226" s="496" t="str">
        <f> IF(AK246&lt;&gt;"",TEXT(AUX!AO$1,"dd-MMM-aa"),"")</f>
      </c>
      <c r="AL226" s="496" t="str">
        <f> IF(AL246&lt;&gt;"",TEXT(AUX!AP$1,"dd-MMM-aa"),"")</f>
      </c>
      <c r="AM226" s="496" t="str">
        <f> IF(AM246&lt;&gt;"",TEXT(AUX!AQ$1,"dd-MMM-aa"),"")</f>
      </c>
      <c r="AN226" s="496" t="str">
        <f> IF(AN246&lt;&gt;"",TEXT(AUX!AR$1,"dd-MMM-aa"),"")</f>
      </c>
      <c r="AO226" s="496" t="str">
        <f> IF(AO246&lt;&gt;"",TEXT(AUX!AS$1,"dd-MMM-aa"),"")</f>
      </c>
      <c r="AP226" s="496" t="str">
        <f> IF(AP246&lt;&gt;"",TEXT(AUX!AT$1,"dd-MMM-aa"),"")</f>
      </c>
      <c r="AQ226" s="496" t="str">
        <f> IF(AQ246&lt;&gt;"",TEXT(AUX!AU$1,"dd-MMM-aa"),"")</f>
      </c>
      <c r="AR226" s="496" t="str">
        <f> IF(AR246&lt;&gt;"",TEXT(AUX!AV$1,"dd-MMM-aa"),"")</f>
      </c>
      <c r="AS226" s="496" t="str">
        <f> IF(AS246&lt;&gt;"",TEXT(AUX!AW$1,"dd-MMM-aa"),"")</f>
      </c>
      <c r="AT226" s="496" t="str">
        <f> IF(AT246&lt;&gt;"",TEXT(AUX!AX$1,"dd-MMM-aa"),"")</f>
      </c>
      <c r="AU226" s="496" t="str">
        <f> IF(AU246&lt;&gt;"",TEXT(AUX!AY$1,"dd-MMM-aa"),"")</f>
      </c>
      <c r="AV226" s="496" t="str">
        <f> IF(AV246&lt;&gt;"",TEXT(AUX!AZ$1,"dd-MMM-aa"),"")</f>
      </c>
      <c r="AW226" s="496" t="str">
        <f> IF(AW246&lt;&gt;"",TEXT(AUX!BA$1,"dd-MMM-aa"),"")</f>
      </c>
      <c r="AX226" s="496" t="str">
        <f> IF(AX246&lt;&gt;"",TEXT(AUX!BB$1,"dd-MMM-aa"),"")</f>
      </c>
      <c r="AY226" s="496" t="str">
        <f> IF(AY246&lt;&gt;"",TEXT(AUX!BC$1,"dd-MMM-aa"),"")</f>
      </c>
      <c r="AZ226" s="496" t="str">
        <f> IF(AZ246&lt;&gt;"",TEXT(AUX!BD$1,"dd-MMM-aa"),"")</f>
      </c>
      <c r="BA226" s="496" t="str">
        <f> IF(BA246&lt;&gt;"",TEXT(AUX!BE$1,"dd-MMM-aa"),"")</f>
      </c>
      <c r="BB226" s="496" t="str">
        <f> IF(BB246&lt;&gt;"",TEXT(AUX!BF$1,"dd-MMM-aa"),"")</f>
      </c>
      <c r="BC226" s="496" t="str">
        <f> IF(BC246&lt;&gt;"",TEXT(AUX!BG$1,"dd-MMM-aa"),"")</f>
      </c>
      <c r="BD226" s="496" t="str">
        <f> IF(BD246&lt;&gt;"",TEXT(AUX!BH$1,"dd-MMM-aa"),"")</f>
      </c>
      <c r="BE226" s="496" t="str">
        <f> IF(BE246&lt;&gt;"",TEXT(AUX!BI$1,"dd-MMM-aa"),"")</f>
      </c>
      <c r="BF226" s="496" t="str">
        <f> IF(BF246&lt;&gt;"",TEXT(AUX!BJ$1,"dd-MMM-aa"),"")</f>
      </c>
      <c r="BG226" s="496" t="str">
        <f> IF(BG246&lt;&gt;"",TEXT(AUX!BK$1,"dd-MMM-aa"),"")</f>
      </c>
      <c r="BH226" s="496" t="str">
        <f> IF(BH246&lt;&gt;"",TEXT(AUX!BL$1,"dd-MMM-aa"),"")</f>
      </c>
      <c r="BI226" s="496" t="str">
        <f> IF(BI246&lt;&gt;"",TEXT(AUX!BM$1,"dd-MMM-aa"),"")</f>
      </c>
      <c r="BJ226" s="496" t="str">
        <f> IF(BJ246&lt;&gt;"",TEXT(AUX!BN$1,"dd-MMM-aa"),"")</f>
      </c>
      <c r="BK226" s="496" t="str">
        <f> IF(BK246&lt;&gt;"",TEXT(AUX!BO$1,"dd-MMM-aa"),"")</f>
      </c>
      <c r="BL226" s="496" t="str">
        <f> IF(BL246&lt;&gt;"",TEXT(AUX!BP$1,"dd-MMM-aa"),"")</f>
      </c>
      <c r="BM226" s="496" t="str">
        <f> IF(BM246&lt;&gt;"",TEXT(AUX!BQ$1,"dd-MMM-aa"),"")</f>
      </c>
      <c r="BN226" s="496" t="str">
        <f> IF(BN246&lt;&gt;"",TEXT(AUX!BR$1,"dd-MMM-aa"),"")</f>
      </c>
      <c r="BO226" s="496" t="str">
        <f> IF(BO246&lt;&gt;"",TEXT(AUX!BS$1,"dd-MMM-aa"),"")</f>
      </c>
      <c r="BP226" s="496" t="str">
        <f> IF(BP246&lt;&gt;"",TEXT(AUX!BT$1,"dd-MMM-aa"),"")</f>
      </c>
      <c r="BQ226" s="496" t="str">
        <f> IF(BQ246&lt;&gt;"",TEXT(AUX!BU$1,"dd-MMM-aa"),"")</f>
      </c>
      <c r="BR226" s="496" t="str">
        <f> IF(BR246&lt;&gt;"",TEXT(AUX!BV$1,"dd-MMM-aa"),"")</f>
      </c>
      <c r="BS226" s="496" t="str">
        <f> IF(BS246&lt;&gt;"",TEXT(AUX!BW$1,"dd-MMM-aa"),"")</f>
      </c>
      <c r="BT226" s="496" t="str">
        <f> IF(BT246&lt;&gt;"",TEXT(AUX!BX$1,"dd-MMM-aa"),"")</f>
      </c>
      <c r="BU226" s="496" t="str">
        <f> IF(BU246&lt;&gt;"",TEXT(AUX!BY$1,"dd-MMM-aa"),"")</f>
      </c>
      <c r="BV226" s="496" t="str">
        <f> IF(BV246&lt;&gt;"",TEXT(AUX!BZ$1,"dd-MMM-aa"),"")</f>
      </c>
      <c r="BW226" s="496" t="str">
        <f> IF(BW246&lt;&gt;"",TEXT(AUX!CA$1,"dd-MMM-aa"),"")</f>
      </c>
      <c r="BX226" s="496" t="str">
        <f> IF(BX246&lt;&gt;"",TEXT(AUX!CB$1,"dd-MMM-aa"),"")</f>
      </c>
      <c r="BY226" s="496" t="str">
        <f> IF(BY246&lt;&gt;"",TEXT(AUX!CC$1,"dd-MMM-aa"),"")</f>
      </c>
      <c r="BZ226" s="496" t="str">
        <f> IF(BZ246&lt;&gt;"",TEXT(AUX!CD$1,"dd-MMM-aa"),"")</f>
      </c>
      <c r="CA226" s="496" t="str">
        <f> IF(CA246&lt;&gt;"",TEXT(AUX!CE$1,"dd-MMM-aa"),"")</f>
      </c>
      <c r="CB226" s="496" t="str">
        <f> IF(CB246&lt;&gt;"",TEXT(AUX!CF$1,"dd-MMM-aa"),"")</f>
      </c>
      <c r="CC226" s="496" t="str">
        <f> IF(CC246&lt;&gt;"",TEXT(AUX!CG$1,"dd-MMM-aa"),"")</f>
      </c>
      <c r="CD226" s="496" t="str">
        <f> IF(CD246&lt;&gt;"",TEXT(AUX!CH$1,"dd-MMM-aa"),"")</f>
      </c>
      <c r="CE226" s="496" t="str">
        <f> IF(CE246&lt;&gt;"",TEXT(AUX!CI$1,"dd-MMM-aa"),"")</f>
      </c>
      <c r="CF226" s="496" t="str">
        <f> IF(CF246&lt;&gt;"",TEXT(AUX!CJ$1,"dd-MMM-aa"),"")</f>
      </c>
      <c r="CG226" s="496" t="str">
        <f> IF(CG246&lt;&gt;"",TEXT(AUX!CK$1,"dd-MMM-aa"),"")</f>
      </c>
      <c r="CH226" s="496" t="str">
        <f> IF(CH246&lt;&gt;"",TEXT(AUX!CL$1,"dd-MMM-aa"),"")</f>
      </c>
      <c r="CI226" s="496" t="str">
        <f> IF(CI246&lt;&gt;"",TEXT(AUX!CM$1,"dd-MMM-aa"),"")</f>
      </c>
      <c r="CJ226" s="496" t="str">
        <f> IF(CJ246&lt;&gt;"",TEXT(AUX!CN$1,"dd-MMM-aa"),"")</f>
      </c>
      <c r="CK226" s="496" t="str">
        <f> IF(CK246&lt;&gt;"",TEXT(AUX!CO$1,"dd-MMM-aa"),"")</f>
      </c>
      <c r="CL226" s="496" t="str">
        <f> IF(CL246&lt;&gt;"",TEXT(AUX!CP$1,"dd-MMM-aa"),"")</f>
      </c>
      <c r="CM226" s="496" t="str">
        <f> IF(CM246&lt;&gt;"",TEXT(AUX!CQ$1,"dd-MMM-aa"),"")</f>
      </c>
      <c r="CN226" s="496" t="str">
        <f> IF(CN246&lt;&gt;"",TEXT(AUX!CR$1,"dd-MMM-aa"),"")</f>
      </c>
      <c r="CO226" s="496" t="str">
        <f> IF(CO246&lt;&gt;"",TEXT(AUX!CS$1,"dd-MMM-aa"),"")</f>
      </c>
      <c r="CP226" s="496" t="str">
        <f> IF(CP246&lt;&gt;"",TEXT(AUX!CT$1,"dd-MMM-aa"),"")</f>
      </c>
      <c r="CQ226" s="496" t="str">
        <f> IF(CQ246&lt;&gt;"",TEXT(AUX!CU$1,"dd-MMM-aa"),"")</f>
      </c>
      <c r="CR226" s="496" t="str">
        <f> IF(CR246&lt;&gt;"",TEXT(AUX!CV$1,"dd-MMM-aa"),"")</f>
      </c>
      <c r="CS226" s="496" t="str">
        <f> IF(CS246&lt;&gt;"",TEXT(AUX!CW$1,"dd-MMM-aa"),"")</f>
      </c>
      <c r="CT226" s="496" t="str">
        <f> IF(CT246&lt;&gt;"",TEXT(AUX!CX$1,"dd-MMM-aa"),"")</f>
      </c>
      <c r="CU226" s="496" t="str">
        <f> IF(CU246&lt;&gt;"",TEXT(AUX!CY$1,"dd-MMM-aa"),"")</f>
      </c>
      <c r="CV226" s="496" t="str">
        <f> IF(CV246&lt;&gt;"",TEXT(AUX!CZ$1,"dd-MMM-aa"),"")</f>
      </c>
      <c r="CW226" s="496" t="str">
        <f> IF(CW246&lt;&gt;"",TEXT(AUX!DA$1,"dd-MMM-aa"),"")</f>
      </c>
      <c r="CX226" s="496" t="str">
        <f> IF(CX246&lt;&gt;"",TEXT(AUX!DB$1,"dd-MMM-aa"),"")</f>
      </c>
      <c r="CY226" s="496" t="str">
        <f> IF(CY246&lt;&gt;"",TEXT(AUX!DC$1,"dd-MMM-aa"),"")</f>
      </c>
      <c r="CZ226" s="496" t="str">
        <f> IF(CZ246&lt;&gt;"",TEXT(AUX!DD$1,"dd-MMM-aa"),"")</f>
      </c>
      <c r="DA226" s="496" t="str">
        <f> IF(DA246&lt;&gt;"",TEXT(AUX!DE$1,"dd-MMM-aa"),"")</f>
      </c>
      <c r="DB226" s="496" t="str">
        <f> IF(DB246&lt;&gt;"",TEXT(AUX!DF$1,"dd-MMM-aa"),"")</f>
      </c>
      <c r="DC226" s="496" t="str">
        <f> IF(DC246&lt;&gt;"",TEXT(AUX!DG$1,"dd-MMM-aa"),"")</f>
      </c>
      <c r="DD226" s="496" t="str">
        <f> IF(DD246&lt;&gt;"",TEXT(AUX!DH$1,"dd-MMM-aa"),"")</f>
      </c>
      <c r="DE226" s="496" t="str">
        <f> IF(DE246&lt;&gt;"",TEXT(AUX!DI$1,"dd-MMM-aa"),"")</f>
      </c>
      <c r="DF226" s="496" t="str">
        <f> IF(DF246&lt;&gt;"",TEXT(AUX!DJ$1,"dd-MMM-aa"),"")</f>
      </c>
      <c r="DG226" s="496" t="str">
        <f> IF(DG246&lt;&gt;"",TEXT(AUX!DK$1,"dd-MMM-aa"),"")</f>
      </c>
      <c r="DH226" s="496" t="str">
        <f> IF(DH246&lt;&gt;"",TEXT(AUX!DL$1,"dd-MMM-aa"),"")</f>
      </c>
      <c r="DI226" s="496" t="str">
        <f> IF(DI246&lt;&gt;"",TEXT(AUX!DM$1,"dd-MMM-aa"),"")</f>
      </c>
      <c r="DJ226" s="496" t="str">
        <f> IF(DJ246&lt;&gt;"",TEXT(AUX!DN$1,"dd-MMM-aa"),"")</f>
      </c>
      <c r="DK226" s="496" t="str">
        <f> IF(DK246&lt;&gt;"",TEXT(AUX!DO$1,"dd-MMM-aa"),"")</f>
      </c>
      <c r="DL226" s="496" t="str">
        <f> IF(DL246&lt;&gt;"",TEXT(AUX!DP$1,"dd-MMM-aa"),"")</f>
      </c>
      <c r="DM226" s="496" t="str">
        <f> IF(DM246&lt;&gt;"",TEXT(AUX!DQ$1,"dd-MMM-aa"),"")</f>
      </c>
      <c r="DN226" s="496" t="str">
        <f> IF(DN246&lt;&gt;"",TEXT(AUX!DR$1,"dd-MMM-aa"),"")</f>
      </c>
      <c r="DO226" s="496" t="str">
        <f> IF(DO246&lt;&gt;"",TEXT(AUX!DS$1,"dd-MMM-aa"),"")</f>
      </c>
      <c r="DP226" s="496" t="str">
        <f> IF(DP246&lt;&gt;"",TEXT(AUX!DT$1,"dd-MMM-aa"),"")</f>
      </c>
      <c r="DQ226" s="496" t="str">
        <f> IF(DQ246&lt;&gt;"",TEXT(AUX!DU$1,"dd-MMM-aa"),"")</f>
      </c>
      <c r="DR226" s="496" t="str">
        <f> IF(DR246&lt;&gt;"",TEXT(AUX!DV$1,"dd-MMM-aa"),"")</f>
      </c>
      <c r="DS226" s="496" t="str">
        <f> IF(DS246&lt;&gt;"",TEXT(AUX!DW$1,"dd-MMM-aa"),"")</f>
      </c>
      <c r="DT226" s="496" t="str">
        <f> IF(DT246&lt;&gt;"",TEXT(AUX!DX$1,"dd-MMM-aa"),"")</f>
      </c>
      <c r="DU226" s="496" t="str">
        <f> IF(DU246&lt;&gt;"",TEXT(AUX!DY$1,"dd-MMM-aa"),"")</f>
      </c>
      <c r="DV226" s="496" t="str">
        <f> IF(DV246&lt;&gt;"",TEXT(AUX!DZ$1,"dd-MMM-aa"),"")</f>
      </c>
      <c r="DW226" s="496" t="str">
        <f> IF(DW246&lt;&gt;"",TEXT(AUX!EA$1,"dd-MMM-aa"),"")</f>
      </c>
      <c r="DX226" s="496" t="str">
        <f> IF(DX246&lt;&gt;"",TEXT(AUX!EB$1,"dd-MMM-aa"),"")</f>
      </c>
      <c r="DY226" s="496" t="str">
        <f> IF(DY246&lt;&gt;"",TEXT(AUX!EC$1,"dd-MMM-aa"),"")</f>
      </c>
      <c r="DZ226" s="496" t="str">
        <f> IF(DZ246&lt;&gt;"",TEXT(AUX!ED$1,"dd-MMM-aa"),"")</f>
      </c>
      <c r="EA226" s="496" t="str">
        <f> IF(EA246&lt;&gt;"",TEXT(AUX!EE$1,"dd-MMM-aa"),"")</f>
      </c>
      <c r="EB226" s="496" t="str">
        <f> IF(EB246&lt;&gt;"",TEXT(AUX!EF$1,"dd-MMM-aa"),"")</f>
      </c>
      <c r="EC226" s="496" t="str">
        <f> IF(EC246&lt;&gt;"",TEXT(AUX!EG$1,"dd-MMM-aa"),"")</f>
      </c>
      <c r="ED226" s="496" t="str">
        <f> IF(ED246&lt;&gt;"",TEXT(AUX!EH$1,"dd-MMM-aa"),"")</f>
      </c>
      <c r="EE226" s="496" t="str">
        <f> IF(EE246&lt;&gt;"",TEXT(AUX!EI$1,"dd-MMM-aa"),"")</f>
      </c>
      <c r="EF226" s="496" t="str">
        <f> IF(EF246&lt;&gt;"",TEXT(AUX!EJ$1,"dd-MMM-aa"),"")</f>
      </c>
      <c r="EG226" s="496" t="str">
        <f> IF(EG246&lt;&gt;"",TEXT(AUX!EK$1,"dd-MMM-aa"),"")</f>
      </c>
      <c r="EH226" s="496" t="str">
        <f> IF(EH246&lt;&gt;"",TEXT(AUX!EL$1,"dd-MMM-aa"),"")</f>
      </c>
      <c r="EI226" s="496" t="str">
        <f> IF(EI246&lt;&gt;"",TEXT(AUX!EM$1,"dd-MMM-aa"),"")</f>
      </c>
      <c r="EJ226" s="496" t="str">
        <f> IF(EJ246&lt;&gt;"",TEXT(AUX!EN$1,"dd-MMM-aa"),"")</f>
      </c>
      <c r="EK226" s="496" t="str">
        <f> IF(EK246&lt;&gt;"",TEXT(AUX!EO$1,"dd-MMM-aa"),"")</f>
      </c>
      <c r="EL226" s="496" t="str">
        <f> IF(EL246&lt;&gt;"",TEXT(AUX!EP$1,"dd-MMM-aa"),"")</f>
      </c>
      <c r="EM226" s="496" t="str">
        <f> IF(EM246&lt;&gt;"",TEXT(AUX!EQ$1,"dd-MMM-aa"),"")</f>
      </c>
      <c r="EN226" s="496" t="str">
        <f> IF(EN246&lt;&gt;"",TEXT(AUX!ER$1,"dd-MMM-aa"),"")</f>
      </c>
      <c r="EO226" s="496" t="str">
        <f> IF(EO246&lt;&gt;"",TEXT(AUX!ES$1,"dd-MMM-aa"),"")</f>
      </c>
      <c r="EP226" s="496" t="str">
        <f> IF(EP246&lt;&gt;"",TEXT(AUX!ET$1,"dd-MMM-aa"),"")</f>
      </c>
      <c r="EQ226" s="496" t="str">
        <f> IF(EQ246&lt;&gt;"",TEXT(AUX!EU$1,"dd-MMM-aa"),"")</f>
      </c>
      <c r="ER226" s="496" t="str">
        <f> IF(ER246&lt;&gt;"",TEXT(AUX!EV$1,"dd-MMM-aa"),"")</f>
      </c>
      <c r="ES226" s="496" t="str">
        <f> IF(ES246&lt;&gt;"",TEXT(AUX!EW$1,"dd-MMM-aa"),"")</f>
      </c>
      <c r="ET226" s="496" t="str">
        <f> IF(ET246&lt;&gt;"",TEXT(AUX!EX$1,"dd-MMM-aa"),"")</f>
      </c>
      <c r="EU226" s="496" t="str">
        <f> IF(EU246&lt;&gt;"",TEXT(AUX!EY$1,"dd-MMM-aa"),"")</f>
      </c>
      <c r="EV226" s="496" t="str">
        <f> IF(EV246&lt;&gt;"",TEXT(AUX!EZ$1,"dd-MMM-aa"),"")</f>
      </c>
      <c r="EW226" s="496" t="str">
        <f> IF(EW246&lt;&gt;"",TEXT(AUX!FA$1,"dd-MMM-aa"),"")</f>
      </c>
      <c r="EX226" s="496" t="str">
        <f> IF(EX246&lt;&gt;"",TEXT(AUX!FB$1,"dd-MMM-aa"),"")</f>
      </c>
      <c r="EY226" s="496" t="str">
        <f> IF(EY246&lt;&gt;"",TEXT(AUX!FC$1,"dd-MMM-aa"),"")</f>
      </c>
      <c r="EZ226" s="496" t="str">
        <f> IF(EZ246&lt;&gt;"",TEXT(AUX!FD$1,"dd-MMM-aa"),"")</f>
      </c>
      <c r="FA226" s="496" t="str">
        <f> IF(FA246&lt;&gt;"",TEXT(AUX!FE$1,"dd-MMM-aa"),"")</f>
      </c>
      <c r="FB226" s="496" t="str">
        <f> IF(FB246&lt;&gt;"",TEXT(AUX!FF$1,"dd-MMM-aa"),"")</f>
      </c>
      <c r="FC226" s="496" t="str">
        <f> IF(FC246&lt;&gt;"",TEXT(AUX!FG$1,"dd-MMM-aa"),"")</f>
      </c>
      <c r="FD226" s="496" t="str">
        <f> IF(FD246&lt;&gt;"",TEXT(AUX!FH$1,"dd-MMM-aa"),"")</f>
      </c>
      <c r="FE226" s="496" t="str">
        <f> IF(FE246&lt;&gt;"",TEXT(AUX!FI$1,"dd-MMM-aa"),"")</f>
      </c>
      <c r="FF226" s="496" t="str">
        <f> IF(FF246&lt;&gt;"",TEXT(AUX!FJ$1,"dd-MMM-aa"),"")</f>
      </c>
      <c r="FG226" s="496" t="str">
        <f> IF(FG246&lt;&gt;"",TEXT(AUX!FK$1,"dd-MMM-aa"),"")</f>
      </c>
      <c r="FH226" s="496" t="str">
        <f> IF(FH246&lt;&gt;"",TEXT(AUX!FL$1,"dd-MMM-aa"),"")</f>
      </c>
      <c r="FI226" s="496" t="str">
        <f> IF(FI246&lt;&gt;"",TEXT(AUX!FM$1,"dd-MMM-aa"),"")</f>
      </c>
      <c r="FJ226" s="496" t="str">
        <f> IF(FJ246&lt;&gt;"",TEXT(AUX!FN$1,"dd-MMM-aa"),"")</f>
      </c>
      <c r="FK226" s="496" t="str">
        <f> IF(FK246&lt;&gt;"",TEXT(AUX!FO$1,"dd-MMM-aa"),"")</f>
      </c>
      <c r="FL226" s="496" t="str">
        <f> IF(FL246&lt;&gt;"",TEXT(AUX!FP$1,"dd-MMM-aa"),"")</f>
      </c>
      <c r="FM226" s="496" t="str">
        <f> IF(FM246&lt;&gt;"",TEXT(AUX!FQ$1,"dd-MMM-aa"),"")</f>
      </c>
      <c r="FN226" s="496" t="str">
        <f> IF(FN246&lt;&gt;"",TEXT(AUX!FR$1,"dd-MMM-aa"),"")</f>
      </c>
      <c r="FO226" s="496" t="str">
        <f> IF(FO246&lt;&gt;"",TEXT(AUX!FS$1,"dd-MMM-aa"),"")</f>
      </c>
      <c r="FP226" s="496" t="str">
        <f> IF(FP246&lt;&gt;"",TEXT(AUX!FT$1,"dd-MMM-aa"),"")</f>
      </c>
      <c r="FQ226" s="496" t="str">
        <f> IF(FQ246&lt;&gt;"",TEXT(AUX!FU$1,"dd-MMM-aa"),"")</f>
      </c>
      <c r="FR226" s="496" t="str">
        <f> IF(FR246&lt;&gt;"",TEXT(AUX!FV$1,"dd-MMM-aa"),"")</f>
      </c>
      <c r="FS226" s="496" t="str">
        <f> IF(FS246&lt;&gt;"",TEXT(AUX!FW$1,"dd-MMM-aa"),"")</f>
      </c>
      <c r="FT226" s="496" t="str">
        <f> IF(FT246&lt;&gt;"",TEXT(AUX!FX$1,"dd-MMM-aa"),"")</f>
      </c>
      <c r="FU226" s="496" t="str">
        <f> IF(FU246&lt;&gt;"",TEXT(AUX!FY$1,"dd-MMM-aa"),"")</f>
      </c>
      <c r="FV226" s="496" t="str">
        <f> IF(FV246&lt;&gt;"",TEXT(AUX!FZ$1,"dd-MMM-aa"),"")</f>
      </c>
      <c r="FW226" s="496" t="str">
        <f> IF(FW246&lt;&gt;"",TEXT(AUX!GA$1,"dd-MMM-aa"),"")</f>
      </c>
      <c r="FX226" s="496" t="str">
        <f> IF(FX246&lt;&gt;"",TEXT(AUX!GB$1,"dd-MMM-aa"),"")</f>
      </c>
      <c r="FY226" s="496" t="str">
        <f> IF(FY246&lt;&gt;"",TEXT(AUX!GC$1,"dd-MMM-aa"),"")</f>
      </c>
      <c r="FZ226" s="496" t="str">
        <f> IF(FZ246&lt;&gt;"",TEXT(AUX!GD$1,"dd-MMM-aa"),"")</f>
      </c>
      <c r="GA226" s="496" t="str">
        <f> IF(GA246&lt;&gt;"",TEXT(AUX!GE$1,"dd-MMM-aa"),"")</f>
      </c>
      <c r="GB226" s="496" t="str">
        <f> IF(GB246&lt;&gt;"",TEXT(AUX!GF$1,"dd-MMM-aa"),"")</f>
      </c>
      <c r="GC226" s="496" t="str">
        <f> IF(GC246&lt;&gt;"",TEXT(AUX!GG$1,"dd-MMM-aa"),"")</f>
      </c>
      <c r="GD226" s="496" t="str">
        <f> IF(GD246&lt;&gt;"",TEXT(AUX!GH$1,"dd-MMM-aa"),"")</f>
      </c>
      <c r="GE226" s="496" t="str">
        <f> IF(GE246&lt;&gt;"",TEXT(AUX!GI$1,"dd-MMM-aa"),"")</f>
      </c>
      <c r="GF226" s="496" t="str">
        <f> IF(GF246&lt;&gt;"",TEXT(AUX!GJ$1,"dd-MMM-aa"),"")</f>
      </c>
      <c r="GG226" s="496" t="str">
        <f> IF(GG246&lt;&gt;"",TEXT(AUX!GK$1,"dd-MMM-aa"),"")</f>
      </c>
      <c r="GH226" s="496" t="str">
        <f> IF(GH246&lt;&gt;"",TEXT(AUX!GL$1,"dd-MMM-aa"),"")</f>
      </c>
      <c r="GI226" s="496" t="str">
        <f> IF(GI246&lt;&gt;"",TEXT(AUX!GM$1,"dd-MMM-aa"),"")</f>
      </c>
      <c r="GJ226" s="496" t="str">
        <f> IF(GJ246&lt;&gt;"",TEXT(AUX!GN$1,"dd-MMM-aa"),"")</f>
      </c>
      <c r="GK226" s="496" t="str">
        <f> IF(GK246&lt;&gt;"",TEXT(AUX!GO$1,"dd-MMM-aa"),"")</f>
      </c>
      <c r="GL226" s="496" t="str">
        <f> IF(GL246&lt;&gt;"",TEXT(AUX!GP$1,"dd-MMM-aa"),"")</f>
      </c>
      <c r="GM226" s="496" t="str">
        <f> IF(GM246&lt;&gt;"",TEXT(AUX!GQ$1,"dd-MMM-aa"),"")</f>
      </c>
      <c r="GN226" s="496" t="str">
        <f> IF(GN246&lt;&gt;"",TEXT(AUX!GR$1,"dd-MMM-aa"),"")</f>
      </c>
      <c r="GO226" s="496" t="str">
        <f> IF(GO246&lt;&gt;"",TEXT(AUX!GS$1,"dd-MMM-aa"),"")</f>
      </c>
      <c r="GP226" s="496" t="str">
        <f> IF(GP246&lt;&gt;"",TEXT(AUX!GT$1,"dd-MMM-aa"),"")</f>
      </c>
      <c r="GQ226" s="496" t="str">
        <f> IF(GQ246&lt;&gt;"",TEXT(AUX!GU$1,"dd-MMM-aa"),"")</f>
      </c>
      <c r="GR226" s="496" t="str">
        <f> IF(GR246&lt;&gt;"",TEXT(AUX!GV$1,"dd-MMM-aa"),"")</f>
      </c>
      <c r="GS226" s="496" t="str">
        <f> IF(GS246&lt;&gt;"",TEXT(AUX!GW$1,"dd-MMM-aa"),"")</f>
      </c>
      <c r="GT226" s="496" t="str">
        <f> IF(GT246&lt;&gt;"",TEXT(AUX!GX$1,"dd-MMM-aa"),"")</f>
      </c>
      <c r="GU226" s="496" t="str">
        <f> IF(GU246&lt;&gt;"",TEXT(AUX!GY$1,"dd-MMM-aa"),"")</f>
      </c>
      <c r="GV226" s="496" t="str">
        <f> IF(GV246&lt;&gt;"",TEXT(AUX!GZ$1,"dd-MMM-aa"),"")</f>
      </c>
      <c r="GW226" s="496" t="str">
        <f> IF(GW246&lt;&gt;"",TEXT(AUX!HA$1,"dd-MMM-aa"),"")</f>
      </c>
      <c r="GX226" s="496" t="str">
        <f> IF(GX246&lt;&gt;"",TEXT(AUX!HB$1,"dd-MMM-aa"),"")</f>
      </c>
      <c r="GY226" s="496" t="str">
        <f> IF(GY246&lt;&gt;"",TEXT(AUX!HC$1,"dd-MMM-aa"),"")</f>
      </c>
      <c r="GZ226" s="496" t="str">
        <f> IF(GZ246&lt;&gt;"",TEXT(AUX!HD$1,"dd-MMM-aa"),"")</f>
      </c>
      <c r="HA226" s="496" t="str">
        <f> IF(HA246&lt;&gt;"",TEXT(AUX!HE$1,"dd-MMM-aa"),"")</f>
      </c>
      <c r="HB226" s="496" t="str">
        <f> IF(HB246&lt;&gt;"",TEXT(AUX!HF$1,"dd-MMM-aa"),"")</f>
      </c>
      <c r="HC226" s="496" t="str">
        <f> IF(HC246&lt;&gt;"",TEXT(AUX!HG$1,"dd-MMM-aa"),"")</f>
      </c>
      <c r="HD226" s="496" t="str">
        <f> IF(HD246&lt;&gt;"",TEXT(AUX!HH$1,"dd-MMM-aa"),"")</f>
      </c>
      <c r="HE226" s="496" t="str">
        <f> IF(HE246&lt;&gt;"",TEXT(AUX!HI$1,"dd-MMM-aa"),"")</f>
      </c>
      <c r="HF226" s="496" t="str">
        <f> IF(HF246&lt;&gt;"",TEXT(AUX!HJ$1,"dd-MMM-aa"),"")</f>
      </c>
      <c r="HG226" s="496" t="str">
        <f> IF(HG246&lt;&gt;"",TEXT(AUX!HK$1,"dd-MMM-aa"),"")</f>
      </c>
      <c r="HH226" s="496" t="str">
        <f> IF(HH246&lt;&gt;"",TEXT(AUX!HL$1,"dd-MMM-aa"),"")</f>
      </c>
      <c r="HI226" s="496" t="str">
        <f> IF(HI246&lt;&gt;"",TEXT(AUX!HM$1,"dd-MMM-aa"),"")</f>
      </c>
      <c r="HJ226" s="496" t="str">
        <f> IF(HJ246&lt;&gt;"",TEXT(AUX!HN$1,"dd-MMM-aa"),"")</f>
      </c>
      <c r="HK226" s="496" t="str">
        <f> IF(HK246&lt;&gt;"",TEXT(AUX!HO$1,"dd-MMM-aa"),"")</f>
      </c>
      <c r="HL226" s="496" t="str">
        <f> IF(HL246&lt;&gt;"",TEXT(AUX!HP$1,"dd-MMM-aa"),"")</f>
      </c>
      <c r="HM226" s="496" t="str">
        <f> IF(HM246&lt;&gt;"",TEXT(AUX!HQ$1,"dd-MMM-aa"),"")</f>
      </c>
      <c r="HN226" s="496" t="str">
        <f> IF(HN246&lt;&gt;"",TEXT(AUX!HR$1,"dd-MMM-aa"),"")</f>
      </c>
      <c r="HO226" s="496" t="str">
        <f> IF(HO246&lt;&gt;"",TEXT(AUX!HS$1,"dd-MMM-aa"),"")</f>
      </c>
      <c r="HP226" s="496" t="str">
        <f> IF(HP246&lt;&gt;"",TEXT(AUX!HT$1,"dd-MMM-aa"),"")</f>
      </c>
      <c r="HQ226" s="496" t="str">
        <f> IF(HQ246&lt;&gt;"",TEXT(AUX!HU$1,"dd-MMM-aa"),"")</f>
      </c>
      <c r="HR226" s="496" t="str">
        <f> IF(HR246&lt;&gt;"",TEXT(AUX!HV$1,"dd-MMM-aa"),"")</f>
      </c>
      <c r="HS226" s="496" t="str">
        <f> IF(HS246&lt;&gt;"",TEXT(AUX!HW$1,"dd-MMM-aa"),"")</f>
      </c>
      <c r="HT226" s="496" t="str">
        <f> IF(HT246&lt;&gt;"",TEXT(AUX!HX$1,"dd-MMM-aa"),"")</f>
      </c>
      <c r="HU226" s="496" t="str">
        <f> IF(HU246&lt;&gt;"",TEXT(AUX!HY$1,"dd-MMM-aa"),"")</f>
      </c>
      <c r="HV226" s="496" t="str">
        <f> IF(HV246&lt;&gt;"",TEXT(AUX!HZ$1,"dd-MMM-aa"),"")</f>
      </c>
      <c r="HW226" s="496" t="str">
        <f> IF(HW246&lt;&gt;"",TEXT(AUX!IA$1,"dd-MMM-aa"),"")</f>
      </c>
      <c r="HX226" s="496" t="str">
        <f> IF(HX246&lt;&gt;"",TEXT(AUX!IB$1,"dd-MMM-aa"),"")</f>
      </c>
      <c r="HY226" s="496" t="str">
        <f> IF(HY246&lt;&gt;"",TEXT(AUX!IC$1,"dd-MMM-aa"),"")</f>
      </c>
      <c r="HZ226" s="496" t="str">
        <f> IF(HZ246&lt;&gt;"",TEXT(AUX!ID$1,"dd-MMM-aa"),"")</f>
      </c>
      <c r="IA226" s="496" t="str">
        <f> IF(IA246&lt;&gt;"",TEXT(AUX!IE$1,"dd-MMM-aa"),"")</f>
      </c>
      <c r="IB226" s="496" t="str">
        <f> IF(IB246&lt;&gt;"",TEXT(AUX!IF$1,"dd-MMM-aa"),"")</f>
      </c>
      <c r="IC226" s="496" t="str">
        <f> IF(IC246&lt;&gt;"",TEXT(AUX!IG$1,"dd-MMM-aa"),"")</f>
      </c>
      <c r="ID226" s="496" t="str">
        <f> IF(ID246&lt;&gt;"",TEXT(AUX!IH$1,"dd-MMM-aa"),"")</f>
      </c>
      <c r="IE226" s="496" t="str">
        <f> IF(IE246&lt;&gt;"",TEXT(AUX!II$1,"dd-MMM-aa"),"")</f>
      </c>
      <c r="IF226" s="496" t="str">
        <f> IF(IF246&lt;&gt;"",TEXT(AUX!IJ$1,"dd-MMM-aa"),"")</f>
      </c>
      <c r="IG226" s="496" t="str">
        <f> IF(IG246&lt;&gt;"",TEXT(AUX!IK$1,"dd-MMM-aa"),"")</f>
      </c>
      <c r="IH226" s="496" t="str">
        <f> IF(IH246&lt;&gt;"",TEXT(AUX!IL$1,"dd-MMM-aa"),"")</f>
      </c>
      <c r="II226" s="496" t="str">
        <f> IF(II246&lt;&gt;"",TEXT(AUX!IM$1,"dd-MMM-aa"),"")</f>
      </c>
      <c r="IJ226" s="496" t="str">
        <f> IF(IJ246&lt;&gt;"",TEXT(AUX!IN$1,"dd-MMM-aa"),"")</f>
      </c>
      <c r="IK226" s="496" t="str">
        <f> IF(IK246&lt;&gt;"",TEXT(AUX!IO$1,"dd-MMM-aa"),"")</f>
      </c>
      <c r="IL226" s="496" t="str">
        <f> IF(IL246&lt;&gt;"",TEXT(AUX!IP$1,"dd-MMM-aa"),"")</f>
      </c>
      <c r="IM226" s="496" t="str">
        <f> IF(IM246&lt;&gt;"",TEXT(AUX!IQ$1,"dd-MMM-aa"),"")</f>
      </c>
      <c r="IN226" s="496" t="str">
        <f> IF(IN246&lt;&gt;"",TEXT(AUX!IR$1,"dd-MMM-aa"),"")</f>
      </c>
      <c r="IO226" s="496" t="str">
        <f> IF(IO246&lt;&gt;"",TEXT(AUX!IS$1,"dd-MMM-aa"),"")</f>
      </c>
      <c r="IP226" s="496" t="str">
        <f> IF(IP246&lt;&gt;"",TEXT(AUX!IT$1,"dd-MMM-aa"),"")</f>
      </c>
      <c r="IQ226" s="496" t="str">
        <f> IF(IQ246&lt;&gt;"",TEXT(AUX!IU$1,"dd-MMM-aa"),"")</f>
      </c>
      <c r="IR226" s="496" t="str">
        <f> IF(IR246&lt;&gt;"",TEXT(AUX!IV$1,"dd-MMM-aa"),"")</f>
      </c>
      <c r="IS226" s="496" t="str">
        <f> IF(IS246&lt;&gt;"",TEXT(AUX!#REF!,"dd-MMM-aa"),"")</f>
      </c>
      <c r="IT226" s="496" t="str">
        <f> IF(IT246&lt;&gt;"",TEXT(AUX!#REF!,"dd-MMM-aa"),"")</f>
      </c>
      <c r="IU226" s="496" t="str">
        <f> IF(IU246&lt;&gt;"",TEXT(AUX!#REF!,"dd-MMM-aa"),"")</f>
      </c>
      <c r="IV226" s="496" t="str">
        <f> IF(IV246&lt;&gt;"",TEXT(AUX!#REF!,"dd-MMM-aa"),"")</f>
      </c>
    </row>
    <row r="227" hidden="1" ht="12.75" customHeight="1">
      <c r="B227" s="838" t="s">
        <v>8</v>
      </c>
      <c r="C227" s="839">
        <f>C375 + C472</f>
        <v>96523</v>
      </c>
      <c r="D227" s="839">
        <f>D375 + D472</f>
        <v>81377</v>
      </c>
      <c r="E227" s="839">
        <f>E375 + E472</f>
        <v>89290</v>
      </c>
      <c r="F227" s="839">
        <f>F375 + F472</f>
        <v>93217</v>
      </c>
      <c r="G227" s="839">
        <f>G375 + G472</f>
        <v>104903</v>
      </c>
      <c r="H227" s="839">
        <f>H375 + H472</f>
        <v>89661</v>
      </c>
      <c r="I227" s="839">
        <f>I375 + I472</f>
        <v>88925</v>
      </c>
      <c r="J227" s="839">
        <f>J375 + J472</f>
        <v>75177</v>
      </c>
      <c r="K227" s="839">
        <f>K375 + K472</f>
        <v>80274</v>
      </c>
      <c r="L227" s="839">
        <f>L375 + L472</f>
        <v>74662</v>
      </c>
      <c r="M227" s="839">
        <f>M375 + M472</f>
        <v>82163</v>
      </c>
      <c r="N227" s="839">
        <f>N375 + N472</f>
        <v>69273</v>
      </c>
      <c r="O227" s="839">
        <f>O375 + O472</f>
        <v>76522</v>
      </c>
      <c r="P227" s="839">
        <f>P375 + P472</f>
        <v>73120</v>
      </c>
      <c r="Q227" s="839">
        <f>Q375 + Q472</f>
        <v>76330</v>
      </c>
      <c r="R227" s="839">
        <f>R375 + R472</f>
        <v>71616</v>
      </c>
      <c r="S227" s="839">
        <f>S375 + S472</f>
        <v>72295</v>
      </c>
      <c r="T227" s="839">
        <f>T375 + T472</f>
        <v>77836</v>
      </c>
      <c r="U227" s="839">
        <f>U375 + U472</f>
        <v>88539</v>
      </c>
      <c r="V227" s="839">
        <f>V375 + V472</f>
        <v>76777</v>
      </c>
      <c r="W227" s="839">
        <f>W375 + W472</f>
        <v>80380</v>
      </c>
      <c r="X227" s="839">
        <f>X375 + X472</f>
        <v>78528</v>
      </c>
      <c r="Y227" s="839">
        <f>Y375 + Y472</f>
        <v>80429</v>
      </c>
      <c r="Z227" s="839">
        <f>Z375 + Z472</f>
        <v>77434</v>
      </c>
      <c r="AA227" s="839">
        <f>AA375 + AA472</f>
        <v>83188</v>
      </c>
      <c r="AB227" s="840">
        <f>AB375 + AB472</f>
        <v>78822</v>
      </c>
      <c r="AC227" s="841">
        <f>AC375 + AC472</f>
        <v>84864</v>
      </c>
      <c r="AD227" s="841">
        <f>AD375 + AD472</f>
        <v>76117</v>
      </c>
      <c r="AE227" s="841">
        <f>AE375 + AE472</f>
        <v>79442</v>
      </c>
      <c r="AF227" s="841">
        <f>AF375 + AF472</f>
        <v>76063</v>
      </c>
      <c r="AG227" s="841">
        <f>AG375 + AG472</f>
        <v>78577</v>
      </c>
      <c r="AH227" s="841">
        <f>AH375 + AH472</f>
        <v>69025</v>
      </c>
      <c r="AI227" s="841">
        <f>AI375 + AI472</f>
        <v>69532</v>
      </c>
      <c r="AJ227" s="841">
        <f>AJ375 + AJ472</f>
        <v>64982</v>
      </c>
      <c r="AK227" s="841">
        <f>AK375 + AK472</f>
        <v>67770</v>
      </c>
      <c r="AL227" s="841">
        <f>AL375 + AL472</f>
        <v>61653</v>
      </c>
      <c r="AM227" s="841">
        <f>AM375 + AM472</f>
        <v>62020</v>
      </c>
      <c r="AN227" s="841">
        <f>AN375 + AN472</f>
        <v>60222</v>
      </c>
      <c r="AO227" s="841">
        <f>AO375 + AO472</f>
        <v>64909</v>
      </c>
      <c r="AP227" s="841">
        <f>AP375 + AP472</f>
        <v>70932</v>
      </c>
    </row>
    <row r="228" hidden="1" ht="12.75" customHeight="1">
      <c r="B228" s="842" t="s">
        <v>9</v>
      </c>
      <c r="C228" s="839">
        <f>C376 + C473</f>
        <v>41351</v>
      </c>
      <c r="D228" s="839">
        <f>D376 + D473</f>
        <v>25996</v>
      </c>
      <c r="E228" s="839">
        <f>E376 + E473</f>
        <v>44811</v>
      </c>
      <c r="F228" s="839">
        <f>F376 + F473</f>
        <v>36725</v>
      </c>
      <c r="G228" s="839">
        <f>G376 + G473</f>
        <v>56618</v>
      </c>
      <c r="H228" s="839">
        <f>H376 + H473</f>
        <v>29348</v>
      </c>
      <c r="I228" s="839">
        <f>I376 + I473</f>
        <v>46078</v>
      </c>
      <c r="J228" s="839">
        <f>J376 + J473</f>
        <v>32734</v>
      </c>
      <c r="K228" s="839">
        <f>K376 + K473</f>
        <v>51315</v>
      </c>
      <c r="L228" s="839">
        <f>L376 + L473</f>
        <v>33171</v>
      </c>
      <c r="M228" s="839">
        <f>M376 + M473</f>
        <v>47223</v>
      </c>
      <c r="N228" s="839">
        <f>N376 + N473</f>
        <v>29574</v>
      </c>
      <c r="O228" s="839">
        <f>O376 + O473</f>
        <v>47917</v>
      </c>
      <c r="P228" s="839">
        <f>P376 + P473</f>
        <v>31050</v>
      </c>
      <c r="Q228" s="839">
        <f>Q376 + Q473</f>
        <v>51958</v>
      </c>
      <c r="R228" s="839">
        <f>R376 + R473</f>
        <v>31428</v>
      </c>
      <c r="S228" s="839">
        <f>S376 + S473</f>
        <v>51534</v>
      </c>
      <c r="T228" s="839">
        <f>T376 + T473</f>
        <v>37532</v>
      </c>
      <c r="U228" s="839">
        <f>U376 + U473</f>
        <v>53647</v>
      </c>
      <c r="V228" s="839">
        <f>V376 + V473</f>
        <v>36852</v>
      </c>
      <c r="W228" s="839">
        <f>W376 + W473</f>
        <v>52838</v>
      </c>
      <c r="X228" s="839">
        <f>X376 + X473</f>
        <v>36980</v>
      </c>
      <c r="Y228" s="839">
        <f>Y376 + Y473</f>
        <v>50740</v>
      </c>
      <c r="Z228" s="839">
        <f>Z376 + Z473</f>
        <v>43267</v>
      </c>
      <c r="AA228" s="839">
        <f>AA376 + AA473</f>
        <v>60636</v>
      </c>
      <c r="AB228" s="839">
        <f>AB376 + AB473</f>
        <v>48728</v>
      </c>
      <c r="AC228" s="841">
        <f>AC376 + AC473</f>
        <v>70173</v>
      </c>
      <c r="AD228" s="841">
        <f>AD376 + AD473</f>
        <v>50086</v>
      </c>
      <c r="AE228" s="841">
        <f>AE376 + AE473</f>
        <v>69230</v>
      </c>
      <c r="AF228" s="841">
        <f>AF376 + AF473</f>
        <v>46723</v>
      </c>
      <c r="AG228" s="841">
        <f>AG376 + AG473</f>
        <v>69149</v>
      </c>
      <c r="AH228" s="841">
        <f>AH376 + AH473</f>
        <v>45248</v>
      </c>
      <c r="AI228" s="841">
        <f>AI376 + AI473</f>
        <v>60156</v>
      </c>
      <c r="AJ228" s="841">
        <f>AJ376 + AJ473</f>
        <v>44520</v>
      </c>
      <c r="AK228" s="841">
        <f>AK376 + AK473</f>
        <v>66588</v>
      </c>
      <c r="AL228" s="841">
        <f>AL376 + AL473</f>
        <v>52693</v>
      </c>
      <c r="AM228" s="841">
        <f>AM376 + AM473</f>
        <v>69199</v>
      </c>
      <c r="AN228" s="841">
        <f>AN376 + AN473</f>
        <v>56751</v>
      </c>
      <c r="AO228" s="841">
        <f>AO376 + AO473</f>
        <v>73298</v>
      </c>
      <c r="AP228" s="841">
        <f>AP376 + AP473</f>
        <v>68357</v>
      </c>
    </row>
    <row r="229" hidden="1" ht="12.75" customHeight="1">
      <c r="B229" s="842" t="s">
        <v>10</v>
      </c>
      <c r="C229" s="839">
        <f>C377 + C474</f>
        <v>44704</v>
      </c>
      <c r="D229" s="839">
        <f>D377 + D474</f>
        <v>41721</v>
      </c>
      <c r="E229" s="839">
        <f>E377 + E474</f>
        <v>47446</v>
      </c>
      <c r="F229" s="839">
        <f>F377 + F474</f>
        <v>46018</v>
      </c>
      <c r="G229" s="839">
        <f>G377 + G474</f>
        <v>52065</v>
      </c>
      <c r="H229" s="839">
        <f>H377 + H474</f>
        <v>51168</v>
      </c>
      <c r="I229" s="839">
        <f>I377 + I474</f>
        <v>56706</v>
      </c>
      <c r="J229" s="839">
        <f>J377 + J474</f>
        <v>52323</v>
      </c>
      <c r="K229" s="839">
        <f>K377 + K474</f>
        <v>48789</v>
      </c>
      <c r="L229" s="839">
        <f>L377 + L474</f>
        <v>43633</v>
      </c>
      <c r="M229" s="839">
        <f>M377 + M474</f>
        <v>49563</v>
      </c>
      <c r="N229" s="839">
        <f>N377 + N474</f>
        <v>44765</v>
      </c>
      <c r="O229" s="839">
        <f>O377 + O474</f>
        <v>49271</v>
      </c>
      <c r="P229" s="839">
        <f>P377 + P474</f>
        <v>46428</v>
      </c>
      <c r="Q229" s="839">
        <f>Q377 + Q474</f>
        <v>49882</v>
      </c>
      <c r="R229" s="839">
        <f>R377 + R474</f>
        <v>46943</v>
      </c>
      <c r="S229" s="839">
        <f>S377 + S474</f>
        <v>49430</v>
      </c>
      <c r="T229" s="839">
        <f>T377 + T474</f>
        <v>46042</v>
      </c>
      <c r="U229" s="839">
        <f>U377 + U474</f>
        <v>52333</v>
      </c>
      <c r="V229" s="839">
        <f>V377 + V474</f>
        <v>49561</v>
      </c>
      <c r="W229" s="839">
        <f>W377 + W474</f>
        <v>53794</v>
      </c>
      <c r="X229" s="839">
        <f>X377 + X474</f>
        <v>48501</v>
      </c>
      <c r="Y229" s="839">
        <f>Y377 + Y474</f>
        <v>49685</v>
      </c>
      <c r="Z229" s="839">
        <f>Z377 + Z474</f>
        <v>47182</v>
      </c>
      <c r="AA229" s="839">
        <f>AA377 + AA474</f>
        <v>51676</v>
      </c>
      <c r="AB229" s="839">
        <f>AB377 + AB474</f>
        <v>46923</v>
      </c>
      <c r="AC229" s="841">
        <f>AC377 + AC474</f>
        <v>51415</v>
      </c>
      <c r="AD229" s="841">
        <f>AD377 + AD474</f>
        <v>46402</v>
      </c>
      <c r="AE229" s="841">
        <f>AE377 + AE474</f>
        <v>51219</v>
      </c>
      <c r="AF229" s="841">
        <f>AF377 + AF474</f>
        <v>46777</v>
      </c>
      <c r="AG229" s="841">
        <f>AG377 + AG474</f>
        <v>51551</v>
      </c>
      <c r="AH229" s="841">
        <f>AH377 + AH474</f>
        <v>45405</v>
      </c>
      <c r="AI229" s="841">
        <f>AI377 + AI474</f>
        <v>47947</v>
      </c>
      <c r="AJ229" s="841">
        <f>AJ377 + AJ474</f>
        <v>43057</v>
      </c>
      <c r="AK229" s="841">
        <f>AK377 + AK474</f>
        <v>47041</v>
      </c>
      <c r="AL229" s="841">
        <f>AL377 + AL474</f>
        <v>41303</v>
      </c>
      <c r="AM229" s="841">
        <f>AM377 + AM474</f>
        <v>43583</v>
      </c>
      <c r="AN229" s="841">
        <f>AN377 + AN474</f>
        <v>38328</v>
      </c>
      <c r="AO229" s="841">
        <f>AO377 + AO474</f>
        <v>41632</v>
      </c>
      <c r="AP229" s="841">
        <f>AP377 + AP474</f>
        <v>37992</v>
      </c>
    </row>
    <row r="230" hidden="1" ht="12.75" customHeight="1">
      <c r="B230" s="842" t="s">
        <v>11</v>
      </c>
      <c r="C230" s="839">
        <f>C378 + C475</f>
        <v>3943</v>
      </c>
      <c r="D230" s="839">
        <f>D378 + D475</f>
        <v>5194</v>
      </c>
      <c r="E230" s="839">
        <f>E378 + E475</f>
        <v>4204</v>
      </c>
      <c r="F230" s="839">
        <f>F378 + F475</f>
        <v>5166</v>
      </c>
      <c r="G230" s="839">
        <f>G378 + G475</f>
        <v>4763</v>
      </c>
      <c r="H230" s="839">
        <f>H378 + H475</f>
        <v>5447</v>
      </c>
      <c r="I230" s="839">
        <f>I378 + I475</f>
        <v>4201</v>
      </c>
      <c r="J230" s="839">
        <f>J378 + J475</f>
        <v>4292</v>
      </c>
      <c r="K230" s="839">
        <f>K378 + K475</f>
        <v>4529</v>
      </c>
      <c r="L230" s="839">
        <f>L378 + L475</f>
        <v>4294</v>
      </c>
      <c r="M230" s="839">
        <f>M378 + M475</f>
        <v>4109</v>
      </c>
      <c r="N230" s="839">
        <f>N378 + N475</f>
        <v>4335</v>
      </c>
      <c r="O230" s="839">
        <f>O378 + O475</f>
        <v>3855</v>
      </c>
      <c r="P230" s="839">
        <f>P378 + P475</f>
        <v>4757</v>
      </c>
      <c r="Q230" s="839">
        <f>Q378 + Q475</f>
        <v>3878</v>
      </c>
      <c r="R230" s="839">
        <f>R378 + R475</f>
        <v>4896</v>
      </c>
      <c r="S230" s="839">
        <f>S378 + S475</f>
        <v>4030</v>
      </c>
      <c r="T230" s="839">
        <f>T378 + T475</f>
        <v>4488</v>
      </c>
      <c r="U230" s="839">
        <f>U378 + U475</f>
        <v>5566</v>
      </c>
      <c r="V230" s="839">
        <f>V378 + V475</f>
        <v>4635</v>
      </c>
      <c r="W230" s="839">
        <f>W378 + W475</f>
        <v>4652</v>
      </c>
      <c r="X230" s="839">
        <f>X378 + X475</f>
        <v>4338</v>
      </c>
      <c r="Y230" s="839">
        <f>Y378 + Y475</f>
        <v>4587</v>
      </c>
      <c r="Z230" s="839">
        <f>Z378 + Z475</f>
        <v>4305</v>
      </c>
      <c r="AA230" s="839">
        <f>AA378 + AA475</f>
        <v>4970</v>
      </c>
      <c r="AB230" s="839">
        <f>AB378 + AB475</f>
        <v>4460</v>
      </c>
      <c r="AC230" s="841">
        <f>AC378 + AC475</f>
        <v>4386</v>
      </c>
      <c r="AD230" s="841">
        <f>AD378 + AD475</f>
        <v>4845</v>
      </c>
      <c r="AE230" s="841">
        <f>AE378 + AE475</f>
        <v>4328</v>
      </c>
      <c r="AF230" s="841">
        <f>AF378 + AF475</f>
        <v>4789</v>
      </c>
      <c r="AG230" s="841">
        <f>AG378 + AG475</f>
        <v>4293</v>
      </c>
      <c r="AH230" s="841">
        <f>AH378 + AH475</f>
        <v>4393</v>
      </c>
      <c r="AI230" s="841">
        <f>AI378 + AI475</f>
        <v>3892</v>
      </c>
      <c r="AJ230" s="841">
        <f>AJ378 + AJ475</f>
        <v>4105</v>
      </c>
      <c r="AK230" s="841">
        <f>AK378 + AK475</f>
        <v>3895</v>
      </c>
      <c r="AL230" s="841">
        <f>AL378 + AL475</f>
        <v>3904</v>
      </c>
      <c r="AM230" s="841">
        <f>AM378 + AM475</f>
        <v>3269</v>
      </c>
      <c r="AN230" s="841">
        <f>AN378 + AN475</f>
        <v>3568</v>
      </c>
      <c r="AO230" s="841">
        <f>AO378 + AO475</f>
        <v>3111</v>
      </c>
      <c r="AP230" s="841">
        <f>AP378 + AP475</f>
        <v>3575</v>
      </c>
    </row>
    <row r="231" hidden="1" ht="12.75" customHeight="1">
      <c r="B231" s="842" t="s">
        <v>12</v>
      </c>
      <c r="C231" s="839">
        <f>C379 + C476</f>
        <v>2657</v>
      </c>
      <c r="D231" s="839">
        <f>D379 + D476</f>
        <v>2775</v>
      </c>
      <c r="E231" s="839">
        <f>E379 + E476</f>
        <v>3201</v>
      </c>
      <c r="F231" s="839">
        <f>F379 + F476</f>
        <v>3262</v>
      </c>
      <c r="G231" s="839">
        <f>G379 + G476</f>
        <v>3495</v>
      </c>
      <c r="H231" s="839">
        <f>H379 + H476</f>
        <v>3480</v>
      </c>
      <c r="I231" s="839">
        <f>I379 + I476</f>
        <v>3564</v>
      </c>
      <c r="J231" s="839">
        <f>J379 + J476</f>
        <v>3857</v>
      </c>
      <c r="K231" s="839">
        <f>K379 + K476</f>
        <v>3585</v>
      </c>
      <c r="L231" s="839">
        <f>L379 + L476</f>
        <v>3825</v>
      </c>
      <c r="M231" s="839">
        <f>M379 + M476</f>
        <v>3981</v>
      </c>
      <c r="N231" s="839">
        <f>N379 + N476</f>
        <v>3993</v>
      </c>
      <c r="O231" s="839">
        <f>O379 + O476</f>
        <v>3479</v>
      </c>
      <c r="P231" s="839">
        <f>P379 + P476</f>
        <v>3892</v>
      </c>
      <c r="Q231" s="839">
        <f>Q379 + Q476</f>
        <v>3188</v>
      </c>
      <c r="R231" s="839">
        <f>R379 + R476</f>
        <v>3286</v>
      </c>
      <c r="S231" s="839">
        <f>S379 + S476</f>
        <v>3543</v>
      </c>
      <c r="T231" s="839">
        <f>T379 + T476</f>
        <v>3611</v>
      </c>
      <c r="U231" s="839">
        <f>U379 + U476</f>
        <v>4290</v>
      </c>
      <c r="V231" s="839">
        <f>V379 + V476</f>
        <v>3867</v>
      </c>
      <c r="W231" s="839">
        <f>W379 + W476</f>
        <v>3630</v>
      </c>
      <c r="X231" s="839">
        <f>X379 + X476</f>
        <v>3861</v>
      </c>
      <c r="Y231" s="839">
        <f>Y379 + Y476</f>
        <v>3634</v>
      </c>
      <c r="Z231" s="839">
        <f>Z379 + Z476</f>
        <v>3795</v>
      </c>
      <c r="AA231" s="839">
        <f>AA379 + AA476</f>
        <v>3203</v>
      </c>
      <c r="AB231" s="839">
        <f>AB379 + AB476</f>
        <v>4322</v>
      </c>
      <c r="AC231" s="841">
        <f>AC379 + AC476</f>
        <v>3711</v>
      </c>
      <c r="AD231" s="841">
        <f>AD379 + AD476</f>
        <v>4234</v>
      </c>
      <c r="AE231" s="841">
        <f>AE379 + AE476</f>
        <v>3496</v>
      </c>
      <c r="AF231" s="841">
        <f>AF379 + AF476</f>
        <v>3787</v>
      </c>
      <c r="AG231" s="841">
        <f>AG379 + AG476</f>
        <v>3815</v>
      </c>
      <c r="AH231" s="841">
        <f>AH379 + AH476</f>
        <v>4298</v>
      </c>
      <c r="AI231" s="841">
        <f>AI379 + AI476</f>
        <v>3205</v>
      </c>
      <c r="AJ231" s="841">
        <f>AJ379 + AJ476</f>
        <v>3464</v>
      </c>
      <c r="AK231" s="841">
        <f>AK379 + AK476</f>
        <v>3589</v>
      </c>
      <c r="AL231" s="841">
        <f>AL379 + AL476</f>
        <v>4710</v>
      </c>
      <c r="AM231" s="841">
        <f>AM379 + AM476</f>
        <v>3507</v>
      </c>
      <c r="AN231" s="841">
        <f>AN379 + AN476</f>
        <v>4237</v>
      </c>
      <c r="AO231" s="841">
        <f>AO379 + AO476</f>
        <v>3673</v>
      </c>
      <c r="AP231" s="841">
        <f>AP379 + AP476</f>
        <v>5309</v>
      </c>
    </row>
    <row r="232" hidden="1" ht="12.75" customHeight="1">
      <c r="B232" s="842" t="s">
        <v>13</v>
      </c>
      <c r="C232" s="839">
        <f>C380 + C477</f>
        <v>37362</v>
      </c>
      <c r="D232" s="839">
        <f>D380 + D477</f>
        <v>34716</v>
      </c>
      <c r="E232" s="839">
        <f>E380 + E477</f>
        <v>36994</v>
      </c>
      <c r="F232" s="839">
        <f>F380 + F477</f>
        <v>37281</v>
      </c>
      <c r="G232" s="839">
        <f>G380 + G477</f>
        <v>40740</v>
      </c>
      <c r="H232" s="839">
        <f>H380 + H477</f>
        <v>40508</v>
      </c>
      <c r="I232" s="839">
        <f>I380 + I477</f>
        <v>43747</v>
      </c>
      <c r="J232" s="839">
        <f>J380 + J477</f>
        <v>41032</v>
      </c>
      <c r="K232" s="839">
        <f>K380 + K477</f>
        <v>41033</v>
      </c>
      <c r="L232" s="839">
        <f>L380 + L477</f>
        <v>38363</v>
      </c>
      <c r="M232" s="839">
        <f>M380 + M477</f>
        <v>40150</v>
      </c>
      <c r="N232" s="839">
        <f>N380 + N477</f>
        <v>38985</v>
      </c>
      <c r="O232" s="839">
        <f>O380 + O477</f>
        <v>40750</v>
      </c>
      <c r="P232" s="839">
        <f>P380 + P477</f>
        <v>40634</v>
      </c>
      <c r="Q232" s="839">
        <f>Q380 + Q477</f>
        <v>42084</v>
      </c>
      <c r="R232" s="839">
        <f>R380 + R477</f>
        <v>40955</v>
      </c>
      <c r="S232" s="839">
        <f>S380 + S477</f>
        <v>41645</v>
      </c>
      <c r="T232" s="839">
        <f>T380 + T477</f>
        <v>40899</v>
      </c>
      <c r="U232" s="839">
        <f>U380 + U477</f>
        <v>43204</v>
      </c>
      <c r="V232" s="839">
        <f>V380 + V477</f>
        <v>42561</v>
      </c>
      <c r="W232" s="839">
        <f>W380 + W477</f>
        <v>42425</v>
      </c>
      <c r="X232" s="839">
        <f>X380 + X477</f>
        <v>40332</v>
      </c>
      <c r="Y232" s="839">
        <f>Y380 + Y477</f>
        <v>42093</v>
      </c>
      <c r="Z232" s="839">
        <f>Z380 + Z477</f>
        <v>40479</v>
      </c>
      <c r="AA232" s="839">
        <f>AA380 + AA477</f>
        <v>41536</v>
      </c>
      <c r="AB232" s="839">
        <f>AB380 + AB477</f>
        <v>39763</v>
      </c>
      <c r="AC232" s="841">
        <f>AC380 + AC477</f>
        <v>40259</v>
      </c>
      <c r="AD232" s="841">
        <f>AD380 + AD477</f>
        <v>37574</v>
      </c>
      <c r="AE232" s="841">
        <f>AE380 + AE477</f>
        <v>39930</v>
      </c>
      <c r="AF232" s="841">
        <f>AF380 + AF477</f>
        <v>37959</v>
      </c>
      <c r="AG232" s="841">
        <f>AG380 + AG477</f>
        <v>39384</v>
      </c>
      <c r="AH232" s="841">
        <f>AH380 + AH477</f>
        <v>37278</v>
      </c>
      <c r="AI232" s="841">
        <f>AI380 + AI477</f>
        <v>37156</v>
      </c>
      <c r="AJ232" s="841">
        <f>AJ380 + AJ477</f>
        <v>35352</v>
      </c>
      <c r="AK232" s="841">
        <f>AK380 + AK477</f>
        <v>35666</v>
      </c>
      <c r="AL232" s="841">
        <f>AL380 + AL477</f>
        <v>33128</v>
      </c>
      <c r="AM232" s="841">
        <f>AM380 + AM477</f>
        <v>32148</v>
      </c>
      <c r="AN232" s="841">
        <f>AN380 + AN477</f>
        <v>30923</v>
      </c>
      <c r="AO232" s="841">
        <f>AO380 + AO477</f>
        <v>31741</v>
      </c>
      <c r="AP232" s="841">
        <f>AP380 + AP477</f>
        <v>31078</v>
      </c>
    </row>
    <row r="233" hidden="1" ht="12.75" customHeight="1">
      <c r="B233" s="842" t="s">
        <v>109</v>
      </c>
      <c r="C233" s="839">
        <f>C381 + C478</f>
        <v>76550</v>
      </c>
      <c r="D233" s="839">
        <f>D381 + D478</f>
        <v>55305</v>
      </c>
      <c r="E233" s="839">
        <f>E381 + E478</f>
        <v>82642</v>
      </c>
      <c r="F233" s="839">
        <f>F381 + F478</f>
        <v>65404</v>
      </c>
      <c r="G233" s="839">
        <f>G381 + G478</f>
        <v>104242</v>
      </c>
      <c r="H233" s="839">
        <f>H381 + H478</f>
        <v>72392</v>
      </c>
      <c r="I233" s="839">
        <f>I381 + I478</f>
        <v>102926</v>
      </c>
      <c r="J233" s="839">
        <f>J381 + J478</f>
        <v>75943</v>
      </c>
      <c r="K233" s="839">
        <f>K381 + K478</f>
        <v>105594</v>
      </c>
      <c r="L233" s="839">
        <f>L381 + L478</f>
        <v>68582</v>
      </c>
      <c r="M233" s="839">
        <f>M381 + M478</f>
        <v>96816</v>
      </c>
      <c r="N233" s="839">
        <f>N381 + N478</f>
        <v>71885</v>
      </c>
      <c r="O233" s="839">
        <f>O381 + O478</f>
        <v>103887</v>
      </c>
      <c r="P233" s="839">
        <f>P381 + P478</f>
        <v>69279</v>
      </c>
      <c r="Q233" s="839">
        <f>Q381 + Q478</f>
        <v>95421</v>
      </c>
      <c r="R233" s="839">
        <f>R381 + R478</f>
        <v>69143</v>
      </c>
      <c r="S233" s="839">
        <f>S381 + S478</f>
        <v>87705</v>
      </c>
      <c r="T233" s="839">
        <f>T381 + T478</f>
        <v>66009</v>
      </c>
      <c r="U233" s="839">
        <f>U381 + U478</f>
        <v>105549</v>
      </c>
      <c r="V233" s="839">
        <f>V381 + V478</f>
        <v>98053</v>
      </c>
      <c r="W233" s="839">
        <f>W381 + W478</f>
        <v>106828</v>
      </c>
      <c r="X233" s="839">
        <f>X381 + X478</f>
        <v>91484</v>
      </c>
      <c r="Y233" s="839">
        <f>Y381 + Y478</f>
        <v>109911</v>
      </c>
      <c r="Z233" s="839">
        <f>Z381 + Z478</f>
        <v>105471</v>
      </c>
      <c r="AA233" s="839">
        <f>AA381 + AA478</f>
        <v>124726</v>
      </c>
      <c r="AB233" s="839">
        <f>AB381 + AB478</f>
        <v>107144</v>
      </c>
      <c r="AC233" s="841">
        <f>AC381 + AC478</f>
        <v>132365</v>
      </c>
      <c r="AD233" s="841">
        <f>AD381 + AD478</f>
        <v>108536</v>
      </c>
      <c r="AE233" s="841">
        <f>AE381 + AE478</f>
        <v>129496</v>
      </c>
      <c r="AF233" s="841">
        <f>AF381 + AF478</f>
        <v>104482</v>
      </c>
      <c r="AG233" s="841">
        <f>AG381 + AG478</f>
        <v>123900</v>
      </c>
      <c r="AH233" s="841">
        <f>AH381 + AH478</f>
        <v>95966</v>
      </c>
      <c r="AI233" s="841">
        <f>AI381 + AI478</f>
        <v>106285</v>
      </c>
      <c r="AJ233" s="841">
        <f>AJ381 + AJ478</f>
        <v>92390</v>
      </c>
      <c r="AK233" s="841">
        <f>AK381 + AK478</f>
        <v>116803</v>
      </c>
      <c r="AL233" s="841">
        <f>AL381 + AL478</f>
        <v>117205</v>
      </c>
      <c r="AM233" s="841">
        <f>AM381 + AM478</f>
        <v>115883</v>
      </c>
      <c r="AN233" s="841">
        <f>AN381 + AN478</f>
        <v>101792</v>
      </c>
      <c r="AO233" s="841">
        <f>AO381 + AO478</f>
        <v>117256</v>
      </c>
      <c r="AP233" s="841">
        <f>AP381 + AP478</f>
        <v>120496</v>
      </c>
    </row>
    <row r="234" hidden="1" ht="12.75" customHeight="1">
      <c r="B234" s="842" t="s">
        <v>110</v>
      </c>
      <c r="C234" s="839">
        <f>C382 + C479</f>
        <v>158897</v>
      </c>
      <c r="D234" s="839">
        <f>D382 + D479</f>
        <v>126997</v>
      </c>
      <c r="E234" s="839">
        <f>E382 + E479</f>
        <v>177827</v>
      </c>
      <c r="F234" s="839">
        <f>F382 + F479</f>
        <v>150983</v>
      </c>
      <c r="G234" s="839">
        <f>G382 + G479</f>
        <v>207030</v>
      </c>
      <c r="H234" s="839">
        <f>H382 + H479</f>
        <v>158091</v>
      </c>
      <c r="I234" s="839">
        <f>I382 + I479</f>
        <v>186004</v>
      </c>
      <c r="J234" s="839">
        <f>J382 + J479</f>
        <v>152766</v>
      </c>
      <c r="K234" s="839">
        <f>K382 + K479</f>
        <v>190304</v>
      </c>
      <c r="L234" s="839">
        <f>L382 + L479</f>
        <v>140659</v>
      </c>
      <c r="M234" s="839">
        <f>M382 + M479</f>
        <v>179316</v>
      </c>
      <c r="N234" s="839">
        <f>N382 + N479</f>
        <v>140802</v>
      </c>
      <c r="O234" s="839">
        <f>O382 + O479</f>
        <v>188262</v>
      </c>
      <c r="P234" s="839">
        <f>P382 + P479</f>
        <v>145934</v>
      </c>
      <c r="Q234" s="839">
        <f>Q382 + Q479</f>
        <v>188616</v>
      </c>
      <c r="R234" s="839">
        <f>R382 + R479</f>
        <v>141940</v>
      </c>
      <c r="S234" s="839">
        <f>S382 + S479</f>
        <v>187597</v>
      </c>
      <c r="T234" s="839">
        <f>T382 + T479</f>
        <v>154879</v>
      </c>
      <c r="U234" s="839">
        <f>U382 + U479</f>
        <v>204709</v>
      </c>
      <c r="V234" s="839">
        <f>V382 + V479</f>
        <v>166059</v>
      </c>
      <c r="W234" s="839">
        <f>W382 + W479</f>
        <v>196319</v>
      </c>
      <c r="X234" s="839">
        <f>X382 + X479</f>
        <v>173065</v>
      </c>
      <c r="Y234" s="839">
        <f>Y382 + Y479</f>
        <v>199945</v>
      </c>
      <c r="Z234" s="839">
        <f>Z382 + Z479</f>
        <v>183980</v>
      </c>
      <c r="AA234" s="839">
        <f>AA382 + AA479</f>
        <v>213877</v>
      </c>
      <c r="AB234" s="839">
        <f>AB382 + AB479</f>
        <v>188026</v>
      </c>
      <c r="AC234" s="841">
        <f>AC382 + AC479</f>
        <v>222356</v>
      </c>
      <c r="AD234" s="841">
        <f>AD382 + AD479</f>
        <v>178328</v>
      </c>
      <c r="AE234" s="841">
        <f>AE382 + AE479</f>
        <v>220769</v>
      </c>
      <c r="AF234" s="841">
        <f>AF382 + AF479</f>
        <v>184537</v>
      </c>
      <c r="AG234" s="841">
        <f>AG382 + AG479</f>
        <v>220478</v>
      </c>
      <c r="AH234" s="841">
        <f>AH382 + AH479</f>
        <v>182864</v>
      </c>
      <c r="AI234" s="841">
        <f>AI382 + AI479</f>
        <v>202037</v>
      </c>
      <c r="AJ234" s="841">
        <f>AJ382 + AJ479</f>
        <v>167873</v>
      </c>
      <c r="AK234" s="841">
        <f>AK382 + AK479</f>
        <v>205499</v>
      </c>
      <c r="AL234" s="841">
        <f>AL382 + AL479</f>
        <v>180897</v>
      </c>
      <c r="AM234" s="841">
        <f>AM382 + AM479</f>
        <v>197849</v>
      </c>
      <c r="AN234" s="841">
        <f>AN382 + AN479</f>
        <v>177234</v>
      </c>
      <c r="AO234" s="841">
        <f>AO382 + AO479</f>
        <v>199804</v>
      </c>
      <c r="AP234" s="841">
        <f>AP382 + AP479</f>
        <v>202900</v>
      </c>
    </row>
    <row r="235" hidden="1" ht="12.75" customHeight="1">
      <c r="B235" s="842" t="s">
        <v>16</v>
      </c>
      <c r="C235" s="839">
        <f>C383 + C480</f>
        <v>85868</v>
      </c>
      <c r="D235" s="839">
        <f>D383 + D480</f>
        <v>190591</v>
      </c>
      <c r="E235" s="839">
        <f>E383 + E480</f>
        <v>133365</v>
      </c>
      <c r="F235" s="839">
        <f>F383 + F480</f>
        <v>103680</v>
      </c>
      <c r="G235" s="839">
        <f>G383 + G480</f>
        <v>179602</v>
      </c>
      <c r="H235" s="839">
        <f>H383 + H480</f>
        <v>156171</v>
      </c>
      <c r="I235" s="839">
        <f>I383 + I480</f>
        <v>96942</v>
      </c>
      <c r="J235" s="839">
        <f>J383 + J480</f>
        <v>49006</v>
      </c>
      <c r="K235" s="839">
        <f>K383 + K480</f>
        <v>63654</v>
      </c>
      <c r="L235" s="839">
        <f>L383 + L480</f>
        <v>46252</v>
      </c>
      <c r="M235" s="839">
        <f>M383 + M480</f>
        <v>59441</v>
      </c>
      <c r="N235" s="839">
        <f>N383 + N480</f>
        <v>64897</v>
      </c>
      <c r="O235" s="839">
        <f>O383 + O480</f>
        <v>69723</v>
      </c>
      <c r="P235" s="839">
        <f>P383 + P480</f>
        <v>69791</v>
      </c>
      <c r="Q235" s="839">
        <f>Q383 + Q480</f>
        <v>76706</v>
      </c>
      <c r="R235" s="839">
        <f>R383 + R480</f>
        <v>0</v>
      </c>
      <c r="S235" s="839">
        <f>S383 + S480</f>
        <v>67046</v>
      </c>
      <c r="T235" s="839">
        <f>T383 + T480</f>
        <v>60466</v>
      </c>
      <c r="U235" s="839">
        <f>U383 + U480</f>
        <v>72906</v>
      </c>
      <c r="V235" s="839">
        <f>V383 + V480</f>
        <v>83981</v>
      </c>
      <c r="W235" s="839">
        <f>W383 + W480</f>
        <v>80327</v>
      </c>
      <c r="X235" s="839">
        <f>X383 + X480</f>
        <v>65498</v>
      </c>
      <c r="Y235" s="839">
        <f>Y383 + Y480</f>
        <v>74992</v>
      </c>
      <c r="Z235" s="839">
        <f>Z383 + Z480</f>
        <v>78123</v>
      </c>
      <c r="AA235" s="839">
        <f>AA383 + AA480</f>
        <v>88987</v>
      </c>
      <c r="AB235" s="839">
        <f>AB383 + AB480</f>
        <v>91579</v>
      </c>
      <c r="AC235" s="841">
        <f>AC383 + AC480</f>
        <v>124114</v>
      </c>
      <c r="AD235" s="841">
        <f>AD383 + AD480</f>
        <v>96882</v>
      </c>
      <c r="AE235" s="841">
        <f>AE383 + AE480</f>
        <v>87108</v>
      </c>
      <c r="AF235" s="841">
        <f>AF383 + AF480</f>
        <v>97763</v>
      </c>
      <c r="AG235" s="841">
        <f>AG383 + AG480</f>
        <v>91828</v>
      </c>
      <c r="AH235" s="841">
        <f>AH383 + AH480</f>
        <v>69810</v>
      </c>
      <c r="AI235" s="841">
        <f>AI383 + AI480</f>
        <v>71744</v>
      </c>
      <c r="AJ235" s="841">
        <f>AJ383 + AJ480</f>
        <v>71616</v>
      </c>
      <c r="AK235" s="841">
        <f>AK383 + AK480</f>
        <v>71606</v>
      </c>
      <c r="AL235" s="841">
        <f>AL383 + AL480</f>
        <v>67430</v>
      </c>
      <c r="AM235" s="841">
        <f>AM383 + AM480</f>
        <v>67387</v>
      </c>
      <c r="AN235" s="841">
        <f>AN383 + AN480</f>
        <v>66201</v>
      </c>
      <c r="AO235" s="841">
        <f>AO383 + AO480</f>
        <v>73236</v>
      </c>
      <c r="AP235" s="841">
        <f>AP383 + AP480</f>
        <v>74931</v>
      </c>
    </row>
    <row r="236" hidden="1" ht="12.75" customHeight="1">
      <c r="B236" s="842" t="s">
        <v>17</v>
      </c>
      <c r="C236" s="839">
        <f>C384 + C481</f>
        <v>79265</v>
      </c>
      <c r="D236" s="839">
        <f>D384 + D481</f>
        <v>74803</v>
      </c>
      <c r="E236" s="839">
        <f>E384 + E481</f>
        <v>83498</v>
      </c>
      <c r="F236" s="839">
        <f>F384 + F481</f>
        <v>90027</v>
      </c>
      <c r="G236" s="839">
        <f>G384 + G481</f>
        <v>104794</v>
      </c>
      <c r="H236" s="839">
        <f>H384 + H481</f>
        <v>88839</v>
      </c>
      <c r="I236" s="839">
        <f>I384 + I481</f>
        <v>82092</v>
      </c>
      <c r="J236" s="839">
        <f>J384 + J481</f>
        <v>71218</v>
      </c>
      <c r="K236" s="839">
        <f>K384 + K481</f>
        <v>74743</v>
      </c>
      <c r="L236" s="839">
        <f>L384 + L481</f>
        <v>63143</v>
      </c>
      <c r="M236" s="839">
        <f>M384 + M481</f>
        <v>73500</v>
      </c>
      <c r="N236" s="839">
        <f>N384 + N481</f>
        <v>67987</v>
      </c>
      <c r="O236" s="839">
        <f>O384 + O481</f>
        <v>80481</v>
      </c>
      <c r="P236" s="839">
        <f>P384 + P481</f>
        <v>69912</v>
      </c>
      <c r="Q236" s="839">
        <f>Q384 + Q481</f>
        <v>97715</v>
      </c>
      <c r="R236" s="839">
        <f>R384 + R481</f>
        <v>74990</v>
      </c>
      <c r="S236" s="839">
        <f>S384 + S481</f>
        <v>84922</v>
      </c>
      <c r="T236" s="839">
        <f>T384 + T481</f>
        <v>84329</v>
      </c>
      <c r="U236" s="839">
        <f>U384 + U481</f>
        <v>115024</v>
      </c>
      <c r="V236" s="839">
        <f>V384 + V481</f>
        <v>90866</v>
      </c>
      <c r="W236" s="839">
        <f>W384 + W481</f>
        <v>96765</v>
      </c>
      <c r="X236" s="839">
        <f>X384 + X481</f>
        <v>99093</v>
      </c>
      <c r="Y236" s="839">
        <f>Y384 + Y481</f>
        <v>98756</v>
      </c>
      <c r="Z236" s="839">
        <f>Z384 + Z481</f>
        <v>96726</v>
      </c>
      <c r="AA236" s="839">
        <f>AA384 + AA481</f>
        <v>100801</v>
      </c>
      <c r="AB236" s="839">
        <f>AB384 + AB481</f>
        <v>95764</v>
      </c>
      <c r="AC236" s="841">
        <f>AC384 + AC481</f>
        <v>100278</v>
      </c>
      <c r="AD236" s="841">
        <f>AD384 + AD481</f>
        <v>90923</v>
      </c>
      <c r="AE236" s="841">
        <f>AE384 + AE481</f>
        <v>94682</v>
      </c>
      <c r="AF236" s="841">
        <f>AF384 + AF481</f>
        <v>95488</v>
      </c>
      <c r="AG236" s="841">
        <f>AG384 + AG481</f>
        <v>99404</v>
      </c>
      <c r="AH236" s="841">
        <f>AH384 + AH481</f>
        <v>91794</v>
      </c>
      <c r="AI236" s="841">
        <f>AI384 + AI481</f>
        <v>86365</v>
      </c>
      <c r="AJ236" s="841">
        <f>AJ384 + AJ481</f>
        <v>80765</v>
      </c>
      <c r="AK236" s="841">
        <f>AK384 + AK481</f>
        <v>79784</v>
      </c>
      <c r="AL236" s="841">
        <f>AL384 + AL481</f>
        <v>78652</v>
      </c>
      <c r="AM236" s="841">
        <f>AM384 + AM481</f>
        <v>75900</v>
      </c>
      <c r="AN236" s="841">
        <f>AN384 + AN481</f>
        <v>79845</v>
      </c>
      <c r="AO236" s="841">
        <f>AO384 + AO481</f>
        <v>83193</v>
      </c>
      <c r="AP236" s="841">
        <f>AP384 + AP481</f>
        <v>98490</v>
      </c>
    </row>
    <row r="237" hidden="1" ht="12.75" customHeight="1">
      <c r="B237" s="842" t="s">
        <v>18</v>
      </c>
      <c r="C237" s="839">
        <f>C385 + C482</f>
        <v>93729</v>
      </c>
      <c r="D237" s="839">
        <f>D385 + D482</f>
        <v>92897</v>
      </c>
      <c r="E237" s="839">
        <f>E385 + E482</f>
        <v>93430</v>
      </c>
      <c r="F237" s="839">
        <f>F385 + F482</f>
        <v>95242</v>
      </c>
      <c r="G237" s="839">
        <f>G385 + G482</f>
        <v>112247</v>
      </c>
      <c r="H237" s="839">
        <f>H385 + H482</f>
        <v>103025</v>
      </c>
      <c r="I237" s="839">
        <f>I385 + I482</f>
        <v>102734</v>
      </c>
      <c r="J237" s="839">
        <f>J385 + J482</f>
        <v>111005</v>
      </c>
      <c r="K237" s="839">
        <f>K385 + K482</f>
        <v>113886</v>
      </c>
      <c r="L237" s="839">
        <f>L385 + L482</f>
        <v>109513</v>
      </c>
      <c r="M237" s="839">
        <f>M385 + M482</f>
        <v>111560</v>
      </c>
      <c r="N237" s="839">
        <f>N385 + N482</f>
        <v>108065</v>
      </c>
      <c r="O237" s="839">
        <f>O385 + O482</f>
        <v>109232</v>
      </c>
      <c r="P237" s="839">
        <f>P385 + P482</f>
        <v>108971</v>
      </c>
      <c r="Q237" s="839">
        <f>Q385 + Q482</f>
        <v>112914</v>
      </c>
      <c r="R237" s="839">
        <f>R385 + R482</f>
        <v>111840</v>
      </c>
      <c r="S237" s="839">
        <f>S385 + S482</f>
        <v>112773</v>
      </c>
      <c r="T237" s="839">
        <f>T385 + T482</f>
        <v>111891</v>
      </c>
      <c r="U237" s="839">
        <f>U385 + U482</f>
        <v>117203</v>
      </c>
      <c r="V237" s="839">
        <f>V385 + V482</f>
        <v>116344</v>
      </c>
      <c r="W237" s="839">
        <f>W385 + W482</f>
        <v>120186</v>
      </c>
      <c r="X237" s="839">
        <f>X385 + X482</f>
        <v>117556</v>
      </c>
      <c r="Y237" s="839">
        <f>Y385 + Y482</f>
        <v>115443</v>
      </c>
      <c r="Z237" s="839">
        <f>Z385 + Z482</f>
        <v>113697</v>
      </c>
      <c r="AA237" s="839">
        <f>AA385 + AA482</f>
        <v>112768</v>
      </c>
      <c r="AB237" s="839">
        <f>AB385 + AB482</f>
        <v>111930</v>
      </c>
      <c r="AC237" s="841">
        <f>AC385 + AC482</f>
        <v>113998</v>
      </c>
      <c r="AD237" s="841">
        <f>AD385 + AD482</f>
        <v>110475</v>
      </c>
      <c r="AE237" s="841">
        <f>AE385 + AE482</f>
        <v>113916</v>
      </c>
      <c r="AF237" s="841">
        <f>AF385 + AF482</f>
        <v>113733</v>
      </c>
      <c r="AG237" s="841">
        <f>AG385 + AG482</f>
        <v>120990</v>
      </c>
      <c r="AH237" s="841">
        <f>AH385 + AH482</f>
        <v>119286</v>
      </c>
      <c r="AI237" s="841">
        <f>AI385 + AI482</f>
        <v>122708</v>
      </c>
      <c r="AJ237" s="841">
        <f>AJ385 + AJ482</f>
        <v>123307</v>
      </c>
      <c r="AK237" s="841">
        <f>AK385 + AK482</f>
        <v>124003</v>
      </c>
      <c r="AL237" s="841">
        <f>AL385 + AL482</f>
        <v>120360</v>
      </c>
      <c r="AM237" s="841">
        <f>AM385 + AM482</f>
        <v>118498</v>
      </c>
      <c r="AN237" s="841">
        <f>AN385 + AN482</f>
        <v>117049</v>
      </c>
      <c r="AO237" s="841">
        <f>AO385 + AO482</f>
        <v>118243</v>
      </c>
      <c r="AP237" s="841">
        <f>AP385 + AP482</f>
        <v>116182</v>
      </c>
    </row>
    <row r="238" hidden="1" ht="12.75" customHeight="1">
      <c r="B238" s="842" t="s">
        <v>19</v>
      </c>
      <c r="C238" s="839">
        <f>C386 + C483</f>
        <v>20983</v>
      </c>
      <c r="D238" s="839">
        <f>D386 + D483</f>
        <v>16990</v>
      </c>
      <c r="E238" s="839">
        <f>E386 + E483</f>
        <v>20470</v>
      </c>
      <c r="F238" s="839">
        <f>F386 + F483</f>
        <v>20305</v>
      </c>
      <c r="G238" s="839">
        <f>G386 + G483</f>
        <v>41467</v>
      </c>
      <c r="H238" s="839">
        <f>H386 + H483</f>
        <v>23835</v>
      </c>
      <c r="I238" s="839">
        <f>I386 + I483</f>
        <v>19593</v>
      </c>
      <c r="J238" s="839">
        <f>J386 + J483</f>
        <v>14482</v>
      </c>
      <c r="K238" s="839">
        <f>K386 + K483</f>
        <v>18108</v>
      </c>
      <c r="L238" s="839">
        <f>L386 + L483</f>
        <v>10337</v>
      </c>
      <c r="M238" s="839">
        <f>M386 + M483</f>
        <v>17145</v>
      </c>
      <c r="N238" s="839">
        <f>N386 + N483</f>
        <v>14242</v>
      </c>
      <c r="O238" s="839">
        <f>O386 + O483</f>
        <v>17034</v>
      </c>
      <c r="P238" s="839">
        <f>P386 + P483</f>
        <v>14627</v>
      </c>
      <c r="Q238" s="839">
        <f>Q386 + Q483</f>
        <v>17787</v>
      </c>
      <c r="R238" s="839">
        <f>R386 + R483</f>
        <v>15143</v>
      </c>
      <c r="S238" s="839">
        <f>S386 + S483</f>
        <v>16921</v>
      </c>
      <c r="T238" s="839">
        <f>T386 + T483</f>
        <v>13779</v>
      </c>
      <c r="U238" s="839">
        <f>U386 + U483</f>
        <v>17467</v>
      </c>
      <c r="V238" s="839">
        <f>V386 + V483</f>
        <v>16033</v>
      </c>
      <c r="W238" s="839">
        <f>W386 + W483</f>
        <v>20323</v>
      </c>
      <c r="X238" s="839">
        <f>X386 + X483</f>
        <v>14477</v>
      </c>
      <c r="Y238" s="839">
        <f>Y386 + Y483</f>
        <v>18277</v>
      </c>
      <c r="Z238" s="839">
        <f>Z386 + Z483</f>
        <v>25982</v>
      </c>
      <c r="AA238" s="839">
        <f>AA386 + AA483</f>
        <v>22366</v>
      </c>
      <c r="AB238" s="839">
        <f>AB386 + AB483</f>
        <v>23814</v>
      </c>
      <c r="AC238" s="841">
        <f>AC386 + AC483</f>
        <v>17414</v>
      </c>
      <c r="AD238" s="841">
        <f>AD386 + AD483</f>
        <v>16177</v>
      </c>
      <c r="AE238" s="841">
        <f>AE386 + AE483</f>
        <v>21210</v>
      </c>
      <c r="AF238" s="841">
        <f>AF386 + AF483</f>
        <v>22881</v>
      </c>
      <c r="AG238" s="841">
        <f>AG386 + AG483</f>
        <v>16664</v>
      </c>
      <c r="AH238" s="841">
        <f>AH386 + AH483</f>
        <v>24764</v>
      </c>
      <c r="AI238" s="841">
        <f>AI386 + AI483</f>
        <v>20975</v>
      </c>
      <c r="AJ238" s="841">
        <f>AJ386 + AJ483</f>
        <v>18013</v>
      </c>
      <c r="AK238" s="841">
        <f>AK386 + AK483</f>
        <v>16274</v>
      </c>
      <c r="AL238" s="841">
        <f>AL386 + AL483</f>
        <v>19636</v>
      </c>
      <c r="AM238" s="841">
        <f>AM386 + AM483</f>
        <v>37443</v>
      </c>
      <c r="AN238" s="841">
        <f>AN386 + AN483</f>
        <v>17325</v>
      </c>
      <c r="AO238" s="841">
        <f>AO386 + AO483</f>
        <v>18861</v>
      </c>
      <c r="AP238" s="841">
        <f>AP386 + AP483</f>
        <v>17878</v>
      </c>
    </row>
    <row r="239" hidden="1" ht="12.75" customHeight="1">
      <c r="B239" s="842" t="s">
        <v>20</v>
      </c>
      <c r="C239" s="839">
        <f>C387 + C484</f>
        <v>33165</v>
      </c>
      <c r="D239" s="839">
        <f>D387 + D484</f>
        <v>19337</v>
      </c>
      <c r="E239" s="839">
        <f>E387 + E484</f>
        <v>33930</v>
      </c>
      <c r="F239" s="839">
        <f>F387 + F484</f>
        <v>22752</v>
      </c>
      <c r="G239" s="839">
        <f>G387 + G484</f>
        <v>30423</v>
      </c>
      <c r="H239" s="839">
        <f>H387 + H484</f>
        <v>14673</v>
      </c>
      <c r="I239" s="839">
        <f>I387 + I484</f>
        <v>25865</v>
      </c>
      <c r="J239" s="839">
        <f>J387 + J484</f>
        <v>17312</v>
      </c>
      <c r="K239" s="839">
        <f>K387 + K484</f>
        <v>24188</v>
      </c>
      <c r="L239" s="839">
        <f>L387 + L484</f>
        <v>19110</v>
      </c>
      <c r="M239" s="839">
        <f>M387 + M484</f>
        <v>24165</v>
      </c>
      <c r="N239" s="839">
        <f>N387 + N484</f>
        <v>15406</v>
      </c>
      <c r="O239" s="839">
        <f>O387 + O484</f>
        <v>22457</v>
      </c>
      <c r="P239" s="839">
        <f>P387 + P484</f>
        <v>17714</v>
      </c>
      <c r="Q239" s="839">
        <f>Q387 + Q484</f>
        <v>24573</v>
      </c>
      <c r="R239" s="839">
        <f>R387 + R484</f>
        <v>18563</v>
      </c>
      <c r="S239" s="839">
        <f>S387 + S484</f>
        <v>26610</v>
      </c>
      <c r="T239" s="839">
        <f>T387 + T484</f>
        <v>20084</v>
      </c>
      <c r="U239" s="839">
        <f>U387 + U484</f>
        <v>22300</v>
      </c>
      <c r="V239" s="839">
        <f>V387 + V484</f>
        <v>20272</v>
      </c>
      <c r="W239" s="839">
        <f>W387 + W484</f>
        <v>29792</v>
      </c>
      <c r="X239" s="839">
        <f>X387 + X484</f>
        <v>19353</v>
      </c>
      <c r="Y239" s="839">
        <f>Y387 + Y484</f>
        <v>26394</v>
      </c>
      <c r="Z239" s="839">
        <f>Z387 + Z484</f>
        <v>20317</v>
      </c>
      <c r="AA239" s="839">
        <f>AA387 + AA484</f>
        <v>31963</v>
      </c>
      <c r="AB239" s="839">
        <f>AB387 + AB484</f>
        <v>23971</v>
      </c>
      <c r="AC239" s="841">
        <f>AC387 + AC484</f>
        <v>32100</v>
      </c>
      <c r="AD239" s="841">
        <f>AD387 + AD484</f>
        <v>21620</v>
      </c>
      <c r="AE239" s="841">
        <f>AE387 + AE484</f>
        <v>28721</v>
      </c>
      <c r="AF239" s="841">
        <f>AF387 + AF484</f>
        <v>20381</v>
      </c>
      <c r="AG239" s="841">
        <f>AG387 + AG484</f>
        <v>25188</v>
      </c>
      <c r="AH239" s="841">
        <f>AH387 + AH484</f>
        <v>19586</v>
      </c>
      <c r="AI239" s="841">
        <f>AI387 + AI484</f>
        <v>19332</v>
      </c>
      <c r="AJ239" s="841">
        <f>AJ387 + AJ484</f>
        <v>18793</v>
      </c>
      <c r="AK239" s="841">
        <f>AK387 + AK484</f>
        <v>27403</v>
      </c>
      <c r="AL239" s="841">
        <f>AL387 + AL484</f>
        <v>22531</v>
      </c>
      <c r="AM239" s="841">
        <f>AM387 + AM484</f>
        <v>26848</v>
      </c>
      <c r="AN239" s="841">
        <f>AN387 + AN484</f>
        <v>24613</v>
      </c>
      <c r="AO239" s="841">
        <f>AO387 + AO484</f>
        <v>29255</v>
      </c>
      <c r="AP239" s="841">
        <f>AP387 + AP484</f>
        <v>25913</v>
      </c>
    </row>
    <row r="240" hidden="1" ht="12.75" customHeight="1">
      <c r="B240" s="842" t="s">
        <v>21</v>
      </c>
      <c r="C240" s="839">
        <f>C388 + C485</f>
        <v>15283</v>
      </c>
      <c r="D240" s="839">
        <f>D388 + D485</f>
        <v>12615</v>
      </c>
      <c r="E240" s="839">
        <f>E388 + E485</f>
        <v>17448</v>
      </c>
      <c r="F240" s="839">
        <f>F388 + F485</f>
        <v>15086</v>
      </c>
      <c r="G240" s="839">
        <f>G388 + G485</f>
        <v>19408</v>
      </c>
      <c r="H240" s="839">
        <f>H388 + H485</f>
        <v>14927</v>
      </c>
      <c r="I240" s="839">
        <f>I388 + I485</f>
        <v>20013</v>
      </c>
      <c r="J240" s="839">
        <f>J388 + J485</f>
        <v>15232</v>
      </c>
      <c r="K240" s="839">
        <f>K388 + K485</f>
        <v>18639</v>
      </c>
      <c r="L240" s="839">
        <f>L388 + L485</f>
        <v>14284</v>
      </c>
      <c r="M240" s="839">
        <f>M388 + M485</f>
        <v>19119</v>
      </c>
      <c r="N240" s="839">
        <f>N388 + N485</f>
        <v>14633</v>
      </c>
      <c r="O240" s="839">
        <f>O388 + O485</f>
        <v>19173</v>
      </c>
      <c r="P240" s="839">
        <f>P388 + P485</f>
        <v>14869</v>
      </c>
      <c r="Q240" s="839">
        <f>Q388 + Q485</f>
        <v>18404</v>
      </c>
      <c r="R240" s="839">
        <f>R388 + R485</f>
        <v>14727</v>
      </c>
      <c r="S240" s="839">
        <f>S388 + S485</f>
        <v>18987</v>
      </c>
      <c r="T240" s="839">
        <f>T388 + T485</f>
        <v>16051</v>
      </c>
      <c r="U240" s="839">
        <f>U388 + U485</f>
        <v>19652</v>
      </c>
      <c r="V240" s="839">
        <f>V388 + V485</f>
        <v>16536</v>
      </c>
      <c r="W240" s="839">
        <f>W388 + W485</f>
        <v>19466</v>
      </c>
      <c r="X240" s="839">
        <f>X388 + X485</f>
        <v>16978</v>
      </c>
      <c r="Y240" s="839">
        <f>Y388 + Y485</f>
        <v>20639</v>
      </c>
      <c r="Z240" s="839">
        <f>Z388 + Z485</f>
        <v>19614</v>
      </c>
      <c r="AA240" s="839">
        <f>AA388 + AA485</f>
        <v>22406</v>
      </c>
      <c r="AB240" s="839">
        <f>AB388 + AB485</f>
        <v>17735</v>
      </c>
      <c r="AC240" s="841">
        <f>AC388 + AC485</f>
        <v>21941</v>
      </c>
      <c r="AD240" s="841">
        <f>AD388 + AD485</f>
        <v>17818</v>
      </c>
      <c r="AE240" s="841">
        <f>AE388 + AE485</f>
        <v>20715</v>
      </c>
      <c r="AF240" s="841">
        <f>AF388 + AF485</f>
        <v>17999</v>
      </c>
      <c r="AG240" s="841">
        <f>AG388 + AG485</f>
        <v>22139</v>
      </c>
      <c r="AH240" s="841">
        <f>AH388 + AH485</f>
        <v>19109</v>
      </c>
      <c r="AI240" s="841">
        <f>AI388 + AI485</f>
        <v>20704</v>
      </c>
      <c r="AJ240" s="841">
        <f>AJ388 + AJ485</f>
        <v>17848</v>
      </c>
      <c r="AK240" s="841">
        <f>AK388 + AK485</f>
        <v>22551</v>
      </c>
      <c r="AL240" s="841">
        <f>AL388 + AL485</f>
        <v>19129</v>
      </c>
      <c r="AM240" s="841">
        <f>AM388 + AM485</f>
        <v>21198</v>
      </c>
      <c r="AN240" s="841">
        <f>AN388 + AN485</f>
        <v>20551</v>
      </c>
      <c r="AO240" s="841">
        <f>AO388 + AO485</f>
        <v>22400</v>
      </c>
      <c r="AP240" s="841">
        <f>AP388 + AP485</f>
        <v>21988</v>
      </c>
    </row>
    <row r="241" hidden="1" ht="12.75" customHeight="1">
      <c r="B241" s="842" t="s">
        <v>22</v>
      </c>
      <c r="C241" s="839">
        <f>C389 + C486</f>
        <v>20692</v>
      </c>
      <c r="D241" s="839">
        <f>D389 + D486</f>
        <v>16705</v>
      </c>
      <c r="E241" s="839">
        <f>E389 + E486</f>
        <v>20527</v>
      </c>
      <c r="F241" s="839">
        <f>F389 + F486</f>
        <v>19746</v>
      </c>
      <c r="G241" s="839">
        <f>G389 + G486</f>
        <v>29012</v>
      </c>
      <c r="H241" s="839">
        <f>H389 + H486</f>
        <v>34514</v>
      </c>
      <c r="I241" s="839">
        <f>I389 + I486</f>
        <v>26447</v>
      </c>
      <c r="J241" s="839">
        <f>J389 + J486</f>
        <v>19505</v>
      </c>
      <c r="K241" s="839">
        <f>K389 + K486</f>
        <v>24935</v>
      </c>
      <c r="L241" s="839">
        <f>L389 + L486</f>
        <v>19658</v>
      </c>
      <c r="M241" s="839">
        <f>M389 + M486</f>
        <v>21270</v>
      </c>
      <c r="N241" s="839">
        <f>N389 + N486</f>
        <v>18061</v>
      </c>
      <c r="O241" s="839">
        <f>O389 + O486</f>
        <v>22223</v>
      </c>
      <c r="P241" s="839">
        <f>P389 + P486</f>
        <v>18168</v>
      </c>
      <c r="Q241" s="839">
        <f>Q389 + Q486</f>
        <v>19985</v>
      </c>
      <c r="R241" s="839">
        <f>R389 + R486</f>
        <v>16761</v>
      </c>
      <c r="S241" s="839">
        <f>S389 + S486</f>
        <v>20014</v>
      </c>
      <c r="T241" s="839">
        <f>T389 + T486</f>
        <v>16764</v>
      </c>
      <c r="U241" s="839">
        <f>U389 + U486</f>
        <v>21354</v>
      </c>
      <c r="V241" s="839">
        <f>V389 + V486</f>
        <v>20734</v>
      </c>
      <c r="W241" s="839">
        <f>W389 + W486</f>
        <v>21661</v>
      </c>
      <c r="X241" s="839">
        <f>X389 + X486</f>
        <v>17241</v>
      </c>
      <c r="Y241" s="839">
        <f>Y389 + Y486</f>
        <v>20362</v>
      </c>
      <c r="Z241" s="839">
        <f>Z389 + Z486</f>
        <v>17894</v>
      </c>
      <c r="AA241" s="839">
        <f>AA389 + AA486</f>
        <v>20295</v>
      </c>
      <c r="AB241" s="839">
        <f>AB389 + AB486</f>
        <v>17275</v>
      </c>
      <c r="AC241" s="841">
        <f>AC389 + AC486</f>
        <v>20050</v>
      </c>
      <c r="AD241" s="841">
        <f>AD389 + AD486</f>
        <v>17802</v>
      </c>
      <c r="AE241" s="841">
        <f>AE389 + AE486</f>
        <v>20946</v>
      </c>
      <c r="AF241" s="841">
        <f>AF389 + AF486</f>
        <v>19296</v>
      </c>
      <c r="AG241" s="841">
        <f>AG389 + AG486</f>
        <v>20595</v>
      </c>
      <c r="AH241" s="841">
        <f>AH389 + AH486</f>
        <v>17175</v>
      </c>
      <c r="AI241" s="841">
        <f>AI389 + AI486</f>
        <v>18567</v>
      </c>
      <c r="AJ241" s="841">
        <f>AJ389 + AJ486</f>
        <v>15661</v>
      </c>
      <c r="AK241" s="841">
        <f>AK389 + AK486</f>
        <v>18546</v>
      </c>
      <c r="AL241" s="841">
        <f>AL389 + AL486</f>
        <v>15964</v>
      </c>
      <c r="AM241" s="841">
        <f>AM389 + AM486</f>
        <v>18197</v>
      </c>
      <c r="AN241" s="841">
        <f>AN389 + AN486</f>
        <v>14780</v>
      </c>
      <c r="AO241" s="841">
        <f>AO389 + AO486</f>
        <v>17356</v>
      </c>
      <c r="AP241" s="841">
        <f>AP389 + AP486</f>
        <v>15817</v>
      </c>
    </row>
    <row r="242" hidden="1" ht="12.75" customHeight="1">
      <c r="B242" s="842" t="s">
        <v>23</v>
      </c>
      <c r="C242" s="839">
        <f>C390 + C487</f>
        <v>5816</v>
      </c>
      <c r="D242" s="839">
        <f>D390 + D487</f>
        <v>3751</v>
      </c>
      <c r="E242" s="839">
        <f>E390 + E487</f>
        <v>6629</v>
      </c>
      <c r="F242" s="839">
        <f>F390 + F487</f>
        <v>4574</v>
      </c>
      <c r="G242" s="839">
        <f>G390 + G487</f>
        <v>6322</v>
      </c>
      <c r="H242" s="839">
        <f>H390 + H487</f>
        <v>4584</v>
      </c>
      <c r="I242" s="839">
        <f>I390 + I487</f>
        <v>6895</v>
      </c>
      <c r="J242" s="839">
        <f>J390 + J487</f>
        <v>4570</v>
      </c>
      <c r="K242" s="839">
        <f>K390 + K487</f>
        <v>5967</v>
      </c>
      <c r="L242" s="839">
        <f>L390 + L487</f>
        <v>4213</v>
      </c>
      <c r="M242" s="839">
        <f>M390 + M487</f>
        <v>5188</v>
      </c>
      <c r="N242" s="839">
        <f>N390 + N487</f>
        <v>3672</v>
      </c>
      <c r="O242" s="839">
        <f>O390 + O487</f>
        <v>5044</v>
      </c>
      <c r="P242" s="839">
        <f>P390 + P487</f>
        <v>3650</v>
      </c>
      <c r="Q242" s="839">
        <f>Q390 + Q487</f>
        <v>4919</v>
      </c>
      <c r="R242" s="839">
        <f>R390 + R487</f>
        <v>3820</v>
      </c>
      <c r="S242" s="839">
        <f>S390 + S487</f>
        <v>4587</v>
      </c>
      <c r="T242" s="839">
        <f>T390 + T487</f>
        <v>3746</v>
      </c>
      <c r="U242" s="839">
        <f>U390 + U487</f>
        <v>4973</v>
      </c>
      <c r="V242" s="839">
        <f>V390 + V487</f>
        <v>4214</v>
      </c>
      <c r="W242" s="839">
        <f>W390 + W487</f>
        <v>5318</v>
      </c>
      <c r="X242" s="839">
        <f>X390 + X487</f>
        <v>4153</v>
      </c>
      <c r="Y242" s="839">
        <f>Y390 + Y487</f>
        <v>4905</v>
      </c>
      <c r="Z242" s="839">
        <f>Z390 + Z487</f>
        <v>4273</v>
      </c>
      <c r="AA242" s="839">
        <f>AA390 + AA487</f>
        <v>6135</v>
      </c>
      <c r="AB242" s="839">
        <f>AB390 + AB487</f>
        <v>5606</v>
      </c>
      <c r="AC242" s="841">
        <f>AC390 + AC487</f>
        <v>5596</v>
      </c>
      <c r="AD242" s="841">
        <f>AD390 + AD487</f>
        <v>4783</v>
      </c>
      <c r="AE242" s="841">
        <f>AE390 + AE487</f>
        <v>5726</v>
      </c>
      <c r="AF242" s="841">
        <f>AF390 + AF487</f>
        <v>4313</v>
      </c>
      <c r="AG242" s="841">
        <f>AG390 + AG487</f>
        <v>5514</v>
      </c>
      <c r="AH242" s="841">
        <f>AH390 + AH487</f>
        <v>4397</v>
      </c>
      <c r="AI242" s="841">
        <f>AI390 + AI487</f>
        <v>4778</v>
      </c>
      <c r="AJ242" s="841">
        <f>AJ390 + AJ487</f>
        <v>3425</v>
      </c>
      <c r="AK242" s="841">
        <f>AK390 + AK487</f>
        <v>4972</v>
      </c>
      <c r="AL242" s="841">
        <f>AL390 + AL487</f>
        <v>4390</v>
      </c>
      <c r="AM242" s="841">
        <f>AM390 + AM487</f>
        <v>5406</v>
      </c>
      <c r="AN242" s="841">
        <f>AN390 + AN487</f>
        <v>4416</v>
      </c>
      <c r="AO242" s="841">
        <f>AO390 + AO487</f>
        <v>5424</v>
      </c>
      <c r="AP242" s="841">
        <f>AP390 + AP487</f>
        <v>5571</v>
      </c>
    </row>
    <row r="243" hidden="1" ht="12.75" customHeight="1">
      <c r="B243" s="843" t="s">
        <v>24</v>
      </c>
      <c r="C243" s="839">
        <f>C391 + C488</f>
        <v>17684</v>
      </c>
      <c r="D243" s="839">
        <f>D391 + D488</f>
        <v>12116</v>
      </c>
      <c r="E243" s="839">
        <f>E391 + E488</f>
        <v>15915</v>
      </c>
      <c r="F243" s="839">
        <f>F391 + F488</f>
        <v>16411</v>
      </c>
      <c r="G243" s="839">
        <f>G391 + G488</f>
        <v>14305</v>
      </c>
      <c r="H243" s="839">
        <f>H391 + H488</f>
        <v>8016</v>
      </c>
      <c r="I243" s="839">
        <f>I391 + I488</f>
        <v>12727</v>
      </c>
      <c r="J243" s="839">
        <f>J391 + J488</f>
        <v>8819</v>
      </c>
      <c r="K243" s="839">
        <f>K391 + K488</f>
        <v>12186</v>
      </c>
      <c r="L243" s="839">
        <f>L391 + L488</f>
        <v>8576</v>
      </c>
      <c r="M243" s="839">
        <f>M391 + M488</f>
        <v>11584</v>
      </c>
      <c r="N243" s="839">
        <f>N391 + N488</f>
        <v>6854</v>
      </c>
      <c r="O243" s="839">
        <f>O391 + O488</f>
        <v>9351</v>
      </c>
      <c r="P243" s="839">
        <f>P391 + P488</f>
        <v>7148</v>
      </c>
      <c r="Q243" s="839">
        <f>Q391 + Q488</f>
        <v>8323</v>
      </c>
      <c r="R243" s="839">
        <f>R391 + R488</f>
        <v>6458</v>
      </c>
      <c r="S243" s="839">
        <f>S391 + S488</f>
        <v>8241</v>
      </c>
      <c r="T243" s="839">
        <f>T391 + T488</f>
        <v>6992</v>
      </c>
      <c r="U243" s="839">
        <f>U391 + U488</f>
        <v>10388</v>
      </c>
      <c r="V243" s="839">
        <f>V391 + V488</f>
        <v>8080</v>
      </c>
      <c r="W243" s="839">
        <f>W391 + W488</f>
        <v>10311</v>
      </c>
      <c r="X243" s="839">
        <f>X391 + X488</f>
        <v>8613</v>
      </c>
      <c r="Y243" s="839">
        <f>Y391 + Y488</f>
        <v>11286</v>
      </c>
      <c r="Z243" s="839">
        <f>Z391 + Z488</f>
        <v>8908</v>
      </c>
      <c r="AA243" s="839">
        <f>AA391 + AA488</f>
        <v>10339</v>
      </c>
      <c r="AB243" s="839">
        <f>AB391 + AB488</f>
        <v>10579</v>
      </c>
      <c r="AC243" s="841">
        <f>AC391 + AC488</f>
        <v>12751</v>
      </c>
      <c r="AD243" s="841">
        <f>AD391 + AD488</f>
        <v>9867</v>
      </c>
      <c r="AE243" s="841">
        <f>AE391 + AE488</f>
        <v>12525</v>
      </c>
      <c r="AF243" s="841">
        <f>AF391 + AF488</f>
        <v>10198</v>
      </c>
      <c r="AG243" s="841">
        <f>AG391 + AG488</f>
        <v>11803</v>
      </c>
      <c r="AH243" s="841">
        <f>AH391 + AH488</f>
        <v>10024</v>
      </c>
      <c r="AI243" s="841">
        <f>AI391 + AI488</f>
        <v>10912</v>
      </c>
      <c r="AJ243" s="841">
        <f>AJ391 + AJ488</f>
        <v>10393</v>
      </c>
      <c r="AK243" s="841">
        <f>AK391 + AK488</f>
        <v>11514</v>
      </c>
      <c r="AL243" s="841">
        <f>AL391 + AL488</f>
        <v>10930</v>
      </c>
      <c r="AM243" s="841">
        <f>AM391 + AM488</f>
        <v>12899</v>
      </c>
      <c r="AN243" s="841">
        <f>AN391 + AN488</f>
        <v>12571</v>
      </c>
      <c r="AO243" s="841">
        <f>AO391 + AO488</f>
        <v>14884</v>
      </c>
      <c r="AP243" s="841">
        <f>AP391 + AP488</f>
        <v>12199</v>
      </c>
    </row>
    <row r="244" hidden="1" ht="12.75" customHeight="1">
      <c r="B244" s="842" t="s">
        <v>25</v>
      </c>
      <c r="C244" s="839">
        <f>C392 + C489</f>
        <v>0</v>
      </c>
      <c r="D244" s="839">
        <f>D392 + D489</f>
        <v>0</v>
      </c>
      <c r="E244" s="839">
        <f>E392 + E489</f>
        <v>0</v>
      </c>
      <c r="F244" s="839">
        <f>F392 + F489</f>
        <v>0</v>
      </c>
      <c r="G244" s="839">
        <f>G392 + G489</f>
        <v>0</v>
      </c>
      <c r="H244" s="839">
        <f>H392 + H489</f>
        <v>0</v>
      </c>
      <c r="I244" s="839">
        <f>I392 + I489</f>
        <v>0</v>
      </c>
      <c r="J244" s="839">
        <f>J392 + J489</f>
        <v>0</v>
      </c>
      <c r="K244" s="839">
        <f>K392 + K489</f>
        <v>0</v>
      </c>
      <c r="L244" s="839">
        <f>L392 + L489</f>
        <v>0</v>
      </c>
      <c r="M244" s="839">
        <f>M392 + M489</f>
        <v>0</v>
      </c>
      <c r="N244" s="839">
        <f>N392 + N489</f>
        <v>0</v>
      </c>
      <c r="O244" s="839">
        <f>O392 + O489</f>
        <v>0</v>
      </c>
      <c r="P244" s="839">
        <f>P392 + P489</f>
        <v>0</v>
      </c>
      <c r="Q244" s="839">
        <f>Q392 + Q489</f>
        <v>0</v>
      </c>
      <c r="R244" s="839">
        <f>R392 + R489</f>
        <v>0</v>
      </c>
      <c r="S244" s="839">
        <f>S392 + S489</f>
        <v>0</v>
      </c>
      <c r="T244" s="839">
        <f>T392 + T489</f>
        <v>0</v>
      </c>
      <c r="U244" s="839">
        <f>U392 + U489</f>
        <v>0</v>
      </c>
      <c r="V244" s="839">
        <f>V392 + V489</f>
        <v>0</v>
      </c>
      <c r="W244" s="839">
        <f>W392 + W489</f>
        <v>0</v>
      </c>
      <c r="X244" s="839">
        <f>X392 + X489</f>
        <v>0</v>
      </c>
      <c r="Y244" s="839">
        <f>Y392 + Y489</f>
        <v>0</v>
      </c>
      <c r="Z244" s="839">
        <f>Z392 + Z489</f>
        <v>0</v>
      </c>
      <c r="AA244" s="839">
        <f>AA392 + AA489</f>
        <v>0</v>
      </c>
      <c r="AB244" s="839">
        <f>AB392 + AB489</f>
        <v>0</v>
      </c>
      <c r="AC244" s="841">
        <f>AC392 + AC489</f>
        <v>0</v>
      </c>
      <c r="AD244" s="841">
        <f>AD392 + AD489</f>
        <v>0</v>
      </c>
      <c r="AE244" s="841">
        <f>AE392 + AE489</f>
        <v>0</v>
      </c>
      <c r="AF244" s="841">
        <f>AF392 + AF489</f>
        <v>0</v>
      </c>
      <c r="AG244" s="841">
        <f>AG392 + AG489</f>
        <v>0</v>
      </c>
      <c r="AH244" s="841">
        <f>AH392 + AH489</f>
        <v>0</v>
      </c>
      <c r="AI244" s="841">
        <f>AI392 + AI489</f>
        <v>0</v>
      </c>
      <c r="AJ244" s="841">
        <f>AJ392 + AJ489</f>
        <v>0</v>
      </c>
      <c r="AK244" s="841">
        <f>AK392 + AK489</f>
        <v>0</v>
      </c>
      <c r="AL244" s="841">
        <f>AL392 + AL489</f>
        <v>0</v>
      </c>
      <c r="AM244" s="841">
        <f>AM392 + AM489</f>
        <v>0</v>
      </c>
      <c r="AN244" s="841">
        <f>AN392 + AN489</f>
        <v>0</v>
      </c>
      <c r="AO244" s="841">
        <f>AO392 + AO489</f>
        <v>0</v>
      </c>
      <c r="AP244" s="841">
        <f>AP392 + AP489</f>
        <v>0</v>
      </c>
    </row>
    <row r="245" hidden="1" ht="13.5" customHeight="1">
      <c r="B245" s="844" t="s">
        <v>26</v>
      </c>
      <c r="C245" s="839">
        <f>C393 + C490</f>
        <v>0</v>
      </c>
      <c r="D245" s="839">
        <f>D393 + D490</f>
        <v>0</v>
      </c>
      <c r="E245" s="839">
        <f>E393 + E490</f>
        <v>0</v>
      </c>
      <c r="F245" s="839">
        <f>F393 + F490</f>
        <v>0</v>
      </c>
      <c r="G245" s="839">
        <f>G393 + G490</f>
        <v>0</v>
      </c>
      <c r="H245" s="839">
        <f>H393 + H490</f>
        <v>0</v>
      </c>
      <c r="I245" s="839">
        <f>I393 + I490</f>
        <v>0</v>
      </c>
      <c r="J245" s="839">
        <f>J393 + J490</f>
        <v>0</v>
      </c>
      <c r="K245" s="839">
        <f>K393 + K490</f>
        <v>0</v>
      </c>
      <c r="L245" s="839">
        <f>L393 + L490</f>
        <v>0</v>
      </c>
      <c r="M245" s="839">
        <f>M393 + M490</f>
        <v>0</v>
      </c>
      <c r="N245" s="839">
        <f>N393 + N490</f>
        <v>0</v>
      </c>
      <c r="O245" s="839">
        <f>O393 + O490</f>
        <v>0</v>
      </c>
      <c r="P245" s="839">
        <f>P393 + P490</f>
        <v>0</v>
      </c>
      <c r="Q245" s="839">
        <f>Q393 + Q490</f>
        <v>0</v>
      </c>
      <c r="R245" s="839">
        <f>R393 + R490</f>
        <v>0</v>
      </c>
      <c r="S245" s="839">
        <f>S393 + S490</f>
        <v>0</v>
      </c>
      <c r="T245" s="839">
        <f>T393 + T490</f>
        <v>0</v>
      </c>
      <c r="U245" s="839">
        <f>U393 + U490</f>
        <v>0</v>
      </c>
      <c r="V245" s="839">
        <f>V393 + V490</f>
        <v>0</v>
      </c>
      <c r="W245" s="839">
        <f>W393 + W490</f>
        <v>0</v>
      </c>
      <c r="X245" s="839">
        <f>X393 + X490</f>
        <v>0</v>
      </c>
      <c r="Y245" s="839">
        <f>Y393 + Y490</f>
        <v>0</v>
      </c>
      <c r="Z245" s="839">
        <f>Z393 + Z490</f>
        <v>0</v>
      </c>
      <c r="AA245" s="839">
        <f>AA393 + AA490</f>
        <v>0</v>
      </c>
      <c r="AB245" s="845">
        <f>AB393 + AB490</f>
        <v>0</v>
      </c>
      <c r="AC245" s="841">
        <f>AC393 + AC490</f>
        <v>0</v>
      </c>
      <c r="AD245" s="841">
        <f>AD393 + AD490</f>
        <v>0</v>
      </c>
      <c r="AE245" s="841">
        <f>AE393 + AE490</f>
        <v>0</v>
      </c>
      <c r="AF245" s="841">
        <f>AF393 + AF490</f>
        <v>0</v>
      </c>
      <c r="AG245" s="841">
        <f>AG393 + AG490</f>
        <v>0</v>
      </c>
      <c r="AH245" s="841">
        <f>AH393 + AH490</f>
        <v>0</v>
      </c>
      <c r="AI245" s="841">
        <f>AI393 + AI490</f>
        <v>0</v>
      </c>
      <c r="AJ245" s="841">
        <f>AJ393 + AJ490</f>
        <v>0</v>
      </c>
      <c r="AK245" s="841">
        <f>AK393 + AK490</f>
        <v>0</v>
      </c>
      <c r="AL245" s="841">
        <f>AL393 + AL490</f>
        <v>0</v>
      </c>
      <c r="AM245" s="841">
        <f>AM393 + AM490</f>
        <v>55</v>
      </c>
      <c r="AN245" s="841">
        <f>AN393 + AN490</f>
        <v>37</v>
      </c>
      <c r="AO245" s="841">
        <f>AO393 + AO490</f>
        <v>50</v>
      </c>
      <c r="AP245" s="841">
        <f>AP393 + AP490</f>
        <v>82</v>
      </c>
    </row>
    <row r="246" hidden="1" ht="13.5" customHeight="1">
      <c r="B246" s="128" t="s">
        <v>7</v>
      </c>
      <c r="C246" s="129" t="str">
        <f>IF(SUM(C227:C245)&lt;&gt;0,SUM(C227:C245),"")</f>
      </c>
      <c r="D246" s="129" t="str">
        <f ref="D246:AA246" t="shared" si="10">IF(SUM(D227:D245)&lt;&gt;0,SUM(D227:D245),"")</f>
      </c>
      <c r="E246" s="129" t="str">
        <f t="shared" si="10"/>
      </c>
      <c r="F246" s="129" t="str">
        <f t="shared" si="10"/>
      </c>
      <c r="G246" s="129" t="str">
        <f t="shared" si="10"/>
      </c>
      <c r="H246" s="129" t="str">
        <f t="shared" si="10"/>
      </c>
      <c r="I246" s="129" t="str">
        <f t="shared" si="10"/>
      </c>
      <c r="J246" s="129" t="str">
        <f t="shared" si="10"/>
      </c>
      <c r="K246" s="129" t="str">
        <f t="shared" si="10"/>
      </c>
      <c r="L246" s="129" t="str">
        <f t="shared" si="10"/>
      </c>
      <c r="M246" s="129" t="str">
        <f t="shared" si="10"/>
      </c>
      <c r="N246" s="129" t="str">
        <f t="shared" si="10"/>
      </c>
      <c r="O246" s="129" t="str">
        <f t="shared" si="10"/>
      </c>
      <c r="P246" s="129" t="str">
        <f t="shared" si="10"/>
      </c>
      <c r="Q246" s="129" t="str">
        <f t="shared" si="10"/>
      </c>
      <c r="R246" s="129" t="str">
        <f t="shared" si="10"/>
      </c>
      <c r="S246" s="129" t="str">
        <f t="shared" si="10"/>
      </c>
      <c r="T246" s="129" t="str">
        <f t="shared" si="10"/>
      </c>
      <c r="U246" s="129" t="str">
        <f t="shared" si="10"/>
      </c>
      <c r="V246" s="129" t="str">
        <f t="shared" si="10"/>
      </c>
      <c r="W246" s="129" t="str">
        <f t="shared" si="10"/>
      </c>
      <c r="X246" s="129" t="str">
        <f t="shared" si="10"/>
      </c>
      <c r="Y246" s="129" t="str">
        <f t="shared" si="10"/>
      </c>
      <c r="Z246" s="129" t="str">
        <f t="shared" si="10"/>
      </c>
      <c r="AA246" s="129" t="str">
        <f t="shared" si="10"/>
      </c>
      <c r="AB246" s="130" t="str">
        <f>IF(SUM(AB227:AB245)&lt;&gt;0,SUM(AB227:AB245),"")</f>
      </c>
      <c r="AC246" s="91" t="str">
        <f ref="AC246:CN246" t="shared" si="11">IF(SUM(AC227:AC245)&lt;&gt;0,SUM(AC227:AC245),"")</f>
      </c>
      <c r="AD246" s="91" t="str">
        <f t="shared" si="11"/>
      </c>
      <c r="AE246" s="91" t="str">
        <f t="shared" si="11"/>
      </c>
      <c r="AF246" s="91" t="str">
        <f t="shared" si="11"/>
      </c>
      <c r="AG246" s="91" t="str">
        <f t="shared" si="11"/>
      </c>
      <c r="AH246" s="91" t="str">
        <f t="shared" si="11"/>
      </c>
      <c r="AI246" s="91" t="str">
        <f t="shared" si="11"/>
      </c>
      <c r="AJ246" s="91" t="str">
        <f t="shared" si="11"/>
      </c>
      <c r="AK246" s="91" t="str">
        <f t="shared" si="11"/>
      </c>
      <c r="AL246" s="91" t="str">
        <f t="shared" si="11"/>
      </c>
      <c r="AM246" s="91" t="str">
        <f t="shared" si="11"/>
      </c>
      <c r="AN246" s="91" t="str">
        <f t="shared" si="11"/>
      </c>
      <c r="AO246" s="91" t="str">
        <f t="shared" si="11"/>
      </c>
      <c r="AP246" s="91" t="str">
        <f t="shared" si="11"/>
      </c>
      <c r="AQ246" s="91" t="str">
        <f t="shared" si="11"/>
      </c>
      <c r="AR246" s="91" t="str">
        <f t="shared" si="11"/>
      </c>
      <c r="AS246" s="91" t="str">
        <f t="shared" si="11"/>
      </c>
      <c r="AT246" s="91" t="str">
        <f t="shared" si="11"/>
      </c>
      <c r="AU246" s="91" t="str">
        <f t="shared" si="11"/>
      </c>
      <c r="AV246" s="91" t="str">
        <f t="shared" si="11"/>
      </c>
      <c r="AW246" s="91" t="str">
        <f t="shared" si="11"/>
      </c>
      <c r="AX246" s="91" t="str">
        <f t="shared" si="11"/>
      </c>
      <c r="AY246" s="91" t="str">
        <f t="shared" si="11"/>
      </c>
      <c r="AZ246" s="91" t="str">
        <f t="shared" si="11"/>
      </c>
      <c r="BA246" s="91" t="str">
        <f t="shared" si="11"/>
      </c>
      <c r="BB246" s="91" t="str">
        <f t="shared" si="11"/>
      </c>
      <c r="BC246" s="91" t="str">
        <f t="shared" si="11"/>
      </c>
      <c r="BD246" s="91" t="str">
        <f t="shared" si="11"/>
      </c>
      <c r="BE246" s="91" t="str">
        <f t="shared" si="11"/>
      </c>
      <c r="BF246" s="91" t="str">
        <f t="shared" si="11"/>
      </c>
      <c r="BG246" s="91" t="str">
        <f t="shared" si="11"/>
      </c>
      <c r="BH246" s="91" t="str">
        <f t="shared" si="11"/>
      </c>
      <c r="BI246" s="91" t="str">
        <f t="shared" si="11"/>
      </c>
      <c r="BJ246" s="91" t="str">
        <f t="shared" si="11"/>
      </c>
      <c r="BK246" s="91" t="str">
        <f t="shared" si="11"/>
      </c>
      <c r="BL246" s="91" t="str">
        <f t="shared" si="11"/>
      </c>
      <c r="BM246" s="91" t="str">
        <f t="shared" si="11"/>
      </c>
      <c r="BN246" s="91" t="str">
        <f t="shared" si="11"/>
      </c>
      <c r="BO246" s="91" t="str">
        <f t="shared" si="11"/>
      </c>
      <c r="BP246" s="91" t="str">
        <f t="shared" si="11"/>
      </c>
      <c r="BQ246" s="91" t="str">
        <f t="shared" si="11"/>
      </c>
      <c r="BR246" s="91" t="str">
        <f t="shared" si="11"/>
      </c>
      <c r="BS246" s="91" t="str">
        <f t="shared" si="11"/>
      </c>
      <c r="BT246" s="91" t="str">
        <f t="shared" si="11"/>
      </c>
      <c r="BU246" s="91" t="str">
        <f t="shared" si="11"/>
      </c>
      <c r="BV246" s="91" t="str">
        <f t="shared" si="11"/>
      </c>
      <c r="BW246" s="91" t="str">
        <f t="shared" si="11"/>
      </c>
      <c r="BX246" s="91" t="str">
        <f t="shared" si="11"/>
      </c>
      <c r="BY246" s="91" t="str">
        <f t="shared" si="11"/>
      </c>
      <c r="BZ246" s="91" t="str">
        <f t="shared" si="11"/>
      </c>
      <c r="CA246" s="91" t="str">
        <f t="shared" si="11"/>
      </c>
      <c r="CB246" s="91" t="str">
        <f t="shared" si="11"/>
      </c>
      <c r="CC246" s="91" t="str">
        <f t="shared" si="11"/>
      </c>
      <c r="CD246" s="91" t="str">
        <f t="shared" si="11"/>
      </c>
      <c r="CE246" s="91" t="str">
        <f t="shared" si="11"/>
      </c>
      <c r="CF246" s="91" t="str">
        <f t="shared" si="11"/>
      </c>
      <c r="CG246" s="91" t="str">
        <f t="shared" si="11"/>
      </c>
      <c r="CH246" s="91" t="str">
        <f t="shared" si="11"/>
      </c>
      <c r="CI246" s="91" t="str">
        <f t="shared" si="11"/>
      </c>
      <c r="CJ246" s="91" t="str">
        <f t="shared" si="11"/>
      </c>
      <c r="CK246" s="91" t="str">
        <f t="shared" si="11"/>
      </c>
      <c r="CL246" s="91" t="str">
        <f t="shared" si="11"/>
      </c>
      <c r="CM246" s="91" t="str">
        <f t="shared" si="11"/>
      </c>
      <c r="CN246" s="91" t="str">
        <f t="shared" si="11"/>
      </c>
      <c r="CO246" s="91" t="str">
        <f ref="CO246:EZ246" t="shared" si="12">IF(SUM(CO227:CO245)&lt;&gt;0,SUM(CO227:CO245),"")</f>
      </c>
      <c r="CP246" s="91" t="str">
        <f t="shared" si="12"/>
      </c>
      <c r="CQ246" s="91" t="str">
        <f t="shared" si="12"/>
      </c>
      <c r="CR246" s="91" t="str">
        <f t="shared" si="12"/>
      </c>
      <c r="CS246" s="91" t="str">
        <f t="shared" si="12"/>
      </c>
      <c r="CT246" s="91" t="str">
        <f t="shared" si="12"/>
      </c>
      <c r="CU246" s="91" t="str">
        <f t="shared" si="12"/>
      </c>
      <c r="CV246" s="91" t="str">
        <f t="shared" si="12"/>
      </c>
      <c r="CW246" s="91" t="str">
        <f t="shared" si="12"/>
      </c>
      <c r="CX246" s="91" t="str">
        <f t="shared" si="12"/>
      </c>
      <c r="CY246" s="91" t="str">
        <f t="shared" si="12"/>
      </c>
      <c r="CZ246" s="91" t="str">
        <f t="shared" si="12"/>
      </c>
      <c r="DA246" s="91" t="str">
        <f t="shared" si="12"/>
      </c>
      <c r="DB246" s="91" t="str">
        <f t="shared" si="12"/>
      </c>
      <c r="DC246" s="91" t="str">
        <f t="shared" si="12"/>
      </c>
      <c r="DD246" s="91" t="str">
        <f t="shared" si="12"/>
      </c>
      <c r="DE246" s="91" t="str">
        <f t="shared" si="12"/>
      </c>
      <c r="DF246" s="91" t="str">
        <f t="shared" si="12"/>
      </c>
      <c r="DG246" s="91" t="str">
        <f t="shared" si="12"/>
      </c>
      <c r="DH246" s="91" t="str">
        <f t="shared" si="12"/>
      </c>
      <c r="DI246" s="91" t="str">
        <f t="shared" si="12"/>
      </c>
      <c r="DJ246" s="91" t="str">
        <f t="shared" si="12"/>
      </c>
      <c r="DK246" s="91" t="str">
        <f t="shared" si="12"/>
      </c>
      <c r="DL246" s="91" t="str">
        <f t="shared" si="12"/>
      </c>
      <c r="DM246" s="91" t="str">
        <f t="shared" si="12"/>
      </c>
      <c r="DN246" s="91" t="str">
        <f t="shared" si="12"/>
      </c>
      <c r="DO246" s="91" t="str">
        <f t="shared" si="12"/>
      </c>
      <c r="DP246" s="91" t="str">
        <f t="shared" si="12"/>
      </c>
      <c r="DQ246" s="91" t="str">
        <f t="shared" si="12"/>
      </c>
      <c r="DR246" s="91" t="str">
        <f t="shared" si="12"/>
      </c>
      <c r="DS246" s="91" t="str">
        <f t="shared" si="12"/>
      </c>
      <c r="DT246" s="91" t="str">
        <f t="shared" si="12"/>
      </c>
      <c r="DU246" s="91" t="str">
        <f t="shared" si="12"/>
      </c>
      <c r="DV246" s="91" t="str">
        <f t="shared" si="12"/>
      </c>
      <c r="DW246" s="91" t="str">
        <f t="shared" si="12"/>
      </c>
      <c r="DX246" s="91" t="str">
        <f t="shared" si="12"/>
      </c>
      <c r="DY246" s="91" t="str">
        <f t="shared" si="12"/>
      </c>
      <c r="DZ246" s="91" t="str">
        <f t="shared" si="12"/>
      </c>
      <c r="EA246" s="91" t="str">
        <f t="shared" si="12"/>
      </c>
      <c r="EB246" s="91" t="str">
        <f t="shared" si="12"/>
      </c>
      <c r="EC246" s="91" t="str">
        <f t="shared" si="12"/>
      </c>
      <c r="ED246" s="91" t="str">
        <f t="shared" si="12"/>
      </c>
      <c r="EE246" s="91" t="str">
        <f t="shared" si="12"/>
      </c>
      <c r="EF246" s="91" t="str">
        <f t="shared" si="12"/>
      </c>
      <c r="EG246" s="91" t="str">
        <f t="shared" si="12"/>
      </c>
      <c r="EH246" s="91" t="str">
        <f t="shared" si="12"/>
      </c>
      <c r="EI246" s="91" t="str">
        <f t="shared" si="12"/>
      </c>
      <c r="EJ246" s="91" t="str">
        <f t="shared" si="12"/>
      </c>
      <c r="EK246" s="91" t="str">
        <f t="shared" si="12"/>
      </c>
      <c r="EL246" s="91" t="str">
        <f t="shared" si="12"/>
      </c>
      <c r="EM246" s="91" t="str">
        <f t="shared" si="12"/>
      </c>
      <c r="EN246" s="91" t="str">
        <f t="shared" si="12"/>
      </c>
      <c r="EO246" s="91" t="str">
        <f t="shared" si="12"/>
      </c>
      <c r="EP246" s="91" t="str">
        <f t="shared" si="12"/>
      </c>
      <c r="EQ246" s="91" t="str">
        <f t="shared" si="12"/>
      </c>
      <c r="ER246" s="91" t="str">
        <f t="shared" si="12"/>
      </c>
      <c r="ES246" s="91" t="str">
        <f t="shared" si="12"/>
      </c>
      <c r="ET246" s="91" t="str">
        <f t="shared" si="12"/>
      </c>
      <c r="EU246" s="91" t="str">
        <f t="shared" si="12"/>
      </c>
      <c r="EV246" s="91" t="str">
        <f t="shared" si="12"/>
      </c>
      <c r="EW246" s="91" t="str">
        <f t="shared" si="12"/>
      </c>
      <c r="EX246" s="91" t="str">
        <f t="shared" si="12"/>
      </c>
      <c r="EY246" s="91" t="str">
        <f t="shared" si="12"/>
      </c>
      <c r="EZ246" s="91" t="str">
        <f t="shared" si="12"/>
      </c>
      <c r="FA246" s="91" t="str">
        <f ref="FA246:HL246" t="shared" si="13">IF(SUM(FA227:FA245)&lt;&gt;0,SUM(FA227:FA245),"")</f>
      </c>
      <c r="FB246" s="91" t="str">
        <f t="shared" si="13"/>
      </c>
      <c r="FC246" s="91" t="str">
        <f t="shared" si="13"/>
      </c>
      <c r="FD246" s="91" t="str">
        <f t="shared" si="13"/>
      </c>
      <c r="FE246" s="91" t="str">
        <f t="shared" si="13"/>
      </c>
      <c r="FF246" s="91" t="str">
        <f t="shared" si="13"/>
      </c>
      <c r="FG246" s="91" t="str">
        <f t="shared" si="13"/>
      </c>
      <c r="FH246" s="91" t="str">
        <f t="shared" si="13"/>
      </c>
      <c r="FI246" s="91" t="str">
        <f t="shared" si="13"/>
      </c>
      <c r="FJ246" s="91" t="str">
        <f t="shared" si="13"/>
      </c>
      <c r="FK246" s="91" t="str">
        <f t="shared" si="13"/>
      </c>
      <c r="FL246" s="91" t="str">
        <f t="shared" si="13"/>
      </c>
      <c r="FM246" s="91" t="str">
        <f t="shared" si="13"/>
      </c>
      <c r="FN246" s="91" t="str">
        <f t="shared" si="13"/>
      </c>
      <c r="FO246" s="91" t="str">
        <f t="shared" si="13"/>
      </c>
      <c r="FP246" s="91" t="str">
        <f t="shared" si="13"/>
      </c>
      <c r="FQ246" s="91" t="str">
        <f t="shared" si="13"/>
      </c>
      <c r="FR246" s="91" t="str">
        <f t="shared" si="13"/>
      </c>
      <c r="FS246" s="91" t="str">
        <f t="shared" si="13"/>
      </c>
      <c r="FT246" s="91" t="str">
        <f t="shared" si="13"/>
      </c>
      <c r="FU246" s="91" t="str">
        <f t="shared" si="13"/>
      </c>
      <c r="FV246" s="91" t="str">
        <f t="shared" si="13"/>
      </c>
      <c r="FW246" s="91" t="str">
        <f t="shared" si="13"/>
      </c>
      <c r="FX246" s="91" t="str">
        <f t="shared" si="13"/>
      </c>
      <c r="FY246" s="91" t="str">
        <f t="shared" si="13"/>
      </c>
      <c r="FZ246" s="91" t="str">
        <f t="shared" si="13"/>
      </c>
      <c r="GA246" s="91" t="str">
        <f t="shared" si="13"/>
      </c>
      <c r="GB246" s="91" t="str">
        <f t="shared" si="13"/>
      </c>
      <c r="GC246" s="91" t="str">
        <f t="shared" si="13"/>
      </c>
      <c r="GD246" s="91" t="str">
        <f t="shared" si="13"/>
      </c>
      <c r="GE246" s="91" t="str">
        <f t="shared" si="13"/>
      </c>
      <c r="GF246" s="91" t="str">
        <f t="shared" si="13"/>
      </c>
      <c r="GG246" s="91" t="str">
        <f t="shared" si="13"/>
      </c>
      <c r="GH246" s="91" t="str">
        <f t="shared" si="13"/>
      </c>
      <c r="GI246" s="91" t="str">
        <f t="shared" si="13"/>
      </c>
      <c r="GJ246" s="91" t="str">
        <f t="shared" si="13"/>
      </c>
      <c r="GK246" s="91" t="str">
        <f t="shared" si="13"/>
      </c>
      <c r="GL246" s="91" t="str">
        <f t="shared" si="13"/>
      </c>
      <c r="GM246" s="91" t="str">
        <f t="shared" si="13"/>
      </c>
      <c r="GN246" s="91" t="str">
        <f t="shared" si="13"/>
      </c>
      <c r="GO246" s="91" t="str">
        <f t="shared" si="13"/>
      </c>
      <c r="GP246" s="91" t="str">
        <f t="shared" si="13"/>
      </c>
      <c r="GQ246" s="91" t="str">
        <f t="shared" si="13"/>
      </c>
      <c r="GR246" s="91" t="str">
        <f t="shared" si="13"/>
      </c>
      <c r="GS246" s="91" t="str">
        <f t="shared" si="13"/>
      </c>
      <c r="GT246" s="91" t="str">
        <f t="shared" si="13"/>
      </c>
      <c r="GU246" s="91" t="str">
        <f t="shared" si="13"/>
      </c>
      <c r="GV246" s="91" t="str">
        <f t="shared" si="13"/>
      </c>
      <c r="GW246" s="91" t="str">
        <f t="shared" si="13"/>
      </c>
      <c r="GX246" s="91" t="str">
        <f t="shared" si="13"/>
      </c>
      <c r="GY246" s="91" t="str">
        <f t="shared" si="13"/>
      </c>
      <c r="GZ246" s="91" t="str">
        <f t="shared" si="13"/>
      </c>
      <c r="HA246" s="91" t="str">
        <f t="shared" si="13"/>
      </c>
      <c r="HB246" s="91" t="str">
        <f t="shared" si="13"/>
      </c>
      <c r="HC246" s="91" t="str">
        <f t="shared" si="13"/>
      </c>
      <c r="HD246" s="91" t="str">
        <f t="shared" si="13"/>
      </c>
      <c r="HE246" s="91" t="str">
        <f t="shared" si="13"/>
      </c>
      <c r="HF246" s="91" t="str">
        <f t="shared" si="13"/>
      </c>
      <c r="HG246" s="91" t="str">
        <f t="shared" si="13"/>
      </c>
      <c r="HH246" s="91" t="str">
        <f t="shared" si="13"/>
      </c>
      <c r="HI246" s="91" t="str">
        <f t="shared" si="13"/>
      </c>
      <c r="HJ246" s="91" t="str">
        <f t="shared" si="13"/>
      </c>
      <c r="HK246" s="91" t="str">
        <f t="shared" si="13"/>
      </c>
      <c r="HL246" s="91" t="str">
        <f t="shared" si="13"/>
      </c>
      <c r="HM246" s="91" t="str">
        <f ref="HM246:IV246" t="shared" si="14">IF(SUM(HM227:HM245)&lt;&gt;0,SUM(HM227:HM245),"")</f>
      </c>
      <c r="HN246" s="91" t="str">
        <f t="shared" si="14"/>
      </c>
      <c r="HO246" s="91" t="str">
        <f t="shared" si="14"/>
      </c>
      <c r="HP246" s="91" t="str">
        <f t="shared" si="14"/>
      </c>
      <c r="HQ246" s="91" t="str">
        <f t="shared" si="14"/>
      </c>
      <c r="HR246" s="91" t="str">
        <f t="shared" si="14"/>
      </c>
      <c r="HS246" s="91" t="str">
        <f t="shared" si="14"/>
      </c>
      <c r="HT246" s="91" t="str">
        <f t="shared" si="14"/>
      </c>
      <c r="HU246" s="91" t="str">
        <f t="shared" si="14"/>
      </c>
      <c r="HV246" s="91" t="str">
        <f t="shared" si="14"/>
      </c>
      <c r="HW246" s="91" t="str">
        <f t="shared" si="14"/>
      </c>
      <c r="HX246" s="91" t="str">
        <f t="shared" si="14"/>
      </c>
      <c r="HY246" s="91" t="str">
        <f t="shared" si="14"/>
      </c>
      <c r="HZ246" s="91" t="str">
        <f t="shared" si="14"/>
      </c>
      <c r="IA246" s="91" t="str">
        <f t="shared" si="14"/>
      </c>
      <c r="IB246" s="91" t="str">
        <f t="shared" si="14"/>
      </c>
      <c r="IC246" s="91" t="str">
        <f t="shared" si="14"/>
      </c>
      <c r="ID246" s="91" t="str">
        <f t="shared" si="14"/>
      </c>
      <c r="IE246" s="91" t="str">
        <f t="shared" si="14"/>
      </c>
      <c r="IF246" s="91" t="str">
        <f t="shared" si="14"/>
      </c>
      <c r="IG246" s="91" t="str">
        <f t="shared" si="14"/>
      </c>
      <c r="IH246" s="91" t="str">
        <f t="shared" si="14"/>
      </c>
      <c r="II246" s="91" t="str">
        <f t="shared" si="14"/>
      </c>
      <c r="IJ246" s="91" t="str">
        <f t="shared" si="14"/>
      </c>
      <c r="IK246" s="91" t="str">
        <f t="shared" si="14"/>
      </c>
      <c r="IL246" s="91" t="str">
        <f t="shared" si="14"/>
      </c>
      <c r="IM246" s="91" t="str">
        <f t="shared" si="14"/>
      </c>
      <c r="IN246" s="91" t="str">
        <f t="shared" si="14"/>
      </c>
      <c r="IO246" s="91" t="str">
        <f t="shared" si="14"/>
      </c>
      <c r="IP246" s="91" t="str">
        <f t="shared" si="14"/>
      </c>
      <c r="IQ246" s="91" t="str">
        <f t="shared" si="14"/>
      </c>
      <c r="IR246" s="91" t="str">
        <f t="shared" si="14"/>
      </c>
      <c r="IS246" s="91" t="str">
        <f t="shared" si="14"/>
      </c>
      <c r="IT246" s="91" t="str">
        <f t="shared" si="14"/>
      </c>
      <c r="IU246" s="91" t="str">
        <f t="shared" si="14"/>
      </c>
      <c r="IV246" s="91" t="str">
        <f t="shared" si="14"/>
      </c>
    </row>
    <row r="247" hidden="1" ht="12.75" customHeight="1">
      <c r="W247" s="50"/>
    </row>
    <row r="248" hidden="1" ht="13.5" customHeight="1">
      <c r="W248" s="50"/>
    </row>
    <row r="249" hidden="1" ht="13.5" customHeight="1">
      <c r="C249" s="617" t="s">
        <v>296</v>
      </c>
      <c r="D249" s="618"/>
      <c r="E249" s="618"/>
      <c r="F249" s="618"/>
      <c r="G249" s="618"/>
      <c r="H249" s="618"/>
      <c r="I249" s="618"/>
      <c r="J249" s="618"/>
      <c r="K249" s="618"/>
      <c r="L249" s="618"/>
      <c r="M249" s="618"/>
      <c r="N249" s="618"/>
      <c r="O249" s="618"/>
      <c r="P249" s="618"/>
      <c r="Q249" s="618"/>
      <c r="R249" s="618"/>
      <c r="S249" s="618"/>
      <c r="T249" s="618"/>
      <c r="U249" s="618"/>
      <c r="V249" s="618"/>
      <c r="W249" s="618"/>
      <c r="X249" s="618"/>
      <c r="Y249" s="618"/>
      <c r="Z249" s="618"/>
      <c r="AA249" s="618"/>
      <c r="AB249" s="619"/>
    </row>
    <row r="250" hidden="1" ht="13.5" customHeight="1">
      <c r="C250" s="435" t="str">
        <f> IF(C270&lt;&gt;"",TEXT(AUX!G$1,"dd-MMM-aa"),"")</f>
      </c>
      <c r="D250" s="435" t="str">
        <f> IF(D270&lt;&gt;"",TEXT(AUX!H$1,"dd-MMM-aa"),"")</f>
      </c>
      <c r="E250" s="435" t="str">
        <f> IF(E270&lt;&gt;"",TEXT(AUX!I$1,"dd-MMM-aa"),"")</f>
      </c>
      <c r="F250" s="435" t="str">
        <f> IF(F270&lt;&gt;"",TEXT(AUX!J$1,"dd-MMM-aa"),"")</f>
      </c>
      <c r="G250" s="435" t="str">
        <f> IF(G270&lt;&gt;"",TEXT(AUX!K$1,"dd-MMM-aa"),"")</f>
      </c>
      <c r="H250" s="435" t="str">
        <f> IF(H270&lt;&gt;"",TEXT(AUX!L$1,"dd-MMM-aa"),"")</f>
      </c>
      <c r="I250" s="435" t="str">
        <f> IF(I270&lt;&gt;"",TEXT(AUX!M$1,"dd-MMM-aa"),"")</f>
      </c>
      <c r="J250" s="435" t="str">
        <f> IF(J270&lt;&gt;"",TEXT(AUX!N$1,"dd-MMM-aa"),"")</f>
      </c>
      <c r="K250" s="435" t="str">
        <f> IF(K270&lt;&gt;"",TEXT(AUX!O$1,"dd-MMM-aa"),"")</f>
      </c>
      <c r="L250" s="435" t="str">
        <f> IF(L270&lt;&gt;"",TEXT(AUX!P$1,"dd-MMM-aa"),"")</f>
      </c>
      <c r="M250" s="435" t="str">
        <f> IF(M270&lt;&gt;"",TEXT(AUX!Q$1,"dd-MMM-aa"),"")</f>
      </c>
      <c r="N250" s="435" t="str">
        <f> IF(N270&lt;&gt;"",TEXT(AUX!R$1,"dd-MMM-aa"),"")</f>
      </c>
      <c r="O250" s="435" t="str">
        <f> IF(O270&lt;&gt;"",TEXT(AUX!S$1,"dd-MMM-aa"),"")</f>
      </c>
      <c r="P250" s="435" t="str">
        <f> IF(P270&lt;&gt;"",TEXT(AUX!T$1,"dd-MMM-aa"),"")</f>
      </c>
      <c r="Q250" s="435" t="str">
        <f> IF(Q270&lt;&gt;"",TEXT(AUX!U$1,"dd-MMM-aa"),"")</f>
      </c>
      <c r="R250" s="435" t="str">
        <f> IF(R270&lt;&gt;"",TEXT(AUX!V$1,"dd-MMM-aa"),"")</f>
      </c>
      <c r="S250" s="435" t="str">
        <f> IF(S270&lt;&gt;"",TEXT(AUX!W$1,"dd-MMM-aa"),"")</f>
      </c>
      <c r="T250" s="435" t="str">
        <f> IF(T270&lt;&gt;"",TEXT(AUX!X$1,"dd-MMM-aa"),"")</f>
      </c>
      <c r="U250" s="435" t="str">
        <f> IF(U270&lt;&gt;"",TEXT(AUX!Y$1,"dd-MMM-aa"),"")</f>
      </c>
      <c r="V250" s="435" t="str">
        <f> IF(V270&lt;&gt;"",TEXT(AUX!Z$1,"dd-MMM-aa"),"")</f>
      </c>
      <c r="W250" s="435" t="str">
        <f> IF(W270&lt;&gt;"",TEXT(AUX!AA$1,"dd-MMM-aa"),"")</f>
      </c>
      <c r="X250" s="435" t="str">
        <f> IF(X270&lt;&gt;"",TEXT(AUX!AB$1,"dd-MMM-aa"),"")</f>
      </c>
      <c r="Y250" s="435" t="str">
        <f> IF(Y270&lt;&gt;"",TEXT(AUX!AC$1,"dd-MMM-aa"),"")</f>
      </c>
      <c r="Z250" s="435" t="str">
        <f> IF(Z270&lt;&gt;"",TEXT(AUX!AD$1,"dd-MMM-aa"),"")</f>
      </c>
      <c r="AA250" s="435" t="str">
        <f> IF(AA270&lt;&gt;"",TEXT(AUX!AE$1,"dd-MMM-aa"),"")</f>
      </c>
      <c r="AB250" s="497" t="str">
        <f> IF(AB270&lt;&gt;"",TEXT(AUX!AF$1,"dd-MMM-aa"),"")</f>
      </c>
      <c r="AC250" s="496" t="str">
        <f> IF(AC270&lt;&gt;"",TEXT(AUX!AG$1,"dd-MMM-aa"),"")</f>
      </c>
      <c r="AD250" s="496" t="str">
        <f> IF(AD270&lt;&gt;"",TEXT(AUX!AH$1,"dd-MMM-aa"),"")</f>
      </c>
      <c r="AE250" s="496" t="str">
        <f> IF(AE270&lt;&gt;"",TEXT(AUX!AI$1,"dd-MMM-aa"),"")</f>
      </c>
      <c r="AF250" s="496" t="str">
        <f> IF(AF270&lt;&gt;"",TEXT(AUX!AJ$1,"dd-MMM-aa"),"")</f>
      </c>
      <c r="AG250" s="496" t="str">
        <f> IF(AG270&lt;&gt;"",TEXT(AUX!AK$1,"dd-MMM-aa"),"")</f>
      </c>
      <c r="AH250" s="496" t="str">
        <f> IF(AH270&lt;&gt;"",TEXT(AUX!AL$1,"dd-MMM-aa"),"")</f>
      </c>
      <c r="AI250" s="496" t="str">
        <f> IF(AI270&lt;&gt;"",TEXT(AUX!AM$1,"dd-MMM-aa"),"")</f>
      </c>
      <c r="AJ250" s="496" t="str">
        <f> IF(AJ270&lt;&gt;"",TEXT(AUX!AN$1,"dd-MMM-aa"),"")</f>
      </c>
      <c r="AK250" s="496" t="str">
        <f> IF(AK270&lt;&gt;"",TEXT(AUX!AO$1,"dd-MMM-aa"),"")</f>
      </c>
      <c r="AL250" s="496" t="str">
        <f> IF(AL270&lt;&gt;"",TEXT(AUX!AP$1,"dd-MMM-aa"),"")</f>
      </c>
      <c r="AM250" s="496" t="str">
        <f> IF(AM270&lt;&gt;"",TEXT(AUX!AQ$1,"dd-MMM-aa"),"")</f>
      </c>
      <c r="AN250" s="496" t="str">
        <f> IF(AN270&lt;&gt;"",TEXT(AUX!AR$1,"dd-MMM-aa"),"")</f>
      </c>
      <c r="AO250" s="496" t="str">
        <f> IF(AO270&lt;&gt;"",TEXT(AUX!AS$1,"dd-MMM-aa"),"")</f>
      </c>
      <c r="AP250" s="496" t="str">
        <f> IF(AP270&lt;&gt;"",TEXT(AUX!AT$1,"dd-MMM-aa"),"")</f>
      </c>
      <c r="AQ250" s="496" t="str">
        <f> IF(AQ270&lt;&gt;"",TEXT(AUX!AU$1,"dd-MMM-aa"),"")</f>
      </c>
      <c r="AR250" s="496" t="str">
        <f> IF(AR270&lt;&gt;"",TEXT(AUX!AV$1,"dd-MMM-aa"),"")</f>
      </c>
      <c r="AS250" s="496" t="str">
        <f> IF(AS270&lt;&gt;"",TEXT(AUX!AW$1,"dd-MMM-aa"),"")</f>
      </c>
      <c r="AT250" s="496" t="str">
        <f> IF(AT270&lt;&gt;"",TEXT(AUX!AX$1,"dd-MMM-aa"),"")</f>
      </c>
      <c r="AU250" s="496" t="str">
        <f> IF(AU270&lt;&gt;"",TEXT(AUX!AY$1,"dd-MMM-aa"),"")</f>
      </c>
      <c r="AV250" s="496" t="str">
        <f> IF(AV270&lt;&gt;"",TEXT(AUX!AZ$1,"dd-MMM-aa"),"")</f>
      </c>
      <c r="AW250" s="496" t="str">
        <f> IF(AW270&lt;&gt;"",TEXT(AUX!BA$1,"dd-MMM-aa"),"")</f>
      </c>
      <c r="AX250" s="496" t="str">
        <f> IF(AX270&lt;&gt;"",TEXT(AUX!BB$1,"dd-MMM-aa"),"")</f>
      </c>
      <c r="AY250" s="496" t="str">
        <f> IF(AY270&lt;&gt;"",TEXT(AUX!BC$1,"dd-MMM-aa"),"")</f>
      </c>
      <c r="AZ250" s="496" t="str">
        <f> IF(AZ270&lt;&gt;"",TEXT(AUX!BD$1,"dd-MMM-aa"),"")</f>
      </c>
      <c r="BA250" s="496" t="str">
        <f> IF(BA270&lt;&gt;"",TEXT(AUX!BE$1,"dd-MMM-aa"),"")</f>
      </c>
      <c r="BB250" s="496" t="str">
        <f> IF(BB270&lt;&gt;"",TEXT(AUX!BF$1,"dd-MMM-aa"),"")</f>
      </c>
      <c r="BC250" s="496" t="str">
        <f> IF(BC270&lt;&gt;"",TEXT(AUX!BG$1,"dd-MMM-aa"),"")</f>
      </c>
      <c r="BD250" s="496" t="str">
        <f> IF(BD270&lt;&gt;"",TEXT(AUX!BH$1,"dd-MMM-aa"),"")</f>
      </c>
      <c r="BE250" s="496" t="str">
        <f> IF(BE270&lt;&gt;"",TEXT(AUX!BI$1,"dd-MMM-aa"),"")</f>
      </c>
      <c r="BF250" s="496" t="str">
        <f> IF(BF270&lt;&gt;"",TEXT(AUX!BJ$1,"dd-MMM-aa"),"")</f>
      </c>
      <c r="BG250" s="496" t="str">
        <f> IF(BG270&lt;&gt;"",TEXT(AUX!BK$1,"dd-MMM-aa"),"")</f>
      </c>
      <c r="BH250" s="496" t="str">
        <f> IF(BH270&lt;&gt;"",TEXT(AUX!BL$1,"dd-MMM-aa"),"")</f>
      </c>
      <c r="BI250" s="496" t="str">
        <f> IF(BI270&lt;&gt;"",TEXT(AUX!BM$1,"dd-MMM-aa"),"")</f>
      </c>
      <c r="BJ250" s="496" t="str">
        <f> IF(BJ270&lt;&gt;"",TEXT(AUX!BN$1,"dd-MMM-aa"),"")</f>
      </c>
      <c r="BK250" s="496" t="str">
        <f> IF(BK270&lt;&gt;"",TEXT(AUX!BO$1,"dd-MMM-aa"),"")</f>
      </c>
      <c r="BL250" s="496" t="str">
        <f> IF(BL270&lt;&gt;"",TEXT(AUX!BP$1,"dd-MMM-aa"),"")</f>
      </c>
      <c r="BM250" s="496" t="str">
        <f> IF(BM270&lt;&gt;"",TEXT(AUX!BQ$1,"dd-MMM-aa"),"")</f>
      </c>
      <c r="BN250" s="496" t="str">
        <f> IF(BN270&lt;&gt;"",TEXT(AUX!BR$1,"dd-MMM-aa"),"")</f>
      </c>
      <c r="BO250" s="496" t="str">
        <f> IF(BO270&lt;&gt;"",TEXT(AUX!BS$1,"dd-MMM-aa"),"")</f>
      </c>
      <c r="BP250" s="496" t="str">
        <f> IF(BP270&lt;&gt;"",TEXT(AUX!BT$1,"dd-MMM-aa"),"")</f>
      </c>
      <c r="BQ250" s="496" t="str">
        <f> IF(BQ270&lt;&gt;"",TEXT(AUX!BU$1,"dd-MMM-aa"),"")</f>
      </c>
      <c r="BR250" s="496" t="str">
        <f> IF(BR270&lt;&gt;"",TEXT(AUX!BV$1,"dd-MMM-aa"),"")</f>
      </c>
      <c r="BS250" s="496" t="str">
        <f> IF(BS270&lt;&gt;"",TEXT(AUX!BW$1,"dd-MMM-aa"),"")</f>
      </c>
      <c r="BT250" s="496" t="str">
        <f> IF(BT270&lt;&gt;"",TEXT(AUX!BX$1,"dd-MMM-aa"),"")</f>
      </c>
      <c r="BU250" s="496" t="str">
        <f> IF(BU270&lt;&gt;"",TEXT(AUX!BY$1,"dd-MMM-aa"),"")</f>
      </c>
      <c r="BV250" s="496" t="str">
        <f> IF(BV270&lt;&gt;"",TEXT(AUX!BZ$1,"dd-MMM-aa"),"")</f>
      </c>
      <c r="BW250" s="496" t="str">
        <f> IF(BW270&lt;&gt;"",TEXT(AUX!CA$1,"dd-MMM-aa"),"")</f>
      </c>
      <c r="BX250" s="496" t="str">
        <f> IF(BX270&lt;&gt;"",TEXT(AUX!CB$1,"dd-MMM-aa"),"")</f>
      </c>
      <c r="BY250" s="496" t="str">
        <f> IF(BY270&lt;&gt;"",TEXT(AUX!CC$1,"dd-MMM-aa"),"")</f>
      </c>
      <c r="BZ250" s="496" t="str">
        <f> IF(BZ270&lt;&gt;"",TEXT(AUX!CD$1,"dd-MMM-aa"),"")</f>
      </c>
      <c r="CA250" s="496" t="str">
        <f> IF(CA270&lt;&gt;"",TEXT(AUX!CE$1,"dd-MMM-aa"),"")</f>
      </c>
      <c r="CB250" s="496" t="str">
        <f> IF(CB270&lt;&gt;"",TEXT(AUX!CF$1,"dd-MMM-aa"),"")</f>
      </c>
      <c r="CC250" s="496" t="str">
        <f> IF(CC270&lt;&gt;"",TEXT(AUX!CG$1,"dd-MMM-aa"),"")</f>
      </c>
      <c r="CD250" s="496" t="str">
        <f> IF(CD270&lt;&gt;"",TEXT(AUX!CH$1,"dd-MMM-aa"),"")</f>
      </c>
      <c r="CE250" s="496" t="str">
        <f> IF(CE270&lt;&gt;"",TEXT(AUX!CI$1,"dd-MMM-aa"),"")</f>
      </c>
      <c r="CF250" s="496" t="str">
        <f> IF(CF270&lt;&gt;"",TEXT(AUX!CJ$1,"dd-MMM-aa"),"")</f>
      </c>
      <c r="CG250" s="496" t="str">
        <f> IF(CG270&lt;&gt;"",TEXT(AUX!CK$1,"dd-MMM-aa"),"")</f>
      </c>
      <c r="CH250" s="496" t="str">
        <f> IF(CH270&lt;&gt;"",TEXT(AUX!CL$1,"dd-MMM-aa"),"")</f>
      </c>
      <c r="CI250" s="496" t="str">
        <f> IF(CI270&lt;&gt;"",TEXT(AUX!CM$1,"dd-MMM-aa"),"")</f>
      </c>
      <c r="CJ250" s="496" t="str">
        <f> IF(CJ270&lt;&gt;"",TEXT(AUX!CN$1,"dd-MMM-aa"),"")</f>
      </c>
      <c r="CK250" s="496" t="str">
        <f> IF(CK270&lt;&gt;"",TEXT(AUX!CO$1,"dd-MMM-aa"),"")</f>
      </c>
      <c r="CL250" s="496" t="str">
        <f> IF(CL270&lt;&gt;"",TEXT(AUX!CP$1,"dd-MMM-aa"),"")</f>
      </c>
      <c r="CM250" s="496" t="str">
        <f> IF(CM270&lt;&gt;"",TEXT(AUX!CQ$1,"dd-MMM-aa"),"")</f>
      </c>
      <c r="CN250" s="496" t="str">
        <f> IF(CN270&lt;&gt;"",TEXT(AUX!CR$1,"dd-MMM-aa"),"")</f>
      </c>
      <c r="CO250" s="496" t="str">
        <f> IF(CO270&lt;&gt;"",TEXT(AUX!CS$1,"dd-MMM-aa"),"")</f>
      </c>
      <c r="CP250" s="496" t="str">
        <f> IF(CP270&lt;&gt;"",TEXT(AUX!CT$1,"dd-MMM-aa"),"")</f>
      </c>
      <c r="CQ250" s="496" t="str">
        <f> IF(CQ270&lt;&gt;"",TEXT(AUX!CU$1,"dd-MMM-aa"),"")</f>
      </c>
      <c r="CR250" s="496" t="str">
        <f> IF(CR270&lt;&gt;"",TEXT(AUX!CV$1,"dd-MMM-aa"),"")</f>
      </c>
      <c r="CS250" s="496" t="str">
        <f> IF(CS270&lt;&gt;"",TEXT(AUX!CW$1,"dd-MMM-aa"),"")</f>
      </c>
      <c r="CT250" s="496" t="str">
        <f> IF(CT270&lt;&gt;"",TEXT(AUX!CX$1,"dd-MMM-aa"),"")</f>
      </c>
      <c r="CU250" s="496" t="str">
        <f> IF(CU270&lt;&gt;"",TEXT(AUX!CY$1,"dd-MMM-aa"),"")</f>
      </c>
      <c r="CV250" s="496" t="str">
        <f> IF(CV270&lt;&gt;"",TEXT(AUX!CZ$1,"dd-MMM-aa"),"")</f>
      </c>
      <c r="CW250" s="496" t="str">
        <f> IF(CW270&lt;&gt;"",TEXT(AUX!DA$1,"dd-MMM-aa"),"")</f>
      </c>
      <c r="CX250" s="496" t="str">
        <f> IF(CX270&lt;&gt;"",TEXT(AUX!DB$1,"dd-MMM-aa"),"")</f>
      </c>
      <c r="CY250" s="496" t="str">
        <f> IF(CY270&lt;&gt;"",TEXT(AUX!DC$1,"dd-MMM-aa"),"")</f>
      </c>
      <c r="CZ250" s="496" t="str">
        <f> IF(CZ270&lt;&gt;"",TEXT(AUX!DD$1,"dd-MMM-aa"),"")</f>
      </c>
      <c r="DA250" s="496" t="str">
        <f> IF(DA270&lt;&gt;"",TEXT(AUX!DE$1,"dd-MMM-aa"),"")</f>
      </c>
      <c r="DB250" s="496" t="str">
        <f> IF(DB270&lt;&gt;"",TEXT(AUX!DF$1,"dd-MMM-aa"),"")</f>
      </c>
      <c r="DC250" s="496" t="str">
        <f> IF(DC270&lt;&gt;"",TEXT(AUX!DG$1,"dd-MMM-aa"),"")</f>
      </c>
      <c r="DD250" s="496" t="str">
        <f> IF(DD270&lt;&gt;"",TEXT(AUX!DH$1,"dd-MMM-aa"),"")</f>
      </c>
      <c r="DE250" s="496" t="str">
        <f> IF(DE270&lt;&gt;"",TEXT(AUX!DI$1,"dd-MMM-aa"),"")</f>
      </c>
      <c r="DF250" s="496" t="str">
        <f> IF(DF270&lt;&gt;"",TEXT(AUX!DJ$1,"dd-MMM-aa"),"")</f>
      </c>
      <c r="DG250" s="496" t="str">
        <f> IF(DG270&lt;&gt;"",TEXT(AUX!DK$1,"dd-MMM-aa"),"")</f>
      </c>
      <c r="DH250" s="496" t="str">
        <f> IF(DH270&lt;&gt;"",TEXT(AUX!DL$1,"dd-MMM-aa"),"")</f>
      </c>
      <c r="DI250" s="496" t="str">
        <f> IF(DI270&lt;&gt;"",TEXT(AUX!DM$1,"dd-MMM-aa"),"")</f>
      </c>
      <c r="DJ250" s="496" t="str">
        <f> IF(DJ270&lt;&gt;"",TEXT(AUX!DN$1,"dd-MMM-aa"),"")</f>
      </c>
      <c r="DK250" s="496" t="str">
        <f> IF(DK270&lt;&gt;"",TEXT(AUX!DO$1,"dd-MMM-aa"),"")</f>
      </c>
      <c r="DL250" s="496" t="str">
        <f> IF(DL270&lt;&gt;"",TEXT(AUX!DP$1,"dd-MMM-aa"),"")</f>
      </c>
      <c r="DM250" s="496" t="str">
        <f> IF(DM270&lt;&gt;"",TEXT(AUX!DQ$1,"dd-MMM-aa"),"")</f>
      </c>
      <c r="DN250" s="496" t="str">
        <f> IF(DN270&lt;&gt;"",TEXT(AUX!DR$1,"dd-MMM-aa"),"")</f>
      </c>
      <c r="DO250" s="496" t="str">
        <f> IF(DO270&lt;&gt;"",TEXT(AUX!DS$1,"dd-MMM-aa"),"")</f>
      </c>
      <c r="DP250" s="496" t="str">
        <f> IF(DP270&lt;&gt;"",TEXT(AUX!DT$1,"dd-MMM-aa"),"")</f>
      </c>
      <c r="DQ250" s="496" t="str">
        <f> IF(DQ270&lt;&gt;"",TEXT(AUX!DU$1,"dd-MMM-aa"),"")</f>
      </c>
      <c r="DR250" s="496" t="str">
        <f> IF(DR270&lt;&gt;"",TEXT(AUX!DV$1,"dd-MMM-aa"),"")</f>
      </c>
      <c r="DS250" s="496" t="str">
        <f> IF(DS270&lt;&gt;"",TEXT(AUX!DW$1,"dd-MMM-aa"),"")</f>
      </c>
      <c r="DT250" s="496" t="str">
        <f> IF(DT270&lt;&gt;"",TEXT(AUX!DX$1,"dd-MMM-aa"),"")</f>
      </c>
      <c r="DU250" s="496" t="str">
        <f> IF(DU270&lt;&gt;"",TEXT(AUX!DY$1,"dd-MMM-aa"),"")</f>
      </c>
      <c r="DV250" s="496" t="str">
        <f> IF(DV270&lt;&gt;"",TEXT(AUX!DZ$1,"dd-MMM-aa"),"")</f>
      </c>
      <c r="DW250" s="496" t="str">
        <f> IF(DW270&lt;&gt;"",TEXT(AUX!EA$1,"dd-MMM-aa"),"")</f>
      </c>
      <c r="DX250" s="496" t="str">
        <f> IF(DX270&lt;&gt;"",TEXT(AUX!EB$1,"dd-MMM-aa"),"")</f>
      </c>
      <c r="DY250" s="496" t="str">
        <f> IF(DY270&lt;&gt;"",TEXT(AUX!EC$1,"dd-MMM-aa"),"")</f>
      </c>
      <c r="DZ250" s="496" t="str">
        <f> IF(DZ270&lt;&gt;"",TEXT(AUX!ED$1,"dd-MMM-aa"),"")</f>
      </c>
      <c r="EA250" s="496" t="str">
        <f> IF(EA270&lt;&gt;"",TEXT(AUX!EE$1,"dd-MMM-aa"),"")</f>
      </c>
      <c r="EB250" s="496" t="str">
        <f> IF(EB270&lt;&gt;"",TEXT(AUX!EF$1,"dd-MMM-aa"),"")</f>
      </c>
      <c r="EC250" s="496" t="str">
        <f> IF(EC270&lt;&gt;"",TEXT(AUX!EG$1,"dd-MMM-aa"),"")</f>
      </c>
      <c r="ED250" s="496" t="str">
        <f> IF(ED270&lt;&gt;"",TEXT(AUX!EH$1,"dd-MMM-aa"),"")</f>
      </c>
      <c r="EE250" s="496" t="str">
        <f> IF(EE270&lt;&gt;"",TEXT(AUX!EI$1,"dd-MMM-aa"),"")</f>
      </c>
      <c r="EF250" s="496" t="str">
        <f> IF(EF270&lt;&gt;"",TEXT(AUX!EJ$1,"dd-MMM-aa"),"")</f>
      </c>
      <c r="EG250" s="496" t="str">
        <f> IF(EG270&lt;&gt;"",TEXT(AUX!EK$1,"dd-MMM-aa"),"")</f>
      </c>
      <c r="EH250" s="496" t="str">
        <f> IF(EH270&lt;&gt;"",TEXT(AUX!EL$1,"dd-MMM-aa"),"")</f>
      </c>
      <c r="EI250" s="496" t="str">
        <f> IF(EI270&lt;&gt;"",TEXT(AUX!EM$1,"dd-MMM-aa"),"")</f>
      </c>
      <c r="EJ250" s="496" t="str">
        <f> IF(EJ270&lt;&gt;"",TEXT(AUX!EN$1,"dd-MMM-aa"),"")</f>
      </c>
      <c r="EK250" s="496" t="str">
        <f> IF(EK270&lt;&gt;"",TEXT(AUX!EO$1,"dd-MMM-aa"),"")</f>
      </c>
      <c r="EL250" s="496" t="str">
        <f> IF(EL270&lt;&gt;"",TEXT(AUX!EP$1,"dd-MMM-aa"),"")</f>
      </c>
      <c r="EM250" s="496" t="str">
        <f> IF(EM270&lt;&gt;"",TEXT(AUX!EQ$1,"dd-MMM-aa"),"")</f>
      </c>
      <c r="EN250" s="496" t="str">
        <f> IF(EN270&lt;&gt;"",TEXT(AUX!ER$1,"dd-MMM-aa"),"")</f>
      </c>
      <c r="EO250" s="496" t="str">
        <f> IF(EO270&lt;&gt;"",TEXT(AUX!ES$1,"dd-MMM-aa"),"")</f>
      </c>
      <c r="EP250" s="496" t="str">
        <f> IF(EP270&lt;&gt;"",TEXT(AUX!ET$1,"dd-MMM-aa"),"")</f>
      </c>
      <c r="EQ250" s="496" t="str">
        <f> IF(EQ270&lt;&gt;"",TEXT(AUX!EU$1,"dd-MMM-aa"),"")</f>
      </c>
      <c r="ER250" s="496" t="str">
        <f> IF(ER270&lt;&gt;"",TEXT(AUX!EV$1,"dd-MMM-aa"),"")</f>
      </c>
      <c r="ES250" s="496" t="str">
        <f> IF(ES270&lt;&gt;"",TEXT(AUX!EW$1,"dd-MMM-aa"),"")</f>
      </c>
      <c r="ET250" s="496" t="str">
        <f> IF(ET270&lt;&gt;"",TEXT(AUX!EX$1,"dd-MMM-aa"),"")</f>
      </c>
      <c r="EU250" s="496" t="str">
        <f> IF(EU270&lt;&gt;"",TEXT(AUX!EY$1,"dd-MMM-aa"),"")</f>
      </c>
      <c r="EV250" s="496" t="str">
        <f> IF(EV270&lt;&gt;"",TEXT(AUX!EZ$1,"dd-MMM-aa"),"")</f>
      </c>
      <c r="EW250" s="496" t="str">
        <f> IF(EW270&lt;&gt;"",TEXT(AUX!FA$1,"dd-MMM-aa"),"")</f>
      </c>
      <c r="EX250" s="496" t="str">
        <f> IF(EX270&lt;&gt;"",TEXT(AUX!FB$1,"dd-MMM-aa"),"")</f>
      </c>
      <c r="EY250" s="496" t="str">
        <f> IF(EY270&lt;&gt;"",TEXT(AUX!FC$1,"dd-MMM-aa"),"")</f>
      </c>
      <c r="EZ250" s="496" t="str">
        <f> IF(EZ270&lt;&gt;"",TEXT(AUX!FD$1,"dd-MMM-aa"),"")</f>
      </c>
      <c r="FA250" s="496" t="str">
        <f> IF(FA270&lt;&gt;"",TEXT(AUX!FE$1,"dd-MMM-aa"),"")</f>
      </c>
      <c r="FB250" s="496" t="str">
        <f> IF(FB270&lt;&gt;"",TEXT(AUX!FF$1,"dd-MMM-aa"),"")</f>
      </c>
      <c r="FC250" s="496" t="str">
        <f> IF(FC270&lt;&gt;"",TEXT(AUX!FG$1,"dd-MMM-aa"),"")</f>
      </c>
      <c r="FD250" s="496" t="str">
        <f> IF(FD270&lt;&gt;"",TEXT(AUX!FH$1,"dd-MMM-aa"),"")</f>
      </c>
      <c r="FE250" s="496" t="str">
        <f> IF(FE270&lt;&gt;"",TEXT(AUX!FI$1,"dd-MMM-aa"),"")</f>
      </c>
      <c r="FF250" s="496" t="str">
        <f> IF(FF270&lt;&gt;"",TEXT(AUX!FJ$1,"dd-MMM-aa"),"")</f>
      </c>
      <c r="FG250" s="496" t="str">
        <f> IF(FG270&lt;&gt;"",TEXT(AUX!FK$1,"dd-MMM-aa"),"")</f>
      </c>
      <c r="FH250" s="496" t="str">
        <f> IF(FH270&lt;&gt;"",TEXT(AUX!FL$1,"dd-MMM-aa"),"")</f>
      </c>
      <c r="FI250" s="496" t="str">
        <f> IF(FI270&lt;&gt;"",TEXT(AUX!FM$1,"dd-MMM-aa"),"")</f>
      </c>
      <c r="FJ250" s="496" t="str">
        <f> IF(FJ270&lt;&gt;"",TEXT(AUX!FN$1,"dd-MMM-aa"),"")</f>
      </c>
      <c r="FK250" s="496" t="str">
        <f> IF(FK270&lt;&gt;"",TEXT(AUX!FO$1,"dd-MMM-aa"),"")</f>
      </c>
      <c r="FL250" s="496" t="str">
        <f> IF(FL270&lt;&gt;"",TEXT(AUX!FP$1,"dd-MMM-aa"),"")</f>
      </c>
      <c r="FM250" s="496" t="str">
        <f> IF(FM270&lt;&gt;"",TEXT(AUX!FQ$1,"dd-MMM-aa"),"")</f>
      </c>
      <c r="FN250" s="496" t="str">
        <f> IF(FN270&lt;&gt;"",TEXT(AUX!FR$1,"dd-MMM-aa"),"")</f>
      </c>
      <c r="FO250" s="496" t="str">
        <f> IF(FO270&lt;&gt;"",TEXT(AUX!FS$1,"dd-MMM-aa"),"")</f>
      </c>
      <c r="FP250" s="496" t="str">
        <f> IF(FP270&lt;&gt;"",TEXT(AUX!FT$1,"dd-MMM-aa"),"")</f>
      </c>
      <c r="FQ250" s="496" t="str">
        <f> IF(FQ270&lt;&gt;"",TEXT(AUX!FU$1,"dd-MMM-aa"),"")</f>
      </c>
      <c r="FR250" s="496" t="str">
        <f> IF(FR270&lt;&gt;"",TEXT(AUX!FV$1,"dd-MMM-aa"),"")</f>
      </c>
      <c r="FS250" s="496" t="str">
        <f> IF(FS270&lt;&gt;"",TEXT(AUX!FW$1,"dd-MMM-aa"),"")</f>
      </c>
      <c r="FT250" s="496" t="str">
        <f> IF(FT270&lt;&gt;"",TEXT(AUX!FX$1,"dd-MMM-aa"),"")</f>
      </c>
      <c r="FU250" s="496" t="str">
        <f> IF(FU270&lt;&gt;"",TEXT(AUX!FY$1,"dd-MMM-aa"),"")</f>
      </c>
      <c r="FV250" s="496" t="str">
        <f> IF(FV270&lt;&gt;"",TEXT(AUX!FZ$1,"dd-MMM-aa"),"")</f>
      </c>
      <c r="FW250" s="496" t="str">
        <f> IF(FW270&lt;&gt;"",TEXT(AUX!GA$1,"dd-MMM-aa"),"")</f>
      </c>
      <c r="FX250" s="496" t="str">
        <f> IF(FX270&lt;&gt;"",TEXT(AUX!GB$1,"dd-MMM-aa"),"")</f>
      </c>
      <c r="FY250" s="496" t="str">
        <f> IF(FY270&lt;&gt;"",TEXT(AUX!GC$1,"dd-MMM-aa"),"")</f>
      </c>
      <c r="FZ250" s="496" t="str">
        <f> IF(FZ270&lt;&gt;"",TEXT(AUX!GD$1,"dd-MMM-aa"),"")</f>
      </c>
      <c r="GA250" s="496" t="str">
        <f> IF(GA270&lt;&gt;"",TEXT(AUX!GE$1,"dd-MMM-aa"),"")</f>
      </c>
      <c r="GB250" s="496" t="str">
        <f> IF(GB270&lt;&gt;"",TEXT(AUX!GF$1,"dd-MMM-aa"),"")</f>
      </c>
      <c r="GC250" s="496" t="str">
        <f> IF(GC270&lt;&gt;"",TEXT(AUX!GG$1,"dd-MMM-aa"),"")</f>
      </c>
      <c r="GD250" s="496" t="str">
        <f> IF(GD270&lt;&gt;"",TEXT(AUX!GH$1,"dd-MMM-aa"),"")</f>
      </c>
      <c r="GE250" s="496" t="str">
        <f> IF(GE270&lt;&gt;"",TEXT(AUX!GI$1,"dd-MMM-aa"),"")</f>
      </c>
      <c r="GF250" s="496" t="str">
        <f> IF(GF270&lt;&gt;"",TEXT(AUX!GJ$1,"dd-MMM-aa"),"")</f>
      </c>
      <c r="GG250" s="496" t="str">
        <f> IF(GG270&lt;&gt;"",TEXT(AUX!GK$1,"dd-MMM-aa"),"")</f>
      </c>
      <c r="GH250" s="496" t="str">
        <f> IF(GH270&lt;&gt;"",TEXT(AUX!GL$1,"dd-MMM-aa"),"")</f>
      </c>
      <c r="GI250" s="496" t="str">
        <f> IF(GI270&lt;&gt;"",TEXT(AUX!GM$1,"dd-MMM-aa"),"")</f>
      </c>
      <c r="GJ250" s="496" t="str">
        <f> IF(GJ270&lt;&gt;"",TEXT(AUX!GN$1,"dd-MMM-aa"),"")</f>
      </c>
      <c r="GK250" s="496" t="str">
        <f> IF(GK270&lt;&gt;"",TEXT(AUX!GO$1,"dd-MMM-aa"),"")</f>
      </c>
      <c r="GL250" s="496" t="str">
        <f> IF(GL270&lt;&gt;"",TEXT(AUX!GP$1,"dd-MMM-aa"),"")</f>
      </c>
      <c r="GM250" s="496" t="str">
        <f> IF(GM270&lt;&gt;"",TEXT(AUX!GQ$1,"dd-MMM-aa"),"")</f>
      </c>
      <c r="GN250" s="496" t="str">
        <f> IF(GN270&lt;&gt;"",TEXT(AUX!GR$1,"dd-MMM-aa"),"")</f>
      </c>
      <c r="GO250" s="496" t="str">
        <f> IF(GO270&lt;&gt;"",TEXT(AUX!GS$1,"dd-MMM-aa"),"")</f>
      </c>
      <c r="GP250" s="496" t="str">
        <f> IF(GP270&lt;&gt;"",TEXT(AUX!GT$1,"dd-MMM-aa"),"")</f>
      </c>
      <c r="GQ250" s="496" t="str">
        <f> IF(GQ270&lt;&gt;"",TEXT(AUX!GU$1,"dd-MMM-aa"),"")</f>
      </c>
      <c r="GR250" s="496" t="str">
        <f> IF(GR270&lt;&gt;"",TEXT(AUX!GV$1,"dd-MMM-aa"),"")</f>
      </c>
      <c r="GS250" s="496" t="str">
        <f> IF(GS270&lt;&gt;"",TEXT(AUX!GW$1,"dd-MMM-aa"),"")</f>
      </c>
      <c r="GT250" s="496" t="str">
        <f> IF(GT270&lt;&gt;"",TEXT(AUX!GX$1,"dd-MMM-aa"),"")</f>
      </c>
      <c r="GU250" s="496" t="str">
        <f> IF(GU270&lt;&gt;"",TEXT(AUX!GY$1,"dd-MMM-aa"),"")</f>
      </c>
      <c r="GV250" s="496" t="str">
        <f> IF(GV270&lt;&gt;"",TEXT(AUX!GZ$1,"dd-MMM-aa"),"")</f>
      </c>
      <c r="GW250" s="496" t="str">
        <f> IF(GW270&lt;&gt;"",TEXT(AUX!HA$1,"dd-MMM-aa"),"")</f>
      </c>
      <c r="GX250" s="496" t="str">
        <f> IF(GX270&lt;&gt;"",TEXT(AUX!HB$1,"dd-MMM-aa"),"")</f>
      </c>
      <c r="GY250" s="496" t="str">
        <f> IF(GY270&lt;&gt;"",TEXT(AUX!HC$1,"dd-MMM-aa"),"")</f>
      </c>
      <c r="GZ250" s="496" t="str">
        <f> IF(GZ270&lt;&gt;"",TEXT(AUX!HD$1,"dd-MMM-aa"),"")</f>
      </c>
      <c r="HA250" s="496" t="str">
        <f> IF(HA270&lt;&gt;"",TEXT(AUX!HE$1,"dd-MMM-aa"),"")</f>
      </c>
      <c r="HB250" s="496" t="str">
        <f> IF(HB270&lt;&gt;"",TEXT(AUX!HF$1,"dd-MMM-aa"),"")</f>
      </c>
      <c r="HC250" s="496" t="str">
        <f> IF(HC270&lt;&gt;"",TEXT(AUX!HG$1,"dd-MMM-aa"),"")</f>
      </c>
      <c r="HD250" s="496" t="str">
        <f> IF(HD270&lt;&gt;"",TEXT(AUX!HH$1,"dd-MMM-aa"),"")</f>
      </c>
      <c r="HE250" s="496" t="str">
        <f> IF(HE270&lt;&gt;"",TEXT(AUX!HI$1,"dd-MMM-aa"),"")</f>
      </c>
      <c r="HF250" s="496" t="str">
        <f> IF(HF270&lt;&gt;"",TEXT(AUX!HJ$1,"dd-MMM-aa"),"")</f>
      </c>
      <c r="HG250" s="496" t="str">
        <f> IF(HG270&lt;&gt;"",TEXT(AUX!HK$1,"dd-MMM-aa"),"")</f>
      </c>
      <c r="HH250" s="496" t="str">
        <f> IF(HH270&lt;&gt;"",TEXT(AUX!HL$1,"dd-MMM-aa"),"")</f>
      </c>
      <c r="HI250" s="496" t="str">
        <f> IF(HI270&lt;&gt;"",TEXT(AUX!HM$1,"dd-MMM-aa"),"")</f>
      </c>
      <c r="HJ250" s="496" t="str">
        <f> IF(HJ270&lt;&gt;"",TEXT(AUX!HN$1,"dd-MMM-aa"),"")</f>
      </c>
      <c r="HK250" s="496" t="str">
        <f> IF(HK270&lt;&gt;"",TEXT(AUX!HO$1,"dd-MMM-aa"),"")</f>
      </c>
      <c r="HL250" s="496" t="str">
        <f> IF(HL270&lt;&gt;"",TEXT(AUX!HP$1,"dd-MMM-aa"),"")</f>
      </c>
      <c r="HM250" s="496" t="str">
        <f> IF(HM270&lt;&gt;"",TEXT(AUX!HQ$1,"dd-MMM-aa"),"")</f>
      </c>
      <c r="HN250" s="496" t="str">
        <f> IF(HN270&lt;&gt;"",TEXT(AUX!HR$1,"dd-MMM-aa"),"")</f>
      </c>
      <c r="HO250" s="496" t="str">
        <f> IF(HO270&lt;&gt;"",TEXT(AUX!HS$1,"dd-MMM-aa"),"")</f>
      </c>
      <c r="HP250" s="496" t="str">
        <f> IF(HP270&lt;&gt;"",TEXT(AUX!HT$1,"dd-MMM-aa"),"")</f>
      </c>
      <c r="HQ250" s="496" t="str">
        <f> IF(HQ270&lt;&gt;"",TEXT(AUX!HU$1,"dd-MMM-aa"),"")</f>
      </c>
      <c r="HR250" s="496" t="str">
        <f> IF(HR270&lt;&gt;"",TEXT(AUX!HV$1,"dd-MMM-aa"),"")</f>
      </c>
      <c r="HS250" s="496" t="str">
        <f> IF(HS270&lt;&gt;"",TEXT(AUX!HW$1,"dd-MMM-aa"),"")</f>
      </c>
      <c r="HT250" s="496" t="str">
        <f> IF(HT270&lt;&gt;"",TEXT(AUX!HX$1,"dd-MMM-aa"),"")</f>
      </c>
      <c r="HU250" s="496" t="str">
        <f> IF(HU270&lt;&gt;"",TEXT(AUX!HY$1,"dd-MMM-aa"),"")</f>
      </c>
      <c r="HV250" s="496" t="str">
        <f> IF(HV270&lt;&gt;"",TEXT(AUX!HZ$1,"dd-MMM-aa"),"")</f>
      </c>
      <c r="HW250" s="496" t="str">
        <f> IF(HW270&lt;&gt;"",TEXT(AUX!IA$1,"dd-MMM-aa"),"")</f>
      </c>
      <c r="HX250" s="496" t="str">
        <f> IF(HX270&lt;&gt;"",TEXT(AUX!IB$1,"dd-MMM-aa"),"")</f>
      </c>
      <c r="HY250" s="496" t="str">
        <f> IF(HY270&lt;&gt;"",TEXT(AUX!IC$1,"dd-MMM-aa"),"")</f>
      </c>
      <c r="HZ250" s="496" t="str">
        <f> IF(HZ270&lt;&gt;"",TEXT(AUX!ID$1,"dd-MMM-aa"),"")</f>
      </c>
      <c r="IA250" s="496" t="str">
        <f> IF(IA270&lt;&gt;"",TEXT(AUX!IE$1,"dd-MMM-aa"),"")</f>
      </c>
      <c r="IB250" s="496" t="str">
        <f> IF(IB270&lt;&gt;"",TEXT(AUX!IF$1,"dd-MMM-aa"),"")</f>
      </c>
      <c r="IC250" s="496" t="str">
        <f> IF(IC270&lt;&gt;"",TEXT(AUX!IG$1,"dd-MMM-aa"),"")</f>
      </c>
      <c r="ID250" s="496" t="str">
        <f> IF(ID270&lt;&gt;"",TEXT(AUX!IH$1,"dd-MMM-aa"),"")</f>
      </c>
      <c r="IE250" s="496" t="str">
        <f> IF(IE270&lt;&gt;"",TEXT(AUX!II$1,"dd-MMM-aa"),"")</f>
      </c>
      <c r="IF250" s="496" t="str">
        <f> IF(IF270&lt;&gt;"",TEXT(AUX!IJ$1,"dd-MMM-aa"),"")</f>
      </c>
      <c r="IG250" s="496" t="str">
        <f> IF(IG270&lt;&gt;"",TEXT(AUX!IK$1,"dd-MMM-aa"),"")</f>
      </c>
      <c r="IH250" s="496" t="str">
        <f> IF(IH270&lt;&gt;"",TEXT(AUX!IL$1,"dd-MMM-aa"),"")</f>
      </c>
      <c r="II250" s="496" t="str">
        <f> IF(II270&lt;&gt;"",TEXT(AUX!IM$1,"dd-MMM-aa"),"")</f>
      </c>
      <c r="IJ250" s="496" t="str">
        <f> IF(IJ270&lt;&gt;"",TEXT(AUX!IN$1,"dd-MMM-aa"),"")</f>
      </c>
      <c r="IK250" s="496" t="str">
        <f> IF(IK270&lt;&gt;"",TEXT(AUX!IO$1,"dd-MMM-aa"),"")</f>
      </c>
      <c r="IL250" s="496" t="str">
        <f> IF(IL270&lt;&gt;"",TEXT(AUX!IP$1,"dd-MMM-aa"),"")</f>
      </c>
      <c r="IM250" s="496" t="str">
        <f> IF(IM270&lt;&gt;"",TEXT(AUX!IQ$1,"dd-MMM-aa"),"")</f>
      </c>
      <c r="IN250" s="496" t="str">
        <f> IF(IN270&lt;&gt;"",TEXT(AUX!IR$1,"dd-MMM-aa"),"")</f>
      </c>
      <c r="IO250" s="496" t="str">
        <f> IF(IO270&lt;&gt;"",TEXT(AUX!IS$1,"dd-MMM-aa"),"")</f>
      </c>
      <c r="IP250" s="496" t="str">
        <f> IF(IP270&lt;&gt;"",TEXT(AUX!IT$1,"dd-MMM-aa"),"")</f>
      </c>
      <c r="IQ250" s="496" t="str">
        <f> IF(IQ270&lt;&gt;"",TEXT(AUX!IU$1,"dd-MMM-aa"),"")</f>
      </c>
      <c r="IR250" s="496" t="str">
        <f> IF(IR270&lt;&gt;"",TEXT(AUX!IV$1,"dd-MMM-aa"),"")</f>
      </c>
      <c r="IS250" s="496" t="str">
        <f> IF(IS270&lt;&gt;"",TEXT(AUX!#REF!,"dd-MMM-aa"),"")</f>
      </c>
      <c r="IT250" s="496" t="str">
        <f> IF(IT270&lt;&gt;"",TEXT(AUX!#REF!,"dd-MMM-aa"),"")</f>
      </c>
      <c r="IU250" s="496" t="str">
        <f> IF(IU270&lt;&gt;"",TEXT(AUX!#REF!,"dd-MMM-aa"),"")</f>
      </c>
      <c r="IV250" s="496" t="str">
        <f> IF(IV270&lt;&gt;"",TEXT(AUX!#REF!,"dd-MMM-aa"),"")</f>
      </c>
    </row>
    <row r="251" hidden="1" ht="12.75" customHeight="1">
      <c r="B251" s="838" t="s">
        <v>8</v>
      </c>
      <c r="C251" s="839">
        <f>C496 + C399</f>
        <v>42182</v>
      </c>
      <c r="D251" s="839">
        <f>D496 + D399</f>
        <v>38071</v>
      </c>
      <c r="E251" s="839">
        <f>E496 + E399</f>
        <v>39476</v>
      </c>
      <c r="F251" s="839">
        <f>F496 + F399</f>
        <v>37742</v>
      </c>
      <c r="G251" s="839">
        <f>G496 + G399</f>
        <v>39291</v>
      </c>
      <c r="H251" s="839">
        <f>H496 + H399</f>
        <v>38980</v>
      </c>
      <c r="I251" s="839">
        <f>I496 + I399</f>
        <v>40695</v>
      </c>
      <c r="J251" s="839">
        <f>J496 + J399</f>
        <v>38295</v>
      </c>
      <c r="K251" s="839">
        <f>K496 + K399</f>
        <v>39998</v>
      </c>
      <c r="L251" s="839">
        <f>L496 + L399</f>
        <v>37389</v>
      </c>
      <c r="M251" s="839">
        <f>M496 + M399</f>
        <v>38112</v>
      </c>
      <c r="N251" s="839">
        <f>N496 + N399</f>
        <v>33974</v>
      </c>
      <c r="O251" s="839">
        <f>O496 + O399</f>
        <v>32903</v>
      </c>
      <c r="P251" s="839">
        <f>P496 + P399</f>
        <v>29395</v>
      </c>
      <c r="Q251" s="839">
        <f>Q496 + Q399</f>
        <v>29735</v>
      </c>
      <c r="R251" s="839">
        <f>R496 + R399</f>
        <v>27381</v>
      </c>
      <c r="S251" s="839">
        <f>S496 + S399</f>
        <v>28032</v>
      </c>
      <c r="T251" s="839">
        <f>T496 + T399</f>
        <v>26419</v>
      </c>
      <c r="U251" s="839">
        <f>U496 + U399</f>
        <v>26118</v>
      </c>
      <c r="V251" s="839">
        <f>V496 + V399</f>
        <v>25148</v>
      </c>
      <c r="W251" s="839">
        <f>W496 + W399</f>
        <v>25986</v>
      </c>
      <c r="X251" s="839">
        <f>X496 + X399</f>
        <v>24981</v>
      </c>
      <c r="Y251" s="839">
        <f>Y496 + Y399</f>
        <v>25243</v>
      </c>
      <c r="Z251" s="839">
        <f>Z496 + Z399</f>
        <v>25102</v>
      </c>
      <c r="AA251" s="839">
        <f>AA496 + AA399</f>
        <v>26157</v>
      </c>
      <c r="AB251" s="840">
        <f>AB496 + AB399</f>
        <v>26443</v>
      </c>
      <c r="AC251" s="841">
        <f>AC496 + AC399</f>
        <v>27524</v>
      </c>
      <c r="AD251" s="841">
        <f>AD496 + AD399</f>
        <v>27874</v>
      </c>
      <c r="AE251" s="841">
        <f>AE496 + AE399</f>
        <v>29423</v>
      </c>
      <c r="AF251" s="841">
        <f>AF496 + AF399</f>
        <v>29067</v>
      </c>
      <c r="AG251" s="841">
        <f>AG496 + AG399</f>
        <v>29215</v>
      </c>
      <c r="AH251" s="841">
        <f>AH496 + AH399</f>
        <v>28866</v>
      </c>
      <c r="AI251" s="841">
        <f>AI496 + AI399</f>
        <v>28402</v>
      </c>
      <c r="AJ251" s="841">
        <f>AJ496 + AJ399</f>
        <v>26743</v>
      </c>
      <c r="AK251" s="841">
        <f>AK496 + AK399</f>
        <v>26748</v>
      </c>
      <c r="AL251" s="841">
        <f>AL496 + AL399</f>
        <v>25344</v>
      </c>
      <c r="AM251" s="841">
        <f>AM496 + AM399</f>
        <v>25690</v>
      </c>
      <c r="AN251" s="841">
        <f>AN496 + AN399</f>
        <v>24688</v>
      </c>
      <c r="AO251" s="841">
        <f>AO496 + AO399</f>
        <v>25060</v>
      </c>
      <c r="AP251" s="841">
        <f>AP496 + AP399</f>
        <v>24567</v>
      </c>
    </row>
    <row r="252" hidden="1" ht="12.75" customHeight="1">
      <c r="B252" s="842" t="s">
        <v>9</v>
      </c>
      <c r="C252" s="839">
        <f>C497 + C400</f>
        <v>3087</v>
      </c>
      <c r="D252" s="839">
        <f>D497 + D400</f>
        <v>2693</v>
      </c>
      <c r="E252" s="839">
        <f>E497 + E400</f>
        <v>3155</v>
      </c>
      <c r="F252" s="839">
        <f>F497 + F400</f>
        <v>2784</v>
      </c>
      <c r="G252" s="839">
        <f>G497 + G400</f>
        <v>3566</v>
      </c>
      <c r="H252" s="839">
        <f>H497 + H400</f>
        <v>3147</v>
      </c>
      <c r="I252" s="839">
        <f>I497 + I400</f>
        <v>3484</v>
      </c>
      <c r="J252" s="839">
        <f>J497 + J400</f>
        <v>3347</v>
      </c>
      <c r="K252" s="839">
        <f>K497 + K400</f>
        <v>3917</v>
      </c>
      <c r="L252" s="839">
        <f>L497 + L400</f>
        <v>3286</v>
      </c>
      <c r="M252" s="839">
        <f>M497 + M400</f>
        <v>3492</v>
      </c>
      <c r="N252" s="839">
        <f>N497 + N400</f>
        <v>3146</v>
      </c>
      <c r="O252" s="839">
        <f>O497 + O400</f>
        <v>3455</v>
      </c>
      <c r="P252" s="839">
        <f>P497 + P400</f>
        <v>2882</v>
      </c>
      <c r="Q252" s="839">
        <f>Q497 + Q400</f>
        <v>3388</v>
      </c>
      <c r="R252" s="839">
        <f>R497 + R400</f>
        <v>2862</v>
      </c>
      <c r="S252" s="839">
        <f>S497 + S400</f>
        <v>3278</v>
      </c>
      <c r="T252" s="839">
        <f>T497 + T400</f>
        <v>2817</v>
      </c>
      <c r="U252" s="839">
        <f>U497 + U400</f>
        <v>3220</v>
      </c>
      <c r="V252" s="839">
        <f>V497 + V400</f>
        <v>2786</v>
      </c>
      <c r="W252" s="839">
        <f>W497 + W400</f>
        <v>3298</v>
      </c>
      <c r="X252" s="839">
        <f>X497 + X400</f>
        <v>2987</v>
      </c>
      <c r="Y252" s="839">
        <f>Y497 + Y400</f>
        <v>3389</v>
      </c>
      <c r="Z252" s="839">
        <f>Z497 + Z400</f>
        <v>3046</v>
      </c>
      <c r="AA252" s="839">
        <f>AA497 + AA400</f>
        <v>3637</v>
      </c>
      <c r="AB252" s="839">
        <f>AB497 + AB400</f>
        <v>3514</v>
      </c>
      <c r="AC252" s="841">
        <f>AC497 + AC400</f>
        <v>3827</v>
      </c>
      <c r="AD252" s="841">
        <f>AD497 + AD400</f>
        <v>3429</v>
      </c>
      <c r="AE252" s="841">
        <f>AE497 + AE400</f>
        <v>3611</v>
      </c>
      <c r="AF252" s="841">
        <f>AF497 + AF400</f>
        <v>3526</v>
      </c>
      <c r="AG252" s="841">
        <f>AG497 + AG400</f>
        <v>3901</v>
      </c>
      <c r="AH252" s="841">
        <f>AH497 + AH400</f>
        <v>3479</v>
      </c>
      <c r="AI252" s="841">
        <f>AI497 + AI400</f>
        <v>3903</v>
      </c>
      <c r="AJ252" s="841">
        <f>AJ497 + AJ400</f>
        <v>3485</v>
      </c>
      <c r="AK252" s="841">
        <f>AK497 + AK400</f>
        <v>4244</v>
      </c>
      <c r="AL252" s="841">
        <f>AL497 + AL400</f>
        <v>3809</v>
      </c>
      <c r="AM252" s="841">
        <f>AM497 + AM400</f>
        <v>4498</v>
      </c>
      <c r="AN252" s="841">
        <f>AN497 + AN400</f>
        <v>3996</v>
      </c>
      <c r="AO252" s="841">
        <f>AO497 + AO400</f>
        <v>4832</v>
      </c>
      <c r="AP252" s="841">
        <f>AP497 + AP400</f>
        <v>4240</v>
      </c>
    </row>
    <row r="253" hidden="1" ht="12.75" customHeight="1">
      <c r="B253" s="842" t="s">
        <v>10</v>
      </c>
      <c r="C253" s="839">
        <f>C498 + C401</f>
        <v>9960</v>
      </c>
      <c r="D253" s="839">
        <f>D498 + D401</f>
        <v>9842</v>
      </c>
      <c r="E253" s="839">
        <f>E498 + E401</f>
        <v>10353</v>
      </c>
      <c r="F253" s="839">
        <f>F498 + F401</f>
        <v>10181</v>
      </c>
      <c r="G253" s="839">
        <f>G498 + G401</f>
        <v>7565</v>
      </c>
      <c r="H253" s="839">
        <f>H498 + H401</f>
        <v>7402</v>
      </c>
      <c r="I253" s="839">
        <f>I498 + I401</f>
        <v>7692</v>
      </c>
      <c r="J253" s="839">
        <f>J498 + J401</f>
        <v>7720</v>
      </c>
      <c r="K253" s="839">
        <f>K498 + K401</f>
        <v>10301</v>
      </c>
      <c r="L253" s="839">
        <f>L498 + L401</f>
        <v>10115</v>
      </c>
      <c r="M253" s="839">
        <f>M498 + M401</f>
        <v>10043</v>
      </c>
      <c r="N253" s="839">
        <f>N498 + N401</f>
        <v>9785</v>
      </c>
      <c r="O253" s="839">
        <f>O498 + O401</f>
        <v>9968</v>
      </c>
      <c r="P253" s="839">
        <f>P498 + P401</f>
        <v>9723</v>
      </c>
      <c r="Q253" s="839">
        <f>Q498 + Q401</f>
        <v>10184</v>
      </c>
      <c r="R253" s="839">
        <f>R498 + R401</f>
        <v>9963</v>
      </c>
      <c r="S253" s="839">
        <f>S498 + S401</f>
        <v>10499</v>
      </c>
      <c r="T253" s="839">
        <f>T498 + T401</f>
        <v>10397</v>
      </c>
      <c r="U253" s="839">
        <f>U498 + U401</f>
        <v>10739</v>
      </c>
      <c r="V253" s="839">
        <f>V498 + V401</f>
        <v>10546</v>
      </c>
      <c r="W253" s="839">
        <f>W498 + W401</f>
        <v>10968</v>
      </c>
      <c r="X253" s="839">
        <f>X498 + X401</f>
        <v>10812</v>
      </c>
      <c r="Y253" s="839">
        <f>Y498 + Y401</f>
        <v>11231</v>
      </c>
      <c r="Z253" s="839">
        <f>Z498 + Z401</f>
        <v>11106</v>
      </c>
      <c r="AA253" s="839">
        <f>AA498 + AA401</f>
        <v>8725</v>
      </c>
      <c r="AB253" s="839">
        <f>AB498 + AB401</f>
        <v>8654</v>
      </c>
      <c r="AC253" s="841">
        <f>AC498 + AC401</f>
        <v>9202</v>
      </c>
      <c r="AD253" s="841">
        <f>AD498 + AD401</f>
        <v>9204</v>
      </c>
      <c r="AE253" s="841">
        <f>AE498 + AE401</f>
        <v>9782</v>
      </c>
      <c r="AF253" s="841">
        <f>AF498 + AF401</f>
        <v>9619</v>
      </c>
      <c r="AG253" s="841">
        <f>AG498 + AG401</f>
        <v>10096</v>
      </c>
      <c r="AH253" s="841">
        <f>AH498 + AH401</f>
        <v>9685</v>
      </c>
      <c r="AI253" s="841">
        <f>AI498 + AI401</f>
        <v>9946</v>
      </c>
      <c r="AJ253" s="841">
        <f>AJ498 + AJ401</f>
        <v>9411</v>
      </c>
      <c r="AK253" s="841">
        <f>AK498 + AK401</f>
        <v>9907</v>
      </c>
      <c r="AL253" s="841">
        <f>AL498 + AL401</f>
        <v>9534</v>
      </c>
      <c r="AM253" s="841">
        <f>AM498 + AM401</f>
        <v>9784</v>
      </c>
      <c r="AN253" s="841">
        <f>AN498 + AN401</f>
        <v>9342</v>
      </c>
      <c r="AO253" s="841">
        <f>AO498 + AO401</f>
        <v>9617</v>
      </c>
      <c r="AP253" s="841">
        <f>AP498 + AP401</f>
        <v>9389</v>
      </c>
    </row>
    <row r="254" hidden="1" ht="12.75" customHeight="1">
      <c r="B254" s="842" t="s">
        <v>11</v>
      </c>
      <c r="C254" s="839">
        <f>C499 + C402</f>
        <v>759</v>
      </c>
      <c r="D254" s="839">
        <f>D499 + D402</f>
        <v>800</v>
      </c>
      <c r="E254" s="839">
        <f>E499 + E402</f>
        <v>780</v>
      </c>
      <c r="F254" s="839">
        <f>F499 + F402</f>
        <v>820</v>
      </c>
      <c r="G254" s="839">
        <f>G499 + G402</f>
        <v>616</v>
      </c>
      <c r="H254" s="839">
        <f>H499 + H402</f>
        <v>631</v>
      </c>
      <c r="I254" s="839">
        <f>I499 + I402</f>
        <v>562</v>
      </c>
      <c r="J254" s="839">
        <f>J499 + J402</f>
        <v>548</v>
      </c>
      <c r="K254" s="839">
        <f>K499 + K402</f>
        <v>514</v>
      </c>
      <c r="L254" s="839">
        <f>L499 + L402</f>
        <v>521</v>
      </c>
      <c r="M254" s="839">
        <f>M499 + M402</f>
        <v>498</v>
      </c>
      <c r="N254" s="839">
        <f>N499 + N402</f>
        <v>547</v>
      </c>
      <c r="O254" s="839">
        <f>O499 + O402</f>
        <v>429</v>
      </c>
      <c r="P254" s="839">
        <f>P499 + P402</f>
        <v>470</v>
      </c>
      <c r="Q254" s="839">
        <f>Q499 + Q402</f>
        <v>463</v>
      </c>
      <c r="R254" s="839">
        <f>R499 + R402</f>
        <v>485</v>
      </c>
      <c r="S254" s="839">
        <f>S499 + S402</f>
        <v>464</v>
      </c>
      <c r="T254" s="839">
        <f>T499 + T402</f>
        <v>481</v>
      </c>
      <c r="U254" s="839">
        <f>U499 + U402</f>
        <v>506</v>
      </c>
      <c r="V254" s="839">
        <f>V499 + V402</f>
        <v>479</v>
      </c>
      <c r="W254" s="839">
        <f>W499 + W402</f>
        <v>474</v>
      </c>
      <c r="X254" s="839">
        <f>X499 + X402</f>
        <v>475</v>
      </c>
      <c r="Y254" s="839">
        <f>Y499 + Y402</f>
        <v>463</v>
      </c>
      <c r="Z254" s="839">
        <f>Z499 + Z402</f>
        <v>465</v>
      </c>
      <c r="AA254" s="839">
        <f>AA499 + AA402</f>
        <v>479</v>
      </c>
      <c r="AB254" s="839">
        <f>AB499 + AB402</f>
        <v>512</v>
      </c>
      <c r="AC254" s="841">
        <f>AC499 + AC402</f>
        <v>496</v>
      </c>
      <c r="AD254" s="841">
        <f>AD499 + AD402</f>
        <v>561</v>
      </c>
      <c r="AE254" s="841">
        <f>AE499 + AE402</f>
        <v>641</v>
      </c>
      <c r="AF254" s="841">
        <f>AF499 + AF402</f>
        <v>776</v>
      </c>
      <c r="AG254" s="841">
        <f>AG499 + AG402</f>
        <v>756</v>
      </c>
      <c r="AH254" s="841">
        <f>AH499 + AH402</f>
        <v>744</v>
      </c>
      <c r="AI254" s="841">
        <f>AI499 + AI402</f>
        <v>739</v>
      </c>
      <c r="AJ254" s="841">
        <f>AJ499 + AJ402</f>
        <v>839</v>
      </c>
      <c r="AK254" s="841">
        <f>AK499 + AK402</f>
        <v>795</v>
      </c>
      <c r="AL254" s="841">
        <f>AL499 + AL402</f>
        <v>1145</v>
      </c>
      <c r="AM254" s="841">
        <f>AM499 + AM402</f>
        <v>1246</v>
      </c>
      <c r="AN254" s="841">
        <f>AN499 + AN402</f>
        <v>1284</v>
      </c>
      <c r="AO254" s="841">
        <f>AO499 + AO402</f>
        <v>1228</v>
      </c>
      <c r="AP254" s="841">
        <f>AP499 + AP402</f>
        <v>1217</v>
      </c>
    </row>
    <row r="255" hidden="1" ht="12.75" customHeight="1">
      <c r="B255" s="842" t="s">
        <v>12</v>
      </c>
      <c r="C255" s="839">
        <f>C500 + C403</f>
        <v>629</v>
      </c>
      <c r="D255" s="839">
        <f>D500 + D403</f>
        <v>633</v>
      </c>
      <c r="E255" s="839">
        <f>E500 + E403</f>
        <v>729</v>
      </c>
      <c r="F255" s="839">
        <f>F500 + F403</f>
        <v>749</v>
      </c>
      <c r="G255" s="839">
        <f>G500 + G403</f>
        <v>878</v>
      </c>
      <c r="H255" s="839">
        <f>H500 + H403</f>
        <v>905</v>
      </c>
      <c r="I255" s="839">
        <f>I500 + I403</f>
        <v>874</v>
      </c>
      <c r="J255" s="839">
        <f>J500 + J403</f>
        <v>886</v>
      </c>
      <c r="K255" s="839">
        <f>K500 + K403</f>
        <v>869</v>
      </c>
      <c r="L255" s="839">
        <f>L500 + L403</f>
        <v>862</v>
      </c>
      <c r="M255" s="839">
        <f>M500 + M403</f>
        <v>841</v>
      </c>
      <c r="N255" s="839">
        <f>N500 + N403</f>
        <v>811</v>
      </c>
      <c r="O255" s="839">
        <f>O500 + O403</f>
        <v>805</v>
      </c>
      <c r="P255" s="839">
        <f>P500 + P403</f>
        <v>805</v>
      </c>
      <c r="Q255" s="839">
        <f>Q500 + Q403</f>
        <v>800</v>
      </c>
      <c r="R255" s="839">
        <f>R500 + R403</f>
        <v>824</v>
      </c>
      <c r="S255" s="839">
        <f>S500 + S403</f>
        <v>809</v>
      </c>
      <c r="T255" s="839">
        <f>T500 + T403</f>
        <v>860</v>
      </c>
      <c r="U255" s="839">
        <f>U500 + U403</f>
        <v>823</v>
      </c>
      <c r="V255" s="839">
        <f>V500 + V403</f>
        <v>877</v>
      </c>
      <c r="W255" s="839">
        <f>W500 + W403</f>
        <v>865</v>
      </c>
      <c r="X255" s="839">
        <f>X500 + X403</f>
        <v>848</v>
      </c>
      <c r="Y255" s="839">
        <f>Y500 + Y403</f>
        <v>857</v>
      </c>
      <c r="Z255" s="839">
        <f>Z500 + Z403</f>
        <v>823</v>
      </c>
      <c r="AA255" s="839">
        <f>AA500 + AA403</f>
        <v>774</v>
      </c>
      <c r="AB255" s="839">
        <f>AB500 + AB403</f>
        <v>799</v>
      </c>
      <c r="AC255" s="841">
        <f>AC500 + AC403</f>
        <v>789</v>
      </c>
      <c r="AD255" s="841">
        <f>AD500 + AD403</f>
        <v>791</v>
      </c>
      <c r="AE255" s="841">
        <f>AE500 + AE403</f>
        <v>729</v>
      </c>
      <c r="AF255" s="841">
        <f>AF500 + AF403</f>
        <v>721</v>
      </c>
      <c r="AG255" s="841">
        <f>AG500 + AG403</f>
        <v>707</v>
      </c>
      <c r="AH255" s="841">
        <f>AH500 + AH403</f>
        <v>703</v>
      </c>
      <c r="AI255" s="841">
        <f>AI500 + AI403</f>
        <v>674</v>
      </c>
      <c r="AJ255" s="841">
        <f>AJ500 + AJ403</f>
        <v>614</v>
      </c>
      <c r="AK255" s="841">
        <f>AK500 + AK403</f>
        <v>613</v>
      </c>
      <c r="AL255" s="841">
        <f>AL500 + AL403</f>
        <v>678</v>
      </c>
      <c r="AM255" s="841">
        <f>AM500 + AM403</f>
        <v>674</v>
      </c>
      <c r="AN255" s="841">
        <f>AN500 + AN403</f>
        <v>624</v>
      </c>
      <c r="AO255" s="841">
        <f>AO500 + AO403</f>
        <v>585</v>
      </c>
      <c r="AP255" s="841">
        <f>AP500 + AP403</f>
        <v>567</v>
      </c>
    </row>
    <row r="256" hidden="1" ht="12.75" customHeight="1">
      <c r="B256" s="842" t="s">
        <v>13</v>
      </c>
      <c r="C256" s="839">
        <f>C501 + C404</f>
        <v>4515</v>
      </c>
      <c r="D256" s="839">
        <f>D501 + D404</f>
        <v>4317</v>
      </c>
      <c r="E256" s="839">
        <f>E501 + E404</f>
        <v>4486</v>
      </c>
      <c r="F256" s="839">
        <f>F501 + F404</f>
        <v>4277</v>
      </c>
      <c r="G256" s="839">
        <f>G501 + G404</f>
        <v>5191</v>
      </c>
      <c r="H256" s="839">
        <f>H501 + H404</f>
        <v>4959</v>
      </c>
      <c r="I256" s="839">
        <f>I501 + I404</f>
        <v>5147</v>
      </c>
      <c r="J256" s="839">
        <f>J501 + J404</f>
        <v>5067</v>
      </c>
      <c r="K256" s="839">
        <f>K501 + K404</f>
        <v>5469</v>
      </c>
      <c r="L256" s="839">
        <f>L501 + L404</f>
        <v>5898</v>
      </c>
      <c r="M256" s="839">
        <f>M501 + M404</f>
        <v>5139</v>
      </c>
      <c r="N256" s="839">
        <f>N501 + N404</f>
        <v>4753</v>
      </c>
      <c r="O256" s="839">
        <f>O501 + O404</f>
        <v>5000</v>
      </c>
      <c r="P256" s="839">
        <f>P501 + P404</f>
        <v>4785</v>
      </c>
      <c r="Q256" s="839">
        <f>Q501 + Q404</f>
        <v>5001</v>
      </c>
      <c r="R256" s="839">
        <f>R501 + R404</f>
        <v>4686</v>
      </c>
      <c r="S256" s="839">
        <f>S501 + S404</f>
        <v>5051</v>
      </c>
      <c r="T256" s="839">
        <f>T501 + T404</f>
        <v>4968</v>
      </c>
      <c r="U256" s="839">
        <f>U501 + U404</f>
        <v>5203</v>
      </c>
      <c r="V256" s="839">
        <f>V501 + V404</f>
        <v>5074</v>
      </c>
      <c r="W256" s="839">
        <f>W501 + W404</f>
        <v>5312</v>
      </c>
      <c r="X256" s="839">
        <f>X501 + X404</f>
        <v>5088</v>
      </c>
      <c r="Y256" s="839">
        <f>Y501 + Y404</f>
        <v>5234</v>
      </c>
      <c r="Z256" s="839">
        <f>Z501 + Z404</f>
        <v>4988</v>
      </c>
      <c r="AA256" s="839">
        <f>AA501 + AA404</f>
        <v>5314</v>
      </c>
      <c r="AB256" s="839">
        <f>AB501 + AB404</f>
        <v>5223</v>
      </c>
      <c r="AC256" s="841">
        <f>AC501 + AC404</f>
        <v>5735</v>
      </c>
      <c r="AD256" s="841">
        <f>AD501 + AD404</f>
        <v>5703</v>
      </c>
      <c r="AE256" s="841">
        <f>AE501 + AE404</f>
        <v>6028</v>
      </c>
      <c r="AF256" s="841">
        <f>AF501 + AF404</f>
        <v>5832</v>
      </c>
      <c r="AG256" s="841">
        <f>AG501 + AG404</f>
        <v>6534</v>
      </c>
      <c r="AH256" s="841">
        <f>AH501 + AH404</f>
        <v>6150</v>
      </c>
      <c r="AI256" s="841">
        <f>AI501 + AI404</f>
        <v>6614</v>
      </c>
      <c r="AJ256" s="841">
        <f>AJ501 + AJ404</f>
        <v>6152</v>
      </c>
      <c r="AK256" s="841">
        <f>AK501 + AK404</f>
        <v>6801</v>
      </c>
      <c r="AL256" s="841">
        <f>AL501 + AL404</f>
        <v>6607</v>
      </c>
      <c r="AM256" s="841">
        <f>AM501 + AM404</f>
        <v>7303</v>
      </c>
      <c r="AN256" s="841">
        <f>AN501 + AN404</f>
        <v>6944</v>
      </c>
      <c r="AO256" s="841">
        <f>AO501 + AO404</f>
        <v>7361</v>
      </c>
      <c r="AP256" s="841">
        <f>AP501 + AP404</f>
        <v>7163</v>
      </c>
    </row>
    <row r="257" hidden="1" ht="12.75" customHeight="1">
      <c r="B257" s="842" t="s">
        <v>109</v>
      </c>
      <c r="C257" s="839">
        <f>C502 + C405</f>
        <v>15056</v>
      </c>
      <c r="D257" s="839">
        <f>D502 + D405</f>
        <v>15100</v>
      </c>
      <c r="E257" s="839">
        <f>E502 + E405</f>
        <v>15324</v>
      </c>
      <c r="F257" s="839">
        <f>F502 + F405</f>
        <v>13402</v>
      </c>
      <c r="G257" s="839">
        <f>G502 + G405</f>
        <v>13223</v>
      </c>
      <c r="H257" s="839">
        <f>H502 + H405</f>
        <v>11973</v>
      </c>
      <c r="I257" s="839">
        <f>I502 + I405</f>
        <v>14401</v>
      </c>
      <c r="J257" s="839">
        <f>J502 + J405</f>
        <v>13481</v>
      </c>
      <c r="K257" s="839">
        <f>K502 + K405</f>
        <v>14585</v>
      </c>
      <c r="L257" s="839">
        <f>L502 + L405</f>
        <v>13055</v>
      </c>
      <c r="M257" s="839">
        <f>M502 + M405</f>
        <v>14026</v>
      </c>
      <c r="N257" s="839">
        <f>N502 + N405</f>
        <v>12542</v>
      </c>
      <c r="O257" s="839">
        <f>O502 + O405</f>
        <v>13556</v>
      </c>
      <c r="P257" s="839">
        <f>P502 + P405</f>
        <v>11891</v>
      </c>
      <c r="Q257" s="839">
        <f>Q502 + Q405</f>
        <v>13392</v>
      </c>
      <c r="R257" s="839">
        <f>R502 + R405</f>
        <v>12435</v>
      </c>
      <c r="S257" s="839">
        <f>S502 + S405</f>
        <v>13516</v>
      </c>
      <c r="T257" s="839">
        <f>T502 + T405</f>
        <v>12191</v>
      </c>
      <c r="U257" s="839">
        <f>U502 + U405</f>
        <v>13450</v>
      </c>
      <c r="V257" s="839">
        <f>V502 + V405</f>
        <v>13268</v>
      </c>
      <c r="W257" s="839">
        <f>W502 + W405</f>
        <v>15207</v>
      </c>
      <c r="X257" s="839">
        <f>X502 + X405</f>
        <v>15024</v>
      </c>
      <c r="Y257" s="839">
        <f>Y502 + Y405</f>
        <v>16329</v>
      </c>
      <c r="Z257" s="839">
        <f>Z502 + Z405</f>
        <v>15924</v>
      </c>
      <c r="AA257" s="839">
        <f>AA502 + AA405</f>
        <v>17807</v>
      </c>
      <c r="AB257" s="839">
        <f>AB502 + AB405</f>
        <v>17326</v>
      </c>
      <c r="AC257" s="841">
        <f>AC502 + AC405</f>
        <v>18548</v>
      </c>
      <c r="AD257" s="841">
        <f>AD502 + AD405</f>
        <v>18844</v>
      </c>
      <c r="AE257" s="841">
        <f>AE502 + AE405</f>
        <v>21325</v>
      </c>
      <c r="AF257" s="841">
        <f>AF502 + AF405</f>
        <v>21259</v>
      </c>
      <c r="AG257" s="841">
        <f>AG502 + AG405</f>
        <v>21801</v>
      </c>
      <c r="AH257" s="841">
        <f>AH502 + AH405</f>
        <v>21267</v>
      </c>
      <c r="AI257" s="841">
        <f>AI502 + AI405</f>
        <v>20677</v>
      </c>
      <c r="AJ257" s="841">
        <f>AJ502 + AJ405</f>
        <v>19654</v>
      </c>
      <c r="AK257" s="841">
        <f>AK502 + AK405</f>
        <v>19587</v>
      </c>
      <c r="AL257" s="841">
        <f>AL502 + AL405</f>
        <v>19251</v>
      </c>
      <c r="AM257" s="841">
        <f>AM502 + AM405</f>
        <v>20376</v>
      </c>
      <c r="AN257" s="841">
        <f>AN502 + AN405</f>
        <v>19438</v>
      </c>
      <c r="AO257" s="841">
        <f>AO502 + AO405</f>
        <v>19517</v>
      </c>
      <c r="AP257" s="841">
        <f>AP502 + AP405</f>
        <v>18492</v>
      </c>
    </row>
    <row r="258" hidden="1" ht="12.75" customHeight="1">
      <c r="B258" s="842" t="s">
        <v>110</v>
      </c>
      <c r="C258" s="839">
        <f>C503 + C406</f>
        <v>80086</v>
      </c>
      <c r="D258" s="839">
        <f>D503 + D406</f>
        <v>77119</v>
      </c>
      <c r="E258" s="839">
        <f>E503 + E406</f>
        <v>80029</v>
      </c>
      <c r="F258" s="839">
        <f>F503 + F406</f>
        <v>76127</v>
      </c>
      <c r="G258" s="839">
        <f>G503 + G406</f>
        <v>44923</v>
      </c>
      <c r="H258" s="839">
        <f>H503 + H406</f>
        <v>34995</v>
      </c>
      <c r="I258" s="839">
        <f>I503 + I406</f>
        <v>38359</v>
      </c>
      <c r="J258" s="839">
        <f>J503 + J406</f>
        <v>37127</v>
      </c>
      <c r="K258" s="839">
        <f>K503 + K406</f>
        <v>40689</v>
      </c>
      <c r="L258" s="839">
        <f>L503 + L406</f>
        <v>37258</v>
      </c>
      <c r="M258" s="839">
        <f>M503 + M406</f>
        <v>39164</v>
      </c>
      <c r="N258" s="839">
        <f>N503 + N406</f>
        <v>34750</v>
      </c>
      <c r="O258" s="839">
        <f>O503 + O406</f>
        <v>38680</v>
      </c>
      <c r="P258" s="839">
        <f>P503 + P406</f>
        <v>34407</v>
      </c>
      <c r="Q258" s="839">
        <f>Q503 + Q406</f>
        <v>37488</v>
      </c>
      <c r="R258" s="839">
        <f>R503 + R406</f>
        <v>34799</v>
      </c>
      <c r="S258" s="839">
        <f>S503 + S406</f>
        <v>38982</v>
      </c>
      <c r="T258" s="839">
        <f>T503 + T406</f>
        <v>36132</v>
      </c>
      <c r="U258" s="839">
        <f>U503 + U406</f>
        <v>40465</v>
      </c>
      <c r="V258" s="839">
        <f>V503 + V406</f>
        <v>37252</v>
      </c>
      <c r="W258" s="839">
        <f>W503 + W406</f>
        <v>38774</v>
      </c>
      <c r="X258" s="839">
        <f>X503 + X406</f>
        <v>36517</v>
      </c>
      <c r="Y258" s="839">
        <f>Y503 + Y406</f>
        <v>39543</v>
      </c>
      <c r="Z258" s="839">
        <f>Z503 + Z406</f>
        <v>38717</v>
      </c>
      <c r="AA258" s="839">
        <f>AA503 + AA406</f>
        <v>41633</v>
      </c>
      <c r="AB258" s="839">
        <f>AB503 + AB406</f>
        <v>38871</v>
      </c>
      <c r="AC258" s="841">
        <f>AC503 + AC406</f>
        <v>43307</v>
      </c>
      <c r="AD258" s="841">
        <f>AD503 + AD406</f>
        <v>40213</v>
      </c>
      <c r="AE258" s="841">
        <f>AE503 + AE406</f>
        <v>43621</v>
      </c>
      <c r="AF258" s="841">
        <f>AF503 + AF406</f>
        <v>40874</v>
      </c>
      <c r="AG258" s="841">
        <f>AG503 + AG406</f>
        <v>46000</v>
      </c>
      <c r="AH258" s="841">
        <f>AH503 + AH406</f>
        <v>43151</v>
      </c>
      <c r="AI258" s="841">
        <f>AI503 + AI406</f>
        <v>47306</v>
      </c>
      <c r="AJ258" s="841">
        <f>AJ503 + AJ406</f>
        <v>43296</v>
      </c>
      <c r="AK258" s="841">
        <f>AK503 + AK406</f>
        <v>46610</v>
      </c>
      <c r="AL258" s="841">
        <f>AL503 + AL406</f>
        <v>43356</v>
      </c>
      <c r="AM258" s="841">
        <f>AM503 + AM406</f>
        <v>47285</v>
      </c>
      <c r="AN258" s="841">
        <f>AN503 + AN406</f>
        <v>43427</v>
      </c>
      <c r="AO258" s="841">
        <f>AO503 + AO406</f>
        <v>46893</v>
      </c>
      <c r="AP258" s="841">
        <f>AP503 + AP406</f>
        <v>44691</v>
      </c>
    </row>
    <row r="259" hidden="1" ht="12.75" customHeight="1">
      <c r="B259" s="842" t="s">
        <v>16</v>
      </c>
      <c r="C259" s="839">
        <f>C504 + C407</f>
        <v>7517</v>
      </c>
      <c r="D259" s="839">
        <f>D504 + D407</f>
        <v>8135</v>
      </c>
      <c r="E259" s="839">
        <f>E504 + E407</f>
        <v>23601</v>
      </c>
      <c r="F259" s="839">
        <f>F504 + F407</f>
        <v>7690</v>
      </c>
      <c r="G259" s="839">
        <f>G504 + G407</f>
        <v>27698</v>
      </c>
      <c r="H259" s="839">
        <f>H504 + H407</f>
        <v>35384</v>
      </c>
      <c r="I259" s="839">
        <f>I504 + I407</f>
        <v>8280</v>
      </c>
      <c r="J259" s="839">
        <f>J504 + J407</f>
        <v>7533</v>
      </c>
      <c r="K259" s="839">
        <f>K504 + K407</f>
        <v>7740</v>
      </c>
      <c r="L259" s="839">
        <f>L504 + L407</f>
        <v>7317</v>
      </c>
      <c r="M259" s="839">
        <f>M504 + M407</f>
        <v>7622</v>
      </c>
      <c r="N259" s="839">
        <f>N504 + N407</f>
        <v>7716</v>
      </c>
      <c r="O259" s="839">
        <f>O504 + O407</f>
        <v>7934</v>
      </c>
      <c r="P259" s="839">
        <f>P504 + P407</f>
        <v>8269</v>
      </c>
      <c r="Q259" s="839">
        <f>Q504 + Q407</f>
        <v>9069</v>
      </c>
      <c r="R259" s="839">
        <f>R504 + R407</f>
        <v>0</v>
      </c>
      <c r="S259" s="839">
        <f>S504 + S407</f>
        <v>10941</v>
      </c>
      <c r="T259" s="839">
        <f>T504 + T407</f>
        <v>11519</v>
      </c>
      <c r="U259" s="839">
        <f>U504 + U407</f>
        <v>13443</v>
      </c>
      <c r="V259" s="839">
        <f>V504 + V407</f>
        <v>14550</v>
      </c>
      <c r="W259" s="839">
        <f>W504 + W407</f>
        <v>18166</v>
      </c>
      <c r="X259" s="839">
        <f>X504 + X407</f>
        <v>19808</v>
      </c>
      <c r="Y259" s="839">
        <f>Y504 + Y407</f>
        <v>21584</v>
      </c>
      <c r="Z259" s="839">
        <f>Z504 + Z407</f>
        <v>22561</v>
      </c>
      <c r="AA259" s="839">
        <f>AA504 + AA407</f>
        <v>24470</v>
      </c>
      <c r="AB259" s="839">
        <f>AB504 + AB407</f>
        <v>26627</v>
      </c>
      <c r="AC259" s="841">
        <f>AC504 + AC407</f>
        <v>30215</v>
      </c>
      <c r="AD259" s="841">
        <f>AD504 + AD407</f>
        <v>30781</v>
      </c>
      <c r="AE259" s="841">
        <f>AE504 + AE407</f>
        <v>33493</v>
      </c>
      <c r="AF259" s="841">
        <f>AF504 + AF407</f>
        <v>34547</v>
      </c>
      <c r="AG259" s="841">
        <f>AG504 + AG407</f>
        <v>27146</v>
      </c>
      <c r="AH259" s="841">
        <f>AH504 + AH407</f>
        <v>27851</v>
      </c>
      <c r="AI259" s="841">
        <f>AI504 + AI407</f>
        <v>28731</v>
      </c>
      <c r="AJ259" s="841">
        <f>AJ504 + AJ407</f>
        <v>30083</v>
      </c>
      <c r="AK259" s="841">
        <f>AK504 + AK407</f>
        <v>33279</v>
      </c>
      <c r="AL259" s="841">
        <f>AL504 + AL407</f>
        <v>35929</v>
      </c>
      <c r="AM259" s="841">
        <f>AM504 + AM407</f>
        <v>36666</v>
      </c>
      <c r="AN259" s="841">
        <f>AN504 + AN407</f>
        <v>37327</v>
      </c>
      <c r="AO259" s="841">
        <f>AO504 + AO407</f>
        <v>37819</v>
      </c>
      <c r="AP259" s="841">
        <f>AP504 + AP407</f>
        <v>37709</v>
      </c>
    </row>
    <row r="260" hidden="1" ht="12.75" customHeight="1">
      <c r="B260" s="842" t="s">
        <v>17</v>
      </c>
      <c r="C260" s="839">
        <f>C505 + C408</f>
        <v>28290</v>
      </c>
      <c r="D260" s="839">
        <f>D505 + D408</f>
        <v>27517</v>
      </c>
      <c r="E260" s="839">
        <f>E505 + E408</f>
        <v>28052</v>
      </c>
      <c r="F260" s="839">
        <f>F505 + F408</f>
        <v>27342</v>
      </c>
      <c r="G260" s="839">
        <f>G505 + G408</f>
        <v>28730</v>
      </c>
      <c r="H260" s="839">
        <f>H505 + H408</f>
        <v>27923</v>
      </c>
      <c r="I260" s="839">
        <f>I505 + I408</f>
        <v>28264</v>
      </c>
      <c r="J260" s="839">
        <f>J505 + J408</f>
        <v>27975</v>
      </c>
      <c r="K260" s="839">
        <f>K505 + K408</f>
        <v>28756</v>
      </c>
      <c r="L260" s="839">
        <f>L505 + L408</f>
        <v>28425</v>
      </c>
      <c r="M260" s="839">
        <f>M505 + M408</f>
        <v>28294</v>
      </c>
      <c r="N260" s="839">
        <f>N505 + N408</f>
        <v>26750</v>
      </c>
      <c r="O260" s="839">
        <f>O505 + O408</f>
        <v>25942</v>
      </c>
      <c r="P260" s="839">
        <f>P505 + P408</f>
        <v>25087</v>
      </c>
      <c r="Q260" s="839">
        <f>Q505 + Q408</f>
        <v>26127</v>
      </c>
      <c r="R260" s="839">
        <f>R505 + R408</f>
        <v>25171</v>
      </c>
      <c r="S260" s="839">
        <f>S505 + S408</f>
        <v>25712</v>
      </c>
      <c r="T260" s="839">
        <f>T505 + T408</f>
        <v>26881</v>
      </c>
      <c r="U260" s="839">
        <f>U505 + U408</f>
        <v>27008</v>
      </c>
      <c r="V260" s="839">
        <f>V505 + V408</f>
        <v>27241</v>
      </c>
      <c r="W260" s="839">
        <f>W505 + W408</f>
        <v>28497</v>
      </c>
      <c r="X260" s="839">
        <f>X505 + X408</f>
        <v>26888</v>
      </c>
      <c r="Y260" s="839">
        <f>Y505 + Y408</f>
        <v>27845</v>
      </c>
      <c r="Z260" s="839">
        <f>Z505 + Z408</f>
        <v>29458</v>
      </c>
      <c r="AA260" s="839">
        <f>AA505 + AA408</f>
        <v>29643</v>
      </c>
      <c r="AB260" s="839">
        <f>AB505 + AB408</f>
        <v>29396</v>
      </c>
      <c r="AC260" s="841">
        <f>AC505 + AC408</f>
        <v>29577</v>
      </c>
      <c r="AD260" s="841">
        <f>AD505 + AD408</f>
        <v>29864</v>
      </c>
      <c r="AE260" s="841">
        <f>AE505 + AE408</f>
        <v>30539</v>
      </c>
      <c r="AF260" s="841">
        <f>AF505 + AF408</f>
        <v>30741</v>
      </c>
      <c r="AG260" s="841">
        <f>AG505 + AG408</f>
        <v>30688</v>
      </c>
      <c r="AH260" s="841">
        <f>AH505 + AH408</f>
        <v>31082</v>
      </c>
      <c r="AI260" s="841">
        <f>AI505 + AI408</f>
        <v>30029</v>
      </c>
      <c r="AJ260" s="841">
        <f>AJ505 + AJ408</f>
        <v>30058</v>
      </c>
      <c r="AK260" s="841">
        <f>AK505 + AK408</f>
        <v>29499</v>
      </c>
      <c r="AL260" s="841">
        <f>AL505 + AL408</f>
        <v>29657</v>
      </c>
      <c r="AM260" s="841">
        <f>AM505 + AM408</f>
        <v>30210</v>
      </c>
      <c r="AN260" s="841">
        <f>AN505 + AN408</f>
        <v>31532</v>
      </c>
      <c r="AO260" s="841">
        <f>AO505 + AO408</f>
        <v>31810</v>
      </c>
      <c r="AP260" s="841">
        <f>AP505 + AP408</f>
        <v>33021</v>
      </c>
    </row>
    <row r="261" hidden="1" ht="12.75" customHeight="1">
      <c r="B261" s="842" t="s">
        <v>18</v>
      </c>
      <c r="C261" s="839">
        <f>C506 + C409</f>
        <v>4694</v>
      </c>
      <c r="D261" s="839">
        <f>D506 + D409</f>
        <v>4370</v>
      </c>
      <c r="E261" s="839">
        <f>E506 + E409</f>
        <v>4624</v>
      </c>
      <c r="F261" s="839">
        <f>F506 + F409</f>
        <v>4608</v>
      </c>
      <c r="G261" s="839">
        <f>G506 + G409</f>
        <v>18168</v>
      </c>
      <c r="H261" s="839">
        <f>H506 + H409</f>
        <v>6248</v>
      </c>
      <c r="I261" s="839">
        <f>I506 + I409</f>
        <v>6496</v>
      </c>
      <c r="J261" s="839">
        <f>J506 + J409</f>
        <v>5254</v>
      </c>
      <c r="K261" s="839">
        <f>K506 + K409</f>
        <v>5763</v>
      </c>
      <c r="L261" s="839">
        <f>L506 + L409</f>
        <v>5449</v>
      </c>
      <c r="M261" s="839">
        <f>M506 + M409</f>
        <v>5716</v>
      </c>
      <c r="N261" s="839">
        <f>N506 + N409</f>
        <v>5435</v>
      </c>
      <c r="O261" s="839">
        <f>O506 + O409</f>
        <v>5753</v>
      </c>
      <c r="P261" s="839">
        <f>P506 + P409</f>
        <v>5602</v>
      </c>
      <c r="Q261" s="839">
        <f>Q506 + Q409</f>
        <v>5912</v>
      </c>
      <c r="R261" s="839">
        <f>R506 + R409</f>
        <v>5384</v>
      </c>
      <c r="S261" s="839">
        <f>S506 + S409</f>
        <v>5819</v>
      </c>
      <c r="T261" s="839">
        <f>T506 + T409</f>
        <v>5798</v>
      </c>
      <c r="U261" s="839">
        <f>U506 + U409</f>
        <v>6144</v>
      </c>
      <c r="V261" s="839">
        <f>V506 + V409</f>
        <v>6012</v>
      </c>
      <c r="W261" s="839">
        <f>W506 + W409</f>
        <v>6372</v>
      </c>
      <c r="X261" s="839">
        <f>X506 + X409</f>
        <v>6152</v>
      </c>
      <c r="Y261" s="839">
        <f>Y506 + Y409</f>
        <v>6575</v>
      </c>
      <c r="Z261" s="839">
        <f>Z506 + Z409</f>
        <v>6398</v>
      </c>
      <c r="AA261" s="839">
        <f>AA506 + AA409</f>
        <v>6745</v>
      </c>
      <c r="AB261" s="839">
        <f>AB506 + AB409</f>
        <v>6912</v>
      </c>
      <c r="AC261" s="841">
        <f>AC506 + AC409</f>
        <v>7407</v>
      </c>
      <c r="AD261" s="841">
        <f>AD506 + AD409</f>
        <v>7442</v>
      </c>
      <c r="AE261" s="841">
        <f>AE506 + AE409</f>
        <v>8124</v>
      </c>
      <c r="AF261" s="841">
        <f>AF506 + AF409</f>
        <v>8258</v>
      </c>
      <c r="AG261" s="841">
        <f>AG506 + AG409</f>
        <v>8952</v>
      </c>
      <c r="AH261" s="841">
        <f>AH506 + AH409</f>
        <v>8989</v>
      </c>
      <c r="AI261" s="841">
        <f>AI506 + AI409</f>
        <v>9414</v>
      </c>
      <c r="AJ261" s="841">
        <f>AJ506 + AJ409</f>
        <v>9203</v>
      </c>
      <c r="AK261" s="841">
        <f>AK506 + AK409</f>
        <v>9685</v>
      </c>
      <c r="AL261" s="841">
        <f>AL506 + AL409</f>
        <v>9720</v>
      </c>
      <c r="AM261" s="841">
        <f>AM506 + AM409</f>
        <v>10142</v>
      </c>
      <c r="AN261" s="841">
        <f>AN506 + AN409</f>
        <v>9977</v>
      </c>
      <c r="AO261" s="841">
        <f>AO506 + AO409</f>
        <v>10263</v>
      </c>
      <c r="AP261" s="841">
        <f>AP506 + AP409</f>
        <v>9908</v>
      </c>
    </row>
    <row r="262" hidden="1" ht="12.75" customHeight="1">
      <c r="B262" s="842" t="s">
        <v>19</v>
      </c>
      <c r="C262" s="839">
        <f>C507 + C410</f>
        <v>7757</v>
      </c>
      <c r="D262" s="839">
        <f>D507 + D410</f>
        <v>6907</v>
      </c>
      <c r="E262" s="839">
        <f>E507 + E410</f>
        <v>7750</v>
      </c>
      <c r="F262" s="839">
        <f>F507 + F410</f>
        <v>6701</v>
      </c>
      <c r="G262" s="839">
        <f>G507 + G410</f>
        <v>8698</v>
      </c>
      <c r="H262" s="839">
        <f>H507 + H410</f>
        <v>9251</v>
      </c>
      <c r="I262" s="839">
        <f>I507 + I410</f>
        <v>8009</v>
      </c>
      <c r="J262" s="839">
        <f>J507 + J410</f>
        <v>7214</v>
      </c>
      <c r="K262" s="839">
        <f>K507 + K410</f>
        <v>7985</v>
      </c>
      <c r="L262" s="839">
        <f>L507 + L410</f>
        <v>7520</v>
      </c>
      <c r="M262" s="839">
        <f>M507 + M410</f>
        <v>6551</v>
      </c>
      <c r="N262" s="839">
        <f>N507 + N410</f>
        <v>5524</v>
      </c>
      <c r="O262" s="839">
        <f>O507 + O410</f>
        <v>5915</v>
      </c>
      <c r="P262" s="839">
        <f>P507 + P410</f>
        <v>4878</v>
      </c>
      <c r="Q262" s="839">
        <f>Q507 + Q410</f>
        <v>5501</v>
      </c>
      <c r="R262" s="839">
        <f>R507 + R410</f>
        <v>4826</v>
      </c>
      <c r="S262" s="839">
        <f>S507 + S410</f>
        <v>5489</v>
      </c>
      <c r="T262" s="839">
        <f>T507 + T410</f>
        <v>5408</v>
      </c>
      <c r="U262" s="839">
        <f>U507 + U410</f>
        <v>5887</v>
      </c>
      <c r="V262" s="839">
        <f>V507 + V410</f>
        <v>5459</v>
      </c>
      <c r="W262" s="839">
        <f>W507 + W410</f>
        <v>6222</v>
      </c>
      <c r="X262" s="839">
        <f>X507 + X410</f>
        <v>5651</v>
      </c>
      <c r="Y262" s="839">
        <f>Y507 + Y410</f>
        <v>6599</v>
      </c>
      <c r="Z262" s="839">
        <f>Z507 + Z410</f>
        <v>7081</v>
      </c>
      <c r="AA262" s="839">
        <f>AA507 + AA410</f>
        <v>7340</v>
      </c>
      <c r="AB262" s="839">
        <f>AB507 + AB410</f>
        <v>7200</v>
      </c>
      <c r="AC262" s="841">
        <f>AC507 + AC410</f>
        <v>8054</v>
      </c>
      <c r="AD262" s="841">
        <f>AD507 + AD410</f>
        <v>7501</v>
      </c>
      <c r="AE262" s="841">
        <f>AE507 + AE410</f>
        <v>8134</v>
      </c>
      <c r="AF262" s="841">
        <f>AF507 + AF410</f>
        <v>6736</v>
      </c>
      <c r="AG262" s="841">
        <f>AG507 + AG410</f>
        <v>7076</v>
      </c>
      <c r="AH262" s="841">
        <f>AH507 + AH410</f>
        <v>7147</v>
      </c>
      <c r="AI262" s="841">
        <f>AI507 + AI410</f>
        <v>7337</v>
      </c>
      <c r="AJ262" s="841">
        <f>AJ507 + AJ410</f>
        <v>6885</v>
      </c>
      <c r="AK262" s="841">
        <f>AK507 + AK410</f>
        <v>7750</v>
      </c>
      <c r="AL262" s="841">
        <f>AL507 + AL410</f>
        <v>8078</v>
      </c>
      <c r="AM262" s="841">
        <f>AM507 + AM410</f>
        <v>9883</v>
      </c>
      <c r="AN262" s="841">
        <f>AN507 + AN410</f>
        <v>8601</v>
      </c>
      <c r="AO262" s="841">
        <f>AO507 + AO410</f>
        <v>7186</v>
      </c>
      <c r="AP262" s="841">
        <f>AP507 + AP410</f>
        <v>7160</v>
      </c>
    </row>
    <row r="263" hidden="1" ht="12.75" customHeight="1">
      <c r="B263" s="842" t="s">
        <v>20</v>
      </c>
      <c r="C263" s="839">
        <f>C508 + C411</f>
        <v>5109</v>
      </c>
      <c r="D263" s="839">
        <f>D508 + D411</f>
        <v>5465</v>
      </c>
      <c r="E263" s="839">
        <f>E508 + E411</f>
        <v>3351</v>
      </c>
      <c r="F263" s="839">
        <f>F508 + F411</f>
        <v>3464</v>
      </c>
      <c r="G263" s="839">
        <f>G508 + G411</f>
        <v>2337</v>
      </c>
      <c r="H263" s="839">
        <f>H508 + H411</f>
        <v>2032</v>
      </c>
      <c r="I263" s="839">
        <f>I508 + I411</f>
        <v>2052</v>
      </c>
      <c r="J263" s="839">
        <f>J508 + J411</f>
        <v>2056</v>
      </c>
      <c r="K263" s="839">
        <f>K508 + K411</f>
        <v>1888</v>
      </c>
      <c r="L263" s="839">
        <f>L508 + L411</f>
        <v>1836</v>
      </c>
      <c r="M263" s="839">
        <f>M508 + M411</f>
        <v>1681</v>
      </c>
      <c r="N263" s="839">
        <f>N508 + N411</f>
        <v>1706</v>
      </c>
      <c r="O263" s="839">
        <f>O508 + O411</f>
        <v>1700</v>
      </c>
      <c r="P263" s="839">
        <f>P508 + P411</f>
        <v>1660</v>
      </c>
      <c r="Q263" s="839">
        <f>Q508 + Q411</f>
        <v>1734</v>
      </c>
      <c r="R263" s="839">
        <f>R508 + R411</f>
        <v>1846</v>
      </c>
      <c r="S263" s="839">
        <f>S508 + S411</f>
        <v>2067</v>
      </c>
      <c r="T263" s="839">
        <f>T508 + T411</f>
        <v>2042</v>
      </c>
      <c r="U263" s="839">
        <f>U508 + U411</f>
        <v>12705</v>
      </c>
      <c r="V263" s="839">
        <f>V508 + V411</f>
        <v>14774</v>
      </c>
      <c r="W263" s="839">
        <f>W508 + W411</f>
        <v>17656</v>
      </c>
      <c r="X263" s="839">
        <f>X508 + X411</f>
        <v>17836</v>
      </c>
      <c r="Y263" s="839">
        <f>Y508 + Y411</f>
        <v>17868</v>
      </c>
      <c r="Z263" s="839">
        <f>Z508 + Z411</f>
        <v>17905</v>
      </c>
      <c r="AA263" s="839">
        <f>AA508 + AA411</f>
        <v>18233</v>
      </c>
      <c r="AB263" s="839">
        <f>AB508 + AB411</f>
        <v>18327</v>
      </c>
      <c r="AC263" s="841">
        <f>AC508 + AC411</f>
        <v>18434</v>
      </c>
      <c r="AD263" s="841">
        <f>AD508 + AD411</f>
        <v>18404</v>
      </c>
      <c r="AE263" s="841">
        <f>AE508 + AE411</f>
        <v>18540</v>
      </c>
      <c r="AF263" s="841">
        <f>AF508 + AF411</f>
        <v>18348</v>
      </c>
      <c r="AG263" s="841">
        <f>AG508 + AG411</f>
        <v>18453</v>
      </c>
      <c r="AH263" s="841">
        <f>AH508 + AH411</f>
        <v>18331</v>
      </c>
      <c r="AI263" s="841">
        <f>AI508 + AI411</f>
        <v>18311</v>
      </c>
      <c r="AJ263" s="841">
        <f>AJ508 + AJ411</f>
        <v>18239</v>
      </c>
      <c r="AK263" s="841">
        <f>AK508 + AK411</f>
        <v>18217</v>
      </c>
      <c r="AL263" s="841">
        <f>AL508 + AL411</f>
        <v>17827</v>
      </c>
      <c r="AM263" s="841">
        <f>AM508 + AM411</f>
        <v>1093</v>
      </c>
      <c r="AN263" s="841">
        <f>AN508 + AN411</f>
        <v>1099</v>
      </c>
      <c r="AO263" s="841">
        <f>AO508 + AO411</f>
        <v>1062</v>
      </c>
      <c r="AP263" s="841">
        <f>AP508 + AP411</f>
        <v>1053</v>
      </c>
    </row>
    <row r="264" hidden="1" ht="12.75" customHeight="1">
      <c r="B264" s="842" t="s">
        <v>21</v>
      </c>
      <c r="C264" s="839">
        <f>C509 + C412</f>
        <v>2225</v>
      </c>
      <c r="D264" s="839">
        <f>D509 + D412</f>
        <v>1946</v>
      </c>
      <c r="E264" s="839">
        <f>E509 + E412</f>
        <v>2373</v>
      </c>
      <c r="F264" s="839">
        <f>F509 + F412</f>
        <v>1953</v>
      </c>
      <c r="G264" s="839">
        <f>G509 + G412</f>
        <v>2251</v>
      </c>
      <c r="H264" s="839">
        <f>H509 + H412</f>
        <v>1996</v>
      </c>
      <c r="I264" s="839">
        <f>I509 + I412</f>
        <v>2235</v>
      </c>
      <c r="J264" s="839">
        <f>J509 + J412</f>
        <v>2001</v>
      </c>
      <c r="K264" s="839">
        <f>K509 + K412</f>
        <v>2406</v>
      </c>
      <c r="L264" s="839">
        <f>L509 + L412</f>
        <v>2099</v>
      </c>
      <c r="M264" s="839">
        <f>M509 + M412</f>
        <v>2580</v>
      </c>
      <c r="N264" s="839">
        <f>N509 + N412</f>
        <v>2136</v>
      </c>
      <c r="O264" s="839">
        <f>O509 + O412</f>
        <v>2561</v>
      </c>
      <c r="P264" s="839">
        <f>P509 + P412</f>
        <v>2188</v>
      </c>
      <c r="Q264" s="839">
        <f>Q509 + Q412</f>
        <v>2417</v>
      </c>
      <c r="R264" s="839">
        <f>R509 + R412</f>
        <v>2095</v>
      </c>
      <c r="S264" s="839">
        <f>S509 + S412</f>
        <v>2413</v>
      </c>
      <c r="T264" s="839">
        <f>T509 + T412</f>
        <v>2056</v>
      </c>
      <c r="U264" s="839">
        <f>U509 + U412</f>
        <v>2399</v>
      </c>
      <c r="V264" s="839">
        <f>V509 + V412</f>
        <v>2080</v>
      </c>
      <c r="W264" s="839">
        <f>W509 + W412</f>
        <v>2388</v>
      </c>
      <c r="X264" s="839">
        <f>X509 + X412</f>
        <v>2123</v>
      </c>
      <c r="Y264" s="839">
        <f>Y509 + Y412</f>
        <v>2447</v>
      </c>
      <c r="Z264" s="839">
        <f>Z509 + Z412</f>
        <v>2218</v>
      </c>
      <c r="AA264" s="839">
        <f>AA509 + AA412</f>
        <v>2650</v>
      </c>
      <c r="AB264" s="839">
        <f>AB509 + AB412</f>
        <v>2412</v>
      </c>
      <c r="AC264" s="841">
        <f>AC509 + AC412</f>
        <v>2774</v>
      </c>
      <c r="AD264" s="841">
        <f>AD509 + AD412</f>
        <v>2553</v>
      </c>
      <c r="AE264" s="841">
        <f>AE509 + AE412</f>
        <v>2934</v>
      </c>
      <c r="AF264" s="841">
        <f>AF509 + AF412</f>
        <v>2598</v>
      </c>
      <c r="AG264" s="841">
        <f>AG509 + AG412</f>
        <v>2849</v>
      </c>
      <c r="AH264" s="841">
        <f>AH509 + AH412</f>
        <v>2696</v>
      </c>
      <c r="AI264" s="841">
        <f>AI509 + AI412</f>
        <v>3200</v>
      </c>
      <c r="AJ264" s="841">
        <f>AJ509 + AJ412</f>
        <v>2989</v>
      </c>
      <c r="AK264" s="841">
        <f>AK509 + AK412</f>
        <v>3168</v>
      </c>
      <c r="AL264" s="841">
        <f>AL509 + AL412</f>
        <v>2958</v>
      </c>
      <c r="AM264" s="841">
        <f>AM509 + AM412</f>
        <v>3256</v>
      </c>
      <c r="AN264" s="841">
        <f>AN509 + AN412</f>
        <v>2938</v>
      </c>
      <c r="AO264" s="841">
        <f>AO509 + AO412</f>
        <v>3408</v>
      </c>
      <c r="AP264" s="841">
        <f>AP509 + AP412</f>
        <v>3086</v>
      </c>
    </row>
    <row r="265" hidden="1" ht="12.75" customHeight="1">
      <c r="B265" s="842" t="s">
        <v>22</v>
      </c>
      <c r="C265" s="839">
        <f>C510 + C413</f>
        <v>5121</v>
      </c>
      <c r="D265" s="839">
        <f>D510 + D413</f>
        <v>5072</v>
      </c>
      <c r="E265" s="839">
        <f>E510 + E413</f>
        <v>5261</v>
      </c>
      <c r="F265" s="839">
        <f>F510 + F413</f>
        <v>4794</v>
      </c>
      <c r="G265" s="839">
        <f>G510 + G413</f>
        <v>6244</v>
      </c>
      <c r="H265" s="839">
        <f>H510 + H413</f>
        <v>7118</v>
      </c>
      <c r="I265" s="839">
        <f>I510 + I413</f>
        <v>6504</v>
      </c>
      <c r="J265" s="839">
        <f>J510 + J413</f>
        <v>6558</v>
      </c>
      <c r="K265" s="839">
        <f>K510 + K413</f>
        <v>7192</v>
      </c>
      <c r="L265" s="839">
        <f>L510 + L413</f>
        <v>7322</v>
      </c>
      <c r="M265" s="839">
        <f>M510 + M413</f>
        <v>7526</v>
      </c>
      <c r="N265" s="839">
        <f>N510 + N413</f>
        <v>7586</v>
      </c>
      <c r="O265" s="839">
        <f>O510 + O413</f>
        <v>7892</v>
      </c>
      <c r="P265" s="839">
        <f>P510 + P413</f>
        <v>7778</v>
      </c>
      <c r="Q265" s="839">
        <f>Q510 + Q413</f>
        <v>6318</v>
      </c>
      <c r="R265" s="839">
        <f>R510 + R413</f>
        <v>6267</v>
      </c>
      <c r="S265" s="839">
        <f>S510 + S413</f>
        <v>6490</v>
      </c>
      <c r="T265" s="839">
        <f>T510 + T413</f>
        <v>6079</v>
      </c>
      <c r="U265" s="839">
        <f>U510 + U413</f>
        <v>4516</v>
      </c>
      <c r="V265" s="839">
        <f>V510 + V413</f>
        <v>4659</v>
      </c>
      <c r="W265" s="839">
        <f>W510 + W413</f>
        <v>4730</v>
      </c>
      <c r="X265" s="839">
        <f>X510 + X413</f>
        <v>4564</v>
      </c>
      <c r="Y265" s="839">
        <f>Y510 + Y413</f>
        <v>4795</v>
      </c>
      <c r="Z265" s="839">
        <f>Z510 + Z413</f>
        <v>4577</v>
      </c>
      <c r="AA265" s="839">
        <f>AA510 + AA413</f>
        <v>4593</v>
      </c>
      <c r="AB265" s="839">
        <f>AB510 + AB413</f>
        <v>4453</v>
      </c>
      <c r="AC265" s="841">
        <f>AC510 + AC413</f>
        <v>4601</v>
      </c>
      <c r="AD265" s="841">
        <f>AD510 + AD413</f>
        <v>4384</v>
      </c>
      <c r="AE265" s="841">
        <f>AE510 + AE413</f>
        <v>4640</v>
      </c>
      <c r="AF265" s="841">
        <f>AF510 + AF413</f>
        <v>4549</v>
      </c>
      <c r="AG265" s="841">
        <f>AG510 + AG413</f>
        <v>4603</v>
      </c>
      <c r="AH265" s="841">
        <f>AH510 + AH413</f>
        <v>4531</v>
      </c>
      <c r="AI265" s="841">
        <f>AI510 + AI413</f>
        <v>4585</v>
      </c>
      <c r="AJ265" s="841">
        <f>AJ510 + AJ413</f>
        <v>4420</v>
      </c>
      <c r="AK265" s="841">
        <f>AK510 + AK413</f>
        <v>4457</v>
      </c>
      <c r="AL265" s="841">
        <f>AL510 + AL413</f>
        <v>4315</v>
      </c>
      <c r="AM265" s="841">
        <f>AM510 + AM413</f>
        <v>4494</v>
      </c>
      <c r="AN265" s="841">
        <f>AN510 + AN413</f>
        <v>4340</v>
      </c>
      <c r="AO265" s="841">
        <f>AO510 + AO413</f>
        <v>4515</v>
      </c>
      <c r="AP265" s="841">
        <f>AP510 + AP413</f>
        <v>4434</v>
      </c>
    </row>
    <row r="266" hidden="1" ht="12.75" customHeight="1">
      <c r="B266" s="842" t="s">
        <v>23</v>
      </c>
      <c r="C266" s="839">
        <f>C511 + C414</f>
        <v>1098</v>
      </c>
      <c r="D266" s="839">
        <f>D511 + D414</f>
        <v>981</v>
      </c>
      <c r="E266" s="839">
        <f>E511 + E414</f>
        <v>782</v>
      </c>
      <c r="F266" s="839">
        <f>F511 + F414</f>
        <v>676</v>
      </c>
      <c r="G266" s="839">
        <f>G511 + G414</f>
        <v>692</v>
      </c>
      <c r="H266" s="839">
        <f>H511 + H414</f>
        <v>654</v>
      </c>
      <c r="I266" s="839">
        <f>I511 + I414</f>
        <v>845</v>
      </c>
      <c r="J266" s="839">
        <f>J511 + J414</f>
        <v>781</v>
      </c>
      <c r="K266" s="839">
        <f>K511 + K414</f>
        <v>888</v>
      </c>
      <c r="L266" s="839">
        <f>L511 + L414</f>
        <v>784</v>
      </c>
      <c r="M266" s="839">
        <f>M511 + M414</f>
        <v>689</v>
      </c>
      <c r="N266" s="839">
        <f>N511 + N414</f>
        <v>687</v>
      </c>
      <c r="O266" s="839">
        <f>O511 + O414</f>
        <v>770</v>
      </c>
      <c r="P266" s="839">
        <f>P511 + P414</f>
        <v>673</v>
      </c>
      <c r="Q266" s="839">
        <f>Q511 + Q414</f>
        <v>700</v>
      </c>
      <c r="R266" s="839">
        <f>R511 + R414</f>
        <v>796</v>
      </c>
      <c r="S266" s="839">
        <f>S511 + S414</f>
        <v>895</v>
      </c>
      <c r="T266" s="839">
        <f>T511 + T414</f>
        <v>767</v>
      </c>
      <c r="U266" s="839">
        <f>U511 + U414</f>
        <v>785</v>
      </c>
      <c r="V266" s="839">
        <f>V511 + V414</f>
        <v>710</v>
      </c>
      <c r="W266" s="839">
        <f>W511 + W414</f>
        <v>974</v>
      </c>
      <c r="X266" s="839">
        <f>X511 + X414</f>
        <v>1020</v>
      </c>
      <c r="Y266" s="839">
        <f>Y511 + Y414</f>
        <v>1063</v>
      </c>
      <c r="Z266" s="839">
        <f>Z511 + Z414</f>
        <v>984</v>
      </c>
      <c r="AA266" s="839">
        <f>AA511 + AA414</f>
        <v>1081</v>
      </c>
      <c r="AB266" s="839">
        <f>AB511 + AB414</f>
        <v>968</v>
      </c>
      <c r="AC266" s="841">
        <f>AC511 + AC414</f>
        <v>1071</v>
      </c>
      <c r="AD266" s="841">
        <f>AD511 + AD414</f>
        <v>999</v>
      </c>
      <c r="AE266" s="841">
        <f>AE511 + AE414</f>
        <v>1047</v>
      </c>
      <c r="AF266" s="841">
        <f>AF511 + AF414</f>
        <v>1070</v>
      </c>
      <c r="AG266" s="841">
        <f>AG511 + AG414</f>
        <v>1086</v>
      </c>
      <c r="AH266" s="841">
        <f>AH511 + AH414</f>
        <v>945</v>
      </c>
      <c r="AI266" s="841">
        <f>AI511 + AI414</f>
        <v>1022</v>
      </c>
      <c r="AJ266" s="841">
        <f>AJ511 + AJ414</f>
        <v>872</v>
      </c>
      <c r="AK266" s="841">
        <f>AK511 + AK414</f>
        <v>974</v>
      </c>
      <c r="AL266" s="841">
        <f>AL511 + AL414</f>
        <v>846</v>
      </c>
      <c r="AM266" s="841">
        <f>AM511 + AM414</f>
        <v>984</v>
      </c>
      <c r="AN266" s="841">
        <f>AN511 + AN414</f>
        <v>818</v>
      </c>
      <c r="AO266" s="841">
        <f>AO511 + AO414</f>
        <v>853</v>
      </c>
      <c r="AP266" s="841">
        <f>AP511 + AP414</f>
        <v>828</v>
      </c>
    </row>
    <row r="267" hidden="1" ht="12.75" customHeight="1">
      <c r="B267" s="843" t="s">
        <v>24</v>
      </c>
      <c r="C267" s="839">
        <f>C512 + C415</f>
        <v>5639</v>
      </c>
      <c r="D267" s="839">
        <f>D512 + D415</f>
        <v>5098</v>
      </c>
      <c r="E267" s="839">
        <f>E512 + E415</f>
        <v>5660</v>
      </c>
      <c r="F267" s="839">
        <f>F512 + F415</f>
        <v>4744</v>
      </c>
      <c r="G267" s="839">
        <f>G512 + G415</f>
        <v>3654</v>
      </c>
      <c r="H267" s="839">
        <f>H512 + H415</f>
        <v>3449</v>
      </c>
      <c r="I267" s="839">
        <f>I512 + I415</f>
        <v>4073</v>
      </c>
      <c r="J267" s="839">
        <f>J512 + J415</f>
        <v>3717</v>
      </c>
      <c r="K267" s="839">
        <f>K512 + K415</f>
        <v>3944</v>
      </c>
      <c r="L267" s="839">
        <f>L512 + L415</f>
        <v>3452</v>
      </c>
      <c r="M267" s="839">
        <f>M512 + M415</f>
        <v>3667</v>
      </c>
      <c r="N267" s="839">
        <f>N512 + N415</f>
        <v>3223</v>
      </c>
      <c r="O267" s="839">
        <f>O512 + O415</f>
        <v>3573</v>
      </c>
      <c r="P267" s="839">
        <f>P512 + P415</f>
        <v>3045</v>
      </c>
      <c r="Q267" s="839">
        <f>Q512 + Q415</f>
        <v>3438</v>
      </c>
      <c r="R267" s="839">
        <f>R512 + R415</f>
        <v>2810</v>
      </c>
      <c r="S267" s="839">
        <f>S512 + S415</f>
        <v>3307</v>
      </c>
      <c r="T267" s="839">
        <f>T512 + T415</f>
        <v>2812</v>
      </c>
      <c r="U267" s="839">
        <f>U512 + U415</f>
        <v>3141</v>
      </c>
      <c r="V267" s="839">
        <f>V512 + V415</f>
        <v>2810</v>
      </c>
      <c r="W267" s="839">
        <f>W512 + W415</f>
        <v>3249</v>
      </c>
      <c r="X267" s="839">
        <f>X512 + X415</f>
        <v>2851</v>
      </c>
      <c r="Y267" s="839">
        <f>Y512 + Y415</f>
        <v>3307</v>
      </c>
      <c r="Z267" s="839">
        <f>Z512 + Z415</f>
        <v>3188</v>
      </c>
      <c r="AA267" s="839">
        <f>AA512 + AA415</f>
        <v>3537</v>
      </c>
      <c r="AB267" s="839">
        <f>AB512 + AB415</f>
        <v>3636</v>
      </c>
      <c r="AC267" s="841">
        <f>AC512 + AC415</f>
        <v>4251</v>
      </c>
      <c r="AD267" s="841">
        <f>AD512 + AD415</f>
        <v>3993</v>
      </c>
      <c r="AE267" s="841">
        <f>AE512 + AE415</f>
        <v>4199</v>
      </c>
      <c r="AF267" s="841">
        <f>AF512 + AF415</f>
        <v>3756</v>
      </c>
      <c r="AG267" s="841">
        <f>AG512 + AG415</f>
        <v>3900</v>
      </c>
      <c r="AH267" s="841">
        <f>AH512 + AH415</f>
        <v>3985</v>
      </c>
      <c r="AI267" s="841">
        <f>AI512 + AI415</f>
        <v>4273</v>
      </c>
      <c r="AJ267" s="841">
        <f>AJ512 + AJ415</f>
        <v>4137</v>
      </c>
      <c r="AK267" s="841">
        <f>AK512 + AK415</f>
        <v>4241</v>
      </c>
      <c r="AL267" s="841">
        <f>AL512 + AL415</f>
        <v>3930</v>
      </c>
      <c r="AM267" s="841">
        <f>AM512 + AM415</f>
        <v>4234</v>
      </c>
      <c r="AN267" s="841">
        <f>AN512 + AN415</f>
        <v>3902</v>
      </c>
      <c r="AO267" s="841">
        <f>AO512 + AO415</f>
        <v>4491</v>
      </c>
      <c r="AP267" s="841">
        <f>AP512 + AP415</f>
        <v>4439</v>
      </c>
    </row>
    <row r="268" hidden="1" ht="12.75" customHeight="1">
      <c r="B268" s="842" t="s">
        <v>25</v>
      </c>
      <c r="C268" s="839">
        <f>C513 + C416</f>
        <v>0</v>
      </c>
      <c r="D268" s="839">
        <f>D513 + D416</f>
        <v>0</v>
      </c>
      <c r="E268" s="839">
        <f>E513 + E416</f>
        <v>0</v>
      </c>
      <c r="F268" s="839">
        <f>F513 + F416</f>
        <v>0</v>
      </c>
      <c r="G268" s="839">
        <f>G513 + G416</f>
        <v>0</v>
      </c>
      <c r="H268" s="839">
        <f>H513 + H416</f>
        <v>0</v>
      </c>
      <c r="I268" s="839">
        <f>I513 + I416</f>
        <v>0</v>
      </c>
      <c r="J268" s="839">
        <f>J513 + J416</f>
        <v>0</v>
      </c>
      <c r="K268" s="839">
        <f>K513 + K416</f>
        <v>0</v>
      </c>
      <c r="L268" s="839">
        <f>L513 + L416</f>
        <v>0</v>
      </c>
      <c r="M268" s="839">
        <f>M513 + M416</f>
        <v>0</v>
      </c>
      <c r="N268" s="839">
        <f>N513 + N416</f>
        <v>0</v>
      </c>
      <c r="O268" s="839">
        <f>O513 + O416</f>
        <v>0</v>
      </c>
      <c r="P268" s="839">
        <f>P513 + P416</f>
        <v>0</v>
      </c>
      <c r="Q268" s="839">
        <f>Q513 + Q416</f>
        <v>0</v>
      </c>
      <c r="R268" s="839">
        <f>R513 + R416</f>
        <v>0</v>
      </c>
      <c r="S268" s="839">
        <f>S513 + S416</f>
        <v>0</v>
      </c>
      <c r="T268" s="839">
        <f>T513 + T416</f>
        <v>0</v>
      </c>
      <c r="U268" s="839">
        <f>U513 + U416</f>
        <v>0</v>
      </c>
      <c r="V268" s="839">
        <f>V513 + V416</f>
        <v>0</v>
      </c>
      <c r="W268" s="839">
        <f>W513 + W416</f>
        <v>0</v>
      </c>
      <c r="X268" s="839">
        <f>X513 + X416</f>
        <v>0</v>
      </c>
      <c r="Y268" s="839">
        <f>Y513 + Y416</f>
        <v>0</v>
      </c>
      <c r="Z268" s="839">
        <f>Z513 + Z416</f>
        <v>0</v>
      </c>
      <c r="AA268" s="839">
        <f>AA513 + AA416</f>
        <v>0</v>
      </c>
      <c r="AB268" s="839">
        <f>AB513 + AB416</f>
        <v>0</v>
      </c>
      <c r="AC268" s="841">
        <f>AC513 + AC416</f>
        <v>0</v>
      </c>
      <c r="AD268" s="841">
        <f>AD513 + AD416</f>
        <v>0</v>
      </c>
      <c r="AE268" s="841">
        <f>AE513 + AE416</f>
        <v>0</v>
      </c>
      <c r="AF268" s="841">
        <f>AF513 + AF416</f>
        <v>0</v>
      </c>
      <c r="AG268" s="841">
        <f>AG513 + AG416</f>
        <v>0</v>
      </c>
      <c r="AH268" s="841">
        <f>AH513 + AH416</f>
        <v>0</v>
      </c>
      <c r="AI268" s="841">
        <f>AI513 + AI416</f>
        <v>0</v>
      </c>
      <c r="AJ268" s="841">
        <f>AJ513 + AJ416</f>
        <v>0</v>
      </c>
      <c r="AK268" s="841">
        <f>AK513 + AK416</f>
        <v>0</v>
      </c>
      <c r="AL268" s="841">
        <f>AL513 + AL416</f>
        <v>0</v>
      </c>
      <c r="AM268" s="841">
        <f>AM513 + AM416</f>
        <v>68</v>
      </c>
      <c r="AN268" s="841">
        <f>AN513 + AN416</f>
        <v>0</v>
      </c>
      <c r="AO268" s="841">
        <f>AO513 + AO416</f>
        <v>0</v>
      </c>
      <c r="AP268" s="841">
        <f>AP513 + AP416</f>
        <v>0</v>
      </c>
    </row>
    <row r="269" hidden="1" ht="13.5" customHeight="1">
      <c r="B269" s="844" t="s">
        <v>26</v>
      </c>
      <c r="C269" s="839">
        <f>C514 + C417</f>
        <v>0</v>
      </c>
      <c r="D269" s="839">
        <f>D514 + D417</f>
        <v>0</v>
      </c>
      <c r="E269" s="839">
        <f>E514 + E417</f>
        <v>0</v>
      </c>
      <c r="F269" s="839">
        <f>F514 + F417</f>
        <v>0</v>
      </c>
      <c r="G269" s="839">
        <f>G514 + G417</f>
        <v>0</v>
      </c>
      <c r="H269" s="839">
        <f>H514 + H417</f>
        <v>0</v>
      </c>
      <c r="I269" s="839">
        <f>I514 + I417</f>
        <v>0</v>
      </c>
      <c r="J269" s="839">
        <f>J514 + J417</f>
        <v>0</v>
      </c>
      <c r="K269" s="839">
        <f>K514 + K417</f>
        <v>0</v>
      </c>
      <c r="L269" s="839">
        <f>L514 + L417</f>
        <v>0</v>
      </c>
      <c r="M269" s="839">
        <f>M514 + M417</f>
        <v>0</v>
      </c>
      <c r="N269" s="839">
        <f>N514 + N417</f>
        <v>0</v>
      </c>
      <c r="O269" s="839">
        <f>O514 + O417</f>
        <v>0</v>
      </c>
      <c r="P269" s="839">
        <f>P514 + P417</f>
        <v>0</v>
      </c>
      <c r="Q269" s="839">
        <f>Q514 + Q417</f>
        <v>0</v>
      </c>
      <c r="R269" s="839">
        <f>R514 + R417</f>
        <v>0</v>
      </c>
      <c r="S269" s="839">
        <f>S514 + S417</f>
        <v>0</v>
      </c>
      <c r="T269" s="839">
        <f>T514 + T417</f>
        <v>0</v>
      </c>
      <c r="U269" s="839">
        <f>U514 + U417</f>
        <v>0</v>
      </c>
      <c r="V269" s="839">
        <f>V514 + V417</f>
        <v>0</v>
      </c>
      <c r="W269" s="839">
        <f>W514 + W417</f>
        <v>0</v>
      </c>
      <c r="X269" s="839">
        <f>X514 + X417</f>
        <v>0</v>
      </c>
      <c r="Y269" s="839">
        <f>Y514 + Y417</f>
        <v>0</v>
      </c>
      <c r="Z269" s="839">
        <f>Z514 + Z417</f>
        <v>0</v>
      </c>
      <c r="AA269" s="839">
        <f>AA514 + AA417</f>
        <v>0</v>
      </c>
      <c r="AB269" s="845">
        <f>AB514 + AB417</f>
        <v>0</v>
      </c>
      <c r="AC269" s="841">
        <f>AC514 + AC417</f>
        <v>0</v>
      </c>
      <c r="AD269" s="841">
        <f>AD514 + AD417</f>
        <v>0</v>
      </c>
      <c r="AE269" s="841">
        <f>AE514 + AE417</f>
        <v>0</v>
      </c>
      <c r="AF269" s="841">
        <f>AF514 + AF417</f>
        <v>0</v>
      </c>
      <c r="AG269" s="841">
        <f>AG514 + AG417</f>
        <v>0</v>
      </c>
      <c r="AH269" s="841">
        <f>AH514 + AH417</f>
        <v>0</v>
      </c>
      <c r="AI269" s="841">
        <f>AI514 + AI417</f>
        <v>0</v>
      </c>
      <c r="AJ269" s="841">
        <f>AJ514 + AJ417</f>
        <v>0</v>
      </c>
      <c r="AK269" s="841">
        <f>AK514 + AK417</f>
        <v>0</v>
      </c>
      <c r="AL269" s="841">
        <f>AL514 + AL417</f>
        <v>0</v>
      </c>
      <c r="AM269" s="841">
        <f>AM514 + AM417</f>
        <v>3275</v>
      </c>
      <c r="AN269" s="841">
        <f>AN514 + AN417</f>
        <v>2477</v>
      </c>
      <c r="AO269" s="841">
        <f>AO514 + AO417</f>
        <v>2474</v>
      </c>
      <c r="AP269" s="841">
        <f>AP514 + AP417</f>
        <v>2489</v>
      </c>
    </row>
    <row r="270" hidden="1" ht="13.5" customHeight="1">
      <c r="B270" s="128" t="s">
        <v>7</v>
      </c>
      <c r="C270" s="129" t="str">
        <f>IF(SUM(C251:C269)&lt;&gt;0,SUM(C251:C269),"")</f>
      </c>
      <c r="D270" s="129" t="str">
        <f ref="D270:AA270" t="shared" si="15">IF(SUM(D251:D269)&lt;&gt;0,SUM(D251:D269),"")</f>
      </c>
      <c r="E270" s="129" t="str">
        <f t="shared" si="15"/>
      </c>
      <c r="F270" s="129" t="str">
        <f t="shared" si="15"/>
      </c>
      <c r="G270" s="129" t="str">
        <f t="shared" si="15"/>
      </c>
      <c r="H270" s="129" t="str">
        <f t="shared" si="15"/>
      </c>
      <c r="I270" s="129" t="str">
        <f t="shared" si="15"/>
      </c>
      <c r="J270" s="129" t="str">
        <f t="shared" si="15"/>
      </c>
      <c r="K270" s="129" t="str">
        <f t="shared" si="15"/>
      </c>
      <c r="L270" s="129" t="str">
        <f t="shared" si="15"/>
      </c>
      <c r="M270" s="129" t="str">
        <f t="shared" si="15"/>
      </c>
      <c r="N270" s="129" t="str">
        <f t="shared" si="15"/>
      </c>
      <c r="O270" s="129" t="str">
        <f t="shared" si="15"/>
      </c>
      <c r="P270" s="129" t="str">
        <f t="shared" si="15"/>
      </c>
      <c r="Q270" s="129" t="str">
        <f t="shared" si="15"/>
      </c>
      <c r="R270" s="129" t="str">
        <f t="shared" si="15"/>
      </c>
      <c r="S270" s="129" t="str">
        <f t="shared" si="15"/>
      </c>
      <c r="T270" s="129" t="str">
        <f t="shared" si="15"/>
      </c>
      <c r="U270" s="129" t="str">
        <f t="shared" si="15"/>
      </c>
      <c r="V270" s="129" t="str">
        <f t="shared" si="15"/>
      </c>
      <c r="W270" s="129" t="str">
        <f t="shared" si="15"/>
      </c>
      <c r="X270" s="129" t="str">
        <f t="shared" si="15"/>
      </c>
      <c r="Y270" s="129" t="str">
        <f t="shared" si="15"/>
      </c>
      <c r="Z270" s="129" t="str">
        <f t="shared" si="15"/>
      </c>
      <c r="AA270" s="129" t="str">
        <f t="shared" si="15"/>
      </c>
      <c r="AB270" s="130" t="str">
        <f>IF(SUM(AB251:AB269)&lt;&gt;0,SUM(AB251:AB269),"")</f>
      </c>
      <c r="AC270" s="91" t="str">
        <f ref="AC270:CN270" t="shared" si="16">IF(SUM(AC251:AC269)&lt;&gt;0,SUM(AC251:AC269),"")</f>
      </c>
      <c r="AD270" s="91" t="str">
        <f t="shared" si="16"/>
      </c>
      <c r="AE270" s="91" t="str">
        <f t="shared" si="16"/>
      </c>
      <c r="AF270" s="91" t="str">
        <f t="shared" si="16"/>
      </c>
      <c r="AG270" s="91" t="str">
        <f t="shared" si="16"/>
      </c>
      <c r="AH270" s="91" t="str">
        <f t="shared" si="16"/>
      </c>
      <c r="AI270" s="91" t="str">
        <f t="shared" si="16"/>
      </c>
      <c r="AJ270" s="91" t="str">
        <f t="shared" si="16"/>
      </c>
      <c r="AK270" s="91" t="str">
        <f t="shared" si="16"/>
      </c>
      <c r="AL270" s="91" t="str">
        <f t="shared" si="16"/>
      </c>
      <c r="AM270" s="91" t="str">
        <f t="shared" si="16"/>
      </c>
      <c r="AN270" s="91" t="str">
        <f t="shared" si="16"/>
      </c>
      <c r="AO270" s="91" t="str">
        <f t="shared" si="16"/>
      </c>
      <c r="AP270" s="91" t="str">
        <f t="shared" si="16"/>
      </c>
      <c r="AQ270" s="91" t="str">
        <f t="shared" si="16"/>
      </c>
      <c r="AR270" s="91" t="str">
        <f t="shared" si="16"/>
      </c>
      <c r="AS270" s="91" t="str">
        <f t="shared" si="16"/>
      </c>
      <c r="AT270" s="91" t="str">
        <f t="shared" si="16"/>
      </c>
      <c r="AU270" s="91" t="str">
        <f t="shared" si="16"/>
      </c>
      <c r="AV270" s="91" t="str">
        <f t="shared" si="16"/>
      </c>
      <c r="AW270" s="91" t="str">
        <f t="shared" si="16"/>
      </c>
      <c r="AX270" s="91" t="str">
        <f t="shared" si="16"/>
      </c>
      <c r="AY270" s="91" t="str">
        <f t="shared" si="16"/>
      </c>
      <c r="AZ270" s="91" t="str">
        <f t="shared" si="16"/>
      </c>
      <c r="BA270" s="91" t="str">
        <f t="shared" si="16"/>
      </c>
      <c r="BB270" s="91" t="str">
        <f t="shared" si="16"/>
      </c>
      <c r="BC270" s="91" t="str">
        <f t="shared" si="16"/>
      </c>
      <c r="BD270" s="91" t="str">
        <f t="shared" si="16"/>
      </c>
      <c r="BE270" s="91" t="str">
        <f t="shared" si="16"/>
      </c>
      <c r="BF270" s="91" t="str">
        <f t="shared" si="16"/>
      </c>
      <c r="BG270" s="91" t="str">
        <f t="shared" si="16"/>
      </c>
      <c r="BH270" s="91" t="str">
        <f t="shared" si="16"/>
      </c>
      <c r="BI270" s="91" t="str">
        <f t="shared" si="16"/>
      </c>
      <c r="BJ270" s="91" t="str">
        <f t="shared" si="16"/>
      </c>
      <c r="BK270" s="91" t="str">
        <f t="shared" si="16"/>
      </c>
      <c r="BL270" s="91" t="str">
        <f t="shared" si="16"/>
      </c>
      <c r="BM270" s="91" t="str">
        <f t="shared" si="16"/>
      </c>
      <c r="BN270" s="91" t="str">
        <f t="shared" si="16"/>
      </c>
      <c r="BO270" s="91" t="str">
        <f t="shared" si="16"/>
      </c>
      <c r="BP270" s="91" t="str">
        <f t="shared" si="16"/>
      </c>
      <c r="BQ270" s="91" t="str">
        <f t="shared" si="16"/>
      </c>
      <c r="BR270" s="91" t="str">
        <f t="shared" si="16"/>
      </c>
      <c r="BS270" s="91" t="str">
        <f t="shared" si="16"/>
      </c>
      <c r="BT270" s="91" t="str">
        <f t="shared" si="16"/>
      </c>
      <c r="BU270" s="91" t="str">
        <f t="shared" si="16"/>
      </c>
      <c r="BV270" s="91" t="str">
        <f t="shared" si="16"/>
      </c>
      <c r="BW270" s="91" t="str">
        <f t="shared" si="16"/>
      </c>
      <c r="BX270" s="91" t="str">
        <f t="shared" si="16"/>
      </c>
      <c r="BY270" s="91" t="str">
        <f t="shared" si="16"/>
      </c>
      <c r="BZ270" s="91" t="str">
        <f t="shared" si="16"/>
      </c>
      <c r="CA270" s="91" t="str">
        <f t="shared" si="16"/>
      </c>
      <c r="CB270" s="91" t="str">
        <f t="shared" si="16"/>
      </c>
      <c r="CC270" s="91" t="str">
        <f t="shared" si="16"/>
      </c>
      <c r="CD270" s="91" t="str">
        <f t="shared" si="16"/>
      </c>
      <c r="CE270" s="91" t="str">
        <f t="shared" si="16"/>
      </c>
      <c r="CF270" s="91" t="str">
        <f t="shared" si="16"/>
      </c>
      <c r="CG270" s="91" t="str">
        <f t="shared" si="16"/>
      </c>
      <c r="CH270" s="91" t="str">
        <f t="shared" si="16"/>
      </c>
      <c r="CI270" s="91" t="str">
        <f t="shared" si="16"/>
      </c>
      <c r="CJ270" s="91" t="str">
        <f t="shared" si="16"/>
      </c>
      <c r="CK270" s="91" t="str">
        <f t="shared" si="16"/>
      </c>
      <c r="CL270" s="91" t="str">
        <f t="shared" si="16"/>
      </c>
      <c r="CM270" s="91" t="str">
        <f t="shared" si="16"/>
      </c>
      <c r="CN270" s="91" t="str">
        <f t="shared" si="16"/>
      </c>
      <c r="CO270" s="91" t="str">
        <f ref="CO270:EZ270" t="shared" si="17">IF(SUM(CO251:CO269)&lt;&gt;0,SUM(CO251:CO269),"")</f>
      </c>
      <c r="CP270" s="91" t="str">
        <f t="shared" si="17"/>
      </c>
      <c r="CQ270" s="91" t="str">
        <f t="shared" si="17"/>
      </c>
      <c r="CR270" s="91" t="str">
        <f t="shared" si="17"/>
      </c>
      <c r="CS270" s="91" t="str">
        <f t="shared" si="17"/>
      </c>
      <c r="CT270" s="91" t="str">
        <f t="shared" si="17"/>
      </c>
      <c r="CU270" s="91" t="str">
        <f t="shared" si="17"/>
      </c>
      <c r="CV270" s="91" t="str">
        <f t="shared" si="17"/>
      </c>
      <c r="CW270" s="91" t="str">
        <f t="shared" si="17"/>
      </c>
      <c r="CX270" s="91" t="str">
        <f t="shared" si="17"/>
      </c>
      <c r="CY270" s="91" t="str">
        <f t="shared" si="17"/>
      </c>
      <c r="CZ270" s="91" t="str">
        <f t="shared" si="17"/>
      </c>
      <c r="DA270" s="91" t="str">
        <f t="shared" si="17"/>
      </c>
      <c r="DB270" s="91" t="str">
        <f t="shared" si="17"/>
      </c>
      <c r="DC270" s="91" t="str">
        <f t="shared" si="17"/>
      </c>
      <c r="DD270" s="91" t="str">
        <f t="shared" si="17"/>
      </c>
      <c r="DE270" s="91" t="str">
        <f t="shared" si="17"/>
      </c>
      <c r="DF270" s="91" t="str">
        <f t="shared" si="17"/>
      </c>
      <c r="DG270" s="91" t="str">
        <f t="shared" si="17"/>
      </c>
      <c r="DH270" s="91" t="str">
        <f t="shared" si="17"/>
      </c>
      <c r="DI270" s="91" t="str">
        <f t="shared" si="17"/>
      </c>
      <c r="DJ270" s="91" t="str">
        <f t="shared" si="17"/>
      </c>
      <c r="DK270" s="91" t="str">
        <f t="shared" si="17"/>
      </c>
      <c r="DL270" s="91" t="str">
        <f t="shared" si="17"/>
      </c>
      <c r="DM270" s="91" t="str">
        <f t="shared" si="17"/>
      </c>
      <c r="DN270" s="91" t="str">
        <f t="shared" si="17"/>
      </c>
      <c r="DO270" s="91" t="str">
        <f t="shared" si="17"/>
      </c>
      <c r="DP270" s="91" t="str">
        <f t="shared" si="17"/>
      </c>
      <c r="DQ270" s="91" t="str">
        <f t="shared" si="17"/>
      </c>
      <c r="DR270" s="91" t="str">
        <f t="shared" si="17"/>
      </c>
      <c r="DS270" s="91" t="str">
        <f t="shared" si="17"/>
      </c>
      <c r="DT270" s="91" t="str">
        <f t="shared" si="17"/>
      </c>
      <c r="DU270" s="91" t="str">
        <f t="shared" si="17"/>
      </c>
      <c r="DV270" s="91" t="str">
        <f t="shared" si="17"/>
      </c>
      <c r="DW270" s="91" t="str">
        <f t="shared" si="17"/>
      </c>
      <c r="DX270" s="91" t="str">
        <f t="shared" si="17"/>
      </c>
      <c r="DY270" s="91" t="str">
        <f t="shared" si="17"/>
      </c>
      <c r="DZ270" s="91" t="str">
        <f t="shared" si="17"/>
      </c>
      <c r="EA270" s="91" t="str">
        <f t="shared" si="17"/>
      </c>
      <c r="EB270" s="91" t="str">
        <f t="shared" si="17"/>
      </c>
      <c r="EC270" s="91" t="str">
        <f t="shared" si="17"/>
      </c>
      <c r="ED270" s="91" t="str">
        <f t="shared" si="17"/>
      </c>
      <c r="EE270" s="91" t="str">
        <f t="shared" si="17"/>
      </c>
      <c r="EF270" s="91" t="str">
        <f t="shared" si="17"/>
      </c>
      <c r="EG270" s="91" t="str">
        <f t="shared" si="17"/>
      </c>
      <c r="EH270" s="91" t="str">
        <f t="shared" si="17"/>
      </c>
      <c r="EI270" s="91" t="str">
        <f t="shared" si="17"/>
      </c>
      <c r="EJ270" s="91" t="str">
        <f t="shared" si="17"/>
      </c>
      <c r="EK270" s="91" t="str">
        <f t="shared" si="17"/>
      </c>
      <c r="EL270" s="91" t="str">
        <f t="shared" si="17"/>
      </c>
      <c r="EM270" s="91" t="str">
        <f t="shared" si="17"/>
      </c>
      <c r="EN270" s="91" t="str">
        <f t="shared" si="17"/>
      </c>
      <c r="EO270" s="91" t="str">
        <f t="shared" si="17"/>
      </c>
      <c r="EP270" s="91" t="str">
        <f t="shared" si="17"/>
      </c>
      <c r="EQ270" s="91" t="str">
        <f t="shared" si="17"/>
      </c>
      <c r="ER270" s="91" t="str">
        <f t="shared" si="17"/>
      </c>
      <c r="ES270" s="91" t="str">
        <f t="shared" si="17"/>
      </c>
      <c r="ET270" s="91" t="str">
        <f t="shared" si="17"/>
      </c>
      <c r="EU270" s="91" t="str">
        <f t="shared" si="17"/>
      </c>
      <c r="EV270" s="91" t="str">
        <f t="shared" si="17"/>
      </c>
      <c r="EW270" s="91" t="str">
        <f t="shared" si="17"/>
      </c>
      <c r="EX270" s="91" t="str">
        <f t="shared" si="17"/>
      </c>
      <c r="EY270" s="91" t="str">
        <f t="shared" si="17"/>
      </c>
      <c r="EZ270" s="91" t="str">
        <f t="shared" si="17"/>
      </c>
      <c r="FA270" s="91" t="str">
        <f ref="FA270:HL270" t="shared" si="18">IF(SUM(FA251:FA269)&lt;&gt;0,SUM(FA251:FA269),"")</f>
      </c>
      <c r="FB270" s="91" t="str">
        <f t="shared" si="18"/>
      </c>
      <c r="FC270" s="91" t="str">
        <f t="shared" si="18"/>
      </c>
      <c r="FD270" s="91" t="str">
        <f t="shared" si="18"/>
      </c>
      <c r="FE270" s="91" t="str">
        <f t="shared" si="18"/>
      </c>
      <c r="FF270" s="91" t="str">
        <f t="shared" si="18"/>
      </c>
      <c r="FG270" s="91" t="str">
        <f t="shared" si="18"/>
      </c>
      <c r="FH270" s="91" t="str">
        <f t="shared" si="18"/>
      </c>
      <c r="FI270" s="91" t="str">
        <f t="shared" si="18"/>
      </c>
      <c r="FJ270" s="91" t="str">
        <f t="shared" si="18"/>
      </c>
      <c r="FK270" s="91" t="str">
        <f t="shared" si="18"/>
      </c>
      <c r="FL270" s="91" t="str">
        <f t="shared" si="18"/>
      </c>
      <c r="FM270" s="91" t="str">
        <f t="shared" si="18"/>
      </c>
      <c r="FN270" s="91" t="str">
        <f t="shared" si="18"/>
      </c>
      <c r="FO270" s="91" t="str">
        <f t="shared" si="18"/>
      </c>
      <c r="FP270" s="91" t="str">
        <f t="shared" si="18"/>
      </c>
      <c r="FQ270" s="91" t="str">
        <f t="shared" si="18"/>
      </c>
      <c r="FR270" s="91" t="str">
        <f t="shared" si="18"/>
      </c>
      <c r="FS270" s="91" t="str">
        <f t="shared" si="18"/>
      </c>
      <c r="FT270" s="91" t="str">
        <f t="shared" si="18"/>
      </c>
      <c r="FU270" s="91" t="str">
        <f t="shared" si="18"/>
      </c>
      <c r="FV270" s="91" t="str">
        <f t="shared" si="18"/>
      </c>
      <c r="FW270" s="91" t="str">
        <f t="shared" si="18"/>
      </c>
      <c r="FX270" s="91" t="str">
        <f t="shared" si="18"/>
      </c>
      <c r="FY270" s="91" t="str">
        <f t="shared" si="18"/>
      </c>
      <c r="FZ270" s="91" t="str">
        <f t="shared" si="18"/>
      </c>
      <c r="GA270" s="91" t="str">
        <f t="shared" si="18"/>
      </c>
      <c r="GB270" s="91" t="str">
        <f t="shared" si="18"/>
      </c>
      <c r="GC270" s="91" t="str">
        <f t="shared" si="18"/>
      </c>
      <c r="GD270" s="91" t="str">
        <f t="shared" si="18"/>
      </c>
      <c r="GE270" s="91" t="str">
        <f t="shared" si="18"/>
      </c>
      <c r="GF270" s="91" t="str">
        <f t="shared" si="18"/>
      </c>
      <c r="GG270" s="91" t="str">
        <f t="shared" si="18"/>
      </c>
      <c r="GH270" s="91" t="str">
        <f t="shared" si="18"/>
      </c>
      <c r="GI270" s="91" t="str">
        <f t="shared" si="18"/>
      </c>
      <c r="GJ270" s="91" t="str">
        <f t="shared" si="18"/>
      </c>
      <c r="GK270" s="91" t="str">
        <f t="shared" si="18"/>
      </c>
      <c r="GL270" s="91" t="str">
        <f t="shared" si="18"/>
      </c>
      <c r="GM270" s="91" t="str">
        <f t="shared" si="18"/>
      </c>
      <c r="GN270" s="91" t="str">
        <f t="shared" si="18"/>
      </c>
      <c r="GO270" s="91" t="str">
        <f t="shared" si="18"/>
      </c>
      <c r="GP270" s="91" t="str">
        <f t="shared" si="18"/>
      </c>
      <c r="GQ270" s="91" t="str">
        <f t="shared" si="18"/>
      </c>
      <c r="GR270" s="91" t="str">
        <f t="shared" si="18"/>
      </c>
      <c r="GS270" s="91" t="str">
        <f t="shared" si="18"/>
      </c>
      <c r="GT270" s="91" t="str">
        <f t="shared" si="18"/>
      </c>
      <c r="GU270" s="91" t="str">
        <f t="shared" si="18"/>
      </c>
      <c r="GV270" s="91" t="str">
        <f t="shared" si="18"/>
      </c>
      <c r="GW270" s="91" t="str">
        <f t="shared" si="18"/>
      </c>
      <c r="GX270" s="91" t="str">
        <f t="shared" si="18"/>
      </c>
      <c r="GY270" s="91" t="str">
        <f t="shared" si="18"/>
      </c>
      <c r="GZ270" s="91" t="str">
        <f t="shared" si="18"/>
      </c>
      <c r="HA270" s="91" t="str">
        <f t="shared" si="18"/>
      </c>
      <c r="HB270" s="91" t="str">
        <f t="shared" si="18"/>
      </c>
      <c r="HC270" s="91" t="str">
        <f t="shared" si="18"/>
      </c>
      <c r="HD270" s="91" t="str">
        <f t="shared" si="18"/>
      </c>
      <c r="HE270" s="91" t="str">
        <f t="shared" si="18"/>
      </c>
      <c r="HF270" s="91" t="str">
        <f t="shared" si="18"/>
      </c>
      <c r="HG270" s="91" t="str">
        <f t="shared" si="18"/>
      </c>
      <c r="HH270" s="91" t="str">
        <f t="shared" si="18"/>
      </c>
      <c r="HI270" s="91" t="str">
        <f t="shared" si="18"/>
      </c>
      <c r="HJ270" s="91" t="str">
        <f t="shared" si="18"/>
      </c>
      <c r="HK270" s="91" t="str">
        <f t="shared" si="18"/>
      </c>
      <c r="HL270" s="91" t="str">
        <f t="shared" si="18"/>
      </c>
      <c r="HM270" s="91" t="str">
        <f ref="HM270:IV270" t="shared" si="19">IF(SUM(HM251:HM269)&lt;&gt;0,SUM(HM251:HM269),"")</f>
      </c>
      <c r="HN270" s="91" t="str">
        <f t="shared" si="19"/>
      </c>
      <c r="HO270" s="91" t="str">
        <f t="shared" si="19"/>
      </c>
      <c r="HP270" s="91" t="str">
        <f t="shared" si="19"/>
      </c>
      <c r="HQ270" s="91" t="str">
        <f t="shared" si="19"/>
      </c>
      <c r="HR270" s="91" t="str">
        <f t="shared" si="19"/>
      </c>
      <c r="HS270" s="91" t="str">
        <f t="shared" si="19"/>
      </c>
      <c r="HT270" s="91" t="str">
        <f t="shared" si="19"/>
      </c>
      <c r="HU270" s="91" t="str">
        <f t="shared" si="19"/>
      </c>
      <c r="HV270" s="91" t="str">
        <f t="shared" si="19"/>
      </c>
      <c r="HW270" s="91" t="str">
        <f t="shared" si="19"/>
      </c>
      <c r="HX270" s="91" t="str">
        <f t="shared" si="19"/>
      </c>
      <c r="HY270" s="91" t="str">
        <f t="shared" si="19"/>
      </c>
      <c r="HZ270" s="91" t="str">
        <f t="shared" si="19"/>
      </c>
      <c r="IA270" s="91" t="str">
        <f t="shared" si="19"/>
      </c>
      <c r="IB270" s="91" t="str">
        <f t="shared" si="19"/>
      </c>
      <c r="IC270" s="91" t="str">
        <f t="shared" si="19"/>
      </c>
      <c r="ID270" s="91" t="str">
        <f t="shared" si="19"/>
      </c>
      <c r="IE270" s="91" t="str">
        <f t="shared" si="19"/>
      </c>
      <c r="IF270" s="91" t="str">
        <f t="shared" si="19"/>
      </c>
      <c r="IG270" s="91" t="str">
        <f t="shared" si="19"/>
      </c>
      <c r="IH270" s="91" t="str">
        <f t="shared" si="19"/>
      </c>
      <c r="II270" s="91" t="str">
        <f t="shared" si="19"/>
      </c>
      <c r="IJ270" s="91" t="str">
        <f t="shared" si="19"/>
      </c>
      <c r="IK270" s="91" t="str">
        <f t="shared" si="19"/>
      </c>
      <c r="IL270" s="91" t="str">
        <f t="shared" si="19"/>
      </c>
      <c r="IM270" s="91" t="str">
        <f t="shared" si="19"/>
      </c>
      <c r="IN270" s="91" t="str">
        <f t="shared" si="19"/>
      </c>
      <c r="IO270" s="91" t="str">
        <f t="shared" si="19"/>
      </c>
      <c r="IP270" s="91" t="str">
        <f t="shared" si="19"/>
      </c>
      <c r="IQ270" s="91" t="str">
        <f t="shared" si="19"/>
      </c>
      <c r="IR270" s="91" t="str">
        <f t="shared" si="19"/>
      </c>
      <c r="IS270" s="91" t="str">
        <f t="shared" si="19"/>
      </c>
      <c r="IT270" s="91" t="str">
        <f t="shared" si="19"/>
      </c>
      <c r="IU270" s="91" t="str">
        <f t="shared" si="19"/>
      </c>
      <c r="IV270" s="91" t="str">
        <f t="shared" si="19"/>
      </c>
    </row>
    <row r="271" hidden="1" ht="12.75" customHeight="1">
      <c r="W271" s="50"/>
    </row>
    <row r="272" hidden="1" ht="13.5" customHeight="1">
      <c r="W272" s="50"/>
    </row>
    <row r="273" hidden="1" ht="13.5" customHeight="1">
      <c r="C273" s="617" t="s">
        <v>297</v>
      </c>
      <c r="D273" s="618"/>
      <c r="E273" s="618"/>
      <c r="F273" s="618"/>
      <c r="G273" s="618"/>
      <c r="H273" s="618"/>
      <c r="I273" s="618"/>
      <c r="J273" s="618"/>
      <c r="K273" s="618"/>
      <c r="L273" s="618"/>
      <c r="M273" s="618"/>
      <c r="N273" s="618"/>
      <c r="O273" s="618"/>
      <c r="P273" s="618"/>
      <c r="Q273" s="618"/>
      <c r="R273" s="618"/>
      <c r="S273" s="618"/>
      <c r="T273" s="618"/>
      <c r="U273" s="618"/>
      <c r="V273" s="618"/>
      <c r="W273" s="618"/>
      <c r="X273" s="618"/>
      <c r="Y273" s="618"/>
      <c r="Z273" s="618"/>
      <c r="AA273" s="618"/>
      <c r="AB273" s="619"/>
    </row>
    <row r="274" hidden="1" ht="13.5" customHeight="1">
      <c r="C274" s="435" t="str">
        <f> IF(C294&lt;&gt;"",TEXT(AUX!G$1,"dd-MMM-aa"),"")</f>
      </c>
      <c r="D274" s="435" t="str">
        <f> IF(D294&lt;&gt;"",TEXT(AUX!H$1,"dd-MMM-aa"),"")</f>
      </c>
      <c r="E274" s="435" t="str">
        <f> IF(E294&lt;&gt;"",TEXT(AUX!I$1,"dd-MMM-aa"),"")</f>
      </c>
      <c r="F274" s="435" t="str">
        <f> IF(F294&lt;&gt;"",TEXT(AUX!J$1,"dd-MMM-aa"),"")</f>
      </c>
      <c r="G274" s="435" t="str">
        <f> IF(G294&lt;&gt;"",TEXT(AUX!K$1,"dd-MMM-aa"),"")</f>
      </c>
      <c r="H274" s="435" t="str">
        <f> IF(H294&lt;&gt;"",TEXT(AUX!L$1,"dd-MMM-aa"),"")</f>
      </c>
      <c r="I274" s="435" t="str">
        <f> IF(I294&lt;&gt;"",TEXT(AUX!M$1,"dd-MMM-aa"),"")</f>
      </c>
      <c r="J274" s="435" t="str">
        <f> IF(J294&lt;&gt;"",TEXT(AUX!N$1,"dd-MMM-aa"),"")</f>
      </c>
      <c r="K274" s="435" t="str">
        <f> IF(K294&lt;&gt;"",TEXT(AUX!O$1,"dd-MMM-aa"),"")</f>
      </c>
      <c r="L274" s="435" t="str">
        <f> IF(L294&lt;&gt;"",TEXT(AUX!P$1,"dd-MMM-aa"),"")</f>
      </c>
      <c r="M274" s="435" t="str">
        <f> IF(M294&lt;&gt;"",TEXT(AUX!Q$1,"dd-MMM-aa"),"")</f>
      </c>
      <c r="N274" s="435" t="str">
        <f> IF(N294&lt;&gt;"",TEXT(AUX!R$1,"dd-MMM-aa"),"")</f>
      </c>
      <c r="O274" s="435" t="str">
        <f> IF(O294&lt;&gt;"",TEXT(AUX!S$1,"dd-MMM-aa"),"")</f>
      </c>
      <c r="P274" s="435" t="str">
        <f> IF(P294&lt;&gt;"",TEXT(AUX!T$1,"dd-MMM-aa"),"")</f>
      </c>
      <c r="Q274" s="435" t="str">
        <f> IF(Q294&lt;&gt;"",TEXT(AUX!U$1,"dd-MMM-aa"),"")</f>
      </c>
      <c r="R274" s="435" t="str">
        <f> IF(R294&lt;&gt;"",TEXT(AUX!V$1,"dd-MMM-aa"),"")</f>
      </c>
      <c r="S274" s="435" t="str">
        <f> IF(S294&lt;&gt;"",TEXT(AUX!W$1,"dd-MMM-aa"),"")</f>
      </c>
      <c r="T274" s="435" t="str">
        <f> IF(T294&lt;&gt;"",TEXT(AUX!X$1,"dd-MMM-aa"),"")</f>
      </c>
      <c r="U274" s="435" t="str">
        <f> IF(U294&lt;&gt;"",TEXT(AUX!Y$1,"dd-MMM-aa"),"")</f>
      </c>
      <c r="V274" s="435" t="str">
        <f> IF(V294&lt;&gt;"",TEXT(AUX!Z$1,"dd-MMM-aa"),"")</f>
      </c>
      <c r="W274" s="435" t="str">
        <f> IF(W294&lt;&gt;"",TEXT(AUX!AA$1,"dd-MMM-aa"),"")</f>
      </c>
      <c r="X274" s="435" t="str">
        <f> IF(X294&lt;&gt;"",TEXT(AUX!AB$1,"dd-MMM-aa"),"")</f>
      </c>
      <c r="Y274" s="435" t="str">
        <f> IF(Y294&lt;&gt;"",TEXT(AUX!AC$1,"dd-MMM-aa"),"")</f>
      </c>
      <c r="Z274" s="435" t="str">
        <f> IF(Z294&lt;&gt;"",TEXT(AUX!AD$1,"dd-MMM-aa"),"")</f>
      </c>
      <c r="AA274" s="435" t="str">
        <f> IF(AA294&lt;&gt;"",TEXT(AUX!AE$1,"dd-MMM-aa"),"")</f>
      </c>
      <c r="AB274" s="497" t="str">
        <f> IF(AB294&lt;&gt;"",TEXT(AUX!AF$1,"dd-MMM-aa"),"")</f>
      </c>
      <c r="AC274" s="496" t="str">
        <f> IF(AC294&lt;&gt;"",TEXT(AUX!AG$1,"dd-MMM-aa"),"")</f>
      </c>
      <c r="AD274" s="496" t="str">
        <f> IF(AD294&lt;&gt;"",TEXT(AUX!AH$1,"dd-MMM-aa"),"")</f>
      </c>
      <c r="AE274" s="496" t="str">
        <f> IF(AE294&lt;&gt;"",TEXT(AUX!AI$1,"dd-MMM-aa"),"")</f>
      </c>
      <c r="AF274" s="496" t="str">
        <f> IF(AF294&lt;&gt;"",TEXT(AUX!AJ$1,"dd-MMM-aa"),"")</f>
      </c>
      <c r="AG274" s="496" t="str">
        <f> IF(AG294&lt;&gt;"",TEXT(AUX!AK$1,"dd-MMM-aa"),"")</f>
      </c>
      <c r="AH274" s="496" t="str">
        <f> IF(AH294&lt;&gt;"",TEXT(AUX!AL$1,"dd-MMM-aa"),"")</f>
      </c>
      <c r="AI274" s="496" t="str">
        <f> IF(AI294&lt;&gt;"",TEXT(AUX!AM$1,"dd-MMM-aa"),"")</f>
      </c>
      <c r="AJ274" s="496" t="str">
        <f> IF(AJ294&lt;&gt;"",TEXT(AUX!AN$1,"dd-MMM-aa"),"")</f>
      </c>
      <c r="AK274" s="496" t="str">
        <f> IF(AK294&lt;&gt;"",TEXT(AUX!AO$1,"dd-MMM-aa"),"")</f>
      </c>
      <c r="AL274" s="496" t="str">
        <f> IF(AL294&lt;&gt;"",TEXT(AUX!AP$1,"dd-MMM-aa"),"")</f>
      </c>
      <c r="AM274" s="496" t="str">
        <f> IF(AM294&lt;&gt;"",TEXT(AUX!AQ$1,"dd-MMM-aa"),"")</f>
      </c>
      <c r="AN274" s="496" t="str">
        <f> IF(AN294&lt;&gt;"",TEXT(AUX!AR$1,"dd-MMM-aa"),"")</f>
      </c>
      <c r="AO274" s="496" t="str">
        <f> IF(AO294&lt;&gt;"",TEXT(AUX!AS$1,"dd-MMM-aa"),"")</f>
      </c>
      <c r="AP274" s="496" t="str">
        <f> IF(AP294&lt;&gt;"",TEXT(AUX!AT$1,"dd-MMM-aa"),"")</f>
      </c>
      <c r="AQ274" s="496" t="str">
        <f> IF(AQ294&lt;&gt;"",TEXT(AUX!AU$1,"dd-MMM-aa"),"")</f>
      </c>
      <c r="AR274" s="496" t="str">
        <f> IF(AR294&lt;&gt;"",TEXT(AUX!AV$1,"dd-MMM-aa"),"")</f>
      </c>
      <c r="AS274" s="496" t="str">
        <f> IF(AS294&lt;&gt;"",TEXT(AUX!AW$1,"dd-MMM-aa"),"")</f>
      </c>
      <c r="AT274" s="496" t="str">
        <f> IF(AT294&lt;&gt;"",TEXT(AUX!AX$1,"dd-MMM-aa"),"")</f>
      </c>
      <c r="AU274" s="496" t="str">
        <f> IF(AU294&lt;&gt;"",TEXT(AUX!AY$1,"dd-MMM-aa"),"")</f>
      </c>
      <c r="AV274" s="496" t="str">
        <f> IF(AV294&lt;&gt;"",TEXT(AUX!AZ$1,"dd-MMM-aa"),"")</f>
      </c>
      <c r="AW274" s="496" t="str">
        <f> IF(AW294&lt;&gt;"",TEXT(AUX!BA$1,"dd-MMM-aa"),"")</f>
      </c>
      <c r="AX274" s="496" t="str">
        <f> IF(AX294&lt;&gt;"",TEXT(AUX!BB$1,"dd-MMM-aa"),"")</f>
      </c>
      <c r="AY274" s="496" t="str">
        <f> IF(AY294&lt;&gt;"",TEXT(AUX!BC$1,"dd-MMM-aa"),"")</f>
      </c>
      <c r="AZ274" s="496" t="str">
        <f> IF(AZ294&lt;&gt;"",TEXT(AUX!BD$1,"dd-MMM-aa"),"")</f>
      </c>
      <c r="BA274" s="496" t="str">
        <f> IF(BA294&lt;&gt;"",TEXT(AUX!BE$1,"dd-MMM-aa"),"")</f>
      </c>
      <c r="BB274" s="496" t="str">
        <f> IF(BB294&lt;&gt;"",TEXT(AUX!BF$1,"dd-MMM-aa"),"")</f>
      </c>
      <c r="BC274" s="496" t="str">
        <f> IF(BC294&lt;&gt;"",TEXT(AUX!BG$1,"dd-MMM-aa"),"")</f>
      </c>
      <c r="BD274" s="496" t="str">
        <f> IF(BD294&lt;&gt;"",TEXT(AUX!BH$1,"dd-MMM-aa"),"")</f>
      </c>
      <c r="BE274" s="496" t="str">
        <f> IF(BE294&lt;&gt;"",TEXT(AUX!BI$1,"dd-MMM-aa"),"")</f>
      </c>
      <c r="BF274" s="496" t="str">
        <f> IF(BF294&lt;&gt;"",TEXT(AUX!BJ$1,"dd-MMM-aa"),"")</f>
      </c>
      <c r="BG274" s="496" t="str">
        <f> IF(BG294&lt;&gt;"",TEXT(AUX!BK$1,"dd-MMM-aa"),"")</f>
      </c>
      <c r="BH274" s="496" t="str">
        <f> IF(BH294&lt;&gt;"",TEXT(AUX!BL$1,"dd-MMM-aa"),"")</f>
      </c>
      <c r="BI274" s="496" t="str">
        <f> IF(BI294&lt;&gt;"",TEXT(AUX!BM$1,"dd-MMM-aa"),"")</f>
      </c>
      <c r="BJ274" s="496" t="str">
        <f> IF(BJ294&lt;&gt;"",TEXT(AUX!BN$1,"dd-MMM-aa"),"")</f>
      </c>
      <c r="BK274" s="496" t="str">
        <f> IF(BK294&lt;&gt;"",TEXT(AUX!BO$1,"dd-MMM-aa"),"")</f>
      </c>
      <c r="BL274" s="496" t="str">
        <f> IF(BL294&lt;&gt;"",TEXT(AUX!BP$1,"dd-MMM-aa"),"")</f>
      </c>
      <c r="BM274" s="496" t="str">
        <f> IF(BM294&lt;&gt;"",TEXT(AUX!BQ$1,"dd-MMM-aa"),"")</f>
      </c>
      <c r="BN274" s="496" t="str">
        <f> IF(BN294&lt;&gt;"",TEXT(AUX!BR$1,"dd-MMM-aa"),"")</f>
      </c>
      <c r="BO274" s="496" t="str">
        <f> IF(BO294&lt;&gt;"",TEXT(AUX!BS$1,"dd-MMM-aa"),"")</f>
      </c>
      <c r="BP274" s="496" t="str">
        <f> IF(BP294&lt;&gt;"",TEXT(AUX!BT$1,"dd-MMM-aa"),"")</f>
      </c>
      <c r="BQ274" s="496" t="str">
        <f> IF(BQ294&lt;&gt;"",TEXT(AUX!BU$1,"dd-MMM-aa"),"")</f>
      </c>
      <c r="BR274" s="496" t="str">
        <f> IF(BR294&lt;&gt;"",TEXT(AUX!BV$1,"dd-MMM-aa"),"")</f>
      </c>
      <c r="BS274" s="496" t="str">
        <f> IF(BS294&lt;&gt;"",TEXT(AUX!BW$1,"dd-MMM-aa"),"")</f>
      </c>
      <c r="BT274" s="496" t="str">
        <f> IF(BT294&lt;&gt;"",TEXT(AUX!BX$1,"dd-MMM-aa"),"")</f>
      </c>
      <c r="BU274" s="496" t="str">
        <f> IF(BU294&lt;&gt;"",TEXT(AUX!BY$1,"dd-MMM-aa"),"")</f>
      </c>
      <c r="BV274" s="496" t="str">
        <f> IF(BV294&lt;&gt;"",TEXT(AUX!BZ$1,"dd-MMM-aa"),"")</f>
      </c>
      <c r="BW274" s="496" t="str">
        <f> IF(BW294&lt;&gt;"",TEXT(AUX!CA$1,"dd-MMM-aa"),"")</f>
      </c>
      <c r="BX274" s="496" t="str">
        <f> IF(BX294&lt;&gt;"",TEXT(AUX!CB$1,"dd-MMM-aa"),"")</f>
      </c>
      <c r="BY274" s="496" t="str">
        <f> IF(BY294&lt;&gt;"",TEXT(AUX!CC$1,"dd-MMM-aa"),"")</f>
      </c>
      <c r="BZ274" s="496" t="str">
        <f> IF(BZ294&lt;&gt;"",TEXT(AUX!CD$1,"dd-MMM-aa"),"")</f>
      </c>
      <c r="CA274" s="496" t="str">
        <f> IF(CA294&lt;&gt;"",TEXT(AUX!CE$1,"dd-MMM-aa"),"")</f>
      </c>
      <c r="CB274" s="496" t="str">
        <f> IF(CB294&lt;&gt;"",TEXT(AUX!CF$1,"dd-MMM-aa"),"")</f>
      </c>
      <c r="CC274" s="496" t="str">
        <f> IF(CC294&lt;&gt;"",TEXT(AUX!CG$1,"dd-MMM-aa"),"")</f>
      </c>
      <c r="CD274" s="496" t="str">
        <f> IF(CD294&lt;&gt;"",TEXT(AUX!CH$1,"dd-MMM-aa"),"")</f>
      </c>
      <c r="CE274" s="496" t="str">
        <f> IF(CE294&lt;&gt;"",TEXT(AUX!CI$1,"dd-MMM-aa"),"")</f>
      </c>
      <c r="CF274" s="496" t="str">
        <f> IF(CF294&lt;&gt;"",TEXT(AUX!CJ$1,"dd-MMM-aa"),"")</f>
      </c>
      <c r="CG274" s="496" t="str">
        <f> IF(CG294&lt;&gt;"",TEXT(AUX!CK$1,"dd-MMM-aa"),"")</f>
      </c>
      <c r="CH274" s="496" t="str">
        <f> IF(CH294&lt;&gt;"",TEXT(AUX!CL$1,"dd-MMM-aa"),"")</f>
      </c>
      <c r="CI274" s="496" t="str">
        <f> IF(CI294&lt;&gt;"",TEXT(AUX!CM$1,"dd-MMM-aa"),"")</f>
      </c>
      <c r="CJ274" s="496" t="str">
        <f> IF(CJ294&lt;&gt;"",TEXT(AUX!CN$1,"dd-MMM-aa"),"")</f>
      </c>
      <c r="CK274" s="496" t="str">
        <f> IF(CK294&lt;&gt;"",TEXT(AUX!CO$1,"dd-MMM-aa"),"")</f>
      </c>
      <c r="CL274" s="496" t="str">
        <f> IF(CL294&lt;&gt;"",TEXT(AUX!CP$1,"dd-MMM-aa"),"")</f>
      </c>
      <c r="CM274" s="496" t="str">
        <f> IF(CM294&lt;&gt;"",TEXT(AUX!CQ$1,"dd-MMM-aa"),"")</f>
      </c>
      <c r="CN274" s="496" t="str">
        <f> IF(CN294&lt;&gt;"",TEXT(AUX!CR$1,"dd-MMM-aa"),"")</f>
      </c>
      <c r="CO274" s="496" t="str">
        <f> IF(CO294&lt;&gt;"",TEXT(AUX!CS$1,"dd-MMM-aa"),"")</f>
      </c>
      <c r="CP274" s="496" t="str">
        <f> IF(CP294&lt;&gt;"",TEXT(AUX!CT$1,"dd-MMM-aa"),"")</f>
      </c>
      <c r="CQ274" s="496" t="str">
        <f> IF(CQ294&lt;&gt;"",TEXT(AUX!CU$1,"dd-MMM-aa"),"")</f>
      </c>
      <c r="CR274" s="496" t="str">
        <f> IF(CR294&lt;&gt;"",TEXT(AUX!CV$1,"dd-MMM-aa"),"")</f>
      </c>
      <c r="CS274" s="496" t="str">
        <f> IF(CS294&lt;&gt;"",TEXT(AUX!CW$1,"dd-MMM-aa"),"")</f>
      </c>
      <c r="CT274" s="496" t="str">
        <f> IF(CT294&lt;&gt;"",TEXT(AUX!CX$1,"dd-MMM-aa"),"")</f>
      </c>
      <c r="CU274" s="496" t="str">
        <f> IF(CU294&lt;&gt;"",TEXT(AUX!CY$1,"dd-MMM-aa"),"")</f>
      </c>
      <c r="CV274" s="496" t="str">
        <f> IF(CV294&lt;&gt;"",TEXT(AUX!CZ$1,"dd-MMM-aa"),"")</f>
      </c>
      <c r="CW274" s="496" t="str">
        <f> IF(CW294&lt;&gt;"",TEXT(AUX!DA$1,"dd-MMM-aa"),"")</f>
      </c>
      <c r="CX274" s="496" t="str">
        <f> IF(CX294&lt;&gt;"",TEXT(AUX!DB$1,"dd-MMM-aa"),"")</f>
      </c>
      <c r="CY274" s="496" t="str">
        <f> IF(CY294&lt;&gt;"",TEXT(AUX!DC$1,"dd-MMM-aa"),"")</f>
      </c>
      <c r="CZ274" s="496" t="str">
        <f> IF(CZ294&lt;&gt;"",TEXT(AUX!DD$1,"dd-MMM-aa"),"")</f>
      </c>
      <c r="DA274" s="496" t="str">
        <f> IF(DA294&lt;&gt;"",TEXT(AUX!DE$1,"dd-MMM-aa"),"")</f>
      </c>
      <c r="DB274" s="496" t="str">
        <f> IF(DB294&lt;&gt;"",TEXT(AUX!DF$1,"dd-MMM-aa"),"")</f>
      </c>
      <c r="DC274" s="496" t="str">
        <f> IF(DC294&lt;&gt;"",TEXT(AUX!DG$1,"dd-MMM-aa"),"")</f>
      </c>
      <c r="DD274" s="496" t="str">
        <f> IF(DD294&lt;&gt;"",TEXT(AUX!DH$1,"dd-MMM-aa"),"")</f>
      </c>
      <c r="DE274" s="496" t="str">
        <f> IF(DE294&lt;&gt;"",TEXT(AUX!DI$1,"dd-MMM-aa"),"")</f>
      </c>
      <c r="DF274" s="496" t="str">
        <f> IF(DF294&lt;&gt;"",TEXT(AUX!DJ$1,"dd-MMM-aa"),"")</f>
      </c>
      <c r="DG274" s="496" t="str">
        <f> IF(DG294&lt;&gt;"",TEXT(AUX!DK$1,"dd-MMM-aa"),"")</f>
      </c>
      <c r="DH274" s="496" t="str">
        <f> IF(DH294&lt;&gt;"",TEXT(AUX!DL$1,"dd-MMM-aa"),"")</f>
      </c>
      <c r="DI274" s="496" t="str">
        <f> IF(DI294&lt;&gt;"",TEXT(AUX!DM$1,"dd-MMM-aa"),"")</f>
      </c>
      <c r="DJ274" s="496" t="str">
        <f> IF(DJ294&lt;&gt;"",TEXT(AUX!DN$1,"dd-MMM-aa"),"")</f>
      </c>
      <c r="DK274" s="496" t="str">
        <f> IF(DK294&lt;&gt;"",TEXT(AUX!DO$1,"dd-MMM-aa"),"")</f>
      </c>
      <c r="DL274" s="496" t="str">
        <f> IF(DL294&lt;&gt;"",TEXT(AUX!DP$1,"dd-MMM-aa"),"")</f>
      </c>
      <c r="DM274" s="496" t="str">
        <f> IF(DM294&lt;&gt;"",TEXT(AUX!DQ$1,"dd-MMM-aa"),"")</f>
      </c>
      <c r="DN274" s="496" t="str">
        <f> IF(DN294&lt;&gt;"",TEXT(AUX!DR$1,"dd-MMM-aa"),"")</f>
      </c>
      <c r="DO274" s="496" t="str">
        <f> IF(DO294&lt;&gt;"",TEXT(AUX!DS$1,"dd-MMM-aa"),"")</f>
      </c>
      <c r="DP274" s="496" t="str">
        <f> IF(DP294&lt;&gt;"",TEXT(AUX!DT$1,"dd-MMM-aa"),"")</f>
      </c>
      <c r="DQ274" s="496" t="str">
        <f> IF(DQ294&lt;&gt;"",TEXT(AUX!DU$1,"dd-MMM-aa"),"")</f>
      </c>
      <c r="DR274" s="496" t="str">
        <f> IF(DR294&lt;&gt;"",TEXT(AUX!DV$1,"dd-MMM-aa"),"")</f>
      </c>
      <c r="DS274" s="496" t="str">
        <f> IF(DS294&lt;&gt;"",TEXT(AUX!DW$1,"dd-MMM-aa"),"")</f>
      </c>
      <c r="DT274" s="496" t="str">
        <f> IF(DT294&lt;&gt;"",TEXT(AUX!DX$1,"dd-MMM-aa"),"")</f>
      </c>
      <c r="DU274" s="496" t="str">
        <f> IF(DU294&lt;&gt;"",TEXT(AUX!DY$1,"dd-MMM-aa"),"")</f>
      </c>
      <c r="DV274" s="496" t="str">
        <f> IF(DV294&lt;&gt;"",TEXT(AUX!DZ$1,"dd-MMM-aa"),"")</f>
      </c>
      <c r="DW274" s="496" t="str">
        <f> IF(DW294&lt;&gt;"",TEXT(AUX!EA$1,"dd-MMM-aa"),"")</f>
      </c>
      <c r="DX274" s="496" t="str">
        <f> IF(DX294&lt;&gt;"",TEXT(AUX!EB$1,"dd-MMM-aa"),"")</f>
      </c>
      <c r="DY274" s="496" t="str">
        <f> IF(DY294&lt;&gt;"",TEXT(AUX!EC$1,"dd-MMM-aa"),"")</f>
      </c>
      <c r="DZ274" s="496" t="str">
        <f> IF(DZ294&lt;&gt;"",TEXT(AUX!ED$1,"dd-MMM-aa"),"")</f>
      </c>
      <c r="EA274" s="496" t="str">
        <f> IF(EA294&lt;&gt;"",TEXT(AUX!EE$1,"dd-MMM-aa"),"")</f>
      </c>
      <c r="EB274" s="496" t="str">
        <f> IF(EB294&lt;&gt;"",TEXT(AUX!EF$1,"dd-MMM-aa"),"")</f>
      </c>
      <c r="EC274" s="496" t="str">
        <f> IF(EC294&lt;&gt;"",TEXT(AUX!EG$1,"dd-MMM-aa"),"")</f>
      </c>
      <c r="ED274" s="496" t="str">
        <f> IF(ED294&lt;&gt;"",TEXT(AUX!EH$1,"dd-MMM-aa"),"")</f>
      </c>
      <c r="EE274" s="496" t="str">
        <f> IF(EE294&lt;&gt;"",TEXT(AUX!EI$1,"dd-MMM-aa"),"")</f>
      </c>
      <c r="EF274" s="496" t="str">
        <f> IF(EF294&lt;&gt;"",TEXT(AUX!EJ$1,"dd-MMM-aa"),"")</f>
      </c>
      <c r="EG274" s="496" t="str">
        <f> IF(EG294&lt;&gt;"",TEXT(AUX!EK$1,"dd-MMM-aa"),"")</f>
      </c>
      <c r="EH274" s="496" t="str">
        <f> IF(EH294&lt;&gt;"",TEXT(AUX!EL$1,"dd-MMM-aa"),"")</f>
      </c>
      <c r="EI274" s="496" t="str">
        <f> IF(EI294&lt;&gt;"",TEXT(AUX!EM$1,"dd-MMM-aa"),"")</f>
      </c>
      <c r="EJ274" s="496" t="str">
        <f> IF(EJ294&lt;&gt;"",TEXT(AUX!EN$1,"dd-MMM-aa"),"")</f>
      </c>
      <c r="EK274" s="496" t="str">
        <f> IF(EK294&lt;&gt;"",TEXT(AUX!EO$1,"dd-MMM-aa"),"")</f>
      </c>
      <c r="EL274" s="496" t="str">
        <f> IF(EL294&lt;&gt;"",TEXT(AUX!EP$1,"dd-MMM-aa"),"")</f>
      </c>
      <c r="EM274" s="496" t="str">
        <f> IF(EM294&lt;&gt;"",TEXT(AUX!EQ$1,"dd-MMM-aa"),"")</f>
      </c>
      <c r="EN274" s="496" t="str">
        <f> IF(EN294&lt;&gt;"",TEXT(AUX!ER$1,"dd-MMM-aa"),"")</f>
      </c>
      <c r="EO274" s="496" t="str">
        <f> IF(EO294&lt;&gt;"",TEXT(AUX!ES$1,"dd-MMM-aa"),"")</f>
      </c>
      <c r="EP274" s="496" t="str">
        <f> IF(EP294&lt;&gt;"",TEXT(AUX!ET$1,"dd-MMM-aa"),"")</f>
      </c>
      <c r="EQ274" s="496" t="str">
        <f> IF(EQ294&lt;&gt;"",TEXT(AUX!EU$1,"dd-MMM-aa"),"")</f>
      </c>
      <c r="ER274" s="496" t="str">
        <f> IF(ER294&lt;&gt;"",TEXT(AUX!EV$1,"dd-MMM-aa"),"")</f>
      </c>
      <c r="ES274" s="496" t="str">
        <f> IF(ES294&lt;&gt;"",TEXT(AUX!EW$1,"dd-MMM-aa"),"")</f>
      </c>
      <c r="ET274" s="496" t="str">
        <f> IF(ET294&lt;&gt;"",TEXT(AUX!EX$1,"dd-MMM-aa"),"")</f>
      </c>
      <c r="EU274" s="496" t="str">
        <f> IF(EU294&lt;&gt;"",TEXT(AUX!EY$1,"dd-MMM-aa"),"")</f>
      </c>
      <c r="EV274" s="496" t="str">
        <f> IF(EV294&lt;&gt;"",TEXT(AUX!EZ$1,"dd-MMM-aa"),"")</f>
      </c>
      <c r="EW274" s="496" t="str">
        <f> IF(EW294&lt;&gt;"",TEXT(AUX!FA$1,"dd-MMM-aa"),"")</f>
      </c>
      <c r="EX274" s="496" t="str">
        <f> IF(EX294&lt;&gt;"",TEXT(AUX!FB$1,"dd-MMM-aa"),"")</f>
      </c>
      <c r="EY274" s="496" t="str">
        <f> IF(EY294&lt;&gt;"",TEXT(AUX!FC$1,"dd-MMM-aa"),"")</f>
      </c>
      <c r="EZ274" s="496" t="str">
        <f> IF(EZ294&lt;&gt;"",TEXT(AUX!FD$1,"dd-MMM-aa"),"")</f>
      </c>
      <c r="FA274" s="496" t="str">
        <f> IF(FA294&lt;&gt;"",TEXT(AUX!FE$1,"dd-MMM-aa"),"")</f>
      </c>
      <c r="FB274" s="496" t="str">
        <f> IF(FB294&lt;&gt;"",TEXT(AUX!FF$1,"dd-MMM-aa"),"")</f>
      </c>
      <c r="FC274" s="496" t="str">
        <f> IF(FC294&lt;&gt;"",TEXT(AUX!FG$1,"dd-MMM-aa"),"")</f>
      </c>
      <c r="FD274" s="496" t="str">
        <f> IF(FD294&lt;&gt;"",TEXT(AUX!FH$1,"dd-MMM-aa"),"")</f>
      </c>
      <c r="FE274" s="496" t="str">
        <f> IF(FE294&lt;&gt;"",TEXT(AUX!FI$1,"dd-MMM-aa"),"")</f>
      </c>
      <c r="FF274" s="496" t="str">
        <f> IF(FF294&lt;&gt;"",TEXT(AUX!FJ$1,"dd-MMM-aa"),"")</f>
      </c>
      <c r="FG274" s="496" t="str">
        <f> IF(FG294&lt;&gt;"",TEXT(AUX!FK$1,"dd-MMM-aa"),"")</f>
      </c>
      <c r="FH274" s="496" t="str">
        <f> IF(FH294&lt;&gt;"",TEXT(AUX!FL$1,"dd-MMM-aa"),"")</f>
      </c>
      <c r="FI274" s="496" t="str">
        <f> IF(FI294&lt;&gt;"",TEXT(AUX!FM$1,"dd-MMM-aa"),"")</f>
      </c>
      <c r="FJ274" s="496" t="str">
        <f> IF(FJ294&lt;&gt;"",TEXT(AUX!FN$1,"dd-MMM-aa"),"")</f>
      </c>
      <c r="FK274" s="496" t="str">
        <f> IF(FK294&lt;&gt;"",TEXT(AUX!FO$1,"dd-MMM-aa"),"")</f>
      </c>
      <c r="FL274" s="496" t="str">
        <f> IF(FL294&lt;&gt;"",TEXT(AUX!FP$1,"dd-MMM-aa"),"")</f>
      </c>
      <c r="FM274" s="496" t="str">
        <f> IF(FM294&lt;&gt;"",TEXT(AUX!FQ$1,"dd-MMM-aa"),"")</f>
      </c>
      <c r="FN274" s="496" t="str">
        <f> IF(FN294&lt;&gt;"",TEXT(AUX!FR$1,"dd-MMM-aa"),"")</f>
      </c>
      <c r="FO274" s="496" t="str">
        <f> IF(FO294&lt;&gt;"",TEXT(AUX!FS$1,"dd-MMM-aa"),"")</f>
      </c>
      <c r="FP274" s="496" t="str">
        <f> IF(FP294&lt;&gt;"",TEXT(AUX!FT$1,"dd-MMM-aa"),"")</f>
      </c>
      <c r="FQ274" s="496" t="str">
        <f> IF(FQ294&lt;&gt;"",TEXT(AUX!FU$1,"dd-MMM-aa"),"")</f>
      </c>
      <c r="FR274" s="496" t="str">
        <f> IF(FR294&lt;&gt;"",TEXT(AUX!FV$1,"dd-MMM-aa"),"")</f>
      </c>
      <c r="FS274" s="496" t="str">
        <f> IF(FS294&lt;&gt;"",TEXT(AUX!FW$1,"dd-MMM-aa"),"")</f>
      </c>
      <c r="FT274" s="496" t="str">
        <f> IF(FT294&lt;&gt;"",TEXT(AUX!FX$1,"dd-MMM-aa"),"")</f>
      </c>
      <c r="FU274" s="496" t="str">
        <f> IF(FU294&lt;&gt;"",TEXT(AUX!FY$1,"dd-MMM-aa"),"")</f>
      </c>
      <c r="FV274" s="496" t="str">
        <f> IF(FV294&lt;&gt;"",TEXT(AUX!FZ$1,"dd-MMM-aa"),"")</f>
      </c>
      <c r="FW274" s="496" t="str">
        <f> IF(FW294&lt;&gt;"",TEXT(AUX!GA$1,"dd-MMM-aa"),"")</f>
      </c>
      <c r="FX274" s="496" t="str">
        <f> IF(FX294&lt;&gt;"",TEXT(AUX!GB$1,"dd-MMM-aa"),"")</f>
      </c>
      <c r="FY274" s="496" t="str">
        <f> IF(FY294&lt;&gt;"",TEXT(AUX!GC$1,"dd-MMM-aa"),"")</f>
      </c>
      <c r="FZ274" s="496" t="str">
        <f> IF(FZ294&lt;&gt;"",TEXT(AUX!GD$1,"dd-MMM-aa"),"")</f>
      </c>
      <c r="GA274" s="496" t="str">
        <f> IF(GA294&lt;&gt;"",TEXT(AUX!GE$1,"dd-MMM-aa"),"")</f>
      </c>
      <c r="GB274" s="496" t="str">
        <f> IF(GB294&lt;&gt;"",TEXT(AUX!GF$1,"dd-MMM-aa"),"")</f>
      </c>
      <c r="GC274" s="496" t="str">
        <f> IF(GC294&lt;&gt;"",TEXT(AUX!GG$1,"dd-MMM-aa"),"")</f>
      </c>
      <c r="GD274" s="496" t="str">
        <f> IF(GD294&lt;&gt;"",TEXT(AUX!GH$1,"dd-MMM-aa"),"")</f>
      </c>
      <c r="GE274" s="496" t="str">
        <f> IF(GE294&lt;&gt;"",TEXT(AUX!GI$1,"dd-MMM-aa"),"")</f>
      </c>
      <c r="GF274" s="496" t="str">
        <f> IF(GF294&lt;&gt;"",TEXT(AUX!GJ$1,"dd-MMM-aa"),"")</f>
      </c>
      <c r="GG274" s="496" t="str">
        <f> IF(GG294&lt;&gt;"",TEXT(AUX!GK$1,"dd-MMM-aa"),"")</f>
      </c>
      <c r="GH274" s="496" t="str">
        <f> IF(GH294&lt;&gt;"",TEXT(AUX!GL$1,"dd-MMM-aa"),"")</f>
      </c>
      <c r="GI274" s="496" t="str">
        <f> IF(GI294&lt;&gt;"",TEXT(AUX!GM$1,"dd-MMM-aa"),"")</f>
      </c>
      <c r="GJ274" s="496" t="str">
        <f> IF(GJ294&lt;&gt;"",TEXT(AUX!GN$1,"dd-MMM-aa"),"")</f>
      </c>
      <c r="GK274" s="496" t="str">
        <f> IF(GK294&lt;&gt;"",TEXT(AUX!GO$1,"dd-MMM-aa"),"")</f>
      </c>
      <c r="GL274" s="496" t="str">
        <f> IF(GL294&lt;&gt;"",TEXT(AUX!GP$1,"dd-MMM-aa"),"")</f>
      </c>
      <c r="GM274" s="496" t="str">
        <f> IF(GM294&lt;&gt;"",TEXT(AUX!GQ$1,"dd-MMM-aa"),"")</f>
      </c>
      <c r="GN274" s="496" t="str">
        <f> IF(GN294&lt;&gt;"",TEXT(AUX!GR$1,"dd-MMM-aa"),"")</f>
      </c>
      <c r="GO274" s="496" t="str">
        <f> IF(GO294&lt;&gt;"",TEXT(AUX!GS$1,"dd-MMM-aa"),"")</f>
      </c>
      <c r="GP274" s="496" t="str">
        <f> IF(GP294&lt;&gt;"",TEXT(AUX!GT$1,"dd-MMM-aa"),"")</f>
      </c>
      <c r="GQ274" s="496" t="str">
        <f> IF(GQ294&lt;&gt;"",TEXT(AUX!GU$1,"dd-MMM-aa"),"")</f>
      </c>
      <c r="GR274" s="496" t="str">
        <f> IF(GR294&lt;&gt;"",TEXT(AUX!GV$1,"dd-MMM-aa"),"")</f>
      </c>
      <c r="GS274" s="496" t="str">
        <f> IF(GS294&lt;&gt;"",TEXT(AUX!GW$1,"dd-MMM-aa"),"")</f>
      </c>
      <c r="GT274" s="496" t="str">
        <f> IF(GT294&lt;&gt;"",TEXT(AUX!GX$1,"dd-MMM-aa"),"")</f>
      </c>
      <c r="GU274" s="496" t="str">
        <f> IF(GU294&lt;&gt;"",TEXT(AUX!GY$1,"dd-MMM-aa"),"")</f>
      </c>
      <c r="GV274" s="496" t="str">
        <f> IF(GV294&lt;&gt;"",TEXT(AUX!GZ$1,"dd-MMM-aa"),"")</f>
      </c>
      <c r="GW274" s="496" t="str">
        <f> IF(GW294&lt;&gt;"",TEXT(AUX!HA$1,"dd-MMM-aa"),"")</f>
      </c>
      <c r="GX274" s="496" t="str">
        <f> IF(GX294&lt;&gt;"",TEXT(AUX!HB$1,"dd-MMM-aa"),"")</f>
      </c>
      <c r="GY274" s="496" t="str">
        <f> IF(GY294&lt;&gt;"",TEXT(AUX!HC$1,"dd-MMM-aa"),"")</f>
      </c>
      <c r="GZ274" s="496" t="str">
        <f> IF(GZ294&lt;&gt;"",TEXT(AUX!HD$1,"dd-MMM-aa"),"")</f>
      </c>
      <c r="HA274" s="496" t="str">
        <f> IF(HA294&lt;&gt;"",TEXT(AUX!HE$1,"dd-MMM-aa"),"")</f>
      </c>
      <c r="HB274" s="496" t="str">
        <f> IF(HB294&lt;&gt;"",TEXT(AUX!HF$1,"dd-MMM-aa"),"")</f>
      </c>
      <c r="HC274" s="496" t="str">
        <f> IF(HC294&lt;&gt;"",TEXT(AUX!HG$1,"dd-MMM-aa"),"")</f>
      </c>
      <c r="HD274" s="496" t="str">
        <f> IF(HD294&lt;&gt;"",TEXT(AUX!HH$1,"dd-MMM-aa"),"")</f>
      </c>
      <c r="HE274" s="496" t="str">
        <f> IF(HE294&lt;&gt;"",TEXT(AUX!HI$1,"dd-MMM-aa"),"")</f>
      </c>
      <c r="HF274" s="496" t="str">
        <f> IF(HF294&lt;&gt;"",TEXT(AUX!HJ$1,"dd-MMM-aa"),"")</f>
      </c>
      <c r="HG274" s="496" t="str">
        <f> IF(HG294&lt;&gt;"",TEXT(AUX!HK$1,"dd-MMM-aa"),"")</f>
      </c>
      <c r="HH274" s="496" t="str">
        <f> IF(HH294&lt;&gt;"",TEXT(AUX!HL$1,"dd-MMM-aa"),"")</f>
      </c>
      <c r="HI274" s="496" t="str">
        <f> IF(HI294&lt;&gt;"",TEXT(AUX!HM$1,"dd-MMM-aa"),"")</f>
      </c>
      <c r="HJ274" s="496" t="str">
        <f> IF(HJ294&lt;&gt;"",TEXT(AUX!HN$1,"dd-MMM-aa"),"")</f>
      </c>
      <c r="HK274" s="496" t="str">
        <f> IF(HK294&lt;&gt;"",TEXT(AUX!HO$1,"dd-MMM-aa"),"")</f>
      </c>
      <c r="HL274" s="496" t="str">
        <f> IF(HL294&lt;&gt;"",TEXT(AUX!HP$1,"dd-MMM-aa"),"")</f>
      </c>
      <c r="HM274" s="496" t="str">
        <f> IF(HM294&lt;&gt;"",TEXT(AUX!HQ$1,"dd-MMM-aa"),"")</f>
      </c>
      <c r="HN274" s="496" t="str">
        <f> IF(HN294&lt;&gt;"",TEXT(AUX!HR$1,"dd-MMM-aa"),"")</f>
      </c>
      <c r="HO274" s="496" t="str">
        <f> IF(HO294&lt;&gt;"",TEXT(AUX!HS$1,"dd-MMM-aa"),"")</f>
      </c>
      <c r="HP274" s="496" t="str">
        <f> IF(HP294&lt;&gt;"",TEXT(AUX!HT$1,"dd-MMM-aa"),"")</f>
      </c>
      <c r="HQ274" s="496" t="str">
        <f> IF(HQ294&lt;&gt;"",TEXT(AUX!HU$1,"dd-MMM-aa"),"")</f>
      </c>
      <c r="HR274" s="496" t="str">
        <f> IF(HR294&lt;&gt;"",TEXT(AUX!HV$1,"dd-MMM-aa"),"")</f>
      </c>
      <c r="HS274" s="496" t="str">
        <f> IF(HS294&lt;&gt;"",TEXT(AUX!HW$1,"dd-MMM-aa"),"")</f>
      </c>
      <c r="HT274" s="496" t="str">
        <f> IF(HT294&lt;&gt;"",TEXT(AUX!HX$1,"dd-MMM-aa"),"")</f>
      </c>
      <c r="HU274" s="496" t="str">
        <f> IF(HU294&lt;&gt;"",TEXT(AUX!HY$1,"dd-MMM-aa"),"")</f>
      </c>
      <c r="HV274" s="496" t="str">
        <f> IF(HV294&lt;&gt;"",TEXT(AUX!HZ$1,"dd-MMM-aa"),"")</f>
      </c>
      <c r="HW274" s="496" t="str">
        <f> IF(HW294&lt;&gt;"",TEXT(AUX!IA$1,"dd-MMM-aa"),"")</f>
      </c>
      <c r="HX274" s="496" t="str">
        <f> IF(HX294&lt;&gt;"",TEXT(AUX!IB$1,"dd-MMM-aa"),"")</f>
      </c>
      <c r="HY274" s="496" t="str">
        <f> IF(HY294&lt;&gt;"",TEXT(AUX!IC$1,"dd-MMM-aa"),"")</f>
      </c>
      <c r="HZ274" s="496" t="str">
        <f> IF(HZ294&lt;&gt;"",TEXT(AUX!ID$1,"dd-MMM-aa"),"")</f>
      </c>
      <c r="IA274" s="496" t="str">
        <f> IF(IA294&lt;&gt;"",TEXT(AUX!IE$1,"dd-MMM-aa"),"")</f>
      </c>
      <c r="IB274" s="496" t="str">
        <f> IF(IB294&lt;&gt;"",TEXT(AUX!IF$1,"dd-MMM-aa"),"")</f>
      </c>
      <c r="IC274" s="496" t="str">
        <f> IF(IC294&lt;&gt;"",TEXT(AUX!IG$1,"dd-MMM-aa"),"")</f>
      </c>
      <c r="ID274" s="496" t="str">
        <f> IF(ID294&lt;&gt;"",TEXT(AUX!IH$1,"dd-MMM-aa"),"")</f>
      </c>
      <c r="IE274" s="496" t="str">
        <f> IF(IE294&lt;&gt;"",TEXT(AUX!II$1,"dd-MMM-aa"),"")</f>
      </c>
      <c r="IF274" s="496" t="str">
        <f> IF(IF294&lt;&gt;"",TEXT(AUX!IJ$1,"dd-MMM-aa"),"")</f>
      </c>
      <c r="IG274" s="496" t="str">
        <f> IF(IG294&lt;&gt;"",TEXT(AUX!IK$1,"dd-MMM-aa"),"")</f>
      </c>
      <c r="IH274" s="496" t="str">
        <f> IF(IH294&lt;&gt;"",TEXT(AUX!IL$1,"dd-MMM-aa"),"")</f>
      </c>
      <c r="II274" s="496" t="str">
        <f> IF(II294&lt;&gt;"",TEXT(AUX!IM$1,"dd-MMM-aa"),"")</f>
      </c>
      <c r="IJ274" s="496" t="str">
        <f> IF(IJ294&lt;&gt;"",TEXT(AUX!IN$1,"dd-MMM-aa"),"")</f>
      </c>
      <c r="IK274" s="496" t="str">
        <f> IF(IK294&lt;&gt;"",TEXT(AUX!IO$1,"dd-MMM-aa"),"")</f>
      </c>
      <c r="IL274" s="496" t="str">
        <f> IF(IL294&lt;&gt;"",TEXT(AUX!IP$1,"dd-MMM-aa"),"")</f>
      </c>
      <c r="IM274" s="496" t="str">
        <f> IF(IM294&lt;&gt;"",TEXT(AUX!IQ$1,"dd-MMM-aa"),"")</f>
      </c>
      <c r="IN274" s="496" t="str">
        <f> IF(IN294&lt;&gt;"",TEXT(AUX!IR$1,"dd-MMM-aa"),"")</f>
      </c>
      <c r="IO274" s="496" t="str">
        <f> IF(IO294&lt;&gt;"",TEXT(AUX!IS$1,"dd-MMM-aa"),"")</f>
      </c>
      <c r="IP274" s="496" t="str">
        <f> IF(IP294&lt;&gt;"",TEXT(AUX!IT$1,"dd-MMM-aa"),"")</f>
      </c>
      <c r="IQ274" s="496" t="str">
        <f> IF(IQ294&lt;&gt;"",TEXT(AUX!IU$1,"dd-MMM-aa"),"")</f>
      </c>
      <c r="IR274" s="496" t="str">
        <f> IF(IR294&lt;&gt;"",TEXT(AUX!IV$1,"dd-MMM-aa"),"")</f>
      </c>
      <c r="IS274" s="496" t="str">
        <f> IF(IS294&lt;&gt;"",TEXT(AUX!#REF!,"dd-MMM-aa"),"")</f>
      </c>
      <c r="IT274" s="496" t="str">
        <f> IF(IT294&lt;&gt;"",TEXT(AUX!#REF!,"dd-MMM-aa"),"")</f>
      </c>
      <c r="IU274" s="496" t="str">
        <f> IF(IU294&lt;&gt;"",TEXT(AUX!#REF!,"dd-MMM-aa"),"")</f>
      </c>
      <c r="IV274" s="496" t="str">
        <f> IF(IV294&lt;&gt;"",TEXT(AUX!#REF!,"dd-MMM-aa"),"")</f>
      </c>
    </row>
    <row r="275" hidden="1" ht="12.75" customHeight="1">
      <c r="B275" s="833" t="s">
        <v>8</v>
      </c>
      <c r="C275" s="827">
        <v>272093</v>
      </c>
      <c r="D275" s="827">
        <v>269994</v>
      </c>
      <c r="E275" s="827">
        <v>272784</v>
      </c>
      <c r="F275" s="827">
        <v>270628</v>
      </c>
      <c r="G275" s="827">
        <v>271476</v>
      </c>
      <c r="H275" s="827">
        <v>266803</v>
      </c>
      <c r="I275" s="827">
        <v>266817</v>
      </c>
      <c r="J275" s="827">
        <v>259148</v>
      </c>
      <c r="K275" s="827">
        <v>256805</v>
      </c>
      <c r="L275" s="827">
        <v>248404</v>
      </c>
      <c r="M275" s="827">
        <v>247632</v>
      </c>
      <c r="N275" s="827">
        <v>240580</v>
      </c>
      <c r="O275" s="827">
        <v>237633</v>
      </c>
      <c r="P275" s="827">
        <v>229868</v>
      </c>
      <c r="Q275" s="827">
        <v>231862</v>
      </c>
      <c r="R275" s="827">
        <v>229797</v>
      </c>
      <c r="S275" s="827">
        <v>232092</v>
      </c>
      <c r="T275" s="827">
        <v>229981</v>
      </c>
      <c r="U275" s="827">
        <v>229334</v>
      </c>
      <c r="V275" s="827">
        <v>227025</v>
      </c>
      <c r="W275" s="827">
        <v>230463</v>
      </c>
      <c r="X275" s="827">
        <v>227630</v>
      </c>
      <c r="Y275" s="827">
        <v>232198</v>
      </c>
      <c r="Z275" s="827">
        <v>234030</v>
      </c>
      <c r="AA275" s="827">
        <v>237673</v>
      </c>
      <c r="AB275" s="834">
        <v>239479</v>
      </c>
      <c r="AC275" s="828">
        <v>243193</v>
      </c>
      <c r="AD275" s="828">
        <v>243539</v>
      </c>
      <c r="AE275" s="828">
        <v>246417</v>
      </c>
      <c r="AF275" s="828">
        <v>244715</v>
      </c>
      <c r="AG275" s="828">
        <v>245806</v>
      </c>
      <c r="AH275" s="828">
        <v>246425</v>
      </c>
      <c r="AI275" s="828">
        <v>243004</v>
      </c>
      <c r="AJ275" s="828">
        <v>237859</v>
      </c>
      <c r="AK275" s="828">
        <v>232459</v>
      </c>
      <c r="AL275" s="828">
        <v>226634</v>
      </c>
      <c r="AM275" s="828">
        <v>226407</v>
      </c>
      <c r="AN275" s="828">
        <v>224607</v>
      </c>
      <c r="AO275" s="828">
        <v>224175</v>
      </c>
      <c r="AP275" s="828">
        <v>226173</v>
      </c>
    </row>
    <row r="276" hidden="1" ht="12.75" customHeight="1">
      <c r="B276" s="829" t="s">
        <v>9</v>
      </c>
      <c r="C276" s="823">
        <v>41672</v>
      </c>
      <c r="D276" s="823">
        <v>40650</v>
      </c>
      <c r="E276" s="823">
        <v>41451</v>
      </c>
      <c r="F276" s="823">
        <v>40439</v>
      </c>
      <c r="G276" s="823">
        <v>42805</v>
      </c>
      <c r="H276" s="823">
        <v>42913</v>
      </c>
      <c r="I276" s="823">
        <v>42767</v>
      </c>
      <c r="J276" s="823">
        <v>44444</v>
      </c>
      <c r="K276" s="823">
        <v>44694</v>
      </c>
      <c r="L276" s="823">
        <v>44734</v>
      </c>
      <c r="M276" s="823">
        <v>45346</v>
      </c>
      <c r="N276" s="823">
        <v>44864</v>
      </c>
      <c r="O276" s="823">
        <v>45151</v>
      </c>
      <c r="P276" s="823">
        <v>44573</v>
      </c>
      <c r="Q276" s="823">
        <v>44876</v>
      </c>
      <c r="R276" s="823">
        <v>45792</v>
      </c>
      <c r="S276" s="823">
        <v>47078</v>
      </c>
      <c r="T276" s="823">
        <v>46779</v>
      </c>
      <c r="U276" s="823">
        <v>47651</v>
      </c>
      <c r="V276" s="823">
        <v>47206</v>
      </c>
      <c r="W276" s="823">
        <v>48412</v>
      </c>
      <c r="X276" s="823">
        <v>48685</v>
      </c>
      <c r="Y276" s="823">
        <v>49551</v>
      </c>
      <c r="Z276" s="823">
        <v>49548</v>
      </c>
      <c r="AA276" s="823">
        <v>49616</v>
      </c>
      <c r="AB276" s="823">
        <v>50273</v>
      </c>
      <c r="AC276" s="825">
        <v>49842</v>
      </c>
      <c r="AD276" s="825">
        <v>50670</v>
      </c>
      <c r="AE276" s="825">
        <v>50947</v>
      </c>
      <c r="AF276" s="825">
        <v>50391</v>
      </c>
      <c r="AG276" s="825">
        <v>51226</v>
      </c>
      <c r="AH276" s="825">
        <v>50848</v>
      </c>
      <c r="AI276" s="825">
        <v>51219</v>
      </c>
      <c r="AJ276" s="825">
        <v>50208</v>
      </c>
      <c r="AK276" s="825">
        <v>49717</v>
      </c>
      <c r="AL276" s="825">
        <v>48894</v>
      </c>
      <c r="AM276" s="825">
        <v>46481</v>
      </c>
      <c r="AN276" s="825">
        <v>47277</v>
      </c>
      <c r="AO276" s="825">
        <v>48554</v>
      </c>
      <c r="AP276" s="825">
        <v>47739</v>
      </c>
    </row>
    <row r="277" hidden="1" ht="12.75" customHeight="1">
      <c r="B277" s="826" t="s">
        <v>10</v>
      </c>
      <c r="C277" s="827">
        <v>147282</v>
      </c>
      <c r="D277" s="827">
        <v>147679</v>
      </c>
      <c r="E277" s="827">
        <v>145233</v>
      </c>
      <c r="F277" s="827">
        <v>147959</v>
      </c>
      <c r="G277" s="827">
        <v>143280</v>
      </c>
      <c r="H277" s="827">
        <v>146379</v>
      </c>
      <c r="I277" s="827">
        <v>145281</v>
      </c>
      <c r="J277" s="827">
        <v>147724</v>
      </c>
      <c r="K277" s="827">
        <v>148132</v>
      </c>
      <c r="L277" s="827">
        <v>148615</v>
      </c>
      <c r="M277" s="827">
        <v>144812</v>
      </c>
      <c r="N277" s="827">
        <v>145148</v>
      </c>
      <c r="O277" s="827">
        <v>144001</v>
      </c>
      <c r="P277" s="827">
        <v>143017</v>
      </c>
      <c r="Q277" s="827">
        <v>143703</v>
      </c>
      <c r="R277" s="827">
        <v>143591</v>
      </c>
      <c r="S277" s="827">
        <v>146899</v>
      </c>
      <c r="T277" s="827">
        <v>148043</v>
      </c>
      <c r="U277" s="827">
        <v>149803</v>
      </c>
      <c r="V277" s="827">
        <v>150457</v>
      </c>
      <c r="W277" s="827">
        <v>153272</v>
      </c>
      <c r="X277" s="827">
        <v>154110</v>
      </c>
      <c r="Y277" s="827">
        <v>157133</v>
      </c>
      <c r="Z277" s="827">
        <v>158253</v>
      </c>
      <c r="AA277" s="827">
        <v>157393</v>
      </c>
      <c r="AB277" s="827">
        <v>158356</v>
      </c>
      <c r="AC277" s="828">
        <v>160540</v>
      </c>
      <c r="AD277" s="828">
        <v>161702</v>
      </c>
      <c r="AE277" s="828">
        <v>164284</v>
      </c>
      <c r="AF277" s="828">
        <v>164033</v>
      </c>
      <c r="AG277" s="828">
        <v>165306</v>
      </c>
      <c r="AH277" s="828">
        <v>162985</v>
      </c>
      <c r="AI277" s="828">
        <v>162288</v>
      </c>
      <c r="AJ277" s="828">
        <v>156823</v>
      </c>
      <c r="AK277" s="828">
        <v>158443</v>
      </c>
      <c r="AL277" s="828">
        <v>154937</v>
      </c>
      <c r="AM277" s="828">
        <v>154228</v>
      </c>
      <c r="AN277" s="828">
        <v>151503</v>
      </c>
      <c r="AO277" s="828">
        <v>150626</v>
      </c>
      <c r="AP277" s="828">
        <v>149181</v>
      </c>
    </row>
    <row r="278" hidden="1" ht="12.75" customHeight="1">
      <c r="B278" s="829" t="s">
        <v>11</v>
      </c>
      <c r="C278" s="823">
        <v>3269</v>
      </c>
      <c r="D278" s="823">
        <v>3379</v>
      </c>
      <c r="E278" s="823">
        <v>3388</v>
      </c>
      <c r="F278" s="823">
        <v>3429</v>
      </c>
      <c r="G278" s="823">
        <v>2802</v>
      </c>
      <c r="H278" s="823">
        <v>2973</v>
      </c>
      <c r="I278" s="823">
        <v>3009</v>
      </c>
      <c r="J278" s="823">
        <v>3026</v>
      </c>
      <c r="K278" s="823">
        <v>3097</v>
      </c>
      <c r="L278" s="823">
        <v>3203</v>
      </c>
      <c r="M278" s="823">
        <v>3231</v>
      </c>
      <c r="N278" s="823">
        <v>3269</v>
      </c>
      <c r="O278" s="823">
        <v>3201</v>
      </c>
      <c r="P278" s="823">
        <v>3254</v>
      </c>
      <c r="Q278" s="823">
        <v>3286</v>
      </c>
      <c r="R278" s="823">
        <v>3229</v>
      </c>
      <c r="S278" s="823">
        <v>3285</v>
      </c>
      <c r="T278" s="823">
        <v>3355</v>
      </c>
      <c r="U278" s="823">
        <v>3518</v>
      </c>
      <c r="V278" s="823">
        <v>3632</v>
      </c>
      <c r="W278" s="823">
        <v>3693</v>
      </c>
      <c r="X278" s="823">
        <v>3731</v>
      </c>
      <c r="Y278" s="823">
        <v>3858</v>
      </c>
      <c r="Z278" s="823">
        <v>3965</v>
      </c>
      <c r="AA278" s="823">
        <v>4045</v>
      </c>
      <c r="AB278" s="823">
        <v>4122</v>
      </c>
      <c r="AC278" s="825">
        <v>4078</v>
      </c>
      <c r="AD278" s="825">
        <v>4212</v>
      </c>
      <c r="AE278" s="825">
        <v>4362</v>
      </c>
      <c r="AF278" s="825">
        <v>4533</v>
      </c>
      <c r="AG278" s="825">
        <v>4635</v>
      </c>
      <c r="AH278" s="825">
        <v>4618</v>
      </c>
      <c r="AI278" s="825">
        <v>4536</v>
      </c>
      <c r="AJ278" s="825">
        <v>4557</v>
      </c>
      <c r="AK278" s="825">
        <v>4584</v>
      </c>
      <c r="AL278" s="825">
        <v>4688</v>
      </c>
      <c r="AM278" s="825">
        <v>4582</v>
      </c>
      <c r="AN278" s="825">
        <v>4698</v>
      </c>
      <c r="AO278" s="825">
        <v>4617</v>
      </c>
      <c r="AP278" s="825">
        <v>4704</v>
      </c>
    </row>
    <row r="279" hidden="1" ht="12.75" customHeight="1">
      <c r="B279" s="826" t="s">
        <v>12</v>
      </c>
      <c r="C279" s="827">
        <v>3120</v>
      </c>
      <c r="D279" s="827">
        <v>3115</v>
      </c>
      <c r="E279" s="827">
        <v>3124</v>
      </c>
      <c r="F279" s="827">
        <v>3289</v>
      </c>
      <c r="G279" s="827">
        <v>3480</v>
      </c>
      <c r="H279" s="827">
        <v>3694</v>
      </c>
      <c r="I279" s="827">
        <v>3790</v>
      </c>
      <c r="J279" s="827">
        <v>3858</v>
      </c>
      <c r="K279" s="827">
        <v>3957</v>
      </c>
      <c r="L279" s="827">
        <v>3997</v>
      </c>
      <c r="M279" s="827">
        <v>4095</v>
      </c>
      <c r="N279" s="827">
        <v>4206</v>
      </c>
      <c r="O279" s="827">
        <v>4060</v>
      </c>
      <c r="P279" s="827">
        <v>4039</v>
      </c>
      <c r="Q279" s="827">
        <v>3881</v>
      </c>
      <c r="R279" s="827">
        <v>3856</v>
      </c>
      <c r="S279" s="827">
        <v>3752</v>
      </c>
      <c r="T279" s="827">
        <v>3749</v>
      </c>
      <c r="U279" s="827">
        <v>3756</v>
      </c>
      <c r="V279" s="827">
        <v>3793</v>
      </c>
      <c r="W279" s="827">
        <v>3928</v>
      </c>
      <c r="X279" s="827">
        <v>3809</v>
      </c>
      <c r="Y279" s="827">
        <v>3586</v>
      </c>
      <c r="Z279" s="827">
        <v>3450</v>
      </c>
      <c r="AA279" s="827">
        <v>3282</v>
      </c>
      <c r="AB279" s="827">
        <v>3151</v>
      </c>
      <c r="AC279" s="828">
        <v>3128</v>
      </c>
      <c r="AD279" s="828">
        <v>3114</v>
      </c>
      <c r="AE279" s="828">
        <v>3040</v>
      </c>
      <c r="AF279" s="828">
        <v>3055</v>
      </c>
      <c r="AG279" s="828">
        <v>2968</v>
      </c>
      <c r="AH279" s="828">
        <v>3006</v>
      </c>
      <c r="AI279" s="828">
        <v>2830</v>
      </c>
      <c r="AJ279" s="828">
        <v>2690</v>
      </c>
      <c r="AK279" s="828">
        <v>2588</v>
      </c>
      <c r="AL279" s="828">
        <v>2630</v>
      </c>
      <c r="AM279" s="828">
        <v>2602</v>
      </c>
      <c r="AN279" s="828">
        <v>2531</v>
      </c>
      <c r="AO279" s="828">
        <v>2516</v>
      </c>
      <c r="AP279" s="828">
        <v>2604</v>
      </c>
    </row>
    <row r="280" hidden="1" ht="12.75" customHeight="1">
      <c r="B280" s="829" t="s">
        <v>13</v>
      </c>
      <c r="C280" s="823">
        <v>85910</v>
      </c>
      <c r="D280" s="823">
        <v>84578</v>
      </c>
      <c r="E280" s="823">
        <v>84821</v>
      </c>
      <c r="F280" s="823">
        <v>84006</v>
      </c>
      <c r="G280" s="823">
        <v>85155</v>
      </c>
      <c r="H280" s="823">
        <v>85631</v>
      </c>
      <c r="I280" s="823">
        <v>87404</v>
      </c>
      <c r="J280" s="823">
        <v>89572</v>
      </c>
      <c r="K280" s="823">
        <v>91507</v>
      </c>
      <c r="L280" s="823">
        <v>92022</v>
      </c>
      <c r="M280" s="823">
        <v>91747</v>
      </c>
      <c r="N280" s="823">
        <v>91595</v>
      </c>
      <c r="O280" s="823">
        <v>91824</v>
      </c>
      <c r="P280" s="823">
        <v>91450</v>
      </c>
      <c r="Q280" s="823">
        <v>91691</v>
      </c>
      <c r="R280" s="823">
        <v>91531</v>
      </c>
      <c r="S280" s="823">
        <v>93883</v>
      </c>
      <c r="T280" s="823">
        <v>94178</v>
      </c>
      <c r="U280" s="823">
        <v>96328</v>
      </c>
      <c r="V280" s="823">
        <v>95803</v>
      </c>
      <c r="W280" s="823">
        <v>97856</v>
      </c>
      <c r="X280" s="823">
        <v>98042</v>
      </c>
      <c r="Y280" s="823">
        <v>100859</v>
      </c>
      <c r="Z280" s="823">
        <v>101446</v>
      </c>
      <c r="AA280" s="823">
        <v>103697</v>
      </c>
      <c r="AB280" s="823">
        <v>103816</v>
      </c>
      <c r="AC280" s="825">
        <v>107567</v>
      </c>
      <c r="AD280" s="825">
        <v>108681</v>
      </c>
      <c r="AE280" s="825">
        <v>111534</v>
      </c>
      <c r="AF280" s="825">
        <v>110723</v>
      </c>
      <c r="AG280" s="825">
        <v>114156</v>
      </c>
      <c r="AH280" s="825">
        <v>111871</v>
      </c>
      <c r="AI280" s="825">
        <v>113339</v>
      </c>
      <c r="AJ280" s="825">
        <v>108180</v>
      </c>
      <c r="AK280" s="825">
        <v>111101</v>
      </c>
      <c r="AL280" s="825">
        <v>107408</v>
      </c>
      <c r="AM280" s="825">
        <v>108743</v>
      </c>
      <c r="AN280" s="825">
        <v>106448</v>
      </c>
      <c r="AO280" s="825">
        <v>107567</v>
      </c>
      <c r="AP280" s="825">
        <v>106877</v>
      </c>
    </row>
    <row r="281" hidden="1" ht="12.75" customHeight="1">
      <c r="B281" s="826" t="s">
        <v>109</v>
      </c>
      <c r="C281" s="827">
        <v>103631</v>
      </c>
      <c r="D281" s="827">
        <v>101463</v>
      </c>
      <c r="E281" s="827">
        <v>102109</v>
      </c>
      <c r="F281" s="827">
        <v>96166</v>
      </c>
      <c r="G281" s="827">
        <v>99314</v>
      </c>
      <c r="H281" s="827">
        <v>99770</v>
      </c>
      <c r="I281" s="827">
        <v>103932</v>
      </c>
      <c r="J281" s="827">
        <v>103952</v>
      </c>
      <c r="K281" s="827">
        <v>105913</v>
      </c>
      <c r="L281" s="827">
        <v>103707</v>
      </c>
      <c r="M281" s="827">
        <v>104519</v>
      </c>
      <c r="N281" s="827">
        <v>102476</v>
      </c>
      <c r="O281" s="827">
        <v>103864</v>
      </c>
      <c r="P281" s="827">
        <v>102214</v>
      </c>
      <c r="Q281" s="827">
        <v>103849</v>
      </c>
      <c r="R281" s="827">
        <v>104375</v>
      </c>
      <c r="S281" s="827">
        <v>104837</v>
      </c>
      <c r="T281" s="827">
        <v>104139</v>
      </c>
      <c r="U281" s="827">
        <v>105423</v>
      </c>
      <c r="V281" s="827">
        <v>107039</v>
      </c>
      <c r="W281" s="827">
        <v>112583</v>
      </c>
      <c r="X281" s="827">
        <v>113430</v>
      </c>
      <c r="Y281" s="827">
        <v>114497</v>
      </c>
      <c r="Z281" s="827">
        <v>114453</v>
      </c>
      <c r="AA281" s="827">
        <v>117140</v>
      </c>
      <c r="AB281" s="827">
        <v>115489</v>
      </c>
      <c r="AC281" s="828">
        <v>117115</v>
      </c>
      <c r="AD281" s="828">
        <v>117012</v>
      </c>
      <c r="AE281" s="828">
        <v>119541</v>
      </c>
      <c r="AF281" s="828">
        <v>119722</v>
      </c>
      <c r="AG281" s="828">
        <v>119629</v>
      </c>
      <c r="AH281" s="828">
        <v>120003</v>
      </c>
      <c r="AI281" s="828">
        <v>119316</v>
      </c>
      <c r="AJ281" s="828">
        <v>118598</v>
      </c>
      <c r="AK281" s="828">
        <v>117950</v>
      </c>
      <c r="AL281" s="828">
        <v>114406</v>
      </c>
      <c r="AM281" s="828">
        <v>113126</v>
      </c>
      <c r="AN281" s="828">
        <v>111899</v>
      </c>
      <c r="AO281" s="828">
        <v>110569</v>
      </c>
      <c r="AP281" s="828">
        <v>111833</v>
      </c>
    </row>
    <row r="282" hidden="1" ht="12.75" customHeight="1">
      <c r="B282" s="829" t="s">
        <v>110</v>
      </c>
      <c r="C282" s="823">
        <v>552956</v>
      </c>
      <c r="D282" s="823">
        <v>535233</v>
      </c>
      <c r="E282" s="823">
        <v>553784</v>
      </c>
      <c r="F282" s="823">
        <v>538549</v>
      </c>
      <c r="G282" s="823">
        <v>558177</v>
      </c>
      <c r="H282" s="823">
        <v>514442</v>
      </c>
      <c r="I282" s="823">
        <v>551662</v>
      </c>
      <c r="J282" s="823">
        <v>525837</v>
      </c>
      <c r="K282" s="823">
        <v>556888</v>
      </c>
      <c r="L282" s="823">
        <v>524045</v>
      </c>
      <c r="M282" s="823">
        <v>548607</v>
      </c>
      <c r="N282" s="823">
        <v>514110</v>
      </c>
      <c r="O282" s="823">
        <v>548868</v>
      </c>
      <c r="P282" s="823">
        <v>510688</v>
      </c>
      <c r="Q282" s="823">
        <v>543434</v>
      </c>
      <c r="R282" s="823">
        <v>514418</v>
      </c>
      <c r="S282" s="823">
        <v>553357</v>
      </c>
      <c r="T282" s="823">
        <v>530352</v>
      </c>
      <c r="U282" s="823">
        <v>570471</v>
      </c>
      <c r="V282" s="823">
        <v>543909</v>
      </c>
      <c r="W282" s="823">
        <v>583403</v>
      </c>
      <c r="X282" s="823">
        <v>558146</v>
      </c>
      <c r="Y282" s="823">
        <v>597741</v>
      </c>
      <c r="Z282" s="823">
        <v>589018</v>
      </c>
      <c r="AA282" s="823">
        <v>608229</v>
      </c>
      <c r="AB282" s="823">
        <v>584332</v>
      </c>
      <c r="AC282" s="825">
        <v>623007</v>
      </c>
      <c r="AD282" s="825">
        <v>598395</v>
      </c>
      <c r="AE282" s="825">
        <v>633565</v>
      </c>
      <c r="AF282" s="825">
        <v>604697</v>
      </c>
      <c r="AG282" s="825">
        <v>643224</v>
      </c>
      <c r="AH282" s="825">
        <v>610349</v>
      </c>
      <c r="AI282" s="825">
        <v>639877</v>
      </c>
      <c r="AJ282" s="825">
        <v>600030</v>
      </c>
      <c r="AK282" s="825">
        <v>629623</v>
      </c>
      <c r="AL282" s="825">
        <v>586057</v>
      </c>
      <c r="AM282" s="825">
        <v>611772</v>
      </c>
      <c r="AN282" s="825">
        <v>577620</v>
      </c>
      <c r="AO282" s="825">
        <v>606537</v>
      </c>
      <c r="AP282" s="825">
        <v>577432</v>
      </c>
    </row>
    <row r="283" hidden="1" ht="12.75" customHeight="1">
      <c r="B283" s="826" t="s">
        <v>16</v>
      </c>
      <c r="C283" s="827">
        <v>74873</v>
      </c>
      <c r="D283" s="827">
        <v>74653</v>
      </c>
      <c r="E283" s="827">
        <v>82307</v>
      </c>
      <c r="F283" s="827">
        <v>74322</v>
      </c>
      <c r="G283" s="827">
        <v>91946</v>
      </c>
      <c r="H283" s="827">
        <v>87840</v>
      </c>
      <c r="I283" s="827">
        <v>75665</v>
      </c>
      <c r="J283" s="827">
        <v>72111</v>
      </c>
      <c r="K283" s="827">
        <v>76343</v>
      </c>
      <c r="L283" s="827">
        <v>73356</v>
      </c>
      <c r="M283" s="827">
        <v>77795</v>
      </c>
      <c r="N283" s="827">
        <v>76603</v>
      </c>
      <c r="O283" s="827">
        <v>77352</v>
      </c>
      <c r="P283" s="827">
        <v>76210</v>
      </c>
      <c r="Q283" s="827">
        <v>77999</v>
      </c>
      <c r="R283" s="827">
        <v>0</v>
      </c>
      <c r="S283" s="827">
        <v>78193</v>
      </c>
      <c r="T283" s="827">
        <v>71480</v>
      </c>
      <c r="U283" s="827">
        <v>81291</v>
      </c>
      <c r="V283" s="827">
        <v>80887</v>
      </c>
      <c r="W283" s="827">
        <v>84480</v>
      </c>
      <c r="X283" s="827">
        <v>83414</v>
      </c>
      <c r="Y283" s="827">
        <v>86857</v>
      </c>
      <c r="Z283" s="827">
        <v>86393</v>
      </c>
      <c r="AA283" s="827">
        <v>89653</v>
      </c>
      <c r="AB283" s="827">
        <v>88824</v>
      </c>
      <c r="AC283" s="828">
        <v>91795</v>
      </c>
      <c r="AD283" s="828">
        <v>89505</v>
      </c>
      <c r="AE283" s="828">
        <v>91025</v>
      </c>
      <c r="AF283" s="828">
        <v>90844</v>
      </c>
      <c r="AG283" s="828">
        <v>89954</v>
      </c>
      <c r="AH283" s="828">
        <v>88180</v>
      </c>
      <c r="AI283" s="828">
        <v>88848</v>
      </c>
      <c r="AJ283" s="828">
        <v>87369</v>
      </c>
      <c r="AK283" s="828">
        <v>90284</v>
      </c>
      <c r="AL283" s="828">
        <v>90994</v>
      </c>
      <c r="AM283" s="828">
        <v>92122</v>
      </c>
      <c r="AN283" s="828">
        <v>90478</v>
      </c>
      <c r="AO283" s="828">
        <v>91683</v>
      </c>
      <c r="AP283" s="828">
        <v>89534</v>
      </c>
    </row>
    <row r="284" hidden="1" ht="12.75" customHeight="1">
      <c r="B284" s="829" t="s">
        <v>17</v>
      </c>
      <c r="C284" s="823">
        <v>430221</v>
      </c>
      <c r="D284" s="823">
        <v>439499</v>
      </c>
      <c r="E284" s="823">
        <v>434991</v>
      </c>
      <c r="F284" s="823">
        <v>438103</v>
      </c>
      <c r="G284" s="823">
        <v>435744</v>
      </c>
      <c r="H284" s="823">
        <v>434219</v>
      </c>
      <c r="I284" s="823">
        <v>433819</v>
      </c>
      <c r="J284" s="823">
        <v>437033</v>
      </c>
      <c r="K284" s="823">
        <v>436709</v>
      </c>
      <c r="L284" s="823">
        <v>436711</v>
      </c>
      <c r="M284" s="823">
        <v>430632</v>
      </c>
      <c r="N284" s="823">
        <v>427781</v>
      </c>
      <c r="O284" s="823">
        <v>419877</v>
      </c>
      <c r="P284" s="823">
        <v>422968</v>
      </c>
      <c r="Q284" s="823">
        <v>423479</v>
      </c>
      <c r="R284" s="823">
        <v>433202</v>
      </c>
      <c r="S284" s="823">
        <v>435787</v>
      </c>
      <c r="T284" s="823">
        <v>453635</v>
      </c>
      <c r="U284" s="823">
        <v>449218</v>
      </c>
      <c r="V284" s="823">
        <v>459291</v>
      </c>
      <c r="W284" s="823">
        <v>472568</v>
      </c>
      <c r="X284" s="823">
        <v>484027</v>
      </c>
      <c r="Y284" s="823">
        <v>482150</v>
      </c>
      <c r="Z284" s="823">
        <v>493439</v>
      </c>
      <c r="AA284" s="823">
        <v>497870</v>
      </c>
      <c r="AB284" s="823">
        <v>513547</v>
      </c>
      <c r="AC284" s="825">
        <v>504897</v>
      </c>
      <c r="AD284" s="825">
        <v>518617</v>
      </c>
      <c r="AE284" s="825">
        <v>519626</v>
      </c>
      <c r="AF284" s="825">
        <v>531653</v>
      </c>
      <c r="AG284" s="825">
        <v>519370</v>
      </c>
      <c r="AH284" s="825">
        <v>537661</v>
      </c>
      <c r="AI284" s="825">
        <v>514826</v>
      </c>
      <c r="AJ284" s="825">
        <v>525066</v>
      </c>
      <c r="AK284" s="825">
        <v>501772</v>
      </c>
      <c r="AL284" s="825">
        <v>511233</v>
      </c>
      <c r="AM284" s="825">
        <v>492293</v>
      </c>
      <c r="AN284" s="825">
        <v>506801</v>
      </c>
      <c r="AO284" s="825">
        <v>489990</v>
      </c>
      <c r="AP284" s="825">
        <v>510726</v>
      </c>
    </row>
    <row r="285" hidden="1" ht="12.75" customHeight="1">
      <c r="B285" s="826" t="s">
        <v>18</v>
      </c>
      <c r="C285" s="827">
        <v>234014</v>
      </c>
      <c r="D285" s="827">
        <v>224522</v>
      </c>
      <c r="E285" s="827">
        <v>225718</v>
      </c>
      <c r="F285" s="827">
        <v>222443</v>
      </c>
      <c r="G285" s="827">
        <v>235255</v>
      </c>
      <c r="H285" s="827">
        <v>228203</v>
      </c>
      <c r="I285" s="827">
        <v>231594</v>
      </c>
      <c r="J285" s="827">
        <v>223228</v>
      </c>
      <c r="K285" s="827">
        <v>226848</v>
      </c>
      <c r="L285" s="827">
        <v>222220</v>
      </c>
      <c r="M285" s="827">
        <v>223867</v>
      </c>
      <c r="N285" s="827">
        <v>218534</v>
      </c>
      <c r="O285" s="827">
        <v>219264</v>
      </c>
      <c r="P285" s="827">
        <v>215241</v>
      </c>
      <c r="Q285" s="827">
        <v>217351</v>
      </c>
      <c r="R285" s="827">
        <v>213559</v>
      </c>
      <c r="S285" s="827">
        <v>217685</v>
      </c>
      <c r="T285" s="827">
        <v>216500</v>
      </c>
      <c r="U285" s="827">
        <v>219242</v>
      </c>
      <c r="V285" s="827">
        <v>216946</v>
      </c>
      <c r="W285" s="827">
        <v>221679</v>
      </c>
      <c r="X285" s="827">
        <v>217991</v>
      </c>
      <c r="Y285" s="827">
        <v>222461</v>
      </c>
      <c r="Z285" s="827">
        <v>218705</v>
      </c>
      <c r="AA285" s="827">
        <v>220410</v>
      </c>
      <c r="AB285" s="827">
        <v>217966</v>
      </c>
      <c r="AC285" s="828">
        <v>221473</v>
      </c>
      <c r="AD285" s="828">
        <v>219263</v>
      </c>
      <c r="AE285" s="828">
        <v>224380</v>
      </c>
      <c r="AF285" s="828">
        <v>221046</v>
      </c>
      <c r="AG285" s="828">
        <v>224603</v>
      </c>
      <c r="AH285" s="828">
        <v>220826</v>
      </c>
      <c r="AI285" s="828">
        <v>224952</v>
      </c>
      <c r="AJ285" s="828">
        <v>220198</v>
      </c>
      <c r="AK285" s="828">
        <v>223766</v>
      </c>
      <c r="AL285" s="828">
        <v>221234</v>
      </c>
      <c r="AM285" s="828">
        <v>222867</v>
      </c>
      <c r="AN285" s="828">
        <v>218350</v>
      </c>
      <c r="AO285" s="828">
        <v>219381</v>
      </c>
      <c r="AP285" s="828">
        <v>215501</v>
      </c>
    </row>
    <row r="286" hidden="1" ht="12.75" customHeight="1">
      <c r="B286" s="829" t="s">
        <v>19</v>
      </c>
      <c r="C286" s="823">
        <v>44872</v>
      </c>
      <c r="D286" s="823">
        <v>44687</v>
      </c>
      <c r="E286" s="823">
        <v>43615</v>
      </c>
      <c r="F286" s="823">
        <v>43073</v>
      </c>
      <c r="G286" s="823">
        <v>46917</v>
      </c>
      <c r="H286" s="823">
        <v>47207</v>
      </c>
      <c r="I286" s="823">
        <v>45778</v>
      </c>
      <c r="J286" s="823">
        <v>44670</v>
      </c>
      <c r="K286" s="823">
        <v>45334</v>
      </c>
      <c r="L286" s="823">
        <v>43924</v>
      </c>
      <c r="M286" s="823">
        <v>39887</v>
      </c>
      <c r="N286" s="823">
        <v>38398</v>
      </c>
      <c r="O286" s="823">
        <v>38587</v>
      </c>
      <c r="P286" s="823">
        <v>37456</v>
      </c>
      <c r="Q286" s="823">
        <v>38013</v>
      </c>
      <c r="R286" s="823">
        <v>37865</v>
      </c>
      <c r="S286" s="823">
        <v>38689</v>
      </c>
      <c r="T286" s="823">
        <v>39091</v>
      </c>
      <c r="U286" s="823">
        <v>39969</v>
      </c>
      <c r="V286" s="823">
        <v>39899</v>
      </c>
      <c r="W286" s="823">
        <v>41054</v>
      </c>
      <c r="X286" s="823">
        <v>40735</v>
      </c>
      <c r="Y286" s="823">
        <v>41439</v>
      </c>
      <c r="Z286" s="823">
        <v>42161</v>
      </c>
      <c r="AA286" s="823">
        <v>42323</v>
      </c>
      <c r="AB286" s="823">
        <v>42359</v>
      </c>
      <c r="AC286" s="825">
        <v>42642</v>
      </c>
      <c r="AD286" s="825">
        <v>41840</v>
      </c>
      <c r="AE286" s="825">
        <v>43112</v>
      </c>
      <c r="AF286" s="825">
        <v>41896</v>
      </c>
      <c r="AG286" s="825">
        <v>41500</v>
      </c>
      <c r="AH286" s="825">
        <v>43556</v>
      </c>
      <c r="AI286" s="825">
        <v>44509</v>
      </c>
      <c r="AJ286" s="825">
        <v>41674</v>
      </c>
      <c r="AK286" s="825">
        <v>41215</v>
      </c>
      <c r="AL286" s="825">
        <v>41052</v>
      </c>
      <c r="AM286" s="825">
        <v>45351</v>
      </c>
      <c r="AN286" s="825">
        <v>41679</v>
      </c>
      <c r="AO286" s="825">
        <v>40533</v>
      </c>
      <c r="AP286" s="825">
        <v>40056</v>
      </c>
    </row>
    <row r="287" hidden="1" ht="12.75" customHeight="1">
      <c r="B287" s="826" t="s">
        <v>20</v>
      </c>
      <c r="C287" s="827">
        <v>5680</v>
      </c>
      <c r="D287" s="827">
        <v>5492</v>
      </c>
      <c r="E287" s="827">
        <v>4444</v>
      </c>
      <c r="F287" s="827">
        <v>4420</v>
      </c>
      <c r="G287" s="827">
        <v>3023</v>
      </c>
      <c r="H287" s="827">
        <v>2162</v>
      </c>
      <c r="I287" s="827">
        <v>2245</v>
      </c>
      <c r="J287" s="827">
        <v>2213</v>
      </c>
      <c r="K287" s="827">
        <v>2338</v>
      </c>
      <c r="L287" s="827">
        <v>2244</v>
      </c>
      <c r="M287" s="827">
        <v>1737</v>
      </c>
      <c r="N287" s="827">
        <v>1732</v>
      </c>
      <c r="O287" s="827">
        <v>1726</v>
      </c>
      <c r="P287" s="827">
        <v>1555</v>
      </c>
      <c r="Q287" s="827">
        <v>1592</v>
      </c>
      <c r="R287" s="827">
        <v>1640</v>
      </c>
      <c r="S287" s="827">
        <v>1729</v>
      </c>
      <c r="T287" s="827">
        <v>1624</v>
      </c>
      <c r="U287" s="827">
        <v>2548</v>
      </c>
      <c r="V287" s="827">
        <v>2644</v>
      </c>
      <c r="W287" s="827">
        <v>3410</v>
      </c>
      <c r="X287" s="827">
        <v>3537</v>
      </c>
      <c r="Y287" s="827">
        <v>3462</v>
      </c>
      <c r="Z287" s="827">
        <v>3275</v>
      </c>
      <c r="AA287" s="827">
        <v>3502</v>
      </c>
      <c r="AB287" s="827">
        <v>3449</v>
      </c>
      <c r="AC287" s="828">
        <v>3530</v>
      </c>
      <c r="AD287" s="828">
        <v>3448</v>
      </c>
      <c r="AE287" s="828">
        <v>3531</v>
      </c>
      <c r="AF287" s="828">
        <v>3310</v>
      </c>
      <c r="AG287" s="828">
        <v>3438</v>
      </c>
      <c r="AH287" s="828">
        <v>3338</v>
      </c>
      <c r="AI287" s="828">
        <v>3404</v>
      </c>
      <c r="AJ287" s="828">
        <v>3058</v>
      </c>
      <c r="AK287" s="828">
        <v>2977</v>
      </c>
      <c r="AL287" s="828">
        <v>3060</v>
      </c>
      <c r="AM287" s="828">
        <v>1379</v>
      </c>
      <c r="AN287" s="828">
        <v>1384</v>
      </c>
      <c r="AO287" s="828">
        <v>1581</v>
      </c>
      <c r="AP287" s="828">
        <v>1567</v>
      </c>
    </row>
    <row r="288" hidden="1" ht="12.75" customHeight="1">
      <c r="B288" s="829" t="s">
        <v>21</v>
      </c>
      <c r="C288" s="823">
        <v>32570</v>
      </c>
      <c r="D288" s="823">
        <v>32175</v>
      </c>
      <c r="E288" s="823">
        <v>32750</v>
      </c>
      <c r="F288" s="823">
        <v>32225</v>
      </c>
      <c r="G288" s="823">
        <v>33145</v>
      </c>
      <c r="H288" s="823">
        <v>32462</v>
      </c>
      <c r="I288" s="823">
        <v>32705</v>
      </c>
      <c r="J288" s="823">
        <v>32300</v>
      </c>
      <c r="K288" s="823">
        <v>33016</v>
      </c>
      <c r="L288" s="823">
        <v>32604</v>
      </c>
      <c r="M288" s="823">
        <v>33228</v>
      </c>
      <c r="N288" s="823">
        <v>32397</v>
      </c>
      <c r="O288" s="823">
        <v>32881</v>
      </c>
      <c r="P288" s="823">
        <v>32056</v>
      </c>
      <c r="Q288" s="823">
        <v>32355</v>
      </c>
      <c r="R288" s="823">
        <v>31914</v>
      </c>
      <c r="S288" s="823">
        <v>32610</v>
      </c>
      <c r="T288" s="823">
        <v>32168</v>
      </c>
      <c r="U288" s="823">
        <v>32789</v>
      </c>
      <c r="V288" s="823">
        <v>32439</v>
      </c>
      <c r="W288" s="823">
        <v>32888</v>
      </c>
      <c r="X288" s="823">
        <v>31997</v>
      </c>
      <c r="Y288" s="823">
        <v>32871</v>
      </c>
      <c r="Z288" s="823">
        <v>32385</v>
      </c>
      <c r="AA288" s="823">
        <v>33255</v>
      </c>
      <c r="AB288" s="823">
        <v>32935</v>
      </c>
      <c r="AC288" s="825">
        <v>33788</v>
      </c>
      <c r="AD288" s="825">
        <v>33010</v>
      </c>
      <c r="AE288" s="825">
        <v>33565</v>
      </c>
      <c r="AF288" s="825">
        <v>32851</v>
      </c>
      <c r="AG288" s="825">
        <v>33921</v>
      </c>
      <c r="AH288" s="825">
        <v>32884</v>
      </c>
      <c r="AI288" s="825">
        <v>33662</v>
      </c>
      <c r="AJ288" s="825">
        <v>32514</v>
      </c>
      <c r="AK288" s="825">
        <v>32938</v>
      </c>
      <c r="AL288" s="825">
        <v>32192</v>
      </c>
      <c r="AM288" s="825">
        <v>32510</v>
      </c>
      <c r="AN288" s="825">
        <v>31778</v>
      </c>
      <c r="AO288" s="825">
        <v>31939</v>
      </c>
      <c r="AP288" s="825">
        <v>31173</v>
      </c>
    </row>
    <row r="289" hidden="1" ht="12.75" customHeight="1">
      <c r="B289" s="826" t="s">
        <v>22</v>
      </c>
      <c r="C289" s="827">
        <v>57094</v>
      </c>
      <c r="D289" s="827">
        <v>55890</v>
      </c>
      <c r="E289" s="827">
        <v>56933</v>
      </c>
      <c r="F289" s="827">
        <v>55957</v>
      </c>
      <c r="G289" s="827">
        <v>64769</v>
      </c>
      <c r="H289" s="827">
        <v>64297</v>
      </c>
      <c r="I289" s="827">
        <v>59943</v>
      </c>
      <c r="J289" s="827">
        <v>58944</v>
      </c>
      <c r="K289" s="827">
        <v>60562</v>
      </c>
      <c r="L289" s="827">
        <v>59214</v>
      </c>
      <c r="M289" s="827">
        <v>59457</v>
      </c>
      <c r="N289" s="827">
        <v>57901</v>
      </c>
      <c r="O289" s="827">
        <v>58439</v>
      </c>
      <c r="P289" s="827">
        <v>56661</v>
      </c>
      <c r="Q289" s="827">
        <v>55233</v>
      </c>
      <c r="R289" s="827">
        <v>54178</v>
      </c>
      <c r="S289" s="827">
        <v>56245</v>
      </c>
      <c r="T289" s="827">
        <v>54718</v>
      </c>
      <c r="U289" s="827">
        <v>54431</v>
      </c>
      <c r="V289" s="827">
        <v>53985</v>
      </c>
      <c r="W289" s="827">
        <v>54886</v>
      </c>
      <c r="X289" s="827">
        <v>53792</v>
      </c>
      <c r="Y289" s="827">
        <v>55225</v>
      </c>
      <c r="Z289" s="827">
        <v>54035</v>
      </c>
      <c r="AA289" s="827">
        <v>54968</v>
      </c>
      <c r="AB289" s="827">
        <v>54000</v>
      </c>
      <c r="AC289" s="828">
        <v>55144</v>
      </c>
      <c r="AD289" s="828">
        <v>54169</v>
      </c>
      <c r="AE289" s="828">
        <v>55890</v>
      </c>
      <c r="AF289" s="828">
        <v>55194</v>
      </c>
      <c r="AG289" s="828">
        <v>55888</v>
      </c>
      <c r="AH289" s="828">
        <v>54168</v>
      </c>
      <c r="AI289" s="828">
        <v>54587</v>
      </c>
      <c r="AJ289" s="828">
        <v>51944</v>
      </c>
      <c r="AK289" s="828">
        <v>52954</v>
      </c>
      <c r="AL289" s="828">
        <v>50910</v>
      </c>
      <c r="AM289" s="828">
        <v>51855</v>
      </c>
      <c r="AN289" s="828">
        <v>50422</v>
      </c>
      <c r="AO289" s="828">
        <v>51556</v>
      </c>
      <c r="AP289" s="828">
        <v>50135</v>
      </c>
    </row>
    <row r="290" hidden="1" ht="12.75" customHeight="1">
      <c r="B290" s="829" t="s">
        <v>23</v>
      </c>
      <c r="C290" s="823">
        <v>18473</v>
      </c>
      <c r="D290" s="823">
        <v>18005</v>
      </c>
      <c r="E290" s="823">
        <v>17797</v>
      </c>
      <c r="F290" s="823">
        <v>16919</v>
      </c>
      <c r="G290" s="823">
        <v>16925</v>
      </c>
      <c r="H290" s="823">
        <v>16786</v>
      </c>
      <c r="I290" s="823">
        <v>16981</v>
      </c>
      <c r="J290" s="823">
        <v>16882</v>
      </c>
      <c r="K290" s="823">
        <v>17143</v>
      </c>
      <c r="L290" s="823">
        <v>16896</v>
      </c>
      <c r="M290" s="823">
        <v>17449</v>
      </c>
      <c r="N290" s="823">
        <v>16583</v>
      </c>
      <c r="O290" s="823">
        <v>17061</v>
      </c>
      <c r="P290" s="823">
        <v>16461</v>
      </c>
      <c r="Q290" s="823">
        <v>16918</v>
      </c>
      <c r="R290" s="823">
        <v>16738</v>
      </c>
      <c r="S290" s="823">
        <v>17837</v>
      </c>
      <c r="T290" s="823">
        <v>16880</v>
      </c>
      <c r="U290" s="823">
        <v>17851</v>
      </c>
      <c r="V290" s="823">
        <v>16677</v>
      </c>
      <c r="W290" s="823">
        <v>17384</v>
      </c>
      <c r="X290" s="823">
        <v>16459</v>
      </c>
      <c r="Y290" s="823">
        <v>17457</v>
      </c>
      <c r="Z290" s="823">
        <v>16906</v>
      </c>
      <c r="AA290" s="823">
        <v>17533</v>
      </c>
      <c r="AB290" s="823">
        <v>16721</v>
      </c>
      <c r="AC290" s="825">
        <v>17656</v>
      </c>
      <c r="AD290" s="825">
        <v>16647</v>
      </c>
      <c r="AE290" s="825">
        <v>17419</v>
      </c>
      <c r="AF290" s="825">
        <v>16741</v>
      </c>
      <c r="AG290" s="825">
        <v>17816</v>
      </c>
      <c r="AH290" s="825">
        <v>16526</v>
      </c>
      <c r="AI290" s="825">
        <v>16857</v>
      </c>
      <c r="AJ290" s="825">
        <v>15656</v>
      </c>
      <c r="AK290" s="825">
        <v>16075</v>
      </c>
      <c r="AL290" s="825">
        <v>14663</v>
      </c>
      <c r="AM290" s="825">
        <v>15106</v>
      </c>
      <c r="AN290" s="825">
        <v>13923</v>
      </c>
      <c r="AO290" s="825">
        <v>14358</v>
      </c>
      <c r="AP290" s="825">
        <v>13421</v>
      </c>
    </row>
    <row r="291" hidden="1" ht="12.75" customHeight="1">
      <c r="B291" s="835" t="s">
        <v>24</v>
      </c>
      <c r="C291" s="827">
        <v>16262</v>
      </c>
      <c r="D291" s="827">
        <v>15478</v>
      </c>
      <c r="E291" s="827">
        <v>15778</v>
      </c>
      <c r="F291" s="827">
        <v>14959</v>
      </c>
      <c r="G291" s="827">
        <v>13951</v>
      </c>
      <c r="H291" s="827">
        <v>15164</v>
      </c>
      <c r="I291" s="827">
        <v>16202</v>
      </c>
      <c r="J291" s="827">
        <v>16001</v>
      </c>
      <c r="K291" s="827">
        <v>15570</v>
      </c>
      <c r="L291" s="827">
        <v>15006</v>
      </c>
      <c r="M291" s="827">
        <v>13849</v>
      </c>
      <c r="N291" s="827">
        <v>13257</v>
      </c>
      <c r="O291" s="827">
        <v>13363</v>
      </c>
      <c r="P291" s="827">
        <v>12740</v>
      </c>
      <c r="Q291" s="827">
        <v>13245</v>
      </c>
      <c r="R291" s="827">
        <v>12754</v>
      </c>
      <c r="S291" s="827">
        <v>13300</v>
      </c>
      <c r="T291" s="827">
        <v>12146</v>
      </c>
      <c r="U291" s="827">
        <v>12527</v>
      </c>
      <c r="V291" s="827">
        <v>12263</v>
      </c>
      <c r="W291" s="827">
        <v>12461</v>
      </c>
      <c r="X291" s="827">
        <v>12461</v>
      </c>
      <c r="Y291" s="827">
        <v>12914</v>
      </c>
      <c r="Z291" s="827">
        <v>12273</v>
      </c>
      <c r="AA291" s="827">
        <v>12583</v>
      </c>
      <c r="AB291" s="827">
        <v>12217</v>
      </c>
      <c r="AC291" s="828">
        <v>12407</v>
      </c>
      <c r="AD291" s="828">
        <v>12748</v>
      </c>
      <c r="AE291" s="828">
        <v>12538</v>
      </c>
      <c r="AF291" s="828">
        <v>12622</v>
      </c>
      <c r="AG291" s="828">
        <v>12926</v>
      </c>
      <c r="AH291" s="828">
        <v>13201</v>
      </c>
      <c r="AI291" s="828">
        <v>12985</v>
      </c>
      <c r="AJ291" s="828">
        <v>13263</v>
      </c>
      <c r="AK291" s="828">
        <v>13601</v>
      </c>
      <c r="AL291" s="828">
        <v>13500</v>
      </c>
      <c r="AM291" s="828">
        <v>13727</v>
      </c>
      <c r="AN291" s="828">
        <v>13530</v>
      </c>
      <c r="AO291" s="828">
        <v>13610</v>
      </c>
      <c r="AP291" s="828">
        <v>13952</v>
      </c>
    </row>
    <row r="292" hidden="1" ht="12.75" customHeight="1">
      <c r="B292" s="829" t="s">
        <v>25</v>
      </c>
      <c r="C292" s="823">
        <v>0</v>
      </c>
      <c r="D292" s="823">
        <v>0</v>
      </c>
      <c r="E292" s="823">
        <v>0</v>
      </c>
      <c r="F292" s="823">
        <v>0</v>
      </c>
      <c r="G292" s="823">
        <v>0</v>
      </c>
      <c r="H292" s="823">
        <v>0</v>
      </c>
      <c r="I292" s="823">
        <v>0</v>
      </c>
      <c r="J292" s="823">
        <v>0</v>
      </c>
      <c r="K292" s="823">
        <v>0</v>
      </c>
      <c r="L292" s="823">
        <v>0</v>
      </c>
      <c r="M292" s="823">
        <v>0</v>
      </c>
      <c r="N292" s="823">
        <v>0</v>
      </c>
      <c r="O292" s="823">
        <v>0</v>
      </c>
      <c r="P292" s="823">
        <v>0</v>
      </c>
      <c r="Q292" s="823">
        <v>0</v>
      </c>
      <c r="R292" s="823">
        <v>0</v>
      </c>
      <c r="S292" s="823">
        <v>0</v>
      </c>
      <c r="T292" s="823">
        <v>0</v>
      </c>
      <c r="U292" s="823">
        <v>0</v>
      </c>
      <c r="V292" s="823">
        <v>0</v>
      </c>
      <c r="W292" s="823">
        <v>0</v>
      </c>
      <c r="X292" s="823">
        <v>0</v>
      </c>
      <c r="Y292" s="823">
        <v>0</v>
      </c>
      <c r="Z292" s="823">
        <v>0</v>
      </c>
      <c r="AA292" s="823">
        <v>0</v>
      </c>
      <c r="AB292" s="823">
        <v>0</v>
      </c>
      <c r="AC292" s="825">
        <v>0</v>
      </c>
      <c r="AD292" s="825">
        <v>0</v>
      </c>
      <c r="AE292" s="825">
        <v>0</v>
      </c>
      <c r="AF292" s="825">
        <v>0</v>
      </c>
      <c r="AG292" s="825">
        <v>0</v>
      </c>
      <c r="AH292" s="825">
        <v>0</v>
      </c>
      <c r="AI292" s="825">
        <v>0</v>
      </c>
      <c r="AJ292" s="825">
        <v>0</v>
      </c>
      <c r="AK292" s="825">
        <v>0</v>
      </c>
      <c r="AL292" s="825">
        <v>0</v>
      </c>
      <c r="AM292" s="825">
        <v>40</v>
      </c>
      <c r="AN292" s="825">
        <v>0</v>
      </c>
      <c r="AO292" s="825">
        <v>0</v>
      </c>
      <c r="AP292" s="825">
        <v>0</v>
      </c>
    </row>
    <row r="293" hidden="1" ht="13.5" customHeight="1">
      <c r="B293" s="836" t="s">
        <v>26</v>
      </c>
      <c r="C293" s="827">
        <v>0</v>
      </c>
      <c r="D293" s="827">
        <v>0</v>
      </c>
      <c r="E293" s="827">
        <v>0</v>
      </c>
      <c r="F293" s="827">
        <v>0</v>
      </c>
      <c r="G293" s="827">
        <v>0</v>
      </c>
      <c r="H293" s="827">
        <v>0</v>
      </c>
      <c r="I293" s="827">
        <v>0</v>
      </c>
      <c r="J293" s="827">
        <v>0</v>
      </c>
      <c r="K293" s="827">
        <v>0</v>
      </c>
      <c r="L293" s="827">
        <v>0</v>
      </c>
      <c r="M293" s="827">
        <v>0</v>
      </c>
      <c r="N293" s="827">
        <v>0</v>
      </c>
      <c r="O293" s="827">
        <v>0</v>
      </c>
      <c r="P293" s="827">
        <v>0</v>
      </c>
      <c r="Q293" s="827">
        <v>0</v>
      </c>
      <c r="R293" s="827">
        <v>0</v>
      </c>
      <c r="S293" s="827">
        <v>0</v>
      </c>
      <c r="T293" s="827">
        <v>0</v>
      </c>
      <c r="U293" s="827">
        <v>0</v>
      </c>
      <c r="V293" s="827">
        <v>0</v>
      </c>
      <c r="W293" s="827">
        <v>0</v>
      </c>
      <c r="X293" s="827">
        <v>0</v>
      </c>
      <c r="Y293" s="827">
        <v>0</v>
      </c>
      <c r="Z293" s="827">
        <v>0</v>
      </c>
      <c r="AA293" s="827">
        <v>0</v>
      </c>
      <c r="AB293" s="837">
        <v>0</v>
      </c>
      <c r="AC293" s="828">
        <v>0</v>
      </c>
      <c r="AD293" s="828">
        <v>0</v>
      </c>
      <c r="AE293" s="828">
        <v>0</v>
      </c>
      <c r="AF293" s="828">
        <v>0</v>
      </c>
      <c r="AG293" s="828">
        <v>0</v>
      </c>
      <c r="AH293" s="828">
        <v>0</v>
      </c>
      <c r="AI293" s="828">
        <v>0</v>
      </c>
      <c r="AJ293" s="828">
        <v>0</v>
      </c>
      <c r="AK293" s="828">
        <v>0</v>
      </c>
      <c r="AL293" s="828">
        <v>0</v>
      </c>
      <c r="AM293" s="828">
        <v>67</v>
      </c>
      <c r="AN293" s="828">
        <v>62</v>
      </c>
      <c r="AO293" s="828">
        <v>65</v>
      </c>
      <c r="AP293" s="828">
        <v>69</v>
      </c>
    </row>
    <row r="294" hidden="1" ht="13.5" customHeight="1">
      <c r="B294" s="128" t="s">
        <v>7</v>
      </c>
      <c r="C294" s="129" t="str">
        <f>IF(SUM(C275:C293)&lt;&gt;0,SUM(C275:C293),"")</f>
      </c>
      <c r="D294" s="129" t="str">
        <f ref="D294:AA294" t="shared" si="20">IF(SUM(D275:D293)&lt;&gt;0,SUM(D275:D293),"")</f>
      </c>
      <c r="E294" s="129" t="str">
        <f t="shared" si="20"/>
      </c>
      <c r="F294" s="129" t="str">
        <f t="shared" si="20"/>
      </c>
      <c r="G294" s="129" t="str">
        <f t="shared" si="20"/>
      </c>
      <c r="H294" s="129" t="str">
        <f t="shared" si="20"/>
      </c>
      <c r="I294" s="129" t="str">
        <f t="shared" si="20"/>
      </c>
      <c r="J294" s="129" t="str">
        <f t="shared" si="20"/>
      </c>
      <c r="K294" s="129" t="str">
        <f t="shared" si="20"/>
      </c>
      <c r="L294" s="129" t="str">
        <f t="shared" si="20"/>
      </c>
      <c r="M294" s="129" t="str">
        <f t="shared" si="20"/>
      </c>
      <c r="N294" s="129" t="str">
        <f t="shared" si="20"/>
      </c>
      <c r="O294" s="129" t="str">
        <f t="shared" si="20"/>
      </c>
      <c r="P294" s="129" t="str">
        <f t="shared" si="20"/>
      </c>
      <c r="Q294" s="129" t="str">
        <f t="shared" si="20"/>
      </c>
      <c r="R294" s="129" t="str">
        <f t="shared" si="20"/>
      </c>
      <c r="S294" s="129" t="str">
        <f t="shared" si="20"/>
      </c>
      <c r="T294" s="129" t="str">
        <f t="shared" si="20"/>
      </c>
      <c r="U294" s="129" t="str">
        <f t="shared" si="20"/>
      </c>
      <c r="V294" s="129" t="str">
        <f t="shared" si="20"/>
      </c>
      <c r="W294" s="129" t="str">
        <f t="shared" si="20"/>
      </c>
      <c r="X294" s="129" t="str">
        <f t="shared" si="20"/>
      </c>
      <c r="Y294" s="129" t="str">
        <f t="shared" si="20"/>
      </c>
      <c r="Z294" s="129" t="str">
        <f t="shared" si="20"/>
      </c>
      <c r="AA294" s="129" t="str">
        <f t="shared" si="20"/>
      </c>
      <c r="AB294" s="130" t="str">
        <f>IF(SUM(AB275:AB293)&lt;&gt;0,SUM(AB275:AB293),"")</f>
      </c>
      <c r="AC294" s="91" t="str">
        <f ref="AC294:CN294" t="shared" si="21">IF(SUM(AC275:AC293)&lt;&gt;0,SUM(AC275:AC293),"")</f>
      </c>
      <c r="AD294" s="91" t="str">
        <f t="shared" si="21"/>
      </c>
      <c r="AE294" s="91" t="str">
        <f t="shared" si="21"/>
      </c>
      <c r="AF294" s="91" t="str">
        <f t="shared" si="21"/>
      </c>
      <c r="AG294" s="91" t="str">
        <f t="shared" si="21"/>
      </c>
      <c r="AH294" s="91" t="str">
        <f t="shared" si="21"/>
      </c>
      <c r="AI294" s="91" t="str">
        <f t="shared" si="21"/>
      </c>
      <c r="AJ294" s="91" t="str">
        <f t="shared" si="21"/>
      </c>
      <c r="AK294" s="91" t="str">
        <f t="shared" si="21"/>
      </c>
      <c r="AL294" s="91" t="str">
        <f t="shared" si="21"/>
      </c>
      <c r="AM294" s="91" t="str">
        <f t="shared" si="21"/>
      </c>
      <c r="AN294" s="91" t="str">
        <f t="shared" si="21"/>
      </c>
      <c r="AO294" s="91" t="str">
        <f t="shared" si="21"/>
      </c>
      <c r="AP294" s="91" t="str">
        <f t="shared" si="21"/>
      </c>
      <c r="AQ294" s="91" t="str">
        <f t="shared" si="21"/>
      </c>
      <c r="AR294" s="91" t="str">
        <f t="shared" si="21"/>
      </c>
      <c r="AS294" s="91" t="str">
        <f t="shared" si="21"/>
      </c>
      <c r="AT294" s="91" t="str">
        <f t="shared" si="21"/>
      </c>
      <c r="AU294" s="91" t="str">
        <f t="shared" si="21"/>
      </c>
      <c r="AV294" s="91" t="str">
        <f t="shared" si="21"/>
      </c>
      <c r="AW294" s="91" t="str">
        <f t="shared" si="21"/>
      </c>
      <c r="AX294" s="91" t="str">
        <f t="shared" si="21"/>
      </c>
      <c r="AY294" s="91" t="str">
        <f t="shared" si="21"/>
      </c>
      <c r="AZ294" s="91" t="str">
        <f t="shared" si="21"/>
      </c>
      <c r="BA294" s="91" t="str">
        <f t="shared" si="21"/>
      </c>
      <c r="BB294" s="91" t="str">
        <f t="shared" si="21"/>
      </c>
      <c r="BC294" s="91" t="str">
        <f t="shared" si="21"/>
      </c>
      <c r="BD294" s="91" t="str">
        <f t="shared" si="21"/>
      </c>
      <c r="BE294" s="91" t="str">
        <f t="shared" si="21"/>
      </c>
      <c r="BF294" s="91" t="str">
        <f t="shared" si="21"/>
      </c>
      <c r="BG294" s="91" t="str">
        <f t="shared" si="21"/>
      </c>
      <c r="BH294" s="91" t="str">
        <f t="shared" si="21"/>
      </c>
      <c r="BI294" s="91" t="str">
        <f t="shared" si="21"/>
      </c>
      <c r="BJ294" s="91" t="str">
        <f t="shared" si="21"/>
      </c>
      <c r="BK294" s="91" t="str">
        <f t="shared" si="21"/>
      </c>
      <c r="BL294" s="91" t="str">
        <f t="shared" si="21"/>
      </c>
      <c r="BM294" s="91" t="str">
        <f t="shared" si="21"/>
      </c>
      <c r="BN294" s="91" t="str">
        <f t="shared" si="21"/>
      </c>
      <c r="BO294" s="91" t="str">
        <f t="shared" si="21"/>
      </c>
      <c r="BP294" s="91" t="str">
        <f t="shared" si="21"/>
      </c>
      <c r="BQ294" s="91" t="str">
        <f t="shared" si="21"/>
      </c>
      <c r="BR294" s="91" t="str">
        <f t="shared" si="21"/>
      </c>
      <c r="BS294" s="91" t="str">
        <f t="shared" si="21"/>
      </c>
      <c r="BT294" s="91" t="str">
        <f t="shared" si="21"/>
      </c>
      <c r="BU294" s="91" t="str">
        <f t="shared" si="21"/>
      </c>
      <c r="BV294" s="91" t="str">
        <f t="shared" si="21"/>
      </c>
      <c r="BW294" s="91" t="str">
        <f t="shared" si="21"/>
      </c>
      <c r="BX294" s="91" t="str">
        <f t="shared" si="21"/>
      </c>
      <c r="BY294" s="91" t="str">
        <f t="shared" si="21"/>
      </c>
      <c r="BZ294" s="91" t="str">
        <f t="shared" si="21"/>
      </c>
      <c r="CA294" s="91" t="str">
        <f t="shared" si="21"/>
      </c>
      <c r="CB294" s="91" t="str">
        <f t="shared" si="21"/>
      </c>
      <c r="CC294" s="91" t="str">
        <f t="shared" si="21"/>
      </c>
      <c r="CD294" s="91" t="str">
        <f t="shared" si="21"/>
      </c>
      <c r="CE294" s="91" t="str">
        <f t="shared" si="21"/>
      </c>
      <c r="CF294" s="91" t="str">
        <f t="shared" si="21"/>
      </c>
      <c r="CG294" s="91" t="str">
        <f t="shared" si="21"/>
      </c>
      <c r="CH294" s="91" t="str">
        <f t="shared" si="21"/>
      </c>
      <c r="CI294" s="91" t="str">
        <f t="shared" si="21"/>
      </c>
      <c r="CJ294" s="91" t="str">
        <f t="shared" si="21"/>
      </c>
      <c r="CK294" s="91" t="str">
        <f t="shared" si="21"/>
      </c>
      <c r="CL294" s="91" t="str">
        <f t="shared" si="21"/>
      </c>
      <c r="CM294" s="91" t="str">
        <f t="shared" si="21"/>
      </c>
      <c r="CN294" s="91" t="str">
        <f t="shared" si="21"/>
      </c>
      <c r="CO294" s="91" t="str">
        <f ref="CO294:EZ294" t="shared" si="22">IF(SUM(CO275:CO293)&lt;&gt;0,SUM(CO275:CO293),"")</f>
      </c>
      <c r="CP294" s="91" t="str">
        <f t="shared" si="22"/>
      </c>
      <c r="CQ294" s="91" t="str">
        <f t="shared" si="22"/>
      </c>
      <c r="CR294" s="91" t="str">
        <f t="shared" si="22"/>
      </c>
      <c r="CS294" s="91" t="str">
        <f t="shared" si="22"/>
      </c>
      <c r="CT294" s="91" t="str">
        <f t="shared" si="22"/>
      </c>
      <c r="CU294" s="91" t="str">
        <f t="shared" si="22"/>
      </c>
      <c r="CV294" s="91" t="str">
        <f t="shared" si="22"/>
      </c>
      <c r="CW294" s="91" t="str">
        <f t="shared" si="22"/>
      </c>
      <c r="CX294" s="91" t="str">
        <f t="shared" si="22"/>
      </c>
      <c r="CY294" s="91" t="str">
        <f t="shared" si="22"/>
      </c>
      <c r="CZ294" s="91" t="str">
        <f t="shared" si="22"/>
      </c>
      <c r="DA294" s="91" t="str">
        <f t="shared" si="22"/>
      </c>
      <c r="DB294" s="91" t="str">
        <f t="shared" si="22"/>
      </c>
      <c r="DC294" s="91" t="str">
        <f t="shared" si="22"/>
      </c>
      <c r="DD294" s="91" t="str">
        <f t="shared" si="22"/>
      </c>
      <c r="DE294" s="91" t="str">
        <f t="shared" si="22"/>
      </c>
      <c r="DF294" s="91" t="str">
        <f t="shared" si="22"/>
      </c>
      <c r="DG294" s="91" t="str">
        <f t="shared" si="22"/>
      </c>
      <c r="DH294" s="91" t="str">
        <f t="shared" si="22"/>
      </c>
      <c r="DI294" s="91" t="str">
        <f t="shared" si="22"/>
      </c>
      <c r="DJ294" s="91" t="str">
        <f t="shared" si="22"/>
      </c>
      <c r="DK294" s="91" t="str">
        <f t="shared" si="22"/>
      </c>
      <c r="DL294" s="91" t="str">
        <f t="shared" si="22"/>
      </c>
      <c r="DM294" s="91" t="str">
        <f t="shared" si="22"/>
      </c>
      <c r="DN294" s="91" t="str">
        <f t="shared" si="22"/>
      </c>
      <c r="DO294" s="91" t="str">
        <f t="shared" si="22"/>
      </c>
      <c r="DP294" s="91" t="str">
        <f t="shared" si="22"/>
      </c>
      <c r="DQ294" s="91" t="str">
        <f t="shared" si="22"/>
      </c>
      <c r="DR294" s="91" t="str">
        <f t="shared" si="22"/>
      </c>
      <c r="DS294" s="91" t="str">
        <f t="shared" si="22"/>
      </c>
      <c r="DT294" s="91" t="str">
        <f t="shared" si="22"/>
      </c>
      <c r="DU294" s="91" t="str">
        <f t="shared" si="22"/>
      </c>
      <c r="DV294" s="91" t="str">
        <f t="shared" si="22"/>
      </c>
      <c r="DW294" s="91" t="str">
        <f t="shared" si="22"/>
      </c>
      <c r="DX294" s="91" t="str">
        <f t="shared" si="22"/>
      </c>
      <c r="DY294" s="91" t="str">
        <f t="shared" si="22"/>
      </c>
      <c r="DZ294" s="91" t="str">
        <f t="shared" si="22"/>
      </c>
      <c r="EA294" s="91" t="str">
        <f t="shared" si="22"/>
      </c>
      <c r="EB294" s="91" t="str">
        <f t="shared" si="22"/>
      </c>
      <c r="EC294" s="91" t="str">
        <f t="shared" si="22"/>
      </c>
      <c r="ED294" s="91" t="str">
        <f t="shared" si="22"/>
      </c>
      <c r="EE294" s="91" t="str">
        <f t="shared" si="22"/>
      </c>
      <c r="EF294" s="91" t="str">
        <f t="shared" si="22"/>
      </c>
      <c r="EG294" s="91" t="str">
        <f t="shared" si="22"/>
      </c>
      <c r="EH294" s="91" t="str">
        <f t="shared" si="22"/>
      </c>
      <c r="EI294" s="91" t="str">
        <f t="shared" si="22"/>
      </c>
      <c r="EJ294" s="91" t="str">
        <f t="shared" si="22"/>
      </c>
      <c r="EK294" s="91" t="str">
        <f t="shared" si="22"/>
      </c>
      <c r="EL294" s="91" t="str">
        <f t="shared" si="22"/>
      </c>
      <c r="EM294" s="91" t="str">
        <f t="shared" si="22"/>
      </c>
      <c r="EN294" s="91" t="str">
        <f t="shared" si="22"/>
      </c>
      <c r="EO294" s="91" t="str">
        <f t="shared" si="22"/>
      </c>
      <c r="EP294" s="91" t="str">
        <f t="shared" si="22"/>
      </c>
      <c r="EQ294" s="91" t="str">
        <f t="shared" si="22"/>
      </c>
      <c r="ER294" s="91" t="str">
        <f t="shared" si="22"/>
      </c>
      <c r="ES294" s="91" t="str">
        <f t="shared" si="22"/>
      </c>
      <c r="ET294" s="91" t="str">
        <f t="shared" si="22"/>
      </c>
      <c r="EU294" s="91" t="str">
        <f t="shared" si="22"/>
      </c>
      <c r="EV294" s="91" t="str">
        <f t="shared" si="22"/>
      </c>
      <c r="EW294" s="91" t="str">
        <f t="shared" si="22"/>
      </c>
      <c r="EX294" s="91" t="str">
        <f t="shared" si="22"/>
      </c>
      <c r="EY294" s="91" t="str">
        <f t="shared" si="22"/>
      </c>
      <c r="EZ294" s="91" t="str">
        <f t="shared" si="22"/>
      </c>
      <c r="FA294" s="91" t="str">
        <f ref="FA294:HL294" t="shared" si="23">IF(SUM(FA275:FA293)&lt;&gt;0,SUM(FA275:FA293),"")</f>
      </c>
      <c r="FB294" s="91" t="str">
        <f t="shared" si="23"/>
      </c>
      <c r="FC294" s="91" t="str">
        <f t="shared" si="23"/>
      </c>
      <c r="FD294" s="91" t="str">
        <f t="shared" si="23"/>
      </c>
      <c r="FE294" s="91" t="str">
        <f t="shared" si="23"/>
      </c>
      <c r="FF294" s="91" t="str">
        <f t="shared" si="23"/>
      </c>
      <c r="FG294" s="91" t="str">
        <f t="shared" si="23"/>
      </c>
      <c r="FH294" s="91" t="str">
        <f t="shared" si="23"/>
      </c>
      <c r="FI294" s="91" t="str">
        <f t="shared" si="23"/>
      </c>
      <c r="FJ294" s="91" t="str">
        <f t="shared" si="23"/>
      </c>
      <c r="FK294" s="91" t="str">
        <f t="shared" si="23"/>
      </c>
      <c r="FL294" s="91" t="str">
        <f t="shared" si="23"/>
      </c>
      <c r="FM294" s="91" t="str">
        <f t="shared" si="23"/>
      </c>
      <c r="FN294" s="91" t="str">
        <f t="shared" si="23"/>
      </c>
      <c r="FO294" s="91" t="str">
        <f t="shared" si="23"/>
      </c>
      <c r="FP294" s="91" t="str">
        <f t="shared" si="23"/>
      </c>
      <c r="FQ294" s="91" t="str">
        <f t="shared" si="23"/>
      </c>
      <c r="FR294" s="91" t="str">
        <f t="shared" si="23"/>
      </c>
      <c r="FS294" s="91" t="str">
        <f t="shared" si="23"/>
      </c>
      <c r="FT294" s="91" t="str">
        <f t="shared" si="23"/>
      </c>
      <c r="FU294" s="91" t="str">
        <f t="shared" si="23"/>
      </c>
      <c r="FV294" s="91" t="str">
        <f t="shared" si="23"/>
      </c>
      <c r="FW294" s="91" t="str">
        <f t="shared" si="23"/>
      </c>
      <c r="FX294" s="91" t="str">
        <f t="shared" si="23"/>
      </c>
      <c r="FY294" s="91" t="str">
        <f t="shared" si="23"/>
      </c>
      <c r="FZ294" s="91" t="str">
        <f t="shared" si="23"/>
      </c>
      <c r="GA294" s="91" t="str">
        <f t="shared" si="23"/>
      </c>
      <c r="GB294" s="91" t="str">
        <f t="shared" si="23"/>
      </c>
      <c r="GC294" s="91" t="str">
        <f t="shared" si="23"/>
      </c>
      <c r="GD294" s="91" t="str">
        <f t="shared" si="23"/>
      </c>
      <c r="GE294" s="91" t="str">
        <f t="shared" si="23"/>
      </c>
      <c r="GF294" s="91" t="str">
        <f t="shared" si="23"/>
      </c>
      <c r="GG294" s="91" t="str">
        <f t="shared" si="23"/>
      </c>
      <c r="GH294" s="91" t="str">
        <f t="shared" si="23"/>
      </c>
      <c r="GI294" s="91" t="str">
        <f t="shared" si="23"/>
      </c>
      <c r="GJ294" s="91" t="str">
        <f t="shared" si="23"/>
      </c>
      <c r="GK294" s="91" t="str">
        <f t="shared" si="23"/>
      </c>
      <c r="GL294" s="91" t="str">
        <f t="shared" si="23"/>
      </c>
      <c r="GM294" s="91" t="str">
        <f t="shared" si="23"/>
      </c>
      <c r="GN294" s="91" t="str">
        <f t="shared" si="23"/>
      </c>
      <c r="GO294" s="91" t="str">
        <f t="shared" si="23"/>
      </c>
      <c r="GP294" s="91" t="str">
        <f t="shared" si="23"/>
      </c>
      <c r="GQ294" s="91" t="str">
        <f t="shared" si="23"/>
      </c>
      <c r="GR294" s="91" t="str">
        <f t="shared" si="23"/>
      </c>
      <c r="GS294" s="91" t="str">
        <f t="shared" si="23"/>
      </c>
      <c r="GT294" s="91" t="str">
        <f t="shared" si="23"/>
      </c>
      <c r="GU294" s="91" t="str">
        <f t="shared" si="23"/>
      </c>
      <c r="GV294" s="91" t="str">
        <f t="shared" si="23"/>
      </c>
      <c r="GW294" s="91" t="str">
        <f t="shared" si="23"/>
      </c>
      <c r="GX294" s="91" t="str">
        <f t="shared" si="23"/>
      </c>
      <c r="GY294" s="91" t="str">
        <f t="shared" si="23"/>
      </c>
      <c r="GZ294" s="91" t="str">
        <f t="shared" si="23"/>
      </c>
      <c r="HA294" s="91" t="str">
        <f t="shared" si="23"/>
      </c>
      <c r="HB294" s="91" t="str">
        <f t="shared" si="23"/>
      </c>
      <c r="HC294" s="91" t="str">
        <f t="shared" si="23"/>
      </c>
      <c r="HD294" s="91" t="str">
        <f t="shared" si="23"/>
      </c>
      <c r="HE294" s="91" t="str">
        <f t="shared" si="23"/>
      </c>
      <c r="HF294" s="91" t="str">
        <f t="shared" si="23"/>
      </c>
      <c r="HG294" s="91" t="str">
        <f t="shared" si="23"/>
      </c>
      <c r="HH294" s="91" t="str">
        <f t="shared" si="23"/>
      </c>
      <c r="HI294" s="91" t="str">
        <f t="shared" si="23"/>
      </c>
      <c r="HJ294" s="91" t="str">
        <f t="shared" si="23"/>
      </c>
      <c r="HK294" s="91" t="str">
        <f t="shared" si="23"/>
      </c>
      <c r="HL294" s="91" t="str">
        <f t="shared" si="23"/>
      </c>
      <c r="HM294" s="91" t="str">
        <f ref="HM294:IV294" t="shared" si="24">IF(SUM(HM275:HM293)&lt;&gt;0,SUM(HM275:HM293),"")</f>
      </c>
      <c r="HN294" s="91" t="str">
        <f t="shared" si="24"/>
      </c>
      <c r="HO294" s="91" t="str">
        <f t="shared" si="24"/>
      </c>
      <c r="HP294" s="91" t="str">
        <f t="shared" si="24"/>
      </c>
      <c r="HQ294" s="91" t="str">
        <f t="shared" si="24"/>
      </c>
      <c r="HR294" s="91" t="str">
        <f t="shared" si="24"/>
      </c>
      <c r="HS294" s="91" t="str">
        <f t="shared" si="24"/>
      </c>
      <c r="HT294" s="91" t="str">
        <f t="shared" si="24"/>
      </c>
      <c r="HU294" s="91" t="str">
        <f t="shared" si="24"/>
      </c>
      <c r="HV294" s="91" t="str">
        <f t="shared" si="24"/>
      </c>
      <c r="HW294" s="91" t="str">
        <f t="shared" si="24"/>
      </c>
      <c r="HX294" s="91" t="str">
        <f t="shared" si="24"/>
      </c>
      <c r="HY294" s="91" t="str">
        <f t="shared" si="24"/>
      </c>
      <c r="HZ294" s="91" t="str">
        <f t="shared" si="24"/>
      </c>
      <c r="IA294" s="91" t="str">
        <f t="shared" si="24"/>
      </c>
      <c r="IB294" s="91" t="str">
        <f t="shared" si="24"/>
      </c>
      <c r="IC294" s="91" t="str">
        <f t="shared" si="24"/>
      </c>
      <c r="ID294" s="91" t="str">
        <f t="shared" si="24"/>
      </c>
      <c r="IE294" s="91" t="str">
        <f t="shared" si="24"/>
      </c>
      <c r="IF294" s="91" t="str">
        <f t="shared" si="24"/>
      </c>
      <c r="IG294" s="91" t="str">
        <f t="shared" si="24"/>
      </c>
      <c r="IH294" s="91" t="str">
        <f t="shared" si="24"/>
      </c>
      <c r="II294" s="91" t="str">
        <f t="shared" si="24"/>
      </c>
      <c r="IJ294" s="91" t="str">
        <f t="shared" si="24"/>
      </c>
      <c r="IK294" s="91" t="str">
        <f t="shared" si="24"/>
      </c>
      <c r="IL294" s="91" t="str">
        <f t="shared" si="24"/>
      </c>
      <c r="IM294" s="91" t="str">
        <f t="shared" si="24"/>
      </c>
      <c r="IN294" s="91" t="str">
        <f t="shared" si="24"/>
      </c>
      <c r="IO294" s="91" t="str">
        <f t="shared" si="24"/>
      </c>
      <c r="IP294" s="91" t="str">
        <f t="shared" si="24"/>
      </c>
      <c r="IQ294" s="91" t="str">
        <f t="shared" si="24"/>
      </c>
      <c r="IR294" s="91" t="str">
        <f t="shared" si="24"/>
      </c>
      <c r="IS294" s="91" t="str">
        <f t="shared" si="24"/>
      </c>
      <c r="IT294" s="91" t="str">
        <f t="shared" si="24"/>
      </c>
      <c r="IU294" s="91" t="str">
        <f t="shared" si="24"/>
      </c>
      <c r="IV294" s="91" t="str">
        <f t="shared" si="24"/>
      </c>
    </row>
    <row r="295" hidden="1" ht="12.75" customHeight="1">
      <c r="T295" s="51"/>
      <c r="W295" s="50"/>
    </row>
    <row r="296" hidden="1" ht="13.5" customHeight="1">
      <c r="T296" s="51"/>
      <c r="W296" s="50"/>
    </row>
    <row r="297" hidden="1" ht="13.5" customHeight="1">
      <c r="C297" s="617" t="s">
        <v>298</v>
      </c>
      <c r="D297" s="618"/>
      <c r="E297" s="618"/>
      <c r="F297" s="618"/>
      <c r="G297" s="618"/>
      <c r="H297" s="618"/>
      <c r="I297" s="618"/>
      <c r="J297" s="618"/>
      <c r="K297" s="618"/>
      <c r="L297" s="618"/>
      <c r="M297" s="618"/>
      <c r="N297" s="618"/>
      <c r="O297" s="618"/>
      <c r="P297" s="618"/>
      <c r="Q297" s="618"/>
      <c r="R297" s="618"/>
      <c r="S297" s="618"/>
      <c r="T297" s="618"/>
      <c r="U297" s="618"/>
      <c r="V297" s="618"/>
      <c r="W297" s="618"/>
      <c r="X297" s="618"/>
      <c r="Y297" s="618"/>
      <c r="Z297" s="618"/>
      <c r="AA297" s="618"/>
      <c r="AB297" s="619"/>
    </row>
    <row r="298" hidden="1" ht="13.5" customHeight="1">
      <c r="C298" s="435" t="str">
        <f> IF(C318&lt;&gt;"",TEXT(AUX!G$1,"dd-MMM-aa"),"")</f>
      </c>
      <c r="D298" s="435" t="str">
        <f> IF(D318&lt;&gt;"",TEXT(AUX!H$1,"dd-MMM-aa"),"")</f>
      </c>
      <c r="E298" s="435" t="str">
        <f> IF(E318&lt;&gt;"",TEXT(AUX!I$1,"dd-MMM-aa"),"")</f>
      </c>
      <c r="F298" s="435" t="str">
        <f> IF(F318&lt;&gt;"",TEXT(AUX!J$1,"dd-MMM-aa"),"")</f>
      </c>
      <c r="G298" s="435" t="str">
        <f> IF(G318&lt;&gt;"",TEXT(AUX!K$1,"dd-MMM-aa"),"")</f>
      </c>
      <c r="H298" s="435" t="str">
        <f> IF(H318&lt;&gt;"",TEXT(AUX!L$1,"dd-MMM-aa"),"")</f>
      </c>
      <c r="I298" s="435" t="str">
        <f> IF(I318&lt;&gt;"",TEXT(AUX!M$1,"dd-MMM-aa"),"")</f>
      </c>
      <c r="J298" s="435" t="str">
        <f> IF(J318&lt;&gt;"",TEXT(AUX!N$1,"dd-MMM-aa"),"")</f>
      </c>
      <c r="K298" s="435" t="str">
        <f> IF(K318&lt;&gt;"",TEXT(AUX!O$1,"dd-MMM-aa"),"")</f>
      </c>
      <c r="L298" s="435" t="str">
        <f> IF(L318&lt;&gt;"",TEXT(AUX!P$1,"dd-MMM-aa"),"")</f>
      </c>
      <c r="M298" s="435" t="str">
        <f> IF(M318&lt;&gt;"",TEXT(AUX!Q$1,"dd-MMM-aa"),"")</f>
      </c>
      <c r="N298" s="435" t="str">
        <f> IF(N318&lt;&gt;"",TEXT(AUX!R$1,"dd-MMM-aa"),"")</f>
      </c>
      <c r="O298" s="435" t="str">
        <f> IF(O318&lt;&gt;"",TEXT(AUX!S$1,"dd-MMM-aa"),"")</f>
      </c>
      <c r="P298" s="435" t="str">
        <f> IF(P318&lt;&gt;"",TEXT(AUX!T$1,"dd-MMM-aa"),"")</f>
      </c>
      <c r="Q298" s="435" t="str">
        <f> IF(Q318&lt;&gt;"",TEXT(AUX!U$1,"dd-MMM-aa"),"")</f>
      </c>
      <c r="R298" s="435" t="str">
        <f> IF(R318&lt;&gt;"",TEXT(AUX!V$1,"dd-MMM-aa"),"")</f>
      </c>
      <c r="S298" s="435" t="str">
        <f> IF(S318&lt;&gt;"",TEXT(AUX!W$1,"dd-MMM-aa"),"")</f>
      </c>
      <c r="T298" s="435" t="str">
        <f> IF(T318&lt;&gt;"",TEXT(AUX!X$1,"dd-MMM-aa"),"")</f>
      </c>
      <c r="U298" s="435" t="str">
        <f> IF(U318&lt;&gt;"",TEXT(AUX!Y$1,"dd-MMM-aa"),"")</f>
      </c>
      <c r="V298" s="435" t="str">
        <f> IF(V318&lt;&gt;"",TEXT(AUX!Z$1,"dd-MMM-aa"),"")</f>
      </c>
      <c r="W298" s="435" t="str">
        <f> IF(W318&lt;&gt;"",TEXT(AUX!AA$1,"dd-MMM-aa"),"")</f>
      </c>
      <c r="X298" s="435" t="str">
        <f> IF(X318&lt;&gt;"",TEXT(AUX!AB$1,"dd-MMM-aa"),"")</f>
      </c>
      <c r="Y298" s="435" t="str">
        <f> IF(Y318&lt;&gt;"",TEXT(AUX!AC$1,"dd-MMM-aa"),"")</f>
      </c>
      <c r="Z298" s="435" t="str">
        <f> IF(Z318&lt;&gt;"",TEXT(AUX!AD$1,"dd-MMM-aa"),"")</f>
      </c>
      <c r="AA298" s="435" t="str">
        <f> IF(AA318&lt;&gt;"",TEXT(AUX!AE$1,"dd-MMM-aa"),"")</f>
      </c>
      <c r="AB298" s="497" t="str">
        <f> IF(AB318&lt;&gt;"",TEXT(AUX!AF$1,"dd-MMM-aa"),"")</f>
      </c>
      <c r="AC298" s="496" t="str">
        <f> IF(AC318&lt;&gt;"",TEXT(AUX!AG$1,"dd-MMM-aa"),"")</f>
      </c>
      <c r="AD298" s="496" t="str">
        <f> IF(AD318&lt;&gt;"",TEXT(AUX!AH$1,"dd-MMM-aa"),"")</f>
      </c>
      <c r="AE298" s="496" t="str">
        <f> IF(AE318&lt;&gt;"",TEXT(AUX!AI$1,"dd-MMM-aa"),"")</f>
      </c>
      <c r="AF298" s="496" t="str">
        <f> IF(AF318&lt;&gt;"",TEXT(AUX!AJ$1,"dd-MMM-aa"),"")</f>
      </c>
      <c r="AG298" s="496" t="str">
        <f> IF(AG318&lt;&gt;"",TEXT(AUX!AK$1,"dd-MMM-aa"),"")</f>
      </c>
      <c r="AH298" s="496" t="str">
        <f> IF(AH318&lt;&gt;"",TEXT(AUX!AL$1,"dd-MMM-aa"),"")</f>
      </c>
      <c r="AI298" s="496" t="str">
        <f> IF(AI318&lt;&gt;"",TEXT(AUX!AM$1,"dd-MMM-aa"),"")</f>
      </c>
      <c r="AJ298" s="496" t="str">
        <f> IF(AJ318&lt;&gt;"",TEXT(AUX!AN$1,"dd-MMM-aa"),"")</f>
      </c>
      <c r="AK298" s="496" t="str">
        <f> IF(AK318&lt;&gt;"",TEXT(AUX!AO$1,"dd-MMM-aa"),"")</f>
      </c>
      <c r="AL298" s="496" t="str">
        <f> IF(AL318&lt;&gt;"",TEXT(AUX!AP$1,"dd-MMM-aa"),"")</f>
      </c>
      <c r="AM298" s="496" t="str">
        <f> IF(AM318&lt;&gt;"",TEXT(AUX!AQ$1,"dd-MMM-aa"),"")</f>
      </c>
      <c r="AN298" s="496" t="str">
        <f> IF(AN318&lt;&gt;"",TEXT(AUX!AR$1,"dd-MMM-aa"),"")</f>
      </c>
      <c r="AO298" s="496" t="str">
        <f> IF(AO318&lt;&gt;"",TEXT(AUX!AS$1,"dd-MMM-aa"),"")</f>
      </c>
      <c r="AP298" s="496" t="str">
        <f> IF(AP318&lt;&gt;"",TEXT(AUX!AT$1,"dd-MMM-aa"),"")</f>
      </c>
      <c r="AQ298" s="496" t="str">
        <f> IF(AQ318&lt;&gt;"",TEXT(AUX!AU$1,"dd-MMM-aa"),"")</f>
      </c>
      <c r="AR298" s="496" t="str">
        <f> IF(AR318&lt;&gt;"",TEXT(AUX!AV$1,"dd-MMM-aa"),"")</f>
      </c>
      <c r="AS298" s="496" t="str">
        <f> IF(AS318&lt;&gt;"",TEXT(AUX!AW$1,"dd-MMM-aa"),"")</f>
      </c>
      <c r="AT298" s="496" t="str">
        <f> IF(AT318&lt;&gt;"",TEXT(AUX!AX$1,"dd-MMM-aa"),"")</f>
      </c>
      <c r="AU298" s="496" t="str">
        <f> IF(AU318&lt;&gt;"",TEXT(AUX!AY$1,"dd-MMM-aa"),"")</f>
      </c>
      <c r="AV298" s="496" t="str">
        <f> IF(AV318&lt;&gt;"",TEXT(AUX!AZ$1,"dd-MMM-aa"),"")</f>
      </c>
      <c r="AW298" s="496" t="str">
        <f> IF(AW318&lt;&gt;"",TEXT(AUX!BA$1,"dd-MMM-aa"),"")</f>
      </c>
      <c r="AX298" s="496" t="str">
        <f> IF(AX318&lt;&gt;"",TEXT(AUX!BB$1,"dd-MMM-aa"),"")</f>
      </c>
      <c r="AY298" s="496" t="str">
        <f> IF(AY318&lt;&gt;"",TEXT(AUX!BC$1,"dd-MMM-aa"),"")</f>
      </c>
      <c r="AZ298" s="496" t="str">
        <f> IF(AZ318&lt;&gt;"",TEXT(AUX!BD$1,"dd-MMM-aa"),"")</f>
      </c>
      <c r="BA298" s="496" t="str">
        <f> IF(BA318&lt;&gt;"",TEXT(AUX!BE$1,"dd-MMM-aa"),"")</f>
      </c>
      <c r="BB298" s="496" t="str">
        <f> IF(BB318&lt;&gt;"",TEXT(AUX!BF$1,"dd-MMM-aa"),"")</f>
      </c>
      <c r="BC298" s="496" t="str">
        <f> IF(BC318&lt;&gt;"",TEXT(AUX!BG$1,"dd-MMM-aa"),"")</f>
      </c>
      <c r="BD298" s="496" t="str">
        <f> IF(BD318&lt;&gt;"",TEXT(AUX!BH$1,"dd-MMM-aa"),"")</f>
      </c>
      <c r="BE298" s="496" t="str">
        <f> IF(BE318&lt;&gt;"",TEXT(AUX!BI$1,"dd-MMM-aa"),"")</f>
      </c>
      <c r="BF298" s="496" t="str">
        <f> IF(BF318&lt;&gt;"",TEXT(AUX!BJ$1,"dd-MMM-aa"),"")</f>
      </c>
      <c r="BG298" s="496" t="str">
        <f> IF(BG318&lt;&gt;"",TEXT(AUX!BK$1,"dd-MMM-aa"),"")</f>
      </c>
      <c r="BH298" s="496" t="str">
        <f> IF(BH318&lt;&gt;"",TEXT(AUX!BL$1,"dd-MMM-aa"),"")</f>
      </c>
      <c r="BI298" s="496" t="str">
        <f> IF(BI318&lt;&gt;"",TEXT(AUX!BM$1,"dd-MMM-aa"),"")</f>
      </c>
      <c r="BJ298" s="496" t="str">
        <f> IF(BJ318&lt;&gt;"",TEXT(AUX!BN$1,"dd-MMM-aa"),"")</f>
      </c>
      <c r="BK298" s="496" t="str">
        <f> IF(BK318&lt;&gt;"",TEXT(AUX!BO$1,"dd-MMM-aa"),"")</f>
      </c>
      <c r="BL298" s="496" t="str">
        <f> IF(BL318&lt;&gt;"",TEXT(AUX!BP$1,"dd-MMM-aa"),"")</f>
      </c>
      <c r="BM298" s="496" t="str">
        <f> IF(BM318&lt;&gt;"",TEXT(AUX!BQ$1,"dd-MMM-aa"),"")</f>
      </c>
      <c r="BN298" s="496" t="str">
        <f> IF(BN318&lt;&gt;"",TEXT(AUX!BR$1,"dd-MMM-aa"),"")</f>
      </c>
      <c r="BO298" s="496" t="str">
        <f> IF(BO318&lt;&gt;"",TEXT(AUX!BS$1,"dd-MMM-aa"),"")</f>
      </c>
      <c r="BP298" s="496" t="str">
        <f> IF(BP318&lt;&gt;"",TEXT(AUX!BT$1,"dd-MMM-aa"),"")</f>
      </c>
      <c r="BQ298" s="496" t="str">
        <f> IF(BQ318&lt;&gt;"",TEXT(AUX!BU$1,"dd-MMM-aa"),"")</f>
      </c>
      <c r="BR298" s="496" t="str">
        <f> IF(BR318&lt;&gt;"",TEXT(AUX!BV$1,"dd-MMM-aa"),"")</f>
      </c>
      <c r="BS298" s="496" t="str">
        <f> IF(BS318&lt;&gt;"",TEXT(AUX!BW$1,"dd-MMM-aa"),"")</f>
      </c>
      <c r="BT298" s="496" t="str">
        <f> IF(BT318&lt;&gt;"",TEXT(AUX!BX$1,"dd-MMM-aa"),"")</f>
      </c>
      <c r="BU298" s="496" t="str">
        <f> IF(BU318&lt;&gt;"",TEXT(AUX!BY$1,"dd-MMM-aa"),"")</f>
      </c>
      <c r="BV298" s="496" t="str">
        <f> IF(BV318&lt;&gt;"",TEXT(AUX!BZ$1,"dd-MMM-aa"),"")</f>
      </c>
      <c r="BW298" s="496" t="str">
        <f> IF(BW318&lt;&gt;"",TEXT(AUX!CA$1,"dd-MMM-aa"),"")</f>
      </c>
      <c r="BX298" s="496" t="str">
        <f> IF(BX318&lt;&gt;"",TEXT(AUX!CB$1,"dd-MMM-aa"),"")</f>
      </c>
      <c r="BY298" s="496" t="str">
        <f> IF(BY318&lt;&gt;"",TEXT(AUX!CC$1,"dd-MMM-aa"),"")</f>
      </c>
      <c r="BZ298" s="496" t="str">
        <f> IF(BZ318&lt;&gt;"",TEXT(AUX!CD$1,"dd-MMM-aa"),"")</f>
      </c>
      <c r="CA298" s="496" t="str">
        <f> IF(CA318&lt;&gt;"",TEXT(AUX!CE$1,"dd-MMM-aa"),"")</f>
      </c>
      <c r="CB298" s="496" t="str">
        <f> IF(CB318&lt;&gt;"",TEXT(AUX!CF$1,"dd-MMM-aa"),"")</f>
      </c>
      <c r="CC298" s="496" t="str">
        <f> IF(CC318&lt;&gt;"",TEXT(AUX!CG$1,"dd-MMM-aa"),"")</f>
      </c>
      <c r="CD298" s="496" t="str">
        <f> IF(CD318&lt;&gt;"",TEXT(AUX!CH$1,"dd-MMM-aa"),"")</f>
      </c>
      <c r="CE298" s="496" t="str">
        <f> IF(CE318&lt;&gt;"",TEXT(AUX!CI$1,"dd-MMM-aa"),"")</f>
      </c>
      <c r="CF298" s="496" t="str">
        <f> IF(CF318&lt;&gt;"",TEXT(AUX!CJ$1,"dd-MMM-aa"),"")</f>
      </c>
      <c r="CG298" s="496" t="str">
        <f> IF(CG318&lt;&gt;"",TEXT(AUX!CK$1,"dd-MMM-aa"),"")</f>
      </c>
      <c r="CH298" s="496" t="str">
        <f> IF(CH318&lt;&gt;"",TEXT(AUX!CL$1,"dd-MMM-aa"),"")</f>
      </c>
      <c r="CI298" s="496" t="str">
        <f> IF(CI318&lt;&gt;"",TEXT(AUX!CM$1,"dd-MMM-aa"),"")</f>
      </c>
      <c r="CJ298" s="496" t="str">
        <f> IF(CJ318&lt;&gt;"",TEXT(AUX!CN$1,"dd-MMM-aa"),"")</f>
      </c>
      <c r="CK298" s="496" t="str">
        <f> IF(CK318&lt;&gt;"",TEXT(AUX!CO$1,"dd-MMM-aa"),"")</f>
      </c>
      <c r="CL298" s="496" t="str">
        <f> IF(CL318&lt;&gt;"",TEXT(AUX!CP$1,"dd-MMM-aa"),"")</f>
      </c>
      <c r="CM298" s="496" t="str">
        <f> IF(CM318&lt;&gt;"",TEXT(AUX!CQ$1,"dd-MMM-aa"),"")</f>
      </c>
      <c r="CN298" s="496" t="str">
        <f> IF(CN318&lt;&gt;"",TEXT(AUX!CR$1,"dd-MMM-aa"),"")</f>
      </c>
      <c r="CO298" s="496" t="str">
        <f> IF(CO318&lt;&gt;"",TEXT(AUX!CS$1,"dd-MMM-aa"),"")</f>
      </c>
      <c r="CP298" s="496" t="str">
        <f> IF(CP318&lt;&gt;"",TEXT(AUX!CT$1,"dd-MMM-aa"),"")</f>
      </c>
      <c r="CQ298" s="496" t="str">
        <f> IF(CQ318&lt;&gt;"",TEXT(AUX!CU$1,"dd-MMM-aa"),"")</f>
      </c>
      <c r="CR298" s="496" t="str">
        <f> IF(CR318&lt;&gt;"",TEXT(AUX!CV$1,"dd-MMM-aa"),"")</f>
      </c>
      <c r="CS298" s="496" t="str">
        <f> IF(CS318&lt;&gt;"",TEXT(AUX!CW$1,"dd-MMM-aa"),"")</f>
      </c>
      <c r="CT298" s="496" t="str">
        <f> IF(CT318&lt;&gt;"",TEXT(AUX!CX$1,"dd-MMM-aa"),"")</f>
      </c>
      <c r="CU298" s="496" t="str">
        <f> IF(CU318&lt;&gt;"",TEXT(AUX!CY$1,"dd-MMM-aa"),"")</f>
      </c>
      <c r="CV298" s="496" t="str">
        <f> IF(CV318&lt;&gt;"",TEXT(AUX!CZ$1,"dd-MMM-aa"),"")</f>
      </c>
      <c r="CW298" s="496" t="str">
        <f> IF(CW318&lt;&gt;"",TEXT(AUX!DA$1,"dd-MMM-aa"),"")</f>
      </c>
      <c r="CX298" s="496" t="str">
        <f> IF(CX318&lt;&gt;"",TEXT(AUX!DB$1,"dd-MMM-aa"),"")</f>
      </c>
      <c r="CY298" s="496" t="str">
        <f> IF(CY318&lt;&gt;"",TEXT(AUX!DC$1,"dd-MMM-aa"),"")</f>
      </c>
      <c r="CZ298" s="496" t="str">
        <f> IF(CZ318&lt;&gt;"",TEXT(AUX!DD$1,"dd-MMM-aa"),"")</f>
      </c>
      <c r="DA298" s="496" t="str">
        <f> IF(DA318&lt;&gt;"",TEXT(AUX!DE$1,"dd-MMM-aa"),"")</f>
      </c>
      <c r="DB298" s="496" t="str">
        <f> IF(DB318&lt;&gt;"",TEXT(AUX!DF$1,"dd-MMM-aa"),"")</f>
      </c>
      <c r="DC298" s="496" t="str">
        <f> IF(DC318&lt;&gt;"",TEXT(AUX!DG$1,"dd-MMM-aa"),"")</f>
      </c>
      <c r="DD298" s="496" t="str">
        <f> IF(DD318&lt;&gt;"",TEXT(AUX!DH$1,"dd-MMM-aa"),"")</f>
      </c>
      <c r="DE298" s="496" t="str">
        <f> IF(DE318&lt;&gt;"",TEXT(AUX!DI$1,"dd-MMM-aa"),"")</f>
      </c>
      <c r="DF298" s="496" t="str">
        <f> IF(DF318&lt;&gt;"",TEXT(AUX!DJ$1,"dd-MMM-aa"),"")</f>
      </c>
      <c r="DG298" s="496" t="str">
        <f> IF(DG318&lt;&gt;"",TEXT(AUX!DK$1,"dd-MMM-aa"),"")</f>
      </c>
      <c r="DH298" s="496" t="str">
        <f> IF(DH318&lt;&gt;"",TEXT(AUX!DL$1,"dd-MMM-aa"),"")</f>
      </c>
      <c r="DI298" s="496" t="str">
        <f> IF(DI318&lt;&gt;"",TEXT(AUX!DM$1,"dd-MMM-aa"),"")</f>
      </c>
      <c r="DJ298" s="496" t="str">
        <f> IF(DJ318&lt;&gt;"",TEXT(AUX!DN$1,"dd-MMM-aa"),"")</f>
      </c>
      <c r="DK298" s="496" t="str">
        <f> IF(DK318&lt;&gt;"",TEXT(AUX!DO$1,"dd-MMM-aa"),"")</f>
      </c>
      <c r="DL298" s="496" t="str">
        <f> IF(DL318&lt;&gt;"",TEXT(AUX!DP$1,"dd-MMM-aa"),"")</f>
      </c>
      <c r="DM298" s="496" t="str">
        <f> IF(DM318&lt;&gt;"",TEXT(AUX!DQ$1,"dd-MMM-aa"),"")</f>
      </c>
      <c r="DN298" s="496" t="str">
        <f> IF(DN318&lt;&gt;"",TEXT(AUX!DR$1,"dd-MMM-aa"),"")</f>
      </c>
      <c r="DO298" s="496" t="str">
        <f> IF(DO318&lt;&gt;"",TEXT(AUX!DS$1,"dd-MMM-aa"),"")</f>
      </c>
      <c r="DP298" s="496" t="str">
        <f> IF(DP318&lt;&gt;"",TEXT(AUX!DT$1,"dd-MMM-aa"),"")</f>
      </c>
      <c r="DQ298" s="496" t="str">
        <f> IF(DQ318&lt;&gt;"",TEXT(AUX!DU$1,"dd-MMM-aa"),"")</f>
      </c>
      <c r="DR298" s="496" t="str">
        <f> IF(DR318&lt;&gt;"",TEXT(AUX!DV$1,"dd-MMM-aa"),"")</f>
      </c>
      <c r="DS298" s="496" t="str">
        <f> IF(DS318&lt;&gt;"",TEXT(AUX!DW$1,"dd-MMM-aa"),"")</f>
      </c>
      <c r="DT298" s="496" t="str">
        <f> IF(DT318&lt;&gt;"",TEXT(AUX!DX$1,"dd-MMM-aa"),"")</f>
      </c>
      <c r="DU298" s="496" t="str">
        <f> IF(DU318&lt;&gt;"",TEXT(AUX!DY$1,"dd-MMM-aa"),"")</f>
      </c>
      <c r="DV298" s="496" t="str">
        <f> IF(DV318&lt;&gt;"",TEXT(AUX!DZ$1,"dd-MMM-aa"),"")</f>
      </c>
      <c r="DW298" s="496" t="str">
        <f> IF(DW318&lt;&gt;"",TEXT(AUX!EA$1,"dd-MMM-aa"),"")</f>
      </c>
      <c r="DX298" s="496" t="str">
        <f> IF(DX318&lt;&gt;"",TEXT(AUX!EB$1,"dd-MMM-aa"),"")</f>
      </c>
      <c r="DY298" s="496" t="str">
        <f> IF(DY318&lt;&gt;"",TEXT(AUX!EC$1,"dd-MMM-aa"),"")</f>
      </c>
      <c r="DZ298" s="496" t="str">
        <f> IF(DZ318&lt;&gt;"",TEXT(AUX!ED$1,"dd-MMM-aa"),"")</f>
      </c>
      <c r="EA298" s="496" t="str">
        <f> IF(EA318&lt;&gt;"",TEXT(AUX!EE$1,"dd-MMM-aa"),"")</f>
      </c>
      <c r="EB298" s="496" t="str">
        <f> IF(EB318&lt;&gt;"",TEXT(AUX!EF$1,"dd-MMM-aa"),"")</f>
      </c>
      <c r="EC298" s="496" t="str">
        <f> IF(EC318&lt;&gt;"",TEXT(AUX!EG$1,"dd-MMM-aa"),"")</f>
      </c>
      <c r="ED298" s="496" t="str">
        <f> IF(ED318&lt;&gt;"",TEXT(AUX!EH$1,"dd-MMM-aa"),"")</f>
      </c>
      <c r="EE298" s="496" t="str">
        <f> IF(EE318&lt;&gt;"",TEXT(AUX!EI$1,"dd-MMM-aa"),"")</f>
      </c>
      <c r="EF298" s="496" t="str">
        <f> IF(EF318&lt;&gt;"",TEXT(AUX!EJ$1,"dd-MMM-aa"),"")</f>
      </c>
      <c r="EG298" s="496" t="str">
        <f> IF(EG318&lt;&gt;"",TEXT(AUX!EK$1,"dd-MMM-aa"),"")</f>
      </c>
      <c r="EH298" s="496" t="str">
        <f> IF(EH318&lt;&gt;"",TEXT(AUX!EL$1,"dd-MMM-aa"),"")</f>
      </c>
      <c r="EI298" s="496" t="str">
        <f> IF(EI318&lt;&gt;"",TEXT(AUX!EM$1,"dd-MMM-aa"),"")</f>
      </c>
      <c r="EJ298" s="496" t="str">
        <f> IF(EJ318&lt;&gt;"",TEXT(AUX!EN$1,"dd-MMM-aa"),"")</f>
      </c>
      <c r="EK298" s="496" t="str">
        <f> IF(EK318&lt;&gt;"",TEXT(AUX!EO$1,"dd-MMM-aa"),"")</f>
      </c>
      <c r="EL298" s="496" t="str">
        <f> IF(EL318&lt;&gt;"",TEXT(AUX!EP$1,"dd-MMM-aa"),"")</f>
      </c>
      <c r="EM298" s="496" t="str">
        <f> IF(EM318&lt;&gt;"",TEXT(AUX!EQ$1,"dd-MMM-aa"),"")</f>
      </c>
      <c r="EN298" s="496" t="str">
        <f> IF(EN318&lt;&gt;"",TEXT(AUX!ER$1,"dd-MMM-aa"),"")</f>
      </c>
      <c r="EO298" s="496" t="str">
        <f> IF(EO318&lt;&gt;"",TEXT(AUX!ES$1,"dd-MMM-aa"),"")</f>
      </c>
      <c r="EP298" s="496" t="str">
        <f> IF(EP318&lt;&gt;"",TEXT(AUX!ET$1,"dd-MMM-aa"),"")</f>
      </c>
      <c r="EQ298" s="496" t="str">
        <f> IF(EQ318&lt;&gt;"",TEXT(AUX!EU$1,"dd-MMM-aa"),"")</f>
      </c>
      <c r="ER298" s="496" t="str">
        <f> IF(ER318&lt;&gt;"",TEXT(AUX!EV$1,"dd-MMM-aa"),"")</f>
      </c>
      <c r="ES298" s="496" t="str">
        <f> IF(ES318&lt;&gt;"",TEXT(AUX!EW$1,"dd-MMM-aa"),"")</f>
      </c>
      <c r="ET298" s="496" t="str">
        <f> IF(ET318&lt;&gt;"",TEXT(AUX!EX$1,"dd-MMM-aa"),"")</f>
      </c>
      <c r="EU298" s="496" t="str">
        <f> IF(EU318&lt;&gt;"",TEXT(AUX!EY$1,"dd-MMM-aa"),"")</f>
      </c>
      <c r="EV298" s="496" t="str">
        <f> IF(EV318&lt;&gt;"",TEXT(AUX!EZ$1,"dd-MMM-aa"),"")</f>
      </c>
      <c r="EW298" s="496" t="str">
        <f> IF(EW318&lt;&gt;"",TEXT(AUX!FA$1,"dd-MMM-aa"),"")</f>
      </c>
      <c r="EX298" s="496" t="str">
        <f> IF(EX318&lt;&gt;"",TEXT(AUX!FB$1,"dd-MMM-aa"),"")</f>
      </c>
      <c r="EY298" s="496" t="str">
        <f> IF(EY318&lt;&gt;"",TEXT(AUX!FC$1,"dd-MMM-aa"),"")</f>
      </c>
      <c r="EZ298" s="496" t="str">
        <f> IF(EZ318&lt;&gt;"",TEXT(AUX!FD$1,"dd-MMM-aa"),"")</f>
      </c>
      <c r="FA298" s="496" t="str">
        <f> IF(FA318&lt;&gt;"",TEXT(AUX!FE$1,"dd-MMM-aa"),"")</f>
      </c>
      <c r="FB298" s="496" t="str">
        <f> IF(FB318&lt;&gt;"",TEXT(AUX!FF$1,"dd-MMM-aa"),"")</f>
      </c>
      <c r="FC298" s="496" t="str">
        <f> IF(FC318&lt;&gt;"",TEXT(AUX!FG$1,"dd-MMM-aa"),"")</f>
      </c>
      <c r="FD298" s="496" t="str">
        <f> IF(FD318&lt;&gt;"",TEXT(AUX!FH$1,"dd-MMM-aa"),"")</f>
      </c>
      <c r="FE298" s="496" t="str">
        <f> IF(FE318&lt;&gt;"",TEXT(AUX!FI$1,"dd-MMM-aa"),"")</f>
      </c>
      <c r="FF298" s="496" t="str">
        <f> IF(FF318&lt;&gt;"",TEXT(AUX!FJ$1,"dd-MMM-aa"),"")</f>
      </c>
      <c r="FG298" s="496" t="str">
        <f> IF(FG318&lt;&gt;"",TEXT(AUX!FK$1,"dd-MMM-aa"),"")</f>
      </c>
      <c r="FH298" s="496" t="str">
        <f> IF(FH318&lt;&gt;"",TEXT(AUX!FL$1,"dd-MMM-aa"),"")</f>
      </c>
      <c r="FI298" s="496" t="str">
        <f> IF(FI318&lt;&gt;"",TEXT(AUX!FM$1,"dd-MMM-aa"),"")</f>
      </c>
      <c r="FJ298" s="496" t="str">
        <f> IF(FJ318&lt;&gt;"",TEXT(AUX!FN$1,"dd-MMM-aa"),"")</f>
      </c>
      <c r="FK298" s="496" t="str">
        <f> IF(FK318&lt;&gt;"",TEXT(AUX!FO$1,"dd-MMM-aa"),"")</f>
      </c>
      <c r="FL298" s="496" t="str">
        <f> IF(FL318&lt;&gt;"",TEXT(AUX!FP$1,"dd-MMM-aa"),"")</f>
      </c>
      <c r="FM298" s="496" t="str">
        <f> IF(FM318&lt;&gt;"",TEXT(AUX!FQ$1,"dd-MMM-aa"),"")</f>
      </c>
      <c r="FN298" s="496" t="str">
        <f> IF(FN318&lt;&gt;"",TEXT(AUX!FR$1,"dd-MMM-aa"),"")</f>
      </c>
      <c r="FO298" s="496" t="str">
        <f> IF(FO318&lt;&gt;"",TEXT(AUX!FS$1,"dd-MMM-aa"),"")</f>
      </c>
      <c r="FP298" s="496" t="str">
        <f> IF(FP318&lt;&gt;"",TEXT(AUX!FT$1,"dd-MMM-aa"),"")</f>
      </c>
      <c r="FQ298" s="496" t="str">
        <f> IF(FQ318&lt;&gt;"",TEXT(AUX!FU$1,"dd-MMM-aa"),"")</f>
      </c>
      <c r="FR298" s="496" t="str">
        <f> IF(FR318&lt;&gt;"",TEXT(AUX!FV$1,"dd-MMM-aa"),"")</f>
      </c>
      <c r="FS298" s="496" t="str">
        <f> IF(FS318&lt;&gt;"",TEXT(AUX!FW$1,"dd-MMM-aa"),"")</f>
      </c>
      <c r="FT298" s="496" t="str">
        <f> IF(FT318&lt;&gt;"",TEXT(AUX!FX$1,"dd-MMM-aa"),"")</f>
      </c>
      <c r="FU298" s="496" t="str">
        <f> IF(FU318&lt;&gt;"",TEXT(AUX!FY$1,"dd-MMM-aa"),"")</f>
      </c>
      <c r="FV298" s="496" t="str">
        <f> IF(FV318&lt;&gt;"",TEXT(AUX!FZ$1,"dd-MMM-aa"),"")</f>
      </c>
      <c r="FW298" s="496" t="str">
        <f> IF(FW318&lt;&gt;"",TEXT(AUX!GA$1,"dd-MMM-aa"),"")</f>
      </c>
      <c r="FX298" s="496" t="str">
        <f> IF(FX318&lt;&gt;"",TEXT(AUX!GB$1,"dd-MMM-aa"),"")</f>
      </c>
      <c r="FY298" s="496" t="str">
        <f> IF(FY318&lt;&gt;"",TEXT(AUX!GC$1,"dd-MMM-aa"),"")</f>
      </c>
      <c r="FZ298" s="496" t="str">
        <f> IF(FZ318&lt;&gt;"",TEXT(AUX!GD$1,"dd-MMM-aa"),"")</f>
      </c>
      <c r="GA298" s="496" t="str">
        <f> IF(GA318&lt;&gt;"",TEXT(AUX!GE$1,"dd-MMM-aa"),"")</f>
      </c>
      <c r="GB298" s="496" t="str">
        <f> IF(GB318&lt;&gt;"",TEXT(AUX!GF$1,"dd-MMM-aa"),"")</f>
      </c>
      <c r="GC298" s="496" t="str">
        <f> IF(GC318&lt;&gt;"",TEXT(AUX!GG$1,"dd-MMM-aa"),"")</f>
      </c>
      <c r="GD298" s="496" t="str">
        <f> IF(GD318&lt;&gt;"",TEXT(AUX!GH$1,"dd-MMM-aa"),"")</f>
      </c>
      <c r="GE298" s="496" t="str">
        <f> IF(GE318&lt;&gt;"",TEXT(AUX!GI$1,"dd-MMM-aa"),"")</f>
      </c>
      <c r="GF298" s="496" t="str">
        <f> IF(GF318&lt;&gt;"",TEXT(AUX!GJ$1,"dd-MMM-aa"),"")</f>
      </c>
      <c r="GG298" s="496" t="str">
        <f> IF(GG318&lt;&gt;"",TEXT(AUX!GK$1,"dd-MMM-aa"),"")</f>
      </c>
      <c r="GH298" s="496" t="str">
        <f> IF(GH318&lt;&gt;"",TEXT(AUX!GL$1,"dd-MMM-aa"),"")</f>
      </c>
      <c r="GI298" s="496" t="str">
        <f> IF(GI318&lt;&gt;"",TEXT(AUX!GM$1,"dd-MMM-aa"),"")</f>
      </c>
      <c r="GJ298" s="496" t="str">
        <f> IF(GJ318&lt;&gt;"",TEXT(AUX!GN$1,"dd-MMM-aa"),"")</f>
      </c>
      <c r="GK298" s="496" t="str">
        <f> IF(GK318&lt;&gt;"",TEXT(AUX!GO$1,"dd-MMM-aa"),"")</f>
      </c>
      <c r="GL298" s="496" t="str">
        <f> IF(GL318&lt;&gt;"",TEXT(AUX!GP$1,"dd-MMM-aa"),"")</f>
      </c>
      <c r="GM298" s="496" t="str">
        <f> IF(GM318&lt;&gt;"",TEXT(AUX!GQ$1,"dd-MMM-aa"),"")</f>
      </c>
      <c r="GN298" s="496" t="str">
        <f> IF(GN318&lt;&gt;"",TEXT(AUX!GR$1,"dd-MMM-aa"),"")</f>
      </c>
      <c r="GO298" s="496" t="str">
        <f> IF(GO318&lt;&gt;"",TEXT(AUX!GS$1,"dd-MMM-aa"),"")</f>
      </c>
      <c r="GP298" s="496" t="str">
        <f> IF(GP318&lt;&gt;"",TEXT(AUX!GT$1,"dd-MMM-aa"),"")</f>
      </c>
      <c r="GQ298" s="496" t="str">
        <f> IF(GQ318&lt;&gt;"",TEXT(AUX!GU$1,"dd-MMM-aa"),"")</f>
      </c>
      <c r="GR298" s="496" t="str">
        <f> IF(GR318&lt;&gt;"",TEXT(AUX!GV$1,"dd-MMM-aa"),"")</f>
      </c>
      <c r="GS298" s="496" t="str">
        <f> IF(GS318&lt;&gt;"",TEXT(AUX!GW$1,"dd-MMM-aa"),"")</f>
      </c>
      <c r="GT298" s="496" t="str">
        <f> IF(GT318&lt;&gt;"",TEXT(AUX!GX$1,"dd-MMM-aa"),"")</f>
      </c>
      <c r="GU298" s="496" t="str">
        <f> IF(GU318&lt;&gt;"",TEXT(AUX!GY$1,"dd-MMM-aa"),"")</f>
      </c>
      <c r="GV298" s="496" t="str">
        <f> IF(GV318&lt;&gt;"",TEXT(AUX!GZ$1,"dd-MMM-aa"),"")</f>
      </c>
      <c r="GW298" s="496" t="str">
        <f> IF(GW318&lt;&gt;"",TEXT(AUX!HA$1,"dd-MMM-aa"),"")</f>
      </c>
      <c r="GX298" s="496" t="str">
        <f> IF(GX318&lt;&gt;"",TEXT(AUX!HB$1,"dd-MMM-aa"),"")</f>
      </c>
      <c r="GY298" s="496" t="str">
        <f> IF(GY318&lt;&gt;"",TEXT(AUX!HC$1,"dd-MMM-aa"),"")</f>
      </c>
      <c r="GZ298" s="496" t="str">
        <f> IF(GZ318&lt;&gt;"",TEXT(AUX!HD$1,"dd-MMM-aa"),"")</f>
      </c>
      <c r="HA298" s="496" t="str">
        <f> IF(HA318&lt;&gt;"",TEXT(AUX!HE$1,"dd-MMM-aa"),"")</f>
      </c>
      <c r="HB298" s="496" t="str">
        <f> IF(HB318&lt;&gt;"",TEXT(AUX!HF$1,"dd-MMM-aa"),"")</f>
      </c>
      <c r="HC298" s="496" t="str">
        <f> IF(HC318&lt;&gt;"",TEXT(AUX!HG$1,"dd-MMM-aa"),"")</f>
      </c>
      <c r="HD298" s="496" t="str">
        <f> IF(HD318&lt;&gt;"",TEXT(AUX!HH$1,"dd-MMM-aa"),"")</f>
      </c>
      <c r="HE298" s="496" t="str">
        <f> IF(HE318&lt;&gt;"",TEXT(AUX!HI$1,"dd-MMM-aa"),"")</f>
      </c>
      <c r="HF298" s="496" t="str">
        <f> IF(HF318&lt;&gt;"",TEXT(AUX!HJ$1,"dd-MMM-aa"),"")</f>
      </c>
      <c r="HG298" s="496" t="str">
        <f> IF(HG318&lt;&gt;"",TEXT(AUX!HK$1,"dd-MMM-aa"),"")</f>
      </c>
      <c r="HH298" s="496" t="str">
        <f> IF(HH318&lt;&gt;"",TEXT(AUX!HL$1,"dd-MMM-aa"),"")</f>
      </c>
      <c r="HI298" s="496" t="str">
        <f> IF(HI318&lt;&gt;"",TEXT(AUX!HM$1,"dd-MMM-aa"),"")</f>
      </c>
      <c r="HJ298" s="496" t="str">
        <f> IF(HJ318&lt;&gt;"",TEXT(AUX!HN$1,"dd-MMM-aa"),"")</f>
      </c>
      <c r="HK298" s="496" t="str">
        <f> IF(HK318&lt;&gt;"",TEXT(AUX!HO$1,"dd-MMM-aa"),"")</f>
      </c>
      <c r="HL298" s="496" t="str">
        <f> IF(HL318&lt;&gt;"",TEXT(AUX!HP$1,"dd-MMM-aa"),"")</f>
      </c>
      <c r="HM298" s="496" t="str">
        <f> IF(HM318&lt;&gt;"",TEXT(AUX!HQ$1,"dd-MMM-aa"),"")</f>
      </c>
      <c r="HN298" s="496" t="str">
        <f> IF(HN318&lt;&gt;"",TEXT(AUX!HR$1,"dd-MMM-aa"),"")</f>
      </c>
      <c r="HO298" s="496" t="str">
        <f> IF(HO318&lt;&gt;"",TEXT(AUX!HS$1,"dd-MMM-aa"),"")</f>
      </c>
      <c r="HP298" s="496" t="str">
        <f> IF(HP318&lt;&gt;"",TEXT(AUX!HT$1,"dd-MMM-aa"),"")</f>
      </c>
      <c r="HQ298" s="496" t="str">
        <f> IF(HQ318&lt;&gt;"",TEXT(AUX!HU$1,"dd-MMM-aa"),"")</f>
      </c>
      <c r="HR298" s="496" t="str">
        <f> IF(HR318&lt;&gt;"",TEXT(AUX!HV$1,"dd-MMM-aa"),"")</f>
      </c>
      <c r="HS298" s="496" t="str">
        <f> IF(HS318&lt;&gt;"",TEXT(AUX!HW$1,"dd-MMM-aa"),"")</f>
      </c>
      <c r="HT298" s="496" t="str">
        <f> IF(HT318&lt;&gt;"",TEXT(AUX!HX$1,"dd-MMM-aa"),"")</f>
      </c>
      <c r="HU298" s="496" t="str">
        <f> IF(HU318&lt;&gt;"",TEXT(AUX!HY$1,"dd-MMM-aa"),"")</f>
      </c>
      <c r="HV298" s="496" t="str">
        <f> IF(HV318&lt;&gt;"",TEXT(AUX!HZ$1,"dd-MMM-aa"),"")</f>
      </c>
      <c r="HW298" s="496" t="str">
        <f> IF(HW318&lt;&gt;"",TEXT(AUX!IA$1,"dd-MMM-aa"),"")</f>
      </c>
      <c r="HX298" s="496" t="str">
        <f> IF(HX318&lt;&gt;"",TEXT(AUX!IB$1,"dd-MMM-aa"),"")</f>
      </c>
      <c r="HY298" s="496" t="str">
        <f> IF(HY318&lt;&gt;"",TEXT(AUX!IC$1,"dd-MMM-aa"),"")</f>
      </c>
      <c r="HZ298" s="496" t="str">
        <f> IF(HZ318&lt;&gt;"",TEXT(AUX!ID$1,"dd-MMM-aa"),"")</f>
      </c>
      <c r="IA298" s="496" t="str">
        <f> IF(IA318&lt;&gt;"",TEXT(AUX!IE$1,"dd-MMM-aa"),"")</f>
      </c>
      <c r="IB298" s="496" t="str">
        <f> IF(IB318&lt;&gt;"",TEXT(AUX!IF$1,"dd-MMM-aa"),"")</f>
      </c>
      <c r="IC298" s="496" t="str">
        <f> IF(IC318&lt;&gt;"",TEXT(AUX!IG$1,"dd-MMM-aa"),"")</f>
      </c>
      <c r="ID298" s="496" t="str">
        <f> IF(ID318&lt;&gt;"",TEXT(AUX!IH$1,"dd-MMM-aa"),"")</f>
      </c>
      <c r="IE298" s="496" t="str">
        <f> IF(IE318&lt;&gt;"",TEXT(AUX!II$1,"dd-MMM-aa"),"")</f>
      </c>
      <c r="IF298" s="496" t="str">
        <f> IF(IF318&lt;&gt;"",TEXT(AUX!IJ$1,"dd-MMM-aa"),"")</f>
      </c>
      <c r="IG298" s="496" t="str">
        <f> IF(IG318&lt;&gt;"",TEXT(AUX!IK$1,"dd-MMM-aa"),"")</f>
      </c>
      <c r="IH298" s="496" t="str">
        <f> IF(IH318&lt;&gt;"",TEXT(AUX!IL$1,"dd-MMM-aa"),"")</f>
      </c>
      <c r="II298" s="496" t="str">
        <f> IF(II318&lt;&gt;"",TEXT(AUX!IM$1,"dd-MMM-aa"),"")</f>
      </c>
      <c r="IJ298" s="496" t="str">
        <f> IF(IJ318&lt;&gt;"",TEXT(AUX!IN$1,"dd-MMM-aa"),"")</f>
      </c>
      <c r="IK298" s="496" t="str">
        <f> IF(IK318&lt;&gt;"",TEXT(AUX!IO$1,"dd-MMM-aa"),"")</f>
      </c>
      <c r="IL298" s="496" t="str">
        <f> IF(IL318&lt;&gt;"",TEXT(AUX!IP$1,"dd-MMM-aa"),"")</f>
      </c>
      <c r="IM298" s="496" t="str">
        <f> IF(IM318&lt;&gt;"",TEXT(AUX!IQ$1,"dd-MMM-aa"),"")</f>
      </c>
      <c r="IN298" s="496" t="str">
        <f> IF(IN318&lt;&gt;"",TEXT(AUX!IR$1,"dd-MMM-aa"),"")</f>
      </c>
      <c r="IO298" s="496" t="str">
        <f> IF(IO318&lt;&gt;"",TEXT(AUX!IS$1,"dd-MMM-aa"),"")</f>
      </c>
      <c r="IP298" s="496" t="str">
        <f> IF(IP318&lt;&gt;"",TEXT(AUX!IT$1,"dd-MMM-aa"),"")</f>
      </c>
      <c r="IQ298" s="496" t="str">
        <f> IF(IQ318&lt;&gt;"",TEXT(AUX!IU$1,"dd-MMM-aa"),"")</f>
      </c>
      <c r="IR298" s="496" t="str">
        <f> IF(IR318&lt;&gt;"",TEXT(AUX!IV$1,"dd-MMM-aa"),"")</f>
      </c>
      <c r="IS298" s="496" t="str">
        <f> IF(IS318&lt;&gt;"",TEXT(AUX!#REF!,"dd-MMM-aa"),"")</f>
      </c>
      <c r="IT298" s="496" t="str">
        <f> IF(IT318&lt;&gt;"",TEXT(AUX!#REF!,"dd-MMM-aa"),"")</f>
      </c>
      <c r="IU298" s="496" t="str">
        <f> IF(IU318&lt;&gt;"",TEXT(AUX!#REF!,"dd-MMM-aa"),"")</f>
      </c>
      <c r="IV298" s="496" t="str">
        <f> IF(IV318&lt;&gt;"",TEXT(AUX!#REF!,"dd-MMM-aa"),"")</f>
      </c>
    </row>
    <row r="299" hidden="1" ht="12.75" customHeight="1">
      <c r="B299" s="838" t="s">
        <v>8</v>
      </c>
      <c r="C299" s="839">
        <f>C423 + C520</f>
        <v>68392</v>
      </c>
      <c r="D299" s="839">
        <f>D423 + D520</f>
        <v>65943</v>
      </c>
      <c r="E299" s="839">
        <f>E423 + E520</f>
        <v>63864</v>
      </c>
      <c r="F299" s="839">
        <f>F423 + F520</f>
        <v>64766</v>
      </c>
      <c r="G299" s="839">
        <f>G423 + G520</f>
        <v>63799</v>
      </c>
      <c r="H299" s="839">
        <f>H423 + H520</f>
        <v>62259</v>
      </c>
      <c r="I299" s="839">
        <f>I423 + I520</f>
        <v>59868</v>
      </c>
      <c r="J299" s="839">
        <f>J423 + J520</f>
        <v>60216</v>
      </c>
      <c r="K299" s="839">
        <f>K423 + K520</f>
        <v>59430</v>
      </c>
      <c r="L299" s="839">
        <f>L423 + L520</f>
        <v>60204</v>
      </c>
      <c r="M299" s="839">
        <f>M423 + M520</f>
        <v>60334</v>
      </c>
      <c r="N299" s="839">
        <f>N423 + N520</f>
        <v>59868</v>
      </c>
      <c r="O299" s="839">
        <f>O423 + O520</f>
        <v>59917</v>
      </c>
      <c r="P299" s="839">
        <f>P423 + P520</f>
        <v>58103</v>
      </c>
      <c r="Q299" s="839">
        <f>Q423 + Q520</f>
        <v>55986</v>
      </c>
      <c r="R299" s="839">
        <f>R423 + R520</f>
        <v>57657</v>
      </c>
      <c r="S299" s="839">
        <f>S423 + S520</f>
        <v>59220</v>
      </c>
      <c r="T299" s="839">
        <f>T423 + T520</f>
        <v>59677</v>
      </c>
      <c r="U299" s="839">
        <f>U423 + U520</f>
        <v>60304</v>
      </c>
      <c r="V299" s="839">
        <f>V423 + V520</f>
        <v>61361</v>
      </c>
      <c r="W299" s="839">
        <f>W423 + W520</f>
        <v>60030</v>
      </c>
      <c r="X299" s="839">
        <f>X423 + X520</f>
        <v>60316</v>
      </c>
      <c r="Y299" s="839">
        <f>Y423 + Y520</f>
        <v>61844</v>
      </c>
      <c r="Z299" s="839">
        <f>Z423 + Z520</f>
        <v>61701</v>
      </c>
      <c r="AA299" s="839">
        <f>AA423 + AA520</f>
        <v>61258</v>
      </c>
      <c r="AB299" s="840">
        <f>AB423 + AB520</f>
        <v>61583</v>
      </c>
      <c r="AC299" s="841">
        <f>AC423 + AC520</f>
        <v>61738</v>
      </c>
      <c r="AD299" s="841">
        <f>AD423 + AD520</f>
        <v>62768</v>
      </c>
      <c r="AE299" s="841">
        <f>AE423 + AE520</f>
        <v>62749</v>
      </c>
      <c r="AF299" s="841">
        <f>AF423 + AF520</f>
        <v>62695</v>
      </c>
      <c r="AG299" s="841">
        <f>AG423 + AG520</f>
        <v>62265</v>
      </c>
      <c r="AH299" s="841">
        <f>AH423 + AH520</f>
        <v>60650</v>
      </c>
      <c r="AI299" s="841">
        <f>AI423 + AI520</f>
        <v>58559</v>
      </c>
      <c r="AJ299" s="841">
        <f>AJ423 + AJ520</f>
        <v>58773</v>
      </c>
      <c r="AK299" s="841">
        <f>AK423 + AK520</f>
        <v>58031</v>
      </c>
      <c r="AL299" s="841">
        <f>AL423 + AL520</f>
        <v>57546</v>
      </c>
      <c r="AM299" s="841">
        <f>AM423 + AM520</f>
        <v>56249</v>
      </c>
      <c r="AN299" s="841">
        <f>AN423 + AN520</f>
        <v>56492</v>
      </c>
      <c r="AO299" s="841">
        <f>AO423 + AO520</f>
        <v>55192</v>
      </c>
      <c r="AP299" s="841">
        <f>AP423 + AP520</f>
        <v>55932</v>
      </c>
    </row>
    <row r="300" hidden="1" ht="12.75" customHeight="1">
      <c r="B300" s="842" t="s">
        <v>9</v>
      </c>
      <c r="C300" s="839">
        <f>C424 + C521</f>
        <v>11233</v>
      </c>
      <c r="D300" s="839">
        <f>D424 + D521</f>
        <v>11238</v>
      </c>
      <c r="E300" s="839">
        <f>E424 + E521</f>
        <v>11259</v>
      </c>
      <c r="F300" s="839">
        <f>F424 + F521</f>
        <v>11697</v>
      </c>
      <c r="G300" s="839">
        <f>G424 + G521</f>
        <v>12923</v>
      </c>
      <c r="H300" s="839">
        <f>H424 + H521</f>
        <v>12750</v>
      </c>
      <c r="I300" s="839">
        <f>I424 + I521</f>
        <v>12466</v>
      </c>
      <c r="J300" s="839">
        <f>J424 + J521</f>
        <v>12461</v>
      </c>
      <c r="K300" s="839">
        <f>K424 + K521</f>
        <v>12406</v>
      </c>
      <c r="L300" s="839">
        <f>L424 + L521</f>
        <v>12865</v>
      </c>
      <c r="M300" s="839">
        <f>M424 + M521</f>
        <v>13204</v>
      </c>
      <c r="N300" s="839">
        <f>N424 + N521</f>
        <v>13648</v>
      </c>
      <c r="O300" s="839">
        <f>O424 + O521</f>
        <v>13521</v>
      </c>
      <c r="P300" s="839">
        <f>P424 + P521</f>
        <v>13812</v>
      </c>
      <c r="Q300" s="839">
        <f>Q424 + Q521</f>
        <v>13816</v>
      </c>
      <c r="R300" s="839">
        <f>R424 + R521</f>
        <v>14462</v>
      </c>
      <c r="S300" s="839">
        <f>S424 + S521</f>
        <v>14689</v>
      </c>
      <c r="T300" s="839">
        <f>T424 + T521</f>
        <v>15160</v>
      </c>
      <c r="U300" s="839">
        <f>U424 + U521</f>
        <v>14939</v>
      </c>
      <c r="V300" s="839">
        <f>V424 + V521</f>
        <v>15126</v>
      </c>
      <c r="W300" s="839">
        <f>W424 + W521</f>
        <v>14847</v>
      </c>
      <c r="X300" s="839">
        <f>X424 + X521</f>
        <v>15426</v>
      </c>
      <c r="Y300" s="839">
        <f>Y424 + Y521</f>
        <v>15243</v>
      </c>
      <c r="Z300" s="839">
        <f>Z424 + Z521</f>
        <v>15539</v>
      </c>
      <c r="AA300" s="839">
        <f>AA424 + AA521</f>
        <v>15769</v>
      </c>
      <c r="AB300" s="839">
        <f>AB424 + AB521</f>
        <v>16161</v>
      </c>
      <c r="AC300" s="841">
        <f>AC424 + AC521</f>
        <v>16390</v>
      </c>
      <c r="AD300" s="841">
        <f>AD424 + AD521</f>
        <v>16626</v>
      </c>
      <c r="AE300" s="841">
        <f>AE424 + AE521</f>
        <v>16526</v>
      </c>
      <c r="AF300" s="841">
        <f>AF424 + AF521</f>
        <v>16830</v>
      </c>
      <c r="AG300" s="841">
        <f>AG424 + AG521</f>
        <v>16509</v>
      </c>
      <c r="AH300" s="841">
        <f>AH424 + AH521</f>
        <v>16347</v>
      </c>
      <c r="AI300" s="841">
        <f>AI424 + AI521</f>
        <v>16042</v>
      </c>
      <c r="AJ300" s="841">
        <f>AJ424 + AJ521</f>
        <v>16087</v>
      </c>
      <c r="AK300" s="841">
        <f>AK424 + AK521</f>
        <v>15553</v>
      </c>
      <c r="AL300" s="841">
        <f>AL424 + AL521</f>
        <v>15457</v>
      </c>
      <c r="AM300" s="841">
        <f>AM424 + AM521</f>
        <v>14788</v>
      </c>
      <c r="AN300" s="841">
        <f>AN424 + AN521</f>
        <v>14867</v>
      </c>
      <c r="AO300" s="841">
        <f>AO424 + AO521</f>
        <v>14369</v>
      </c>
      <c r="AP300" s="841">
        <f>AP424 + AP521</f>
        <v>14725</v>
      </c>
    </row>
    <row r="301" hidden="1" ht="12.75" customHeight="1">
      <c r="B301" s="842" t="s">
        <v>10</v>
      </c>
      <c r="C301" s="839">
        <f>C425 + C522</f>
        <v>97745</v>
      </c>
      <c r="D301" s="839">
        <f>D425 + D522</f>
        <v>93752</v>
      </c>
      <c r="E301" s="839">
        <f>E425 + E522</f>
        <v>92557</v>
      </c>
      <c r="F301" s="839">
        <f>F425 + F522</f>
        <v>91530</v>
      </c>
      <c r="G301" s="839">
        <f>G425 + G522</f>
        <v>89634</v>
      </c>
      <c r="H301" s="839">
        <f>H425 + H522</f>
        <v>86836</v>
      </c>
      <c r="I301" s="839">
        <f>I425 + I522</f>
        <v>85065</v>
      </c>
      <c r="J301" s="839">
        <f>J425 + J522</f>
        <v>82896</v>
      </c>
      <c r="K301" s="839">
        <f>K425 + K522</f>
        <v>83135</v>
      </c>
      <c r="L301" s="839">
        <f>L425 + L522</f>
        <v>81723</v>
      </c>
      <c r="M301" s="839">
        <f>M425 + M522</f>
        <v>81365</v>
      </c>
      <c r="N301" s="839">
        <f>N425 + N522</f>
        <v>80343</v>
      </c>
      <c r="O301" s="839">
        <f>O425 + O522</f>
        <v>80490</v>
      </c>
      <c r="P301" s="839">
        <f>P425 + P522</f>
        <v>78732</v>
      </c>
      <c r="Q301" s="839">
        <f>Q425 + Q522</f>
        <v>79003</v>
      </c>
      <c r="R301" s="839">
        <f>R425 + R522</f>
        <v>78239</v>
      </c>
      <c r="S301" s="839">
        <f>S425 + S522</f>
        <v>79698</v>
      </c>
      <c r="T301" s="839">
        <f>T425 + T522</f>
        <v>79388</v>
      </c>
      <c r="U301" s="839">
        <f>U425 + U522</f>
        <v>79177</v>
      </c>
      <c r="V301" s="839">
        <f>V425 + V522</f>
        <v>78357</v>
      </c>
      <c r="W301" s="839">
        <f>W425 + W522</f>
        <v>77763</v>
      </c>
      <c r="X301" s="839">
        <f>X425 + X522</f>
        <v>75993</v>
      </c>
      <c r="Y301" s="839">
        <f>Y425 + Y522</f>
        <v>76282</v>
      </c>
      <c r="Z301" s="839">
        <f>Z425 + Z522</f>
        <v>75076</v>
      </c>
      <c r="AA301" s="839">
        <f>AA425 + AA522</f>
        <v>74534</v>
      </c>
      <c r="AB301" s="839">
        <f>AB425 + AB522</f>
        <v>72625</v>
      </c>
      <c r="AC301" s="841">
        <f>AC425 + AC522</f>
        <v>71793</v>
      </c>
      <c r="AD301" s="841">
        <f>AD425 + AD522</f>
        <v>70203</v>
      </c>
      <c r="AE301" s="841">
        <f>AE425 + AE522</f>
        <v>70397</v>
      </c>
      <c r="AF301" s="841">
        <f>AF425 + AF522</f>
        <v>68937</v>
      </c>
      <c r="AG301" s="841">
        <f>AG425 + AG522</f>
        <v>67646</v>
      </c>
      <c r="AH301" s="841">
        <f>AH425 + AH522</f>
        <v>65476</v>
      </c>
      <c r="AI301" s="841">
        <f>AI425 + AI522</f>
        <v>63505</v>
      </c>
      <c r="AJ301" s="841">
        <f>AJ425 + AJ522</f>
        <v>62243</v>
      </c>
      <c r="AK301" s="841">
        <f>AK425 + AK522</f>
        <v>62198</v>
      </c>
      <c r="AL301" s="841">
        <f>AL425 + AL522</f>
        <v>60187</v>
      </c>
      <c r="AM301" s="841">
        <f>AM425 + AM522</f>
        <v>59491</v>
      </c>
      <c r="AN301" s="841">
        <f>AN425 + AN522</f>
        <v>57696</v>
      </c>
      <c r="AO301" s="841">
        <f>AO425 + AO522</f>
        <v>56318</v>
      </c>
      <c r="AP301" s="841">
        <f>AP425 + AP522</f>
        <v>55925</v>
      </c>
    </row>
    <row r="302" hidden="1" ht="12.75" customHeight="1">
      <c r="B302" s="842" t="s">
        <v>11</v>
      </c>
      <c r="C302" s="839">
        <f>C426 + C523</f>
        <v>14868</v>
      </c>
      <c r="D302" s="839">
        <f>D426 + D523</f>
        <v>15304</v>
      </c>
      <c r="E302" s="839">
        <f>E426 + E523</f>
        <v>14416</v>
      </c>
      <c r="F302" s="839">
        <f>F426 + F523</f>
        <v>14611</v>
      </c>
      <c r="G302" s="839">
        <f>G426 + G523</f>
        <v>13565</v>
      </c>
      <c r="H302" s="839">
        <f>H426 + H523</f>
        <v>13867</v>
      </c>
      <c r="I302" s="839">
        <f>I426 + I523</f>
        <v>12976</v>
      </c>
      <c r="J302" s="839">
        <f>J426 + J523</f>
        <v>13207</v>
      </c>
      <c r="K302" s="839">
        <f>K426 + K523</f>
        <v>12571</v>
      </c>
      <c r="L302" s="839">
        <f>L426 + L523</f>
        <v>12837</v>
      </c>
      <c r="M302" s="839">
        <f>M426 + M523</f>
        <v>12240</v>
      </c>
      <c r="N302" s="839">
        <f>N426 + N523</f>
        <v>12091</v>
      </c>
      <c r="O302" s="839">
        <f>O426 + O523</f>
        <v>11429</v>
      </c>
      <c r="P302" s="839">
        <f>P426 + P523</f>
        <v>11606</v>
      </c>
      <c r="Q302" s="839">
        <f>Q426 + Q523</f>
        <v>11018</v>
      </c>
      <c r="R302" s="839">
        <f>R426 + R523</f>
        <v>11143</v>
      </c>
      <c r="S302" s="839">
        <f>S426 + S523</f>
        <v>10562</v>
      </c>
      <c r="T302" s="839">
        <f>T426 + T523</f>
        <v>10880</v>
      </c>
      <c r="U302" s="839">
        <f>U426 + U523</f>
        <v>10538</v>
      </c>
      <c r="V302" s="839">
        <f>V426 + V523</f>
        <v>10885</v>
      </c>
      <c r="W302" s="839">
        <f>W426 + W523</f>
        <v>10541</v>
      </c>
      <c r="X302" s="839">
        <f>X426 + X523</f>
        <v>10722</v>
      </c>
      <c r="Y302" s="839">
        <f>Y426 + Y523</f>
        <v>10018</v>
      </c>
      <c r="Z302" s="839">
        <f>Z426 + Z523</f>
        <v>10063</v>
      </c>
      <c r="AA302" s="839">
        <f>AA426 + AA523</f>
        <v>9551</v>
      </c>
      <c r="AB302" s="839">
        <f>AB426 + AB523</f>
        <v>9795</v>
      </c>
      <c r="AC302" s="841">
        <f>AC426 + AC523</f>
        <v>9233</v>
      </c>
      <c r="AD302" s="841">
        <f>AD426 + AD523</f>
        <v>9396</v>
      </c>
      <c r="AE302" s="841">
        <f>AE426 + AE523</f>
        <v>8880</v>
      </c>
      <c r="AF302" s="841">
        <f>AF426 + AF523</f>
        <v>9103</v>
      </c>
      <c r="AG302" s="841">
        <f>AG426 + AG523</f>
        <v>8432</v>
      </c>
      <c r="AH302" s="841">
        <f>AH426 + AH523</f>
        <v>8702</v>
      </c>
      <c r="AI302" s="841">
        <f>AI426 + AI523</f>
        <v>8048</v>
      </c>
      <c r="AJ302" s="841">
        <f>AJ426 + AJ523</f>
        <v>8156</v>
      </c>
      <c r="AK302" s="841">
        <f>AK426 + AK523</f>
        <v>7790</v>
      </c>
      <c r="AL302" s="841">
        <f>AL426 + AL523</f>
        <v>8022</v>
      </c>
      <c r="AM302" s="841">
        <f>AM426 + AM523</f>
        <v>7313</v>
      </c>
      <c r="AN302" s="841">
        <f>AN426 + AN523</f>
        <v>7469</v>
      </c>
      <c r="AO302" s="841">
        <f>AO426 + AO523</f>
        <v>6714</v>
      </c>
      <c r="AP302" s="841">
        <f>AP426 + AP523</f>
        <v>7145</v>
      </c>
    </row>
    <row r="303" hidden="1" ht="12.75" customHeight="1">
      <c r="B303" s="842" t="s">
        <v>12</v>
      </c>
      <c r="C303" s="839">
        <f>C427 + C524</f>
        <v>6327</v>
      </c>
      <c r="D303" s="839">
        <f>D427 + D524</f>
        <v>6265</v>
      </c>
      <c r="E303" s="839">
        <f>E427 + E524</f>
        <v>5912</v>
      </c>
      <c r="F303" s="839">
        <f>F427 + F524</f>
        <v>5508</v>
      </c>
      <c r="G303" s="839">
        <f>G427 + G524</f>
        <v>5086</v>
      </c>
      <c r="H303" s="839">
        <f>H427 + H524</f>
        <v>4761</v>
      </c>
      <c r="I303" s="839">
        <f>I427 + I524</f>
        <v>4376</v>
      </c>
      <c r="J303" s="839">
        <f>J427 + J524</f>
        <v>4377</v>
      </c>
      <c r="K303" s="839">
        <f>K427 + K524</f>
        <v>4547</v>
      </c>
      <c r="L303" s="839">
        <f>L427 + L524</f>
        <v>4561</v>
      </c>
      <c r="M303" s="839">
        <f>M427 + M524</f>
        <v>4692</v>
      </c>
      <c r="N303" s="839">
        <f>N427 + N524</f>
        <v>4615</v>
      </c>
      <c r="O303" s="839">
        <f>O427 + O524</f>
        <v>4532</v>
      </c>
      <c r="P303" s="839">
        <f>P427 + P524</f>
        <v>4493</v>
      </c>
      <c r="Q303" s="839">
        <f>Q427 + Q524</f>
        <v>3969</v>
      </c>
      <c r="R303" s="839">
        <f>R427 + R524</f>
        <v>4143</v>
      </c>
      <c r="S303" s="839">
        <f>S427 + S524</f>
        <v>4134</v>
      </c>
      <c r="T303" s="839">
        <f>T427 + T524</f>
        <v>4517</v>
      </c>
      <c r="U303" s="839">
        <f>U427 + U524</f>
        <v>4612</v>
      </c>
      <c r="V303" s="839">
        <f>V427 + V524</f>
        <v>4984</v>
      </c>
      <c r="W303" s="839">
        <f>W427 + W524</f>
        <v>5122</v>
      </c>
      <c r="X303" s="839">
        <f>X427 + X524</f>
        <v>5347</v>
      </c>
      <c r="Y303" s="839">
        <f>Y427 + Y524</f>
        <v>5534</v>
      </c>
      <c r="Z303" s="839">
        <f>Z427 + Z524</f>
        <v>5519</v>
      </c>
      <c r="AA303" s="839">
        <f>AA427 + AA524</f>
        <v>5701</v>
      </c>
      <c r="AB303" s="839">
        <f>AB427 + AB524</f>
        <v>5608</v>
      </c>
      <c r="AC303" s="841">
        <f>AC427 + AC524</f>
        <v>6120</v>
      </c>
      <c r="AD303" s="841">
        <f>AD427 + AD524</f>
        <v>6076</v>
      </c>
      <c r="AE303" s="841">
        <f>AE427 + AE524</f>
        <v>5992</v>
      </c>
      <c r="AF303" s="841">
        <f>AF427 + AF524</f>
        <v>6022</v>
      </c>
      <c r="AG303" s="841">
        <f>AG427 + AG524</f>
        <v>6034</v>
      </c>
      <c r="AH303" s="841">
        <f>AH427 + AH524</f>
        <v>6154</v>
      </c>
      <c r="AI303" s="841">
        <f>AI427 + AI524</f>
        <v>6030</v>
      </c>
      <c r="AJ303" s="841">
        <f>AJ427 + AJ524</f>
        <v>6053</v>
      </c>
      <c r="AK303" s="841">
        <f>AK427 + AK524</f>
        <v>5916</v>
      </c>
      <c r="AL303" s="841">
        <f>AL427 + AL524</f>
        <v>6142</v>
      </c>
      <c r="AM303" s="841">
        <f>AM427 + AM524</f>
        <v>6153</v>
      </c>
      <c r="AN303" s="841">
        <f>AN427 + AN524</f>
        <v>6136</v>
      </c>
      <c r="AO303" s="841">
        <f>AO427 + AO524</f>
        <v>6022</v>
      </c>
      <c r="AP303" s="841">
        <f>AP427 + AP524</f>
        <v>6153</v>
      </c>
    </row>
    <row r="304" hidden="1" ht="12.75" customHeight="1">
      <c r="B304" s="842" t="s">
        <v>13</v>
      </c>
      <c r="C304" s="839">
        <f>C428 + C525</f>
        <v>88719</v>
      </c>
      <c r="D304" s="839">
        <f>D428 + D525</f>
        <v>85040</v>
      </c>
      <c r="E304" s="839">
        <f>E428 + E525</f>
        <v>80629</v>
      </c>
      <c r="F304" s="839">
        <f>F428 + F525</f>
        <v>79661</v>
      </c>
      <c r="G304" s="839">
        <f>G428 + G525</f>
        <v>79420</v>
      </c>
      <c r="H304" s="839">
        <f>H428 + H525</f>
        <v>76885</v>
      </c>
      <c r="I304" s="839">
        <f>I428 + I525</f>
        <v>76215</v>
      </c>
      <c r="J304" s="839">
        <f>J428 + J525</f>
        <v>75061</v>
      </c>
      <c r="K304" s="839">
        <f>K428 + K525</f>
        <v>74337</v>
      </c>
      <c r="L304" s="839">
        <f>L428 + L525</f>
        <v>73413</v>
      </c>
      <c r="M304" s="839">
        <f>M428 + M525</f>
        <v>72658</v>
      </c>
      <c r="N304" s="839">
        <f>N428 + N525</f>
        <v>72019</v>
      </c>
      <c r="O304" s="839">
        <f>O428 + O525</f>
        <v>71716</v>
      </c>
      <c r="P304" s="839">
        <f>P428 + P525</f>
        <v>70588</v>
      </c>
      <c r="Q304" s="839">
        <f>Q428 + Q525</f>
        <v>70239</v>
      </c>
      <c r="R304" s="839">
        <f>R428 + R525</f>
        <v>70040</v>
      </c>
      <c r="S304" s="839">
        <f>S428 + S525</f>
        <v>71984</v>
      </c>
      <c r="T304" s="839">
        <f>T428 + T525</f>
        <v>71730</v>
      </c>
      <c r="U304" s="839">
        <f>U428 + U525</f>
        <v>70557</v>
      </c>
      <c r="V304" s="839">
        <f>V428 + V525</f>
        <v>69563</v>
      </c>
      <c r="W304" s="839">
        <f>W428 + W525</f>
        <v>68606</v>
      </c>
      <c r="X304" s="839">
        <f>X428 + X525</f>
        <v>67408</v>
      </c>
      <c r="Y304" s="839">
        <f>Y428 + Y525</f>
        <v>67463</v>
      </c>
      <c r="Z304" s="839">
        <f>Z428 + Z525</f>
        <v>65879</v>
      </c>
      <c r="AA304" s="839">
        <f>AA428 + AA525</f>
        <v>64835</v>
      </c>
      <c r="AB304" s="839">
        <f>AB428 + AB525</f>
        <v>63727</v>
      </c>
      <c r="AC304" s="841">
        <f>AC428 + AC525</f>
        <v>63547</v>
      </c>
      <c r="AD304" s="841">
        <f>AD428 + AD525</f>
        <v>62169</v>
      </c>
      <c r="AE304" s="841">
        <f>AE428 + AE525</f>
        <v>61930</v>
      </c>
      <c r="AF304" s="841">
        <f>AF428 + AF525</f>
        <v>60101</v>
      </c>
      <c r="AG304" s="841">
        <f>AG428 + AG525</f>
        <v>58793</v>
      </c>
      <c r="AH304" s="841">
        <f>AH428 + AH525</f>
        <v>56359</v>
      </c>
      <c r="AI304" s="841">
        <f>AI428 + AI525</f>
        <v>54066</v>
      </c>
      <c r="AJ304" s="841">
        <f>AJ428 + AJ525</f>
        <v>52333</v>
      </c>
      <c r="AK304" s="841">
        <f>AK428 + AK525</f>
        <v>52095</v>
      </c>
      <c r="AL304" s="841">
        <f>AL428 + AL525</f>
        <v>50391</v>
      </c>
      <c r="AM304" s="841">
        <f>AM428 + AM525</f>
        <v>49473</v>
      </c>
      <c r="AN304" s="841">
        <f>AN428 + AN525</f>
        <v>47748</v>
      </c>
      <c r="AO304" s="841">
        <f>AO428 + AO525</f>
        <v>45887</v>
      </c>
      <c r="AP304" s="841">
        <f>AP428 + AP525</f>
        <v>46083</v>
      </c>
    </row>
    <row r="305" hidden="1" ht="12.75" customHeight="1">
      <c r="B305" s="842" t="s">
        <v>109</v>
      </c>
      <c r="C305" s="839">
        <f>C429 + C526</f>
        <v>25253</v>
      </c>
      <c r="D305" s="839">
        <f>D429 + D526</f>
        <v>24864</v>
      </c>
      <c r="E305" s="839">
        <f>E429 + E526</f>
        <v>24161</v>
      </c>
      <c r="F305" s="839">
        <f>F429 + F526</f>
        <v>24426</v>
      </c>
      <c r="G305" s="839">
        <f>G429 + G526</f>
        <v>24864</v>
      </c>
      <c r="H305" s="839">
        <f>H429 + H526</f>
        <v>24824</v>
      </c>
      <c r="I305" s="839">
        <f>I429 + I526</f>
        <v>24362</v>
      </c>
      <c r="J305" s="839">
        <f>J429 + J526</f>
        <v>24194</v>
      </c>
      <c r="K305" s="839">
        <f>K429 + K526</f>
        <v>23777</v>
      </c>
      <c r="L305" s="839">
        <f>L429 + L526</f>
        <v>23862</v>
      </c>
      <c r="M305" s="839">
        <f>M429 + M526</f>
        <v>23971</v>
      </c>
      <c r="N305" s="839">
        <f>N429 + N526</f>
        <v>23924</v>
      </c>
      <c r="O305" s="839">
        <f>O429 + O526</f>
        <v>24686</v>
      </c>
      <c r="P305" s="839">
        <f>P429 + P526</f>
        <v>24759</v>
      </c>
      <c r="Q305" s="839">
        <f>Q429 + Q526</f>
        <v>25021</v>
      </c>
      <c r="R305" s="839">
        <f>R429 + R526</f>
        <v>25609</v>
      </c>
      <c r="S305" s="839">
        <f>S429 + S526</f>
        <v>25958</v>
      </c>
      <c r="T305" s="839">
        <f>T429 + T526</f>
        <v>25630</v>
      </c>
      <c r="U305" s="839">
        <f>U429 + U526</f>
        <v>25792</v>
      </c>
      <c r="V305" s="839">
        <f>V429 + V526</f>
        <v>25583</v>
      </c>
      <c r="W305" s="839">
        <f>W429 + W526</f>
        <v>27130</v>
      </c>
      <c r="X305" s="839">
        <f>X429 + X526</f>
        <v>27269</v>
      </c>
      <c r="Y305" s="839">
        <f>Y429 + Y526</f>
        <v>27528</v>
      </c>
      <c r="Z305" s="839">
        <f>Z429 + Z526</f>
        <v>27935</v>
      </c>
      <c r="AA305" s="839">
        <f>AA429 + AA526</f>
        <v>27474</v>
      </c>
      <c r="AB305" s="839">
        <f>AB429 + AB526</f>
        <v>27590</v>
      </c>
      <c r="AC305" s="841">
        <f>AC429 + AC526</f>
        <v>27287</v>
      </c>
      <c r="AD305" s="841">
        <f>AD429 + AD526</f>
        <v>27564</v>
      </c>
      <c r="AE305" s="841">
        <f>AE429 + AE526</f>
        <v>27392</v>
      </c>
      <c r="AF305" s="841">
        <f>AF429 + AF526</f>
        <v>27634</v>
      </c>
      <c r="AG305" s="841">
        <f>AG429 + AG526</f>
        <v>27387</v>
      </c>
      <c r="AH305" s="841">
        <f>AH429 + AH526</f>
        <v>27519</v>
      </c>
      <c r="AI305" s="841">
        <f>AI429 + AI526</f>
        <v>26869</v>
      </c>
      <c r="AJ305" s="841">
        <f>AJ429 + AJ526</f>
        <v>27048</v>
      </c>
      <c r="AK305" s="841">
        <f>AK429 + AK526</f>
        <v>27152</v>
      </c>
      <c r="AL305" s="841">
        <f>AL429 + AL526</f>
        <v>26898</v>
      </c>
      <c r="AM305" s="841">
        <f>AM429 + AM526</f>
        <v>26366</v>
      </c>
      <c r="AN305" s="841">
        <f>AN429 + AN526</f>
        <v>26476</v>
      </c>
      <c r="AO305" s="841">
        <f>AO429 + AO526</f>
        <v>25749</v>
      </c>
      <c r="AP305" s="841">
        <f>AP429 + AP526</f>
        <v>25809</v>
      </c>
    </row>
    <row r="306" hidden="1" ht="12.75" customHeight="1">
      <c r="B306" s="842" t="s">
        <v>110</v>
      </c>
      <c r="C306" s="839">
        <f>C430 + C527</f>
        <v>114713</v>
      </c>
      <c r="D306" s="839">
        <f>D430 + D527</f>
        <v>111794</v>
      </c>
      <c r="E306" s="839">
        <f>E430 + E527</f>
        <v>110324</v>
      </c>
      <c r="F306" s="839">
        <f>F430 + F527</f>
        <v>110626</v>
      </c>
      <c r="G306" s="839">
        <f>G430 + G527</f>
        <v>109008</v>
      </c>
      <c r="H306" s="839">
        <f>H430 + H527</f>
        <v>106192</v>
      </c>
      <c r="I306" s="839">
        <f>I430 + I527</f>
        <v>104567</v>
      </c>
      <c r="J306" s="839">
        <f>J430 + J527</f>
        <v>103669</v>
      </c>
      <c r="K306" s="839">
        <f>K430 + K527</f>
        <v>102647</v>
      </c>
      <c r="L306" s="839">
        <f>L430 + L527</f>
        <v>101462</v>
      </c>
      <c r="M306" s="839">
        <f>M430 + M527</f>
        <v>101592</v>
      </c>
      <c r="N306" s="839">
        <f>N430 + N527</f>
        <v>100230</v>
      </c>
      <c r="O306" s="839">
        <f>O430 + O527</f>
        <v>99969</v>
      </c>
      <c r="P306" s="839">
        <f>P430 + P527</f>
        <v>97587</v>
      </c>
      <c r="Q306" s="839">
        <f>Q430 + Q527</f>
        <v>96973</v>
      </c>
      <c r="R306" s="839">
        <f>R430 + R527</f>
        <v>97203</v>
      </c>
      <c r="S306" s="839">
        <f>S430 + S527</f>
        <v>99436</v>
      </c>
      <c r="T306" s="839">
        <f>T430 + T527</f>
        <v>98216</v>
      </c>
      <c r="U306" s="839">
        <f>U430 + U527</f>
        <v>98666</v>
      </c>
      <c r="V306" s="839">
        <f>V430 + V527</f>
        <v>97665</v>
      </c>
      <c r="W306" s="839">
        <f>W430 + W527</f>
        <v>95907</v>
      </c>
      <c r="X306" s="839">
        <f>X430 + X527</f>
        <v>95508</v>
      </c>
      <c r="Y306" s="839">
        <f>Y430 + Y527</f>
        <v>97964</v>
      </c>
      <c r="Z306" s="839">
        <f>Z430 + Z527</f>
        <v>100868</v>
      </c>
      <c r="AA306" s="839">
        <f>AA430 + AA527</f>
        <v>97048</v>
      </c>
      <c r="AB306" s="839">
        <f>AB430 + AB527</f>
        <v>96630</v>
      </c>
      <c r="AC306" s="841">
        <f>AC430 + AC527</f>
        <v>96730</v>
      </c>
      <c r="AD306" s="841">
        <f>AD430 + AD527</f>
        <v>95810</v>
      </c>
      <c r="AE306" s="841">
        <f>AE430 + AE527</f>
        <v>95403</v>
      </c>
      <c r="AF306" s="841">
        <f>AF430 + AF527</f>
        <v>94073</v>
      </c>
      <c r="AG306" s="841">
        <f>AG430 + AG527</f>
        <v>94699</v>
      </c>
      <c r="AH306" s="841">
        <f>AH430 + AH527</f>
        <v>93516</v>
      </c>
      <c r="AI306" s="841">
        <f>AI430 + AI527</f>
        <v>92031</v>
      </c>
      <c r="AJ306" s="841">
        <f>AJ430 + AJ527</f>
        <v>91377</v>
      </c>
      <c r="AK306" s="841">
        <f>AK430 + AK527</f>
        <v>90996</v>
      </c>
      <c r="AL306" s="841">
        <f>AL430 + AL527</f>
        <v>90333</v>
      </c>
      <c r="AM306" s="841">
        <f>AM430 + AM527</f>
        <v>88582</v>
      </c>
      <c r="AN306" s="841">
        <f>AN430 + AN527</f>
        <v>87400</v>
      </c>
      <c r="AO306" s="841">
        <f>AO430 + AO527</f>
        <v>86206</v>
      </c>
      <c r="AP306" s="841">
        <f>AP430 + AP527</f>
        <v>87133</v>
      </c>
    </row>
    <row r="307" hidden="1" ht="12.75" customHeight="1">
      <c r="B307" s="842" t="s">
        <v>16</v>
      </c>
      <c r="C307" s="839">
        <f>C431 + C528</f>
        <v>83457</v>
      </c>
      <c r="D307" s="839">
        <f>D431 + D528</f>
        <v>84152</v>
      </c>
      <c r="E307" s="839">
        <f>E431 + E528</f>
        <v>82457</v>
      </c>
      <c r="F307" s="839">
        <f>F431 + F528</f>
        <v>80327</v>
      </c>
      <c r="G307" s="839">
        <f>G431 + G528</f>
        <v>83632</v>
      </c>
      <c r="H307" s="839">
        <f>H431 + H528</f>
        <v>76239</v>
      </c>
      <c r="I307" s="839">
        <f>I431 + I528</f>
        <v>81307</v>
      </c>
      <c r="J307" s="839">
        <f>J431 + J528</f>
        <v>77278</v>
      </c>
      <c r="K307" s="839">
        <f>K431 + K528</f>
        <v>78743</v>
      </c>
      <c r="L307" s="839">
        <f>L431 + L528</f>
        <v>77324</v>
      </c>
      <c r="M307" s="839">
        <f>M431 + M528</f>
        <v>79441</v>
      </c>
      <c r="N307" s="839">
        <f>N431 + N528</f>
        <v>81745</v>
      </c>
      <c r="O307" s="839">
        <f>O431 + O528</f>
        <v>80002</v>
      </c>
      <c r="P307" s="839">
        <f>P431 + P528</f>
        <v>80503</v>
      </c>
      <c r="Q307" s="839">
        <f>Q431 + Q528</f>
        <v>79495</v>
      </c>
      <c r="R307" s="839">
        <f>R431 + R528</f>
        <v>0</v>
      </c>
      <c r="S307" s="839">
        <f>S431 + S528</f>
        <v>81004</v>
      </c>
      <c r="T307" s="839">
        <f>T431 + T528</f>
        <v>79979</v>
      </c>
      <c r="U307" s="839">
        <f>U431 + U528</f>
        <v>82178</v>
      </c>
      <c r="V307" s="839">
        <f>V431 + V528</f>
        <v>84238</v>
      </c>
      <c r="W307" s="839">
        <f>W431 + W528</f>
        <v>81602</v>
      </c>
      <c r="X307" s="839">
        <f>X431 + X528</f>
        <v>81816</v>
      </c>
      <c r="Y307" s="839">
        <f>Y431 + Y528</f>
        <v>82517</v>
      </c>
      <c r="Z307" s="839">
        <f>Z431 + Z528</f>
        <v>83287</v>
      </c>
      <c r="AA307" s="839">
        <f>AA431 + AA528</f>
        <v>81743</v>
      </c>
      <c r="AB307" s="839">
        <f>AB431 + AB528</f>
        <v>81863</v>
      </c>
      <c r="AC307" s="841">
        <f>AC431 + AC528</f>
        <v>81586</v>
      </c>
      <c r="AD307" s="841">
        <f>AD431 + AD528</f>
        <v>81744</v>
      </c>
      <c r="AE307" s="841">
        <f>AE431 + AE528</f>
        <v>80744</v>
      </c>
      <c r="AF307" s="841">
        <f>AF431 + AF528</f>
        <v>81601</v>
      </c>
      <c r="AG307" s="841">
        <f>AG431 + AG528</f>
        <v>79659</v>
      </c>
      <c r="AH307" s="841">
        <f>AH431 + AH528</f>
        <v>78250</v>
      </c>
      <c r="AI307" s="841">
        <f>AI431 + AI528</f>
        <v>75533</v>
      </c>
      <c r="AJ307" s="841">
        <f>AJ431 + AJ528</f>
        <v>75652</v>
      </c>
      <c r="AK307" s="841">
        <f>AK431 + AK528</f>
        <v>73109</v>
      </c>
      <c r="AL307" s="841">
        <f>AL431 + AL528</f>
        <v>74822</v>
      </c>
      <c r="AM307" s="841">
        <f>AM431 + AM528</f>
        <v>73064</v>
      </c>
      <c r="AN307" s="841">
        <f>AN431 + AN528</f>
        <v>73007</v>
      </c>
      <c r="AO307" s="841">
        <f>AO431 + AO528</f>
        <v>71281</v>
      </c>
      <c r="AP307" s="841">
        <f>AP431 + AP528</f>
        <v>71928</v>
      </c>
    </row>
    <row r="308" hidden="1" ht="12.75" customHeight="1">
      <c r="B308" s="842" t="s">
        <v>17</v>
      </c>
      <c r="C308" s="839">
        <f>C432 + C529</f>
        <v>7610</v>
      </c>
      <c r="D308" s="839">
        <f>D432 + D529</f>
        <v>6889</v>
      </c>
      <c r="E308" s="839">
        <f>E432 + E529</f>
        <v>6487</v>
      </c>
      <c r="F308" s="839">
        <f>F432 + F529</f>
        <v>6237</v>
      </c>
      <c r="G308" s="839">
        <f>G432 + G529</f>
        <v>5853</v>
      </c>
      <c r="H308" s="839">
        <f>H432 + H529</f>
        <v>5573</v>
      </c>
      <c r="I308" s="839">
        <f>I432 + I529</f>
        <v>5279</v>
      </c>
      <c r="J308" s="839">
        <f>J432 + J529</f>
        <v>5137</v>
      </c>
      <c r="K308" s="839">
        <f>K432 + K529</f>
        <v>4905</v>
      </c>
      <c r="L308" s="839">
        <f>L432 + L529</f>
        <v>4742</v>
      </c>
      <c r="M308" s="839">
        <f>M432 + M529</f>
        <v>4763</v>
      </c>
      <c r="N308" s="839">
        <f>N432 + N529</f>
        <v>4774</v>
      </c>
      <c r="O308" s="839">
        <f>O432 + O529</f>
        <v>4583</v>
      </c>
      <c r="P308" s="839">
        <f>P432 + P529</f>
        <v>4448</v>
      </c>
      <c r="Q308" s="839">
        <f>Q432 + Q529</f>
        <v>4773</v>
      </c>
      <c r="R308" s="839">
        <f>R432 + R529</f>
        <v>4750</v>
      </c>
      <c r="S308" s="839">
        <f>S432 + S529</f>
        <v>5281</v>
      </c>
      <c r="T308" s="839">
        <f>T432 + T529</f>
        <v>5254</v>
      </c>
      <c r="U308" s="839">
        <f>U432 + U529</f>
        <v>7695</v>
      </c>
      <c r="V308" s="839">
        <f>V432 + V529</f>
        <v>4699</v>
      </c>
      <c r="W308" s="839">
        <f>W432 + W529</f>
        <v>5281</v>
      </c>
      <c r="X308" s="839">
        <f>X432 + X529</f>
        <v>4746</v>
      </c>
      <c r="Y308" s="839">
        <f>Y432 + Y529</f>
        <v>5140</v>
      </c>
      <c r="Z308" s="839">
        <f>Z432 + Z529</f>
        <v>5217</v>
      </c>
      <c r="AA308" s="839">
        <f>AA432 + AA529</f>
        <v>4975</v>
      </c>
      <c r="AB308" s="839">
        <f>AB432 + AB529</f>
        <v>4699</v>
      </c>
      <c r="AC308" s="841">
        <f>AC432 + AC529</f>
        <v>4501</v>
      </c>
      <c r="AD308" s="841">
        <f>AD432 + AD529</f>
        <v>4529</v>
      </c>
      <c r="AE308" s="841">
        <f>AE432 + AE529</f>
        <v>4270</v>
      </c>
      <c r="AF308" s="841">
        <f>AF432 + AF529</f>
        <v>4044</v>
      </c>
      <c r="AG308" s="841">
        <f>AG432 + AG529</f>
        <v>3866</v>
      </c>
      <c r="AH308" s="841">
        <f>AH432 + AH529</f>
        <v>3631</v>
      </c>
      <c r="AI308" s="841">
        <f>AI432 + AI529</f>
        <v>3372</v>
      </c>
      <c r="AJ308" s="841">
        <f>AJ432 + AJ529</f>
        <v>3267</v>
      </c>
      <c r="AK308" s="841">
        <f>AK432 + AK529</f>
        <v>3343</v>
      </c>
      <c r="AL308" s="841">
        <f>AL432 + AL529</f>
        <v>3413</v>
      </c>
      <c r="AM308" s="841">
        <f>AM432 + AM529</f>
        <v>3611</v>
      </c>
      <c r="AN308" s="841">
        <f>AN432 + AN529</f>
        <v>3678</v>
      </c>
      <c r="AO308" s="841">
        <f>AO432 + AO529</f>
        <v>3685</v>
      </c>
      <c r="AP308" s="841">
        <f>AP432 + AP529</f>
        <v>3976</v>
      </c>
    </row>
    <row r="309" hidden="1" ht="12.75" customHeight="1">
      <c r="B309" s="842" t="s">
        <v>18</v>
      </c>
      <c r="C309" s="839">
        <f>C433 + C530</f>
        <v>373506</v>
      </c>
      <c r="D309" s="839">
        <f>D433 + D530</f>
        <v>362154</v>
      </c>
      <c r="E309" s="839">
        <f>E433 + E530</f>
        <v>357186</v>
      </c>
      <c r="F309" s="839">
        <f>F433 + F530</f>
        <v>356871</v>
      </c>
      <c r="G309" s="839">
        <f>G433 + G530</f>
        <v>365207</v>
      </c>
      <c r="H309" s="839">
        <f>H433 + H530</f>
        <v>352346</v>
      </c>
      <c r="I309" s="839">
        <f>I433 + I530</f>
        <v>348925</v>
      </c>
      <c r="J309" s="839">
        <f>J433 + J530</f>
        <v>341522</v>
      </c>
      <c r="K309" s="839">
        <f>K433 + K530</f>
        <v>340957</v>
      </c>
      <c r="L309" s="839">
        <f>L433 + L530</f>
        <v>338016</v>
      </c>
      <c r="M309" s="839">
        <f>M433 + M530</f>
        <v>340397</v>
      </c>
      <c r="N309" s="839">
        <f>N433 + N530</f>
        <v>339084</v>
      </c>
      <c r="O309" s="839">
        <f>O433 + O530</f>
        <v>339779</v>
      </c>
      <c r="P309" s="839">
        <f>P433 + P530</f>
        <v>336995</v>
      </c>
      <c r="Q309" s="839">
        <f>Q433 + Q530</f>
        <v>342124</v>
      </c>
      <c r="R309" s="839">
        <f>R433 + R530</f>
        <v>341681</v>
      </c>
      <c r="S309" s="839">
        <f>S433 + S530</f>
        <v>349714</v>
      </c>
      <c r="T309" s="839">
        <f>T433 + T530</f>
        <v>346561</v>
      </c>
      <c r="U309" s="839">
        <f>U433 + U530</f>
        <v>345711</v>
      </c>
      <c r="V309" s="839">
        <f>V433 + V530</f>
        <v>342806</v>
      </c>
      <c r="W309" s="839">
        <f>W433 + W530</f>
        <v>339510</v>
      </c>
      <c r="X309" s="839">
        <f>X433 + X530</f>
        <v>333797</v>
      </c>
      <c r="Y309" s="839">
        <f>Y433 + Y530</f>
        <v>337961</v>
      </c>
      <c r="Z309" s="839">
        <f>Z433 + Z530</f>
        <v>335220</v>
      </c>
      <c r="AA309" s="839">
        <f>AA433 + AA530</f>
        <v>334070</v>
      </c>
      <c r="AB309" s="839">
        <f>AB433 + AB530</f>
        <v>329598</v>
      </c>
      <c r="AC309" s="841">
        <f>AC433 + AC530</f>
        <v>329902</v>
      </c>
      <c r="AD309" s="841">
        <f>AD433 + AD530</f>
        <v>327371</v>
      </c>
      <c r="AE309" s="841">
        <f>AE433 + AE530</f>
        <v>330653</v>
      </c>
      <c r="AF309" s="841">
        <f>AF433 + AF530</f>
        <v>327413</v>
      </c>
      <c r="AG309" s="841">
        <f>AG433 + AG530</f>
        <v>327825</v>
      </c>
      <c r="AH309" s="841">
        <f>AH433 + AH530</f>
        <v>324167</v>
      </c>
      <c r="AI309" s="841">
        <f>AI433 + AI530</f>
        <v>322667</v>
      </c>
      <c r="AJ309" s="841">
        <f>AJ433 + AJ530</f>
        <v>320231</v>
      </c>
      <c r="AK309" s="841">
        <f>AK433 + AK530</f>
        <v>321119</v>
      </c>
      <c r="AL309" s="841">
        <f>AL433 + AL530</f>
        <v>320658</v>
      </c>
      <c r="AM309" s="841">
        <f>AM433 + AM530</f>
        <v>319201</v>
      </c>
      <c r="AN309" s="841">
        <f>AN433 + AN530</f>
        <v>315623</v>
      </c>
      <c r="AO309" s="841">
        <f>AO433 + AO530</f>
        <v>311587</v>
      </c>
      <c r="AP309" s="841">
        <f>AP433 + AP530</f>
        <v>313317</v>
      </c>
    </row>
    <row r="310" hidden="1" ht="12.75" customHeight="1">
      <c r="B310" s="842" t="s">
        <v>19</v>
      </c>
      <c r="C310" s="839">
        <f>C434 + C531</f>
        <v>8824</v>
      </c>
      <c r="D310" s="839">
        <f>D434 + D531</f>
        <v>8881</v>
      </c>
      <c r="E310" s="839">
        <f>E434 + E531</f>
        <v>8527</v>
      </c>
      <c r="F310" s="839">
        <f>F434 + F531</f>
        <v>8412</v>
      </c>
      <c r="G310" s="839">
        <f>G434 + G531</f>
        <v>8132</v>
      </c>
      <c r="H310" s="839">
        <f>H434 + H531</f>
        <v>8154</v>
      </c>
      <c r="I310" s="839">
        <f>I434 + I531</f>
        <v>8102</v>
      </c>
      <c r="J310" s="839">
        <f>J434 + J531</f>
        <v>8176</v>
      </c>
      <c r="K310" s="839">
        <f>K434 + K531</f>
        <v>7828</v>
      </c>
      <c r="L310" s="839">
        <f>L434 + L531</f>
        <v>7398</v>
      </c>
      <c r="M310" s="839">
        <f>M434 + M531</f>
        <v>7560</v>
      </c>
      <c r="N310" s="839">
        <f>N434 + N531</f>
        <v>7256</v>
      </c>
      <c r="O310" s="839">
        <f>O434 + O531</f>
        <v>6943</v>
      </c>
      <c r="P310" s="839">
        <f>P434 + P531</f>
        <v>6759</v>
      </c>
      <c r="Q310" s="839">
        <f>Q434 + Q531</f>
        <v>6448</v>
      </c>
      <c r="R310" s="839">
        <f>R434 + R531</f>
        <v>6527</v>
      </c>
      <c r="S310" s="839">
        <f>S434 + S531</f>
        <v>6641</v>
      </c>
      <c r="T310" s="839">
        <f>T434 + T531</f>
        <v>6263</v>
      </c>
      <c r="U310" s="839">
        <f>U434 + U531</f>
        <v>6304</v>
      </c>
      <c r="V310" s="839">
        <f>V434 + V531</f>
        <v>6524</v>
      </c>
      <c r="W310" s="839">
        <f>W434 + W531</f>
        <v>6615</v>
      </c>
      <c r="X310" s="839">
        <f>X434 + X531</f>
        <v>6390</v>
      </c>
      <c r="Y310" s="839">
        <f>Y434 + Y531</f>
        <v>6339</v>
      </c>
      <c r="Z310" s="839">
        <f>Z434 + Z531</f>
        <v>7143</v>
      </c>
      <c r="AA310" s="839">
        <f>AA434 + AA531</f>
        <v>6821</v>
      </c>
      <c r="AB310" s="839">
        <f>AB434 + AB531</f>
        <v>6527</v>
      </c>
      <c r="AC310" s="841">
        <f>AC434 + AC531</f>
        <v>6446</v>
      </c>
      <c r="AD310" s="841">
        <f>AD434 + AD531</f>
        <v>6510</v>
      </c>
      <c r="AE310" s="841">
        <f>AE434 + AE531</f>
        <v>6852</v>
      </c>
      <c r="AF310" s="841">
        <f>AF434 + AF531</f>
        <v>7067</v>
      </c>
      <c r="AG310" s="841">
        <f>AG434 + AG531</f>
        <v>6214</v>
      </c>
      <c r="AH310" s="841">
        <f>AH434 + AH531</f>
        <v>8136</v>
      </c>
      <c r="AI310" s="841">
        <f>AI434 + AI531</f>
        <v>6780</v>
      </c>
      <c r="AJ310" s="841">
        <f>AJ434 + AJ531</f>
        <v>6362</v>
      </c>
      <c r="AK310" s="841">
        <f>AK434 + AK531</f>
        <v>5906</v>
      </c>
      <c r="AL310" s="841">
        <f>AL434 + AL531</f>
        <v>6486</v>
      </c>
      <c r="AM310" s="841">
        <f>AM434 + AM531</f>
        <v>6976</v>
      </c>
      <c r="AN310" s="841">
        <f>AN434 + AN531</f>
        <v>6000</v>
      </c>
      <c r="AO310" s="841">
        <f>AO434 + AO531</f>
        <v>5758</v>
      </c>
      <c r="AP310" s="841">
        <f>AP434 + AP531</f>
        <v>5403</v>
      </c>
    </row>
    <row r="311" hidden="1" ht="12.75" customHeight="1">
      <c r="B311" s="842" t="s">
        <v>20</v>
      </c>
      <c r="C311" s="839">
        <f>C435 + C532</f>
        <v>5751</v>
      </c>
      <c r="D311" s="839">
        <f>D435 + D532</f>
        <v>5407</v>
      </c>
      <c r="E311" s="839">
        <f>E435 + E532</f>
        <v>5097</v>
      </c>
      <c r="F311" s="839">
        <f>F435 + F532</f>
        <v>5346</v>
      </c>
      <c r="G311" s="839">
        <f>G435 + G532</f>
        <v>5665</v>
      </c>
      <c r="H311" s="839">
        <f>H435 + H532</f>
        <v>6294</v>
      </c>
      <c r="I311" s="839">
        <f>I435 + I532</f>
        <v>6224</v>
      </c>
      <c r="J311" s="839">
        <f>J435 + J532</f>
        <v>6206</v>
      </c>
      <c r="K311" s="839">
        <f>K435 + K532</f>
        <v>6090</v>
      </c>
      <c r="L311" s="839">
        <f>L435 + L532</f>
        <v>6347</v>
      </c>
      <c r="M311" s="839">
        <f>M435 + M532</f>
        <v>6321</v>
      </c>
      <c r="N311" s="839">
        <f>N435 + N532</f>
        <v>6696</v>
      </c>
      <c r="O311" s="839">
        <f>O435 + O532</f>
        <v>6543</v>
      </c>
      <c r="P311" s="839">
        <f>P435 + P532</f>
        <v>6588</v>
      </c>
      <c r="Q311" s="839">
        <f>Q435 + Q532</f>
        <v>6470</v>
      </c>
      <c r="R311" s="839">
        <f>R435 + R532</f>
        <v>6865</v>
      </c>
      <c r="S311" s="839">
        <f>S435 + S532</f>
        <v>7022</v>
      </c>
      <c r="T311" s="839">
        <f>T435 + T532</f>
        <v>7395</v>
      </c>
      <c r="U311" s="839">
        <f>U435 + U532</f>
        <v>7126</v>
      </c>
      <c r="V311" s="839">
        <f>V435 + V532</f>
        <v>7376</v>
      </c>
      <c r="W311" s="839">
        <f>W435 + W532</f>
        <v>7408</v>
      </c>
      <c r="X311" s="839">
        <f>X435 + X532</f>
        <v>7707</v>
      </c>
      <c r="Y311" s="839">
        <f>Y435 + Y532</f>
        <v>7801</v>
      </c>
      <c r="Z311" s="839">
        <f>Z435 + Z532</f>
        <v>7777</v>
      </c>
      <c r="AA311" s="839">
        <f>AA435 + AA532</f>
        <v>8177</v>
      </c>
      <c r="AB311" s="839">
        <f>AB435 + AB532</f>
        <v>8272</v>
      </c>
      <c r="AC311" s="841">
        <f>AC435 + AC532</f>
        <v>8141</v>
      </c>
      <c r="AD311" s="841">
        <f>AD435 + AD532</f>
        <v>8188</v>
      </c>
      <c r="AE311" s="841">
        <f>AE435 + AE532</f>
        <v>8198</v>
      </c>
      <c r="AF311" s="841">
        <f>AF435 + AF532</f>
        <v>8255</v>
      </c>
      <c r="AG311" s="841">
        <f>AG435 + AG532</f>
        <v>8102</v>
      </c>
      <c r="AH311" s="841">
        <f>AH435 + AH532</f>
        <v>7804</v>
      </c>
      <c r="AI311" s="841">
        <f>AI435 + AI532</f>
        <v>7630</v>
      </c>
      <c r="AJ311" s="841">
        <f>AJ435 + AJ532</f>
        <v>8007</v>
      </c>
      <c r="AK311" s="841">
        <f>AK435 + AK532</f>
        <v>7812</v>
      </c>
      <c r="AL311" s="841">
        <f>AL435 + AL532</f>
        <v>7953</v>
      </c>
      <c r="AM311" s="841">
        <f>AM435 + AM532</f>
        <v>7579</v>
      </c>
      <c r="AN311" s="841">
        <f>AN435 + AN532</f>
        <v>7690</v>
      </c>
      <c r="AO311" s="841">
        <f>AO435 + AO532</f>
        <v>7671</v>
      </c>
      <c r="AP311" s="841">
        <f>AP435 + AP532</f>
        <v>7703</v>
      </c>
    </row>
    <row r="312" hidden="1" ht="12.75" customHeight="1">
      <c r="B312" s="842" t="s">
        <v>21</v>
      </c>
      <c r="C312" s="839">
        <f>C436 + C533</f>
        <v>23109</v>
      </c>
      <c r="D312" s="839">
        <f>D436 + D533</f>
        <v>22929</v>
      </c>
      <c r="E312" s="839">
        <f>E436 + E533</f>
        <v>22573</v>
      </c>
      <c r="F312" s="839">
        <f>F436 + F533</f>
        <v>23305</v>
      </c>
      <c r="G312" s="839">
        <f>G436 + G533</f>
        <v>23320</v>
      </c>
      <c r="H312" s="839">
        <f>H436 + H533</f>
        <v>23209</v>
      </c>
      <c r="I312" s="839">
        <f>I436 + I533</f>
        <v>22557</v>
      </c>
      <c r="J312" s="839">
        <f>J436 + J533</f>
        <v>22587</v>
      </c>
      <c r="K312" s="839">
        <f>K436 + K533</f>
        <v>23610</v>
      </c>
      <c r="L312" s="839">
        <f>L436 + L533</f>
        <v>23898</v>
      </c>
      <c r="M312" s="839">
        <f>M436 + M533</f>
        <v>24067</v>
      </c>
      <c r="N312" s="839">
        <f>N436 + N533</f>
        <v>24503</v>
      </c>
      <c r="O312" s="839">
        <f>O436 + O533</f>
        <v>24633</v>
      </c>
      <c r="P312" s="839">
        <f>P436 + P533</f>
        <v>24580</v>
      </c>
      <c r="Q312" s="839">
        <f>Q436 + Q533</f>
        <v>24589</v>
      </c>
      <c r="R312" s="839">
        <f>R436 + R533</f>
        <v>24581</v>
      </c>
      <c r="S312" s="839">
        <f>S436 + S533</f>
        <v>25269</v>
      </c>
      <c r="T312" s="839">
        <f>T436 + T533</f>
        <v>25238</v>
      </c>
      <c r="U312" s="839">
        <f>U436 + U533</f>
        <v>25504</v>
      </c>
      <c r="V312" s="839">
        <f>V436 + V533</f>
        <v>25897</v>
      </c>
      <c r="W312" s="839">
        <f>W436 + W533</f>
        <v>24850</v>
      </c>
      <c r="X312" s="839">
        <f>X436 + X533</f>
        <v>24608</v>
      </c>
      <c r="Y312" s="839">
        <f>Y436 + Y533</f>
        <v>24435</v>
      </c>
      <c r="Z312" s="839">
        <f>Z436 + Z533</f>
        <v>25405</v>
      </c>
      <c r="AA312" s="839">
        <f>AA436 + AA533</f>
        <v>25847</v>
      </c>
      <c r="AB312" s="839">
        <f>AB436 + AB533</f>
        <v>25601</v>
      </c>
      <c r="AC312" s="841">
        <f>AC436 + AC533</f>
        <v>25087</v>
      </c>
      <c r="AD312" s="841">
        <f>AD436 + AD533</f>
        <v>25066</v>
      </c>
      <c r="AE312" s="841">
        <f>AE436 + AE533</f>
        <v>25185</v>
      </c>
      <c r="AF312" s="841">
        <f>AF436 + AF533</f>
        <v>24996</v>
      </c>
      <c r="AG312" s="841">
        <f>AG436 + AG533</f>
        <v>24968</v>
      </c>
      <c r="AH312" s="841">
        <f>AH436 + AH533</f>
        <v>24661</v>
      </c>
      <c r="AI312" s="841">
        <f>AI436 + AI533</f>
        <v>24276</v>
      </c>
      <c r="AJ312" s="841">
        <f>AJ436 + AJ533</f>
        <v>23875</v>
      </c>
      <c r="AK312" s="841">
        <f>AK436 + AK533</f>
        <v>24849</v>
      </c>
      <c r="AL312" s="841">
        <f>AL436 + AL533</f>
        <v>25034</v>
      </c>
      <c r="AM312" s="841">
        <f>AM436 + AM533</f>
        <v>25228</v>
      </c>
      <c r="AN312" s="841">
        <f>AN436 + AN533</f>
        <v>25015</v>
      </c>
      <c r="AO312" s="841">
        <f>AO436 + AO533</f>
        <v>25132</v>
      </c>
      <c r="AP312" s="841">
        <f>AP436 + AP533</f>
        <v>24842</v>
      </c>
    </row>
    <row r="313" hidden="1" ht="12.75" customHeight="1">
      <c r="B313" s="842" t="s">
        <v>22</v>
      </c>
      <c r="C313" s="839">
        <f>C437 + C534</f>
        <v>29679</v>
      </c>
      <c r="D313" s="839">
        <f>D437 + D534</f>
        <v>29959</v>
      </c>
      <c r="E313" s="839">
        <f>E437 + E534</f>
        <v>29332</v>
      </c>
      <c r="F313" s="839">
        <f>F437 + F534</f>
        <v>29351</v>
      </c>
      <c r="G313" s="839">
        <f>G437 + G534</f>
        <v>27257</v>
      </c>
      <c r="H313" s="839">
        <f>H437 + H534</f>
        <v>29366</v>
      </c>
      <c r="I313" s="839">
        <f>I437 + I534</f>
        <v>27366</v>
      </c>
      <c r="J313" s="839">
        <f>J437 + J534</f>
        <v>27156</v>
      </c>
      <c r="K313" s="839">
        <f>K437 + K534</f>
        <v>26526</v>
      </c>
      <c r="L313" s="839">
        <f>L437 + L534</f>
        <v>26083</v>
      </c>
      <c r="M313" s="839">
        <f>M437 + M534</f>
        <v>25682</v>
      </c>
      <c r="N313" s="839">
        <f>N437 + N534</f>
        <v>25203</v>
      </c>
      <c r="O313" s="839">
        <f>O437 + O534</f>
        <v>24593</v>
      </c>
      <c r="P313" s="839">
        <f>P437 + P534</f>
        <v>24073</v>
      </c>
      <c r="Q313" s="839">
        <f>Q437 + Q534</f>
        <v>22945</v>
      </c>
      <c r="R313" s="839">
        <f>R437 + R534</f>
        <v>22932</v>
      </c>
      <c r="S313" s="839">
        <f>S437 + S534</f>
        <v>23217</v>
      </c>
      <c r="T313" s="839">
        <f>T437 + T534</f>
        <v>23030</v>
      </c>
      <c r="U313" s="839">
        <f>U437 + U534</f>
        <v>22032</v>
      </c>
      <c r="V313" s="839">
        <f>V437 + V534</f>
        <v>22391</v>
      </c>
      <c r="W313" s="839">
        <f>W437 + W534</f>
        <v>21837</v>
      </c>
      <c r="X313" s="839">
        <f>X437 + X534</f>
        <v>21777</v>
      </c>
      <c r="Y313" s="839">
        <f>Y437 + Y534</f>
        <v>21820</v>
      </c>
      <c r="Z313" s="839">
        <f>Z437 + Z534</f>
        <v>21735</v>
      </c>
      <c r="AA313" s="839">
        <f>AA437 + AA534</f>
        <v>21111</v>
      </c>
      <c r="AB313" s="839">
        <f>AB437 + AB534</f>
        <v>20818</v>
      </c>
      <c r="AC313" s="841">
        <f>AC437 + AC534</f>
        <v>20422</v>
      </c>
      <c r="AD313" s="841">
        <f>AD437 + AD534</f>
        <v>20456</v>
      </c>
      <c r="AE313" s="841">
        <f>AE437 + AE534</f>
        <v>20180</v>
      </c>
      <c r="AF313" s="841">
        <f>AF437 + AF534</f>
        <v>20317</v>
      </c>
      <c r="AG313" s="841">
        <f>AG437 + AG534</f>
        <v>19706</v>
      </c>
      <c r="AH313" s="841">
        <f>AH437 + AH534</f>
        <v>19343</v>
      </c>
      <c r="AI313" s="841">
        <f>AI437 + AI534</f>
        <v>18432</v>
      </c>
      <c r="AJ313" s="841">
        <f>AJ437 + AJ534</f>
        <v>17997</v>
      </c>
      <c r="AK313" s="841">
        <f>AK437 + AK534</f>
        <v>17883</v>
      </c>
      <c r="AL313" s="841">
        <f>AL437 + AL534</f>
        <v>17617</v>
      </c>
      <c r="AM313" s="841">
        <f>AM437 + AM534</f>
        <v>17348</v>
      </c>
      <c r="AN313" s="841">
        <f>AN437 + AN534</f>
        <v>17080</v>
      </c>
      <c r="AO313" s="841">
        <f>AO437 + AO534</f>
        <v>16424</v>
      </c>
      <c r="AP313" s="841">
        <f>AP437 + AP534</f>
        <v>16296</v>
      </c>
    </row>
    <row r="314" hidden="1" ht="12.75" customHeight="1">
      <c r="B314" s="842" t="s">
        <v>23</v>
      </c>
      <c r="C314" s="839">
        <f>C438 + C535</f>
        <v>2062</v>
      </c>
      <c r="D314" s="839">
        <f>D438 + D535</f>
        <v>2129</v>
      </c>
      <c r="E314" s="839">
        <f>E438 + E535</f>
        <v>1960</v>
      </c>
      <c r="F314" s="839">
        <f>F438 + F535</f>
        <v>1901</v>
      </c>
      <c r="G314" s="839">
        <f>G438 + G535</f>
        <v>1714</v>
      </c>
      <c r="H314" s="839">
        <f>H438 + H535</f>
        <v>1631</v>
      </c>
      <c r="I314" s="839">
        <f>I438 + I535</f>
        <v>1622</v>
      </c>
      <c r="J314" s="839">
        <f>J438 + J535</f>
        <v>1764</v>
      </c>
      <c r="K314" s="839">
        <f>K438 + K535</f>
        <v>1781</v>
      </c>
      <c r="L314" s="839">
        <f>L438 + L535</f>
        <v>1794</v>
      </c>
      <c r="M314" s="839">
        <f>M438 + M535</f>
        <v>1765</v>
      </c>
      <c r="N314" s="839">
        <f>N438 + N535</f>
        <v>1827</v>
      </c>
      <c r="O314" s="839">
        <f>O438 + O535</f>
        <v>1905</v>
      </c>
      <c r="P314" s="839">
        <f>P438 + P535</f>
        <v>1966</v>
      </c>
      <c r="Q314" s="839">
        <f>Q438 + Q535</f>
        <v>1990</v>
      </c>
      <c r="R314" s="839">
        <f>R438 + R535</f>
        <v>1990</v>
      </c>
      <c r="S314" s="839">
        <f>S438 + S535</f>
        <v>2085</v>
      </c>
      <c r="T314" s="839">
        <f>T438 + T535</f>
        <v>2113</v>
      </c>
      <c r="U314" s="839">
        <f>U438 + U535</f>
        <v>2050</v>
      </c>
      <c r="V314" s="839">
        <f>V438 + V535</f>
        <v>2113</v>
      </c>
      <c r="W314" s="839">
        <f>W438 + W535</f>
        <v>2099</v>
      </c>
      <c r="X314" s="839">
        <f>X438 + X535</f>
        <v>2190</v>
      </c>
      <c r="Y314" s="839">
        <f>Y438 + Y535</f>
        <v>2101</v>
      </c>
      <c r="Z314" s="839">
        <f>Z438 + Z535</f>
        <v>2143</v>
      </c>
      <c r="AA314" s="839">
        <f>AA438 + AA535</f>
        <v>2194</v>
      </c>
      <c r="AB314" s="839">
        <f>AB438 + AB535</f>
        <v>2297</v>
      </c>
      <c r="AC314" s="841">
        <f>AC438 + AC535</f>
        <v>2355</v>
      </c>
      <c r="AD314" s="841">
        <f>AD438 + AD535</f>
        <v>2491</v>
      </c>
      <c r="AE314" s="841">
        <f>AE438 + AE535</f>
        <v>2625</v>
      </c>
      <c r="AF314" s="841">
        <f>AF438 + AF535</f>
        <v>2786</v>
      </c>
      <c r="AG314" s="841">
        <f>AG438 + AG535</f>
        <v>2762</v>
      </c>
      <c r="AH314" s="841">
        <f>AH438 + AH535</f>
        <v>2722</v>
      </c>
      <c r="AI314" s="841">
        <f>AI438 + AI535</f>
        <v>2593</v>
      </c>
      <c r="AJ314" s="841">
        <f>AJ438 + AJ535</f>
        <v>2525</v>
      </c>
      <c r="AK314" s="841">
        <f>AK438 + AK535</f>
        <v>2501</v>
      </c>
      <c r="AL314" s="841">
        <f>AL438 + AL535</f>
        <v>2397</v>
      </c>
      <c r="AM314" s="841">
        <f>AM438 + AM535</f>
        <v>2310</v>
      </c>
      <c r="AN314" s="841">
        <f>AN438 + AN535</f>
        <v>2094</v>
      </c>
      <c r="AO314" s="841">
        <f>AO438 + AO535</f>
        <v>1887</v>
      </c>
      <c r="AP314" s="841">
        <f>AP438 + AP535</f>
        <v>1800</v>
      </c>
    </row>
    <row r="315" hidden="1" ht="12.75" customHeight="1">
      <c r="B315" s="843" t="s">
        <v>24</v>
      </c>
      <c r="C315" s="839">
        <f>C439 + C536</f>
        <v>5227</v>
      </c>
      <c r="D315" s="839">
        <f>D439 + D536</f>
        <v>5487</v>
      </c>
      <c r="E315" s="839">
        <f>E439 + E536</f>
        <v>5125</v>
      </c>
      <c r="F315" s="839">
        <f>F439 + F536</f>
        <v>5441</v>
      </c>
      <c r="G315" s="839">
        <f>G439 + G536</f>
        <v>5268</v>
      </c>
      <c r="H315" s="839">
        <f>H439 + H536</f>
        <v>5415</v>
      </c>
      <c r="I315" s="839">
        <f>I439 + I536</f>
        <v>5125</v>
      </c>
      <c r="J315" s="839">
        <f>J439 + J536</f>
        <v>5383</v>
      </c>
      <c r="K315" s="839">
        <f>K439 + K536</f>
        <v>5407</v>
      </c>
      <c r="L315" s="839">
        <f>L439 + L536</f>
        <v>5681</v>
      </c>
      <c r="M315" s="839">
        <f>M439 + M536</f>
        <v>5628</v>
      </c>
      <c r="N315" s="839">
        <f>N439 + N536</f>
        <v>5814</v>
      </c>
      <c r="O315" s="839">
        <f>O439 + O536</f>
        <v>5643</v>
      </c>
      <c r="P315" s="839">
        <f>P439 + P536</f>
        <v>5729</v>
      </c>
      <c r="Q315" s="839">
        <f>Q439 + Q536</f>
        <v>5850</v>
      </c>
      <c r="R315" s="839">
        <f>R439 + R536</f>
        <v>6654</v>
      </c>
      <c r="S315" s="839">
        <f>S439 + S536</f>
        <v>6733</v>
      </c>
      <c r="T315" s="839">
        <f>T439 + T536</f>
        <v>6872</v>
      </c>
      <c r="U315" s="839">
        <f>U439 + U536</f>
        <v>6919</v>
      </c>
      <c r="V315" s="839">
        <f>V439 + V536</f>
        <v>7367</v>
      </c>
      <c r="W315" s="839">
        <f>W439 + W536</f>
        <v>7321</v>
      </c>
      <c r="X315" s="839">
        <f>X439 + X536</f>
        <v>7436</v>
      </c>
      <c r="Y315" s="839">
        <f>Y439 + Y536</f>
        <v>7544</v>
      </c>
      <c r="Z315" s="839">
        <f>Z439 + Z536</f>
        <v>8017</v>
      </c>
      <c r="AA315" s="839">
        <f>AA439 + AA536</f>
        <v>8108</v>
      </c>
      <c r="AB315" s="839">
        <f>AB439 + AB536</f>
        <v>8223</v>
      </c>
      <c r="AC315" s="841">
        <f>AC439 + AC536</f>
        <v>8321</v>
      </c>
      <c r="AD315" s="841">
        <f>AD439 + AD536</f>
        <v>8357</v>
      </c>
      <c r="AE315" s="841">
        <f>AE439 + AE536</f>
        <v>8063</v>
      </c>
      <c r="AF315" s="841">
        <f>AF439 + AF536</f>
        <v>8007</v>
      </c>
      <c r="AG315" s="841">
        <f>AG439 + AG536</f>
        <v>7885</v>
      </c>
      <c r="AH315" s="841">
        <f>AH439 + AH536</f>
        <v>7692</v>
      </c>
      <c r="AI315" s="841">
        <f>AI439 + AI536</f>
        <v>7435</v>
      </c>
      <c r="AJ315" s="841">
        <f>AJ439 + AJ536</f>
        <v>7513</v>
      </c>
      <c r="AK315" s="841">
        <f>AK439 + AK536</f>
        <v>7367</v>
      </c>
      <c r="AL315" s="841">
        <f>AL439 + AL536</f>
        <v>7606</v>
      </c>
      <c r="AM315" s="841">
        <f>AM439 + AM536</f>
        <v>7411</v>
      </c>
      <c r="AN315" s="841">
        <f>AN439 + AN536</f>
        <v>7382</v>
      </c>
      <c r="AO315" s="841">
        <f>AO439 + AO536</f>
        <v>7062</v>
      </c>
      <c r="AP315" s="841">
        <f>AP439 + AP536</f>
        <v>6662</v>
      </c>
    </row>
    <row r="316" hidden="1" ht="12.75" customHeight="1">
      <c r="B316" s="842" t="s">
        <v>25</v>
      </c>
      <c r="C316" s="839">
        <f>C440 + C537</f>
        <v>0</v>
      </c>
      <c r="D316" s="839">
        <f>D440 + D537</f>
        <v>0</v>
      </c>
      <c r="E316" s="839">
        <f>E440 + E537</f>
        <v>0</v>
      </c>
      <c r="F316" s="839">
        <f>F440 + F537</f>
        <v>0</v>
      </c>
      <c r="G316" s="839">
        <f>G440 + G537</f>
        <v>0</v>
      </c>
      <c r="H316" s="839">
        <f>H440 + H537</f>
        <v>0</v>
      </c>
      <c r="I316" s="839">
        <f>I440 + I537</f>
        <v>0</v>
      </c>
      <c r="J316" s="839">
        <f>J440 + J537</f>
        <v>0</v>
      </c>
      <c r="K316" s="839">
        <f>K440 + K537</f>
        <v>0</v>
      </c>
      <c r="L316" s="839">
        <f>L440 + L537</f>
        <v>0</v>
      </c>
      <c r="M316" s="839">
        <f>M440 + M537</f>
        <v>0</v>
      </c>
      <c r="N316" s="839">
        <f>N440 + N537</f>
        <v>0</v>
      </c>
      <c r="O316" s="839">
        <f>O440 + O537</f>
        <v>0</v>
      </c>
      <c r="P316" s="839">
        <f>P440 + P537</f>
        <v>0</v>
      </c>
      <c r="Q316" s="839">
        <f>Q440 + Q537</f>
        <v>0</v>
      </c>
      <c r="R316" s="839">
        <f>R440 + R537</f>
        <v>0</v>
      </c>
      <c r="S316" s="839">
        <f>S440 + S537</f>
        <v>0</v>
      </c>
      <c r="T316" s="839">
        <f>T440 + T537</f>
        <v>0</v>
      </c>
      <c r="U316" s="839">
        <f>U440 + U537</f>
        <v>0</v>
      </c>
      <c r="V316" s="839">
        <f>V440 + V537</f>
        <v>0</v>
      </c>
      <c r="W316" s="839">
        <f>W440 + W537</f>
        <v>0</v>
      </c>
      <c r="X316" s="839">
        <f>X440 + X537</f>
        <v>0</v>
      </c>
      <c r="Y316" s="839">
        <f>Y440 + Y537</f>
        <v>0</v>
      </c>
      <c r="Z316" s="839">
        <f>Z440 + Z537</f>
        <v>0</v>
      </c>
      <c r="AA316" s="839">
        <f>AA440 + AA537</f>
        <v>0</v>
      </c>
      <c r="AB316" s="839">
        <f>AB440 + AB537</f>
        <v>0</v>
      </c>
      <c r="AC316" s="841">
        <f>AC440 + AC537</f>
        <v>0</v>
      </c>
      <c r="AD316" s="841">
        <f>AD440 + AD537</f>
        <v>0</v>
      </c>
      <c r="AE316" s="841">
        <f>AE440 + AE537</f>
        <v>0</v>
      </c>
      <c r="AF316" s="841">
        <f>AF440 + AF537</f>
        <v>0</v>
      </c>
      <c r="AG316" s="841">
        <f>AG440 + AG537</f>
        <v>0</v>
      </c>
      <c r="AH316" s="841">
        <f>AH440 + AH537</f>
        <v>0</v>
      </c>
      <c r="AI316" s="841">
        <f>AI440 + AI537</f>
        <v>0</v>
      </c>
      <c r="AJ316" s="841">
        <f>AJ440 + AJ537</f>
        <v>0</v>
      </c>
      <c r="AK316" s="841">
        <f>AK440 + AK537</f>
        <v>0</v>
      </c>
      <c r="AL316" s="841">
        <f>AL440 + AL537</f>
        <v>0</v>
      </c>
      <c r="AM316" s="841">
        <f>AM440 + AM537</f>
        <v>0</v>
      </c>
      <c r="AN316" s="841">
        <f>AN440 + AN537</f>
        <v>0</v>
      </c>
      <c r="AO316" s="841">
        <f>AO440 + AO537</f>
        <v>0</v>
      </c>
      <c r="AP316" s="841">
        <f>AP440 + AP537</f>
        <v>0</v>
      </c>
    </row>
    <row r="317" hidden="1" ht="13.5" customHeight="1">
      <c r="B317" s="844" t="s">
        <v>26</v>
      </c>
      <c r="C317" s="839">
        <f>C441 + C538</f>
        <v>0</v>
      </c>
      <c r="D317" s="839">
        <f>D441 + D538</f>
        <v>0</v>
      </c>
      <c r="E317" s="839">
        <f>E441 + E538</f>
        <v>0</v>
      </c>
      <c r="F317" s="839">
        <f>F441 + F538</f>
        <v>0</v>
      </c>
      <c r="G317" s="839">
        <f>G441 + G538</f>
        <v>0</v>
      </c>
      <c r="H317" s="839">
        <f>H441 + H538</f>
        <v>0</v>
      </c>
      <c r="I317" s="839">
        <f>I441 + I538</f>
        <v>0</v>
      </c>
      <c r="J317" s="839">
        <f>J441 + J538</f>
        <v>0</v>
      </c>
      <c r="K317" s="839">
        <f>K441 + K538</f>
        <v>0</v>
      </c>
      <c r="L317" s="839">
        <f>L441 + L538</f>
        <v>0</v>
      </c>
      <c r="M317" s="839">
        <f>M441 + M538</f>
        <v>0</v>
      </c>
      <c r="N317" s="839">
        <f>N441 + N538</f>
        <v>0</v>
      </c>
      <c r="O317" s="839">
        <f>O441 + O538</f>
        <v>0</v>
      </c>
      <c r="P317" s="839">
        <f>P441 + P538</f>
        <v>0</v>
      </c>
      <c r="Q317" s="839">
        <f>Q441 + Q538</f>
        <v>0</v>
      </c>
      <c r="R317" s="839">
        <f>R441 + R538</f>
        <v>0</v>
      </c>
      <c r="S317" s="839">
        <f>S441 + S538</f>
        <v>0</v>
      </c>
      <c r="T317" s="839">
        <f>T441 + T538</f>
        <v>0</v>
      </c>
      <c r="U317" s="839">
        <f>U441 + U538</f>
        <v>0</v>
      </c>
      <c r="V317" s="839">
        <f>V441 + V538</f>
        <v>0</v>
      </c>
      <c r="W317" s="839">
        <f>W441 + W538</f>
        <v>0</v>
      </c>
      <c r="X317" s="839">
        <f>X441 + X538</f>
        <v>0</v>
      </c>
      <c r="Y317" s="839">
        <f>Y441 + Y538</f>
        <v>0</v>
      </c>
      <c r="Z317" s="839">
        <f>Z441 + Z538</f>
        <v>0</v>
      </c>
      <c r="AA317" s="839">
        <f>AA441 + AA538</f>
        <v>0</v>
      </c>
      <c r="AB317" s="845">
        <f>AB441 + AB538</f>
        <v>0</v>
      </c>
      <c r="AC317" s="841">
        <f>AC441 + AC538</f>
        <v>0</v>
      </c>
      <c r="AD317" s="841">
        <f>AD441 + AD538</f>
        <v>0</v>
      </c>
      <c r="AE317" s="841">
        <f>AE441 + AE538</f>
        <v>0</v>
      </c>
      <c r="AF317" s="841">
        <f>AF441 + AF538</f>
        <v>0</v>
      </c>
      <c r="AG317" s="841">
        <f>AG441 + AG538</f>
        <v>0</v>
      </c>
      <c r="AH317" s="841">
        <f>AH441 + AH538</f>
        <v>0</v>
      </c>
      <c r="AI317" s="841">
        <f>AI441 + AI538</f>
        <v>0</v>
      </c>
      <c r="AJ317" s="841">
        <f>AJ441 + AJ538</f>
        <v>0</v>
      </c>
      <c r="AK317" s="841">
        <f>AK441 + AK538</f>
        <v>0</v>
      </c>
      <c r="AL317" s="841">
        <f>AL441 + AL538</f>
        <v>0</v>
      </c>
      <c r="AM317" s="841">
        <f>AM441 + AM538</f>
        <v>1</v>
      </c>
      <c r="AN317" s="841">
        <f>AN441 + AN538</f>
        <v>0</v>
      </c>
      <c r="AO317" s="841">
        <f>AO441 + AO538</f>
        <v>0</v>
      </c>
      <c r="AP317" s="841">
        <f>AP441 + AP538</f>
        <v>0</v>
      </c>
    </row>
    <row r="318" hidden="1" ht="13.5" customHeight="1">
      <c r="B318" s="128" t="s">
        <v>7</v>
      </c>
      <c r="C318" s="129" t="str">
        <f>IF(SUM(C299:C317)&lt;&gt;0,SUM(C299:C317),"")</f>
      </c>
      <c r="D318" s="129" t="str">
        <f ref="D318:AA318" t="shared" si="25">IF(SUM(D299:D317)&lt;&gt;0,SUM(D299:D317),"")</f>
      </c>
      <c r="E318" s="129" t="str">
        <f t="shared" si="25"/>
      </c>
      <c r="F318" s="129" t="str">
        <f t="shared" si="25"/>
      </c>
      <c r="G318" s="129" t="str">
        <f t="shared" si="25"/>
      </c>
      <c r="H318" s="129" t="str">
        <f t="shared" si="25"/>
      </c>
      <c r="I318" s="129" t="str">
        <f t="shared" si="25"/>
      </c>
      <c r="J318" s="129" t="str">
        <f t="shared" si="25"/>
      </c>
      <c r="K318" s="129" t="str">
        <f t="shared" si="25"/>
      </c>
      <c r="L318" s="129" t="str">
        <f t="shared" si="25"/>
      </c>
      <c r="M318" s="129" t="str">
        <f t="shared" si="25"/>
      </c>
      <c r="N318" s="129" t="str">
        <f t="shared" si="25"/>
      </c>
      <c r="O318" s="129" t="str">
        <f t="shared" si="25"/>
      </c>
      <c r="P318" s="129" t="str">
        <f t="shared" si="25"/>
      </c>
      <c r="Q318" s="129" t="str">
        <f t="shared" si="25"/>
      </c>
      <c r="R318" s="129" t="str">
        <f t="shared" si="25"/>
      </c>
      <c r="S318" s="129" t="str">
        <f t="shared" si="25"/>
      </c>
      <c r="T318" s="129" t="str">
        <f t="shared" si="25"/>
      </c>
      <c r="U318" s="129" t="str">
        <f t="shared" si="25"/>
      </c>
      <c r="V318" s="129" t="str">
        <f t="shared" si="25"/>
      </c>
      <c r="W318" s="129" t="str">
        <f t="shared" si="25"/>
      </c>
      <c r="X318" s="129" t="str">
        <f t="shared" si="25"/>
      </c>
      <c r="Y318" s="129" t="str">
        <f t="shared" si="25"/>
      </c>
      <c r="Z318" s="129" t="str">
        <f t="shared" si="25"/>
      </c>
      <c r="AA318" s="129" t="str">
        <f t="shared" si="25"/>
      </c>
      <c r="AB318" s="130" t="str">
        <f>IF(SUM(AB299:AB317)&lt;&gt;0,SUM(AB299:AB317),"")</f>
      </c>
      <c r="AC318" s="91" t="str">
        <f ref="AC318:CN318" t="shared" si="26">IF(SUM(AC299:AC317)&lt;&gt;0,SUM(AC299:AC317),"")</f>
      </c>
      <c r="AD318" s="91" t="str">
        <f t="shared" si="26"/>
      </c>
      <c r="AE318" s="91" t="str">
        <f t="shared" si="26"/>
      </c>
      <c r="AF318" s="91" t="str">
        <f t="shared" si="26"/>
      </c>
      <c r="AG318" s="91" t="str">
        <f t="shared" si="26"/>
      </c>
      <c r="AH318" s="91" t="str">
        <f t="shared" si="26"/>
      </c>
      <c r="AI318" s="91" t="str">
        <f t="shared" si="26"/>
      </c>
      <c r="AJ318" s="91" t="str">
        <f t="shared" si="26"/>
      </c>
      <c r="AK318" s="91" t="str">
        <f t="shared" si="26"/>
      </c>
      <c r="AL318" s="91" t="str">
        <f t="shared" si="26"/>
      </c>
      <c r="AM318" s="91" t="str">
        <f t="shared" si="26"/>
      </c>
      <c r="AN318" s="91" t="str">
        <f t="shared" si="26"/>
      </c>
      <c r="AO318" s="91" t="str">
        <f t="shared" si="26"/>
      </c>
      <c r="AP318" s="91" t="str">
        <f t="shared" si="26"/>
      </c>
      <c r="AQ318" s="91" t="str">
        <f t="shared" si="26"/>
      </c>
      <c r="AR318" s="91" t="str">
        <f t="shared" si="26"/>
      </c>
      <c r="AS318" s="91" t="str">
        <f t="shared" si="26"/>
      </c>
      <c r="AT318" s="91" t="str">
        <f t="shared" si="26"/>
      </c>
      <c r="AU318" s="91" t="str">
        <f t="shared" si="26"/>
      </c>
      <c r="AV318" s="91" t="str">
        <f t="shared" si="26"/>
      </c>
      <c r="AW318" s="91" t="str">
        <f t="shared" si="26"/>
      </c>
      <c r="AX318" s="91" t="str">
        <f t="shared" si="26"/>
      </c>
      <c r="AY318" s="91" t="str">
        <f t="shared" si="26"/>
      </c>
      <c r="AZ318" s="91" t="str">
        <f t="shared" si="26"/>
      </c>
      <c r="BA318" s="91" t="str">
        <f t="shared" si="26"/>
      </c>
      <c r="BB318" s="91" t="str">
        <f t="shared" si="26"/>
      </c>
      <c r="BC318" s="91" t="str">
        <f t="shared" si="26"/>
      </c>
      <c r="BD318" s="91" t="str">
        <f t="shared" si="26"/>
      </c>
      <c r="BE318" s="91" t="str">
        <f t="shared" si="26"/>
      </c>
      <c r="BF318" s="91" t="str">
        <f t="shared" si="26"/>
      </c>
      <c r="BG318" s="91" t="str">
        <f t="shared" si="26"/>
      </c>
      <c r="BH318" s="91" t="str">
        <f t="shared" si="26"/>
      </c>
      <c r="BI318" s="91" t="str">
        <f t="shared" si="26"/>
      </c>
      <c r="BJ318" s="91" t="str">
        <f t="shared" si="26"/>
      </c>
      <c r="BK318" s="91" t="str">
        <f t="shared" si="26"/>
      </c>
      <c r="BL318" s="91" t="str">
        <f t="shared" si="26"/>
      </c>
      <c r="BM318" s="91" t="str">
        <f t="shared" si="26"/>
      </c>
      <c r="BN318" s="91" t="str">
        <f t="shared" si="26"/>
      </c>
      <c r="BO318" s="91" t="str">
        <f t="shared" si="26"/>
      </c>
      <c r="BP318" s="91" t="str">
        <f t="shared" si="26"/>
      </c>
      <c r="BQ318" s="91" t="str">
        <f t="shared" si="26"/>
      </c>
      <c r="BR318" s="91" t="str">
        <f t="shared" si="26"/>
      </c>
      <c r="BS318" s="91" t="str">
        <f t="shared" si="26"/>
      </c>
      <c r="BT318" s="91" t="str">
        <f t="shared" si="26"/>
      </c>
      <c r="BU318" s="91" t="str">
        <f t="shared" si="26"/>
      </c>
      <c r="BV318" s="91" t="str">
        <f t="shared" si="26"/>
      </c>
      <c r="BW318" s="91" t="str">
        <f t="shared" si="26"/>
      </c>
      <c r="BX318" s="91" t="str">
        <f t="shared" si="26"/>
      </c>
      <c r="BY318" s="91" t="str">
        <f t="shared" si="26"/>
      </c>
      <c r="BZ318" s="91" t="str">
        <f t="shared" si="26"/>
      </c>
      <c r="CA318" s="91" t="str">
        <f t="shared" si="26"/>
      </c>
      <c r="CB318" s="91" t="str">
        <f t="shared" si="26"/>
      </c>
      <c r="CC318" s="91" t="str">
        <f t="shared" si="26"/>
      </c>
      <c r="CD318" s="91" t="str">
        <f t="shared" si="26"/>
      </c>
      <c r="CE318" s="91" t="str">
        <f t="shared" si="26"/>
      </c>
      <c r="CF318" s="91" t="str">
        <f t="shared" si="26"/>
      </c>
      <c r="CG318" s="91" t="str">
        <f t="shared" si="26"/>
      </c>
      <c r="CH318" s="91" t="str">
        <f t="shared" si="26"/>
      </c>
      <c r="CI318" s="91" t="str">
        <f t="shared" si="26"/>
      </c>
      <c r="CJ318" s="91" t="str">
        <f t="shared" si="26"/>
      </c>
      <c r="CK318" s="91" t="str">
        <f t="shared" si="26"/>
      </c>
      <c r="CL318" s="91" t="str">
        <f t="shared" si="26"/>
      </c>
      <c r="CM318" s="91" t="str">
        <f t="shared" si="26"/>
      </c>
      <c r="CN318" s="91" t="str">
        <f t="shared" si="26"/>
      </c>
      <c r="CO318" s="91" t="str">
        <f ref="CO318:EZ318" t="shared" si="27">IF(SUM(CO299:CO317)&lt;&gt;0,SUM(CO299:CO317),"")</f>
      </c>
      <c r="CP318" s="91" t="str">
        <f t="shared" si="27"/>
      </c>
      <c r="CQ318" s="91" t="str">
        <f t="shared" si="27"/>
      </c>
      <c r="CR318" s="91" t="str">
        <f t="shared" si="27"/>
      </c>
      <c r="CS318" s="91" t="str">
        <f t="shared" si="27"/>
      </c>
      <c r="CT318" s="91" t="str">
        <f t="shared" si="27"/>
      </c>
      <c r="CU318" s="91" t="str">
        <f t="shared" si="27"/>
      </c>
      <c r="CV318" s="91" t="str">
        <f t="shared" si="27"/>
      </c>
      <c r="CW318" s="91" t="str">
        <f t="shared" si="27"/>
      </c>
      <c r="CX318" s="91" t="str">
        <f t="shared" si="27"/>
      </c>
      <c r="CY318" s="91" t="str">
        <f t="shared" si="27"/>
      </c>
      <c r="CZ318" s="91" t="str">
        <f t="shared" si="27"/>
      </c>
      <c r="DA318" s="91" t="str">
        <f t="shared" si="27"/>
      </c>
      <c r="DB318" s="91" t="str">
        <f t="shared" si="27"/>
      </c>
      <c r="DC318" s="91" t="str">
        <f t="shared" si="27"/>
      </c>
      <c r="DD318" s="91" t="str">
        <f t="shared" si="27"/>
      </c>
      <c r="DE318" s="91" t="str">
        <f t="shared" si="27"/>
      </c>
      <c r="DF318" s="91" t="str">
        <f t="shared" si="27"/>
      </c>
      <c r="DG318" s="91" t="str">
        <f t="shared" si="27"/>
      </c>
      <c r="DH318" s="91" t="str">
        <f t="shared" si="27"/>
      </c>
      <c r="DI318" s="91" t="str">
        <f t="shared" si="27"/>
      </c>
      <c r="DJ318" s="91" t="str">
        <f t="shared" si="27"/>
      </c>
      <c r="DK318" s="91" t="str">
        <f t="shared" si="27"/>
      </c>
      <c r="DL318" s="91" t="str">
        <f t="shared" si="27"/>
      </c>
      <c r="DM318" s="91" t="str">
        <f t="shared" si="27"/>
      </c>
      <c r="DN318" s="91" t="str">
        <f t="shared" si="27"/>
      </c>
      <c r="DO318" s="91" t="str">
        <f t="shared" si="27"/>
      </c>
      <c r="DP318" s="91" t="str">
        <f t="shared" si="27"/>
      </c>
      <c r="DQ318" s="91" t="str">
        <f t="shared" si="27"/>
      </c>
      <c r="DR318" s="91" t="str">
        <f t="shared" si="27"/>
      </c>
      <c r="DS318" s="91" t="str">
        <f t="shared" si="27"/>
      </c>
      <c r="DT318" s="91" t="str">
        <f t="shared" si="27"/>
      </c>
      <c r="DU318" s="91" t="str">
        <f t="shared" si="27"/>
      </c>
      <c r="DV318" s="91" t="str">
        <f t="shared" si="27"/>
      </c>
      <c r="DW318" s="91" t="str">
        <f t="shared" si="27"/>
      </c>
      <c r="DX318" s="91" t="str">
        <f t="shared" si="27"/>
      </c>
      <c r="DY318" s="91" t="str">
        <f t="shared" si="27"/>
      </c>
      <c r="DZ318" s="91" t="str">
        <f t="shared" si="27"/>
      </c>
      <c r="EA318" s="91" t="str">
        <f t="shared" si="27"/>
      </c>
      <c r="EB318" s="91" t="str">
        <f t="shared" si="27"/>
      </c>
      <c r="EC318" s="91" t="str">
        <f t="shared" si="27"/>
      </c>
      <c r="ED318" s="91" t="str">
        <f t="shared" si="27"/>
      </c>
      <c r="EE318" s="91" t="str">
        <f t="shared" si="27"/>
      </c>
      <c r="EF318" s="91" t="str">
        <f t="shared" si="27"/>
      </c>
      <c r="EG318" s="91" t="str">
        <f t="shared" si="27"/>
      </c>
      <c r="EH318" s="91" t="str">
        <f t="shared" si="27"/>
      </c>
      <c r="EI318" s="91" t="str">
        <f t="shared" si="27"/>
      </c>
      <c r="EJ318" s="91" t="str">
        <f t="shared" si="27"/>
      </c>
      <c r="EK318" s="91" t="str">
        <f t="shared" si="27"/>
      </c>
      <c r="EL318" s="91" t="str">
        <f t="shared" si="27"/>
      </c>
      <c r="EM318" s="91" t="str">
        <f t="shared" si="27"/>
      </c>
      <c r="EN318" s="91" t="str">
        <f t="shared" si="27"/>
      </c>
      <c r="EO318" s="91" t="str">
        <f t="shared" si="27"/>
      </c>
      <c r="EP318" s="91" t="str">
        <f t="shared" si="27"/>
      </c>
      <c r="EQ318" s="91" t="str">
        <f t="shared" si="27"/>
      </c>
      <c r="ER318" s="91" t="str">
        <f t="shared" si="27"/>
      </c>
      <c r="ES318" s="91" t="str">
        <f t="shared" si="27"/>
      </c>
      <c r="ET318" s="91" t="str">
        <f t="shared" si="27"/>
      </c>
      <c r="EU318" s="91" t="str">
        <f t="shared" si="27"/>
      </c>
      <c r="EV318" s="91" t="str">
        <f t="shared" si="27"/>
      </c>
      <c r="EW318" s="91" t="str">
        <f t="shared" si="27"/>
      </c>
      <c r="EX318" s="91" t="str">
        <f t="shared" si="27"/>
      </c>
      <c r="EY318" s="91" t="str">
        <f t="shared" si="27"/>
      </c>
      <c r="EZ318" s="91" t="str">
        <f t="shared" si="27"/>
      </c>
      <c r="FA318" s="91" t="str">
        <f ref="FA318:HL318" t="shared" si="28">IF(SUM(FA299:FA317)&lt;&gt;0,SUM(FA299:FA317),"")</f>
      </c>
      <c r="FB318" s="91" t="str">
        <f t="shared" si="28"/>
      </c>
      <c r="FC318" s="91" t="str">
        <f t="shared" si="28"/>
      </c>
      <c r="FD318" s="91" t="str">
        <f t="shared" si="28"/>
      </c>
      <c r="FE318" s="91" t="str">
        <f t="shared" si="28"/>
      </c>
      <c r="FF318" s="91" t="str">
        <f t="shared" si="28"/>
      </c>
      <c r="FG318" s="91" t="str">
        <f t="shared" si="28"/>
      </c>
      <c r="FH318" s="91" t="str">
        <f t="shared" si="28"/>
      </c>
      <c r="FI318" s="91" t="str">
        <f t="shared" si="28"/>
      </c>
      <c r="FJ318" s="91" t="str">
        <f t="shared" si="28"/>
      </c>
      <c r="FK318" s="91" t="str">
        <f t="shared" si="28"/>
      </c>
      <c r="FL318" s="91" t="str">
        <f t="shared" si="28"/>
      </c>
      <c r="FM318" s="91" t="str">
        <f t="shared" si="28"/>
      </c>
      <c r="FN318" s="91" t="str">
        <f t="shared" si="28"/>
      </c>
      <c r="FO318" s="91" t="str">
        <f t="shared" si="28"/>
      </c>
      <c r="FP318" s="91" t="str">
        <f t="shared" si="28"/>
      </c>
      <c r="FQ318" s="91" t="str">
        <f t="shared" si="28"/>
      </c>
      <c r="FR318" s="91" t="str">
        <f t="shared" si="28"/>
      </c>
      <c r="FS318" s="91" t="str">
        <f t="shared" si="28"/>
      </c>
      <c r="FT318" s="91" t="str">
        <f t="shared" si="28"/>
      </c>
      <c r="FU318" s="91" t="str">
        <f t="shared" si="28"/>
      </c>
      <c r="FV318" s="91" t="str">
        <f t="shared" si="28"/>
      </c>
      <c r="FW318" s="91" t="str">
        <f t="shared" si="28"/>
      </c>
      <c r="FX318" s="91" t="str">
        <f t="shared" si="28"/>
      </c>
      <c r="FY318" s="91" t="str">
        <f t="shared" si="28"/>
      </c>
      <c r="FZ318" s="91" t="str">
        <f t="shared" si="28"/>
      </c>
      <c r="GA318" s="91" t="str">
        <f t="shared" si="28"/>
      </c>
      <c r="GB318" s="91" t="str">
        <f t="shared" si="28"/>
      </c>
      <c r="GC318" s="91" t="str">
        <f t="shared" si="28"/>
      </c>
      <c r="GD318" s="91" t="str">
        <f t="shared" si="28"/>
      </c>
      <c r="GE318" s="91" t="str">
        <f t="shared" si="28"/>
      </c>
      <c r="GF318" s="91" t="str">
        <f t="shared" si="28"/>
      </c>
      <c r="GG318" s="91" t="str">
        <f t="shared" si="28"/>
      </c>
      <c r="GH318" s="91" t="str">
        <f t="shared" si="28"/>
      </c>
      <c r="GI318" s="91" t="str">
        <f t="shared" si="28"/>
      </c>
      <c r="GJ318" s="91" t="str">
        <f t="shared" si="28"/>
      </c>
      <c r="GK318" s="91" t="str">
        <f t="shared" si="28"/>
      </c>
      <c r="GL318" s="91" t="str">
        <f t="shared" si="28"/>
      </c>
      <c r="GM318" s="91" t="str">
        <f t="shared" si="28"/>
      </c>
      <c r="GN318" s="91" t="str">
        <f t="shared" si="28"/>
      </c>
      <c r="GO318" s="91" t="str">
        <f t="shared" si="28"/>
      </c>
      <c r="GP318" s="91" t="str">
        <f t="shared" si="28"/>
      </c>
      <c r="GQ318" s="91" t="str">
        <f t="shared" si="28"/>
      </c>
      <c r="GR318" s="91" t="str">
        <f t="shared" si="28"/>
      </c>
      <c r="GS318" s="91" t="str">
        <f t="shared" si="28"/>
      </c>
      <c r="GT318" s="91" t="str">
        <f t="shared" si="28"/>
      </c>
      <c r="GU318" s="91" t="str">
        <f t="shared" si="28"/>
      </c>
      <c r="GV318" s="91" t="str">
        <f t="shared" si="28"/>
      </c>
      <c r="GW318" s="91" t="str">
        <f t="shared" si="28"/>
      </c>
      <c r="GX318" s="91" t="str">
        <f t="shared" si="28"/>
      </c>
      <c r="GY318" s="91" t="str">
        <f t="shared" si="28"/>
      </c>
      <c r="GZ318" s="91" t="str">
        <f t="shared" si="28"/>
      </c>
      <c r="HA318" s="91" t="str">
        <f t="shared" si="28"/>
      </c>
      <c r="HB318" s="91" t="str">
        <f t="shared" si="28"/>
      </c>
      <c r="HC318" s="91" t="str">
        <f t="shared" si="28"/>
      </c>
      <c r="HD318" s="91" t="str">
        <f t="shared" si="28"/>
      </c>
      <c r="HE318" s="91" t="str">
        <f t="shared" si="28"/>
      </c>
      <c r="HF318" s="91" t="str">
        <f t="shared" si="28"/>
      </c>
      <c r="HG318" s="91" t="str">
        <f t="shared" si="28"/>
      </c>
      <c r="HH318" s="91" t="str">
        <f t="shared" si="28"/>
      </c>
      <c r="HI318" s="91" t="str">
        <f t="shared" si="28"/>
      </c>
      <c r="HJ318" s="91" t="str">
        <f t="shared" si="28"/>
      </c>
      <c r="HK318" s="91" t="str">
        <f t="shared" si="28"/>
      </c>
      <c r="HL318" s="91" t="str">
        <f t="shared" si="28"/>
      </c>
      <c r="HM318" s="91" t="str">
        <f ref="HM318:IV318" t="shared" si="29">IF(SUM(HM299:HM317)&lt;&gt;0,SUM(HM299:HM317),"")</f>
      </c>
      <c r="HN318" s="91" t="str">
        <f t="shared" si="29"/>
      </c>
      <c r="HO318" s="91" t="str">
        <f t="shared" si="29"/>
      </c>
      <c r="HP318" s="91" t="str">
        <f t="shared" si="29"/>
      </c>
      <c r="HQ318" s="91" t="str">
        <f t="shared" si="29"/>
      </c>
      <c r="HR318" s="91" t="str">
        <f t="shared" si="29"/>
      </c>
      <c r="HS318" s="91" t="str">
        <f t="shared" si="29"/>
      </c>
      <c r="HT318" s="91" t="str">
        <f t="shared" si="29"/>
      </c>
      <c r="HU318" s="91" t="str">
        <f t="shared" si="29"/>
      </c>
      <c r="HV318" s="91" t="str">
        <f t="shared" si="29"/>
      </c>
      <c r="HW318" s="91" t="str">
        <f t="shared" si="29"/>
      </c>
      <c r="HX318" s="91" t="str">
        <f t="shared" si="29"/>
      </c>
      <c r="HY318" s="91" t="str">
        <f t="shared" si="29"/>
      </c>
      <c r="HZ318" s="91" t="str">
        <f t="shared" si="29"/>
      </c>
      <c r="IA318" s="91" t="str">
        <f t="shared" si="29"/>
      </c>
      <c r="IB318" s="91" t="str">
        <f t="shared" si="29"/>
      </c>
      <c r="IC318" s="91" t="str">
        <f t="shared" si="29"/>
      </c>
      <c r="ID318" s="91" t="str">
        <f t="shared" si="29"/>
      </c>
      <c r="IE318" s="91" t="str">
        <f t="shared" si="29"/>
      </c>
      <c r="IF318" s="91" t="str">
        <f t="shared" si="29"/>
      </c>
      <c r="IG318" s="91" t="str">
        <f t="shared" si="29"/>
      </c>
      <c r="IH318" s="91" t="str">
        <f t="shared" si="29"/>
      </c>
      <c r="II318" s="91" t="str">
        <f t="shared" si="29"/>
      </c>
      <c r="IJ318" s="91" t="str">
        <f t="shared" si="29"/>
      </c>
      <c r="IK318" s="91" t="str">
        <f t="shared" si="29"/>
      </c>
      <c r="IL318" s="91" t="str">
        <f t="shared" si="29"/>
      </c>
      <c r="IM318" s="91" t="str">
        <f t="shared" si="29"/>
      </c>
      <c r="IN318" s="91" t="str">
        <f t="shared" si="29"/>
      </c>
      <c r="IO318" s="91" t="str">
        <f t="shared" si="29"/>
      </c>
      <c r="IP318" s="91" t="str">
        <f t="shared" si="29"/>
      </c>
      <c r="IQ318" s="91" t="str">
        <f t="shared" si="29"/>
      </c>
      <c r="IR318" s="91" t="str">
        <f t="shared" si="29"/>
      </c>
      <c r="IS318" s="91" t="str">
        <f t="shared" si="29"/>
      </c>
      <c r="IT318" s="91" t="str">
        <f t="shared" si="29"/>
      </c>
      <c r="IU318" s="91" t="str">
        <f t="shared" si="29"/>
      </c>
      <c r="IV318" s="91" t="str">
        <f t="shared" si="29"/>
      </c>
    </row>
    <row r="319" hidden="1" ht="12.75" customHeight="1">
      <c r="T319" s="51"/>
      <c r="U319" s="50"/>
      <c r="V319" s="50"/>
    </row>
    <row r="320" hidden="1" ht="12.75" customHeight="1">
      <c r="T320" s="51"/>
      <c r="U320" s="50"/>
      <c r="V320" s="50"/>
    </row>
    <row r="321" hidden="1" ht="12.75" customHeight="1">
      <c r="T321" s="51"/>
      <c r="U321" s="50"/>
      <c r="V321" s="50"/>
    </row>
    <row r="322" hidden="1" ht="12.75" customHeight="1">
      <c r="T322" s="51"/>
      <c r="U322" s="50"/>
      <c r="V322" s="50"/>
    </row>
    <row r="323" hidden="1" ht="12.75" customHeight="1"/>
    <row r="324" hidden="1" ht="13.5" customHeight="1">
      <c r="C324" s="171"/>
    </row>
    <row r="325" hidden="1" ht="13.5" customHeight="1">
      <c r="B325" s="338">
        <v>43466</v>
      </c>
      <c r="C325" s="174" t="str">
        <f> INDEX($F$325:$S$345,1,$D$154)</f>
        <v>TOTAL ANIMALES</v>
      </c>
      <c r="E325" s="338">
        <v>43466</v>
      </c>
      <c r="F325" s="175" t="s">
        <v>282</v>
      </c>
      <c r="G325" s="176" t="s">
        <v>299</v>
      </c>
      <c r="H325" s="176" t="s">
        <v>300</v>
      </c>
      <c r="I325" s="176" t="s">
        <v>301</v>
      </c>
      <c r="J325" s="176" t="s">
        <v>302</v>
      </c>
      <c r="K325" s="176" t="s">
        <v>303</v>
      </c>
      <c r="L325" s="176" t="s">
        <v>304</v>
      </c>
      <c r="M325" s="176" t="s">
        <v>305</v>
      </c>
      <c r="N325" s="176" t="s">
        <v>306</v>
      </c>
      <c r="O325" s="176" t="s">
        <v>307</v>
      </c>
      <c r="P325" s="177" t="s">
        <v>308</v>
      </c>
      <c r="T325" s="178"/>
    </row>
    <row r="326" hidden="1" ht="12.75" customHeight="1">
      <c r="B326" s="179" t="s">
        <v>8</v>
      </c>
      <c r="C326" s="180" t="e">
        <f> INDEX($F$325:$S$345,2,$D$154)</f>
        <v>#N/A</v>
      </c>
      <c r="D326" s="181" t="e">
        <f>C326/$C$345</f>
        <v>#N/A</v>
      </c>
      <c r="E326" s="125" t="s">
        <v>8</v>
      </c>
      <c r="F326" s="182" t="e">
        <f>INDIRECT(ADDRESS(180,MATCH(9000000000+307,180:180,1),1,,))</f>
        <v>#N/A</v>
      </c>
      <c r="G326" s="183" t="e">
        <f>INDIRECT(ADDRESS(203,MATCH(9000000000+307,203:203,1),1,,))</f>
        <v>#N/A</v>
      </c>
      <c r="H326" s="183" t="e">
        <f>INDIRECT(ADDRESS(351,MATCH(9000000000+307,351:351,1),1,,))</f>
        <v>#N/A</v>
      </c>
      <c r="I326" s="183" t="e">
        <f>INDIRECT(ADDRESS(448,MATCH(9000000000+307,448:448,1),1,,))</f>
        <v>#N/A</v>
      </c>
      <c r="J326" s="183" t="e">
        <f>INDIRECT(ADDRESS(227,MATCH(9000000000+307,227:227,1),1,,))</f>
        <v>#N/A</v>
      </c>
      <c r="K326" s="183" t="e">
        <f>INDIRECT(ADDRESS(375,MATCH(9000000000+307,375:375,1),1,,))</f>
        <v>#N/A</v>
      </c>
      <c r="L326" s="183" t="e">
        <f>INDIRECT(ADDRESS(472,MATCH(9000000000+307,472:472,1),1,,))</f>
        <v>#N/A</v>
      </c>
      <c r="M326" s="183" t="e">
        <f>INDIRECT(ADDRESS(251,MATCH(9000000000+307,251:251,1),1,,))</f>
        <v>#N/A</v>
      </c>
      <c r="N326" s="183" t="e">
        <f>INDIRECT(ADDRESS(399,MATCH(9000000000+307,399:399,1),1,,))</f>
        <v>#N/A</v>
      </c>
      <c r="O326" s="183" t="e">
        <f>INDIRECT(ADDRESS(275,MATCH(9000000000+307,275:275,1),1,,))</f>
        <v>#N/A</v>
      </c>
      <c r="P326" s="184" t="e">
        <f>INDIRECT(ADDRESS(299,MATCH(9000000000+307,299:299,1),1,,))</f>
        <v>#N/A</v>
      </c>
      <c r="Q326" s="217"/>
      <c r="S326" s="172"/>
      <c r="T326" s="172"/>
      <c r="U326" s="50"/>
      <c r="V326" s="50"/>
    </row>
    <row r="327" hidden="1" ht="12.75" customHeight="1">
      <c r="B327" s="185" t="s">
        <v>9</v>
      </c>
      <c r="C327" s="180" t="e">
        <f> INDEX($F$325:$S$345,3,$D$154)</f>
        <v>#N/A</v>
      </c>
      <c r="D327" s="181" t="e">
        <f ref="D327:D345" t="shared" si="30" ca="1">C327/$C$345</f>
        <v>#N/A</v>
      </c>
      <c r="E327" s="126" t="s">
        <v>9</v>
      </c>
      <c r="F327" s="186" t="e">
        <f>INDIRECT(ADDRESS(181,MATCH(9000000000+307,181:181,1),1,,))</f>
        <v>#N/A</v>
      </c>
      <c r="G327" s="187" t="e">
        <f>INDIRECT(ADDRESS(204,MATCH(9000000000+307,204:204,1),1,,))</f>
        <v>#N/A</v>
      </c>
      <c r="H327" s="187" t="e">
        <f>INDIRECT(ADDRESS(352,MATCH(9000000000+307,352:352,1),1,,))</f>
        <v>#N/A</v>
      </c>
      <c r="I327" s="187" t="e">
        <f>INDIRECT(ADDRESS(449,MATCH(9000000000+307,449:449,1),1,,))</f>
        <v>#N/A</v>
      </c>
      <c r="J327" s="187" t="e">
        <f>INDIRECT(ADDRESS(228,MATCH(9000000000+307,228:228,1),1,,))</f>
        <v>#N/A</v>
      </c>
      <c r="K327" s="187" t="e">
        <f>INDIRECT(ADDRESS(376,MATCH(9000000000+307,376:376,1),1,,))</f>
        <v>#N/A</v>
      </c>
      <c r="L327" s="187" t="e">
        <f>INDIRECT(ADDRESS(473,MATCH(9000000000+307,473:473,1),1,,))</f>
        <v>#N/A</v>
      </c>
      <c r="M327" s="187" t="e">
        <f>INDIRECT(ADDRESS(252,MATCH(9000000000+307,252:252,1),1,,))</f>
        <v>#N/A</v>
      </c>
      <c r="N327" s="187" t="e">
        <f>INDIRECT(ADDRESS(400,MATCH(9000000000+307,400:400,1),1,,))</f>
        <v>#N/A</v>
      </c>
      <c r="O327" s="187" t="e">
        <f>INDIRECT(ADDRESS(276,MATCH(9000000000+307,276:276,1),1,,))</f>
        <v>#N/A</v>
      </c>
      <c r="P327" s="188" t="e">
        <f>INDIRECT(ADDRESS(300,MATCH(9000000000+307,300:300,1),1,,))</f>
        <v>#N/A</v>
      </c>
      <c r="Q327" s="217"/>
      <c r="S327" s="172"/>
      <c r="T327" s="172"/>
      <c r="U327" s="50"/>
      <c r="V327" s="50"/>
    </row>
    <row r="328" hidden="1" ht="12.75" customHeight="1">
      <c r="B328" s="185" t="s">
        <v>10</v>
      </c>
      <c r="C328" s="180" t="e">
        <f> INDEX($F$325:$S$345,4,$D$154)</f>
        <v>#N/A</v>
      </c>
      <c r="D328" s="181" t="e">
        <f t="shared" si="30" ca="1"/>
        <v>#N/A</v>
      </c>
      <c r="E328" s="126" t="s">
        <v>10</v>
      </c>
      <c r="F328" s="186" t="e">
        <f>INDIRECT(ADDRESS(182,MATCH(9000000000+307,182:182,1),1,,))</f>
        <v>#N/A</v>
      </c>
      <c r="G328" s="187" t="e">
        <f>INDIRECT(ADDRESS(205,MATCH(9000000000+307,205:205,1),1,,))</f>
        <v>#N/A</v>
      </c>
      <c r="H328" s="187" t="e">
        <f>INDIRECT(ADDRESS(353,MATCH(9000000000+307,353:353,1),1,,))</f>
        <v>#N/A</v>
      </c>
      <c r="I328" s="187" t="e">
        <f>INDIRECT(ADDRESS(450,MATCH(9000000000+307,450:450,1),1,,))</f>
        <v>#N/A</v>
      </c>
      <c r="J328" s="187" t="e">
        <f>INDIRECT(ADDRESS(229,MATCH(9000000000+307,229:229,1),1,,))</f>
        <v>#N/A</v>
      </c>
      <c r="K328" s="187" t="e">
        <f>INDIRECT(ADDRESS(377,MATCH(9000000000+307,377:377,1),1,,))</f>
        <v>#N/A</v>
      </c>
      <c r="L328" s="187" t="e">
        <f>INDIRECT(ADDRESS(474,MATCH(9000000000+307,474:474,1),1,,))</f>
        <v>#N/A</v>
      </c>
      <c r="M328" s="187" t="e">
        <f>INDIRECT(ADDRESS(253,MATCH(9000000000+307,253:253,1),1,,))</f>
        <v>#N/A</v>
      </c>
      <c r="N328" s="187" t="e">
        <f>INDIRECT(ADDRESS(401,MATCH(9000000000+307,401:401,1),1,,))</f>
        <v>#N/A</v>
      </c>
      <c r="O328" s="187" t="e">
        <f>INDIRECT(ADDRESS(277,MATCH(9000000000+307,277:277,1),1,,))</f>
        <v>#N/A</v>
      </c>
      <c r="P328" s="188" t="e">
        <f>INDIRECT(ADDRESS(301,MATCH(9000000000+307,301:301,1),1,,))</f>
        <v>#N/A</v>
      </c>
      <c r="Q328" s="217"/>
      <c r="S328" s="172"/>
      <c r="T328" s="172"/>
      <c r="U328" s="50"/>
      <c r="V328" s="50"/>
    </row>
    <row r="329" hidden="1" ht="12.75" customHeight="1">
      <c r="B329" s="185" t="s">
        <v>11</v>
      </c>
      <c r="C329" s="180" t="e">
        <f> INDEX($F$325:$S$345,5,$D$154)</f>
        <v>#N/A</v>
      </c>
      <c r="D329" s="181" t="e">
        <f t="shared" si="30" ca="1"/>
        <v>#N/A</v>
      </c>
      <c r="E329" s="126" t="s">
        <v>11</v>
      </c>
      <c r="F329" s="186" t="e">
        <f>INDIRECT(ADDRESS(183,MATCH(9000000000+307,183:183,1),1,,))</f>
        <v>#N/A</v>
      </c>
      <c r="G329" s="187" t="e">
        <f>INDIRECT(ADDRESS(206,MATCH(9000000000+307,206:206,1),1,,))</f>
        <v>#N/A</v>
      </c>
      <c r="H329" s="187" t="e">
        <f>INDIRECT(ADDRESS(354,MATCH(9000000000+307,354:354,1),1,,))</f>
        <v>#N/A</v>
      </c>
      <c r="I329" s="187" t="e">
        <f>INDIRECT(ADDRESS(451,MATCH(9000000000+307,451:451,1),1,,))</f>
        <v>#N/A</v>
      </c>
      <c r="J329" s="187" t="e">
        <f>INDIRECT(ADDRESS(230,MATCH(9000000000+307,230:230,1),1,,))</f>
        <v>#N/A</v>
      </c>
      <c r="K329" s="187" t="e">
        <f>INDIRECT(ADDRESS(378,MATCH(9000000000+307,378:378,1),1,,))</f>
        <v>#N/A</v>
      </c>
      <c r="L329" s="187" t="e">
        <f>INDIRECT(ADDRESS(475,MATCH(9000000000+307,475:475,1),1,,))</f>
        <v>#N/A</v>
      </c>
      <c r="M329" s="187" t="e">
        <f>INDIRECT(ADDRESS(254,MATCH(9000000000+307,254:254,1),1,,))</f>
        <v>#N/A</v>
      </c>
      <c r="N329" s="187" t="e">
        <f>INDIRECT(ADDRESS(402,MATCH(9000000000+307,402:402,1),1,,))</f>
        <v>#N/A</v>
      </c>
      <c r="O329" s="187" t="e">
        <f>INDIRECT(ADDRESS(278,MATCH(9000000000+307,278:278,1),1,,))</f>
        <v>#N/A</v>
      </c>
      <c r="P329" s="188" t="e">
        <f>INDIRECT(ADDRESS(302,MATCH(9000000000+307,302:302,1),1,,))</f>
        <v>#N/A</v>
      </c>
      <c r="Q329" s="217"/>
      <c r="S329" s="172"/>
      <c r="T329" s="172"/>
      <c r="U329" s="50"/>
      <c r="V329" s="50"/>
    </row>
    <row r="330" hidden="1" ht="12.75" customHeight="1">
      <c r="B330" s="185" t="s">
        <v>12</v>
      </c>
      <c r="C330" s="180" t="e">
        <f> INDEX($F$325:$S$345,6,$D$154)</f>
        <v>#N/A</v>
      </c>
      <c r="D330" s="181" t="e">
        <f t="shared" si="30" ca="1"/>
        <v>#N/A</v>
      </c>
      <c r="E330" s="126" t="s">
        <v>12</v>
      </c>
      <c r="F330" s="186" t="e">
        <f>INDIRECT(ADDRESS(184,MATCH(9000000000+307,184:184,1),1,,))</f>
        <v>#N/A</v>
      </c>
      <c r="G330" s="187" t="e">
        <f>INDIRECT(ADDRESS(207,MATCH(9000000000+307,207:207,1),1,,))</f>
        <v>#N/A</v>
      </c>
      <c r="H330" s="187" t="e">
        <f>INDIRECT(ADDRESS(355,MATCH(9000000000+307,355:355,1),1,,))</f>
        <v>#N/A</v>
      </c>
      <c r="I330" s="187" t="e">
        <f>INDIRECT(ADDRESS(452,MATCH(9000000000+307,452:452,1),1,,))</f>
        <v>#N/A</v>
      </c>
      <c r="J330" s="187" t="e">
        <f>INDIRECT(ADDRESS(231,MATCH(9000000000+307,231:231,1),1,,))</f>
        <v>#N/A</v>
      </c>
      <c r="K330" s="187" t="e">
        <f>INDIRECT(ADDRESS(379,MATCH(9000000000+307,379:379,1),1,,))</f>
        <v>#N/A</v>
      </c>
      <c r="L330" s="187" t="e">
        <f>INDIRECT(ADDRESS(476,MATCH(9000000000+307,476:476,1),1,,))</f>
        <v>#N/A</v>
      </c>
      <c r="M330" s="187" t="e">
        <f>INDIRECT(ADDRESS(255,MATCH(9000000000+307,255:255,1),1,,))</f>
        <v>#N/A</v>
      </c>
      <c r="N330" s="187" t="e">
        <f>INDIRECT(ADDRESS(403,MATCH(9000000000+307,403:403,1),1,,))</f>
        <v>#N/A</v>
      </c>
      <c r="O330" s="187" t="e">
        <f>INDIRECT(ADDRESS(279,MATCH(9000000000+307,279:279,1),1,,))</f>
        <v>#N/A</v>
      </c>
      <c r="P330" s="188" t="e">
        <f>INDIRECT(ADDRESS(303,MATCH(9000000000+307,303:303,1),1,,))</f>
        <v>#N/A</v>
      </c>
      <c r="Q330" s="217"/>
      <c r="S330" s="172"/>
      <c r="T330" s="172"/>
      <c r="U330" s="50"/>
      <c r="V330" s="50"/>
    </row>
    <row r="331" hidden="1" ht="12.75" customHeight="1">
      <c r="B331" s="185" t="s">
        <v>13</v>
      </c>
      <c r="C331" s="180" t="e">
        <f> INDEX($F$325:$S$345,7,D$154)</f>
        <v>#N/A</v>
      </c>
      <c r="D331" s="181" t="e">
        <f t="shared" si="30" ca="1"/>
        <v>#N/A</v>
      </c>
      <c r="E331" s="126" t="s">
        <v>13</v>
      </c>
      <c r="F331" s="186" t="e">
        <f>INDIRECT(ADDRESS(185,MATCH(9000000000+307,185:185,1),1,,))</f>
        <v>#N/A</v>
      </c>
      <c r="G331" s="187" t="e">
        <f>INDIRECT(ADDRESS(208,MATCH(9000000000+307,208:208,1),1,,))</f>
        <v>#N/A</v>
      </c>
      <c r="H331" s="187" t="e">
        <f>INDIRECT(ADDRESS(356,MATCH(9000000000+307,356:356,1),1,,))</f>
        <v>#N/A</v>
      </c>
      <c r="I331" s="187" t="e">
        <f>INDIRECT(ADDRESS(453,MATCH(9000000000+307,453:453,1),1,,))</f>
        <v>#N/A</v>
      </c>
      <c r="J331" s="187" t="e">
        <f>INDIRECT(ADDRESS(232,MATCH(9000000000+307,232:232,1),1,,))</f>
        <v>#N/A</v>
      </c>
      <c r="K331" s="187" t="e">
        <f>INDIRECT(ADDRESS(380,MATCH(9000000000+307,380:380,1),1,,))</f>
        <v>#N/A</v>
      </c>
      <c r="L331" s="187" t="e">
        <f>INDIRECT(ADDRESS(477,MATCH(9000000000+307,477:477,1),1,,))</f>
        <v>#N/A</v>
      </c>
      <c r="M331" s="187" t="e">
        <f>INDIRECT(ADDRESS(256,MATCH(9000000000+307,256:256,1),1,,))</f>
        <v>#N/A</v>
      </c>
      <c r="N331" s="187" t="e">
        <f>INDIRECT(ADDRESS(404,MATCH(9000000000+307,404:404,1),1,,))</f>
        <v>#N/A</v>
      </c>
      <c r="O331" s="187" t="e">
        <f>INDIRECT(ADDRESS(280,MATCH(9000000000+307,280:280,1),1,,))</f>
        <v>#N/A</v>
      </c>
      <c r="P331" s="188" t="e">
        <f>INDIRECT(ADDRESS(304,MATCH(9000000000+307,304:304,1),1,,))</f>
        <v>#N/A</v>
      </c>
      <c r="Q331" s="217"/>
      <c r="S331" s="172"/>
      <c r="T331" s="172"/>
      <c r="U331" s="50"/>
      <c r="V331" s="50"/>
    </row>
    <row r="332" hidden="1" ht="18.75" customHeight="1">
      <c r="B332" s="185" t="s">
        <v>109</v>
      </c>
      <c r="C332" s="180" t="e">
        <f> INDEX($F$325:$S$345,8,$D$154)</f>
        <v>#N/A</v>
      </c>
      <c r="D332" s="181" t="e">
        <f t="shared" si="30" ca="1"/>
        <v>#N/A</v>
      </c>
      <c r="E332" s="126" t="s">
        <v>309</v>
      </c>
      <c r="F332" s="186" t="e">
        <f>INDIRECT(ADDRESS(186,MATCH(9000000000+307,186:186,1),1,,))</f>
        <v>#N/A</v>
      </c>
      <c r="G332" s="187" t="e">
        <f>INDIRECT(ADDRESS(209,MATCH(9000000000+307,209:209,1),1,,))</f>
        <v>#N/A</v>
      </c>
      <c r="H332" s="187" t="e">
        <f>INDIRECT(ADDRESS(357,MATCH(9000000000+307,357:357,1),1,,))</f>
        <v>#N/A</v>
      </c>
      <c r="I332" s="187" t="e">
        <f>INDIRECT(ADDRESS(454,MATCH(9000000000+307,454:454,1),1,,))</f>
        <v>#N/A</v>
      </c>
      <c r="J332" s="187" t="e">
        <f>INDIRECT(ADDRESS(233,MATCH(9000000000+307,233:233,1),1,,))</f>
        <v>#N/A</v>
      </c>
      <c r="K332" s="187" t="e">
        <f>INDIRECT(ADDRESS(381,MATCH(9000000000+307,381:381,1),1,,))</f>
        <v>#N/A</v>
      </c>
      <c r="L332" s="187" t="e">
        <f>INDIRECT(ADDRESS(478,MATCH(9000000000+307,478:478,1),1,,))</f>
        <v>#N/A</v>
      </c>
      <c r="M332" s="187" t="e">
        <f>INDIRECT(ADDRESS(257,MATCH(9000000000+307,257:257,1),1,,))</f>
        <v>#N/A</v>
      </c>
      <c r="N332" s="187" t="e">
        <f>INDIRECT(ADDRESS(405,MATCH(9000000000+307,405:405,1),1,,))</f>
        <v>#N/A</v>
      </c>
      <c r="O332" s="187" t="e">
        <f>INDIRECT(ADDRESS(281,MATCH(9000000000+307,281:281,1),1,,))</f>
        <v>#N/A</v>
      </c>
      <c r="P332" s="188" t="e">
        <f>INDIRECT(ADDRESS(305,MATCH(9000000000+307,305:305,1),1,,))</f>
        <v>#N/A</v>
      </c>
      <c r="Q332" s="217"/>
      <c r="S332" s="172"/>
      <c r="T332" s="172"/>
      <c r="U332" s="50"/>
      <c r="V332" s="50"/>
    </row>
    <row r="333" hidden="1" ht="12.75" customHeight="1">
      <c r="B333" s="185" t="s">
        <v>110</v>
      </c>
      <c r="C333" s="180" t="e">
        <f> INDEX($F$325:$S$345,9,$D$154)</f>
        <v>#N/A</v>
      </c>
      <c r="D333" s="181" t="e">
        <f t="shared" si="30" ca="1"/>
        <v>#N/A</v>
      </c>
      <c r="E333" s="126" t="s">
        <v>110</v>
      </c>
      <c r="F333" s="186" t="e">
        <f>INDIRECT(ADDRESS(187,MATCH(9000000000+307,187:187,1),1,,))</f>
        <v>#N/A</v>
      </c>
      <c r="G333" s="187" t="e">
        <f>INDIRECT(ADDRESS(210,MATCH(9000000000+307,210:210,1),1,,))</f>
        <v>#N/A</v>
      </c>
      <c r="H333" s="187" t="e">
        <f>INDIRECT(ADDRESS(358,MATCH(9000000000+307,358:358,1),1,,))</f>
        <v>#N/A</v>
      </c>
      <c r="I333" s="187" t="e">
        <f>INDIRECT(ADDRESS(455,MATCH(9000000000+307,455:455,1),1,,))</f>
        <v>#N/A</v>
      </c>
      <c r="J333" s="187" t="e">
        <f>INDIRECT(ADDRESS(234,MATCH(9000000000+307,234:234,1),1,,))</f>
        <v>#N/A</v>
      </c>
      <c r="K333" s="187" t="e">
        <f>INDIRECT(ADDRESS(382,MATCH(9000000000+307,382:382,1),1,,))</f>
        <v>#N/A</v>
      </c>
      <c r="L333" s="187" t="e">
        <f>INDIRECT(ADDRESS(479,MATCH(9000000000+307,479:479,1),1,,))</f>
        <v>#N/A</v>
      </c>
      <c r="M333" s="187" t="e">
        <f>INDIRECT(ADDRESS(258,MATCH(9000000000+307,258:258,1),1,,))</f>
        <v>#N/A</v>
      </c>
      <c r="N333" s="187" t="e">
        <f>INDIRECT(ADDRESS(406,MATCH(9000000000+307,406:406,1),1,,))</f>
        <v>#N/A</v>
      </c>
      <c r="O333" s="187" t="e">
        <f>INDIRECT(ADDRESS(282,MATCH(9000000000+307,282:282,1),1,,))</f>
        <v>#N/A</v>
      </c>
      <c r="P333" s="188" t="e">
        <f>INDIRECT(ADDRESS(306,MATCH(9000000000+307,306:306,1),1,,))</f>
        <v>#N/A</v>
      </c>
      <c r="Q333" s="217"/>
      <c r="S333" s="172"/>
      <c r="T333" s="172"/>
      <c r="U333" s="50"/>
      <c r="V333" s="50"/>
    </row>
    <row r="334" hidden="1" ht="12.75" customHeight="1">
      <c r="B334" s="185" t="s">
        <v>16</v>
      </c>
      <c r="C334" s="180" t="e">
        <f> INDEX($F$325:$S$345,10,$D$154)</f>
        <v>#N/A</v>
      </c>
      <c r="D334" s="181" t="e">
        <f t="shared" si="30" ca="1"/>
        <v>#N/A</v>
      </c>
      <c r="E334" s="126" t="s">
        <v>16</v>
      </c>
      <c r="F334" s="186" t="e">
        <f>INDIRECT(ADDRESS(188,MATCH(9000000000+307,188:188,1),1,,))</f>
        <v>#N/A</v>
      </c>
      <c r="G334" s="187" t="e">
        <f>INDIRECT(ADDRESS(211,MATCH(9000000000+307,211:211,1),1,,))</f>
        <v>#N/A</v>
      </c>
      <c r="H334" s="187" t="e">
        <f>INDIRECT(ADDRESS(359,MATCH(9000000000+307,359:359,1),1,,))</f>
        <v>#N/A</v>
      </c>
      <c r="I334" s="187" t="e">
        <f>INDIRECT(ADDRESS(456,MATCH(9000000000+307,456:456,1),1,,))</f>
        <v>#N/A</v>
      </c>
      <c r="J334" s="187" t="e">
        <f>INDIRECT(ADDRESS(235,MATCH(9000000000+307,235:235,1),1,,))</f>
        <v>#N/A</v>
      </c>
      <c r="K334" s="187" t="e">
        <f>INDIRECT(ADDRESS(383,MATCH(9000000000+307,383:383,1),1,,))</f>
        <v>#N/A</v>
      </c>
      <c r="L334" s="187" t="e">
        <f>INDIRECT(ADDRESS(480,MATCH(9000000000+307,480:480,1),1,,))</f>
        <v>#N/A</v>
      </c>
      <c r="M334" s="187" t="e">
        <f>INDIRECT(ADDRESS(259,MATCH(9000000000+307,259:259,1),1,,))</f>
        <v>#N/A</v>
      </c>
      <c r="N334" s="187" t="e">
        <f>INDIRECT(ADDRESS(407,MATCH(9000000000+307,407:407,1),1,,))</f>
        <v>#N/A</v>
      </c>
      <c r="O334" s="187" t="e">
        <f>INDIRECT(ADDRESS(283,MATCH(9000000000+307,283:283,1),1,,))</f>
        <v>#N/A</v>
      </c>
      <c r="P334" s="188" t="e">
        <f>INDIRECT(ADDRESS(307,MATCH(9000000000+307,307:307,1),1,,))</f>
        <v>#N/A</v>
      </c>
      <c r="Q334" s="217"/>
      <c r="S334" s="172"/>
      <c r="T334" s="172"/>
      <c r="U334" s="50"/>
      <c r="V334" s="50"/>
    </row>
    <row r="335" hidden="1" ht="12.75" customHeight="1">
      <c r="B335" s="185" t="s">
        <v>17</v>
      </c>
      <c r="C335" s="180" t="e">
        <f> INDEX($F$325:$S$345,11,$D$154)</f>
        <v>#N/A</v>
      </c>
      <c r="D335" s="181" t="e">
        <f t="shared" si="30" ca="1"/>
        <v>#N/A</v>
      </c>
      <c r="E335" s="126" t="s">
        <v>17</v>
      </c>
      <c r="F335" s="186" t="e">
        <f>INDIRECT(ADDRESS(189,MATCH(9000000000+307,189:189,1),1,,))</f>
        <v>#N/A</v>
      </c>
      <c r="G335" s="187" t="e">
        <f>INDIRECT(ADDRESS(212,MATCH(9000000000+307,212:212,1),1,,))</f>
        <v>#N/A</v>
      </c>
      <c r="H335" s="187" t="e">
        <f>INDIRECT(ADDRESS(360,MATCH(9000000000+307,360:360,1),1,,))</f>
        <v>#N/A</v>
      </c>
      <c r="I335" s="187" t="e">
        <f>INDIRECT(ADDRESS(457,MATCH(9000000000+307,457:457,1),1,,))</f>
        <v>#N/A</v>
      </c>
      <c r="J335" s="187" t="e">
        <f>INDIRECT(ADDRESS(236,MATCH(9000000000+307,236:236,1),1,,))</f>
        <v>#N/A</v>
      </c>
      <c r="K335" s="187" t="e">
        <f>INDIRECT(ADDRESS(384,MATCH(9000000000+307,384:384,1),1,,))</f>
        <v>#N/A</v>
      </c>
      <c r="L335" s="187" t="e">
        <f>INDIRECT(ADDRESS(481,MATCH(9000000000+307,481:481,1),1,,))</f>
        <v>#N/A</v>
      </c>
      <c r="M335" s="187" t="e">
        <f>INDIRECT(ADDRESS(260,MATCH(9000000000+307,260:260,1),1,,))</f>
        <v>#N/A</v>
      </c>
      <c r="N335" s="187" t="e">
        <f>INDIRECT(ADDRESS(408,MATCH(9000000000+307,408:408,1),1,,))</f>
        <v>#N/A</v>
      </c>
      <c r="O335" s="187" t="e">
        <f>INDIRECT(ADDRESS(284,MATCH(9000000000+307,284:284,1),1,,))</f>
        <v>#N/A</v>
      </c>
      <c r="P335" s="188" t="e">
        <f>INDIRECT(ADDRESS(308,MATCH(9000000000+307,308:308,1),1,,))</f>
        <v>#N/A</v>
      </c>
      <c r="Q335" s="217"/>
      <c r="S335" s="172"/>
      <c r="T335" s="172"/>
      <c r="U335" s="50"/>
      <c r="V335" s="50"/>
    </row>
    <row r="336" hidden="1" ht="12.75" customHeight="1">
      <c r="B336" s="185" t="s">
        <v>18</v>
      </c>
      <c r="C336" s="180" t="e">
        <f> INDEX($F$325:$S$345,12,$D$154)</f>
        <v>#N/A</v>
      </c>
      <c r="D336" s="181" t="e">
        <f t="shared" si="30" ca="1"/>
        <v>#N/A</v>
      </c>
      <c r="E336" s="126" t="s">
        <v>18</v>
      </c>
      <c r="F336" s="186" t="e">
        <f>INDIRECT(ADDRESS(190,MATCH(9000000000+307,190:190,1),1,,))</f>
        <v>#N/A</v>
      </c>
      <c r="G336" s="187" t="e">
        <f>INDIRECT(ADDRESS(213,MATCH(9000000000+307,213:213,1),1,,))</f>
        <v>#N/A</v>
      </c>
      <c r="H336" s="187" t="e">
        <f>INDIRECT(ADDRESS(361,MATCH(9000000000+307,361:361,1),1,,))</f>
        <v>#N/A</v>
      </c>
      <c r="I336" s="187" t="e">
        <f>INDIRECT(ADDRESS(458,MATCH(9000000000+307,458:458,1),1,,))</f>
        <v>#N/A</v>
      </c>
      <c r="J336" s="187" t="e">
        <f>INDIRECT(ADDRESS(237,MATCH(9000000000+307,237:237,1),1,,))</f>
        <v>#N/A</v>
      </c>
      <c r="K336" s="187" t="e">
        <f>INDIRECT(ADDRESS(385,MATCH(9000000000+307,385:385,1),1,,))</f>
        <v>#N/A</v>
      </c>
      <c r="L336" s="187" t="e">
        <f>INDIRECT(ADDRESS(482,MATCH(9000000000+307,482:482,1),1,,))</f>
        <v>#N/A</v>
      </c>
      <c r="M336" s="187" t="e">
        <f>INDIRECT(ADDRESS(261,MATCH(9000000000+307,261:261,1),1,,))</f>
        <v>#N/A</v>
      </c>
      <c r="N336" s="187" t="e">
        <f>INDIRECT(ADDRESS(409,MATCH(9000000000+307,409:409,1),1,,))</f>
        <v>#N/A</v>
      </c>
      <c r="O336" s="187" t="e">
        <f>INDIRECT(ADDRESS(285,MATCH(9000000000+307,285:285,1),1,,))</f>
        <v>#N/A</v>
      </c>
      <c r="P336" s="188" t="e">
        <f>INDIRECT(ADDRESS(309,MATCH(9000000000+307,309:309,1),1,,))</f>
        <v>#N/A</v>
      </c>
      <c r="Q336" s="217"/>
      <c r="S336" s="172"/>
      <c r="T336" s="172"/>
      <c r="U336" s="50"/>
      <c r="V336" s="50"/>
    </row>
    <row r="337" hidden="1" ht="12.75" customHeight="1">
      <c r="B337" s="185" t="s">
        <v>19</v>
      </c>
      <c r="C337" s="180" t="e">
        <f> INDEX($F$325:$S$345,13,$D$154)</f>
        <v>#N/A</v>
      </c>
      <c r="D337" s="181" t="e">
        <f t="shared" si="30" ca="1"/>
        <v>#N/A</v>
      </c>
      <c r="E337" s="126" t="s">
        <v>19</v>
      </c>
      <c r="F337" s="186" t="e">
        <f>INDIRECT(ADDRESS(191,MATCH(9000000000+307,191:191,1),1,,))</f>
        <v>#N/A</v>
      </c>
      <c r="G337" s="187" t="e">
        <f>INDIRECT(ADDRESS(214,MATCH(9000000000+307,214:214,1),1,,))</f>
        <v>#N/A</v>
      </c>
      <c r="H337" s="187" t="e">
        <f>INDIRECT(ADDRESS(362,MATCH(9000000000+307,362:362,1),1,,))</f>
        <v>#N/A</v>
      </c>
      <c r="I337" s="187" t="e">
        <f>INDIRECT(ADDRESS(459,MATCH(9000000000+307,459:459,1),1,,))</f>
        <v>#N/A</v>
      </c>
      <c r="J337" s="187" t="e">
        <f>INDIRECT(ADDRESS(238,MATCH(9000000000+307,238:238,1),1,,))</f>
        <v>#N/A</v>
      </c>
      <c r="K337" s="187" t="e">
        <f>INDIRECT(ADDRESS(386,MATCH(9000000000+307,386:386,1),1,,))</f>
        <v>#N/A</v>
      </c>
      <c r="L337" s="187" t="e">
        <f>INDIRECT(ADDRESS(483,MATCH(9000000000+307,483:483,1),1,,))</f>
        <v>#N/A</v>
      </c>
      <c r="M337" s="187" t="e">
        <f>INDIRECT(ADDRESS(262,MATCH(9000000000+307,262:262,1),1,,))</f>
        <v>#N/A</v>
      </c>
      <c r="N337" s="187" t="e">
        <f>INDIRECT(ADDRESS(410,MATCH(9000000000+307,410:410,1),1,,))</f>
        <v>#N/A</v>
      </c>
      <c r="O337" s="187" t="e">
        <f>INDIRECT(ADDRESS(286,MATCH(9000000000+307,286:286,1),1,,))</f>
        <v>#N/A</v>
      </c>
      <c r="P337" s="188" t="e">
        <f>INDIRECT(ADDRESS(310,MATCH(9000000000+307,310:310,1),1,,))</f>
        <v>#N/A</v>
      </c>
      <c r="Q337" s="217"/>
      <c r="S337" s="172"/>
      <c r="T337" s="172"/>
      <c r="U337" s="50"/>
      <c r="V337" s="50"/>
    </row>
    <row r="338" hidden="1" ht="12.75" customHeight="1">
      <c r="B338" s="185" t="s">
        <v>20</v>
      </c>
      <c r="C338" s="180" t="e">
        <f> INDEX($F$325:$S$345,14,$D$154)</f>
        <v>#N/A</v>
      </c>
      <c r="D338" s="181" t="e">
        <f t="shared" si="30" ca="1"/>
        <v>#N/A</v>
      </c>
      <c r="E338" s="126" t="s">
        <v>20</v>
      </c>
      <c r="F338" s="186" t="e">
        <f>INDIRECT(ADDRESS(192,MATCH(9000000000+307,192:192,1),1,,))</f>
        <v>#N/A</v>
      </c>
      <c r="G338" s="187" t="e">
        <f>INDIRECT(ADDRESS(215,MATCH(9000000000+307,215:215,1),1,,))</f>
        <v>#N/A</v>
      </c>
      <c r="H338" s="187" t="e">
        <f>INDIRECT(ADDRESS(363,MATCH(9000000000+307,363:363,1),1,,))</f>
        <v>#N/A</v>
      </c>
      <c r="I338" s="187" t="e">
        <f>INDIRECT(ADDRESS(460,MATCH(9000000000+307,460:460,1),1,,))</f>
        <v>#N/A</v>
      </c>
      <c r="J338" s="187" t="e">
        <f>INDIRECT(ADDRESS(239,MATCH(9000000000+307,239:239,1),1,,))</f>
        <v>#N/A</v>
      </c>
      <c r="K338" s="187" t="e">
        <f>INDIRECT(ADDRESS(387,MATCH(9000000000+307,387:387,1),1,,))</f>
        <v>#N/A</v>
      </c>
      <c r="L338" s="187" t="e">
        <f>INDIRECT(ADDRESS(484,MATCH(9000000000+307,484:484,1),1,,))</f>
        <v>#N/A</v>
      </c>
      <c r="M338" s="187" t="e">
        <f>INDIRECT(ADDRESS(263,MATCH(9000000000+307,263:263,1),1,,))</f>
        <v>#N/A</v>
      </c>
      <c r="N338" s="187" t="e">
        <f>INDIRECT(ADDRESS(411,MATCH(9000000000+307,411:411,1),1,,))</f>
        <v>#N/A</v>
      </c>
      <c r="O338" s="187" t="e">
        <f>INDIRECT(ADDRESS(287,MATCH(9000000000+307,287:287,1),1,,))</f>
        <v>#N/A</v>
      </c>
      <c r="P338" s="188" t="e">
        <f>INDIRECT(ADDRESS(311,MATCH(9000000000+307,311:311,1),1,,))</f>
        <v>#N/A</v>
      </c>
      <c r="Q338" s="217"/>
      <c r="S338" s="172"/>
      <c r="T338" s="172"/>
      <c r="U338" s="50"/>
      <c r="V338" s="50"/>
    </row>
    <row r="339" hidden="1" ht="12.75" customHeight="1">
      <c r="B339" s="185" t="s">
        <v>21</v>
      </c>
      <c r="C339" s="180" t="e">
        <f> INDEX($F$325:$S$345,15,$D$154)</f>
        <v>#N/A</v>
      </c>
      <c r="D339" s="181" t="e">
        <f t="shared" si="30" ca="1"/>
        <v>#N/A</v>
      </c>
      <c r="E339" s="126" t="s">
        <v>21</v>
      </c>
      <c r="F339" s="186" t="e">
        <f>INDIRECT(ADDRESS(193,MATCH(9000000000+307,193:193,1),1,,))</f>
        <v>#N/A</v>
      </c>
      <c r="G339" s="187" t="e">
        <f>INDIRECT(ADDRESS(216,MATCH(9000000000+307,216:216,1),1,,))</f>
        <v>#N/A</v>
      </c>
      <c r="H339" s="187" t="e">
        <f>INDIRECT(ADDRESS(364,MATCH(9000000000+307,364:364,1),1,,))</f>
        <v>#N/A</v>
      </c>
      <c r="I339" s="187" t="e">
        <f>INDIRECT(ADDRESS(461,MATCH(9000000000+307,461:461,1),1,,))</f>
        <v>#N/A</v>
      </c>
      <c r="J339" s="187" t="e">
        <f>INDIRECT(ADDRESS(240,MATCH(9000000000+307,240:240,1),1,,))</f>
        <v>#N/A</v>
      </c>
      <c r="K339" s="187" t="e">
        <f>INDIRECT(ADDRESS(388,MATCH(9000000000+307,388:388,1),1,,))</f>
        <v>#N/A</v>
      </c>
      <c r="L339" s="187" t="e">
        <f>INDIRECT(ADDRESS(485,MATCH(9000000000+307,485:485,1),1,,))</f>
        <v>#N/A</v>
      </c>
      <c r="M339" s="187" t="e">
        <f>INDIRECT(ADDRESS(264,MATCH(9000000000+307,264:264,1),1,,))</f>
        <v>#N/A</v>
      </c>
      <c r="N339" s="187" t="e">
        <f>INDIRECT(ADDRESS(412,MATCH(9000000000+307,412:412,1),1,,))</f>
        <v>#N/A</v>
      </c>
      <c r="O339" s="187" t="e">
        <f>INDIRECT(ADDRESS(288,MATCH(9000000000+307,288:288,1),1,,))</f>
        <v>#N/A</v>
      </c>
      <c r="P339" s="188" t="e">
        <f>INDIRECT(ADDRESS(312,MATCH(9000000000+307,312:312,1),1,,))</f>
        <v>#N/A</v>
      </c>
      <c r="Q339" s="217"/>
      <c r="S339" s="172"/>
      <c r="T339" s="172"/>
      <c r="U339" s="50"/>
      <c r="V339" s="50"/>
    </row>
    <row r="340" hidden="1" ht="12.75" customHeight="1">
      <c r="B340" s="185" t="s">
        <v>22</v>
      </c>
      <c r="C340" s="180" t="e">
        <f> INDEX($F$325:$S$345,16,$D$154)</f>
        <v>#N/A</v>
      </c>
      <c r="D340" s="181" t="e">
        <f t="shared" si="30" ca="1"/>
        <v>#N/A</v>
      </c>
      <c r="E340" s="126" t="s">
        <v>22</v>
      </c>
      <c r="F340" s="186" t="e">
        <f>INDIRECT(ADDRESS(194,MATCH(9000000000+307,194:194,1),1,,))</f>
        <v>#N/A</v>
      </c>
      <c r="G340" s="187" t="e">
        <f>INDIRECT(ADDRESS(217,MATCH(9000000000+307,217:217,1),1,,))</f>
        <v>#N/A</v>
      </c>
      <c r="H340" s="187" t="e">
        <f>INDIRECT(ADDRESS(365,MATCH(9000000000+307,365:365,1),1,,))</f>
        <v>#N/A</v>
      </c>
      <c r="I340" s="187" t="e">
        <f>INDIRECT(ADDRESS(462,MATCH(9000000000+307,462:462,1),1,,))</f>
        <v>#N/A</v>
      </c>
      <c r="J340" s="187" t="e">
        <f>INDIRECT(ADDRESS(241,MATCH(9000000000+307,241:241,1),1,,))</f>
        <v>#N/A</v>
      </c>
      <c r="K340" s="187" t="e">
        <f>INDIRECT(ADDRESS(389,MATCH(9000000000+307,389:389,1),1,,))</f>
        <v>#N/A</v>
      </c>
      <c r="L340" s="187" t="e">
        <f>INDIRECT(ADDRESS(486,MATCH(9000000000+307,486:486,1),1,,))</f>
        <v>#N/A</v>
      </c>
      <c r="M340" s="187" t="e">
        <f>INDIRECT(ADDRESS(265,MATCH(9000000000+307,265:265,1),1,,))</f>
        <v>#N/A</v>
      </c>
      <c r="N340" s="187" t="e">
        <f>INDIRECT(ADDRESS(413,MATCH(9000000000+307,413:413,1),1,,))</f>
        <v>#N/A</v>
      </c>
      <c r="O340" s="187" t="e">
        <f>INDIRECT(ADDRESS(289,MATCH(9000000000+307,289:289,1),1,,))</f>
        <v>#N/A</v>
      </c>
      <c r="P340" s="188" t="e">
        <f>INDIRECT(ADDRESS(313,MATCH(9000000000+307,313:313,1),1,,))</f>
        <v>#N/A</v>
      </c>
      <c r="Q340" s="217"/>
      <c r="S340" s="172"/>
      <c r="T340" s="172"/>
      <c r="U340" s="50"/>
      <c r="V340" s="50"/>
    </row>
    <row r="341" hidden="1" ht="12.75" customHeight="1">
      <c r="B341" s="185" t="s">
        <v>23</v>
      </c>
      <c r="C341" s="180" t="e">
        <f> INDEX($F$325:$S$345,17,$D$154)</f>
        <v>#N/A</v>
      </c>
      <c r="D341" s="181" t="e">
        <f t="shared" si="30" ca="1"/>
        <v>#N/A</v>
      </c>
      <c r="E341" s="126" t="s">
        <v>23</v>
      </c>
      <c r="F341" s="186" t="e">
        <f>INDIRECT(ADDRESS(195,MATCH(9000000000+307,195:195,1),1,,))</f>
        <v>#N/A</v>
      </c>
      <c r="G341" s="187" t="e">
        <f>INDIRECT(ADDRESS(218,MATCH(9000000000+307,218:218,1),1,,))</f>
        <v>#N/A</v>
      </c>
      <c r="H341" s="187" t="e">
        <f>INDIRECT(ADDRESS(366,MATCH(9000000000+307,366:366,1),1,,))</f>
        <v>#N/A</v>
      </c>
      <c r="I341" s="187" t="e">
        <f>INDIRECT(ADDRESS(463,MATCH(9000000000+307,463:463,1),1,,))</f>
        <v>#N/A</v>
      </c>
      <c r="J341" s="187" t="e">
        <f>INDIRECT(ADDRESS(242,MATCH(9000000000+307,242:242,1),1,,))</f>
        <v>#N/A</v>
      </c>
      <c r="K341" s="187" t="e">
        <f>INDIRECT(ADDRESS(390,MATCH(9000000000+307,390:390,1),1,,))</f>
        <v>#N/A</v>
      </c>
      <c r="L341" s="187" t="e">
        <f>INDIRECT(ADDRESS(487,MATCH(9000000000+307,487:487,1),1,,))</f>
        <v>#N/A</v>
      </c>
      <c r="M341" s="187" t="e">
        <f>INDIRECT(ADDRESS(266,MATCH(9000000000+307,266:266,1),1,,))</f>
        <v>#N/A</v>
      </c>
      <c r="N341" s="187" t="e">
        <f>INDIRECT(ADDRESS(414,MATCH(9000000000+307,414:414,1),1,,))</f>
        <v>#N/A</v>
      </c>
      <c r="O341" s="187" t="e">
        <f>INDIRECT(ADDRESS(290,MATCH(9000000000+307,290:290,1),1,,))</f>
        <v>#N/A</v>
      </c>
      <c r="P341" s="188" t="e">
        <f>INDIRECT(ADDRESS(314,MATCH(9000000000+307,314:314,1),1,,))</f>
        <v>#N/A</v>
      </c>
      <c r="Q341" s="217"/>
      <c r="S341" s="172"/>
      <c r="T341" s="172"/>
      <c r="U341" s="50"/>
      <c r="V341" s="50"/>
    </row>
    <row r="342" hidden="1" ht="12.75" customHeight="1">
      <c r="B342" s="185" t="s">
        <v>24</v>
      </c>
      <c r="C342" s="180" t="e">
        <f> INDEX($F$325:$S$345,18,$D$154)</f>
        <v>#N/A</v>
      </c>
      <c r="D342" s="181" t="e">
        <f t="shared" si="30" ca="1"/>
        <v>#N/A</v>
      </c>
      <c r="E342" s="126" t="s">
        <v>24</v>
      </c>
      <c r="F342" s="186" t="e">
        <f>INDIRECT(ADDRESS(196,MATCH(9000000000+307,196:196,1),1,,))</f>
        <v>#N/A</v>
      </c>
      <c r="G342" s="187" t="e">
        <f>INDIRECT(ADDRESS(219,MATCH(9000000000+307,219:219,1),1,,))</f>
        <v>#N/A</v>
      </c>
      <c r="H342" s="187" t="e">
        <f>INDIRECT(ADDRESS(367,MATCH(9000000000+307,367:367,1),1,,))</f>
        <v>#N/A</v>
      </c>
      <c r="I342" s="187" t="e">
        <f>INDIRECT(ADDRESS(464,MATCH(9000000000+307,464:464,1),1,,))</f>
        <v>#N/A</v>
      </c>
      <c r="J342" s="187" t="e">
        <f>INDIRECT(ADDRESS(243,MATCH(9000000000+307,243:243,1),1,,))</f>
        <v>#N/A</v>
      </c>
      <c r="K342" s="187" t="e">
        <f>INDIRECT(ADDRESS(391,MATCH(9000000000+307,391:391,1),1,,))</f>
        <v>#N/A</v>
      </c>
      <c r="L342" s="187" t="e">
        <f>INDIRECT(ADDRESS(488,MATCH(9000000000+307,488:488,1),1,,))</f>
        <v>#N/A</v>
      </c>
      <c r="M342" s="187" t="e">
        <f>INDIRECT(ADDRESS(267,MATCH(9000000000+307,267:267,1),1,,))</f>
        <v>#N/A</v>
      </c>
      <c r="N342" s="187" t="e">
        <f>INDIRECT(ADDRESS(415,MATCH(9000000000+307,415:415,1),1,,))</f>
        <v>#N/A</v>
      </c>
      <c r="O342" s="187" t="e">
        <f>INDIRECT(ADDRESS(291,MATCH(9000000000+307,291:291,1),1,,))</f>
        <v>#N/A</v>
      </c>
      <c r="P342" s="188" t="e">
        <f>INDIRECT(ADDRESS(315,MATCH(9000000000+307,315:315,1),1,,))</f>
        <v>#N/A</v>
      </c>
      <c r="Q342" s="217"/>
      <c r="S342" s="172"/>
      <c r="T342" s="172"/>
      <c r="U342" s="50"/>
      <c r="V342" s="50"/>
    </row>
    <row r="343" hidden="1" ht="12.75" customHeight="1">
      <c r="B343" s="185" t="s">
        <v>25</v>
      </c>
      <c r="C343" s="180">
        <v>0</v>
      </c>
      <c r="D343" s="181" t="e">
        <f>IF(COUNTBLANK(C343)=1,0,C343/$C$345)</f>
        <v>#N/A</v>
      </c>
      <c r="E343" s="126" t="s">
        <v>25</v>
      </c>
      <c r="F343" s="186" t="e">
        <f>INDIRECT(ADDRESS(197,MATCH(9000000000+307,197:197,1),1,,))</f>
        <v>#N/A</v>
      </c>
      <c r="G343" s="187" t="e">
        <f>INDIRECT(ADDRESS(220,MATCH(9000000000+307,220:220,1),1,,))</f>
        <v>#N/A</v>
      </c>
      <c r="H343" s="187" t="e">
        <f>INDIRECT(ADDRESS(368,MATCH(9000000000+307,368:368,1),1,,))</f>
        <v>#N/A</v>
      </c>
      <c r="I343" s="187" t="e">
        <f>INDIRECT(ADDRESS(465,MATCH(9000000000+307,465:465,1),1,,))</f>
        <v>#N/A</v>
      </c>
      <c r="J343" s="187" t="e">
        <f>INDIRECT(ADDRESS(244,MATCH(9000000000+307,244:244,1),1,,))</f>
        <v>#N/A</v>
      </c>
      <c r="K343" s="187" t="e">
        <f>INDIRECT(ADDRESS(392,MATCH(9000000000+307,392:392,1),1,,))</f>
        <v>#N/A</v>
      </c>
      <c r="L343" s="187" t="e">
        <f>INDIRECT(ADDRESS(489,MATCH(9000000000+307,489:489,1),1,,))</f>
        <v>#N/A</v>
      </c>
      <c r="M343" s="187" t="e">
        <f>INDIRECT(ADDRESS(268,MATCH(9000000000+307,268:268,1),1,,))</f>
        <v>#N/A</v>
      </c>
      <c r="N343" s="187" t="e">
        <f>INDIRECT(ADDRESS(416,MATCH(9000000000+307,416:416,1),1,,))</f>
        <v>#N/A</v>
      </c>
      <c r="O343" s="187" t="e">
        <f>INDIRECT(ADDRESS(292,MATCH(9000000000+307,292:292,1),1,,))</f>
        <v>#N/A</v>
      </c>
      <c r="P343" s="188" t="e">
        <f>INDIRECT(ADDRESS(316,MATCH(9000000000+307,316:316,1),1,,))</f>
        <v>#N/A</v>
      </c>
      <c r="Q343" s="217"/>
      <c r="S343" s="172"/>
      <c r="T343" s="172"/>
      <c r="U343" s="50"/>
      <c r="V343" s="50"/>
    </row>
    <row r="344" hidden="1" ht="13.5" customHeight="1">
      <c r="B344" s="189" t="s">
        <v>26</v>
      </c>
      <c r="C344" s="190">
        <v>0</v>
      </c>
      <c r="D344" s="181" t="e">
        <f>IF(COUNTBLANK(C344)=1,0,C344/$C$345)</f>
        <v>#N/A</v>
      </c>
      <c r="E344" s="139" t="s">
        <v>26</v>
      </c>
      <c r="F344" s="186" t="e">
        <f>INDIRECT(ADDRESS(198,MATCH(9000000000+307,198:198,1),1,,))</f>
        <v>#N/A</v>
      </c>
      <c r="G344" s="187" t="e">
        <f>INDIRECT(ADDRESS(221,MATCH(9000000000+307,221:221,1),1,,))</f>
        <v>#N/A</v>
      </c>
      <c r="H344" s="187" t="e">
        <f>INDIRECT(ADDRESS(369,MATCH(9000000000+307,369:369,1),1,,))</f>
        <v>#N/A</v>
      </c>
      <c r="I344" s="187" t="e">
        <f>INDIRECT(ADDRESS(466,MATCH(9000000000+307,466:466,1),1,,))</f>
        <v>#N/A</v>
      </c>
      <c r="J344" s="187" t="e">
        <f>INDIRECT(ADDRESS(245,MATCH(9000000000+307,245:245,1),1,,))</f>
        <v>#N/A</v>
      </c>
      <c r="K344" s="187" t="e">
        <f>INDIRECT(ADDRESS(393,MATCH(9000000000+307,393:393,1),1,,))</f>
        <v>#N/A</v>
      </c>
      <c r="L344" s="187" t="e">
        <f>INDIRECT(ADDRESS(490,MATCH(9000000000+307,490:490,1),1,,))</f>
        <v>#N/A</v>
      </c>
      <c r="M344" s="187" t="e">
        <f>INDIRECT(ADDRESS(269,MATCH(9000000000+307,269:269,1),1,,))</f>
        <v>#N/A</v>
      </c>
      <c r="N344" s="187" t="e">
        <f>INDIRECT(ADDRESS(417,MATCH(9000000000+307,417:417,1),1,,))</f>
        <v>#N/A</v>
      </c>
      <c r="O344" s="187" t="e">
        <f>INDIRECT(ADDRESS(293,MATCH(9000000000+307,293:293,1),1,,))</f>
        <v>#N/A</v>
      </c>
      <c r="P344" s="188" t="e">
        <f>INDIRECT(ADDRESS(317,MATCH(9000000000+307,317:317,1),1,,))</f>
        <v>#N/A</v>
      </c>
      <c r="Q344" s="217"/>
      <c r="S344" s="172"/>
      <c r="T344" s="172"/>
      <c r="U344" s="50"/>
      <c r="V344" s="50"/>
    </row>
    <row r="345" hidden="1" ht="13.5" customHeight="1" s="196" customFormat="1">
      <c r="B345" s="191" t="s">
        <v>7</v>
      </c>
      <c r="C345" s="192" t="e">
        <f> INDEX($F$325:$S$345,21,$D$154)</f>
        <v>#N/A</v>
      </c>
      <c r="D345" s="181" t="e">
        <f t="shared" si="30" ca="1"/>
        <v>#N/A</v>
      </c>
      <c r="E345" s="140" t="s">
        <v>310</v>
      </c>
      <c r="F345" s="193" t="e">
        <f>SUM(F326:F344)</f>
        <v>#N/A</v>
      </c>
      <c r="G345" s="194" t="e">
        <f ref="G345:P345" t="shared" si="31" ca="1">SUM(G326:G344)</f>
        <v>#N/A</v>
      </c>
      <c r="H345" s="194" t="e">
        <f t="shared" si="31" ca="1"/>
        <v>#N/A</v>
      </c>
      <c r="I345" s="194" t="e">
        <f t="shared" si="31" ca="1"/>
        <v>#N/A</v>
      </c>
      <c r="J345" s="194" t="e">
        <f t="shared" si="31" ca="1"/>
        <v>#N/A</v>
      </c>
      <c r="K345" s="194" t="e">
        <f t="shared" si="31" ca="1"/>
        <v>#N/A</v>
      </c>
      <c r="L345" s="194" t="e">
        <f t="shared" si="31" ca="1"/>
        <v>#N/A</v>
      </c>
      <c r="M345" s="194" t="e">
        <f t="shared" si="31" ca="1"/>
        <v>#N/A</v>
      </c>
      <c r="N345" s="194" t="e">
        <f t="shared" si="31" ca="1"/>
        <v>#N/A</v>
      </c>
      <c r="O345" s="194" t="e">
        <f t="shared" si="31" ca="1"/>
        <v>#N/A</v>
      </c>
      <c r="P345" s="195" t="e">
        <f t="shared" si="31" ca="1"/>
        <v>#N/A</v>
      </c>
      <c r="S345" s="173"/>
      <c r="T345" s="173"/>
      <c r="U345" s="197"/>
      <c r="V345" s="197"/>
    </row>
    <row r="346" hidden="1" ht="12.75" customHeight="1">
      <c r="F346" s="98"/>
      <c r="S346" s="50"/>
      <c r="U346" s="50"/>
      <c r="V346" s="50"/>
    </row>
    <row r="347" hidden="1" ht="12.75" customHeight="1">
      <c r="S347" s="50"/>
      <c r="U347" s="50"/>
      <c r="V347" s="50"/>
    </row>
    <row r="348" hidden="1" ht="13.5" customHeight="1"/>
    <row r="349" hidden="1" ht="13.5" customHeight="1">
      <c r="C349" s="617" t="s">
        <v>311</v>
      </c>
      <c r="D349" s="618"/>
      <c r="E349" s="618"/>
      <c r="F349" s="618"/>
      <c r="G349" s="618"/>
      <c r="H349" s="618"/>
      <c r="I349" s="618"/>
      <c r="J349" s="618"/>
      <c r="K349" s="618"/>
      <c r="L349" s="618"/>
      <c r="M349" s="618"/>
      <c r="N349" s="618"/>
      <c r="O349" s="618"/>
      <c r="P349" s="618"/>
      <c r="Q349" s="618"/>
      <c r="R349" s="618"/>
      <c r="S349" s="618"/>
      <c r="T349" s="618"/>
      <c r="U349" s="618"/>
      <c r="V349" s="618"/>
      <c r="W349" s="618"/>
      <c r="X349" s="618"/>
      <c r="Y349" s="618"/>
      <c r="Z349" s="618"/>
      <c r="AA349" s="618"/>
      <c r="AB349" s="619"/>
    </row>
    <row r="350" hidden="1" ht="13.5" customHeight="1">
      <c r="C350" s="435" t="str">
        <f> IF(C370&lt;&gt;"",TEXT(AUX!G$1,"dd-MMM-aa"),"")</f>
      </c>
      <c r="D350" s="435" t="str">
        <f> IF(D370&lt;&gt;"",TEXT(AUX!H$1,"dd-MMM-aa"),"")</f>
      </c>
      <c r="E350" s="435" t="str">
        <f> IF(E370&lt;&gt;"",TEXT(AUX!I$1,"dd-MMM-aa"),"")</f>
      </c>
      <c r="F350" s="435" t="str">
        <f> IF(F370&lt;&gt;"",TEXT(AUX!J$1,"dd-MMM-aa"),"")</f>
      </c>
      <c r="G350" s="435" t="str">
        <f> IF(G370&lt;&gt;"",TEXT(AUX!K$1,"dd-MMM-aa"),"")</f>
      </c>
      <c r="H350" s="435" t="str">
        <f> IF(H370&lt;&gt;"",TEXT(AUX!L$1,"dd-MMM-aa"),"")</f>
      </c>
      <c r="I350" s="435" t="str">
        <f> IF(I370&lt;&gt;"",TEXT(AUX!M$1,"dd-MMM-aa"),"")</f>
      </c>
      <c r="J350" s="435" t="str">
        <f> IF(J370&lt;&gt;"",TEXT(AUX!N$1,"dd-MMM-aa"),"")</f>
      </c>
      <c r="K350" s="435" t="str">
        <f> IF(K370&lt;&gt;"",TEXT(AUX!O$1,"dd-MMM-aa"),"")</f>
      </c>
      <c r="L350" s="435" t="str">
        <f> IF(L370&lt;&gt;"",TEXT(AUX!P$1,"dd-MMM-aa"),"")</f>
      </c>
      <c r="M350" s="435" t="str">
        <f> IF(M370&lt;&gt;"",TEXT(AUX!Q$1,"dd-MMM-aa"),"")</f>
      </c>
      <c r="N350" s="435" t="str">
        <f> IF(N370&lt;&gt;"",TEXT(AUX!R$1,"dd-MMM-aa"),"")</f>
      </c>
      <c r="O350" s="435" t="str">
        <f> IF(O370&lt;&gt;"",TEXT(AUX!S$1,"dd-MMM-aa"),"")</f>
      </c>
      <c r="P350" s="435" t="str">
        <f> IF(P370&lt;&gt;"",TEXT(AUX!T$1,"dd-MMM-aa"),"")</f>
      </c>
      <c r="Q350" s="435" t="str">
        <f> IF(Q370&lt;&gt;"",TEXT(AUX!U$1,"dd-MMM-aa"),"")</f>
      </c>
      <c r="R350" s="435" t="str">
        <f> IF(R370&lt;&gt;"",TEXT(AUX!V$1,"dd-MMM-aa"),"")</f>
      </c>
      <c r="S350" s="435" t="str">
        <f> IF(S370&lt;&gt;"",TEXT(AUX!W$1,"dd-MMM-aa"),"")</f>
      </c>
      <c r="T350" s="435" t="str">
        <f> IF(T370&lt;&gt;"",TEXT(AUX!X$1,"dd-MMM-aa"),"")</f>
      </c>
      <c r="U350" s="435" t="str">
        <f> IF(U370&lt;&gt;"",TEXT(AUX!Y$1,"dd-MMM-aa"),"")</f>
      </c>
      <c r="V350" s="435" t="str">
        <f> IF(V370&lt;&gt;"",TEXT(AUX!Z$1,"dd-MMM-aa"),"")</f>
      </c>
      <c r="W350" s="435" t="str">
        <f> IF(W370&lt;&gt;"",TEXT(AUX!AA$1,"dd-MMM-aa"),"")</f>
      </c>
      <c r="X350" s="435" t="str">
        <f> IF(X370&lt;&gt;"",TEXT(AUX!AB$1,"dd-MMM-aa"),"")</f>
      </c>
      <c r="Y350" s="435" t="str">
        <f> IF(Y370&lt;&gt;"",TEXT(AUX!AC$1,"dd-MMM-aa"),"")</f>
      </c>
      <c r="Z350" s="435" t="str">
        <f> IF(Z370&lt;&gt;"",TEXT(AUX!AD$1,"dd-MMM-aa"),"")</f>
      </c>
      <c r="AA350" s="435" t="str">
        <f> IF(AA370&lt;&gt;"",TEXT(AUX!AE$1,"dd-MMM-aa"),"")</f>
      </c>
      <c r="AB350" s="497" t="str">
        <f> IF(AB370&lt;&gt;"",TEXT(AUX!AF$1,"dd-MMM-aa"),"")</f>
      </c>
      <c r="AC350" s="496" t="str">
        <f> IF(AC370&lt;&gt;"",TEXT(AUX!AG$1,"dd-MMM-aa"),"")</f>
      </c>
      <c r="AD350" s="496" t="str">
        <f> IF(AD370&lt;&gt;"",TEXT(AUX!AH$1,"dd-MMM-aa"),"")</f>
      </c>
      <c r="AE350" s="496" t="str">
        <f> IF(AE370&lt;&gt;"",TEXT(AUX!AI$1,"dd-MMM-aa"),"")</f>
      </c>
      <c r="AF350" s="496" t="str">
        <f> IF(AF370&lt;&gt;"",TEXT(AUX!AJ$1,"dd-MMM-aa"),"")</f>
      </c>
      <c r="AG350" s="496" t="str">
        <f> IF(AG370&lt;&gt;"",TEXT(AUX!AK$1,"dd-MMM-aa"),"")</f>
      </c>
      <c r="AH350" s="496" t="str">
        <f> IF(AH370&lt;&gt;"",TEXT(AUX!AL$1,"dd-MMM-aa"),"")</f>
      </c>
      <c r="AI350" s="496" t="str">
        <f> IF(AI370&lt;&gt;"",TEXT(AUX!AM$1,"dd-MMM-aa"),"")</f>
      </c>
      <c r="AJ350" s="496" t="str">
        <f> IF(AJ370&lt;&gt;"",TEXT(AUX!AN$1,"dd-MMM-aa"),"")</f>
      </c>
      <c r="AK350" s="496" t="str">
        <f> IF(AK370&lt;&gt;"",TEXT(AUX!AO$1,"dd-MMM-aa"),"")</f>
      </c>
      <c r="AL350" s="496" t="str">
        <f> IF(AL370&lt;&gt;"",TEXT(AUX!AP$1,"dd-MMM-aa"),"")</f>
      </c>
      <c r="AM350" s="496" t="str">
        <f> IF(AM370&lt;&gt;"",TEXT(AUX!AQ$1,"dd-MMM-aa"),"")</f>
      </c>
      <c r="AN350" s="496" t="str">
        <f> IF(AN370&lt;&gt;"",TEXT(AUX!AR$1,"dd-MMM-aa"),"")</f>
      </c>
      <c r="AO350" s="496" t="str">
        <f> IF(AO370&lt;&gt;"",TEXT(AUX!AS$1,"dd-MMM-aa"),"")</f>
      </c>
      <c r="AP350" s="496" t="str">
        <f> IF(AP370&lt;&gt;"",TEXT(AUX!AT$1,"dd-MMM-aa"),"")</f>
      </c>
      <c r="AQ350" s="496" t="str">
        <f> IF(AQ370&lt;&gt;"",TEXT(AUX!AU$1,"dd-MMM-aa"),"")</f>
      </c>
      <c r="AR350" s="496" t="str">
        <f> IF(AR370&lt;&gt;"",TEXT(AUX!AV$1,"dd-MMM-aa"),"")</f>
      </c>
      <c r="AS350" s="496" t="str">
        <f> IF(AS370&lt;&gt;"",TEXT(AUX!AW$1,"dd-MMM-aa"),"")</f>
      </c>
      <c r="AT350" s="496" t="str">
        <f> IF(AT370&lt;&gt;"",TEXT(AUX!AX$1,"dd-MMM-aa"),"")</f>
      </c>
      <c r="AU350" s="496" t="str">
        <f> IF(AU370&lt;&gt;"",TEXT(AUX!AY$1,"dd-MMM-aa"),"")</f>
      </c>
      <c r="AV350" s="496" t="str">
        <f> IF(AV370&lt;&gt;"",TEXT(AUX!AZ$1,"dd-MMM-aa"),"")</f>
      </c>
      <c r="AW350" s="496" t="str">
        <f> IF(AW370&lt;&gt;"",TEXT(AUX!BA$1,"dd-MMM-aa"),"")</f>
      </c>
      <c r="AX350" s="496" t="str">
        <f> IF(AX370&lt;&gt;"",TEXT(AUX!BB$1,"dd-MMM-aa"),"")</f>
      </c>
      <c r="AY350" s="496" t="str">
        <f> IF(AY370&lt;&gt;"",TEXT(AUX!BC$1,"dd-MMM-aa"),"")</f>
      </c>
      <c r="AZ350" s="496" t="str">
        <f> IF(AZ370&lt;&gt;"",TEXT(AUX!BD$1,"dd-MMM-aa"),"")</f>
      </c>
      <c r="BA350" s="496" t="str">
        <f> IF(BA370&lt;&gt;"",TEXT(AUX!BE$1,"dd-MMM-aa"),"")</f>
      </c>
      <c r="BB350" s="496" t="str">
        <f> IF(BB370&lt;&gt;"",TEXT(AUX!BF$1,"dd-MMM-aa"),"")</f>
      </c>
      <c r="BC350" s="496" t="str">
        <f> IF(BC370&lt;&gt;"",TEXT(AUX!BG$1,"dd-MMM-aa"),"")</f>
      </c>
      <c r="BD350" s="496" t="str">
        <f> IF(BD370&lt;&gt;"",TEXT(AUX!BH$1,"dd-MMM-aa"),"")</f>
      </c>
      <c r="BE350" s="496" t="str">
        <f> IF(BE370&lt;&gt;"",TEXT(AUX!BI$1,"dd-MMM-aa"),"")</f>
      </c>
      <c r="BF350" s="496" t="str">
        <f> IF(BF370&lt;&gt;"",TEXT(AUX!BJ$1,"dd-MMM-aa"),"")</f>
      </c>
      <c r="BG350" s="496" t="str">
        <f> IF(BG370&lt;&gt;"",TEXT(AUX!BK$1,"dd-MMM-aa"),"")</f>
      </c>
      <c r="BH350" s="496" t="str">
        <f> IF(BH370&lt;&gt;"",TEXT(AUX!BL$1,"dd-MMM-aa"),"")</f>
      </c>
      <c r="BI350" s="496" t="str">
        <f> IF(BI370&lt;&gt;"",TEXT(AUX!BM$1,"dd-MMM-aa"),"")</f>
      </c>
      <c r="BJ350" s="496" t="str">
        <f> IF(BJ370&lt;&gt;"",TEXT(AUX!BN$1,"dd-MMM-aa"),"")</f>
      </c>
      <c r="BK350" s="496" t="str">
        <f> IF(BK370&lt;&gt;"",TEXT(AUX!BO$1,"dd-MMM-aa"),"")</f>
      </c>
      <c r="BL350" s="496" t="str">
        <f> IF(BL370&lt;&gt;"",TEXT(AUX!BP$1,"dd-MMM-aa"),"")</f>
      </c>
      <c r="BM350" s="496" t="str">
        <f> IF(BM370&lt;&gt;"",TEXT(AUX!BQ$1,"dd-MMM-aa"),"")</f>
      </c>
      <c r="BN350" s="496" t="str">
        <f> IF(BN370&lt;&gt;"",TEXT(AUX!BR$1,"dd-MMM-aa"),"")</f>
      </c>
      <c r="BO350" s="496" t="str">
        <f> IF(BO370&lt;&gt;"",TEXT(AUX!BS$1,"dd-MMM-aa"),"")</f>
      </c>
      <c r="BP350" s="496" t="str">
        <f> IF(BP370&lt;&gt;"",TEXT(AUX!BT$1,"dd-MMM-aa"),"")</f>
      </c>
      <c r="BQ350" s="496" t="str">
        <f> IF(BQ370&lt;&gt;"",TEXT(AUX!BU$1,"dd-MMM-aa"),"")</f>
      </c>
      <c r="BR350" s="496" t="str">
        <f> IF(BR370&lt;&gt;"",TEXT(AUX!BV$1,"dd-MMM-aa"),"")</f>
      </c>
      <c r="BS350" s="496" t="str">
        <f> IF(BS370&lt;&gt;"",TEXT(AUX!BW$1,"dd-MMM-aa"),"")</f>
      </c>
      <c r="BT350" s="496" t="str">
        <f> IF(BT370&lt;&gt;"",TEXT(AUX!BX$1,"dd-MMM-aa"),"")</f>
      </c>
      <c r="BU350" s="496" t="str">
        <f> IF(BU370&lt;&gt;"",TEXT(AUX!BY$1,"dd-MMM-aa"),"")</f>
      </c>
      <c r="BV350" s="496" t="str">
        <f> IF(BV370&lt;&gt;"",TEXT(AUX!BZ$1,"dd-MMM-aa"),"")</f>
      </c>
      <c r="BW350" s="496" t="str">
        <f> IF(BW370&lt;&gt;"",TEXT(AUX!CA$1,"dd-MMM-aa"),"")</f>
      </c>
      <c r="BX350" s="496" t="str">
        <f> IF(BX370&lt;&gt;"",TEXT(AUX!CB$1,"dd-MMM-aa"),"")</f>
      </c>
      <c r="BY350" s="496" t="str">
        <f> IF(BY370&lt;&gt;"",TEXT(AUX!CC$1,"dd-MMM-aa"),"")</f>
      </c>
      <c r="BZ350" s="496" t="str">
        <f> IF(BZ370&lt;&gt;"",TEXT(AUX!CD$1,"dd-MMM-aa"),"")</f>
      </c>
      <c r="CA350" s="496" t="str">
        <f> IF(CA370&lt;&gt;"",TEXT(AUX!CE$1,"dd-MMM-aa"),"")</f>
      </c>
      <c r="CB350" s="496" t="str">
        <f> IF(CB370&lt;&gt;"",TEXT(AUX!CF$1,"dd-MMM-aa"),"")</f>
      </c>
      <c r="CC350" s="496" t="str">
        <f> IF(CC370&lt;&gt;"",TEXT(AUX!CG$1,"dd-MMM-aa"),"")</f>
      </c>
      <c r="CD350" s="496" t="str">
        <f> IF(CD370&lt;&gt;"",TEXT(AUX!CH$1,"dd-MMM-aa"),"")</f>
      </c>
      <c r="CE350" s="496" t="str">
        <f> IF(CE370&lt;&gt;"",TEXT(AUX!CI$1,"dd-MMM-aa"),"")</f>
      </c>
      <c r="CF350" s="496" t="str">
        <f> IF(CF370&lt;&gt;"",TEXT(AUX!CJ$1,"dd-MMM-aa"),"")</f>
      </c>
      <c r="CG350" s="496" t="str">
        <f> IF(CG370&lt;&gt;"",TEXT(AUX!CK$1,"dd-MMM-aa"),"")</f>
      </c>
      <c r="CH350" s="496" t="str">
        <f> IF(CH370&lt;&gt;"",TEXT(AUX!CL$1,"dd-MMM-aa"),"")</f>
      </c>
      <c r="CI350" s="496" t="str">
        <f> IF(CI370&lt;&gt;"",TEXT(AUX!CM$1,"dd-MMM-aa"),"")</f>
      </c>
      <c r="CJ350" s="496" t="str">
        <f> IF(CJ370&lt;&gt;"",TEXT(AUX!CN$1,"dd-MMM-aa"),"")</f>
      </c>
      <c r="CK350" s="496" t="str">
        <f> IF(CK370&lt;&gt;"",TEXT(AUX!CO$1,"dd-MMM-aa"),"")</f>
      </c>
      <c r="CL350" s="496" t="str">
        <f> IF(CL370&lt;&gt;"",TEXT(AUX!CP$1,"dd-MMM-aa"),"")</f>
      </c>
      <c r="CM350" s="496" t="str">
        <f> IF(CM370&lt;&gt;"",TEXT(AUX!CQ$1,"dd-MMM-aa"),"")</f>
      </c>
      <c r="CN350" s="496" t="str">
        <f> IF(CN370&lt;&gt;"",TEXT(AUX!CR$1,"dd-MMM-aa"),"")</f>
      </c>
      <c r="CO350" s="496" t="str">
        <f> IF(CO370&lt;&gt;"",TEXT(AUX!CS$1,"dd-MMM-aa"),"")</f>
      </c>
      <c r="CP350" s="496" t="str">
        <f> IF(CP370&lt;&gt;"",TEXT(AUX!CT$1,"dd-MMM-aa"),"")</f>
      </c>
      <c r="CQ350" s="496" t="str">
        <f> IF(CQ370&lt;&gt;"",TEXT(AUX!CU$1,"dd-MMM-aa"),"")</f>
      </c>
      <c r="CR350" s="496" t="str">
        <f> IF(CR370&lt;&gt;"",TEXT(AUX!CV$1,"dd-MMM-aa"),"")</f>
      </c>
      <c r="CS350" s="496" t="str">
        <f> IF(CS370&lt;&gt;"",TEXT(AUX!CW$1,"dd-MMM-aa"),"")</f>
      </c>
      <c r="CT350" s="496" t="str">
        <f> IF(CT370&lt;&gt;"",TEXT(AUX!CX$1,"dd-MMM-aa"),"")</f>
      </c>
      <c r="CU350" s="496" t="str">
        <f> IF(CU370&lt;&gt;"",TEXT(AUX!CY$1,"dd-MMM-aa"),"")</f>
      </c>
      <c r="CV350" s="496" t="str">
        <f> IF(CV370&lt;&gt;"",TEXT(AUX!CZ$1,"dd-MMM-aa"),"")</f>
      </c>
      <c r="CW350" s="496" t="str">
        <f> IF(CW370&lt;&gt;"",TEXT(AUX!DA$1,"dd-MMM-aa"),"")</f>
      </c>
      <c r="CX350" s="496" t="str">
        <f> IF(CX370&lt;&gt;"",TEXT(AUX!DB$1,"dd-MMM-aa"),"")</f>
      </c>
      <c r="CY350" s="496" t="str">
        <f> IF(CY370&lt;&gt;"",TEXT(AUX!DC$1,"dd-MMM-aa"),"")</f>
      </c>
      <c r="CZ350" s="496" t="str">
        <f> IF(CZ370&lt;&gt;"",TEXT(AUX!DD$1,"dd-MMM-aa"),"")</f>
      </c>
      <c r="DA350" s="496" t="str">
        <f> IF(DA370&lt;&gt;"",TEXT(AUX!DE$1,"dd-MMM-aa"),"")</f>
      </c>
      <c r="DB350" s="496" t="str">
        <f> IF(DB370&lt;&gt;"",TEXT(AUX!DF$1,"dd-MMM-aa"),"")</f>
      </c>
      <c r="DC350" s="496" t="str">
        <f> IF(DC370&lt;&gt;"",TEXT(AUX!DG$1,"dd-MMM-aa"),"")</f>
      </c>
      <c r="DD350" s="496" t="str">
        <f> IF(DD370&lt;&gt;"",TEXT(AUX!DH$1,"dd-MMM-aa"),"")</f>
      </c>
      <c r="DE350" s="496" t="str">
        <f> IF(DE370&lt;&gt;"",TEXT(AUX!DI$1,"dd-MMM-aa"),"")</f>
      </c>
      <c r="DF350" s="496" t="str">
        <f> IF(DF370&lt;&gt;"",TEXT(AUX!DJ$1,"dd-MMM-aa"),"")</f>
      </c>
      <c r="DG350" s="496" t="str">
        <f> IF(DG370&lt;&gt;"",TEXT(AUX!DK$1,"dd-MMM-aa"),"")</f>
      </c>
      <c r="DH350" s="496" t="str">
        <f> IF(DH370&lt;&gt;"",TEXT(AUX!DL$1,"dd-MMM-aa"),"")</f>
      </c>
      <c r="DI350" s="496" t="str">
        <f> IF(DI370&lt;&gt;"",TEXT(AUX!DM$1,"dd-MMM-aa"),"")</f>
      </c>
      <c r="DJ350" s="496" t="str">
        <f> IF(DJ370&lt;&gt;"",TEXT(AUX!DN$1,"dd-MMM-aa"),"")</f>
      </c>
      <c r="DK350" s="496" t="str">
        <f> IF(DK370&lt;&gt;"",TEXT(AUX!DO$1,"dd-MMM-aa"),"")</f>
      </c>
      <c r="DL350" s="496" t="str">
        <f> IF(DL370&lt;&gt;"",TEXT(AUX!DP$1,"dd-MMM-aa"),"")</f>
      </c>
      <c r="DM350" s="496" t="str">
        <f> IF(DM370&lt;&gt;"",TEXT(AUX!DQ$1,"dd-MMM-aa"),"")</f>
      </c>
      <c r="DN350" s="496" t="str">
        <f> IF(DN370&lt;&gt;"",TEXT(AUX!DR$1,"dd-MMM-aa"),"")</f>
      </c>
      <c r="DO350" s="496" t="str">
        <f> IF(DO370&lt;&gt;"",TEXT(AUX!DS$1,"dd-MMM-aa"),"")</f>
      </c>
      <c r="DP350" s="496" t="str">
        <f> IF(DP370&lt;&gt;"",TEXT(AUX!DT$1,"dd-MMM-aa"),"")</f>
      </c>
      <c r="DQ350" s="496" t="str">
        <f> IF(DQ370&lt;&gt;"",TEXT(AUX!DU$1,"dd-MMM-aa"),"")</f>
      </c>
      <c r="DR350" s="496" t="str">
        <f> IF(DR370&lt;&gt;"",TEXT(AUX!DV$1,"dd-MMM-aa"),"")</f>
      </c>
      <c r="DS350" s="496" t="str">
        <f> IF(DS370&lt;&gt;"",TEXT(AUX!DW$1,"dd-MMM-aa"),"")</f>
      </c>
      <c r="DT350" s="496" t="str">
        <f> IF(DT370&lt;&gt;"",TEXT(AUX!DX$1,"dd-MMM-aa"),"")</f>
      </c>
      <c r="DU350" s="496" t="str">
        <f> IF(DU370&lt;&gt;"",TEXT(AUX!DY$1,"dd-MMM-aa"),"")</f>
      </c>
      <c r="DV350" s="496" t="str">
        <f> IF(DV370&lt;&gt;"",TEXT(AUX!DZ$1,"dd-MMM-aa"),"")</f>
      </c>
      <c r="DW350" s="496" t="str">
        <f> IF(DW370&lt;&gt;"",TEXT(AUX!EA$1,"dd-MMM-aa"),"")</f>
      </c>
      <c r="DX350" s="496" t="str">
        <f> IF(DX370&lt;&gt;"",TEXT(AUX!EB$1,"dd-MMM-aa"),"")</f>
      </c>
      <c r="DY350" s="496" t="str">
        <f> IF(DY370&lt;&gt;"",TEXT(AUX!EC$1,"dd-MMM-aa"),"")</f>
      </c>
      <c r="DZ350" s="496" t="str">
        <f> IF(DZ370&lt;&gt;"",TEXT(AUX!ED$1,"dd-MMM-aa"),"")</f>
      </c>
      <c r="EA350" s="496" t="str">
        <f> IF(EA370&lt;&gt;"",TEXT(AUX!EE$1,"dd-MMM-aa"),"")</f>
      </c>
      <c r="EB350" s="496" t="str">
        <f> IF(EB370&lt;&gt;"",TEXT(AUX!EF$1,"dd-MMM-aa"),"")</f>
      </c>
      <c r="EC350" s="496" t="str">
        <f> IF(EC370&lt;&gt;"",TEXT(AUX!EG$1,"dd-MMM-aa"),"")</f>
      </c>
      <c r="ED350" s="496" t="str">
        <f> IF(ED370&lt;&gt;"",TEXT(AUX!EH$1,"dd-MMM-aa"),"")</f>
      </c>
      <c r="EE350" s="496" t="str">
        <f> IF(EE370&lt;&gt;"",TEXT(AUX!EI$1,"dd-MMM-aa"),"")</f>
      </c>
      <c r="EF350" s="496" t="str">
        <f> IF(EF370&lt;&gt;"",TEXT(AUX!EJ$1,"dd-MMM-aa"),"")</f>
      </c>
      <c r="EG350" s="496" t="str">
        <f> IF(EG370&lt;&gt;"",TEXT(AUX!EK$1,"dd-MMM-aa"),"")</f>
      </c>
      <c r="EH350" s="496" t="str">
        <f> IF(EH370&lt;&gt;"",TEXT(AUX!EL$1,"dd-MMM-aa"),"")</f>
      </c>
      <c r="EI350" s="496" t="str">
        <f> IF(EI370&lt;&gt;"",TEXT(AUX!EM$1,"dd-MMM-aa"),"")</f>
      </c>
      <c r="EJ350" s="496" t="str">
        <f> IF(EJ370&lt;&gt;"",TEXT(AUX!EN$1,"dd-MMM-aa"),"")</f>
      </c>
      <c r="EK350" s="496" t="str">
        <f> IF(EK370&lt;&gt;"",TEXT(AUX!EO$1,"dd-MMM-aa"),"")</f>
      </c>
      <c r="EL350" s="496" t="str">
        <f> IF(EL370&lt;&gt;"",TEXT(AUX!EP$1,"dd-MMM-aa"),"")</f>
      </c>
      <c r="EM350" s="496" t="str">
        <f> IF(EM370&lt;&gt;"",TEXT(AUX!EQ$1,"dd-MMM-aa"),"")</f>
      </c>
      <c r="EN350" s="496" t="str">
        <f> IF(EN370&lt;&gt;"",TEXT(AUX!ER$1,"dd-MMM-aa"),"")</f>
      </c>
      <c r="EO350" s="496" t="str">
        <f> IF(EO370&lt;&gt;"",TEXT(AUX!ES$1,"dd-MMM-aa"),"")</f>
      </c>
      <c r="EP350" s="496" t="str">
        <f> IF(EP370&lt;&gt;"",TEXT(AUX!ET$1,"dd-MMM-aa"),"")</f>
      </c>
      <c r="EQ350" s="496" t="str">
        <f> IF(EQ370&lt;&gt;"",TEXT(AUX!EU$1,"dd-MMM-aa"),"")</f>
      </c>
      <c r="ER350" s="496" t="str">
        <f> IF(ER370&lt;&gt;"",TEXT(AUX!EV$1,"dd-MMM-aa"),"")</f>
      </c>
      <c r="ES350" s="496" t="str">
        <f> IF(ES370&lt;&gt;"",TEXT(AUX!EW$1,"dd-MMM-aa"),"")</f>
      </c>
      <c r="ET350" s="496" t="str">
        <f> IF(ET370&lt;&gt;"",TEXT(AUX!EX$1,"dd-MMM-aa"),"")</f>
      </c>
      <c r="EU350" s="496" t="str">
        <f> IF(EU370&lt;&gt;"",TEXT(AUX!EY$1,"dd-MMM-aa"),"")</f>
      </c>
      <c r="EV350" s="496" t="str">
        <f> IF(EV370&lt;&gt;"",TEXT(AUX!EZ$1,"dd-MMM-aa"),"")</f>
      </c>
      <c r="EW350" s="496" t="str">
        <f> IF(EW370&lt;&gt;"",TEXT(AUX!FA$1,"dd-MMM-aa"),"")</f>
      </c>
      <c r="EX350" s="496" t="str">
        <f> IF(EX370&lt;&gt;"",TEXT(AUX!FB$1,"dd-MMM-aa"),"")</f>
      </c>
      <c r="EY350" s="496" t="str">
        <f> IF(EY370&lt;&gt;"",TEXT(AUX!FC$1,"dd-MMM-aa"),"")</f>
      </c>
      <c r="EZ350" s="496" t="str">
        <f> IF(EZ370&lt;&gt;"",TEXT(AUX!FD$1,"dd-MMM-aa"),"")</f>
      </c>
      <c r="FA350" s="496" t="str">
        <f> IF(FA370&lt;&gt;"",TEXT(AUX!FE$1,"dd-MMM-aa"),"")</f>
      </c>
      <c r="FB350" s="496" t="str">
        <f> IF(FB370&lt;&gt;"",TEXT(AUX!FF$1,"dd-MMM-aa"),"")</f>
      </c>
      <c r="FC350" s="496" t="str">
        <f> IF(FC370&lt;&gt;"",TEXT(AUX!FG$1,"dd-MMM-aa"),"")</f>
      </c>
      <c r="FD350" s="496" t="str">
        <f> IF(FD370&lt;&gt;"",TEXT(AUX!FH$1,"dd-MMM-aa"),"")</f>
      </c>
      <c r="FE350" s="496" t="str">
        <f> IF(FE370&lt;&gt;"",TEXT(AUX!FI$1,"dd-MMM-aa"),"")</f>
      </c>
      <c r="FF350" s="496" t="str">
        <f> IF(FF370&lt;&gt;"",TEXT(AUX!FJ$1,"dd-MMM-aa"),"")</f>
      </c>
      <c r="FG350" s="496" t="str">
        <f> IF(FG370&lt;&gt;"",TEXT(AUX!FK$1,"dd-MMM-aa"),"")</f>
      </c>
      <c r="FH350" s="496" t="str">
        <f> IF(FH370&lt;&gt;"",TEXT(AUX!FL$1,"dd-MMM-aa"),"")</f>
      </c>
      <c r="FI350" s="496" t="str">
        <f> IF(FI370&lt;&gt;"",TEXT(AUX!FM$1,"dd-MMM-aa"),"")</f>
      </c>
      <c r="FJ350" s="496" t="str">
        <f> IF(FJ370&lt;&gt;"",TEXT(AUX!FN$1,"dd-MMM-aa"),"")</f>
      </c>
      <c r="FK350" s="496" t="str">
        <f> IF(FK370&lt;&gt;"",TEXT(AUX!FO$1,"dd-MMM-aa"),"")</f>
      </c>
      <c r="FL350" s="496" t="str">
        <f> IF(FL370&lt;&gt;"",TEXT(AUX!FP$1,"dd-MMM-aa"),"")</f>
      </c>
      <c r="FM350" s="496" t="str">
        <f> IF(FM370&lt;&gt;"",TEXT(AUX!FQ$1,"dd-MMM-aa"),"")</f>
      </c>
      <c r="FN350" s="496" t="str">
        <f> IF(FN370&lt;&gt;"",TEXT(AUX!FR$1,"dd-MMM-aa"),"")</f>
      </c>
      <c r="FO350" s="496" t="str">
        <f> IF(FO370&lt;&gt;"",TEXT(AUX!FS$1,"dd-MMM-aa"),"")</f>
      </c>
      <c r="FP350" s="496" t="str">
        <f> IF(FP370&lt;&gt;"",TEXT(AUX!FT$1,"dd-MMM-aa"),"")</f>
      </c>
      <c r="FQ350" s="496" t="str">
        <f> IF(FQ370&lt;&gt;"",TEXT(AUX!FU$1,"dd-MMM-aa"),"")</f>
      </c>
      <c r="FR350" s="496" t="str">
        <f> IF(FR370&lt;&gt;"",TEXT(AUX!FV$1,"dd-MMM-aa"),"")</f>
      </c>
      <c r="FS350" s="496" t="str">
        <f> IF(FS370&lt;&gt;"",TEXT(AUX!FW$1,"dd-MMM-aa"),"")</f>
      </c>
      <c r="FT350" s="496" t="str">
        <f> IF(FT370&lt;&gt;"",TEXT(AUX!FX$1,"dd-MMM-aa"),"")</f>
      </c>
      <c r="FU350" s="496" t="str">
        <f> IF(FU370&lt;&gt;"",TEXT(AUX!FY$1,"dd-MMM-aa"),"")</f>
      </c>
      <c r="FV350" s="496" t="str">
        <f> IF(FV370&lt;&gt;"",TEXT(AUX!FZ$1,"dd-MMM-aa"),"")</f>
      </c>
      <c r="FW350" s="496" t="str">
        <f> IF(FW370&lt;&gt;"",TEXT(AUX!GA$1,"dd-MMM-aa"),"")</f>
      </c>
      <c r="FX350" s="496" t="str">
        <f> IF(FX370&lt;&gt;"",TEXT(AUX!GB$1,"dd-MMM-aa"),"")</f>
      </c>
      <c r="FY350" s="496" t="str">
        <f> IF(FY370&lt;&gt;"",TEXT(AUX!GC$1,"dd-MMM-aa"),"")</f>
      </c>
      <c r="FZ350" s="496" t="str">
        <f> IF(FZ370&lt;&gt;"",TEXT(AUX!GD$1,"dd-MMM-aa"),"")</f>
      </c>
      <c r="GA350" s="496" t="str">
        <f> IF(GA370&lt;&gt;"",TEXT(AUX!GE$1,"dd-MMM-aa"),"")</f>
      </c>
      <c r="GB350" s="496" t="str">
        <f> IF(GB370&lt;&gt;"",TEXT(AUX!GF$1,"dd-MMM-aa"),"")</f>
      </c>
      <c r="GC350" s="496" t="str">
        <f> IF(GC370&lt;&gt;"",TEXT(AUX!GG$1,"dd-MMM-aa"),"")</f>
      </c>
      <c r="GD350" s="496" t="str">
        <f> IF(GD370&lt;&gt;"",TEXT(AUX!GH$1,"dd-MMM-aa"),"")</f>
      </c>
      <c r="GE350" s="496" t="str">
        <f> IF(GE370&lt;&gt;"",TEXT(AUX!GI$1,"dd-MMM-aa"),"")</f>
      </c>
      <c r="GF350" s="496" t="str">
        <f> IF(GF370&lt;&gt;"",TEXT(AUX!GJ$1,"dd-MMM-aa"),"")</f>
      </c>
      <c r="GG350" s="496" t="str">
        <f> IF(GG370&lt;&gt;"",TEXT(AUX!GK$1,"dd-MMM-aa"),"")</f>
      </c>
      <c r="GH350" s="496" t="str">
        <f> IF(GH370&lt;&gt;"",TEXT(AUX!GL$1,"dd-MMM-aa"),"")</f>
      </c>
      <c r="GI350" s="496" t="str">
        <f> IF(GI370&lt;&gt;"",TEXT(AUX!GM$1,"dd-MMM-aa"),"")</f>
      </c>
      <c r="GJ350" s="496" t="str">
        <f> IF(GJ370&lt;&gt;"",TEXT(AUX!GN$1,"dd-MMM-aa"),"")</f>
      </c>
      <c r="GK350" s="496" t="str">
        <f> IF(GK370&lt;&gt;"",TEXT(AUX!GO$1,"dd-MMM-aa"),"")</f>
      </c>
      <c r="GL350" s="496" t="str">
        <f> IF(GL370&lt;&gt;"",TEXT(AUX!GP$1,"dd-MMM-aa"),"")</f>
      </c>
      <c r="GM350" s="496" t="str">
        <f> IF(GM370&lt;&gt;"",TEXT(AUX!GQ$1,"dd-MMM-aa"),"")</f>
      </c>
      <c r="GN350" s="496" t="str">
        <f> IF(GN370&lt;&gt;"",TEXT(AUX!GR$1,"dd-MMM-aa"),"")</f>
      </c>
      <c r="GO350" s="496" t="str">
        <f> IF(GO370&lt;&gt;"",TEXT(AUX!GS$1,"dd-MMM-aa"),"")</f>
      </c>
      <c r="GP350" s="496" t="str">
        <f> IF(GP370&lt;&gt;"",TEXT(AUX!GT$1,"dd-MMM-aa"),"")</f>
      </c>
      <c r="GQ350" s="496" t="str">
        <f> IF(GQ370&lt;&gt;"",TEXT(AUX!GU$1,"dd-MMM-aa"),"")</f>
      </c>
      <c r="GR350" s="496" t="str">
        <f> IF(GR370&lt;&gt;"",TEXT(AUX!GV$1,"dd-MMM-aa"),"")</f>
      </c>
      <c r="GS350" s="496" t="str">
        <f> IF(GS370&lt;&gt;"",TEXT(AUX!GW$1,"dd-MMM-aa"),"")</f>
      </c>
      <c r="GT350" s="496" t="str">
        <f> IF(GT370&lt;&gt;"",TEXT(AUX!GX$1,"dd-MMM-aa"),"")</f>
      </c>
      <c r="GU350" s="496" t="str">
        <f> IF(GU370&lt;&gt;"",TEXT(AUX!GY$1,"dd-MMM-aa"),"")</f>
      </c>
      <c r="GV350" s="496" t="str">
        <f> IF(GV370&lt;&gt;"",TEXT(AUX!GZ$1,"dd-MMM-aa"),"")</f>
      </c>
      <c r="GW350" s="496" t="str">
        <f> IF(GW370&lt;&gt;"",TEXT(AUX!HA$1,"dd-MMM-aa"),"")</f>
      </c>
      <c r="GX350" s="496" t="str">
        <f> IF(GX370&lt;&gt;"",TEXT(AUX!HB$1,"dd-MMM-aa"),"")</f>
      </c>
      <c r="GY350" s="496" t="str">
        <f> IF(GY370&lt;&gt;"",TEXT(AUX!HC$1,"dd-MMM-aa"),"")</f>
      </c>
      <c r="GZ350" s="496" t="str">
        <f> IF(GZ370&lt;&gt;"",TEXT(AUX!HD$1,"dd-MMM-aa"),"")</f>
      </c>
      <c r="HA350" s="496" t="str">
        <f> IF(HA370&lt;&gt;"",TEXT(AUX!HE$1,"dd-MMM-aa"),"")</f>
      </c>
      <c r="HB350" s="496" t="str">
        <f> IF(HB370&lt;&gt;"",TEXT(AUX!HF$1,"dd-MMM-aa"),"")</f>
      </c>
      <c r="HC350" s="496" t="str">
        <f> IF(HC370&lt;&gt;"",TEXT(AUX!HG$1,"dd-MMM-aa"),"")</f>
      </c>
      <c r="HD350" s="496" t="str">
        <f> IF(HD370&lt;&gt;"",TEXT(AUX!HH$1,"dd-MMM-aa"),"")</f>
      </c>
      <c r="HE350" s="496" t="str">
        <f> IF(HE370&lt;&gt;"",TEXT(AUX!HI$1,"dd-MMM-aa"),"")</f>
      </c>
      <c r="HF350" s="496" t="str">
        <f> IF(HF370&lt;&gt;"",TEXT(AUX!HJ$1,"dd-MMM-aa"),"")</f>
      </c>
      <c r="HG350" s="496" t="str">
        <f> IF(HG370&lt;&gt;"",TEXT(AUX!HK$1,"dd-MMM-aa"),"")</f>
      </c>
      <c r="HH350" s="496" t="str">
        <f> IF(HH370&lt;&gt;"",TEXT(AUX!HL$1,"dd-MMM-aa"),"")</f>
      </c>
      <c r="HI350" s="496" t="str">
        <f> IF(HI370&lt;&gt;"",TEXT(AUX!HM$1,"dd-MMM-aa"),"")</f>
      </c>
      <c r="HJ350" s="496" t="str">
        <f> IF(HJ370&lt;&gt;"",TEXT(AUX!HN$1,"dd-MMM-aa"),"")</f>
      </c>
      <c r="HK350" s="496" t="str">
        <f> IF(HK370&lt;&gt;"",TEXT(AUX!HO$1,"dd-MMM-aa"),"")</f>
      </c>
      <c r="HL350" s="496" t="str">
        <f> IF(HL370&lt;&gt;"",TEXT(AUX!HP$1,"dd-MMM-aa"),"")</f>
      </c>
      <c r="HM350" s="496" t="str">
        <f> IF(HM370&lt;&gt;"",TEXT(AUX!HQ$1,"dd-MMM-aa"),"")</f>
      </c>
      <c r="HN350" s="496" t="str">
        <f> IF(HN370&lt;&gt;"",TEXT(AUX!HR$1,"dd-MMM-aa"),"")</f>
      </c>
      <c r="HO350" s="496" t="str">
        <f> IF(HO370&lt;&gt;"",TEXT(AUX!HS$1,"dd-MMM-aa"),"")</f>
      </c>
      <c r="HP350" s="496" t="str">
        <f> IF(HP370&lt;&gt;"",TEXT(AUX!HT$1,"dd-MMM-aa"),"")</f>
      </c>
      <c r="HQ350" s="496" t="str">
        <f> IF(HQ370&lt;&gt;"",TEXT(AUX!HU$1,"dd-MMM-aa"),"")</f>
      </c>
      <c r="HR350" s="496" t="str">
        <f> IF(HR370&lt;&gt;"",TEXT(AUX!HV$1,"dd-MMM-aa"),"")</f>
      </c>
      <c r="HS350" s="496" t="str">
        <f> IF(HS370&lt;&gt;"",TEXT(AUX!HW$1,"dd-MMM-aa"),"")</f>
      </c>
      <c r="HT350" s="496" t="str">
        <f> IF(HT370&lt;&gt;"",TEXT(AUX!HX$1,"dd-MMM-aa"),"")</f>
      </c>
      <c r="HU350" s="496" t="str">
        <f> IF(HU370&lt;&gt;"",TEXT(AUX!HY$1,"dd-MMM-aa"),"")</f>
      </c>
      <c r="HV350" s="496" t="str">
        <f> IF(HV370&lt;&gt;"",TEXT(AUX!HZ$1,"dd-MMM-aa"),"")</f>
      </c>
      <c r="HW350" s="496" t="str">
        <f> IF(HW370&lt;&gt;"",TEXT(AUX!IA$1,"dd-MMM-aa"),"")</f>
      </c>
      <c r="HX350" s="496" t="str">
        <f> IF(HX370&lt;&gt;"",TEXT(AUX!IB$1,"dd-MMM-aa"),"")</f>
      </c>
      <c r="HY350" s="496" t="str">
        <f> IF(HY370&lt;&gt;"",TEXT(AUX!IC$1,"dd-MMM-aa"),"")</f>
      </c>
      <c r="HZ350" s="496" t="str">
        <f> IF(HZ370&lt;&gt;"",TEXT(AUX!ID$1,"dd-MMM-aa"),"")</f>
      </c>
      <c r="IA350" s="496" t="str">
        <f> IF(IA370&lt;&gt;"",TEXT(AUX!IE$1,"dd-MMM-aa"),"")</f>
      </c>
      <c r="IB350" s="496" t="str">
        <f> IF(IB370&lt;&gt;"",TEXT(AUX!IF$1,"dd-MMM-aa"),"")</f>
      </c>
      <c r="IC350" s="496" t="str">
        <f> IF(IC370&lt;&gt;"",TEXT(AUX!IG$1,"dd-MMM-aa"),"")</f>
      </c>
      <c r="ID350" s="496" t="str">
        <f> IF(ID370&lt;&gt;"",TEXT(AUX!IH$1,"dd-MMM-aa"),"")</f>
      </c>
      <c r="IE350" s="496" t="str">
        <f> IF(IE370&lt;&gt;"",TEXT(AUX!II$1,"dd-MMM-aa"),"")</f>
      </c>
      <c r="IF350" s="496" t="str">
        <f> IF(IF370&lt;&gt;"",TEXT(AUX!IJ$1,"dd-MMM-aa"),"")</f>
      </c>
      <c r="IG350" s="496" t="str">
        <f> IF(IG370&lt;&gt;"",TEXT(AUX!IK$1,"dd-MMM-aa"),"")</f>
      </c>
      <c r="IH350" s="496" t="str">
        <f> IF(IH370&lt;&gt;"",TEXT(AUX!IL$1,"dd-MMM-aa"),"")</f>
      </c>
      <c r="II350" s="496" t="str">
        <f> IF(II370&lt;&gt;"",TEXT(AUX!IM$1,"dd-MMM-aa"),"")</f>
      </c>
      <c r="IJ350" s="496" t="str">
        <f> IF(IJ370&lt;&gt;"",TEXT(AUX!IN$1,"dd-MMM-aa"),"")</f>
      </c>
      <c r="IK350" s="496" t="str">
        <f> IF(IK370&lt;&gt;"",TEXT(AUX!IO$1,"dd-MMM-aa"),"")</f>
      </c>
      <c r="IL350" s="496" t="str">
        <f> IF(IL370&lt;&gt;"",TEXT(AUX!IP$1,"dd-MMM-aa"),"")</f>
      </c>
      <c r="IM350" s="496" t="str">
        <f> IF(IM370&lt;&gt;"",TEXT(AUX!IQ$1,"dd-MMM-aa"),"")</f>
      </c>
      <c r="IN350" s="496" t="str">
        <f> IF(IN370&lt;&gt;"",TEXT(AUX!IR$1,"dd-MMM-aa"),"")</f>
      </c>
      <c r="IO350" s="496" t="str">
        <f> IF(IO370&lt;&gt;"",TEXT(AUX!IS$1,"dd-MMM-aa"),"")</f>
      </c>
      <c r="IP350" s="496" t="str">
        <f> IF(IP370&lt;&gt;"",TEXT(AUX!IT$1,"dd-MMM-aa"),"")</f>
      </c>
      <c r="IQ350" s="496" t="str">
        <f> IF(IQ370&lt;&gt;"",TEXT(AUX!IU$1,"dd-MMM-aa"),"")</f>
      </c>
      <c r="IR350" s="496" t="str">
        <f> IF(IR370&lt;&gt;"",TEXT(AUX!IV$1,"dd-MMM-aa"),"")</f>
      </c>
      <c r="IS350" s="496" t="str">
        <f> IF(IS370&lt;&gt;"",TEXT(AUX!#REF!,"dd-MMM-aa"),"")</f>
      </c>
      <c r="IT350" s="496" t="str">
        <f> IF(IT370&lt;&gt;"",TEXT(AUX!#REF!,"dd-MMM-aa"),"")</f>
      </c>
      <c r="IU350" s="496" t="str">
        <f> IF(IU370&lt;&gt;"",TEXT(AUX!#REF!,"dd-MMM-aa"),"")</f>
      </c>
      <c r="IV350" s="496" t="str">
        <f> IF(IV370&lt;&gt;"",TEXT(AUX!#REF!,"dd-MMM-aa"),"")</f>
      </c>
    </row>
    <row r="351" hidden="1" ht="12.75" customHeight="1">
      <c r="B351" s="833" t="s">
        <v>8</v>
      </c>
      <c r="C351" s="827">
        <v>72477</v>
      </c>
      <c r="D351" s="827">
        <v>69617</v>
      </c>
      <c r="E351" s="827">
        <v>81915</v>
      </c>
      <c r="F351" s="827">
        <v>80203</v>
      </c>
      <c r="G351" s="827">
        <v>80559</v>
      </c>
      <c r="H351" s="827">
        <v>67556</v>
      </c>
      <c r="I351" s="827">
        <v>69090</v>
      </c>
      <c r="J351" s="827">
        <v>62570</v>
      </c>
      <c r="K351" s="827">
        <v>68539</v>
      </c>
      <c r="L351" s="827">
        <v>58083</v>
      </c>
      <c r="M351" s="827">
        <v>63207</v>
      </c>
      <c r="N351" s="827">
        <v>59768</v>
      </c>
      <c r="O351" s="827">
        <v>61063</v>
      </c>
      <c r="P351" s="827">
        <v>54158</v>
      </c>
      <c r="Q351" s="827">
        <v>53643</v>
      </c>
      <c r="R351" s="827">
        <v>52782</v>
      </c>
      <c r="S351" s="827">
        <v>65136</v>
      </c>
      <c r="T351" s="827">
        <v>59623</v>
      </c>
      <c r="U351" s="827">
        <v>62061</v>
      </c>
      <c r="V351" s="827">
        <v>58301</v>
      </c>
      <c r="W351" s="827">
        <v>61465</v>
      </c>
      <c r="X351" s="827">
        <v>56074</v>
      </c>
      <c r="Y351" s="827">
        <v>63306</v>
      </c>
      <c r="Z351" s="827">
        <v>56622</v>
      </c>
      <c r="AA351" s="827">
        <v>63416</v>
      </c>
      <c r="AB351" s="834">
        <v>55301</v>
      </c>
      <c r="AC351" s="828">
        <v>64270</v>
      </c>
      <c r="AD351" s="828">
        <v>61149</v>
      </c>
      <c r="AE351" s="828">
        <v>65686</v>
      </c>
      <c r="AF351" s="828">
        <v>56278</v>
      </c>
      <c r="AG351" s="828">
        <v>64595</v>
      </c>
      <c r="AH351" s="828">
        <v>57481</v>
      </c>
      <c r="AI351" s="828">
        <v>64688</v>
      </c>
      <c r="AJ351" s="828">
        <v>53795</v>
      </c>
      <c r="AK351" s="828">
        <v>59109</v>
      </c>
      <c r="AL351" s="828">
        <v>49425</v>
      </c>
      <c r="AM351" s="828">
        <v>52904</v>
      </c>
      <c r="AN351" s="828">
        <v>54342</v>
      </c>
      <c r="AO351" s="828">
        <v>61984</v>
      </c>
      <c r="AP351" s="828">
        <v>54913</v>
      </c>
    </row>
    <row r="352" hidden="1" ht="12.75" customHeight="1">
      <c r="B352" s="829" t="s">
        <v>9</v>
      </c>
      <c r="C352" s="823">
        <v>101020</v>
      </c>
      <c r="D352" s="823">
        <v>105722</v>
      </c>
      <c r="E352" s="823">
        <v>97827</v>
      </c>
      <c r="F352" s="823">
        <v>81725</v>
      </c>
      <c r="G352" s="823">
        <v>104970</v>
      </c>
      <c r="H352" s="823">
        <v>101518</v>
      </c>
      <c r="I352" s="823">
        <v>117032</v>
      </c>
      <c r="J352" s="823">
        <v>133067</v>
      </c>
      <c r="K352" s="823">
        <v>132437</v>
      </c>
      <c r="L352" s="823">
        <v>139951</v>
      </c>
      <c r="M352" s="823">
        <v>128276</v>
      </c>
      <c r="N352" s="823">
        <v>145578</v>
      </c>
      <c r="O352" s="823">
        <v>134892</v>
      </c>
      <c r="P352" s="823">
        <v>145963</v>
      </c>
      <c r="Q352" s="823">
        <v>138688</v>
      </c>
      <c r="R352" s="823">
        <v>149698</v>
      </c>
      <c r="S352" s="823">
        <v>152093</v>
      </c>
      <c r="T352" s="823">
        <v>160726</v>
      </c>
      <c r="U352" s="823">
        <v>157580</v>
      </c>
      <c r="V352" s="823">
        <v>171456</v>
      </c>
      <c r="W352" s="823">
        <v>170331</v>
      </c>
      <c r="X352" s="823">
        <v>181860</v>
      </c>
      <c r="Y352" s="823">
        <v>187068</v>
      </c>
      <c r="Z352" s="823">
        <v>197145</v>
      </c>
      <c r="AA352" s="823">
        <v>193015</v>
      </c>
      <c r="AB352" s="823">
        <v>207970</v>
      </c>
      <c r="AC352" s="825">
        <v>187592</v>
      </c>
      <c r="AD352" s="825">
        <v>201741</v>
      </c>
      <c r="AE352" s="825">
        <v>203869</v>
      </c>
      <c r="AF352" s="825">
        <v>216942</v>
      </c>
      <c r="AG352" s="825">
        <v>207150</v>
      </c>
      <c r="AH352" s="825">
        <v>214737</v>
      </c>
      <c r="AI352" s="825">
        <v>208015</v>
      </c>
      <c r="AJ352" s="825">
        <v>224723</v>
      </c>
      <c r="AK352" s="825">
        <v>203588</v>
      </c>
      <c r="AL352" s="825">
        <v>212841</v>
      </c>
      <c r="AM352" s="825">
        <v>201916</v>
      </c>
      <c r="AN352" s="825">
        <v>213097</v>
      </c>
      <c r="AO352" s="825">
        <v>213617</v>
      </c>
      <c r="AP352" s="825">
        <v>225795</v>
      </c>
    </row>
    <row r="353" hidden="1" ht="12.75" customHeight="1" s="50" customFormat="1">
      <c r="B353" s="826" t="s">
        <v>10</v>
      </c>
      <c r="C353" s="827">
        <v>43790</v>
      </c>
      <c r="D353" s="827">
        <v>37800</v>
      </c>
      <c r="E353" s="827">
        <v>45267</v>
      </c>
      <c r="F353" s="827">
        <v>43764</v>
      </c>
      <c r="G353" s="827">
        <v>52043</v>
      </c>
      <c r="H353" s="827">
        <v>44906</v>
      </c>
      <c r="I353" s="827">
        <v>41483</v>
      </c>
      <c r="J353" s="827">
        <v>36445</v>
      </c>
      <c r="K353" s="827">
        <v>42751</v>
      </c>
      <c r="L353" s="827">
        <v>36500</v>
      </c>
      <c r="M353" s="827">
        <v>40625</v>
      </c>
      <c r="N353" s="827">
        <v>34872</v>
      </c>
      <c r="O353" s="827">
        <v>41819</v>
      </c>
      <c r="P353" s="827">
        <v>34218</v>
      </c>
      <c r="Q353" s="827">
        <v>39242</v>
      </c>
      <c r="R353" s="827">
        <v>33803</v>
      </c>
      <c r="S353" s="827">
        <v>41330</v>
      </c>
      <c r="T353" s="827">
        <v>36783</v>
      </c>
      <c r="U353" s="827">
        <v>43659</v>
      </c>
      <c r="V353" s="827">
        <v>36143</v>
      </c>
      <c r="W353" s="827">
        <v>41519</v>
      </c>
      <c r="X353" s="827">
        <v>34489</v>
      </c>
      <c r="Y353" s="827">
        <v>42735</v>
      </c>
      <c r="Z353" s="827">
        <v>36579</v>
      </c>
      <c r="AA353" s="827">
        <v>42986</v>
      </c>
      <c r="AB353" s="827">
        <v>34434</v>
      </c>
      <c r="AC353" s="828">
        <v>43452</v>
      </c>
      <c r="AD353" s="828">
        <v>35732</v>
      </c>
      <c r="AE353" s="828">
        <v>45741</v>
      </c>
      <c r="AF353" s="828">
        <v>36007</v>
      </c>
      <c r="AG353" s="828">
        <v>45412</v>
      </c>
      <c r="AH353" s="828">
        <v>35166</v>
      </c>
      <c r="AI353" s="828">
        <v>43177</v>
      </c>
      <c r="AJ353" s="828">
        <v>32789</v>
      </c>
      <c r="AK353" s="828">
        <v>40329</v>
      </c>
      <c r="AL353" s="828">
        <v>32217</v>
      </c>
      <c r="AM353" s="828">
        <v>36684</v>
      </c>
      <c r="AN353" s="828">
        <v>27976</v>
      </c>
      <c r="AO353" s="828">
        <v>38773</v>
      </c>
      <c r="AP353" s="828">
        <v>31283</v>
      </c>
      <c r="AQ353" s="51"/>
      <c r="AR353" s="51"/>
      <c r="AS353" s="51"/>
      <c r="AT353" s="51"/>
      <c r="AU353" s="51"/>
      <c r="AV353" s="51"/>
      <c r="AW353" s="51"/>
      <c r="AX353" s="51"/>
      <c r="AY353" s="51"/>
      <c r="AZ353" s="51"/>
      <c r="BA353" s="51"/>
      <c r="BB353" s="51"/>
      <c r="BC353" s="51"/>
      <c r="BD353" s="51"/>
      <c r="BE353" s="51"/>
      <c r="BF353" s="51"/>
      <c r="BG353" s="51"/>
      <c r="BH353" s="51"/>
      <c r="BI353" s="51"/>
      <c r="BJ353" s="51"/>
      <c r="BK353" s="51"/>
      <c r="BL353" s="51"/>
      <c r="BM353" s="51"/>
      <c r="BN353" s="51"/>
      <c r="BO353" s="51"/>
      <c r="BP353" s="51"/>
      <c r="BQ353" s="51"/>
      <c r="BR353" s="51"/>
      <c r="BS353" s="51"/>
      <c r="BT353" s="51"/>
      <c r="BU353" s="51"/>
      <c r="BV353" s="51"/>
      <c r="BW353" s="51"/>
      <c r="BX353" s="51"/>
      <c r="BY353" s="51"/>
      <c r="BZ353" s="51"/>
      <c r="CA353" s="51"/>
      <c r="CB353" s="51"/>
      <c r="CC353" s="51"/>
      <c r="CD353" s="51"/>
      <c r="CE353" s="51"/>
      <c r="CF353" s="51"/>
      <c r="CG353" s="51"/>
      <c r="CH353" s="51"/>
      <c r="CI353" s="51"/>
      <c r="CJ353" s="51"/>
      <c r="CK353" s="51"/>
      <c r="CL353" s="51"/>
      <c r="CM353" s="51"/>
      <c r="CN353" s="51"/>
      <c r="CO353" s="51"/>
      <c r="CP353" s="51"/>
      <c r="CQ353" s="51"/>
      <c r="CR353" s="51"/>
      <c r="CS353" s="51"/>
      <c r="CT353" s="51"/>
      <c r="CU353" s="51"/>
      <c r="CV353" s="51"/>
      <c r="CW353" s="51"/>
      <c r="CX353" s="51"/>
      <c r="CY353" s="51"/>
      <c r="CZ353" s="51"/>
      <c r="DA353" s="51"/>
      <c r="DB353" s="51"/>
      <c r="DC353" s="51"/>
      <c r="DD353" s="51"/>
      <c r="DE353" s="51"/>
      <c r="DF353" s="51"/>
      <c r="DG353" s="51"/>
      <c r="DH353" s="51"/>
      <c r="DI353" s="51"/>
      <c r="DJ353" s="51"/>
      <c r="DK353" s="51"/>
      <c r="DL353" s="51"/>
      <c r="DM353" s="51"/>
      <c r="DN353" s="51"/>
      <c r="DO353" s="51"/>
      <c r="DP353" s="51"/>
      <c r="DQ353" s="51"/>
      <c r="DR353" s="51"/>
      <c r="DS353" s="51"/>
      <c r="DT353" s="51"/>
      <c r="DU353" s="51"/>
      <c r="DV353" s="51"/>
      <c r="DW353" s="51"/>
      <c r="DX353" s="51"/>
      <c r="DY353" s="51"/>
      <c r="DZ353" s="51"/>
      <c r="EA353" s="51"/>
      <c r="EB353" s="51"/>
      <c r="EC353" s="51"/>
      <c r="ED353" s="51"/>
      <c r="EE353" s="51"/>
      <c r="EF353" s="51"/>
      <c r="EG353" s="51"/>
      <c r="EH353" s="51"/>
      <c r="EI353" s="51"/>
      <c r="EJ353" s="51"/>
      <c r="EK353" s="51"/>
      <c r="EL353" s="51"/>
      <c r="EM353" s="51"/>
      <c r="EN353" s="51"/>
      <c r="EO353" s="51"/>
      <c r="EP353" s="51"/>
      <c r="EQ353" s="51"/>
      <c r="ER353" s="51"/>
      <c r="ES353" s="51"/>
      <c r="ET353" s="51"/>
      <c r="EU353" s="51"/>
      <c r="EV353" s="51"/>
      <c r="EW353" s="51"/>
      <c r="EX353" s="51"/>
      <c r="EY353" s="51"/>
      <c r="EZ353" s="51"/>
      <c r="FA353" s="51"/>
      <c r="FB353" s="51"/>
      <c r="FC353" s="51"/>
      <c r="FD353" s="51"/>
      <c r="FE353" s="51"/>
      <c r="FF353" s="51"/>
      <c r="FG353" s="51"/>
      <c r="FH353" s="51"/>
      <c r="FI353" s="51"/>
      <c r="FJ353" s="51"/>
      <c r="FK353" s="51"/>
      <c r="FL353" s="51"/>
      <c r="FM353" s="51"/>
      <c r="FN353" s="51"/>
      <c r="FO353" s="51"/>
      <c r="FP353" s="51"/>
      <c r="FQ353" s="51"/>
      <c r="FR353" s="51"/>
      <c r="FS353" s="51"/>
      <c r="FT353" s="51"/>
      <c r="FU353" s="51"/>
      <c r="FV353" s="51"/>
      <c r="FW353" s="51"/>
      <c r="FX353" s="51"/>
      <c r="FY353" s="51"/>
      <c r="FZ353" s="51"/>
      <c r="GA353" s="51"/>
      <c r="GB353" s="51"/>
      <c r="GC353" s="51"/>
      <c r="GD353" s="51"/>
      <c r="GE353" s="51"/>
      <c r="GF353" s="51"/>
      <c r="GG353" s="51"/>
      <c r="GH353" s="51"/>
      <c r="GI353" s="51"/>
      <c r="GJ353" s="51"/>
      <c r="GK353" s="51"/>
      <c r="GL353" s="51"/>
      <c r="GM353" s="51"/>
      <c r="GN353" s="51"/>
      <c r="GO353" s="51"/>
      <c r="GP353" s="51"/>
      <c r="GQ353" s="51"/>
      <c r="GR353" s="51"/>
      <c r="GS353" s="51"/>
      <c r="GT353" s="51"/>
      <c r="GU353" s="51"/>
      <c r="GV353" s="51"/>
      <c r="GW353" s="51"/>
      <c r="GX353" s="51"/>
      <c r="GY353" s="51"/>
      <c r="GZ353" s="51"/>
      <c r="HA353" s="51"/>
      <c r="HB353" s="51"/>
      <c r="HC353" s="51"/>
      <c r="HD353" s="51"/>
      <c r="HE353" s="51"/>
      <c r="HF353" s="51"/>
      <c r="HG353" s="51"/>
      <c r="HH353" s="51"/>
      <c r="HI353" s="51"/>
      <c r="HJ353" s="51"/>
      <c r="HK353" s="51"/>
      <c r="HL353" s="51"/>
      <c r="HM353" s="51"/>
      <c r="HN353" s="51"/>
      <c r="HO353" s="51"/>
      <c r="HP353" s="51"/>
      <c r="HQ353" s="51"/>
      <c r="HR353" s="51"/>
      <c r="HS353" s="51"/>
      <c r="HT353" s="51"/>
      <c r="HU353" s="51"/>
      <c r="HV353" s="51"/>
      <c r="HW353" s="51"/>
      <c r="HX353" s="51"/>
      <c r="HY353" s="51"/>
      <c r="HZ353" s="51"/>
      <c r="IA353" s="51"/>
      <c r="IB353" s="51"/>
      <c r="IC353" s="51"/>
      <c r="ID353" s="51"/>
      <c r="IE353" s="51"/>
      <c r="IF353" s="51"/>
      <c r="IG353" s="51"/>
      <c r="IH353" s="51"/>
      <c r="II353" s="51"/>
      <c r="IJ353" s="51"/>
      <c r="IK353" s="51"/>
      <c r="IL353" s="51"/>
      <c r="IM353" s="51"/>
      <c r="IN353" s="51"/>
      <c r="IO353" s="51"/>
      <c r="IP353" s="51"/>
      <c r="IQ353" s="51"/>
      <c r="IR353" s="51"/>
      <c r="IS353" s="51"/>
      <c r="IT353" s="51"/>
      <c r="IU353" s="51"/>
      <c r="IV353" s="51"/>
    </row>
    <row r="354" hidden="1" ht="12.75" customHeight="1">
      <c r="B354" s="829" t="s">
        <v>11</v>
      </c>
      <c r="C354" s="823">
        <v>6049</v>
      </c>
      <c r="D354" s="823">
        <v>6177</v>
      </c>
      <c r="E354" s="823">
        <v>6747</v>
      </c>
      <c r="F354" s="823">
        <v>5962</v>
      </c>
      <c r="G354" s="823">
        <v>6461</v>
      </c>
      <c r="H354" s="823">
        <v>5864</v>
      </c>
      <c r="I354" s="823">
        <v>5669</v>
      </c>
      <c r="J354" s="823">
        <v>5727</v>
      </c>
      <c r="K354" s="823">
        <v>5521</v>
      </c>
      <c r="L354" s="823">
        <v>5978</v>
      </c>
      <c r="M354" s="823">
        <v>5298</v>
      </c>
      <c r="N354" s="823">
        <v>5083</v>
      </c>
      <c r="O354" s="823">
        <v>4918</v>
      </c>
      <c r="P354" s="823">
        <v>4508</v>
      </c>
      <c r="Q354" s="823">
        <v>4679</v>
      </c>
      <c r="R354" s="823">
        <v>4980</v>
      </c>
      <c r="S354" s="823">
        <v>5084</v>
      </c>
      <c r="T354" s="823">
        <v>4430</v>
      </c>
      <c r="U354" s="823">
        <v>4215</v>
      </c>
      <c r="V354" s="823">
        <v>4434</v>
      </c>
      <c r="W354" s="823">
        <v>5028</v>
      </c>
      <c r="X354" s="823">
        <v>5115</v>
      </c>
      <c r="Y354" s="823">
        <v>4748</v>
      </c>
      <c r="Z354" s="823">
        <v>4753</v>
      </c>
      <c r="AA354" s="823">
        <v>4337</v>
      </c>
      <c r="AB354" s="823">
        <v>4720</v>
      </c>
      <c r="AC354" s="825">
        <v>4274</v>
      </c>
      <c r="AD354" s="825">
        <v>4323</v>
      </c>
      <c r="AE354" s="825">
        <v>4124</v>
      </c>
      <c r="AF354" s="825">
        <v>4239</v>
      </c>
      <c r="AG354" s="825">
        <v>4124</v>
      </c>
      <c r="AH354" s="825">
        <v>4164</v>
      </c>
      <c r="AI354" s="825">
        <v>4150</v>
      </c>
      <c r="AJ354" s="825">
        <v>3962</v>
      </c>
      <c r="AK354" s="825">
        <v>3612</v>
      </c>
      <c r="AL354" s="825">
        <v>3502</v>
      </c>
      <c r="AM354" s="825">
        <v>3268</v>
      </c>
      <c r="AN354" s="825">
        <v>3009</v>
      </c>
      <c r="AO354" s="825">
        <v>2845</v>
      </c>
      <c r="AP354" s="825">
        <v>3214</v>
      </c>
    </row>
    <row r="355" hidden="1" ht="12.75" customHeight="1">
      <c r="B355" s="826" t="s">
        <v>12</v>
      </c>
      <c r="C355" s="827">
        <v>2884</v>
      </c>
      <c r="D355" s="827">
        <v>2672</v>
      </c>
      <c r="E355" s="827">
        <v>3144</v>
      </c>
      <c r="F355" s="827">
        <v>2846</v>
      </c>
      <c r="G355" s="827">
        <v>2736</v>
      </c>
      <c r="H355" s="827">
        <v>2663</v>
      </c>
      <c r="I355" s="827">
        <v>2703</v>
      </c>
      <c r="J355" s="827">
        <v>1967</v>
      </c>
      <c r="K355" s="827">
        <v>3036</v>
      </c>
      <c r="L355" s="827">
        <v>2832</v>
      </c>
      <c r="M355" s="827">
        <v>2945</v>
      </c>
      <c r="N355" s="827">
        <v>2707</v>
      </c>
      <c r="O355" s="827">
        <v>2821</v>
      </c>
      <c r="P355" s="827">
        <v>2522</v>
      </c>
      <c r="Q355" s="827">
        <v>3243</v>
      </c>
      <c r="R355" s="827">
        <v>2728</v>
      </c>
      <c r="S355" s="827">
        <v>2906</v>
      </c>
      <c r="T355" s="827">
        <v>2785</v>
      </c>
      <c r="U355" s="827">
        <v>2840</v>
      </c>
      <c r="V355" s="827">
        <v>2555</v>
      </c>
      <c r="W355" s="827">
        <v>2863</v>
      </c>
      <c r="X355" s="827">
        <v>2672</v>
      </c>
      <c r="Y355" s="827">
        <v>2975</v>
      </c>
      <c r="Z355" s="827">
        <v>2678</v>
      </c>
      <c r="AA355" s="827">
        <v>3414</v>
      </c>
      <c r="AB355" s="827">
        <v>2607</v>
      </c>
      <c r="AC355" s="828">
        <v>2935</v>
      </c>
      <c r="AD355" s="828">
        <v>2659</v>
      </c>
      <c r="AE355" s="828">
        <v>2476</v>
      </c>
      <c r="AF355" s="828">
        <v>2531</v>
      </c>
      <c r="AG355" s="828">
        <v>2573</v>
      </c>
      <c r="AH355" s="828">
        <v>2311</v>
      </c>
      <c r="AI355" s="828">
        <v>2520</v>
      </c>
      <c r="AJ355" s="828">
        <v>2229</v>
      </c>
      <c r="AK355" s="828">
        <v>2347</v>
      </c>
      <c r="AL355" s="828">
        <v>2185</v>
      </c>
      <c r="AM355" s="828">
        <v>2290</v>
      </c>
      <c r="AN355" s="828">
        <v>2215</v>
      </c>
      <c r="AO355" s="828">
        <v>3088</v>
      </c>
      <c r="AP355" s="828">
        <v>2921</v>
      </c>
    </row>
    <row r="356" hidden="1" ht="12.75" customHeight="1">
      <c r="B356" s="829" t="s">
        <v>13</v>
      </c>
      <c r="C356" s="823">
        <v>18112</v>
      </c>
      <c r="D356" s="823">
        <v>12026</v>
      </c>
      <c r="E356" s="823">
        <v>18530</v>
      </c>
      <c r="F356" s="823">
        <v>14876</v>
      </c>
      <c r="G356" s="823">
        <v>20769</v>
      </c>
      <c r="H356" s="823">
        <v>16169</v>
      </c>
      <c r="I356" s="823">
        <v>17743</v>
      </c>
      <c r="J356" s="823">
        <v>11734</v>
      </c>
      <c r="K356" s="823">
        <v>15330</v>
      </c>
      <c r="L356" s="823">
        <v>11419</v>
      </c>
      <c r="M356" s="823">
        <v>15902</v>
      </c>
      <c r="N356" s="823">
        <v>11245</v>
      </c>
      <c r="O356" s="823">
        <v>16092</v>
      </c>
      <c r="P356" s="823">
        <v>10852</v>
      </c>
      <c r="Q356" s="823">
        <v>16607</v>
      </c>
      <c r="R356" s="823">
        <v>10466</v>
      </c>
      <c r="S356" s="823">
        <v>17846</v>
      </c>
      <c r="T356" s="823">
        <v>12004</v>
      </c>
      <c r="U356" s="823">
        <v>18495</v>
      </c>
      <c r="V356" s="823">
        <v>10974</v>
      </c>
      <c r="W356" s="823">
        <v>18547</v>
      </c>
      <c r="X356" s="823">
        <v>12743</v>
      </c>
      <c r="Y356" s="823">
        <v>20139</v>
      </c>
      <c r="Z356" s="823">
        <v>13197</v>
      </c>
      <c r="AA356" s="823">
        <v>20832</v>
      </c>
      <c r="AB356" s="823">
        <v>13243</v>
      </c>
      <c r="AC356" s="825">
        <v>22525</v>
      </c>
      <c r="AD356" s="825">
        <v>14500</v>
      </c>
      <c r="AE356" s="825">
        <v>23788</v>
      </c>
      <c r="AF356" s="825">
        <v>15193</v>
      </c>
      <c r="AG356" s="825">
        <v>24303</v>
      </c>
      <c r="AH356" s="825">
        <v>14182</v>
      </c>
      <c r="AI356" s="825">
        <v>22966</v>
      </c>
      <c r="AJ356" s="825">
        <v>12166</v>
      </c>
      <c r="AK356" s="825">
        <v>19865</v>
      </c>
      <c r="AL356" s="825">
        <v>13222</v>
      </c>
      <c r="AM356" s="825">
        <v>19233</v>
      </c>
      <c r="AN356" s="825">
        <v>11761</v>
      </c>
      <c r="AO356" s="825">
        <v>20425</v>
      </c>
      <c r="AP356" s="825">
        <v>12982</v>
      </c>
    </row>
    <row r="357" hidden="1" ht="12.75" customHeight="1">
      <c r="B357" s="826" t="s">
        <v>109</v>
      </c>
      <c r="C357" s="827">
        <v>61595</v>
      </c>
      <c r="D357" s="827">
        <v>66415</v>
      </c>
      <c r="E357" s="827">
        <v>64382</v>
      </c>
      <c r="F357" s="827">
        <v>60053</v>
      </c>
      <c r="G357" s="827">
        <v>61919</v>
      </c>
      <c r="H357" s="827">
        <v>72708</v>
      </c>
      <c r="I357" s="827">
        <v>68305</v>
      </c>
      <c r="J357" s="827">
        <v>84172</v>
      </c>
      <c r="K357" s="827">
        <v>64659</v>
      </c>
      <c r="L357" s="827">
        <v>85432</v>
      </c>
      <c r="M357" s="827">
        <v>67392</v>
      </c>
      <c r="N357" s="827">
        <v>90111</v>
      </c>
      <c r="O357" s="827">
        <v>72342</v>
      </c>
      <c r="P357" s="827">
        <v>88859</v>
      </c>
      <c r="Q357" s="827">
        <v>74101</v>
      </c>
      <c r="R357" s="827">
        <v>88556</v>
      </c>
      <c r="S357" s="827">
        <v>72312</v>
      </c>
      <c r="T357" s="827">
        <v>106181</v>
      </c>
      <c r="U357" s="827">
        <v>97653</v>
      </c>
      <c r="V357" s="827">
        <v>111789</v>
      </c>
      <c r="W357" s="827">
        <v>102655</v>
      </c>
      <c r="X357" s="827">
        <v>115800</v>
      </c>
      <c r="Y357" s="827">
        <v>106083</v>
      </c>
      <c r="Z357" s="827">
        <v>126213</v>
      </c>
      <c r="AA357" s="827">
        <v>113682</v>
      </c>
      <c r="AB357" s="827">
        <v>133188</v>
      </c>
      <c r="AC357" s="828">
        <v>119335</v>
      </c>
      <c r="AD357" s="828">
        <v>129272</v>
      </c>
      <c r="AE357" s="828">
        <v>113134</v>
      </c>
      <c r="AF357" s="828">
        <v>134851</v>
      </c>
      <c r="AG357" s="828">
        <v>116805</v>
      </c>
      <c r="AH357" s="828">
        <v>127309</v>
      </c>
      <c r="AI357" s="828">
        <v>109775</v>
      </c>
      <c r="AJ357" s="828">
        <v>129397</v>
      </c>
      <c r="AK357" s="828">
        <v>111718</v>
      </c>
      <c r="AL357" s="828">
        <v>116524</v>
      </c>
      <c r="AM357" s="828">
        <v>103057</v>
      </c>
      <c r="AN357" s="828">
        <v>121719</v>
      </c>
      <c r="AO357" s="828">
        <v>118949</v>
      </c>
      <c r="AP357" s="828">
        <v>133532</v>
      </c>
    </row>
    <row r="358" hidden="1" ht="12.75" customHeight="1">
      <c r="B358" s="829" t="s">
        <v>110</v>
      </c>
      <c r="C358" s="823">
        <v>195808</v>
      </c>
      <c r="D358" s="823">
        <v>191489</v>
      </c>
      <c r="E358" s="823">
        <v>215514</v>
      </c>
      <c r="F358" s="823">
        <v>210508</v>
      </c>
      <c r="G358" s="823">
        <v>229900</v>
      </c>
      <c r="H358" s="823">
        <v>202000</v>
      </c>
      <c r="I358" s="823">
        <v>224743</v>
      </c>
      <c r="J358" s="823">
        <v>207211</v>
      </c>
      <c r="K358" s="823">
        <v>214622</v>
      </c>
      <c r="L358" s="823">
        <v>204644</v>
      </c>
      <c r="M358" s="823">
        <v>224351</v>
      </c>
      <c r="N358" s="823">
        <v>214137</v>
      </c>
      <c r="O358" s="823">
        <v>225843</v>
      </c>
      <c r="P358" s="823">
        <v>209149</v>
      </c>
      <c r="Q358" s="823">
        <v>213065</v>
      </c>
      <c r="R358" s="823">
        <v>207709</v>
      </c>
      <c r="S358" s="823">
        <v>235733</v>
      </c>
      <c r="T358" s="823">
        <v>230763</v>
      </c>
      <c r="U358" s="823">
        <v>245936</v>
      </c>
      <c r="V358" s="823">
        <v>225643</v>
      </c>
      <c r="W358" s="823">
        <v>250664</v>
      </c>
      <c r="X358" s="823">
        <v>232092</v>
      </c>
      <c r="Y358" s="823">
        <v>258827</v>
      </c>
      <c r="Z358" s="823">
        <v>245596</v>
      </c>
      <c r="AA358" s="823">
        <v>262399</v>
      </c>
      <c r="AB358" s="823">
        <v>242465</v>
      </c>
      <c r="AC358" s="825">
        <v>273325</v>
      </c>
      <c r="AD358" s="825">
        <v>256750</v>
      </c>
      <c r="AE358" s="825">
        <v>269463</v>
      </c>
      <c r="AF358" s="825">
        <v>259694</v>
      </c>
      <c r="AG358" s="825">
        <v>284572</v>
      </c>
      <c r="AH358" s="825">
        <v>259600</v>
      </c>
      <c r="AI358" s="825">
        <v>274789</v>
      </c>
      <c r="AJ358" s="825">
        <v>258162</v>
      </c>
      <c r="AK358" s="825">
        <v>267951</v>
      </c>
      <c r="AL358" s="825">
        <v>241655</v>
      </c>
      <c r="AM358" s="825">
        <v>259106</v>
      </c>
      <c r="AN358" s="825">
        <v>235339</v>
      </c>
      <c r="AO358" s="825">
        <v>275876</v>
      </c>
      <c r="AP358" s="825">
        <v>259000</v>
      </c>
    </row>
    <row r="359" hidden="1" ht="12.75" customHeight="1">
      <c r="B359" s="826" t="s">
        <v>16</v>
      </c>
      <c r="C359" s="827">
        <v>257175</v>
      </c>
      <c r="D359" s="827">
        <v>263142</v>
      </c>
      <c r="E359" s="827">
        <v>273341</v>
      </c>
      <c r="F359" s="827">
        <v>233460</v>
      </c>
      <c r="G359" s="827">
        <v>199186</v>
      </c>
      <c r="H359" s="827">
        <v>169763</v>
      </c>
      <c r="I359" s="827">
        <v>202436</v>
      </c>
      <c r="J359" s="827">
        <v>160925</v>
      </c>
      <c r="K359" s="827">
        <v>204419</v>
      </c>
      <c r="L359" s="827">
        <v>201741</v>
      </c>
      <c r="M359" s="827">
        <v>201212</v>
      </c>
      <c r="N359" s="827">
        <v>212670</v>
      </c>
      <c r="O359" s="827">
        <v>211903</v>
      </c>
      <c r="P359" s="827">
        <v>221407</v>
      </c>
      <c r="Q359" s="827">
        <v>238445</v>
      </c>
      <c r="R359" s="827">
        <v>0</v>
      </c>
      <c r="S359" s="827">
        <v>247322</v>
      </c>
      <c r="T359" s="827">
        <v>212842</v>
      </c>
      <c r="U359" s="827">
        <v>251613</v>
      </c>
      <c r="V359" s="827">
        <v>259416</v>
      </c>
      <c r="W359" s="827">
        <v>264478</v>
      </c>
      <c r="X359" s="827">
        <v>259306</v>
      </c>
      <c r="Y359" s="827">
        <v>270989</v>
      </c>
      <c r="Z359" s="827">
        <v>283180</v>
      </c>
      <c r="AA359" s="827">
        <v>296178</v>
      </c>
      <c r="AB359" s="827">
        <v>285082</v>
      </c>
      <c r="AC359" s="828">
        <v>278338</v>
      </c>
      <c r="AD359" s="828">
        <v>266197</v>
      </c>
      <c r="AE359" s="828">
        <v>272654</v>
      </c>
      <c r="AF359" s="828">
        <v>268288</v>
      </c>
      <c r="AG359" s="828">
        <v>265275</v>
      </c>
      <c r="AH359" s="828">
        <v>246479</v>
      </c>
      <c r="AI359" s="828">
        <v>242500</v>
      </c>
      <c r="AJ359" s="828">
        <v>241453</v>
      </c>
      <c r="AK359" s="828">
        <v>238379</v>
      </c>
      <c r="AL359" s="828">
        <v>229079</v>
      </c>
      <c r="AM359" s="828">
        <v>234370</v>
      </c>
      <c r="AN359" s="828">
        <v>231409</v>
      </c>
      <c r="AO359" s="828">
        <v>237596</v>
      </c>
      <c r="AP359" s="828">
        <v>243730</v>
      </c>
    </row>
    <row r="360" hidden="1" ht="12.75" customHeight="1">
      <c r="B360" s="829" t="s">
        <v>17</v>
      </c>
      <c r="C360" s="823">
        <v>110872</v>
      </c>
      <c r="D360" s="823">
        <v>106255</v>
      </c>
      <c r="E360" s="823">
        <v>127752</v>
      </c>
      <c r="F360" s="823">
        <v>127855</v>
      </c>
      <c r="G360" s="823">
        <v>128075</v>
      </c>
      <c r="H360" s="823">
        <v>107246</v>
      </c>
      <c r="I360" s="823">
        <v>111301</v>
      </c>
      <c r="J360" s="823">
        <v>90454</v>
      </c>
      <c r="K360" s="823">
        <v>107395</v>
      </c>
      <c r="L360" s="823">
        <v>90458</v>
      </c>
      <c r="M360" s="823">
        <v>107891</v>
      </c>
      <c r="N360" s="823">
        <v>93260</v>
      </c>
      <c r="O360" s="823">
        <v>110341</v>
      </c>
      <c r="P360" s="823">
        <v>94188</v>
      </c>
      <c r="Q360" s="823">
        <v>97658</v>
      </c>
      <c r="R360" s="823">
        <v>97648</v>
      </c>
      <c r="S360" s="823">
        <v>114745</v>
      </c>
      <c r="T360" s="823">
        <v>110112</v>
      </c>
      <c r="U360" s="823">
        <v>116650</v>
      </c>
      <c r="V360" s="823">
        <v>115961</v>
      </c>
      <c r="W360" s="823">
        <v>122702</v>
      </c>
      <c r="X360" s="823">
        <v>120181</v>
      </c>
      <c r="Y360" s="823">
        <v>126381</v>
      </c>
      <c r="Z360" s="823">
        <v>115728</v>
      </c>
      <c r="AA360" s="823">
        <v>129702</v>
      </c>
      <c r="AB360" s="823">
        <v>113062</v>
      </c>
      <c r="AC360" s="825">
        <v>131908</v>
      </c>
      <c r="AD360" s="825">
        <v>124356</v>
      </c>
      <c r="AE360" s="825">
        <v>135824</v>
      </c>
      <c r="AF360" s="825">
        <v>118815</v>
      </c>
      <c r="AG360" s="825">
        <v>136179</v>
      </c>
      <c r="AH360" s="825">
        <v>126212</v>
      </c>
      <c r="AI360" s="825">
        <v>128496</v>
      </c>
      <c r="AJ360" s="825">
        <v>127299</v>
      </c>
      <c r="AK360" s="825">
        <v>125824</v>
      </c>
      <c r="AL360" s="825">
        <v>115753</v>
      </c>
      <c r="AM360" s="825">
        <v>116238</v>
      </c>
      <c r="AN360" s="825">
        <v>123973</v>
      </c>
      <c r="AO360" s="825">
        <v>126240</v>
      </c>
      <c r="AP360" s="825">
        <v>122794</v>
      </c>
    </row>
    <row r="361" hidden="1" ht="12.75" customHeight="1">
      <c r="B361" s="826" t="s">
        <v>18</v>
      </c>
      <c r="C361" s="827">
        <v>116974</v>
      </c>
      <c r="D361" s="827">
        <v>118528</v>
      </c>
      <c r="E361" s="827">
        <v>125924</v>
      </c>
      <c r="F361" s="827">
        <v>121136</v>
      </c>
      <c r="G361" s="827">
        <v>75740</v>
      </c>
      <c r="H361" s="827">
        <v>62419</v>
      </c>
      <c r="I361" s="827">
        <v>38321</v>
      </c>
      <c r="J361" s="827">
        <v>99608</v>
      </c>
      <c r="K361" s="827">
        <v>106827</v>
      </c>
      <c r="L361" s="827">
        <v>100621</v>
      </c>
      <c r="M361" s="827">
        <v>103999</v>
      </c>
      <c r="N361" s="827">
        <v>99494</v>
      </c>
      <c r="O361" s="827">
        <v>103880</v>
      </c>
      <c r="P361" s="827">
        <v>99153</v>
      </c>
      <c r="Q361" s="827">
        <v>102020</v>
      </c>
      <c r="R361" s="827">
        <v>102156</v>
      </c>
      <c r="S361" s="827">
        <v>107390</v>
      </c>
      <c r="T361" s="827">
        <v>104483</v>
      </c>
      <c r="U361" s="827">
        <v>107483</v>
      </c>
      <c r="V361" s="827">
        <v>101977</v>
      </c>
      <c r="W361" s="827">
        <v>103960</v>
      </c>
      <c r="X361" s="827">
        <v>97543</v>
      </c>
      <c r="Y361" s="827">
        <v>104788</v>
      </c>
      <c r="Z361" s="827">
        <v>98833</v>
      </c>
      <c r="AA361" s="827">
        <v>105138</v>
      </c>
      <c r="AB361" s="827">
        <v>102255</v>
      </c>
      <c r="AC361" s="828">
        <v>104399</v>
      </c>
      <c r="AD361" s="828">
        <v>99162</v>
      </c>
      <c r="AE361" s="828">
        <v>106321</v>
      </c>
      <c r="AF361" s="828">
        <v>96927</v>
      </c>
      <c r="AG361" s="828">
        <v>105182</v>
      </c>
      <c r="AH361" s="828">
        <v>96955</v>
      </c>
      <c r="AI361" s="828">
        <v>106339</v>
      </c>
      <c r="AJ361" s="828">
        <v>98244</v>
      </c>
      <c r="AK361" s="828">
        <v>98566</v>
      </c>
      <c r="AL361" s="828">
        <v>95525</v>
      </c>
      <c r="AM361" s="828">
        <v>94953</v>
      </c>
      <c r="AN361" s="828">
        <v>89313</v>
      </c>
      <c r="AO361" s="828">
        <v>96435</v>
      </c>
      <c r="AP361" s="828">
        <v>93454</v>
      </c>
    </row>
    <row r="362" hidden="1" ht="12.75" customHeight="1">
      <c r="B362" s="829" t="s">
        <v>19</v>
      </c>
      <c r="C362" s="823">
        <v>14082</v>
      </c>
      <c r="D362" s="823">
        <v>14612</v>
      </c>
      <c r="E362" s="823">
        <v>14655</v>
      </c>
      <c r="F362" s="823">
        <v>15347</v>
      </c>
      <c r="G362" s="823">
        <v>12789</v>
      </c>
      <c r="H362" s="823">
        <v>15018</v>
      </c>
      <c r="I362" s="823">
        <v>14598</v>
      </c>
      <c r="J362" s="823">
        <v>13268</v>
      </c>
      <c r="K362" s="823">
        <v>13116</v>
      </c>
      <c r="L362" s="823">
        <v>239</v>
      </c>
      <c r="M362" s="823">
        <v>13614</v>
      </c>
      <c r="N362" s="823">
        <v>13807</v>
      </c>
      <c r="O362" s="823">
        <v>13450</v>
      </c>
      <c r="P362" s="823">
        <v>13198</v>
      </c>
      <c r="Q362" s="823">
        <v>11730</v>
      </c>
      <c r="R362" s="823">
        <v>12141</v>
      </c>
      <c r="S362" s="823">
        <v>12556</v>
      </c>
      <c r="T362" s="823">
        <v>13545</v>
      </c>
      <c r="U362" s="823">
        <v>14224</v>
      </c>
      <c r="V362" s="823">
        <v>13938</v>
      </c>
      <c r="W362" s="823">
        <v>14290</v>
      </c>
      <c r="X362" s="823">
        <v>12973</v>
      </c>
      <c r="Y362" s="823">
        <v>12969</v>
      </c>
      <c r="Z362" s="823">
        <v>14506</v>
      </c>
      <c r="AA362" s="823">
        <v>13356</v>
      </c>
      <c r="AB362" s="823">
        <v>13389</v>
      </c>
      <c r="AC362" s="825">
        <v>12972</v>
      </c>
      <c r="AD362" s="825">
        <v>12516</v>
      </c>
      <c r="AE362" s="825">
        <v>12285</v>
      </c>
      <c r="AF362" s="825">
        <v>12768</v>
      </c>
      <c r="AG362" s="825">
        <v>12925</v>
      </c>
      <c r="AH362" s="825">
        <v>13482</v>
      </c>
      <c r="AI362" s="825">
        <v>13235</v>
      </c>
      <c r="AJ362" s="825">
        <v>12749</v>
      </c>
      <c r="AK362" s="825">
        <v>11900</v>
      </c>
      <c r="AL362" s="825">
        <v>10357</v>
      </c>
      <c r="AM362" s="825">
        <v>12112</v>
      </c>
      <c r="AN362" s="825">
        <v>11831</v>
      </c>
      <c r="AO362" s="825">
        <v>13603</v>
      </c>
      <c r="AP362" s="825">
        <v>10373</v>
      </c>
    </row>
    <row r="363" hidden="1" ht="12.75" customHeight="1">
      <c r="B363" s="826" t="s">
        <v>20</v>
      </c>
      <c r="C363" s="827">
        <v>23524</v>
      </c>
      <c r="D363" s="827">
        <v>29601</v>
      </c>
      <c r="E363" s="827">
        <v>21857</v>
      </c>
      <c r="F363" s="827">
        <v>21770</v>
      </c>
      <c r="G363" s="827">
        <v>16877</v>
      </c>
      <c r="H363" s="827">
        <v>17147</v>
      </c>
      <c r="I363" s="827">
        <v>15234</v>
      </c>
      <c r="J363" s="827">
        <v>24168</v>
      </c>
      <c r="K363" s="827">
        <v>17887</v>
      </c>
      <c r="L363" s="827">
        <v>27482</v>
      </c>
      <c r="M363" s="827">
        <v>18792</v>
      </c>
      <c r="N363" s="827">
        <v>28369</v>
      </c>
      <c r="O363" s="827">
        <v>22559</v>
      </c>
      <c r="P363" s="827">
        <v>31307</v>
      </c>
      <c r="Q363" s="827">
        <v>23684</v>
      </c>
      <c r="R363" s="827">
        <v>33563</v>
      </c>
      <c r="S363" s="827">
        <v>27572</v>
      </c>
      <c r="T363" s="827">
        <v>33121</v>
      </c>
      <c r="U363" s="827">
        <v>29809</v>
      </c>
      <c r="V363" s="827">
        <v>36683</v>
      </c>
      <c r="W363" s="827">
        <v>29927</v>
      </c>
      <c r="X363" s="827">
        <v>39973</v>
      </c>
      <c r="Y363" s="827">
        <v>29747</v>
      </c>
      <c r="Z363" s="827">
        <v>41587</v>
      </c>
      <c r="AA363" s="827">
        <v>31732</v>
      </c>
      <c r="AB363" s="827">
        <v>42133</v>
      </c>
      <c r="AC363" s="828">
        <v>31990</v>
      </c>
      <c r="AD363" s="828">
        <v>41147</v>
      </c>
      <c r="AE363" s="828">
        <v>31859</v>
      </c>
      <c r="AF363" s="828">
        <v>38575</v>
      </c>
      <c r="AG363" s="828">
        <v>32269</v>
      </c>
      <c r="AH363" s="828">
        <v>34014</v>
      </c>
      <c r="AI363" s="828">
        <v>30156</v>
      </c>
      <c r="AJ363" s="828">
        <v>36099</v>
      </c>
      <c r="AK363" s="828">
        <v>27390</v>
      </c>
      <c r="AL363" s="828">
        <v>32746</v>
      </c>
      <c r="AM363" s="828">
        <v>30082</v>
      </c>
      <c r="AN363" s="828">
        <v>30051</v>
      </c>
      <c r="AO363" s="828">
        <v>32722</v>
      </c>
      <c r="AP363" s="828">
        <v>37590</v>
      </c>
    </row>
    <row r="364" hidden="1" ht="12.75" customHeight="1">
      <c r="B364" s="829" t="s">
        <v>21</v>
      </c>
      <c r="C364" s="823">
        <v>16352</v>
      </c>
      <c r="D364" s="823">
        <v>15861</v>
      </c>
      <c r="E364" s="823">
        <v>14941</v>
      </c>
      <c r="F364" s="823">
        <v>14950</v>
      </c>
      <c r="G364" s="823">
        <v>15257</v>
      </c>
      <c r="H364" s="823">
        <v>15829</v>
      </c>
      <c r="I364" s="823">
        <v>13772</v>
      </c>
      <c r="J364" s="823">
        <v>15357</v>
      </c>
      <c r="K364" s="823">
        <v>13949</v>
      </c>
      <c r="L364" s="823">
        <v>15281</v>
      </c>
      <c r="M364" s="823">
        <v>14103</v>
      </c>
      <c r="N364" s="823">
        <v>16242</v>
      </c>
      <c r="O364" s="823">
        <v>14297</v>
      </c>
      <c r="P364" s="823">
        <v>16178</v>
      </c>
      <c r="Q364" s="823">
        <v>14083</v>
      </c>
      <c r="R364" s="823">
        <v>15830</v>
      </c>
      <c r="S364" s="823">
        <v>15129</v>
      </c>
      <c r="T364" s="823">
        <v>16935</v>
      </c>
      <c r="U364" s="823">
        <v>16338</v>
      </c>
      <c r="V364" s="823">
        <v>17170</v>
      </c>
      <c r="W364" s="823">
        <v>16570</v>
      </c>
      <c r="X364" s="823">
        <v>18119</v>
      </c>
      <c r="Y364" s="823">
        <v>19948</v>
      </c>
      <c r="Z364" s="823">
        <v>22186</v>
      </c>
      <c r="AA364" s="823">
        <v>19892</v>
      </c>
      <c r="AB364" s="823">
        <v>21242</v>
      </c>
      <c r="AC364" s="825">
        <v>20158</v>
      </c>
      <c r="AD364" s="825">
        <v>19986</v>
      </c>
      <c r="AE364" s="825">
        <v>19447</v>
      </c>
      <c r="AF364" s="825">
        <v>20395</v>
      </c>
      <c r="AG364" s="825">
        <v>19251</v>
      </c>
      <c r="AH364" s="825">
        <v>18765</v>
      </c>
      <c r="AI364" s="825">
        <v>18828</v>
      </c>
      <c r="AJ364" s="825">
        <v>17394</v>
      </c>
      <c r="AK364" s="825">
        <v>16971</v>
      </c>
      <c r="AL364" s="825">
        <v>17933</v>
      </c>
      <c r="AM364" s="825">
        <v>17861</v>
      </c>
      <c r="AN364" s="825">
        <v>17883</v>
      </c>
      <c r="AO364" s="825">
        <v>17604</v>
      </c>
      <c r="AP364" s="825">
        <v>17866</v>
      </c>
    </row>
    <row r="365" hidden="1" ht="12.75" customHeight="1">
      <c r="B365" s="826" t="s">
        <v>22</v>
      </c>
      <c r="C365" s="827">
        <v>16529</v>
      </c>
      <c r="D365" s="827">
        <v>16452</v>
      </c>
      <c r="E365" s="827">
        <v>17635</v>
      </c>
      <c r="F365" s="827">
        <v>18227</v>
      </c>
      <c r="G365" s="827">
        <v>19103</v>
      </c>
      <c r="H365" s="827">
        <v>17856</v>
      </c>
      <c r="I365" s="827">
        <v>16779</v>
      </c>
      <c r="J365" s="827">
        <v>15241</v>
      </c>
      <c r="K365" s="827">
        <v>15882</v>
      </c>
      <c r="L365" s="827">
        <v>15467</v>
      </c>
      <c r="M365" s="827">
        <v>16174</v>
      </c>
      <c r="N365" s="827">
        <v>14881</v>
      </c>
      <c r="O365" s="827">
        <v>16234</v>
      </c>
      <c r="P365" s="827">
        <v>14595</v>
      </c>
      <c r="Q365" s="827">
        <v>15189</v>
      </c>
      <c r="R365" s="827">
        <v>13587</v>
      </c>
      <c r="S365" s="827">
        <v>15963</v>
      </c>
      <c r="T365" s="827">
        <v>14899</v>
      </c>
      <c r="U365" s="827">
        <v>16156</v>
      </c>
      <c r="V365" s="827">
        <v>14636</v>
      </c>
      <c r="W365" s="827">
        <v>15657</v>
      </c>
      <c r="X365" s="827">
        <v>13928</v>
      </c>
      <c r="Y365" s="827">
        <v>15904</v>
      </c>
      <c r="Z365" s="827">
        <v>13524</v>
      </c>
      <c r="AA365" s="827">
        <v>15493</v>
      </c>
      <c r="AB365" s="827">
        <v>13277</v>
      </c>
      <c r="AC365" s="828">
        <v>15726</v>
      </c>
      <c r="AD365" s="828">
        <v>13562</v>
      </c>
      <c r="AE365" s="828">
        <v>16363</v>
      </c>
      <c r="AF365" s="828">
        <v>14617</v>
      </c>
      <c r="AG365" s="828">
        <v>16558</v>
      </c>
      <c r="AH365" s="828">
        <v>13527</v>
      </c>
      <c r="AI365" s="828">
        <v>15851</v>
      </c>
      <c r="AJ365" s="828">
        <v>13813</v>
      </c>
      <c r="AK365" s="828">
        <v>14381</v>
      </c>
      <c r="AL365" s="828">
        <v>12453</v>
      </c>
      <c r="AM365" s="828">
        <v>14444</v>
      </c>
      <c r="AN365" s="828">
        <v>13095</v>
      </c>
      <c r="AO365" s="828">
        <v>15340</v>
      </c>
      <c r="AP365" s="828">
        <v>14008</v>
      </c>
    </row>
    <row r="366" hidden="1" ht="12.75" customHeight="1">
      <c r="B366" s="829" t="s">
        <v>23</v>
      </c>
      <c r="C366" s="823">
        <v>6276</v>
      </c>
      <c r="D366" s="823">
        <v>7029</v>
      </c>
      <c r="E366" s="823">
        <v>6033</v>
      </c>
      <c r="F366" s="823">
        <v>7022</v>
      </c>
      <c r="G366" s="823">
        <v>6338</v>
      </c>
      <c r="H366" s="823">
        <v>7235</v>
      </c>
      <c r="I366" s="823">
        <v>6765</v>
      </c>
      <c r="J366" s="823">
        <v>6582</v>
      </c>
      <c r="K366" s="823">
        <v>6485</v>
      </c>
      <c r="L366" s="823">
        <v>7317</v>
      </c>
      <c r="M366" s="823">
        <v>9266</v>
      </c>
      <c r="N366" s="823">
        <v>10387</v>
      </c>
      <c r="O366" s="823">
        <v>9219</v>
      </c>
      <c r="P366" s="823">
        <v>9303</v>
      </c>
      <c r="Q366" s="823">
        <v>8266</v>
      </c>
      <c r="R366" s="823">
        <v>8905</v>
      </c>
      <c r="S366" s="823">
        <v>10310</v>
      </c>
      <c r="T366" s="823">
        <v>9736</v>
      </c>
      <c r="U366" s="823">
        <v>10360</v>
      </c>
      <c r="V366" s="823">
        <v>10227</v>
      </c>
      <c r="W366" s="823">
        <v>10183</v>
      </c>
      <c r="X366" s="823">
        <v>10312</v>
      </c>
      <c r="Y366" s="823">
        <v>14070</v>
      </c>
      <c r="Z366" s="823">
        <v>12224</v>
      </c>
      <c r="AA366" s="823">
        <v>13496</v>
      </c>
      <c r="AB366" s="823">
        <v>12696</v>
      </c>
      <c r="AC366" s="825">
        <v>10475</v>
      </c>
      <c r="AD366" s="825">
        <v>9109</v>
      </c>
      <c r="AE366" s="825">
        <v>10599</v>
      </c>
      <c r="AF366" s="825">
        <v>9601</v>
      </c>
      <c r="AG366" s="825">
        <v>10219</v>
      </c>
      <c r="AH366" s="825">
        <v>9685</v>
      </c>
      <c r="AI366" s="825">
        <v>10039</v>
      </c>
      <c r="AJ366" s="825">
        <v>11025</v>
      </c>
      <c r="AK366" s="825">
        <v>10698</v>
      </c>
      <c r="AL366" s="825">
        <v>10262</v>
      </c>
      <c r="AM366" s="825">
        <v>10695</v>
      </c>
      <c r="AN366" s="825">
        <v>10406</v>
      </c>
      <c r="AO366" s="825">
        <v>12450</v>
      </c>
      <c r="AP366" s="825">
        <v>12308</v>
      </c>
    </row>
    <row r="367" hidden="1" ht="12.75" customHeight="1">
      <c r="B367" s="835" t="s">
        <v>24</v>
      </c>
      <c r="C367" s="827">
        <v>12236</v>
      </c>
      <c r="D367" s="827">
        <v>13107</v>
      </c>
      <c r="E367" s="827">
        <v>12138</v>
      </c>
      <c r="F367" s="827">
        <v>11419</v>
      </c>
      <c r="G367" s="827">
        <v>6843</v>
      </c>
      <c r="H367" s="827">
        <v>7121</v>
      </c>
      <c r="I367" s="827">
        <v>6487</v>
      </c>
      <c r="J367" s="827">
        <v>8354</v>
      </c>
      <c r="K367" s="827">
        <v>6160</v>
      </c>
      <c r="L367" s="827">
        <v>9217</v>
      </c>
      <c r="M367" s="827">
        <v>6367</v>
      </c>
      <c r="N367" s="827">
        <v>9458</v>
      </c>
      <c r="O367" s="827">
        <v>8385</v>
      </c>
      <c r="P367" s="827">
        <v>8156</v>
      </c>
      <c r="Q367" s="827">
        <v>6587</v>
      </c>
      <c r="R367" s="827">
        <v>8679</v>
      </c>
      <c r="S367" s="827">
        <v>7091</v>
      </c>
      <c r="T367" s="827">
        <v>9541</v>
      </c>
      <c r="U367" s="827">
        <v>8382</v>
      </c>
      <c r="V367" s="827">
        <v>10719</v>
      </c>
      <c r="W367" s="827">
        <v>10215</v>
      </c>
      <c r="X367" s="827">
        <v>11360</v>
      </c>
      <c r="Y367" s="827">
        <v>10079</v>
      </c>
      <c r="Z367" s="827">
        <v>11658</v>
      </c>
      <c r="AA367" s="827">
        <v>12267</v>
      </c>
      <c r="AB367" s="827">
        <v>13445</v>
      </c>
      <c r="AC367" s="828">
        <v>9527</v>
      </c>
      <c r="AD367" s="828">
        <v>12189</v>
      </c>
      <c r="AE367" s="828">
        <v>9355</v>
      </c>
      <c r="AF367" s="828">
        <v>12918</v>
      </c>
      <c r="AG367" s="828">
        <v>9919</v>
      </c>
      <c r="AH367" s="828">
        <v>11939</v>
      </c>
      <c r="AI367" s="828">
        <v>10056</v>
      </c>
      <c r="AJ367" s="828">
        <v>11605</v>
      </c>
      <c r="AK367" s="828">
        <v>9561</v>
      </c>
      <c r="AL367" s="828">
        <v>10637</v>
      </c>
      <c r="AM367" s="828">
        <v>8900</v>
      </c>
      <c r="AN367" s="828">
        <v>9794</v>
      </c>
      <c r="AO367" s="828">
        <v>10277</v>
      </c>
      <c r="AP367" s="828">
        <v>11913</v>
      </c>
    </row>
    <row r="368" hidden="1" ht="12.75" customHeight="1">
      <c r="B368" s="829" t="s">
        <v>25</v>
      </c>
      <c r="C368" s="823">
        <v>0</v>
      </c>
      <c r="D368" s="823">
        <v>0</v>
      </c>
      <c r="E368" s="823">
        <v>0</v>
      </c>
      <c r="F368" s="823">
        <v>0</v>
      </c>
      <c r="G368" s="823">
        <v>0</v>
      </c>
      <c r="H368" s="823">
        <v>0</v>
      </c>
      <c r="I368" s="823">
        <v>0</v>
      </c>
      <c r="J368" s="823">
        <v>0</v>
      </c>
      <c r="K368" s="823">
        <v>0</v>
      </c>
      <c r="L368" s="823">
        <v>0</v>
      </c>
      <c r="M368" s="823">
        <v>0</v>
      </c>
      <c r="N368" s="823">
        <v>0</v>
      </c>
      <c r="O368" s="823">
        <v>0</v>
      </c>
      <c r="P368" s="823">
        <v>0</v>
      </c>
      <c r="Q368" s="823">
        <v>0</v>
      </c>
      <c r="R368" s="823">
        <v>0</v>
      </c>
      <c r="S368" s="823">
        <v>0</v>
      </c>
      <c r="T368" s="823">
        <v>0</v>
      </c>
      <c r="U368" s="823">
        <v>0</v>
      </c>
      <c r="V368" s="823">
        <v>0</v>
      </c>
      <c r="W368" s="823">
        <v>0</v>
      </c>
      <c r="X368" s="823">
        <v>0</v>
      </c>
      <c r="Y368" s="823">
        <v>0</v>
      </c>
      <c r="Z368" s="823">
        <v>0</v>
      </c>
      <c r="AA368" s="823">
        <v>0</v>
      </c>
      <c r="AB368" s="823">
        <v>0</v>
      </c>
      <c r="AC368" s="825">
        <v>0</v>
      </c>
      <c r="AD368" s="825">
        <v>0</v>
      </c>
      <c r="AE368" s="825">
        <v>0</v>
      </c>
      <c r="AF368" s="825">
        <v>0</v>
      </c>
      <c r="AG368" s="825">
        <v>0</v>
      </c>
      <c r="AH368" s="825">
        <v>0</v>
      </c>
      <c r="AI368" s="825">
        <v>0</v>
      </c>
      <c r="AJ368" s="825">
        <v>0</v>
      </c>
      <c r="AK368" s="825">
        <v>0</v>
      </c>
      <c r="AL368" s="825">
        <v>0</v>
      </c>
      <c r="AM368" s="825">
        <v>0</v>
      </c>
      <c r="AN368" s="825">
        <v>0</v>
      </c>
      <c r="AO368" s="825">
        <v>0</v>
      </c>
      <c r="AP368" s="825">
        <v>0</v>
      </c>
    </row>
    <row r="369" hidden="1" ht="13.5" customHeight="1">
      <c r="B369" s="836" t="s">
        <v>26</v>
      </c>
      <c r="C369" s="827">
        <v>0</v>
      </c>
      <c r="D369" s="827">
        <v>0</v>
      </c>
      <c r="E369" s="827">
        <v>0</v>
      </c>
      <c r="F369" s="827">
        <v>0</v>
      </c>
      <c r="G369" s="827">
        <v>0</v>
      </c>
      <c r="H369" s="827">
        <v>0</v>
      </c>
      <c r="I369" s="827">
        <v>0</v>
      </c>
      <c r="J369" s="827">
        <v>0</v>
      </c>
      <c r="K369" s="827">
        <v>0</v>
      </c>
      <c r="L369" s="827">
        <v>0</v>
      </c>
      <c r="M369" s="827">
        <v>0</v>
      </c>
      <c r="N369" s="827">
        <v>0</v>
      </c>
      <c r="O369" s="827">
        <v>0</v>
      </c>
      <c r="P369" s="827">
        <v>0</v>
      </c>
      <c r="Q369" s="827">
        <v>0</v>
      </c>
      <c r="R369" s="827">
        <v>0</v>
      </c>
      <c r="S369" s="827">
        <v>0</v>
      </c>
      <c r="T369" s="827">
        <v>0</v>
      </c>
      <c r="U369" s="827">
        <v>0</v>
      </c>
      <c r="V369" s="827">
        <v>0</v>
      </c>
      <c r="W369" s="827">
        <v>0</v>
      </c>
      <c r="X369" s="827">
        <v>0</v>
      </c>
      <c r="Y369" s="827">
        <v>0</v>
      </c>
      <c r="Z369" s="827">
        <v>0</v>
      </c>
      <c r="AA369" s="827">
        <v>0</v>
      </c>
      <c r="AB369" s="837">
        <v>0</v>
      </c>
      <c r="AC369" s="828">
        <v>0</v>
      </c>
      <c r="AD369" s="828">
        <v>0</v>
      </c>
      <c r="AE369" s="828">
        <v>0</v>
      </c>
      <c r="AF369" s="828">
        <v>0</v>
      </c>
      <c r="AG369" s="828">
        <v>0</v>
      </c>
      <c r="AH369" s="828">
        <v>0</v>
      </c>
      <c r="AI369" s="828">
        <v>0</v>
      </c>
      <c r="AJ369" s="828">
        <v>0</v>
      </c>
      <c r="AK369" s="828">
        <v>0</v>
      </c>
      <c r="AL369" s="828">
        <v>0</v>
      </c>
      <c r="AM369" s="828">
        <v>6</v>
      </c>
      <c r="AN369" s="828">
        <v>0</v>
      </c>
      <c r="AO369" s="828">
        <v>2</v>
      </c>
      <c r="AP369" s="828">
        <v>5</v>
      </c>
    </row>
    <row r="370" hidden="1" ht="13.5" customHeight="1">
      <c r="B370" s="128" t="s">
        <v>7</v>
      </c>
      <c r="C370" s="129" t="str">
        <f>IF(SUM(C351:C369)&lt;&gt;0,SUM(C351:C369),"")</f>
      </c>
      <c r="D370" s="129" t="str">
        <f ref="D370:AA370" t="shared" si="32" ca="1">IF(SUM(D351:D369)&lt;&gt;0,SUM(D351:D369),"")</f>
      </c>
      <c r="E370" s="129" t="str">
        <f t="shared" si="32" ca="1"/>
      </c>
      <c r="F370" s="129" t="str">
        <f t="shared" si="32" ca="1"/>
      </c>
      <c r="G370" s="129" t="str">
        <f t="shared" si="32" ca="1"/>
      </c>
      <c r="H370" s="129" t="str">
        <f t="shared" si="32" ca="1"/>
      </c>
      <c r="I370" s="129" t="str">
        <f t="shared" si="32" ca="1"/>
      </c>
      <c r="J370" s="129" t="str">
        <f t="shared" si="32" ca="1"/>
      </c>
      <c r="K370" s="129" t="str">
        <f t="shared" si="32" ca="1"/>
      </c>
      <c r="L370" s="129" t="str">
        <f t="shared" si="32" ca="1"/>
      </c>
      <c r="M370" s="129" t="str">
        <f t="shared" si="32" ca="1"/>
      </c>
      <c r="N370" s="129" t="str">
        <f t="shared" si="32" ca="1"/>
      </c>
      <c r="O370" s="129" t="str">
        <f t="shared" si="32" ca="1"/>
      </c>
      <c r="P370" s="129" t="str">
        <f t="shared" si="32" ca="1"/>
      </c>
      <c r="Q370" s="129" t="str">
        <f t="shared" si="32" ca="1"/>
      </c>
      <c r="R370" s="129" t="str">
        <f t="shared" si="32" ca="1"/>
      </c>
      <c r="S370" s="129" t="str">
        <f t="shared" si="32" ca="1"/>
      </c>
      <c r="T370" s="129" t="str">
        <f t="shared" si="32" ca="1"/>
      </c>
      <c r="U370" s="129" t="str">
        <f t="shared" si="32" ca="1"/>
      </c>
      <c r="V370" s="129" t="str">
        <f t="shared" si="32" ca="1"/>
      </c>
      <c r="W370" s="129" t="str">
        <f t="shared" si="32" ca="1"/>
      </c>
      <c r="X370" s="129" t="str">
        <f t="shared" si="32" ca="1"/>
      </c>
      <c r="Y370" s="129" t="str">
        <f t="shared" si="32" ca="1"/>
      </c>
      <c r="Z370" s="129" t="str">
        <f t="shared" si="32" ca="1"/>
      </c>
      <c r="AA370" s="129" t="str">
        <f t="shared" si="32" ca="1"/>
      </c>
      <c r="AB370" s="130" t="str">
        <f>IF(SUM(AB351:AB369)&lt;&gt;0,SUM(AB351:AB369),"")</f>
      </c>
      <c r="AC370" s="91" t="str">
        <f ref="AC370:CN370" t="shared" si="33" ca="1">IF(SUM(AC351:AC369)&lt;&gt;0,SUM(AC351:AC369),"")</f>
      </c>
      <c r="AD370" s="91" t="str">
        <f t="shared" si="33" ca="1"/>
      </c>
      <c r="AE370" s="91" t="str">
        <f t="shared" si="33" ca="1"/>
      </c>
      <c r="AF370" s="91" t="str">
        <f t="shared" si="33" ca="1"/>
      </c>
      <c r="AG370" s="91" t="str">
        <f t="shared" si="33" ca="1"/>
      </c>
      <c r="AH370" s="91" t="str">
        <f t="shared" si="33" ca="1"/>
      </c>
      <c r="AI370" s="91" t="str">
        <f t="shared" si="33" ca="1"/>
      </c>
      <c r="AJ370" s="91" t="str">
        <f t="shared" si="33" ca="1"/>
      </c>
      <c r="AK370" s="91" t="str">
        <f t="shared" si="33" ca="1"/>
      </c>
      <c r="AL370" s="91" t="str">
        <f t="shared" si="33" ca="1"/>
      </c>
      <c r="AM370" s="91" t="str">
        <f t="shared" si="33" ca="1"/>
      </c>
      <c r="AN370" s="91" t="str">
        <f t="shared" si="33" ca="1"/>
      </c>
      <c r="AO370" s="91" t="str">
        <f t="shared" si="33" ca="1"/>
      </c>
      <c r="AP370" s="91" t="str">
        <f t="shared" si="33" ca="1"/>
      </c>
      <c r="AQ370" s="91" t="str">
        <f t="shared" si="33" ca="1"/>
      </c>
      <c r="AR370" s="91" t="str">
        <f t="shared" si="33" ca="1"/>
      </c>
      <c r="AS370" s="91" t="str">
        <f t="shared" si="33" ca="1"/>
      </c>
      <c r="AT370" s="91" t="str">
        <f t="shared" si="33" ca="1"/>
      </c>
      <c r="AU370" s="91" t="str">
        <f t="shared" si="33" ca="1"/>
      </c>
      <c r="AV370" s="91" t="str">
        <f t="shared" si="33" ca="1"/>
      </c>
      <c r="AW370" s="91" t="str">
        <f t="shared" si="33" ca="1"/>
      </c>
      <c r="AX370" s="91" t="str">
        <f t="shared" si="33" ca="1"/>
      </c>
      <c r="AY370" s="91" t="str">
        <f t="shared" si="33" ca="1"/>
      </c>
      <c r="AZ370" s="91" t="str">
        <f t="shared" si="33" ca="1"/>
      </c>
      <c r="BA370" s="91" t="str">
        <f t="shared" si="33" ca="1"/>
      </c>
      <c r="BB370" s="91" t="str">
        <f t="shared" si="33" ca="1"/>
      </c>
      <c r="BC370" s="91" t="str">
        <f t="shared" si="33" ca="1"/>
      </c>
      <c r="BD370" s="91" t="str">
        <f t="shared" si="33" ca="1"/>
      </c>
      <c r="BE370" s="91" t="str">
        <f t="shared" si="33" ca="1"/>
      </c>
      <c r="BF370" s="91" t="str">
        <f t="shared" si="33" ca="1"/>
      </c>
      <c r="BG370" s="91" t="str">
        <f t="shared" si="33" ca="1"/>
      </c>
      <c r="BH370" s="91" t="str">
        <f t="shared" si="33" ca="1"/>
      </c>
      <c r="BI370" s="91" t="str">
        <f t="shared" si="33" ca="1"/>
      </c>
      <c r="BJ370" s="91" t="str">
        <f t="shared" si="33" ca="1"/>
      </c>
      <c r="BK370" s="91" t="str">
        <f t="shared" si="33" ca="1"/>
      </c>
      <c r="BL370" s="91" t="str">
        <f t="shared" si="33" ca="1"/>
      </c>
      <c r="BM370" s="91" t="str">
        <f t="shared" si="33" ca="1"/>
      </c>
      <c r="BN370" s="91" t="str">
        <f t="shared" si="33" ca="1"/>
      </c>
      <c r="BO370" s="91" t="str">
        <f t="shared" si="33" ca="1"/>
      </c>
      <c r="BP370" s="91" t="str">
        <f t="shared" si="33" ca="1"/>
      </c>
      <c r="BQ370" s="91" t="str">
        <f t="shared" si="33" ca="1"/>
      </c>
      <c r="BR370" s="91" t="str">
        <f t="shared" si="33" ca="1"/>
      </c>
      <c r="BS370" s="91" t="str">
        <f t="shared" si="33" ca="1"/>
      </c>
      <c r="BT370" s="91" t="str">
        <f t="shared" si="33" ca="1"/>
      </c>
      <c r="BU370" s="91" t="str">
        <f t="shared" si="33" ca="1"/>
      </c>
      <c r="BV370" s="91" t="str">
        <f t="shared" si="33" ca="1"/>
      </c>
      <c r="BW370" s="91" t="str">
        <f t="shared" si="33" ca="1"/>
      </c>
      <c r="BX370" s="91" t="str">
        <f t="shared" si="33" ca="1"/>
      </c>
      <c r="BY370" s="91" t="str">
        <f t="shared" si="33" ca="1"/>
      </c>
      <c r="BZ370" s="91" t="str">
        <f t="shared" si="33" ca="1"/>
      </c>
      <c r="CA370" s="91" t="str">
        <f t="shared" si="33" ca="1"/>
      </c>
      <c r="CB370" s="91" t="str">
        <f t="shared" si="33" ca="1"/>
      </c>
      <c r="CC370" s="91" t="str">
        <f t="shared" si="33" ca="1"/>
      </c>
      <c r="CD370" s="91" t="str">
        <f t="shared" si="33" ca="1"/>
      </c>
      <c r="CE370" s="91" t="str">
        <f t="shared" si="33" ca="1"/>
      </c>
      <c r="CF370" s="91" t="str">
        <f t="shared" si="33" ca="1"/>
      </c>
      <c r="CG370" s="91" t="str">
        <f t="shared" si="33" ca="1"/>
      </c>
      <c r="CH370" s="91" t="str">
        <f t="shared" si="33" ca="1"/>
      </c>
      <c r="CI370" s="91" t="str">
        <f t="shared" si="33" ca="1"/>
      </c>
      <c r="CJ370" s="91" t="str">
        <f t="shared" si="33" ca="1"/>
      </c>
      <c r="CK370" s="91" t="str">
        <f t="shared" si="33" ca="1"/>
      </c>
      <c r="CL370" s="91" t="str">
        <f t="shared" si="33" ca="1"/>
      </c>
      <c r="CM370" s="91" t="str">
        <f t="shared" si="33" ca="1"/>
      </c>
      <c r="CN370" s="91" t="str">
        <f t="shared" si="33" ca="1"/>
      </c>
      <c r="CO370" s="91" t="str">
        <f ref="CO370:EZ370" t="shared" si="34" ca="1">IF(SUM(CO351:CO369)&lt;&gt;0,SUM(CO351:CO369),"")</f>
      </c>
      <c r="CP370" s="91" t="str">
        <f t="shared" si="34" ca="1"/>
      </c>
      <c r="CQ370" s="91" t="str">
        <f t="shared" si="34" ca="1"/>
      </c>
      <c r="CR370" s="91" t="str">
        <f t="shared" si="34" ca="1"/>
      </c>
      <c r="CS370" s="91" t="str">
        <f t="shared" si="34" ca="1"/>
      </c>
      <c r="CT370" s="91" t="str">
        <f t="shared" si="34" ca="1"/>
      </c>
      <c r="CU370" s="91" t="str">
        <f t="shared" si="34" ca="1"/>
      </c>
      <c r="CV370" s="91" t="str">
        <f t="shared" si="34" ca="1"/>
      </c>
      <c r="CW370" s="91" t="str">
        <f t="shared" si="34" ca="1"/>
      </c>
      <c r="CX370" s="91" t="str">
        <f t="shared" si="34" ca="1"/>
      </c>
      <c r="CY370" s="91" t="str">
        <f t="shared" si="34" ca="1"/>
      </c>
      <c r="CZ370" s="91" t="str">
        <f t="shared" si="34" ca="1"/>
      </c>
      <c r="DA370" s="91" t="str">
        <f t="shared" si="34" ca="1"/>
      </c>
      <c r="DB370" s="91" t="str">
        <f t="shared" si="34" ca="1"/>
      </c>
      <c r="DC370" s="91" t="str">
        <f t="shared" si="34" ca="1"/>
      </c>
      <c r="DD370" s="91" t="str">
        <f t="shared" si="34" ca="1"/>
      </c>
      <c r="DE370" s="91" t="str">
        <f t="shared" si="34" ca="1"/>
      </c>
      <c r="DF370" s="91" t="str">
        <f t="shared" si="34" ca="1"/>
      </c>
      <c r="DG370" s="91" t="str">
        <f t="shared" si="34" ca="1"/>
      </c>
      <c r="DH370" s="91" t="str">
        <f t="shared" si="34" ca="1"/>
      </c>
      <c r="DI370" s="91" t="str">
        <f t="shared" si="34" ca="1"/>
      </c>
      <c r="DJ370" s="91" t="str">
        <f t="shared" si="34" ca="1"/>
      </c>
      <c r="DK370" s="91" t="str">
        <f t="shared" si="34" ca="1"/>
      </c>
      <c r="DL370" s="91" t="str">
        <f t="shared" si="34" ca="1"/>
      </c>
      <c r="DM370" s="91" t="str">
        <f t="shared" si="34" ca="1"/>
      </c>
      <c r="DN370" s="91" t="str">
        <f t="shared" si="34" ca="1"/>
      </c>
      <c r="DO370" s="91" t="str">
        <f t="shared" si="34" ca="1"/>
      </c>
      <c r="DP370" s="91" t="str">
        <f t="shared" si="34" ca="1"/>
      </c>
      <c r="DQ370" s="91" t="str">
        <f t="shared" si="34" ca="1"/>
      </c>
      <c r="DR370" s="91" t="str">
        <f t="shared" si="34" ca="1"/>
      </c>
      <c r="DS370" s="91" t="str">
        <f t="shared" si="34" ca="1"/>
      </c>
      <c r="DT370" s="91" t="str">
        <f t="shared" si="34" ca="1"/>
      </c>
      <c r="DU370" s="91" t="str">
        <f t="shared" si="34" ca="1"/>
      </c>
      <c r="DV370" s="91" t="str">
        <f t="shared" si="34" ca="1"/>
      </c>
      <c r="DW370" s="91" t="str">
        <f t="shared" si="34" ca="1"/>
      </c>
      <c r="DX370" s="91" t="str">
        <f t="shared" si="34" ca="1"/>
      </c>
      <c r="DY370" s="91" t="str">
        <f t="shared" si="34" ca="1"/>
      </c>
      <c r="DZ370" s="91" t="str">
        <f t="shared" si="34" ca="1"/>
      </c>
      <c r="EA370" s="91" t="str">
        <f t="shared" si="34" ca="1"/>
      </c>
      <c r="EB370" s="91" t="str">
        <f t="shared" si="34" ca="1"/>
      </c>
      <c r="EC370" s="91" t="str">
        <f t="shared" si="34" ca="1"/>
      </c>
      <c r="ED370" s="91" t="str">
        <f t="shared" si="34" ca="1"/>
      </c>
      <c r="EE370" s="91" t="str">
        <f t="shared" si="34" ca="1"/>
      </c>
      <c r="EF370" s="91" t="str">
        <f t="shared" si="34" ca="1"/>
      </c>
      <c r="EG370" s="91" t="str">
        <f t="shared" si="34" ca="1"/>
      </c>
      <c r="EH370" s="91" t="str">
        <f t="shared" si="34" ca="1"/>
      </c>
      <c r="EI370" s="91" t="str">
        <f t="shared" si="34" ca="1"/>
      </c>
      <c r="EJ370" s="91" t="str">
        <f t="shared" si="34" ca="1"/>
      </c>
      <c r="EK370" s="91" t="str">
        <f t="shared" si="34" ca="1"/>
      </c>
      <c r="EL370" s="91" t="str">
        <f t="shared" si="34" ca="1"/>
      </c>
      <c r="EM370" s="91" t="str">
        <f t="shared" si="34" ca="1"/>
      </c>
      <c r="EN370" s="91" t="str">
        <f t="shared" si="34" ca="1"/>
      </c>
      <c r="EO370" s="91" t="str">
        <f t="shared" si="34" ca="1"/>
      </c>
      <c r="EP370" s="91" t="str">
        <f t="shared" si="34" ca="1"/>
      </c>
      <c r="EQ370" s="91" t="str">
        <f t="shared" si="34" ca="1"/>
      </c>
      <c r="ER370" s="91" t="str">
        <f t="shared" si="34" ca="1"/>
      </c>
      <c r="ES370" s="91" t="str">
        <f t="shared" si="34" ca="1"/>
      </c>
      <c r="ET370" s="91" t="str">
        <f t="shared" si="34" ca="1"/>
      </c>
      <c r="EU370" s="91" t="str">
        <f t="shared" si="34" ca="1"/>
      </c>
      <c r="EV370" s="91" t="str">
        <f t="shared" si="34" ca="1"/>
      </c>
      <c r="EW370" s="91" t="str">
        <f t="shared" si="34" ca="1"/>
      </c>
      <c r="EX370" s="91" t="str">
        <f t="shared" si="34" ca="1"/>
      </c>
      <c r="EY370" s="91" t="str">
        <f t="shared" si="34" ca="1"/>
      </c>
      <c r="EZ370" s="91" t="str">
        <f t="shared" si="34" ca="1"/>
      </c>
      <c r="FA370" s="91" t="str">
        <f ref="FA370:HL370" t="shared" si="35" ca="1">IF(SUM(FA351:FA369)&lt;&gt;0,SUM(FA351:FA369),"")</f>
      </c>
      <c r="FB370" s="91" t="str">
        <f t="shared" si="35" ca="1"/>
      </c>
      <c r="FC370" s="91" t="str">
        <f t="shared" si="35" ca="1"/>
      </c>
      <c r="FD370" s="91" t="str">
        <f t="shared" si="35" ca="1"/>
      </c>
      <c r="FE370" s="91" t="str">
        <f t="shared" si="35" ca="1"/>
      </c>
      <c r="FF370" s="91" t="str">
        <f t="shared" si="35" ca="1"/>
      </c>
      <c r="FG370" s="91" t="str">
        <f t="shared" si="35" ca="1"/>
      </c>
      <c r="FH370" s="91" t="str">
        <f t="shared" si="35" ca="1"/>
      </c>
      <c r="FI370" s="91" t="str">
        <f t="shared" si="35" ca="1"/>
      </c>
      <c r="FJ370" s="91" t="str">
        <f t="shared" si="35" ca="1"/>
      </c>
      <c r="FK370" s="91" t="str">
        <f t="shared" si="35" ca="1"/>
      </c>
      <c r="FL370" s="91" t="str">
        <f t="shared" si="35" ca="1"/>
      </c>
      <c r="FM370" s="91" t="str">
        <f t="shared" si="35" ca="1"/>
      </c>
      <c r="FN370" s="91" t="str">
        <f t="shared" si="35" ca="1"/>
      </c>
      <c r="FO370" s="91" t="str">
        <f t="shared" si="35" ca="1"/>
      </c>
      <c r="FP370" s="91" t="str">
        <f t="shared" si="35" ca="1"/>
      </c>
      <c r="FQ370" s="91" t="str">
        <f t="shared" si="35" ca="1"/>
      </c>
      <c r="FR370" s="91" t="str">
        <f t="shared" si="35" ca="1"/>
      </c>
      <c r="FS370" s="91" t="str">
        <f t="shared" si="35" ca="1"/>
      </c>
      <c r="FT370" s="91" t="str">
        <f t="shared" si="35" ca="1"/>
      </c>
      <c r="FU370" s="91" t="str">
        <f t="shared" si="35" ca="1"/>
      </c>
      <c r="FV370" s="91" t="str">
        <f t="shared" si="35" ca="1"/>
      </c>
      <c r="FW370" s="91" t="str">
        <f t="shared" si="35" ca="1"/>
      </c>
      <c r="FX370" s="91" t="str">
        <f t="shared" si="35" ca="1"/>
      </c>
      <c r="FY370" s="91" t="str">
        <f t="shared" si="35" ca="1"/>
      </c>
      <c r="FZ370" s="91" t="str">
        <f t="shared" si="35" ca="1"/>
      </c>
      <c r="GA370" s="91" t="str">
        <f t="shared" si="35" ca="1"/>
      </c>
      <c r="GB370" s="91" t="str">
        <f t="shared" si="35" ca="1"/>
      </c>
      <c r="GC370" s="91" t="str">
        <f t="shared" si="35" ca="1"/>
      </c>
      <c r="GD370" s="91" t="str">
        <f t="shared" si="35" ca="1"/>
      </c>
      <c r="GE370" s="91" t="str">
        <f t="shared" si="35" ca="1"/>
      </c>
      <c r="GF370" s="91" t="str">
        <f t="shared" si="35" ca="1"/>
      </c>
      <c r="GG370" s="91" t="str">
        <f t="shared" si="35" ca="1"/>
      </c>
      <c r="GH370" s="91" t="str">
        <f t="shared" si="35" ca="1"/>
      </c>
      <c r="GI370" s="91" t="str">
        <f t="shared" si="35" ca="1"/>
      </c>
      <c r="GJ370" s="91" t="str">
        <f t="shared" si="35" ca="1"/>
      </c>
      <c r="GK370" s="91" t="str">
        <f t="shared" si="35" ca="1"/>
      </c>
      <c r="GL370" s="91" t="str">
        <f t="shared" si="35" ca="1"/>
      </c>
      <c r="GM370" s="91" t="str">
        <f t="shared" si="35" ca="1"/>
      </c>
      <c r="GN370" s="91" t="str">
        <f t="shared" si="35" ca="1"/>
      </c>
      <c r="GO370" s="91" t="str">
        <f t="shared" si="35" ca="1"/>
      </c>
      <c r="GP370" s="91" t="str">
        <f t="shared" si="35" ca="1"/>
      </c>
      <c r="GQ370" s="91" t="str">
        <f t="shared" si="35" ca="1"/>
      </c>
      <c r="GR370" s="91" t="str">
        <f t="shared" si="35" ca="1"/>
      </c>
      <c r="GS370" s="91" t="str">
        <f t="shared" si="35" ca="1"/>
      </c>
      <c r="GT370" s="91" t="str">
        <f t="shared" si="35" ca="1"/>
      </c>
      <c r="GU370" s="91" t="str">
        <f t="shared" si="35" ca="1"/>
      </c>
      <c r="GV370" s="91" t="str">
        <f t="shared" si="35" ca="1"/>
      </c>
      <c r="GW370" s="91" t="str">
        <f t="shared" si="35" ca="1"/>
      </c>
      <c r="GX370" s="91" t="str">
        <f t="shared" si="35" ca="1"/>
      </c>
      <c r="GY370" s="91" t="str">
        <f t="shared" si="35" ca="1"/>
      </c>
      <c r="GZ370" s="91" t="str">
        <f t="shared" si="35" ca="1"/>
      </c>
      <c r="HA370" s="91" t="str">
        <f t="shared" si="35" ca="1"/>
      </c>
      <c r="HB370" s="91" t="str">
        <f t="shared" si="35" ca="1"/>
      </c>
      <c r="HC370" s="91" t="str">
        <f t="shared" si="35" ca="1"/>
      </c>
      <c r="HD370" s="91" t="str">
        <f t="shared" si="35" ca="1"/>
      </c>
      <c r="HE370" s="91" t="str">
        <f t="shared" si="35" ca="1"/>
      </c>
      <c r="HF370" s="91" t="str">
        <f t="shared" si="35" ca="1"/>
      </c>
      <c r="HG370" s="91" t="str">
        <f t="shared" si="35" ca="1"/>
      </c>
      <c r="HH370" s="91" t="str">
        <f t="shared" si="35" ca="1"/>
      </c>
      <c r="HI370" s="91" t="str">
        <f t="shared" si="35" ca="1"/>
      </c>
      <c r="HJ370" s="91" t="str">
        <f t="shared" si="35" ca="1"/>
      </c>
      <c r="HK370" s="91" t="str">
        <f t="shared" si="35" ca="1"/>
      </c>
      <c r="HL370" s="91" t="str">
        <f t="shared" si="35" ca="1"/>
      </c>
      <c r="HM370" s="91" t="str">
        <f ref="HM370:IV370" t="shared" si="36" ca="1">IF(SUM(HM351:HM369)&lt;&gt;0,SUM(HM351:HM369),"")</f>
      </c>
      <c r="HN370" s="91" t="str">
        <f t="shared" si="36" ca="1"/>
      </c>
      <c r="HO370" s="91" t="str">
        <f t="shared" si="36" ca="1"/>
      </c>
      <c r="HP370" s="91" t="str">
        <f t="shared" si="36" ca="1"/>
      </c>
      <c r="HQ370" s="91" t="str">
        <f t="shared" si="36" ca="1"/>
      </c>
      <c r="HR370" s="91" t="str">
        <f t="shared" si="36" ca="1"/>
      </c>
      <c r="HS370" s="91" t="str">
        <f t="shared" si="36" ca="1"/>
      </c>
      <c r="HT370" s="91" t="str">
        <f t="shared" si="36" ca="1"/>
      </c>
      <c r="HU370" s="91" t="str">
        <f t="shared" si="36" ca="1"/>
      </c>
      <c r="HV370" s="91" t="str">
        <f t="shared" si="36" ca="1"/>
      </c>
      <c r="HW370" s="91" t="str">
        <f t="shared" si="36" ca="1"/>
      </c>
      <c r="HX370" s="91" t="str">
        <f t="shared" si="36" ca="1"/>
      </c>
      <c r="HY370" s="91" t="str">
        <f t="shared" si="36" ca="1"/>
      </c>
      <c r="HZ370" s="91" t="str">
        <f t="shared" si="36" ca="1"/>
      </c>
      <c r="IA370" s="91" t="str">
        <f t="shared" si="36" ca="1"/>
      </c>
      <c r="IB370" s="91" t="str">
        <f t="shared" si="36" ca="1"/>
      </c>
      <c r="IC370" s="91" t="str">
        <f t="shared" si="36" ca="1"/>
      </c>
      <c r="ID370" s="91" t="str">
        <f t="shared" si="36" ca="1"/>
      </c>
      <c r="IE370" s="91" t="str">
        <f t="shared" si="36" ca="1"/>
      </c>
      <c r="IF370" s="91" t="str">
        <f t="shared" si="36" ca="1"/>
      </c>
      <c r="IG370" s="91" t="str">
        <f t="shared" si="36" ca="1"/>
      </c>
      <c r="IH370" s="91" t="str">
        <f t="shared" si="36" ca="1"/>
      </c>
      <c r="II370" s="91" t="str">
        <f t="shared" si="36" ca="1"/>
      </c>
      <c r="IJ370" s="91" t="str">
        <f t="shared" si="36" ca="1"/>
      </c>
      <c r="IK370" s="91" t="str">
        <f t="shared" si="36" ca="1"/>
      </c>
      <c r="IL370" s="91" t="str">
        <f t="shared" si="36" ca="1"/>
      </c>
      <c r="IM370" s="91" t="str">
        <f t="shared" si="36" ca="1"/>
      </c>
      <c r="IN370" s="91" t="str">
        <f t="shared" si="36" ca="1"/>
      </c>
      <c r="IO370" s="91" t="str">
        <f t="shared" si="36" ca="1"/>
      </c>
      <c r="IP370" s="91" t="str">
        <f t="shared" si="36" ca="1"/>
      </c>
      <c r="IQ370" s="91" t="str">
        <f t="shared" si="36" ca="1"/>
      </c>
      <c r="IR370" s="91" t="str">
        <f t="shared" si="36" ca="1"/>
      </c>
      <c r="IS370" s="91" t="str">
        <f t="shared" si="36" ca="1"/>
      </c>
      <c r="IT370" s="91" t="str">
        <f t="shared" si="36" ca="1"/>
      </c>
      <c r="IU370" s="91" t="str">
        <f t="shared" si="36" ca="1"/>
      </c>
      <c r="IV370" s="91" t="str">
        <f t="shared" si="36" ca="1"/>
      </c>
    </row>
    <row r="371" hidden="1" ht="12.75" customHeight="1"/>
    <row r="372" hidden="1" ht="13.5" customHeight="1"/>
    <row r="373" hidden="1" ht="13.5" customHeight="1">
      <c r="C373" s="617" t="s">
        <v>312</v>
      </c>
      <c r="D373" s="618"/>
      <c r="E373" s="618"/>
      <c r="F373" s="618"/>
      <c r="G373" s="618"/>
      <c r="H373" s="618"/>
      <c r="I373" s="618"/>
      <c r="J373" s="618"/>
      <c r="K373" s="618"/>
      <c r="L373" s="618"/>
      <c r="M373" s="618"/>
      <c r="N373" s="618"/>
      <c r="O373" s="618"/>
      <c r="P373" s="618"/>
      <c r="Q373" s="618"/>
      <c r="R373" s="618"/>
      <c r="S373" s="618"/>
      <c r="T373" s="618"/>
      <c r="U373" s="618"/>
      <c r="V373" s="618"/>
      <c r="W373" s="618"/>
      <c r="X373" s="618"/>
      <c r="Y373" s="618"/>
      <c r="Z373" s="618"/>
      <c r="AA373" s="618"/>
      <c r="AB373" s="619"/>
    </row>
    <row r="374" hidden="1" ht="13.5" customHeight="1">
      <c r="C374" s="435" t="str">
        <f> IF(C394&lt;&gt;"",TEXT(AUX!G$1,"dd-MMM-aa"),"")</f>
      </c>
      <c r="D374" s="435" t="str">
        <f> IF(D394&lt;&gt;"",TEXT(AUX!H$1,"dd-MMM-aa"),"")</f>
      </c>
      <c r="E374" s="435" t="str">
        <f> IF(E394&lt;&gt;"",TEXT(AUX!I$1,"dd-MMM-aa"),"")</f>
      </c>
      <c r="F374" s="435" t="str">
        <f> IF(F394&lt;&gt;"",TEXT(AUX!J$1,"dd-MMM-aa"),"")</f>
      </c>
      <c r="G374" s="435" t="str">
        <f> IF(G394&lt;&gt;"",TEXT(AUX!K$1,"dd-MMM-aa"),"")</f>
      </c>
      <c r="H374" s="435" t="str">
        <f> IF(H394&lt;&gt;"",TEXT(AUX!L$1,"dd-MMM-aa"),"")</f>
      </c>
      <c r="I374" s="435" t="str">
        <f> IF(I394&lt;&gt;"",TEXT(AUX!M$1,"dd-MMM-aa"),"")</f>
      </c>
      <c r="J374" s="435" t="str">
        <f> IF(J394&lt;&gt;"",TEXT(AUX!N$1,"dd-MMM-aa"),"")</f>
      </c>
      <c r="K374" s="435" t="str">
        <f> IF(K394&lt;&gt;"",TEXT(AUX!O$1,"dd-MMM-aa"),"")</f>
      </c>
      <c r="L374" s="435" t="str">
        <f> IF(L394&lt;&gt;"",TEXT(AUX!P$1,"dd-MMM-aa"),"")</f>
      </c>
      <c r="M374" s="435" t="str">
        <f> IF(M394&lt;&gt;"",TEXT(AUX!Q$1,"dd-MMM-aa"),"")</f>
      </c>
      <c r="N374" s="435" t="str">
        <f> IF(N394&lt;&gt;"",TEXT(AUX!R$1,"dd-MMM-aa"),"")</f>
      </c>
      <c r="O374" s="435" t="str">
        <f> IF(O394&lt;&gt;"",TEXT(AUX!S$1,"dd-MMM-aa"),"")</f>
      </c>
      <c r="P374" s="435" t="str">
        <f> IF(P394&lt;&gt;"",TEXT(AUX!T$1,"dd-MMM-aa"),"")</f>
      </c>
      <c r="Q374" s="435" t="str">
        <f> IF(Q394&lt;&gt;"",TEXT(AUX!U$1,"dd-MMM-aa"),"")</f>
      </c>
      <c r="R374" s="435" t="str">
        <f> IF(R394&lt;&gt;"",TEXT(AUX!V$1,"dd-MMM-aa"),"")</f>
      </c>
      <c r="S374" s="435" t="str">
        <f> IF(S394&lt;&gt;"",TEXT(AUX!W$1,"dd-MMM-aa"),"")</f>
      </c>
      <c r="T374" s="435" t="str">
        <f> IF(T394&lt;&gt;"",TEXT(AUX!X$1,"dd-MMM-aa"),"")</f>
      </c>
      <c r="U374" s="435" t="str">
        <f> IF(U394&lt;&gt;"",TEXT(AUX!Y$1,"dd-MMM-aa"),"")</f>
      </c>
      <c r="V374" s="435" t="str">
        <f> IF(V394&lt;&gt;"",TEXT(AUX!Z$1,"dd-MMM-aa"),"")</f>
      </c>
      <c r="W374" s="435" t="str">
        <f> IF(W394&lt;&gt;"",TEXT(AUX!AA$1,"dd-MMM-aa"),"")</f>
      </c>
      <c r="X374" s="435" t="str">
        <f> IF(X394&lt;&gt;"",TEXT(AUX!AB$1,"dd-MMM-aa"),"")</f>
      </c>
      <c r="Y374" s="435" t="str">
        <f> IF(Y394&lt;&gt;"",TEXT(AUX!AC$1,"dd-MMM-aa"),"")</f>
      </c>
      <c r="Z374" s="435" t="str">
        <f> IF(Z394&lt;&gt;"",TEXT(AUX!AD$1,"dd-MMM-aa"),"")</f>
      </c>
      <c r="AA374" s="435" t="str">
        <f> IF(AA394&lt;&gt;"",TEXT(AUX!AE$1,"dd-MMM-aa"),"")</f>
      </c>
      <c r="AB374" s="497" t="str">
        <f> IF(AB394&lt;&gt;"",TEXT(AUX!AF$1,"dd-MMM-aa"),"")</f>
      </c>
      <c r="AC374" s="496" t="str">
        <f> IF(AC394&lt;&gt;"",TEXT(AUX!AG$1,"dd-MMM-aa"),"")</f>
      </c>
      <c r="AD374" s="496" t="str">
        <f> IF(AD394&lt;&gt;"",TEXT(AUX!AH$1,"dd-MMM-aa"),"")</f>
      </c>
      <c r="AE374" s="496" t="str">
        <f> IF(AE394&lt;&gt;"",TEXT(AUX!AI$1,"dd-MMM-aa"),"")</f>
      </c>
      <c r="AF374" s="496" t="str">
        <f> IF(AF394&lt;&gt;"",TEXT(AUX!AJ$1,"dd-MMM-aa"),"")</f>
      </c>
      <c r="AG374" s="496" t="str">
        <f> IF(AG394&lt;&gt;"",TEXT(AUX!AK$1,"dd-MMM-aa"),"")</f>
      </c>
      <c r="AH374" s="496" t="str">
        <f> IF(AH394&lt;&gt;"",TEXT(AUX!AL$1,"dd-MMM-aa"),"")</f>
      </c>
      <c r="AI374" s="496" t="str">
        <f> IF(AI394&lt;&gt;"",TEXT(AUX!AM$1,"dd-MMM-aa"),"")</f>
      </c>
      <c r="AJ374" s="496" t="str">
        <f> IF(AJ394&lt;&gt;"",TEXT(AUX!AN$1,"dd-MMM-aa"),"")</f>
      </c>
      <c r="AK374" s="496" t="str">
        <f> IF(AK394&lt;&gt;"",TEXT(AUX!AO$1,"dd-MMM-aa"),"")</f>
      </c>
      <c r="AL374" s="496" t="str">
        <f> IF(AL394&lt;&gt;"",TEXT(AUX!AP$1,"dd-MMM-aa"),"")</f>
      </c>
      <c r="AM374" s="496" t="str">
        <f> IF(AM394&lt;&gt;"",TEXT(AUX!AQ$1,"dd-MMM-aa"),"")</f>
      </c>
      <c r="AN374" s="496" t="str">
        <f> IF(AN394&lt;&gt;"",TEXT(AUX!AR$1,"dd-MMM-aa"),"")</f>
      </c>
      <c r="AO374" s="496" t="str">
        <f> IF(AO394&lt;&gt;"",TEXT(AUX!AS$1,"dd-MMM-aa"),"")</f>
      </c>
      <c r="AP374" s="496" t="str">
        <f> IF(AP394&lt;&gt;"",TEXT(AUX!AT$1,"dd-MMM-aa"),"")</f>
      </c>
      <c r="AQ374" s="496" t="str">
        <f> IF(AQ394&lt;&gt;"",TEXT(AUX!AU$1,"dd-MMM-aa"),"")</f>
      </c>
      <c r="AR374" s="496" t="str">
        <f> IF(AR394&lt;&gt;"",TEXT(AUX!AV$1,"dd-MMM-aa"),"")</f>
      </c>
      <c r="AS374" s="496" t="str">
        <f> IF(AS394&lt;&gt;"",TEXT(AUX!AW$1,"dd-MMM-aa"),"")</f>
      </c>
      <c r="AT374" s="496" t="str">
        <f> IF(AT394&lt;&gt;"",TEXT(AUX!AX$1,"dd-MMM-aa"),"")</f>
      </c>
      <c r="AU374" s="496" t="str">
        <f> IF(AU394&lt;&gt;"",TEXT(AUX!AY$1,"dd-MMM-aa"),"")</f>
      </c>
      <c r="AV374" s="496" t="str">
        <f> IF(AV394&lt;&gt;"",TEXT(AUX!AZ$1,"dd-MMM-aa"),"")</f>
      </c>
      <c r="AW374" s="496" t="str">
        <f> IF(AW394&lt;&gt;"",TEXT(AUX!BA$1,"dd-MMM-aa"),"")</f>
      </c>
      <c r="AX374" s="496" t="str">
        <f> IF(AX394&lt;&gt;"",TEXT(AUX!BB$1,"dd-MMM-aa"),"")</f>
      </c>
      <c r="AY374" s="496" t="str">
        <f> IF(AY394&lt;&gt;"",TEXT(AUX!BC$1,"dd-MMM-aa"),"")</f>
      </c>
      <c r="AZ374" s="496" t="str">
        <f> IF(AZ394&lt;&gt;"",TEXT(AUX!BD$1,"dd-MMM-aa"),"")</f>
      </c>
      <c r="BA374" s="496" t="str">
        <f> IF(BA394&lt;&gt;"",TEXT(AUX!BE$1,"dd-MMM-aa"),"")</f>
      </c>
      <c r="BB374" s="496" t="str">
        <f> IF(BB394&lt;&gt;"",TEXT(AUX!BF$1,"dd-MMM-aa"),"")</f>
      </c>
      <c r="BC374" s="496" t="str">
        <f> IF(BC394&lt;&gt;"",TEXT(AUX!BG$1,"dd-MMM-aa"),"")</f>
      </c>
      <c r="BD374" s="496" t="str">
        <f> IF(BD394&lt;&gt;"",TEXT(AUX!BH$1,"dd-MMM-aa"),"")</f>
      </c>
      <c r="BE374" s="496" t="str">
        <f> IF(BE394&lt;&gt;"",TEXT(AUX!BI$1,"dd-MMM-aa"),"")</f>
      </c>
      <c r="BF374" s="496" t="str">
        <f> IF(BF394&lt;&gt;"",TEXT(AUX!BJ$1,"dd-MMM-aa"),"")</f>
      </c>
      <c r="BG374" s="496" t="str">
        <f> IF(BG394&lt;&gt;"",TEXT(AUX!BK$1,"dd-MMM-aa"),"")</f>
      </c>
      <c r="BH374" s="496" t="str">
        <f> IF(BH394&lt;&gt;"",TEXT(AUX!BL$1,"dd-MMM-aa"),"")</f>
      </c>
      <c r="BI374" s="496" t="str">
        <f> IF(BI394&lt;&gt;"",TEXT(AUX!BM$1,"dd-MMM-aa"),"")</f>
      </c>
      <c r="BJ374" s="496" t="str">
        <f> IF(BJ394&lt;&gt;"",TEXT(AUX!BN$1,"dd-MMM-aa"),"")</f>
      </c>
      <c r="BK374" s="496" t="str">
        <f> IF(BK394&lt;&gt;"",TEXT(AUX!BO$1,"dd-MMM-aa"),"")</f>
      </c>
      <c r="BL374" s="496" t="str">
        <f> IF(BL394&lt;&gt;"",TEXT(AUX!BP$1,"dd-MMM-aa"),"")</f>
      </c>
      <c r="BM374" s="496" t="str">
        <f> IF(BM394&lt;&gt;"",TEXT(AUX!BQ$1,"dd-MMM-aa"),"")</f>
      </c>
      <c r="BN374" s="496" t="str">
        <f> IF(BN394&lt;&gt;"",TEXT(AUX!BR$1,"dd-MMM-aa"),"")</f>
      </c>
      <c r="BO374" s="496" t="str">
        <f> IF(BO394&lt;&gt;"",TEXT(AUX!BS$1,"dd-MMM-aa"),"")</f>
      </c>
      <c r="BP374" s="496" t="str">
        <f> IF(BP394&lt;&gt;"",TEXT(AUX!BT$1,"dd-MMM-aa"),"")</f>
      </c>
      <c r="BQ374" s="496" t="str">
        <f> IF(BQ394&lt;&gt;"",TEXT(AUX!BU$1,"dd-MMM-aa"),"")</f>
      </c>
      <c r="BR374" s="496" t="str">
        <f> IF(BR394&lt;&gt;"",TEXT(AUX!BV$1,"dd-MMM-aa"),"")</f>
      </c>
      <c r="BS374" s="496" t="str">
        <f> IF(BS394&lt;&gt;"",TEXT(AUX!BW$1,"dd-MMM-aa"),"")</f>
      </c>
      <c r="BT374" s="496" t="str">
        <f> IF(BT394&lt;&gt;"",TEXT(AUX!BX$1,"dd-MMM-aa"),"")</f>
      </c>
      <c r="BU374" s="496" t="str">
        <f> IF(BU394&lt;&gt;"",TEXT(AUX!BY$1,"dd-MMM-aa"),"")</f>
      </c>
      <c r="BV374" s="496" t="str">
        <f> IF(BV394&lt;&gt;"",TEXT(AUX!BZ$1,"dd-MMM-aa"),"")</f>
      </c>
      <c r="BW374" s="496" t="str">
        <f> IF(BW394&lt;&gt;"",TEXT(AUX!CA$1,"dd-MMM-aa"),"")</f>
      </c>
      <c r="BX374" s="496" t="str">
        <f> IF(BX394&lt;&gt;"",TEXT(AUX!CB$1,"dd-MMM-aa"),"")</f>
      </c>
      <c r="BY374" s="496" t="str">
        <f> IF(BY394&lt;&gt;"",TEXT(AUX!CC$1,"dd-MMM-aa"),"")</f>
      </c>
      <c r="BZ374" s="496" t="str">
        <f> IF(BZ394&lt;&gt;"",TEXT(AUX!CD$1,"dd-MMM-aa"),"")</f>
      </c>
      <c r="CA374" s="496" t="str">
        <f> IF(CA394&lt;&gt;"",TEXT(AUX!CE$1,"dd-MMM-aa"),"")</f>
      </c>
      <c r="CB374" s="496" t="str">
        <f> IF(CB394&lt;&gt;"",TEXT(AUX!CF$1,"dd-MMM-aa"),"")</f>
      </c>
      <c r="CC374" s="496" t="str">
        <f> IF(CC394&lt;&gt;"",TEXT(AUX!CG$1,"dd-MMM-aa"),"")</f>
      </c>
      <c r="CD374" s="496" t="str">
        <f> IF(CD394&lt;&gt;"",TEXT(AUX!CH$1,"dd-MMM-aa"),"")</f>
      </c>
      <c r="CE374" s="496" t="str">
        <f> IF(CE394&lt;&gt;"",TEXT(AUX!CI$1,"dd-MMM-aa"),"")</f>
      </c>
      <c r="CF374" s="496" t="str">
        <f> IF(CF394&lt;&gt;"",TEXT(AUX!CJ$1,"dd-MMM-aa"),"")</f>
      </c>
      <c r="CG374" s="496" t="str">
        <f> IF(CG394&lt;&gt;"",TEXT(AUX!CK$1,"dd-MMM-aa"),"")</f>
      </c>
      <c r="CH374" s="496" t="str">
        <f> IF(CH394&lt;&gt;"",TEXT(AUX!CL$1,"dd-MMM-aa"),"")</f>
      </c>
      <c r="CI374" s="496" t="str">
        <f> IF(CI394&lt;&gt;"",TEXT(AUX!CM$1,"dd-MMM-aa"),"")</f>
      </c>
      <c r="CJ374" s="496" t="str">
        <f> IF(CJ394&lt;&gt;"",TEXT(AUX!CN$1,"dd-MMM-aa"),"")</f>
      </c>
      <c r="CK374" s="496" t="str">
        <f> IF(CK394&lt;&gt;"",TEXT(AUX!CO$1,"dd-MMM-aa"),"")</f>
      </c>
      <c r="CL374" s="496" t="str">
        <f> IF(CL394&lt;&gt;"",TEXT(AUX!CP$1,"dd-MMM-aa"),"")</f>
      </c>
      <c r="CM374" s="496" t="str">
        <f> IF(CM394&lt;&gt;"",TEXT(AUX!CQ$1,"dd-MMM-aa"),"")</f>
      </c>
      <c r="CN374" s="496" t="str">
        <f> IF(CN394&lt;&gt;"",TEXT(AUX!CR$1,"dd-MMM-aa"),"")</f>
      </c>
      <c r="CO374" s="496" t="str">
        <f> IF(CO394&lt;&gt;"",TEXT(AUX!CS$1,"dd-MMM-aa"),"")</f>
      </c>
      <c r="CP374" s="496" t="str">
        <f> IF(CP394&lt;&gt;"",TEXT(AUX!CT$1,"dd-MMM-aa"),"")</f>
      </c>
      <c r="CQ374" s="496" t="str">
        <f> IF(CQ394&lt;&gt;"",TEXT(AUX!CU$1,"dd-MMM-aa"),"")</f>
      </c>
      <c r="CR374" s="496" t="str">
        <f> IF(CR394&lt;&gt;"",TEXT(AUX!CV$1,"dd-MMM-aa"),"")</f>
      </c>
      <c r="CS374" s="496" t="str">
        <f> IF(CS394&lt;&gt;"",TEXT(AUX!CW$1,"dd-MMM-aa"),"")</f>
      </c>
      <c r="CT374" s="496" t="str">
        <f> IF(CT394&lt;&gt;"",TEXT(AUX!CX$1,"dd-MMM-aa"),"")</f>
      </c>
      <c r="CU374" s="496" t="str">
        <f> IF(CU394&lt;&gt;"",TEXT(AUX!CY$1,"dd-MMM-aa"),"")</f>
      </c>
      <c r="CV374" s="496" t="str">
        <f> IF(CV394&lt;&gt;"",TEXT(AUX!CZ$1,"dd-MMM-aa"),"")</f>
      </c>
      <c r="CW374" s="496" t="str">
        <f> IF(CW394&lt;&gt;"",TEXT(AUX!DA$1,"dd-MMM-aa"),"")</f>
      </c>
      <c r="CX374" s="496" t="str">
        <f> IF(CX394&lt;&gt;"",TEXT(AUX!DB$1,"dd-MMM-aa"),"")</f>
      </c>
      <c r="CY374" s="496" t="str">
        <f> IF(CY394&lt;&gt;"",TEXT(AUX!DC$1,"dd-MMM-aa"),"")</f>
      </c>
      <c r="CZ374" s="496" t="str">
        <f> IF(CZ394&lt;&gt;"",TEXT(AUX!DD$1,"dd-MMM-aa"),"")</f>
      </c>
      <c r="DA374" s="496" t="str">
        <f> IF(DA394&lt;&gt;"",TEXT(AUX!DE$1,"dd-MMM-aa"),"")</f>
      </c>
      <c r="DB374" s="496" t="str">
        <f> IF(DB394&lt;&gt;"",TEXT(AUX!DF$1,"dd-MMM-aa"),"")</f>
      </c>
      <c r="DC374" s="496" t="str">
        <f> IF(DC394&lt;&gt;"",TEXT(AUX!DG$1,"dd-MMM-aa"),"")</f>
      </c>
      <c r="DD374" s="496" t="str">
        <f> IF(DD394&lt;&gt;"",TEXT(AUX!DH$1,"dd-MMM-aa"),"")</f>
      </c>
      <c r="DE374" s="496" t="str">
        <f> IF(DE394&lt;&gt;"",TEXT(AUX!DI$1,"dd-MMM-aa"),"")</f>
      </c>
      <c r="DF374" s="496" t="str">
        <f> IF(DF394&lt;&gt;"",TEXT(AUX!DJ$1,"dd-MMM-aa"),"")</f>
      </c>
      <c r="DG374" s="496" t="str">
        <f> IF(DG394&lt;&gt;"",TEXT(AUX!DK$1,"dd-MMM-aa"),"")</f>
      </c>
      <c r="DH374" s="496" t="str">
        <f> IF(DH394&lt;&gt;"",TEXT(AUX!DL$1,"dd-MMM-aa"),"")</f>
      </c>
      <c r="DI374" s="496" t="str">
        <f> IF(DI394&lt;&gt;"",TEXT(AUX!DM$1,"dd-MMM-aa"),"")</f>
      </c>
      <c r="DJ374" s="496" t="str">
        <f> IF(DJ394&lt;&gt;"",TEXT(AUX!DN$1,"dd-MMM-aa"),"")</f>
      </c>
      <c r="DK374" s="496" t="str">
        <f> IF(DK394&lt;&gt;"",TEXT(AUX!DO$1,"dd-MMM-aa"),"")</f>
      </c>
      <c r="DL374" s="496" t="str">
        <f> IF(DL394&lt;&gt;"",TEXT(AUX!DP$1,"dd-MMM-aa"),"")</f>
      </c>
      <c r="DM374" s="496" t="str">
        <f> IF(DM394&lt;&gt;"",TEXT(AUX!DQ$1,"dd-MMM-aa"),"")</f>
      </c>
      <c r="DN374" s="496" t="str">
        <f> IF(DN394&lt;&gt;"",TEXT(AUX!DR$1,"dd-MMM-aa"),"")</f>
      </c>
      <c r="DO374" s="496" t="str">
        <f> IF(DO394&lt;&gt;"",TEXT(AUX!DS$1,"dd-MMM-aa"),"")</f>
      </c>
      <c r="DP374" s="496" t="str">
        <f> IF(DP394&lt;&gt;"",TEXT(AUX!DT$1,"dd-MMM-aa"),"")</f>
      </c>
      <c r="DQ374" s="496" t="str">
        <f> IF(DQ394&lt;&gt;"",TEXT(AUX!DU$1,"dd-MMM-aa"),"")</f>
      </c>
      <c r="DR374" s="496" t="str">
        <f> IF(DR394&lt;&gt;"",TEXT(AUX!DV$1,"dd-MMM-aa"),"")</f>
      </c>
      <c r="DS374" s="496" t="str">
        <f> IF(DS394&lt;&gt;"",TEXT(AUX!DW$1,"dd-MMM-aa"),"")</f>
      </c>
      <c r="DT374" s="496" t="str">
        <f> IF(DT394&lt;&gt;"",TEXT(AUX!DX$1,"dd-MMM-aa"),"")</f>
      </c>
      <c r="DU374" s="496" t="str">
        <f> IF(DU394&lt;&gt;"",TEXT(AUX!DY$1,"dd-MMM-aa"),"")</f>
      </c>
      <c r="DV374" s="496" t="str">
        <f> IF(DV394&lt;&gt;"",TEXT(AUX!DZ$1,"dd-MMM-aa"),"")</f>
      </c>
      <c r="DW374" s="496" t="str">
        <f> IF(DW394&lt;&gt;"",TEXT(AUX!EA$1,"dd-MMM-aa"),"")</f>
      </c>
      <c r="DX374" s="496" t="str">
        <f> IF(DX394&lt;&gt;"",TEXT(AUX!EB$1,"dd-MMM-aa"),"")</f>
      </c>
      <c r="DY374" s="496" t="str">
        <f> IF(DY394&lt;&gt;"",TEXT(AUX!EC$1,"dd-MMM-aa"),"")</f>
      </c>
      <c r="DZ374" s="496" t="str">
        <f> IF(DZ394&lt;&gt;"",TEXT(AUX!ED$1,"dd-MMM-aa"),"")</f>
      </c>
      <c r="EA374" s="496" t="str">
        <f> IF(EA394&lt;&gt;"",TEXT(AUX!EE$1,"dd-MMM-aa"),"")</f>
      </c>
      <c r="EB374" s="496" t="str">
        <f> IF(EB394&lt;&gt;"",TEXT(AUX!EF$1,"dd-MMM-aa"),"")</f>
      </c>
      <c r="EC374" s="496" t="str">
        <f> IF(EC394&lt;&gt;"",TEXT(AUX!EG$1,"dd-MMM-aa"),"")</f>
      </c>
      <c r="ED374" s="496" t="str">
        <f> IF(ED394&lt;&gt;"",TEXT(AUX!EH$1,"dd-MMM-aa"),"")</f>
      </c>
      <c r="EE374" s="496" t="str">
        <f> IF(EE394&lt;&gt;"",TEXT(AUX!EI$1,"dd-MMM-aa"),"")</f>
      </c>
      <c r="EF374" s="496" t="str">
        <f> IF(EF394&lt;&gt;"",TEXT(AUX!EJ$1,"dd-MMM-aa"),"")</f>
      </c>
      <c r="EG374" s="496" t="str">
        <f> IF(EG394&lt;&gt;"",TEXT(AUX!EK$1,"dd-MMM-aa"),"")</f>
      </c>
      <c r="EH374" s="496" t="str">
        <f> IF(EH394&lt;&gt;"",TEXT(AUX!EL$1,"dd-MMM-aa"),"")</f>
      </c>
      <c r="EI374" s="496" t="str">
        <f> IF(EI394&lt;&gt;"",TEXT(AUX!EM$1,"dd-MMM-aa"),"")</f>
      </c>
      <c r="EJ374" s="496" t="str">
        <f> IF(EJ394&lt;&gt;"",TEXT(AUX!EN$1,"dd-MMM-aa"),"")</f>
      </c>
      <c r="EK374" s="496" t="str">
        <f> IF(EK394&lt;&gt;"",TEXT(AUX!EO$1,"dd-MMM-aa"),"")</f>
      </c>
      <c r="EL374" s="496" t="str">
        <f> IF(EL394&lt;&gt;"",TEXT(AUX!EP$1,"dd-MMM-aa"),"")</f>
      </c>
      <c r="EM374" s="496" t="str">
        <f> IF(EM394&lt;&gt;"",TEXT(AUX!EQ$1,"dd-MMM-aa"),"")</f>
      </c>
      <c r="EN374" s="496" t="str">
        <f> IF(EN394&lt;&gt;"",TEXT(AUX!ER$1,"dd-MMM-aa"),"")</f>
      </c>
      <c r="EO374" s="496" t="str">
        <f> IF(EO394&lt;&gt;"",TEXT(AUX!ES$1,"dd-MMM-aa"),"")</f>
      </c>
      <c r="EP374" s="496" t="str">
        <f> IF(EP394&lt;&gt;"",TEXT(AUX!ET$1,"dd-MMM-aa"),"")</f>
      </c>
      <c r="EQ374" s="496" t="str">
        <f> IF(EQ394&lt;&gt;"",TEXT(AUX!EU$1,"dd-MMM-aa"),"")</f>
      </c>
      <c r="ER374" s="496" t="str">
        <f> IF(ER394&lt;&gt;"",TEXT(AUX!EV$1,"dd-MMM-aa"),"")</f>
      </c>
      <c r="ES374" s="496" t="str">
        <f> IF(ES394&lt;&gt;"",TEXT(AUX!EW$1,"dd-MMM-aa"),"")</f>
      </c>
      <c r="ET374" s="496" t="str">
        <f> IF(ET394&lt;&gt;"",TEXT(AUX!EX$1,"dd-MMM-aa"),"")</f>
      </c>
      <c r="EU374" s="496" t="str">
        <f> IF(EU394&lt;&gt;"",TEXT(AUX!EY$1,"dd-MMM-aa"),"")</f>
      </c>
      <c r="EV374" s="496" t="str">
        <f> IF(EV394&lt;&gt;"",TEXT(AUX!EZ$1,"dd-MMM-aa"),"")</f>
      </c>
      <c r="EW374" s="496" t="str">
        <f> IF(EW394&lt;&gt;"",TEXT(AUX!FA$1,"dd-MMM-aa"),"")</f>
      </c>
      <c r="EX374" s="496" t="str">
        <f> IF(EX394&lt;&gt;"",TEXT(AUX!FB$1,"dd-MMM-aa"),"")</f>
      </c>
      <c r="EY374" s="496" t="str">
        <f> IF(EY394&lt;&gt;"",TEXT(AUX!FC$1,"dd-MMM-aa"),"")</f>
      </c>
      <c r="EZ374" s="496" t="str">
        <f> IF(EZ394&lt;&gt;"",TEXT(AUX!FD$1,"dd-MMM-aa"),"")</f>
      </c>
      <c r="FA374" s="496" t="str">
        <f> IF(FA394&lt;&gt;"",TEXT(AUX!FE$1,"dd-MMM-aa"),"")</f>
      </c>
      <c r="FB374" s="496" t="str">
        <f> IF(FB394&lt;&gt;"",TEXT(AUX!FF$1,"dd-MMM-aa"),"")</f>
      </c>
      <c r="FC374" s="496" t="str">
        <f> IF(FC394&lt;&gt;"",TEXT(AUX!FG$1,"dd-MMM-aa"),"")</f>
      </c>
      <c r="FD374" s="496" t="str">
        <f> IF(FD394&lt;&gt;"",TEXT(AUX!FH$1,"dd-MMM-aa"),"")</f>
      </c>
      <c r="FE374" s="496" t="str">
        <f> IF(FE394&lt;&gt;"",TEXT(AUX!FI$1,"dd-MMM-aa"),"")</f>
      </c>
      <c r="FF374" s="496" t="str">
        <f> IF(FF394&lt;&gt;"",TEXT(AUX!FJ$1,"dd-MMM-aa"),"")</f>
      </c>
      <c r="FG374" s="496" t="str">
        <f> IF(FG394&lt;&gt;"",TEXT(AUX!FK$1,"dd-MMM-aa"),"")</f>
      </c>
      <c r="FH374" s="496" t="str">
        <f> IF(FH394&lt;&gt;"",TEXT(AUX!FL$1,"dd-MMM-aa"),"")</f>
      </c>
      <c r="FI374" s="496" t="str">
        <f> IF(FI394&lt;&gt;"",TEXT(AUX!FM$1,"dd-MMM-aa"),"")</f>
      </c>
      <c r="FJ374" s="496" t="str">
        <f> IF(FJ394&lt;&gt;"",TEXT(AUX!FN$1,"dd-MMM-aa"),"")</f>
      </c>
      <c r="FK374" s="496" t="str">
        <f> IF(FK394&lt;&gt;"",TEXT(AUX!FO$1,"dd-MMM-aa"),"")</f>
      </c>
      <c r="FL374" s="496" t="str">
        <f> IF(FL394&lt;&gt;"",TEXT(AUX!FP$1,"dd-MMM-aa"),"")</f>
      </c>
      <c r="FM374" s="496" t="str">
        <f> IF(FM394&lt;&gt;"",TEXT(AUX!FQ$1,"dd-MMM-aa"),"")</f>
      </c>
      <c r="FN374" s="496" t="str">
        <f> IF(FN394&lt;&gt;"",TEXT(AUX!FR$1,"dd-MMM-aa"),"")</f>
      </c>
      <c r="FO374" s="496" t="str">
        <f> IF(FO394&lt;&gt;"",TEXT(AUX!FS$1,"dd-MMM-aa"),"")</f>
      </c>
      <c r="FP374" s="496" t="str">
        <f> IF(FP394&lt;&gt;"",TEXT(AUX!FT$1,"dd-MMM-aa"),"")</f>
      </c>
      <c r="FQ374" s="496" t="str">
        <f> IF(FQ394&lt;&gt;"",TEXT(AUX!FU$1,"dd-MMM-aa"),"")</f>
      </c>
      <c r="FR374" s="496" t="str">
        <f> IF(FR394&lt;&gt;"",TEXT(AUX!FV$1,"dd-MMM-aa"),"")</f>
      </c>
      <c r="FS374" s="496" t="str">
        <f> IF(FS394&lt;&gt;"",TEXT(AUX!FW$1,"dd-MMM-aa"),"")</f>
      </c>
      <c r="FT374" s="496" t="str">
        <f> IF(FT394&lt;&gt;"",TEXT(AUX!FX$1,"dd-MMM-aa"),"")</f>
      </c>
      <c r="FU374" s="496" t="str">
        <f> IF(FU394&lt;&gt;"",TEXT(AUX!FY$1,"dd-MMM-aa"),"")</f>
      </c>
      <c r="FV374" s="496" t="str">
        <f> IF(FV394&lt;&gt;"",TEXT(AUX!FZ$1,"dd-MMM-aa"),"")</f>
      </c>
      <c r="FW374" s="496" t="str">
        <f> IF(FW394&lt;&gt;"",TEXT(AUX!GA$1,"dd-MMM-aa"),"")</f>
      </c>
      <c r="FX374" s="496" t="str">
        <f> IF(FX394&lt;&gt;"",TEXT(AUX!GB$1,"dd-MMM-aa"),"")</f>
      </c>
      <c r="FY374" s="496" t="str">
        <f> IF(FY394&lt;&gt;"",TEXT(AUX!GC$1,"dd-MMM-aa"),"")</f>
      </c>
      <c r="FZ374" s="496" t="str">
        <f> IF(FZ394&lt;&gt;"",TEXT(AUX!GD$1,"dd-MMM-aa"),"")</f>
      </c>
      <c r="GA374" s="496" t="str">
        <f> IF(GA394&lt;&gt;"",TEXT(AUX!GE$1,"dd-MMM-aa"),"")</f>
      </c>
      <c r="GB374" s="496" t="str">
        <f> IF(GB394&lt;&gt;"",TEXT(AUX!GF$1,"dd-MMM-aa"),"")</f>
      </c>
      <c r="GC374" s="496" t="str">
        <f> IF(GC394&lt;&gt;"",TEXT(AUX!GG$1,"dd-MMM-aa"),"")</f>
      </c>
      <c r="GD374" s="496" t="str">
        <f> IF(GD394&lt;&gt;"",TEXT(AUX!GH$1,"dd-MMM-aa"),"")</f>
      </c>
      <c r="GE374" s="496" t="str">
        <f> IF(GE394&lt;&gt;"",TEXT(AUX!GI$1,"dd-MMM-aa"),"")</f>
      </c>
      <c r="GF374" s="496" t="str">
        <f> IF(GF394&lt;&gt;"",TEXT(AUX!GJ$1,"dd-MMM-aa"),"")</f>
      </c>
      <c r="GG374" s="496" t="str">
        <f> IF(GG394&lt;&gt;"",TEXT(AUX!GK$1,"dd-MMM-aa"),"")</f>
      </c>
      <c r="GH374" s="496" t="str">
        <f> IF(GH394&lt;&gt;"",TEXT(AUX!GL$1,"dd-MMM-aa"),"")</f>
      </c>
      <c r="GI374" s="496" t="str">
        <f> IF(GI394&lt;&gt;"",TEXT(AUX!GM$1,"dd-MMM-aa"),"")</f>
      </c>
      <c r="GJ374" s="496" t="str">
        <f> IF(GJ394&lt;&gt;"",TEXT(AUX!GN$1,"dd-MMM-aa"),"")</f>
      </c>
      <c r="GK374" s="496" t="str">
        <f> IF(GK394&lt;&gt;"",TEXT(AUX!GO$1,"dd-MMM-aa"),"")</f>
      </c>
      <c r="GL374" s="496" t="str">
        <f> IF(GL394&lt;&gt;"",TEXT(AUX!GP$1,"dd-MMM-aa"),"")</f>
      </c>
      <c r="GM374" s="496" t="str">
        <f> IF(GM394&lt;&gt;"",TEXT(AUX!GQ$1,"dd-MMM-aa"),"")</f>
      </c>
      <c r="GN374" s="496" t="str">
        <f> IF(GN394&lt;&gt;"",TEXT(AUX!GR$1,"dd-MMM-aa"),"")</f>
      </c>
      <c r="GO374" s="496" t="str">
        <f> IF(GO394&lt;&gt;"",TEXT(AUX!GS$1,"dd-MMM-aa"),"")</f>
      </c>
      <c r="GP374" s="496" t="str">
        <f> IF(GP394&lt;&gt;"",TEXT(AUX!GT$1,"dd-MMM-aa"),"")</f>
      </c>
      <c r="GQ374" s="496" t="str">
        <f> IF(GQ394&lt;&gt;"",TEXT(AUX!GU$1,"dd-MMM-aa"),"")</f>
      </c>
      <c r="GR374" s="496" t="str">
        <f> IF(GR394&lt;&gt;"",TEXT(AUX!GV$1,"dd-MMM-aa"),"")</f>
      </c>
      <c r="GS374" s="496" t="str">
        <f> IF(GS394&lt;&gt;"",TEXT(AUX!GW$1,"dd-MMM-aa"),"")</f>
      </c>
      <c r="GT374" s="496" t="str">
        <f> IF(GT394&lt;&gt;"",TEXT(AUX!GX$1,"dd-MMM-aa"),"")</f>
      </c>
      <c r="GU374" s="496" t="str">
        <f> IF(GU394&lt;&gt;"",TEXT(AUX!GY$1,"dd-MMM-aa"),"")</f>
      </c>
      <c r="GV374" s="496" t="str">
        <f> IF(GV394&lt;&gt;"",TEXT(AUX!GZ$1,"dd-MMM-aa"),"")</f>
      </c>
      <c r="GW374" s="496" t="str">
        <f> IF(GW394&lt;&gt;"",TEXT(AUX!HA$1,"dd-MMM-aa"),"")</f>
      </c>
      <c r="GX374" s="496" t="str">
        <f> IF(GX394&lt;&gt;"",TEXT(AUX!HB$1,"dd-MMM-aa"),"")</f>
      </c>
      <c r="GY374" s="496" t="str">
        <f> IF(GY394&lt;&gt;"",TEXT(AUX!HC$1,"dd-MMM-aa"),"")</f>
      </c>
      <c r="GZ374" s="496" t="str">
        <f> IF(GZ394&lt;&gt;"",TEXT(AUX!HD$1,"dd-MMM-aa"),"")</f>
      </c>
      <c r="HA374" s="496" t="str">
        <f> IF(HA394&lt;&gt;"",TEXT(AUX!HE$1,"dd-MMM-aa"),"")</f>
      </c>
      <c r="HB374" s="496" t="str">
        <f> IF(HB394&lt;&gt;"",TEXT(AUX!HF$1,"dd-MMM-aa"),"")</f>
      </c>
      <c r="HC374" s="496" t="str">
        <f> IF(HC394&lt;&gt;"",TEXT(AUX!HG$1,"dd-MMM-aa"),"")</f>
      </c>
      <c r="HD374" s="496" t="str">
        <f> IF(HD394&lt;&gt;"",TEXT(AUX!HH$1,"dd-MMM-aa"),"")</f>
      </c>
      <c r="HE374" s="496" t="str">
        <f> IF(HE394&lt;&gt;"",TEXT(AUX!HI$1,"dd-MMM-aa"),"")</f>
      </c>
      <c r="HF374" s="496" t="str">
        <f> IF(HF394&lt;&gt;"",TEXT(AUX!HJ$1,"dd-MMM-aa"),"")</f>
      </c>
      <c r="HG374" s="496" t="str">
        <f> IF(HG394&lt;&gt;"",TEXT(AUX!HK$1,"dd-MMM-aa"),"")</f>
      </c>
      <c r="HH374" s="496" t="str">
        <f> IF(HH394&lt;&gt;"",TEXT(AUX!HL$1,"dd-MMM-aa"),"")</f>
      </c>
      <c r="HI374" s="496" t="str">
        <f> IF(HI394&lt;&gt;"",TEXT(AUX!HM$1,"dd-MMM-aa"),"")</f>
      </c>
      <c r="HJ374" s="496" t="str">
        <f> IF(HJ394&lt;&gt;"",TEXT(AUX!HN$1,"dd-MMM-aa"),"")</f>
      </c>
      <c r="HK374" s="496" t="str">
        <f> IF(HK394&lt;&gt;"",TEXT(AUX!HO$1,"dd-MMM-aa"),"")</f>
      </c>
      <c r="HL374" s="496" t="str">
        <f> IF(HL394&lt;&gt;"",TEXT(AUX!HP$1,"dd-MMM-aa"),"")</f>
      </c>
      <c r="HM374" s="496" t="str">
        <f> IF(HM394&lt;&gt;"",TEXT(AUX!HQ$1,"dd-MMM-aa"),"")</f>
      </c>
      <c r="HN374" s="496" t="str">
        <f> IF(HN394&lt;&gt;"",TEXT(AUX!HR$1,"dd-MMM-aa"),"")</f>
      </c>
      <c r="HO374" s="496" t="str">
        <f> IF(HO394&lt;&gt;"",TEXT(AUX!HS$1,"dd-MMM-aa"),"")</f>
      </c>
      <c r="HP374" s="496" t="str">
        <f> IF(HP394&lt;&gt;"",TEXT(AUX!HT$1,"dd-MMM-aa"),"")</f>
      </c>
      <c r="HQ374" s="496" t="str">
        <f> IF(HQ394&lt;&gt;"",TEXT(AUX!HU$1,"dd-MMM-aa"),"")</f>
      </c>
      <c r="HR374" s="496" t="str">
        <f> IF(HR394&lt;&gt;"",TEXT(AUX!HV$1,"dd-MMM-aa"),"")</f>
      </c>
      <c r="HS374" s="496" t="str">
        <f> IF(HS394&lt;&gt;"",TEXT(AUX!HW$1,"dd-MMM-aa"),"")</f>
      </c>
      <c r="HT374" s="496" t="str">
        <f> IF(HT394&lt;&gt;"",TEXT(AUX!HX$1,"dd-MMM-aa"),"")</f>
      </c>
      <c r="HU374" s="496" t="str">
        <f> IF(HU394&lt;&gt;"",TEXT(AUX!HY$1,"dd-MMM-aa"),"")</f>
      </c>
      <c r="HV374" s="496" t="str">
        <f> IF(HV394&lt;&gt;"",TEXT(AUX!HZ$1,"dd-MMM-aa"),"")</f>
      </c>
      <c r="HW374" s="496" t="str">
        <f> IF(HW394&lt;&gt;"",TEXT(AUX!IA$1,"dd-MMM-aa"),"")</f>
      </c>
      <c r="HX374" s="496" t="str">
        <f> IF(HX394&lt;&gt;"",TEXT(AUX!IB$1,"dd-MMM-aa"),"")</f>
      </c>
      <c r="HY374" s="496" t="str">
        <f> IF(HY394&lt;&gt;"",TEXT(AUX!IC$1,"dd-MMM-aa"),"")</f>
      </c>
      <c r="HZ374" s="496" t="str">
        <f> IF(HZ394&lt;&gt;"",TEXT(AUX!ID$1,"dd-MMM-aa"),"")</f>
      </c>
      <c r="IA374" s="496" t="str">
        <f> IF(IA394&lt;&gt;"",TEXT(AUX!IE$1,"dd-MMM-aa"),"")</f>
      </c>
      <c r="IB374" s="496" t="str">
        <f> IF(IB394&lt;&gt;"",TEXT(AUX!IF$1,"dd-MMM-aa"),"")</f>
      </c>
      <c r="IC374" s="496" t="str">
        <f> IF(IC394&lt;&gt;"",TEXT(AUX!IG$1,"dd-MMM-aa"),"")</f>
      </c>
      <c r="ID374" s="496" t="str">
        <f> IF(ID394&lt;&gt;"",TEXT(AUX!IH$1,"dd-MMM-aa"),"")</f>
      </c>
      <c r="IE374" s="496" t="str">
        <f> IF(IE394&lt;&gt;"",TEXT(AUX!II$1,"dd-MMM-aa"),"")</f>
      </c>
      <c r="IF374" s="496" t="str">
        <f> IF(IF394&lt;&gt;"",TEXT(AUX!IJ$1,"dd-MMM-aa"),"")</f>
      </c>
      <c r="IG374" s="496" t="str">
        <f> IF(IG394&lt;&gt;"",TEXT(AUX!IK$1,"dd-MMM-aa"),"")</f>
      </c>
      <c r="IH374" s="496" t="str">
        <f> IF(IH394&lt;&gt;"",TEXT(AUX!IL$1,"dd-MMM-aa"),"")</f>
      </c>
      <c r="II374" s="496" t="str">
        <f> IF(II394&lt;&gt;"",TEXT(AUX!IM$1,"dd-MMM-aa"),"")</f>
      </c>
      <c r="IJ374" s="496" t="str">
        <f> IF(IJ394&lt;&gt;"",TEXT(AUX!IN$1,"dd-MMM-aa"),"")</f>
      </c>
      <c r="IK374" s="496" t="str">
        <f> IF(IK394&lt;&gt;"",TEXT(AUX!IO$1,"dd-MMM-aa"),"")</f>
      </c>
      <c r="IL374" s="496" t="str">
        <f> IF(IL394&lt;&gt;"",TEXT(AUX!IP$1,"dd-MMM-aa"),"")</f>
      </c>
      <c r="IM374" s="496" t="str">
        <f> IF(IM394&lt;&gt;"",TEXT(AUX!IQ$1,"dd-MMM-aa"),"")</f>
      </c>
      <c r="IN374" s="496" t="str">
        <f> IF(IN394&lt;&gt;"",TEXT(AUX!IR$1,"dd-MMM-aa"),"")</f>
      </c>
      <c r="IO374" s="496" t="str">
        <f> IF(IO394&lt;&gt;"",TEXT(AUX!IS$1,"dd-MMM-aa"),"")</f>
      </c>
      <c r="IP374" s="496" t="str">
        <f> IF(IP394&lt;&gt;"",TEXT(AUX!IT$1,"dd-MMM-aa"),"")</f>
      </c>
      <c r="IQ374" s="496" t="str">
        <f> IF(IQ394&lt;&gt;"",TEXT(AUX!IU$1,"dd-MMM-aa"),"")</f>
      </c>
      <c r="IR374" s="496" t="str">
        <f> IF(IR394&lt;&gt;"",TEXT(AUX!IV$1,"dd-MMM-aa"),"")</f>
      </c>
      <c r="IS374" s="496" t="str">
        <f> IF(IS394&lt;&gt;"",TEXT(AUX!#REF!,"dd-MMM-aa"),"")</f>
      </c>
      <c r="IT374" s="496" t="str">
        <f> IF(IT394&lt;&gt;"",TEXT(AUX!#REF!,"dd-MMM-aa"),"")</f>
      </c>
      <c r="IU374" s="496" t="str">
        <f> IF(IU394&lt;&gt;"",TEXT(AUX!#REF!,"dd-MMM-aa"),"")</f>
      </c>
      <c r="IV374" s="496" t="str">
        <f> IF(IV394&lt;&gt;"",TEXT(AUX!#REF!,"dd-MMM-aa"),"")</f>
      </c>
    </row>
    <row r="375" hidden="1" ht="12.75" customHeight="1">
      <c r="B375" s="833" t="s">
        <v>8</v>
      </c>
      <c r="C375" s="827">
        <v>35614</v>
      </c>
      <c r="D375" s="827">
        <v>26892</v>
      </c>
      <c r="E375" s="827">
        <v>31859</v>
      </c>
      <c r="F375" s="827">
        <v>33851</v>
      </c>
      <c r="G375" s="827">
        <v>37845</v>
      </c>
      <c r="H375" s="827">
        <v>28511</v>
      </c>
      <c r="I375" s="827">
        <v>29579</v>
      </c>
      <c r="J375" s="827">
        <v>22250</v>
      </c>
      <c r="K375" s="827">
        <v>24898</v>
      </c>
      <c r="L375" s="827">
        <v>21885</v>
      </c>
      <c r="M375" s="827">
        <v>25175</v>
      </c>
      <c r="N375" s="827">
        <v>18103</v>
      </c>
      <c r="O375" s="827">
        <v>21982</v>
      </c>
      <c r="P375" s="827">
        <v>19484</v>
      </c>
      <c r="Q375" s="827">
        <v>22044</v>
      </c>
      <c r="R375" s="827">
        <v>18999</v>
      </c>
      <c r="S375" s="827">
        <v>18715</v>
      </c>
      <c r="T375" s="827">
        <v>21799</v>
      </c>
      <c r="U375" s="827">
        <v>24769</v>
      </c>
      <c r="V375" s="827">
        <v>18565</v>
      </c>
      <c r="W375" s="827">
        <v>21868</v>
      </c>
      <c r="X375" s="827">
        <v>19437</v>
      </c>
      <c r="Y375" s="827">
        <v>20883</v>
      </c>
      <c r="Z375" s="827">
        <v>19231</v>
      </c>
      <c r="AA375" s="827">
        <v>23000</v>
      </c>
      <c r="AB375" s="834">
        <v>20300</v>
      </c>
      <c r="AC375" s="828">
        <v>23688</v>
      </c>
      <c r="AD375" s="828">
        <v>19428</v>
      </c>
      <c r="AE375" s="828">
        <v>22620</v>
      </c>
      <c r="AF375" s="828">
        <v>19808</v>
      </c>
      <c r="AG375" s="828">
        <v>20974</v>
      </c>
      <c r="AH375" s="828">
        <v>16242</v>
      </c>
      <c r="AI375" s="828">
        <v>17528</v>
      </c>
      <c r="AJ375" s="828">
        <v>15856</v>
      </c>
      <c r="AK375" s="828">
        <v>18197</v>
      </c>
      <c r="AL375" s="828">
        <v>16199</v>
      </c>
      <c r="AM375" s="828">
        <v>17759</v>
      </c>
      <c r="AN375" s="828">
        <v>15744</v>
      </c>
      <c r="AO375" s="828">
        <v>17149</v>
      </c>
      <c r="AP375" s="828">
        <v>19116</v>
      </c>
    </row>
    <row r="376" hidden="1" ht="12.75" customHeight="1">
      <c r="B376" s="829" t="s">
        <v>9</v>
      </c>
      <c r="C376" s="823">
        <v>23040</v>
      </c>
      <c r="D376" s="823">
        <v>14679</v>
      </c>
      <c r="E376" s="823">
        <v>27974</v>
      </c>
      <c r="F376" s="823">
        <v>23106</v>
      </c>
      <c r="G376" s="823">
        <v>30778</v>
      </c>
      <c r="H376" s="823">
        <v>13730</v>
      </c>
      <c r="I376" s="823">
        <v>23068</v>
      </c>
      <c r="J376" s="823">
        <v>14135</v>
      </c>
      <c r="K376" s="823">
        <v>26510</v>
      </c>
      <c r="L376" s="823">
        <v>16169</v>
      </c>
      <c r="M376" s="823">
        <v>24874</v>
      </c>
      <c r="N376" s="823">
        <v>12184</v>
      </c>
      <c r="O376" s="823">
        <v>24527</v>
      </c>
      <c r="P376" s="823">
        <v>14069</v>
      </c>
      <c r="Q376" s="823">
        <v>29774</v>
      </c>
      <c r="R376" s="823">
        <v>14321</v>
      </c>
      <c r="S376" s="823">
        <v>29417</v>
      </c>
      <c r="T376" s="823">
        <v>19491</v>
      </c>
      <c r="U376" s="823">
        <v>28833</v>
      </c>
      <c r="V376" s="823">
        <v>18091</v>
      </c>
      <c r="W376" s="823">
        <v>31839</v>
      </c>
      <c r="X376" s="823">
        <v>18816</v>
      </c>
      <c r="Y376" s="823">
        <v>29161</v>
      </c>
      <c r="Z376" s="823">
        <v>23878</v>
      </c>
      <c r="AA376" s="823">
        <v>37301</v>
      </c>
      <c r="AB376" s="823">
        <v>28400</v>
      </c>
      <c r="AC376" s="825">
        <v>45158</v>
      </c>
      <c r="AD376" s="825">
        <v>29374</v>
      </c>
      <c r="AE376" s="825">
        <v>43477</v>
      </c>
      <c r="AF376" s="825">
        <v>26683</v>
      </c>
      <c r="AG376" s="825">
        <v>45144</v>
      </c>
      <c r="AH376" s="825">
        <v>24507</v>
      </c>
      <c r="AI376" s="825">
        <v>37469</v>
      </c>
      <c r="AJ376" s="825">
        <v>25250</v>
      </c>
      <c r="AK376" s="825">
        <v>41171</v>
      </c>
      <c r="AL376" s="825">
        <v>31900</v>
      </c>
      <c r="AM376" s="825">
        <v>44764</v>
      </c>
      <c r="AN376" s="825">
        <v>36205</v>
      </c>
      <c r="AO376" s="825">
        <v>47504</v>
      </c>
      <c r="AP376" s="825">
        <v>42395</v>
      </c>
    </row>
    <row r="377" hidden="1" ht="12.75" customHeight="1">
      <c r="B377" s="826" t="s">
        <v>10</v>
      </c>
      <c r="C377" s="827">
        <v>6569</v>
      </c>
      <c r="D377" s="827">
        <v>4169</v>
      </c>
      <c r="E377" s="827">
        <v>8264</v>
      </c>
      <c r="F377" s="827">
        <v>6086</v>
      </c>
      <c r="G377" s="827">
        <v>9215</v>
      </c>
      <c r="H377" s="827">
        <v>6785</v>
      </c>
      <c r="I377" s="827">
        <v>11039</v>
      </c>
      <c r="J377" s="827">
        <v>6737</v>
      </c>
      <c r="K377" s="827">
        <v>6717</v>
      </c>
      <c r="L377" s="827">
        <v>3678</v>
      </c>
      <c r="M377" s="827">
        <v>8308</v>
      </c>
      <c r="N377" s="827">
        <v>4133</v>
      </c>
      <c r="O377" s="827">
        <v>6670</v>
      </c>
      <c r="P377" s="827">
        <v>3787</v>
      </c>
      <c r="Q377" s="827">
        <v>6059</v>
      </c>
      <c r="R377" s="827">
        <v>3479</v>
      </c>
      <c r="S377" s="827">
        <v>6205</v>
      </c>
      <c r="T377" s="827">
        <v>3481</v>
      </c>
      <c r="U377" s="827">
        <v>7493</v>
      </c>
      <c r="V377" s="827">
        <v>4928</v>
      </c>
      <c r="W377" s="827">
        <v>8357</v>
      </c>
      <c r="X377" s="827">
        <v>4490</v>
      </c>
      <c r="Y377" s="827">
        <v>6676</v>
      </c>
      <c r="Z377" s="827">
        <v>4075</v>
      </c>
      <c r="AA377" s="827">
        <v>8601</v>
      </c>
      <c r="AB377" s="827">
        <v>5319</v>
      </c>
      <c r="AC377" s="828">
        <v>8867</v>
      </c>
      <c r="AD377" s="828">
        <v>5093</v>
      </c>
      <c r="AE377" s="828">
        <v>9151</v>
      </c>
      <c r="AF377" s="828">
        <v>5402</v>
      </c>
      <c r="AG377" s="828">
        <v>8845</v>
      </c>
      <c r="AH377" s="828">
        <v>4814</v>
      </c>
      <c r="AI377" s="828">
        <v>7252</v>
      </c>
      <c r="AJ377" s="828">
        <v>3953</v>
      </c>
      <c r="AK377" s="828">
        <v>7420</v>
      </c>
      <c r="AL377" s="828">
        <v>4096</v>
      </c>
      <c r="AM377" s="828">
        <v>7454</v>
      </c>
      <c r="AN377" s="828">
        <v>3947</v>
      </c>
      <c r="AO377" s="828">
        <v>6499</v>
      </c>
      <c r="AP377" s="828">
        <v>4208</v>
      </c>
    </row>
    <row r="378" hidden="1" ht="12.75" customHeight="1">
      <c r="B378" s="829" t="s">
        <v>11</v>
      </c>
      <c r="C378" s="823">
        <v>657</v>
      </c>
      <c r="D378" s="823">
        <v>1666</v>
      </c>
      <c r="E378" s="823">
        <v>955</v>
      </c>
      <c r="F378" s="823">
        <v>1620</v>
      </c>
      <c r="G378" s="823">
        <v>1089</v>
      </c>
      <c r="H378" s="823">
        <v>1576</v>
      </c>
      <c r="I378" s="823">
        <v>655</v>
      </c>
      <c r="J378" s="823">
        <v>664</v>
      </c>
      <c r="K378" s="823">
        <v>876</v>
      </c>
      <c r="L378" s="823">
        <v>862</v>
      </c>
      <c r="M378" s="823">
        <v>646</v>
      </c>
      <c r="N378" s="823">
        <v>764</v>
      </c>
      <c r="O378" s="823">
        <v>459</v>
      </c>
      <c r="P378" s="823">
        <v>1174</v>
      </c>
      <c r="Q378" s="823">
        <v>637</v>
      </c>
      <c r="R378" s="823">
        <v>1385</v>
      </c>
      <c r="S378" s="823">
        <v>693</v>
      </c>
      <c r="T378" s="823">
        <v>1191</v>
      </c>
      <c r="U378" s="823">
        <v>1273</v>
      </c>
      <c r="V378" s="823">
        <v>975</v>
      </c>
      <c r="W378" s="823">
        <v>961</v>
      </c>
      <c r="X378" s="823">
        <v>923</v>
      </c>
      <c r="Y378" s="823">
        <v>1051</v>
      </c>
      <c r="Z378" s="823">
        <v>1081</v>
      </c>
      <c r="AA378" s="823">
        <v>1513</v>
      </c>
      <c r="AB378" s="823">
        <v>1308</v>
      </c>
      <c r="AC378" s="825">
        <v>1021</v>
      </c>
      <c r="AD378" s="825">
        <v>1538</v>
      </c>
      <c r="AE378" s="825">
        <v>1147</v>
      </c>
      <c r="AF378" s="825">
        <v>1454</v>
      </c>
      <c r="AG378" s="825">
        <v>1221</v>
      </c>
      <c r="AH378" s="825">
        <v>1295</v>
      </c>
      <c r="AI378" s="825">
        <v>1018</v>
      </c>
      <c r="AJ378" s="825">
        <v>1166</v>
      </c>
      <c r="AK378" s="825">
        <v>1151</v>
      </c>
      <c r="AL378" s="825">
        <v>1142</v>
      </c>
      <c r="AM378" s="825">
        <v>773</v>
      </c>
      <c r="AN378" s="825">
        <v>896</v>
      </c>
      <c r="AO378" s="825">
        <v>701</v>
      </c>
      <c r="AP378" s="825">
        <v>969</v>
      </c>
    </row>
    <row r="379" hidden="1" ht="12.75" customHeight="1">
      <c r="B379" s="826" t="s">
        <v>12</v>
      </c>
      <c r="C379" s="827">
        <v>1119</v>
      </c>
      <c r="D379" s="827">
        <v>1189</v>
      </c>
      <c r="E379" s="827">
        <v>1238</v>
      </c>
      <c r="F379" s="827">
        <v>1495</v>
      </c>
      <c r="G379" s="827">
        <v>1581</v>
      </c>
      <c r="H379" s="827">
        <v>1461</v>
      </c>
      <c r="I379" s="827">
        <v>1294</v>
      </c>
      <c r="J379" s="827">
        <v>1626</v>
      </c>
      <c r="K379" s="827">
        <v>1378</v>
      </c>
      <c r="L379" s="827">
        <v>1451</v>
      </c>
      <c r="M379" s="827">
        <v>1486</v>
      </c>
      <c r="N379" s="827">
        <v>1414</v>
      </c>
      <c r="O379" s="827">
        <v>1245</v>
      </c>
      <c r="P379" s="827">
        <v>1375</v>
      </c>
      <c r="Q379" s="827">
        <v>1225</v>
      </c>
      <c r="R379" s="827">
        <v>1386</v>
      </c>
      <c r="S379" s="827">
        <v>1403</v>
      </c>
      <c r="T379" s="827">
        <v>1397</v>
      </c>
      <c r="U379" s="827">
        <v>1450</v>
      </c>
      <c r="V379" s="827">
        <v>1337</v>
      </c>
      <c r="W379" s="827">
        <v>1237</v>
      </c>
      <c r="X379" s="827">
        <v>1372</v>
      </c>
      <c r="Y379" s="827">
        <v>1248</v>
      </c>
      <c r="Z379" s="827">
        <v>1309</v>
      </c>
      <c r="AA379" s="827">
        <v>1011</v>
      </c>
      <c r="AB379" s="827">
        <v>1462</v>
      </c>
      <c r="AC379" s="828">
        <v>1186</v>
      </c>
      <c r="AD379" s="828">
        <v>1361</v>
      </c>
      <c r="AE379" s="828">
        <v>1089</v>
      </c>
      <c r="AF379" s="828">
        <v>1082</v>
      </c>
      <c r="AG379" s="828">
        <v>873</v>
      </c>
      <c r="AH379" s="828">
        <v>1076</v>
      </c>
      <c r="AI379" s="828">
        <v>735</v>
      </c>
      <c r="AJ379" s="828">
        <v>843</v>
      </c>
      <c r="AK379" s="828">
        <v>920</v>
      </c>
      <c r="AL379" s="828">
        <v>1206</v>
      </c>
      <c r="AM379" s="828">
        <v>925</v>
      </c>
      <c r="AN379" s="828">
        <v>925</v>
      </c>
      <c r="AO379" s="828">
        <v>733</v>
      </c>
      <c r="AP379" s="828">
        <v>1202</v>
      </c>
    </row>
    <row r="380" hidden="1" ht="12.75" customHeight="1">
      <c r="B380" s="829" t="s">
        <v>13</v>
      </c>
      <c r="C380" s="823">
        <v>3650</v>
      </c>
      <c r="D380" s="823">
        <v>2341</v>
      </c>
      <c r="E380" s="823">
        <v>2612</v>
      </c>
      <c r="F380" s="823">
        <v>2350</v>
      </c>
      <c r="G380" s="823">
        <v>4074</v>
      </c>
      <c r="H380" s="823">
        <v>3330</v>
      </c>
      <c r="I380" s="823">
        <v>5289</v>
      </c>
      <c r="J380" s="823">
        <v>2962</v>
      </c>
      <c r="K380" s="823">
        <v>3141</v>
      </c>
      <c r="L380" s="823">
        <v>2088</v>
      </c>
      <c r="M380" s="823">
        <v>2804</v>
      </c>
      <c r="N380" s="823">
        <v>2180</v>
      </c>
      <c r="O380" s="823">
        <v>2751</v>
      </c>
      <c r="P380" s="823">
        <v>2267</v>
      </c>
      <c r="Q380" s="823">
        <v>2910</v>
      </c>
      <c r="R380" s="823">
        <v>2281</v>
      </c>
      <c r="S380" s="823">
        <v>2780</v>
      </c>
      <c r="T380" s="823">
        <v>2361</v>
      </c>
      <c r="U380" s="823">
        <v>3296</v>
      </c>
      <c r="V380" s="823">
        <v>2592</v>
      </c>
      <c r="W380" s="823">
        <v>3018</v>
      </c>
      <c r="X380" s="823">
        <v>2166</v>
      </c>
      <c r="Y380" s="823">
        <v>2917</v>
      </c>
      <c r="Z380" s="823">
        <v>2337</v>
      </c>
      <c r="AA380" s="823">
        <v>2925</v>
      </c>
      <c r="AB380" s="823">
        <v>2331</v>
      </c>
      <c r="AC380" s="825">
        <v>3158</v>
      </c>
      <c r="AD380" s="825">
        <v>2311</v>
      </c>
      <c r="AE380" s="825">
        <v>3613</v>
      </c>
      <c r="AF380" s="825">
        <v>2851</v>
      </c>
      <c r="AG380" s="825">
        <v>3330</v>
      </c>
      <c r="AH380" s="825">
        <v>2770</v>
      </c>
      <c r="AI380" s="825">
        <v>2982</v>
      </c>
      <c r="AJ380" s="825">
        <v>2604</v>
      </c>
      <c r="AK380" s="825">
        <v>3130</v>
      </c>
      <c r="AL380" s="825">
        <v>2772</v>
      </c>
      <c r="AM380" s="825">
        <v>2848</v>
      </c>
      <c r="AN380" s="825">
        <v>2539</v>
      </c>
      <c r="AO380" s="825">
        <v>2849</v>
      </c>
      <c r="AP380" s="825">
        <v>2434</v>
      </c>
    </row>
    <row r="381" hidden="1" ht="12.75" customHeight="1">
      <c r="B381" s="826" t="s">
        <v>109</v>
      </c>
      <c r="C381" s="827">
        <v>28874</v>
      </c>
      <c r="D381" s="827">
        <v>22455</v>
      </c>
      <c r="E381" s="827">
        <v>32882</v>
      </c>
      <c r="F381" s="827">
        <v>30502</v>
      </c>
      <c r="G381" s="827">
        <v>46324</v>
      </c>
      <c r="H381" s="827">
        <v>31263</v>
      </c>
      <c r="I381" s="827">
        <v>43297</v>
      </c>
      <c r="J381" s="827">
        <v>33334</v>
      </c>
      <c r="K381" s="827">
        <v>48924</v>
      </c>
      <c r="L381" s="827">
        <v>29863</v>
      </c>
      <c r="M381" s="827">
        <v>45672</v>
      </c>
      <c r="N381" s="827">
        <v>34546</v>
      </c>
      <c r="O381" s="827">
        <v>50641</v>
      </c>
      <c r="P381" s="827">
        <v>33441</v>
      </c>
      <c r="Q381" s="827">
        <v>53004</v>
      </c>
      <c r="R381" s="827">
        <v>34492</v>
      </c>
      <c r="S381" s="827">
        <v>45722</v>
      </c>
      <c r="T381" s="827">
        <v>33097</v>
      </c>
      <c r="U381" s="827">
        <v>57824</v>
      </c>
      <c r="V381" s="827">
        <v>53110</v>
      </c>
      <c r="W381" s="827">
        <v>56526</v>
      </c>
      <c r="X381" s="827">
        <v>50452</v>
      </c>
      <c r="Y381" s="827">
        <v>61197</v>
      </c>
      <c r="Z381" s="827">
        <v>57214</v>
      </c>
      <c r="AA381" s="827">
        <v>69160</v>
      </c>
      <c r="AB381" s="827">
        <v>60346</v>
      </c>
      <c r="AC381" s="828">
        <v>75782</v>
      </c>
      <c r="AD381" s="828">
        <v>59618</v>
      </c>
      <c r="AE381" s="828">
        <v>72676</v>
      </c>
      <c r="AF381" s="828">
        <v>56646</v>
      </c>
      <c r="AG381" s="828">
        <v>70309</v>
      </c>
      <c r="AH381" s="828">
        <v>49540</v>
      </c>
      <c r="AI381" s="828">
        <v>56140</v>
      </c>
      <c r="AJ381" s="828">
        <v>44765</v>
      </c>
      <c r="AK381" s="828">
        <v>63243</v>
      </c>
      <c r="AL381" s="828">
        <v>59369</v>
      </c>
      <c r="AM381" s="828">
        <v>62022</v>
      </c>
      <c r="AN381" s="828">
        <v>53621</v>
      </c>
      <c r="AO381" s="828">
        <v>65589</v>
      </c>
      <c r="AP381" s="828">
        <v>65664</v>
      </c>
    </row>
    <row r="382" hidden="1" ht="12.75" customHeight="1">
      <c r="B382" s="829" t="s">
        <v>110</v>
      </c>
      <c r="C382" s="823">
        <v>59903</v>
      </c>
      <c r="D382" s="823">
        <v>39641</v>
      </c>
      <c r="E382" s="823">
        <v>66006</v>
      </c>
      <c r="F382" s="823">
        <v>50795</v>
      </c>
      <c r="G382" s="823">
        <v>79278</v>
      </c>
      <c r="H382" s="823">
        <v>46918</v>
      </c>
      <c r="I382" s="823">
        <v>61848</v>
      </c>
      <c r="J382" s="823">
        <v>45163</v>
      </c>
      <c r="K382" s="823">
        <v>65626</v>
      </c>
      <c r="L382" s="823">
        <v>41637</v>
      </c>
      <c r="M382" s="823">
        <v>58943</v>
      </c>
      <c r="N382" s="823">
        <v>39151</v>
      </c>
      <c r="O382" s="823">
        <v>63008</v>
      </c>
      <c r="P382" s="823">
        <v>42451</v>
      </c>
      <c r="Q382" s="823">
        <v>66701</v>
      </c>
      <c r="R382" s="823">
        <v>39575</v>
      </c>
      <c r="S382" s="823">
        <v>64009</v>
      </c>
      <c r="T382" s="823">
        <v>46402</v>
      </c>
      <c r="U382" s="823">
        <v>68004</v>
      </c>
      <c r="V382" s="823">
        <v>45742</v>
      </c>
      <c r="W382" s="823">
        <v>61201</v>
      </c>
      <c r="X382" s="823">
        <v>50873</v>
      </c>
      <c r="Y382" s="823">
        <v>62564</v>
      </c>
      <c r="Z382" s="823">
        <v>55618</v>
      </c>
      <c r="AA382" s="823">
        <v>71141</v>
      </c>
      <c r="AB382" s="823">
        <v>60554</v>
      </c>
      <c r="AC382" s="825">
        <v>76710</v>
      </c>
      <c r="AD382" s="825">
        <v>54061</v>
      </c>
      <c r="AE382" s="825">
        <v>72803</v>
      </c>
      <c r="AF382" s="825">
        <v>55227</v>
      </c>
      <c r="AG382" s="825">
        <v>72926</v>
      </c>
      <c r="AH382" s="825">
        <v>52273</v>
      </c>
      <c r="AI382" s="825">
        <v>63975</v>
      </c>
      <c r="AJ382" s="825">
        <v>48687</v>
      </c>
      <c r="AK382" s="825">
        <v>71462</v>
      </c>
      <c r="AL382" s="825">
        <v>59507</v>
      </c>
      <c r="AM382" s="825">
        <v>66953</v>
      </c>
      <c r="AN382" s="825">
        <v>60494</v>
      </c>
      <c r="AO382" s="825">
        <v>68973</v>
      </c>
      <c r="AP382" s="825">
        <v>70890</v>
      </c>
    </row>
    <row r="383" hidden="1" ht="12.75" customHeight="1">
      <c r="B383" s="826" t="s">
        <v>16</v>
      </c>
      <c r="C383" s="827">
        <v>37213</v>
      </c>
      <c r="D383" s="827">
        <v>107114</v>
      </c>
      <c r="E383" s="827">
        <v>70882</v>
      </c>
      <c r="F383" s="827">
        <v>55864</v>
      </c>
      <c r="G383" s="827">
        <v>98133</v>
      </c>
      <c r="H383" s="827">
        <v>88180</v>
      </c>
      <c r="I383" s="827">
        <v>44880</v>
      </c>
      <c r="J383" s="827">
        <v>14003</v>
      </c>
      <c r="K383" s="827">
        <v>20698</v>
      </c>
      <c r="L383" s="827">
        <v>11464</v>
      </c>
      <c r="M383" s="827">
        <v>17270</v>
      </c>
      <c r="N383" s="827">
        <v>24007</v>
      </c>
      <c r="O383" s="827">
        <v>23286</v>
      </c>
      <c r="P383" s="827">
        <v>27276</v>
      </c>
      <c r="Q383" s="827">
        <v>30747</v>
      </c>
      <c r="R383" s="827">
        <v>0</v>
      </c>
      <c r="S383" s="827">
        <v>25086</v>
      </c>
      <c r="T383" s="827">
        <v>21528</v>
      </c>
      <c r="U383" s="827">
        <v>26581</v>
      </c>
      <c r="V383" s="827">
        <v>36358</v>
      </c>
      <c r="W383" s="827">
        <v>32047</v>
      </c>
      <c r="X383" s="827">
        <v>23614</v>
      </c>
      <c r="Y383" s="827">
        <v>28709</v>
      </c>
      <c r="Z383" s="827">
        <v>32790</v>
      </c>
      <c r="AA383" s="827">
        <v>37952</v>
      </c>
      <c r="AB383" s="827">
        <v>44413</v>
      </c>
      <c r="AC383" s="828">
        <v>62814</v>
      </c>
      <c r="AD383" s="828">
        <v>45616</v>
      </c>
      <c r="AE383" s="828">
        <v>37624</v>
      </c>
      <c r="AF383" s="828">
        <v>48660</v>
      </c>
      <c r="AG383" s="828">
        <v>42866</v>
      </c>
      <c r="AH383" s="828">
        <v>26190</v>
      </c>
      <c r="AI383" s="828">
        <v>28230</v>
      </c>
      <c r="AJ383" s="828">
        <v>26153</v>
      </c>
      <c r="AK383" s="828">
        <v>26009</v>
      </c>
      <c r="AL383" s="828">
        <v>27340</v>
      </c>
      <c r="AM383" s="828">
        <v>28208</v>
      </c>
      <c r="AN383" s="828">
        <v>28614</v>
      </c>
      <c r="AO383" s="828">
        <v>30763</v>
      </c>
      <c r="AP383" s="828">
        <v>33457</v>
      </c>
    </row>
    <row r="384" hidden="1" ht="12.75" customHeight="1">
      <c r="B384" s="829" t="s">
        <v>17</v>
      </c>
      <c r="C384" s="823">
        <v>28064</v>
      </c>
      <c r="D384" s="823">
        <v>24904</v>
      </c>
      <c r="E384" s="823">
        <v>28304</v>
      </c>
      <c r="F384" s="823">
        <v>29509</v>
      </c>
      <c r="G384" s="823">
        <v>33449</v>
      </c>
      <c r="H384" s="823">
        <v>23758</v>
      </c>
      <c r="I384" s="823">
        <v>23749</v>
      </c>
      <c r="J384" s="823">
        <v>19822</v>
      </c>
      <c r="K384" s="823">
        <v>23984</v>
      </c>
      <c r="L384" s="823">
        <v>16876</v>
      </c>
      <c r="M384" s="823">
        <v>19816</v>
      </c>
      <c r="N384" s="823">
        <v>15543</v>
      </c>
      <c r="O384" s="823">
        <v>22609</v>
      </c>
      <c r="P384" s="823">
        <v>16224</v>
      </c>
      <c r="Q384" s="823">
        <v>33643</v>
      </c>
      <c r="R384" s="823">
        <v>17514</v>
      </c>
      <c r="S384" s="823">
        <v>23357</v>
      </c>
      <c r="T384" s="823">
        <v>18915</v>
      </c>
      <c r="U384" s="823">
        <v>34185</v>
      </c>
      <c r="V384" s="823">
        <v>17908</v>
      </c>
      <c r="W384" s="823">
        <v>23703</v>
      </c>
      <c r="X384" s="823">
        <v>22294</v>
      </c>
      <c r="Y384" s="823">
        <v>22713</v>
      </c>
      <c r="Z384" s="823">
        <v>21684</v>
      </c>
      <c r="AA384" s="823">
        <v>25347</v>
      </c>
      <c r="AB384" s="823">
        <v>23148</v>
      </c>
      <c r="AC384" s="825">
        <v>25369</v>
      </c>
      <c r="AD384" s="825">
        <v>22067</v>
      </c>
      <c r="AE384" s="825">
        <v>25297</v>
      </c>
      <c r="AF384" s="825">
        <v>23492</v>
      </c>
      <c r="AG384" s="825">
        <v>25025</v>
      </c>
      <c r="AH384" s="825">
        <v>22117</v>
      </c>
      <c r="AI384" s="825">
        <v>21425</v>
      </c>
      <c r="AJ384" s="825">
        <v>19059</v>
      </c>
      <c r="AK384" s="825">
        <v>22396</v>
      </c>
      <c r="AL384" s="825">
        <v>22636</v>
      </c>
      <c r="AM384" s="825">
        <v>22585</v>
      </c>
      <c r="AN384" s="825">
        <v>21646</v>
      </c>
      <c r="AO384" s="825">
        <v>22980</v>
      </c>
      <c r="AP384" s="825">
        <v>29017</v>
      </c>
    </row>
    <row r="385" hidden="1" ht="12.75" customHeight="1">
      <c r="B385" s="826" t="s">
        <v>18</v>
      </c>
      <c r="C385" s="827">
        <v>3383</v>
      </c>
      <c r="D385" s="827">
        <v>4925</v>
      </c>
      <c r="E385" s="827">
        <v>4647</v>
      </c>
      <c r="F385" s="827">
        <v>4635</v>
      </c>
      <c r="G385" s="827">
        <v>16313</v>
      </c>
      <c r="H385" s="827">
        <v>4295</v>
      </c>
      <c r="I385" s="827">
        <v>3965</v>
      </c>
      <c r="J385" s="827">
        <v>3121</v>
      </c>
      <c r="K385" s="827">
        <v>5214</v>
      </c>
      <c r="L385" s="827">
        <v>3038</v>
      </c>
      <c r="M385" s="827">
        <v>4302</v>
      </c>
      <c r="N385" s="827">
        <v>2890</v>
      </c>
      <c r="O385" s="827">
        <v>3960</v>
      </c>
      <c r="P385" s="827">
        <v>2664</v>
      </c>
      <c r="Q385" s="827">
        <v>3730</v>
      </c>
      <c r="R385" s="827">
        <v>2572</v>
      </c>
      <c r="S385" s="827">
        <v>4473</v>
      </c>
      <c r="T385" s="827">
        <v>2860</v>
      </c>
      <c r="U385" s="827">
        <v>4337</v>
      </c>
      <c r="V385" s="827">
        <v>2830</v>
      </c>
      <c r="W385" s="827">
        <v>4302</v>
      </c>
      <c r="X385" s="827">
        <v>3207</v>
      </c>
      <c r="Y385" s="827">
        <v>3899</v>
      </c>
      <c r="Z385" s="827">
        <v>3902</v>
      </c>
      <c r="AA385" s="827">
        <v>4017</v>
      </c>
      <c r="AB385" s="827">
        <v>3322</v>
      </c>
      <c r="AC385" s="828">
        <v>4361</v>
      </c>
      <c r="AD385" s="828">
        <v>3225</v>
      </c>
      <c r="AE385" s="828">
        <v>5183</v>
      </c>
      <c r="AF385" s="828">
        <v>3608</v>
      </c>
      <c r="AG385" s="828">
        <v>4640</v>
      </c>
      <c r="AH385" s="828">
        <v>3726</v>
      </c>
      <c r="AI385" s="828">
        <v>4843</v>
      </c>
      <c r="AJ385" s="828">
        <v>3836</v>
      </c>
      <c r="AK385" s="828">
        <v>4903</v>
      </c>
      <c r="AL385" s="828">
        <v>4406</v>
      </c>
      <c r="AM385" s="828">
        <v>5549</v>
      </c>
      <c r="AN385" s="828">
        <v>4647</v>
      </c>
      <c r="AO385" s="828">
        <v>5276</v>
      </c>
      <c r="AP385" s="828">
        <v>4514</v>
      </c>
    </row>
    <row r="386" hidden="1" ht="12.75" customHeight="1">
      <c r="B386" s="829" t="s">
        <v>19</v>
      </c>
      <c r="C386" s="823">
        <v>8126</v>
      </c>
      <c r="D386" s="823">
        <v>7026</v>
      </c>
      <c r="E386" s="823">
        <v>7674</v>
      </c>
      <c r="F386" s="823">
        <v>8164</v>
      </c>
      <c r="G386" s="823">
        <v>19880</v>
      </c>
      <c r="H386" s="823">
        <v>10000</v>
      </c>
      <c r="I386" s="823">
        <v>7278</v>
      </c>
      <c r="J386" s="823">
        <v>4982</v>
      </c>
      <c r="K386" s="823">
        <v>6256</v>
      </c>
      <c r="L386" s="823">
        <v>3181</v>
      </c>
      <c r="M386" s="823">
        <v>5701</v>
      </c>
      <c r="N386" s="823">
        <v>4478</v>
      </c>
      <c r="O386" s="823">
        <v>5779</v>
      </c>
      <c r="P386" s="823">
        <v>4843</v>
      </c>
      <c r="Q386" s="823">
        <v>6501</v>
      </c>
      <c r="R386" s="823">
        <v>5252</v>
      </c>
      <c r="S386" s="823">
        <v>6245</v>
      </c>
      <c r="T386" s="823">
        <v>4505</v>
      </c>
      <c r="U386" s="823">
        <v>6416</v>
      </c>
      <c r="V386" s="823">
        <v>5062</v>
      </c>
      <c r="W386" s="823">
        <v>7278</v>
      </c>
      <c r="X386" s="823">
        <v>4598</v>
      </c>
      <c r="Y386" s="823">
        <v>6022</v>
      </c>
      <c r="Z386" s="823">
        <v>12045</v>
      </c>
      <c r="AA386" s="823">
        <v>8483</v>
      </c>
      <c r="AB386" s="823">
        <v>9836</v>
      </c>
      <c r="AC386" s="825">
        <v>6085</v>
      </c>
      <c r="AD386" s="825">
        <v>6015</v>
      </c>
      <c r="AE386" s="825">
        <v>9447</v>
      </c>
      <c r="AF386" s="825">
        <v>9398</v>
      </c>
      <c r="AG386" s="825">
        <v>5691</v>
      </c>
      <c r="AH386" s="825">
        <v>11078</v>
      </c>
      <c r="AI386" s="825">
        <v>8408</v>
      </c>
      <c r="AJ386" s="825">
        <v>6704</v>
      </c>
      <c r="AK386" s="825">
        <v>6193</v>
      </c>
      <c r="AL386" s="825">
        <v>8120</v>
      </c>
      <c r="AM386" s="825">
        <v>16833</v>
      </c>
      <c r="AN386" s="825">
        <v>6667</v>
      </c>
      <c r="AO386" s="825">
        <v>7961</v>
      </c>
      <c r="AP386" s="825">
        <v>6905</v>
      </c>
    </row>
    <row r="387" hidden="1" ht="12.75" customHeight="1">
      <c r="B387" s="826" t="s">
        <v>20</v>
      </c>
      <c r="C387" s="827">
        <v>17611</v>
      </c>
      <c r="D387" s="827">
        <v>12737</v>
      </c>
      <c r="E387" s="827">
        <v>19873</v>
      </c>
      <c r="F387" s="827">
        <v>15182</v>
      </c>
      <c r="G387" s="827">
        <v>15551</v>
      </c>
      <c r="H387" s="827">
        <v>6923</v>
      </c>
      <c r="I387" s="827">
        <v>11122</v>
      </c>
      <c r="J387" s="827">
        <v>8605</v>
      </c>
      <c r="K387" s="827">
        <v>15600</v>
      </c>
      <c r="L387" s="827">
        <v>12823</v>
      </c>
      <c r="M387" s="827">
        <v>18362</v>
      </c>
      <c r="N387" s="827">
        <v>12266</v>
      </c>
      <c r="O387" s="827">
        <v>18296</v>
      </c>
      <c r="P387" s="827">
        <v>14302</v>
      </c>
      <c r="Q387" s="827">
        <v>20390</v>
      </c>
      <c r="R387" s="827">
        <v>14341</v>
      </c>
      <c r="S387" s="827">
        <v>22622</v>
      </c>
      <c r="T387" s="827">
        <v>16590</v>
      </c>
      <c r="U387" s="827">
        <v>17714</v>
      </c>
      <c r="V387" s="827">
        <v>15446</v>
      </c>
      <c r="W387" s="827">
        <v>24643</v>
      </c>
      <c r="X387" s="827">
        <v>15155</v>
      </c>
      <c r="Y387" s="827">
        <v>22106</v>
      </c>
      <c r="Z387" s="827">
        <v>16648</v>
      </c>
      <c r="AA387" s="827">
        <v>25966</v>
      </c>
      <c r="AB387" s="827">
        <v>19614</v>
      </c>
      <c r="AC387" s="828">
        <v>27021</v>
      </c>
      <c r="AD387" s="828">
        <v>16839</v>
      </c>
      <c r="AE387" s="828">
        <v>23078</v>
      </c>
      <c r="AF387" s="828">
        <v>16274</v>
      </c>
      <c r="AG387" s="828">
        <v>19919</v>
      </c>
      <c r="AH387" s="828">
        <v>15318</v>
      </c>
      <c r="AI387" s="828">
        <v>13905</v>
      </c>
      <c r="AJ387" s="828">
        <v>12378</v>
      </c>
      <c r="AK387" s="828">
        <v>19013</v>
      </c>
      <c r="AL387" s="828">
        <v>14867</v>
      </c>
      <c r="AM387" s="828">
        <v>18480</v>
      </c>
      <c r="AN387" s="828">
        <v>17876</v>
      </c>
      <c r="AO387" s="828">
        <v>21490</v>
      </c>
      <c r="AP387" s="828">
        <v>18039</v>
      </c>
    </row>
    <row r="388" hidden="1" ht="12.75" customHeight="1">
      <c r="B388" s="829" t="s">
        <v>21</v>
      </c>
      <c r="C388" s="823">
        <v>2976</v>
      </c>
      <c r="D388" s="823">
        <v>2078</v>
      </c>
      <c r="E388" s="823">
        <v>3774</v>
      </c>
      <c r="F388" s="823">
        <v>2958</v>
      </c>
      <c r="G388" s="823">
        <v>4075</v>
      </c>
      <c r="H388" s="823">
        <v>2713</v>
      </c>
      <c r="I388" s="823">
        <v>4404</v>
      </c>
      <c r="J388" s="823">
        <v>2456</v>
      </c>
      <c r="K388" s="823">
        <v>4792</v>
      </c>
      <c r="L388" s="823">
        <v>2749</v>
      </c>
      <c r="M388" s="823">
        <v>5264</v>
      </c>
      <c r="N388" s="823">
        <v>2661</v>
      </c>
      <c r="O388" s="823">
        <v>5020</v>
      </c>
      <c r="P388" s="823">
        <v>2619</v>
      </c>
      <c r="Q388" s="823">
        <v>4731</v>
      </c>
      <c r="R388" s="823">
        <v>2687</v>
      </c>
      <c r="S388" s="823">
        <v>4955</v>
      </c>
      <c r="T388" s="823">
        <v>3628</v>
      </c>
      <c r="U388" s="823">
        <v>5143</v>
      </c>
      <c r="V388" s="823">
        <v>3284</v>
      </c>
      <c r="W388" s="823">
        <v>5143</v>
      </c>
      <c r="X388" s="823">
        <v>3527</v>
      </c>
      <c r="Y388" s="823">
        <v>5713</v>
      </c>
      <c r="Z388" s="823">
        <v>5556</v>
      </c>
      <c r="AA388" s="823">
        <v>7306</v>
      </c>
      <c r="AB388" s="823">
        <v>4337</v>
      </c>
      <c r="AC388" s="825">
        <v>7122</v>
      </c>
      <c r="AD388" s="825">
        <v>4238</v>
      </c>
      <c r="AE388" s="825">
        <v>5375</v>
      </c>
      <c r="AF388" s="825">
        <v>4271</v>
      </c>
      <c r="AG388" s="825">
        <v>6345</v>
      </c>
      <c r="AH388" s="825">
        <v>5161</v>
      </c>
      <c r="AI388" s="825">
        <v>6547</v>
      </c>
      <c r="AJ388" s="825">
        <v>4902</v>
      </c>
      <c r="AK388" s="825">
        <v>7461</v>
      </c>
      <c r="AL388" s="825">
        <v>6059</v>
      </c>
      <c r="AM388" s="825">
        <v>6939</v>
      </c>
      <c r="AN388" s="825">
        <v>6979</v>
      </c>
      <c r="AO388" s="825">
        <v>8327</v>
      </c>
      <c r="AP388" s="825">
        <v>8181</v>
      </c>
    </row>
    <row r="389" hidden="1" ht="12.75" customHeight="1">
      <c r="B389" s="826" t="s">
        <v>22</v>
      </c>
      <c r="C389" s="827">
        <v>4005</v>
      </c>
      <c r="D389" s="827">
        <v>2301</v>
      </c>
      <c r="E389" s="827">
        <v>4128</v>
      </c>
      <c r="F389" s="827">
        <v>4051</v>
      </c>
      <c r="G389" s="827">
        <v>8994</v>
      </c>
      <c r="H389" s="827">
        <v>12049</v>
      </c>
      <c r="I389" s="827">
        <v>7005</v>
      </c>
      <c r="J389" s="827">
        <v>3670</v>
      </c>
      <c r="K389" s="827">
        <v>6227</v>
      </c>
      <c r="L389" s="827">
        <v>3851</v>
      </c>
      <c r="M389" s="827">
        <v>4531</v>
      </c>
      <c r="N389" s="827">
        <v>3145</v>
      </c>
      <c r="O389" s="827">
        <v>4699</v>
      </c>
      <c r="P389" s="827">
        <v>2853</v>
      </c>
      <c r="Q389" s="827">
        <v>3817</v>
      </c>
      <c r="R389" s="827">
        <v>2296</v>
      </c>
      <c r="S389" s="827">
        <v>3852</v>
      </c>
      <c r="T389" s="827">
        <v>2180</v>
      </c>
      <c r="U389" s="827">
        <v>4673</v>
      </c>
      <c r="V389" s="827">
        <v>4566</v>
      </c>
      <c r="W389" s="827">
        <v>4815</v>
      </c>
      <c r="X389" s="827">
        <v>2604</v>
      </c>
      <c r="Y389" s="827">
        <v>3783</v>
      </c>
      <c r="Z389" s="827">
        <v>2363</v>
      </c>
      <c r="AA389" s="827">
        <v>3471</v>
      </c>
      <c r="AB389" s="827">
        <v>2057</v>
      </c>
      <c r="AC389" s="828">
        <v>3493</v>
      </c>
      <c r="AD389" s="828">
        <v>2774</v>
      </c>
      <c r="AE389" s="828">
        <v>4486</v>
      </c>
      <c r="AF389" s="828">
        <v>4020</v>
      </c>
      <c r="AG389" s="828">
        <v>4113</v>
      </c>
      <c r="AH389" s="828">
        <v>2824</v>
      </c>
      <c r="AI389" s="828">
        <v>3522</v>
      </c>
      <c r="AJ389" s="828">
        <v>2263</v>
      </c>
      <c r="AK389" s="828">
        <v>3774</v>
      </c>
      <c r="AL389" s="828">
        <v>2737</v>
      </c>
      <c r="AM389" s="828">
        <v>4021</v>
      </c>
      <c r="AN389" s="828">
        <v>2373</v>
      </c>
      <c r="AO389" s="828">
        <v>3783</v>
      </c>
      <c r="AP389" s="828">
        <v>2719</v>
      </c>
    </row>
    <row r="390" hidden="1" ht="12.75" customHeight="1">
      <c r="B390" s="829" t="s">
        <v>23</v>
      </c>
      <c r="C390" s="823">
        <v>1978</v>
      </c>
      <c r="D390" s="823">
        <v>1220</v>
      </c>
      <c r="E390" s="823">
        <v>2755</v>
      </c>
      <c r="F390" s="823">
        <v>1514</v>
      </c>
      <c r="G390" s="823">
        <v>2181</v>
      </c>
      <c r="H390" s="823">
        <v>1354</v>
      </c>
      <c r="I390" s="823">
        <v>2218</v>
      </c>
      <c r="J390" s="823">
        <v>1160</v>
      </c>
      <c r="K390" s="823">
        <v>1965</v>
      </c>
      <c r="L390" s="823">
        <v>1132</v>
      </c>
      <c r="M390" s="823">
        <v>1387</v>
      </c>
      <c r="N390" s="823">
        <v>854</v>
      </c>
      <c r="O390" s="823">
        <v>1400</v>
      </c>
      <c r="P390" s="823">
        <v>848</v>
      </c>
      <c r="Q390" s="823">
        <v>1495</v>
      </c>
      <c r="R390" s="823">
        <v>919</v>
      </c>
      <c r="S390" s="823">
        <v>1229</v>
      </c>
      <c r="T390" s="823">
        <v>1043</v>
      </c>
      <c r="U390" s="823">
        <v>1346</v>
      </c>
      <c r="V390" s="823">
        <v>864</v>
      </c>
      <c r="W390" s="823">
        <v>1223</v>
      </c>
      <c r="X390" s="823">
        <v>886</v>
      </c>
      <c r="Y390" s="823">
        <v>1116</v>
      </c>
      <c r="Z390" s="823">
        <v>1004</v>
      </c>
      <c r="AA390" s="823">
        <v>2430</v>
      </c>
      <c r="AB390" s="823">
        <v>2227</v>
      </c>
      <c r="AC390" s="825">
        <v>1759</v>
      </c>
      <c r="AD390" s="825">
        <v>1222</v>
      </c>
      <c r="AE390" s="825">
        <v>1527</v>
      </c>
      <c r="AF390" s="825">
        <v>969</v>
      </c>
      <c r="AG390" s="825">
        <v>1657</v>
      </c>
      <c r="AH390" s="825">
        <v>1239</v>
      </c>
      <c r="AI390" s="825">
        <v>1394</v>
      </c>
      <c r="AJ390" s="825">
        <v>823</v>
      </c>
      <c r="AK390" s="825">
        <v>1865</v>
      </c>
      <c r="AL390" s="825">
        <v>1696</v>
      </c>
      <c r="AM390" s="825">
        <v>2322</v>
      </c>
      <c r="AN390" s="825">
        <v>2010</v>
      </c>
      <c r="AO390" s="825">
        <v>2316</v>
      </c>
      <c r="AP390" s="825">
        <v>2713</v>
      </c>
    </row>
    <row r="391" hidden="1" ht="12.75" customHeight="1">
      <c r="B391" s="835" t="s">
        <v>24</v>
      </c>
      <c r="C391" s="827">
        <v>5461</v>
      </c>
      <c r="D391" s="827">
        <v>4587</v>
      </c>
      <c r="E391" s="827">
        <v>4719</v>
      </c>
      <c r="F391" s="827">
        <v>5448</v>
      </c>
      <c r="G391" s="827">
        <v>4240</v>
      </c>
      <c r="H391" s="827">
        <v>2341</v>
      </c>
      <c r="I391" s="827">
        <v>2620</v>
      </c>
      <c r="J391" s="827">
        <v>2141</v>
      </c>
      <c r="K391" s="827">
        <v>3443</v>
      </c>
      <c r="L391" s="827">
        <v>2750</v>
      </c>
      <c r="M391" s="827">
        <v>5762</v>
      </c>
      <c r="N391" s="827">
        <v>2310</v>
      </c>
      <c r="O391" s="827">
        <v>3775</v>
      </c>
      <c r="P391" s="827">
        <v>2902</v>
      </c>
      <c r="Q391" s="827">
        <v>3012</v>
      </c>
      <c r="R391" s="827">
        <v>2079</v>
      </c>
      <c r="S391" s="827">
        <v>2678</v>
      </c>
      <c r="T391" s="827">
        <v>2617</v>
      </c>
      <c r="U391" s="827">
        <v>3831</v>
      </c>
      <c r="V391" s="827">
        <v>2868</v>
      </c>
      <c r="W391" s="827">
        <v>3668</v>
      </c>
      <c r="X391" s="827">
        <v>3061</v>
      </c>
      <c r="Y391" s="827">
        <v>4459</v>
      </c>
      <c r="Z391" s="827">
        <v>3983</v>
      </c>
      <c r="AA391" s="827">
        <v>4938</v>
      </c>
      <c r="AB391" s="827">
        <v>5646</v>
      </c>
      <c r="AC391" s="828">
        <v>7420</v>
      </c>
      <c r="AD391" s="828">
        <v>5124</v>
      </c>
      <c r="AE391" s="828">
        <v>6774</v>
      </c>
      <c r="AF391" s="828">
        <v>4607</v>
      </c>
      <c r="AG391" s="828">
        <v>6391</v>
      </c>
      <c r="AH391" s="828">
        <v>4896</v>
      </c>
      <c r="AI391" s="828">
        <v>5680</v>
      </c>
      <c r="AJ391" s="828">
        <v>4446</v>
      </c>
      <c r="AK391" s="828">
        <v>5821</v>
      </c>
      <c r="AL391" s="828">
        <v>5803</v>
      </c>
      <c r="AM391" s="828">
        <v>7269</v>
      </c>
      <c r="AN391" s="828">
        <v>7174</v>
      </c>
      <c r="AO391" s="828">
        <v>9160</v>
      </c>
      <c r="AP391" s="828">
        <v>6495</v>
      </c>
    </row>
    <row r="392" hidden="1" ht="12.75" customHeight="1">
      <c r="B392" s="829" t="s">
        <v>25</v>
      </c>
      <c r="C392" s="823">
        <v>0</v>
      </c>
      <c r="D392" s="823">
        <v>0</v>
      </c>
      <c r="E392" s="823">
        <v>0</v>
      </c>
      <c r="F392" s="823">
        <v>0</v>
      </c>
      <c r="G392" s="823">
        <v>0</v>
      </c>
      <c r="H392" s="823">
        <v>0</v>
      </c>
      <c r="I392" s="823">
        <v>0</v>
      </c>
      <c r="J392" s="823">
        <v>0</v>
      </c>
      <c r="K392" s="823">
        <v>0</v>
      </c>
      <c r="L392" s="823">
        <v>0</v>
      </c>
      <c r="M392" s="823">
        <v>0</v>
      </c>
      <c r="N392" s="823">
        <v>0</v>
      </c>
      <c r="O392" s="823">
        <v>0</v>
      </c>
      <c r="P392" s="823">
        <v>0</v>
      </c>
      <c r="Q392" s="823">
        <v>0</v>
      </c>
      <c r="R392" s="823">
        <v>0</v>
      </c>
      <c r="S392" s="823">
        <v>0</v>
      </c>
      <c r="T392" s="823">
        <v>0</v>
      </c>
      <c r="U392" s="823">
        <v>0</v>
      </c>
      <c r="V392" s="823">
        <v>0</v>
      </c>
      <c r="W392" s="823">
        <v>0</v>
      </c>
      <c r="X392" s="823">
        <v>0</v>
      </c>
      <c r="Y392" s="823">
        <v>0</v>
      </c>
      <c r="Z392" s="823">
        <v>0</v>
      </c>
      <c r="AA392" s="823">
        <v>0</v>
      </c>
      <c r="AB392" s="823">
        <v>0</v>
      </c>
      <c r="AC392" s="825">
        <v>0</v>
      </c>
      <c r="AD392" s="825">
        <v>0</v>
      </c>
      <c r="AE392" s="825">
        <v>0</v>
      </c>
      <c r="AF392" s="825">
        <v>0</v>
      </c>
      <c r="AG392" s="825">
        <v>0</v>
      </c>
      <c r="AH392" s="825">
        <v>0</v>
      </c>
      <c r="AI392" s="825">
        <v>0</v>
      </c>
      <c r="AJ392" s="825">
        <v>0</v>
      </c>
      <c r="AK392" s="825">
        <v>0</v>
      </c>
      <c r="AL392" s="825">
        <v>0</v>
      </c>
      <c r="AM392" s="825">
        <v>0</v>
      </c>
      <c r="AN392" s="825">
        <v>0</v>
      </c>
      <c r="AO392" s="825">
        <v>0</v>
      </c>
      <c r="AP392" s="825">
        <v>0</v>
      </c>
    </row>
    <row r="393" hidden="1" ht="13.5" customHeight="1">
      <c r="B393" s="836" t="s">
        <v>26</v>
      </c>
      <c r="C393" s="827">
        <v>0</v>
      </c>
      <c r="D393" s="827">
        <v>0</v>
      </c>
      <c r="E393" s="827">
        <v>0</v>
      </c>
      <c r="F393" s="827">
        <v>0</v>
      </c>
      <c r="G393" s="827">
        <v>0</v>
      </c>
      <c r="H393" s="827">
        <v>0</v>
      </c>
      <c r="I393" s="827">
        <v>0</v>
      </c>
      <c r="J393" s="827">
        <v>0</v>
      </c>
      <c r="K393" s="827">
        <v>0</v>
      </c>
      <c r="L393" s="827">
        <v>0</v>
      </c>
      <c r="M393" s="827">
        <v>0</v>
      </c>
      <c r="N393" s="827">
        <v>0</v>
      </c>
      <c r="O393" s="827">
        <v>0</v>
      </c>
      <c r="P393" s="827">
        <v>0</v>
      </c>
      <c r="Q393" s="827">
        <v>0</v>
      </c>
      <c r="R393" s="827">
        <v>0</v>
      </c>
      <c r="S393" s="827">
        <v>0</v>
      </c>
      <c r="T393" s="827">
        <v>0</v>
      </c>
      <c r="U393" s="827">
        <v>0</v>
      </c>
      <c r="V393" s="827">
        <v>0</v>
      </c>
      <c r="W393" s="827">
        <v>0</v>
      </c>
      <c r="X393" s="827">
        <v>0</v>
      </c>
      <c r="Y393" s="827">
        <v>0</v>
      </c>
      <c r="Z393" s="827">
        <v>0</v>
      </c>
      <c r="AA393" s="827">
        <v>0</v>
      </c>
      <c r="AB393" s="837">
        <v>0</v>
      </c>
      <c r="AC393" s="828">
        <v>0</v>
      </c>
      <c r="AD393" s="828">
        <v>0</v>
      </c>
      <c r="AE393" s="828">
        <v>0</v>
      </c>
      <c r="AF393" s="828">
        <v>0</v>
      </c>
      <c r="AG393" s="828">
        <v>0</v>
      </c>
      <c r="AH393" s="828">
        <v>0</v>
      </c>
      <c r="AI393" s="828">
        <v>0</v>
      </c>
      <c r="AJ393" s="828">
        <v>0</v>
      </c>
      <c r="AK393" s="828">
        <v>0</v>
      </c>
      <c r="AL393" s="828">
        <v>0</v>
      </c>
      <c r="AM393" s="828">
        <v>55</v>
      </c>
      <c r="AN393" s="828">
        <v>34</v>
      </c>
      <c r="AO393" s="828">
        <v>50</v>
      </c>
      <c r="AP393" s="828">
        <v>82</v>
      </c>
    </row>
    <row r="394" hidden="1" ht="13.5" customHeight="1">
      <c r="B394" s="128" t="s">
        <v>7</v>
      </c>
      <c r="C394" s="129" t="str">
        <f>IF(SUM(C375:C393)&lt;&gt;0,SUM(C375:C393),"")</f>
      </c>
      <c r="D394" s="129" t="str">
        <f ref="D394:AA394" t="shared" si="37" ca="1">IF(SUM(D375:D393)&lt;&gt;0,SUM(D375:D393),"")</f>
      </c>
      <c r="E394" s="129" t="str">
        <f t="shared" si="37" ca="1"/>
      </c>
      <c r="F394" s="129" t="str">
        <f t="shared" si="37" ca="1"/>
      </c>
      <c r="G394" s="129" t="str">
        <f t="shared" si="37" ca="1"/>
      </c>
      <c r="H394" s="129" t="str">
        <f t="shared" si="37" ca="1"/>
      </c>
      <c r="I394" s="129" t="str">
        <f t="shared" si="37" ca="1"/>
      </c>
      <c r="J394" s="129" t="str">
        <f t="shared" si="37" ca="1"/>
      </c>
      <c r="K394" s="129" t="str">
        <f t="shared" si="37" ca="1"/>
      </c>
      <c r="L394" s="129" t="str">
        <f t="shared" si="37" ca="1"/>
      </c>
      <c r="M394" s="129" t="str">
        <f t="shared" si="37" ca="1"/>
      </c>
      <c r="N394" s="129" t="str">
        <f t="shared" si="37" ca="1"/>
      </c>
      <c r="O394" s="129" t="str">
        <f t="shared" si="37" ca="1"/>
      </c>
      <c r="P394" s="129" t="str">
        <f t="shared" si="37" ca="1"/>
      </c>
      <c r="Q394" s="129" t="str">
        <f t="shared" si="37" ca="1"/>
      </c>
      <c r="R394" s="129" t="str">
        <f t="shared" si="37" ca="1"/>
      </c>
      <c r="S394" s="129" t="str">
        <f t="shared" si="37" ca="1"/>
      </c>
      <c r="T394" s="129" t="str">
        <f t="shared" si="37" ca="1"/>
      </c>
      <c r="U394" s="129" t="str">
        <f t="shared" si="37" ca="1"/>
      </c>
      <c r="V394" s="129" t="str">
        <f t="shared" si="37" ca="1"/>
      </c>
      <c r="W394" s="129" t="str">
        <f t="shared" si="37" ca="1"/>
      </c>
      <c r="X394" s="129" t="str">
        <f t="shared" si="37" ca="1"/>
      </c>
      <c r="Y394" s="129" t="str">
        <f t="shared" si="37" ca="1"/>
      </c>
      <c r="Z394" s="129" t="str">
        <f t="shared" si="37" ca="1"/>
      </c>
      <c r="AA394" s="129" t="str">
        <f t="shared" si="37" ca="1"/>
      </c>
      <c r="AB394" s="130" t="str">
        <f>IF(SUM(AB375:AB393)&lt;&gt;0,SUM(AB375:AB393),"")</f>
      </c>
      <c r="AC394" s="91" t="str">
        <f ref="AC394:CN394" t="shared" si="38" ca="1">IF(SUM(AC375:AC393)&lt;&gt;0,SUM(AC375:AC393),"")</f>
      </c>
      <c r="AD394" s="91" t="str">
        <f t="shared" si="38" ca="1"/>
      </c>
      <c r="AE394" s="91" t="str">
        <f t="shared" si="38" ca="1"/>
      </c>
      <c r="AF394" s="91" t="str">
        <f t="shared" si="38" ca="1"/>
      </c>
      <c r="AG394" s="91" t="str">
        <f t="shared" si="38" ca="1"/>
      </c>
      <c r="AH394" s="91" t="str">
        <f t="shared" si="38" ca="1"/>
      </c>
      <c r="AI394" s="91" t="str">
        <f t="shared" si="38" ca="1"/>
      </c>
      <c r="AJ394" s="91" t="str">
        <f t="shared" si="38" ca="1"/>
      </c>
      <c r="AK394" s="91" t="str">
        <f t="shared" si="38" ca="1"/>
      </c>
      <c r="AL394" s="91" t="str">
        <f t="shared" si="38" ca="1"/>
      </c>
      <c r="AM394" s="91" t="str">
        <f t="shared" si="38" ca="1"/>
      </c>
      <c r="AN394" s="91" t="str">
        <f t="shared" si="38" ca="1"/>
      </c>
      <c r="AO394" s="91" t="str">
        <f t="shared" si="38" ca="1"/>
      </c>
      <c r="AP394" s="91" t="str">
        <f t="shared" si="38" ca="1"/>
      </c>
      <c r="AQ394" s="91" t="str">
        <f t="shared" si="38" ca="1"/>
      </c>
      <c r="AR394" s="91" t="str">
        <f t="shared" si="38" ca="1"/>
      </c>
      <c r="AS394" s="91" t="str">
        <f t="shared" si="38" ca="1"/>
      </c>
      <c r="AT394" s="91" t="str">
        <f t="shared" si="38" ca="1"/>
      </c>
      <c r="AU394" s="91" t="str">
        <f t="shared" si="38" ca="1"/>
      </c>
      <c r="AV394" s="91" t="str">
        <f t="shared" si="38" ca="1"/>
      </c>
      <c r="AW394" s="91" t="str">
        <f t="shared" si="38" ca="1"/>
      </c>
      <c r="AX394" s="91" t="str">
        <f t="shared" si="38" ca="1"/>
      </c>
      <c r="AY394" s="91" t="str">
        <f t="shared" si="38" ca="1"/>
      </c>
      <c r="AZ394" s="91" t="str">
        <f t="shared" si="38" ca="1"/>
      </c>
      <c r="BA394" s="91" t="str">
        <f t="shared" si="38" ca="1"/>
      </c>
      <c r="BB394" s="91" t="str">
        <f t="shared" si="38" ca="1"/>
      </c>
      <c r="BC394" s="91" t="str">
        <f t="shared" si="38" ca="1"/>
      </c>
      <c r="BD394" s="91" t="str">
        <f t="shared" si="38" ca="1"/>
      </c>
      <c r="BE394" s="91" t="str">
        <f t="shared" si="38" ca="1"/>
      </c>
      <c r="BF394" s="91" t="str">
        <f t="shared" si="38" ca="1"/>
      </c>
      <c r="BG394" s="91" t="str">
        <f t="shared" si="38" ca="1"/>
      </c>
      <c r="BH394" s="91" t="str">
        <f t="shared" si="38" ca="1"/>
      </c>
      <c r="BI394" s="91" t="str">
        <f t="shared" si="38" ca="1"/>
      </c>
      <c r="BJ394" s="91" t="str">
        <f t="shared" si="38" ca="1"/>
      </c>
      <c r="BK394" s="91" t="str">
        <f t="shared" si="38" ca="1"/>
      </c>
      <c r="BL394" s="91" t="str">
        <f t="shared" si="38" ca="1"/>
      </c>
      <c r="BM394" s="91" t="str">
        <f t="shared" si="38" ca="1"/>
      </c>
      <c r="BN394" s="91" t="str">
        <f t="shared" si="38" ca="1"/>
      </c>
      <c r="BO394" s="91" t="str">
        <f t="shared" si="38" ca="1"/>
      </c>
      <c r="BP394" s="91" t="str">
        <f t="shared" si="38" ca="1"/>
      </c>
      <c r="BQ394" s="91" t="str">
        <f t="shared" si="38" ca="1"/>
      </c>
      <c r="BR394" s="91" t="str">
        <f t="shared" si="38" ca="1"/>
      </c>
      <c r="BS394" s="91" t="str">
        <f t="shared" si="38" ca="1"/>
      </c>
      <c r="BT394" s="91" t="str">
        <f t="shared" si="38" ca="1"/>
      </c>
      <c r="BU394" s="91" t="str">
        <f t="shared" si="38" ca="1"/>
      </c>
      <c r="BV394" s="91" t="str">
        <f t="shared" si="38" ca="1"/>
      </c>
      <c r="BW394" s="91" t="str">
        <f t="shared" si="38" ca="1"/>
      </c>
      <c r="BX394" s="91" t="str">
        <f t="shared" si="38" ca="1"/>
      </c>
      <c r="BY394" s="91" t="str">
        <f t="shared" si="38" ca="1"/>
      </c>
      <c r="BZ394" s="91" t="str">
        <f t="shared" si="38" ca="1"/>
      </c>
      <c r="CA394" s="91" t="str">
        <f t="shared" si="38" ca="1"/>
      </c>
      <c r="CB394" s="91" t="str">
        <f t="shared" si="38" ca="1"/>
      </c>
      <c r="CC394" s="91" t="str">
        <f t="shared" si="38" ca="1"/>
      </c>
      <c r="CD394" s="91" t="str">
        <f t="shared" si="38" ca="1"/>
      </c>
      <c r="CE394" s="91" t="str">
        <f t="shared" si="38" ca="1"/>
      </c>
      <c r="CF394" s="91" t="str">
        <f t="shared" si="38" ca="1"/>
      </c>
      <c r="CG394" s="91" t="str">
        <f t="shared" si="38" ca="1"/>
      </c>
      <c r="CH394" s="91" t="str">
        <f t="shared" si="38" ca="1"/>
      </c>
      <c r="CI394" s="91" t="str">
        <f t="shared" si="38" ca="1"/>
      </c>
      <c r="CJ394" s="91" t="str">
        <f t="shared" si="38" ca="1"/>
      </c>
      <c r="CK394" s="91" t="str">
        <f t="shared" si="38" ca="1"/>
      </c>
      <c r="CL394" s="91" t="str">
        <f t="shared" si="38" ca="1"/>
      </c>
      <c r="CM394" s="91" t="str">
        <f t="shared" si="38" ca="1"/>
      </c>
      <c r="CN394" s="91" t="str">
        <f t="shared" si="38" ca="1"/>
      </c>
      <c r="CO394" s="91" t="str">
        <f ref="CO394:EZ394" t="shared" si="39" ca="1">IF(SUM(CO375:CO393)&lt;&gt;0,SUM(CO375:CO393),"")</f>
      </c>
      <c r="CP394" s="91" t="str">
        <f t="shared" si="39" ca="1"/>
      </c>
      <c r="CQ394" s="91" t="str">
        <f t="shared" si="39" ca="1"/>
      </c>
      <c r="CR394" s="91" t="str">
        <f t="shared" si="39" ca="1"/>
      </c>
      <c r="CS394" s="91" t="str">
        <f t="shared" si="39" ca="1"/>
      </c>
      <c r="CT394" s="91" t="str">
        <f t="shared" si="39" ca="1"/>
      </c>
      <c r="CU394" s="91" t="str">
        <f t="shared" si="39" ca="1"/>
      </c>
      <c r="CV394" s="91" t="str">
        <f t="shared" si="39" ca="1"/>
      </c>
      <c r="CW394" s="91" t="str">
        <f t="shared" si="39" ca="1"/>
      </c>
      <c r="CX394" s="91" t="str">
        <f t="shared" si="39" ca="1"/>
      </c>
      <c r="CY394" s="91" t="str">
        <f t="shared" si="39" ca="1"/>
      </c>
      <c r="CZ394" s="91" t="str">
        <f t="shared" si="39" ca="1"/>
      </c>
      <c r="DA394" s="91" t="str">
        <f t="shared" si="39" ca="1"/>
      </c>
      <c r="DB394" s="91" t="str">
        <f t="shared" si="39" ca="1"/>
      </c>
      <c r="DC394" s="91" t="str">
        <f t="shared" si="39" ca="1"/>
      </c>
      <c r="DD394" s="91" t="str">
        <f t="shared" si="39" ca="1"/>
      </c>
      <c r="DE394" s="91" t="str">
        <f t="shared" si="39" ca="1"/>
      </c>
      <c r="DF394" s="91" t="str">
        <f t="shared" si="39" ca="1"/>
      </c>
      <c r="DG394" s="91" t="str">
        <f t="shared" si="39" ca="1"/>
      </c>
      <c r="DH394" s="91" t="str">
        <f t="shared" si="39" ca="1"/>
      </c>
      <c r="DI394" s="91" t="str">
        <f t="shared" si="39" ca="1"/>
      </c>
      <c r="DJ394" s="91" t="str">
        <f t="shared" si="39" ca="1"/>
      </c>
      <c r="DK394" s="91" t="str">
        <f t="shared" si="39" ca="1"/>
      </c>
      <c r="DL394" s="91" t="str">
        <f t="shared" si="39" ca="1"/>
      </c>
      <c r="DM394" s="91" t="str">
        <f t="shared" si="39" ca="1"/>
      </c>
      <c r="DN394" s="91" t="str">
        <f t="shared" si="39" ca="1"/>
      </c>
      <c r="DO394" s="91" t="str">
        <f t="shared" si="39" ca="1"/>
      </c>
      <c r="DP394" s="91" t="str">
        <f t="shared" si="39" ca="1"/>
      </c>
      <c r="DQ394" s="91" t="str">
        <f t="shared" si="39" ca="1"/>
      </c>
      <c r="DR394" s="91" t="str">
        <f t="shared" si="39" ca="1"/>
      </c>
      <c r="DS394" s="91" t="str">
        <f t="shared" si="39" ca="1"/>
      </c>
      <c r="DT394" s="91" t="str">
        <f t="shared" si="39" ca="1"/>
      </c>
      <c r="DU394" s="91" t="str">
        <f t="shared" si="39" ca="1"/>
      </c>
      <c r="DV394" s="91" t="str">
        <f t="shared" si="39" ca="1"/>
      </c>
      <c r="DW394" s="91" t="str">
        <f t="shared" si="39" ca="1"/>
      </c>
      <c r="DX394" s="91" t="str">
        <f t="shared" si="39" ca="1"/>
      </c>
      <c r="DY394" s="91" t="str">
        <f t="shared" si="39" ca="1"/>
      </c>
      <c r="DZ394" s="91" t="str">
        <f t="shared" si="39" ca="1"/>
      </c>
      <c r="EA394" s="91" t="str">
        <f t="shared" si="39" ca="1"/>
      </c>
      <c r="EB394" s="91" t="str">
        <f t="shared" si="39" ca="1"/>
      </c>
      <c r="EC394" s="91" t="str">
        <f t="shared" si="39" ca="1"/>
      </c>
      <c r="ED394" s="91" t="str">
        <f t="shared" si="39" ca="1"/>
      </c>
      <c r="EE394" s="91" t="str">
        <f t="shared" si="39" ca="1"/>
      </c>
      <c r="EF394" s="91" t="str">
        <f t="shared" si="39" ca="1"/>
      </c>
      <c r="EG394" s="91" t="str">
        <f t="shared" si="39" ca="1"/>
      </c>
      <c r="EH394" s="91" t="str">
        <f t="shared" si="39" ca="1"/>
      </c>
      <c r="EI394" s="91" t="str">
        <f t="shared" si="39" ca="1"/>
      </c>
      <c r="EJ394" s="91" t="str">
        <f t="shared" si="39" ca="1"/>
      </c>
      <c r="EK394" s="91" t="str">
        <f t="shared" si="39" ca="1"/>
      </c>
      <c r="EL394" s="91" t="str">
        <f t="shared" si="39" ca="1"/>
      </c>
      <c r="EM394" s="91" t="str">
        <f t="shared" si="39" ca="1"/>
      </c>
      <c r="EN394" s="91" t="str">
        <f t="shared" si="39" ca="1"/>
      </c>
      <c r="EO394" s="91" t="str">
        <f t="shared" si="39" ca="1"/>
      </c>
      <c r="EP394" s="91" t="str">
        <f t="shared" si="39" ca="1"/>
      </c>
      <c r="EQ394" s="91" t="str">
        <f t="shared" si="39" ca="1"/>
      </c>
      <c r="ER394" s="91" t="str">
        <f t="shared" si="39" ca="1"/>
      </c>
      <c r="ES394" s="91" t="str">
        <f t="shared" si="39" ca="1"/>
      </c>
      <c r="ET394" s="91" t="str">
        <f t="shared" si="39" ca="1"/>
      </c>
      <c r="EU394" s="91" t="str">
        <f t="shared" si="39" ca="1"/>
      </c>
      <c r="EV394" s="91" t="str">
        <f t="shared" si="39" ca="1"/>
      </c>
      <c r="EW394" s="91" t="str">
        <f t="shared" si="39" ca="1"/>
      </c>
      <c r="EX394" s="91" t="str">
        <f t="shared" si="39" ca="1"/>
      </c>
      <c r="EY394" s="91" t="str">
        <f t="shared" si="39" ca="1"/>
      </c>
      <c r="EZ394" s="91" t="str">
        <f t="shared" si="39" ca="1"/>
      </c>
      <c r="FA394" s="91" t="str">
        <f ref="FA394:HL394" t="shared" si="40" ca="1">IF(SUM(FA375:FA393)&lt;&gt;0,SUM(FA375:FA393),"")</f>
      </c>
      <c r="FB394" s="91" t="str">
        <f t="shared" si="40" ca="1"/>
      </c>
      <c r="FC394" s="91" t="str">
        <f t="shared" si="40" ca="1"/>
      </c>
      <c r="FD394" s="91" t="str">
        <f t="shared" si="40" ca="1"/>
      </c>
      <c r="FE394" s="91" t="str">
        <f t="shared" si="40" ca="1"/>
      </c>
      <c r="FF394" s="91" t="str">
        <f t="shared" si="40" ca="1"/>
      </c>
      <c r="FG394" s="91" t="str">
        <f t="shared" si="40" ca="1"/>
      </c>
      <c r="FH394" s="91" t="str">
        <f t="shared" si="40" ca="1"/>
      </c>
      <c r="FI394" s="91" t="str">
        <f t="shared" si="40" ca="1"/>
      </c>
      <c r="FJ394" s="91" t="str">
        <f t="shared" si="40" ca="1"/>
      </c>
      <c r="FK394" s="91" t="str">
        <f t="shared" si="40" ca="1"/>
      </c>
      <c r="FL394" s="91" t="str">
        <f t="shared" si="40" ca="1"/>
      </c>
      <c r="FM394" s="91" t="str">
        <f t="shared" si="40" ca="1"/>
      </c>
      <c r="FN394" s="91" t="str">
        <f t="shared" si="40" ca="1"/>
      </c>
      <c r="FO394" s="91" t="str">
        <f t="shared" si="40" ca="1"/>
      </c>
      <c r="FP394" s="91" t="str">
        <f t="shared" si="40" ca="1"/>
      </c>
      <c r="FQ394" s="91" t="str">
        <f t="shared" si="40" ca="1"/>
      </c>
      <c r="FR394" s="91" t="str">
        <f t="shared" si="40" ca="1"/>
      </c>
      <c r="FS394" s="91" t="str">
        <f t="shared" si="40" ca="1"/>
      </c>
      <c r="FT394" s="91" t="str">
        <f t="shared" si="40" ca="1"/>
      </c>
      <c r="FU394" s="91" t="str">
        <f t="shared" si="40" ca="1"/>
      </c>
      <c r="FV394" s="91" t="str">
        <f t="shared" si="40" ca="1"/>
      </c>
      <c r="FW394" s="91" t="str">
        <f t="shared" si="40" ca="1"/>
      </c>
      <c r="FX394" s="91" t="str">
        <f t="shared" si="40" ca="1"/>
      </c>
      <c r="FY394" s="91" t="str">
        <f t="shared" si="40" ca="1"/>
      </c>
      <c r="FZ394" s="91" t="str">
        <f t="shared" si="40" ca="1"/>
      </c>
      <c r="GA394" s="91" t="str">
        <f t="shared" si="40" ca="1"/>
      </c>
      <c r="GB394" s="91" t="str">
        <f t="shared" si="40" ca="1"/>
      </c>
      <c r="GC394" s="91" t="str">
        <f t="shared" si="40" ca="1"/>
      </c>
      <c r="GD394" s="91" t="str">
        <f t="shared" si="40" ca="1"/>
      </c>
      <c r="GE394" s="91" t="str">
        <f t="shared" si="40" ca="1"/>
      </c>
      <c r="GF394" s="91" t="str">
        <f t="shared" si="40" ca="1"/>
      </c>
      <c r="GG394" s="91" t="str">
        <f t="shared" si="40" ca="1"/>
      </c>
      <c r="GH394" s="91" t="str">
        <f t="shared" si="40" ca="1"/>
      </c>
      <c r="GI394" s="91" t="str">
        <f t="shared" si="40" ca="1"/>
      </c>
      <c r="GJ394" s="91" t="str">
        <f t="shared" si="40" ca="1"/>
      </c>
      <c r="GK394" s="91" t="str">
        <f t="shared" si="40" ca="1"/>
      </c>
      <c r="GL394" s="91" t="str">
        <f t="shared" si="40" ca="1"/>
      </c>
      <c r="GM394" s="91" t="str">
        <f t="shared" si="40" ca="1"/>
      </c>
      <c r="GN394" s="91" t="str">
        <f t="shared" si="40" ca="1"/>
      </c>
      <c r="GO394" s="91" t="str">
        <f t="shared" si="40" ca="1"/>
      </c>
      <c r="GP394" s="91" t="str">
        <f t="shared" si="40" ca="1"/>
      </c>
      <c r="GQ394" s="91" t="str">
        <f t="shared" si="40" ca="1"/>
      </c>
      <c r="GR394" s="91" t="str">
        <f t="shared" si="40" ca="1"/>
      </c>
      <c r="GS394" s="91" t="str">
        <f t="shared" si="40" ca="1"/>
      </c>
      <c r="GT394" s="91" t="str">
        <f t="shared" si="40" ca="1"/>
      </c>
      <c r="GU394" s="91" t="str">
        <f t="shared" si="40" ca="1"/>
      </c>
      <c r="GV394" s="91" t="str">
        <f t="shared" si="40" ca="1"/>
      </c>
      <c r="GW394" s="91" t="str">
        <f t="shared" si="40" ca="1"/>
      </c>
      <c r="GX394" s="91" t="str">
        <f t="shared" si="40" ca="1"/>
      </c>
      <c r="GY394" s="91" t="str">
        <f t="shared" si="40" ca="1"/>
      </c>
      <c r="GZ394" s="91" t="str">
        <f t="shared" si="40" ca="1"/>
      </c>
      <c r="HA394" s="91" t="str">
        <f t="shared" si="40" ca="1"/>
      </c>
      <c r="HB394" s="91" t="str">
        <f t="shared" si="40" ca="1"/>
      </c>
      <c r="HC394" s="91" t="str">
        <f t="shared" si="40" ca="1"/>
      </c>
      <c r="HD394" s="91" t="str">
        <f t="shared" si="40" ca="1"/>
      </c>
      <c r="HE394" s="91" t="str">
        <f t="shared" si="40" ca="1"/>
      </c>
      <c r="HF394" s="91" t="str">
        <f t="shared" si="40" ca="1"/>
      </c>
      <c r="HG394" s="91" t="str">
        <f t="shared" si="40" ca="1"/>
      </c>
      <c r="HH394" s="91" t="str">
        <f t="shared" si="40" ca="1"/>
      </c>
      <c r="HI394" s="91" t="str">
        <f t="shared" si="40" ca="1"/>
      </c>
      <c r="HJ394" s="91" t="str">
        <f t="shared" si="40" ca="1"/>
      </c>
      <c r="HK394" s="91" t="str">
        <f t="shared" si="40" ca="1"/>
      </c>
      <c r="HL394" s="91" t="str">
        <f t="shared" si="40" ca="1"/>
      </c>
      <c r="HM394" s="91" t="str">
        <f ref="HM394:IV394" t="shared" si="41" ca="1">IF(SUM(HM375:HM393)&lt;&gt;0,SUM(HM375:HM393),"")</f>
      </c>
      <c r="HN394" s="91" t="str">
        <f t="shared" si="41" ca="1"/>
      </c>
      <c r="HO394" s="91" t="str">
        <f t="shared" si="41" ca="1"/>
      </c>
      <c r="HP394" s="91" t="str">
        <f t="shared" si="41" ca="1"/>
      </c>
      <c r="HQ394" s="91" t="str">
        <f t="shared" si="41" ca="1"/>
      </c>
      <c r="HR394" s="91" t="str">
        <f t="shared" si="41" ca="1"/>
      </c>
      <c r="HS394" s="91" t="str">
        <f t="shared" si="41" ca="1"/>
      </c>
      <c r="HT394" s="91" t="str">
        <f t="shared" si="41" ca="1"/>
      </c>
      <c r="HU394" s="91" t="str">
        <f t="shared" si="41" ca="1"/>
      </c>
      <c r="HV394" s="91" t="str">
        <f t="shared" si="41" ca="1"/>
      </c>
      <c r="HW394" s="91" t="str">
        <f t="shared" si="41" ca="1"/>
      </c>
      <c r="HX394" s="91" t="str">
        <f t="shared" si="41" ca="1"/>
      </c>
      <c r="HY394" s="91" t="str">
        <f t="shared" si="41" ca="1"/>
      </c>
      <c r="HZ394" s="91" t="str">
        <f t="shared" si="41" ca="1"/>
      </c>
      <c r="IA394" s="91" t="str">
        <f t="shared" si="41" ca="1"/>
      </c>
      <c r="IB394" s="91" t="str">
        <f t="shared" si="41" ca="1"/>
      </c>
      <c r="IC394" s="91" t="str">
        <f t="shared" si="41" ca="1"/>
      </c>
      <c r="ID394" s="91" t="str">
        <f t="shared" si="41" ca="1"/>
      </c>
      <c r="IE394" s="91" t="str">
        <f t="shared" si="41" ca="1"/>
      </c>
      <c r="IF394" s="91" t="str">
        <f t="shared" si="41" ca="1"/>
      </c>
      <c r="IG394" s="91" t="str">
        <f t="shared" si="41" ca="1"/>
      </c>
      <c r="IH394" s="91" t="str">
        <f t="shared" si="41" ca="1"/>
      </c>
      <c r="II394" s="91" t="str">
        <f t="shared" si="41" ca="1"/>
      </c>
      <c r="IJ394" s="91" t="str">
        <f t="shared" si="41" ca="1"/>
      </c>
      <c r="IK394" s="91" t="str">
        <f t="shared" si="41" ca="1"/>
      </c>
      <c r="IL394" s="91" t="str">
        <f t="shared" si="41" ca="1"/>
      </c>
      <c r="IM394" s="91" t="str">
        <f t="shared" si="41" ca="1"/>
      </c>
      <c r="IN394" s="91" t="str">
        <f t="shared" si="41" ca="1"/>
      </c>
      <c r="IO394" s="91" t="str">
        <f t="shared" si="41" ca="1"/>
      </c>
      <c r="IP394" s="91" t="str">
        <f t="shared" si="41" ca="1"/>
      </c>
      <c r="IQ394" s="91" t="str">
        <f t="shared" si="41" ca="1"/>
      </c>
      <c r="IR394" s="91" t="str">
        <f t="shared" si="41" ca="1"/>
      </c>
      <c r="IS394" s="91" t="str">
        <f t="shared" si="41" ca="1"/>
      </c>
      <c r="IT394" s="91" t="str">
        <f t="shared" si="41" ca="1"/>
      </c>
      <c r="IU394" s="91" t="str">
        <f t="shared" si="41" ca="1"/>
      </c>
      <c r="IV394" s="91" t="str">
        <f t="shared" si="41" ca="1"/>
      </c>
    </row>
    <row r="395" hidden="1" ht="12.75" customHeight="1"/>
    <row r="396" hidden="1" ht="13.5" customHeight="1"/>
    <row r="397" hidden="1" ht="13.5" customHeight="1">
      <c r="C397" s="617" t="s">
        <v>313</v>
      </c>
      <c r="D397" s="618"/>
      <c r="E397" s="618"/>
      <c r="F397" s="618"/>
      <c r="G397" s="618"/>
      <c r="H397" s="618"/>
      <c r="I397" s="618"/>
      <c r="J397" s="618"/>
      <c r="K397" s="618"/>
      <c r="L397" s="618"/>
      <c r="M397" s="618"/>
      <c r="N397" s="618"/>
      <c r="O397" s="618"/>
      <c r="P397" s="618"/>
      <c r="Q397" s="618"/>
      <c r="R397" s="618"/>
      <c r="S397" s="618"/>
      <c r="T397" s="618"/>
      <c r="U397" s="618"/>
      <c r="V397" s="618"/>
      <c r="W397" s="618"/>
      <c r="X397" s="618"/>
      <c r="Y397" s="618"/>
      <c r="Z397" s="618"/>
      <c r="AA397" s="618"/>
      <c r="AB397" s="619"/>
    </row>
    <row r="398" hidden="1" ht="13.5" customHeight="1">
      <c r="C398" s="435" t="str">
        <f> IF(C418&lt;&gt;"",TEXT(AUX!G$1,"dd-MMM-aa"),"")</f>
      </c>
      <c r="D398" s="435" t="str">
        <f> IF(D418&lt;&gt;"",TEXT(AUX!H$1,"dd-MMM-aa"),"")</f>
      </c>
      <c r="E398" s="435" t="str">
        <f> IF(E418&lt;&gt;"",TEXT(AUX!I$1,"dd-MMM-aa"),"")</f>
      </c>
      <c r="F398" s="435" t="str">
        <f> IF(F418&lt;&gt;"",TEXT(AUX!J$1,"dd-MMM-aa"),"")</f>
      </c>
      <c r="G398" s="435" t="str">
        <f> IF(G418&lt;&gt;"",TEXT(AUX!K$1,"dd-MMM-aa"),"")</f>
      </c>
      <c r="H398" s="435" t="str">
        <f> IF(H418&lt;&gt;"",TEXT(AUX!L$1,"dd-MMM-aa"),"")</f>
      </c>
      <c r="I398" s="435" t="str">
        <f> IF(I418&lt;&gt;"",TEXT(AUX!M$1,"dd-MMM-aa"),"")</f>
      </c>
      <c r="J398" s="435" t="str">
        <f> IF(J418&lt;&gt;"",TEXT(AUX!N$1,"dd-MMM-aa"),"")</f>
      </c>
      <c r="K398" s="435" t="str">
        <f> IF(K418&lt;&gt;"",TEXT(AUX!O$1,"dd-MMM-aa"),"")</f>
      </c>
      <c r="L398" s="435" t="str">
        <f> IF(L418&lt;&gt;"",TEXT(AUX!P$1,"dd-MMM-aa"),"")</f>
      </c>
      <c r="M398" s="435" t="str">
        <f> IF(M418&lt;&gt;"",TEXT(AUX!Q$1,"dd-MMM-aa"),"")</f>
      </c>
      <c r="N398" s="435" t="str">
        <f> IF(N418&lt;&gt;"",TEXT(AUX!R$1,"dd-MMM-aa"),"")</f>
      </c>
      <c r="O398" s="435" t="str">
        <f> IF(O418&lt;&gt;"",TEXT(AUX!S$1,"dd-MMM-aa"),"")</f>
      </c>
      <c r="P398" s="435" t="str">
        <f> IF(P418&lt;&gt;"",TEXT(AUX!T$1,"dd-MMM-aa"),"")</f>
      </c>
      <c r="Q398" s="435" t="str">
        <f> IF(Q418&lt;&gt;"",TEXT(AUX!U$1,"dd-MMM-aa"),"")</f>
      </c>
      <c r="R398" s="435" t="str">
        <f> IF(R418&lt;&gt;"",TEXT(AUX!V$1,"dd-MMM-aa"),"")</f>
      </c>
      <c r="S398" s="435" t="str">
        <f> IF(S418&lt;&gt;"",TEXT(AUX!W$1,"dd-MMM-aa"),"")</f>
      </c>
      <c r="T398" s="435" t="str">
        <f> IF(T418&lt;&gt;"",TEXT(AUX!X$1,"dd-MMM-aa"),"")</f>
      </c>
      <c r="U398" s="435" t="str">
        <f> IF(U418&lt;&gt;"",TEXT(AUX!Y$1,"dd-MMM-aa"),"")</f>
      </c>
      <c r="V398" s="435" t="str">
        <f> IF(V418&lt;&gt;"",TEXT(AUX!Z$1,"dd-MMM-aa"),"")</f>
      </c>
      <c r="W398" s="435" t="str">
        <f> IF(W418&lt;&gt;"",TEXT(AUX!AA$1,"dd-MMM-aa"),"")</f>
      </c>
      <c r="X398" s="435" t="str">
        <f> IF(X418&lt;&gt;"",TEXT(AUX!AB$1,"dd-MMM-aa"),"")</f>
      </c>
      <c r="Y398" s="435" t="str">
        <f> IF(Y418&lt;&gt;"",TEXT(AUX!AC$1,"dd-MMM-aa"),"")</f>
      </c>
      <c r="Z398" s="435" t="str">
        <f> IF(Z418&lt;&gt;"",TEXT(AUX!AD$1,"dd-MMM-aa"),"")</f>
      </c>
      <c r="AA398" s="435" t="str">
        <f> IF(AA418&lt;&gt;"",TEXT(AUX!AE$1,"dd-MMM-aa"),"")</f>
      </c>
      <c r="AB398" s="497" t="str">
        <f> IF(AB418&lt;&gt;"",TEXT(AUX!AF$1,"dd-MMM-aa"),"")</f>
      </c>
      <c r="AC398" s="496" t="str">
        <f> IF(AC418&lt;&gt;"",TEXT(AUX!AG$1,"dd-MMM-aa"),"")</f>
      </c>
      <c r="AD398" s="496" t="str">
        <f> IF(AD418&lt;&gt;"",TEXT(AUX!AH$1,"dd-MMM-aa"),"")</f>
      </c>
      <c r="AE398" s="496" t="str">
        <f> IF(AE418&lt;&gt;"",TEXT(AUX!AI$1,"dd-MMM-aa"),"")</f>
      </c>
      <c r="AF398" s="496" t="str">
        <f> IF(AF418&lt;&gt;"",TEXT(AUX!AJ$1,"dd-MMM-aa"),"")</f>
      </c>
      <c r="AG398" s="496" t="str">
        <f> IF(AG418&lt;&gt;"",TEXT(AUX!AK$1,"dd-MMM-aa"),"")</f>
      </c>
      <c r="AH398" s="496" t="str">
        <f> IF(AH418&lt;&gt;"",TEXT(AUX!AL$1,"dd-MMM-aa"),"")</f>
      </c>
      <c r="AI398" s="496" t="str">
        <f> IF(AI418&lt;&gt;"",TEXT(AUX!AM$1,"dd-MMM-aa"),"")</f>
      </c>
      <c r="AJ398" s="496" t="str">
        <f> IF(AJ418&lt;&gt;"",TEXT(AUX!AN$1,"dd-MMM-aa"),"")</f>
      </c>
      <c r="AK398" s="496" t="str">
        <f> IF(AK418&lt;&gt;"",TEXT(AUX!AO$1,"dd-MMM-aa"),"")</f>
      </c>
      <c r="AL398" s="496" t="str">
        <f> IF(AL418&lt;&gt;"",TEXT(AUX!AP$1,"dd-MMM-aa"),"")</f>
      </c>
      <c r="AM398" s="496" t="str">
        <f> IF(AM418&lt;&gt;"",TEXT(AUX!AQ$1,"dd-MMM-aa"),"")</f>
      </c>
      <c r="AN398" s="496" t="str">
        <f> IF(AN418&lt;&gt;"",TEXT(AUX!AR$1,"dd-MMM-aa"),"")</f>
      </c>
      <c r="AO398" s="496" t="str">
        <f> IF(AO418&lt;&gt;"",TEXT(AUX!AS$1,"dd-MMM-aa"),"")</f>
      </c>
      <c r="AP398" s="496" t="str">
        <f> IF(AP418&lt;&gt;"",TEXT(AUX!AT$1,"dd-MMM-aa"),"")</f>
      </c>
      <c r="AQ398" s="496" t="str">
        <f> IF(AQ418&lt;&gt;"",TEXT(AUX!AU$1,"dd-MMM-aa"),"")</f>
      </c>
      <c r="AR398" s="496" t="str">
        <f> IF(AR418&lt;&gt;"",TEXT(AUX!AV$1,"dd-MMM-aa"),"")</f>
      </c>
      <c r="AS398" s="496" t="str">
        <f> IF(AS418&lt;&gt;"",TEXT(AUX!AW$1,"dd-MMM-aa"),"")</f>
      </c>
      <c r="AT398" s="496" t="str">
        <f> IF(AT418&lt;&gt;"",TEXT(AUX!AX$1,"dd-MMM-aa"),"")</f>
      </c>
      <c r="AU398" s="496" t="str">
        <f> IF(AU418&lt;&gt;"",TEXT(AUX!AY$1,"dd-MMM-aa"),"")</f>
      </c>
      <c r="AV398" s="496" t="str">
        <f> IF(AV418&lt;&gt;"",TEXT(AUX!AZ$1,"dd-MMM-aa"),"")</f>
      </c>
      <c r="AW398" s="496" t="str">
        <f> IF(AW418&lt;&gt;"",TEXT(AUX!BA$1,"dd-MMM-aa"),"")</f>
      </c>
      <c r="AX398" s="496" t="str">
        <f> IF(AX418&lt;&gt;"",TEXT(AUX!BB$1,"dd-MMM-aa"),"")</f>
      </c>
      <c r="AY398" s="496" t="str">
        <f> IF(AY418&lt;&gt;"",TEXT(AUX!BC$1,"dd-MMM-aa"),"")</f>
      </c>
      <c r="AZ398" s="496" t="str">
        <f> IF(AZ418&lt;&gt;"",TEXT(AUX!BD$1,"dd-MMM-aa"),"")</f>
      </c>
      <c r="BA398" s="496" t="str">
        <f> IF(BA418&lt;&gt;"",TEXT(AUX!BE$1,"dd-MMM-aa"),"")</f>
      </c>
      <c r="BB398" s="496" t="str">
        <f> IF(BB418&lt;&gt;"",TEXT(AUX!BF$1,"dd-MMM-aa"),"")</f>
      </c>
      <c r="BC398" s="496" t="str">
        <f> IF(BC418&lt;&gt;"",TEXT(AUX!BG$1,"dd-MMM-aa"),"")</f>
      </c>
      <c r="BD398" s="496" t="str">
        <f> IF(BD418&lt;&gt;"",TEXT(AUX!BH$1,"dd-MMM-aa"),"")</f>
      </c>
      <c r="BE398" s="496" t="str">
        <f> IF(BE418&lt;&gt;"",TEXT(AUX!BI$1,"dd-MMM-aa"),"")</f>
      </c>
      <c r="BF398" s="496" t="str">
        <f> IF(BF418&lt;&gt;"",TEXT(AUX!BJ$1,"dd-MMM-aa"),"")</f>
      </c>
      <c r="BG398" s="496" t="str">
        <f> IF(BG418&lt;&gt;"",TEXT(AUX!BK$1,"dd-MMM-aa"),"")</f>
      </c>
      <c r="BH398" s="496" t="str">
        <f> IF(BH418&lt;&gt;"",TEXT(AUX!BL$1,"dd-MMM-aa"),"")</f>
      </c>
      <c r="BI398" s="496" t="str">
        <f> IF(BI418&lt;&gt;"",TEXT(AUX!BM$1,"dd-MMM-aa"),"")</f>
      </c>
      <c r="BJ398" s="496" t="str">
        <f> IF(BJ418&lt;&gt;"",TEXT(AUX!BN$1,"dd-MMM-aa"),"")</f>
      </c>
      <c r="BK398" s="496" t="str">
        <f> IF(BK418&lt;&gt;"",TEXT(AUX!BO$1,"dd-MMM-aa"),"")</f>
      </c>
      <c r="BL398" s="496" t="str">
        <f> IF(BL418&lt;&gt;"",TEXT(AUX!BP$1,"dd-MMM-aa"),"")</f>
      </c>
      <c r="BM398" s="496" t="str">
        <f> IF(BM418&lt;&gt;"",TEXT(AUX!BQ$1,"dd-MMM-aa"),"")</f>
      </c>
      <c r="BN398" s="496" t="str">
        <f> IF(BN418&lt;&gt;"",TEXT(AUX!BR$1,"dd-MMM-aa"),"")</f>
      </c>
      <c r="BO398" s="496" t="str">
        <f> IF(BO418&lt;&gt;"",TEXT(AUX!BS$1,"dd-MMM-aa"),"")</f>
      </c>
      <c r="BP398" s="496" t="str">
        <f> IF(BP418&lt;&gt;"",TEXT(AUX!BT$1,"dd-MMM-aa"),"")</f>
      </c>
      <c r="BQ398" s="496" t="str">
        <f> IF(BQ418&lt;&gt;"",TEXT(AUX!BU$1,"dd-MMM-aa"),"")</f>
      </c>
      <c r="BR398" s="496" t="str">
        <f> IF(BR418&lt;&gt;"",TEXT(AUX!BV$1,"dd-MMM-aa"),"")</f>
      </c>
      <c r="BS398" s="496" t="str">
        <f> IF(BS418&lt;&gt;"",TEXT(AUX!BW$1,"dd-MMM-aa"),"")</f>
      </c>
      <c r="BT398" s="496" t="str">
        <f> IF(BT418&lt;&gt;"",TEXT(AUX!BX$1,"dd-MMM-aa"),"")</f>
      </c>
      <c r="BU398" s="496" t="str">
        <f> IF(BU418&lt;&gt;"",TEXT(AUX!BY$1,"dd-MMM-aa"),"")</f>
      </c>
      <c r="BV398" s="496" t="str">
        <f> IF(BV418&lt;&gt;"",TEXT(AUX!BZ$1,"dd-MMM-aa"),"")</f>
      </c>
      <c r="BW398" s="496" t="str">
        <f> IF(BW418&lt;&gt;"",TEXT(AUX!CA$1,"dd-MMM-aa"),"")</f>
      </c>
      <c r="BX398" s="496" t="str">
        <f> IF(BX418&lt;&gt;"",TEXT(AUX!CB$1,"dd-MMM-aa"),"")</f>
      </c>
      <c r="BY398" s="496" t="str">
        <f> IF(BY418&lt;&gt;"",TEXT(AUX!CC$1,"dd-MMM-aa"),"")</f>
      </c>
      <c r="BZ398" s="496" t="str">
        <f> IF(BZ418&lt;&gt;"",TEXT(AUX!CD$1,"dd-MMM-aa"),"")</f>
      </c>
      <c r="CA398" s="496" t="str">
        <f> IF(CA418&lt;&gt;"",TEXT(AUX!CE$1,"dd-MMM-aa"),"")</f>
      </c>
      <c r="CB398" s="496" t="str">
        <f> IF(CB418&lt;&gt;"",TEXT(AUX!CF$1,"dd-MMM-aa"),"")</f>
      </c>
      <c r="CC398" s="496" t="str">
        <f> IF(CC418&lt;&gt;"",TEXT(AUX!CG$1,"dd-MMM-aa"),"")</f>
      </c>
      <c r="CD398" s="496" t="str">
        <f> IF(CD418&lt;&gt;"",TEXT(AUX!CH$1,"dd-MMM-aa"),"")</f>
      </c>
      <c r="CE398" s="496" t="str">
        <f> IF(CE418&lt;&gt;"",TEXT(AUX!CI$1,"dd-MMM-aa"),"")</f>
      </c>
      <c r="CF398" s="496" t="str">
        <f> IF(CF418&lt;&gt;"",TEXT(AUX!CJ$1,"dd-MMM-aa"),"")</f>
      </c>
      <c r="CG398" s="496" t="str">
        <f> IF(CG418&lt;&gt;"",TEXT(AUX!CK$1,"dd-MMM-aa"),"")</f>
      </c>
      <c r="CH398" s="496" t="str">
        <f> IF(CH418&lt;&gt;"",TEXT(AUX!CL$1,"dd-MMM-aa"),"")</f>
      </c>
      <c r="CI398" s="496" t="str">
        <f> IF(CI418&lt;&gt;"",TEXT(AUX!CM$1,"dd-MMM-aa"),"")</f>
      </c>
      <c r="CJ398" s="496" t="str">
        <f> IF(CJ418&lt;&gt;"",TEXT(AUX!CN$1,"dd-MMM-aa"),"")</f>
      </c>
      <c r="CK398" s="496" t="str">
        <f> IF(CK418&lt;&gt;"",TEXT(AUX!CO$1,"dd-MMM-aa"),"")</f>
      </c>
      <c r="CL398" s="496" t="str">
        <f> IF(CL418&lt;&gt;"",TEXT(AUX!CP$1,"dd-MMM-aa"),"")</f>
      </c>
      <c r="CM398" s="496" t="str">
        <f> IF(CM418&lt;&gt;"",TEXT(AUX!CQ$1,"dd-MMM-aa"),"")</f>
      </c>
      <c r="CN398" s="496" t="str">
        <f> IF(CN418&lt;&gt;"",TEXT(AUX!CR$1,"dd-MMM-aa"),"")</f>
      </c>
      <c r="CO398" s="496" t="str">
        <f> IF(CO418&lt;&gt;"",TEXT(AUX!CS$1,"dd-MMM-aa"),"")</f>
      </c>
      <c r="CP398" s="496" t="str">
        <f> IF(CP418&lt;&gt;"",TEXT(AUX!CT$1,"dd-MMM-aa"),"")</f>
      </c>
      <c r="CQ398" s="496" t="str">
        <f> IF(CQ418&lt;&gt;"",TEXT(AUX!CU$1,"dd-MMM-aa"),"")</f>
      </c>
      <c r="CR398" s="496" t="str">
        <f> IF(CR418&lt;&gt;"",TEXT(AUX!CV$1,"dd-MMM-aa"),"")</f>
      </c>
      <c r="CS398" s="496" t="str">
        <f> IF(CS418&lt;&gt;"",TEXT(AUX!CW$1,"dd-MMM-aa"),"")</f>
      </c>
      <c r="CT398" s="496" t="str">
        <f> IF(CT418&lt;&gt;"",TEXT(AUX!CX$1,"dd-MMM-aa"),"")</f>
      </c>
      <c r="CU398" s="496" t="str">
        <f> IF(CU418&lt;&gt;"",TEXT(AUX!CY$1,"dd-MMM-aa"),"")</f>
      </c>
      <c r="CV398" s="496" t="str">
        <f> IF(CV418&lt;&gt;"",TEXT(AUX!CZ$1,"dd-MMM-aa"),"")</f>
      </c>
      <c r="CW398" s="496" t="str">
        <f> IF(CW418&lt;&gt;"",TEXT(AUX!DA$1,"dd-MMM-aa"),"")</f>
      </c>
      <c r="CX398" s="496" t="str">
        <f> IF(CX418&lt;&gt;"",TEXT(AUX!DB$1,"dd-MMM-aa"),"")</f>
      </c>
      <c r="CY398" s="496" t="str">
        <f> IF(CY418&lt;&gt;"",TEXT(AUX!DC$1,"dd-MMM-aa"),"")</f>
      </c>
      <c r="CZ398" s="496" t="str">
        <f> IF(CZ418&lt;&gt;"",TEXT(AUX!DD$1,"dd-MMM-aa"),"")</f>
      </c>
      <c r="DA398" s="496" t="str">
        <f> IF(DA418&lt;&gt;"",TEXT(AUX!DE$1,"dd-MMM-aa"),"")</f>
      </c>
      <c r="DB398" s="496" t="str">
        <f> IF(DB418&lt;&gt;"",TEXT(AUX!DF$1,"dd-MMM-aa"),"")</f>
      </c>
      <c r="DC398" s="496" t="str">
        <f> IF(DC418&lt;&gt;"",TEXT(AUX!DG$1,"dd-MMM-aa"),"")</f>
      </c>
      <c r="DD398" s="496" t="str">
        <f> IF(DD418&lt;&gt;"",TEXT(AUX!DH$1,"dd-MMM-aa"),"")</f>
      </c>
      <c r="DE398" s="496" t="str">
        <f> IF(DE418&lt;&gt;"",TEXT(AUX!DI$1,"dd-MMM-aa"),"")</f>
      </c>
      <c r="DF398" s="496" t="str">
        <f> IF(DF418&lt;&gt;"",TEXT(AUX!DJ$1,"dd-MMM-aa"),"")</f>
      </c>
      <c r="DG398" s="496" t="str">
        <f> IF(DG418&lt;&gt;"",TEXT(AUX!DK$1,"dd-MMM-aa"),"")</f>
      </c>
      <c r="DH398" s="496" t="str">
        <f> IF(DH418&lt;&gt;"",TEXT(AUX!DL$1,"dd-MMM-aa"),"")</f>
      </c>
      <c r="DI398" s="496" t="str">
        <f> IF(DI418&lt;&gt;"",TEXT(AUX!DM$1,"dd-MMM-aa"),"")</f>
      </c>
      <c r="DJ398" s="496" t="str">
        <f> IF(DJ418&lt;&gt;"",TEXT(AUX!DN$1,"dd-MMM-aa"),"")</f>
      </c>
      <c r="DK398" s="496" t="str">
        <f> IF(DK418&lt;&gt;"",TEXT(AUX!DO$1,"dd-MMM-aa"),"")</f>
      </c>
      <c r="DL398" s="496" t="str">
        <f> IF(DL418&lt;&gt;"",TEXT(AUX!DP$1,"dd-MMM-aa"),"")</f>
      </c>
      <c r="DM398" s="496" t="str">
        <f> IF(DM418&lt;&gt;"",TEXT(AUX!DQ$1,"dd-MMM-aa"),"")</f>
      </c>
      <c r="DN398" s="496" t="str">
        <f> IF(DN418&lt;&gt;"",TEXT(AUX!DR$1,"dd-MMM-aa"),"")</f>
      </c>
      <c r="DO398" s="496" t="str">
        <f> IF(DO418&lt;&gt;"",TEXT(AUX!DS$1,"dd-MMM-aa"),"")</f>
      </c>
      <c r="DP398" s="496" t="str">
        <f> IF(DP418&lt;&gt;"",TEXT(AUX!DT$1,"dd-MMM-aa"),"")</f>
      </c>
      <c r="DQ398" s="496" t="str">
        <f> IF(DQ418&lt;&gt;"",TEXT(AUX!DU$1,"dd-MMM-aa"),"")</f>
      </c>
      <c r="DR398" s="496" t="str">
        <f> IF(DR418&lt;&gt;"",TEXT(AUX!DV$1,"dd-MMM-aa"),"")</f>
      </c>
      <c r="DS398" s="496" t="str">
        <f> IF(DS418&lt;&gt;"",TEXT(AUX!DW$1,"dd-MMM-aa"),"")</f>
      </c>
      <c r="DT398" s="496" t="str">
        <f> IF(DT418&lt;&gt;"",TEXT(AUX!DX$1,"dd-MMM-aa"),"")</f>
      </c>
      <c r="DU398" s="496" t="str">
        <f> IF(DU418&lt;&gt;"",TEXT(AUX!DY$1,"dd-MMM-aa"),"")</f>
      </c>
      <c r="DV398" s="496" t="str">
        <f> IF(DV418&lt;&gt;"",TEXT(AUX!DZ$1,"dd-MMM-aa"),"")</f>
      </c>
      <c r="DW398" s="496" t="str">
        <f> IF(DW418&lt;&gt;"",TEXT(AUX!EA$1,"dd-MMM-aa"),"")</f>
      </c>
      <c r="DX398" s="496" t="str">
        <f> IF(DX418&lt;&gt;"",TEXT(AUX!EB$1,"dd-MMM-aa"),"")</f>
      </c>
      <c r="DY398" s="496" t="str">
        <f> IF(DY418&lt;&gt;"",TEXT(AUX!EC$1,"dd-MMM-aa"),"")</f>
      </c>
      <c r="DZ398" s="496" t="str">
        <f> IF(DZ418&lt;&gt;"",TEXT(AUX!ED$1,"dd-MMM-aa"),"")</f>
      </c>
      <c r="EA398" s="496" t="str">
        <f> IF(EA418&lt;&gt;"",TEXT(AUX!EE$1,"dd-MMM-aa"),"")</f>
      </c>
      <c r="EB398" s="496" t="str">
        <f> IF(EB418&lt;&gt;"",TEXT(AUX!EF$1,"dd-MMM-aa"),"")</f>
      </c>
      <c r="EC398" s="496" t="str">
        <f> IF(EC418&lt;&gt;"",TEXT(AUX!EG$1,"dd-MMM-aa"),"")</f>
      </c>
      <c r="ED398" s="496" t="str">
        <f> IF(ED418&lt;&gt;"",TEXT(AUX!EH$1,"dd-MMM-aa"),"")</f>
      </c>
      <c r="EE398" s="496" t="str">
        <f> IF(EE418&lt;&gt;"",TEXT(AUX!EI$1,"dd-MMM-aa"),"")</f>
      </c>
      <c r="EF398" s="496" t="str">
        <f> IF(EF418&lt;&gt;"",TEXT(AUX!EJ$1,"dd-MMM-aa"),"")</f>
      </c>
      <c r="EG398" s="496" t="str">
        <f> IF(EG418&lt;&gt;"",TEXT(AUX!EK$1,"dd-MMM-aa"),"")</f>
      </c>
      <c r="EH398" s="496" t="str">
        <f> IF(EH418&lt;&gt;"",TEXT(AUX!EL$1,"dd-MMM-aa"),"")</f>
      </c>
      <c r="EI398" s="496" t="str">
        <f> IF(EI418&lt;&gt;"",TEXT(AUX!EM$1,"dd-MMM-aa"),"")</f>
      </c>
      <c r="EJ398" s="496" t="str">
        <f> IF(EJ418&lt;&gt;"",TEXT(AUX!EN$1,"dd-MMM-aa"),"")</f>
      </c>
      <c r="EK398" s="496" t="str">
        <f> IF(EK418&lt;&gt;"",TEXT(AUX!EO$1,"dd-MMM-aa"),"")</f>
      </c>
      <c r="EL398" s="496" t="str">
        <f> IF(EL418&lt;&gt;"",TEXT(AUX!EP$1,"dd-MMM-aa"),"")</f>
      </c>
      <c r="EM398" s="496" t="str">
        <f> IF(EM418&lt;&gt;"",TEXT(AUX!EQ$1,"dd-MMM-aa"),"")</f>
      </c>
      <c r="EN398" s="496" t="str">
        <f> IF(EN418&lt;&gt;"",TEXT(AUX!ER$1,"dd-MMM-aa"),"")</f>
      </c>
      <c r="EO398" s="496" t="str">
        <f> IF(EO418&lt;&gt;"",TEXT(AUX!ES$1,"dd-MMM-aa"),"")</f>
      </c>
      <c r="EP398" s="496" t="str">
        <f> IF(EP418&lt;&gt;"",TEXT(AUX!ET$1,"dd-MMM-aa"),"")</f>
      </c>
      <c r="EQ398" s="496" t="str">
        <f> IF(EQ418&lt;&gt;"",TEXT(AUX!EU$1,"dd-MMM-aa"),"")</f>
      </c>
      <c r="ER398" s="496" t="str">
        <f> IF(ER418&lt;&gt;"",TEXT(AUX!EV$1,"dd-MMM-aa"),"")</f>
      </c>
      <c r="ES398" s="496" t="str">
        <f> IF(ES418&lt;&gt;"",TEXT(AUX!EW$1,"dd-MMM-aa"),"")</f>
      </c>
      <c r="ET398" s="496" t="str">
        <f> IF(ET418&lt;&gt;"",TEXT(AUX!EX$1,"dd-MMM-aa"),"")</f>
      </c>
      <c r="EU398" s="496" t="str">
        <f> IF(EU418&lt;&gt;"",TEXT(AUX!EY$1,"dd-MMM-aa"),"")</f>
      </c>
      <c r="EV398" s="496" t="str">
        <f> IF(EV418&lt;&gt;"",TEXT(AUX!EZ$1,"dd-MMM-aa"),"")</f>
      </c>
      <c r="EW398" s="496" t="str">
        <f> IF(EW418&lt;&gt;"",TEXT(AUX!FA$1,"dd-MMM-aa"),"")</f>
      </c>
      <c r="EX398" s="496" t="str">
        <f> IF(EX418&lt;&gt;"",TEXT(AUX!FB$1,"dd-MMM-aa"),"")</f>
      </c>
      <c r="EY398" s="496" t="str">
        <f> IF(EY418&lt;&gt;"",TEXT(AUX!FC$1,"dd-MMM-aa"),"")</f>
      </c>
      <c r="EZ398" s="496" t="str">
        <f> IF(EZ418&lt;&gt;"",TEXT(AUX!FD$1,"dd-MMM-aa"),"")</f>
      </c>
      <c r="FA398" s="496" t="str">
        <f> IF(FA418&lt;&gt;"",TEXT(AUX!FE$1,"dd-MMM-aa"),"")</f>
      </c>
      <c r="FB398" s="496" t="str">
        <f> IF(FB418&lt;&gt;"",TEXT(AUX!FF$1,"dd-MMM-aa"),"")</f>
      </c>
      <c r="FC398" s="496" t="str">
        <f> IF(FC418&lt;&gt;"",TEXT(AUX!FG$1,"dd-MMM-aa"),"")</f>
      </c>
      <c r="FD398" s="496" t="str">
        <f> IF(FD418&lt;&gt;"",TEXT(AUX!FH$1,"dd-MMM-aa"),"")</f>
      </c>
      <c r="FE398" s="496" t="str">
        <f> IF(FE418&lt;&gt;"",TEXT(AUX!FI$1,"dd-MMM-aa"),"")</f>
      </c>
      <c r="FF398" s="496" t="str">
        <f> IF(FF418&lt;&gt;"",TEXT(AUX!FJ$1,"dd-MMM-aa"),"")</f>
      </c>
      <c r="FG398" s="496" t="str">
        <f> IF(FG418&lt;&gt;"",TEXT(AUX!FK$1,"dd-MMM-aa"),"")</f>
      </c>
      <c r="FH398" s="496" t="str">
        <f> IF(FH418&lt;&gt;"",TEXT(AUX!FL$1,"dd-MMM-aa"),"")</f>
      </c>
      <c r="FI398" s="496" t="str">
        <f> IF(FI418&lt;&gt;"",TEXT(AUX!FM$1,"dd-MMM-aa"),"")</f>
      </c>
      <c r="FJ398" s="496" t="str">
        <f> IF(FJ418&lt;&gt;"",TEXT(AUX!FN$1,"dd-MMM-aa"),"")</f>
      </c>
      <c r="FK398" s="496" t="str">
        <f> IF(FK418&lt;&gt;"",TEXT(AUX!FO$1,"dd-MMM-aa"),"")</f>
      </c>
      <c r="FL398" s="496" t="str">
        <f> IF(FL418&lt;&gt;"",TEXT(AUX!FP$1,"dd-MMM-aa"),"")</f>
      </c>
      <c r="FM398" s="496" t="str">
        <f> IF(FM418&lt;&gt;"",TEXT(AUX!FQ$1,"dd-MMM-aa"),"")</f>
      </c>
      <c r="FN398" s="496" t="str">
        <f> IF(FN418&lt;&gt;"",TEXT(AUX!FR$1,"dd-MMM-aa"),"")</f>
      </c>
      <c r="FO398" s="496" t="str">
        <f> IF(FO418&lt;&gt;"",TEXT(AUX!FS$1,"dd-MMM-aa"),"")</f>
      </c>
      <c r="FP398" s="496" t="str">
        <f> IF(FP418&lt;&gt;"",TEXT(AUX!FT$1,"dd-MMM-aa"),"")</f>
      </c>
      <c r="FQ398" s="496" t="str">
        <f> IF(FQ418&lt;&gt;"",TEXT(AUX!FU$1,"dd-MMM-aa"),"")</f>
      </c>
      <c r="FR398" s="496" t="str">
        <f> IF(FR418&lt;&gt;"",TEXT(AUX!FV$1,"dd-MMM-aa"),"")</f>
      </c>
      <c r="FS398" s="496" t="str">
        <f> IF(FS418&lt;&gt;"",TEXT(AUX!FW$1,"dd-MMM-aa"),"")</f>
      </c>
      <c r="FT398" s="496" t="str">
        <f> IF(FT418&lt;&gt;"",TEXT(AUX!FX$1,"dd-MMM-aa"),"")</f>
      </c>
      <c r="FU398" s="496" t="str">
        <f> IF(FU418&lt;&gt;"",TEXT(AUX!FY$1,"dd-MMM-aa"),"")</f>
      </c>
      <c r="FV398" s="496" t="str">
        <f> IF(FV418&lt;&gt;"",TEXT(AUX!FZ$1,"dd-MMM-aa"),"")</f>
      </c>
      <c r="FW398" s="496" t="str">
        <f> IF(FW418&lt;&gt;"",TEXT(AUX!GA$1,"dd-MMM-aa"),"")</f>
      </c>
      <c r="FX398" s="496" t="str">
        <f> IF(FX418&lt;&gt;"",TEXT(AUX!GB$1,"dd-MMM-aa"),"")</f>
      </c>
      <c r="FY398" s="496" t="str">
        <f> IF(FY418&lt;&gt;"",TEXT(AUX!GC$1,"dd-MMM-aa"),"")</f>
      </c>
      <c r="FZ398" s="496" t="str">
        <f> IF(FZ418&lt;&gt;"",TEXT(AUX!GD$1,"dd-MMM-aa"),"")</f>
      </c>
      <c r="GA398" s="496" t="str">
        <f> IF(GA418&lt;&gt;"",TEXT(AUX!GE$1,"dd-MMM-aa"),"")</f>
      </c>
      <c r="GB398" s="496" t="str">
        <f> IF(GB418&lt;&gt;"",TEXT(AUX!GF$1,"dd-MMM-aa"),"")</f>
      </c>
      <c r="GC398" s="496" t="str">
        <f> IF(GC418&lt;&gt;"",TEXT(AUX!GG$1,"dd-MMM-aa"),"")</f>
      </c>
      <c r="GD398" s="496" t="str">
        <f> IF(GD418&lt;&gt;"",TEXT(AUX!GH$1,"dd-MMM-aa"),"")</f>
      </c>
      <c r="GE398" s="496" t="str">
        <f> IF(GE418&lt;&gt;"",TEXT(AUX!GI$1,"dd-MMM-aa"),"")</f>
      </c>
      <c r="GF398" s="496" t="str">
        <f> IF(GF418&lt;&gt;"",TEXT(AUX!GJ$1,"dd-MMM-aa"),"")</f>
      </c>
      <c r="GG398" s="496" t="str">
        <f> IF(GG418&lt;&gt;"",TEXT(AUX!GK$1,"dd-MMM-aa"),"")</f>
      </c>
      <c r="GH398" s="496" t="str">
        <f> IF(GH418&lt;&gt;"",TEXT(AUX!GL$1,"dd-MMM-aa"),"")</f>
      </c>
      <c r="GI398" s="496" t="str">
        <f> IF(GI418&lt;&gt;"",TEXT(AUX!GM$1,"dd-MMM-aa"),"")</f>
      </c>
      <c r="GJ398" s="496" t="str">
        <f> IF(GJ418&lt;&gt;"",TEXT(AUX!GN$1,"dd-MMM-aa"),"")</f>
      </c>
      <c r="GK398" s="496" t="str">
        <f> IF(GK418&lt;&gt;"",TEXT(AUX!GO$1,"dd-MMM-aa"),"")</f>
      </c>
      <c r="GL398" s="496" t="str">
        <f> IF(GL418&lt;&gt;"",TEXT(AUX!GP$1,"dd-MMM-aa"),"")</f>
      </c>
      <c r="GM398" s="496" t="str">
        <f> IF(GM418&lt;&gt;"",TEXT(AUX!GQ$1,"dd-MMM-aa"),"")</f>
      </c>
      <c r="GN398" s="496" t="str">
        <f> IF(GN418&lt;&gt;"",TEXT(AUX!GR$1,"dd-MMM-aa"),"")</f>
      </c>
      <c r="GO398" s="496" t="str">
        <f> IF(GO418&lt;&gt;"",TEXT(AUX!GS$1,"dd-MMM-aa"),"")</f>
      </c>
      <c r="GP398" s="496" t="str">
        <f> IF(GP418&lt;&gt;"",TEXT(AUX!GT$1,"dd-MMM-aa"),"")</f>
      </c>
      <c r="GQ398" s="496" t="str">
        <f> IF(GQ418&lt;&gt;"",TEXT(AUX!GU$1,"dd-MMM-aa"),"")</f>
      </c>
      <c r="GR398" s="496" t="str">
        <f> IF(GR418&lt;&gt;"",TEXT(AUX!GV$1,"dd-MMM-aa"),"")</f>
      </c>
      <c r="GS398" s="496" t="str">
        <f> IF(GS418&lt;&gt;"",TEXT(AUX!GW$1,"dd-MMM-aa"),"")</f>
      </c>
      <c r="GT398" s="496" t="str">
        <f> IF(GT418&lt;&gt;"",TEXT(AUX!GX$1,"dd-MMM-aa"),"")</f>
      </c>
      <c r="GU398" s="496" t="str">
        <f> IF(GU418&lt;&gt;"",TEXT(AUX!GY$1,"dd-MMM-aa"),"")</f>
      </c>
      <c r="GV398" s="496" t="str">
        <f> IF(GV418&lt;&gt;"",TEXT(AUX!GZ$1,"dd-MMM-aa"),"")</f>
      </c>
      <c r="GW398" s="496" t="str">
        <f> IF(GW418&lt;&gt;"",TEXT(AUX!HA$1,"dd-MMM-aa"),"")</f>
      </c>
      <c r="GX398" s="496" t="str">
        <f> IF(GX418&lt;&gt;"",TEXT(AUX!HB$1,"dd-MMM-aa"),"")</f>
      </c>
      <c r="GY398" s="496" t="str">
        <f> IF(GY418&lt;&gt;"",TEXT(AUX!HC$1,"dd-MMM-aa"),"")</f>
      </c>
      <c r="GZ398" s="496" t="str">
        <f> IF(GZ418&lt;&gt;"",TEXT(AUX!HD$1,"dd-MMM-aa"),"")</f>
      </c>
      <c r="HA398" s="496" t="str">
        <f> IF(HA418&lt;&gt;"",TEXT(AUX!HE$1,"dd-MMM-aa"),"")</f>
      </c>
      <c r="HB398" s="496" t="str">
        <f> IF(HB418&lt;&gt;"",TEXT(AUX!HF$1,"dd-MMM-aa"),"")</f>
      </c>
      <c r="HC398" s="496" t="str">
        <f> IF(HC418&lt;&gt;"",TEXT(AUX!HG$1,"dd-MMM-aa"),"")</f>
      </c>
      <c r="HD398" s="496" t="str">
        <f> IF(HD418&lt;&gt;"",TEXT(AUX!HH$1,"dd-MMM-aa"),"")</f>
      </c>
      <c r="HE398" s="496" t="str">
        <f> IF(HE418&lt;&gt;"",TEXT(AUX!HI$1,"dd-MMM-aa"),"")</f>
      </c>
      <c r="HF398" s="496" t="str">
        <f> IF(HF418&lt;&gt;"",TEXT(AUX!HJ$1,"dd-MMM-aa"),"")</f>
      </c>
      <c r="HG398" s="496" t="str">
        <f> IF(HG418&lt;&gt;"",TEXT(AUX!HK$1,"dd-MMM-aa"),"")</f>
      </c>
      <c r="HH398" s="496" t="str">
        <f> IF(HH418&lt;&gt;"",TEXT(AUX!HL$1,"dd-MMM-aa"),"")</f>
      </c>
      <c r="HI398" s="496" t="str">
        <f> IF(HI418&lt;&gt;"",TEXT(AUX!HM$1,"dd-MMM-aa"),"")</f>
      </c>
      <c r="HJ398" s="496" t="str">
        <f> IF(HJ418&lt;&gt;"",TEXT(AUX!HN$1,"dd-MMM-aa"),"")</f>
      </c>
      <c r="HK398" s="496" t="str">
        <f> IF(HK418&lt;&gt;"",TEXT(AUX!HO$1,"dd-MMM-aa"),"")</f>
      </c>
      <c r="HL398" s="496" t="str">
        <f> IF(HL418&lt;&gt;"",TEXT(AUX!HP$1,"dd-MMM-aa"),"")</f>
      </c>
      <c r="HM398" s="496" t="str">
        <f> IF(HM418&lt;&gt;"",TEXT(AUX!HQ$1,"dd-MMM-aa"),"")</f>
      </c>
      <c r="HN398" s="496" t="str">
        <f> IF(HN418&lt;&gt;"",TEXT(AUX!HR$1,"dd-MMM-aa"),"")</f>
      </c>
      <c r="HO398" s="496" t="str">
        <f> IF(HO418&lt;&gt;"",TEXT(AUX!HS$1,"dd-MMM-aa"),"")</f>
      </c>
      <c r="HP398" s="496" t="str">
        <f> IF(HP418&lt;&gt;"",TEXT(AUX!HT$1,"dd-MMM-aa"),"")</f>
      </c>
      <c r="HQ398" s="496" t="str">
        <f> IF(HQ418&lt;&gt;"",TEXT(AUX!HU$1,"dd-MMM-aa"),"")</f>
      </c>
      <c r="HR398" s="496" t="str">
        <f> IF(HR418&lt;&gt;"",TEXT(AUX!HV$1,"dd-MMM-aa"),"")</f>
      </c>
      <c r="HS398" s="496" t="str">
        <f> IF(HS418&lt;&gt;"",TEXT(AUX!HW$1,"dd-MMM-aa"),"")</f>
      </c>
      <c r="HT398" s="496" t="str">
        <f> IF(HT418&lt;&gt;"",TEXT(AUX!HX$1,"dd-MMM-aa"),"")</f>
      </c>
      <c r="HU398" s="496" t="str">
        <f> IF(HU418&lt;&gt;"",TEXT(AUX!HY$1,"dd-MMM-aa"),"")</f>
      </c>
      <c r="HV398" s="496" t="str">
        <f> IF(HV418&lt;&gt;"",TEXT(AUX!HZ$1,"dd-MMM-aa"),"")</f>
      </c>
      <c r="HW398" s="496" t="str">
        <f> IF(HW418&lt;&gt;"",TEXT(AUX!IA$1,"dd-MMM-aa"),"")</f>
      </c>
      <c r="HX398" s="496" t="str">
        <f> IF(HX418&lt;&gt;"",TEXT(AUX!IB$1,"dd-MMM-aa"),"")</f>
      </c>
      <c r="HY398" s="496" t="str">
        <f> IF(HY418&lt;&gt;"",TEXT(AUX!IC$1,"dd-MMM-aa"),"")</f>
      </c>
      <c r="HZ398" s="496" t="str">
        <f> IF(HZ418&lt;&gt;"",TEXT(AUX!ID$1,"dd-MMM-aa"),"")</f>
      </c>
      <c r="IA398" s="496" t="str">
        <f> IF(IA418&lt;&gt;"",TEXT(AUX!IE$1,"dd-MMM-aa"),"")</f>
      </c>
      <c r="IB398" s="496" t="str">
        <f> IF(IB418&lt;&gt;"",TEXT(AUX!IF$1,"dd-MMM-aa"),"")</f>
      </c>
      <c r="IC398" s="496" t="str">
        <f> IF(IC418&lt;&gt;"",TEXT(AUX!IG$1,"dd-MMM-aa"),"")</f>
      </c>
      <c r="ID398" s="496" t="str">
        <f> IF(ID418&lt;&gt;"",TEXT(AUX!IH$1,"dd-MMM-aa"),"")</f>
      </c>
      <c r="IE398" s="496" t="str">
        <f> IF(IE418&lt;&gt;"",TEXT(AUX!II$1,"dd-MMM-aa"),"")</f>
      </c>
      <c r="IF398" s="496" t="str">
        <f> IF(IF418&lt;&gt;"",TEXT(AUX!IJ$1,"dd-MMM-aa"),"")</f>
      </c>
      <c r="IG398" s="496" t="str">
        <f> IF(IG418&lt;&gt;"",TEXT(AUX!IK$1,"dd-MMM-aa"),"")</f>
      </c>
      <c r="IH398" s="496" t="str">
        <f> IF(IH418&lt;&gt;"",TEXT(AUX!IL$1,"dd-MMM-aa"),"")</f>
      </c>
      <c r="II398" s="496" t="str">
        <f> IF(II418&lt;&gt;"",TEXT(AUX!IM$1,"dd-MMM-aa"),"")</f>
      </c>
      <c r="IJ398" s="496" t="str">
        <f> IF(IJ418&lt;&gt;"",TEXT(AUX!IN$1,"dd-MMM-aa"),"")</f>
      </c>
      <c r="IK398" s="496" t="str">
        <f> IF(IK418&lt;&gt;"",TEXT(AUX!IO$1,"dd-MMM-aa"),"")</f>
      </c>
      <c r="IL398" s="496" t="str">
        <f> IF(IL418&lt;&gt;"",TEXT(AUX!IP$1,"dd-MMM-aa"),"")</f>
      </c>
      <c r="IM398" s="496" t="str">
        <f> IF(IM418&lt;&gt;"",TEXT(AUX!IQ$1,"dd-MMM-aa"),"")</f>
      </c>
      <c r="IN398" s="496" t="str">
        <f> IF(IN418&lt;&gt;"",TEXT(AUX!IR$1,"dd-MMM-aa"),"")</f>
      </c>
      <c r="IO398" s="496" t="str">
        <f> IF(IO418&lt;&gt;"",TEXT(AUX!IS$1,"dd-MMM-aa"),"")</f>
      </c>
      <c r="IP398" s="496" t="str">
        <f> IF(IP418&lt;&gt;"",TEXT(AUX!IT$1,"dd-MMM-aa"),"")</f>
      </c>
      <c r="IQ398" s="496" t="str">
        <f> IF(IQ418&lt;&gt;"",TEXT(AUX!IU$1,"dd-MMM-aa"),"")</f>
      </c>
      <c r="IR398" s="496" t="str">
        <f> IF(IR418&lt;&gt;"",TEXT(AUX!IV$1,"dd-MMM-aa"),"")</f>
      </c>
      <c r="IS398" s="496" t="str">
        <f> IF(IS418&lt;&gt;"",TEXT(AUX!#REF!,"dd-MMM-aa"),"")</f>
      </c>
      <c r="IT398" s="496" t="str">
        <f> IF(IT418&lt;&gt;"",TEXT(AUX!#REF!,"dd-MMM-aa"),"")</f>
      </c>
      <c r="IU398" s="496" t="str">
        <f> IF(IU418&lt;&gt;"",TEXT(AUX!#REF!,"dd-MMM-aa"),"")</f>
      </c>
      <c r="IV398" s="496" t="str">
        <f> IF(IV418&lt;&gt;"",TEXT(AUX!#REF!,"dd-MMM-aa"),"")</f>
      </c>
    </row>
    <row r="399" hidden="1" ht="12.75" customHeight="1">
      <c r="B399" s="833" t="s">
        <v>8</v>
      </c>
      <c r="C399" s="827">
        <v>42182</v>
      </c>
      <c r="D399" s="827">
        <v>38071</v>
      </c>
      <c r="E399" s="827">
        <v>39476</v>
      </c>
      <c r="F399" s="827">
        <v>37742</v>
      </c>
      <c r="G399" s="827">
        <v>39291</v>
      </c>
      <c r="H399" s="827">
        <v>38980</v>
      </c>
      <c r="I399" s="827">
        <v>40695</v>
      </c>
      <c r="J399" s="827">
        <v>38295</v>
      </c>
      <c r="K399" s="827">
        <v>39998</v>
      </c>
      <c r="L399" s="827">
        <v>37389</v>
      </c>
      <c r="M399" s="827">
        <v>38112</v>
      </c>
      <c r="N399" s="827">
        <v>33974</v>
      </c>
      <c r="O399" s="827">
        <v>32903</v>
      </c>
      <c r="P399" s="827">
        <v>29395</v>
      </c>
      <c r="Q399" s="827">
        <v>29735</v>
      </c>
      <c r="R399" s="827">
        <v>27381</v>
      </c>
      <c r="S399" s="827">
        <v>28032</v>
      </c>
      <c r="T399" s="827">
        <v>26419</v>
      </c>
      <c r="U399" s="827">
        <v>26118</v>
      </c>
      <c r="V399" s="827">
        <v>25148</v>
      </c>
      <c r="W399" s="827">
        <v>25986</v>
      </c>
      <c r="X399" s="827">
        <v>24981</v>
      </c>
      <c r="Y399" s="827">
        <v>25243</v>
      </c>
      <c r="Z399" s="827">
        <v>25102</v>
      </c>
      <c r="AA399" s="827">
        <v>26157</v>
      </c>
      <c r="AB399" s="834">
        <v>26443</v>
      </c>
      <c r="AC399" s="828">
        <v>27524</v>
      </c>
      <c r="AD399" s="828">
        <v>27874</v>
      </c>
      <c r="AE399" s="828">
        <v>29423</v>
      </c>
      <c r="AF399" s="828">
        <v>29067</v>
      </c>
      <c r="AG399" s="828">
        <v>29215</v>
      </c>
      <c r="AH399" s="828">
        <v>28866</v>
      </c>
      <c r="AI399" s="828">
        <v>28402</v>
      </c>
      <c r="AJ399" s="828">
        <v>26743</v>
      </c>
      <c r="AK399" s="828">
        <v>26748</v>
      </c>
      <c r="AL399" s="828">
        <v>25344</v>
      </c>
      <c r="AM399" s="828">
        <v>25690</v>
      </c>
      <c r="AN399" s="828">
        <v>24688</v>
      </c>
      <c r="AO399" s="828">
        <v>25060</v>
      </c>
      <c r="AP399" s="828">
        <v>24567</v>
      </c>
    </row>
    <row r="400" hidden="1" ht="12.75" customHeight="1">
      <c r="B400" s="829" t="s">
        <v>9</v>
      </c>
      <c r="C400" s="823">
        <v>3087</v>
      </c>
      <c r="D400" s="823">
        <v>2693</v>
      </c>
      <c r="E400" s="823">
        <v>3155</v>
      </c>
      <c r="F400" s="823">
        <v>2784</v>
      </c>
      <c r="G400" s="823">
        <v>3566</v>
      </c>
      <c r="H400" s="823">
        <v>3147</v>
      </c>
      <c r="I400" s="823">
        <v>3484</v>
      </c>
      <c r="J400" s="823">
        <v>3347</v>
      </c>
      <c r="K400" s="823">
        <v>3917</v>
      </c>
      <c r="L400" s="823">
        <v>3286</v>
      </c>
      <c r="M400" s="823">
        <v>3492</v>
      </c>
      <c r="N400" s="823">
        <v>3146</v>
      </c>
      <c r="O400" s="823">
        <v>3455</v>
      </c>
      <c r="P400" s="823">
        <v>2882</v>
      </c>
      <c r="Q400" s="823">
        <v>3388</v>
      </c>
      <c r="R400" s="823">
        <v>2862</v>
      </c>
      <c r="S400" s="823">
        <v>3278</v>
      </c>
      <c r="T400" s="823">
        <v>2817</v>
      </c>
      <c r="U400" s="823">
        <v>3220</v>
      </c>
      <c r="V400" s="823">
        <v>2786</v>
      </c>
      <c r="W400" s="823">
        <v>3298</v>
      </c>
      <c r="X400" s="823">
        <v>2987</v>
      </c>
      <c r="Y400" s="823">
        <v>3389</v>
      </c>
      <c r="Z400" s="823">
        <v>3046</v>
      </c>
      <c r="AA400" s="823">
        <v>3637</v>
      </c>
      <c r="AB400" s="823">
        <v>3514</v>
      </c>
      <c r="AC400" s="825">
        <v>3827</v>
      </c>
      <c r="AD400" s="825">
        <v>3429</v>
      </c>
      <c r="AE400" s="825">
        <v>3611</v>
      </c>
      <c r="AF400" s="825">
        <v>3526</v>
      </c>
      <c r="AG400" s="825">
        <v>3901</v>
      </c>
      <c r="AH400" s="825">
        <v>3479</v>
      </c>
      <c r="AI400" s="825">
        <v>3903</v>
      </c>
      <c r="AJ400" s="825">
        <v>3485</v>
      </c>
      <c r="AK400" s="825">
        <v>4244</v>
      </c>
      <c r="AL400" s="825">
        <v>3809</v>
      </c>
      <c r="AM400" s="825">
        <v>4498</v>
      </c>
      <c r="AN400" s="825">
        <v>3996</v>
      </c>
      <c r="AO400" s="825">
        <v>4832</v>
      </c>
      <c r="AP400" s="825">
        <v>4240</v>
      </c>
    </row>
    <row r="401" hidden="1" ht="12.75" customHeight="1">
      <c r="B401" s="826" t="s">
        <v>10</v>
      </c>
      <c r="C401" s="827">
        <v>9960</v>
      </c>
      <c r="D401" s="827">
        <v>9842</v>
      </c>
      <c r="E401" s="827">
        <v>10353</v>
      </c>
      <c r="F401" s="827">
        <v>10181</v>
      </c>
      <c r="G401" s="827">
        <v>7565</v>
      </c>
      <c r="H401" s="827">
        <v>7402</v>
      </c>
      <c r="I401" s="827">
        <v>7692</v>
      </c>
      <c r="J401" s="827">
        <v>7720</v>
      </c>
      <c r="K401" s="827">
        <v>10301</v>
      </c>
      <c r="L401" s="827">
        <v>10115</v>
      </c>
      <c r="M401" s="827">
        <v>10043</v>
      </c>
      <c r="N401" s="827">
        <v>9785</v>
      </c>
      <c r="O401" s="827">
        <v>9968</v>
      </c>
      <c r="P401" s="827">
        <v>9723</v>
      </c>
      <c r="Q401" s="827">
        <v>10184</v>
      </c>
      <c r="R401" s="827">
        <v>9963</v>
      </c>
      <c r="S401" s="827">
        <v>10499</v>
      </c>
      <c r="T401" s="827">
        <v>10397</v>
      </c>
      <c r="U401" s="827">
        <v>10739</v>
      </c>
      <c r="V401" s="827">
        <v>10546</v>
      </c>
      <c r="W401" s="827">
        <v>10968</v>
      </c>
      <c r="X401" s="827">
        <v>10812</v>
      </c>
      <c r="Y401" s="827">
        <v>11231</v>
      </c>
      <c r="Z401" s="827">
        <v>11106</v>
      </c>
      <c r="AA401" s="827">
        <v>8725</v>
      </c>
      <c r="AB401" s="827">
        <v>8654</v>
      </c>
      <c r="AC401" s="828">
        <v>9202</v>
      </c>
      <c r="AD401" s="828">
        <v>9204</v>
      </c>
      <c r="AE401" s="828">
        <v>9782</v>
      </c>
      <c r="AF401" s="828">
        <v>9619</v>
      </c>
      <c r="AG401" s="828">
        <v>10096</v>
      </c>
      <c r="AH401" s="828">
        <v>9685</v>
      </c>
      <c r="AI401" s="828">
        <v>9946</v>
      </c>
      <c r="AJ401" s="828">
        <v>9411</v>
      </c>
      <c r="AK401" s="828">
        <v>9907</v>
      </c>
      <c r="AL401" s="828">
        <v>9534</v>
      </c>
      <c r="AM401" s="828">
        <v>9784</v>
      </c>
      <c r="AN401" s="828">
        <v>9342</v>
      </c>
      <c r="AO401" s="828">
        <v>9617</v>
      </c>
      <c r="AP401" s="828">
        <v>9389</v>
      </c>
    </row>
    <row r="402" hidden="1" ht="12.75" customHeight="1">
      <c r="B402" s="829" t="s">
        <v>11</v>
      </c>
      <c r="C402" s="823">
        <v>759</v>
      </c>
      <c r="D402" s="823">
        <v>800</v>
      </c>
      <c r="E402" s="823">
        <v>780</v>
      </c>
      <c r="F402" s="823">
        <v>820</v>
      </c>
      <c r="G402" s="823">
        <v>616</v>
      </c>
      <c r="H402" s="823">
        <v>631</v>
      </c>
      <c r="I402" s="823">
        <v>562</v>
      </c>
      <c r="J402" s="823">
        <v>548</v>
      </c>
      <c r="K402" s="823">
        <v>514</v>
      </c>
      <c r="L402" s="823">
        <v>521</v>
      </c>
      <c r="M402" s="823">
        <v>498</v>
      </c>
      <c r="N402" s="823">
        <v>547</v>
      </c>
      <c r="O402" s="823">
        <v>429</v>
      </c>
      <c r="P402" s="823">
        <v>470</v>
      </c>
      <c r="Q402" s="823">
        <v>463</v>
      </c>
      <c r="R402" s="823">
        <v>485</v>
      </c>
      <c r="S402" s="823">
        <v>464</v>
      </c>
      <c r="T402" s="823">
        <v>481</v>
      </c>
      <c r="U402" s="823">
        <v>506</v>
      </c>
      <c r="V402" s="823">
        <v>479</v>
      </c>
      <c r="W402" s="823">
        <v>474</v>
      </c>
      <c r="X402" s="823">
        <v>475</v>
      </c>
      <c r="Y402" s="823">
        <v>463</v>
      </c>
      <c r="Z402" s="823">
        <v>465</v>
      </c>
      <c r="AA402" s="823">
        <v>479</v>
      </c>
      <c r="AB402" s="823">
        <v>512</v>
      </c>
      <c r="AC402" s="825">
        <v>496</v>
      </c>
      <c r="AD402" s="825">
        <v>561</v>
      </c>
      <c r="AE402" s="825">
        <v>641</v>
      </c>
      <c r="AF402" s="825">
        <v>776</v>
      </c>
      <c r="AG402" s="825">
        <v>756</v>
      </c>
      <c r="AH402" s="825">
        <v>744</v>
      </c>
      <c r="AI402" s="825">
        <v>739</v>
      </c>
      <c r="AJ402" s="825">
        <v>839</v>
      </c>
      <c r="AK402" s="825">
        <v>795</v>
      </c>
      <c r="AL402" s="825">
        <v>1145</v>
      </c>
      <c r="AM402" s="825">
        <v>1246</v>
      </c>
      <c r="AN402" s="825">
        <v>1284</v>
      </c>
      <c r="AO402" s="825">
        <v>1228</v>
      </c>
      <c r="AP402" s="825">
        <v>1217</v>
      </c>
    </row>
    <row r="403" hidden="1" ht="12.75" customHeight="1">
      <c r="B403" s="826" t="s">
        <v>12</v>
      </c>
      <c r="C403" s="827">
        <v>629</v>
      </c>
      <c r="D403" s="827">
        <v>633</v>
      </c>
      <c r="E403" s="827">
        <v>729</v>
      </c>
      <c r="F403" s="827">
        <v>749</v>
      </c>
      <c r="G403" s="827">
        <v>878</v>
      </c>
      <c r="H403" s="827">
        <v>905</v>
      </c>
      <c r="I403" s="827">
        <v>874</v>
      </c>
      <c r="J403" s="827">
        <v>886</v>
      </c>
      <c r="K403" s="827">
        <v>869</v>
      </c>
      <c r="L403" s="827">
        <v>862</v>
      </c>
      <c r="M403" s="827">
        <v>841</v>
      </c>
      <c r="N403" s="827">
        <v>811</v>
      </c>
      <c r="O403" s="827">
        <v>805</v>
      </c>
      <c r="P403" s="827">
        <v>805</v>
      </c>
      <c r="Q403" s="827">
        <v>800</v>
      </c>
      <c r="R403" s="827">
        <v>824</v>
      </c>
      <c r="S403" s="827">
        <v>809</v>
      </c>
      <c r="T403" s="827">
        <v>860</v>
      </c>
      <c r="U403" s="827">
        <v>823</v>
      </c>
      <c r="V403" s="827">
        <v>877</v>
      </c>
      <c r="W403" s="827">
        <v>865</v>
      </c>
      <c r="X403" s="827">
        <v>848</v>
      </c>
      <c r="Y403" s="827">
        <v>857</v>
      </c>
      <c r="Z403" s="827">
        <v>823</v>
      </c>
      <c r="AA403" s="827">
        <v>774</v>
      </c>
      <c r="AB403" s="827">
        <v>799</v>
      </c>
      <c r="AC403" s="828">
        <v>789</v>
      </c>
      <c r="AD403" s="828">
        <v>791</v>
      </c>
      <c r="AE403" s="828">
        <v>729</v>
      </c>
      <c r="AF403" s="828">
        <v>721</v>
      </c>
      <c r="AG403" s="828">
        <v>707</v>
      </c>
      <c r="AH403" s="828">
        <v>703</v>
      </c>
      <c r="AI403" s="828">
        <v>674</v>
      </c>
      <c r="AJ403" s="828">
        <v>614</v>
      </c>
      <c r="AK403" s="828">
        <v>613</v>
      </c>
      <c r="AL403" s="828">
        <v>678</v>
      </c>
      <c r="AM403" s="828">
        <v>674</v>
      </c>
      <c r="AN403" s="828">
        <v>624</v>
      </c>
      <c r="AO403" s="828">
        <v>585</v>
      </c>
      <c r="AP403" s="828">
        <v>567</v>
      </c>
    </row>
    <row r="404" hidden="1" ht="12.75" customHeight="1">
      <c r="B404" s="829" t="s">
        <v>13</v>
      </c>
      <c r="C404" s="823">
        <v>4515</v>
      </c>
      <c r="D404" s="823">
        <v>4317</v>
      </c>
      <c r="E404" s="823">
        <v>4486</v>
      </c>
      <c r="F404" s="823">
        <v>4277</v>
      </c>
      <c r="G404" s="823">
        <v>5191</v>
      </c>
      <c r="H404" s="823">
        <v>4959</v>
      </c>
      <c r="I404" s="823">
        <v>5147</v>
      </c>
      <c r="J404" s="823">
        <v>5067</v>
      </c>
      <c r="K404" s="823">
        <v>5469</v>
      </c>
      <c r="L404" s="823">
        <v>5898</v>
      </c>
      <c r="M404" s="823">
        <v>5139</v>
      </c>
      <c r="N404" s="823">
        <v>4753</v>
      </c>
      <c r="O404" s="823">
        <v>5000</v>
      </c>
      <c r="P404" s="823">
        <v>4785</v>
      </c>
      <c r="Q404" s="823">
        <v>5001</v>
      </c>
      <c r="R404" s="823">
        <v>4686</v>
      </c>
      <c r="S404" s="823">
        <v>5051</v>
      </c>
      <c r="T404" s="823">
        <v>4968</v>
      </c>
      <c r="U404" s="823">
        <v>5203</v>
      </c>
      <c r="V404" s="823">
        <v>5074</v>
      </c>
      <c r="W404" s="823">
        <v>5312</v>
      </c>
      <c r="X404" s="823">
        <v>5088</v>
      </c>
      <c r="Y404" s="823">
        <v>5234</v>
      </c>
      <c r="Z404" s="823">
        <v>4988</v>
      </c>
      <c r="AA404" s="823">
        <v>5314</v>
      </c>
      <c r="AB404" s="823">
        <v>5223</v>
      </c>
      <c r="AC404" s="825">
        <v>5735</v>
      </c>
      <c r="AD404" s="825">
        <v>5703</v>
      </c>
      <c r="AE404" s="825">
        <v>6028</v>
      </c>
      <c r="AF404" s="825">
        <v>5832</v>
      </c>
      <c r="AG404" s="825">
        <v>6534</v>
      </c>
      <c r="AH404" s="825">
        <v>6150</v>
      </c>
      <c r="AI404" s="825">
        <v>6614</v>
      </c>
      <c r="AJ404" s="825">
        <v>6152</v>
      </c>
      <c r="AK404" s="825">
        <v>6801</v>
      </c>
      <c r="AL404" s="825">
        <v>6607</v>
      </c>
      <c r="AM404" s="825">
        <v>7303</v>
      </c>
      <c r="AN404" s="825">
        <v>6944</v>
      </c>
      <c r="AO404" s="825">
        <v>7361</v>
      </c>
      <c r="AP404" s="825">
        <v>7163</v>
      </c>
    </row>
    <row r="405" hidden="1" ht="12.75" customHeight="1">
      <c r="B405" s="826" t="s">
        <v>109</v>
      </c>
      <c r="C405" s="827">
        <v>15056</v>
      </c>
      <c r="D405" s="827">
        <v>15100</v>
      </c>
      <c r="E405" s="827">
        <v>15324</v>
      </c>
      <c r="F405" s="827">
        <v>13402</v>
      </c>
      <c r="G405" s="827">
        <v>13223</v>
      </c>
      <c r="H405" s="827">
        <v>11973</v>
      </c>
      <c r="I405" s="827">
        <v>14401</v>
      </c>
      <c r="J405" s="827">
        <v>13481</v>
      </c>
      <c r="K405" s="827">
        <v>14585</v>
      </c>
      <c r="L405" s="827">
        <v>13055</v>
      </c>
      <c r="M405" s="827">
        <v>14026</v>
      </c>
      <c r="N405" s="827">
        <v>12542</v>
      </c>
      <c r="O405" s="827">
        <v>13556</v>
      </c>
      <c r="P405" s="827">
        <v>11891</v>
      </c>
      <c r="Q405" s="827">
        <v>13392</v>
      </c>
      <c r="R405" s="827">
        <v>12435</v>
      </c>
      <c r="S405" s="827">
        <v>13516</v>
      </c>
      <c r="T405" s="827">
        <v>12191</v>
      </c>
      <c r="U405" s="827">
        <v>13450</v>
      </c>
      <c r="V405" s="827">
        <v>13268</v>
      </c>
      <c r="W405" s="827">
        <v>15207</v>
      </c>
      <c r="X405" s="827">
        <v>15024</v>
      </c>
      <c r="Y405" s="827">
        <v>16329</v>
      </c>
      <c r="Z405" s="827">
        <v>15924</v>
      </c>
      <c r="AA405" s="827">
        <v>17807</v>
      </c>
      <c r="AB405" s="827">
        <v>17326</v>
      </c>
      <c r="AC405" s="828">
        <v>18548</v>
      </c>
      <c r="AD405" s="828">
        <v>18844</v>
      </c>
      <c r="AE405" s="828">
        <v>21325</v>
      </c>
      <c r="AF405" s="828">
        <v>21259</v>
      </c>
      <c r="AG405" s="828">
        <v>21801</v>
      </c>
      <c r="AH405" s="828">
        <v>21267</v>
      </c>
      <c r="AI405" s="828">
        <v>20677</v>
      </c>
      <c r="AJ405" s="828">
        <v>19654</v>
      </c>
      <c r="AK405" s="828">
        <v>19587</v>
      </c>
      <c r="AL405" s="828">
        <v>19251</v>
      </c>
      <c r="AM405" s="828">
        <v>20376</v>
      </c>
      <c r="AN405" s="828">
        <v>19438</v>
      </c>
      <c r="AO405" s="828">
        <v>19517</v>
      </c>
      <c r="AP405" s="828">
        <v>18492</v>
      </c>
    </row>
    <row r="406" hidden="1" ht="12.75" customHeight="1">
      <c r="B406" s="829" t="s">
        <v>110</v>
      </c>
      <c r="C406" s="823">
        <v>80086</v>
      </c>
      <c r="D406" s="823">
        <v>77119</v>
      </c>
      <c r="E406" s="823">
        <v>80029</v>
      </c>
      <c r="F406" s="823">
        <v>76127</v>
      </c>
      <c r="G406" s="823">
        <v>44923</v>
      </c>
      <c r="H406" s="823">
        <v>34995</v>
      </c>
      <c r="I406" s="823">
        <v>38359</v>
      </c>
      <c r="J406" s="823">
        <v>37127</v>
      </c>
      <c r="K406" s="823">
        <v>40689</v>
      </c>
      <c r="L406" s="823">
        <v>37258</v>
      </c>
      <c r="M406" s="823">
        <v>39164</v>
      </c>
      <c r="N406" s="823">
        <v>34750</v>
      </c>
      <c r="O406" s="823">
        <v>38680</v>
      </c>
      <c r="P406" s="823">
        <v>34407</v>
      </c>
      <c r="Q406" s="823">
        <v>37488</v>
      </c>
      <c r="R406" s="823">
        <v>34799</v>
      </c>
      <c r="S406" s="823">
        <v>38982</v>
      </c>
      <c r="T406" s="823">
        <v>36132</v>
      </c>
      <c r="U406" s="823">
        <v>40465</v>
      </c>
      <c r="V406" s="823">
        <v>37252</v>
      </c>
      <c r="W406" s="823">
        <v>38774</v>
      </c>
      <c r="X406" s="823">
        <v>36517</v>
      </c>
      <c r="Y406" s="823">
        <v>39543</v>
      </c>
      <c r="Z406" s="823">
        <v>38717</v>
      </c>
      <c r="AA406" s="823">
        <v>41633</v>
      </c>
      <c r="AB406" s="823">
        <v>38871</v>
      </c>
      <c r="AC406" s="825">
        <v>43307</v>
      </c>
      <c r="AD406" s="825">
        <v>40213</v>
      </c>
      <c r="AE406" s="825">
        <v>43621</v>
      </c>
      <c r="AF406" s="825">
        <v>40874</v>
      </c>
      <c r="AG406" s="825">
        <v>46000</v>
      </c>
      <c r="AH406" s="825">
        <v>43151</v>
      </c>
      <c r="AI406" s="825">
        <v>47306</v>
      </c>
      <c r="AJ406" s="825">
        <v>43296</v>
      </c>
      <c r="AK406" s="825">
        <v>46610</v>
      </c>
      <c r="AL406" s="825">
        <v>43356</v>
      </c>
      <c r="AM406" s="825">
        <v>47285</v>
      </c>
      <c r="AN406" s="825">
        <v>43427</v>
      </c>
      <c r="AO406" s="825">
        <v>46893</v>
      </c>
      <c r="AP406" s="825">
        <v>44691</v>
      </c>
    </row>
    <row r="407" hidden="1" ht="12.75" customHeight="1">
      <c r="B407" s="826" t="s">
        <v>16</v>
      </c>
      <c r="C407" s="827">
        <v>7517</v>
      </c>
      <c r="D407" s="827">
        <v>8135</v>
      </c>
      <c r="E407" s="827">
        <v>23601</v>
      </c>
      <c r="F407" s="827">
        <v>7690</v>
      </c>
      <c r="G407" s="827">
        <v>27698</v>
      </c>
      <c r="H407" s="827">
        <v>35384</v>
      </c>
      <c r="I407" s="827">
        <v>8280</v>
      </c>
      <c r="J407" s="827">
        <v>7533</v>
      </c>
      <c r="K407" s="827">
        <v>7740</v>
      </c>
      <c r="L407" s="827">
        <v>7317</v>
      </c>
      <c r="M407" s="827">
        <v>7622</v>
      </c>
      <c r="N407" s="827">
        <v>7716</v>
      </c>
      <c r="O407" s="827">
        <v>7934</v>
      </c>
      <c r="P407" s="827">
        <v>8269</v>
      </c>
      <c r="Q407" s="827">
        <v>9069</v>
      </c>
      <c r="R407" s="827">
        <v>0</v>
      </c>
      <c r="S407" s="827">
        <v>10941</v>
      </c>
      <c r="T407" s="827">
        <v>11519</v>
      </c>
      <c r="U407" s="827">
        <v>13443</v>
      </c>
      <c r="V407" s="827">
        <v>14550</v>
      </c>
      <c r="W407" s="827">
        <v>18166</v>
      </c>
      <c r="X407" s="827">
        <v>19808</v>
      </c>
      <c r="Y407" s="827">
        <v>21584</v>
      </c>
      <c r="Z407" s="827">
        <v>22561</v>
      </c>
      <c r="AA407" s="827">
        <v>24470</v>
      </c>
      <c r="AB407" s="827">
        <v>26627</v>
      </c>
      <c r="AC407" s="828">
        <v>30215</v>
      </c>
      <c r="AD407" s="828">
        <v>30781</v>
      </c>
      <c r="AE407" s="828">
        <v>33493</v>
      </c>
      <c r="AF407" s="828">
        <v>34547</v>
      </c>
      <c r="AG407" s="828">
        <v>27146</v>
      </c>
      <c r="AH407" s="828">
        <v>27851</v>
      </c>
      <c r="AI407" s="828">
        <v>28731</v>
      </c>
      <c r="AJ407" s="828">
        <v>30083</v>
      </c>
      <c r="AK407" s="828">
        <v>33279</v>
      </c>
      <c r="AL407" s="828">
        <v>35929</v>
      </c>
      <c r="AM407" s="828">
        <v>36666</v>
      </c>
      <c r="AN407" s="828">
        <v>37327</v>
      </c>
      <c r="AO407" s="828">
        <v>37819</v>
      </c>
      <c r="AP407" s="828">
        <v>37709</v>
      </c>
    </row>
    <row r="408" hidden="1" ht="12.75" customHeight="1">
      <c r="B408" s="829" t="s">
        <v>17</v>
      </c>
      <c r="C408" s="823">
        <v>28290</v>
      </c>
      <c r="D408" s="823">
        <v>27517</v>
      </c>
      <c r="E408" s="823">
        <v>28052</v>
      </c>
      <c r="F408" s="823">
        <v>27342</v>
      </c>
      <c r="G408" s="823">
        <v>28730</v>
      </c>
      <c r="H408" s="823">
        <v>27923</v>
      </c>
      <c r="I408" s="823">
        <v>28264</v>
      </c>
      <c r="J408" s="823">
        <v>27975</v>
      </c>
      <c r="K408" s="823">
        <v>28756</v>
      </c>
      <c r="L408" s="823">
        <v>28425</v>
      </c>
      <c r="M408" s="823">
        <v>28294</v>
      </c>
      <c r="N408" s="823">
        <v>26750</v>
      </c>
      <c r="O408" s="823">
        <v>25942</v>
      </c>
      <c r="P408" s="823">
        <v>25087</v>
      </c>
      <c r="Q408" s="823">
        <v>26127</v>
      </c>
      <c r="R408" s="823">
        <v>25171</v>
      </c>
      <c r="S408" s="823">
        <v>25712</v>
      </c>
      <c r="T408" s="823">
        <v>26881</v>
      </c>
      <c r="U408" s="823">
        <v>27008</v>
      </c>
      <c r="V408" s="823">
        <v>27241</v>
      </c>
      <c r="W408" s="823">
        <v>28497</v>
      </c>
      <c r="X408" s="823">
        <v>26888</v>
      </c>
      <c r="Y408" s="823">
        <v>27845</v>
      </c>
      <c r="Z408" s="823">
        <v>29458</v>
      </c>
      <c r="AA408" s="823">
        <v>29643</v>
      </c>
      <c r="AB408" s="823">
        <v>29396</v>
      </c>
      <c r="AC408" s="825">
        <v>29577</v>
      </c>
      <c r="AD408" s="825">
        <v>29864</v>
      </c>
      <c r="AE408" s="825">
        <v>30539</v>
      </c>
      <c r="AF408" s="825">
        <v>30741</v>
      </c>
      <c r="AG408" s="825">
        <v>30688</v>
      </c>
      <c r="AH408" s="825">
        <v>31082</v>
      </c>
      <c r="AI408" s="825">
        <v>30029</v>
      </c>
      <c r="AJ408" s="825">
        <v>30058</v>
      </c>
      <c r="AK408" s="825">
        <v>29499</v>
      </c>
      <c r="AL408" s="825">
        <v>29657</v>
      </c>
      <c r="AM408" s="825">
        <v>30210</v>
      </c>
      <c r="AN408" s="825">
        <v>31532</v>
      </c>
      <c r="AO408" s="825">
        <v>31810</v>
      </c>
      <c r="AP408" s="825">
        <v>33021</v>
      </c>
    </row>
    <row r="409" hidden="1" ht="12.75" customHeight="1">
      <c r="B409" s="826" t="s">
        <v>18</v>
      </c>
      <c r="C409" s="827">
        <v>4694</v>
      </c>
      <c r="D409" s="827">
        <v>4370</v>
      </c>
      <c r="E409" s="827">
        <v>4624</v>
      </c>
      <c r="F409" s="827">
        <v>4608</v>
      </c>
      <c r="G409" s="827">
        <v>18168</v>
      </c>
      <c r="H409" s="827">
        <v>6248</v>
      </c>
      <c r="I409" s="827">
        <v>6496</v>
      </c>
      <c r="J409" s="827">
        <v>5254</v>
      </c>
      <c r="K409" s="827">
        <v>5763</v>
      </c>
      <c r="L409" s="827">
        <v>5449</v>
      </c>
      <c r="M409" s="827">
        <v>5716</v>
      </c>
      <c r="N409" s="827">
        <v>5435</v>
      </c>
      <c r="O409" s="827">
        <v>5753</v>
      </c>
      <c r="P409" s="827">
        <v>5602</v>
      </c>
      <c r="Q409" s="827">
        <v>5912</v>
      </c>
      <c r="R409" s="827">
        <v>5384</v>
      </c>
      <c r="S409" s="827">
        <v>5819</v>
      </c>
      <c r="T409" s="827">
        <v>5798</v>
      </c>
      <c r="U409" s="827">
        <v>6144</v>
      </c>
      <c r="V409" s="827">
        <v>6012</v>
      </c>
      <c r="W409" s="827">
        <v>6372</v>
      </c>
      <c r="X409" s="827">
        <v>6152</v>
      </c>
      <c r="Y409" s="827">
        <v>6575</v>
      </c>
      <c r="Z409" s="827">
        <v>6398</v>
      </c>
      <c r="AA409" s="827">
        <v>6745</v>
      </c>
      <c r="AB409" s="827">
        <v>6912</v>
      </c>
      <c r="AC409" s="828">
        <v>7407</v>
      </c>
      <c r="AD409" s="828">
        <v>7442</v>
      </c>
      <c r="AE409" s="828">
        <v>8124</v>
      </c>
      <c r="AF409" s="828">
        <v>8258</v>
      </c>
      <c r="AG409" s="828">
        <v>8952</v>
      </c>
      <c r="AH409" s="828">
        <v>8989</v>
      </c>
      <c r="AI409" s="828">
        <v>9414</v>
      </c>
      <c r="AJ409" s="828">
        <v>9203</v>
      </c>
      <c r="AK409" s="828">
        <v>9685</v>
      </c>
      <c r="AL409" s="828">
        <v>9720</v>
      </c>
      <c r="AM409" s="828">
        <v>10142</v>
      </c>
      <c r="AN409" s="828">
        <v>9977</v>
      </c>
      <c r="AO409" s="828">
        <v>10263</v>
      </c>
      <c r="AP409" s="828">
        <v>9908</v>
      </c>
    </row>
    <row r="410" hidden="1" ht="12.75" customHeight="1">
      <c r="B410" s="829" t="s">
        <v>19</v>
      </c>
      <c r="C410" s="823">
        <v>7757</v>
      </c>
      <c r="D410" s="823">
        <v>6907</v>
      </c>
      <c r="E410" s="823">
        <v>7750</v>
      </c>
      <c r="F410" s="823">
        <v>6701</v>
      </c>
      <c r="G410" s="823">
        <v>8698</v>
      </c>
      <c r="H410" s="823">
        <v>9251</v>
      </c>
      <c r="I410" s="823">
        <v>8009</v>
      </c>
      <c r="J410" s="823">
        <v>7214</v>
      </c>
      <c r="K410" s="823">
        <v>7985</v>
      </c>
      <c r="L410" s="823">
        <v>7520</v>
      </c>
      <c r="M410" s="823">
        <v>6551</v>
      </c>
      <c r="N410" s="823">
        <v>5524</v>
      </c>
      <c r="O410" s="823">
        <v>5915</v>
      </c>
      <c r="P410" s="823">
        <v>4878</v>
      </c>
      <c r="Q410" s="823">
        <v>5501</v>
      </c>
      <c r="R410" s="823">
        <v>4826</v>
      </c>
      <c r="S410" s="823">
        <v>5489</v>
      </c>
      <c r="T410" s="823">
        <v>5408</v>
      </c>
      <c r="U410" s="823">
        <v>5887</v>
      </c>
      <c r="V410" s="823">
        <v>5459</v>
      </c>
      <c r="W410" s="823">
        <v>6222</v>
      </c>
      <c r="X410" s="823">
        <v>5651</v>
      </c>
      <c r="Y410" s="823">
        <v>6599</v>
      </c>
      <c r="Z410" s="823">
        <v>7081</v>
      </c>
      <c r="AA410" s="823">
        <v>7340</v>
      </c>
      <c r="AB410" s="823">
        <v>7200</v>
      </c>
      <c r="AC410" s="825">
        <v>8054</v>
      </c>
      <c r="AD410" s="825">
        <v>7501</v>
      </c>
      <c r="AE410" s="825">
        <v>8134</v>
      </c>
      <c r="AF410" s="825">
        <v>6736</v>
      </c>
      <c r="AG410" s="825">
        <v>7076</v>
      </c>
      <c r="AH410" s="825">
        <v>7147</v>
      </c>
      <c r="AI410" s="825">
        <v>7337</v>
      </c>
      <c r="AJ410" s="825">
        <v>6885</v>
      </c>
      <c r="AK410" s="825">
        <v>7750</v>
      </c>
      <c r="AL410" s="825">
        <v>8078</v>
      </c>
      <c r="AM410" s="825">
        <v>9883</v>
      </c>
      <c r="AN410" s="825">
        <v>8601</v>
      </c>
      <c r="AO410" s="825">
        <v>7186</v>
      </c>
      <c r="AP410" s="825">
        <v>7160</v>
      </c>
    </row>
    <row r="411" hidden="1" ht="12.75" customHeight="1">
      <c r="B411" s="826" t="s">
        <v>20</v>
      </c>
      <c r="C411" s="827">
        <v>5109</v>
      </c>
      <c r="D411" s="827">
        <v>5465</v>
      </c>
      <c r="E411" s="827">
        <v>3351</v>
      </c>
      <c r="F411" s="827">
        <v>3464</v>
      </c>
      <c r="G411" s="827">
        <v>2337</v>
      </c>
      <c r="H411" s="827">
        <v>2032</v>
      </c>
      <c r="I411" s="827">
        <v>2052</v>
      </c>
      <c r="J411" s="827">
        <v>2056</v>
      </c>
      <c r="K411" s="827">
        <v>1888</v>
      </c>
      <c r="L411" s="827">
        <v>1836</v>
      </c>
      <c r="M411" s="827">
        <v>1681</v>
      </c>
      <c r="N411" s="827">
        <v>1706</v>
      </c>
      <c r="O411" s="827">
        <v>1700</v>
      </c>
      <c r="P411" s="827">
        <v>1660</v>
      </c>
      <c r="Q411" s="827">
        <v>1734</v>
      </c>
      <c r="R411" s="827">
        <v>1846</v>
      </c>
      <c r="S411" s="827">
        <v>2067</v>
      </c>
      <c r="T411" s="827">
        <v>2042</v>
      </c>
      <c r="U411" s="827">
        <v>12705</v>
      </c>
      <c r="V411" s="827">
        <v>14774</v>
      </c>
      <c r="W411" s="827">
        <v>17656</v>
      </c>
      <c r="X411" s="827">
        <v>17836</v>
      </c>
      <c r="Y411" s="827">
        <v>17868</v>
      </c>
      <c r="Z411" s="827">
        <v>17905</v>
      </c>
      <c r="AA411" s="827">
        <v>18233</v>
      </c>
      <c r="AB411" s="827">
        <v>18327</v>
      </c>
      <c r="AC411" s="828">
        <v>18434</v>
      </c>
      <c r="AD411" s="828">
        <v>18404</v>
      </c>
      <c r="AE411" s="828">
        <v>18540</v>
      </c>
      <c r="AF411" s="828">
        <v>18348</v>
      </c>
      <c r="AG411" s="828">
        <v>18453</v>
      </c>
      <c r="AH411" s="828">
        <v>18331</v>
      </c>
      <c r="AI411" s="828">
        <v>18311</v>
      </c>
      <c r="AJ411" s="828">
        <v>18239</v>
      </c>
      <c r="AK411" s="828">
        <v>18217</v>
      </c>
      <c r="AL411" s="828">
        <v>17827</v>
      </c>
      <c r="AM411" s="828">
        <v>1093</v>
      </c>
      <c r="AN411" s="828">
        <v>1099</v>
      </c>
      <c r="AO411" s="828">
        <v>1062</v>
      </c>
      <c r="AP411" s="828">
        <v>1053</v>
      </c>
    </row>
    <row r="412" hidden="1" ht="12.75" customHeight="1">
      <c r="B412" s="829" t="s">
        <v>21</v>
      </c>
      <c r="C412" s="823">
        <v>2225</v>
      </c>
      <c r="D412" s="823">
        <v>1946</v>
      </c>
      <c r="E412" s="823">
        <v>2373</v>
      </c>
      <c r="F412" s="823">
        <v>1953</v>
      </c>
      <c r="G412" s="823">
        <v>2251</v>
      </c>
      <c r="H412" s="823">
        <v>1996</v>
      </c>
      <c r="I412" s="823">
        <v>2235</v>
      </c>
      <c r="J412" s="823">
        <v>2001</v>
      </c>
      <c r="K412" s="823">
        <v>2406</v>
      </c>
      <c r="L412" s="823">
        <v>2099</v>
      </c>
      <c r="M412" s="823">
        <v>2580</v>
      </c>
      <c r="N412" s="823">
        <v>2136</v>
      </c>
      <c r="O412" s="823">
        <v>2561</v>
      </c>
      <c r="P412" s="823">
        <v>2188</v>
      </c>
      <c r="Q412" s="823">
        <v>2417</v>
      </c>
      <c r="R412" s="823">
        <v>2095</v>
      </c>
      <c r="S412" s="823">
        <v>2413</v>
      </c>
      <c r="T412" s="823">
        <v>2056</v>
      </c>
      <c r="U412" s="823">
        <v>2399</v>
      </c>
      <c r="V412" s="823">
        <v>2080</v>
      </c>
      <c r="W412" s="823">
        <v>2388</v>
      </c>
      <c r="X412" s="823">
        <v>2123</v>
      </c>
      <c r="Y412" s="823">
        <v>2447</v>
      </c>
      <c r="Z412" s="823">
        <v>2218</v>
      </c>
      <c r="AA412" s="823">
        <v>2650</v>
      </c>
      <c r="AB412" s="823">
        <v>2412</v>
      </c>
      <c r="AC412" s="825">
        <v>2774</v>
      </c>
      <c r="AD412" s="825">
        <v>2553</v>
      </c>
      <c r="AE412" s="825">
        <v>2934</v>
      </c>
      <c r="AF412" s="825">
        <v>2598</v>
      </c>
      <c r="AG412" s="825">
        <v>2849</v>
      </c>
      <c r="AH412" s="825">
        <v>2696</v>
      </c>
      <c r="AI412" s="825">
        <v>3200</v>
      </c>
      <c r="AJ412" s="825">
        <v>2989</v>
      </c>
      <c r="AK412" s="825">
        <v>3168</v>
      </c>
      <c r="AL412" s="825">
        <v>2958</v>
      </c>
      <c r="AM412" s="825">
        <v>3256</v>
      </c>
      <c r="AN412" s="825">
        <v>2938</v>
      </c>
      <c r="AO412" s="825">
        <v>3408</v>
      </c>
      <c r="AP412" s="825">
        <v>3086</v>
      </c>
    </row>
    <row r="413" hidden="1" ht="12.75" customHeight="1">
      <c r="B413" s="826" t="s">
        <v>22</v>
      </c>
      <c r="C413" s="827">
        <v>5121</v>
      </c>
      <c r="D413" s="827">
        <v>5072</v>
      </c>
      <c r="E413" s="827">
        <v>5261</v>
      </c>
      <c r="F413" s="827">
        <v>4794</v>
      </c>
      <c r="G413" s="827">
        <v>6244</v>
      </c>
      <c r="H413" s="827">
        <v>7118</v>
      </c>
      <c r="I413" s="827">
        <v>6504</v>
      </c>
      <c r="J413" s="827">
        <v>6558</v>
      </c>
      <c r="K413" s="827">
        <v>7192</v>
      </c>
      <c r="L413" s="827">
        <v>7322</v>
      </c>
      <c r="M413" s="827">
        <v>7526</v>
      </c>
      <c r="N413" s="827">
        <v>7586</v>
      </c>
      <c r="O413" s="827">
        <v>7892</v>
      </c>
      <c r="P413" s="827">
        <v>7778</v>
      </c>
      <c r="Q413" s="827">
        <v>6318</v>
      </c>
      <c r="R413" s="827">
        <v>6267</v>
      </c>
      <c r="S413" s="827">
        <v>6490</v>
      </c>
      <c r="T413" s="827">
        <v>6079</v>
      </c>
      <c r="U413" s="827">
        <v>4516</v>
      </c>
      <c r="V413" s="827">
        <v>4659</v>
      </c>
      <c r="W413" s="827">
        <v>4730</v>
      </c>
      <c r="X413" s="827">
        <v>4564</v>
      </c>
      <c r="Y413" s="827">
        <v>4795</v>
      </c>
      <c r="Z413" s="827">
        <v>4577</v>
      </c>
      <c r="AA413" s="827">
        <v>4593</v>
      </c>
      <c r="AB413" s="827">
        <v>4453</v>
      </c>
      <c r="AC413" s="828">
        <v>4601</v>
      </c>
      <c r="AD413" s="828">
        <v>4384</v>
      </c>
      <c r="AE413" s="828">
        <v>4640</v>
      </c>
      <c r="AF413" s="828">
        <v>4549</v>
      </c>
      <c r="AG413" s="828">
        <v>4603</v>
      </c>
      <c r="AH413" s="828">
        <v>4531</v>
      </c>
      <c r="AI413" s="828">
        <v>4585</v>
      </c>
      <c r="AJ413" s="828">
        <v>4420</v>
      </c>
      <c r="AK413" s="828">
        <v>4457</v>
      </c>
      <c r="AL413" s="828">
        <v>4315</v>
      </c>
      <c r="AM413" s="828">
        <v>4494</v>
      </c>
      <c r="AN413" s="828">
        <v>4340</v>
      </c>
      <c r="AO413" s="828">
        <v>4515</v>
      </c>
      <c r="AP413" s="828">
        <v>4434</v>
      </c>
    </row>
    <row r="414" hidden="1" ht="12.75" customHeight="1">
      <c r="B414" s="829" t="s">
        <v>23</v>
      </c>
      <c r="C414" s="823">
        <v>1098</v>
      </c>
      <c r="D414" s="823">
        <v>981</v>
      </c>
      <c r="E414" s="823">
        <v>782</v>
      </c>
      <c r="F414" s="823">
        <v>676</v>
      </c>
      <c r="G414" s="823">
        <v>692</v>
      </c>
      <c r="H414" s="823">
        <v>654</v>
      </c>
      <c r="I414" s="823">
        <v>845</v>
      </c>
      <c r="J414" s="823">
        <v>781</v>
      </c>
      <c r="K414" s="823">
        <v>888</v>
      </c>
      <c r="L414" s="823">
        <v>784</v>
      </c>
      <c r="M414" s="823">
        <v>689</v>
      </c>
      <c r="N414" s="823">
        <v>687</v>
      </c>
      <c r="O414" s="823">
        <v>770</v>
      </c>
      <c r="P414" s="823">
        <v>673</v>
      </c>
      <c r="Q414" s="823">
        <v>700</v>
      </c>
      <c r="R414" s="823">
        <v>796</v>
      </c>
      <c r="S414" s="823">
        <v>895</v>
      </c>
      <c r="T414" s="823">
        <v>767</v>
      </c>
      <c r="U414" s="823">
        <v>785</v>
      </c>
      <c r="V414" s="823">
        <v>710</v>
      </c>
      <c r="W414" s="823">
        <v>974</v>
      </c>
      <c r="X414" s="823">
        <v>1020</v>
      </c>
      <c r="Y414" s="823">
        <v>1063</v>
      </c>
      <c r="Z414" s="823">
        <v>984</v>
      </c>
      <c r="AA414" s="823">
        <v>1081</v>
      </c>
      <c r="AB414" s="823">
        <v>968</v>
      </c>
      <c r="AC414" s="825">
        <v>1071</v>
      </c>
      <c r="AD414" s="825">
        <v>999</v>
      </c>
      <c r="AE414" s="825">
        <v>1047</v>
      </c>
      <c r="AF414" s="825">
        <v>1070</v>
      </c>
      <c r="AG414" s="825">
        <v>1086</v>
      </c>
      <c r="AH414" s="825">
        <v>945</v>
      </c>
      <c r="AI414" s="825">
        <v>1022</v>
      </c>
      <c r="AJ414" s="825">
        <v>872</v>
      </c>
      <c r="AK414" s="825">
        <v>974</v>
      </c>
      <c r="AL414" s="825">
        <v>846</v>
      </c>
      <c r="AM414" s="825">
        <v>984</v>
      </c>
      <c r="AN414" s="825">
        <v>818</v>
      </c>
      <c r="AO414" s="825">
        <v>853</v>
      </c>
      <c r="AP414" s="825">
        <v>828</v>
      </c>
    </row>
    <row r="415" hidden="1" ht="12.75" customHeight="1">
      <c r="B415" s="835" t="s">
        <v>24</v>
      </c>
      <c r="C415" s="827">
        <v>5639</v>
      </c>
      <c r="D415" s="827">
        <v>5098</v>
      </c>
      <c r="E415" s="827">
        <v>5660</v>
      </c>
      <c r="F415" s="827">
        <v>4744</v>
      </c>
      <c r="G415" s="827">
        <v>3654</v>
      </c>
      <c r="H415" s="827">
        <v>3449</v>
      </c>
      <c r="I415" s="827">
        <v>4073</v>
      </c>
      <c r="J415" s="827">
        <v>3717</v>
      </c>
      <c r="K415" s="827">
        <v>3944</v>
      </c>
      <c r="L415" s="827">
        <v>3452</v>
      </c>
      <c r="M415" s="827">
        <v>3667</v>
      </c>
      <c r="N415" s="827">
        <v>3223</v>
      </c>
      <c r="O415" s="827">
        <v>3573</v>
      </c>
      <c r="P415" s="827">
        <v>3045</v>
      </c>
      <c r="Q415" s="827">
        <v>3438</v>
      </c>
      <c r="R415" s="827">
        <v>2810</v>
      </c>
      <c r="S415" s="827">
        <v>3307</v>
      </c>
      <c r="T415" s="827">
        <v>2812</v>
      </c>
      <c r="U415" s="827">
        <v>3141</v>
      </c>
      <c r="V415" s="827">
        <v>2810</v>
      </c>
      <c r="W415" s="827">
        <v>3249</v>
      </c>
      <c r="X415" s="827">
        <v>2851</v>
      </c>
      <c r="Y415" s="827">
        <v>3307</v>
      </c>
      <c r="Z415" s="827">
        <v>3188</v>
      </c>
      <c r="AA415" s="827">
        <v>3537</v>
      </c>
      <c r="AB415" s="827">
        <v>3636</v>
      </c>
      <c r="AC415" s="828">
        <v>4251</v>
      </c>
      <c r="AD415" s="828">
        <v>3993</v>
      </c>
      <c r="AE415" s="828">
        <v>4199</v>
      </c>
      <c r="AF415" s="828">
        <v>3756</v>
      </c>
      <c r="AG415" s="828">
        <v>3900</v>
      </c>
      <c r="AH415" s="828">
        <v>3985</v>
      </c>
      <c r="AI415" s="828">
        <v>4273</v>
      </c>
      <c r="AJ415" s="828">
        <v>4137</v>
      </c>
      <c r="AK415" s="828">
        <v>4241</v>
      </c>
      <c r="AL415" s="828">
        <v>3930</v>
      </c>
      <c r="AM415" s="828">
        <v>4234</v>
      </c>
      <c r="AN415" s="828">
        <v>3902</v>
      </c>
      <c r="AO415" s="828">
        <v>4491</v>
      </c>
      <c r="AP415" s="828">
        <v>4439</v>
      </c>
    </row>
    <row r="416" hidden="1" ht="12.75" customHeight="1">
      <c r="B416" s="829" t="s">
        <v>25</v>
      </c>
      <c r="C416" s="823">
        <v>0</v>
      </c>
      <c r="D416" s="823">
        <v>0</v>
      </c>
      <c r="E416" s="823">
        <v>0</v>
      </c>
      <c r="F416" s="823">
        <v>0</v>
      </c>
      <c r="G416" s="823">
        <v>0</v>
      </c>
      <c r="H416" s="823">
        <v>0</v>
      </c>
      <c r="I416" s="823">
        <v>0</v>
      </c>
      <c r="J416" s="823">
        <v>0</v>
      </c>
      <c r="K416" s="823">
        <v>0</v>
      </c>
      <c r="L416" s="823">
        <v>0</v>
      </c>
      <c r="M416" s="823">
        <v>0</v>
      </c>
      <c r="N416" s="823">
        <v>0</v>
      </c>
      <c r="O416" s="823">
        <v>0</v>
      </c>
      <c r="P416" s="823">
        <v>0</v>
      </c>
      <c r="Q416" s="823">
        <v>0</v>
      </c>
      <c r="R416" s="823">
        <v>0</v>
      </c>
      <c r="S416" s="823">
        <v>0</v>
      </c>
      <c r="T416" s="823">
        <v>0</v>
      </c>
      <c r="U416" s="823">
        <v>0</v>
      </c>
      <c r="V416" s="823">
        <v>0</v>
      </c>
      <c r="W416" s="823">
        <v>0</v>
      </c>
      <c r="X416" s="823">
        <v>0</v>
      </c>
      <c r="Y416" s="823">
        <v>0</v>
      </c>
      <c r="Z416" s="823">
        <v>0</v>
      </c>
      <c r="AA416" s="823">
        <v>0</v>
      </c>
      <c r="AB416" s="823">
        <v>0</v>
      </c>
      <c r="AC416" s="825">
        <v>0</v>
      </c>
      <c r="AD416" s="825">
        <v>0</v>
      </c>
      <c r="AE416" s="825">
        <v>0</v>
      </c>
      <c r="AF416" s="825">
        <v>0</v>
      </c>
      <c r="AG416" s="825">
        <v>0</v>
      </c>
      <c r="AH416" s="825">
        <v>0</v>
      </c>
      <c r="AI416" s="825">
        <v>0</v>
      </c>
      <c r="AJ416" s="825">
        <v>0</v>
      </c>
      <c r="AK416" s="825">
        <v>0</v>
      </c>
      <c r="AL416" s="825">
        <v>0</v>
      </c>
      <c r="AM416" s="825">
        <v>68</v>
      </c>
      <c r="AN416" s="825">
        <v>0</v>
      </c>
      <c r="AO416" s="825">
        <v>0</v>
      </c>
      <c r="AP416" s="825">
        <v>0</v>
      </c>
    </row>
    <row r="417" hidden="1" ht="13.5" customHeight="1">
      <c r="B417" s="836" t="s">
        <v>26</v>
      </c>
      <c r="C417" s="827">
        <v>0</v>
      </c>
      <c r="D417" s="827">
        <v>0</v>
      </c>
      <c r="E417" s="827">
        <v>0</v>
      </c>
      <c r="F417" s="827">
        <v>0</v>
      </c>
      <c r="G417" s="827">
        <v>0</v>
      </c>
      <c r="H417" s="827">
        <v>0</v>
      </c>
      <c r="I417" s="827">
        <v>0</v>
      </c>
      <c r="J417" s="827">
        <v>0</v>
      </c>
      <c r="K417" s="827">
        <v>0</v>
      </c>
      <c r="L417" s="827">
        <v>0</v>
      </c>
      <c r="M417" s="827">
        <v>0</v>
      </c>
      <c r="N417" s="827">
        <v>0</v>
      </c>
      <c r="O417" s="827">
        <v>0</v>
      </c>
      <c r="P417" s="827">
        <v>0</v>
      </c>
      <c r="Q417" s="827">
        <v>0</v>
      </c>
      <c r="R417" s="827">
        <v>0</v>
      </c>
      <c r="S417" s="827">
        <v>0</v>
      </c>
      <c r="T417" s="827">
        <v>0</v>
      </c>
      <c r="U417" s="827">
        <v>0</v>
      </c>
      <c r="V417" s="827">
        <v>0</v>
      </c>
      <c r="W417" s="827">
        <v>0</v>
      </c>
      <c r="X417" s="827">
        <v>0</v>
      </c>
      <c r="Y417" s="827">
        <v>0</v>
      </c>
      <c r="Z417" s="827">
        <v>0</v>
      </c>
      <c r="AA417" s="827">
        <v>0</v>
      </c>
      <c r="AB417" s="837">
        <v>0</v>
      </c>
      <c r="AC417" s="828">
        <v>0</v>
      </c>
      <c r="AD417" s="828">
        <v>0</v>
      </c>
      <c r="AE417" s="828">
        <v>0</v>
      </c>
      <c r="AF417" s="828">
        <v>0</v>
      </c>
      <c r="AG417" s="828">
        <v>0</v>
      </c>
      <c r="AH417" s="828">
        <v>0</v>
      </c>
      <c r="AI417" s="828">
        <v>0</v>
      </c>
      <c r="AJ417" s="828">
        <v>0</v>
      </c>
      <c r="AK417" s="828">
        <v>0</v>
      </c>
      <c r="AL417" s="828">
        <v>0</v>
      </c>
      <c r="AM417" s="828">
        <v>3275</v>
      </c>
      <c r="AN417" s="828">
        <v>2477</v>
      </c>
      <c r="AO417" s="828">
        <v>2474</v>
      </c>
      <c r="AP417" s="828">
        <v>2489</v>
      </c>
    </row>
    <row r="418" hidden="1" ht="13.5" customHeight="1">
      <c r="B418" s="128" t="s">
        <v>7</v>
      </c>
      <c r="C418" s="129" t="str">
        <f>IF(SUM(C399:C417)&lt;&gt;0,SUM(C399:C417),"")</f>
      </c>
      <c r="D418" s="129" t="str">
        <f ref="D418:AA418" t="shared" si="42" ca="1">IF(SUM(D399:D417)&lt;&gt;0,SUM(D399:D417),"")</f>
      </c>
      <c r="E418" s="129" t="str">
        <f t="shared" si="42" ca="1"/>
      </c>
      <c r="F418" s="129" t="str">
        <f t="shared" si="42" ca="1"/>
      </c>
      <c r="G418" s="129" t="str">
        <f t="shared" si="42" ca="1"/>
      </c>
      <c r="H418" s="129" t="str">
        <f t="shared" si="42" ca="1"/>
      </c>
      <c r="I418" s="129" t="str">
        <f t="shared" si="42" ca="1"/>
      </c>
      <c r="J418" s="129" t="str">
        <f t="shared" si="42" ca="1"/>
      </c>
      <c r="K418" s="129" t="str">
        <f t="shared" si="42" ca="1"/>
      </c>
      <c r="L418" s="129" t="str">
        <f t="shared" si="42" ca="1"/>
      </c>
      <c r="M418" s="129" t="str">
        <f t="shared" si="42" ca="1"/>
      </c>
      <c r="N418" s="129" t="str">
        <f t="shared" si="42" ca="1"/>
      </c>
      <c r="O418" s="129" t="str">
        <f t="shared" si="42" ca="1"/>
      </c>
      <c r="P418" s="129" t="str">
        <f t="shared" si="42" ca="1"/>
      </c>
      <c r="Q418" s="129" t="str">
        <f t="shared" si="42" ca="1"/>
      </c>
      <c r="R418" s="129" t="str">
        <f t="shared" si="42" ca="1"/>
      </c>
      <c r="S418" s="129" t="str">
        <f t="shared" si="42" ca="1"/>
      </c>
      <c r="T418" s="129" t="str">
        <f t="shared" si="42" ca="1"/>
      </c>
      <c r="U418" s="129" t="str">
        <f t="shared" si="42" ca="1"/>
      </c>
      <c r="V418" s="129" t="str">
        <f t="shared" si="42" ca="1"/>
      </c>
      <c r="W418" s="129" t="str">
        <f t="shared" si="42" ca="1"/>
      </c>
      <c r="X418" s="129" t="str">
        <f t="shared" si="42" ca="1"/>
      </c>
      <c r="Y418" s="129" t="str">
        <f t="shared" si="42" ca="1"/>
      </c>
      <c r="Z418" s="129" t="str">
        <f t="shared" si="42" ca="1"/>
      </c>
      <c r="AA418" s="129" t="str">
        <f t="shared" si="42" ca="1"/>
      </c>
      <c r="AB418" s="130" t="str">
        <f>IF(SUM(AB399:AB417)&lt;&gt;0,SUM(AB399:AB417),"")</f>
      </c>
      <c r="AC418" s="91" t="str">
        <f ref="AC418:CN418" t="shared" si="43" ca="1">IF(SUM(AC399:AC417)&lt;&gt;0,SUM(AC399:AC417),"")</f>
      </c>
      <c r="AD418" s="91" t="str">
        <f t="shared" si="43" ca="1"/>
      </c>
      <c r="AE418" s="91" t="str">
        <f t="shared" si="43" ca="1"/>
      </c>
      <c r="AF418" s="91" t="str">
        <f t="shared" si="43" ca="1"/>
      </c>
      <c r="AG418" s="91" t="str">
        <f t="shared" si="43" ca="1"/>
      </c>
      <c r="AH418" s="91" t="str">
        <f t="shared" si="43" ca="1"/>
      </c>
      <c r="AI418" s="91" t="str">
        <f t="shared" si="43" ca="1"/>
      </c>
      <c r="AJ418" s="91" t="str">
        <f t="shared" si="43" ca="1"/>
      </c>
      <c r="AK418" s="91" t="str">
        <f t="shared" si="43" ca="1"/>
      </c>
      <c r="AL418" s="91" t="str">
        <f t="shared" si="43" ca="1"/>
      </c>
      <c r="AM418" s="91" t="str">
        <f t="shared" si="43" ca="1"/>
      </c>
      <c r="AN418" s="91" t="str">
        <f t="shared" si="43" ca="1"/>
      </c>
      <c r="AO418" s="91" t="str">
        <f t="shared" si="43" ca="1"/>
      </c>
      <c r="AP418" s="91" t="str">
        <f t="shared" si="43" ca="1"/>
      </c>
      <c r="AQ418" s="91" t="str">
        <f t="shared" si="43" ca="1"/>
      </c>
      <c r="AR418" s="91" t="str">
        <f t="shared" si="43" ca="1"/>
      </c>
      <c r="AS418" s="91" t="str">
        <f t="shared" si="43" ca="1"/>
      </c>
      <c r="AT418" s="91" t="str">
        <f t="shared" si="43" ca="1"/>
      </c>
      <c r="AU418" s="91" t="str">
        <f t="shared" si="43" ca="1"/>
      </c>
      <c r="AV418" s="91" t="str">
        <f t="shared" si="43" ca="1"/>
      </c>
      <c r="AW418" s="91" t="str">
        <f t="shared" si="43" ca="1"/>
      </c>
      <c r="AX418" s="91" t="str">
        <f t="shared" si="43" ca="1"/>
      </c>
      <c r="AY418" s="91" t="str">
        <f t="shared" si="43" ca="1"/>
      </c>
      <c r="AZ418" s="91" t="str">
        <f t="shared" si="43" ca="1"/>
      </c>
      <c r="BA418" s="91" t="str">
        <f t="shared" si="43" ca="1"/>
      </c>
      <c r="BB418" s="91" t="str">
        <f t="shared" si="43" ca="1"/>
      </c>
      <c r="BC418" s="91" t="str">
        <f t="shared" si="43" ca="1"/>
      </c>
      <c r="BD418" s="91" t="str">
        <f t="shared" si="43" ca="1"/>
      </c>
      <c r="BE418" s="91" t="str">
        <f t="shared" si="43" ca="1"/>
      </c>
      <c r="BF418" s="91" t="str">
        <f t="shared" si="43" ca="1"/>
      </c>
      <c r="BG418" s="91" t="str">
        <f t="shared" si="43" ca="1"/>
      </c>
      <c r="BH418" s="91" t="str">
        <f t="shared" si="43" ca="1"/>
      </c>
      <c r="BI418" s="91" t="str">
        <f t="shared" si="43" ca="1"/>
      </c>
      <c r="BJ418" s="91" t="str">
        <f t="shared" si="43" ca="1"/>
      </c>
      <c r="BK418" s="91" t="str">
        <f t="shared" si="43" ca="1"/>
      </c>
      <c r="BL418" s="91" t="str">
        <f t="shared" si="43" ca="1"/>
      </c>
      <c r="BM418" s="91" t="str">
        <f t="shared" si="43" ca="1"/>
      </c>
      <c r="BN418" s="91" t="str">
        <f t="shared" si="43" ca="1"/>
      </c>
      <c r="BO418" s="91" t="str">
        <f t="shared" si="43" ca="1"/>
      </c>
      <c r="BP418" s="91" t="str">
        <f t="shared" si="43" ca="1"/>
      </c>
      <c r="BQ418" s="91" t="str">
        <f t="shared" si="43" ca="1"/>
      </c>
      <c r="BR418" s="91" t="str">
        <f t="shared" si="43" ca="1"/>
      </c>
      <c r="BS418" s="91" t="str">
        <f t="shared" si="43" ca="1"/>
      </c>
      <c r="BT418" s="91" t="str">
        <f t="shared" si="43" ca="1"/>
      </c>
      <c r="BU418" s="91" t="str">
        <f t="shared" si="43" ca="1"/>
      </c>
      <c r="BV418" s="91" t="str">
        <f t="shared" si="43" ca="1"/>
      </c>
      <c r="BW418" s="91" t="str">
        <f t="shared" si="43" ca="1"/>
      </c>
      <c r="BX418" s="91" t="str">
        <f t="shared" si="43" ca="1"/>
      </c>
      <c r="BY418" s="91" t="str">
        <f t="shared" si="43" ca="1"/>
      </c>
      <c r="BZ418" s="91" t="str">
        <f t="shared" si="43" ca="1"/>
      </c>
      <c r="CA418" s="91" t="str">
        <f t="shared" si="43" ca="1"/>
      </c>
      <c r="CB418" s="91" t="str">
        <f t="shared" si="43" ca="1"/>
      </c>
      <c r="CC418" s="91" t="str">
        <f t="shared" si="43" ca="1"/>
      </c>
      <c r="CD418" s="91" t="str">
        <f t="shared" si="43" ca="1"/>
      </c>
      <c r="CE418" s="91" t="str">
        <f t="shared" si="43" ca="1"/>
      </c>
      <c r="CF418" s="91" t="str">
        <f t="shared" si="43" ca="1"/>
      </c>
      <c r="CG418" s="91" t="str">
        <f t="shared" si="43" ca="1"/>
      </c>
      <c r="CH418" s="91" t="str">
        <f t="shared" si="43" ca="1"/>
      </c>
      <c r="CI418" s="91" t="str">
        <f t="shared" si="43" ca="1"/>
      </c>
      <c r="CJ418" s="91" t="str">
        <f t="shared" si="43" ca="1"/>
      </c>
      <c r="CK418" s="91" t="str">
        <f t="shared" si="43" ca="1"/>
      </c>
      <c r="CL418" s="91" t="str">
        <f t="shared" si="43" ca="1"/>
      </c>
      <c r="CM418" s="91" t="str">
        <f t="shared" si="43" ca="1"/>
      </c>
      <c r="CN418" s="91" t="str">
        <f t="shared" si="43" ca="1"/>
      </c>
      <c r="CO418" s="91" t="str">
        <f ref="CO418:EZ418" t="shared" si="44" ca="1">IF(SUM(CO399:CO417)&lt;&gt;0,SUM(CO399:CO417),"")</f>
      </c>
      <c r="CP418" s="91" t="str">
        <f t="shared" si="44" ca="1"/>
      </c>
      <c r="CQ418" s="91" t="str">
        <f t="shared" si="44" ca="1"/>
      </c>
      <c r="CR418" s="91" t="str">
        <f t="shared" si="44" ca="1"/>
      </c>
      <c r="CS418" s="91" t="str">
        <f t="shared" si="44" ca="1"/>
      </c>
      <c r="CT418" s="91" t="str">
        <f t="shared" si="44" ca="1"/>
      </c>
      <c r="CU418" s="91" t="str">
        <f t="shared" si="44" ca="1"/>
      </c>
      <c r="CV418" s="91" t="str">
        <f t="shared" si="44" ca="1"/>
      </c>
      <c r="CW418" s="91" t="str">
        <f t="shared" si="44" ca="1"/>
      </c>
      <c r="CX418" s="91" t="str">
        <f t="shared" si="44" ca="1"/>
      </c>
      <c r="CY418" s="91" t="str">
        <f t="shared" si="44" ca="1"/>
      </c>
      <c r="CZ418" s="91" t="str">
        <f t="shared" si="44" ca="1"/>
      </c>
      <c r="DA418" s="91" t="str">
        <f t="shared" si="44" ca="1"/>
      </c>
      <c r="DB418" s="91" t="str">
        <f t="shared" si="44" ca="1"/>
      </c>
      <c r="DC418" s="91" t="str">
        <f t="shared" si="44" ca="1"/>
      </c>
      <c r="DD418" s="91" t="str">
        <f t="shared" si="44" ca="1"/>
      </c>
      <c r="DE418" s="91" t="str">
        <f t="shared" si="44" ca="1"/>
      </c>
      <c r="DF418" s="91" t="str">
        <f t="shared" si="44" ca="1"/>
      </c>
      <c r="DG418" s="91" t="str">
        <f t="shared" si="44" ca="1"/>
      </c>
      <c r="DH418" s="91" t="str">
        <f t="shared" si="44" ca="1"/>
      </c>
      <c r="DI418" s="91" t="str">
        <f t="shared" si="44" ca="1"/>
      </c>
      <c r="DJ418" s="91" t="str">
        <f t="shared" si="44" ca="1"/>
      </c>
      <c r="DK418" s="91" t="str">
        <f t="shared" si="44" ca="1"/>
      </c>
      <c r="DL418" s="91" t="str">
        <f t="shared" si="44" ca="1"/>
      </c>
      <c r="DM418" s="91" t="str">
        <f t="shared" si="44" ca="1"/>
      </c>
      <c r="DN418" s="91" t="str">
        <f t="shared" si="44" ca="1"/>
      </c>
      <c r="DO418" s="91" t="str">
        <f t="shared" si="44" ca="1"/>
      </c>
      <c r="DP418" s="91" t="str">
        <f t="shared" si="44" ca="1"/>
      </c>
      <c r="DQ418" s="91" t="str">
        <f t="shared" si="44" ca="1"/>
      </c>
      <c r="DR418" s="91" t="str">
        <f t="shared" si="44" ca="1"/>
      </c>
      <c r="DS418" s="91" t="str">
        <f t="shared" si="44" ca="1"/>
      </c>
      <c r="DT418" s="91" t="str">
        <f t="shared" si="44" ca="1"/>
      </c>
      <c r="DU418" s="91" t="str">
        <f t="shared" si="44" ca="1"/>
      </c>
      <c r="DV418" s="91" t="str">
        <f t="shared" si="44" ca="1"/>
      </c>
      <c r="DW418" s="91" t="str">
        <f t="shared" si="44" ca="1"/>
      </c>
      <c r="DX418" s="91" t="str">
        <f t="shared" si="44" ca="1"/>
      </c>
      <c r="DY418" s="91" t="str">
        <f t="shared" si="44" ca="1"/>
      </c>
      <c r="DZ418" s="91" t="str">
        <f t="shared" si="44" ca="1"/>
      </c>
      <c r="EA418" s="91" t="str">
        <f t="shared" si="44" ca="1"/>
      </c>
      <c r="EB418" s="91" t="str">
        <f t="shared" si="44" ca="1"/>
      </c>
      <c r="EC418" s="91" t="str">
        <f t="shared" si="44" ca="1"/>
      </c>
      <c r="ED418" s="91" t="str">
        <f t="shared" si="44" ca="1"/>
      </c>
      <c r="EE418" s="91" t="str">
        <f t="shared" si="44" ca="1"/>
      </c>
      <c r="EF418" s="91" t="str">
        <f t="shared" si="44" ca="1"/>
      </c>
      <c r="EG418" s="91" t="str">
        <f t="shared" si="44" ca="1"/>
      </c>
      <c r="EH418" s="91" t="str">
        <f t="shared" si="44" ca="1"/>
      </c>
      <c r="EI418" s="91" t="str">
        <f t="shared" si="44" ca="1"/>
      </c>
      <c r="EJ418" s="91" t="str">
        <f t="shared" si="44" ca="1"/>
      </c>
      <c r="EK418" s="91" t="str">
        <f t="shared" si="44" ca="1"/>
      </c>
      <c r="EL418" s="91" t="str">
        <f t="shared" si="44" ca="1"/>
      </c>
      <c r="EM418" s="91" t="str">
        <f t="shared" si="44" ca="1"/>
      </c>
      <c r="EN418" s="91" t="str">
        <f t="shared" si="44" ca="1"/>
      </c>
      <c r="EO418" s="91" t="str">
        <f t="shared" si="44" ca="1"/>
      </c>
      <c r="EP418" s="91" t="str">
        <f t="shared" si="44" ca="1"/>
      </c>
      <c r="EQ418" s="91" t="str">
        <f t="shared" si="44" ca="1"/>
      </c>
      <c r="ER418" s="91" t="str">
        <f t="shared" si="44" ca="1"/>
      </c>
      <c r="ES418" s="91" t="str">
        <f t="shared" si="44" ca="1"/>
      </c>
      <c r="ET418" s="91" t="str">
        <f t="shared" si="44" ca="1"/>
      </c>
      <c r="EU418" s="91" t="str">
        <f t="shared" si="44" ca="1"/>
      </c>
      <c r="EV418" s="91" t="str">
        <f t="shared" si="44" ca="1"/>
      </c>
      <c r="EW418" s="91" t="str">
        <f t="shared" si="44" ca="1"/>
      </c>
      <c r="EX418" s="91" t="str">
        <f t="shared" si="44" ca="1"/>
      </c>
      <c r="EY418" s="91" t="str">
        <f t="shared" si="44" ca="1"/>
      </c>
      <c r="EZ418" s="91" t="str">
        <f t="shared" si="44" ca="1"/>
      </c>
      <c r="FA418" s="91" t="str">
        <f ref="FA418:HL418" t="shared" si="45" ca="1">IF(SUM(FA399:FA417)&lt;&gt;0,SUM(FA399:FA417),"")</f>
      </c>
      <c r="FB418" s="91" t="str">
        <f t="shared" si="45" ca="1"/>
      </c>
      <c r="FC418" s="91" t="str">
        <f t="shared" si="45" ca="1"/>
      </c>
      <c r="FD418" s="91" t="str">
        <f t="shared" si="45" ca="1"/>
      </c>
      <c r="FE418" s="91" t="str">
        <f t="shared" si="45" ca="1"/>
      </c>
      <c r="FF418" s="91" t="str">
        <f t="shared" si="45" ca="1"/>
      </c>
      <c r="FG418" s="91" t="str">
        <f t="shared" si="45" ca="1"/>
      </c>
      <c r="FH418" s="91" t="str">
        <f t="shared" si="45" ca="1"/>
      </c>
      <c r="FI418" s="91" t="str">
        <f t="shared" si="45" ca="1"/>
      </c>
      <c r="FJ418" s="91" t="str">
        <f t="shared" si="45" ca="1"/>
      </c>
      <c r="FK418" s="91" t="str">
        <f t="shared" si="45" ca="1"/>
      </c>
      <c r="FL418" s="91" t="str">
        <f t="shared" si="45" ca="1"/>
      </c>
      <c r="FM418" s="91" t="str">
        <f t="shared" si="45" ca="1"/>
      </c>
      <c r="FN418" s="91" t="str">
        <f t="shared" si="45" ca="1"/>
      </c>
      <c r="FO418" s="91" t="str">
        <f t="shared" si="45" ca="1"/>
      </c>
      <c r="FP418" s="91" t="str">
        <f t="shared" si="45" ca="1"/>
      </c>
      <c r="FQ418" s="91" t="str">
        <f t="shared" si="45" ca="1"/>
      </c>
      <c r="FR418" s="91" t="str">
        <f t="shared" si="45" ca="1"/>
      </c>
      <c r="FS418" s="91" t="str">
        <f t="shared" si="45" ca="1"/>
      </c>
      <c r="FT418" s="91" t="str">
        <f t="shared" si="45" ca="1"/>
      </c>
      <c r="FU418" s="91" t="str">
        <f t="shared" si="45" ca="1"/>
      </c>
      <c r="FV418" s="91" t="str">
        <f t="shared" si="45" ca="1"/>
      </c>
      <c r="FW418" s="91" t="str">
        <f t="shared" si="45" ca="1"/>
      </c>
      <c r="FX418" s="91" t="str">
        <f t="shared" si="45" ca="1"/>
      </c>
      <c r="FY418" s="91" t="str">
        <f t="shared" si="45" ca="1"/>
      </c>
      <c r="FZ418" s="91" t="str">
        <f t="shared" si="45" ca="1"/>
      </c>
      <c r="GA418" s="91" t="str">
        <f t="shared" si="45" ca="1"/>
      </c>
      <c r="GB418" s="91" t="str">
        <f t="shared" si="45" ca="1"/>
      </c>
      <c r="GC418" s="91" t="str">
        <f t="shared" si="45" ca="1"/>
      </c>
      <c r="GD418" s="91" t="str">
        <f t="shared" si="45" ca="1"/>
      </c>
      <c r="GE418" s="91" t="str">
        <f t="shared" si="45" ca="1"/>
      </c>
      <c r="GF418" s="91" t="str">
        <f t="shared" si="45" ca="1"/>
      </c>
      <c r="GG418" s="91" t="str">
        <f t="shared" si="45" ca="1"/>
      </c>
      <c r="GH418" s="91" t="str">
        <f t="shared" si="45" ca="1"/>
      </c>
      <c r="GI418" s="91" t="str">
        <f t="shared" si="45" ca="1"/>
      </c>
      <c r="GJ418" s="91" t="str">
        <f t="shared" si="45" ca="1"/>
      </c>
      <c r="GK418" s="91" t="str">
        <f t="shared" si="45" ca="1"/>
      </c>
      <c r="GL418" s="91" t="str">
        <f t="shared" si="45" ca="1"/>
      </c>
      <c r="GM418" s="91" t="str">
        <f t="shared" si="45" ca="1"/>
      </c>
      <c r="GN418" s="91" t="str">
        <f t="shared" si="45" ca="1"/>
      </c>
      <c r="GO418" s="91" t="str">
        <f t="shared" si="45" ca="1"/>
      </c>
      <c r="GP418" s="91" t="str">
        <f t="shared" si="45" ca="1"/>
      </c>
      <c r="GQ418" s="91" t="str">
        <f t="shared" si="45" ca="1"/>
      </c>
      <c r="GR418" s="91" t="str">
        <f t="shared" si="45" ca="1"/>
      </c>
      <c r="GS418" s="91" t="str">
        <f t="shared" si="45" ca="1"/>
      </c>
      <c r="GT418" s="91" t="str">
        <f t="shared" si="45" ca="1"/>
      </c>
      <c r="GU418" s="91" t="str">
        <f t="shared" si="45" ca="1"/>
      </c>
      <c r="GV418" s="91" t="str">
        <f t="shared" si="45" ca="1"/>
      </c>
      <c r="GW418" s="91" t="str">
        <f t="shared" si="45" ca="1"/>
      </c>
      <c r="GX418" s="91" t="str">
        <f t="shared" si="45" ca="1"/>
      </c>
      <c r="GY418" s="91" t="str">
        <f t="shared" si="45" ca="1"/>
      </c>
      <c r="GZ418" s="91" t="str">
        <f t="shared" si="45" ca="1"/>
      </c>
      <c r="HA418" s="91" t="str">
        <f t="shared" si="45" ca="1"/>
      </c>
      <c r="HB418" s="91" t="str">
        <f t="shared" si="45" ca="1"/>
      </c>
      <c r="HC418" s="91" t="str">
        <f t="shared" si="45" ca="1"/>
      </c>
      <c r="HD418" s="91" t="str">
        <f t="shared" si="45" ca="1"/>
      </c>
      <c r="HE418" s="91" t="str">
        <f t="shared" si="45" ca="1"/>
      </c>
      <c r="HF418" s="91" t="str">
        <f t="shared" si="45" ca="1"/>
      </c>
      <c r="HG418" s="91" t="str">
        <f t="shared" si="45" ca="1"/>
      </c>
      <c r="HH418" s="91" t="str">
        <f t="shared" si="45" ca="1"/>
      </c>
      <c r="HI418" s="91" t="str">
        <f t="shared" si="45" ca="1"/>
      </c>
      <c r="HJ418" s="91" t="str">
        <f t="shared" si="45" ca="1"/>
      </c>
      <c r="HK418" s="91" t="str">
        <f t="shared" si="45" ca="1"/>
      </c>
      <c r="HL418" s="91" t="str">
        <f t="shared" si="45" ca="1"/>
      </c>
      <c r="HM418" s="91" t="str">
        <f ref="HM418:IV418" t="shared" si="46" ca="1">IF(SUM(HM399:HM417)&lt;&gt;0,SUM(HM399:HM417),"")</f>
      </c>
      <c r="HN418" s="91" t="str">
        <f t="shared" si="46" ca="1"/>
      </c>
      <c r="HO418" s="91" t="str">
        <f t="shared" si="46" ca="1"/>
      </c>
      <c r="HP418" s="91" t="str">
        <f t="shared" si="46" ca="1"/>
      </c>
      <c r="HQ418" s="91" t="str">
        <f t="shared" si="46" ca="1"/>
      </c>
      <c r="HR418" s="91" t="str">
        <f t="shared" si="46" ca="1"/>
      </c>
      <c r="HS418" s="91" t="str">
        <f t="shared" si="46" ca="1"/>
      </c>
      <c r="HT418" s="91" t="str">
        <f t="shared" si="46" ca="1"/>
      </c>
      <c r="HU418" s="91" t="str">
        <f t="shared" si="46" ca="1"/>
      </c>
      <c r="HV418" s="91" t="str">
        <f t="shared" si="46" ca="1"/>
      </c>
      <c r="HW418" s="91" t="str">
        <f t="shared" si="46" ca="1"/>
      </c>
      <c r="HX418" s="91" t="str">
        <f t="shared" si="46" ca="1"/>
      </c>
      <c r="HY418" s="91" t="str">
        <f t="shared" si="46" ca="1"/>
      </c>
      <c r="HZ418" s="91" t="str">
        <f t="shared" si="46" ca="1"/>
      </c>
      <c r="IA418" s="91" t="str">
        <f t="shared" si="46" ca="1"/>
      </c>
      <c r="IB418" s="91" t="str">
        <f t="shared" si="46" ca="1"/>
      </c>
      <c r="IC418" s="91" t="str">
        <f t="shared" si="46" ca="1"/>
      </c>
      <c r="ID418" s="91" t="str">
        <f t="shared" si="46" ca="1"/>
      </c>
      <c r="IE418" s="91" t="str">
        <f t="shared" si="46" ca="1"/>
      </c>
      <c r="IF418" s="91" t="str">
        <f t="shared" si="46" ca="1"/>
      </c>
      <c r="IG418" s="91" t="str">
        <f t="shared" si="46" ca="1"/>
      </c>
      <c r="IH418" s="91" t="str">
        <f t="shared" si="46" ca="1"/>
      </c>
      <c r="II418" s="91" t="str">
        <f t="shared" si="46" ca="1"/>
      </c>
      <c r="IJ418" s="91" t="str">
        <f t="shared" si="46" ca="1"/>
      </c>
      <c r="IK418" s="91" t="str">
        <f t="shared" si="46" ca="1"/>
      </c>
      <c r="IL418" s="91" t="str">
        <f t="shared" si="46" ca="1"/>
      </c>
      <c r="IM418" s="91" t="str">
        <f t="shared" si="46" ca="1"/>
      </c>
      <c r="IN418" s="91" t="str">
        <f t="shared" si="46" ca="1"/>
      </c>
      <c r="IO418" s="91" t="str">
        <f t="shared" si="46" ca="1"/>
      </c>
      <c r="IP418" s="91" t="str">
        <f t="shared" si="46" ca="1"/>
      </c>
      <c r="IQ418" s="91" t="str">
        <f t="shared" si="46" ca="1"/>
      </c>
      <c r="IR418" s="91" t="str">
        <f t="shared" si="46" ca="1"/>
      </c>
      <c r="IS418" s="91" t="str">
        <f t="shared" si="46" ca="1"/>
      </c>
      <c r="IT418" s="91" t="str">
        <f t="shared" si="46" ca="1"/>
      </c>
      <c r="IU418" s="91" t="str">
        <f t="shared" si="46" ca="1"/>
      </c>
      <c r="IV418" s="91" t="str">
        <f t="shared" si="46" ca="1"/>
      </c>
    </row>
    <row r="419" hidden="1" ht="12.75" customHeight="1"/>
    <row r="420" hidden="1" ht="13.5" customHeight="1"/>
    <row r="421" hidden="1" ht="13.5" customHeight="1">
      <c r="C421" s="617" t="s">
        <v>314</v>
      </c>
      <c r="D421" s="618"/>
      <c r="E421" s="618"/>
      <c r="F421" s="618"/>
      <c r="G421" s="618"/>
      <c r="H421" s="618"/>
      <c r="I421" s="618"/>
      <c r="J421" s="618"/>
      <c r="K421" s="618"/>
      <c r="L421" s="618"/>
      <c r="M421" s="618"/>
      <c r="N421" s="618"/>
      <c r="O421" s="618"/>
      <c r="P421" s="618"/>
      <c r="Q421" s="618"/>
      <c r="R421" s="618"/>
      <c r="S421" s="618"/>
      <c r="T421" s="618"/>
      <c r="U421" s="618"/>
      <c r="V421" s="618"/>
      <c r="W421" s="618"/>
      <c r="X421" s="618"/>
      <c r="Y421" s="618"/>
      <c r="Z421" s="618"/>
      <c r="AA421" s="618"/>
      <c r="AB421" s="619"/>
    </row>
    <row r="422" hidden="1" ht="13.5" customHeight="1">
      <c r="C422" s="435" t="str">
        <f> IF(C442&lt;&gt;"",TEXT(AUX!G$1,"dd-MMM-aa"),"")</f>
      </c>
      <c r="D422" s="435" t="str">
        <f> IF(D442&lt;&gt;"",TEXT(AUX!H$1,"dd-MMM-aa"),"")</f>
      </c>
      <c r="E422" s="435" t="str">
        <f> IF(E442&lt;&gt;"",TEXT(AUX!I$1,"dd-MMM-aa"),"")</f>
      </c>
      <c r="F422" s="435" t="str">
        <f> IF(F442&lt;&gt;"",TEXT(AUX!J$1,"dd-MMM-aa"),"")</f>
      </c>
      <c r="G422" s="435" t="str">
        <f> IF(G442&lt;&gt;"",TEXT(AUX!K$1,"dd-MMM-aa"),"")</f>
      </c>
      <c r="H422" s="435" t="str">
        <f> IF(H442&lt;&gt;"",TEXT(AUX!L$1,"dd-MMM-aa"),"")</f>
      </c>
      <c r="I422" s="435" t="str">
        <f> IF(I442&lt;&gt;"",TEXT(AUX!M$1,"dd-MMM-aa"),"")</f>
      </c>
      <c r="J422" s="435" t="str">
        <f> IF(J442&lt;&gt;"",TEXT(AUX!N$1,"dd-MMM-aa"),"")</f>
      </c>
      <c r="K422" s="435" t="str">
        <f> IF(K442&lt;&gt;"",TEXT(AUX!O$1,"dd-MMM-aa"),"")</f>
      </c>
      <c r="L422" s="435" t="str">
        <f> IF(L442&lt;&gt;"",TEXT(AUX!P$1,"dd-MMM-aa"),"")</f>
      </c>
      <c r="M422" s="435" t="str">
        <f> IF(M442&lt;&gt;"",TEXT(AUX!Q$1,"dd-MMM-aa"),"")</f>
      </c>
      <c r="N422" s="435" t="str">
        <f> IF(N442&lt;&gt;"",TEXT(AUX!R$1,"dd-MMM-aa"),"")</f>
      </c>
      <c r="O422" s="435" t="str">
        <f> IF(O442&lt;&gt;"",TEXT(AUX!S$1,"dd-MMM-aa"),"")</f>
      </c>
      <c r="P422" s="435" t="str">
        <f> IF(P442&lt;&gt;"",TEXT(AUX!T$1,"dd-MMM-aa"),"")</f>
      </c>
      <c r="Q422" s="435" t="str">
        <f> IF(Q442&lt;&gt;"",TEXT(AUX!U$1,"dd-MMM-aa"),"")</f>
      </c>
      <c r="R422" s="435" t="str">
        <f> IF(R442&lt;&gt;"",TEXT(AUX!V$1,"dd-MMM-aa"),"")</f>
      </c>
      <c r="S422" s="435" t="str">
        <f> IF(S442&lt;&gt;"",TEXT(AUX!W$1,"dd-MMM-aa"),"")</f>
      </c>
      <c r="T422" s="435" t="str">
        <f> IF(T442&lt;&gt;"",TEXT(AUX!X$1,"dd-MMM-aa"),"")</f>
      </c>
      <c r="U422" s="435" t="str">
        <f> IF(U442&lt;&gt;"",TEXT(AUX!Y$1,"dd-MMM-aa"),"")</f>
      </c>
      <c r="V422" s="435" t="str">
        <f> IF(V442&lt;&gt;"",TEXT(AUX!Z$1,"dd-MMM-aa"),"")</f>
      </c>
      <c r="W422" s="435" t="str">
        <f> IF(W442&lt;&gt;"",TEXT(AUX!AA$1,"dd-MMM-aa"),"")</f>
      </c>
      <c r="X422" s="435" t="str">
        <f> IF(X442&lt;&gt;"",TEXT(AUX!AB$1,"dd-MMM-aa"),"")</f>
      </c>
      <c r="Y422" s="435" t="str">
        <f> IF(Y442&lt;&gt;"",TEXT(AUX!AC$1,"dd-MMM-aa"),"")</f>
      </c>
      <c r="Z422" s="435" t="str">
        <f> IF(Z442&lt;&gt;"",TEXT(AUX!AD$1,"dd-MMM-aa"),"")</f>
      </c>
      <c r="AA422" s="435" t="str">
        <f> IF(AA442&lt;&gt;"",TEXT(AUX!AE$1,"dd-MMM-aa"),"")</f>
      </c>
      <c r="AB422" s="497" t="str">
        <f> IF(AB442&lt;&gt;"",TEXT(AUX!AF$1,"dd-MMM-aa"),"")</f>
      </c>
      <c r="AC422" s="496" t="str">
        <f> IF(AC442&lt;&gt;"",TEXT(AUX!AG$1,"dd-MMM-aa"),"")</f>
      </c>
      <c r="AD422" s="496" t="str">
        <f> IF(AD442&lt;&gt;"",TEXT(AUX!AH$1,"dd-MMM-aa"),"")</f>
      </c>
      <c r="AE422" s="496" t="str">
        <f> IF(AE442&lt;&gt;"",TEXT(AUX!AI$1,"dd-MMM-aa"),"")</f>
      </c>
      <c r="AF422" s="496" t="str">
        <f> IF(AF442&lt;&gt;"",TEXT(AUX!AJ$1,"dd-MMM-aa"),"")</f>
      </c>
      <c r="AG422" s="496" t="str">
        <f> IF(AG442&lt;&gt;"",TEXT(AUX!AK$1,"dd-MMM-aa"),"")</f>
      </c>
      <c r="AH422" s="496" t="str">
        <f> IF(AH442&lt;&gt;"",TEXT(AUX!AL$1,"dd-MMM-aa"),"")</f>
      </c>
      <c r="AI422" s="496" t="str">
        <f> IF(AI442&lt;&gt;"",TEXT(AUX!AM$1,"dd-MMM-aa"),"")</f>
      </c>
      <c r="AJ422" s="496" t="str">
        <f> IF(AJ442&lt;&gt;"",TEXT(AUX!AN$1,"dd-MMM-aa"),"")</f>
      </c>
      <c r="AK422" s="496" t="str">
        <f> IF(AK442&lt;&gt;"",TEXT(AUX!AO$1,"dd-MMM-aa"),"")</f>
      </c>
      <c r="AL422" s="496" t="str">
        <f> IF(AL442&lt;&gt;"",TEXT(AUX!AP$1,"dd-MMM-aa"),"")</f>
      </c>
      <c r="AM422" s="496" t="str">
        <f> IF(AM442&lt;&gt;"",TEXT(AUX!AQ$1,"dd-MMM-aa"),"")</f>
      </c>
      <c r="AN422" s="496" t="str">
        <f> IF(AN442&lt;&gt;"",TEXT(AUX!AR$1,"dd-MMM-aa"),"")</f>
      </c>
      <c r="AO422" s="496" t="str">
        <f> IF(AO442&lt;&gt;"",TEXT(AUX!AS$1,"dd-MMM-aa"),"")</f>
      </c>
      <c r="AP422" s="496" t="str">
        <f> IF(AP442&lt;&gt;"",TEXT(AUX!AT$1,"dd-MMM-aa"),"")</f>
      </c>
      <c r="AQ422" s="496" t="str">
        <f> IF(AQ442&lt;&gt;"",TEXT(AUX!AU$1,"dd-MMM-aa"),"")</f>
      </c>
      <c r="AR422" s="496" t="str">
        <f> IF(AR442&lt;&gt;"",TEXT(AUX!AV$1,"dd-MMM-aa"),"")</f>
      </c>
      <c r="AS422" s="496" t="str">
        <f> IF(AS442&lt;&gt;"",TEXT(AUX!AW$1,"dd-MMM-aa"),"")</f>
      </c>
      <c r="AT422" s="496" t="str">
        <f> IF(AT442&lt;&gt;"",TEXT(AUX!AX$1,"dd-MMM-aa"),"")</f>
      </c>
      <c r="AU422" s="496" t="str">
        <f> IF(AU442&lt;&gt;"",TEXT(AUX!AY$1,"dd-MMM-aa"),"")</f>
      </c>
      <c r="AV422" s="496" t="str">
        <f> IF(AV442&lt;&gt;"",TEXT(AUX!AZ$1,"dd-MMM-aa"),"")</f>
      </c>
      <c r="AW422" s="496" t="str">
        <f> IF(AW442&lt;&gt;"",TEXT(AUX!BA$1,"dd-MMM-aa"),"")</f>
      </c>
      <c r="AX422" s="496" t="str">
        <f> IF(AX442&lt;&gt;"",TEXT(AUX!BB$1,"dd-MMM-aa"),"")</f>
      </c>
      <c r="AY422" s="496" t="str">
        <f> IF(AY442&lt;&gt;"",TEXT(AUX!BC$1,"dd-MMM-aa"),"")</f>
      </c>
      <c r="AZ422" s="496" t="str">
        <f> IF(AZ442&lt;&gt;"",TEXT(AUX!BD$1,"dd-MMM-aa"),"")</f>
      </c>
      <c r="BA422" s="496" t="str">
        <f> IF(BA442&lt;&gt;"",TEXT(AUX!BE$1,"dd-MMM-aa"),"")</f>
      </c>
      <c r="BB422" s="496" t="str">
        <f> IF(BB442&lt;&gt;"",TEXT(AUX!BF$1,"dd-MMM-aa"),"")</f>
      </c>
      <c r="BC422" s="496" t="str">
        <f> IF(BC442&lt;&gt;"",TEXT(AUX!BG$1,"dd-MMM-aa"),"")</f>
      </c>
      <c r="BD422" s="496" t="str">
        <f> IF(BD442&lt;&gt;"",TEXT(AUX!BH$1,"dd-MMM-aa"),"")</f>
      </c>
      <c r="BE422" s="496" t="str">
        <f> IF(BE442&lt;&gt;"",TEXT(AUX!BI$1,"dd-MMM-aa"),"")</f>
      </c>
      <c r="BF422" s="496" t="str">
        <f> IF(BF442&lt;&gt;"",TEXT(AUX!BJ$1,"dd-MMM-aa"),"")</f>
      </c>
      <c r="BG422" s="496" t="str">
        <f> IF(BG442&lt;&gt;"",TEXT(AUX!BK$1,"dd-MMM-aa"),"")</f>
      </c>
      <c r="BH422" s="496" t="str">
        <f> IF(BH442&lt;&gt;"",TEXT(AUX!BL$1,"dd-MMM-aa"),"")</f>
      </c>
      <c r="BI422" s="496" t="str">
        <f> IF(BI442&lt;&gt;"",TEXT(AUX!BM$1,"dd-MMM-aa"),"")</f>
      </c>
      <c r="BJ422" s="496" t="str">
        <f> IF(BJ442&lt;&gt;"",TEXT(AUX!BN$1,"dd-MMM-aa"),"")</f>
      </c>
      <c r="BK422" s="496" t="str">
        <f> IF(BK442&lt;&gt;"",TEXT(AUX!BO$1,"dd-MMM-aa"),"")</f>
      </c>
      <c r="BL422" s="496" t="str">
        <f> IF(BL442&lt;&gt;"",TEXT(AUX!BP$1,"dd-MMM-aa"),"")</f>
      </c>
      <c r="BM422" s="496" t="str">
        <f> IF(BM442&lt;&gt;"",TEXT(AUX!BQ$1,"dd-MMM-aa"),"")</f>
      </c>
      <c r="BN422" s="496" t="str">
        <f> IF(BN442&lt;&gt;"",TEXT(AUX!BR$1,"dd-MMM-aa"),"")</f>
      </c>
      <c r="BO422" s="496" t="str">
        <f> IF(BO442&lt;&gt;"",TEXT(AUX!BS$1,"dd-MMM-aa"),"")</f>
      </c>
      <c r="BP422" s="496" t="str">
        <f> IF(BP442&lt;&gt;"",TEXT(AUX!BT$1,"dd-MMM-aa"),"")</f>
      </c>
      <c r="BQ422" s="496" t="str">
        <f> IF(BQ442&lt;&gt;"",TEXT(AUX!BU$1,"dd-MMM-aa"),"")</f>
      </c>
      <c r="BR422" s="496" t="str">
        <f> IF(BR442&lt;&gt;"",TEXT(AUX!BV$1,"dd-MMM-aa"),"")</f>
      </c>
      <c r="BS422" s="496" t="str">
        <f> IF(BS442&lt;&gt;"",TEXT(AUX!BW$1,"dd-MMM-aa"),"")</f>
      </c>
      <c r="BT422" s="496" t="str">
        <f> IF(BT442&lt;&gt;"",TEXT(AUX!BX$1,"dd-MMM-aa"),"")</f>
      </c>
      <c r="BU422" s="496" t="str">
        <f> IF(BU442&lt;&gt;"",TEXT(AUX!BY$1,"dd-MMM-aa"),"")</f>
      </c>
      <c r="BV422" s="496" t="str">
        <f> IF(BV442&lt;&gt;"",TEXT(AUX!BZ$1,"dd-MMM-aa"),"")</f>
      </c>
      <c r="BW422" s="496" t="str">
        <f> IF(BW442&lt;&gt;"",TEXT(AUX!CA$1,"dd-MMM-aa"),"")</f>
      </c>
      <c r="BX422" s="496" t="str">
        <f> IF(BX442&lt;&gt;"",TEXT(AUX!CB$1,"dd-MMM-aa"),"")</f>
      </c>
      <c r="BY422" s="496" t="str">
        <f> IF(BY442&lt;&gt;"",TEXT(AUX!CC$1,"dd-MMM-aa"),"")</f>
      </c>
      <c r="BZ422" s="496" t="str">
        <f> IF(BZ442&lt;&gt;"",TEXT(AUX!CD$1,"dd-MMM-aa"),"")</f>
      </c>
      <c r="CA422" s="496" t="str">
        <f> IF(CA442&lt;&gt;"",TEXT(AUX!CE$1,"dd-MMM-aa"),"")</f>
      </c>
      <c r="CB422" s="496" t="str">
        <f> IF(CB442&lt;&gt;"",TEXT(AUX!CF$1,"dd-MMM-aa"),"")</f>
      </c>
      <c r="CC422" s="496" t="str">
        <f> IF(CC442&lt;&gt;"",TEXT(AUX!CG$1,"dd-MMM-aa"),"")</f>
      </c>
      <c r="CD422" s="496" t="str">
        <f> IF(CD442&lt;&gt;"",TEXT(AUX!CH$1,"dd-MMM-aa"),"")</f>
      </c>
      <c r="CE422" s="496" t="str">
        <f> IF(CE442&lt;&gt;"",TEXT(AUX!CI$1,"dd-MMM-aa"),"")</f>
      </c>
      <c r="CF422" s="496" t="str">
        <f> IF(CF442&lt;&gt;"",TEXT(AUX!CJ$1,"dd-MMM-aa"),"")</f>
      </c>
      <c r="CG422" s="496" t="str">
        <f> IF(CG442&lt;&gt;"",TEXT(AUX!CK$1,"dd-MMM-aa"),"")</f>
      </c>
      <c r="CH422" s="496" t="str">
        <f> IF(CH442&lt;&gt;"",TEXT(AUX!CL$1,"dd-MMM-aa"),"")</f>
      </c>
      <c r="CI422" s="496" t="str">
        <f> IF(CI442&lt;&gt;"",TEXT(AUX!CM$1,"dd-MMM-aa"),"")</f>
      </c>
      <c r="CJ422" s="496" t="str">
        <f> IF(CJ442&lt;&gt;"",TEXT(AUX!CN$1,"dd-MMM-aa"),"")</f>
      </c>
      <c r="CK422" s="496" t="str">
        <f> IF(CK442&lt;&gt;"",TEXT(AUX!CO$1,"dd-MMM-aa"),"")</f>
      </c>
      <c r="CL422" s="496" t="str">
        <f> IF(CL442&lt;&gt;"",TEXT(AUX!CP$1,"dd-MMM-aa"),"")</f>
      </c>
      <c r="CM422" s="496" t="str">
        <f> IF(CM442&lt;&gt;"",TEXT(AUX!CQ$1,"dd-MMM-aa"),"")</f>
      </c>
      <c r="CN422" s="496" t="str">
        <f> IF(CN442&lt;&gt;"",TEXT(AUX!CR$1,"dd-MMM-aa"),"")</f>
      </c>
      <c r="CO422" s="496" t="str">
        <f> IF(CO442&lt;&gt;"",TEXT(AUX!CS$1,"dd-MMM-aa"),"")</f>
      </c>
      <c r="CP422" s="496" t="str">
        <f> IF(CP442&lt;&gt;"",TEXT(AUX!CT$1,"dd-MMM-aa"),"")</f>
      </c>
      <c r="CQ422" s="496" t="str">
        <f> IF(CQ442&lt;&gt;"",TEXT(AUX!CU$1,"dd-MMM-aa"),"")</f>
      </c>
      <c r="CR422" s="496" t="str">
        <f> IF(CR442&lt;&gt;"",TEXT(AUX!CV$1,"dd-MMM-aa"),"")</f>
      </c>
      <c r="CS422" s="496" t="str">
        <f> IF(CS442&lt;&gt;"",TEXT(AUX!CW$1,"dd-MMM-aa"),"")</f>
      </c>
      <c r="CT422" s="496" t="str">
        <f> IF(CT442&lt;&gt;"",TEXT(AUX!CX$1,"dd-MMM-aa"),"")</f>
      </c>
      <c r="CU422" s="496" t="str">
        <f> IF(CU442&lt;&gt;"",TEXT(AUX!CY$1,"dd-MMM-aa"),"")</f>
      </c>
      <c r="CV422" s="496" t="str">
        <f> IF(CV442&lt;&gt;"",TEXT(AUX!CZ$1,"dd-MMM-aa"),"")</f>
      </c>
      <c r="CW422" s="496" t="str">
        <f> IF(CW442&lt;&gt;"",TEXT(AUX!DA$1,"dd-MMM-aa"),"")</f>
      </c>
      <c r="CX422" s="496" t="str">
        <f> IF(CX442&lt;&gt;"",TEXT(AUX!DB$1,"dd-MMM-aa"),"")</f>
      </c>
      <c r="CY422" s="496" t="str">
        <f> IF(CY442&lt;&gt;"",TEXT(AUX!DC$1,"dd-MMM-aa"),"")</f>
      </c>
      <c r="CZ422" s="496" t="str">
        <f> IF(CZ442&lt;&gt;"",TEXT(AUX!DD$1,"dd-MMM-aa"),"")</f>
      </c>
      <c r="DA422" s="496" t="str">
        <f> IF(DA442&lt;&gt;"",TEXT(AUX!DE$1,"dd-MMM-aa"),"")</f>
      </c>
      <c r="DB422" s="496" t="str">
        <f> IF(DB442&lt;&gt;"",TEXT(AUX!DF$1,"dd-MMM-aa"),"")</f>
      </c>
      <c r="DC422" s="496" t="str">
        <f> IF(DC442&lt;&gt;"",TEXT(AUX!DG$1,"dd-MMM-aa"),"")</f>
      </c>
      <c r="DD422" s="496" t="str">
        <f> IF(DD442&lt;&gt;"",TEXT(AUX!DH$1,"dd-MMM-aa"),"")</f>
      </c>
      <c r="DE422" s="496" t="str">
        <f> IF(DE442&lt;&gt;"",TEXT(AUX!DI$1,"dd-MMM-aa"),"")</f>
      </c>
      <c r="DF422" s="496" t="str">
        <f> IF(DF442&lt;&gt;"",TEXT(AUX!DJ$1,"dd-MMM-aa"),"")</f>
      </c>
      <c r="DG422" s="496" t="str">
        <f> IF(DG442&lt;&gt;"",TEXT(AUX!DK$1,"dd-MMM-aa"),"")</f>
      </c>
      <c r="DH422" s="496" t="str">
        <f> IF(DH442&lt;&gt;"",TEXT(AUX!DL$1,"dd-MMM-aa"),"")</f>
      </c>
      <c r="DI422" s="496" t="str">
        <f> IF(DI442&lt;&gt;"",TEXT(AUX!DM$1,"dd-MMM-aa"),"")</f>
      </c>
      <c r="DJ422" s="496" t="str">
        <f> IF(DJ442&lt;&gt;"",TEXT(AUX!DN$1,"dd-MMM-aa"),"")</f>
      </c>
      <c r="DK422" s="496" t="str">
        <f> IF(DK442&lt;&gt;"",TEXT(AUX!DO$1,"dd-MMM-aa"),"")</f>
      </c>
      <c r="DL422" s="496" t="str">
        <f> IF(DL442&lt;&gt;"",TEXT(AUX!DP$1,"dd-MMM-aa"),"")</f>
      </c>
      <c r="DM422" s="496" t="str">
        <f> IF(DM442&lt;&gt;"",TEXT(AUX!DQ$1,"dd-MMM-aa"),"")</f>
      </c>
      <c r="DN422" s="496" t="str">
        <f> IF(DN442&lt;&gt;"",TEXT(AUX!DR$1,"dd-MMM-aa"),"")</f>
      </c>
      <c r="DO422" s="496" t="str">
        <f> IF(DO442&lt;&gt;"",TEXT(AUX!DS$1,"dd-MMM-aa"),"")</f>
      </c>
      <c r="DP422" s="496" t="str">
        <f> IF(DP442&lt;&gt;"",TEXT(AUX!DT$1,"dd-MMM-aa"),"")</f>
      </c>
      <c r="DQ422" s="496" t="str">
        <f> IF(DQ442&lt;&gt;"",TEXT(AUX!DU$1,"dd-MMM-aa"),"")</f>
      </c>
      <c r="DR422" s="496" t="str">
        <f> IF(DR442&lt;&gt;"",TEXT(AUX!DV$1,"dd-MMM-aa"),"")</f>
      </c>
      <c r="DS422" s="496" t="str">
        <f> IF(DS442&lt;&gt;"",TEXT(AUX!DW$1,"dd-MMM-aa"),"")</f>
      </c>
      <c r="DT422" s="496" t="str">
        <f> IF(DT442&lt;&gt;"",TEXT(AUX!DX$1,"dd-MMM-aa"),"")</f>
      </c>
      <c r="DU422" s="496" t="str">
        <f> IF(DU442&lt;&gt;"",TEXT(AUX!DY$1,"dd-MMM-aa"),"")</f>
      </c>
      <c r="DV422" s="496" t="str">
        <f> IF(DV442&lt;&gt;"",TEXT(AUX!DZ$1,"dd-MMM-aa"),"")</f>
      </c>
      <c r="DW422" s="496" t="str">
        <f> IF(DW442&lt;&gt;"",TEXT(AUX!EA$1,"dd-MMM-aa"),"")</f>
      </c>
      <c r="DX422" s="496" t="str">
        <f> IF(DX442&lt;&gt;"",TEXT(AUX!EB$1,"dd-MMM-aa"),"")</f>
      </c>
      <c r="DY422" s="496" t="str">
        <f> IF(DY442&lt;&gt;"",TEXT(AUX!EC$1,"dd-MMM-aa"),"")</f>
      </c>
      <c r="DZ422" s="496" t="str">
        <f> IF(DZ442&lt;&gt;"",TEXT(AUX!ED$1,"dd-MMM-aa"),"")</f>
      </c>
      <c r="EA422" s="496" t="str">
        <f> IF(EA442&lt;&gt;"",TEXT(AUX!EE$1,"dd-MMM-aa"),"")</f>
      </c>
      <c r="EB422" s="496" t="str">
        <f> IF(EB442&lt;&gt;"",TEXT(AUX!EF$1,"dd-MMM-aa"),"")</f>
      </c>
      <c r="EC422" s="496" t="str">
        <f> IF(EC442&lt;&gt;"",TEXT(AUX!EG$1,"dd-MMM-aa"),"")</f>
      </c>
      <c r="ED422" s="496" t="str">
        <f> IF(ED442&lt;&gt;"",TEXT(AUX!EH$1,"dd-MMM-aa"),"")</f>
      </c>
      <c r="EE422" s="496" t="str">
        <f> IF(EE442&lt;&gt;"",TEXT(AUX!EI$1,"dd-MMM-aa"),"")</f>
      </c>
      <c r="EF422" s="496" t="str">
        <f> IF(EF442&lt;&gt;"",TEXT(AUX!EJ$1,"dd-MMM-aa"),"")</f>
      </c>
      <c r="EG422" s="496" t="str">
        <f> IF(EG442&lt;&gt;"",TEXT(AUX!EK$1,"dd-MMM-aa"),"")</f>
      </c>
      <c r="EH422" s="496" t="str">
        <f> IF(EH442&lt;&gt;"",TEXT(AUX!EL$1,"dd-MMM-aa"),"")</f>
      </c>
      <c r="EI422" s="496" t="str">
        <f> IF(EI442&lt;&gt;"",TEXT(AUX!EM$1,"dd-MMM-aa"),"")</f>
      </c>
      <c r="EJ422" s="496" t="str">
        <f> IF(EJ442&lt;&gt;"",TEXT(AUX!EN$1,"dd-MMM-aa"),"")</f>
      </c>
      <c r="EK422" s="496" t="str">
        <f> IF(EK442&lt;&gt;"",TEXT(AUX!EO$1,"dd-MMM-aa"),"")</f>
      </c>
      <c r="EL422" s="496" t="str">
        <f> IF(EL442&lt;&gt;"",TEXT(AUX!EP$1,"dd-MMM-aa"),"")</f>
      </c>
      <c r="EM422" s="496" t="str">
        <f> IF(EM442&lt;&gt;"",TEXT(AUX!EQ$1,"dd-MMM-aa"),"")</f>
      </c>
      <c r="EN422" s="496" t="str">
        <f> IF(EN442&lt;&gt;"",TEXT(AUX!ER$1,"dd-MMM-aa"),"")</f>
      </c>
      <c r="EO422" s="496" t="str">
        <f> IF(EO442&lt;&gt;"",TEXT(AUX!ES$1,"dd-MMM-aa"),"")</f>
      </c>
      <c r="EP422" s="496" t="str">
        <f> IF(EP442&lt;&gt;"",TEXT(AUX!ET$1,"dd-MMM-aa"),"")</f>
      </c>
      <c r="EQ422" s="496" t="str">
        <f> IF(EQ442&lt;&gt;"",TEXT(AUX!EU$1,"dd-MMM-aa"),"")</f>
      </c>
      <c r="ER422" s="496" t="str">
        <f> IF(ER442&lt;&gt;"",TEXT(AUX!EV$1,"dd-MMM-aa"),"")</f>
      </c>
      <c r="ES422" s="496" t="str">
        <f> IF(ES442&lt;&gt;"",TEXT(AUX!EW$1,"dd-MMM-aa"),"")</f>
      </c>
      <c r="ET422" s="496" t="str">
        <f> IF(ET442&lt;&gt;"",TEXT(AUX!EX$1,"dd-MMM-aa"),"")</f>
      </c>
      <c r="EU422" s="496" t="str">
        <f> IF(EU442&lt;&gt;"",TEXT(AUX!EY$1,"dd-MMM-aa"),"")</f>
      </c>
      <c r="EV422" s="496" t="str">
        <f> IF(EV442&lt;&gt;"",TEXT(AUX!EZ$1,"dd-MMM-aa"),"")</f>
      </c>
      <c r="EW422" s="496" t="str">
        <f> IF(EW442&lt;&gt;"",TEXT(AUX!FA$1,"dd-MMM-aa"),"")</f>
      </c>
      <c r="EX422" s="496" t="str">
        <f> IF(EX442&lt;&gt;"",TEXT(AUX!FB$1,"dd-MMM-aa"),"")</f>
      </c>
      <c r="EY422" s="496" t="str">
        <f> IF(EY442&lt;&gt;"",TEXT(AUX!FC$1,"dd-MMM-aa"),"")</f>
      </c>
      <c r="EZ422" s="496" t="str">
        <f> IF(EZ442&lt;&gt;"",TEXT(AUX!FD$1,"dd-MMM-aa"),"")</f>
      </c>
      <c r="FA422" s="496" t="str">
        <f> IF(FA442&lt;&gt;"",TEXT(AUX!FE$1,"dd-MMM-aa"),"")</f>
      </c>
      <c r="FB422" s="496" t="str">
        <f> IF(FB442&lt;&gt;"",TEXT(AUX!FF$1,"dd-MMM-aa"),"")</f>
      </c>
      <c r="FC422" s="496" t="str">
        <f> IF(FC442&lt;&gt;"",TEXT(AUX!FG$1,"dd-MMM-aa"),"")</f>
      </c>
      <c r="FD422" s="496" t="str">
        <f> IF(FD442&lt;&gt;"",TEXT(AUX!FH$1,"dd-MMM-aa"),"")</f>
      </c>
      <c r="FE422" s="496" t="str">
        <f> IF(FE442&lt;&gt;"",TEXT(AUX!FI$1,"dd-MMM-aa"),"")</f>
      </c>
      <c r="FF422" s="496" t="str">
        <f> IF(FF442&lt;&gt;"",TEXT(AUX!FJ$1,"dd-MMM-aa"),"")</f>
      </c>
      <c r="FG422" s="496" t="str">
        <f> IF(FG442&lt;&gt;"",TEXT(AUX!FK$1,"dd-MMM-aa"),"")</f>
      </c>
      <c r="FH422" s="496" t="str">
        <f> IF(FH442&lt;&gt;"",TEXT(AUX!FL$1,"dd-MMM-aa"),"")</f>
      </c>
      <c r="FI422" s="496" t="str">
        <f> IF(FI442&lt;&gt;"",TEXT(AUX!FM$1,"dd-MMM-aa"),"")</f>
      </c>
      <c r="FJ422" s="496" t="str">
        <f> IF(FJ442&lt;&gt;"",TEXT(AUX!FN$1,"dd-MMM-aa"),"")</f>
      </c>
      <c r="FK422" s="496" t="str">
        <f> IF(FK442&lt;&gt;"",TEXT(AUX!FO$1,"dd-MMM-aa"),"")</f>
      </c>
      <c r="FL422" s="496" t="str">
        <f> IF(FL442&lt;&gt;"",TEXT(AUX!FP$1,"dd-MMM-aa"),"")</f>
      </c>
      <c r="FM422" s="496" t="str">
        <f> IF(FM442&lt;&gt;"",TEXT(AUX!FQ$1,"dd-MMM-aa"),"")</f>
      </c>
      <c r="FN422" s="496" t="str">
        <f> IF(FN442&lt;&gt;"",TEXT(AUX!FR$1,"dd-MMM-aa"),"")</f>
      </c>
      <c r="FO422" s="496" t="str">
        <f> IF(FO442&lt;&gt;"",TEXT(AUX!FS$1,"dd-MMM-aa"),"")</f>
      </c>
      <c r="FP422" s="496" t="str">
        <f> IF(FP442&lt;&gt;"",TEXT(AUX!FT$1,"dd-MMM-aa"),"")</f>
      </c>
      <c r="FQ422" s="496" t="str">
        <f> IF(FQ442&lt;&gt;"",TEXT(AUX!FU$1,"dd-MMM-aa"),"")</f>
      </c>
      <c r="FR422" s="496" t="str">
        <f> IF(FR442&lt;&gt;"",TEXT(AUX!FV$1,"dd-MMM-aa"),"")</f>
      </c>
      <c r="FS422" s="496" t="str">
        <f> IF(FS442&lt;&gt;"",TEXT(AUX!FW$1,"dd-MMM-aa"),"")</f>
      </c>
      <c r="FT422" s="496" t="str">
        <f> IF(FT442&lt;&gt;"",TEXT(AUX!FX$1,"dd-MMM-aa"),"")</f>
      </c>
      <c r="FU422" s="496" t="str">
        <f> IF(FU442&lt;&gt;"",TEXT(AUX!FY$1,"dd-MMM-aa"),"")</f>
      </c>
      <c r="FV422" s="496" t="str">
        <f> IF(FV442&lt;&gt;"",TEXT(AUX!FZ$1,"dd-MMM-aa"),"")</f>
      </c>
      <c r="FW422" s="496" t="str">
        <f> IF(FW442&lt;&gt;"",TEXT(AUX!GA$1,"dd-MMM-aa"),"")</f>
      </c>
      <c r="FX422" s="496" t="str">
        <f> IF(FX442&lt;&gt;"",TEXT(AUX!GB$1,"dd-MMM-aa"),"")</f>
      </c>
      <c r="FY422" s="496" t="str">
        <f> IF(FY442&lt;&gt;"",TEXT(AUX!GC$1,"dd-MMM-aa"),"")</f>
      </c>
      <c r="FZ422" s="496" t="str">
        <f> IF(FZ442&lt;&gt;"",TEXT(AUX!GD$1,"dd-MMM-aa"),"")</f>
      </c>
      <c r="GA422" s="496" t="str">
        <f> IF(GA442&lt;&gt;"",TEXT(AUX!GE$1,"dd-MMM-aa"),"")</f>
      </c>
      <c r="GB422" s="496" t="str">
        <f> IF(GB442&lt;&gt;"",TEXT(AUX!GF$1,"dd-MMM-aa"),"")</f>
      </c>
      <c r="GC422" s="496" t="str">
        <f> IF(GC442&lt;&gt;"",TEXT(AUX!GG$1,"dd-MMM-aa"),"")</f>
      </c>
      <c r="GD422" s="496" t="str">
        <f> IF(GD442&lt;&gt;"",TEXT(AUX!GH$1,"dd-MMM-aa"),"")</f>
      </c>
      <c r="GE422" s="496" t="str">
        <f> IF(GE442&lt;&gt;"",TEXT(AUX!GI$1,"dd-MMM-aa"),"")</f>
      </c>
      <c r="GF422" s="496" t="str">
        <f> IF(GF442&lt;&gt;"",TEXT(AUX!GJ$1,"dd-MMM-aa"),"")</f>
      </c>
      <c r="GG422" s="496" t="str">
        <f> IF(GG442&lt;&gt;"",TEXT(AUX!GK$1,"dd-MMM-aa"),"")</f>
      </c>
      <c r="GH422" s="496" t="str">
        <f> IF(GH442&lt;&gt;"",TEXT(AUX!GL$1,"dd-MMM-aa"),"")</f>
      </c>
      <c r="GI422" s="496" t="str">
        <f> IF(GI442&lt;&gt;"",TEXT(AUX!GM$1,"dd-MMM-aa"),"")</f>
      </c>
      <c r="GJ422" s="496" t="str">
        <f> IF(GJ442&lt;&gt;"",TEXT(AUX!GN$1,"dd-MMM-aa"),"")</f>
      </c>
      <c r="GK422" s="496" t="str">
        <f> IF(GK442&lt;&gt;"",TEXT(AUX!GO$1,"dd-MMM-aa"),"")</f>
      </c>
      <c r="GL422" s="496" t="str">
        <f> IF(GL442&lt;&gt;"",TEXT(AUX!GP$1,"dd-MMM-aa"),"")</f>
      </c>
      <c r="GM422" s="496" t="str">
        <f> IF(GM442&lt;&gt;"",TEXT(AUX!GQ$1,"dd-MMM-aa"),"")</f>
      </c>
      <c r="GN422" s="496" t="str">
        <f> IF(GN442&lt;&gt;"",TEXT(AUX!GR$1,"dd-MMM-aa"),"")</f>
      </c>
      <c r="GO422" s="496" t="str">
        <f> IF(GO442&lt;&gt;"",TEXT(AUX!GS$1,"dd-MMM-aa"),"")</f>
      </c>
      <c r="GP422" s="496" t="str">
        <f> IF(GP442&lt;&gt;"",TEXT(AUX!GT$1,"dd-MMM-aa"),"")</f>
      </c>
      <c r="GQ422" s="496" t="str">
        <f> IF(GQ442&lt;&gt;"",TEXT(AUX!GU$1,"dd-MMM-aa"),"")</f>
      </c>
      <c r="GR422" s="496" t="str">
        <f> IF(GR442&lt;&gt;"",TEXT(AUX!GV$1,"dd-MMM-aa"),"")</f>
      </c>
      <c r="GS422" s="496" t="str">
        <f> IF(GS442&lt;&gt;"",TEXT(AUX!GW$1,"dd-MMM-aa"),"")</f>
      </c>
      <c r="GT422" s="496" t="str">
        <f> IF(GT442&lt;&gt;"",TEXT(AUX!GX$1,"dd-MMM-aa"),"")</f>
      </c>
      <c r="GU422" s="496" t="str">
        <f> IF(GU442&lt;&gt;"",TEXT(AUX!GY$1,"dd-MMM-aa"),"")</f>
      </c>
      <c r="GV422" s="496" t="str">
        <f> IF(GV442&lt;&gt;"",TEXT(AUX!GZ$1,"dd-MMM-aa"),"")</f>
      </c>
      <c r="GW422" s="496" t="str">
        <f> IF(GW442&lt;&gt;"",TEXT(AUX!HA$1,"dd-MMM-aa"),"")</f>
      </c>
      <c r="GX422" s="496" t="str">
        <f> IF(GX442&lt;&gt;"",TEXT(AUX!HB$1,"dd-MMM-aa"),"")</f>
      </c>
      <c r="GY422" s="496" t="str">
        <f> IF(GY442&lt;&gt;"",TEXT(AUX!HC$1,"dd-MMM-aa"),"")</f>
      </c>
      <c r="GZ422" s="496" t="str">
        <f> IF(GZ442&lt;&gt;"",TEXT(AUX!HD$1,"dd-MMM-aa"),"")</f>
      </c>
      <c r="HA422" s="496" t="str">
        <f> IF(HA442&lt;&gt;"",TEXT(AUX!HE$1,"dd-MMM-aa"),"")</f>
      </c>
      <c r="HB422" s="496" t="str">
        <f> IF(HB442&lt;&gt;"",TEXT(AUX!HF$1,"dd-MMM-aa"),"")</f>
      </c>
      <c r="HC422" s="496" t="str">
        <f> IF(HC442&lt;&gt;"",TEXT(AUX!HG$1,"dd-MMM-aa"),"")</f>
      </c>
      <c r="HD422" s="496" t="str">
        <f> IF(HD442&lt;&gt;"",TEXT(AUX!HH$1,"dd-MMM-aa"),"")</f>
      </c>
      <c r="HE422" s="496" t="str">
        <f> IF(HE442&lt;&gt;"",TEXT(AUX!HI$1,"dd-MMM-aa"),"")</f>
      </c>
      <c r="HF422" s="496" t="str">
        <f> IF(HF442&lt;&gt;"",TEXT(AUX!HJ$1,"dd-MMM-aa"),"")</f>
      </c>
      <c r="HG422" s="496" t="str">
        <f> IF(HG442&lt;&gt;"",TEXT(AUX!HK$1,"dd-MMM-aa"),"")</f>
      </c>
      <c r="HH422" s="496" t="str">
        <f> IF(HH442&lt;&gt;"",TEXT(AUX!HL$1,"dd-MMM-aa"),"")</f>
      </c>
      <c r="HI422" s="496" t="str">
        <f> IF(HI442&lt;&gt;"",TEXT(AUX!HM$1,"dd-MMM-aa"),"")</f>
      </c>
      <c r="HJ422" s="496" t="str">
        <f> IF(HJ442&lt;&gt;"",TEXT(AUX!HN$1,"dd-MMM-aa"),"")</f>
      </c>
      <c r="HK422" s="496" t="str">
        <f> IF(HK442&lt;&gt;"",TEXT(AUX!HO$1,"dd-MMM-aa"),"")</f>
      </c>
      <c r="HL422" s="496" t="str">
        <f> IF(HL442&lt;&gt;"",TEXT(AUX!HP$1,"dd-MMM-aa"),"")</f>
      </c>
      <c r="HM422" s="496" t="str">
        <f> IF(HM442&lt;&gt;"",TEXT(AUX!HQ$1,"dd-MMM-aa"),"")</f>
      </c>
      <c r="HN422" s="496" t="str">
        <f> IF(HN442&lt;&gt;"",TEXT(AUX!HR$1,"dd-MMM-aa"),"")</f>
      </c>
      <c r="HO422" s="496" t="str">
        <f> IF(HO442&lt;&gt;"",TEXT(AUX!HS$1,"dd-MMM-aa"),"")</f>
      </c>
      <c r="HP422" s="496" t="str">
        <f> IF(HP442&lt;&gt;"",TEXT(AUX!HT$1,"dd-MMM-aa"),"")</f>
      </c>
      <c r="HQ422" s="496" t="str">
        <f> IF(HQ442&lt;&gt;"",TEXT(AUX!HU$1,"dd-MMM-aa"),"")</f>
      </c>
      <c r="HR422" s="496" t="str">
        <f> IF(HR442&lt;&gt;"",TEXT(AUX!HV$1,"dd-MMM-aa"),"")</f>
      </c>
      <c r="HS422" s="496" t="str">
        <f> IF(HS442&lt;&gt;"",TEXT(AUX!HW$1,"dd-MMM-aa"),"")</f>
      </c>
      <c r="HT422" s="496" t="str">
        <f> IF(HT442&lt;&gt;"",TEXT(AUX!HX$1,"dd-MMM-aa"),"")</f>
      </c>
      <c r="HU422" s="496" t="str">
        <f> IF(HU442&lt;&gt;"",TEXT(AUX!HY$1,"dd-MMM-aa"),"")</f>
      </c>
      <c r="HV422" s="496" t="str">
        <f> IF(HV442&lt;&gt;"",TEXT(AUX!HZ$1,"dd-MMM-aa"),"")</f>
      </c>
      <c r="HW422" s="496" t="str">
        <f> IF(HW442&lt;&gt;"",TEXT(AUX!IA$1,"dd-MMM-aa"),"")</f>
      </c>
      <c r="HX422" s="496" t="str">
        <f> IF(HX442&lt;&gt;"",TEXT(AUX!IB$1,"dd-MMM-aa"),"")</f>
      </c>
      <c r="HY422" s="496" t="str">
        <f> IF(HY442&lt;&gt;"",TEXT(AUX!IC$1,"dd-MMM-aa"),"")</f>
      </c>
      <c r="HZ422" s="496" t="str">
        <f> IF(HZ442&lt;&gt;"",TEXT(AUX!ID$1,"dd-MMM-aa"),"")</f>
      </c>
      <c r="IA422" s="496" t="str">
        <f> IF(IA442&lt;&gt;"",TEXT(AUX!IE$1,"dd-MMM-aa"),"")</f>
      </c>
      <c r="IB422" s="496" t="str">
        <f> IF(IB442&lt;&gt;"",TEXT(AUX!IF$1,"dd-MMM-aa"),"")</f>
      </c>
      <c r="IC422" s="496" t="str">
        <f> IF(IC442&lt;&gt;"",TEXT(AUX!IG$1,"dd-MMM-aa"),"")</f>
      </c>
      <c r="ID422" s="496" t="str">
        <f> IF(ID442&lt;&gt;"",TEXT(AUX!IH$1,"dd-MMM-aa"),"")</f>
      </c>
      <c r="IE422" s="496" t="str">
        <f> IF(IE442&lt;&gt;"",TEXT(AUX!II$1,"dd-MMM-aa"),"")</f>
      </c>
      <c r="IF422" s="496" t="str">
        <f> IF(IF442&lt;&gt;"",TEXT(AUX!IJ$1,"dd-MMM-aa"),"")</f>
      </c>
      <c r="IG422" s="496" t="str">
        <f> IF(IG442&lt;&gt;"",TEXT(AUX!IK$1,"dd-MMM-aa"),"")</f>
      </c>
      <c r="IH422" s="496" t="str">
        <f> IF(IH442&lt;&gt;"",TEXT(AUX!IL$1,"dd-MMM-aa"),"")</f>
      </c>
      <c r="II422" s="496" t="str">
        <f> IF(II442&lt;&gt;"",TEXT(AUX!IM$1,"dd-MMM-aa"),"")</f>
      </c>
      <c r="IJ422" s="496" t="str">
        <f> IF(IJ442&lt;&gt;"",TEXT(AUX!IN$1,"dd-MMM-aa"),"")</f>
      </c>
      <c r="IK422" s="496" t="str">
        <f> IF(IK442&lt;&gt;"",TEXT(AUX!IO$1,"dd-MMM-aa"),"")</f>
      </c>
      <c r="IL422" s="496" t="str">
        <f> IF(IL442&lt;&gt;"",TEXT(AUX!IP$1,"dd-MMM-aa"),"")</f>
      </c>
      <c r="IM422" s="496" t="str">
        <f> IF(IM442&lt;&gt;"",TEXT(AUX!IQ$1,"dd-MMM-aa"),"")</f>
      </c>
      <c r="IN422" s="496" t="str">
        <f> IF(IN442&lt;&gt;"",TEXT(AUX!IR$1,"dd-MMM-aa"),"")</f>
      </c>
      <c r="IO422" s="496" t="str">
        <f> IF(IO442&lt;&gt;"",TEXT(AUX!IS$1,"dd-MMM-aa"),"")</f>
      </c>
      <c r="IP422" s="496" t="str">
        <f> IF(IP442&lt;&gt;"",TEXT(AUX!IT$1,"dd-MMM-aa"),"")</f>
      </c>
      <c r="IQ422" s="496" t="str">
        <f> IF(IQ442&lt;&gt;"",TEXT(AUX!IU$1,"dd-MMM-aa"),"")</f>
      </c>
      <c r="IR422" s="496" t="str">
        <f> IF(IR442&lt;&gt;"",TEXT(AUX!IV$1,"dd-MMM-aa"),"")</f>
      </c>
      <c r="IS422" s="496" t="str">
        <f> IF(IS442&lt;&gt;"",TEXT(AUX!#REF!,"dd-MMM-aa"),"")</f>
      </c>
      <c r="IT422" s="496" t="str">
        <f> IF(IT442&lt;&gt;"",TEXT(AUX!#REF!,"dd-MMM-aa"),"")</f>
      </c>
      <c r="IU422" s="496" t="str">
        <f> IF(IU442&lt;&gt;"",TEXT(AUX!#REF!,"dd-MMM-aa"),"")</f>
      </c>
      <c r="IV422" s="496" t="str">
        <f> IF(IV442&lt;&gt;"",TEXT(AUX!#REF!,"dd-MMM-aa"),"")</f>
      </c>
    </row>
    <row r="423" hidden="1" ht="12.75" customHeight="1">
      <c r="B423" s="833" t="s">
        <v>8</v>
      </c>
      <c r="C423" s="827">
        <v>4</v>
      </c>
      <c r="D423" s="827">
        <v>6</v>
      </c>
      <c r="E423" s="827">
        <v>5</v>
      </c>
      <c r="F423" s="827">
        <v>5</v>
      </c>
      <c r="G423" s="827">
        <v>5</v>
      </c>
      <c r="H423" s="827">
        <v>9</v>
      </c>
      <c r="I423" s="827">
        <v>8</v>
      </c>
      <c r="J423" s="827">
        <v>8</v>
      </c>
      <c r="K423" s="827">
        <v>6</v>
      </c>
      <c r="L423" s="827">
        <v>5</v>
      </c>
      <c r="M423" s="827">
        <v>4</v>
      </c>
      <c r="N423" s="827">
        <v>5</v>
      </c>
      <c r="O423" s="827">
        <v>6</v>
      </c>
      <c r="P423" s="827">
        <v>9</v>
      </c>
      <c r="Q423" s="827">
        <v>13</v>
      </c>
      <c r="R423" s="827">
        <v>15</v>
      </c>
      <c r="S423" s="827">
        <v>18</v>
      </c>
      <c r="T423" s="827">
        <v>17</v>
      </c>
      <c r="U423" s="827">
        <v>23</v>
      </c>
      <c r="V423" s="827">
        <v>22</v>
      </c>
      <c r="W423" s="827">
        <v>24</v>
      </c>
      <c r="X423" s="827">
        <v>35</v>
      </c>
      <c r="Y423" s="827">
        <v>36</v>
      </c>
      <c r="Z423" s="827">
        <v>60</v>
      </c>
      <c r="AA423" s="827">
        <v>52</v>
      </c>
      <c r="AB423" s="834">
        <v>77</v>
      </c>
      <c r="AC423" s="828">
        <v>81</v>
      </c>
      <c r="AD423" s="828">
        <v>97</v>
      </c>
      <c r="AE423" s="828">
        <v>99</v>
      </c>
      <c r="AF423" s="828">
        <v>132</v>
      </c>
      <c r="AG423" s="828">
        <v>156</v>
      </c>
      <c r="AH423" s="828">
        <v>188</v>
      </c>
      <c r="AI423" s="828">
        <v>197</v>
      </c>
      <c r="AJ423" s="828">
        <v>216</v>
      </c>
      <c r="AK423" s="828">
        <v>214</v>
      </c>
      <c r="AL423" s="828">
        <v>236</v>
      </c>
      <c r="AM423" s="828">
        <v>236</v>
      </c>
      <c r="AN423" s="828">
        <v>255</v>
      </c>
      <c r="AO423" s="828">
        <v>248</v>
      </c>
      <c r="AP423" s="828">
        <v>257</v>
      </c>
    </row>
    <row r="424" hidden="1" ht="12.75" customHeight="1">
      <c r="B424" s="829" t="s">
        <v>9</v>
      </c>
      <c r="C424" s="823">
        <v>1</v>
      </c>
      <c r="D424" s="823">
        <v>1</v>
      </c>
      <c r="E424" s="823">
        <v>1</v>
      </c>
      <c r="F424" s="823">
        <v>1</v>
      </c>
      <c r="G424" s="823">
        <v>1</v>
      </c>
      <c r="H424" s="823">
        <v>0</v>
      </c>
      <c r="I424" s="823">
        <v>0</v>
      </c>
      <c r="J424" s="823">
        <v>0</v>
      </c>
      <c r="K424" s="823">
        <v>0</v>
      </c>
      <c r="L424" s="823">
        <v>0</v>
      </c>
      <c r="M424" s="823">
        <v>0</v>
      </c>
      <c r="N424" s="823">
        <v>0</v>
      </c>
      <c r="O424" s="823">
        <v>1</v>
      </c>
      <c r="P424" s="823">
        <v>0</v>
      </c>
      <c r="Q424" s="823">
        <v>0</v>
      </c>
      <c r="R424" s="823">
        <v>0</v>
      </c>
      <c r="S424" s="823">
        <v>0</v>
      </c>
      <c r="T424" s="823">
        <v>0</v>
      </c>
      <c r="U424" s="823">
        <v>4</v>
      </c>
      <c r="V424" s="823">
        <v>4</v>
      </c>
      <c r="W424" s="823">
        <v>4</v>
      </c>
      <c r="X424" s="823">
        <v>4</v>
      </c>
      <c r="Y424" s="823">
        <v>2</v>
      </c>
      <c r="Z424" s="823">
        <v>2</v>
      </c>
      <c r="AA424" s="823">
        <v>1</v>
      </c>
      <c r="AB424" s="823">
        <v>8</v>
      </c>
      <c r="AC424" s="825">
        <v>10</v>
      </c>
      <c r="AD424" s="825">
        <v>9</v>
      </c>
      <c r="AE424" s="825">
        <v>10</v>
      </c>
      <c r="AF424" s="825">
        <v>11</v>
      </c>
      <c r="AG424" s="825">
        <v>55</v>
      </c>
      <c r="AH424" s="825">
        <v>41</v>
      </c>
      <c r="AI424" s="825">
        <v>87</v>
      </c>
      <c r="AJ424" s="825">
        <v>383</v>
      </c>
      <c r="AK424" s="825">
        <v>8</v>
      </c>
      <c r="AL424" s="825">
        <v>8</v>
      </c>
      <c r="AM424" s="825">
        <v>8</v>
      </c>
      <c r="AN424" s="825">
        <v>6</v>
      </c>
      <c r="AO424" s="825">
        <v>10</v>
      </c>
      <c r="AP424" s="825">
        <v>10</v>
      </c>
    </row>
    <row r="425" hidden="1" ht="12.75" customHeight="1">
      <c r="B425" s="826" t="s">
        <v>10</v>
      </c>
      <c r="C425" s="827">
        <v>36</v>
      </c>
      <c r="D425" s="827">
        <v>32</v>
      </c>
      <c r="E425" s="827">
        <v>35</v>
      </c>
      <c r="F425" s="827">
        <v>33</v>
      </c>
      <c r="G425" s="827">
        <v>29</v>
      </c>
      <c r="H425" s="827">
        <v>30</v>
      </c>
      <c r="I425" s="827">
        <v>30</v>
      </c>
      <c r="J425" s="827">
        <v>25</v>
      </c>
      <c r="K425" s="827">
        <v>28</v>
      </c>
      <c r="L425" s="827">
        <v>29</v>
      </c>
      <c r="M425" s="827">
        <v>29</v>
      </c>
      <c r="N425" s="827">
        <v>29</v>
      </c>
      <c r="O425" s="827">
        <v>29</v>
      </c>
      <c r="P425" s="827">
        <v>34</v>
      </c>
      <c r="Q425" s="827">
        <v>35</v>
      </c>
      <c r="R425" s="827">
        <v>36</v>
      </c>
      <c r="S425" s="827">
        <v>40</v>
      </c>
      <c r="T425" s="827">
        <v>36</v>
      </c>
      <c r="U425" s="827">
        <v>36</v>
      </c>
      <c r="V425" s="827">
        <v>32</v>
      </c>
      <c r="W425" s="827">
        <v>33</v>
      </c>
      <c r="X425" s="827">
        <v>37</v>
      </c>
      <c r="Y425" s="827">
        <v>43</v>
      </c>
      <c r="Z425" s="827">
        <v>41</v>
      </c>
      <c r="AA425" s="827">
        <v>40</v>
      </c>
      <c r="AB425" s="827">
        <v>38</v>
      </c>
      <c r="AC425" s="828">
        <v>35</v>
      </c>
      <c r="AD425" s="828">
        <v>34</v>
      </c>
      <c r="AE425" s="828">
        <v>33</v>
      </c>
      <c r="AF425" s="828">
        <v>35</v>
      </c>
      <c r="AG425" s="828">
        <v>34</v>
      </c>
      <c r="AH425" s="828">
        <v>35</v>
      </c>
      <c r="AI425" s="828">
        <v>37</v>
      </c>
      <c r="AJ425" s="828">
        <v>38</v>
      </c>
      <c r="AK425" s="828">
        <v>45</v>
      </c>
      <c r="AL425" s="828">
        <v>51</v>
      </c>
      <c r="AM425" s="828">
        <v>55</v>
      </c>
      <c r="AN425" s="828">
        <v>55</v>
      </c>
      <c r="AO425" s="828">
        <v>52</v>
      </c>
      <c r="AP425" s="828">
        <v>56</v>
      </c>
    </row>
    <row r="426" hidden="1" ht="12.75" customHeight="1">
      <c r="B426" s="829" t="s">
        <v>11</v>
      </c>
      <c r="C426" s="823">
        <v>2</v>
      </c>
      <c r="D426" s="823">
        <v>2</v>
      </c>
      <c r="E426" s="823">
        <v>2</v>
      </c>
      <c r="F426" s="823">
        <v>3</v>
      </c>
      <c r="G426" s="823">
        <v>3</v>
      </c>
      <c r="H426" s="823">
        <v>5</v>
      </c>
      <c r="I426" s="823">
        <v>5</v>
      </c>
      <c r="J426" s="823">
        <v>5</v>
      </c>
      <c r="K426" s="823">
        <v>5</v>
      </c>
      <c r="L426" s="823">
        <v>6</v>
      </c>
      <c r="M426" s="823">
        <v>9</v>
      </c>
      <c r="N426" s="823">
        <v>10</v>
      </c>
      <c r="O426" s="823">
        <v>14</v>
      </c>
      <c r="P426" s="823">
        <v>54</v>
      </c>
      <c r="Q426" s="823">
        <v>55</v>
      </c>
      <c r="R426" s="823">
        <v>52</v>
      </c>
      <c r="S426" s="823">
        <v>52</v>
      </c>
      <c r="T426" s="823">
        <v>67</v>
      </c>
      <c r="U426" s="823">
        <v>68</v>
      </c>
      <c r="V426" s="823">
        <v>86</v>
      </c>
      <c r="W426" s="823">
        <v>85</v>
      </c>
      <c r="X426" s="823">
        <v>111</v>
      </c>
      <c r="Y426" s="823">
        <v>112</v>
      </c>
      <c r="Z426" s="823">
        <v>131</v>
      </c>
      <c r="AA426" s="823">
        <v>134</v>
      </c>
      <c r="AB426" s="823">
        <v>144</v>
      </c>
      <c r="AC426" s="825">
        <v>144</v>
      </c>
      <c r="AD426" s="825">
        <v>135</v>
      </c>
      <c r="AE426" s="825">
        <v>131</v>
      </c>
      <c r="AF426" s="825">
        <v>145</v>
      </c>
      <c r="AG426" s="825">
        <v>135</v>
      </c>
      <c r="AH426" s="825">
        <v>153</v>
      </c>
      <c r="AI426" s="825">
        <v>149</v>
      </c>
      <c r="AJ426" s="825">
        <v>170</v>
      </c>
      <c r="AK426" s="825">
        <v>164</v>
      </c>
      <c r="AL426" s="825">
        <v>182</v>
      </c>
      <c r="AM426" s="825">
        <v>168</v>
      </c>
      <c r="AN426" s="825">
        <v>180</v>
      </c>
      <c r="AO426" s="825">
        <v>181</v>
      </c>
      <c r="AP426" s="825">
        <v>201</v>
      </c>
    </row>
    <row r="427" hidden="1" ht="12.75" customHeight="1">
      <c r="B427" s="826" t="s">
        <v>12</v>
      </c>
      <c r="C427" s="827">
        <v>106</v>
      </c>
      <c r="D427" s="827">
        <v>99</v>
      </c>
      <c r="E427" s="827">
        <v>112</v>
      </c>
      <c r="F427" s="827">
        <v>117</v>
      </c>
      <c r="G427" s="827">
        <v>123</v>
      </c>
      <c r="H427" s="827">
        <v>122</v>
      </c>
      <c r="I427" s="827">
        <v>116</v>
      </c>
      <c r="J427" s="827">
        <v>109</v>
      </c>
      <c r="K427" s="827">
        <v>101</v>
      </c>
      <c r="L427" s="827">
        <v>100</v>
      </c>
      <c r="M427" s="827">
        <v>96</v>
      </c>
      <c r="N427" s="827">
        <v>104</v>
      </c>
      <c r="O427" s="827">
        <v>198</v>
      </c>
      <c r="P427" s="827">
        <v>199</v>
      </c>
      <c r="Q427" s="827">
        <v>219</v>
      </c>
      <c r="R427" s="827">
        <v>211</v>
      </c>
      <c r="S427" s="827">
        <v>217</v>
      </c>
      <c r="T427" s="827">
        <v>217</v>
      </c>
      <c r="U427" s="827">
        <v>237</v>
      </c>
      <c r="V427" s="827">
        <v>240</v>
      </c>
      <c r="W427" s="827">
        <v>236</v>
      </c>
      <c r="X427" s="827">
        <v>236</v>
      </c>
      <c r="Y427" s="827">
        <v>234</v>
      </c>
      <c r="Z427" s="827">
        <v>127</v>
      </c>
      <c r="AA427" s="827">
        <v>112</v>
      </c>
      <c r="AB427" s="827">
        <v>105</v>
      </c>
      <c r="AC427" s="828">
        <v>141</v>
      </c>
      <c r="AD427" s="828">
        <v>124</v>
      </c>
      <c r="AE427" s="828">
        <v>150</v>
      </c>
      <c r="AF427" s="828">
        <v>177</v>
      </c>
      <c r="AG427" s="828">
        <v>197</v>
      </c>
      <c r="AH427" s="828">
        <v>209</v>
      </c>
      <c r="AI427" s="828">
        <v>178</v>
      </c>
      <c r="AJ427" s="828">
        <v>174</v>
      </c>
      <c r="AK427" s="828">
        <v>159</v>
      </c>
      <c r="AL427" s="828">
        <v>162</v>
      </c>
      <c r="AM427" s="828">
        <v>143</v>
      </c>
      <c r="AN427" s="828">
        <v>128</v>
      </c>
      <c r="AO427" s="828">
        <v>116</v>
      </c>
      <c r="AP427" s="828">
        <v>110</v>
      </c>
    </row>
    <row r="428" hidden="1" ht="12.75" customHeight="1">
      <c r="B428" s="829" t="s">
        <v>13</v>
      </c>
      <c r="C428" s="823">
        <v>152</v>
      </c>
      <c r="D428" s="823">
        <v>142</v>
      </c>
      <c r="E428" s="823">
        <v>131</v>
      </c>
      <c r="F428" s="823">
        <v>129</v>
      </c>
      <c r="G428" s="823">
        <v>118</v>
      </c>
      <c r="H428" s="823">
        <v>108</v>
      </c>
      <c r="I428" s="823">
        <v>102</v>
      </c>
      <c r="J428" s="823">
        <v>91</v>
      </c>
      <c r="K428" s="823">
        <v>82</v>
      </c>
      <c r="L428" s="823">
        <v>79</v>
      </c>
      <c r="M428" s="823">
        <v>75</v>
      </c>
      <c r="N428" s="823">
        <v>64</v>
      </c>
      <c r="O428" s="823">
        <v>65</v>
      </c>
      <c r="P428" s="823">
        <v>63</v>
      </c>
      <c r="Q428" s="823">
        <v>65</v>
      </c>
      <c r="R428" s="823">
        <v>56</v>
      </c>
      <c r="S428" s="823">
        <v>54</v>
      </c>
      <c r="T428" s="823">
        <v>52</v>
      </c>
      <c r="U428" s="823">
        <v>48</v>
      </c>
      <c r="V428" s="823">
        <v>54</v>
      </c>
      <c r="W428" s="823">
        <v>55</v>
      </c>
      <c r="X428" s="823">
        <v>49</v>
      </c>
      <c r="Y428" s="823">
        <v>48</v>
      </c>
      <c r="Z428" s="823">
        <v>47</v>
      </c>
      <c r="AA428" s="823">
        <v>57</v>
      </c>
      <c r="AB428" s="823">
        <v>57</v>
      </c>
      <c r="AC428" s="825">
        <v>60</v>
      </c>
      <c r="AD428" s="825">
        <v>59</v>
      </c>
      <c r="AE428" s="825">
        <v>58</v>
      </c>
      <c r="AF428" s="825">
        <v>58</v>
      </c>
      <c r="AG428" s="825">
        <v>63</v>
      </c>
      <c r="AH428" s="825">
        <v>71</v>
      </c>
      <c r="AI428" s="825">
        <v>77</v>
      </c>
      <c r="AJ428" s="825">
        <v>79</v>
      </c>
      <c r="AK428" s="825">
        <v>78</v>
      </c>
      <c r="AL428" s="825">
        <v>78</v>
      </c>
      <c r="AM428" s="825">
        <v>84</v>
      </c>
      <c r="AN428" s="825">
        <v>95</v>
      </c>
      <c r="AO428" s="825">
        <v>114</v>
      </c>
      <c r="AP428" s="825">
        <v>131</v>
      </c>
    </row>
    <row r="429" hidden="1" ht="12.75" customHeight="1">
      <c r="B429" s="826" t="s">
        <v>109</v>
      </c>
      <c r="C429" s="827">
        <v>54</v>
      </c>
      <c r="D429" s="827">
        <v>54</v>
      </c>
      <c r="E429" s="827">
        <v>46</v>
      </c>
      <c r="F429" s="827">
        <v>49</v>
      </c>
      <c r="G429" s="827">
        <v>40</v>
      </c>
      <c r="H429" s="827">
        <v>42</v>
      </c>
      <c r="I429" s="827">
        <v>44</v>
      </c>
      <c r="J429" s="827">
        <v>43</v>
      </c>
      <c r="K429" s="827">
        <v>44</v>
      </c>
      <c r="L429" s="827">
        <v>44</v>
      </c>
      <c r="M429" s="827">
        <v>37</v>
      </c>
      <c r="N429" s="827">
        <v>36</v>
      </c>
      <c r="O429" s="827">
        <v>34</v>
      </c>
      <c r="P429" s="827">
        <v>29</v>
      </c>
      <c r="Q429" s="827">
        <v>28</v>
      </c>
      <c r="R429" s="827">
        <v>29</v>
      </c>
      <c r="S429" s="827">
        <v>26</v>
      </c>
      <c r="T429" s="827">
        <v>23</v>
      </c>
      <c r="U429" s="827">
        <v>28</v>
      </c>
      <c r="V429" s="827">
        <v>29</v>
      </c>
      <c r="W429" s="827">
        <v>28</v>
      </c>
      <c r="X429" s="827">
        <v>28</v>
      </c>
      <c r="Y429" s="827">
        <v>25</v>
      </c>
      <c r="Z429" s="827">
        <v>26</v>
      </c>
      <c r="AA429" s="827">
        <v>23</v>
      </c>
      <c r="AB429" s="827">
        <v>22</v>
      </c>
      <c r="AC429" s="828">
        <v>23</v>
      </c>
      <c r="AD429" s="828">
        <v>20</v>
      </c>
      <c r="AE429" s="828">
        <v>24</v>
      </c>
      <c r="AF429" s="828">
        <v>31</v>
      </c>
      <c r="AG429" s="828">
        <v>37</v>
      </c>
      <c r="AH429" s="828">
        <v>36</v>
      </c>
      <c r="AI429" s="828">
        <v>33</v>
      </c>
      <c r="AJ429" s="828">
        <v>34</v>
      </c>
      <c r="AK429" s="828">
        <v>31</v>
      </c>
      <c r="AL429" s="828">
        <v>34</v>
      </c>
      <c r="AM429" s="828">
        <v>27</v>
      </c>
      <c r="AN429" s="828">
        <v>28</v>
      </c>
      <c r="AO429" s="828">
        <v>42</v>
      </c>
      <c r="AP429" s="828">
        <v>40</v>
      </c>
    </row>
    <row r="430" hidden="1" ht="12.75" customHeight="1">
      <c r="B430" s="829" t="s">
        <v>110</v>
      </c>
      <c r="C430" s="823">
        <v>71</v>
      </c>
      <c r="D430" s="823">
        <v>69</v>
      </c>
      <c r="E430" s="823">
        <v>64</v>
      </c>
      <c r="F430" s="823">
        <v>57</v>
      </c>
      <c r="G430" s="823">
        <v>56</v>
      </c>
      <c r="H430" s="823">
        <v>44</v>
      </c>
      <c r="I430" s="823">
        <v>34</v>
      </c>
      <c r="J430" s="823">
        <v>26</v>
      </c>
      <c r="K430" s="823">
        <v>27</v>
      </c>
      <c r="L430" s="823">
        <v>25</v>
      </c>
      <c r="M430" s="823">
        <v>25</v>
      </c>
      <c r="N430" s="823">
        <v>25</v>
      </c>
      <c r="O430" s="823">
        <v>29</v>
      </c>
      <c r="P430" s="823">
        <v>28</v>
      </c>
      <c r="Q430" s="823">
        <v>26</v>
      </c>
      <c r="R430" s="823">
        <v>18</v>
      </c>
      <c r="S430" s="823">
        <v>19</v>
      </c>
      <c r="T430" s="823">
        <v>20</v>
      </c>
      <c r="U430" s="823">
        <v>21</v>
      </c>
      <c r="V430" s="823">
        <v>25</v>
      </c>
      <c r="W430" s="823">
        <v>28</v>
      </c>
      <c r="X430" s="823">
        <v>28</v>
      </c>
      <c r="Y430" s="823">
        <v>27</v>
      </c>
      <c r="Z430" s="823">
        <v>39</v>
      </c>
      <c r="AA430" s="823">
        <v>104</v>
      </c>
      <c r="AB430" s="823">
        <v>125</v>
      </c>
      <c r="AC430" s="825">
        <v>124</v>
      </c>
      <c r="AD430" s="825">
        <v>127</v>
      </c>
      <c r="AE430" s="825">
        <v>171</v>
      </c>
      <c r="AF430" s="825">
        <v>179</v>
      </c>
      <c r="AG430" s="825">
        <v>198</v>
      </c>
      <c r="AH430" s="825">
        <v>209</v>
      </c>
      <c r="AI430" s="825">
        <v>275</v>
      </c>
      <c r="AJ430" s="825">
        <v>281</v>
      </c>
      <c r="AK430" s="825">
        <v>268</v>
      </c>
      <c r="AL430" s="825">
        <v>277</v>
      </c>
      <c r="AM430" s="825">
        <v>270</v>
      </c>
      <c r="AN430" s="825">
        <v>269</v>
      </c>
      <c r="AO430" s="825">
        <v>266</v>
      </c>
      <c r="AP430" s="825">
        <v>248</v>
      </c>
    </row>
    <row r="431" hidden="1" ht="12.75" customHeight="1">
      <c r="B431" s="826" t="s">
        <v>16</v>
      </c>
      <c r="C431" s="827">
        <v>19</v>
      </c>
      <c r="D431" s="827">
        <v>14</v>
      </c>
      <c r="E431" s="827">
        <v>17</v>
      </c>
      <c r="F431" s="827">
        <v>17</v>
      </c>
      <c r="G431" s="827">
        <v>22</v>
      </c>
      <c r="H431" s="827">
        <v>24</v>
      </c>
      <c r="I431" s="827">
        <v>23</v>
      </c>
      <c r="J431" s="827">
        <v>24</v>
      </c>
      <c r="K431" s="827">
        <v>24</v>
      </c>
      <c r="L431" s="827">
        <v>23</v>
      </c>
      <c r="M431" s="827">
        <v>21</v>
      </c>
      <c r="N431" s="827">
        <v>22</v>
      </c>
      <c r="O431" s="827">
        <v>22</v>
      </c>
      <c r="P431" s="827">
        <v>18</v>
      </c>
      <c r="Q431" s="827">
        <v>27</v>
      </c>
      <c r="R431" s="827">
        <v>0</v>
      </c>
      <c r="S431" s="827">
        <v>33</v>
      </c>
      <c r="T431" s="827">
        <v>35</v>
      </c>
      <c r="U431" s="827">
        <v>35</v>
      </c>
      <c r="V431" s="827">
        <v>38</v>
      </c>
      <c r="W431" s="827">
        <v>46</v>
      </c>
      <c r="X431" s="827">
        <v>46</v>
      </c>
      <c r="Y431" s="827">
        <v>45</v>
      </c>
      <c r="Z431" s="827">
        <v>41</v>
      </c>
      <c r="AA431" s="827">
        <v>39</v>
      </c>
      <c r="AB431" s="827">
        <v>27</v>
      </c>
      <c r="AC431" s="828">
        <v>26</v>
      </c>
      <c r="AD431" s="828">
        <v>26</v>
      </c>
      <c r="AE431" s="828">
        <v>1111</v>
      </c>
      <c r="AF431" s="828">
        <v>1113</v>
      </c>
      <c r="AG431" s="828">
        <v>1091</v>
      </c>
      <c r="AH431" s="828">
        <v>1053</v>
      </c>
      <c r="AI431" s="828">
        <v>1053</v>
      </c>
      <c r="AJ431" s="828">
        <v>1021</v>
      </c>
      <c r="AK431" s="828">
        <v>54</v>
      </c>
      <c r="AL431" s="828">
        <v>53</v>
      </c>
      <c r="AM431" s="828">
        <v>57</v>
      </c>
      <c r="AN431" s="828">
        <v>58</v>
      </c>
      <c r="AO431" s="828">
        <v>56</v>
      </c>
      <c r="AP431" s="828">
        <v>53</v>
      </c>
    </row>
    <row r="432" hidden="1" ht="12.75" customHeight="1">
      <c r="B432" s="829" t="s">
        <v>17</v>
      </c>
      <c r="C432" s="823">
        <v>8</v>
      </c>
      <c r="D432" s="823">
        <v>7</v>
      </c>
      <c r="E432" s="823">
        <v>9</v>
      </c>
      <c r="F432" s="823">
        <v>23</v>
      </c>
      <c r="G432" s="823">
        <v>22</v>
      </c>
      <c r="H432" s="823">
        <v>22</v>
      </c>
      <c r="I432" s="823">
        <v>20</v>
      </c>
      <c r="J432" s="823">
        <v>18</v>
      </c>
      <c r="K432" s="823">
        <v>15</v>
      </c>
      <c r="L432" s="823">
        <v>13</v>
      </c>
      <c r="M432" s="823">
        <v>12</v>
      </c>
      <c r="N432" s="823">
        <v>12</v>
      </c>
      <c r="O432" s="823">
        <v>12</v>
      </c>
      <c r="P432" s="823">
        <v>10</v>
      </c>
      <c r="Q432" s="823">
        <v>11</v>
      </c>
      <c r="R432" s="823">
        <v>12</v>
      </c>
      <c r="S432" s="823">
        <v>15</v>
      </c>
      <c r="T432" s="823">
        <v>14</v>
      </c>
      <c r="U432" s="823">
        <v>16</v>
      </c>
      <c r="V432" s="823">
        <v>15</v>
      </c>
      <c r="W432" s="823">
        <v>14</v>
      </c>
      <c r="X432" s="823">
        <v>12</v>
      </c>
      <c r="Y432" s="823">
        <v>14</v>
      </c>
      <c r="Z432" s="823">
        <v>10</v>
      </c>
      <c r="AA432" s="823">
        <v>10</v>
      </c>
      <c r="AB432" s="823">
        <v>8</v>
      </c>
      <c r="AC432" s="825">
        <v>9</v>
      </c>
      <c r="AD432" s="825">
        <v>18</v>
      </c>
      <c r="AE432" s="825">
        <v>18</v>
      </c>
      <c r="AF432" s="825">
        <v>16</v>
      </c>
      <c r="AG432" s="825">
        <v>14</v>
      </c>
      <c r="AH432" s="825">
        <v>16</v>
      </c>
      <c r="AI432" s="825">
        <v>11</v>
      </c>
      <c r="AJ432" s="825">
        <v>19</v>
      </c>
      <c r="AK432" s="825">
        <v>11</v>
      </c>
      <c r="AL432" s="825">
        <v>10</v>
      </c>
      <c r="AM432" s="825">
        <v>7</v>
      </c>
      <c r="AN432" s="825">
        <v>10</v>
      </c>
      <c r="AO432" s="825">
        <v>9</v>
      </c>
      <c r="AP432" s="825">
        <v>13</v>
      </c>
    </row>
    <row r="433" hidden="1" ht="12.75" customHeight="1">
      <c r="B433" s="826" t="s">
        <v>18</v>
      </c>
      <c r="C433" s="827">
        <v>20</v>
      </c>
      <c r="D433" s="827">
        <v>31</v>
      </c>
      <c r="E433" s="827">
        <v>44</v>
      </c>
      <c r="F433" s="827">
        <v>70</v>
      </c>
      <c r="G433" s="827">
        <v>72</v>
      </c>
      <c r="H433" s="827">
        <v>70</v>
      </c>
      <c r="I433" s="827">
        <v>67</v>
      </c>
      <c r="J433" s="827">
        <v>68</v>
      </c>
      <c r="K433" s="827">
        <v>66</v>
      </c>
      <c r="L433" s="827">
        <v>66</v>
      </c>
      <c r="M433" s="827">
        <v>60</v>
      </c>
      <c r="N433" s="827">
        <v>66</v>
      </c>
      <c r="O433" s="827">
        <v>59</v>
      </c>
      <c r="P433" s="827">
        <v>61</v>
      </c>
      <c r="Q433" s="827">
        <v>75</v>
      </c>
      <c r="R433" s="827">
        <v>82</v>
      </c>
      <c r="S433" s="827">
        <v>92</v>
      </c>
      <c r="T433" s="827">
        <v>105</v>
      </c>
      <c r="U433" s="827">
        <v>120</v>
      </c>
      <c r="V433" s="827">
        <v>142</v>
      </c>
      <c r="W433" s="827">
        <v>161</v>
      </c>
      <c r="X433" s="827">
        <v>180</v>
      </c>
      <c r="Y433" s="827">
        <v>248</v>
      </c>
      <c r="Z433" s="827">
        <v>299</v>
      </c>
      <c r="AA433" s="827">
        <v>370</v>
      </c>
      <c r="AB433" s="827">
        <v>467</v>
      </c>
      <c r="AC433" s="828">
        <v>599</v>
      </c>
      <c r="AD433" s="828">
        <v>768</v>
      </c>
      <c r="AE433" s="828">
        <v>1089</v>
      </c>
      <c r="AF433" s="828">
        <v>1249</v>
      </c>
      <c r="AG433" s="828">
        <v>1366</v>
      </c>
      <c r="AH433" s="828">
        <v>1442</v>
      </c>
      <c r="AI433" s="828">
        <v>1520</v>
      </c>
      <c r="AJ433" s="828">
        <v>1633</v>
      </c>
      <c r="AK433" s="828">
        <v>1738</v>
      </c>
      <c r="AL433" s="828">
        <v>1789</v>
      </c>
      <c r="AM433" s="828">
        <v>1827</v>
      </c>
      <c r="AN433" s="828">
        <v>1857</v>
      </c>
      <c r="AO433" s="828">
        <v>1959</v>
      </c>
      <c r="AP433" s="828">
        <v>2028</v>
      </c>
    </row>
    <row r="434" hidden="1" ht="12.75" customHeight="1">
      <c r="B434" s="829" t="s">
        <v>19</v>
      </c>
      <c r="C434" s="823">
        <v>0</v>
      </c>
      <c r="D434" s="823">
        <v>0</v>
      </c>
      <c r="E434" s="823">
        <v>0</v>
      </c>
      <c r="F434" s="823">
        <v>1</v>
      </c>
      <c r="G434" s="823">
        <v>1</v>
      </c>
      <c r="H434" s="823">
        <v>1</v>
      </c>
      <c r="I434" s="823">
        <v>1</v>
      </c>
      <c r="J434" s="823">
        <v>1</v>
      </c>
      <c r="K434" s="823">
        <v>1</v>
      </c>
      <c r="L434" s="823">
        <v>1</v>
      </c>
      <c r="M434" s="823">
        <v>1</v>
      </c>
      <c r="N434" s="823">
        <v>1</v>
      </c>
      <c r="O434" s="823">
        <v>1</v>
      </c>
      <c r="P434" s="823">
        <v>1</v>
      </c>
      <c r="Q434" s="823">
        <v>2</v>
      </c>
      <c r="R434" s="823">
        <v>2</v>
      </c>
      <c r="S434" s="823">
        <v>2</v>
      </c>
      <c r="T434" s="823">
        <v>2</v>
      </c>
      <c r="U434" s="823">
        <v>1</v>
      </c>
      <c r="V434" s="823">
        <v>2</v>
      </c>
      <c r="W434" s="823">
        <v>3</v>
      </c>
      <c r="X434" s="823">
        <v>3</v>
      </c>
      <c r="Y434" s="823">
        <v>5</v>
      </c>
      <c r="Z434" s="823">
        <v>5</v>
      </c>
      <c r="AA434" s="823">
        <v>3</v>
      </c>
      <c r="AB434" s="823">
        <v>5</v>
      </c>
      <c r="AC434" s="825">
        <v>4</v>
      </c>
      <c r="AD434" s="825">
        <v>5</v>
      </c>
      <c r="AE434" s="825">
        <v>5</v>
      </c>
      <c r="AF434" s="825">
        <v>5</v>
      </c>
      <c r="AG434" s="825">
        <v>3</v>
      </c>
      <c r="AH434" s="825">
        <v>7</v>
      </c>
      <c r="AI434" s="825">
        <v>6</v>
      </c>
      <c r="AJ434" s="825">
        <v>5</v>
      </c>
      <c r="AK434" s="825">
        <v>5</v>
      </c>
      <c r="AL434" s="825">
        <v>5</v>
      </c>
      <c r="AM434" s="825">
        <v>5</v>
      </c>
      <c r="AN434" s="825">
        <v>4</v>
      </c>
      <c r="AO434" s="825">
        <v>3</v>
      </c>
      <c r="AP434" s="825">
        <v>4</v>
      </c>
    </row>
    <row r="435" hidden="1" ht="12.75" customHeight="1">
      <c r="B435" s="826" t="s">
        <v>20</v>
      </c>
      <c r="C435" s="827">
        <v>5</v>
      </c>
      <c r="D435" s="827">
        <v>4</v>
      </c>
      <c r="E435" s="827">
        <v>2</v>
      </c>
      <c r="F435" s="827">
        <v>3</v>
      </c>
      <c r="G435" s="827">
        <v>3</v>
      </c>
      <c r="H435" s="827">
        <v>3</v>
      </c>
      <c r="I435" s="827">
        <v>3</v>
      </c>
      <c r="J435" s="827">
        <v>2</v>
      </c>
      <c r="K435" s="827">
        <v>1</v>
      </c>
      <c r="L435" s="827">
        <v>1</v>
      </c>
      <c r="M435" s="827">
        <v>2</v>
      </c>
      <c r="N435" s="827">
        <v>1</v>
      </c>
      <c r="O435" s="827">
        <v>0</v>
      </c>
      <c r="P435" s="827">
        <v>0</v>
      </c>
      <c r="Q435" s="827">
        <v>1</v>
      </c>
      <c r="R435" s="827">
        <v>1</v>
      </c>
      <c r="S435" s="827">
        <v>1</v>
      </c>
      <c r="T435" s="827">
        <v>1</v>
      </c>
      <c r="U435" s="827">
        <v>1</v>
      </c>
      <c r="V435" s="827">
        <v>2</v>
      </c>
      <c r="W435" s="827">
        <v>2</v>
      </c>
      <c r="X435" s="827">
        <v>2</v>
      </c>
      <c r="Y435" s="827">
        <v>2</v>
      </c>
      <c r="Z435" s="827">
        <v>2</v>
      </c>
      <c r="AA435" s="827">
        <v>2</v>
      </c>
      <c r="AB435" s="827">
        <v>2</v>
      </c>
      <c r="AC435" s="828">
        <v>2</v>
      </c>
      <c r="AD435" s="828">
        <v>3</v>
      </c>
      <c r="AE435" s="828">
        <v>11</v>
      </c>
      <c r="AF435" s="828">
        <v>8</v>
      </c>
      <c r="AG435" s="828">
        <v>17</v>
      </c>
      <c r="AH435" s="828">
        <v>10</v>
      </c>
      <c r="AI435" s="828">
        <v>10</v>
      </c>
      <c r="AJ435" s="828">
        <v>24</v>
      </c>
      <c r="AK435" s="828">
        <v>1</v>
      </c>
      <c r="AL435" s="828">
        <v>1</v>
      </c>
      <c r="AM435" s="828">
        <v>0</v>
      </c>
      <c r="AN435" s="828">
        <v>0</v>
      </c>
      <c r="AO435" s="828">
        <v>0</v>
      </c>
      <c r="AP435" s="828">
        <v>0</v>
      </c>
    </row>
    <row r="436" hidden="1" ht="12.75" customHeight="1">
      <c r="B436" s="829" t="s">
        <v>21</v>
      </c>
      <c r="C436" s="823">
        <v>3</v>
      </c>
      <c r="D436" s="823">
        <v>3</v>
      </c>
      <c r="E436" s="823">
        <v>3</v>
      </c>
      <c r="F436" s="823">
        <v>3</v>
      </c>
      <c r="G436" s="823">
        <v>3</v>
      </c>
      <c r="H436" s="823">
        <v>2</v>
      </c>
      <c r="I436" s="823">
        <v>1</v>
      </c>
      <c r="J436" s="823">
        <v>1</v>
      </c>
      <c r="K436" s="823">
        <v>1</v>
      </c>
      <c r="L436" s="823">
        <v>1</v>
      </c>
      <c r="M436" s="823">
        <v>0</v>
      </c>
      <c r="N436" s="823">
        <v>0</v>
      </c>
      <c r="O436" s="823">
        <v>1</v>
      </c>
      <c r="P436" s="823">
        <v>2</v>
      </c>
      <c r="Q436" s="823">
        <v>5</v>
      </c>
      <c r="R436" s="823">
        <v>7</v>
      </c>
      <c r="S436" s="823">
        <v>8</v>
      </c>
      <c r="T436" s="823">
        <v>7</v>
      </c>
      <c r="U436" s="823">
        <v>6</v>
      </c>
      <c r="V436" s="823">
        <v>7</v>
      </c>
      <c r="W436" s="823">
        <v>7</v>
      </c>
      <c r="X436" s="823">
        <v>7</v>
      </c>
      <c r="Y436" s="823">
        <v>7</v>
      </c>
      <c r="Z436" s="823">
        <v>8</v>
      </c>
      <c r="AA436" s="823">
        <v>8</v>
      </c>
      <c r="AB436" s="823">
        <v>6</v>
      </c>
      <c r="AC436" s="825">
        <v>6</v>
      </c>
      <c r="AD436" s="825">
        <v>5</v>
      </c>
      <c r="AE436" s="825">
        <v>9</v>
      </c>
      <c r="AF436" s="825">
        <v>5</v>
      </c>
      <c r="AG436" s="825">
        <v>8</v>
      </c>
      <c r="AH436" s="825">
        <v>10</v>
      </c>
      <c r="AI436" s="825">
        <v>86</v>
      </c>
      <c r="AJ436" s="825">
        <v>92</v>
      </c>
      <c r="AK436" s="825">
        <v>89</v>
      </c>
      <c r="AL436" s="825">
        <v>100</v>
      </c>
      <c r="AM436" s="825">
        <v>179</v>
      </c>
      <c r="AN436" s="825">
        <v>182</v>
      </c>
      <c r="AO436" s="825">
        <v>186</v>
      </c>
      <c r="AP436" s="825">
        <v>229</v>
      </c>
    </row>
    <row r="437" hidden="1" ht="12.75" customHeight="1">
      <c r="B437" s="826" t="s">
        <v>22</v>
      </c>
      <c r="C437" s="827">
        <v>121</v>
      </c>
      <c r="D437" s="827">
        <v>118</v>
      </c>
      <c r="E437" s="827">
        <v>97</v>
      </c>
      <c r="F437" s="827">
        <v>87</v>
      </c>
      <c r="G437" s="827">
        <v>65</v>
      </c>
      <c r="H437" s="827">
        <v>61</v>
      </c>
      <c r="I437" s="827">
        <v>53</v>
      </c>
      <c r="J437" s="827">
        <v>52</v>
      </c>
      <c r="K437" s="827">
        <v>44</v>
      </c>
      <c r="L437" s="827">
        <v>43</v>
      </c>
      <c r="M437" s="827">
        <v>39</v>
      </c>
      <c r="N437" s="827">
        <v>36</v>
      </c>
      <c r="O437" s="827">
        <v>37</v>
      </c>
      <c r="P437" s="827">
        <v>27</v>
      </c>
      <c r="Q437" s="827">
        <v>17</v>
      </c>
      <c r="R437" s="827">
        <v>18</v>
      </c>
      <c r="S437" s="827">
        <v>16</v>
      </c>
      <c r="T437" s="827">
        <v>15</v>
      </c>
      <c r="U437" s="827">
        <v>11</v>
      </c>
      <c r="V437" s="827">
        <v>10</v>
      </c>
      <c r="W437" s="827">
        <v>10</v>
      </c>
      <c r="X437" s="827">
        <v>6</v>
      </c>
      <c r="Y437" s="827">
        <v>9</v>
      </c>
      <c r="Z437" s="827">
        <v>10</v>
      </c>
      <c r="AA437" s="827">
        <v>10</v>
      </c>
      <c r="AB437" s="827">
        <v>10</v>
      </c>
      <c r="AC437" s="828">
        <v>8</v>
      </c>
      <c r="AD437" s="828">
        <v>8</v>
      </c>
      <c r="AE437" s="828">
        <v>63</v>
      </c>
      <c r="AF437" s="828">
        <v>62</v>
      </c>
      <c r="AG437" s="828">
        <v>81</v>
      </c>
      <c r="AH437" s="828">
        <v>94</v>
      </c>
      <c r="AI437" s="828">
        <v>98</v>
      </c>
      <c r="AJ437" s="828">
        <v>98</v>
      </c>
      <c r="AK437" s="828">
        <v>14</v>
      </c>
      <c r="AL437" s="828">
        <v>11</v>
      </c>
      <c r="AM437" s="828">
        <v>13</v>
      </c>
      <c r="AN437" s="828">
        <v>17</v>
      </c>
      <c r="AO437" s="828">
        <v>21</v>
      </c>
      <c r="AP437" s="828">
        <v>23</v>
      </c>
    </row>
    <row r="438" hidden="1" ht="12.75" customHeight="1">
      <c r="B438" s="829" t="s">
        <v>23</v>
      </c>
      <c r="C438" s="823">
        <v>0</v>
      </c>
      <c r="D438" s="823">
        <v>1</v>
      </c>
      <c r="E438" s="823">
        <v>1</v>
      </c>
      <c r="F438" s="823">
        <v>1</v>
      </c>
      <c r="G438" s="823">
        <v>2</v>
      </c>
      <c r="H438" s="823">
        <v>2</v>
      </c>
      <c r="I438" s="823">
        <v>1</v>
      </c>
      <c r="J438" s="823">
        <v>1</v>
      </c>
      <c r="K438" s="823">
        <v>1</v>
      </c>
      <c r="L438" s="823">
        <v>1</v>
      </c>
      <c r="M438" s="823">
        <v>1</v>
      </c>
      <c r="N438" s="823">
        <v>0</v>
      </c>
      <c r="O438" s="823">
        <v>2</v>
      </c>
      <c r="P438" s="823">
        <v>0</v>
      </c>
      <c r="Q438" s="823">
        <v>0</v>
      </c>
      <c r="R438" s="823">
        <v>0</v>
      </c>
      <c r="S438" s="823">
        <v>0</v>
      </c>
      <c r="T438" s="823">
        <v>0</v>
      </c>
      <c r="U438" s="823">
        <v>0</v>
      </c>
      <c r="V438" s="823">
        <v>0</v>
      </c>
      <c r="W438" s="823">
        <v>0</v>
      </c>
      <c r="X438" s="823">
        <v>0</v>
      </c>
      <c r="Y438" s="823">
        <v>0</v>
      </c>
      <c r="Z438" s="823">
        <v>0</v>
      </c>
      <c r="AA438" s="823">
        <v>0</v>
      </c>
      <c r="AB438" s="823">
        <v>0</v>
      </c>
      <c r="AC438" s="825">
        <v>0</v>
      </c>
      <c r="AD438" s="825">
        <v>0</v>
      </c>
      <c r="AE438" s="825">
        <v>0</v>
      </c>
      <c r="AF438" s="825">
        <v>0</v>
      </c>
      <c r="AG438" s="825">
        <v>1</v>
      </c>
      <c r="AH438" s="825">
        <v>1</v>
      </c>
      <c r="AI438" s="825">
        <v>1</v>
      </c>
      <c r="AJ438" s="825">
        <v>1</v>
      </c>
      <c r="AK438" s="825">
        <v>2</v>
      </c>
      <c r="AL438" s="825">
        <v>2</v>
      </c>
      <c r="AM438" s="825">
        <v>3</v>
      </c>
      <c r="AN438" s="825">
        <v>0</v>
      </c>
      <c r="AO438" s="825">
        <v>3</v>
      </c>
      <c r="AP438" s="825">
        <v>1</v>
      </c>
    </row>
    <row r="439" hidden="1" ht="12.75" customHeight="1">
      <c r="B439" s="835" t="s">
        <v>24</v>
      </c>
      <c r="C439" s="827">
        <v>17</v>
      </c>
      <c r="D439" s="827">
        <v>18</v>
      </c>
      <c r="E439" s="827">
        <v>17</v>
      </c>
      <c r="F439" s="827">
        <v>15</v>
      </c>
      <c r="G439" s="827">
        <v>11</v>
      </c>
      <c r="H439" s="827">
        <v>7</v>
      </c>
      <c r="I439" s="827">
        <v>4</v>
      </c>
      <c r="J439" s="827">
        <v>4</v>
      </c>
      <c r="K439" s="827">
        <v>4</v>
      </c>
      <c r="L439" s="827">
        <v>3</v>
      </c>
      <c r="M439" s="827">
        <v>3</v>
      </c>
      <c r="N439" s="827">
        <v>4</v>
      </c>
      <c r="O439" s="827">
        <v>4</v>
      </c>
      <c r="P439" s="827">
        <v>3</v>
      </c>
      <c r="Q439" s="827">
        <v>2</v>
      </c>
      <c r="R439" s="827">
        <v>3</v>
      </c>
      <c r="S439" s="827">
        <v>4</v>
      </c>
      <c r="T439" s="827">
        <v>4</v>
      </c>
      <c r="U439" s="827">
        <v>4</v>
      </c>
      <c r="V439" s="827">
        <v>4</v>
      </c>
      <c r="W439" s="827">
        <v>4</v>
      </c>
      <c r="X439" s="827">
        <v>4</v>
      </c>
      <c r="Y439" s="827">
        <v>4</v>
      </c>
      <c r="Z439" s="827">
        <v>4</v>
      </c>
      <c r="AA439" s="827">
        <v>5</v>
      </c>
      <c r="AB439" s="827">
        <v>5</v>
      </c>
      <c r="AC439" s="828">
        <v>6</v>
      </c>
      <c r="AD439" s="828">
        <v>5</v>
      </c>
      <c r="AE439" s="828">
        <v>19</v>
      </c>
      <c r="AF439" s="828">
        <v>19</v>
      </c>
      <c r="AG439" s="828">
        <v>15</v>
      </c>
      <c r="AH439" s="828">
        <v>21</v>
      </c>
      <c r="AI439" s="828">
        <v>24</v>
      </c>
      <c r="AJ439" s="828">
        <v>23</v>
      </c>
      <c r="AK439" s="828">
        <v>5</v>
      </c>
      <c r="AL439" s="828">
        <v>4</v>
      </c>
      <c r="AM439" s="828">
        <v>2</v>
      </c>
      <c r="AN439" s="828">
        <v>2</v>
      </c>
      <c r="AO439" s="828">
        <v>2</v>
      </c>
      <c r="AP439" s="828">
        <v>3</v>
      </c>
    </row>
    <row r="440" hidden="1" ht="12.75" customHeight="1">
      <c r="B440" s="829" t="s">
        <v>25</v>
      </c>
      <c r="C440" s="823">
        <v>0</v>
      </c>
      <c r="D440" s="823">
        <v>0</v>
      </c>
      <c r="E440" s="823">
        <v>0</v>
      </c>
      <c r="F440" s="823">
        <v>0</v>
      </c>
      <c r="G440" s="823">
        <v>0</v>
      </c>
      <c r="H440" s="823">
        <v>0</v>
      </c>
      <c r="I440" s="823">
        <v>0</v>
      </c>
      <c r="J440" s="823">
        <v>0</v>
      </c>
      <c r="K440" s="823">
        <v>0</v>
      </c>
      <c r="L440" s="823">
        <v>0</v>
      </c>
      <c r="M440" s="823">
        <v>0</v>
      </c>
      <c r="N440" s="823">
        <v>0</v>
      </c>
      <c r="O440" s="823">
        <v>0</v>
      </c>
      <c r="P440" s="823">
        <v>0</v>
      </c>
      <c r="Q440" s="823">
        <v>0</v>
      </c>
      <c r="R440" s="823">
        <v>0</v>
      </c>
      <c r="S440" s="823">
        <v>0</v>
      </c>
      <c r="T440" s="823">
        <v>0</v>
      </c>
      <c r="U440" s="823">
        <v>0</v>
      </c>
      <c r="V440" s="823">
        <v>0</v>
      </c>
      <c r="W440" s="823">
        <v>0</v>
      </c>
      <c r="X440" s="823">
        <v>0</v>
      </c>
      <c r="Y440" s="823">
        <v>0</v>
      </c>
      <c r="Z440" s="823">
        <v>0</v>
      </c>
      <c r="AA440" s="823">
        <v>0</v>
      </c>
      <c r="AB440" s="823">
        <v>0</v>
      </c>
      <c r="AC440" s="825">
        <v>0</v>
      </c>
      <c r="AD440" s="825">
        <v>0</v>
      </c>
      <c r="AE440" s="825">
        <v>0</v>
      </c>
      <c r="AF440" s="825">
        <v>0</v>
      </c>
      <c r="AG440" s="825">
        <v>0</v>
      </c>
      <c r="AH440" s="825">
        <v>0</v>
      </c>
      <c r="AI440" s="825">
        <v>0</v>
      </c>
      <c r="AJ440" s="825">
        <v>0</v>
      </c>
      <c r="AK440" s="825">
        <v>0</v>
      </c>
      <c r="AL440" s="825">
        <v>0</v>
      </c>
      <c r="AM440" s="825">
        <v>0</v>
      </c>
      <c r="AN440" s="825">
        <v>0</v>
      </c>
      <c r="AO440" s="825">
        <v>0</v>
      </c>
      <c r="AP440" s="825">
        <v>0</v>
      </c>
    </row>
    <row r="441" hidden="1" ht="13.5" customHeight="1">
      <c r="B441" s="836" t="s">
        <v>26</v>
      </c>
      <c r="C441" s="827">
        <v>0</v>
      </c>
      <c r="D441" s="827">
        <v>0</v>
      </c>
      <c r="E441" s="827">
        <v>0</v>
      </c>
      <c r="F441" s="827">
        <v>0</v>
      </c>
      <c r="G441" s="827">
        <v>0</v>
      </c>
      <c r="H441" s="827">
        <v>0</v>
      </c>
      <c r="I441" s="827">
        <v>0</v>
      </c>
      <c r="J441" s="827">
        <v>0</v>
      </c>
      <c r="K441" s="827">
        <v>0</v>
      </c>
      <c r="L441" s="827">
        <v>0</v>
      </c>
      <c r="M441" s="827">
        <v>0</v>
      </c>
      <c r="N441" s="827">
        <v>0</v>
      </c>
      <c r="O441" s="827">
        <v>0</v>
      </c>
      <c r="P441" s="827">
        <v>0</v>
      </c>
      <c r="Q441" s="827">
        <v>0</v>
      </c>
      <c r="R441" s="827">
        <v>0</v>
      </c>
      <c r="S441" s="827">
        <v>0</v>
      </c>
      <c r="T441" s="827">
        <v>0</v>
      </c>
      <c r="U441" s="827">
        <v>0</v>
      </c>
      <c r="V441" s="827">
        <v>0</v>
      </c>
      <c r="W441" s="827">
        <v>0</v>
      </c>
      <c r="X441" s="827">
        <v>0</v>
      </c>
      <c r="Y441" s="827">
        <v>0</v>
      </c>
      <c r="Z441" s="827">
        <v>0</v>
      </c>
      <c r="AA441" s="827">
        <v>0</v>
      </c>
      <c r="AB441" s="837">
        <v>0</v>
      </c>
      <c r="AC441" s="828">
        <v>0</v>
      </c>
      <c r="AD441" s="828">
        <v>0</v>
      </c>
      <c r="AE441" s="828">
        <v>0</v>
      </c>
      <c r="AF441" s="828">
        <v>0</v>
      </c>
      <c r="AG441" s="828">
        <v>0</v>
      </c>
      <c r="AH441" s="828">
        <v>0</v>
      </c>
      <c r="AI441" s="828">
        <v>0</v>
      </c>
      <c r="AJ441" s="828">
        <v>0</v>
      </c>
      <c r="AK441" s="828">
        <v>0</v>
      </c>
      <c r="AL441" s="828">
        <v>0</v>
      </c>
      <c r="AM441" s="828">
        <v>0</v>
      </c>
      <c r="AN441" s="828">
        <v>0</v>
      </c>
      <c r="AO441" s="828">
        <v>0</v>
      </c>
      <c r="AP441" s="828">
        <v>0</v>
      </c>
    </row>
    <row r="442" hidden="1" ht="13.5" customHeight="1">
      <c r="B442" s="128" t="s">
        <v>7</v>
      </c>
      <c r="C442" s="129" t="str">
        <f>IF(SUM(C423:C441)&lt;&gt;0,SUM(C423:C441),"")</f>
      </c>
      <c r="D442" s="129" t="str">
        <f ref="D442:AA442" t="shared" si="47" ca="1">IF(SUM(D423:D441)&lt;&gt;0,SUM(D423:D441),"")</f>
      </c>
      <c r="E442" s="129" t="str">
        <f t="shared" si="47" ca="1"/>
      </c>
      <c r="F442" s="129" t="str">
        <f t="shared" si="47" ca="1"/>
      </c>
      <c r="G442" s="129" t="str">
        <f t="shared" si="47" ca="1"/>
      </c>
      <c r="H442" s="129" t="str">
        <f t="shared" si="47" ca="1"/>
      </c>
      <c r="I442" s="129" t="str">
        <f t="shared" si="47" ca="1"/>
      </c>
      <c r="J442" s="129" t="str">
        <f t="shared" si="47" ca="1"/>
      </c>
      <c r="K442" s="129" t="str">
        <f t="shared" si="47" ca="1"/>
      </c>
      <c r="L442" s="129" t="str">
        <f t="shared" si="47" ca="1"/>
      </c>
      <c r="M442" s="129" t="str">
        <f t="shared" si="47" ca="1"/>
      </c>
      <c r="N442" s="129" t="str">
        <f t="shared" si="47" ca="1"/>
      </c>
      <c r="O442" s="129" t="str">
        <f t="shared" si="47" ca="1"/>
      </c>
      <c r="P442" s="129" t="str">
        <f t="shared" si="47" ca="1"/>
      </c>
      <c r="Q442" s="129" t="str">
        <f t="shared" si="47" ca="1"/>
      </c>
      <c r="R442" s="129" t="str">
        <f t="shared" si="47" ca="1"/>
      </c>
      <c r="S442" s="129" t="str">
        <f t="shared" si="47" ca="1"/>
      </c>
      <c r="T442" s="129" t="str">
        <f t="shared" si="47" ca="1"/>
      </c>
      <c r="U442" s="129" t="str">
        <f t="shared" si="47" ca="1"/>
      </c>
      <c r="V442" s="129" t="str">
        <f t="shared" si="47" ca="1"/>
      </c>
      <c r="W442" s="129" t="str">
        <f t="shared" si="47" ca="1"/>
      </c>
      <c r="X442" s="129" t="str">
        <f t="shared" si="47" ca="1"/>
      </c>
      <c r="Y442" s="129" t="str">
        <f t="shared" si="47" ca="1"/>
      </c>
      <c r="Z442" s="129" t="str">
        <f t="shared" si="47" ca="1"/>
      </c>
      <c r="AA442" s="129" t="str">
        <f t="shared" si="47" ca="1"/>
      </c>
      <c r="AB442" s="130" t="str">
        <f>IF(SUM(AB423:AB441)&lt;&gt;0,SUM(AB423:AB441),"")</f>
      </c>
      <c r="AC442" s="91" t="str">
        <f ref="AC442:CN442" t="shared" si="48" ca="1">IF(SUM(AC423:AC441)&lt;&gt;0,SUM(AC423:AC441),"")</f>
      </c>
      <c r="AD442" s="91" t="str">
        <f t="shared" si="48" ca="1"/>
      </c>
      <c r="AE442" s="91" t="str">
        <f t="shared" si="48" ca="1"/>
      </c>
      <c r="AF442" s="91" t="str">
        <f t="shared" si="48" ca="1"/>
      </c>
      <c r="AG442" s="91" t="str">
        <f t="shared" si="48" ca="1"/>
      </c>
      <c r="AH442" s="91" t="str">
        <f t="shared" si="48" ca="1"/>
      </c>
      <c r="AI442" s="91" t="str">
        <f t="shared" si="48" ca="1"/>
      </c>
      <c r="AJ442" s="91" t="str">
        <f t="shared" si="48" ca="1"/>
      </c>
      <c r="AK442" s="91" t="str">
        <f t="shared" si="48" ca="1"/>
      </c>
      <c r="AL442" s="91" t="str">
        <f t="shared" si="48" ca="1"/>
      </c>
      <c r="AM442" s="91" t="str">
        <f t="shared" si="48" ca="1"/>
      </c>
      <c r="AN442" s="91" t="str">
        <f t="shared" si="48" ca="1"/>
      </c>
      <c r="AO442" s="91" t="str">
        <f t="shared" si="48" ca="1"/>
      </c>
      <c r="AP442" s="91" t="str">
        <f t="shared" si="48" ca="1"/>
      </c>
      <c r="AQ442" s="91" t="str">
        <f t="shared" si="48" ca="1"/>
      </c>
      <c r="AR442" s="91" t="str">
        <f t="shared" si="48" ca="1"/>
      </c>
      <c r="AS442" s="91" t="str">
        <f t="shared" si="48" ca="1"/>
      </c>
      <c r="AT442" s="91" t="str">
        <f t="shared" si="48" ca="1"/>
      </c>
      <c r="AU442" s="91" t="str">
        <f t="shared" si="48" ca="1"/>
      </c>
      <c r="AV442" s="91" t="str">
        <f t="shared" si="48" ca="1"/>
      </c>
      <c r="AW442" s="91" t="str">
        <f t="shared" si="48" ca="1"/>
      </c>
      <c r="AX442" s="91" t="str">
        <f t="shared" si="48" ca="1"/>
      </c>
      <c r="AY442" s="91" t="str">
        <f t="shared" si="48" ca="1"/>
      </c>
      <c r="AZ442" s="91" t="str">
        <f t="shared" si="48" ca="1"/>
      </c>
      <c r="BA442" s="91" t="str">
        <f t="shared" si="48" ca="1"/>
      </c>
      <c r="BB442" s="91" t="str">
        <f t="shared" si="48" ca="1"/>
      </c>
      <c r="BC442" s="91" t="str">
        <f t="shared" si="48" ca="1"/>
      </c>
      <c r="BD442" s="91" t="str">
        <f t="shared" si="48" ca="1"/>
      </c>
      <c r="BE442" s="91" t="str">
        <f t="shared" si="48" ca="1"/>
      </c>
      <c r="BF442" s="91" t="str">
        <f t="shared" si="48" ca="1"/>
      </c>
      <c r="BG442" s="91" t="str">
        <f t="shared" si="48" ca="1"/>
      </c>
      <c r="BH442" s="91" t="str">
        <f t="shared" si="48" ca="1"/>
      </c>
      <c r="BI442" s="91" t="str">
        <f t="shared" si="48" ca="1"/>
      </c>
      <c r="BJ442" s="91" t="str">
        <f t="shared" si="48" ca="1"/>
      </c>
      <c r="BK442" s="91" t="str">
        <f t="shared" si="48" ca="1"/>
      </c>
      <c r="BL442" s="91" t="str">
        <f t="shared" si="48" ca="1"/>
      </c>
      <c r="BM442" s="91" t="str">
        <f t="shared" si="48" ca="1"/>
      </c>
      <c r="BN442" s="91" t="str">
        <f t="shared" si="48" ca="1"/>
      </c>
      <c r="BO442" s="91" t="str">
        <f t="shared" si="48" ca="1"/>
      </c>
      <c r="BP442" s="91" t="str">
        <f t="shared" si="48" ca="1"/>
      </c>
      <c r="BQ442" s="91" t="str">
        <f t="shared" si="48" ca="1"/>
      </c>
      <c r="BR442" s="91" t="str">
        <f t="shared" si="48" ca="1"/>
      </c>
      <c r="BS442" s="91" t="str">
        <f t="shared" si="48" ca="1"/>
      </c>
      <c r="BT442" s="91" t="str">
        <f t="shared" si="48" ca="1"/>
      </c>
      <c r="BU442" s="91" t="str">
        <f t="shared" si="48" ca="1"/>
      </c>
      <c r="BV442" s="91" t="str">
        <f t="shared" si="48" ca="1"/>
      </c>
      <c r="BW442" s="91" t="str">
        <f t="shared" si="48" ca="1"/>
      </c>
      <c r="BX442" s="91" t="str">
        <f t="shared" si="48" ca="1"/>
      </c>
      <c r="BY442" s="91" t="str">
        <f t="shared" si="48" ca="1"/>
      </c>
      <c r="BZ442" s="91" t="str">
        <f t="shared" si="48" ca="1"/>
      </c>
      <c r="CA442" s="91" t="str">
        <f t="shared" si="48" ca="1"/>
      </c>
      <c r="CB442" s="91" t="str">
        <f t="shared" si="48" ca="1"/>
      </c>
      <c r="CC442" s="91" t="str">
        <f t="shared" si="48" ca="1"/>
      </c>
      <c r="CD442" s="91" t="str">
        <f t="shared" si="48" ca="1"/>
      </c>
      <c r="CE442" s="91" t="str">
        <f t="shared" si="48" ca="1"/>
      </c>
      <c r="CF442" s="91" t="str">
        <f t="shared" si="48" ca="1"/>
      </c>
      <c r="CG442" s="91" t="str">
        <f t="shared" si="48" ca="1"/>
      </c>
      <c r="CH442" s="91" t="str">
        <f t="shared" si="48" ca="1"/>
      </c>
      <c r="CI442" s="91" t="str">
        <f t="shared" si="48" ca="1"/>
      </c>
      <c r="CJ442" s="91" t="str">
        <f t="shared" si="48" ca="1"/>
      </c>
      <c r="CK442" s="91" t="str">
        <f t="shared" si="48" ca="1"/>
      </c>
      <c r="CL442" s="91" t="str">
        <f t="shared" si="48" ca="1"/>
      </c>
      <c r="CM442" s="91" t="str">
        <f t="shared" si="48" ca="1"/>
      </c>
      <c r="CN442" s="91" t="str">
        <f t="shared" si="48" ca="1"/>
      </c>
      <c r="CO442" s="91" t="str">
        <f ref="CO442:EZ442" t="shared" si="49" ca="1">IF(SUM(CO423:CO441)&lt;&gt;0,SUM(CO423:CO441),"")</f>
      </c>
      <c r="CP442" s="91" t="str">
        <f t="shared" si="49" ca="1"/>
      </c>
      <c r="CQ442" s="91" t="str">
        <f t="shared" si="49" ca="1"/>
      </c>
      <c r="CR442" s="91" t="str">
        <f t="shared" si="49" ca="1"/>
      </c>
      <c r="CS442" s="91" t="str">
        <f t="shared" si="49" ca="1"/>
      </c>
      <c r="CT442" s="91" t="str">
        <f t="shared" si="49" ca="1"/>
      </c>
      <c r="CU442" s="91" t="str">
        <f t="shared" si="49" ca="1"/>
      </c>
      <c r="CV442" s="91" t="str">
        <f t="shared" si="49" ca="1"/>
      </c>
      <c r="CW442" s="91" t="str">
        <f t="shared" si="49" ca="1"/>
      </c>
      <c r="CX442" s="91" t="str">
        <f t="shared" si="49" ca="1"/>
      </c>
      <c r="CY442" s="91" t="str">
        <f t="shared" si="49" ca="1"/>
      </c>
      <c r="CZ442" s="91" t="str">
        <f t="shared" si="49" ca="1"/>
      </c>
      <c r="DA442" s="91" t="str">
        <f t="shared" si="49" ca="1"/>
      </c>
      <c r="DB442" s="91" t="str">
        <f t="shared" si="49" ca="1"/>
      </c>
      <c r="DC442" s="91" t="str">
        <f t="shared" si="49" ca="1"/>
      </c>
      <c r="DD442" s="91" t="str">
        <f t="shared" si="49" ca="1"/>
      </c>
      <c r="DE442" s="91" t="str">
        <f t="shared" si="49" ca="1"/>
      </c>
      <c r="DF442" s="91" t="str">
        <f t="shared" si="49" ca="1"/>
      </c>
      <c r="DG442" s="91" t="str">
        <f t="shared" si="49" ca="1"/>
      </c>
      <c r="DH442" s="91" t="str">
        <f t="shared" si="49" ca="1"/>
      </c>
      <c r="DI442" s="91" t="str">
        <f t="shared" si="49" ca="1"/>
      </c>
      <c r="DJ442" s="91" t="str">
        <f t="shared" si="49" ca="1"/>
      </c>
      <c r="DK442" s="91" t="str">
        <f t="shared" si="49" ca="1"/>
      </c>
      <c r="DL442" s="91" t="str">
        <f t="shared" si="49" ca="1"/>
      </c>
      <c r="DM442" s="91" t="str">
        <f t="shared" si="49" ca="1"/>
      </c>
      <c r="DN442" s="91" t="str">
        <f t="shared" si="49" ca="1"/>
      </c>
      <c r="DO442" s="91" t="str">
        <f t="shared" si="49" ca="1"/>
      </c>
      <c r="DP442" s="91" t="str">
        <f t="shared" si="49" ca="1"/>
      </c>
      <c r="DQ442" s="91" t="str">
        <f t="shared" si="49" ca="1"/>
      </c>
      <c r="DR442" s="91" t="str">
        <f t="shared" si="49" ca="1"/>
      </c>
      <c r="DS442" s="91" t="str">
        <f t="shared" si="49" ca="1"/>
      </c>
      <c r="DT442" s="91" t="str">
        <f t="shared" si="49" ca="1"/>
      </c>
      <c r="DU442" s="91" t="str">
        <f t="shared" si="49" ca="1"/>
      </c>
      <c r="DV442" s="91" t="str">
        <f t="shared" si="49" ca="1"/>
      </c>
      <c r="DW442" s="91" t="str">
        <f t="shared" si="49" ca="1"/>
      </c>
      <c r="DX442" s="91" t="str">
        <f t="shared" si="49" ca="1"/>
      </c>
      <c r="DY442" s="91" t="str">
        <f t="shared" si="49" ca="1"/>
      </c>
      <c r="DZ442" s="91" t="str">
        <f t="shared" si="49" ca="1"/>
      </c>
      <c r="EA442" s="91" t="str">
        <f t="shared" si="49" ca="1"/>
      </c>
      <c r="EB442" s="91" t="str">
        <f t="shared" si="49" ca="1"/>
      </c>
      <c r="EC442" s="91" t="str">
        <f t="shared" si="49" ca="1"/>
      </c>
      <c r="ED442" s="91" t="str">
        <f t="shared" si="49" ca="1"/>
      </c>
      <c r="EE442" s="91" t="str">
        <f t="shared" si="49" ca="1"/>
      </c>
      <c r="EF442" s="91" t="str">
        <f t="shared" si="49" ca="1"/>
      </c>
      <c r="EG442" s="91" t="str">
        <f t="shared" si="49" ca="1"/>
      </c>
      <c r="EH442" s="91" t="str">
        <f t="shared" si="49" ca="1"/>
      </c>
      <c r="EI442" s="91" t="str">
        <f t="shared" si="49" ca="1"/>
      </c>
      <c r="EJ442" s="91" t="str">
        <f t="shared" si="49" ca="1"/>
      </c>
      <c r="EK442" s="91" t="str">
        <f t="shared" si="49" ca="1"/>
      </c>
      <c r="EL442" s="91" t="str">
        <f t="shared" si="49" ca="1"/>
      </c>
      <c r="EM442" s="91" t="str">
        <f t="shared" si="49" ca="1"/>
      </c>
      <c r="EN442" s="91" t="str">
        <f t="shared" si="49" ca="1"/>
      </c>
      <c r="EO442" s="91" t="str">
        <f t="shared" si="49" ca="1"/>
      </c>
      <c r="EP442" s="91" t="str">
        <f t="shared" si="49" ca="1"/>
      </c>
      <c r="EQ442" s="91" t="str">
        <f t="shared" si="49" ca="1"/>
      </c>
      <c r="ER442" s="91" t="str">
        <f t="shared" si="49" ca="1"/>
      </c>
      <c r="ES442" s="91" t="str">
        <f t="shared" si="49" ca="1"/>
      </c>
      <c r="ET442" s="91" t="str">
        <f t="shared" si="49" ca="1"/>
      </c>
      <c r="EU442" s="91" t="str">
        <f t="shared" si="49" ca="1"/>
      </c>
      <c r="EV442" s="91" t="str">
        <f t="shared" si="49" ca="1"/>
      </c>
      <c r="EW442" s="91" t="str">
        <f t="shared" si="49" ca="1"/>
      </c>
      <c r="EX442" s="91" t="str">
        <f t="shared" si="49" ca="1"/>
      </c>
      <c r="EY442" s="91" t="str">
        <f t="shared" si="49" ca="1"/>
      </c>
      <c r="EZ442" s="91" t="str">
        <f t="shared" si="49" ca="1"/>
      </c>
      <c r="FA442" s="91" t="str">
        <f ref="FA442:HL442" t="shared" si="50" ca="1">IF(SUM(FA423:FA441)&lt;&gt;0,SUM(FA423:FA441),"")</f>
      </c>
      <c r="FB442" s="91" t="str">
        <f t="shared" si="50" ca="1"/>
      </c>
      <c r="FC442" s="91" t="str">
        <f t="shared" si="50" ca="1"/>
      </c>
      <c r="FD442" s="91" t="str">
        <f t="shared" si="50" ca="1"/>
      </c>
      <c r="FE442" s="91" t="str">
        <f t="shared" si="50" ca="1"/>
      </c>
      <c r="FF442" s="91" t="str">
        <f t="shared" si="50" ca="1"/>
      </c>
      <c r="FG442" s="91" t="str">
        <f t="shared" si="50" ca="1"/>
      </c>
      <c r="FH442" s="91" t="str">
        <f t="shared" si="50" ca="1"/>
      </c>
      <c r="FI442" s="91" t="str">
        <f t="shared" si="50" ca="1"/>
      </c>
      <c r="FJ442" s="91" t="str">
        <f t="shared" si="50" ca="1"/>
      </c>
      <c r="FK442" s="91" t="str">
        <f t="shared" si="50" ca="1"/>
      </c>
      <c r="FL442" s="91" t="str">
        <f t="shared" si="50" ca="1"/>
      </c>
      <c r="FM442" s="91" t="str">
        <f t="shared" si="50" ca="1"/>
      </c>
      <c r="FN442" s="91" t="str">
        <f t="shared" si="50" ca="1"/>
      </c>
      <c r="FO442" s="91" t="str">
        <f t="shared" si="50" ca="1"/>
      </c>
      <c r="FP442" s="91" t="str">
        <f t="shared" si="50" ca="1"/>
      </c>
      <c r="FQ442" s="91" t="str">
        <f t="shared" si="50" ca="1"/>
      </c>
      <c r="FR442" s="91" t="str">
        <f t="shared" si="50" ca="1"/>
      </c>
      <c r="FS442" s="91" t="str">
        <f t="shared" si="50" ca="1"/>
      </c>
      <c r="FT442" s="91" t="str">
        <f t="shared" si="50" ca="1"/>
      </c>
      <c r="FU442" s="91" t="str">
        <f t="shared" si="50" ca="1"/>
      </c>
      <c r="FV442" s="91" t="str">
        <f t="shared" si="50" ca="1"/>
      </c>
      <c r="FW442" s="91" t="str">
        <f t="shared" si="50" ca="1"/>
      </c>
      <c r="FX442" s="91" t="str">
        <f t="shared" si="50" ca="1"/>
      </c>
      <c r="FY442" s="91" t="str">
        <f t="shared" si="50" ca="1"/>
      </c>
      <c r="FZ442" s="91" t="str">
        <f t="shared" si="50" ca="1"/>
      </c>
      <c r="GA442" s="91" t="str">
        <f t="shared" si="50" ca="1"/>
      </c>
      <c r="GB442" s="91" t="str">
        <f t="shared" si="50" ca="1"/>
      </c>
      <c r="GC442" s="91" t="str">
        <f t="shared" si="50" ca="1"/>
      </c>
      <c r="GD442" s="91" t="str">
        <f t="shared" si="50" ca="1"/>
      </c>
      <c r="GE442" s="91" t="str">
        <f t="shared" si="50" ca="1"/>
      </c>
      <c r="GF442" s="91" t="str">
        <f t="shared" si="50" ca="1"/>
      </c>
      <c r="GG442" s="91" t="str">
        <f t="shared" si="50" ca="1"/>
      </c>
      <c r="GH442" s="91" t="str">
        <f t="shared" si="50" ca="1"/>
      </c>
      <c r="GI442" s="91" t="str">
        <f t="shared" si="50" ca="1"/>
      </c>
      <c r="GJ442" s="91" t="str">
        <f t="shared" si="50" ca="1"/>
      </c>
      <c r="GK442" s="91" t="str">
        <f t="shared" si="50" ca="1"/>
      </c>
      <c r="GL442" s="91" t="str">
        <f t="shared" si="50" ca="1"/>
      </c>
      <c r="GM442" s="91" t="str">
        <f t="shared" si="50" ca="1"/>
      </c>
      <c r="GN442" s="91" t="str">
        <f t="shared" si="50" ca="1"/>
      </c>
      <c r="GO442" s="91" t="str">
        <f t="shared" si="50" ca="1"/>
      </c>
      <c r="GP442" s="91" t="str">
        <f t="shared" si="50" ca="1"/>
      </c>
      <c r="GQ442" s="91" t="str">
        <f t="shared" si="50" ca="1"/>
      </c>
      <c r="GR442" s="91" t="str">
        <f t="shared" si="50" ca="1"/>
      </c>
      <c r="GS442" s="91" t="str">
        <f t="shared" si="50" ca="1"/>
      </c>
      <c r="GT442" s="91" t="str">
        <f t="shared" si="50" ca="1"/>
      </c>
      <c r="GU442" s="91" t="str">
        <f t="shared" si="50" ca="1"/>
      </c>
      <c r="GV442" s="91" t="str">
        <f t="shared" si="50" ca="1"/>
      </c>
      <c r="GW442" s="91" t="str">
        <f t="shared" si="50" ca="1"/>
      </c>
      <c r="GX442" s="91" t="str">
        <f t="shared" si="50" ca="1"/>
      </c>
      <c r="GY442" s="91" t="str">
        <f t="shared" si="50" ca="1"/>
      </c>
      <c r="GZ442" s="91" t="str">
        <f t="shared" si="50" ca="1"/>
      </c>
      <c r="HA442" s="91" t="str">
        <f t="shared" si="50" ca="1"/>
      </c>
      <c r="HB442" s="91" t="str">
        <f t="shared" si="50" ca="1"/>
      </c>
      <c r="HC442" s="91" t="str">
        <f t="shared" si="50" ca="1"/>
      </c>
      <c r="HD442" s="91" t="str">
        <f t="shared" si="50" ca="1"/>
      </c>
      <c r="HE442" s="91" t="str">
        <f t="shared" si="50" ca="1"/>
      </c>
      <c r="HF442" s="91" t="str">
        <f t="shared" si="50" ca="1"/>
      </c>
      <c r="HG442" s="91" t="str">
        <f t="shared" si="50" ca="1"/>
      </c>
      <c r="HH442" s="91" t="str">
        <f t="shared" si="50" ca="1"/>
      </c>
      <c r="HI442" s="91" t="str">
        <f t="shared" si="50" ca="1"/>
      </c>
      <c r="HJ442" s="91" t="str">
        <f t="shared" si="50" ca="1"/>
      </c>
      <c r="HK442" s="91" t="str">
        <f t="shared" si="50" ca="1"/>
      </c>
      <c r="HL442" s="91" t="str">
        <f t="shared" si="50" ca="1"/>
      </c>
      <c r="HM442" s="91" t="str">
        <f ref="HM442:IV442" t="shared" si="51" ca="1">IF(SUM(HM423:HM441)&lt;&gt;0,SUM(HM423:HM441),"")</f>
      </c>
      <c r="HN442" s="91" t="str">
        <f t="shared" si="51" ca="1"/>
      </c>
      <c r="HO442" s="91" t="str">
        <f t="shared" si="51" ca="1"/>
      </c>
      <c r="HP442" s="91" t="str">
        <f t="shared" si="51" ca="1"/>
      </c>
      <c r="HQ442" s="91" t="str">
        <f t="shared" si="51" ca="1"/>
      </c>
      <c r="HR442" s="91" t="str">
        <f t="shared" si="51" ca="1"/>
      </c>
      <c r="HS442" s="91" t="str">
        <f t="shared" si="51" ca="1"/>
      </c>
      <c r="HT442" s="91" t="str">
        <f t="shared" si="51" ca="1"/>
      </c>
      <c r="HU442" s="91" t="str">
        <f t="shared" si="51" ca="1"/>
      </c>
      <c r="HV442" s="91" t="str">
        <f t="shared" si="51" ca="1"/>
      </c>
      <c r="HW442" s="91" t="str">
        <f t="shared" si="51" ca="1"/>
      </c>
      <c r="HX442" s="91" t="str">
        <f t="shared" si="51" ca="1"/>
      </c>
      <c r="HY442" s="91" t="str">
        <f t="shared" si="51" ca="1"/>
      </c>
      <c r="HZ442" s="91" t="str">
        <f t="shared" si="51" ca="1"/>
      </c>
      <c r="IA442" s="91" t="str">
        <f t="shared" si="51" ca="1"/>
      </c>
      <c r="IB442" s="91" t="str">
        <f t="shared" si="51" ca="1"/>
      </c>
      <c r="IC442" s="91" t="str">
        <f t="shared" si="51" ca="1"/>
      </c>
      <c r="ID442" s="91" t="str">
        <f t="shared" si="51" ca="1"/>
      </c>
      <c r="IE442" s="91" t="str">
        <f t="shared" si="51" ca="1"/>
      </c>
      <c r="IF442" s="91" t="str">
        <f t="shared" si="51" ca="1"/>
      </c>
      <c r="IG442" s="91" t="str">
        <f t="shared" si="51" ca="1"/>
      </c>
      <c r="IH442" s="91" t="str">
        <f t="shared" si="51" ca="1"/>
      </c>
      <c r="II442" s="91" t="str">
        <f t="shared" si="51" ca="1"/>
      </c>
      <c r="IJ442" s="91" t="str">
        <f t="shared" si="51" ca="1"/>
      </c>
      <c r="IK442" s="91" t="str">
        <f t="shared" si="51" ca="1"/>
      </c>
      <c r="IL442" s="91" t="str">
        <f t="shared" si="51" ca="1"/>
      </c>
      <c r="IM442" s="91" t="str">
        <f t="shared" si="51" ca="1"/>
      </c>
      <c r="IN442" s="91" t="str">
        <f t="shared" si="51" ca="1"/>
      </c>
      <c r="IO442" s="91" t="str">
        <f t="shared" si="51" ca="1"/>
      </c>
      <c r="IP442" s="91" t="str">
        <f t="shared" si="51" ca="1"/>
      </c>
      <c r="IQ442" s="91" t="str">
        <f t="shared" si="51" ca="1"/>
      </c>
      <c r="IR442" s="91" t="str">
        <f t="shared" si="51" ca="1"/>
      </c>
      <c r="IS442" s="91" t="str">
        <f t="shared" si="51" ca="1"/>
      </c>
      <c r="IT442" s="91" t="str">
        <f t="shared" si="51" ca="1"/>
      </c>
      <c r="IU442" s="91" t="str">
        <f t="shared" si="51" ca="1"/>
      </c>
      <c r="IV442" s="91" t="str">
        <f t="shared" si="51" ca="1"/>
      </c>
    </row>
    <row r="443" hidden="1" ht="12.75" customHeight="1"/>
    <row r="444" hidden="1" ht="12.75" customHeight="1"/>
    <row r="445" hidden="1" ht="13.5" customHeight="1"/>
    <row r="446" hidden="1" ht="13.5" customHeight="1">
      <c r="B446" s="198"/>
      <c r="C446" s="617" t="s">
        <v>315</v>
      </c>
      <c r="D446" s="618"/>
      <c r="E446" s="618"/>
      <c r="F446" s="618"/>
      <c r="G446" s="618"/>
      <c r="H446" s="618"/>
      <c r="I446" s="618"/>
      <c r="J446" s="618"/>
      <c r="K446" s="618"/>
      <c r="L446" s="618"/>
      <c r="M446" s="618"/>
      <c r="N446" s="618"/>
      <c r="O446" s="618"/>
      <c r="P446" s="618"/>
      <c r="Q446" s="618"/>
      <c r="R446" s="618"/>
      <c r="S446" s="618"/>
      <c r="T446" s="618"/>
      <c r="U446" s="618"/>
      <c r="V446" s="618"/>
      <c r="W446" s="618"/>
      <c r="X446" s="618"/>
      <c r="Y446" s="618"/>
      <c r="Z446" s="618"/>
      <c r="AA446" s="618"/>
      <c r="AB446" s="620"/>
    </row>
    <row r="447" hidden="1" ht="13.5" customHeight="1">
      <c r="C447" s="435" t="str">
        <f> IF(C467&lt;&gt;"",TEXT(AUX!G$1,"dd-MMM-aa"),"")</f>
      </c>
      <c r="D447" s="435" t="str">
        <f> IF(D467&lt;&gt;"",TEXT(AUX!H$1,"dd-MMM-aa"),"")</f>
      </c>
      <c r="E447" s="435" t="str">
        <f> IF(E467&lt;&gt;"",TEXT(AUX!I$1,"dd-MMM-aa"),"")</f>
      </c>
      <c r="F447" s="435" t="str">
        <f> IF(F467&lt;&gt;"",TEXT(AUX!J$1,"dd-MMM-aa"),"")</f>
      </c>
      <c r="G447" s="435" t="str">
        <f> IF(G467&lt;&gt;"",TEXT(AUX!K$1,"dd-MMM-aa"),"")</f>
      </c>
      <c r="H447" s="435" t="str">
        <f> IF(H467&lt;&gt;"",TEXT(AUX!L$1,"dd-MMM-aa"),"")</f>
      </c>
      <c r="I447" s="435" t="str">
        <f> IF(I467&lt;&gt;"",TEXT(AUX!M$1,"dd-MMM-aa"),"")</f>
      </c>
      <c r="J447" s="435" t="str">
        <f> IF(J467&lt;&gt;"",TEXT(AUX!N$1,"dd-MMM-aa"),"")</f>
      </c>
      <c r="K447" s="435" t="str">
        <f> IF(K467&lt;&gt;"",TEXT(AUX!O$1,"dd-MMM-aa"),"")</f>
      </c>
      <c r="L447" s="435" t="str">
        <f> IF(L467&lt;&gt;"",TEXT(AUX!P$1,"dd-MMM-aa"),"")</f>
      </c>
      <c r="M447" s="435" t="str">
        <f> IF(M467&lt;&gt;"",TEXT(AUX!Q$1,"dd-MMM-aa"),"")</f>
      </c>
      <c r="N447" s="435" t="str">
        <f> IF(N467&lt;&gt;"",TEXT(AUX!R$1,"dd-MMM-aa"),"")</f>
      </c>
      <c r="O447" s="435" t="str">
        <f> IF(O467&lt;&gt;"",TEXT(AUX!S$1,"dd-MMM-aa"),"")</f>
      </c>
      <c r="P447" s="435" t="str">
        <f> IF(P467&lt;&gt;"",TEXT(AUX!T$1,"dd-MMM-aa"),"")</f>
      </c>
      <c r="Q447" s="435" t="str">
        <f> IF(Q467&lt;&gt;"",TEXT(AUX!U$1,"dd-MMM-aa"),"")</f>
      </c>
      <c r="R447" s="435" t="str">
        <f> IF(R467&lt;&gt;"",TEXT(AUX!V$1,"dd-MMM-aa"),"")</f>
      </c>
      <c r="S447" s="435" t="str">
        <f> IF(S467&lt;&gt;"",TEXT(AUX!W$1,"dd-MMM-aa"),"")</f>
      </c>
      <c r="T447" s="435" t="str">
        <f> IF(T467&lt;&gt;"",TEXT(AUX!X$1,"dd-MMM-aa"),"")</f>
      </c>
      <c r="U447" s="435" t="str">
        <f> IF(U467&lt;&gt;"",TEXT(AUX!Y$1,"dd-MMM-aa"),"")</f>
      </c>
      <c r="V447" s="435" t="str">
        <f> IF(V467&lt;&gt;"",TEXT(AUX!Z$1,"dd-MMM-aa"),"")</f>
      </c>
      <c r="W447" s="435" t="str">
        <f> IF(W467&lt;&gt;"",TEXT(AUX!AA$1,"dd-MMM-aa"),"")</f>
      </c>
      <c r="X447" s="435" t="str">
        <f> IF(X467&lt;&gt;"",TEXT(AUX!AB$1,"dd-MMM-aa"),"")</f>
      </c>
      <c r="Y447" s="435" t="str">
        <f> IF(Y467&lt;&gt;"",TEXT(AUX!AC$1,"dd-MMM-aa"),"")</f>
      </c>
      <c r="Z447" s="435" t="str">
        <f> IF(Z467&lt;&gt;"",TEXT(AUX!AD$1,"dd-MMM-aa"),"")</f>
      </c>
      <c r="AA447" s="435" t="str">
        <f> IF(AA467&lt;&gt;"",TEXT(AUX!AE$1,"dd-MMM-aa"),"")</f>
      </c>
      <c r="AB447" s="497" t="str">
        <f> IF(AB467&lt;&gt;"",TEXT(AUX!AF$1,"dd-MMM-aa"),"")</f>
      </c>
      <c r="AC447" s="496" t="str">
        <f> IF(AC467&lt;&gt;"",TEXT(AUX!AG$1,"dd-MMM-aa"),"")</f>
      </c>
      <c r="AD447" s="496" t="str">
        <f> IF(AD467&lt;&gt;"",TEXT(AUX!AH$1,"dd-MMM-aa"),"")</f>
      </c>
      <c r="AE447" s="496" t="str">
        <f> IF(AE467&lt;&gt;"",TEXT(AUX!AI$1,"dd-MMM-aa"),"")</f>
      </c>
      <c r="AF447" s="496" t="str">
        <f> IF(AF467&lt;&gt;"",TEXT(AUX!AJ$1,"dd-MMM-aa"),"")</f>
      </c>
      <c r="AG447" s="496" t="str">
        <f> IF(AG467&lt;&gt;"",TEXT(AUX!AK$1,"dd-MMM-aa"),"")</f>
      </c>
      <c r="AH447" s="496" t="str">
        <f> IF(AH467&lt;&gt;"",TEXT(AUX!AL$1,"dd-MMM-aa"),"")</f>
      </c>
      <c r="AI447" s="496" t="str">
        <f> IF(AI467&lt;&gt;"",TEXT(AUX!AM$1,"dd-MMM-aa"),"")</f>
      </c>
      <c r="AJ447" s="496" t="str">
        <f> IF(AJ467&lt;&gt;"",TEXT(AUX!AN$1,"dd-MMM-aa"),"")</f>
      </c>
      <c r="AK447" s="496" t="str">
        <f> IF(AK467&lt;&gt;"",TEXT(AUX!AO$1,"dd-MMM-aa"),"")</f>
      </c>
      <c r="AL447" s="496" t="str">
        <f> IF(AL467&lt;&gt;"",TEXT(AUX!AP$1,"dd-MMM-aa"),"")</f>
      </c>
      <c r="AM447" s="496" t="str">
        <f> IF(AM467&lt;&gt;"",TEXT(AUX!AQ$1,"dd-MMM-aa"),"")</f>
      </c>
      <c r="AN447" s="496" t="str">
        <f> IF(AN467&lt;&gt;"",TEXT(AUX!AR$1,"dd-MMM-aa"),"")</f>
      </c>
      <c r="AO447" s="496" t="str">
        <f> IF(AO467&lt;&gt;"",TEXT(AUX!AS$1,"dd-MMM-aa"),"")</f>
      </c>
      <c r="AP447" s="496" t="str">
        <f> IF(AP467&lt;&gt;"",TEXT(AUX!AT$1,"dd-MMM-aa"),"")</f>
      </c>
      <c r="AQ447" s="496" t="str">
        <f> IF(AQ467&lt;&gt;"",TEXT(AUX!AU$1,"dd-MMM-aa"),"")</f>
      </c>
      <c r="AR447" s="496" t="str">
        <f> IF(AR467&lt;&gt;"",TEXT(AUX!AV$1,"dd-MMM-aa"),"")</f>
      </c>
      <c r="AS447" s="496" t="str">
        <f> IF(AS467&lt;&gt;"",TEXT(AUX!AW$1,"dd-MMM-aa"),"")</f>
      </c>
      <c r="AT447" s="496" t="str">
        <f> IF(AT467&lt;&gt;"",TEXT(AUX!AX$1,"dd-MMM-aa"),"")</f>
      </c>
      <c r="AU447" s="496" t="str">
        <f> IF(AU467&lt;&gt;"",TEXT(AUX!AY$1,"dd-MMM-aa"),"")</f>
      </c>
      <c r="AV447" s="496" t="str">
        <f> IF(AV467&lt;&gt;"",TEXT(AUX!AZ$1,"dd-MMM-aa"),"")</f>
      </c>
      <c r="AW447" s="496" t="str">
        <f> IF(AW467&lt;&gt;"",TEXT(AUX!BA$1,"dd-MMM-aa"),"")</f>
      </c>
      <c r="AX447" s="496" t="str">
        <f> IF(AX467&lt;&gt;"",TEXT(AUX!BB$1,"dd-MMM-aa"),"")</f>
      </c>
      <c r="AY447" s="496" t="str">
        <f> IF(AY467&lt;&gt;"",TEXT(AUX!BC$1,"dd-MMM-aa"),"")</f>
      </c>
      <c r="AZ447" s="496" t="str">
        <f> IF(AZ467&lt;&gt;"",TEXT(AUX!BD$1,"dd-MMM-aa"),"")</f>
      </c>
      <c r="BA447" s="496" t="str">
        <f> IF(BA467&lt;&gt;"",TEXT(AUX!BE$1,"dd-MMM-aa"),"")</f>
      </c>
      <c r="BB447" s="496" t="str">
        <f> IF(BB467&lt;&gt;"",TEXT(AUX!BF$1,"dd-MMM-aa"),"")</f>
      </c>
      <c r="BC447" s="496" t="str">
        <f> IF(BC467&lt;&gt;"",TEXT(AUX!BG$1,"dd-MMM-aa"),"")</f>
      </c>
      <c r="BD447" s="496" t="str">
        <f> IF(BD467&lt;&gt;"",TEXT(AUX!BH$1,"dd-MMM-aa"),"")</f>
      </c>
      <c r="BE447" s="496" t="str">
        <f> IF(BE467&lt;&gt;"",TEXT(AUX!BI$1,"dd-MMM-aa"),"")</f>
      </c>
      <c r="BF447" s="496" t="str">
        <f> IF(BF467&lt;&gt;"",TEXT(AUX!BJ$1,"dd-MMM-aa"),"")</f>
      </c>
      <c r="BG447" s="496" t="str">
        <f> IF(BG467&lt;&gt;"",TEXT(AUX!BK$1,"dd-MMM-aa"),"")</f>
      </c>
      <c r="BH447" s="496" t="str">
        <f> IF(BH467&lt;&gt;"",TEXT(AUX!BL$1,"dd-MMM-aa"),"")</f>
      </c>
      <c r="BI447" s="496" t="str">
        <f> IF(BI467&lt;&gt;"",TEXT(AUX!BM$1,"dd-MMM-aa"),"")</f>
      </c>
      <c r="BJ447" s="496" t="str">
        <f> IF(BJ467&lt;&gt;"",TEXT(AUX!BN$1,"dd-MMM-aa"),"")</f>
      </c>
      <c r="BK447" s="496" t="str">
        <f> IF(BK467&lt;&gt;"",TEXT(AUX!BO$1,"dd-MMM-aa"),"")</f>
      </c>
      <c r="BL447" s="496" t="str">
        <f> IF(BL467&lt;&gt;"",TEXT(AUX!BP$1,"dd-MMM-aa"),"")</f>
      </c>
      <c r="BM447" s="496" t="str">
        <f> IF(BM467&lt;&gt;"",TEXT(AUX!BQ$1,"dd-MMM-aa"),"")</f>
      </c>
      <c r="BN447" s="496" t="str">
        <f> IF(BN467&lt;&gt;"",TEXT(AUX!BR$1,"dd-MMM-aa"),"")</f>
      </c>
      <c r="BO447" s="496" t="str">
        <f> IF(BO467&lt;&gt;"",TEXT(AUX!BS$1,"dd-MMM-aa"),"")</f>
      </c>
      <c r="BP447" s="496" t="str">
        <f> IF(BP467&lt;&gt;"",TEXT(AUX!BT$1,"dd-MMM-aa"),"")</f>
      </c>
      <c r="BQ447" s="496" t="str">
        <f> IF(BQ467&lt;&gt;"",TEXT(AUX!BU$1,"dd-MMM-aa"),"")</f>
      </c>
      <c r="BR447" s="496" t="str">
        <f> IF(BR467&lt;&gt;"",TEXT(AUX!BV$1,"dd-MMM-aa"),"")</f>
      </c>
      <c r="BS447" s="496" t="str">
        <f> IF(BS467&lt;&gt;"",TEXT(AUX!BW$1,"dd-MMM-aa"),"")</f>
      </c>
      <c r="BT447" s="496" t="str">
        <f> IF(BT467&lt;&gt;"",TEXT(AUX!BX$1,"dd-MMM-aa"),"")</f>
      </c>
      <c r="BU447" s="496" t="str">
        <f> IF(BU467&lt;&gt;"",TEXT(AUX!BY$1,"dd-MMM-aa"),"")</f>
      </c>
      <c r="BV447" s="496" t="str">
        <f> IF(BV467&lt;&gt;"",TEXT(AUX!BZ$1,"dd-MMM-aa"),"")</f>
      </c>
      <c r="BW447" s="496" t="str">
        <f> IF(BW467&lt;&gt;"",TEXT(AUX!CA$1,"dd-MMM-aa"),"")</f>
      </c>
      <c r="BX447" s="496" t="str">
        <f> IF(BX467&lt;&gt;"",TEXT(AUX!CB$1,"dd-MMM-aa"),"")</f>
      </c>
      <c r="BY447" s="496" t="str">
        <f> IF(BY467&lt;&gt;"",TEXT(AUX!CC$1,"dd-MMM-aa"),"")</f>
      </c>
      <c r="BZ447" s="496" t="str">
        <f> IF(BZ467&lt;&gt;"",TEXT(AUX!CD$1,"dd-MMM-aa"),"")</f>
      </c>
      <c r="CA447" s="496" t="str">
        <f> IF(CA467&lt;&gt;"",TEXT(AUX!CE$1,"dd-MMM-aa"),"")</f>
      </c>
      <c r="CB447" s="496" t="str">
        <f> IF(CB467&lt;&gt;"",TEXT(AUX!CF$1,"dd-MMM-aa"),"")</f>
      </c>
      <c r="CC447" s="496" t="str">
        <f> IF(CC467&lt;&gt;"",TEXT(AUX!CG$1,"dd-MMM-aa"),"")</f>
      </c>
      <c r="CD447" s="496" t="str">
        <f> IF(CD467&lt;&gt;"",TEXT(AUX!CH$1,"dd-MMM-aa"),"")</f>
      </c>
      <c r="CE447" s="496" t="str">
        <f> IF(CE467&lt;&gt;"",TEXT(AUX!CI$1,"dd-MMM-aa"),"")</f>
      </c>
      <c r="CF447" s="496" t="str">
        <f> IF(CF467&lt;&gt;"",TEXT(AUX!CJ$1,"dd-MMM-aa"),"")</f>
      </c>
      <c r="CG447" s="496" t="str">
        <f> IF(CG467&lt;&gt;"",TEXT(AUX!CK$1,"dd-MMM-aa"),"")</f>
      </c>
      <c r="CH447" s="496" t="str">
        <f> IF(CH467&lt;&gt;"",TEXT(AUX!CL$1,"dd-MMM-aa"),"")</f>
      </c>
      <c r="CI447" s="496" t="str">
        <f> IF(CI467&lt;&gt;"",TEXT(AUX!CM$1,"dd-MMM-aa"),"")</f>
      </c>
      <c r="CJ447" s="496" t="str">
        <f> IF(CJ467&lt;&gt;"",TEXT(AUX!CN$1,"dd-MMM-aa"),"")</f>
      </c>
      <c r="CK447" s="496" t="str">
        <f> IF(CK467&lt;&gt;"",TEXT(AUX!CO$1,"dd-MMM-aa"),"")</f>
      </c>
      <c r="CL447" s="496" t="str">
        <f> IF(CL467&lt;&gt;"",TEXT(AUX!CP$1,"dd-MMM-aa"),"")</f>
      </c>
      <c r="CM447" s="496" t="str">
        <f> IF(CM467&lt;&gt;"",TEXT(AUX!CQ$1,"dd-MMM-aa"),"")</f>
      </c>
      <c r="CN447" s="496" t="str">
        <f> IF(CN467&lt;&gt;"",TEXT(AUX!CR$1,"dd-MMM-aa"),"")</f>
      </c>
      <c r="CO447" s="496" t="str">
        <f> IF(CO467&lt;&gt;"",TEXT(AUX!CS$1,"dd-MMM-aa"),"")</f>
      </c>
      <c r="CP447" s="496" t="str">
        <f> IF(CP467&lt;&gt;"",TEXT(AUX!CT$1,"dd-MMM-aa"),"")</f>
      </c>
      <c r="CQ447" s="496" t="str">
        <f> IF(CQ467&lt;&gt;"",TEXT(AUX!CU$1,"dd-MMM-aa"),"")</f>
      </c>
      <c r="CR447" s="496" t="str">
        <f> IF(CR467&lt;&gt;"",TEXT(AUX!CV$1,"dd-MMM-aa"),"")</f>
      </c>
      <c r="CS447" s="496" t="str">
        <f> IF(CS467&lt;&gt;"",TEXT(AUX!CW$1,"dd-MMM-aa"),"")</f>
      </c>
      <c r="CT447" s="496" t="str">
        <f> IF(CT467&lt;&gt;"",TEXT(AUX!CX$1,"dd-MMM-aa"),"")</f>
      </c>
      <c r="CU447" s="496" t="str">
        <f> IF(CU467&lt;&gt;"",TEXT(AUX!CY$1,"dd-MMM-aa"),"")</f>
      </c>
      <c r="CV447" s="496" t="str">
        <f> IF(CV467&lt;&gt;"",TEXT(AUX!CZ$1,"dd-MMM-aa"),"")</f>
      </c>
      <c r="CW447" s="496" t="str">
        <f> IF(CW467&lt;&gt;"",TEXT(AUX!DA$1,"dd-MMM-aa"),"")</f>
      </c>
      <c r="CX447" s="496" t="str">
        <f> IF(CX467&lt;&gt;"",TEXT(AUX!DB$1,"dd-MMM-aa"),"")</f>
      </c>
      <c r="CY447" s="496" t="str">
        <f> IF(CY467&lt;&gt;"",TEXT(AUX!DC$1,"dd-MMM-aa"),"")</f>
      </c>
      <c r="CZ447" s="496" t="str">
        <f> IF(CZ467&lt;&gt;"",TEXT(AUX!DD$1,"dd-MMM-aa"),"")</f>
      </c>
      <c r="DA447" s="496" t="str">
        <f> IF(DA467&lt;&gt;"",TEXT(AUX!DE$1,"dd-MMM-aa"),"")</f>
      </c>
      <c r="DB447" s="496" t="str">
        <f> IF(DB467&lt;&gt;"",TEXT(AUX!DF$1,"dd-MMM-aa"),"")</f>
      </c>
      <c r="DC447" s="496" t="str">
        <f> IF(DC467&lt;&gt;"",TEXT(AUX!DG$1,"dd-MMM-aa"),"")</f>
      </c>
      <c r="DD447" s="496" t="str">
        <f> IF(DD467&lt;&gt;"",TEXT(AUX!DH$1,"dd-MMM-aa"),"")</f>
      </c>
      <c r="DE447" s="496" t="str">
        <f> IF(DE467&lt;&gt;"",TEXT(AUX!DI$1,"dd-MMM-aa"),"")</f>
      </c>
      <c r="DF447" s="496" t="str">
        <f> IF(DF467&lt;&gt;"",TEXT(AUX!DJ$1,"dd-MMM-aa"),"")</f>
      </c>
      <c r="DG447" s="496" t="str">
        <f> IF(DG467&lt;&gt;"",TEXT(AUX!DK$1,"dd-MMM-aa"),"")</f>
      </c>
      <c r="DH447" s="496" t="str">
        <f> IF(DH467&lt;&gt;"",TEXT(AUX!DL$1,"dd-MMM-aa"),"")</f>
      </c>
      <c r="DI447" s="496" t="str">
        <f> IF(DI467&lt;&gt;"",TEXT(AUX!DM$1,"dd-MMM-aa"),"")</f>
      </c>
      <c r="DJ447" s="496" t="str">
        <f> IF(DJ467&lt;&gt;"",TEXT(AUX!DN$1,"dd-MMM-aa"),"")</f>
      </c>
      <c r="DK447" s="496" t="str">
        <f> IF(DK467&lt;&gt;"",TEXT(AUX!DO$1,"dd-MMM-aa"),"")</f>
      </c>
      <c r="DL447" s="496" t="str">
        <f> IF(DL467&lt;&gt;"",TEXT(AUX!DP$1,"dd-MMM-aa"),"")</f>
      </c>
      <c r="DM447" s="496" t="str">
        <f> IF(DM467&lt;&gt;"",TEXT(AUX!DQ$1,"dd-MMM-aa"),"")</f>
      </c>
      <c r="DN447" s="496" t="str">
        <f> IF(DN467&lt;&gt;"",TEXT(AUX!DR$1,"dd-MMM-aa"),"")</f>
      </c>
      <c r="DO447" s="496" t="str">
        <f> IF(DO467&lt;&gt;"",TEXT(AUX!DS$1,"dd-MMM-aa"),"")</f>
      </c>
      <c r="DP447" s="496" t="str">
        <f> IF(DP467&lt;&gt;"",TEXT(AUX!DT$1,"dd-MMM-aa"),"")</f>
      </c>
      <c r="DQ447" s="496" t="str">
        <f> IF(DQ467&lt;&gt;"",TEXT(AUX!DU$1,"dd-MMM-aa"),"")</f>
      </c>
      <c r="DR447" s="496" t="str">
        <f> IF(DR467&lt;&gt;"",TEXT(AUX!DV$1,"dd-MMM-aa"),"")</f>
      </c>
      <c r="DS447" s="496" t="str">
        <f> IF(DS467&lt;&gt;"",TEXT(AUX!DW$1,"dd-MMM-aa"),"")</f>
      </c>
      <c r="DT447" s="496" t="str">
        <f> IF(DT467&lt;&gt;"",TEXT(AUX!DX$1,"dd-MMM-aa"),"")</f>
      </c>
      <c r="DU447" s="496" t="str">
        <f> IF(DU467&lt;&gt;"",TEXT(AUX!DY$1,"dd-MMM-aa"),"")</f>
      </c>
      <c r="DV447" s="496" t="str">
        <f> IF(DV467&lt;&gt;"",TEXT(AUX!DZ$1,"dd-MMM-aa"),"")</f>
      </c>
      <c r="DW447" s="496" t="str">
        <f> IF(DW467&lt;&gt;"",TEXT(AUX!EA$1,"dd-MMM-aa"),"")</f>
      </c>
      <c r="DX447" s="496" t="str">
        <f> IF(DX467&lt;&gt;"",TEXT(AUX!EB$1,"dd-MMM-aa"),"")</f>
      </c>
      <c r="DY447" s="496" t="str">
        <f> IF(DY467&lt;&gt;"",TEXT(AUX!EC$1,"dd-MMM-aa"),"")</f>
      </c>
      <c r="DZ447" s="496" t="str">
        <f> IF(DZ467&lt;&gt;"",TEXT(AUX!ED$1,"dd-MMM-aa"),"")</f>
      </c>
      <c r="EA447" s="496" t="str">
        <f> IF(EA467&lt;&gt;"",TEXT(AUX!EE$1,"dd-MMM-aa"),"")</f>
      </c>
      <c r="EB447" s="496" t="str">
        <f> IF(EB467&lt;&gt;"",TEXT(AUX!EF$1,"dd-MMM-aa"),"")</f>
      </c>
      <c r="EC447" s="496" t="str">
        <f> IF(EC467&lt;&gt;"",TEXT(AUX!EG$1,"dd-MMM-aa"),"")</f>
      </c>
      <c r="ED447" s="496" t="str">
        <f> IF(ED467&lt;&gt;"",TEXT(AUX!EH$1,"dd-MMM-aa"),"")</f>
      </c>
      <c r="EE447" s="496" t="str">
        <f> IF(EE467&lt;&gt;"",TEXT(AUX!EI$1,"dd-MMM-aa"),"")</f>
      </c>
      <c r="EF447" s="496" t="str">
        <f> IF(EF467&lt;&gt;"",TEXT(AUX!EJ$1,"dd-MMM-aa"),"")</f>
      </c>
      <c r="EG447" s="496" t="str">
        <f> IF(EG467&lt;&gt;"",TEXT(AUX!EK$1,"dd-MMM-aa"),"")</f>
      </c>
      <c r="EH447" s="496" t="str">
        <f> IF(EH467&lt;&gt;"",TEXT(AUX!EL$1,"dd-MMM-aa"),"")</f>
      </c>
      <c r="EI447" s="496" t="str">
        <f> IF(EI467&lt;&gt;"",TEXT(AUX!EM$1,"dd-MMM-aa"),"")</f>
      </c>
      <c r="EJ447" s="496" t="str">
        <f> IF(EJ467&lt;&gt;"",TEXT(AUX!EN$1,"dd-MMM-aa"),"")</f>
      </c>
      <c r="EK447" s="496" t="str">
        <f> IF(EK467&lt;&gt;"",TEXT(AUX!EO$1,"dd-MMM-aa"),"")</f>
      </c>
      <c r="EL447" s="496" t="str">
        <f> IF(EL467&lt;&gt;"",TEXT(AUX!EP$1,"dd-MMM-aa"),"")</f>
      </c>
      <c r="EM447" s="496" t="str">
        <f> IF(EM467&lt;&gt;"",TEXT(AUX!EQ$1,"dd-MMM-aa"),"")</f>
      </c>
      <c r="EN447" s="496" t="str">
        <f> IF(EN467&lt;&gt;"",TEXT(AUX!ER$1,"dd-MMM-aa"),"")</f>
      </c>
      <c r="EO447" s="496" t="str">
        <f> IF(EO467&lt;&gt;"",TEXT(AUX!ES$1,"dd-MMM-aa"),"")</f>
      </c>
      <c r="EP447" s="496" t="str">
        <f> IF(EP467&lt;&gt;"",TEXT(AUX!ET$1,"dd-MMM-aa"),"")</f>
      </c>
      <c r="EQ447" s="496" t="str">
        <f> IF(EQ467&lt;&gt;"",TEXT(AUX!EU$1,"dd-MMM-aa"),"")</f>
      </c>
      <c r="ER447" s="496" t="str">
        <f> IF(ER467&lt;&gt;"",TEXT(AUX!EV$1,"dd-MMM-aa"),"")</f>
      </c>
      <c r="ES447" s="496" t="str">
        <f> IF(ES467&lt;&gt;"",TEXT(AUX!EW$1,"dd-MMM-aa"),"")</f>
      </c>
      <c r="ET447" s="496" t="str">
        <f> IF(ET467&lt;&gt;"",TEXT(AUX!EX$1,"dd-MMM-aa"),"")</f>
      </c>
      <c r="EU447" s="496" t="str">
        <f> IF(EU467&lt;&gt;"",TEXT(AUX!EY$1,"dd-MMM-aa"),"")</f>
      </c>
      <c r="EV447" s="496" t="str">
        <f> IF(EV467&lt;&gt;"",TEXT(AUX!EZ$1,"dd-MMM-aa"),"")</f>
      </c>
      <c r="EW447" s="496" t="str">
        <f> IF(EW467&lt;&gt;"",TEXT(AUX!FA$1,"dd-MMM-aa"),"")</f>
      </c>
      <c r="EX447" s="496" t="str">
        <f> IF(EX467&lt;&gt;"",TEXT(AUX!FB$1,"dd-MMM-aa"),"")</f>
      </c>
      <c r="EY447" s="496" t="str">
        <f> IF(EY467&lt;&gt;"",TEXT(AUX!FC$1,"dd-MMM-aa"),"")</f>
      </c>
      <c r="EZ447" s="496" t="str">
        <f> IF(EZ467&lt;&gt;"",TEXT(AUX!FD$1,"dd-MMM-aa"),"")</f>
      </c>
      <c r="FA447" s="496" t="str">
        <f> IF(FA467&lt;&gt;"",TEXT(AUX!FE$1,"dd-MMM-aa"),"")</f>
      </c>
      <c r="FB447" s="496" t="str">
        <f> IF(FB467&lt;&gt;"",TEXT(AUX!FF$1,"dd-MMM-aa"),"")</f>
      </c>
      <c r="FC447" s="496" t="str">
        <f> IF(FC467&lt;&gt;"",TEXT(AUX!FG$1,"dd-MMM-aa"),"")</f>
      </c>
      <c r="FD447" s="496" t="str">
        <f> IF(FD467&lt;&gt;"",TEXT(AUX!FH$1,"dd-MMM-aa"),"")</f>
      </c>
      <c r="FE447" s="496" t="str">
        <f> IF(FE467&lt;&gt;"",TEXT(AUX!FI$1,"dd-MMM-aa"),"")</f>
      </c>
      <c r="FF447" s="496" t="str">
        <f> IF(FF467&lt;&gt;"",TEXT(AUX!FJ$1,"dd-MMM-aa"),"")</f>
      </c>
      <c r="FG447" s="496" t="str">
        <f> IF(FG467&lt;&gt;"",TEXT(AUX!FK$1,"dd-MMM-aa"),"")</f>
      </c>
      <c r="FH447" s="496" t="str">
        <f> IF(FH467&lt;&gt;"",TEXT(AUX!FL$1,"dd-MMM-aa"),"")</f>
      </c>
      <c r="FI447" s="496" t="str">
        <f> IF(FI467&lt;&gt;"",TEXT(AUX!FM$1,"dd-MMM-aa"),"")</f>
      </c>
      <c r="FJ447" s="496" t="str">
        <f> IF(FJ467&lt;&gt;"",TEXT(AUX!FN$1,"dd-MMM-aa"),"")</f>
      </c>
      <c r="FK447" s="496" t="str">
        <f> IF(FK467&lt;&gt;"",TEXT(AUX!FO$1,"dd-MMM-aa"),"")</f>
      </c>
      <c r="FL447" s="496" t="str">
        <f> IF(FL467&lt;&gt;"",TEXT(AUX!FP$1,"dd-MMM-aa"),"")</f>
      </c>
      <c r="FM447" s="496" t="str">
        <f> IF(FM467&lt;&gt;"",TEXT(AUX!FQ$1,"dd-MMM-aa"),"")</f>
      </c>
      <c r="FN447" s="496" t="str">
        <f> IF(FN467&lt;&gt;"",TEXT(AUX!FR$1,"dd-MMM-aa"),"")</f>
      </c>
      <c r="FO447" s="496" t="str">
        <f> IF(FO467&lt;&gt;"",TEXT(AUX!FS$1,"dd-MMM-aa"),"")</f>
      </c>
      <c r="FP447" s="496" t="str">
        <f> IF(FP467&lt;&gt;"",TEXT(AUX!FT$1,"dd-MMM-aa"),"")</f>
      </c>
      <c r="FQ447" s="496" t="str">
        <f> IF(FQ467&lt;&gt;"",TEXT(AUX!FU$1,"dd-MMM-aa"),"")</f>
      </c>
      <c r="FR447" s="496" t="str">
        <f> IF(FR467&lt;&gt;"",TEXT(AUX!FV$1,"dd-MMM-aa"),"")</f>
      </c>
      <c r="FS447" s="496" t="str">
        <f> IF(FS467&lt;&gt;"",TEXT(AUX!FW$1,"dd-MMM-aa"),"")</f>
      </c>
      <c r="FT447" s="496" t="str">
        <f> IF(FT467&lt;&gt;"",TEXT(AUX!FX$1,"dd-MMM-aa"),"")</f>
      </c>
      <c r="FU447" s="496" t="str">
        <f> IF(FU467&lt;&gt;"",TEXT(AUX!FY$1,"dd-MMM-aa"),"")</f>
      </c>
      <c r="FV447" s="496" t="str">
        <f> IF(FV467&lt;&gt;"",TEXT(AUX!FZ$1,"dd-MMM-aa"),"")</f>
      </c>
      <c r="FW447" s="496" t="str">
        <f> IF(FW467&lt;&gt;"",TEXT(AUX!GA$1,"dd-MMM-aa"),"")</f>
      </c>
      <c r="FX447" s="496" t="str">
        <f> IF(FX467&lt;&gt;"",TEXT(AUX!GB$1,"dd-MMM-aa"),"")</f>
      </c>
      <c r="FY447" s="496" t="str">
        <f> IF(FY467&lt;&gt;"",TEXT(AUX!GC$1,"dd-MMM-aa"),"")</f>
      </c>
      <c r="FZ447" s="496" t="str">
        <f> IF(FZ467&lt;&gt;"",TEXT(AUX!GD$1,"dd-MMM-aa"),"")</f>
      </c>
      <c r="GA447" s="496" t="str">
        <f> IF(GA467&lt;&gt;"",TEXT(AUX!GE$1,"dd-MMM-aa"),"")</f>
      </c>
      <c r="GB447" s="496" t="str">
        <f> IF(GB467&lt;&gt;"",TEXT(AUX!GF$1,"dd-MMM-aa"),"")</f>
      </c>
      <c r="GC447" s="496" t="str">
        <f> IF(GC467&lt;&gt;"",TEXT(AUX!GG$1,"dd-MMM-aa"),"")</f>
      </c>
      <c r="GD447" s="496" t="str">
        <f> IF(GD467&lt;&gt;"",TEXT(AUX!GH$1,"dd-MMM-aa"),"")</f>
      </c>
      <c r="GE447" s="496" t="str">
        <f> IF(GE467&lt;&gt;"",TEXT(AUX!GI$1,"dd-MMM-aa"),"")</f>
      </c>
      <c r="GF447" s="496" t="str">
        <f> IF(GF467&lt;&gt;"",TEXT(AUX!GJ$1,"dd-MMM-aa"),"")</f>
      </c>
      <c r="GG447" s="496" t="str">
        <f> IF(GG467&lt;&gt;"",TEXT(AUX!GK$1,"dd-MMM-aa"),"")</f>
      </c>
      <c r="GH447" s="496" t="str">
        <f> IF(GH467&lt;&gt;"",TEXT(AUX!GL$1,"dd-MMM-aa"),"")</f>
      </c>
      <c r="GI447" s="496" t="str">
        <f> IF(GI467&lt;&gt;"",TEXT(AUX!GM$1,"dd-MMM-aa"),"")</f>
      </c>
      <c r="GJ447" s="496" t="str">
        <f> IF(GJ467&lt;&gt;"",TEXT(AUX!GN$1,"dd-MMM-aa"),"")</f>
      </c>
      <c r="GK447" s="496" t="str">
        <f> IF(GK467&lt;&gt;"",TEXT(AUX!GO$1,"dd-MMM-aa"),"")</f>
      </c>
      <c r="GL447" s="496" t="str">
        <f> IF(GL467&lt;&gt;"",TEXT(AUX!GP$1,"dd-MMM-aa"),"")</f>
      </c>
      <c r="GM447" s="496" t="str">
        <f> IF(GM467&lt;&gt;"",TEXT(AUX!GQ$1,"dd-MMM-aa"),"")</f>
      </c>
      <c r="GN447" s="496" t="str">
        <f> IF(GN467&lt;&gt;"",TEXT(AUX!GR$1,"dd-MMM-aa"),"")</f>
      </c>
      <c r="GO447" s="496" t="str">
        <f> IF(GO467&lt;&gt;"",TEXT(AUX!GS$1,"dd-MMM-aa"),"")</f>
      </c>
      <c r="GP447" s="496" t="str">
        <f> IF(GP467&lt;&gt;"",TEXT(AUX!GT$1,"dd-MMM-aa"),"")</f>
      </c>
      <c r="GQ447" s="496" t="str">
        <f> IF(GQ467&lt;&gt;"",TEXT(AUX!GU$1,"dd-MMM-aa"),"")</f>
      </c>
      <c r="GR447" s="496" t="str">
        <f> IF(GR467&lt;&gt;"",TEXT(AUX!GV$1,"dd-MMM-aa"),"")</f>
      </c>
      <c r="GS447" s="496" t="str">
        <f> IF(GS467&lt;&gt;"",TEXT(AUX!GW$1,"dd-MMM-aa"),"")</f>
      </c>
      <c r="GT447" s="496" t="str">
        <f> IF(GT467&lt;&gt;"",TEXT(AUX!GX$1,"dd-MMM-aa"),"")</f>
      </c>
      <c r="GU447" s="496" t="str">
        <f> IF(GU467&lt;&gt;"",TEXT(AUX!GY$1,"dd-MMM-aa"),"")</f>
      </c>
      <c r="GV447" s="496" t="str">
        <f> IF(GV467&lt;&gt;"",TEXT(AUX!GZ$1,"dd-MMM-aa"),"")</f>
      </c>
      <c r="GW447" s="496" t="str">
        <f> IF(GW467&lt;&gt;"",TEXT(AUX!HA$1,"dd-MMM-aa"),"")</f>
      </c>
      <c r="GX447" s="496" t="str">
        <f> IF(GX467&lt;&gt;"",TEXT(AUX!HB$1,"dd-MMM-aa"),"")</f>
      </c>
      <c r="GY447" s="496" t="str">
        <f> IF(GY467&lt;&gt;"",TEXT(AUX!HC$1,"dd-MMM-aa"),"")</f>
      </c>
      <c r="GZ447" s="496" t="str">
        <f> IF(GZ467&lt;&gt;"",TEXT(AUX!HD$1,"dd-MMM-aa"),"")</f>
      </c>
      <c r="HA447" s="496" t="str">
        <f> IF(HA467&lt;&gt;"",TEXT(AUX!HE$1,"dd-MMM-aa"),"")</f>
      </c>
      <c r="HB447" s="496" t="str">
        <f> IF(HB467&lt;&gt;"",TEXT(AUX!HF$1,"dd-MMM-aa"),"")</f>
      </c>
      <c r="HC447" s="496" t="str">
        <f> IF(HC467&lt;&gt;"",TEXT(AUX!HG$1,"dd-MMM-aa"),"")</f>
      </c>
      <c r="HD447" s="496" t="str">
        <f> IF(HD467&lt;&gt;"",TEXT(AUX!HH$1,"dd-MMM-aa"),"")</f>
      </c>
      <c r="HE447" s="496" t="str">
        <f> IF(HE467&lt;&gt;"",TEXT(AUX!HI$1,"dd-MMM-aa"),"")</f>
      </c>
      <c r="HF447" s="496" t="str">
        <f> IF(HF467&lt;&gt;"",TEXT(AUX!HJ$1,"dd-MMM-aa"),"")</f>
      </c>
      <c r="HG447" s="496" t="str">
        <f> IF(HG467&lt;&gt;"",TEXT(AUX!HK$1,"dd-MMM-aa"),"")</f>
      </c>
      <c r="HH447" s="496" t="str">
        <f> IF(HH467&lt;&gt;"",TEXT(AUX!HL$1,"dd-MMM-aa"),"")</f>
      </c>
      <c r="HI447" s="496" t="str">
        <f> IF(HI467&lt;&gt;"",TEXT(AUX!HM$1,"dd-MMM-aa"),"")</f>
      </c>
      <c r="HJ447" s="496" t="str">
        <f> IF(HJ467&lt;&gt;"",TEXT(AUX!HN$1,"dd-MMM-aa"),"")</f>
      </c>
      <c r="HK447" s="496" t="str">
        <f> IF(HK467&lt;&gt;"",TEXT(AUX!HO$1,"dd-MMM-aa"),"")</f>
      </c>
      <c r="HL447" s="496" t="str">
        <f> IF(HL467&lt;&gt;"",TEXT(AUX!HP$1,"dd-MMM-aa"),"")</f>
      </c>
      <c r="HM447" s="496" t="str">
        <f> IF(HM467&lt;&gt;"",TEXT(AUX!HQ$1,"dd-MMM-aa"),"")</f>
      </c>
      <c r="HN447" s="496" t="str">
        <f> IF(HN467&lt;&gt;"",TEXT(AUX!HR$1,"dd-MMM-aa"),"")</f>
      </c>
      <c r="HO447" s="496" t="str">
        <f> IF(HO467&lt;&gt;"",TEXT(AUX!HS$1,"dd-MMM-aa"),"")</f>
      </c>
      <c r="HP447" s="496" t="str">
        <f> IF(HP467&lt;&gt;"",TEXT(AUX!HT$1,"dd-MMM-aa"),"")</f>
      </c>
      <c r="HQ447" s="496" t="str">
        <f> IF(HQ467&lt;&gt;"",TEXT(AUX!HU$1,"dd-MMM-aa"),"")</f>
      </c>
      <c r="HR447" s="496" t="str">
        <f> IF(HR467&lt;&gt;"",TEXT(AUX!HV$1,"dd-MMM-aa"),"")</f>
      </c>
      <c r="HS447" s="496" t="str">
        <f> IF(HS467&lt;&gt;"",TEXT(AUX!HW$1,"dd-MMM-aa"),"")</f>
      </c>
      <c r="HT447" s="496" t="str">
        <f> IF(HT467&lt;&gt;"",TEXT(AUX!HX$1,"dd-MMM-aa"),"")</f>
      </c>
      <c r="HU447" s="496" t="str">
        <f> IF(HU467&lt;&gt;"",TEXT(AUX!HY$1,"dd-MMM-aa"),"")</f>
      </c>
      <c r="HV447" s="496" t="str">
        <f> IF(HV467&lt;&gt;"",TEXT(AUX!HZ$1,"dd-MMM-aa"),"")</f>
      </c>
      <c r="HW447" s="496" t="str">
        <f> IF(HW467&lt;&gt;"",TEXT(AUX!IA$1,"dd-MMM-aa"),"")</f>
      </c>
      <c r="HX447" s="496" t="str">
        <f> IF(HX467&lt;&gt;"",TEXT(AUX!IB$1,"dd-MMM-aa"),"")</f>
      </c>
      <c r="HY447" s="496" t="str">
        <f> IF(HY467&lt;&gt;"",TEXT(AUX!IC$1,"dd-MMM-aa"),"")</f>
      </c>
      <c r="HZ447" s="496" t="str">
        <f> IF(HZ467&lt;&gt;"",TEXT(AUX!ID$1,"dd-MMM-aa"),"")</f>
      </c>
      <c r="IA447" s="496" t="str">
        <f> IF(IA467&lt;&gt;"",TEXT(AUX!IE$1,"dd-MMM-aa"),"")</f>
      </c>
      <c r="IB447" s="496" t="str">
        <f> IF(IB467&lt;&gt;"",TEXT(AUX!IF$1,"dd-MMM-aa"),"")</f>
      </c>
      <c r="IC447" s="496" t="str">
        <f> IF(IC467&lt;&gt;"",TEXT(AUX!IG$1,"dd-MMM-aa"),"")</f>
      </c>
      <c r="ID447" s="496" t="str">
        <f> IF(ID467&lt;&gt;"",TEXT(AUX!IH$1,"dd-MMM-aa"),"")</f>
      </c>
      <c r="IE447" s="496" t="str">
        <f> IF(IE467&lt;&gt;"",TEXT(AUX!II$1,"dd-MMM-aa"),"")</f>
      </c>
      <c r="IF447" s="496" t="str">
        <f> IF(IF467&lt;&gt;"",TEXT(AUX!IJ$1,"dd-MMM-aa"),"")</f>
      </c>
      <c r="IG447" s="496" t="str">
        <f> IF(IG467&lt;&gt;"",TEXT(AUX!IK$1,"dd-MMM-aa"),"")</f>
      </c>
      <c r="IH447" s="496" t="str">
        <f> IF(IH467&lt;&gt;"",TEXT(AUX!IL$1,"dd-MMM-aa"),"")</f>
      </c>
      <c r="II447" s="496" t="str">
        <f> IF(II467&lt;&gt;"",TEXT(AUX!IM$1,"dd-MMM-aa"),"")</f>
      </c>
      <c r="IJ447" s="496" t="str">
        <f> IF(IJ467&lt;&gt;"",TEXT(AUX!IN$1,"dd-MMM-aa"),"")</f>
      </c>
      <c r="IK447" s="496" t="str">
        <f> IF(IK467&lt;&gt;"",TEXT(AUX!IO$1,"dd-MMM-aa"),"")</f>
      </c>
      <c r="IL447" s="496" t="str">
        <f> IF(IL467&lt;&gt;"",TEXT(AUX!IP$1,"dd-MMM-aa"),"")</f>
      </c>
      <c r="IM447" s="496" t="str">
        <f> IF(IM467&lt;&gt;"",TEXT(AUX!IQ$1,"dd-MMM-aa"),"")</f>
      </c>
      <c r="IN447" s="496" t="str">
        <f> IF(IN467&lt;&gt;"",TEXT(AUX!IR$1,"dd-MMM-aa"),"")</f>
      </c>
      <c r="IO447" s="496" t="str">
        <f> IF(IO467&lt;&gt;"",TEXT(AUX!IS$1,"dd-MMM-aa"),"")</f>
      </c>
      <c r="IP447" s="496" t="str">
        <f> IF(IP467&lt;&gt;"",TEXT(AUX!IT$1,"dd-MMM-aa"),"")</f>
      </c>
      <c r="IQ447" s="496" t="str">
        <f> IF(IQ467&lt;&gt;"",TEXT(AUX!IU$1,"dd-MMM-aa"),"")</f>
      </c>
      <c r="IR447" s="496" t="str">
        <f> IF(IR467&lt;&gt;"",TEXT(AUX!IV$1,"dd-MMM-aa"),"")</f>
      </c>
      <c r="IS447" s="496" t="str">
        <f> IF(IS467&lt;&gt;"",TEXT(AUX!#REF!,"dd-MMM-aa"),"")</f>
      </c>
      <c r="IT447" s="496" t="str">
        <f> IF(IT467&lt;&gt;"",TEXT(AUX!#REF!,"dd-MMM-aa"),"")</f>
      </c>
      <c r="IU447" s="496" t="str">
        <f> IF(IU467&lt;&gt;"",TEXT(AUX!#REF!,"dd-MMM-aa"),"")</f>
      </c>
      <c r="IV447" s="496" t="str">
        <f> IF(IV467&lt;&gt;"",TEXT(AUX!#REF!,"dd-MMM-aa"),"")</f>
      </c>
    </row>
    <row r="448" hidden="1" ht="12.75" customHeight="1">
      <c r="B448" s="822" t="s">
        <v>8</v>
      </c>
      <c r="C448" s="823">
        <v>83827</v>
      </c>
      <c r="D448" s="823">
        <v>78912</v>
      </c>
      <c r="E448" s="823">
        <v>91103</v>
      </c>
      <c r="F448" s="823">
        <v>87775</v>
      </c>
      <c r="G448" s="823">
        <v>91423</v>
      </c>
      <c r="H448" s="823">
        <v>80623</v>
      </c>
      <c r="I448" s="823">
        <v>83524</v>
      </c>
      <c r="J448" s="823">
        <v>78877</v>
      </c>
      <c r="K448" s="823">
        <v>84397</v>
      </c>
      <c r="L448" s="823">
        <v>75359</v>
      </c>
      <c r="M448" s="823">
        <v>79910</v>
      </c>
      <c r="N448" s="823">
        <v>78884</v>
      </c>
      <c r="O448" s="823">
        <v>80958</v>
      </c>
      <c r="P448" s="823">
        <v>72485</v>
      </c>
      <c r="Q448" s="823">
        <v>72971</v>
      </c>
      <c r="R448" s="823">
        <v>71440</v>
      </c>
      <c r="S448" s="823">
        <v>83712</v>
      </c>
      <c r="T448" s="823">
        <v>79062</v>
      </c>
      <c r="U448" s="823">
        <v>81217</v>
      </c>
      <c r="V448" s="823">
        <v>78639</v>
      </c>
      <c r="W448" s="823">
        <v>82193</v>
      </c>
      <c r="X448" s="823">
        <v>77700</v>
      </c>
      <c r="Y448" s="823">
        <v>85385</v>
      </c>
      <c r="Z448" s="823">
        <v>79196</v>
      </c>
      <c r="AA448" s="823">
        <v>86399</v>
      </c>
      <c r="AB448" s="824">
        <v>77788</v>
      </c>
      <c r="AC448" s="825">
        <v>85352</v>
      </c>
      <c r="AD448" s="825">
        <v>80591</v>
      </c>
      <c r="AE448" s="825">
        <v>88065</v>
      </c>
      <c r="AF448" s="825">
        <v>78439</v>
      </c>
      <c r="AG448" s="825">
        <v>86447</v>
      </c>
      <c r="AH448" s="825">
        <v>79788</v>
      </c>
      <c r="AI448" s="825">
        <v>85125</v>
      </c>
      <c r="AJ448" s="825">
        <v>75792</v>
      </c>
      <c r="AK448" s="825">
        <v>76874</v>
      </c>
      <c r="AL448" s="825">
        <v>67873</v>
      </c>
      <c r="AM448" s="825">
        <v>73739</v>
      </c>
      <c r="AN448" s="825">
        <v>74911</v>
      </c>
      <c r="AO448" s="825">
        <v>84610</v>
      </c>
      <c r="AP448" s="825">
        <v>77531</v>
      </c>
    </row>
    <row r="449" hidden="1" ht="12.75" customHeight="1">
      <c r="B449" s="826" t="s">
        <v>9</v>
      </c>
      <c r="C449" s="827">
        <v>45403</v>
      </c>
      <c r="D449" s="827">
        <v>43675</v>
      </c>
      <c r="E449" s="827">
        <v>35448</v>
      </c>
      <c r="F449" s="827">
        <v>41548</v>
      </c>
      <c r="G449" s="827">
        <v>46702</v>
      </c>
      <c r="H449" s="827">
        <v>45365</v>
      </c>
      <c r="I449" s="827">
        <v>46636</v>
      </c>
      <c r="J449" s="827">
        <v>55505</v>
      </c>
      <c r="K449" s="827">
        <v>50672</v>
      </c>
      <c r="L449" s="827">
        <v>52897</v>
      </c>
      <c r="M449" s="827">
        <v>50785</v>
      </c>
      <c r="N449" s="827">
        <v>57623</v>
      </c>
      <c r="O449" s="827">
        <v>51757</v>
      </c>
      <c r="P449" s="827">
        <v>57680</v>
      </c>
      <c r="Q449" s="827">
        <v>47941</v>
      </c>
      <c r="R449" s="827">
        <v>52413</v>
      </c>
      <c r="S449" s="827">
        <v>50505</v>
      </c>
      <c r="T449" s="827">
        <v>55965</v>
      </c>
      <c r="U449" s="827">
        <v>53357</v>
      </c>
      <c r="V449" s="827">
        <v>58766</v>
      </c>
      <c r="W449" s="827">
        <v>55277</v>
      </c>
      <c r="X449" s="827">
        <v>57814</v>
      </c>
      <c r="Y449" s="827">
        <v>56974</v>
      </c>
      <c r="Z449" s="827">
        <v>61421</v>
      </c>
      <c r="AA449" s="827">
        <v>59680</v>
      </c>
      <c r="AB449" s="827">
        <v>61319</v>
      </c>
      <c r="AC449" s="828">
        <v>57208</v>
      </c>
      <c r="AD449" s="828">
        <v>62650</v>
      </c>
      <c r="AE449" s="828">
        <v>56416</v>
      </c>
      <c r="AF449" s="828">
        <v>62392</v>
      </c>
      <c r="AG449" s="828">
        <v>64193</v>
      </c>
      <c r="AH449" s="828">
        <v>70725</v>
      </c>
      <c r="AI449" s="828">
        <v>66910</v>
      </c>
      <c r="AJ449" s="828">
        <v>77448</v>
      </c>
      <c r="AK449" s="828">
        <v>67904</v>
      </c>
      <c r="AL449" s="828">
        <v>76787</v>
      </c>
      <c r="AM449" s="828">
        <v>70192</v>
      </c>
      <c r="AN449" s="828">
        <v>73410</v>
      </c>
      <c r="AO449" s="828">
        <v>75092</v>
      </c>
      <c r="AP449" s="828">
        <v>82944</v>
      </c>
    </row>
    <row r="450" hidden="1" ht="12.75" customHeight="1">
      <c r="B450" s="829" t="s">
        <v>10</v>
      </c>
      <c r="C450" s="823">
        <v>61641</v>
      </c>
      <c r="D450" s="823">
        <v>57941</v>
      </c>
      <c r="E450" s="823">
        <v>61862</v>
      </c>
      <c r="F450" s="823">
        <v>61678</v>
      </c>
      <c r="G450" s="823">
        <v>66232</v>
      </c>
      <c r="H450" s="823">
        <v>64972</v>
      </c>
      <c r="I450" s="823">
        <v>62306</v>
      </c>
      <c r="J450" s="823">
        <v>58918</v>
      </c>
      <c r="K450" s="823">
        <v>62119</v>
      </c>
      <c r="L450" s="823">
        <v>59198</v>
      </c>
      <c r="M450" s="823">
        <v>61800</v>
      </c>
      <c r="N450" s="823">
        <v>59812</v>
      </c>
      <c r="O450" s="823">
        <v>63499</v>
      </c>
      <c r="P450" s="823">
        <v>60380</v>
      </c>
      <c r="Q450" s="823">
        <v>61542</v>
      </c>
      <c r="R450" s="823">
        <v>59460</v>
      </c>
      <c r="S450" s="823">
        <v>63535</v>
      </c>
      <c r="T450" s="823">
        <v>61844</v>
      </c>
      <c r="U450" s="823">
        <v>66221</v>
      </c>
      <c r="V450" s="823">
        <v>61423</v>
      </c>
      <c r="W450" s="823">
        <v>63411</v>
      </c>
      <c r="X450" s="823">
        <v>60540</v>
      </c>
      <c r="Y450" s="823">
        <v>64920</v>
      </c>
      <c r="Z450" s="823">
        <v>60448</v>
      </c>
      <c r="AA450" s="823">
        <v>63978</v>
      </c>
      <c r="AB450" s="823">
        <v>59086</v>
      </c>
      <c r="AC450" s="825">
        <v>63529</v>
      </c>
      <c r="AD450" s="825">
        <v>60612</v>
      </c>
      <c r="AE450" s="825">
        <v>65459</v>
      </c>
      <c r="AF450" s="825">
        <v>61012</v>
      </c>
      <c r="AG450" s="825">
        <v>65412</v>
      </c>
      <c r="AH450" s="825">
        <v>59998</v>
      </c>
      <c r="AI450" s="825">
        <v>64621</v>
      </c>
      <c r="AJ450" s="825">
        <v>58185</v>
      </c>
      <c r="AK450" s="825">
        <v>60654</v>
      </c>
      <c r="AL450" s="825">
        <v>55197</v>
      </c>
      <c r="AM450" s="825">
        <v>57278</v>
      </c>
      <c r="AN450" s="825">
        <v>51086</v>
      </c>
      <c r="AO450" s="825">
        <v>58892</v>
      </c>
      <c r="AP450" s="825">
        <v>53440</v>
      </c>
    </row>
    <row r="451" hidden="1" ht="12.75" customHeight="1">
      <c r="B451" s="826" t="s">
        <v>11</v>
      </c>
      <c r="C451" s="827">
        <v>6199</v>
      </c>
      <c r="D451" s="827">
        <v>5916</v>
      </c>
      <c r="E451" s="827">
        <v>6192</v>
      </c>
      <c r="F451" s="827">
        <v>6129</v>
      </c>
      <c r="G451" s="827">
        <v>6587</v>
      </c>
      <c r="H451" s="827">
        <v>6576</v>
      </c>
      <c r="I451" s="827">
        <v>6728</v>
      </c>
      <c r="J451" s="827">
        <v>6835</v>
      </c>
      <c r="K451" s="827">
        <v>6421</v>
      </c>
      <c r="L451" s="827">
        <v>6725</v>
      </c>
      <c r="M451" s="827">
        <v>7015</v>
      </c>
      <c r="N451" s="827">
        <v>6678</v>
      </c>
      <c r="O451" s="827">
        <v>6118</v>
      </c>
      <c r="P451" s="827">
        <v>5891</v>
      </c>
      <c r="Q451" s="827">
        <v>6051</v>
      </c>
      <c r="R451" s="827">
        <v>5848</v>
      </c>
      <c r="S451" s="827">
        <v>5638</v>
      </c>
      <c r="T451" s="827">
        <v>5874</v>
      </c>
      <c r="U451" s="827">
        <v>5399</v>
      </c>
      <c r="V451" s="827">
        <v>5488</v>
      </c>
      <c r="W451" s="827">
        <v>5802</v>
      </c>
      <c r="X451" s="827">
        <v>5356</v>
      </c>
      <c r="Y451" s="827">
        <v>5043</v>
      </c>
      <c r="Z451" s="827">
        <v>4915</v>
      </c>
      <c r="AA451" s="827">
        <v>5172</v>
      </c>
      <c r="AB451" s="827">
        <v>5027</v>
      </c>
      <c r="AC451" s="828">
        <v>5074</v>
      </c>
      <c r="AD451" s="828">
        <v>4858</v>
      </c>
      <c r="AE451" s="828">
        <v>4944</v>
      </c>
      <c r="AF451" s="828">
        <v>4756</v>
      </c>
      <c r="AG451" s="828">
        <v>4901</v>
      </c>
      <c r="AH451" s="828">
        <v>4527</v>
      </c>
      <c r="AI451" s="828">
        <v>4531</v>
      </c>
      <c r="AJ451" s="828">
        <v>4463</v>
      </c>
      <c r="AK451" s="828">
        <v>4190</v>
      </c>
      <c r="AL451" s="828">
        <v>4038</v>
      </c>
      <c r="AM451" s="828">
        <v>3958</v>
      </c>
      <c r="AN451" s="828">
        <v>3807</v>
      </c>
      <c r="AO451" s="828">
        <v>3816</v>
      </c>
      <c r="AP451" s="828">
        <v>3890</v>
      </c>
    </row>
    <row r="452" hidden="1" ht="12.75" customHeight="1">
      <c r="B452" s="829" t="s">
        <v>12</v>
      </c>
      <c r="C452" s="823">
        <v>2859</v>
      </c>
      <c r="D452" s="823">
        <v>2779</v>
      </c>
      <c r="E452" s="823">
        <v>2690</v>
      </c>
      <c r="F452" s="823">
        <v>2666</v>
      </c>
      <c r="G452" s="823">
        <v>2489</v>
      </c>
      <c r="H452" s="823">
        <v>2470</v>
      </c>
      <c r="I452" s="823">
        <v>2724</v>
      </c>
      <c r="J452" s="823">
        <v>2105</v>
      </c>
      <c r="K452" s="823">
        <v>2896</v>
      </c>
      <c r="L452" s="823">
        <v>2598</v>
      </c>
      <c r="M452" s="823">
        <v>3066</v>
      </c>
      <c r="N452" s="823">
        <v>2811</v>
      </c>
      <c r="O452" s="823">
        <v>2979</v>
      </c>
      <c r="P452" s="823">
        <v>2567</v>
      </c>
      <c r="Q452" s="823">
        <v>2725</v>
      </c>
      <c r="R452" s="823">
        <v>2871</v>
      </c>
      <c r="S452" s="823">
        <v>3084</v>
      </c>
      <c r="T452" s="823">
        <v>3364</v>
      </c>
      <c r="U452" s="823">
        <v>3963</v>
      </c>
      <c r="V452" s="823">
        <v>3074</v>
      </c>
      <c r="W452" s="823">
        <v>4356</v>
      </c>
      <c r="X452" s="823">
        <v>3496</v>
      </c>
      <c r="Y452" s="823">
        <v>4477</v>
      </c>
      <c r="Z452" s="823">
        <v>3429</v>
      </c>
      <c r="AA452" s="823">
        <v>4403</v>
      </c>
      <c r="AB452" s="823">
        <v>3157</v>
      </c>
      <c r="AC452" s="825">
        <v>4265</v>
      </c>
      <c r="AD452" s="825">
        <v>3640</v>
      </c>
      <c r="AE452" s="825">
        <v>3997</v>
      </c>
      <c r="AF452" s="825">
        <v>4369</v>
      </c>
      <c r="AG452" s="825">
        <v>5103</v>
      </c>
      <c r="AH452" s="825">
        <v>3972</v>
      </c>
      <c r="AI452" s="825">
        <v>5440</v>
      </c>
      <c r="AJ452" s="825">
        <v>4647</v>
      </c>
      <c r="AK452" s="825">
        <v>4742</v>
      </c>
      <c r="AL452" s="825">
        <v>3527</v>
      </c>
      <c r="AM452" s="825">
        <v>5153</v>
      </c>
      <c r="AN452" s="825">
        <v>4297</v>
      </c>
      <c r="AO452" s="825">
        <v>5488</v>
      </c>
      <c r="AP452" s="825">
        <v>4812</v>
      </c>
    </row>
    <row r="453" hidden="1" ht="12.75" customHeight="1">
      <c r="B453" s="826" t="s">
        <v>13</v>
      </c>
      <c r="C453" s="827">
        <v>42285</v>
      </c>
      <c r="D453" s="827">
        <v>40133</v>
      </c>
      <c r="E453" s="827">
        <v>43510</v>
      </c>
      <c r="F453" s="827">
        <v>42355</v>
      </c>
      <c r="G453" s="827">
        <v>41080</v>
      </c>
      <c r="H453" s="827">
        <v>42988</v>
      </c>
      <c r="I453" s="827">
        <v>43182</v>
      </c>
      <c r="J453" s="827">
        <v>41041</v>
      </c>
      <c r="K453" s="827">
        <v>42260</v>
      </c>
      <c r="L453" s="827">
        <v>41846</v>
      </c>
      <c r="M453" s="827">
        <v>42603</v>
      </c>
      <c r="N453" s="827">
        <v>43010</v>
      </c>
      <c r="O453" s="827">
        <v>44757</v>
      </c>
      <c r="P453" s="827">
        <v>43709</v>
      </c>
      <c r="Q453" s="827">
        <v>44513</v>
      </c>
      <c r="R453" s="827">
        <v>42687</v>
      </c>
      <c r="S453" s="827">
        <v>46209</v>
      </c>
      <c r="T453" s="827">
        <v>45296</v>
      </c>
      <c r="U453" s="827">
        <v>48309</v>
      </c>
      <c r="V453" s="827">
        <v>43917</v>
      </c>
      <c r="W453" s="827">
        <v>47319</v>
      </c>
      <c r="X453" s="827">
        <v>45506</v>
      </c>
      <c r="Y453" s="827">
        <v>48195</v>
      </c>
      <c r="Z453" s="827">
        <v>45198</v>
      </c>
      <c r="AA453" s="827">
        <v>47416</v>
      </c>
      <c r="AB453" s="827">
        <v>42709</v>
      </c>
      <c r="AC453" s="828">
        <v>46724</v>
      </c>
      <c r="AD453" s="828">
        <v>43548</v>
      </c>
      <c r="AE453" s="828">
        <v>48345</v>
      </c>
      <c r="AF453" s="828">
        <v>43938</v>
      </c>
      <c r="AG453" s="828">
        <v>47474</v>
      </c>
      <c r="AH453" s="828">
        <v>42064</v>
      </c>
      <c r="AI453" s="828">
        <v>46926</v>
      </c>
      <c r="AJ453" s="828">
        <v>39200</v>
      </c>
      <c r="AK453" s="828">
        <v>41008</v>
      </c>
      <c r="AL453" s="828">
        <v>37142</v>
      </c>
      <c r="AM453" s="828">
        <v>39721</v>
      </c>
      <c r="AN453" s="828">
        <v>35780</v>
      </c>
      <c r="AO453" s="828">
        <v>40865</v>
      </c>
      <c r="AP453" s="828">
        <v>37420</v>
      </c>
    </row>
    <row r="454" hidden="1" ht="12.75" customHeight="1">
      <c r="B454" s="829" t="s">
        <v>109</v>
      </c>
      <c r="C454" s="823">
        <v>62803</v>
      </c>
      <c r="D454" s="823">
        <v>73538</v>
      </c>
      <c r="E454" s="823">
        <v>63171</v>
      </c>
      <c r="F454" s="823">
        <v>67639</v>
      </c>
      <c r="G454" s="823">
        <v>59899</v>
      </c>
      <c r="H454" s="823">
        <v>70160</v>
      </c>
      <c r="I454" s="823">
        <v>66801</v>
      </c>
      <c r="J454" s="823">
        <v>79632</v>
      </c>
      <c r="K454" s="823">
        <v>59824</v>
      </c>
      <c r="L454" s="823">
        <v>73635</v>
      </c>
      <c r="M454" s="823">
        <v>58894</v>
      </c>
      <c r="N454" s="823">
        <v>78290</v>
      </c>
      <c r="O454" s="823">
        <v>60904</v>
      </c>
      <c r="P454" s="823">
        <v>65595</v>
      </c>
      <c r="Q454" s="823">
        <v>55936</v>
      </c>
      <c r="R454" s="823">
        <v>67349</v>
      </c>
      <c r="S454" s="823">
        <v>52191</v>
      </c>
      <c r="T454" s="823">
        <v>72932</v>
      </c>
      <c r="U454" s="823">
        <v>70962</v>
      </c>
      <c r="V454" s="823">
        <v>83528</v>
      </c>
      <c r="W454" s="823">
        <v>74977</v>
      </c>
      <c r="X454" s="823">
        <v>82393</v>
      </c>
      <c r="Y454" s="823">
        <v>85862</v>
      </c>
      <c r="Z454" s="823">
        <v>99009</v>
      </c>
      <c r="AA454" s="823">
        <v>89553</v>
      </c>
      <c r="AB454" s="823">
        <v>93454</v>
      </c>
      <c r="AC454" s="825">
        <v>91574</v>
      </c>
      <c r="AD454" s="825">
        <v>101344</v>
      </c>
      <c r="AE454" s="825">
        <v>92654</v>
      </c>
      <c r="AF454" s="825">
        <v>102071</v>
      </c>
      <c r="AG454" s="825">
        <v>96709</v>
      </c>
      <c r="AH454" s="825">
        <v>106082</v>
      </c>
      <c r="AI454" s="825">
        <v>103707</v>
      </c>
      <c r="AJ454" s="825">
        <v>115703</v>
      </c>
      <c r="AK454" s="825">
        <v>105425</v>
      </c>
      <c r="AL454" s="825">
        <v>103406</v>
      </c>
      <c r="AM454" s="825">
        <v>90672</v>
      </c>
      <c r="AN454" s="825">
        <v>98869</v>
      </c>
      <c r="AO454" s="825">
        <v>97709</v>
      </c>
      <c r="AP454" s="825">
        <v>102718</v>
      </c>
    </row>
    <row r="455" hidden="1" ht="12.75" customHeight="1">
      <c r="B455" s="826" t="s">
        <v>110</v>
      </c>
      <c r="C455" s="827">
        <v>203119</v>
      </c>
      <c r="D455" s="827">
        <v>197287</v>
      </c>
      <c r="E455" s="827">
        <v>214078</v>
      </c>
      <c r="F455" s="827">
        <v>214615</v>
      </c>
      <c r="G455" s="827">
        <v>232158</v>
      </c>
      <c r="H455" s="827">
        <v>210236</v>
      </c>
      <c r="I455" s="827">
        <v>233056</v>
      </c>
      <c r="J455" s="827">
        <v>219006</v>
      </c>
      <c r="K455" s="827">
        <v>227158</v>
      </c>
      <c r="L455" s="827">
        <v>219842</v>
      </c>
      <c r="M455" s="827">
        <v>236542</v>
      </c>
      <c r="N455" s="827">
        <v>231224</v>
      </c>
      <c r="O455" s="827">
        <v>238157</v>
      </c>
      <c r="P455" s="827">
        <v>223888</v>
      </c>
      <c r="Q455" s="827">
        <v>222853</v>
      </c>
      <c r="R455" s="827">
        <v>217869</v>
      </c>
      <c r="S455" s="827">
        <v>240842</v>
      </c>
      <c r="T455" s="827">
        <v>239714</v>
      </c>
      <c r="U455" s="827">
        <v>255789</v>
      </c>
      <c r="V455" s="827">
        <v>243143</v>
      </c>
      <c r="W455" s="827">
        <v>254440</v>
      </c>
      <c r="X455" s="827">
        <v>246435</v>
      </c>
      <c r="Y455" s="827">
        <v>270230</v>
      </c>
      <c r="Z455" s="827">
        <v>256892</v>
      </c>
      <c r="AA455" s="827">
        <v>262850</v>
      </c>
      <c r="AB455" s="827">
        <v>248634</v>
      </c>
      <c r="AC455" s="828">
        <v>268693</v>
      </c>
      <c r="AD455" s="828">
        <v>261871</v>
      </c>
      <c r="AE455" s="828">
        <v>268898</v>
      </c>
      <c r="AF455" s="828">
        <v>264419</v>
      </c>
      <c r="AG455" s="828">
        <v>283389</v>
      </c>
      <c r="AH455" s="828">
        <v>266684</v>
      </c>
      <c r="AI455" s="828">
        <v>280171</v>
      </c>
      <c r="AJ455" s="828">
        <v>266125</v>
      </c>
      <c r="AK455" s="828">
        <v>267614</v>
      </c>
      <c r="AL455" s="828">
        <v>248098</v>
      </c>
      <c r="AM455" s="828">
        <v>257005</v>
      </c>
      <c r="AN455" s="828">
        <v>242553</v>
      </c>
      <c r="AO455" s="828">
        <v>273074</v>
      </c>
      <c r="AP455" s="828">
        <v>258608</v>
      </c>
    </row>
    <row r="456" hidden="1" ht="12.75" customHeight="1">
      <c r="B456" s="829" t="s">
        <v>16</v>
      </c>
      <c r="C456" s="823">
        <v>187478</v>
      </c>
      <c r="D456" s="823">
        <v>188614</v>
      </c>
      <c r="E456" s="823">
        <v>177641</v>
      </c>
      <c r="F456" s="823">
        <v>165924</v>
      </c>
      <c r="G456" s="823">
        <v>152091</v>
      </c>
      <c r="H456" s="823">
        <v>117283</v>
      </c>
      <c r="I456" s="823">
        <v>145866</v>
      </c>
      <c r="J456" s="823">
        <v>124944</v>
      </c>
      <c r="K456" s="823">
        <v>146780</v>
      </c>
      <c r="L456" s="823">
        <v>138740</v>
      </c>
      <c r="M456" s="823">
        <v>136601</v>
      </c>
      <c r="N456" s="823">
        <v>145041</v>
      </c>
      <c r="O456" s="823">
        <v>140636</v>
      </c>
      <c r="P456" s="823">
        <v>133743</v>
      </c>
      <c r="Q456" s="823">
        <v>133586</v>
      </c>
      <c r="R456" s="823">
        <v>0</v>
      </c>
      <c r="S456" s="823">
        <v>147448</v>
      </c>
      <c r="T456" s="823">
        <v>121974</v>
      </c>
      <c r="U456" s="823">
        <v>143476</v>
      </c>
      <c r="V456" s="823">
        <v>154788</v>
      </c>
      <c r="W456" s="823">
        <v>157059</v>
      </c>
      <c r="X456" s="823">
        <v>149741</v>
      </c>
      <c r="Y456" s="823">
        <v>158348</v>
      </c>
      <c r="Z456" s="823">
        <v>161755</v>
      </c>
      <c r="AA456" s="823">
        <v>167104</v>
      </c>
      <c r="AB456" s="823">
        <v>164140</v>
      </c>
      <c r="AC456" s="825">
        <v>165040</v>
      </c>
      <c r="AD456" s="825">
        <v>161342</v>
      </c>
      <c r="AE456" s="825">
        <v>163438</v>
      </c>
      <c r="AF456" s="825">
        <v>166163</v>
      </c>
      <c r="AG456" s="825">
        <v>165766</v>
      </c>
      <c r="AH456" s="825">
        <v>161511</v>
      </c>
      <c r="AI456" s="825">
        <v>168025</v>
      </c>
      <c r="AJ456" s="825">
        <v>165357</v>
      </c>
      <c r="AK456" s="825">
        <v>155979</v>
      </c>
      <c r="AL456" s="825">
        <v>153413</v>
      </c>
      <c r="AM456" s="825">
        <v>165164</v>
      </c>
      <c r="AN456" s="825">
        <v>160986</v>
      </c>
      <c r="AO456" s="825">
        <v>167422</v>
      </c>
      <c r="AP456" s="825">
        <v>171425</v>
      </c>
    </row>
    <row r="457" hidden="1" ht="12.75" customHeight="1">
      <c r="B457" s="826" t="s">
        <v>17</v>
      </c>
      <c r="C457" s="827">
        <v>119426</v>
      </c>
      <c r="D457" s="827">
        <v>114171</v>
      </c>
      <c r="E457" s="827">
        <v>137301</v>
      </c>
      <c r="F457" s="827">
        <v>135947</v>
      </c>
      <c r="G457" s="827">
        <v>134820</v>
      </c>
      <c r="H457" s="827">
        <v>116444</v>
      </c>
      <c r="I457" s="827">
        <v>119188</v>
      </c>
      <c r="J457" s="827">
        <v>100638</v>
      </c>
      <c r="K457" s="827">
        <v>116456</v>
      </c>
      <c r="L457" s="827">
        <v>105360</v>
      </c>
      <c r="M457" s="827">
        <v>118610</v>
      </c>
      <c r="N457" s="827">
        <v>111507</v>
      </c>
      <c r="O457" s="827">
        <v>124046</v>
      </c>
      <c r="P457" s="827">
        <v>113315</v>
      </c>
      <c r="Q457" s="827">
        <v>115161</v>
      </c>
      <c r="R457" s="827">
        <v>116801</v>
      </c>
      <c r="S457" s="827">
        <v>133934</v>
      </c>
      <c r="T457" s="827">
        <v>133638</v>
      </c>
      <c r="U457" s="827">
        <v>137770</v>
      </c>
      <c r="V457" s="827">
        <v>138551</v>
      </c>
      <c r="W457" s="827">
        <v>143868</v>
      </c>
      <c r="X457" s="827">
        <v>140849</v>
      </c>
      <c r="Y457" s="827">
        <v>147529</v>
      </c>
      <c r="Z457" s="827">
        <v>136276</v>
      </c>
      <c r="AA457" s="827">
        <v>148803</v>
      </c>
      <c r="AB457" s="827">
        <v>135449</v>
      </c>
      <c r="AC457" s="828">
        <v>149662</v>
      </c>
      <c r="AD457" s="828">
        <v>145024</v>
      </c>
      <c r="AE457" s="828">
        <v>156986</v>
      </c>
      <c r="AF457" s="828">
        <v>143707</v>
      </c>
      <c r="AG457" s="828">
        <v>156736</v>
      </c>
      <c r="AH457" s="828">
        <v>148255</v>
      </c>
      <c r="AI457" s="828">
        <v>147286</v>
      </c>
      <c r="AJ457" s="828">
        <v>145237</v>
      </c>
      <c r="AK457" s="828">
        <v>139827</v>
      </c>
      <c r="AL457" s="828">
        <v>130305</v>
      </c>
      <c r="AM457" s="828">
        <v>136145</v>
      </c>
      <c r="AN457" s="828">
        <v>140424</v>
      </c>
      <c r="AO457" s="828">
        <v>148984</v>
      </c>
      <c r="AP457" s="828">
        <v>143976</v>
      </c>
    </row>
    <row r="458" hidden="1" ht="12.75" customHeight="1">
      <c r="B458" s="829" t="s">
        <v>18</v>
      </c>
      <c r="C458" s="823">
        <v>156033</v>
      </c>
      <c r="D458" s="823">
        <v>156268</v>
      </c>
      <c r="E458" s="823">
        <v>161878</v>
      </c>
      <c r="F458" s="823">
        <v>163242</v>
      </c>
      <c r="G458" s="823">
        <v>93087</v>
      </c>
      <c r="H458" s="823">
        <v>86216</v>
      </c>
      <c r="I458" s="823">
        <v>28111</v>
      </c>
      <c r="J458" s="823">
        <v>161292</v>
      </c>
      <c r="K458" s="823">
        <v>169437</v>
      </c>
      <c r="L458" s="823">
        <v>166910</v>
      </c>
      <c r="M458" s="823">
        <v>168702</v>
      </c>
      <c r="N458" s="823">
        <v>166249</v>
      </c>
      <c r="O458" s="823">
        <v>171523</v>
      </c>
      <c r="P458" s="823">
        <v>167588</v>
      </c>
      <c r="Q458" s="823">
        <v>164981</v>
      </c>
      <c r="R458" s="823">
        <v>168149</v>
      </c>
      <c r="S458" s="823">
        <v>171791</v>
      </c>
      <c r="T458" s="823">
        <v>174243</v>
      </c>
      <c r="U458" s="823">
        <v>178951</v>
      </c>
      <c r="V458" s="823">
        <v>172688</v>
      </c>
      <c r="W458" s="823">
        <v>174010</v>
      </c>
      <c r="X458" s="823">
        <v>167348</v>
      </c>
      <c r="Y458" s="823">
        <v>173696</v>
      </c>
      <c r="Z458" s="823">
        <v>169300</v>
      </c>
      <c r="AA458" s="823">
        <v>173223</v>
      </c>
      <c r="AB458" s="823">
        <v>169711</v>
      </c>
      <c r="AC458" s="825">
        <v>169561</v>
      </c>
      <c r="AD458" s="825">
        <v>169437</v>
      </c>
      <c r="AE458" s="825">
        <v>179806</v>
      </c>
      <c r="AF458" s="825">
        <v>174315</v>
      </c>
      <c r="AG458" s="825">
        <v>182252</v>
      </c>
      <c r="AH458" s="825">
        <v>179261</v>
      </c>
      <c r="AI458" s="825">
        <v>184788</v>
      </c>
      <c r="AJ458" s="825">
        <v>177341</v>
      </c>
      <c r="AK458" s="825">
        <v>176376</v>
      </c>
      <c r="AL458" s="825">
        <v>174111</v>
      </c>
      <c r="AM458" s="825">
        <v>173387</v>
      </c>
      <c r="AN458" s="825">
        <v>167500</v>
      </c>
      <c r="AO458" s="825">
        <v>174612</v>
      </c>
      <c r="AP458" s="825">
        <v>169729</v>
      </c>
    </row>
    <row r="459" hidden="1" ht="12.75" customHeight="1">
      <c r="B459" s="826" t="s">
        <v>19</v>
      </c>
      <c r="C459" s="827">
        <v>16712</v>
      </c>
      <c r="D459" s="827">
        <v>17621</v>
      </c>
      <c r="E459" s="827">
        <v>17345</v>
      </c>
      <c r="F459" s="827">
        <v>17810</v>
      </c>
      <c r="G459" s="827">
        <v>13766</v>
      </c>
      <c r="H459" s="827">
        <v>16579</v>
      </c>
      <c r="I459" s="827">
        <v>16489</v>
      </c>
      <c r="J459" s="827">
        <v>17134</v>
      </c>
      <c r="K459" s="827">
        <v>15712</v>
      </c>
      <c r="L459" s="827">
        <v>342</v>
      </c>
      <c r="M459" s="827">
        <v>15585</v>
      </c>
      <c r="N459" s="827">
        <v>16865</v>
      </c>
      <c r="O459" s="827">
        <v>16058</v>
      </c>
      <c r="P459" s="827">
        <v>15682</v>
      </c>
      <c r="Q459" s="827">
        <v>14175</v>
      </c>
      <c r="R459" s="827">
        <v>15061</v>
      </c>
      <c r="S459" s="827">
        <v>14835</v>
      </c>
      <c r="T459" s="827">
        <v>15343</v>
      </c>
      <c r="U459" s="827">
        <v>15839</v>
      </c>
      <c r="V459" s="827">
        <v>16821</v>
      </c>
      <c r="W459" s="827">
        <v>16119</v>
      </c>
      <c r="X459" s="827">
        <v>15842</v>
      </c>
      <c r="Y459" s="827">
        <v>16425</v>
      </c>
      <c r="Z459" s="827">
        <v>17290</v>
      </c>
      <c r="AA459" s="827">
        <v>16225</v>
      </c>
      <c r="AB459" s="827">
        <v>16009</v>
      </c>
      <c r="AC459" s="828">
        <v>16929</v>
      </c>
      <c r="AD459" s="828">
        <v>17167</v>
      </c>
      <c r="AE459" s="828">
        <v>15646</v>
      </c>
      <c r="AF459" s="828">
        <v>17766</v>
      </c>
      <c r="AG459" s="828">
        <v>17153</v>
      </c>
      <c r="AH459" s="828">
        <v>18203</v>
      </c>
      <c r="AI459" s="828">
        <v>16234</v>
      </c>
      <c r="AJ459" s="828">
        <v>16544</v>
      </c>
      <c r="AK459" s="828">
        <v>15154</v>
      </c>
      <c r="AL459" s="828">
        <v>13648</v>
      </c>
      <c r="AM459" s="828">
        <v>13921</v>
      </c>
      <c r="AN459" s="828">
        <v>14722</v>
      </c>
      <c r="AO459" s="828">
        <v>15999</v>
      </c>
      <c r="AP459" s="828">
        <v>13930</v>
      </c>
    </row>
    <row r="460" hidden="1" ht="12.75" customHeight="1">
      <c r="B460" s="829" t="s">
        <v>20</v>
      </c>
      <c r="C460" s="823">
        <v>10221</v>
      </c>
      <c r="D460" s="823">
        <v>18318</v>
      </c>
      <c r="E460" s="823">
        <v>9831</v>
      </c>
      <c r="F460" s="823">
        <v>13598</v>
      </c>
      <c r="G460" s="823">
        <v>9410</v>
      </c>
      <c r="H460" s="823">
        <v>12385</v>
      </c>
      <c r="I460" s="823">
        <v>8792</v>
      </c>
      <c r="J460" s="823">
        <v>12172</v>
      </c>
      <c r="K460" s="823">
        <v>7957</v>
      </c>
      <c r="L460" s="823">
        <v>8811</v>
      </c>
      <c r="M460" s="823">
        <v>6122</v>
      </c>
      <c r="N460" s="823">
        <v>8834</v>
      </c>
      <c r="O460" s="823">
        <v>7052</v>
      </c>
      <c r="P460" s="823">
        <v>9408</v>
      </c>
      <c r="Q460" s="823">
        <v>7835</v>
      </c>
      <c r="R460" s="823">
        <v>8094</v>
      </c>
      <c r="S460" s="823">
        <v>7756</v>
      </c>
      <c r="T460" s="823">
        <v>10029</v>
      </c>
      <c r="U460" s="823">
        <v>8426</v>
      </c>
      <c r="V460" s="823">
        <v>9803</v>
      </c>
      <c r="W460" s="823">
        <v>8395</v>
      </c>
      <c r="X460" s="823">
        <v>9533</v>
      </c>
      <c r="Y460" s="823">
        <v>7558</v>
      </c>
      <c r="Z460" s="823">
        <v>9937</v>
      </c>
      <c r="AA460" s="823">
        <v>7724</v>
      </c>
      <c r="AB460" s="823">
        <v>9707</v>
      </c>
      <c r="AC460" s="825">
        <v>8147</v>
      </c>
      <c r="AD460" s="825">
        <v>9827</v>
      </c>
      <c r="AE460" s="825">
        <v>7683</v>
      </c>
      <c r="AF460" s="825">
        <v>11273</v>
      </c>
      <c r="AG460" s="825">
        <v>9789</v>
      </c>
      <c r="AH460" s="825">
        <v>12467</v>
      </c>
      <c r="AI460" s="825">
        <v>13012</v>
      </c>
      <c r="AJ460" s="825">
        <v>14737</v>
      </c>
      <c r="AK460" s="825">
        <v>13652</v>
      </c>
      <c r="AL460" s="825">
        <v>13278</v>
      </c>
      <c r="AM460" s="825">
        <v>11247</v>
      </c>
      <c r="AN460" s="825">
        <v>11991</v>
      </c>
      <c r="AO460" s="825">
        <v>13601</v>
      </c>
      <c r="AP460" s="825">
        <v>13608</v>
      </c>
    </row>
    <row r="461" hidden="1" ht="12.75" customHeight="1">
      <c r="B461" s="826" t="s">
        <v>21</v>
      </c>
      <c r="C461" s="827">
        <v>21285</v>
      </c>
      <c r="D461" s="827">
        <v>21363</v>
      </c>
      <c r="E461" s="827">
        <v>19747</v>
      </c>
      <c r="F461" s="827">
        <v>21176</v>
      </c>
      <c r="G461" s="827">
        <v>21146</v>
      </c>
      <c r="H461" s="827">
        <v>21520</v>
      </c>
      <c r="I461" s="827">
        <v>19625</v>
      </c>
      <c r="J461" s="827">
        <v>20734</v>
      </c>
      <c r="K461" s="827">
        <v>19258</v>
      </c>
      <c r="L461" s="827">
        <v>20270</v>
      </c>
      <c r="M461" s="827">
        <v>19335</v>
      </c>
      <c r="N461" s="827">
        <v>20912</v>
      </c>
      <c r="O461" s="827">
        <v>19668</v>
      </c>
      <c r="P461" s="827">
        <v>20572</v>
      </c>
      <c r="Q461" s="827">
        <v>19272</v>
      </c>
      <c r="R461" s="827">
        <v>20321</v>
      </c>
      <c r="S461" s="827">
        <v>19486</v>
      </c>
      <c r="T461" s="827">
        <v>21144</v>
      </c>
      <c r="U461" s="827">
        <v>20771</v>
      </c>
      <c r="V461" s="827">
        <v>22497</v>
      </c>
      <c r="W461" s="827">
        <v>21134</v>
      </c>
      <c r="X461" s="827">
        <v>22568</v>
      </c>
      <c r="Y461" s="827">
        <v>22060</v>
      </c>
      <c r="Z461" s="827">
        <v>22000</v>
      </c>
      <c r="AA461" s="827">
        <v>21659</v>
      </c>
      <c r="AB461" s="827">
        <v>21866</v>
      </c>
      <c r="AC461" s="828">
        <v>21305</v>
      </c>
      <c r="AD461" s="828">
        <v>22435</v>
      </c>
      <c r="AE461" s="828">
        <v>22630</v>
      </c>
      <c r="AF461" s="828">
        <v>24672</v>
      </c>
      <c r="AG461" s="828">
        <v>23162</v>
      </c>
      <c r="AH461" s="828">
        <v>23891</v>
      </c>
      <c r="AI461" s="828">
        <v>24286</v>
      </c>
      <c r="AJ461" s="828">
        <v>24725</v>
      </c>
      <c r="AK461" s="828">
        <v>21414</v>
      </c>
      <c r="AL461" s="828">
        <v>21605</v>
      </c>
      <c r="AM461" s="828">
        <v>21331</v>
      </c>
      <c r="AN461" s="828">
        <v>22115</v>
      </c>
      <c r="AO461" s="828">
        <v>22633</v>
      </c>
      <c r="AP461" s="828">
        <v>23354</v>
      </c>
    </row>
    <row r="462" hidden="1" ht="12.75" customHeight="1">
      <c r="B462" s="829" t="s">
        <v>22</v>
      </c>
      <c r="C462" s="823">
        <v>24505</v>
      </c>
      <c r="D462" s="823">
        <v>25032</v>
      </c>
      <c r="E462" s="823">
        <v>24725</v>
      </c>
      <c r="F462" s="823">
        <v>24962</v>
      </c>
      <c r="G462" s="823">
        <v>25443</v>
      </c>
      <c r="H462" s="823">
        <v>25507</v>
      </c>
      <c r="I462" s="823">
        <v>23962</v>
      </c>
      <c r="J462" s="823">
        <v>23523</v>
      </c>
      <c r="K462" s="823">
        <v>23450</v>
      </c>
      <c r="L462" s="823">
        <v>24156</v>
      </c>
      <c r="M462" s="823">
        <v>24295</v>
      </c>
      <c r="N462" s="823">
        <v>24827</v>
      </c>
      <c r="O462" s="823">
        <v>24258</v>
      </c>
      <c r="P462" s="823">
        <v>23515</v>
      </c>
      <c r="Q462" s="823">
        <v>23510</v>
      </c>
      <c r="R462" s="823">
        <v>23547</v>
      </c>
      <c r="S462" s="823">
        <v>24661</v>
      </c>
      <c r="T462" s="823">
        <v>24545</v>
      </c>
      <c r="U462" s="823">
        <v>25188</v>
      </c>
      <c r="V462" s="823">
        <v>24803</v>
      </c>
      <c r="W462" s="823">
        <v>25374</v>
      </c>
      <c r="X462" s="823">
        <v>25688</v>
      </c>
      <c r="Y462" s="823">
        <v>26556</v>
      </c>
      <c r="Z462" s="823">
        <v>25737</v>
      </c>
      <c r="AA462" s="823">
        <v>26637</v>
      </c>
      <c r="AB462" s="823">
        <v>25805</v>
      </c>
      <c r="AC462" s="825">
        <v>26728</v>
      </c>
      <c r="AD462" s="825">
        <v>24404</v>
      </c>
      <c r="AE462" s="825">
        <v>26573</v>
      </c>
      <c r="AF462" s="825">
        <v>26985</v>
      </c>
      <c r="AG462" s="825">
        <v>26278</v>
      </c>
      <c r="AH462" s="825">
        <v>24824</v>
      </c>
      <c r="AI462" s="825">
        <v>25399</v>
      </c>
      <c r="AJ462" s="825">
        <v>24584</v>
      </c>
      <c r="AK462" s="825">
        <v>23563</v>
      </c>
      <c r="AL462" s="825">
        <v>22759</v>
      </c>
      <c r="AM462" s="825">
        <v>22524</v>
      </c>
      <c r="AN462" s="825">
        <v>22031</v>
      </c>
      <c r="AO462" s="825">
        <v>23246</v>
      </c>
      <c r="AP462" s="825">
        <v>22518</v>
      </c>
    </row>
    <row r="463" hidden="1" ht="12.75" customHeight="1">
      <c r="B463" s="826" t="s">
        <v>23</v>
      </c>
      <c r="C463" s="827">
        <v>6296</v>
      </c>
      <c r="D463" s="827">
        <v>7455</v>
      </c>
      <c r="E463" s="827">
        <v>6132</v>
      </c>
      <c r="F463" s="827">
        <v>7226</v>
      </c>
      <c r="G463" s="827">
        <v>6691</v>
      </c>
      <c r="H463" s="827">
        <v>6220</v>
      </c>
      <c r="I463" s="827">
        <v>5324</v>
      </c>
      <c r="J463" s="827">
        <v>5210</v>
      </c>
      <c r="K463" s="827">
        <v>5029</v>
      </c>
      <c r="L463" s="827">
        <v>5645</v>
      </c>
      <c r="M463" s="827">
        <v>5543</v>
      </c>
      <c r="N463" s="827">
        <v>5781</v>
      </c>
      <c r="O463" s="827">
        <v>5548</v>
      </c>
      <c r="P463" s="827">
        <v>5439</v>
      </c>
      <c r="Q463" s="827">
        <v>4905</v>
      </c>
      <c r="R463" s="827">
        <v>4912</v>
      </c>
      <c r="S463" s="827">
        <v>5285</v>
      </c>
      <c r="T463" s="827">
        <v>5482</v>
      </c>
      <c r="U463" s="827">
        <v>6064</v>
      </c>
      <c r="V463" s="827">
        <v>5698</v>
      </c>
      <c r="W463" s="827">
        <v>5609</v>
      </c>
      <c r="X463" s="827">
        <v>5754</v>
      </c>
      <c r="Y463" s="827">
        <v>5843</v>
      </c>
      <c r="Z463" s="827">
        <v>5900</v>
      </c>
      <c r="AA463" s="827">
        <v>6142</v>
      </c>
      <c r="AB463" s="827">
        <v>5709</v>
      </c>
      <c r="AC463" s="828">
        <v>6446</v>
      </c>
      <c r="AD463" s="828">
        <v>5811</v>
      </c>
      <c r="AE463" s="828">
        <v>5850</v>
      </c>
      <c r="AF463" s="828">
        <v>6328</v>
      </c>
      <c r="AG463" s="828">
        <v>5919</v>
      </c>
      <c r="AH463" s="828">
        <v>5784</v>
      </c>
      <c r="AI463" s="828">
        <v>5395</v>
      </c>
      <c r="AJ463" s="828">
        <v>6356</v>
      </c>
      <c r="AK463" s="828">
        <v>5162</v>
      </c>
      <c r="AL463" s="828">
        <v>4904</v>
      </c>
      <c r="AM463" s="828">
        <v>4984</v>
      </c>
      <c r="AN463" s="828">
        <v>4470</v>
      </c>
      <c r="AO463" s="828">
        <v>5558</v>
      </c>
      <c r="AP463" s="828">
        <v>5177</v>
      </c>
    </row>
    <row r="464" hidden="1" ht="12.75" customHeight="1">
      <c r="B464" s="830" t="s">
        <v>24</v>
      </c>
      <c r="C464" s="823">
        <v>15088</v>
      </c>
      <c r="D464" s="823">
        <v>18224</v>
      </c>
      <c r="E464" s="823">
        <v>12920</v>
      </c>
      <c r="F464" s="823">
        <v>17287</v>
      </c>
      <c r="G464" s="823">
        <v>10079</v>
      </c>
      <c r="H464" s="823">
        <v>11830</v>
      </c>
      <c r="I464" s="823">
        <v>9382</v>
      </c>
      <c r="J464" s="823">
        <v>12190</v>
      </c>
      <c r="K464" s="823">
        <v>8771</v>
      </c>
      <c r="L464" s="823">
        <v>10575</v>
      </c>
      <c r="M464" s="823">
        <v>8260</v>
      </c>
      <c r="N464" s="823">
        <v>11249</v>
      </c>
      <c r="O464" s="823">
        <v>8311</v>
      </c>
      <c r="P464" s="823">
        <v>9721</v>
      </c>
      <c r="Q464" s="823">
        <v>7854</v>
      </c>
      <c r="R464" s="823">
        <v>10347</v>
      </c>
      <c r="S464" s="823">
        <v>9738</v>
      </c>
      <c r="T464" s="823">
        <v>12057</v>
      </c>
      <c r="U464" s="823">
        <v>10008</v>
      </c>
      <c r="V464" s="823">
        <v>11821</v>
      </c>
      <c r="W464" s="823">
        <v>9253</v>
      </c>
      <c r="X464" s="823">
        <v>10375</v>
      </c>
      <c r="Y464" s="823">
        <v>9390</v>
      </c>
      <c r="Z464" s="823">
        <v>10621</v>
      </c>
      <c r="AA464" s="823">
        <v>9191</v>
      </c>
      <c r="AB464" s="823">
        <v>9722</v>
      </c>
      <c r="AC464" s="825">
        <v>9091</v>
      </c>
      <c r="AD464" s="825">
        <v>10668</v>
      </c>
      <c r="AE464" s="825">
        <v>9066</v>
      </c>
      <c r="AF464" s="825">
        <v>9740</v>
      </c>
      <c r="AG464" s="825">
        <v>9459</v>
      </c>
      <c r="AH464" s="825">
        <v>9678</v>
      </c>
      <c r="AI464" s="825">
        <v>9923</v>
      </c>
      <c r="AJ464" s="825">
        <v>11342</v>
      </c>
      <c r="AK464" s="825">
        <v>9353</v>
      </c>
      <c r="AL464" s="825">
        <v>10613</v>
      </c>
      <c r="AM464" s="825">
        <v>9464</v>
      </c>
      <c r="AN464" s="825">
        <v>10372</v>
      </c>
      <c r="AO464" s="825">
        <v>10274</v>
      </c>
      <c r="AP464" s="825">
        <v>10952</v>
      </c>
    </row>
    <row r="465" hidden="1" ht="12.75" customHeight="1">
      <c r="B465" s="826" t="s">
        <v>25</v>
      </c>
      <c r="C465" s="827">
        <v>0</v>
      </c>
      <c r="D465" s="827">
        <v>0</v>
      </c>
      <c r="E465" s="827">
        <v>0</v>
      </c>
      <c r="F465" s="827">
        <v>0</v>
      </c>
      <c r="G465" s="827">
        <v>0</v>
      </c>
      <c r="H465" s="827">
        <v>0</v>
      </c>
      <c r="I465" s="827">
        <v>0</v>
      </c>
      <c r="J465" s="827">
        <v>0</v>
      </c>
      <c r="K465" s="827">
        <v>0</v>
      </c>
      <c r="L465" s="827">
        <v>0</v>
      </c>
      <c r="M465" s="827">
        <v>0</v>
      </c>
      <c r="N465" s="827">
        <v>0</v>
      </c>
      <c r="O465" s="827">
        <v>0</v>
      </c>
      <c r="P465" s="827">
        <v>0</v>
      </c>
      <c r="Q465" s="827">
        <v>0</v>
      </c>
      <c r="R465" s="827">
        <v>0</v>
      </c>
      <c r="S465" s="827">
        <v>0</v>
      </c>
      <c r="T465" s="827">
        <v>0</v>
      </c>
      <c r="U465" s="827">
        <v>0</v>
      </c>
      <c r="V465" s="827">
        <v>0</v>
      </c>
      <c r="W465" s="827">
        <v>0</v>
      </c>
      <c r="X465" s="827">
        <v>0</v>
      </c>
      <c r="Y465" s="827">
        <v>0</v>
      </c>
      <c r="Z465" s="827">
        <v>0</v>
      </c>
      <c r="AA465" s="827">
        <v>0</v>
      </c>
      <c r="AB465" s="827">
        <v>0</v>
      </c>
      <c r="AC465" s="828">
        <v>0</v>
      </c>
      <c r="AD465" s="828">
        <v>0</v>
      </c>
      <c r="AE465" s="828">
        <v>0</v>
      </c>
      <c r="AF465" s="828">
        <v>0</v>
      </c>
      <c r="AG465" s="828">
        <v>0</v>
      </c>
      <c r="AH465" s="828">
        <v>0</v>
      </c>
      <c r="AI465" s="828">
        <v>0</v>
      </c>
      <c r="AJ465" s="828">
        <v>0</v>
      </c>
      <c r="AK465" s="828">
        <v>0</v>
      </c>
      <c r="AL465" s="828">
        <v>0</v>
      </c>
      <c r="AM465" s="828">
        <v>0</v>
      </c>
      <c r="AN465" s="828">
        <v>0</v>
      </c>
      <c r="AO465" s="828">
        <v>0</v>
      </c>
      <c r="AP465" s="828">
        <v>0</v>
      </c>
    </row>
    <row r="466" hidden="1" ht="13.5" customHeight="1">
      <c r="B466" s="831" t="s">
        <v>26</v>
      </c>
      <c r="C466" s="823">
        <v>0</v>
      </c>
      <c r="D466" s="823">
        <v>0</v>
      </c>
      <c r="E466" s="823">
        <v>0</v>
      </c>
      <c r="F466" s="823">
        <v>0</v>
      </c>
      <c r="G466" s="823">
        <v>0</v>
      </c>
      <c r="H466" s="823">
        <v>0</v>
      </c>
      <c r="I466" s="823">
        <v>0</v>
      </c>
      <c r="J466" s="823">
        <v>0</v>
      </c>
      <c r="K466" s="823">
        <v>0</v>
      </c>
      <c r="L466" s="823">
        <v>0</v>
      </c>
      <c r="M466" s="823">
        <v>0</v>
      </c>
      <c r="N466" s="823">
        <v>0</v>
      </c>
      <c r="O466" s="823">
        <v>0</v>
      </c>
      <c r="P466" s="823">
        <v>0</v>
      </c>
      <c r="Q466" s="823">
        <v>0</v>
      </c>
      <c r="R466" s="823">
        <v>0</v>
      </c>
      <c r="S466" s="823">
        <v>0</v>
      </c>
      <c r="T466" s="823">
        <v>0</v>
      </c>
      <c r="U466" s="823">
        <v>0</v>
      </c>
      <c r="V466" s="823">
        <v>0</v>
      </c>
      <c r="W466" s="823">
        <v>0</v>
      </c>
      <c r="X466" s="823">
        <v>0</v>
      </c>
      <c r="Y466" s="823">
        <v>0</v>
      </c>
      <c r="Z466" s="823">
        <v>0</v>
      </c>
      <c r="AA466" s="823">
        <v>0</v>
      </c>
      <c r="AB466" s="832">
        <v>0</v>
      </c>
      <c r="AC466" s="825">
        <v>0</v>
      </c>
      <c r="AD466" s="825">
        <v>0</v>
      </c>
      <c r="AE466" s="825">
        <v>0</v>
      </c>
      <c r="AF466" s="825">
        <v>0</v>
      </c>
      <c r="AG466" s="825">
        <v>0</v>
      </c>
      <c r="AH466" s="825">
        <v>0</v>
      </c>
      <c r="AI466" s="825">
        <v>0</v>
      </c>
      <c r="AJ466" s="825">
        <v>0</v>
      </c>
      <c r="AK466" s="825">
        <v>0</v>
      </c>
      <c r="AL466" s="825">
        <v>0</v>
      </c>
      <c r="AM466" s="825">
        <v>0</v>
      </c>
      <c r="AN466" s="825">
        <v>0</v>
      </c>
      <c r="AO466" s="825">
        <v>0</v>
      </c>
      <c r="AP466" s="825">
        <v>0</v>
      </c>
    </row>
    <row r="467" hidden="1" ht="13.5" customHeight="1">
      <c r="B467" s="128" t="s">
        <v>7</v>
      </c>
      <c r="C467" s="129" t="str">
        <f>IF(SUM(C448:C466)&lt;&gt;0,SUM(C448:C466),"")</f>
      </c>
      <c r="D467" s="129" t="str">
        <f ref="D467:AA467" t="shared" si="52" ca="1">IF(SUM(D448:D466)&lt;&gt;0,SUM(D448:D466),"")</f>
      </c>
      <c r="E467" s="129" t="str">
        <f t="shared" si="52" ca="1"/>
      </c>
      <c r="F467" s="129" t="str">
        <f t="shared" si="52" ca="1"/>
      </c>
      <c r="G467" s="129" t="str">
        <f t="shared" si="52" ca="1"/>
      </c>
      <c r="H467" s="129" t="str">
        <f t="shared" si="52" ca="1"/>
      </c>
      <c r="I467" s="129" t="str">
        <f t="shared" si="52" ca="1"/>
      </c>
      <c r="J467" s="129" t="str">
        <f t="shared" si="52" ca="1"/>
      </c>
      <c r="K467" s="129" t="str">
        <f t="shared" si="52" ca="1"/>
      </c>
      <c r="L467" s="129" t="str">
        <f t="shared" si="52" ca="1"/>
      </c>
      <c r="M467" s="129" t="str">
        <f t="shared" si="52" ca="1"/>
      </c>
      <c r="N467" s="129" t="str">
        <f t="shared" si="52" ca="1"/>
      </c>
      <c r="O467" s="129" t="str">
        <f t="shared" si="52" ca="1"/>
      </c>
      <c r="P467" s="129" t="str">
        <f t="shared" si="52" ca="1"/>
      </c>
      <c r="Q467" s="129" t="str">
        <f t="shared" si="52" ca="1"/>
      </c>
      <c r="R467" s="129" t="str">
        <f t="shared" si="52" ca="1"/>
      </c>
      <c r="S467" s="129" t="str">
        <f t="shared" si="52" ca="1"/>
      </c>
      <c r="T467" s="129" t="str">
        <f t="shared" si="52" ca="1"/>
      </c>
      <c r="U467" s="129" t="str">
        <f t="shared" si="52" ca="1"/>
      </c>
      <c r="V467" s="129" t="str">
        <f t="shared" si="52" ca="1"/>
      </c>
      <c r="W467" s="129" t="str">
        <f t="shared" si="52" ca="1"/>
      </c>
      <c r="X467" s="129" t="str">
        <f t="shared" si="52" ca="1"/>
      </c>
      <c r="Y467" s="129" t="str">
        <f t="shared" si="52" ca="1"/>
      </c>
      <c r="Z467" s="129" t="str">
        <f t="shared" si="52" ca="1"/>
      </c>
      <c r="AA467" s="129" t="str">
        <f t="shared" si="52" ca="1"/>
      </c>
      <c r="AB467" s="130" t="str">
        <f>IF(SUM(AB448:AB466)&lt;&gt;0,SUM(AB448:AB466),"")</f>
      </c>
      <c r="AC467" s="91" t="str">
        <f ref="AC467:CN467" t="shared" si="53" ca="1">IF(SUM(AC448:AC466)&lt;&gt;0,SUM(AC448:AC466),"")</f>
      </c>
      <c r="AD467" s="91" t="str">
        <f t="shared" si="53" ca="1"/>
      </c>
      <c r="AE467" s="91" t="str">
        <f t="shared" si="53" ca="1"/>
      </c>
      <c r="AF467" s="91" t="str">
        <f t="shared" si="53" ca="1"/>
      </c>
      <c r="AG467" s="91" t="str">
        <f t="shared" si="53" ca="1"/>
      </c>
      <c r="AH467" s="91" t="str">
        <f t="shared" si="53" ca="1"/>
      </c>
      <c r="AI467" s="91" t="str">
        <f t="shared" si="53" ca="1"/>
      </c>
      <c r="AJ467" s="91" t="str">
        <f t="shared" si="53" ca="1"/>
      </c>
      <c r="AK467" s="91" t="str">
        <f t="shared" si="53" ca="1"/>
      </c>
      <c r="AL467" s="91" t="str">
        <f t="shared" si="53" ca="1"/>
      </c>
      <c r="AM467" s="91" t="str">
        <f t="shared" si="53" ca="1"/>
      </c>
      <c r="AN467" s="91" t="str">
        <f t="shared" si="53" ca="1"/>
      </c>
      <c r="AO467" s="91" t="str">
        <f t="shared" si="53" ca="1"/>
      </c>
      <c r="AP467" s="91" t="str">
        <f t="shared" si="53" ca="1"/>
      </c>
      <c r="AQ467" s="91" t="str">
        <f t="shared" si="53" ca="1"/>
      </c>
      <c r="AR467" s="91" t="str">
        <f t="shared" si="53" ca="1"/>
      </c>
      <c r="AS467" s="91" t="str">
        <f t="shared" si="53" ca="1"/>
      </c>
      <c r="AT467" s="91" t="str">
        <f t="shared" si="53" ca="1"/>
      </c>
      <c r="AU467" s="91" t="str">
        <f t="shared" si="53" ca="1"/>
      </c>
      <c r="AV467" s="91" t="str">
        <f t="shared" si="53" ca="1"/>
      </c>
      <c r="AW467" s="91" t="str">
        <f t="shared" si="53" ca="1"/>
      </c>
      <c r="AX467" s="91" t="str">
        <f t="shared" si="53" ca="1"/>
      </c>
      <c r="AY467" s="91" t="str">
        <f t="shared" si="53" ca="1"/>
      </c>
      <c r="AZ467" s="91" t="str">
        <f t="shared" si="53" ca="1"/>
      </c>
      <c r="BA467" s="91" t="str">
        <f t="shared" si="53" ca="1"/>
      </c>
      <c r="BB467" s="91" t="str">
        <f t="shared" si="53" ca="1"/>
      </c>
      <c r="BC467" s="91" t="str">
        <f t="shared" si="53" ca="1"/>
      </c>
      <c r="BD467" s="91" t="str">
        <f t="shared" si="53" ca="1"/>
      </c>
      <c r="BE467" s="91" t="str">
        <f t="shared" si="53" ca="1"/>
      </c>
      <c r="BF467" s="91" t="str">
        <f t="shared" si="53" ca="1"/>
      </c>
      <c r="BG467" s="91" t="str">
        <f t="shared" si="53" ca="1"/>
      </c>
      <c r="BH467" s="91" t="str">
        <f t="shared" si="53" ca="1"/>
      </c>
      <c r="BI467" s="91" t="str">
        <f t="shared" si="53" ca="1"/>
      </c>
      <c r="BJ467" s="91" t="str">
        <f t="shared" si="53" ca="1"/>
      </c>
      <c r="BK467" s="91" t="str">
        <f t="shared" si="53" ca="1"/>
      </c>
      <c r="BL467" s="91" t="str">
        <f t="shared" si="53" ca="1"/>
      </c>
      <c r="BM467" s="91" t="str">
        <f t="shared" si="53" ca="1"/>
      </c>
      <c r="BN467" s="91" t="str">
        <f t="shared" si="53" ca="1"/>
      </c>
      <c r="BO467" s="91" t="str">
        <f t="shared" si="53" ca="1"/>
      </c>
      <c r="BP467" s="91" t="str">
        <f t="shared" si="53" ca="1"/>
      </c>
      <c r="BQ467" s="91" t="str">
        <f t="shared" si="53" ca="1"/>
      </c>
      <c r="BR467" s="91" t="str">
        <f t="shared" si="53" ca="1"/>
      </c>
      <c r="BS467" s="91" t="str">
        <f t="shared" si="53" ca="1"/>
      </c>
      <c r="BT467" s="91" t="str">
        <f t="shared" si="53" ca="1"/>
      </c>
      <c r="BU467" s="91" t="str">
        <f t="shared" si="53" ca="1"/>
      </c>
      <c r="BV467" s="91" t="str">
        <f t="shared" si="53" ca="1"/>
      </c>
      <c r="BW467" s="91" t="str">
        <f t="shared" si="53" ca="1"/>
      </c>
      <c r="BX467" s="91" t="str">
        <f t="shared" si="53" ca="1"/>
      </c>
      <c r="BY467" s="91" t="str">
        <f t="shared" si="53" ca="1"/>
      </c>
      <c r="BZ467" s="91" t="str">
        <f t="shared" si="53" ca="1"/>
      </c>
      <c r="CA467" s="91" t="str">
        <f t="shared" si="53" ca="1"/>
      </c>
      <c r="CB467" s="91" t="str">
        <f t="shared" si="53" ca="1"/>
      </c>
      <c r="CC467" s="91" t="str">
        <f t="shared" si="53" ca="1"/>
      </c>
      <c r="CD467" s="91" t="str">
        <f t="shared" si="53" ca="1"/>
      </c>
      <c r="CE467" s="91" t="str">
        <f t="shared" si="53" ca="1"/>
      </c>
      <c r="CF467" s="91" t="str">
        <f t="shared" si="53" ca="1"/>
      </c>
      <c r="CG467" s="91" t="str">
        <f t="shared" si="53" ca="1"/>
      </c>
      <c r="CH467" s="91" t="str">
        <f t="shared" si="53" ca="1"/>
      </c>
      <c r="CI467" s="91" t="str">
        <f t="shared" si="53" ca="1"/>
      </c>
      <c r="CJ467" s="91" t="str">
        <f t="shared" si="53" ca="1"/>
      </c>
      <c r="CK467" s="91" t="str">
        <f t="shared" si="53" ca="1"/>
      </c>
      <c r="CL467" s="91" t="str">
        <f t="shared" si="53" ca="1"/>
      </c>
      <c r="CM467" s="91" t="str">
        <f t="shared" si="53" ca="1"/>
      </c>
      <c r="CN467" s="91" t="str">
        <f t="shared" si="53" ca="1"/>
      </c>
      <c r="CO467" s="91" t="str">
        <f ref="CO467:EZ467" t="shared" si="54" ca="1">IF(SUM(CO448:CO466)&lt;&gt;0,SUM(CO448:CO466),"")</f>
      </c>
      <c r="CP467" s="91" t="str">
        <f t="shared" si="54" ca="1"/>
      </c>
      <c r="CQ467" s="91" t="str">
        <f t="shared" si="54" ca="1"/>
      </c>
      <c r="CR467" s="91" t="str">
        <f t="shared" si="54" ca="1"/>
      </c>
      <c r="CS467" s="91" t="str">
        <f t="shared" si="54" ca="1"/>
      </c>
      <c r="CT467" s="91" t="str">
        <f t="shared" si="54" ca="1"/>
      </c>
      <c r="CU467" s="91" t="str">
        <f t="shared" si="54" ca="1"/>
      </c>
      <c r="CV467" s="91" t="str">
        <f t="shared" si="54" ca="1"/>
      </c>
      <c r="CW467" s="91" t="str">
        <f t="shared" si="54" ca="1"/>
      </c>
      <c r="CX467" s="91" t="str">
        <f t="shared" si="54" ca="1"/>
      </c>
      <c r="CY467" s="91" t="str">
        <f t="shared" si="54" ca="1"/>
      </c>
      <c r="CZ467" s="91" t="str">
        <f t="shared" si="54" ca="1"/>
      </c>
      <c r="DA467" s="91" t="str">
        <f t="shared" si="54" ca="1"/>
      </c>
      <c r="DB467" s="91" t="str">
        <f t="shared" si="54" ca="1"/>
      </c>
      <c r="DC467" s="91" t="str">
        <f t="shared" si="54" ca="1"/>
      </c>
      <c r="DD467" s="91" t="str">
        <f t="shared" si="54" ca="1"/>
      </c>
      <c r="DE467" s="91" t="str">
        <f t="shared" si="54" ca="1"/>
      </c>
      <c r="DF467" s="91" t="str">
        <f t="shared" si="54" ca="1"/>
      </c>
      <c r="DG467" s="91" t="str">
        <f t="shared" si="54" ca="1"/>
      </c>
      <c r="DH467" s="91" t="str">
        <f t="shared" si="54" ca="1"/>
      </c>
      <c r="DI467" s="91" t="str">
        <f t="shared" si="54" ca="1"/>
      </c>
      <c r="DJ467" s="91" t="str">
        <f t="shared" si="54" ca="1"/>
      </c>
      <c r="DK467" s="91" t="str">
        <f t="shared" si="54" ca="1"/>
      </c>
      <c r="DL467" s="91" t="str">
        <f t="shared" si="54" ca="1"/>
      </c>
      <c r="DM467" s="91" t="str">
        <f t="shared" si="54" ca="1"/>
      </c>
      <c r="DN467" s="91" t="str">
        <f t="shared" si="54" ca="1"/>
      </c>
      <c r="DO467" s="91" t="str">
        <f t="shared" si="54" ca="1"/>
      </c>
      <c r="DP467" s="91" t="str">
        <f t="shared" si="54" ca="1"/>
      </c>
      <c r="DQ467" s="91" t="str">
        <f t="shared" si="54" ca="1"/>
      </c>
      <c r="DR467" s="91" t="str">
        <f t="shared" si="54" ca="1"/>
      </c>
      <c r="DS467" s="91" t="str">
        <f t="shared" si="54" ca="1"/>
      </c>
      <c r="DT467" s="91" t="str">
        <f t="shared" si="54" ca="1"/>
      </c>
      <c r="DU467" s="91" t="str">
        <f t="shared" si="54" ca="1"/>
      </c>
      <c r="DV467" s="91" t="str">
        <f t="shared" si="54" ca="1"/>
      </c>
      <c r="DW467" s="91" t="str">
        <f t="shared" si="54" ca="1"/>
      </c>
      <c r="DX467" s="91" t="str">
        <f t="shared" si="54" ca="1"/>
      </c>
      <c r="DY467" s="91" t="str">
        <f t="shared" si="54" ca="1"/>
      </c>
      <c r="DZ467" s="91" t="str">
        <f t="shared" si="54" ca="1"/>
      </c>
      <c r="EA467" s="91" t="str">
        <f t="shared" si="54" ca="1"/>
      </c>
      <c r="EB467" s="91" t="str">
        <f t="shared" si="54" ca="1"/>
      </c>
      <c r="EC467" s="91" t="str">
        <f t="shared" si="54" ca="1"/>
      </c>
      <c r="ED467" s="91" t="str">
        <f t="shared" si="54" ca="1"/>
      </c>
      <c r="EE467" s="91" t="str">
        <f t="shared" si="54" ca="1"/>
      </c>
      <c r="EF467" s="91" t="str">
        <f t="shared" si="54" ca="1"/>
      </c>
      <c r="EG467" s="91" t="str">
        <f t="shared" si="54" ca="1"/>
      </c>
      <c r="EH467" s="91" t="str">
        <f t="shared" si="54" ca="1"/>
      </c>
      <c r="EI467" s="91" t="str">
        <f t="shared" si="54" ca="1"/>
      </c>
      <c r="EJ467" s="91" t="str">
        <f t="shared" si="54" ca="1"/>
      </c>
      <c r="EK467" s="91" t="str">
        <f t="shared" si="54" ca="1"/>
      </c>
      <c r="EL467" s="91" t="str">
        <f t="shared" si="54" ca="1"/>
      </c>
      <c r="EM467" s="91" t="str">
        <f t="shared" si="54" ca="1"/>
      </c>
      <c r="EN467" s="91" t="str">
        <f t="shared" si="54" ca="1"/>
      </c>
      <c r="EO467" s="91" t="str">
        <f t="shared" si="54" ca="1"/>
      </c>
      <c r="EP467" s="91" t="str">
        <f t="shared" si="54" ca="1"/>
      </c>
      <c r="EQ467" s="91" t="str">
        <f t="shared" si="54" ca="1"/>
      </c>
      <c r="ER467" s="91" t="str">
        <f t="shared" si="54" ca="1"/>
      </c>
      <c r="ES467" s="91" t="str">
        <f t="shared" si="54" ca="1"/>
      </c>
      <c r="ET467" s="91" t="str">
        <f t="shared" si="54" ca="1"/>
      </c>
      <c r="EU467" s="91" t="str">
        <f t="shared" si="54" ca="1"/>
      </c>
      <c r="EV467" s="91" t="str">
        <f t="shared" si="54" ca="1"/>
      </c>
      <c r="EW467" s="91" t="str">
        <f t="shared" si="54" ca="1"/>
      </c>
      <c r="EX467" s="91" t="str">
        <f t="shared" si="54" ca="1"/>
      </c>
      <c r="EY467" s="91" t="str">
        <f t="shared" si="54" ca="1"/>
      </c>
      <c r="EZ467" s="91" t="str">
        <f t="shared" si="54" ca="1"/>
      </c>
      <c r="FA467" s="91" t="str">
        <f ref="FA467:HL467" t="shared" si="55" ca="1">IF(SUM(FA448:FA466)&lt;&gt;0,SUM(FA448:FA466),"")</f>
      </c>
      <c r="FB467" s="91" t="str">
        <f t="shared" si="55" ca="1"/>
      </c>
      <c r="FC467" s="91" t="str">
        <f t="shared" si="55" ca="1"/>
      </c>
      <c r="FD467" s="91" t="str">
        <f t="shared" si="55" ca="1"/>
      </c>
      <c r="FE467" s="91" t="str">
        <f t="shared" si="55" ca="1"/>
      </c>
      <c r="FF467" s="91" t="str">
        <f t="shared" si="55" ca="1"/>
      </c>
      <c r="FG467" s="91" t="str">
        <f t="shared" si="55" ca="1"/>
      </c>
      <c r="FH467" s="91" t="str">
        <f t="shared" si="55" ca="1"/>
      </c>
      <c r="FI467" s="91" t="str">
        <f t="shared" si="55" ca="1"/>
      </c>
      <c r="FJ467" s="91" t="str">
        <f t="shared" si="55" ca="1"/>
      </c>
      <c r="FK467" s="91" t="str">
        <f t="shared" si="55" ca="1"/>
      </c>
      <c r="FL467" s="91" t="str">
        <f t="shared" si="55" ca="1"/>
      </c>
      <c r="FM467" s="91" t="str">
        <f t="shared" si="55" ca="1"/>
      </c>
      <c r="FN467" s="91" t="str">
        <f t="shared" si="55" ca="1"/>
      </c>
      <c r="FO467" s="91" t="str">
        <f t="shared" si="55" ca="1"/>
      </c>
      <c r="FP467" s="91" t="str">
        <f t="shared" si="55" ca="1"/>
      </c>
      <c r="FQ467" s="91" t="str">
        <f t="shared" si="55" ca="1"/>
      </c>
      <c r="FR467" s="91" t="str">
        <f t="shared" si="55" ca="1"/>
      </c>
      <c r="FS467" s="91" t="str">
        <f t="shared" si="55" ca="1"/>
      </c>
      <c r="FT467" s="91" t="str">
        <f t="shared" si="55" ca="1"/>
      </c>
      <c r="FU467" s="91" t="str">
        <f t="shared" si="55" ca="1"/>
      </c>
      <c r="FV467" s="91" t="str">
        <f t="shared" si="55" ca="1"/>
      </c>
      <c r="FW467" s="91" t="str">
        <f t="shared" si="55" ca="1"/>
      </c>
      <c r="FX467" s="91" t="str">
        <f t="shared" si="55" ca="1"/>
      </c>
      <c r="FY467" s="91" t="str">
        <f t="shared" si="55" ca="1"/>
      </c>
      <c r="FZ467" s="91" t="str">
        <f t="shared" si="55" ca="1"/>
      </c>
      <c r="GA467" s="91" t="str">
        <f t="shared" si="55" ca="1"/>
      </c>
      <c r="GB467" s="91" t="str">
        <f t="shared" si="55" ca="1"/>
      </c>
      <c r="GC467" s="91" t="str">
        <f t="shared" si="55" ca="1"/>
      </c>
      <c r="GD467" s="91" t="str">
        <f t="shared" si="55" ca="1"/>
      </c>
      <c r="GE467" s="91" t="str">
        <f t="shared" si="55" ca="1"/>
      </c>
      <c r="GF467" s="91" t="str">
        <f t="shared" si="55" ca="1"/>
      </c>
      <c r="GG467" s="91" t="str">
        <f t="shared" si="55" ca="1"/>
      </c>
      <c r="GH467" s="91" t="str">
        <f t="shared" si="55" ca="1"/>
      </c>
      <c r="GI467" s="91" t="str">
        <f t="shared" si="55" ca="1"/>
      </c>
      <c r="GJ467" s="91" t="str">
        <f t="shared" si="55" ca="1"/>
      </c>
      <c r="GK467" s="91" t="str">
        <f t="shared" si="55" ca="1"/>
      </c>
      <c r="GL467" s="91" t="str">
        <f t="shared" si="55" ca="1"/>
      </c>
      <c r="GM467" s="91" t="str">
        <f t="shared" si="55" ca="1"/>
      </c>
      <c r="GN467" s="91" t="str">
        <f t="shared" si="55" ca="1"/>
      </c>
      <c r="GO467" s="91" t="str">
        <f t="shared" si="55" ca="1"/>
      </c>
      <c r="GP467" s="91" t="str">
        <f t="shared" si="55" ca="1"/>
      </c>
      <c r="GQ467" s="91" t="str">
        <f t="shared" si="55" ca="1"/>
      </c>
      <c r="GR467" s="91" t="str">
        <f t="shared" si="55" ca="1"/>
      </c>
      <c r="GS467" s="91" t="str">
        <f t="shared" si="55" ca="1"/>
      </c>
      <c r="GT467" s="91" t="str">
        <f t="shared" si="55" ca="1"/>
      </c>
      <c r="GU467" s="91" t="str">
        <f t="shared" si="55" ca="1"/>
      </c>
      <c r="GV467" s="91" t="str">
        <f t="shared" si="55" ca="1"/>
      </c>
      <c r="GW467" s="91" t="str">
        <f t="shared" si="55" ca="1"/>
      </c>
      <c r="GX467" s="91" t="str">
        <f t="shared" si="55" ca="1"/>
      </c>
      <c r="GY467" s="91" t="str">
        <f t="shared" si="55" ca="1"/>
      </c>
      <c r="GZ467" s="91" t="str">
        <f t="shared" si="55" ca="1"/>
      </c>
      <c r="HA467" s="91" t="str">
        <f t="shared" si="55" ca="1"/>
      </c>
      <c r="HB467" s="91" t="str">
        <f t="shared" si="55" ca="1"/>
      </c>
      <c r="HC467" s="91" t="str">
        <f t="shared" si="55" ca="1"/>
      </c>
      <c r="HD467" s="91" t="str">
        <f t="shared" si="55" ca="1"/>
      </c>
      <c r="HE467" s="91" t="str">
        <f t="shared" si="55" ca="1"/>
      </c>
      <c r="HF467" s="91" t="str">
        <f t="shared" si="55" ca="1"/>
      </c>
      <c r="HG467" s="91" t="str">
        <f t="shared" si="55" ca="1"/>
      </c>
      <c r="HH467" s="91" t="str">
        <f t="shared" si="55" ca="1"/>
      </c>
      <c r="HI467" s="91" t="str">
        <f t="shared" si="55" ca="1"/>
      </c>
      <c r="HJ467" s="91" t="str">
        <f t="shared" si="55" ca="1"/>
      </c>
      <c r="HK467" s="91" t="str">
        <f t="shared" si="55" ca="1"/>
      </c>
      <c r="HL467" s="91" t="str">
        <f t="shared" si="55" ca="1"/>
      </c>
      <c r="HM467" s="91" t="str">
        <f ref="HM467:IV467" t="shared" si="56" ca="1">IF(SUM(HM448:HM466)&lt;&gt;0,SUM(HM448:HM466),"")</f>
      </c>
      <c r="HN467" s="91" t="str">
        <f t="shared" si="56" ca="1"/>
      </c>
      <c r="HO467" s="91" t="str">
        <f t="shared" si="56" ca="1"/>
      </c>
      <c r="HP467" s="91" t="str">
        <f t="shared" si="56" ca="1"/>
      </c>
      <c r="HQ467" s="91" t="str">
        <f t="shared" si="56" ca="1"/>
      </c>
      <c r="HR467" s="91" t="str">
        <f t="shared" si="56" ca="1"/>
      </c>
      <c r="HS467" s="91" t="str">
        <f t="shared" si="56" ca="1"/>
      </c>
      <c r="HT467" s="91" t="str">
        <f t="shared" si="56" ca="1"/>
      </c>
      <c r="HU467" s="91" t="str">
        <f t="shared" si="56" ca="1"/>
      </c>
      <c r="HV467" s="91" t="str">
        <f t="shared" si="56" ca="1"/>
      </c>
      <c r="HW467" s="91" t="str">
        <f t="shared" si="56" ca="1"/>
      </c>
      <c r="HX467" s="91" t="str">
        <f t="shared" si="56" ca="1"/>
      </c>
      <c r="HY467" s="91" t="str">
        <f t="shared" si="56" ca="1"/>
      </c>
      <c r="HZ467" s="91" t="str">
        <f t="shared" si="56" ca="1"/>
      </c>
      <c r="IA467" s="91" t="str">
        <f t="shared" si="56" ca="1"/>
      </c>
      <c r="IB467" s="91" t="str">
        <f t="shared" si="56" ca="1"/>
      </c>
      <c r="IC467" s="91" t="str">
        <f t="shared" si="56" ca="1"/>
      </c>
      <c r="ID467" s="91" t="str">
        <f t="shared" si="56" ca="1"/>
      </c>
      <c r="IE467" s="91" t="str">
        <f t="shared" si="56" ca="1"/>
      </c>
      <c r="IF467" s="91" t="str">
        <f t="shared" si="56" ca="1"/>
      </c>
      <c r="IG467" s="91" t="str">
        <f t="shared" si="56" ca="1"/>
      </c>
      <c r="IH467" s="91" t="str">
        <f t="shared" si="56" ca="1"/>
      </c>
      <c r="II467" s="91" t="str">
        <f t="shared" si="56" ca="1"/>
      </c>
      <c r="IJ467" s="91" t="str">
        <f t="shared" si="56" ca="1"/>
      </c>
      <c r="IK467" s="91" t="str">
        <f t="shared" si="56" ca="1"/>
      </c>
      <c r="IL467" s="91" t="str">
        <f t="shared" si="56" ca="1"/>
      </c>
      <c r="IM467" s="91" t="str">
        <f t="shared" si="56" ca="1"/>
      </c>
      <c r="IN467" s="91" t="str">
        <f t="shared" si="56" ca="1"/>
      </c>
      <c r="IO467" s="91" t="str">
        <f t="shared" si="56" ca="1"/>
      </c>
      <c r="IP467" s="91" t="str">
        <f t="shared" si="56" ca="1"/>
      </c>
      <c r="IQ467" s="91" t="str">
        <f t="shared" si="56" ca="1"/>
      </c>
      <c r="IR467" s="91" t="str">
        <f t="shared" si="56" ca="1"/>
      </c>
      <c r="IS467" s="91" t="str">
        <f t="shared" si="56" ca="1"/>
      </c>
      <c r="IT467" s="91" t="str">
        <f t="shared" si="56" ca="1"/>
      </c>
      <c r="IU467" s="91" t="str">
        <f t="shared" si="56" ca="1"/>
      </c>
      <c r="IV467" s="91" t="str">
        <f t="shared" si="56" ca="1"/>
      </c>
    </row>
    <row r="468" hidden="1" ht="12.75" customHeight="1"/>
    <row r="469" hidden="1" ht="13.5" customHeight="1"/>
    <row r="470" hidden="1" ht="13.5" customHeight="1">
      <c r="C470" s="617" t="s">
        <v>316</v>
      </c>
      <c r="D470" s="618"/>
      <c r="E470" s="618"/>
      <c r="F470" s="618"/>
      <c r="G470" s="618"/>
      <c r="H470" s="618"/>
      <c r="I470" s="618"/>
      <c r="J470" s="618"/>
      <c r="K470" s="618"/>
      <c r="L470" s="618"/>
      <c r="M470" s="618"/>
      <c r="N470" s="618"/>
      <c r="O470" s="618"/>
      <c r="P470" s="618"/>
      <c r="Q470" s="618"/>
      <c r="R470" s="618"/>
      <c r="S470" s="618"/>
      <c r="T470" s="618"/>
      <c r="U470" s="618"/>
      <c r="V470" s="618"/>
      <c r="W470" s="618"/>
      <c r="X470" s="618"/>
      <c r="Y470" s="618"/>
      <c r="Z470" s="618"/>
      <c r="AA470" s="618"/>
      <c r="AB470" s="619"/>
    </row>
    <row r="471" hidden="1" ht="13.5" customHeight="1">
      <c r="C471" s="435" t="str">
        <f> IF(C491&lt;&gt;"",TEXT(AUX!G$1,"dd-MMM-aa"),"")</f>
      </c>
      <c r="D471" s="435" t="str">
        <f> IF(D491&lt;&gt;"",TEXT(AUX!H$1,"dd-MMM-aa"),"")</f>
      </c>
      <c r="E471" s="435" t="str">
        <f> IF(E491&lt;&gt;"",TEXT(AUX!I$1,"dd-MMM-aa"),"")</f>
      </c>
      <c r="F471" s="435" t="str">
        <f> IF(F491&lt;&gt;"",TEXT(AUX!J$1,"dd-MMM-aa"),"")</f>
      </c>
      <c r="G471" s="435" t="str">
        <f> IF(G491&lt;&gt;"",TEXT(AUX!K$1,"dd-MMM-aa"),"")</f>
      </c>
      <c r="H471" s="435" t="str">
        <f> IF(H491&lt;&gt;"",TEXT(AUX!L$1,"dd-MMM-aa"),"")</f>
      </c>
      <c r="I471" s="435" t="str">
        <f> IF(I491&lt;&gt;"",TEXT(AUX!M$1,"dd-MMM-aa"),"")</f>
      </c>
      <c r="J471" s="435" t="str">
        <f> IF(J491&lt;&gt;"",TEXT(AUX!N$1,"dd-MMM-aa"),"")</f>
      </c>
      <c r="K471" s="435" t="str">
        <f> IF(K491&lt;&gt;"",TEXT(AUX!O$1,"dd-MMM-aa"),"")</f>
      </c>
      <c r="L471" s="435" t="str">
        <f> IF(L491&lt;&gt;"",TEXT(AUX!P$1,"dd-MMM-aa"),"")</f>
      </c>
      <c r="M471" s="435" t="str">
        <f> IF(M491&lt;&gt;"",TEXT(AUX!Q$1,"dd-MMM-aa"),"")</f>
      </c>
      <c r="N471" s="435" t="str">
        <f> IF(N491&lt;&gt;"",TEXT(AUX!R$1,"dd-MMM-aa"),"")</f>
      </c>
      <c r="O471" s="435" t="str">
        <f> IF(O491&lt;&gt;"",TEXT(AUX!S$1,"dd-MMM-aa"),"")</f>
      </c>
      <c r="P471" s="435" t="str">
        <f> IF(P491&lt;&gt;"",TEXT(AUX!T$1,"dd-MMM-aa"),"")</f>
      </c>
      <c r="Q471" s="435" t="str">
        <f> IF(Q491&lt;&gt;"",TEXT(AUX!U$1,"dd-MMM-aa"),"")</f>
      </c>
      <c r="R471" s="435" t="str">
        <f> IF(R491&lt;&gt;"",TEXT(AUX!V$1,"dd-MMM-aa"),"")</f>
      </c>
      <c r="S471" s="435" t="str">
        <f> IF(S491&lt;&gt;"",TEXT(AUX!W$1,"dd-MMM-aa"),"")</f>
      </c>
      <c r="T471" s="435" t="str">
        <f> IF(T491&lt;&gt;"",TEXT(AUX!X$1,"dd-MMM-aa"),"")</f>
      </c>
      <c r="U471" s="435" t="str">
        <f> IF(U491&lt;&gt;"",TEXT(AUX!Y$1,"dd-MMM-aa"),"")</f>
      </c>
      <c r="V471" s="435" t="str">
        <f> IF(V491&lt;&gt;"",TEXT(AUX!Z$1,"dd-MMM-aa"),"")</f>
      </c>
      <c r="W471" s="435" t="str">
        <f> IF(W491&lt;&gt;"",TEXT(AUX!AA$1,"dd-MMM-aa"),"")</f>
      </c>
      <c r="X471" s="435" t="str">
        <f> IF(X491&lt;&gt;"",TEXT(AUX!AB$1,"dd-MMM-aa"),"")</f>
      </c>
      <c r="Y471" s="435" t="str">
        <f> IF(Y491&lt;&gt;"",TEXT(AUX!AC$1,"dd-MMM-aa"),"")</f>
      </c>
      <c r="Z471" s="435" t="str">
        <f> IF(Z491&lt;&gt;"",TEXT(AUX!AD$1,"dd-MMM-aa"),"")</f>
      </c>
      <c r="AA471" s="435" t="str">
        <f> IF(AA491&lt;&gt;"",TEXT(AUX!AE$1,"dd-MMM-aa"),"")</f>
      </c>
      <c r="AB471" s="497" t="str">
        <f> IF(AB491&lt;&gt;"",TEXT(AUX!AF$1,"dd-MMM-aa"),"")</f>
      </c>
      <c r="AC471" s="496" t="str">
        <f> IF(AC491&lt;&gt;"",TEXT(AUX!AG$1,"dd-MMM-aa"),"")</f>
      </c>
      <c r="AD471" s="496" t="str">
        <f> IF(AD491&lt;&gt;"",TEXT(AUX!AH$1,"dd-MMM-aa"),"")</f>
      </c>
      <c r="AE471" s="496" t="str">
        <f> IF(AE491&lt;&gt;"",TEXT(AUX!AI$1,"dd-MMM-aa"),"")</f>
      </c>
      <c r="AF471" s="496" t="str">
        <f> IF(AF491&lt;&gt;"",TEXT(AUX!AJ$1,"dd-MMM-aa"),"")</f>
      </c>
      <c r="AG471" s="496" t="str">
        <f> IF(AG491&lt;&gt;"",TEXT(AUX!AK$1,"dd-MMM-aa"),"")</f>
      </c>
      <c r="AH471" s="496" t="str">
        <f> IF(AH491&lt;&gt;"",TEXT(AUX!AL$1,"dd-MMM-aa"),"")</f>
      </c>
      <c r="AI471" s="496" t="str">
        <f> IF(AI491&lt;&gt;"",TEXT(AUX!AM$1,"dd-MMM-aa"),"")</f>
      </c>
      <c r="AJ471" s="496" t="str">
        <f> IF(AJ491&lt;&gt;"",TEXT(AUX!AN$1,"dd-MMM-aa"),"")</f>
      </c>
      <c r="AK471" s="496" t="str">
        <f> IF(AK491&lt;&gt;"",TEXT(AUX!AO$1,"dd-MMM-aa"),"")</f>
      </c>
      <c r="AL471" s="496" t="str">
        <f> IF(AL491&lt;&gt;"",TEXT(AUX!AP$1,"dd-MMM-aa"),"")</f>
      </c>
      <c r="AM471" s="496" t="str">
        <f> IF(AM491&lt;&gt;"",TEXT(AUX!AQ$1,"dd-MMM-aa"),"")</f>
      </c>
      <c r="AN471" s="496" t="str">
        <f> IF(AN491&lt;&gt;"",TEXT(AUX!AR$1,"dd-MMM-aa"),"")</f>
      </c>
      <c r="AO471" s="496" t="str">
        <f> IF(AO491&lt;&gt;"",TEXT(AUX!AS$1,"dd-MMM-aa"),"")</f>
      </c>
      <c r="AP471" s="496" t="str">
        <f> IF(AP491&lt;&gt;"",TEXT(AUX!AT$1,"dd-MMM-aa"),"")</f>
      </c>
      <c r="AQ471" s="496" t="str">
        <f> IF(AQ491&lt;&gt;"",TEXT(AUX!AU$1,"dd-MMM-aa"),"")</f>
      </c>
      <c r="AR471" s="496" t="str">
        <f> IF(AR491&lt;&gt;"",TEXT(AUX!AV$1,"dd-MMM-aa"),"")</f>
      </c>
      <c r="AS471" s="496" t="str">
        <f> IF(AS491&lt;&gt;"",TEXT(AUX!AW$1,"dd-MMM-aa"),"")</f>
      </c>
      <c r="AT471" s="496" t="str">
        <f> IF(AT491&lt;&gt;"",TEXT(AUX!AX$1,"dd-MMM-aa"),"")</f>
      </c>
      <c r="AU471" s="496" t="str">
        <f> IF(AU491&lt;&gt;"",TEXT(AUX!AY$1,"dd-MMM-aa"),"")</f>
      </c>
      <c r="AV471" s="496" t="str">
        <f> IF(AV491&lt;&gt;"",TEXT(AUX!AZ$1,"dd-MMM-aa"),"")</f>
      </c>
      <c r="AW471" s="496" t="str">
        <f> IF(AW491&lt;&gt;"",TEXT(AUX!BA$1,"dd-MMM-aa"),"")</f>
      </c>
      <c r="AX471" s="496" t="str">
        <f> IF(AX491&lt;&gt;"",TEXT(AUX!BB$1,"dd-MMM-aa"),"")</f>
      </c>
      <c r="AY471" s="496" t="str">
        <f> IF(AY491&lt;&gt;"",TEXT(AUX!BC$1,"dd-MMM-aa"),"")</f>
      </c>
      <c r="AZ471" s="496" t="str">
        <f> IF(AZ491&lt;&gt;"",TEXT(AUX!BD$1,"dd-MMM-aa"),"")</f>
      </c>
      <c r="BA471" s="496" t="str">
        <f> IF(BA491&lt;&gt;"",TEXT(AUX!BE$1,"dd-MMM-aa"),"")</f>
      </c>
      <c r="BB471" s="496" t="str">
        <f> IF(BB491&lt;&gt;"",TEXT(AUX!BF$1,"dd-MMM-aa"),"")</f>
      </c>
      <c r="BC471" s="496" t="str">
        <f> IF(BC491&lt;&gt;"",TEXT(AUX!BG$1,"dd-MMM-aa"),"")</f>
      </c>
      <c r="BD471" s="496" t="str">
        <f> IF(BD491&lt;&gt;"",TEXT(AUX!BH$1,"dd-MMM-aa"),"")</f>
      </c>
      <c r="BE471" s="496" t="str">
        <f> IF(BE491&lt;&gt;"",TEXT(AUX!BI$1,"dd-MMM-aa"),"")</f>
      </c>
      <c r="BF471" s="496" t="str">
        <f> IF(BF491&lt;&gt;"",TEXT(AUX!BJ$1,"dd-MMM-aa"),"")</f>
      </c>
      <c r="BG471" s="496" t="str">
        <f> IF(BG491&lt;&gt;"",TEXT(AUX!BK$1,"dd-MMM-aa"),"")</f>
      </c>
      <c r="BH471" s="496" t="str">
        <f> IF(BH491&lt;&gt;"",TEXT(AUX!BL$1,"dd-MMM-aa"),"")</f>
      </c>
      <c r="BI471" s="496" t="str">
        <f> IF(BI491&lt;&gt;"",TEXT(AUX!BM$1,"dd-MMM-aa"),"")</f>
      </c>
      <c r="BJ471" s="496" t="str">
        <f> IF(BJ491&lt;&gt;"",TEXT(AUX!BN$1,"dd-MMM-aa"),"")</f>
      </c>
      <c r="BK471" s="496" t="str">
        <f> IF(BK491&lt;&gt;"",TEXT(AUX!BO$1,"dd-MMM-aa"),"")</f>
      </c>
      <c r="BL471" s="496" t="str">
        <f> IF(BL491&lt;&gt;"",TEXT(AUX!BP$1,"dd-MMM-aa"),"")</f>
      </c>
      <c r="BM471" s="496" t="str">
        <f> IF(BM491&lt;&gt;"",TEXT(AUX!BQ$1,"dd-MMM-aa"),"")</f>
      </c>
      <c r="BN471" s="496" t="str">
        <f> IF(BN491&lt;&gt;"",TEXT(AUX!BR$1,"dd-MMM-aa"),"")</f>
      </c>
      <c r="BO471" s="496" t="str">
        <f> IF(BO491&lt;&gt;"",TEXT(AUX!BS$1,"dd-MMM-aa"),"")</f>
      </c>
      <c r="BP471" s="496" t="str">
        <f> IF(BP491&lt;&gt;"",TEXT(AUX!BT$1,"dd-MMM-aa"),"")</f>
      </c>
      <c r="BQ471" s="496" t="str">
        <f> IF(BQ491&lt;&gt;"",TEXT(AUX!BU$1,"dd-MMM-aa"),"")</f>
      </c>
      <c r="BR471" s="496" t="str">
        <f> IF(BR491&lt;&gt;"",TEXT(AUX!BV$1,"dd-MMM-aa"),"")</f>
      </c>
      <c r="BS471" s="496" t="str">
        <f> IF(BS491&lt;&gt;"",TEXT(AUX!BW$1,"dd-MMM-aa"),"")</f>
      </c>
      <c r="BT471" s="496" t="str">
        <f> IF(BT491&lt;&gt;"",TEXT(AUX!BX$1,"dd-MMM-aa"),"")</f>
      </c>
      <c r="BU471" s="496" t="str">
        <f> IF(BU491&lt;&gt;"",TEXT(AUX!BY$1,"dd-MMM-aa"),"")</f>
      </c>
      <c r="BV471" s="496" t="str">
        <f> IF(BV491&lt;&gt;"",TEXT(AUX!BZ$1,"dd-MMM-aa"),"")</f>
      </c>
      <c r="BW471" s="496" t="str">
        <f> IF(BW491&lt;&gt;"",TEXT(AUX!CA$1,"dd-MMM-aa"),"")</f>
      </c>
      <c r="BX471" s="496" t="str">
        <f> IF(BX491&lt;&gt;"",TEXT(AUX!CB$1,"dd-MMM-aa"),"")</f>
      </c>
      <c r="BY471" s="496" t="str">
        <f> IF(BY491&lt;&gt;"",TEXT(AUX!CC$1,"dd-MMM-aa"),"")</f>
      </c>
      <c r="BZ471" s="496" t="str">
        <f> IF(BZ491&lt;&gt;"",TEXT(AUX!CD$1,"dd-MMM-aa"),"")</f>
      </c>
      <c r="CA471" s="496" t="str">
        <f> IF(CA491&lt;&gt;"",TEXT(AUX!CE$1,"dd-MMM-aa"),"")</f>
      </c>
      <c r="CB471" s="496" t="str">
        <f> IF(CB491&lt;&gt;"",TEXT(AUX!CF$1,"dd-MMM-aa"),"")</f>
      </c>
      <c r="CC471" s="496" t="str">
        <f> IF(CC491&lt;&gt;"",TEXT(AUX!CG$1,"dd-MMM-aa"),"")</f>
      </c>
      <c r="CD471" s="496" t="str">
        <f> IF(CD491&lt;&gt;"",TEXT(AUX!CH$1,"dd-MMM-aa"),"")</f>
      </c>
      <c r="CE471" s="496" t="str">
        <f> IF(CE491&lt;&gt;"",TEXT(AUX!CI$1,"dd-MMM-aa"),"")</f>
      </c>
      <c r="CF471" s="496" t="str">
        <f> IF(CF491&lt;&gt;"",TEXT(AUX!CJ$1,"dd-MMM-aa"),"")</f>
      </c>
      <c r="CG471" s="496" t="str">
        <f> IF(CG491&lt;&gt;"",TEXT(AUX!CK$1,"dd-MMM-aa"),"")</f>
      </c>
      <c r="CH471" s="496" t="str">
        <f> IF(CH491&lt;&gt;"",TEXT(AUX!CL$1,"dd-MMM-aa"),"")</f>
      </c>
      <c r="CI471" s="496" t="str">
        <f> IF(CI491&lt;&gt;"",TEXT(AUX!CM$1,"dd-MMM-aa"),"")</f>
      </c>
      <c r="CJ471" s="496" t="str">
        <f> IF(CJ491&lt;&gt;"",TEXT(AUX!CN$1,"dd-MMM-aa"),"")</f>
      </c>
      <c r="CK471" s="496" t="str">
        <f> IF(CK491&lt;&gt;"",TEXT(AUX!CO$1,"dd-MMM-aa"),"")</f>
      </c>
      <c r="CL471" s="496" t="str">
        <f> IF(CL491&lt;&gt;"",TEXT(AUX!CP$1,"dd-MMM-aa"),"")</f>
      </c>
      <c r="CM471" s="496" t="str">
        <f> IF(CM491&lt;&gt;"",TEXT(AUX!CQ$1,"dd-MMM-aa"),"")</f>
      </c>
      <c r="CN471" s="496" t="str">
        <f> IF(CN491&lt;&gt;"",TEXT(AUX!CR$1,"dd-MMM-aa"),"")</f>
      </c>
      <c r="CO471" s="496" t="str">
        <f> IF(CO491&lt;&gt;"",TEXT(AUX!CS$1,"dd-MMM-aa"),"")</f>
      </c>
      <c r="CP471" s="496" t="str">
        <f> IF(CP491&lt;&gt;"",TEXT(AUX!CT$1,"dd-MMM-aa"),"")</f>
      </c>
      <c r="CQ471" s="496" t="str">
        <f> IF(CQ491&lt;&gt;"",TEXT(AUX!CU$1,"dd-MMM-aa"),"")</f>
      </c>
      <c r="CR471" s="496" t="str">
        <f> IF(CR491&lt;&gt;"",TEXT(AUX!CV$1,"dd-MMM-aa"),"")</f>
      </c>
      <c r="CS471" s="496" t="str">
        <f> IF(CS491&lt;&gt;"",TEXT(AUX!CW$1,"dd-MMM-aa"),"")</f>
      </c>
      <c r="CT471" s="496" t="str">
        <f> IF(CT491&lt;&gt;"",TEXT(AUX!CX$1,"dd-MMM-aa"),"")</f>
      </c>
      <c r="CU471" s="496" t="str">
        <f> IF(CU491&lt;&gt;"",TEXT(AUX!CY$1,"dd-MMM-aa"),"")</f>
      </c>
      <c r="CV471" s="496" t="str">
        <f> IF(CV491&lt;&gt;"",TEXT(AUX!CZ$1,"dd-MMM-aa"),"")</f>
      </c>
      <c r="CW471" s="496" t="str">
        <f> IF(CW491&lt;&gt;"",TEXT(AUX!DA$1,"dd-MMM-aa"),"")</f>
      </c>
      <c r="CX471" s="496" t="str">
        <f> IF(CX491&lt;&gt;"",TEXT(AUX!DB$1,"dd-MMM-aa"),"")</f>
      </c>
      <c r="CY471" s="496" t="str">
        <f> IF(CY491&lt;&gt;"",TEXT(AUX!DC$1,"dd-MMM-aa"),"")</f>
      </c>
      <c r="CZ471" s="496" t="str">
        <f> IF(CZ491&lt;&gt;"",TEXT(AUX!DD$1,"dd-MMM-aa"),"")</f>
      </c>
      <c r="DA471" s="496" t="str">
        <f> IF(DA491&lt;&gt;"",TEXT(AUX!DE$1,"dd-MMM-aa"),"")</f>
      </c>
      <c r="DB471" s="496" t="str">
        <f> IF(DB491&lt;&gt;"",TEXT(AUX!DF$1,"dd-MMM-aa"),"")</f>
      </c>
      <c r="DC471" s="496" t="str">
        <f> IF(DC491&lt;&gt;"",TEXT(AUX!DG$1,"dd-MMM-aa"),"")</f>
      </c>
      <c r="DD471" s="496" t="str">
        <f> IF(DD491&lt;&gt;"",TEXT(AUX!DH$1,"dd-MMM-aa"),"")</f>
      </c>
      <c r="DE471" s="496" t="str">
        <f> IF(DE491&lt;&gt;"",TEXT(AUX!DI$1,"dd-MMM-aa"),"")</f>
      </c>
      <c r="DF471" s="496" t="str">
        <f> IF(DF491&lt;&gt;"",TEXT(AUX!DJ$1,"dd-MMM-aa"),"")</f>
      </c>
      <c r="DG471" s="496" t="str">
        <f> IF(DG491&lt;&gt;"",TEXT(AUX!DK$1,"dd-MMM-aa"),"")</f>
      </c>
      <c r="DH471" s="496" t="str">
        <f> IF(DH491&lt;&gt;"",TEXT(AUX!DL$1,"dd-MMM-aa"),"")</f>
      </c>
      <c r="DI471" s="496" t="str">
        <f> IF(DI491&lt;&gt;"",TEXT(AUX!DM$1,"dd-MMM-aa"),"")</f>
      </c>
      <c r="DJ471" s="496" t="str">
        <f> IF(DJ491&lt;&gt;"",TEXT(AUX!DN$1,"dd-MMM-aa"),"")</f>
      </c>
      <c r="DK471" s="496" t="str">
        <f> IF(DK491&lt;&gt;"",TEXT(AUX!DO$1,"dd-MMM-aa"),"")</f>
      </c>
      <c r="DL471" s="496" t="str">
        <f> IF(DL491&lt;&gt;"",TEXT(AUX!DP$1,"dd-MMM-aa"),"")</f>
      </c>
      <c r="DM471" s="496" t="str">
        <f> IF(DM491&lt;&gt;"",TEXT(AUX!DQ$1,"dd-MMM-aa"),"")</f>
      </c>
      <c r="DN471" s="496" t="str">
        <f> IF(DN491&lt;&gt;"",TEXT(AUX!DR$1,"dd-MMM-aa"),"")</f>
      </c>
      <c r="DO471" s="496" t="str">
        <f> IF(DO491&lt;&gt;"",TEXT(AUX!DS$1,"dd-MMM-aa"),"")</f>
      </c>
      <c r="DP471" s="496" t="str">
        <f> IF(DP491&lt;&gt;"",TEXT(AUX!DT$1,"dd-MMM-aa"),"")</f>
      </c>
      <c r="DQ471" s="496" t="str">
        <f> IF(DQ491&lt;&gt;"",TEXT(AUX!DU$1,"dd-MMM-aa"),"")</f>
      </c>
      <c r="DR471" s="496" t="str">
        <f> IF(DR491&lt;&gt;"",TEXT(AUX!DV$1,"dd-MMM-aa"),"")</f>
      </c>
      <c r="DS471" s="496" t="str">
        <f> IF(DS491&lt;&gt;"",TEXT(AUX!DW$1,"dd-MMM-aa"),"")</f>
      </c>
      <c r="DT471" s="496" t="str">
        <f> IF(DT491&lt;&gt;"",TEXT(AUX!DX$1,"dd-MMM-aa"),"")</f>
      </c>
      <c r="DU471" s="496" t="str">
        <f> IF(DU491&lt;&gt;"",TEXT(AUX!DY$1,"dd-MMM-aa"),"")</f>
      </c>
      <c r="DV471" s="496" t="str">
        <f> IF(DV491&lt;&gt;"",TEXT(AUX!DZ$1,"dd-MMM-aa"),"")</f>
      </c>
      <c r="DW471" s="496" t="str">
        <f> IF(DW491&lt;&gt;"",TEXT(AUX!EA$1,"dd-MMM-aa"),"")</f>
      </c>
      <c r="DX471" s="496" t="str">
        <f> IF(DX491&lt;&gt;"",TEXT(AUX!EB$1,"dd-MMM-aa"),"")</f>
      </c>
      <c r="DY471" s="496" t="str">
        <f> IF(DY491&lt;&gt;"",TEXT(AUX!EC$1,"dd-MMM-aa"),"")</f>
      </c>
      <c r="DZ471" s="496" t="str">
        <f> IF(DZ491&lt;&gt;"",TEXT(AUX!ED$1,"dd-MMM-aa"),"")</f>
      </c>
      <c r="EA471" s="496" t="str">
        <f> IF(EA491&lt;&gt;"",TEXT(AUX!EE$1,"dd-MMM-aa"),"")</f>
      </c>
      <c r="EB471" s="496" t="str">
        <f> IF(EB491&lt;&gt;"",TEXT(AUX!EF$1,"dd-MMM-aa"),"")</f>
      </c>
      <c r="EC471" s="496" t="str">
        <f> IF(EC491&lt;&gt;"",TEXT(AUX!EG$1,"dd-MMM-aa"),"")</f>
      </c>
      <c r="ED471" s="496" t="str">
        <f> IF(ED491&lt;&gt;"",TEXT(AUX!EH$1,"dd-MMM-aa"),"")</f>
      </c>
      <c r="EE471" s="496" t="str">
        <f> IF(EE491&lt;&gt;"",TEXT(AUX!EI$1,"dd-MMM-aa"),"")</f>
      </c>
      <c r="EF471" s="496" t="str">
        <f> IF(EF491&lt;&gt;"",TEXT(AUX!EJ$1,"dd-MMM-aa"),"")</f>
      </c>
      <c r="EG471" s="496" t="str">
        <f> IF(EG491&lt;&gt;"",TEXT(AUX!EK$1,"dd-MMM-aa"),"")</f>
      </c>
      <c r="EH471" s="496" t="str">
        <f> IF(EH491&lt;&gt;"",TEXT(AUX!EL$1,"dd-MMM-aa"),"")</f>
      </c>
      <c r="EI471" s="496" t="str">
        <f> IF(EI491&lt;&gt;"",TEXT(AUX!EM$1,"dd-MMM-aa"),"")</f>
      </c>
      <c r="EJ471" s="496" t="str">
        <f> IF(EJ491&lt;&gt;"",TEXT(AUX!EN$1,"dd-MMM-aa"),"")</f>
      </c>
      <c r="EK471" s="496" t="str">
        <f> IF(EK491&lt;&gt;"",TEXT(AUX!EO$1,"dd-MMM-aa"),"")</f>
      </c>
      <c r="EL471" s="496" t="str">
        <f> IF(EL491&lt;&gt;"",TEXT(AUX!EP$1,"dd-MMM-aa"),"")</f>
      </c>
      <c r="EM471" s="496" t="str">
        <f> IF(EM491&lt;&gt;"",TEXT(AUX!EQ$1,"dd-MMM-aa"),"")</f>
      </c>
      <c r="EN471" s="496" t="str">
        <f> IF(EN491&lt;&gt;"",TEXT(AUX!ER$1,"dd-MMM-aa"),"")</f>
      </c>
      <c r="EO471" s="496" t="str">
        <f> IF(EO491&lt;&gt;"",TEXT(AUX!ES$1,"dd-MMM-aa"),"")</f>
      </c>
      <c r="EP471" s="496" t="str">
        <f> IF(EP491&lt;&gt;"",TEXT(AUX!ET$1,"dd-MMM-aa"),"")</f>
      </c>
      <c r="EQ471" s="496" t="str">
        <f> IF(EQ491&lt;&gt;"",TEXT(AUX!EU$1,"dd-MMM-aa"),"")</f>
      </c>
      <c r="ER471" s="496" t="str">
        <f> IF(ER491&lt;&gt;"",TEXT(AUX!EV$1,"dd-MMM-aa"),"")</f>
      </c>
      <c r="ES471" s="496" t="str">
        <f> IF(ES491&lt;&gt;"",TEXT(AUX!EW$1,"dd-MMM-aa"),"")</f>
      </c>
      <c r="ET471" s="496" t="str">
        <f> IF(ET491&lt;&gt;"",TEXT(AUX!EX$1,"dd-MMM-aa"),"")</f>
      </c>
      <c r="EU471" s="496" t="str">
        <f> IF(EU491&lt;&gt;"",TEXT(AUX!EY$1,"dd-MMM-aa"),"")</f>
      </c>
      <c r="EV471" s="496" t="str">
        <f> IF(EV491&lt;&gt;"",TEXT(AUX!EZ$1,"dd-MMM-aa"),"")</f>
      </c>
      <c r="EW471" s="496" t="str">
        <f> IF(EW491&lt;&gt;"",TEXT(AUX!FA$1,"dd-MMM-aa"),"")</f>
      </c>
      <c r="EX471" s="496" t="str">
        <f> IF(EX491&lt;&gt;"",TEXT(AUX!FB$1,"dd-MMM-aa"),"")</f>
      </c>
      <c r="EY471" s="496" t="str">
        <f> IF(EY491&lt;&gt;"",TEXT(AUX!FC$1,"dd-MMM-aa"),"")</f>
      </c>
      <c r="EZ471" s="496" t="str">
        <f> IF(EZ491&lt;&gt;"",TEXT(AUX!FD$1,"dd-MMM-aa"),"")</f>
      </c>
      <c r="FA471" s="496" t="str">
        <f> IF(FA491&lt;&gt;"",TEXT(AUX!FE$1,"dd-MMM-aa"),"")</f>
      </c>
      <c r="FB471" s="496" t="str">
        <f> IF(FB491&lt;&gt;"",TEXT(AUX!FF$1,"dd-MMM-aa"),"")</f>
      </c>
      <c r="FC471" s="496" t="str">
        <f> IF(FC491&lt;&gt;"",TEXT(AUX!FG$1,"dd-MMM-aa"),"")</f>
      </c>
      <c r="FD471" s="496" t="str">
        <f> IF(FD491&lt;&gt;"",TEXT(AUX!FH$1,"dd-MMM-aa"),"")</f>
      </c>
      <c r="FE471" s="496" t="str">
        <f> IF(FE491&lt;&gt;"",TEXT(AUX!FI$1,"dd-MMM-aa"),"")</f>
      </c>
      <c r="FF471" s="496" t="str">
        <f> IF(FF491&lt;&gt;"",TEXT(AUX!FJ$1,"dd-MMM-aa"),"")</f>
      </c>
      <c r="FG471" s="496" t="str">
        <f> IF(FG491&lt;&gt;"",TEXT(AUX!FK$1,"dd-MMM-aa"),"")</f>
      </c>
      <c r="FH471" s="496" t="str">
        <f> IF(FH491&lt;&gt;"",TEXT(AUX!FL$1,"dd-MMM-aa"),"")</f>
      </c>
      <c r="FI471" s="496" t="str">
        <f> IF(FI491&lt;&gt;"",TEXT(AUX!FM$1,"dd-MMM-aa"),"")</f>
      </c>
      <c r="FJ471" s="496" t="str">
        <f> IF(FJ491&lt;&gt;"",TEXT(AUX!FN$1,"dd-MMM-aa"),"")</f>
      </c>
      <c r="FK471" s="496" t="str">
        <f> IF(FK491&lt;&gt;"",TEXT(AUX!FO$1,"dd-MMM-aa"),"")</f>
      </c>
      <c r="FL471" s="496" t="str">
        <f> IF(FL491&lt;&gt;"",TEXT(AUX!FP$1,"dd-MMM-aa"),"")</f>
      </c>
      <c r="FM471" s="496" t="str">
        <f> IF(FM491&lt;&gt;"",TEXT(AUX!FQ$1,"dd-MMM-aa"),"")</f>
      </c>
      <c r="FN471" s="496" t="str">
        <f> IF(FN491&lt;&gt;"",TEXT(AUX!FR$1,"dd-MMM-aa"),"")</f>
      </c>
      <c r="FO471" s="496" t="str">
        <f> IF(FO491&lt;&gt;"",TEXT(AUX!FS$1,"dd-MMM-aa"),"")</f>
      </c>
      <c r="FP471" s="496" t="str">
        <f> IF(FP491&lt;&gt;"",TEXT(AUX!FT$1,"dd-MMM-aa"),"")</f>
      </c>
      <c r="FQ471" s="496" t="str">
        <f> IF(FQ491&lt;&gt;"",TEXT(AUX!FU$1,"dd-MMM-aa"),"")</f>
      </c>
      <c r="FR471" s="496" t="str">
        <f> IF(FR491&lt;&gt;"",TEXT(AUX!FV$1,"dd-MMM-aa"),"")</f>
      </c>
      <c r="FS471" s="496" t="str">
        <f> IF(FS491&lt;&gt;"",TEXT(AUX!FW$1,"dd-MMM-aa"),"")</f>
      </c>
      <c r="FT471" s="496" t="str">
        <f> IF(FT491&lt;&gt;"",TEXT(AUX!FX$1,"dd-MMM-aa"),"")</f>
      </c>
      <c r="FU471" s="496" t="str">
        <f> IF(FU491&lt;&gt;"",TEXT(AUX!FY$1,"dd-MMM-aa"),"")</f>
      </c>
      <c r="FV471" s="496" t="str">
        <f> IF(FV491&lt;&gt;"",TEXT(AUX!FZ$1,"dd-MMM-aa"),"")</f>
      </c>
      <c r="FW471" s="496" t="str">
        <f> IF(FW491&lt;&gt;"",TEXT(AUX!GA$1,"dd-MMM-aa"),"")</f>
      </c>
      <c r="FX471" s="496" t="str">
        <f> IF(FX491&lt;&gt;"",TEXT(AUX!GB$1,"dd-MMM-aa"),"")</f>
      </c>
      <c r="FY471" s="496" t="str">
        <f> IF(FY491&lt;&gt;"",TEXT(AUX!GC$1,"dd-MMM-aa"),"")</f>
      </c>
      <c r="FZ471" s="496" t="str">
        <f> IF(FZ491&lt;&gt;"",TEXT(AUX!GD$1,"dd-MMM-aa"),"")</f>
      </c>
      <c r="GA471" s="496" t="str">
        <f> IF(GA491&lt;&gt;"",TEXT(AUX!GE$1,"dd-MMM-aa"),"")</f>
      </c>
      <c r="GB471" s="496" t="str">
        <f> IF(GB491&lt;&gt;"",TEXT(AUX!GF$1,"dd-MMM-aa"),"")</f>
      </c>
      <c r="GC471" s="496" t="str">
        <f> IF(GC491&lt;&gt;"",TEXT(AUX!GG$1,"dd-MMM-aa"),"")</f>
      </c>
      <c r="GD471" s="496" t="str">
        <f> IF(GD491&lt;&gt;"",TEXT(AUX!GH$1,"dd-MMM-aa"),"")</f>
      </c>
      <c r="GE471" s="496" t="str">
        <f> IF(GE491&lt;&gt;"",TEXT(AUX!GI$1,"dd-MMM-aa"),"")</f>
      </c>
      <c r="GF471" s="496" t="str">
        <f> IF(GF491&lt;&gt;"",TEXT(AUX!GJ$1,"dd-MMM-aa"),"")</f>
      </c>
      <c r="GG471" s="496" t="str">
        <f> IF(GG491&lt;&gt;"",TEXT(AUX!GK$1,"dd-MMM-aa"),"")</f>
      </c>
      <c r="GH471" s="496" t="str">
        <f> IF(GH491&lt;&gt;"",TEXT(AUX!GL$1,"dd-MMM-aa"),"")</f>
      </c>
      <c r="GI471" s="496" t="str">
        <f> IF(GI491&lt;&gt;"",TEXT(AUX!GM$1,"dd-MMM-aa"),"")</f>
      </c>
      <c r="GJ471" s="496" t="str">
        <f> IF(GJ491&lt;&gt;"",TEXT(AUX!GN$1,"dd-MMM-aa"),"")</f>
      </c>
      <c r="GK471" s="496" t="str">
        <f> IF(GK491&lt;&gt;"",TEXT(AUX!GO$1,"dd-MMM-aa"),"")</f>
      </c>
      <c r="GL471" s="496" t="str">
        <f> IF(GL491&lt;&gt;"",TEXT(AUX!GP$1,"dd-MMM-aa"),"")</f>
      </c>
      <c r="GM471" s="496" t="str">
        <f> IF(GM491&lt;&gt;"",TEXT(AUX!GQ$1,"dd-MMM-aa"),"")</f>
      </c>
      <c r="GN471" s="496" t="str">
        <f> IF(GN491&lt;&gt;"",TEXT(AUX!GR$1,"dd-MMM-aa"),"")</f>
      </c>
      <c r="GO471" s="496" t="str">
        <f> IF(GO491&lt;&gt;"",TEXT(AUX!GS$1,"dd-MMM-aa"),"")</f>
      </c>
      <c r="GP471" s="496" t="str">
        <f> IF(GP491&lt;&gt;"",TEXT(AUX!GT$1,"dd-MMM-aa"),"")</f>
      </c>
      <c r="GQ471" s="496" t="str">
        <f> IF(GQ491&lt;&gt;"",TEXT(AUX!GU$1,"dd-MMM-aa"),"")</f>
      </c>
      <c r="GR471" s="496" t="str">
        <f> IF(GR491&lt;&gt;"",TEXT(AUX!GV$1,"dd-MMM-aa"),"")</f>
      </c>
      <c r="GS471" s="496" t="str">
        <f> IF(GS491&lt;&gt;"",TEXT(AUX!GW$1,"dd-MMM-aa"),"")</f>
      </c>
      <c r="GT471" s="496" t="str">
        <f> IF(GT491&lt;&gt;"",TEXT(AUX!GX$1,"dd-MMM-aa"),"")</f>
      </c>
      <c r="GU471" s="496" t="str">
        <f> IF(GU491&lt;&gt;"",TEXT(AUX!GY$1,"dd-MMM-aa"),"")</f>
      </c>
      <c r="GV471" s="496" t="str">
        <f> IF(GV491&lt;&gt;"",TEXT(AUX!GZ$1,"dd-MMM-aa"),"")</f>
      </c>
      <c r="GW471" s="496" t="str">
        <f> IF(GW491&lt;&gt;"",TEXT(AUX!HA$1,"dd-MMM-aa"),"")</f>
      </c>
      <c r="GX471" s="496" t="str">
        <f> IF(GX491&lt;&gt;"",TEXT(AUX!HB$1,"dd-MMM-aa"),"")</f>
      </c>
      <c r="GY471" s="496" t="str">
        <f> IF(GY491&lt;&gt;"",TEXT(AUX!HC$1,"dd-MMM-aa"),"")</f>
      </c>
      <c r="GZ471" s="496" t="str">
        <f> IF(GZ491&lt;&gt;"",TEXT(AUX!HD$1,"dd-MMM-aa"),"")</f>
      </c>
      <c r="HA471" s="496" t="str">
        <f> IF(HA491&lt;&gt;"",TEXT(AUX!HE$1,"dd-MMM-aa"),"")</f>
      </c>
      <c r="HB471" s="496" t="str">
        <f> IF(HB491&lt;&gt;"",TEXT(AUX!HF$1,"dd-MMM-aa"),"")</f>
      </c>
      <c r="HC471" s="496" t="str">
        <f> IF(HC491&lt;&gt;"",TEXT(AUX!HG$1,"dd-MMM-aa"),"")</f>
      </c>
      <c r="HD471" s="496" t="str">
        <f> IF(HD491&lt;&gt;"",TEXT(AUX!HH$1,"dd-MMM-aa"),"")</f>
      </c>
      <c r="HE471" s="496" t="str">
        <f> IF(HE491&lt;&gt;"",TEXT(AUX!HI$1,"dd-MMM-aa"),"")</f>
      </c>
      <c r="HF471" s="496" t="str">
        <f> IF(HF491&lt;&gt;"",TEXT(AUX!HJ$1,"dd-MMM-aa"),"")</f>
      </c>
      <c r="HG471" s="496" t="str">
        <f> IF(HG491&lt;&gt;"",TEXT(AUX!HK$1,"dd-MMM-aa"),"")</f>
      </c>
      <c r="HH471" s="496" t="str">
        <f> IF(HH491&lt;&gt;"",TEXT(AUX!HL$1,"dd-MMM-aa"),"")</f>
      </c>
      <c r="HI471" s="496" t="str">
        <f> IF(HI491&lt;&gt;"",TEXT(AUX!HM$1,"dd-MMM-aa"),"")</f>
      </c>
      <c r="HJ471" s="496" t="str">
        <f> IF(HJ491&lt;&gt;"",TEXT(AUX!HN$1,"dd-MMM-aa"),"")</f>
      </c>
      <c r="HK471" s="496" t="str">
        <f> IF(HK491&lt;&gt;"",TEXT(AUX!HO$1,"dd-MMM-aa"),"")</f>
      </c>
      <c r="HL471" s="496" t="str">
        <f> IF(HL491&lt;&gt;"",TEXT(AUX!HP$1,"dd-MMM-aa"),"")</f>
      </c>
      <c r="HM471" s="496" t="str">
        <f> IF(HM491&lt;&gt;"",TEXT(AUX!HQ$1,"dd-MMM-aa"),"")</f>
      </c>
      <c r="HN471" s="496" t="str">
        <f> IF(HN491&lt;&gt;"",TEXT(AUX!HR$1,"dd-MMM-aa"),"")</f>
      </c>
      <c r="HO471" s="496" t="str">
        <f> IF(HO491&lt;&gt;"",TEXT(AUX!HS$1,"dd-MMM-aa"),"")</f>
      </c>
      <c r="HP471" s="496" t="str">
        <f> IF(HP491&lt;&gt;"",TEXT(AUX!HT$1,"dd-MMM-aa"),"")</f>
      </c>
      <c r="HQ471" s="496" t="str">
        <f> IF(HQ491&lt;&gt;"",TEXT(AUX!HU$1,"dd-MMM-aa"),"")</f>
      </c>
      <c r="HR471" s="496" t="str">
        <f> IF(HR491&lt;&gt;"",TEXT(AUX!HV$1,"dd-MMM-aa"),"")</f>
      </c>
      <c r="HS471" s="496" t="str">
        <f> IF(HS491&lt;&gt;"",TEXT(AUX!HW$1,"dd-MMM-aa"),"")</f>
      </c>
      <c r="HT471" s="496" t="str">
        <f> IF(HT491&lt;&gt;"",TEXT(AUX!HX$1,"dd-MMM-aa"),"")</f>
      </c>
      <c r="HU471" s="496" t="str">
        <f> IF(HU491&lt;&gt;"",TEXT(AUX!HY$1,"dd-MMM-aa"),"")</f>
      </c>
      <c r="HV471" s="496" t="str">
        <f> IF(HV491&lt;&gt;"",TEXT(AUX!HZ$1,"dd-MMM-aa"),"")</f>
      </c>
      <c r="HW471" s="496" t="str">
        <f> IF(HW491&lt;&gt;"",TEXT(AUX!IA$1,"dd-MMM-aa"),"")</f>
      </c>
      <c r="HX471" s="496" t="str">
        <f> IF(HX491&lt;&gt;"",TEXT(AUX!IB$1,"dd-MMM-aa"),"")</f>
      </c>
      <c r="HY471" s="496" t="str">
        <f> IF(HY491&lt;&gt;"",TEXT(AUX!IC$1,"dd-MMM-aa"),"")</f>
      </c>
      <c r="HZ471" s="496" t="str">
        <f> IF(HZ491&lt;&gt;"",TEXT(AUX!ID$1,"dd-MMM-aa"),"")</f>
      </c>
      <c r="IA471" s="496" t="str">
        <f> IF(IA491&lt;&gt;"",TEXT(AUX!IE$1,"dd-MMM-aa"),"")</f>
      </c>
      <c r="IB471" s="496" t="str">
        <f> IF(IB491&lt;&gt;"",TEXT(AUX!IF$1,"dd-MMM-aa"),"")</f>
      </c>
      <c r="IC471" s="496" t="str">
        <f> IF(IC491&lt;&gt;"",TEXT(AUX!IG$1,"dd-MMM-aa"),"")</f>
      </c>
      <c r="ID471" s="496" t="str">
        <f> IF(ID491&lt;&gt;"",TEXT(AUX!IH$1,"dd-MMM-aa"),"")</f>
      </c>
      <c r="IE471" s="496" t="str">
        <f> IF(IE491&lt;&gt;"",TEXT(AUX!II$1,"dd-MMM-aa"),"")</f>
      </c>
      <c r="IF471" s="496" t="str">
        <f> IF(IF491&lt;&gt;"",TEXT(AUX!IJ$1,"dd-MMM-aa"),"")</f>
      </c>
      <c r="IG471" s="496" t="str">
        <f> IF(IG491&lt;&gt;"",TEXT(AUX!IK$1,"dd-MMM-aa"),"")</f>
      </c>
      <c r="IH471" s="496" t="str">
        <f> IF(IH491&lt;&gt;"",TEXT(AUX!IL$1,"dd-MMM-aa"),"")</f>
      </c>
      <c r="II471" s="496" t="str">
        <f> IF(II491&lt;&gt;"",TEXT(AUX!IM$1,"dd-MMM-aa"),"")</f>
      </c>
      <c r="IJ471" s="496" t="str">
        <f> IF(IJ491&lt;&gt;"",TEXT(AUX!IN$1,"dd-MMM-aa"),"")</f>
      </c>
      <c r="IK471" s="496" t="str">
        <f> IF(IK491&lt;&gt;"",TEXT(AUX!IO$1,"dd-MMM-aa"),"")</f>
      </c>
      <c r="IL471" s="496" t="str">
        <f> IF(IL491&lt;&gt;"",TEXT(AUX!IP$1,"dd-MMM-aa"),"")</f>
      </c>
      <c r="IM471" s="496" t="str">
        <f> IF(IM491&lt;&gt;"",TEXT(AUX!IQ$1,"dd-MMM-aa"),"")</f>
      </c>
      <c r="IN471" s="496" t="str">
        <f> IF(IN491&lt;&gt;"",TEXT(AUX!IR$1,"dd-MMM-aa"),"")</f>
      </c>
      <c r="IO471" s="496" t="str">
        <f> IF(IO491&lt;&gt;"",TEXT(AUX!IS$1,"dd-MMM-aa"),"")</f>
      </c>
      <c r="IP471" s="496" t="str">
        <f> IF(IP491&lt;&gt;"",TEXT(AUX!IT$1,"dd-MMM-aa"),"")</f>
      </c>
      <c r="IQ471" s="496" t="str">
        <f> IF(IQ491&lt;&gt;"",TEXT(AUX!IU$1,"dd-MMM-aa"),"")</f>
      </c>
      <c r="IR471" s="496" t="str">
        <f> IF(IR491&lt;&gt;"",TEXT(AUX!IV$1,"dd-MMM-aa"),"")</f>
      </c>
      <c r="IS471" s="496" t="str">
        <f> IF(IS491&lt;&gt;"",TEXT(AUX!#REF!,"dd-MMM-aa"),"")</f>
      </c>
      <c r="IT471" s="496" t="str">
        <f> IF(IT491&lt;&gt;"",TEXT(AUX!#REF!,"dd-MMM-aa"),"")</f>
      </c>
      <c r="IU471" s="496" t="str">
        <f> IF(IU491&lt;&gt;"",TEXT(AUX!#REF!,"dd-MMM-aa"),"")</f>
      </c>
      <c r="IV471" s="496" t="str">
        <f> IF(IV491&lt;&gt;"",TEXT(AUX!#REF!,"dd-MMM-aa"),"")</f>
      </c>
    </row>
    <row r="472" hidden="1" ht="12.75" customHeight="1">
      <c r="B472" s="822" t="s">
        <v>8</v>
      </c>
      <c r="C472" s="823">
        <v>60909</v>
      </c>
      <c r="D472" s="823">
        <v>54485</v>
      </c>
      <c r="E472" s="823">
        <v>57431</v>
      </c>
      <c r="F472" s="823">
        <v>59366</v>
      </c>
      <c r="G472" s="823">
        <v>67058</v>
      </c>
      <c r="H472" s="823">
        <v>61150</v>
      </c>
      <c r="I472" s="823">
        <v>59346</v>
      </c>
      <c r="J472" s="823">
        <v>52927</v>
      </c>
      <c r="K472" s="823">
        <v>55376</v>
      </c>
      <c r="L472" s="823">
        <v>52777</v>
      </c>
      <c r="M472" s="823">
        <v>56988</v>
      </c>
      <c r="N472" s="823">
        <v>51170</v>
      </c>
      <c r="O472" s="823">
        <v>54540</v>
      </c>
      <c r="P472" s="823">
        <v>53636</v>
      </c>
      <c r="Q472" s="823">
        <v>54286</v>
      </c>
      <c r="R472" s="823">
        <v>52617</v>
      </c>
      <c r="S472" s="823">
        <v>53580</v>
      </c>
      <c r="T472" s="823">
        <v>56037</v>
      </c>
      <c r="U472" s="823">
        <v>63770</v>
      </c>
      <c r="V472" s="823">
        <v>58212</v>
      </c>
      <c r="W472" s="823">
        <v>58512</v>
      </c>
      <c r="X472" s="823">
        <v>59091</v>
      </c>
      <c r="Y472" s="823">
        <v>59546</v>
      </c>
      <c r="Z472" s="823">
        <v>58203</v>
      </c>
      <c r="AA472" s="823">
        <v>60188</v>
      </c>
      <c r="AB472" s="824">
        <v>58522</v>
      </c>
      <c r="AC472" s="825">
        <v>61176</v>
      </c>
      <c r="AD472" s="825">
        <v>56689</v>
      </c>
      <c r="AE472" s="825">
        <v>56822</v>
      </c>
      <c r="AF472" s="825">
        <v>56255</v>
      </c>
      <c r="AG472" s="825">
        <v>57603</v>
      </c>
      <c r="AH472" s="825">
        <v>52783</v>
      </c>
      <c r="AI472" s="825">
        <v>52004</v>
      </c>
      <c r="AJ472" s="825">
        <v>49126</v>
      </c>
      <c r="AK472" s="825">
        <v>49573</v>
      </c>
      <c r="AL472" s="825">
        <v>45454</v>
      </c>
      <c r="AM472" s="825">
        <v>44261</v>
      </c>
      <c r="AN472" s="825">
        <v>44478</v>
      </c>
      <c r="AO472" s="825">
        <v>47760</v>
      </c>
      <c r="AP472" s="825">
        <v>51816</v>
      </c>
    </row>
    <row r="473" hidden="1" ht="12.75" customHeight="1">
      <c r="B473" s="826" t="s">
        <v>9</v>
      </c>
      <c r="C473" s="827">
        <v>18311</v>
      </c>
      <c r="D473" s="827">
        <v>11317</v>
      </c>
      <c r="E473" s="827">
        <v>16837</v>
      </c>
      <c r="F473" s="827">
        <v>13619</v>
      </c>
      <c r="G473" s="827">
        <v>25840</v>
      </c>
      <c r="H473" s="827">
        <v>15618</v>
      </c>
      <c r="I473" s="827">
        <v>23010</v>
      </c>
      <c r="J473" s="827">
        <v>18599</v>
      </c>
      <c r="K473" s="827">
        <v>24805</v>
      </c>
      <c r="L473" s="827">
        <v>17002</v>
      </c>
      <c r="M473" s="827">
        <v>22349</v>
      </c>
      <c r="N473" s="827">
        <v>17390</v>
      </c>
      <c r="O473" s="827">
        <v>23390</v>
      </c>
      <c r="P473" s="827">
        <v>16981</v>
      </c>
      <c r="Q473" s="827">
        <v>22184</v>
      </c>
      <c r="R473" s="827">
        <v>17107</v>
      </c>
      <c r="S473" s="827">
        <v>22117</v>
      </c>
      <c r="T473" s="827">
        <v>18041</v>
      </c>
      <c r="U473" s="827">
        <v>24814</v>
      </c>
      <c r="V473" s="827">
        <v>18761</v>
      </c>
      <c r="W473" s="827">
        <v>20999</v>
      </c>
      <c r="X473" s="827">
        <v>18164</v>
      </c>
      <c r="Y473" s="827">
        <v>21579</v>
      </c>
      <c r="Z473" s="827">
        <v>19389</v>
      </c>
      <c r="AA473" s="827">
        <v>23335</v>
      </c>
      <c r="AB473" s="827">
        <v>20328</v>
      </c>
      <c r="AC473" s="828">
        <v>25015</v>
      </c>
      <c r="AD473" s="828">
        <v>20712</v>
      </c>
      <c r="AE473" s="828">
        <v>25753</v>
      </c>
      <c r="AF473" s="828">
        <v>20040</v>
      </c>
      <c r="AG473" s="828">
        <v>24005</v>
      </c>
      <c r="AH473" s="828">
        <v>20741</v>
      </c>
      <c r="AI473" s="828">
        <v>22687</v>
      </c>
      <c r="AJ473" s="828">
        <v>19270</v>
      </c>
      <c r="AK473" s="828">
        <v>25417</v>
      </c>
      <c r="AL473" s="828">
        <v>20793</v>
      </c>
      <c r="AM473" s="828">
        <v>24435</v>
      </c>
      <c r="AN473" s="828">
        <v>20546</v>
      </c>
      <c r="AO473" s="828">
        <v>25794</v>
      </c>
      <c r="AP473" s="828">
        <v>25962</v>
      </c>
    </row>
    <row r="474" hidden="1" ht="12.75" customHeight="1">
      <c r="B474" s="829" t="s">
        <v>10</v>
      </c>
      <c r="C474" s="823">
        <v>38135</v>
      </c>
      <c r="D474" s="823">
        <v>37552</v>
      </c>
      <c r="E474" s="823">
        <v>39182</v>
      </c>
      <c r="F474" s="823">
        <v>39932</v>
      </c>
      <c r="G474" s="823">
        <v>42850</v>
      </c>
      <c r="H474" s="823">
        <v>44383</v>
      </c>
      <c r="I474" s="823">
        <v>45667</v>
      </c>
      <c r="J474" s="823">
        <v>45586</v>
      </c>
      <c r="K474" s="823">
        <v>42072</v>
      </c>
      <c r="L474" s="823">
        <v>39955</v>
      </c>
      <c r="M474" s="823">
        <v>41255</v>
      </c>
      <c r="N474" s="823">
        <v>40632</v>
      </c>
      <c r="O474" s="823">
        <v>42601</v>
      </c>
      <c r="P474" s="823">
        <v>42641</v>
      </c>
      <c r="Q474" s="823">
        <v>43823</v>
      </c>
      <c r="R474" s="823">
        <v>43464</v>
      </c>
      <c r="S474" s="823">
        <v>43225</v>
      </c>
      <c r="T474" s="823">
        <v>42561</v>
      </c>
      <c r="U474" s="823">
        <v>44840</v>
      </c>
      <c r="V474" s="823">
        <v>44633</v>
      </c>
      <c r="W474" s="823">
        <v>45437</v>
      </c>
      <c r="X474" s="823">
        <v>44011</v>
      </c>
      <c r="Y474" s="823">
        <v>43009</v>
      </c>
      <c r="Z474" s="823">
        <v>43107</v>
      </c>
      <c r="AA474" s="823">
        <v>43075</v>
      </c>
      <c r="AB474" s="823">
        <v>41604</v>
      </c>
      <c r="AC474" s="825">
        <v>42548</v>
      </c>
      <c r="AD474" s="825">
        <v>41309</v>
      </c>
      <c r="AE474" s="825">
        <v>42068</v>
      </c>
      <c r="AF474" s="825">
        <v>41375</v>
      </c>
      <c r="AG474" s="825">
        <v>42706</v>
      </c>
      <c r="AH474" s="825">
        <v>40591</v>
      </c>
      <c r="AI474" s="825">
        <v>40695</v>
      </c>
      <c r="AJ474" s="825">
        <v>39104</v>
      </c>
      <c r="AK474" s="825">
        <v>39621</v>
      </c>
      <c r="AL474" s="825">
        <v>37207</v>
      </c>
      <c r="AM474" s="825">
        <v>36129</v>
      </c>
      <c r="AN474" s="825">
        <v>34381</v>
      </c>
      <c r="AO474" s="825">
        <v>35133</v>
      </c>
      <c r="AP474" s="825">
        <v>33784</v>
      </c>
    </row>
    <row r="475" hidden="1" ht="12.75" customHeight="1">
      <c r="B475" s="826" t="s">
        <v>11</v>
      </c>
      <c r="C475" s="827">
        <v>3286</v>
      </c>
      <c r="D475" s="827">
        <v>3528</v>
      </c>
      <c r="E475" s="827">
        <v>3249</v>
      </c>
      <c r="F475" s="827">
        <v>3546</v>
      </c>
      <c r="G475" s="827">
        <v>3674</v>
      </c>
      <c r="H475" s="827">
        <v>3871</v>
      </c>
      <c r="I475" s="827">
        <v>3546</v>
      </c>
      <c r="J475" s="827">
        <v>3628</v>
      </c>
      <c r="K475" s="827">
        <v>3653</v>
      </c>
      <c r="L475" s="827">
        <v>3432</v>
      </c>
      <c r="M475" s="827">
        <v>3463</v>
      </c>
      <c r="N475" s="827">
        <v>3571</v>
      </c>
      <c r="O475" s="827">
        <v>3396</v>
      </c>
      <c r="P475" s="827">
        <v>3583</v>
      </c>
      <c r="Q475" s="827">
        <v>3241</v>
      </c>
      <c r="R475" s="827">
        <v>3511</v>
      </c>
      <c r="S475" s="827">
        <v>3337</v>
      </c>
      <c r="T475" s="827">
        <v>3297</v>
      </c>
      <c r="U475" s="827">
        <v>4293</v>
      </c>
      <c r="V475" s="827">
        <v>3660</v>
      </c>
      <c r="W475" s="827">
        <v>3691</v>
      </c>
      <c r="X475" s="827">
        <v>3415</v>
      </c>
      <c r="Y475" s="827">
        <v>3536</v>
      </c>
      <c r="Z475" s="827">
        <v>3224</v>
      </c>
      <c r="AA475" s="827">
        <v>3457</v>
      </c>
      <c r="AB475" s="827">
        <v>3152</v>
      </c>
      <c r="AC475" s="828">
        <v>3365</v>
      </c>
      <c r="AD475" s="828">
        <v>3307</v>
      </c>
      <c r="AE475" s="828">
        <v>3181</v>
      </c>
      <c r="AF475" s="828">
        <v>3335</v>
      </c>
      <c r="AG475" s="828">
        <v>3072</v>
      </c>
      <c r="AH475" s="828">
        <v>3098</v>
      </c>
      <c r="AI475" s="828">
        <v>2874</v>
      </c>
      <c r="AJ475" s="828">
        <v>2939</v>
      </c>
      <c r="AK475" s="828">
        <v>2744</v>
      </c>
      <c r="AL475" s="828">
        <v>2762</v>
      </c>
      <c r="AM475" s="828">
        <v>2496</v>
      </c>
      <c r="AN475" s="828">
        <v>2672</v>
      </c>
      <c r="AO475" s="828">
        <v>2410</v>
      </c>
      <c r="AP475" s="828">
        <v>2606</v>
      </c>
    </row>
    <row r="476" hidden="1" ht="12.75" customHeight="1">
      <c r="B476" s="829" t="s">
        <v>12</v>
      </c>
      <c r="C476" s="823">
        <v>1538</v>
      </c>
      <c r="D476" s="823">
        <v>1586</v>
      </c>
      <c r="E476" s="823">
        <v>1963</v>
      </c>
      <c r="F476" s="823">
        <v>1767</v>
      </c>
      <c r="G476" s="823">
        <v>1914</v>
      </c>
      <c r="H476" s="823">
        <v>2019</v>
      </c>
      <c r="I476" s="823">
        <v>2270</v>
      </c>
      <c r="J476" s="823">
        <v>2231</v>
      </c>
      <c r="K476" s="823">
        <v>2207</v>
      </c>
      <c r="L476" s="823">
        <v>2374</v>
      </c>
      <c r="M476" s="823">
        <v>2495</v>
      </c>
      <c r="N476" s="823">
        <v>2579</v>
      </c>
      <c r="O476" s="823">
        <v>2234</v>
      </c>
      <c r="P476" s="823">
        <v>2517</v>
      </c>
      <c r="Q476" s="823">
        <v>1963</v>
      </c>
      <c r="R476" s="823">
        <v>1900</v>
      </c>
      <c r="S476" s="823">
        <v>2140</v>
      </c>
      <c r="T476" s="823">
        <v>2214</v>
      </c>
      <c r="U476" s="823">
        <v>2840</v>
      </c>
      <c r="V476" s="823">
        <v>2530</v>
      </c>
      <c r="W476" s="823">
        <v>2393</v>
      </c>
      <c r="X476" s="823">
        <v>2489</v>
      </c>
      <c r="Y476" s="823">
        <v>2386</v>
      </c>
      <c r="Z476" s="823">
        <v>2486</v>
      </c>
      <c r="AA476" s="823">
        <v>2192</v>
      </c>
      <c r="AB476" s="823">
        <v>2860</v>
      </c>
      <c r="AC476" s="825">
        <v>2525</v>
      </c>
      <c r="AD476" s="825">
        <v>2873</v>
      </c>
      <c r="AE476" s="825">
        <v>2407</v>
      </c>
      <c r="AF476" s="825">
        <v>2705</v>
      </c>
      <c r="AG476" s="825">
        <v>2942</v>
      </c>
      <c r="AH476" s="825">
        <v>3222</v>
      </c>
      <c r="AI476" s="825">
        <v>2470</v>
      </c>
      <c r="AJ476" s="825">
        <v>2621</v>
      </c>
      <c r="AK476" s="825">
        <v>2669</v>
      </c>
      <c r="AL476" s="825">
        <v>3504</v>
      </c>
      <c r="AM476" s="825">
        <v>2582</v>
      </c>
      <c r="AN476" s="825">
        <v>3312</v>
      </c>
      <c r="AO476" s="825">
        <v>2940</v>
      </c>
      <c r="AP476" s="825">
        <v>4107</v>
      </c>
    </row>
    <row r="477" hidden="1" ht="12.75" customHeight="1">
      <c r="B477" s="826" t="s">
        <v>13</v>
      </c>
      <c r="C477" s="827">
        <v>33712</v>
      </c>
      <c r="D477" s="827">
        <v>32375</v>
      </c>
      <c r="E477" s="827">
        <v>34382</v>
      </c>
      <c r="F477" s="827">
        <v>34931</v>
      </c>
      <c r="G477" s="827">
        <v>36666</v>
      </c>
      <c r="H477" s="827">
        <v>37178</v>
      </c>
      <c r="I477" s="827">
        <v>38458</v>
      </c>
      <c r="J477" s="827">
        <v>38070</v>
      </c>
      <c r="K477" s="827">
        <v>37892</v>
      </c>
      <c r="L477" s="827">
        <v>36275</v>
      </c>
      <c r="M477" s="827">
        <v>37346</v>
      </c>
      <c r="N477" s="827">
        <v>36805</v>
      </c>
      <c r="O477" s="827">
        <v>37999</v>
      </c>
      <c r="P477" s="827">
        <v>38367</v>
      </c>
      <c r="Q477" s="827">
        <v>39174</v>
      </c>
      <c r="R477" s="827">
        <v>38674</v>
      </c>
      <c r="S477" s="827">
        <v>38865</v>
      </c>
      <c r="T477" s="827">
        <v>38538</v>
      </c>
      <c r="U477" s="827">
        <v>39908</v>
      </c>
      <c r="V477" s="827">
        <v>39969</v>
      </c>
      <c r="W477" s="827">
        <v>39407</v>
      </c>
      <c r="X477" s="827">
        <v>38166</v>
      </c>
      <c r="Y477" s="827">
        <v>39176</v>
      </c>
      <c r="Z477" s="827">
        <v>38142</v>
      </c>
      <c r="AA477" s="827">
        <v>38611</v>
      </c>
      <c r="AB477" s="827">
        <v>37432</v>
      </c>
      <c r="AC477" s="828">
        <v>37101</v>
      </c>
      <c r="AD477" s="828">
        <v>35263</v>
      </c>
      <c r="AE477" s="828">
        <v>36317</v>
      </c>
      <c r="AF477" s="828">
        <v>35108</v>
      </c>
      <c r="AG477" s="828">
        <v>36054</v>
      </c>
      <c r="AH477" s="828">
        <v>34508</v>
      </c>
      <c r="AI477" s="828">
        <v>34174</v>
      </c>
      <c r="AJ477" s="828">
        <v>32748</v>
      </c>
      <c r="AK477" s="828">
        <v>32536</v>
      </c>
      <c r="AL477" s="828">
        <v>30356</v>
      </c>
      <c r="AM477" s="828">
        <v>29300</v>
      </c>
      <c r="AN477" s="828">
        <v>28384</v>
      </c>
      <c r="AO477" s="828">
        <v>28892</v>
      </c>
      <c r="AP477" s="828">
        <v>28644</v>
      </c>
    </row>
    <row r="478" hidden="1" ht="12.75" customHeight="1">
      <c r="B478" s="829" t="s">
        <v>109</v>
      </c>
      <c r="C478" s="823">
        <v>47676</v>
      </c>
      <c r="D478" s="823">
        <v>32850</v>
      </c>
      <c r="E478" s="823">
        <v>49760</v>
      </c>
      <c r="F478" s="823">
        <v>34902</v>
      </c>
      <c r="G478" s="823">
        <v>57918</v>
      </c>
      <c r="H478" s="823">
        <v>41129</v>
      </c>
      <c r="I478" s="823">
        <v>59629</v>
      </c>
      <c r="J478" s="823">
        <v>42609</v>
      </c>
      <c r="K478" s="823">
        <v>56670</v>
      </c>
      <c r="L478" s="823">
        <v>38719</v>
      </c>
      <c r="M478" s="823">
        <v>51144</v>
      </c>
      <c r="N478" s="823">
        <v>37339</v>
      </c>
      <c r="O478" s="823">
        <v>53246</v>
      </c>
      <c r="P478" s="823">
        <v>35838</v>
      </c>
      <c r="Q478" s="823">
        <v>42417</v>
      </c>
      <c r="R478" s="823">
        <v>34651</v>
      </c>
      <c r="S478" s="823">
        <v>41983</v>
      </c>
      <c r="T478" s="823">
        <v>32912</v>
      </c>
      <c r="U478" s="823">
        <v>47725</v>
      </c>
      <c r="V478" s="823">
        <v>44943</v>
      </c>
      <c r="W478" s="823">
        <v>50302</v>
      </c>
      <c r="X478" s="823">
        <v>41032</v>
      </c>
      <c r="Y478" s="823">
        <v>48714</v>
      </c>
      <c r="Z478" s="823">
        <v>48257</v>
      </c>
      <c r="AA478" s="823">
        <v>55566</v>
      </c>
      <c r="AB478" s="823">
        <v>46798</v>
      </c>
      <c r="AC478" s="825">
        <v>56583</v>
      </c>
      <c r="AD478" s="825">
        <v>48918</v>
      </c>
      <c r="AE478" s="825">
        <v>56820</v>
      </c>
      <c r="AF478" s="825">
        <v>47836</v>
      </c>
      <c r="AG478" s="825">
        <v>53591</v>
      </c>
      <c r="AH478" s="825">
        <v>46426</v>
      </c>
      <c r="AI478" s="825">
        <v>50145</v>
      </c>
      <c r="AJ478" s="825">
        <v>47625</v>
      </c>
      <c r="AK478" s="825">
        <v>53560</v>
      </c>
      <c r="AL478" s="825">
        <v>57836</v>
      </c>
      <c r="AM478" s="825">
        <v>53861</v>
      </c>
      <c r="AN478" s="825">
        <v>48171</v>
      </c>
      <c r="AO478" s="825">
        <v>51667</v>
      </c>
      <c r="AP478" s="825">
        <v>54832</v>
      </c>
    </row>
    <row r="479" hidden="1" ht="12.75" customHeight="1">
      <c r="B479" s="826" t="s">
        <v>110</v>
      </c>
      <c r="C479" s="827">
        <v>98994</v>
      </c>
      <c r="D479" s="827">
        <v>87356</v>
      </c>
      <c r="E479" s="827">
        <v>111821</v>
      </c>
      <c r="F479" s="827">
        <v>100188</v>
      </c>
      <c r="G479" s="827">
        <v>127752</v>
      </c>
      <c r="H479" s="827">
        <v>111173</v>
      </c>
      <c r="I479" s="827">
        <v>124156</v>
      </c>
      <c r="J479" s="827">
        <v>107603</v>
      </c>
      <c r="K479" s="827">
        <v>124678</v>
      </c>
      <c r="L479" s="827">
        <v>99022</v>
      </c>
      <c r="M479" s="827">
        <v>120373</v>
      </c>
      <c r="N479" s="827">
        <v>101651</v>
      </c>
      <c r="O479" s="827">
        <v>125254</v>
      </c>
      <c r="P479" s="827">
        <v>103483</v>
      </c>
      <c r="Q479" s="827">
        <v>121915</v>
      </c>
      <c r="R479" s="827">
        <v>102365</v>
      </c>
      <c r="S479" s="827">
        <v>123588</v>
      </c>
      <c r="T479" s="827">
        <v>108477</v>
      </c>
      <c r="U479" s="827">
        <v>136705</v>
      </c>
      <c r="V479" s="827">
        <v>120317</v>
      </c>
      <c r="W479" s="827">
        <v>135118</v>
      </c>
      <c r="X479" s="827">
        <v>122192</v>
      </c>
      <c r="Y479" s="827">
        <v>137381</v>
      </c>
      <c r="Z479" s="827">
        <v>128362</v>
      </c>
      <c r="AA479" s="827">
        <v>142736</v>
      </c>
      <c r="AB479" s="827">
        <v>127472</v>
      </c>
      <c r="AC479" s="828">
        <v>145646</v>
      </c>
      <c r="AD479" s="828">
        <v>124267</v>
      </c>
      <c r="AE479" s="828">
        <v>147966</v>
      </c>
      <c r="AF479" s="828">
        <v>129310</v>
      </c>
      <c r="AG479" s="828">
        <v>147552</v>
      </c>
      <c r="AH479" s="828">
        <v>130591</v>
      </c>
      <c r="AI479" s="828">
        <v>138062</v>
      </c>
      <c r="AJ479" s="828">
        <v>119186</v>
      </c>
      <c r="AK479" s="828">
        <v>134037</v>
      </c>
      <c r="AL479" s="828">
        <v>121390</v>
      </c>
      <c r="AM479" s="828">
        <v>130896</v>
      </c>
      <c r="AN479" s="828">
        <v>116740</v>
      </c>
      <c r="AO479" s="828">
        <v>130831</v>
      </c>
      <c r="AP479" s="828">
        <v>132010</v>
      </c>
    </row>
    <row r="480" hidden="1" ht="12.75" customHeight="1">
      <c r="B480" s="829" t="s">
        <v>16</v>
      </c>
      <c r="C480" s="823">
        <v>48655</v>
      </c>
      <c r="D480" s="823">
        <v>83477</v>
      </c>
      <c r="E480" s="823">
        <v>62483</v>
      </c>
      <c r="F480" s="823">
        <v>47816</v>
      </c>
      <c r="G480" s="823">
        <v>81469</v>
      </c>
      <c r="H480" s="823">
        <v>67991</v>
      </c>
      <c r="I480" s="823">
        <v>52062</v>
      </c>
      <c r="J480" s="823">
        <v>35003</v>
      </c>
      <c r="K480" s="823">
        <v>42956</v>
      </c>
      <c r="L480" s="823">
        <v>34788</v>
      </c>
      <c r="M480" s="823">
        <v>42171</v>
      </c>
      <c r="N480" s="823">
        <v>40890</v>
      </c>
      <c r="O480" s="823">
        <v>46437</v>
      </c>
      <c r="P480" s="823">
        <v>42515</v>
      </c>
      <c r="Q480" s="823">
        <v>45959</v>
      </c>
      <c r="R480" s="823">
        <v>0</v>
      </c>
      <c r="S480" s="823">
        <v>41960</v>
      </c>
      <c r="T480" s="823">
        <v>38938</v>
      </c>
      <c r="U480" s="823">
        <v>46325</v>
      </c>
      <c r="V480" s="823">
        <v>47623</v>
      </c>
      <c r="W480" s="823">
        <v>48280</v>
      </c>
      <c r="X480" s="823">
        <v>41884</v>
      </c>
      <c r="Y480" s="823">
        <v>46283</v>
      </c>
      <c r="Z480" s="823">
        <v>45333</v>
      </c>
      <c r="AA480" s="823">
        <v>51035</v>
      </c>
      <c r="AB480" s="823">
        <v>47166</v>
      </c>
      <c r="AC480" s="825">
        <v>61300</v>
      </c>
      <c r="AD480" s="825">
        <v>51266</v>
      </c>
      <c r="AE480" s="825">
        <v>49484</v>
      </c>
      <c r="AF480" s="825">
        <v>49103</v>
      </c>
      <c r="AG480" s="825">
        <v>48962</v>
      </c>
      <c r="AH480" s="825">
        <v>43620</v>
      </c>
      <c r="AI480" s="825">
        <v>43514</v>
      </c>
      <c r="AJ480" s="825">
        <v>45463</v>
      </c>
      <c r="AK480" s="825">
        <v>45597</v>
      </c>
      <c r="AL480" s="825">
        <v>40090</v>
      </c>
      <c r="AM480" s="825">
        <v>39179</v>
      </c>
      <c r="AN480" s="825">
        <v>37587</v>
      </c>
      <c r="AO480" s="825">
        <v>42473</v>
      </c>
      <c r="AP480" s="825">
        <v>41474</v>
      </c>
    </row>
    <row r="481" hidden="1" ht="12.75" customHeight="1">
      <c r="B481" s="826" t="s">
        <v>17</v>
      </c>
      <c r="C481" s="827">
        <v>51201</v>
      </c>
      <c r="D481" s="827">
        <v>49899</v>
      </c>
      <c r="E481" s="827">
        <v>55194</v>
      </c>
      <c r="F481" s="827">
        <v>60518</v>
      </c>
      <c r="G481" s="827">
        <v>71345</v>
      </c>
      <c r="H481" s="827">
        <v>65081</v>
      </c>
      <c r="I481" s="827">
        <v>58343</v>
      </c>
      <c r="J481" s="827">
        <v>51396</v>
      </c>
      <c r="K481" s="827">
        <v>50759</v>
      </c>
      <c r="L481" s="827">
        <v>46267</v>
      </c>
      <c r="M481" s="827">
        <v>53684</v>
      </c>
      <c r="N481" s="827">
        <v>52444</v>
      </c>
      <c r="O481" s="827">
        <v>57872</v>
      </c>
      <c r="P481" s="827">
        <v>53688</v>
      </c>
      <c r="Q481" s="827">
        <v>64072</v>
      </c>
      <c r="R481" s="827">
        <v>57476</v>
      </c>
      <c r="S481" s="827">
        <v>61565</v>
      </c>
      <c r="T481" s="827">
        <v>65414</v>
      </c>
      <c r="U481" s="827">
        <v>80839</v>
      </c>
      <c r="V481" s="827">
        <v>72958</v>
      </c>
      <c r="W481" s="827">
        <v>73062</v>
      </c>
      <c r="X481" s="827">
        <v>76799</v>
      </c>
      <c r="Y481" s="827">
        <v>76043</v>
      </c>
      <c r="Z481" s="827">
        <v>75042</v>
      </c>
      <c r="AA481" s="827">
        <v>75454</v>
      </c>
      <c r="AB481" s="827">
        <v>72616</v>
      </c>
      <c r="AC481" s="828">
        <v>74909</v>
      </c>
      <c r="AD481" s="828">
        <v>68856</v>
      </c>
      <c r="AE481" s="828">
        <v>69385</v>
      </c>
      <c r="AF481" s="828">
        <v>71996</v>
      </c>
      <c r="AG481" s="828">
        <v>74379</v>
      </c>
      <c r="AH481" s="828">
        <v>69677</v>
      </c>
      <c r="AI481" s="828">
        <v>64940</v>
      </c>
      <c r="AJ481" s="828">
        <v>61706</v>
      </c>
      <c r="AK481" s="828">
        <v>57388</v>
      </c>
      <c r="AL481" s="828">
        <v>56016</v>
      </c>
      <c r="AM481" s="828">
        <v>53315</v>
      </c>
      <c r="AN481" s="828">
        <v>58199</v>
      </c>
      <c r="AO481" s="828">
        <v>60213</v>
      </c>
      <c r="AP481" s="828">
        <v>69473</v>
      </c>
    </row>
    <row r="482" hidden="1" ht="12.75" customHeight="1">
      <c r="B482" s="829" t="s">
        <v>18</v>
      </c>
      <c r="C482" s="823">
        <v>90346</v>
      </c>
      <c r="D482" s="823">
        <v>87972</v>
      </c>
      <c r="E482" s="823">
        <v>88783</v>
      </c>
      <c r="F482" s="823">
        <v>90607</v>
      </c>
      <c r="G482" s="823">
        <v>95934</v>
      </c>
      <c r="H482" s="823">
        <v>98730</v>
      </c>
      <c r="I482" s="823">
        <v>98769</v>
      </c>
      <c r="J482" s="823">
        <v>107884</v>
      </c>
      <c r="K482" s="823">
        <v>108672</v>
      </c>
      <c r="L482" s="823">
        <v>106475</v>
      </c>
      <c r="M482" s="823">
        <v>107258</v>
      </c>
      <c r="N482" s="823">
        <v>105175</v>
      </c>
      <c r="O482" s="823">
        <v>105272</v>
      </c>
      <c r="P482" s="823">
        <v>106307</v>
      </c>
      <c r="Q482" s="823">
        <v>109184</v>
      </c>
      <c r="R482" s="823">
        <v>109268</v>
      </c>
      <c r="S482" s="823">
        <v>108300</v>
      </c>
      <c r="T482" s="823">
        <v>109031</v>
      </c>
      <c r="U482" s="823">
        <v>112866</v>
      </c>
      <c r="V482" s="823">
        <v>113514</v>
      </c>
      <c r="W482" s="823">
        <v>115884</v>
      </c>
      <c r="X482" s="823">
        <v>114349</v>
      </c>
      <c r="Y482" s="823">
        <v>111544</v>
      </c>
      <c r="Z482" s="823">
        <v>109795</v>
      </c>
      <c r="AA482" s="823">
        <v>108751</v>
      </c>
      <c r="AB482" s="823">
        <v>108608</v>
      </c>
      <c r="AC482" s="825">
        <v>109637</v>
      </c>
      <c r="AD482" s="825">
        <v>107250</v>
      </c>
      <c r="AE482" s="825">
        <v>108733</v>
      </c>
      <c r="AF482" s="825">
        <v>110125</v>
      </c>
      <c r="AG482" s="825">
        <v>116350</v>
      </c>
      <c r="AH482" s="825">
        <v>115560</v>
      </c>
      <c r="AI482" s="825">
        <v>117865</v>
      </c>
      <c r="AJ482" s="825">
        <v>119471</v>
      </c>
      <c r="AK482" s="825">
        <v>119100</v>
      </c>
      <c r="AL482" s="825">
        <v>115954</v>
      </c>
      <c r="AM482" s="825">
        <v>112949</v>
      </c>
      <c r="AN482" s="825">
        <v>112402</v>
      </c>
      <c r="AO482" s="825">
        <v>112967</v>
      </c>
      <c r="AP482" s="825">
        <v>111668</v>
      </c>
    </row>
    <row r="483" hidden="1" ht="12.75" customHeight="1">
      <c r="B483" s="826" t="s">
        <v>19</v>
      </c>
      <c r="C483" s="827">
        <v>12857</v>
      </c>
      <c r="D483" s="827">
        <v>9964</v>
      </c>
      <c r="E483" s="827">
        <v>12796</v>
      </c>
      <c r="F483" s="827">
        <v>12141</v>
      </c>
      <c r="G483" s="827">
        <v>21587</v>
      </c>
      <c r="H483" s="827">
        <v>13835</v>
      </c>
      <c r="I483" s="827">
        <v>12315</v>
      </c>
      <c r="J483" s="827">
        <v>9500</v>
      </c>
      <c r="K483" s="827">
        <v>11852</v>
      </c>
      <c r="L483" s="827">
        <v>7156</v>
      </c>
      <c r="M483" s="827">
        <v>11444</v>
      </c>
      <c r="N483" s="827">
        <v>9764</v>
      </c>
      <c r="O483" s="827">
        <v>11255</v>
      </c>
      <c r="P483" s="827">
        <v>9784</v>
      </c>
      <c r="Q483" s="827">
        <v>11286</v>
      </c>
      <c r="R483" s="827">
        <v>9891</v>
      </c>
      <c r="S483" s="827">
        <v>10676</v>
      </c>
      <c r="T483" s="827">
        <v>9274</v>
      </c>
      <c r="U483" s="827">
        <v>11051</v>
      </c>
      <c r="V483" s="827">
        <v>10971</v>
      </c>
      <c r="W483" s="827">
        <v>13045</v>
      </c>
      <c r="X483" s="827">
        <v>9879</v>
      </c>
      <c r="Y483" s="827">
        <v>12255</v>
      </c>
      <c r="Z483" s="827">
        <v>13937</v>
      </c>
      <c r="AA483" s="827">
        <v>13883</v>
      </c>
      <c r="AB483" s="827">
        <v>13978</v>
      </c>
      <c r="AC483" s="828">
        <v>11329</v>
      </c>
      <c r="AD483" s="828">
        <v>10162</v>
      </c>
      <c r="AE483" s="828">
        <v>11763</v>
      </c>
      <c r="AF483" s="828">
        <v>13483</v>
      </c>
      <c r="AG483" s="828">
        <v>10973</v>
      </c>
      <c r="AH483" s="828">
        <v>13686</v>
      </c>
      <c r="AI483" s="828">
        <v>12567</v>
      </c>
      <c r="AJ483" s="828">
        <v>11309</v>
      </c>
      <c r="AK483" s="828">
        <v>10081</v>
      </c>
      <c r="AL483" s="828">
        <v>11516</v>
      </c>
      <c r="AM483" s="828">
        <v>20610</v>
      </c>
      <c r="AN483" s="828">
        <v>10658</v>
      </c>
      <c r="AO483" s="828">
        <v>10900</v>
      </c>
      <c r="AP483" s="828">
        <v>10973</v>
      </c>
    </row>
    <row r="484" hidden="1" ht="12.75" customHeight="1">
      <c r="B484" s="829" t="s">
        <v>20</v>
      </c>
      <c r="C484" s="823">
        <v>15554</v>
      </c>
      <c r="D484" s="823">
        <v>6600</v>
      </c>
      <c r="E484" s="823">
        <v>14057</v>
      </c>
      <c r="F484" s="823">
        <v>7570</v>
      </c>
      <c r="G484" s="823">
        <v>14872</v>
      </c>
      <c r="H484" s="823">
        <v>7750</v>
      </c>
      <c r="I484" s="823">
        <v>14743</v>
      </c>
      <c r="J484" s="823">
        <v>8707</v>
      </c>
      <c r="K484" s="823">
        <v>8588</v>
      </c>
      <c r="L484" s="823">
        <v>6287</v>
      </c>
      <c r="M484" s="823">
        <v>5803</v>
      </c>
      <c r="N484" s="823">
        <v>3140</v>
      </c>
      <c r="O484" s="823">
        <v>4161</v>
      </c>
      <c r="P484" s="823">
        <v>3412</v>
      </c>
      <c r="Q484" s="823">
        <v>4183</v>
      </c>
      <c r="R484" s="823">
        <v>4222</v>
      </c>
      <c r="S484" s="823">
        <v>3988</v>
      </c>
      <c r="T484" s="823">
        <v>3494</v>
      </c>
      <c r="U484" s="823">
        <v>4586</v>
      </c>
      <c r="V484" s="823">
        <v>4826</v>
      </c>
      <c r="W484" s="823">
        <v>5149</v>
      </c>
      <c r="X484" s="823">
        <v>4198</v>
      </c>
      <c r="Y484" s="823">
        <v>4288</v>
      </c>
      <c r="Z484" s="823">
        <v>3669</v>
      </c>
      <c r="AA484" s="823">
        <v>5997</v>
      </c>
      <c r="AB484" s="823">
        <v>4357</v>
      </c>
      <c r="AC484" s="825">
        <v>5079</v>
      </c>
      <c r="AD484" s="825">
        <v>4781</v>
      </c>
      <c r="AE484" s="825">
        <v>5643</v>
      </c>
      <c r="AF484" s="825">
        <v>4107</v>
      </c>
      <c r="AG484" s="825">
        <v>5269</v>
      </c>
      <c r="AH484" s="825">
        <v>4268</v>
      </c>
      <c r="AI484" s="825">
        <v>5427</v>
      </c>
      <c r="AJ484" s="825">
        <v>6415</v>
      </c>
      <c r="AK484" s="825">
        <v>8390</v>
      </c>
      <c r="AL484" s="825">
        <v>7664</v>
      </c>
      <c r="AM484" s="825">
        <v>8368</v>
      </c>
      <c r="AN484" s="825">
        <v>6737</v>
      </c>
      <c r="AO484" s="825">
        <v>7765</v>
      </c>
      <c r="AP484" s="825">
        <v>7874</v>
      </c>
    </row>
    <row r="485" hidden="1" ht="12.75" customHeight="1">
      <c r="B485" s="826" t="s">
        <v>21</v>
      </c>
      <c r="C485" s="827">
        <v>12307</v>
      </c>
      <c r="D485" s="827">
        <v>10537</v>
      </c>
      <c r="E485" s="827">
        <v>13674</v>
      </c>
      <c r="F485" s="827">
        <v>12128</v>
      </c>
      <c r="G485" s="827">
        <v>15333</v>
      </c>
      <c r="H485" s="827">
        <v>12214</v>
      </c>
      <c r="I485" s="827">
        <v>15609</v>
      </c>
      <c r="J485" s="827">
        <v>12776</v>
      </c>
      <c r="K485" s="827">
        <v>13847</v>
      </c>
      <c r="L485" s="827">
        <v>11535</v>
      </c>
      <c r="M485" s="827">
        <v>13855</v>
      </c>
      <c r="N485" s="827">
        <v>11972</v>
      </c>
      <c r="O485" s="827">
        <v>14153</v>
      </c>
      <c r="P485" s="827">
        <v>12250</v>
      </c>
      <c r="Q485" s="827">
        <v>13673</v>
      </c>
      <c r="R485" s="827">
        <v>12040</v>
      </c>
      <c r="S485" s="827">
        <v>14032</v>
      </c>
      <c r="T485" s="827">
        <v>12423</v>
      </c>
      <c r="U485" s="827">
        <v>14509</v>
      </c>
      <c r="V485" s="827">
        <v>13252</v>
      </c>
      <c r="W485" s="827">
        <v>14323</v>
      </c>
      <c r="X485" s="827">
        <v>13451</v>
      </c>
      <c r="Y485" s="827">
        <v>14926</v>
      </c>
      <c r="Z485" s="827">
        <v>14058</v>
      </c>
      <c r="AA485" s="827">
        <v>15100</v>
      </c>
      <c r="AB485" s="827">
        <v>13398</v>
      </c>
      <c r="AC485" s="828">
        <v>14819</v>
      </c>
      <c r="AD485" s="828">
        <v>13580</v>
      </c>
      <c r="AE485" s="828">
        <v>15340</v>
      </c>
      <c r="AF485" s="828">
        <v>13728</v>
      </c>
      <c r="AG485" s="828">
        <v>15794</v>
      </c>
      <c r="AH485" s="828">
        <v>13948</v>
      </c>
      <c r="AI485" s="828">
        <v>14157</v>
      </c>
      <c r="AJ485" s="828">
        <v>12946</v>
      </c>
      <c r="AK485" s="828">
        <v>15090</v>
      </c>
      <c r="AL485" s="828">
        <v>13070</v>
      </c>
      <c r="AM485" s="828">
        <v>14259</v>
      </c>
      <c r="AN485" s="828">
        <v>13572</v>
      </c>
      <c r="AO485" s="828">
        <v>14073</v>
      </c>
      <c r="AP485" s="828">
        <v>13807</v>
      </c>
    </row>
    <row r="486" hidden="1" ht="12.75" customHeight="1">
      <c r="B486" s="829" t="s">
        <v>22</v>
      </c>
      <c r="C486" s="823">
        <v>16687</v>
      </c>
      <c r="D486" s="823">
        <v>14404</v>
      </c>
      <c r="E486" s="823">
        <v>16399</v>
      </c>
      <c r="F486" s="823">
        <v>15695</v>
      </c>
      <c r="G486" s="823">
        <v>20018</v>
      </c>
      <c r="H486" s="823">
        <v>22465</v>
      </c>
      <c r="I486" s="823">
        <v>19442</v>
      </c>
      <c r="J486" s="823">
        <v>15835</v>
      </c>
      <c r="K486" s="823">
        <v>18708</v>
      </c>
      <c r="L486" s="823">
        <v>15807</v>
      </c>
      <c r="M486" s="823">
        <v>16739</v>
      </c>
      <c r="N486" s="823">
        <v>14916</v>
      </c>
      <c r="O486" s="823">
        <v>17524</v>
      </c>
      <c r="P486" s="823">
        <v>15315</v>
      </c>
      <c r="Q486" s="823">
        <v>16168</v>
      </c>
      <c r="R486" s="823">
        <v>14465</v>
      </c>
      <c r="S486" s="823">
        <v>16162</v>
      </c>
      <c r="T486" s="823">
        <v>14584</v>
      </c>
      <c r="U486" s="823">
        <v>16681</v>
      </c>
      <c r="V486" s="823">
        <v>16168</v>
      </c>
      <c r="W486" s="823">
        <v>16846</v>
      </c>
      <c r="X486" s="823">
        <v>14637</v>
      </c>
      <c r="Y486" s="823">
        <v>16579</v>
      </c>
      <c r="Z486" s="823">
        <v>15531</v>
      </c>
      <c r="AA486" s="823">
        <v>16824</v>
      </c>
      <c r="AB486" s="823">
        <v>15218</v>
      </c>
      <c r="AC486" s="825">
        <v>16557</v>
      </c>
      <c r="AD486" s="825">
        <v>15028</v>
      </c>
      <c r="AE486" s="825">
        <v>16460</v>
      </c>
      <c r="AF486" s="825">
        <v>15276</v>
      </c>
      <c r="AG486" s="825">
        <v>16482</v>
      </c>
      <c r="AH486" s="825">
        <v>14351</v>
      </c>
      <c r="AI486" s="825">
        <v>15045</v>
      </c>
      <c r="AJ486" s="825">
        <v>13398</v>
      </c>
      <c r="AK486" s="825">
        <v>14772</v>
      </c>
      <c r="AL486" s="825">
        <v>13227</v>
      </c>
      <c r="AM486" s="825">
        <v>14176</v>
      </c>
      <c r="AN486" s="825">
        <v>12407</v>
      </c>
      <c r="AO486" s="825">
        <v>13573</v>
      </c>
      <c r="AP486" s="825">
        <v>13098</v>
      </c>
    </row>
    <row r="487" hidden="1" ht="12.75" customHeight="1">
      <c r="B487" s="826" t="s">
        <v>23</v>
      </c>
      <c r="C487" s="827">
        <v>3838</v>
      </c>
      <c r="D487" s="827">
        <v>2531</v>
      </c>
      <c r="E487" s="827">
        <v>3874</v>
      </c>
      <c r="F487" s="827">
        <v>3060</v>
      </c>
      <c r="G487" s="827">
        <v>4141</v>
      </c>
      <c r="H487" s="827">
        <v>3230</v>
      </c>
      <c r="I487" s="827">
        <v>4677</v>
      </c>
      <c r="J487" s="827">
        <v>3410</v>
      </c>
      <c r="K487" s="827">
        <v>4002</v>
      </c>
      <c r="L487" s="827">
        <v>3081</v>
      </c>
      <c r="M487" s="827">
        <v>3801</v>
      </c>
      <c r="N487" s="827">
        <v>2818</v>
      </c>
      <c r="O487" s="827">
        <v>3644</v>
      </c>
      <c r="P487" s="827">
        <v>2802</v>
      </c>
      <c r="Q487" s="827">
        <v>3424</v>
      </c>
      <c r="R487" s="827">
        <v>2901</v>
      </c>
      <c r="S487" s="827">
        <v>3358</v>
      </c>
      <c r="T487" s="827">
        <v>2703</v>
      </c>
      <c r="U487" s="827">
        <v>3627</v>
      </c>
      <c r="V487" s="827">
        <v>3350</v>
      </c>
      <c r="W487" s="827">
        <v>4095</v>
      </c>
      <c r="X487" s="827">
        <v>3267</v>
      </c>
      <c r="Y487" s="827">
        <v>3789</v>
      </c>
      <c r="Z487" s="827">
        <v>3269</v>
      </c>
      <c r="AA487" s="827">
        <v>3705</v>
      </c>
      <c r="AB487" s="827">
        <v>3379</v>
      </c>
      <c r="AC487" s="828">
        <v>3837</v>
      </c>
      <c r="AD487" s="828">
        <v>3561</v>
      </c>
      <c r="AE487" s="828">
        <v>4199</v>
      </c>
      <c r="AF487" s="828">
        <v>3344</v>
      </c>
      <c r="AG487" s="828">
        <v>3857</v>
      </c>
      <c r="AH487" s="828">
        <v>3158</v>
      </c>
      <c r="AI487" s="828">
        <v>3384</v>
      </c>
      <c r="AJ487" s="828">
        <v>2602</v>
      </c>
      <c r="AK487" s="828">
        <v>3107</v>
      </c>
      <c r="AL487" s="828">
        <v>2694</v>
      </c>
      <c r="AM487" s="828">
        <v>3084</v>
      </c>
      <c r="AN487" s="828">
        <v>2406</v>
      </c>
      <c r="AO487" s="828">
        <v>3108</v>
      </c>
      <c r="AP487" s="828">
        <v>2858</v>
      </c>
    </row>
    <row r="488" hidden="1" ht="12.75" customHeight="1">
      <c r="B488" s="830" t="s">
        <v>24</v>
      </c>
      <c r="C488" s="823">
        <v>12223</v>
      </c>
      <c r="D488" s="823">
        <v>7529</v>
      </c>
      <c r="E488" s="823">
        <v>11196</v>
      </c>
      <c r="F488" s="823">
        <v>10963</v>
      </c>
      <c r="G488" s="823">
        <v>10065</v>
      </c>
      <c r="H488" s="823">
        <v>5675</v>
      </c>
      <c r="I488" s="823">
        <v>10107</v>
      </c>
      <c r="J488" s="823">
        <v>6678</v>
      </c>
      <c r="K488" s="823">
        <v>8743</v>
      </c>
      <c r="L488" s="823">
        <v>5826</v>
      </c>
      <c r="M488" s="823">
        <v>5822</v>
      </c>
      <c r="N488" s="823">
        <v>4544</v>
      </c>
      <c r="O488" s="823">
        <v>5576</v>
      </c>
      <c r="P488" s="823">
        <v>4246</v>
      </c>
      <c r="Q488" s="823">
        <v>5311</v>
      </c>
      <c r="R488" s="823">
        <v>4379</v>
      </c>
      <c r="S488" s="823">
        <v>5563</v>
      </c>
      <c r="T488" s="823">
        <v>4375</v>
      </c>
      <c r="U488" s="823">
        <v>6557</v>
      </c>
      <c r="V488" s="823">
        <v>5212</v>
      </c>
      <c r="W488" s="823">
        <v>6643</v>
      </c>
      <c r="X488" s="823">
        <v>5552</v>
      </c>
      <c r="Y488" s="823">
        <v>6827</v>
      </c>
      <c r="Z488" s="823">
        <v>4925</v>
      </c>
      <c r="AA488" s="823">
        <v>5401</v>
      </c>
      <c r="AB488" s="823">
        <v>4933</v>
      </c>
      <c r="AC488" s="825">
        <v>5331</v>
      </c>
      <c r="AD488" s="825">
        <v>4743</v>
      </c>
      <c r="AE488" s="825">
        <v>5751</v>
      </c>
      <c r="AF488" s="825">
        <v>5591</v>
      </c>
      <c r="AG488" s="825">
        <v>5412</v>
      </c>
      <c r="AH488" s="825">
        <v>5128</v>
      </c>
      <c r="AI488" s="825">
        <v>5232</v>
      </c>
      <c r="AJ488" s="825">
        <v>5947</v>
      </c>
      <c r="AK488" s="825">
        <v>5693</v>
      </c>
      <c r="AL488" s="825">
        <v>5127</v>
      </c>
      <c r="AM488" s="825">
        <v>5630</v>
      </c>
      <c r="AN488" s="825">
        <v>5397</v>
      </c>
      <c r="AO488" s="825">
        <v>5724</v>
      </c>
      <c r="AP488" s="825">
        <v>5704</v>
      </c>
    </row>
    <row r="489" hidden="1" ht="12.75" customHeight="1">
      <c r="B489" s="826" t="s">
        <v>25</v>
      </c>
      <c r="C489" s="827">
        <v>0</v>
      </c>
      <c r="D489" s="827">
        <v>0</v>
      </c>
      <c r="E489" s="827">
        <v>0</v>
      </c>
      <c r="F489" s="827">
        <v>0</v>
      </c>
      <c r="G489" s="827">
        <v>0</v>
      </c>
      <c r="H489" s="827">
        <v>0</v>
      </c>
      <c r="I489" s="827">
        <v>0</v>
      </c>
      <c r="J489" s="827">
        <v>0</v>
      </c>
      <c r="K489" s="827">
        <v>0</v>
      </c>
      <c r="L489" s="827">
        <v>0</v>
      </c>
      <c r="M489" s="827">
        <v>0</v>
      </c>
      <c r="N489" s="827">
        <v>0</v>
      </c>
      <c r="O489" s="827">
        <v>0</v>
      </c>
      <c r="P489" s="827">
        <v>0</v>
      </c>
      <c r="Q489" s="827">
        <v>0</v>
      </c>
      <c r="R489" s="827">
        <v>0</v>
      </c>
      <c r="S489" s="827">
        <v>0</v>
      </c>
      <c r="T489" s="827">
        <v>0</v>
      </c>
      <c r="U489" s="827">
        <v>0</v>
      </c>
      <c r="V489" s="827">
        <v>0</v>
      </c>
      <c r="W489" s="827">
        <v>0</v>
      </c>
      <c r="X489" s="827">
        <v>0</v>
      </c>
      <c r="Y489" s="827">
        <v>0</v>
      </c>
      <c r="Z489" s="827">
        <v>0</v>
      </c>
      <c r="AA489" s="827">
        <v>0</v>
      </c>
      <c r="AB489" s="827">
        <v>0</v>
      </c>
      <c r="AC489" s="828">
        <v>0</v>
      </c>
      <c r="AD489" s="828">
        <v>0</v>
      </c>
      <c r="AE489" s="828">
        <v>0</v>
      </c>
      <c r="AF489" s="828">
        <v>0</v>
      </c>
      <c r="AG489" s="828">
        <v>0</v>
      </c>
      <c r="AH489" s="828">
        <v>0</v>
      </c>
      <c r="AI489" s="828">
        <v>0</v>
      </c>
      <c r="AJ489" s="828">
        <v>0</v>
      </c>
      <c r="AK489" s="828">
        <v>0</v>
      </c>
      <c r="AL489" s="828">
        <v>0</v>
      </c>
      <c r="AM489" s="828">
        <v>0</v>
      </c>
      <c r="AN489" s="828">
        <v>0</v>
      </c>
      <c r="AO489" s="828">
        <v>0</v>
      </c>
      <c r="AP489" s="828">
        <v>0</v>
      </c>
    </row>
    <row r="490" hidden="1" ht="13.5" customHeight="1">
      <c r="B490" s="831" t="s">
        <v>26</v>
      </c>
      <c r="C490" s="823">
        <v>0</v>
      </c>
      <c r="D490" s="823">
        <v>0</v>
      </c>
      <c r="E490" s="823">
        <v>0</v>
      </c>
      <c r="F490" s="823">
        <v>0</v>
      </c>
      <c r="G490" s="823">
        <v>0</v>
      </c>
      <c r="H490" s="823">
        <v>0</v>
      </c>
      <c r="I490" s="823">
        <v>0</v>
      </c>
      <c r="J490" s="823">
        <v>0</v>
      </c>
      <c r="K490" s="823">
        <v>0</v>
      </c>
      <c r="L490" s="823">
        <v>0</v>
      </c>
      <c r="M490" s="823">
        <v>0</v>
      </c>
      <c r="N490" s="823">
        <v>0</v>
      </c>
      <c r="O490" s="823">
        <v>0</v>
      </c>
      <c r="P490" s="823">
        <v>0</v>
      </c>
      <c r="Q490" s="823">
        <v>0</v>
      </c>
      <c r="R490" s="823">
        <v>0</v>
      </c>
      <c r="S490" s="823">
        <v>0</v>
      </c>
      <c r="T490" s="823">
        <v>0</v>
      </c>
      <c r="U490" s="823">
        <v>0</v>
      </c>
      <c r="V490" s="823">
        <v>0</v>
      </c>
      <c r="W490" s="823">
        <v>0</v>
      </c>
      <c r="X490" s="823">
        <v>0</v>
      </c>
      <c r="Y490" s="823">
        <v>0</v>
      </c>
      <c r="Z490" s="823">
        <v>0</v>
      </c>
      <c r="AA490" s="823">
        <v>0</v>
      </c>
      <c r="AB490" s="832">
        <v>0</v>
      </c>
      <c r="AC490" s="825">
        <v>0</v>
      </c>
      <c r="AD490" s="825">
        <v>0</v>
      </c>
      <c r="AE490" s="825">
        <v>0</v>
      </c>
      <c r="AF490" s="825">
        <v>0</v>
      </c>
      <c r="AG490" s="825">
        <v>0</v>
      </c>
      <c r="AH490" s="825">
        <v>0</v>
      </c>
      <c r="AI490" s="825">
        <v>0</v>
      </c>
      <c r="AJ490" s="825">
        <v>0</v>
      </c>
      <c r="AK490" s="825">
        <v>0</v>
      </c>
      <c r="AL490" s="825">
        <v>0</v>
      </c>
      <c r="AM490" s="825">
        <v>0</v>
      </c>
      <c r="AN490" s="825">
        <v>3</v>
      </c>
      <c r="AO490" s="825">
        <v>0</v>
      </c>
      <c r="AP490" s="825">
        <v>0</v>
      </c>
    </row>
    <row r="491" hidden="1" ht="13.5" customHeight="1">
      <c r="B491" s="128" t="s">
        <v>7</v>
      </c>
      <c r="C491" s="129" t="str">
        <f>IF(SUM(C472:C490)&lt;&gt;0,SUM(C472:C490),"")</f>
      </c>
      <c r="D491" s="129" t="str">
        <f ref="D491:AA491" t="shared" si="57" ca="1">IF(SUM(D472:D490)&lt;&gt;0,SUM(D472:D490),"")</f>
      </c>
      <c r="E491" s="129" t="str">
        <f t="shared" si="57" ca="1"/>
      </c>
      <c r="F491" s="129" t="str">
        <f t="shared" si="57" ca="1"/>
      </c>
      <c r="G491" s="129" t="str">
        <f t="shared" si="57" ca="1"/>
      </c>
      <c r="H491" s="129" t="str">
        <f t="shared" si="57" ca="1"/>
      </c>
      <c r="I491" s="129" t="str">
        <f t="shared" si="57" ca="1"/>
      </c>
      <c r="J491" s="129" t="str">
        <f t="shared" si="57" ca="1"/>
      </c>
      <c r="K491" s="129" t="str">
        <f t="shared" si="57" ca="1"/>
      </c>
      <c r="L491" s="129" t="str">
        <f t="shared" si="57" ca="1"/>
      </c>
      <c r="M491" s="129" t="str">
        <f t="shared" si="57" ca="1"/>
      </c>
      <c r="N491" s="129" t="str">
        <f t="shared" si="57" ca="1"/>
      </c>
      <c r="O491" s="129" t="str">
        <f t="shared" si="57" ca="1"/>
      </c>
      <c r="P491" s="129" t="str">
        <f t="shared" si="57" ca="1"/>
      </c>
      <c r="Q491" s="129" t="str">
        <f t="shared" si="57" ca="1"/>
      </c>
      <c r="R491" s="129" t="str">
        <f t="shared" si="57" ca="1"/>
      </c>
      <c r="S491" s="129" t="str">
        <f t="shared" si="57" ca="1"/>
      </c>
      <c r="T491" s="129" t="str">
        <f t="shared" si="57" ca="1"/>
      </c>
      <c r="U491" s="129" t="str">
        <f t="shared" si="57" ca="1"/>
      </c>
      <c r="V491" s="129" t="str">
        <f t="shared" si="57" ca="1"/>
      </c>
      <c r="W491" s="129" t="str">
        <f t="shared" si="57" ca="1"/>
      </c>
      <c r="X491" s="129" t="str">
        <f t="shared" si="57" ca="1"/>
      </c>
      <c r="Y491" s="129" t="str">
        <f t="shared" si="57" ca="1"/>
      </c>
      <c r="Z491" s="129" t="str">
        <f t="shared" si="57" ca="1"/>
      </c>
      <c r="AA491" s="129" t="str">
        <f t="shared" si="57" ca="1"/>
      </c>
      <c r="AB491" s="130" t="str">
        <f>IF(SUM(AB472:AB490)&lt;&gt;0,SUM(AB472:AB490),"")</f>
      </c>
      <c r="AC491" s="91" t="str">
        <f ref="AC491:CN491" t="shared" si="58" ca="1">IF(SUM(AC472:AC490)&lt;&gt;0,SUM(AC472:AC490),"")</f>
      </c>
      <c r="AD491" s="91" t="str">
        <f t="shared" si="58" ca="1"/>
      </c>
      <c r="AE491" s="91" t="str">
        <f t="shared" si="58" ca="1"/>
      </c>
      <c r="AF491" s="91" t="str">
        <f t="shared" si="58" ca="1"/>
      </c>
      <c r="AG491" s="91" t="str">
        <f t="shared" si="58" ca="1"/>
      </c>
      <c r="AH491" s="91" t="str">
        <f t="shared" si="58" ca="1"/>
      </c>
      <c r="AI491" s="91" t="str">
        <f t="shared" si="58" ca="1"/>
      </c>
      <c r="AJ491" s="91" t="str">
        <f t="shared" si="58" ca="1"/>
      </c>
      <c r="AK491" s="91" t="str">
        <f t="shared" si="58" ca="1"/>
      </c>
      <c r="AL491" s="91" t="str">
        <f t="shared" si="58" ca="1"/>
      </c>
      <c r="AM491" s="91" t="str">
        <f t="shared" si="58" ca="1"/>
      </c>
      <c r="AN491" s="91" t="str">
        <f t="shared" si="58" ca="1"/>
      </c>
      <c r="AO491" s="91" t="str">
        <f t="shared" si="58" ca="1"/>
      </c>
      <c r="AP491" s="91" t="str">
        <f t="shared" si="58" ca="1"/>
      </c>
      <c r="AQ491" s="91" t="str">
        <f t="shared" si="58" ca="1"/>
      </c>
      <c r="AR491" s="91" t="str">
        <f t="shared" si="58" ca="1"/>
      </c>
      <c r="AS491" s="91" t="str">
        <f t="shared" si="58" ca="1"/>
      </c>
      <c r="AT491" s="91" t="str">
        <f t="shared" si="58" ca="1"/>
      </c>
      <c r="AU491" s="91" t="str">
        <f t="shared" si="58" ca="1"/>
      </c>
      <c r="AV491" s="91" t="str">
        <f t="shared" si="58" ca="1"/>
      </c>
      <c r="AW491" s="91" t="str">
        <f t="shared" si="58" ca="1"/>
      </c>
      <c r="AX491" s="91" t="str">
        <f t="shared" si="58" ca="1"/>
      </c>
      <c r="AY491" s="91" t="str">
        <f t="shared" si="58" ca="1"/>
      </c>
      <c r="AZ491" s="91" t="str">
        <f t="shared" si="58" ca="1"/>
      </c>
      <c r="BA491" s="91" t="str">
        <f t="shared" si="58" ca="1"/>
      </c>
      <c r="BB491" s="91" t="str">
        <f t="shared" si="58" ca="1"/>
      </c>
      <c r="BC491" s="91" t="str">
        <f t="shared" si="58" ca="1"/>
      </c>
      <c r="BD491" s="91" t="str">
        <f t="shared" si="58" ca="1"/>
      </c>
      <c r="BE491" s="91" t="str">
        <f t="shared" si="58" ca="1"/>
      </c>
      <c r="BF491" s="91" t="str">
        <f t="shared" si="58" ca="1"/>
      </c>
      <c r="BG491" s="91" t="str">
        <f t="shared" si="58" ca="1"/>
      </c>
      <c r="BH491" s="91" t="str">
        <f t="shared" si="58" ca="1"/>
      </c>
      <c r="BI491" s="91" t="str">
        <f t="shared" si="58" ca="1"/>
      </c>
      <c r="BJ491" s="91" t="str">
        <f t="shared" si="58" ca="1"/>
      </c>
      <c r="BK491" s="91" t="str">
        <f t="shared" si="58" ca="1"/>
      </c>
      <c r="BL491" s="91" t="str">
        <f t="shared" si="58" ca="1"/>
      </c>
      <c r="BM491" s="91" t="str">
        <f t="shared" si="58" ca="1"/>
      </c>
      <c r="BN491" s="91" t="str">
        <f t="shared" si="58" ca="1"/>
      </c>
      <c r="BO491" s="91" t="str">
        <f t="shared" si="58" ca="1"/>
      </c>
      <c r="BP491" s="91" t="str">
        <f t="shared" si="58" ca="1"/>
      </c>
      <c r="BQ491" s="91" t="str">
        <f t="shared" si="58" ca="1"/>
      </c>
      <c r="BR491" s="91" t="str">
        <f t="shared" si="58" ca="1"/>
      </c>
      <c r="BS491" s="91" t="str">
        <f t="shared" si="58" ca="1"/>
      </c>
      <c r="BT491" s="91" t="str">
        <f t="shared" si="58" ca="1"/>
      </c>
      <c r="BU491" s="91" t="str">
        <f t="shared" si="58" ca="1"/>
      </c>
      <c r="BV491" s="91" t="str">
        <f t="shared" si="58" ca="1"/>
      </c>
      <c r="BW491" s="91" t="str">
        <f t="shared" si="58" ca="1"/>
      </c>
      <c r="BX491" s="91" t="str">
        <f t="shared" si="58" ca="1"/>
      </c>
      <c r="BY491" s="91" t="str">
        <f t="shared" si="58" ca="1"/>
      </c>
      <c r="BZ491" s="91" t="str">
        <f t="shared" si="58" ca="1"/>
      </c>
      <c r="CA491" s="91" t="str">
        <f t="shared" si="58" ca="1"/>
      </c>
      <c r="CB491" s="91" t="str">
        <f t="shared" si="58" ca="1"/>
      </c>
      <c r="CC491" s="91" t="str">
        <f t="shared" si="58" ca="1"/>
      </c>
      <c r="CD491" s="91" t="str">
        <f t="shared" si="58" ca="1"/>
      </c>
      <c r="CE491" s="91" t="str">
        <f t="shared" si="58" ca="1"/>
      </c>
      <c r="CF491" s="91" t="str">
        <f t="shared" si="58" ca="1"/>
      </c>
      <c r="CG491" s="91" t="str">
        <f t="shared" si="58" ca="1"/>
      </c>
      <c r="CH491" s="91" t="str">
        <f t="shared" si="58" ca="1"/>
      </c>
      <c r="CI491" s="91" t="str">
        <f t="shared" si="58" ca="1"/>
      </c>
      <c r="CJ491" s="91" t="str">
        <f t="shared" si="58" ca="1"/>
      </c>
      <c r="CK491" s="91" t="str">
        <f t="shared" si="58" ca="1"/>
      </c>
      <c r="CL491" s="91" t="str">
        <f t="shared" si="58" ca="1"/>
      </c>
      <c r="CM491" s="91" t="str">
        <f t="shared" si="58" ca="1"/>
      </c>
      <c r="CN491" s="91" t="str">
        <f t="shared" si="58" ca="1"/>
      </c>
      <c r="CO491" s="91" t="str">
        <f ref="CO491:EZ491" t="shared" si="59" ca="1">IF(SUM(CO472:CO490)&lt;&gt;0,SUM(CO472:CO490),"")</f>
      </c>
      <c r="CP491" s="91" t="str">
        <f t="shared" si="59" ca="1"/>
      </c>
      <c r="CQ491" s="91" t="str">
        <f t="shared" si="59" ca="1"/>
      </c>
      <c r="CR491" s="91" t="str">
        <f t="shared" si="59" ca="1"/>
      </c>
      <c r="CS491" s="91" t="str">
        <f t="shared" si="59" ca="1"/>
      </c>
      <c r="CT491" s="91" t="str">
        <f t="shared" si="59" ca="1"/>
      </c>
      <c r="CU491" s="91" t="str">
        <f t="shared" si="59" ca="1"/>
      </c>
      <c r="CV491" s="91" t="str">
        <f t="shared" si="59" ca="1"/>
      </c>
      <c r="CW491" s="91" t="str">
        <f t="shared" si="59" ca="1"/>
      </c>
      <c r="CX491" s="91" t="str">
        <f t="shared" si="59" ca="1"/>
      </c>
      <c r="CY491" s="91" t="str">
        <f t="shared" si="59" ca="1"/>
      </c>
      <c r="CZ491" s="91" t="str">
        <f t="shared" si="59" ca="1"/>
      </c>
      <c r="DA491" s="91" t="str">
        <f t="shared" si="59" ca="1"/>
      </c>
      <c r="DB491" s="91" t="str">
        <f t="shared" si="59" ca="1"/>
      </c>
      <c r="DC491" s="91" t="str">
        <f t="shared" si="59" ca="1"/>
      </c>
      <c r="DD491" s="91" t="str">
        <f t="shared" si="59" ca="1"/>
      </c>
      <c r="DE491" s="91" t="str">
        <f t="shared" si="59" ca="1"/>
      </c>
      <c r="DF491" s="91" t="str">
        <f t="shared" si="59" ca="1"/>
      </c>
      <c r="DG491" s="91" t="str">
        <f t="shared" si="59" ca="1"/>
      </c>
      <c r="DH491" s="91" t="str">
        <f t="shared" si="59" ca="1"/>
      </c>
      <c r="DI491" s="91" t="str">
        <f t="shared" si="59" ca="1"/>
      </c>
      <c r="DJ491" s="91" t="str">
        <f t="shared" si="59" ca="1"/>
      </c>
      <c r="DK491" s="91" t="str">
        <f t="shared" si="59" ca="1"/>
      </c>
      <c r="DL491" s="91" t="str">
        <f t="shared" si="59" ca="1"/>
      </c>
      <c r="DM491" s="91" t="str">
        <f t="shared" si="59" ca="1"/>
      </c>
      <c r="DN491" s="91" t="str">
        <f t="shared" si="59" ca="1"/>
      </c>
      <c r="DO491" s="91" t="str">
        <f t="shared" si="59" ca="1"/>
      </c>
      <c r="DP491" s="91" t="str">
        <f t="shared" si="59" ca="1"/>
      </c>
      <c r="DQ491" s="91" t="str">
        <f t="shared" si="59" ca="1"/>
      </c>
      <c r="DR491" s="91" t="str">
        <f t="shared" si="59" ca="1"/>
      </c>
      <c r="DS491" s="91" t="str">
        <f t="shared" si="59" ca="1"/>
      </c>
      <c r="DT491" s="91" t="str">
        <f t="shared" si="59" ca="1"/>
      </c>
      <c r="DU491" s="91" t="str">
        <f t="shared" si="59" ca="1"/>
      </c>
      <c r="DV491" s="91" t="str">
        <f t="shared" si="59" ca="1"/>
      </c>
      <c r="DW491" s="91" t="str">
        <f t="shared" si="59" ca="1"/>
      </c>
      <c r="DX491" s="91" t="str">
        <f t="shared" si="59" ca="1"/>
      </c>
      <c r="DY491" s="91" t="str">
        <f t="shared" si="59" ca="1"/>
      </c>
      <c r="DZ491" s="91" t="str">
        <f t="shared" si="59" ca="1"/>
      </c>
      <c r="EA491" s="91" t="str">
        <f t="shared" si="59" ca="1"/>
      </c>
      <c r="EB491" s="91" t="str">
        <f t="shared" si="59" ca="1"/>
      </c>
      <c r="EC491" s="91" t="str">
        <f t="shared" si="59" ca="1"/>
      </c>
      <c r="ED491" s="91" t="str">
        <f t="shared" si="59" ca="1"/>
      </c>
      <c r="EE491" s="91" t="str">
        <f t="shared" si="59" ca="1"/>
      </c>
      <c r="EF491" s="91" t="str">
        <f t="shared" si="59" ca="1"/>
      </c>
      <c r="EG491" s="91" t="str">
        <f t="shared" si="59" ca="1"/>
      </c>
      <c r="EH491" s="91" t="str">
        <f t="shared" si="59" ca="1"/>
      </c>
      <c r="EI491" s="91" t="str">
        <f t="shared" si="59" ca="1"/>
      </c>
      <c r="EJ491" s="91" t="str">
        <f t="shared" si="59" ca="1"/>
      </c>
      <c r="EK491" s="91" t="str">
        <f t="shared" si="59" ca="1"/>
      </c>
      <c r="EL491" s="91" t="str">
        <f t="shared" si="59" ca="1"/>
      </c>
      <c r="EM491" s="91" t="str">
        <f t="shared" si="59" ca="1"/>
      </c>
      <c r="EN491" s="91" t="str">
        <f t="shared" si="59" ca="1"/>
      </c>
      <c r="EO491" s="91" t="str">
        <f t="shared" si="59" ca="1"/>
      </c>
      <c r="EP491" s="91" t="str">
        <f t="shared" si="59" ca="1"/>
      </c>
      <c r="EQ491" s="91" t="str">
        <f t="shared" si="59" ca="1"/>
      </c>
      <c r="ER491" s="91" t="str">
        <f t="shared" si="59" ca="1"/>
      </c>
      <c r="ES491" s="91" t="str">
        <f t="shared" si="59" ca="1"/>
      </c>
      <c r="ET491" s="91" t="str">
        <f t="shared" si="59" ca="1"/>
      </c>
      <c r="EU491" s="91" t="str">
        <f t="shared" si="59" ca="1"/>
      </c>
      <c r="EV491" s="91" t="str">
        <f t="shared" si="59" ca="1"/>
      </c>
      <c r="EW491" s="91" t="str">
        <f t="shared" si="59" ca="1"/>
      </c>
      <c r="EX491" s="91" t="str">
        <f t="shared" si="59" ca="1"/>
      </c>
      <c r="EY491" s="91" t="str">
        <f t="shared" si="59" ca="1"/>
      </c>
      <c r="EZ491" s="91" t="str">
        <f t="shared" si="59" ca="1"/>
      </c>
      <c r="FA491" s="91" t="str">
        <f ref="FA491:HL491" t="shared" si="60" ca="1">IF(SUM(FA472:FA490)&lt;&gt;0,SUM(FA472:FA490),"")</f>
      </c>
      <c r="FB491" s="91" t="str">
        <f t="shared" si="60" ca="1"/>
      </c>
      <c r="FC491" s="91" t="str">
        <f t="shared" si="60" ca="1"/>
      </c>
      <c r="FD491" s="91" t="str">
        <f t="shared" si="60" ca="1"/>
      </c>
      <c r="FE491" s="91" t="str">
        <f t="shared" si="60" ca="1"/>
      </c>
      <c r="FF491" s="91" t="str">
        <f t="shared" si="60" ca="1"/>
      </c>
      <c r="FG491" s="91" t="str">
        <f t="shared" si="60" ca="1"/>
      </c>
      <c r="FH491" s="91" t="str">
        <f t="shared" si="60" ca="1"/>
      </c>
      <c r="FI491" s="91" t="str">
        <f t="shared" si="60" ca="1"/>
      </c>
      <c r="FJ491" s="91" t="str">
        <f t="shared" si="60" ca="1"/>
      </c>
      <c r="FK491" s="91" t="str">
        <f t="shared" si="60" ca="1"/>
      </c>
      <c r="FL491" s="91" t="str">
        <f t="shared" si="60" ca="1"/>
      </c>
      <c r="FM491" s="91" t="str">
        <f t="shared" si="60" ca="1"/>
      </c>
      <c r="FN491" s="91" t="str">
        <f t="shared" si="60" ca="1"/>
      </c>
      <c r="FO491" s="91" t="str">
        <f t="shared" si="60" ca="1"/>
      </c>
      <c r="FP491" s="91" t="str">
        <f t="shared" si="60" ca="1"/>
      </c>
      <c r="FQ491" s="91" t="str">
        <f t="shared" si="60" ca="1"/>
      </c>
      <c r="FR491" s="91" t="str">
        <f t="shared" si="60" ca="1"/>
      </c>
      <c r="FS491" s="91" t="str">
        <f t="shared" si="60" ca="1"/>
      </c>
      <c r="FT491" s="91" t="str">
        <f t="shared" si="60" ca="1"/>
      </c>
      <c r="FU491" s="91" t="str">
        <f t="shared" si="60" ca="1"/>
      </c>
      <c r="FV491" s="91" t="str">
        <f t="shared" si="60" ca="1"/>
      </c>
      <c r="FW491" s="91" t="str">
        <f t="shared" si="60" ca="1"/>
      </c>
      <c r="FX491" s="91" t="str">
        <f t="shared" si="60" ca="1"/>
      </c>
      <c r="FY491" s="91" t="str">
        <f t="shared" si="60" ca="1"/>
      </c>
      <c r="FZ491" s="91" t="str">
        <f t="shared" si="60" ca="1"/>
      </c>
      <c r="GA491" s="91" t="str">
        <f t="shared" si="60" ca="1"/>
      </c>
      <c r="GB491" s="91" t="str">
        <f t="shared" si="60" ca="1"/>
      </c>
      <c r="GC491" s="91" t="str">
        <f t="shared" si="60" ca="1"/>
      </c>
      <c r="GD491" s="91" t="str">
        <f t="shared" si="60" ca="1"/>
      </c>
      <c r="GE491" s="91" t="str">
        <f t="shared" si="60" ca="1"/>
      </c>
      <c r="GF491" s="91" t="str">
        <f t="shared" si="60" ca="1"/>
      </c>
      <c r="GG491" s="91" t="str">
        <f t="shared" si="60" ca="1"/>
      </c>
      <c r="GH491" s="91" t="str">
        <f t="shared" si="60" ca="1"/>
      </c>
      <c r="GI491" s="91" t="str">
        <f t="shared" si="60" ca="1"/>
      </c>
      <c r="GJ491" s="91" t="str">
        <f t="shared" si="60" ca="1"/>
      </c>
      <c r="GK491" s="91" t="str">
        <f t="shared" si="60" ca="1"/>
      </c>
      <c r="GL491" s="91" t="str">
        <f t="shared" si="60" ca="1"/>
      </c>
      <c r="GM491" s="91" t="str">
        <f t="shared" si="60" ca="1"/>
      </c>
      <c r="GN491" s="91" t="str">
        <f t="shared" si="60" ca="1"/>
      </c>
      <c r="GO491" s="91" t="str">
        <f t="shared" si="60" ca="1"/>
      </c>
      <c r="GP491" s="91" t="str">
        <f t="shared" si="60" ca="1"/>
      </c>
      <c r="GQ491" s="91" t="str">
        <f t="shared" si="60" ca="1"/>
      </c>
      <c r="GR491" s="91" t="str">
        <f t="shared" si="60" ca="1"/>
      </c>
      <c r="GS491" s="91" t="str">
        <f t="shared" si="60" ca="1"/>
      </c>
      <c r="GT491" s="91" t="str">
        <f t="shared" si="60" ca="1"/>
      </c>
      <c r="GU491" s="91" t="str">
        <f t="shared" si="60" ca="1"/>
      </c>
      <c r="GV491" s="91" t="str">
        <f t="shared" si="60" ca="1"/>
      </c>
      <c r="GW491" s="91" t="str">
        <f t="shared" si="60" ca="1"/>
      </c>
      <c r="GX491" s="91" t="str">
        <f t="shared" si="60" ca="1"/>
      </c>
      <c r="GY491" s="91" t="str">
        <f t="shared" si="60" ca="1"/>
      </c>
      <c r="GZ491" s="91" t="str">
        <f t="shared" si="60" ca="1"/>
      </c>
      <c r="HA491" s="91" t="str">
        <f t="shared" si="60" ca="1"/>
      </c>
      <c r="HB491" s="91" t="str">
        <f t="shared" si="60" ca="1"/>
      </c>
      <c r="HC491" s="91" t="str">
        <f t="shared" si="60" ca="1"/>
      </c>
      <c r="HD491" s="91" t="str">
        <f t="shared" si="60" ca="1"/>
      </c>
      <c r="HE491" s="91" t="str">
        <f t="shared" si="60" ca="1"/>
      </c>
      <c r="HF491" s="91" t="str">
        <f t="shared" si="60" ca="1"/>
      </c>
      <c r="HG491" s="91" t="str">
        <f t="shared" si="60" ca="1"/>
      </c>
      <c r="HH491" s="91" t="str">
        <f t="shared" si="60" ca="1"/>
      </c>
      <c r="HI491" s="91" t="str">
        <f t="shared" si="60" ca="1"/>
      </c>
      <c r="HJ491" s="91" t="str">
        <f t="shared" si="60" ca="1"/>
      </c>
      <c r="HK491" s="91" t="str">
        <f t="shared" si="60" ca="1"/>
      </c>
      <c r="HL491" s="91" t="str">
        <f t="shared" si="60" ca="1"/>
      </c>
      <c r="HM491" s="91" t="str">
        <f ref="HM491:IV491" t="shared" si="61" ca="1">IF(SUM(HM472:HM490)&lt;&gt;0,SUM(HM472:HM490),"")</f>
      </c>
      <c r="HN491" s="91" t="str">
        <f t="shared" si="61" ca="1"/>
      </c>
      <c r="HO491" s="91" t="str">
        <f t="shared" si="61" ca="1"/>
      </c>
      <c r="HP491" s="91" t="str">
        <f t="shared" si="61" ca="1"/>
      </c>
      <c r="HQ491" s="91" t="str">
        <f t="shared" si="61" ca="1"/>
      </c>
      <c r="HR491" s="91" t="str">
        <f t="shared" si="61" ca="1"/>
      </c>
      <c r="HS491" s="91" t="str">
        <f t="shared" si="61" ca="1"/>
      </c>
      <c r="HT491" s="91" t="str">
        <f t="shared" si="61" ca="1"/>
      </c>
      <c r="HU491" s="91" t="str">
        <f t="shared" si="61" ca="1"/>
      </c>
      <c r="HV491" s="91" t="str">
        <f t="shared" si="61" ca="1"/>
      </c>
      <c r="HW491" s="91" t="str">
        <f t="shared" si="61" ca="1"/>
      </c>
      <c r="HX491" s="91" t="str">
        <f t="shared" si="61" ca="1"/>
      </c>
      <c r="HY491" s="91" t="str">
        <f t="shared" si="61" ca="1"/>
      </c>
      <c r="HZ491" s="91" t="str">
        <f t="shared" si="61" ca="1"/>
      </c>
      <c r="IA491" s="91" t="str">
        <f t="shared" si="61" ca="1"/>
      </c>
      <c r="IB491" s="91" t="str">
        <f t="shared" si="61" ca="1"/>
      </c>
      <c r="IC491" s="91" t="str">
        <f t="shared" si="61" ca="1"/>
      </c>
      <c r="ID491" s="91" t="str">
        <f t="shared" si="61" ca="1"/>
      </c>
      <c r="IE491" s="91" t="str">
        <f t="shared" si="61" ca="1"/>
      </c>
      <c r="IF491" s="91" t="str">
        <f t="shared" si="61" ca="1"/>
      </c>
      <c r="IG491" s="91" t="str">
        <f t="shared" si="61" ca="1"/>
      </c>
      <c r="IH491" s="91" t="str">
        <f t="shared" si="61" ca="1"/>
      </c>
      <c r="II491" s="91" t="str">
        <f t="shared" si="61" ca="1"/>
      </c>
      <c r="IJ491" s="91" t="str">
        <f t="shared" si="61" ca="1"/>
      </c>
      <c r="IK491" s="91" t="str">
        <f t="shared" si="61" ca="1"/>
      </c>
      <c r="IL491" s="91" t="str">
        <f t="shared" si="61" ca="1"/>
      </c>
      <c r="IM491" s="91" t="str">
        <f t="shared" si="61" ca="1"/>
      </c>
      <c r="IN491" s="91" t="str">
        <f t="shared" si="61" ca="1"/>
      </c>
      <c r="IO491" s="91" t="str">
        <f t="shared" si="61" ca="1"/>
      </c>
      <c r="IP491" s="91" t="str">
        <f t="shared" si="61" ca="1"/>
      </c>
      <c r="IQ491" s="91" t="str">
        <f t="shared" si="61" ca="1"/>
      </c>
      <c r="IR491" s="91" t="str">
        <f t="shared" si="61" ca="1"/>
      </c>
      <c r="IS491" s="91" t="str">
        <f t="shared" si="61" ca="1"/>
      </c>
      <c r="IT491" s="91" t="str">
        <f t="shared" si="61" ca="1"/>
      </c>
      <c r="IU491" s="91" t="str">
        <f t="shared" si="61" ca="1"/>
      </c>
      <c r="IV491" s="91" t="str">
        <f t="shared" si="61" ca="1"/>
      </c>
    </row>
    <row r="492" hidden="1" ht="12.75" customHeight="1"/>
    <row r="493" hidden="1" ht="13.5" customHeight="1"/>
    <row r="494" hidden="1" ht="13.5" customHeight="1">
      <c r="C494" s="617" t="s">
        <v>317</v>
      </c>
      <c r="D494" s="618"/>
      <c r="E494" s="618"/>
      <c r="F494" s="618"/>
      <c r="G494" s="618"/>
      <c r="H494" s="618"/>
      <c r="I494" s="618"/>
      <c r="J494" s="618"/>
      <c r="K494" s="618"/>
      <c r="L494" s="618"/>
      <c r="M494" s="618"/>
      <c r="N494" s="618"/>
      <c r="O494" s="618"/>
      <c r="P494" s="618"/>
      <c r="Q494" s="618"/>
      <c r="R494" s="618"/>
      <c r="S494" s="618"/>
      <c r="T494" s="618"/>
      <c r="U494" s="618"/>
      <c r="V494" s="618"/>
      <c r="W494" s="618"/>
      <c r="X494" s="618"/>
      <c r="Y494" s="618"/>
      <c r="Z494" s="618"/>
      <c r="AA494" s="618"/>
      <c r="AB494" s="619"/>
    </row>
    <row r="495" hidden="1" ht="13.5" customHeight="1">
      <c r="C495" s="435" t="str">
        <f> IF(C515&lt;&gt;"",TEXT(AUX!G$1,"dd-MMM-aa"),"")</f>
      </c>
      <c r="D495" s="435" t="str">
        <f> IF(D515&lt;&gt;"",TEXT(AUX!H$1,"dd-MMM-aa"),"")</f>
      </c>
      <c r="E495" s="435" t="str">
        <f> IF(E515&lt;&gt;"",TEXT(AUX!I$1,"dd-MMM-aa"),"")</f>
      </c>
      <c r="F495" s="435" t="str">
        <f> IF(F515&lt;&gt;"",TEXT(AUX!J$1,"dd-MMM-aa"),"")</f>
      </c>
      <c r="G495" s="435" t="str">
        <f> IF(G515&lt;&gt;"",TEXT(AUX!K$1,"dd-MMM-aa"),"")</f>
      </c>
      <c r="H495" s="435" t="str">
        <f> IF(H515&lt;&gt;"",TEXT(AUX!L$1,"dd-MMM-aa"),"")</f>
      </c>
      <c r="I495" s="435" t="str">
        <f> IF(I515&lt;&gt;"",TEXT(AUX!M$1,"dd-MMM-aa"),"")</f>
      </c>
      <c r="J495" s="435" t="str">
        <f> IF(J515&lt;&gt;"",TEXT(AUX!N$1,"dd-MMM-aa"),"")</f>
      </c>
      <c r="K495" s="435" t="str">
        <f> IF(K515&lt;&gt;"",TEXT(AUX!O$1,"dd-MMM-aa"),"")</f>
      </c>
      <c r="L495" s="435" t="str">
        <f> IF(L515&lt;&gt;"",TEXT(AUX!P$1,"dd-MMM-aa"),"")</f>
      </c>
      <c r="M495" s="435" t="str">
        <f> IF(M515&lt;&gt;"",TEXT(AUX!Q$1,"dd-MMM-aa"),"")</f>
      </c>
      <c r="N495" s="435" t="str">
        <f> IF(N515&lt;&gt;"",TEXT(AUX!R$1,"dd-MMM-aa"),"")</f>
      </c>
      <c r="O495" s="435" t="str">
        <f> IF(O515&lt;&gt;"",TEXT(AUX!S$1,"dd-MMM-aa"),"")</f>
      </c>
      <c r="P495" s="435" t="str">
        <f> IF(P515&lt;&gt;"",TEXT(AUX!T$1,"dd-MMM-aa"),"")</f>
      </c>
      <c r="Q495" s="435" t="str">
        <f> IF(Q515&lt;&gt;"",TEXT(AUX!U$1,"dd-MMM-aa"),"")</f>
      </c>
      <c r="R495" s="435" t="str">
        <f> IF(R515&lt;&gt;"",TEXT(AUX!V$1,"dd-MMM-aa"),"")</f>
      </c>
      <c r="S495" s="435" t="str">
        <f> IF(S515&lt;&gt;"",TEXT(AUX!W$1,"dd-MMM-aa"),"")</f>
      </c>
      <c r="T495" s="435" t="str">
        <f> IF(T515&lt;&gt;"",TEXT(AUX!X$1,"dd-MMM-aa"),"")</f>
      </c>
      <c r="U495" s="435" t="str">
        <f> IF(U515&lt;&gt;"",TEXT(AUX!Y$1,"dd-MMM-aa"),"")</f>
      </c>
      <c r="V495" s="435" t="str">
        <f> IF(V515&lt;&gt;"",TEXT(AUX!Z$1,"dd-MMM-aa"),"")</f>
      </c>
      <c r="W495" s="435" t="str">
        <f> IF(W515&lt;&gt;"",TEXT(AUX!AA$1,"dd-MMM-aa"),"")</f>
      </c>
      <c r="X495" s="435" t="str">
        <f> IF(X515&lt;&gt;"",TEXT(AUX!AB$1,"dd-MMM-aa"),"")</f>
      </c>
      <c r="Y495" s="435" t="str">
        <f> IF(Y515&lt;&gt;"",TEXT(AUX!AC$1,"dd-MMM-aa"),"")</f>
      </c>
      <c r="Z495" s="435" t="str">
        <f> IF(Z515&lt;&gt;"",TEXT(AUX!AD$1,"dd-MMM-aa"),"")</f>
      </c>
      <c r="AA495" s="435" t="str">
        <f> IF(AA515&lt;&gt;"",TEXT(AUX!AE$1,"dd-MMM-aa"),"")</f>
      </c>
      <c r="AB495" s="497" t="str">
        <f> IF(AB515&lt;&gt;"",TEXT(AUX!AF$1,"dd-MMM-aa"),"")</f>
      </c>
      <c r="AC495" s="496" t="str">
        <f> IF(AC515&lt;&gt;"",TEXT(AUX!AG$1,"dd-MMM-aa"),"")</f>
      </c>
      <c r="AD495" s="496" t="str">
        <f> IF(AD515&lt;&gt;"",TEXT(AUX!AH$1,"dd-MMM-aa"),"")</f>
      </c>
      <c r="AE495" s="496" t="str">
        <f> IF(AE515&lt;&gt;"",TEXT(AUX!AI$1,"dd-MMM-aa"),"")</f>
      </c>
      <c r="AF495" s="496" t="str">
        <f> IF(AF515&lt;&gt;"",TEXT(AUX!AJ$1,"dd-MMM-aa"),"")</f>
      </c>
      <c r="AG495" s="496" t="str">
        <f> IF(AG515&lt;&gt;"",TEXT(AUX!AK$1,"dd-MMM-aa"),"")</f>
      </c>
      <c r="AH495" s="496" t="str">
        <f> IF(AH515&lt;&gt;"",TEXT(AUX!AL$1,"dd-MMM-aa"),"")</f>
      </c>
      <c r="AI495" s="496" t="str">
        <f> IF(AI515&lt;&gt;"",TEXT(AUX!AM$1,"dd-MMM-aa"),"")</f>
      </c>
      <c r="AJ495" s="496" t="str">
        <f> IF(AJ515&lt;&gt;"",TEXT(AUX!AN$1,"dd-MMM-aa"),"")</f>
      </c>
      <c r="AK495" s="496" t="str">
        <f> IF(AK515&lt;&gt;"",TEXT(AUX!AO$1,"dd-MMM-aa"),"")</f>
      </c>
      <c r="AL495" s="496" t="str">
        <f> IF(AL515&lt;&gt;"",TEXT(AUX!AP$1,"dd-MMM-aa"),"")</f>
      </c>
      <c r="AM495" s="496" t="str">
        <f> IF(AM515&lt;&gt;"",TEXT(AUX!AQ$1,"dd-MMM-aa"),"")</f>
      </c>
      <c r="AN495" s="496" t="str">
        <f> IF(AN515&lt;&gt;"",TEXT(AUX!AR$1,"dd-MMM-aa"),"")</f>
      </c>
      <c r="AO495" s="496" t="str">
        <f> IF(AO515&lt;&gt;"",TEXT(AUX!AS$1,"dd-MMM-aa"),"")</f>
      </c>
      <c r="AP495" s="496" t="str">
        <f> IF(AP515&lt;&gt;"",TEXT(AUX!AT$1,"dd-MMM-aa"),"")</f>
      </c>
      <c r="AQ495" s="496" t="str">
        <f> IF(AQ515&lt;&gt;"",TEXT(AUX!AU$1,"dd-MMM-aa"),"")</f>
      </c>
      <c r="AR495" s="496" t="str">
        <f> IF(AR515&lt;&gt;"",TEXT(AUX!AV$1,"dd-MMM-aa"),"")</f>
      </c>
      <c r="AS495" s="496" t="str">
        <f> IF(AS515&lt;&gt;"",TEXT(AUX!AW$1,"dd-MMM-aa"),"")</f>
      </c>
      <c r="AT495" s="496" t="str">
        <f> IF(AT515&lt;&gt;"",TEXT(AUX!AX$1,"dd-MMM-aa"),"")</f>
      </c>
      <c r="AU495" s="496" t="str">
        <f> IF(AU515&lt;&gt;"",TEXT(AUX!AY$1,"dd-MMM-aa"),"")</f>
      </c>
      <c r="AV495" s="496" t="str">
        <f> IF(AV515&lt;&gt;"",TEXT(AUX!AZ$1,"dd-MMM-aa"),"")</f>
      </c>
      <c r="AW495" s="496" t="str">
        <f> IF(AW515&lt;&gt;"",TEXT(AUX!BA$1,"dd-MMM-aa"),"")</f>
      </c>
      <c r="AX495" s="496" t="str">
        <f> IF(AX515&lt;&gt;"",TEXT(AUX!BB$1,"dd-MMM-aa"),"")</f>
      </c>
      <c r="AY495" s="496" t="str">
        <f> IF(AY515&lt;&gt;"",TEXT(AUX!BC$1,"dd-MMM-aa"),"")</f>
      </c>
      <c r="AZ495" s="496" t="str">
        <f> IF(AZ515&lt;&gt;"",TEXT(AUX!BD$1,"dd-MMM-aa"),"")</f>
      </c>
      <c r="BA495" s="496" t="str">
        <f> IF(BA515&lt;&gt;"",TEXT(AUX!BE$1,"dd-MMM-aa"),"")</f>
      </c>
      <c r="BB495" s="496" t="str">
        <f> IF(BB515&lt;&gt;"",TEXT(AUX!BF$1,"dd-MMM-aa"),"")</f>
      </c>
      <c r="BC495" s="496" t="str">
        <f> IF(BC515&lt;&gt;"",TEXT(AUX!BG$1,"dd-MMM-aa"),"")</f>
      </c>
      <c r="BD495" s="496" t="str">
        <f> IF(BD515&lt;&gt;"",TEXT(AUX!BH$1,"dd-MMM-aa"),"")</f>
      </c>
      <c r="BE495" s="496" t="str">
        <f> IF(BE515&lt;&gt;"",TEXT(AUX!BI$1,"dd-MMM-aa"),"")</f>
      </c>
      <c r="BF495" s="496" t="str">
        <f> IF(BF515&lt;&gt;"",TEXT(AUX!BJ$1,"dd-MMM-aa"),"")</f>
      </c>
      <c r="BG495" s="496" t="str">
        <f> IF(BG515&lt;&gt;"",TEXT(AUX!BK$1,"dd-MMM-aa"),"")</f>
      </c>
      <c r="BH495" s="496" t="str">
        <f> IF(BH515&lt;&gt;"",TEXT(AUX!BL$1,"dd-MMM-aa"),"")</f>
      </c>
      <c r="BI495" s="496" t="str">
        <f> IF(BI515&lt;&gt;"",TEXT(AUX!BM$1,"dd-MMM-aa"),"")</f>
      </c>
      <c r="BJ495" s="496" t="str">
        <f> IF(BJ515&lt;&gt;"",TEXT(AUX!BN$1,"dd-MMM-aa"),"")</f>
      </c>
      <c r="BK495" s="496" t="str">
        <f> IF(BK515&lt;&gt;"",TEXT(AUX!BO$1,"dd-MMM-aa"),"")</f>
      </c>
      <c r="BL495" s="496" t="str">
        <f> IF(BL515&lt;&gt;"",TEXT(AUX!BP$1,"dd-MMM-aa"),"")</f>
      </c>
      <c r="BM495" s="496" t="str">
        <f> IF(BM515&lt;&gt;"",TEXT(AUX!BQ$1,"dd-MMM-aa"),"")</f>
      </c>
      <c r="BN495" s="496" t="str">
        <f> IF(BN515&lt;&gt;"",TEXT(AUX!BR$1,"dd-MMM-aa"),"")</f>
      </c>
      <c r="BO495" s="496" t="str">
        <f> IF(BO515&lt;&gt;"",TEXT(AUX!BS$1,"dd-MMM-aa"),"")</f>
      </c>
      <c r="BP495" s="496" t="str">
        <f> IF(BP515&lt;&gt;"",TEXT(AUX!BT$1,"dd-MMM-aa"),"")</f>
      </c>
      <c r="BQ495" s="496" t="str">
        <f> IF(BQ515&lt;&gt;"",TEXT(AUX!BU$1,"dd-MMM-aa"),"")</f>
      </c>
      <c r="BR495" s="496" t="str">
        <f> IF(BR515&lt;&gt;"",TEXT(AUX!BV$1,"dd-MMM-aa"),"")</f>
      </c>
      <c r="BS495" s="496" t="str">
        <f> IF(BS515&lt;&gt;"",TEXT(AUX!BW$1,"dd-MMM-aa"),"")</f>
      </c>
      <c r="BT495" s="496" t="str">
        <f> IF(BT515&lt;&gt;"",TEXT(AUX!BX$1,"dd-MMM-aa"),"")</f>
      </c>
      <c r="BU495" s="496" t="str">
        <f> IF(BU515&lt;&gt;"",TEXT(AUX!BY$1,"dd-MMM-aa"),"")</f>
      </c>
      <c r="BV495" s="496" t="str">
        <f> IF(BV515&lt;&gt;"",TEXT(AUX!BZ$1,"dd-MMM-aa"),"")</f>
      </c>
      <c r="BW495" s="496" t="str">
        <f> IF(BW515&lt;&gt;"",TEXT(AUX!CA$1,"dd-MMM-aa"),"")</f>
      </c>
      <c r="BX495" s="496" t="str">
        <f> IF(BX515&lt;&gt;"",TEXT(AUX!CB$1,"dd-MMM-aa"),"")</f>
      </c>
      <c r="BY495" s="496" t="str">
        <f> IF(BY515&lt;&gt;"",TEXT(AUX!CC$1,"dd-MMM-aa"),"")</f>
      </c>
      <c r="BZ495" s="496" t="str">
        <f> IF(BZ515&lt;&gt;"",TEXT(AUX!CD$1,"dd-MMM-aa"),"")</f>
      </c>
      <c r="CA495" s="496" t="str">
        <f> IF(CA515&lt;&gt;"",TEXT(AUX!CE$1,"dd-MMM-aa"),"")</f>
      </c>
      <c r="CB495" s="496" t="str">
        <f> IF(CB515&lt;&gt;"",TEXT(AUX!CF$1,"dd-MMM-aa"),"")</f>
      </c>
      <c r="CC495" s="496" t="str">
        <f> IF(CC515&lt;&gt;"",TEXT(AUX!CG$1,"dd-MMM-aa"),"")</f>
      </c>
      <c r="CD495" s="496" t="str">
        <f> IF(CD515&lt;&gt;"",TEXT(AUX!CH$1,"dd-MMM-aa"),"")</f>
      </c>
      <c r="CE495" s="496" t="str">
        <f> IF(CE515&lt;&gt;"",TEXT(AUX!CI$1,"dd-MMM-aa"),"")</f>
      </c>
      <c r="CF495" s="496" t="str">
        <f> IF(CF515&lt;&gt;"",TEXT(AUX!CJ$1,"dd-MMM-aa"),"")</f>
      </c>
      <c r="CG495" s="496" t="str">
        <f> IF(CG515&lt;&gt;"",TEXT(AUX!CK$1,"dd-MMM-aa"),"")</f>
      </c>
      <c r="CH495" s="496" t="str">
        <f> IF(CH515&lt;&gt;"",TEXT(AUX!CL$1,"dd-MMM-aa"),"")</f>
      </c>
      <c r="CI495" s="496" t="str">
        <f> IF(CI515&lt;&gt;"",TEXT(AUX!CM$1,"dd-MMM-aa"),"")</f>
      </c>
      <c r="CJ495" s="496" t="str">
        <f> IF(CJ515&lt;&gt;"",TEXT(AUX!CN$1,"dd-MMM-aa"),"")</f>
      </c>
      <c r="CK495" s="496" t="str">
        <f> IF(CK515&lt;&gt;"",TEXT(AUX!CO$1,"dd-MMM-aa"),"")</f>
      </c>
      <c r="CL495" s="496" t="str">
        <f> IF(CL515&lt;&gt;"",TEXT(AUX!CP$1,"dd-MMM-aa"),"")</f>
      </c>
      <c r="CM495" s="496" t="str">
        <f> IF(CM515&lt;&gt;"",TEXT(AUX!CQ$1,"dd-MMM-aa"),"")</f>
      </c>
      <c r="CN495" s="496" t="str">
        <f> IF(CN515&lt;&gt;"",TEXT(AUX!CR$1,"dd-MMM-aa"),"")</f>
      </c>
      <c r="CO495" s="496" t="str">
        <f> IF(CO515&lt;&gt;"",TEXT(AUX!CS$1,"dd-MMM-aa"),"")</f>
      </c>
      <c r="CP495" s="496" t="str">
        <f> IF(CP515&lt;&gt;"",TEXT(AUX!CT$1,"dd-MMM-aa"),"")</f>
      </c>
      <c r="CQ495" s="496" t="str">
        <f> IF(CQ515&lt;&gt;"",TEXT(AUX!CU$1,"dd-MMM-aa"),"")</f>
      </c>
      <c r="CR495" s="496" t="str">
        <f> IF(CR515&lt;&gt;"",TEXT(AUX!CV$1,"dd-MMM-aa"),"")</f>
      </c>
      <c r="CS495" s="496" t="str">
        <f> IF(CS515&lt;&gt;"",TEXT(AUX!CW$1,"dd-MMM-aa"),"")</f>
      </c>
      <c r="CT495" s="496" t="str">
        <f> IF(CT515&lt;&gt;"",TEXT(AUX!CX$1,"dd-MMM-aa"),"")</f>
      </c>
      <c r="CU495" s="496" t="str">
        <f> IF(CU515&lt;&gt;"",TEXT(AUX!CY$1,"dd-MMM-aa"),"")</f>
      </c>
      <c r="CV495" s="496" t="str">
        <f> IF(CV515&lt;&gt;"",TEXT(AUX!CZ$1,"dd-MMM-aa"),"")</f>
      </c>
      <c r="CW495" s="496" t="str">
        <f> IF(CW515&lt;&gt;"",TEXT(AUX!DA$1,"dd-MMM-aa"),"")</f>
      </c>
      <c r="CX495" s="496" t="str">
        <f> IF(CX515&lt;&gt;"",TEXT(AUX!DB$1,"dd-MMM-aa"),"")</f>
      </c>
      <c r="CY495" s="496" t="str">
        <f> IF(CY515&lt;&gt;"",TEXT(AUX!DC$1,"dd-MMM-aa"),"")</f>
      </c>
      <c r="CZ495" s="496" t="str">
        <f> IF(CZ515&lt;&gt;"",TEXT(AUX!DD$1,"dd-MMM-aa"),"")</f>
      </c>
      <c r="DA495" s="496" t="str">
        <f> IF(DA515&lt;&gt;"",TEXT(AUX!DE$1,"dd-MMM-aa"),"")</f>
      </c>
      <c r="DB495" s="496" t="str">
        <f> IF(DB515&lt;&gt;"",TEXT(AUX!DF$1,"dd-MMM-aa"),"")</f>
      </c>
      <c r="DC495" s="496" t="str">
        <f> IF(DC515&lt;&gt;"",TEXT(AUX!DG$1,"dd-MMM-aa"),"")</f>
      </c>
      <c r="DD495" s="496" t="str">
        <f> IF(DD515&lt;&gt;"",TEXT(AUX!DH$1,"dd-MMM-aa"),"")</f>
      </c>
      <c r="DE495" s="496" t="str">
        <f> IF(DE515&lt;&gt;"",TEXT(AUX!DI$1,"dd-MMM-aa"),"")</f>
      </c>
      <c r="DF495" s="496" t="str">
        <f> IF(DF515&lt;&gt;"",TEXT(AUX!DJ$1,"dd-MMM-aa"),"")</f>
      </c>
      <c r="DG495" s="496" t="str">
        <f> IF(DG515&lt;&gt;"",TEXT(AUX!DK$1,"dd-MMM-aa"),"")</f>
      </c>
      <c r="DH495" s="496" t="str">
        <f> IF(DH515&lt;&gt;"",TEXT(AUX!DL$1,"dd-MMM-aa"),"")</f>
      </c>
      <c r="DI495" s="496" t="str">
        <f> IF(DI515&lt;&gt;"",TEXT(AUX!DM$1,"dd-MMM-aa"),"")</f>
      </c>
      <c r="DJ495" s="496" t="str">
        <f> IF(DJ515&lt;&gt;"",TEXT(AUX!DN$1,"dd-MMM-aa"),"")</f>
      </c>
      <c r="DK495" s="496" t="str">
        <f> IF(DK515&lt;&gt;"",TEXT(AUX!DO$1,"dd-MMM-aa"),"")</f>
      </c>
      <c r="DL495" s="496" t="str">
        <f> IF(DL515&lt;&gt;"",TEXT(AUX!DP$1,"dd-MMM-aa"),"")</f>
      </c>
      <c r="DM495" s="496" t="str">
        <f> IF(DM515&lt;&gt;"",TEXT(AUX!DQ$1,"dd-MMM-aa"),"")</f>
      </c>
      <c r="DN495" s="496" t="str">
        <f> IF(DN515&lt;&gt;"",TEXT(AUX!DR$1,"dd-MMM-aa"),"")</f>
      </c>
      <c r="DO495" s="496" t="str">
        <f> IF(DO515&lt;&gt;"",TEXT(AUX!DS$1,"dd-MMM-aa"),"")</f>
      </c>
      <c r="DP495" s="496" t="str">
        <f> IF(DP515&lt;&gt;"",TEXT(AUX!DT$1,"dd-MMM-aa"),"")</f>
      </c>
      <c r="DQ495" s="496" t="str">
        <f> IF(DQ515&lt;&gt;"",TEXT(AUX!DU$1,"dd-MMM-aa"),"")</f>
      </c>
      <c r="DR495" s="496" t="str">
        <f> IF(DR515&lt;&gt;"",TEXT(AUX!DV$1,"dd-MMM-aa"),"")</f>
      </c>
      <c r="DS495" s="496" t="str">
        <f> IF(DS515&lt;&gt;"",TEXT(AUX!DW$1,"dd-MMM-aa"),"")</f>
      </c>
      <c r="DT495" s="496" t="str">
        <f> IF(DT515&lt;&gt;"",TEXT(AUX!DX$1,"dd-MMM-aa"),"")</f>
      </c>
      <c r="DU495" s="496" t="str">
        <f> IF(DU515&lt;&gt;"",TEXT(AUX!DY$1,"dd-MMM-aa"),"")</f>
      </c>
      <c r="DV495" s="496" t="str">
        <f> IF(DV515&lt;&gt;"",TEXT(AUX!DZ$1,"dd-MMM-aa"),"")</f>
      </c>
      <c r="DW495" s="496" t="str">
        <f> IF(DW515&lt;&gt;"",TEXT(AUX!EA$1,"dd-MMM-aa"),"")</f>
      </c>
      <c r="DX495" s="496" t="str">
        <f> IF(DX515&lt;&gt;"",TEXT(AUX!EB$1,"dd-MMM-aa"),"")</f>
      </c>
      <c r="DY495" s="496" t="str">
        <f> IF(DY515&lt;&gt;"",TEXT(AUX!EC$1,"dd-MMM-aa"),"")</f>
      </c>
      <c r="DZ495" s="496" t="str">
        <f> IF(DZ515&lt;&gt;"",TEXT(AUX!ED$1,"dd-MMM-aa"),"")</f>
      </c>
      <c r="EA495" s="496" t="str">
        <f> IF(EA515&lt;&gt;"",TEXT(AUX!EE$1,"dd-MMM-aa"),"")</f>
      </c>
      <c r="EB495" s="496" t="str">
        <f> IF(EB515&lt;&gt;"",TEXT(AUX!EF$1,"dd-MMM-aa"),"")</f>
      </c>
      <c r="EC495" s="496" t="str">
        <f> IF(EC515&lt;&gt;"",TEXT(AUX!EG$1,"dd-MMM-aa"),"")</f>
      </c>
      <c r="ED495" s="496" t="str">
        <f> IF(ED515&lt;&gt;"",TEXT(AUX!EH$1,"dd-MMM-aa"),"")</f>
      </c>
      <c r="EE495" s="496" t="str">
        <f> IF(EE515&lt;&gt;"",TEXT(AUX!EI$1,"dd-MMM-aa"),"")</f>
      </c>
      <c r="EF495" s="496" t="str">
        <f> IF(EF515&lt;&gt;"",TEXT(AUX!EJ$1,"dd-MMM-aa"),"")</f>
      </c>
      <c r="EG495" s="496" t="str">
        <f> IF(EG515&lt;&gt;"",TEXT(AUX!EK$1,"dd-MMM-aa"),"")</f>
      </c>
      <c r="EH495" s="496" t="str">
        <f> IF(EH515&lt;&gt;"",TEXT(AUX!EL$1,"dd-MMM-aa"),"")</f>
      </c>
      <c r="EI495" s="496" t="str">
        <f> IF(EI515&lt;&gt;"",TEXT(AUX!EM$1,"dd-MMM-aa"),"")</f>
      </c>
      <c r="EJ495" s="496" t="str">
        <f> IF(EJ515&lt;&gt;"",TEXT(AUX!EN$1,"dd-MMM-aa"),"")</f>
      </c>
      <c r="EK495" s="496" t="str">
        <f> IF(EK515&lt;&gt;"",TEXT(AUX!EO$1,"dd-MMM-aa"),"")</f>
      </c>
      <c r="EL495" s="496" t="str">
        <f> IF(EL515&lt;&gt;"",TEXT(AUX!EP$1,"dd-MMM-aa"),"")</f>
      </c>
      <c r="EM495" s="496" t="str">
        <f> IF(EM515&lt;&gt;"",TEXT(AUX!EQ$1,"dd-MMM-aa"),"")</f>
      </c>
      <c r="EN495" s="496" t="str">
        <f> IF(EN515&lt;&gt;"",TEXT(AUX!ER$1,"dd-MMM-aa"),"")</f>
      </c>
      <c r="EO495" s="496" t="str">
        <f> IF(EO515&lt;&gt;"",TEXT(AUX!ES$1,"dd-MMM-aa"),"")</f>
      </c>
      <c r="EP495" s="496" t="str">
        <f> IF(EP515&lt;&gt;"",TEXT(AUX!ET$1,"dd-MMM-aa"),"")</f>
      </c>
      <c r="EQ495" s="496" t="str">
        <f> IF(EQ515&lt;&gt;"",TEXT(AUX!EU$1,"dd-MMM-aa"),"")</f>
      </c>
      <c r="ER495" s="496" t="str">
        <f> IF(ER515&lt;&gt;"",TEXT(AUX!EV$1,"dd-MMM-aa"),"")</f>
      </c>
      <c r="ES495" s="496" t="str">
        <f> IF(ES515&lt;&gt;"",TEXT(AUX!EW$1,"dd-MMM-aa"),"")</f>
      </c>
      <c r="ET495" s="496" t="str">
        <f> IF(ET515&lt;&gt;"",TEXT(AUX!EX$1,"dd-MMM-aa"),"")</f>
      </c>
      <c r="EU495" s="496" t="str">
        <f> IF(EU515&lt;&gt;"",TEXT(AUX!EY$1,"dd-MMM-aa"),"")</f>
      </c>
      <c r="EV495" s="496" t="str">
        <f> IF(EV515&lt;&gt;"",TEXT(AUX!EZ$1,"dd-MMM-aa"),"")</f>
      </c>
      <c r="EW495" s="496" t="str">
        <f> IF(EW515&lt;&gt;"",TEXT(AUX!FA$1,"dd-MMM-aa"),"")</f>
      </c>
      <c r="EX495" s="496" t="str">
        <f> IF(EX515&lt;&gt;"",TEXT(AUX!FB$1,"dd-MMM-aa"),"")</f>
      </c>
      <c r="EY495" s="496" t="str">
        <f> IF(EY515&lt;&gt;"",TEXT(AUX!FC$1,"dd-MMM-aa"),"")</f>
      </c>
      <c r="EZ495" s="496" t="str">
        <f> IF(EZ515&lt;&gt;"",TEXT(AUX!FD$1,"dd-MMM-aa"),"")</f>
      </c>
      <c r="FA495" s="496" t="str">
        <f> IF(FA515&lt;&gt;"",TEXT(AUX!FE$1,"dd-MMM-aa"),"")</f>
      </c>
      <c r="FB495" s="496" t="str">
        <f> IF(FB515&lt;&gt;"",TEXT(AUX!FF$1,"dd-MMM-aa"),"")</f>
      </c>
      <c r="FC495" s="496" t="str">
        <f> IF(FC515&lt;&gt;"",TEXT(AUX!FG$1,"dd-MMM-aa"),"")</f>
      </c>
      <c r="FD495" s="496" t="str">
        <f> IF(FD515&lt;&gt;"",TEXT(AUX!FH$1,"dd-MMM-aa"),"")</f>
      </c>
      <c r="FE495" s="496" t="str">
        <f> IF(FE515&lt;&gt;"",TEXT(AUX!FI$1,"dd-MMM-aa"),"")</f>
      </c>
      <c r="FF495" s="496" t="str">
        <f> IF(FF515&lt;&gt;"",TEXT(AUX!FJ$1,"dd-MMM-aa"),"")</f>
      </c>
      <c r="FG495" s="496" t="str">
        <f> IF(FG515&lt;&gt;"",TEXT(AUX!FK$1,"dd-MMM-aa"),"")</f>
      </c>
      <c r="FH495" s="496" t="str">
        <f> IF(FH515&lt;&gt;"",TEXT(AUX!FL$1,"dd-MMM-aa"),"")</f>
      </c>
      <c r="FI495" s="496" t="str">
        <f> IF(FI515&lt;&gt;"",TEXT(AUX!FM$1,"dd-MMM-aa"),"")</f>
      </c>
      <c r="FJ495" s="496" t="str">
        <f> IF(FJ515&lt;&gt;"",TEXT(AUX!FN$1,"dd-MMM-aa"),"")</f>
      </c>
      <c r="FK495" s="496" t="str">
        <f> IF(FK515&lt;&gt;"",TEXT(AUX!FO$1,"dd-MMM-aa"),"")</f>
      </c>
      <c r="FL495" s="496" t="str">
        <f> IF(FL515&lt;&gt;"",TEXT(AUX!FP$1,"dd-MMM-aa"),"")</f>
      </c>
      <c r="FM495" s="496" t="str">
        <f> IF(FM515&lt;&gt;"",TEXT(AUX!FQ$1,"dd-MMM-aa"),"")</f>
      </c>
      <c r="FN495" s="496" t="str">
        <f> IF(FN515&lt;&gt;"",TEXT(AUX!FR$1,"dd-MMM-aa"),"")</f>
      </c>
      <c r="FO495" s="496" t="str">
        <f> IF(FO515&lt;&gt;"",TEXT(AUX!FS$1,"dd-MMM-aa"),"")</f>
      </c>
      <c r="FP495" s="496" t="str">
        <f> IF(FP515&lt;&gt;"",TEXT(AUX!FT$1,"dd-MMM-aa"),"")</f>
      </c>
      <c r="FQ495" s="496" t="str">
        <f> IF(FQ515&lt;&gt;"",TEXT(AUX!FU$1,"dd-MMM-aa"),"")</f>
      </c>
      <c r="FR495" s="496" t="str">
        <f> IF(FR515&lt;&gt;"",TEXT(AUX!FV$1,"dd-MMM-aa"),"")</f>
      </c>
      <c r="FS495" s="496" t="str">
        <f> IF(FS515&lt;&gt;"",TEXT(AUX!FW$1,"dd-MMM-aa"),"")</f>
      </c>
      <c r="FT495" s="496" t="str">
        <f> IF(FT515&lt;&gt;"",TEXT(AUX!FX$1,"dd-MMM-aa"),"")</f>
      </c>
      <c r="FU495" s="496" t="str">
        <f> IF(FU515&lt;&gt;"",TEXT(AUX!FY$1,"dd-MMM-aa"),"")</f>
      </c>
      <c r="FV495" s="496" t="str">
        <f> IF(FV515&lt;&gt;"",TEXT(AUX!FZ$1,"dd-MMM-aa"),"")</f>
      </c>
      <c r="FW495" s="496" t="str">
        <f> IF(FW515&lt;&gt;"",TEXT(AUX!GA$1,"dd-MMM-aa"),"")</f>
      </c>
      <c r="FX495" s="496" t="str">
        <f> IF(FX515&lt;&gt;"",TEXT(AUX!GB$1,"dd-MMM-aa"),"")</f>
      </c>
      <c r="FY495" s="496" t="str">
        <f> IF(FY515&lt;&gt;"",TEXT(AUX!GC$1,"dd-MMM-aa"),"")</f>
      </c>
      <c r="FZ495" s="496" t="str">
        <f> IF(FZ515&lt;&gt;"",TEXT(AUX!GD$1,"dd-MMM-aa"),"")</f>
      </c>
      <c r="GA495" s="496" t="str">
        <f> IF(GA515&lt;&gt;"",TEXT(AUX!GE$1,"dd-MMM-aa"),"")</f>
      </c>
      <c r="GB495" s="496" t="str">
        <f> IF(GB515&lt;&gt;"",TEXT(AUX!GF$1,"dd-MMM-aa"),"")</f>
      </c>
      <c r="GC495" s="496" t="str">
        <f> IF(GC515&lt;&gt;"",TEXT(AUX!GG$1,"dd-MMM-aa"),"")</f>
      </c>
      <c r="GD495" s="496" t="str">
        <f> IF(GD515&lt;&gt;"",TEXT(AUX!GH$1,"dd-MMM-aa"),"")</f>
      </c>
      <c r="GE495" s="496" t="str">
        <f> IF(GE515&lt;&gt;"",TEXT(AUX!GI$1,"dd-MMM-aa"),"")</f>
      </c>
      <c r="GF495" s="496" t="str">
        <f> IF(GF515&lt;&gt;"",TEXT(AUX!GJ$1,"dd-MMM-aa"),"")</f>
      </c>
      <c r="GG495" s="496" t="str">
        <f> IF(GG515&lt;&gt;"",TEXT(AUX!GK$1,"dd-MMM-aa"),"")</f>
      </c>
      <c r="GH495" s="496" t="str">
        <f> IF(GH515&lt;&gt;"",TEXT(AUX!GL$1,"dd-MMM-aa"),"")</f>
      </c>
      <c r="GI495" s="496" t="str">
        <f> IF(GI515&lt;&gt;"",TEXT(AUX!GM$1,"dd-MMM-aa"),"")</f>
      </c>
      <c r="GJ495" s="496" t="str">
        <f> IF(GJ515&lt;&gt;"",TEXT(AUX!GN$1,"dd-MMM-aa"),"")</f>
      </c>
      <c r="GK495" s="496" t="str">
        <f> IF(GK515&lt;&gt;"",TEXT(AUX!GO$1,"dd-MMM-aa"),"")</f>
      </c>
      <c r="GL495" s="496" t="str">
        <f> IF(GL515&lt;&gt;"",TEXT(AUX!GP$1,"dd-MMM-aa"),"")</f>
      </c>
      <c r="GM495" s="496" t="str">
        <f> IF(GM515&lt;&gt;"",TEXT(AUX!GQ$1,"dd-MMM-aa"),"")</f>
      </c>
      <c r="GN495" s="496" t="str">
        <f> IF(GN515&lt;&gt;"",TEXT(AUX!GR$1,"dd-MMM-aa"),"")</f>
      </c>
      <c r="GO495" s="496" t="str">
        <f> IF(GO515&lt;&gt;"",TEXT(AUX!GS$1,"dd-MMM-aa"),"")</f>
      </c>
      <c r="GP495" s="496" t="str">
        <f> IF(GP515&lt;&gt;"",TEXT(AUX!GT$1,"dd-MMM-aa"),"")</f>
      </c>
      <c r="GQ495" s="496" t="str">
        <f> IF(GQ515&lt;&gt;"",TEXT(AUX!GU$1,"dd-MMM-aa"),"")</f>
      </c>
      <c r="GR495" s="496" t="str">
        <f> IF(GR515&lt;&gt;"",TEXT(AUX!GV$1,"dd-MMM-aa"),"")</f>
      </c>
      <c r="GS495" s="496" t="str">
        <f> IF(GS515&lt;&gt;"",TEXT(AUX!GW$1,"dd-MMM-aa"),"")</f>
      </c>
      <c r="GT495" s="496" t="str">
        <f> IF(GT515&lt;&gt;"",TEXT(AUX!GX$1,"dd-MMM-aa"),"")</f>
      </c>
      <c r="GU495" s="496" t="str">
        <f> IF(GU515&lt;&gt;"",TEXT(AUX!GY$1,"dd-MMM-aa"),"")</f>
      </c>
      <c r="GV495" s="496" t="str">
        <f> IF(GV515&lt;&gt;"",TEXT(AUX!GZ$1,"dd-MMM-aa"),"")</f>
      </c>
      <c r="GW495" s="496" t="str">
        <f> IF(GW515&lt;&gt;"",TEXT(AUX!HA$1,"dd-MMM-aa"),"")</f>
      </c>
      <c r="GX495" s="496" t="str">
        <f> IF(GX515&lt;&gt;"",TEXT(AUX!HB$1,"dd-MMM-aa"),"")</f>
      </c>
      <c r="GY495" s="496" t="str">
        <f> IF(GY515&lt;&gt;"",TEXT(AUX!HC$1,"dd-MMM-aa"),"")</f>
      </c>
      <c r="GZ495" s="496" t="str">
        <f> IF(GZ515&lt;&gt;"",TEXT(AUX!HD$1,"dd-MMM-aa"),"")</f>
      </c>
      <c r="HA495" s="496" t="str">
        <f> IF(HA515&lt;&gt;"",TEXT(AUX!HE$1,"dd-MMM-aa"),"")</f>
      </c>
      <c r="HB495" s="496" t="str">
        <f> IF(HB515&lt;&gt;"",TEXT(AUX!HF$1,"dd-MMM-aa"),"")</f>
      </c>
      <c r="HC495" s="496" t="str">
        <f> IF(HC515&lt;&gt;"",TEXT(AUX!HG$1,"dd-MMM-aa"),"")</f>
      </c>
      <c r="HD495" s="496" t="str">
        <f> IF(HD515&lt;&gt;"",TEXT(AUX!HH$1,"dd-MMM-aa"),"")</f>
      </c>
      <c r="HE495" s="496" t="str">
        <f> IF(HE515&lt;&gt;"",TEXT(AUX!HI$1,"dd-MMM-aa"),"")</f>
      </c>
      <c r="HF495" s="496" t="str">
        <f> IF(HF515&lt;&gt;"",TEXT(AUX!HJ$1,"dd-MMM-aa"),"")</f>
      </c>
      <c r="HG495" s="496" t="str">
        <f> IF(HG515&lt;&gt;"",TEXT(AUX!HK$1,"dd-MMM-aa"),"")</f>
      </c>
      <c r="HH495" s="496" t="str">
        <f> IF(HH515&lt;&gt;"",TEXT(AUX!HL$1,"dd-MMM-aa"),"")</f>
      </c>
      <c r="HI495" s="496" t="str">
        <f> IF(HI515&lt;&gt;"",TEXT(AUX!HM$1,"dd-MMM-aa"),"")</f>
      </c>
      <c r="HJ495" s="496" t="str">
        <f> IF(HJ515&lt;&gt;"",TEXT(AUX!HN$1,"dd-MMM-aa"),"")</f>
      </c>
      <c r="HK495" s="496" t="str">
        <f> IF(HK515&lt;&gt;"",TEXT(AUX!HO$1,"dd-MMM-aa"),"")</f>
      </c>
      <c r="HL495" s="496" t="str">
        <f> IF(HL515&lt;&gt;"",TEXT(AUX!HP$1,"dd-MMM-aa"),"")</f>
      </c>
      <c r="HM495" s="496" t="str">
        <f> IF(HM515&lt;&gt;"",TEXT(AUX!HQ$1,"dd-MMM-aa"),"")</f>
      </c>
      <c r="HN495" s="496" t="str">
        <f> IF(HN515&lt;&gt;"",TEXT(AUX!HR$1,"dd-MMM-aa"),"")</f>
      </c>
      <c r="HO495" s="496" t="str">
        <f> IF(HO515&lt;&gt;"",TEXT(AUX!HS$1,"dd-MMM-aa"),"")</f>
      </c>
      <c r="HP495" s="496" t="str">
        <f> IF(HP515&lt;&gt;"",TEXT(AUX!HT$1,"dd-MMM-aa"),"")</f>
      </c>
      <c r="HQ495" s="496" t="str">
        <f> IF(HQ515&lt;&gt;"",TEXT(AUX!HU$1,"dd-MMM-aa"),"")</f>
      </c>
      <c r="HR495" s="496" t="str">
        <f> IF(HR515&lt;&gt;"",TEXT(AUX!HV$1,"dd-MMM-aa"),"")</f>
      </c>
      <c r="HS495" s="496" t="str">
        <f> IF(HS515&lt;&gt;"",TEXT(AUX!HW$1,"dd-MMM-aa"),"")</f>
      </c>
      <c r="HT495" s="496" t="str">
        <f> IF(HT515&lt;&gt;"",TEXT(AUX!HX$1,"dd-MMM-aa"),"")</f>
      </c>
      <c r="HU495" s="496" t="str">
        <f> IF(HU515&lt;&gt;"",TEXT(AUX!HY$1,"dd-MMM-aa"),"")</f>
      </c>
      <c r="HV495" s="496" t="str">
        <f> IF(HV515&lt;&gt;"",TEXT(AUX!HZ$1,"dd-MMM-aa"),"")</f>
      </c>
      <c r="HW495" s="496" t="str">
        <f> IF(HW515&lt;&gt;"",TEXT(AUX!IA$1,"dd-MMM-aa"),"")</f>
      </c>
      <c r="HX495" s="496" t="str">
        <f> IF(HX515&lt;&gt;"",TEXT(AUX!IB$1,"dd-MMM-aa"),"")</f>
      </c>
      <c r="HY495" s="496" t="str">
        <f> IF(HY515&lt;&gt;"",TEXT(AUX!IC$1,"dd-MMM-aa"),"")</f>
      </c>
      <c r="HZ495" s="496" t="str">
        <f> IF(HZ515&lt;&gt;"",TEXT(AUX!ID$1,"dd-MMM-aa"),"")</f>
      </c>
      <c r="IA495" s="496" t="str">
        <f> IF(IA515&lt;&gt;"",TEXT(AUX!IE$1,"dd-MMM-aa"),"")</f>
      </c>
      <c r="IB495" s="496" t="str">
        <f> IF(IB515&lt;&gt;"",TEXT(AUX!IF$1,"dd-MMM-aa"),"")</f>
      </c>
      <c r="IC495" s="496" t="str">
        <f> IF(IC515&lt;&gt;"",TEXT(AUX!IG$1,"dd-MMM-aa"),"")</f>
      </c>
      <c r="ID495" s="496" t="str">
        <f> IF(ID515&lt;&gt;"",TEXT(AUX!IH$1,"dd-MMM-aa"),"")</f>
      </c>
      <c r="IE495" s="496" t="str">
        <f> IF(IE515&lt;&gt;"",TEXT(AUX!II$1,"dd-MMM-aa"),"")</f>
      </c>
      <c r="IF495" s="496" t="str">
        <f> IF(IF515&lt;&gt;"",TEXT(AUX!IJ$1,"dd-MMM-aa"),"")</f>
      </c>
      <c r="IG495" s="496" t="str">
        <f> IF(IG515&lt;&gt;"",TEXT(AUX!IK$1,"dd-MMM-aa"),"")</f>
      </c>
      <c r="IH495" s="496" t="str">
        <f> IF(IH515&lt;&gt;"",TEXT(AUX!IL$1,"dd-MMM-aa"),"")</f>
      </c>
      <c r="II495" s="496" t="str">
        <f> IF(II515&lt;&gt;"",TEXT(AUX!IM$1,"dd-MMM-aa"),"")</f>
      </c>
      <c r="IJ495" s="496" t="str">
        <f> IF(IJ515&lt;&gt;"",TEXT(AUX!IN$1,"dd-MMM-aa"),"")</f>
      </c>
      <c r="IK495" s="496" t="str">
        <f> IF(IK515&lt;&gt;"",TEXT(AUX!IO$1,"dd-MMM-aa"),"")</f>
      </c>
      <c r="IL495" s="496" t="str">
        <f> IF(IL515&lt;&gt;"",TEXT(AUX!IP$1,"dd-MMM-aa"),"")</f>
      </c>
      <c r="IM495" s="496" t="str">
        <f> IF(IM515&lt;&gt;"",TEXT(AUX!IQ$1,"dd-MMM-aa"),"")</f>
      </c>
      <c r="IN495" s="496" t="str">
        <f> IF(IN515&lt;&gt;"",TEXT(AUX!IR$1,"dd-MMM-aa"),"")</f>
      </c>
      <c r="IO495" s="496" t="str">
        <f> IF(IO515&lt;&gt;"",TEXT(AUX!IS$1,"dd-MMM-aa"),"")</f>
      </c>
      <c r="IP495" s="496" t="str">
        <f> IF(IP515&lt;&gt;"",TEXT(AUX!IT$1,"dd-MMM-aa"),"")</f>
      </c>
      <c r="IQ495" s="496" t="str">
        <f> IF(IQ515&lt;&gt;"",TEXT(AUX!IU$1,"dd-MMM-aa"),"")</f>
      </c>
      <c r="IR495" s="496" t="str">
        <f> IF(IR515&lt;&gt;"",TEXT(AUX!IV$1,"dd-MMM-aa"),"")</f>
      </c>
      <c r="IS495" s="496" t="str">
        <f> IF(IS515&lt;&gt;"",TEXT(AUX!#REF!,"dd-MMM-aa"),"")</f>
      </c>
      <c r="IT495" s="496" t="str">
        <f> IF(IT515&lt;&gt;"",TEXT(AUX!#REF!,"dd-MMM-aa"),"")</f>
      </c>
      <c r="IU495" s="496" t="str">
        <f> IF(IU515&lt;&gt;"",TEXT(AUX!#REF!,"dd-MMM-aa"),"")</f>
      </c>
      <c r="IV495" s="496" t="str">
        <f> IF(IV515&lt;&gt;"",TEXT(AUX!#REF!,"dd-MMM-aa"),"")</f>
      </c>
    </row>
    <row r="496" hidden="1" ht="12.75" customHeight="1">
      <c r="B496" s="838" t="s">
        <v>8</v>
      </c>
      <c r="C496" s="839">
        <f>C299 + C275</f>
        <v>340485</v>
      </c>
      <c r="D496" s="839">
        <f>D299 + D275</f>
        <v>335937</v>
      </c>
      <c r="E496" s="839">
        <f>E299 + E275</f>
        <v>336648</v>
      </c>
      <c r="F496" s="839">
        <f>F299 + F275</f>
        <v>335394</v>
      </c>
      <c r="G496" s="839">
        <f>G299 + G275</f>
        <v>335275</v>
      </c>
      <c r="H496" s="839">
        <f>H299 + H275</f>
        <v>329062</v>
      </c>
      <c r="I496" s="839">
        <f>I299 + I275</f>
        <v>326685</v>
      </c>
      <c r="J496" s="839">
        <f>J299 + J275</f>
        <v>319364</v>
      </c>
      <c r="K496" s="839">
        <f>K299 + K275</f>
        <v>316235</v>
      </c>
      <c r="L496" s="839">
        <f>L299 + L275</f>
        <v>308608</v>
      </c>
      <c r="M496" s="839">
        <f>M299 + M275</f>
        <v>307966</v>
      </c>
      <c r="N496" s="839">
        <f>N299 + N275</f>
        <v>300448</v>
      </c>
      <c r="O496" s="839">
        <f>O299 + O275</f>
        <v>297550</v>
      </c>
      <c r="P496" s="839">
        <f>P299 + P275</f>
        <v>287971</v>
      </c>
      <c r="Q496" s="839">
        <f>Q299 + Q275</f>
        <v>287848</v>
      </c>
      <c r="R496" s="839">
        <f>R299 + R275</f>
        <v>287454</v>
      </c>
      <c r="S496" s="839">
        <f>S299 + S275</f>
        <v>291312</v>
      </c>
      <c r="T496" s="839">
        <f>T299 + T275</f>
        <v>289658</v>
      </c>
      <c r="U496" s="839">
        <f>U299 + U275</f>
        <v>289638</v>
      </c>
      <c r="V496" s="839">
        <f>V299 + V275</f>
        <v>288386</v>
      </c>
      <c r="W496" s="839">
        <f>W299 + W275</f>
        <v>290493</v>
      </c>
      <c r="X496" s="839">
        <f>X299 + X275</f>
        <v>287946</v>
      </c>
      <c r="Y496" s="839">
        <f>Y299 + Y275</f>
        <v>294042</v>
      </c>
      <c r="Z496" s="839">
        <f>Z299 + Z275</f>
        <v>295731</v>
      </c>
      <c r="AA496" s="839">
        <f>AA299 + AA275</f>
        <v>298931</v>
      </c>
      <c r="AB496" s="840">
        <f>AB299 + AB275</f>
        <v>301062</v>
      </c>
      <c r="AC496" s="841">
        <f>AC299 + AC275</f>
        <v>304931</v>
      </c>
      <c r="AD496" s="841">
        <f>AD299 + AD275</f>
        <v>306307</v>
      </c>
      <c r="AE496" s="841">
        <f>AE299 + AE275</f>
        <v>309166</v>
      </c>
      <c r="AF496" s="841">
        <f>AF299 + AF275</f>
        <v>307410</v>
      </c>
      <c r="AG496" s="841">
        <f>AG299 + AG275</f>
        <v>308071</v>
      </c>
      <c r="AH496" s="841">
        <f>AH299 + AH275</f>
        <v>307075</v>
      </c>
      <c r="AI496" s="841">
        <f>AI299 + AI275</f>
        <v>301563</v>
      </c>
      <c r="AJ496" s="841">
        <f>AJ299 + AJ275</f>
        <v>296632</v>
      </c>
      <c r="AK496" s="841">
        <f>AK299 + AK275</f>
        <v>290490</v>
      </c>
      <c r="AL496" s="841">
        <f>AL299 + AL275</f>
        <v>284180</v>
      </c>
      <c r="AM496" s="841">
        <f>AM299 + AM275</f>
        <v>282656</v>
      </c>
      <c r="AN496" s="841">
        <f>AN299 + AN275</f>
        <v>281099</v>
      </c>
      <c r="AO496" s="841">
        <f>AO299 + AO275</f>
        <v>279367</v>
      </c>
      <c r="AP496" s="841">
        <f>AP299 + AP275</f>
        <v>282105</v>
      </c>
    </row>
    <row r="497" hidden="1" ht="12.75" customHeight="1">
      <c r="B497" s="842" t="s">
        <v>9</v>
      </c>
      <c r="C497" s="839">
        <f>C300 + C276</f>
        <v>52905</v>
      </c>
      <c r="D497" s="839">
        <f>D300 + D276</f>
        <v>51888</v>
      </c>
      <c r="E497" s="839">
        <f>E300 + E276</f>
        <v>52710</v>
      </c>
      <c r="F497" s="839">
        <f>F300 + F276</f>
        <v>52136</v>
      </c>
      <c r="G497" s="839">
        <f>G300 + G276</f>
        <v>55728</v>
      </c>
      <c r="H497" s="839">
        <f>H300 + H276</f>
        <v>55663</v>
      </c>
      <c r="I497" s="839">
        <f>I300 + I276</f>
        <v>55233</v>
      </c>
      <c r="J497" s="839">
        <f>J300 + J276</f>
        <v>56905</v>
      </c>
      <c r="K497" s="839">
        <f>K300 + K276</f>
        <v>57100</v>
      </c>
      <c r="L497" s="839">
        <f>L300 + L276</f>
        <v>57599</v>
      </c>
      <c r="M497" s="839">
        <f>M300 + M276</f>
        <v>58550</v>
      </c>
      <c r="N497" s="839">
        <f>N300 + N276</f>
        <v>58512</v>
      </c>
      <c r="O497" s="839">
        <f>O300 + O276</f>
        <v>58672</v>
      </c>
      <c r="P497" s="839">
        <f>P300 + P276</f>
        <v>58385</v>
      </c>
      <c r="Q497" s="839">
        <f>Q300 + Q276</f>
        <v>58692</v>
      </c>
      <c r="R497" s="839">
        <f>R300 + R276</f>
        <v>60254</v>
      </c>
      <c r="S497" s="839">
        <f>S300 + S276</f>
        <v>61767</v>
      </c>
      <c r="T497" s="839">
        <f>T300 + T276</f>
        <v>61939</v>
      </c>
      <c r="U497" s="839">
        <f>U300 + U276</f>
        <v>62590</v>
      </c>
      <c r="V497" s="839">
        <f>V300 + V276</f>
        <v>62332</v>
      </c>
      <c r="W497" s="839">
        <f>W300 + W276</f>
        <v>63259</v>
      </c>
      <c r="X497" s="839">
        <f>X300 + X276</f>
        <v>64111</v>
      </c>
      <c r="Y497" s="839">
        <f>Y300 + Y276</f>
        <v>64794</v>
      </c>
      <c r="Z497" s="839">
        <f>Z300 + Z276</f>
        <v>65087</v>
      </c>
      <c r="AA497" s="839">
        <f>AA300 + AA276</f>
        <v>65385</v>
      </c>
      <c r="AB497" s="839">
        <f>AB300 + AB276</f>
        <v>66434</v>
      </c>
      <c r="AC497" s="841">
        <f>AC300 + AC276</f>
        <v>66232</v>
      </c>
      <c r="AD497" s="841">
        <f>AD300 + AD276</f>
        <v>67296</v>
      </c>
      <c r="AE497" s="841">
        <f>AE300 + AE276</f>
        <v>67473</v>
      </c>
      <c r="AF497" s="841">
        <f>AF300 + AF276</f>
        <v>67221</v>
      </c>
      <c r="AG497" s="841">
        <f>AG300 + AG276</f>
        <v>67735</v>
      </c>
      <c r="AH497" s="841">
        <f>AH300 + AH276</f>
        <v>67195</v>
      </c>
      <c r="AI497" s="841">
        <f>AI300 + AI276</f>
        <v>67261</v>
      </c>
      <c r="AJ497" s="841">
        <f>AJ300 + AJ276</f>
        <v>66295</v>
      </c>
      <c r="AK497" s="841">
        <f>AK300 + AK276</f>
        <v>65270</v>
      </c>
      <c r="AL497" s="841">
        <f>AL300 + AL276</f>
        <v>64351</v>
      </c>
      <c r="AM497" s="841">
        <f>AM300 + AM276</f>
        <v>61269</v>
      </c>
      <c r="AN497" s="841">
        <f>AN300 + AN276</f>
        <v>62144</v>
      </c>
      <c r="AO497" s="841">
        <f>AO300 + AO276</f>
        <v>62923</v>
      </c>
      <c r="AP497" s="841">
        <f>AP300 + AP276</f>
        <v>62464</v>
      </c>
    </row>
    <row r="498" hidden="1" ht="12.75" customHeight="1">
      <c r="B498" s="842" t="s">
        <v>10</v>
      </c>
      <c r="C498" s="839">
        <f>C301 + C277</f>
        <v>245027</v>
      </c>
      <c r="D498" s="839">
        <f>D301 + D277</f>
        <v>241431</v>
      </c>
      <c r="E498" s="839">
        <f>E301 + E277</f>
        <v>237790</v>
      </c>
      <c r="F498" s="839">
        <f>F301 + F277</f>
        <v>239489</v>
      </c>
      <c r="G498" s="839">
        <f>G301 + G277</f>
        <v>232914</v>
      </c>
      <c r="H498" s="839">
        <f>H301 + H277</f>
        <v>233215</v>
      </c>
      <c r="I498" s="839">
        <f>I301 + I277</f>
        <v>230346</v>
      </c>
      <c r="J498" s="839">
        <f>J301 + J277</f>
        <v>230620</v>
      </c>
      <c r="K498" s="839">
        <f>K301 + K277</f>
        <v>231267</v>
      </c>
      <c r="L498" s="839">
        <f>L301 + L277</f>
        <v>230338</v>
      </c>
      <c r="M498" s="839">
        <f>M301 + M277</f>
        <v>226177</v>
      </c>
      <c r="N498" s="839">
        <f>N301 + N277</f>
        <v>225491</v>
      </c>
      <c r="O498" s="839">
        <f>O301 + O277</f>
        <v>224491</v>
      </c>
      <c r="P498" s="839">
        <f>P301 + P277</f>
        <v>221749</v>
      </c>
      <c r="Q498" s="839">
        <f>Q301 + Q277</f>
        <v>222706</v>
      </c>
      <c r="R498" s="839">
        <f>R301 + R277</f>
        <v>221830</v>
      </c>
      <c r="S498" s="839">
        <f>S301 + S277</f>
        <v>226597</v>
      </c>
      <c r="T498" s="839">
        <f>T301 + T277</f>
        <v>227431</v>
      </c>
      <c r="U498" s="839">
        <f>U301 + U277</f>
        <v>228980</v>
      </c>
      <c r="V498" s="839">
        <f>V301 + V277</f>
        <v>228814</v>
      </c>
      <c r="W498" s="839">
        <f>W301 + W277</f>
        <v>231035</v>
      </c>
      <c r="X498" s="839">
        <f>X301 + X277</f>
        <v>230103</v>
      </c>
      <c r="Y498" s="839">
        <f>Y301 + Y277</f>
        <v>233415</v>
      </c>
      <c r="Z498" s="839">
        <f>Z301 + Z277</f>
        <v>233329</v>
      </c>
      <c r="AA498" s="839">
        <f>AA301 + AA277</f>
        <v>231927</v>
      </c>
      <c r="AB498" s="839">
        <f>AB301 + AB277</f>
        <v>230981</v>
      </c>
      <c r="AC498" s="841">
        <f>AC301 + AC277</f>
        <v>232333</v>
      </c>
      <c r="AD498" s="841">
        <f>AD301 + AD277</f>
        <v>231905</v>
      </c>
      <c r="AE498" s="841">
        <f>AE301 + AE277</f>
        <v>234681</v>
      </c>
      <c r="AF498" s="841">
        <f>AF301 + AF277</f>
        <v>232970</v>
      </c>
      <c r="AG498" s="841">
        <f>AG301 + AG277</f>
        <v>232952</v>
      </c>
      <c r="AH498" s="841">
        <f>AH301 + AH277</f>
        <v>228461</v>
      </c>
      <c r="AI498" s="841">
        <f>AI301 + AI277</f>
        <v>225793</v>
      </c>
      <c r="AJ498" s="841">
        <f>AJ301 + AJ277</f>
        <v>219066</v>
      </c>
      <c r="AK498" s="841">
        <f>AK301 + AK277</f>
        <v>220641</v>
      </c>
      <c r="AL498" s="841">
        <f>AL301 + AL277</f>
        <v>215124</v>
      </c>
      <c r="AM498" s="841">
        <f>AM301 + AM277</f>
        <v>213719</v>
      </c>
      <c r="AN498" s="841">
        <f>AN301 + AN277</f>
        <v>209199</v>
      </c>
      <c r="AO498" s="841">
        <f>AO301 + AO277</f>
        <v>206944</v>
      </c>
      <c r="AP498" s="841">
        <f>AP301 + AP277</f>
        <v>205106</v>
      </c>
    </row>
    <row r="499" hidden="1" ht="12.75" customHeight="1">
      <c r="B499" s="842" t="s">
        <v>11</v>
      </c>
      <c r="C499" s="839">
        <f>C302 + C278</f>
        <v>18137</v>
      </c>
      <c r="D499" s="839">
        <f>D302 + D278</f>
        <v>18683</v>
      </c>
      <c r="E499" s="839">
        <f>E302 + E278</f>
        <v>17804</v>
      </c>
      <c r="F499" s="839">
        <f>F302 + F278</f>
        <v>18040</v>
      </c>
      <c r="G499" s="839">
        <f>G302 + G278</f>
        <v>16367</v>
      </c>
      <c r="H499" s="839">
        <f>H302 + H278</f>
        <v>16840</v>
      </c>
      <c r="I499" s="839">
        <f>I302 + I278</f>
        <v>15985</v>
      </c>
      <c r="J499" s="839">
        <f>J302 + J278</f>
        <v>16233</v>
      </c>
      <c r="K499" s="839">
        <f>K302 + K278</f>
        <v>15668</v>
      </c>
      <c r="L499" s="839">
        <f>L302 + L278</f>
        <v>16040</v>
      </c>
      <c r="M499" s="839">
        <f>M302 + M278</f>
        <v>15471</v>
      </c>
      <c r="N499" s="839">
        <f>N302 + N278</f>
        <v>15360</v>
      </c>
      <c r="O499" s="839">
        <f>O302 + O278</f>
        <v>14630</v>
      </c>
      <c r="P499" s="839">
        <f>P302 + P278</f>
        <v>14860</v>
      </c>
      <c r="Q499" s="839">
        <f>Q302 + Q278</f>
        <v>14304</v>
      </c>
      <c r="R499" s="839">
        <f>R302 + R278</f>
        <v>14372</v>
      </c>
      <c r="S499" s="839">
        <f>S302 + S278</f>
        <v>13847</v>
      </c>
      <c r="T499" s="839">
        <f>T302 + T278</f>
        <v>14235</v>
      </c>
      <c r="U499" s="839">
        <f>U302 + U278</f>
        <v>14056</v>
      </c>
      <c r="V499" s="839">
        <f>V302 + V278</f>
        <v>14517</v>
      </c>
      <c r="W499" s="839">
        <f>W302 + W278</f>
        <v>14234</v>
      </c>
      <c r="X499" s="839">
        <f>X302 + X278</f>
        <v>14453</v>
      </c>
      <c r="Y499" s="839">
        <f>Y302 + Y278</f>
        <v>13876</v>
      </c>
      <c r="Z499" s="839">
        <f>Z302 + Z278</f>
        <v>14028</v>
      </c>
      <c r="AA499" s="839">
        <f>AA302 + AA278</f>
        <v>13596</v>
      </c>
      <c r="AB499" s="839">
        <f>AB302 + AB278</f>
        <v>13917</v>
      </c>
      <c r="AC499" s="841">
        <f>AC302 + AC278</f>
        <v>13311</v>
      </c>
      <c r="AD499" s="841">
        <f>AD302 + AD278</f>
        <v>13608</v>
      </c>
      <c r="AE499" s="841">
        <f>AE302 + AE278</f>
        <v>13242</v>
      </c>
      <c r="AF499" s="841">
        <f>AF302 + AF278</f>
        <v>13636</v>
      </c>
      <c r="AG499" s="841">
        <f>AG302 + AG278</f>
        <v>13067</v>
      </c>
      <c r="AH499" s="841">
        <f>AH302 + AH278</f>
        <v>13320</v>
      </c>
      <c r="AI499" s="841">
        <f>AI302 + AI278</f>
        <v>12584</v>
      </c>
      <c r="AJ499" s="841">
        <f>AJ302 + AJ278</f>
        <v>12713</v>
      </c>
      <c r="AK499" s="841">
        <f>AK302 + AK278</f>
        <v>12374</v>
      </c>
      <c r="AL499" s="841">
        <f>AL302 + AL278</f>
        <v>12710</v>
      </c>
      <c r="AM499" s="841">
        <f>AM302 + AM278</f>
        <v>11895</v>
      </c>
      <c r="AN499" s="841">
        <f>AN302 + AN278</f>
        <v>12167</v>
      </c>
      <c r="AO499" s="841">
        <f>AO302 + AO278</f>
        <v>11331</v>
      </c>
      <c r="AP499" s="841">
        <f>AP302 + AP278</f>
        <v>11849</v>
      </c>
    </row>
    <row r="500" hidden="1" ht="12.75" customHeight="1">
      <c r="B500" s="842" t="s">
        <v>12</v>
      </c>
      <c r="C500" s="839">
        <f>C303 + C279</f>
        <v>9447</v>
      </c>
      <c r="D500" s="839">
        <f>D303 + D279</f>
        <v>9380</v>
      </c>
      <c r="E500" s="839">
        <f>E303 + E279</f>
        <v>9036</v>
      </c>
      <c r="F500" s="839">
        <f>F303 + F279</f>
        <v>8797</v>
      </c>
      <c r="G500" s="839">
        <f>G303 + G279</f>
        <v>8566</v>
      </c>
      <c r="H500" s="839">
        <f>H303 + H279</f>
        <v>8455</v>
      </c>
      <c r="I500" s="839">
        <f>I303 + I279</f>
        <v>8166</v>
      </c>
      <c r="J500" s="839">
        <f>J303 + J279</f>
        <v>8235</v>
      </c>
      <c r="K500" s="839">
        <f>K303 + K279</f>
        <v>8504</v>
      </c>
      <c r="L500" s="839">
        <f>L303 + L279</f>
        <v>8558</v>
      </c>
      <c r="M500" s="839">
        <f>M303 + M279</f>
        <v>8787</v>
      </c>
      <c r="N500" s="839">
        <f>N303 + N279</f>
        <v>8821</v>
      </c>
      <c r="O500" s="839">
        <f>O303 + O279</f>
        <v>8592</v>
      </c>
      <c r="P500" s="839">
        <f>P303 + P279</f>
        <v>8532</v>
      </c>
      <c r="Q500" s="839">
        <f>Q303 + Q279</f>
        <v>7850</v>
      </c>
      <c r="R500" s="839">
        <f>R303 + R279</f>
        <v>7999</v>
      </c>
      <c r="S500" s="839">
        <f>S303 + S279</f>
        <v>7886</v>
      </c>
      <c r="T500" s="839">
        <f>T303 + T279</f>
        <v>8266</v>
      </c>
      <c r="U500" s="839">
        <f>U303 + U279</f>
        <v>8368</v>
      </c>
      <c r="V500" s="839">
        <f>V303 + V279</f>
        <v>8777</v>
      </c>
      <c r="W500" s="839">
        <f>W303 + W279</f>
        <v>9050</v>
      </c>
      <c r="X500" s="839">
        <f>X303 + X279</f>
        <v>9156</v>
      </c>
      <c r="Y500" s="839">
        <f>Y303 + Y279</f>
        <v>9120</v>
      </c>
      <c r="Z500" s="839">
        <f>Z303 + Z279</f>
        <v>8969</v>
      </c>
      <c r="AA500" s="839">
        <f>AA303 + AA279</f>
        <v>8983</v>
      </c>
      <c r="AB500" s="839">
        <f>AB303 + AB279</f>
        <v>8759</v>
      </c>
      <c r="AC500" s="841">
        <f>AC303 + AC279</f>
        <v>9248</v>
      </c>
      <c r="AD500" s="841">
        <f>AD303 + AD279</f>
        <v>9190</v>
      </c>
      <c r="AE500" s="841">
        <f>AE303 + AE279</f>
        <v>9032</v>
      </c>
      <c r="AF500" s="841">
        <f>AF303 + AF279</f>
        <v>9077</v>
      </c>
      <c r="AG500" s="841">
        <f>AG303 + AG279</f>
        <v>9002</v>
      </c>
      <c r="AH500" s="841">
        <f>AH303 + AH279</f>
        <v>9160</v>
      </c>
      <c r="AI500" s="841">
        <f>AI303 + AI279</f>
        <v>8860</v>
      </c>
      <c r="AJ500" s="841">
        <f>AJ303 + AJ279</f>
        <v>8743</v>
      </c>
      <c r="AK500" s="841">
        <f>AK303 + AK279</f>
        <v>8504</v>
      </c>
      <c r="AL500" s="841">
        <f>AL303 + AL279</f>
        <v>8772</v>
      </c>
      <c r="AM500" s="841">
        <f>AM303 + AM279</f>
        <v>8755</v>
      </c>
      <c r="AN500" s="841">
        <f>AN303 + AN279</f>
        <v>8667</v>
      </c>
      <c r="AO500" s="841">
        <f>AO303 + AO279</f>
        <v>8538</v>
      </c>
      <c r="AP500" s="841">
        <f>AP303 + AP279</f>
        <v>8757</v>
      </c>
    </row>
    <row r="501" hidden="1" ht="12.75" customHeight="1">
      <c r="B501" s="842" t="s">
        <v>13</v>
      </c>
      <c r="C501" s="839">
        <f>C304 + C280</f>
        <v>174629</v>
      </c>
      <c r="D501" s="839">
        <f>D304 + D280</f>
        <v>169618</v>
      </c>
      <c r="E501" s="839">
        <f>E304 + E280</f>
        <v>165450</v>
      </c>
      <c r="F501" s="839">
        <f>F304 + F280</f>
        <v>163667</v>
      </c>
      <c r="G501" s="839">
        <f>G304 + G280</f>
        <v>164575</v>
      </c>
      <c r="H501" s="839">
        <f>H304 + H280</f>
        <v>162516</v>
      </c>
      <c r="I501" s="839">
        <f>I304 + I280</f>
        <v>163619</v>
      </c>
      <c r="J501" s="839">
        <f>J304 + J280</f>
        <v>164633</v>
      </c>
      <c r="K501" s="839">
        <f>K304 + K280</f>
        <v>165844</v>
      </c>
      <c r="L501" s="839">
        <f>L304 + L280</f>
        <v>165435</v>
      </c>
      <c r="M501" s="839">
        <f>M304 + M280</f>
        <v>164405</v>
      </c>
      <c r="N501" s="839">
        <f>N304 + N280</f>
        <v>163614</v>
      </c>
      <c r="O501" s="839">
        <f>O304 + O280</f>
        <v>163540</v>
      </c>
      <c r="P501" s="839">
        <f>P304 + P280</f>
        <v>162038</v>
      </c>
      <c r="Q501" s="839">
        <f>Q304 + Q280</f>
        <v>161930</v>
      </c>
      <c r="R501" s="839">
        <f>R304 + R280</f>
        <v>161571</v>
      </c>
      <c r="S501" s="839">
        <f>S304 + S280</f>
        <v>165867</v>
      </c>
      <c r="T501" s="839">
        <f>T304 + T280</f>
        <v>165908</v>
      </c>
      <c r="U501" s="839">
        <f>U304 + U280</f>
        <v>166885</v>
      </c>
      <c r="V501" s="839">
        <f>V304 + V280</f>
        <v>165366</v>
      </c>
      <c r="W501" s="839">
        <f>W304 + W280</f>
        <v>166462</v>
      </c>
      <c r="X501" s="839">
        <f>X304 + X280</f>
        <v>165450</v>
      </c>
      <c r="Y501" s="839">
        <f>Y304 + Y280</f>
        <v>168322</v>
      </c>
      <c r="Z501" s="839">
        <f>Z304 + Z280</f>
        <v>167325</v>
      </c>
      <c r="AA501" s="839">
        <f>AA304 + AA280</f>
        <v>168532</v>
      </c>
      <c r="AB501" s="839">
        <f>AB304 + AB280</f>
        <v>167543</v>
      </c>
      <c r="AC501" s="841">
        <f>AC304 + AC280</f>
        <v>171114</v>
      </c>
      <c r="AD501" s="841">
        <f>AD304 + AD280</f>
        <v>170850</v>
      </c>
      <c r="AE501" s="841">
        <f>AE304 + AE280</f>
        <v>173464</v>
      </c>
      <c r="AF501" s="841">
        <f>AF304 + AF280</f>
        <v>170824</v>
      </c>
      <c r="AG501" s="841">
        <f>AG304 + AG280</f>
        <v>172949</v>
      </c>
      <c r="AH501" s="841">
        <f>AH304 + AH280</f>
        <v>168230</v>
      </c>
      <c r="AI501" s="841">
        <f>AI304 + AI280</f>
        <v>167405</v>
      </c>
      <c r="AJ501" s="841">
        <f>AJ304 + AJ280</f>
        <v>160513</v>
      </c>
      <c r="AK501" s="841">
        <f>AK304 + AK280</f>
        <v>163196</v>
      </c>
      <c r="AL501" s="841">
        <f>AL304 + AL280</f>
        <v>157799</v>
      </c>
      <c r="AM501" s="841">
        <f>AM304 + AM280</f>
        <v>158216</v>
      </c>
      <c r="AN501" s="841">
        <f>AN304 + AN280</f>
        <v>154196</v>
      </c>
      <c r="AO501" s="841">
        <f>AO304 + AO280</f>
        <v>153454</v>
      </c>
      <c r="AP501" s="841">
        <f>AP304 + AP280</f>
        <v>152960</v>
      </c>
    </row>
    <row r="502" hidden="1" ht="12.75" customHeight="1">
      <c r="B502" s="842" t="s">
        <v>109</v>
      </c>
      <c r="C502" s="839">
        <f>C305 + C281</f>
        <v>128884</v>
      </c>
      <c r="D502" s="839">
        <f>D305 + D281</f>
        <v>126327</v>
      </c>
      <c r="E502" s="839">
        <f>E305 + E281</f>
        <v>126270</v>
      </c>
      <c r="F502" s="839">
        <f>F305 + F281</f>
        <v>120592</v>
      </c>
      <c r="G502" s="839">
        <f>G305 + G281</f>
        <v>124178</v>
      </c>
      <c r="H502" s="839">
        <f>H305 + H281</f>
        <v>124594</v>
      </c>
      <c r="I502" s="839">
        <f>I305 + I281</f>
        <v>128294</v>
      </c>
      <c r="J502" s="839">
        <f>J305 + J281</f>
        <v>128146</v>
      </c>
      <c r="K502" s="839">
        <f>K305 + K281</f>
        <v>129690</v>
      </c>
      <c r="L502" s="839">
        <f>L305 + L281</f>
        <v>127569</v>
      </c>
      <c r="M502" s="839">
        <f>M305 + M281</f>
        <v>128490</v>
      </c>
      <c r="N502" s="839">
        <f>N305 + N281</f>
        <v>126400</v>
      </c>
      <c r="O502" s="839">
        <f>O305 + O281</f>
        <v>128550</v>
      </c>
      <c r="P502" s="839">
        <f>P305 + P281</f>
        <v>126973</v>
      </c>
      <c r="Q502" s="839">
        <f>Q305 + Q281</f>
        <v>128870</v>
      </c>
      <c r="R502" s="839">
        <f>R305 + R281</f>
        <v>129984</v>
      </c>
      <c r="S502" s="839">
        <f>S305 + S281</f>
        <v>130795</v>
      </c>
      <c r="T502" s="839">
        <f>T305 + T281</f>
        <v>129769</v>
      </c>
      <c r="U502" s="839">
        <f>U305 + U281</f>
        <v>131215</v>
      </c>
      <c r="V502" s="839">
        <f>V305 + V281</f>
        <v>132622</v>
      </c>
      <c r="W502" s="839">
        <f>W305 + W281</f>
        <v>139713</v>
      </c>
      <c r="X502" s="839">
        <f>X305 + X281</f>
        <v>140699</v>
      </c>
      <c r="Y502" s="839">
        <f>Y305 + Y281</f>
        <v>142025</v>
      </c>
      <c r="Z502" s="839">
        <f>Z305 + Z281</f>
        <v>142388</v>
      </c>
      <c r="AA502" s="839">
        <f>AA305 + AA281</f>
        <v>144614</v>
      </c>
      <c r="AB502" s="839">
        <f>AB305 + AB281</f>
        <v>143079</v>
      </c>
      <c r="AC502" s="841">
        <f>AC305 + AC281</f>
        <v>144402</v>
      </c>
      <c r="AD502" s="841">
        <f>AD305 + AD281</f>
        <v>144576</v>
      </c>
      <c r="AE502" s="841">
        <f>AE305 + AE281</f>
        <v>146933</v>
      </c>
      <c r="AF502" s="841">
        <f>AF305 + AF281</f>
        <v>147356</v>
      </c>
      <c r="AG502" s="841">
        <f>AG305 + AG281</f>
        <v>147016</v>
      </c>
      <c r="AH502" s="841">
        <f>AH305 + AH281</f>
        <v>147522</v>
      </c>
      <c r="AI502" s="841">
        <f>AI305 + AI281</f>
        <v>146185</v>
      </c>
      <c r="AJ502" s="841">
        <f>AJ305 + AJ281</f>
        <v>145646</v>
      </c>
      <c r="AK502" s="841">
        <f>AK305 + AK281</f>
        <v>145102</v>
      </c>
      <c r="AL502" s="841">
        <f>AL305 + AL281</f>
        <v>141304</v>
      </c>
      <c r="AM502" s="841">
        <f>AM305 + AM281</f>
        <v>139492</v>
      </c>
      <c r="AN502" s="841">
        <f>AN305 + AN281</f>
        <v>138375</v>
      </c>
      <c r="AO502" s="841">
        <f>AO305 + AO281</f>
        <v>136318</v>
      </c>
      <c r="AP502" s="841">
        <f>AP305 + AP281</f>
        <v>137642</v>
      </c>
    </row>
    <row r="503" hidden="1" ht="12.75" customHeight="1">
      <c r="B503" s="842" t="s">
        <v>110</v>
      </c>
      <c r="C503" s="839">
        <f>C306 + C282</f>
        <v>667669</v>
      </c>
      <c r="D503" s="839">
        <f>D306 + D282</f>
        <v>647027</v>
      </c>
      <c r="E503" s="839">
        <f>E306 + E282</f>
        <v>664108</v>
      </c>
      <c r="F503" s="839">
        <f>F306 + F282</f>
        <v>649175</v>
      </c>
      <c r="G503" s="839">
        <f>G306 + G282</f>
        <v>667185</v>
      </c>
      <c r="H503" s="839">
        <f>H306 + H282</f>
        <v>620634</v>
      </c>
      <c r="I503" s="839">
        <f>I306 + I282</f>
        <v>656229</v>
      </c>
      <c r="J503" s="839">
        <f>J306 + J282</f>
        <v>629506</v>
      </c>
      <c r="K503" s="839">
        <f>K306 + K282</f>
        <v>659535</v>
      </c>
      <c r="L503" s="839">
        <f>L306 + L282</f>
        <v>625507</v>
      </c>
      <c r="M503" s="839">
        <f>M306 + M282</f>
        <v>650199</v>
      </c>
      <c r="N503" s="839">
        <f>N306 + N282</f>
        <v>614340</v>
      </c>
      <c r="O503" s="839">
        <f>O306 + O282</f>
        <v>648837</v>
      </c>
      <c r="P503" s="839">
        <f>P306 + P282</f>
        <v>608275</v>
      </c>
      <c r="Q503" s="839">
        <f>Q306 + Q282</f>
        <v>640407</v>
      </c>
      <c r="R503" s="839">
        <f>R306 + R282</f>
        <v>611621</v>
      </c>
      <c r="S503" s="839">
        <f>S306 + S282</f>
        <v>652793</v>
      </c>
      <c r="T503" s="839">
        <f>T306 + T282</f>
        <v>628568</v>
      </c>
      <c r="U503" s="839">
        <f>U306 + U282</f>
        <v>669137</v>
      </c>
      <c r="V503" s="839">
        <f>V306 + V282</f>
        <v>641574</v>
      </c>
      <c r="W503" s="839">
        <f>W306 + W282</f>
        <v>679310</v>
      </c>
      <c r="X503" s="839">
        <f>X306 + X282</f>
        <v>653654</v>
      </c>
      <c r="Y503" s="839">
        <f>Y306 + Y282</f>
        <v>695705</v>
      </c>
      <c r="Z503" s="839">
        <f>Z306 + Z282</f>
        <v>689886</v>
      </c>
      <c r="AA503" s="839">
        <f>AA306 + AA282</f>
        <v>705277</v>
      </c>
      <c r="AB503" s="839">
        <f>AB306 + AB282</f>
        <v>680962</v>
      </c>
      <c r="AC503" s="841">
        <f>AC306 + AC282</f>
        <v>719737</v>
      </c>
      <c r="AD503" s="841">
        <f>AD306 + AD282</f>
        <v>694205</v>
      </c>
      <c r="AE503" s="841">
        <f>AE306 + AE282</f>
        <v>728968</v>
      </c>
      <c r="AF503" s="841">
        <f>AF306 + AF282</f>
        <v>698770</v>
      </c>
      <c r="AG503" s="841">
        <f>AG306 + AG282</f>
        <v>737923</v>
      </c>
      <c r="AH503" s="841">
        <f>AH306 + AH282</f>
        <v>703865</v>
      </c>
      <c r="AI503" s="841">
        <f>AI306 + AI282</f>
        <v>731908</v>
      </c>
      <c r="AJ503" s="841">
        <f>AJ306 + AJ282</f>
        <v>691407</v>
      </c>
      <c r="AK503" s="841">
        <f>AK306 + AK282</f>
        <v>720619</v>
      </c>
      <c r="AL503" s="841">
        <f>AL306 + AL282</f>
        <v>676390</v>
      </c>
      <c r="AM503" s="841">
        <f>AM306 + AM282</f>
        <v>700354</v>
      </c>
      <c r="AN503" s="841">
        <f>AN306 + AN282</f>
        <v>665020</v>
      </c>
      <c r="AO503" s="841">
        <f>AO306 + AO282</f>
        <v>692743</v>
      </c>
      <c r="AP503" s="841">
        <f>AP306 + AP282</f>
        <v>664565</v>
      </c>
    </row>
    <row r="504" hidden="1" ht="12.75" customHeight="1">
      <c r="B504" s="842" t="s">
        <v>16</v>
      </c>
      <c r="C504" s="839">
        <f>C307 + C283</f>
        <v>158330</v>
      </c>
      <c r="D504" s="839">
        <f>D307 + D283</f>
        <v>158805</v>
      </c>
      <c r="E504" s="839">
        <f>E307 + E283</f>
        <v>164764</v>
      </c>
      <c r="F504" s="839">
        <f>F307 + F283</f>
        <v>154649</v>
      </c>
      <c r="G504" s="839">
        <f>G307 + G283</f>
        <v>175578</v>
      </c>
      <c r="H504" s="839">
        <f>H307 + H283</f>
        <v>164079</v>
      </c>
      <c r="I504" s="839">
        <f>I307 + I283</f>
        <v>156972</v>
      </c>
      <c r="J504" s="839">
        <f>J307 + J283</f>
        <v>149389</v>
      </c>
      <c r="K504" s="839">
        <f>K307 + K283</f>
        <v>155086</v>
      </c>
      <c r="L504" s="839">
        <f>L307 + L283</f>
        <v>150680</v>
      </c>
      <c r="M504" s="839">
        <f>M307 + M283</f>
        <v>157236</v>
      </c>
      <c r="N504" s="839">
        <f>N307 + N283</f>
        <v>158348</v>
      </c>
      <c r="O504" s="839">
        <f>O307 + O283</f>
        <v>157354</v>
      </c>
      <c r="P504" s="839">
        <f>P307 + P283</f>
        <v>156713</v>
      </c>
      <c r="Q504" s="839">
        <f>Q307 + Q283</f>
        <v>157494</v>
      </c>
      <c r="R504" s="839">
        <f>R307 + R283</f>
        <v>0</v>
      </c>
      <c r="S504" s="839">
        <f>S307 + S283</f>
        <v>159197</v>
      </c>
      <c r="T504" s="839">
        <f>T307 + T283</f>
        <v>151459</v>
      </c>
      <c r="U504" s="839">
        <f>U307 + U283</f>
        <v>163469</v>
      </c>
      <c r="V504" s="839">
        <f>V307 + V283</f>
        <v>165125</v>
      </c>
      <c r="W504" s="839">
        <f>W307 + W283</f>
        <v>166082</v>
      </c>
      <c r="X504" s="839">
        <f>X307 + X283</f>
        <v>165230</v>
      </c>
      <c r="Y504" s="839">
        <f>Y307 + Y283</f>
        <v>169374</v>
      </c>
      <c r="Z504" s="839">
        <f>Z307 + Z283</f>
        <v>169680</v>
      </c>
      <c r="AA504" s="839">
        <f>AA307 + AA283</f>
        <v>171396</v>
      </c>
      <c r="AB504" s="839">
        <f>AB307 + AB283</f>
        <v>170687</v>
      </c>
      <c r="AC504" s="841">
        <f>AC307 + AC283</f>
        <v>173381</v>
      </c>
      <c r="AD504" s="841">
        <f>AD307 + AD283</f>
        <v>171249</v>
      </c>
      <c r="AE504" s="841">
        <f>AE307 + AE283</f>
        <v>171769</v>
      </c>
      <c r="AF504" s="841">
        <f>AF307 + AF283</f>
        <v>172445</v>
      </c>
      <c r="AG504" s="841">
        <f>AG307 + AG283</f>
        <v>169613</v>
      </c>
      <c r="AH504" s="841">
        <f>AH307 + AH283</f>
        <v>166430</v>
      </c>
      <c r="AI504" s="841">
        <f>AI307 + AI283</f>
        <v>164381</v>
      </c>
      <c r="AJ504" s="841">
        <f>AJ307 + AJ283</f>
        <v>163021</v>
      </c>
      <c r="AK504" s="841">
        <f>AK307 + AK283</f>
        <v>163393</v>
      </c>
      <c r="AL504" s="841">
        <f>AL307 + AL283</f>
        <v>165816</v>
      </c>
      <c r="AM504" s="841">
        <f>AM307 + AM283</f>
        <v>165186</v>
      </c>
      <c r="AN504" s="841">
        <f>AN307 + AN283</f>
        <v>163485</v>
      </c>
      <c r="AO504" s="841">
        <f>AO307 + AO283</f>
        <v>162964</v>
      </c>
      <c r="AP504" s="841">
        <f>AP307 + AP283</f>
        <v>161462</v>
      </c>
    </row>
    <row r="505" hidden="1" ht="12.75" customHeight="1">
      <c r="B505" s="842" t="s">
        <v>17</v>
      </c>
      <c r="C505" s="839">
        <f>C308 + C284</f>
        <v>437831</v>
      </c>
      <c r="D505" s="839">
        <f>D308 + D284</f>
        <v>446388</v>
      </c>
      <c r="E505" s="839">
        <f>E308 + E284</f>
        <v>441478</v>
      </c>
      <c r="F505" s="839">
        <f>F308 + F284</f>
        <v>444340</v>
      </c>
      <c r="G505" s="839">
        <f>G308 + G284</f>
        <v>441597</v>
      </c>
      <c r="H505" s="839">
        <f>H308 + H284</f>
        <v>439792</v>
      </c>
      <c r="I505" s="839">
        <f>I308 + I284</f>
        <v>439098</v>
      </c>
      <c r="J505" s="839">
        <f>J308 + J284</f>
        <v>442170</v>
      </c>
      <c r="K505" s="839">
        <f>K308 + K284</f>
        <v>441614</v>
      </c>
      <c r="L505" s="839">
        <f>L308 + L284</f>
        <v>441453</v>
      </c>
      <c r="M505" s="839">
        <f>M308 + M284</f>
        <v>435395</v>
      </c>
      <c r="N505" s="839">
        <f>N308 + N284</f>
        <v>432555</v>
      </c>
      <c r="O505" s="839">
        <f>O308 + O284</f>
        <v>424460</v>
      </c>
      <c r="P505" s="839">
        <f>P308 + P284</f>
        <v>427416</v>
      </c>
      <c r="Q505" s="839">
        <f>Q308 + Q284</f>
        <v>428252</v>
      </c>
      <c r="R505" s="839">
        <f>R308 + R284</f>
        <v>437952</v>
      </c>
      <c r="S505" s="839">
        <f>S308 + S284</f>
        <v>441068</v>
      </c>
      <c r="T505" s="839">
        <f>T308 + T284</f>
        <v>458889</v>
      </c>
      <c r="U505" s="839">
        <f>U308 + U284</f>
        <v>456913</v>
      </c>
      <c r="V505" s="839">
        <f>V308 + V284</f>
        <v>463990</v>
      </c>
      <c r="W505" s="839">
        <f>W308 + W284</f>
        <v>477849</v>
      </c>
      <c r="X505" s="839">
        <f>X308 + X284</f>
        <v>488773</v>
      </c>
      <c r="Y505" s="839">
        <f>Y308 + Y284</f>
        <v>487290</v>
      </c>
      <c r="Z505" s="839">
        <f>Z308 + Z284</f>
        <v>498656</v>
      </c>
      <c r="AA505" s="839">
        <f>AA308 + AA284</f>
        <v>502845</v>
      </c>
      <c r="AB505" s="839">
        <f>AB308 + AB284</f>
        <v>518246</v>
      </c>
      <c r="AC505" s="841">
        <f>AC308 + AC284</f>
        <v>509398</v>
      </c>
      <c r="AD505" s="841">
        <f>AD308 + AD284</f>
        <v>523146</v>
      </c>
      <c r="AE505" s="841">
        <f>AE308 + AE284</f>
        <v>523896</v>
      </c>
      <c r="AF505" s="841">
        <f>AF308 + AF284</f>
        <v>535697</v>
      </c>
      <c r="AG505" s="841">
        <f>AG308 + AG284</f>
        <v>523236</v>
      </c>
      <c r="AH505" s="841">
        <f>AH308 + AH284</f>
        <v>541292</v>
      </c>
      <c r="AI505" s="841">
        <f>AI308 + AI284</f>
        <v>518198</v>
      </c>
      <c r="AJ505" s="841">
        <f>AJ308 + AJ284</f>
        <v>528333</v>
      </c>
      <c r="AK505" s="841">
        <f>AK308 + AK284</f>
        <v>505115</v>
      </c>
      <c r="AL505" s="841">
        <f>AL308 + AL284</f>
        <v>514646</v>
      </c>
      <c r="AM505" s="841">
        <f>AM308 + AM284</f>
        <v>495904</v>
      </c>
      <c r="AN505" s="841">
        <f>AN308 + AN284</f>
        <v>510479</v>
      </c>
      <c r="AO505" s="841">
        <f>AO308 + AO284</f>
        <v>493675</v>
      </c>
      <c r="AP505" s="841">
        <f>AP308 + AP284</f>
        <v>514702</v>
      </c>
    </row>
    <row r="506" hidden="1" ht="12.75" customHeight="1">
      <c r="B506" s="842" t="s">
        <v>18</v>
      </c>
      <c r="C506" s="839">
        <f>C309 + C285</f>
        <v>607520</v>
      </c>
      <c r="D506" s="839">
        <f>D309 + D285</f>
        <v>586676</v>
      </c>
      <c r="E506" s="839">
        <f>E309 + E285</f>
        <v>582904</v>
      </c>
      <c r="F506" s="839">
        <f>F309 + F285</f>
        <v>579314</v>
      </c>
      <c r="G506" s="839">
        <f>G309 + G285</f>
        <v>600462</v>
      </c>
      <c r="H506" s="839">
        <f>H309 + H285</f>
        <v>580549</v>
      </c>
      <c r="I506" s="839">
        <f>I309 + I285</f>
        <v>580519</v>
      </c>
      <c r="J506" s="839">
        <f>J309 + J285</f>
        <v>564750</v>
      </c>
      <c r="K506" s="839">
        <f>K309 + K285</f>
        <v>567805</v>
      </c>
      <c r="L506" s="839">
        <f>L309 + L285</f>
        <v>560236</v>
      </c>
      <c r="M506" s="839">
        <f>M309 + M285</f>
        <v>564264</v>
      </c>
      <c r="N506" s="839">
        <f>N309 + N285</f>
        <v>557618</v>
      </c>
      <c r="O506" s="839">
        <f>O309 + O285</f>
        <v>559043</v>
      </c>
      <c r="P506" s="839">
        <f>P309 + P285</f>
        <v>552236</v>
      </c>
      <c r="Q506" s="839">
        <f>Q309 + Q285</f>
        <v>559475</v>
      </c>
      <c r="R506" s="839">
        <f>R309 + R285</f>
        <v>555240</v>
      </c>
      <c r="S506" s="839">
        <f>S309 + S285</f>
        <v>567399</v>
      </c>
      <c r="T506" s="839">
        <f>T309 + T285</f>
        <v>563061</v>
      </c>
      <c r="U506" s="839">
        <f>U309 + U285</f>
        <v>564953</v>
      </c>
      <c r="V506" s="839">
        <f>V309 + V285</f>
        <v>559752</v>
      </c>
      <c r="W506" s="839">
        <f>W309 + W285</f>
        <v>561189</v>
      </c>
      <c r="X506" s="839">
        <f>X309 + X285</f>
        <v>551788</v>
      </c>
      <c r="Y506" s="839">
        <f>Y309 + Y285</f>
        <v>560422</v>
      </c>
      <c r="Z506" s="839">
        <f>Z309 + Z285</f>
        <v>553925</v>
      </c>
      <c r="AA506" s="839">
        <f>AA309 + AA285</f>
        <v>554480</v>
      </c>
      <c r="AB506" s="839">
        <f>AB309 + AB285</f>
        <v>547564</v>
      </c>
      <c r="AC506" s="841">
        <f>AC309 + AC285</f>
        <v>551375</v>
      </c>
      <c r="AD506" s="841">
        <f>AD309 + AD285</f>
        <v>546634</v>
      </c>
      <c r="AE506" s="841">
        <f>AE309 + AE285</f>
        <v>555033</v>
      </c>
      <c r="AF506" s="841">
        <f>AF309 + AF285</f>
        <v>548459</v>
      </c>
      <c r="AG506" s="841">
        <f>AG309 + AG285</f>
        <v>552428</v>
      </c>
      <c r="AH506" s="841">
        <f>AH309 + AH285</f>
        <v>544993</v>
      </c>
      <c r="AI506" s="841">
        <f>AI309 + AI285</f>
        <v>547619</v>
      </c>
      <c r="AJ506" s="841">
        <f>AJ309 + AJ285</f>
        <v>540429</v>
      </c>
      <c r="AK506" s="841">
        <f>AK309 + AK285</f>
        <v>544885</v>
      </c>
      <c r="AL506" s="841">
        <f>AL309 + AL285</f>
        <v>541892</v>
      </c>
      <c r="AM506" s="841">
        <f>AM309 + AM285</f>
        <v>542068</v>
      </c>
      <c r="AN506" s="841">
        <f>AN309 + AN285</f>
        <v>533973</v>
      </c>
      <c r="AO506" s="841">
        <f>AO309 + AO285</f>
        <v>530968</v>
      </c>
      <c r="AP506" s="841">
        <f>AP309 + AP285</f>
        <v>528818</v>
      </c>
    </row>
    <row r="507" hidden="1" ht="12.75" customHeight="1">
      <c r="B507" s="842" t="s">
        <v>19</v>
      </c>
      <c r="C507" s="839">
        <f>C310 + C286</f>
        <v>53696</v>
      </c>
      <c r="D507" s="839">
        <f>D310 + D286</f>
        <v>53568</v>
      </c>
      <c r="E507" s="839">
        <f>E310 + E286</f>
        <v>52142</v>
      </c>
      <c r="F507" s="839">
        <f>F310 + F286</f>
        <v>51485</v>
      </c>
      <c r="G507" s="839">
        <f>G310 + G286</f>
        <v>55049</v>
      </c>
      <c r="H507" s="839">
        <f>H310 + H286</f>
        <v>55361</v>
      </c>
      <c r="I507" s="839">
        <f>I310 + I286</f>
        <v>53880</v>
      </c>
      <c r="J507" s="839">
        <f>J310 + J286</f>
        <v>52846</v>
      </c>
      <c r="K507" s="839">
        <f>K310 + K286</f>
        <v>53162</v>
      </c>
      <c r="L507" s="839">
        <f>L310 + L286</f>
        <v>51322</v>
      </c>
      <c r="M507" s="839">
        <f>M310 + M286</f>
        <v>47447</v>
      </c>
      <c r="N507" s="839">
        <f>N310 + N286</f>
        <v>45654</v>
      </c>
      <c r="O507" s="839">
        <f>O310 + O286</f>
        <v>45530</v>
      </c>
      <c r="P507" s="839">
        <f>P310 + P286</f>
        <v>44215</v>
      </c>
      <c r="Q507" s="839">
        <f>Q310 + Q286</f>
        <v>44461</v>
      </c>
      <c r="R507" s="839">
        <f>R310 + R286</f>
        <v>44392</v>
      </c>
      <c r="S507" s="839">
        <f>S310 + S286</f>
        <v>45330</v>
      </c>
      <c r="T507" s="839">
        <f>T310 + T286</f>
        <v>45354</v>
      </c>
      <c r="U507" s="839">
        <f>U310 + U286</f>
        <v>46273</v>
      </c>
      <c r="V507" s="839">
        <f>V310 + V286</f>
        <v>46423</v>
      </c>
      <c r="W507" s="839">
        <f>W310 + W286</f>
        <v>47669</v>
      </c>
      <c r="X507" s="839">
        <f>X310 + X286</f>
        <v>47125</v>
      </c>
      <c r="Y507" s="839">
        <f>Y310 + Y286</f>
        <v>47778</v>
      </c>
      <c r="Z507" s="839">
        <f>Z310 + Z286</f>
        <v>49304</v>
      </c>
      <c r="AA507" s="839">
        <f>AA310 + AA286</f>
        <v>49144</v>
      </c>
      <c r="AB507" s="839">
        <f>AB310 + AB286</f>
        <v>48886</v>
      </c>
      <c r="AC507" s="841">
        <f>AC310 + AC286</f>
        <v>49088</v>
      </c>
      <c r="AD507" s="841">
        <f>AD310 + AD286</f>
        <v>48350</v>
      </c>
      <c r="AE507" s="841">
        <f>AE310 + AE286</f>
        <v>49964</v>
      </c>
      <c r="AF507" s="841">
        <f>AF310 + AF286</f>
        <v>48963</v>
      </c>
      <c r="AG507" s="841">
        <f>AG310 + AG286</f>
        <v>47714</v>
      </c>
      <c r="AH507" s="841">
        <f>AH310 + AH286</f>
        <v>51692</v>
      </c>
      <c r="AI507" s="841">
        <f>AI310 + AI286</f>
        <v>51289</v>
      </c>
      <c r="AJ507" s="841">
        <f>AJ310 + AJ286</f>
        <v>48036</v>
      </c>
      <c r="AK507" s="841">
        <f>AK310 + AK286</f>
        <v>47121</v>
      </c>
      <c r="AL507" s="841">
        <f>AL310 + AL286</f>
        <v>47538</v>
      </c>
      <c r="AM507" s="841">
        <f>AM310 + AM286</f>
        <v>52327</v>
      </c>
      <c r="AN507" s="841">
        <f>AN310 + AN286</f>
        <v>47679</v>
      </c>
      <c r="AO507" s="841">
        <f>AO310 + AO286</f>
        <v>46291</v>
      </c>
      <c r="AP507" s="841">
        <f>AP310 + AP286</f>
        <v>45459</v>
      </c>
    </row>
    <row r="508" hidden="1" ht="12.75" customHeight="1">
      <c r="B508" s="842" t="s">
        <v>20</v>
      </c>
      <c r="C508" s="839">
        <f>C311 + C287</f>
        <v>11431</v>
      </c>
      <c r="D508" s="839">
        <f>D311 + D287</f>
        <v>10899</v>
      </c>
      <c r="E508" s="839">
        <f>E311 + E287</f>
        <v>9541</v>
      </c>
      <c r="F508" s="839">
        <f>F311 + F287</f>
        <v>9766</v>
      </c>
      <c r="G508" s="839">
        <f>G311 + G287</f>
        <v>8688</v>
      </c>
      <c r="H508" s="839">
        <f>H311 + H287</f>
        <v>8456</v>
      </c>
      <c r="I508" s="839">
        <f>I311 + I287</f>
        <v>8469</v>
      </c>
      <c r="J508" s="839">
        <f>J311 + J287</f>
        <v>8419</v>
      </c>
      <c r="K508" s="839">
        <f>K311 + K287</f>
        <v>8428</v>
      </c>
      <c r="L508" s="839">
        <f>L311 + L287</f>
        <v>8591</v>
      </c>
      <c r="M508" s="839">
        <f>M311 + M287</f>
        <v>8058</v>
      </c>
      <c r="N508" s="839">
        <f>N311 + N287</f>
        <v>8428</v>
      </c>
      <c r="O508" s="839">
        <f>O311 + O287</f>
        <v>8269</v>
      </c>
      <c r="P508" s="839">
        <f>P311 + P287</f>
        <v>8143</v>
      </c>
      <c r="Q508" s="839">
        <f>Q311 + Q287</f>
        <v>8062</v>
      </c>
      <c r="R508" s="839">
        <f>R311 + R287</f>
        <v>8505</v>
      </c>
      <c r="S508" s="839">
        <f>S311 + S287</f>
        <v>8751</v>
      </c>
      <c r="T508" s="839">
        <f>T311 + T287</f>
        <v>9019</v>
      </c>
      <c r="U508" s="839">
        <f>U311 + U287</f>
        <v>9674</v>
      </c>
      <c r="V508" s="839">
        <f>V311 + V287</f>
        <v>10020</v>
      </c>
      <c r="W508" s="839">
        <f>W311 + W287</f>
        <v>10818</v>
      </c>
      <c r="X508" s="839">
        <f>X311 + X287</f>
        <v>11244</v>
      </c>
      <c r="Y508" s="839">
        <f>Y311 + Y287</f>
        <v>11263</v>
      </c>
      <c r="Z508" s="839">
        <f>Z311 + Z287</f>
        <v>11052</v>
      </c>
      <c r="AA508" s="839">
        <f>AA311 + AA287</f>
        <v>11679</v>
      </c>
      <c r="AB508" s="839">
        <f>AB311 + AB287</f>
        <v>11721</v>
      </c>
      <c r="AC508" s="841">
        <f>AC311 + AC287</f>
        <v>11671</v>
      </c>
      <c r="AD508" s="841">
        <f>AD311 + AD287</f>
        <v>11636</v>
      </c>
      <c r="AE508" s="841">
        <f>AE311 + AE287</f>
        <v>11729</v>
      </c>
      <c r="AF508" s="841">
        <f>AF311 + AF287</f>
        <v>11565</v>
      </c>
      <c r="AG508" s="841">
        <f>AG311 + AG287</f>
        <v>11540</v>
      </c>
      <c r="AH508" s="841">
        <f>AH311 + AH287</f>
        <v>11142</v>
      </c>
      <c r="AI508" s="841">
        <f>AI311 + AI287</f>
        <v>11034</v>
      </c>
      <c r="AJ508" s="841">
        <f>AJ311 + AJ287</f>
        <v>11065</v>
      </c>
      <c r="AK508" s="841">
        <f>AK311 + AK287</f>
        <v>10789</v>
      </c>
      <c r="AL508" s="841">
        <f>AL311 + AL287</f>
        <v>11013</v>
      </c>
      <c r="AM508" s="841">
        <f>AM311 + AM287</f>
        <v>8958</v>
      </c>
      <c r="AN508" s="841">
        <f>AN311 + AN287</f>
        <v>9074</v>
      </c>
      <c r="AO508" s="841">
        <f>AO311 + AO287</f>
        <v>9252</v>
      </c>
      <c r="AP508" s="841">
        <f>AP311 + AP287</f>
        <v>9270</v>
      </c>
    </row>
    <row r="509" hidden="1" ht="12.75" customHeight="1">
      <c r="B509" s="842" t="s">
        <v>21</v>
      </c>
      <c r="C509" s="839">
        <f>C312 + C288</f>
        <v>55679</v>
      </c>
      <c r="D509" s="839">
        <f>D312 + D288</f>
        <v>55104</v>
      </c>
      <c r="E509" s="839">
        <f>E312 + E288</f>
        <v>55323</v>
      </c>
      <c r="F509" s="839">
        <f>F312 + F288</f>
        <v>55530</v>
      </c>
      <c r="G509" s="839">
        <f>G312 + G288</f>
        <v>56465</v>
      </c>
      <c r="H509" s="839">
        <f>H312 + H288</f>
        <v>55671</v>
      </c>
      <c r="I509" s="839">
        <f>I312 + I288</f>
        <v>55262</v>
      </c>
      <c r="J509" s="839">
        <f>J312 + J288</f>
        <v>54887</v>
      </c>
      <c r="K509" s="839">
        <f>K312 + K288</f>
        <v>56626</v>
      </c>
      <c r="L509" s="839">
        <f>L312 + L288</f>
        <v>56502</v>
      </c>
      <c r="M509" s="839">
        <f>M312 + M288</f>
        <v>57295</v>
      </c>
      <c r="N509" s="839">
        <f>N312 + N288</f>
        <v>56900</v>
      </c>
      <c r="O509" s="839">
        <f>O312 + O288</f>
        <v>57514</v>
      </c>
      <c r="P509" s="839">
        <f>P312 + P288</f>
        <v>56636</v>
      </c>
      <c r="Q509" s="839">
        <f>Q312 + Q288</f>
        <v>56944</v>
      </c>
      <c r="R509" s="839">
        <f>R312 + R288</f>
        <v>56495</v>
      </c>
      <c r="S509" s="839">
        <f>S312 + S288</f>
        <v>57879</v>
      </c>
      <c r="T509" s="839">
        <f>T312 + T288</f>
        <v>57406</v>
      </c>
      <c r="U509" s="839">
        <f>U312 + U288</f>
        <v>58293</v>
      </c>
      <c r="V509" s="839">
        <f>V312 + V288</f>
        <v>58336</v>
      </c>
      <c r="W509" s="839">
        <f>W312 + W288</f>
        <v>57738</v>
      </c>
      <c r="X509" s="839">
        <f>X312 + X288</f>
        <v>56605</v>
      </c>
      <c r="Y509" s="839">
        <f>Y312 + Y288</f>
        <v>57306</v>
      </c>
      <c r="Z509" s="839">
        <f>Z312 + Z288</f>
        <v>57790</v>
      </c>
      <c r="AA509" s="839">
        <f>AA312 + AA288</f>
        <v>59102</v>
      </c>
      <c r="AB509" s="839">
        <f>AB312 + AB288</f>
        <v>58536</v>
      </c>
      <c r="AC509" s="841">
        <f>AC312 + AC288</f>
        <v>58875</v>
      </c>
      <c r="AD509" s="841">
        <f>AD312 + AD288</f>
        <v>58076</v>
      </c>
      <c r="AE509" s="841">
        <f>AE312 + AE288</f>
        <v>58750</v>
      </c>
      <c r="AF509" s="841">
        <f>AF312 + AF288</f>
        <v>57847</v>
      </c>
      <c r="AG509" s="841">
        <f>AG312 + AG288</f>
        <v>58889</v>
      </c>
      <c r="AH509" s="841">
        <f>AH312 + AH288</f>
        <v>57545</v>
      </c>
      <c r="AI509" s="841">
        <f>AI312 + AI288</f>
        <v>57938</v>
      </c>
      <c r="AJ509" s="841">
        <f>AJ312 + AJ288</f>
        <v>56389</v>
      </c>
      <c r="AK509" s="841">
        <f>AK312 + AK288</f>
        <v>57787</v>
      </c>
      <c r="AL509" s="841">
        <f>AL312 + AL288</f>
        <v>57226</v>
      </c>
      <c r="AM509" s="841">
        <f>AM312 + AM288</f>
        <v>57738</v>
      </c>
      <c r="AN509" s="841">
        <f>AN312 + AN288</f>
        <v>56793</v>
      </c>
      <c r="AO509" s="841">
        <f>AO312 + AO288</f>
        <v>57071</v>
      </c>
      <c r="AP509" s="841">
        <f>AP312 + AP288</f>
        <v>56015</v>
      </c>
    </row>
    <row r="510" hidden="1" ht="12.75" customHeight="1">
      <c r="B510" s="842" t="s">
        <v>22</v>
      </c>
      <c r="C510" s="839">
        <f>C313 + C289</f>
        <v>86773</v>
      </c>
      <c r="D510" s="839">
        <f>D313 + D289</f>
        <v>85849</v>
      </c>
      <c r="E510" s="839">
        <f>E313 + E289</f>
        <v>86265</v>
      </c>
      <c r="F510" s="839">
        <f>F313 + F289</f>
        <v>85308</v>
      </c>
      <c r="G510" s="839">
        <f>G313 + G289</f>
        <v>92026</v>
      </c>
      <c r="H510" s="839">
        <f>H313 + H289</f>
        <v>93663</v>
      </c>
      <c r="I510" s="839">
        <f>I313 + I289</f>
        <v>87309</v>
      </c>
      <c r="J510" s="839">
        <f>J313 + J289</f>
        <v>86100</v>
      </c>
      <c r="K510" s="839">
        <f>K313 + K289</f>
        <v>87088</v>
      </c>
      <c r="L510" s="839">
        <f>L313 + L289</f>
        <v>85297</v>
      </c>
      <c r="M510" s="839">
        <f>M313 + M289</f>
        <v>85139</v>
      </c>
      <c r="N510" s="839">
        <f>N313 + N289</f>
        <v>83104</v>
      </c>
      <c r="O510" s="839">
        <f>O313 + O289</f>
        <v>83032</v>
      </c>
      <c r="P510" s="839">
        <f>P313 + P289</f>
        <v>80734</v>
      </c>
      <c r="Q510" s="839">
        <f>Q313 + Q289</f>
        <v>78178</v>
      </c>
      <c r="R510" s="839">
        <f>R313 + R289</f>
        <v>77110</v>
      </c>
      <c r="S510" s="839">
        <f>S313 + S289</f>
        <v>79462</v>
      </c>
      <c r="T510" s="839">
        <f>T313 + T289</f>
        <v>77748</v>
      </c>
      <c r="U510" s="839">
        <f>U313 + U289</f>
        <v>76463</v>
      </c>
      <c r="V510" s="839">
        <f>V313 + V289</f>
        <v>76376</v>
      </c>
      <c r="W510" s="839">
        <f>W313 + W289</f>
        <v>76723</v>
      </c>
      <c r="X510" s="839">
        <f>X313 + X289</f>
        <v>75569</v>
      </c>
      <c r="Y510" s="839">
        <f>Y313 + Y289</f>
        <v>77045</v>
      </c>
      <c r="Z510" s="839">
        <f>Z313 + Z289</f>
        <v>75770</v>
      </c>
      <c r="AA510" s="839">
        <f>AA313 + AA289</f>
        <v>76079</v>
      </c>
      <c r="AB510" s="839">
        <f>AB313 + AB289</f>
        <v>74818</v>
      </c>
      <c r="AC510" s="841">
        <f>AC313 + AC289</f>
        <v>75566</v>
      </c>
      <c r="AD510" s="841">
        <f>AD313 + AD289</f>
        <v>74625</v>
      </c>
      <c r="AE510" s="841">
        <f>AE313 + AE289</f>
        <v>76070</v>
      </c>
      <c r="AF510" s="841">
        <f>AF313 + AF289</f>
        <v>75511</v>
      </c>
      <c r="AG510" s="841">
        <f>AG313 + AG289</f>
        <v>75594</v>
      </c>
      <c r="AH510" s="841">
        <f>AH313 + AH289</f>
        <v>73511</v>
      </c>
      <c r="AI510" s="841">
        <f>AI313 + AI289</f>
        <v>73019</v>
      </c>
      <c r="AJ510" s="841">
        <f>AJ313 + AJ289</f>
        <v>69941</v>
      </c>
      <c r="AK510" s="841">
        <f>AK313 + AK289</f>
        <v>70837</v>
      </c>
      <c r="AL510" s="841">
        <f>AL313 + AL289</f>
        <v>68527</v>
      </c>
      <c r="AM510" s="841">
        <f>AM313 + AM289</f>
        <v>69203</v>
      </c>
      <c r="AN510" s="841">
        <f>AN313 + AN289</f>
        <v>67502</v>
      </c>
      <c r="AO510" s="841">
        <f>AO313 + AO289</f>
        <v>67980</v>
      </c>
      <c r="AP510" s="841">
        <f>AP313 + AP289</f>
        <v>66431</v>
      </c>
    </row>
    <row r="511" hidden="1" ht="12.75" customHeight="1">
      <c r="B511" s="842" t="s">
        <v>23</v>
      </c>
      <c r="C511" s="839">
        <f>C314 + C290</f>
        <v>20535</v>
      </c>
      <c r="D511" s="839">
        <f>D314 + D290</f>
        <v>20134</v>
      </c>
      <c r="E511" s="839">
        <f>E314 + E290</f>
        <v>19757</v>
      </c>
      <c r="F511" s="839">
        <f>F314 + F290</f>
        <v>18820</v>
      </c>
      <c r="G511" s="839">
        <f>G314 + G290</f>
        <v>18639</v>
      </c>
      <c r="H511" s="839">
        <f>H314 + H290</f>
        <v>18417</v>
      </c>
      <c r="I511" s="839">
        <f>I314 + I290</f>
        <v>18603</v>
      </c>
      <c r="J511" s="839">
        <f>J314 + J290</f>
        <v>18646</v>
      </c>
      <c r="K511" s="839">
        <f>K314 + K290</f>
        <v>18924</v>
      </c>
      <c r="L511" s="839">
        <f>L314 + L290</f>
        <v>18690</v>
      </c>
      <c r="M511" s="839">
        <f>M314 + M290</f>
        <v>19214</v>
      </c>
      <c r="N511" s="839">
        <f>N314 + N290</f>
        <v>18410</v>
      </c>
      <c r="O511" s="839">
        <f>O314 + O290</f>
        <v>18966</v>
      </c>
      <c r="P511" s="839">
        <f>P314 + P290</f>
        <v>18427</v>
      </c>
      <c r="Q511" s="839">
        <f>Q314 + Q290</f>
        <v>18908</v>
      </c>
      <c r="R511" s="839">
        <f>R314 + R290</f>
        <v>18728</v>
      </c>
      <c r="S511" s="839">
        <f>S314 + S290</f>
        <v>19922</v>
      </c>
      <c r="T511" s="839">
        <f>T314 + T290</f>
        <v>18993</v>
      </c>
      <c r="U511" s="839">
        <f>U314 + U290</f>
        <v>19901</v>
      </c>
      <c r="V511" s="839">
        <f>V314 + V290</f>
        <v>18790</v>
      </c>
      <c r="W511" s="839">
        <f>W314 + W290</f>
        <v>19483</v>
      </c>
      <c r="X511" s="839">
        <f>X314 + X290</f>
        <v>18649</v>
      </c>
      <c r="Y511" s="839">
        <f>Y314 + Y290</f>
        <v>19558</v>
      </c>
      <c r="Z511" s="839">
        <f>Z314 + Z290</f>
        <v>19049</v>
      </c>
      <c r="AA511" s="839">
        <f>AA314 + AA290</f>
        <v>19727</v>
      </c>
      <c r="AB511" s="839">
        <f>AB314 + AB290</f>
        <v>19018</v>
      </c>
      <c r="AC511" s="841">
        <f>AC314 + AC290</f>
        <v>20011</v>
      </c>
      <c r="AD511" s="841">
        <f>AD314 + AD290</f>
        <v>19138</v>
      </c>
      <c r="AE511" s="841">
        <f>AE314 + AE290</f>
        <v>20044</v>
      </c>
      <c r="AF511" s="841">
        <f>AF314 + AF290</f>
        <v>19527</v>
      </c>
      <c r="AG511" s="841">
        <f>AG314 + AG290</f>
        <v>20578</v>
      </c>
      <c r="AH511" s="841">
        <f>AH314 + AH290</f>
        <v>19248</v>
      </c>
      <c r="AI511" s="841">
        <f>AI314 + AI290</f>
        <v>19450</v>
      </c>
      <c r="AJ511" s="841">
        <f>AJ314 + AJ290</f>
        <v>18181</v>
      </c>
      <c r="AK511" s="841">
        <f>AK314 + AK290</f>
        <v>18576</v>
      </c>
      <c r="AL511" s="841">
        <f>AL314 + AL290</f>
        <v>17060</v>
      </c>
      <c r="AM511" s="841">
        <f>AM314 + AM290</f>
        <v>17416</v>
      </c>
      <c r="AN511" s="841">
        <f>AN314 + AN290</f>
        <v>16017</v>
      </c>
      <c r="AO511" s="841">
        <f>AO314 + AO290</f>
        <v>16245</v>
      </c>
      <c r="AP511" s="841">
        <f>AP314 + AP290</f>
        <v>15221</v>
      </c>
    </row>
    <row r="512" hidden="1" ht="12.75" customHeight="1">
      <c r="B512" s="843" t="s">
        <v>24</v>
      </c>
      <c r="C512" s="839">
        <f>C315 + C291</f>
        <v>21489</v>
      </c>
      <c r="D512" s="839">
        <f>D315 + D291</f>
        <v>20965</v>
      </c>
      <c r="E512" s="839">
        <f>E315 + E291</f>
        <v>20903</v>
      </c>
      <c r="F512" s="839">
        <f>F315 + F291</f>
        <v>20400</v>
      </c>
      <c r="G512" s="839">
        <f>G315 + G291</f>
        <v>19219</v>
      </c>
      <c r="H512" s="839">
        <f>H315 + H291</f>
        <v>20579</v>
      </c>
      <c r="I512" s="839">
        <f>I315 + I291</f>
        <v>21327</v>
      </c>
      <c r="J512" s="839">
        <f>J315 + J291</f>
        <v>21384</v>
      </c>
      <c r="K512" s="839">
        <f>K315 + K291</f>
        <v>20977</v>
      </c>
      <c r="L512" s="839">
        <f>L315 + L291</f>
        <v>20687</v>
      </c>
      <c r="M512" s="839">
        <f>M315 + M291</f>
        <v>19477</v>
      </c>
      <c r="N512" s="839">
        <f>N315 + N291</f>
        <v>19071</v>
      </c>
      <c r="O512" s="839">
        <f>O315 + O291</f>
        <v>19006</v>
      </c>
      <c r="P512" s="839">
        <f>P315 + P291</f>
        <v>18469</v>
      </c>
      <c r="Q512" s="839">
        <f>Q315 + Q291</f>
        <v>19095</v>
      </c>
      <c r="R512" s="839">
        <f>R315 + R291</f>
        <v>19408</v>
      </c>
      <c r="S512" s="839">
        <f>S315 + S291</f>
        <v>20033</v>
      </c>
      <c r="T512" s="839">
        <f>T315 + T291</f>
        <v>19018</v>
      </c>
      <c r="U512" s="839">
        <f>U315 + U291</f>
        <v>19446</v>
      </c>
      <c r="V512" s="839">
        <f>V315 + V291</f>
        <v>19630</v>
      </c>
      <c r="W512" s="839">
        <f>W315 + W291</f>
        <v>19782</v>
      </c>
      <c r="X512" s="839">
        <f>X315 + X291</f>
        <v>19897</v>
      </c>
      <c r="Y512" s="839">
        <f>Y315 + Y291</f>
        <v>20458</v>
      </c>
      <c r="Z512" s="839">
        <f>Z315 + Z291</f>
        <v>20290</v>
      </c>
      <c r="AA512" s="839">
        <f>AA315 + AA291</f>
        <v>20691</v>
      </c>
      <c r="AB512" s="839">
        <f>AB315 + AB291</f>
        <v>20440</v>
      </c>
      <c r="AC512" s="841">
        <f>AC315 + AC291</f>
        <v>20728</v>
      </c>
      <c r="AD512" s="841">
        <f>AD315 + AD291</f>
        <v>21105</v>
      </c>
      <c r="AE512" s="841">
        <f>AE315 + AE291</f>
        <v>20601</v>
      </c>
      <c r="AF512" s="841">
        <f>AF315 + AF291</f>
        <v>20629</v>
      </c>
      <c r="AG512" s="841">
        <f>AG315 + AG291</f>
        <v>20811</v>
      </c>
      <c r="AH512" s="841">
        <f>AH315 + AH291</f>
        <v>20893</v>
      </c>
      <c r="AI512" s="841">
        <f>AI315 + AI291</f>
        <v>20420</v>
      </c>
      <c r="AJ512" s="841">
        <f>AJ315 + AJ291</f>
        <v>20776</v>
      </c>
      <c r="AK512" s="841">
        <f>AK315 + AK291</f>
        <v>20968</v>
      </c>
      <c r="AL512" s="841">
        <f>AL315 + AL291</f>
        <v>21106</v>
      </c>
      <c r="AM512" s="841">
        <f>AM315 + AM291</f>
        <v>21138</v>
      </c>
      <c r="AN512" s="841">
        <f>AN315 + AN291</f>
        <v>20912</v>
      </c>
      <c r="AO512" s="841">
        <f>AO315 + AO291</f>
        <v>20672</v>
      </c>
      <c r="AP512" s="841">
        <f>AP315 + AP291</f>
        <v>20614</v>
      </c>
    </row>
    <row r="513" hidden="1" ht="12.75" customHeight="1">
      <c r="B513" s="842" t="s">
        <v>25</v>
      </c>
      <c r="C513" s="839">
        <f>C316 + C292</f>
        <v>0</v>
      </c>
      <c r="D513" s="839">
        <f>D316 + D292</f>
        <v>0</v>
      </c>
      <c r="E513" s="839">
        <f>E316 + E292</f>
        <v>0</v>
      </c>
      <c r="F513" s="839">
        <f>F316 + F292</f>
        <v>0</v>
      </c>
      <c r="G513" s="839">
        <f>G316 + G292</f>
        <v>0</v>
      </c>
      <c r="H513" s="839">
        <f>H316 + H292</f>
        <v>0</v>
      </c>
      <c r="I513" s="839">
        <f>I316 + I292</f>
        <v>0</v>
      </c>
      <c r="J513" s="839">
        <f>J316 + J292</f>
        <v>0</v>
      </c>
      <c r="K513" s="839">
        <f>K316 + K292</f>
        <v>0</v>
      </c>
      <c r="L513" s="839">
        <f>L316 + L292</f>
        <v>0</v>
      </c>
      <c r="M513" s="839">
        <f>M316 + M292</f>
        <v>0</v>
      </c>
      <c r="N513" s="839">
        <f>N316 + N292</f>
        <v>0</v>
      </c>
      <c r="O513" s="839">
        <f>O316 + O292</f>
        <v>0</v>
      </c>
      <c r="P513" s="839">
        <f>P316 + P292</f>
        <v>0</v>
      </c>
      <c r="Q513" s="839">
        <f>Q316 + Q292</f>
        <v>0</v>
      </c>
      <c r="R513" s="839">
        <f>R316 + R292</f>
        <v>0</v>
      </c>
      <c r="S513" s="839">
        <f>S316 + S292</f>
        <v>0</v>
      </c>
      <c r="T513" s="839">
        <f>T316 + T292</f>
        <v>0</v>
      </c>
      <c r="U513" s="839">
        <f>U316 + U292</f>
        <v>0</v>
      </c>
      <c r="V513" s="839">
        <f>V316 + V292</f>
        <v>0</v>
      </c>
      <c r="W513" s="839">
        <f>W316 + W292</f>
        <v>0</v>
      </c>
      <c r="X513" s="839">
        <f>X316 + X292</f>
        <v>0</v>
      </c>
      <c r="Y513" s="839">
        <f>Y316 + Y292</f>
        <v>0</v>
      </c>
      <c r="Z513" s="839">
        <f>Z316 + Z292</f>
        <v>0</v>
      </c>
      <c r="AA513" s="839">
        <f>AA316 + AA292</f>
        <v>0</v>
      </c>
      <c r="AB513" s="839">
        <f>AB316 + AB292</f>
        <v>0</v>
      </c>
      <c r="AC513" s="841">
        <f>AC316 + AC292</f>
        <v>0</v>
      </c>
      <c r="AD513" s="841">
        <f>AD316 + AD292</f>
        <v>0</v>
      </c>
      <c r="AE513" s="841">
        <f>AE316 + AE292</f>
        <v>0</v>
      </c>
      <c r="AF513" s="841">
        <f>AF316 + AF292</f>
        <v>0</v>
      </c>
      <c r="AG513" s="841">
        <f>AG316 + AG292</f>
        <v>0</v>
      </c>
      <c r="AH513" s="841">
        <f>AH316 + AH292</f>
        <v>0</v>
      </c>
      <c r="AI513" s="841">
        <f>AI316 + AI292</f>
        <v>0</v>
      </c>
      <c r="AJ513" s="841">
        <f>AJ316 + AJ292</f>
        <v>0</v>
      </c>
      <c r="AK513" s="841">
        <f>AK316 + AK292</f>
        <v>0</v>
      </c>
      <c r="AL513" s="841">
        <f>AL316 + AL292</f>
        <v>0</v>
      </c>
      <c r="AM513" s="841">
        <f>AM316 + AM292</f>
        <v>40</v>
      </c>
      <c r="AN513" s="841">
        <f>AN316 + AN292</f>
        <v>0</v>
      </c>
      <c r="AO513" s="841">
        <f>AO316 + AO292</f>
        <v>0</v>
      </c>
      <c r="AP513" s="841">
        <f>AP316 + AP292</f>
        <v>0</v>
      </c>
    </row>
    <row r="514" hidden="1" ht="13.5" customHeight="1">
      <c r="B514" s="844" t="s">
        <v>26</v>
      </c>
      <c r="C514" s="839">
        <f>C317 + C293</f>
        <v>0</v>
      </c>
      <c r="D514" s="839">
        <f>D317 + D293</f>
        <v>0</v>
      </c>
      <c r="E514" s="839">
        <f>E317 + E293</f>
        <v>0</v>
      </c>
      <c r="F514" s="839">
        <f>F317 + F293</f>
        <v>0</v>
      </c>
      <c r="G514" s="839">
        <f>G317 + G293</f>
        <v>0</v>
      </c>
      <c r="H514" s="839">
        <f>H317 + H293</f>
        <v>0</v>
      </c>
      <c r="I514" s="839">
        <f>I317 + I293</f>
        <v>0</v>
      </c>
      <c r="J514" s="839">
        <f>J317 + J293</f>
        <v>0</v>
      </c>
      <c r="K514" s="839">
        <f>K317 + K293</f>
        <v>0</v>
      </c>
      <c r="L514" s="839">
        <f>L317 + L293</f>
        <v>0</v>
      </c>
      <c r="M514" s="839">
        <f>M317 + M293</f>
        <v>0</v>
      </c>
      <c r="N514" s="839">
        <f>N317 + N293</f>
        <v>0</v>
      </c>
      <c r="O514" s="839">
        <f>O317 + O293</f>
        <v>0</v>
      </c>
      <c r="P514" s="839">
        <f>P317 + P293</f>
        <v>0</v>
      </c>
      <c r="Q514" s="839">
        <f>Q317 + Q293</f>
        <v>0</v>
      </c>
      <c r="R514" s="839">
        <f>R317 + R293</f>
        <v>0</v>
      </c>
      <c r="S514" s="839">
        <f>S317 + S293</f>
        <v>0</v>
      </c>
      <c r="T514" s="839">
        <f>T317 + T293</f>
        <v>0</v>
      </c>
      <c r="U514" s="839">
        <f>U317 + U293</f>
        <v>0</v>
      </c>
      <c r="V514" s="839">
        <f>V317 + V293</f>
        <v>0</v>
      </c>
      <c r="W514" s="839">
        <f>W317 + W293</f>
        <v>0</v>
      </c>
      <c r="X514" s="839">
        <f>X317 + X293</f>
        <v>0</v>
      </c>
      <c r="Y514" s="839">
        <f>Y317 + Y293</f>
        <v>0</v>
      </c>
      <c r="Z514" s="839">
        <f>Z317 + Z293</f>
        <v>0</v>
      </c>
      <c r="AA514" s="839">
        <f>AA317 + AA293</f>
        <v>0</v>
      </c>
      <c r="AB514" s="845">
        <f>AB317 + AB293</f>
        <v>0</v>
      </c>
      <c r="AC514" s="841">
        <f>AC317 + AC293</f>
        <v>0</v>
      </c>
      <c r="AD514" s="841">
        <f>AD317 + AD293</f>
        <v>0</v>
      </c>
      <c r="AE514" s="841">
        <f>AE317 + AE293</f>
        <v>0</v>
      </c>
      <c r="AF514" s="841">
        <f>AF317 + AF293</f>
        <v>0</v>
      </c>
      <c r="AG514" s="841">
        <f>AG317 + AG293</f>
        <v>0</v>
      </c>
      <c r="AH514" s="841">
        <f>AH317 + AH293</f>
        <v>0</v>
      </c>
      <c r="AI514" s="841">
        <f>AI317 + AI293</f>
        <v>0</v>
      </c>
      <c r="AJ514" s="841">
        <f>AJ317 + AJ293</f>
        <v>0</v>
      </c>
      <c r="AK514" s="841">
        <f>AK317 + AK293</f>
        <v>0</v>
      </c>
      <c r="AL514" s="841">
        <f>AL317 + AL293</f>
        <v>0</v>
      </c>
      <c r="AM514" s="841">
        <f>AM317 + AM293</f>
        <v>68</v>
      </c>
      <c r="AN514" s="841">
        <f>AN317 + AN293</f>
        <v>62</v>
      </c>
      <c r="AO514" s="841">
        <f>AO317 + AO293</f>
        <v>65</v>
      </c>
      <c r="AP514" s="841">
        <f>AP317 + AP293</f>
        <v>69</v>
      </c>
    </row>
    <row r="515" hidden="1" ht="13.5" customHeight="1">
      <c r="B515" s="128" t="s">
        <v>7</v>
      </c>
      <c r="C515" s="129" t="str">
        <f>IF(SUM(C496:C514)&lt;&gt;0,SUM(C496:C514),"")</f>
      </c>
      <c r="D515" s="129" t="str">
        <f ref="D515:AA515" t="shared" si="62" ca="1">IF(SUM(D496:D514)&lt;&gt;0,SUM(D496:D514),"")</f>
      </c>
      <c r="E515" s="129" t="str">
        <f t="shared" si="62" ca="1"/>
      </c>
      <c r="F515" s="129" t="str">
        <f t="shared" si="62" ca="1"/>
      </c>
      <c r="G515" s="129" t="str">
        <f t="shared" si="62" ca="1"/>
      </c>
      <c r="H515" s="129" t="str">
        <f t="shared" si="62" ca="1"/>
      </c>
      <c r="I515" s="129" t="str">
        <f t="shared" si="62" ca="1"/>
      </c>
      <c r="J515" s="129" t="str">
        <f t="shared" si="62" ca="1"/>
      </c>
      <c r="K515" s="129" t="str">
        <f t="shared" si="62" ca="1"/>
      </c>
      <c r="L515" s="129" t="str">
        <f t="shared" si="62" ca="1"/>
      </c>
      <c r="M515" s="129" t="str">
        <f t="shared" si="62" ca="1"/>
      </c>
      <c r="N515" s="129" t="str">
        <f t="shared" si="62" ca="1"/>
      </c>
      <c r="O515" s="129" t="str">
        <f t="shared" si="62" ca="1"/>
      </c>
      <c r="P515" s="129" t="str">
        <f t="shared" si="62" ca="1"/>
      </c>
      <c r="Q515" s="129" t="str">
        <f t="shared" si="62" ca="1"/>
      </c>
      <c r="R515" s="129" t="str">
        <f t="shared" si="62" ca="1"/>
      </c>
      <c r="S515" s="129" t="str">
        <f t="shared" si="62" ca="1"/>
      </c>
      <c r="T515" s="129" t="str">
        <f t="shared" si="62" ca="1"/>
      </c>
      <c r="U515" s="129" t="str">
        <f t="shared" si="62" ca="1"/>
      </c>
      <c r="V515" s="129" t="str">
        <f t="shared" si="62" ca="1"/>
      </c>
      <c r="W515" s="129" t="str">
        <f t="shared" si="62" ca="1"/>
      </c>
      <c r="X515" s="129" t="str">
        <f t="shared" si="62" ca="1"/>
      </c>
      <c r="Y515" s="129" t="str">
        <f t="shared" si="62" ca="1"/>
      </c>
      <c r="Z515" s="129" t="str">
        <f t="shared" si="62" ca="1"/>
      </c>
      <c r="AA515" s="129" t="str">
        <f t="shared" si="62" ca="1"/>
      </c>
      <c r="AB515" s="130" t="str">
        <f>IF(SUM(AB496:AB514)&lt;&gt;0,SUM(AB496:AB514),"")</f>
      </c>
      <c r="AC515" s="91" t="str">
        <f ref="AC515:CN515" t="shared" si="63" ca="1">IF(SUM(AC496:AC514)&lt;&gt;0,SUM(AC496:AC514),"")</f>
      </c>
      <c r="AD515" s="91" t="str">
        <f t="shared" si="63" ca="1"/>
      </c>
      <c r="AE515" s="91" t="str">
        <f t="shared" si="63" ca="1"/>
      </c>
      <c r="AF515" s="91" t="str">
        <f t="shared" si="63" ca="1"/>
      </c>
      <c r="AG515" s="91" t="str">
        <f t="shared" si="63" ca="1"/>
      </c>
      <c r="AH515" s="91" t="str">
        <f t="shared" si="63" ca="1"/>
      </c>
      <c r="AI515" s="91" t="str">
        <f t="shared" si="63" ca="1"/>
      </c>
      <c r="AJ515" s="91" t="str">
        <f t="shared" si="63" ca="1"/>
      </c>
      <c r="AK515" s="91" t="str">
        <f t="shared" si="63" ca="1"/>
      </c>
      <c r="AL515" s="91" t="str">
        <f t="shared" si="63" ca="1"/>
      </c>
      <c r="AM515" s="91" t="str">
        <f t="shared" si="63" ca="1"/>
      </c>
      <c r="AN515" s="91" t="str">
        <f t="shared" si="63" ca="1"/>
      </c>
      <c r="AO515" s="91" t="str">
        <f t="shared" si="63" ca="1"/>
      </c>
      <c r="AP515" s="91" t="str">
        <f t="shared" si="63" ca="1"/>
      </c>
      <c r="AQ515" s="91" t="str">
        <f t="shared" si="63" ca="1"/>
      </c>
      <c r="AR515" s="91" t="str">
        <f t="shared" si="63" ca="1"/>
      </c>
      <c r="AS515" s="91" t="str">
        <f t="shared" si="63" ca="1"/>
      </c>
      <c r="AT515" s="91" t="str">
        <f t="shared" si="63" ca="1"/>
      </c>
      <c r="AU515" s="91" t="str">
        <f t="shared" si="63" ca="1"/>
      </c>
      <c r="AV515" s="91" t="str">
        <f t="shared" si="63" ca="1"/>
      </c>
      <c r="AW515" s="91" t="str">
        <f t="shared" si="63" ca="1"/>
      </c>
      <c r="AX515" s="91" t="str">
        <f t="shared" si="63" ca="1"/>
      </c>
      <c r="AY515" s="91" t="str">
        <f t="shared" si="63" ca="1"/>
      </c>
      <c r="AZ515" s="91" t="str">
        <f t="shared" si="63" ca="1"/>
      </c>
      <c r="BA515" s="91" t="str">
        <f t="shared" si="63" ca="1"/>
      </c>
      <c r="BB515" s="91" t="str">
        <f t="shared" si="63" ca="1"/>
      </c>
      <c r="BC515" s="91" t="str">
        <f t="shared" si="63" ca="1"/>
      </c>
      <c r="BD515" s="91" t="str">
        <f t="shared" si="63" ca="1"/>
      </c>
      <c r="BE515" s="91" t="str">
        <f t="shared" si="63" ca="1"/>
      </c>
      <c r="BF515" s="91" t="str">
        <f t="shared" si="63" ca="1"/>
      </c>
      <c r="BG515" s="91" t="str">
        <f t="shared" si="63" ca="1"/>
      </c>
      <c r="BH515" s="91" t="str">
        <f t="shared" si="63" ca="1"/>
      </c>
      <c r="BI515" s="91" t="str">
        <f t="shared" si="63" ca="1"/>
      </c>
      <c r="BJ515" s="91" t="str">
        <f t="shared" si="63" ca="1"/>
      </c>
      <c r="BK515" s="91" t="str">
        <f t="shared" si="63" ca="1"/>
      </c>
      <c r="BL515" s="91" t="str">
        <f t="shared" si="63" ca="1"/>
      </c>
      <c r="BM515" s="91" t="str">
        <f t="shared" si="63" ca="1"/>
      </c>
      <c r="BN515" s="91" t="str">
        <f t="shared" si="63" ca="1"/>
      </c>
      <c r="BO515" s="91" t="str">
        <f t="shared" si="63" ca="1"/>
      </c>
      <c r="BP515" s="91" t="str">
        <f t="shared" si="63" ca="1"/>
      </c>
      <c r="BQ515" s="91" t="str">
        <f t="shared" si="63" ca="1"/>
      </c>
      <c r="BR515" s="91" t="str">
        <f t="shared" si="63" ca="1"/>
      </c>
      <c r="BS515" s="91" t="str">
        <f t="shared" si="63" ca="1"/>
      </c>
      <c r="BT515" s="91" t="str">
        <f t="shared" si="63" ca="1"/>
      </c>
      <c r="BU515" s="91" t="str">
        <f t="shared" si="63" ca="1"/>
      </c>
      <c r="BV515" s="91" t="str">
        <f t="shared" si="63" ca="1"/>
      </c>
      <c r="BW515" s="91" t="str">
        <f t="shared" si="63" ca="1"/>
      </c>
      <c r="BX515" s="91" t="str">
        <f t="shared" si="63" ca="1"/>
      </c>
      <c r="BY515" s="91" t="str">
        <f t="shared" si="63" ca="1"/>
      </c>
      <c r="BZ515" s="91" t="str">
        <f t="shared" si="63" ca="1"/>
      </c>
      <c r="CA515" s="91" t="str">
        <f t="shared" si="63" ca="1"/>
      </c>
      <c r="CB515" s="91" t="str">
        <f t="shared" si="63" ca="1"/>
      </c>
      <c r="CC515" s="91" t="str">
        <f t="shared" si="63" ca="1"/>
      </c>
      <c r="CD515" s="91" t="str">
        <f t="shared" si="63" ca="1"/>
      </c>
      <c r="CE515" s="91" t="str">
        <f t="shared" si="63" ca="1"/>
      </c>
      <c r="CF515" s="91" t="str">
        <f t="shared" si="63" ca="1"/>
      </c>
      <c r="CG515" s="91" t="str">
        <f t="shared" si="63" ca="1"/>
      </c>
      <c r="CH515" s="91" t="str">
        <f t="shared" si="63" ca="1"/>
      </c>
      <c r="CI515" s="91" t="str">
        <f t="shared" si="63" ca="1"/>
      </c>
      <c r="CJ515" s="91" t="str">
        <f t="shared" si="63" ca="1"/>
      </c>
      <c r="CK515" s="91" t="str">
        <f t="shared" si="63" ca="1"/>
      </c>
      <c r="CL515" s="91" t="str">
        <f t="shared" si="63" ca="1"/>
      </c>
      <c r="CM515" s="91" t="str">
        <f t="shared" si="63" ca="1"/>
      </c>
      <c r="CN515" s="91" t="str">
        <f t="shared" si="63" ca="1"/>
      </c>
      <c r="CO515" s="91" t="str">
        <f ref="CO515:EZ515" t="shared" si="64" ca="1">IF(SUM(CO496:CO514)&lt;&gt;0,SUM(CO496:CO514),"")</f>
      </c>
      <c r="CP515" s="91" t="str">
        <f t="shared" si="64" ca="1"/>
      </c>
      <c r="CQ515" s="91" t="str">
        <f t="shared" si="64" ca="1"/>
      </c>
      <c r="CR515" s="91" t="str">
        <f t="shared" si="64" ca="1"/>
      </c>
      <c r="CS515" s="91" t="str">
        <f t="shared" si="64" ca="1"/>
      </c>
      <c r="CT515" s="91" t="str">
        <f t="shared" si="64" ca="1"/>
      </c>
      <c r="CU515" s="91" t="str">
        <f t="shared" si="64" ca="1"/>
      </c>
      <c r="CV515" s="91" t="str">
        <f t="shared" si="64" ca="1"/>
      </c>
      <c r="CW515" s="91" t="str">
        <f t="shared" si="64" ca="1"/>
      </c>
      <c r="CX515" s="91" t="str">
        <f t="shared" si="64" ca="1"/>
      </c>
      <c r="CY515" s="91" t="str">
        <f t="shared" si="64" ca="1"/>
      </c>
      <c r="CZ515" s="91" t="str">
        <f t="shared" si="64" ca="1"/>
      </c>
      <c r="DA515" s="91" t="str">
        <f t="shared" si="64" ca="1"/>
      </c>
      <c r="DB515" s="91" t="str">
        <f t="shared" si="64" ca="1"/>
      </c>
      <c r="DC515" s="91" t="str">
        <f t="shared" si="64" ca="1"/>
      </c>
      <c r="DD515" s="91" t="str">
        <f t="shared" si="64" ca="1"/>
      </c>
      <c r="DE515" s="91" t="str">
        <f t="shared" si="64" ca="1"/>
      </c>
      <c r="DF515" s="91" t="str">
        <f t="shared" si="64" ca="1"/>
      </c>
      <c r="DG515" s="91" t="str">
        <f t="shared" si="64" ca="1"/>
      </c>
      <c r="DH515" s="91" t="str">
        <f t="shared" si="64" ca="1"/>
      </c>
      <c r="DI515" s="91" t="str">
        <f t="shared" si="64" ca="1"/>
      </c>
      <c r="DJ515" s="91" t="str">
        <f t="shared" si="64" ca="1"/>
      </c>
      <c r="DK515" s="91" t="str">
        <f t="shared" si="64" ca="1"/>
      </c>
      <c r="DL515" s="91" t="str">
        <f t="shared" si="64" ca="1"/>
      </c>
      <c r="DM515" s="91" t="str">
        <f t="shared" si="64" ca="1"/>
      </c>
      <c r="DN515" s="91" t="str">
        <f t="shared" si="64" ca="1"/>
      </c>
      <c r="DO515" s="91" t="str">
        <f t="shared" si="64" ca="1"/>
      </c>
      <c r="DP515" s="91" t="str">
        <f t="shared" si="64" ca="1"/>
      </c>
      <c r="DQ515" s="91" t="str">
        <f t="shared" si="64" ca="1"/>
      </c>
      <c r="DR515" s="91" t="str">
        <f t="shared" si="64" ca="1"/>
      </c>
      <c r="DS515" s="91" t="str">
        <f t="shared" si="64" ca="1"/>
      </c>
      <c r="DT515" s="91" t="str">
        <f t="shared" si="64" ca="1"/>
      </c>
      <c r="DU515" s="91" t="str">
        <f t="shared" si="64" ca="1"/>
      </c>
      <c r="DV515" s="91" t="str">
        <f t="shared" si="64" ca="1"/>
      </c>
      <c r="DW515" s="91" t="str">
        <f t="shared" si="64" ca="1"/>
      </c>
      <c r="DX515" s="91" t="str">
        <f t="shared" si="64" ca="1"/>
      </c>
      <c r="DY515" s="91" t="str">
        <f t="shared" si="64" ca="1"/>
      </c>
      <c r="DZ515" s="91" t="str">
        <f t="shared" si="64" ca="1"/>
      </c>
      <c r="EA515" s="91" t="str">
        <f t="shared" si="64" ca="1"/>
      </c>
      <c r="EB515" s="91" t="str">
        <f t="shared" si="64" ca="1"/>
      </c>
      <c r="EC515" s="91" t="str">
        <f t="shared" si="64" ca="1"/>
      </c>
      <c r="ED515" s="91" t="str">
        <f t="shared" si="64" ca="1"/>
      </c>
      <c r="EE515" s="91" t="str">
        <f t="shared" si="64" ca="1"/>
      </c>
      <c r="EF515" s="91" t="str">
        <f t="shared" si="64" ca="1"/>
      </c>
      <c r="EG515" s="91" t="str">
        <f t="shared" si="64" ca="1"/>
      </c>
      <c r="EH515" s="91" t="str">
        <f t="shared" si="64" ca="1"/>
      </c>
      <c r="EI515" s="91" t="str">
        <f t="shared" si="64" ca="1"/>
      </c>
      <c r="EJ515" s="91" t="str">
        <f t="shared" si="64" ca="1"/>
      </c>
      <c r="EK515" s="91" t="str">
        <f t="shared" si="64" ca="1"/>
      </c>
      <c r="EL515" s="91" t="str">
        <f t="shared" si="64" ca="1"/>
      </c>
      <c r="EM515" s="91" t="str">
        <f t="shared" si="64" ca="1"/>
      </c>
      <c r="EN515" s="91" t="str">
        <f t="shared" si="64" ca="1"/>
      </c>
      <c r="EO515" s="91" t="str">
        <f t="shared" si="64" ca="1"/>
      </c>
      <c r="EP515" s="91" t="str">
        <f t="shared" si="64" ca="1"/>
      </c>
      <c r="EQ515" s="91" t="str">
        <f t="shared" si="64" ca="1"/>
      </c>
      <c r="ER515" s="91" t="str">
        <f t="shared" si="64" ca="1"/>
      </c>
      <c r="ES515" s="91" t="str">
        <f t="shared" si="64" ca="1"/>
      </c>
      <c r="ET515" s="91" t="str">
        <f t="shared" si="64" ca="1"/>
      </c>
      <c r="EU515" s="91" t="str">
        <f t="shared" si="64" ca="1"/>
      </c>
      <c r="EV515" s="91" t="str">
        <f t="shared" si="64" ca="1"/>
      </c>
      <c r="EW515" s="91" t="str">
        <f t="shared" si="64" ca="1"/>
      </c>
      <c r="EX515" s="91" t="str">
        <f t="shared" si="64" ca="1"/>
      </c>
      <c r="EY515" s="91" t="str">
        <f t="shared" si="64" ca="1"/>
      </c>
      <c r="EZ515" s="91" t="str">
        <f t="shared" si="64" ca="1"/>
      </c>
      <c r="FA515" s="91" t="str">
        <f ref="FA515:HL515" t="shared" si="65" ca="1">IF(SUM(FA496:FA514)&lt;&gt;0,SUM(FA496:FA514),"")</f>
      </c>
      <c r="FB515" s="91" t="str">
        <f t="shared" si="65" ca="1"/>
      </c>
      <c r="FC515" s="91" t="str">
        <f t="shared" si="65" ca="1"/>
      </c>
      <c r="FD515" s="91" t="str">
        <f t="shared" si="65" ca="1"/>
      </c>
      <c r="FE515" s="91" t="str">
        <f t="shared" si="65" ca="1"/>
      </c>
      <c r="FF515" s="91" t="str">
        <f t="shared" si="65" ca="1"/>
      </c>
      <c r="FG515" s="91" t="str">
        <f t="shared" si="65" ca="1"/>
      </c>
      <c r="FH515" s="91" t="str">
        <f t="shared" si="65" ca="1"/>
      </c>
      <c r="FI515" s="91" t="str">
        <f t="shared" si="65" ca="1"/>
      </c>
      <c r="FJ515" s="91" t="str">
        <f t="shared" si="65" ca="1"/>
      </c>
      <c r="FK515" s="91" t="str">
        <f t="shared" si="65" ca="1"/>
      </c>
      <c r="FL515" s="91" t="str">
        <f t="shared" si="65" ca="1"/>
      </c>
      <c r="FM515" s="91" t="str">
        <f t="shared" si="65" ca="1"/>
      </c>
      <c r="FN515" s="91" t="str">
        <f t="shared" si="65" ca="1"/>
      </c>
      <c r="FO515" s="91" t="str">
        <f t="shared" si="65" ca="1"/>
      </c>
      <c r="FP515" s="91" t="str">
        <f t="shared" si="65" ca="1"/>
      </c>
      <c r="FQ515" s="91" t="str">
        <f t="shared" si="65" ca="1"/>
      </c>
      <c r="FR515" s="91" t="str">
        <f t="shared" si="65" ca="1"/>
      </c>
      <c r="FS515" s="91" t="str">
        <f t="shared" si="65" ca="1"/>
      </c>
      <c r="FT515" s="91" t="str">
        <f t="shared" si="65" ca="1"/>
      </c>
      <c r="FU515" s="91" t="str">
        <f t="shared" si="65" ca="1"/>
      </c>
      <c r="FV515" s="91" t="str">
        <f t="shared" si="65" ca="1"/>
      </c>
      <c r="FW515" s="91" t="str">
        <f t="shared" si="65" ca="1"/>
      </c>
      <c r="FX515" s="91" t="str">
        <f t="shared" si="65" ca="1"/>
      </c>
      <c r="FY515" s="91" t="str">
        <f t="shared" si="65" ca="1"/>
      </c>
      <c r="FZ515" s="91" t="str">
        <f t="shared" si="65" ca="1"/>
      </c>
      <c r="GA515" s="91" t="str">
        <f t="shared" si="65" ca="1"/>
      </c>
      <c r="GB515" s="91" t="str">
        <f t="shared" si="65" ca="1"/>
      </c>
      <c r="GC515" s="91" t="str">
        <f t="shared" si="65" ca="1"/>
      </c>
      <c r="GD515" s="91" t="str">
        <f t="shared" si="65" ca="1"/>
      </c>
      <c r="GE515" s="91" t="str">
        <f t="shared" si="65" ca="1"/>
      </c>
      <c r="GF515" s="91" t="str">
        <f t="shared" si="65" ca="1"/>
      </c>
      <c r="GG515" s="91" t="str">
        <f t="shared" si="65" ca="1"/>
      </c>
      <c r="GH515" s="91" t="str">
        <f t="shared" si="65" ca="1"/>
      </c>
      <c r="GI515" s="91" t="str">
        <f t="shared" si="65" ca="1"/>
      </c>
      <c r="GJ515" s="91" t="str">
        <f t="shared" si="65" ca="1"/>
      </c>
      <c r="GK515" s="91" t="str">
        <f t="shared" si="65" ca="1"/>
      </c>
      <c r="GL515" s="91" t="str">
        <f t="shared" si="65" ca="1"/>
      </c>
      <c r="GM515" s="91" t="str">
        <f t="shared" si="65" ca="1"/>
      </c>
      <c r="GN515" s="91" t="str">
        <f t="shared" si="65" ca="1"/>
      </c>
      <c r="GO515" s="91" t="str">
        <f t="shared" si="65" ca="1"/>
      </c>
      <c r="GP515" s="91" t="str">
        <f t="shared" si="65" ca="1"/>
      </c>
      <c r="GQ515" s="91" t="str">
        <f t="shared" si="65" ca="1"/>
      </c>
      <c r="GR515" s="91" t="str">
        <f t="shared" si="65" ca="1"/>
      </c>
      <c r="GS515" s="91" t="str">
        <f t="shared" si="65" ca="1"/>
      </c>
      <c r="GT515" s="91" t="str">
        <f t="shared" si="65" ca="1"/>
      </c>
      <c r="GU515" s="91" t="str">
        <f t="shared" si="65" ca="1"/>
      </c>
      <c r="GV515" s="91" t="str">
        <f t="shared" si="65" ca="1"/>
      </c>
      <c r="GW515" s="91" t="str">
        <f t="shared" si="65" ca="1"/>
      </c>
      <c r="GX515" s="91" t="str">
        <f t="shared" si="65" ca="1"/>
      </c>
      <c r="GY515" s="91" t="str">
        <f t="shared" si="65" ca="1"/>
      </c>
      <c r="GZ515" s="91" t="str">
        <f t="shared" si="65" ca="1"/>
      </c>
      <c r="HA515" s="91" t="str">
        <f t="shared" si="65" ca="1"/>
      </c>
      <c r="HB515" s="91" t="str">
        <f t="shared" si="65" ca="1"/>
      </c>
      <c r="HC515" s="91" t="str">
        <f t="shared" si="65" ca="1"/>
      </c>
      <c r="HD515" s="91" t="str">
        <f t="shared" si="65" ca="1"/>
      </c>
      <c r="HE515" s="91" t="str">
        <f t="shared" si="65" ca="1"/>
      </c>
      <c r="HF515" s="91" t="str">
        <f t="shared" si="65" ca="1"/>
      </c>
      <c r="HG515" s="91" t="str">
        <f t="shared" si="65" ca="1"/>
      </c>
      <c r="HH515" s="91" t="str">
        <f t="shared" si="65" ca="1"/>
      </c>
      <c r="HI515" s="91" t="str">
        <f t="shared" si="65" ca="1"/>
      </c>
      <c r="HJ515" s="91" t="str">
        <f t="shared" si="65" ca="1"/>
      </c>
      <c r="HK515" s="91" t="str">
        <f t="shared" si="65" ca="1"/>
      </c>
      <c r="HL515" s="91" t="str">
        <f t="shared" si="65" ca="1"/>
      </c>
      <c r="HM515" s="91" t="str">
        <f ref="HM515:IV515" t="shared" si="66" ca="1">IF(SUM(HM496:HM514)&lt;&gt;0,SUM(HM496:HM514),"")</f>
      </c>
      <c r="HN515" s="91" t="str">
        <f t="shared" si="66" ca="1"/>
      </c>
      <c r="HO515" s="91" t="str">
        <f t="shared" si="66" ca="1"/>
      </c>
      <c r="HP515" s="91" t="str">
        <f t="shared" si="66" ca="1"/>
      </c>
      <c r="HQ515" s="91" t="str">
        <f t="shared" si="66" ca="1"/>
      </c>
      <c r="HR515" s="91" t="str">
        <f t="shared" si="66" ca="1"/>
      </c>
      <c r="HS515" s="91" t="str">
        <f t="shared" si="66" ca="1"/>
      </c>
      <c r="HT515" s="91" t="str">
        <f t="shared" si="66" ca="1"/>
      </c>
      <c r="HU515" s="91" t="str">
        <f t="shared" si="66" ca="1"/>
      </c>
      <c r="HV515" s="91" t="str">
        <f t="shared" si="66" ca="1"/>
      </c>
      <c r="HW515" s="91" t="str">
        <f t="shared" si="66" ca="1"/>
      </c>
      <c r="HX515" s="91" t="str">
        <f t="shared" si="66" ca="1"/>
      </c>
      <c r="HY515" s="91" t="str">
        <f t="shared" si="66" ca="1"/>
      </c>
      <c r="HZ515" s="91" t="str">
        <f t="shared" si="66" ca="1"/>
      </c>
      <c r="IA515" s="91" t="str">
        <f t="shared" si="66" ca="1"/>
      </c>
      <c r="IB515" s="91" t="str">
        <f t="shared" si="66" ca="1"/>
      </c>
      <c r="IC515" s="91" t="str">
        <f t="shared" si="66" ca="1"/>
      </c>
      <c r="ID515" s="91" t="str">
        <f t="shared" si="66" ca="1"/>
      </c>
      <c r="IE515" s="91" t="str">
        <f t="shared" si="66" ca="1"/>
      </c>
      <c r="IF515" s="91" t="str">
        <f t="shared" si="66" ca="1"/>
      </c>
      <c r="IG515" s="91" t="str">
        <f t="shared" si="66" ca="1"/>
      </c>
      <c r="IH515" s="91" t="str">
        <f t="shared" si="66" ca="1"/>
      </c>
      <c r="II515" s="91" t="str">
        <f t="shared" si="66" ca="1"/>
      </c>
      <c r="IJ515" s="91" t="str">
        <f t="shared" si="66" ca="1"/>
      </c>
      <c r="IK515" s="91" t="str">
        <f t="shared" si="66" ca="1"/>
      </c>
      <c r="IL515" s="91" t="str">
        <f t="shared" si="66" ca="1"/>
      </c>
      <c r="IM515" s="91" t="str">
        <f t="shared" si="66" ca="1"/>
      </c>
      <c r="IN515" s="91" t="str">
        <f t="shared" si="66" ca="1"/>
      </c>
      <c r="IO515" s="91" t="str">
        <f t="shared" si="66" ca="1"/>
      </c>
      <c r="IP515" s="91" t="str">
        <f t="shared" si="66" ca="1"/>
      </c>
      <c r="IQ515" s="91" t="str">
        <f t="shared" si="66" ca="1"/>
      </c>
      <c r="IR515" s="91" t="str">
        <f t="shared" si="66" ca="1"/>
      </c>
      <c r="IS515" s="91" t="str">
        <f t="shared" si="66" ca="1"/>
      </c>
      <c r="IT515" s="91" t="str">
        <f t="shared" si="66" ca="1"/>
      </c>
      <c r="IU515" s="91" t="str">
        <f t="shared" si="66" ca="1"/>
      </c>
      <c r="IV515" s="91" t="str">
        <f t="shared" si="66" ca="1"/>
      </c>
    </row>
    <row r="516" hidden="1" ht="12.75" customHeight="1"/>
    <row r="517" hidden="1" ht="13.5" customHeight="1"/>
    <row r="518" hidden="1" ht="13.5" customHeight="1">
      <c r="C518" s="617" t="s">
        <v>318</v>
      </c>
      <c r="D518" s="618"/>
      <c r="E518" s="618"/>
      <c r="F518" s="618"/>
      <c r="G518" s="618"/>
      <c r="H518" s="618"/>
      <c r="I518" s="618"/>
      <c r="J518" s="618"/>
      <c r="K518" s="618"/>
      <c r="L518" s="618"/>
      <c r="M518" s="618"/>
      <c r="N518" s="618"/>
      <c r="O518" s="618"/>
      <c r="P518" s="618"/>
      <c r="Q518" s="618"/>
      <c r="R518" s="618"/>
      <c r="S518" s="618"/>
      <c r="T518" s="618"/>
      <c r="U518" s="618"/>
      <c r="V518" s="618"/>
      <c r="W518" s="618"/>
      <c r="X518" s="618"/>
      <c r="Y518" s="618"/>
      <c r="Z518" s="618"/>
      <c r="AA518" s="618"/>
      <c r="AB518" s="619"/>
    </row>
    <row r="519" hidden="1" ht="13.5" customHeight="1">
      <c r="C519" s="435" t="str">
        <f> IF(C539&lt;&gt;"",TEXT(AUX!G$1,"dd-MMM-aa"),"")</f>
      </c>
      <c r="D519" s="435" t="str">
        <f> IF(D539&lt;&gt;"",TEXT(AUX!H$1,"dd-MMM-aa"),"")</f>
      </c>
      <c r="E519" s="435" t="str">
        <f> IF(E539&lt;&gt;"",TEXT(AUX!I$1,"dd-MMM-aa"),"")</f>
      </c>
      <c r="F519" s="435" t="str">
        <f> IF(F539&lt;&gt;"",TEXT(AUX!J$1,"dd-MMM-aa"),"")</f>
      </c>
      <c r="G519" s="435" t="str">
        <f> IF(G539&lt;&gt;"",TEXT(AUX!K$1,"dd-MMM-aa"),"")</f>
      </c>
      <c r="H519" s="435" t="str">
        <f> IF(H539&lt;&gt;"",TEXT(AUX!L$1,"dd-MMM-aa"),"")</f>
      </c>
      <c r="I519" s="435" t="str">
        <f> IF(I539&lt;&gt;"",TEXT(AUX!M$1,"dd-MMM-aa"),"")</f>
      </c>
      <c r="J519" s="435" t="str">
        <f> IF(J539&lt;&gt;"",TEXT(AUX!N$1,"dd-MMM-aa"),"")</f>
      </c>
      <c r="K519" s="435" t="str">
        <f> IF(K539&lt;&gt;"",TEXT(AUX!O$1,"dd-MMM-aa"),"")</f>
      </c>
      <c r="L519" s="435" t="str">
        <f> IF(L539&lt;&gt;"",TEXT(AUX!P$1,"dd-MMM-aa"),"")</f>
      </c>
      <c r="M519" s="435" t="str">
        <f> IF(M539&lt;&gt;"",TEXT(AUX!Q$1,"dd-MMM-aa"),"")</f>
      </c>
      <c r="N519" s="435" t="str">
        <f> IF(N539&lt;&gt;"",TEXT(AUX!R$1,"dd-MMM-aa"),"")</f>
      </c>
      <c r="O519" s="435" t="str">
        <f> IF(O539&lt;&gt;"",TEXT(AUX!S$1,"dd-MMM-aa"),"")</f>
      </c>
      <c r="P519" s="435" t="str">
        <f> IF(P539&lt;&gt;"",TEXT(AUX!T$1,"dd-MMM-aa"),"")</f>
      </c>
      <c r="Q519" s="435" t="str">
        <f> IF(Q539&lt;&gt;"",TEXT(AUX!U$1,"dd-MMM-aa"),"")</f>
      </c>
      <c r="R519" s="435" t="str">
        <f> IF(R539&lt;&gt;"",TEXT(AUX!V$1,"dd-MMM-aa"),"")</f>
      </c>
      <c r="S519" s="435" t="str">
        <f> IF(S539&lt;&gt;"",TEXT(AUX!W$1,"dd-MMM-aa"),"")</f>
      </c>
      <c r="T519" s="435" t="str">
        <f> IF(T539&lt;&gt;"",TEXT(AUX!X$1,"dd-MMM-aa"),"")</f>
      </c>
      <c r="U519" s="435" t="str">
        <f> IF(U539&lt;&gt;"",TEXT(AUX!Y$1,"dd-MMM-aa"),"")</f>
      </c>
      <c r="V519" s="435" t="str">
        <f> IF(V539&lt;&gt;"",TEXT(AUX!Z$1,"dd-MMM-aa"),"")</f>
      </c>
      <c r="W519" s="435" t="str">
        <f> IF(W539&lt;&gt;"",TEXT(AUX!AA$1,"dd-MMM-aa"),"")</f>
      </c>
      <c r="X519" s="435" t="str">
        <f> IF(X539&lt;&gt;"",TEXT(AUX!AB$1,"dd-MMM-aa"),"")</f>
      </c>
      <c r="Y519" s="435" t="str">
        <f> IF(Y539&lt;&gt;"",TEXT(AUX!AC$1,"dd-MMM-aa"),"")</f>
      </c>
      <c r="Z519" s="435" t="str">
        <f> IF(Z539&lt;&gt;"",TEXT(AUX!AD$1,"dd-MMM-aa"),"")</f>
      </c>
      <c r="AA519" s="435" t="str">
        <f> IF(AA539&lt;&gt;"",TEXT(AUX!AE$1,"dd-MMM-aa"),"")</f>
      </c>
      <c r="AB519" s="497" t="str">
        <f> IF(AB539&lt;&gt;"",TEXT(AUX!AF$1,"dd-MMM-aa"),"")</f>
      </c>
      <c r="AC519" s="496" t="str">
        <f> IF(AC539&lt;&gt;"",TEXT(AUX!AG$1,"dd-MMM-aa"),"")</f>
      </c>
      <c r="AD519" s="496" t="str">
        <f> IF(AD539&lt;&gt;"",TEXT(AUX!AH$1,"dd-MMM-aa"),"")</f>
      </c>
      <c r="AE519" s="496" t="str">
        <f> IF(AE539&lt;&gt;"",TEXT(AUX!AI$1,"dd-MMM-aa"),"")</f>
      </c>
      <c r="AF519" s="496" t="str">
        <f> IF(AF539&lt;&gt;"",TEXT(AUX!AJ$1,"dd-MMM-aa"),"")</f>
      </c>
      <c r="AG519" s="496" t="str">
        <f> IF(AG539&lt;&gt;"",TEXT(AUX!AK$1,"dd-MMM-aa"),"")</f>
      </c>
      <c r="AH519" s="496" t="str">
        <f> IF(AH539&lt;&gt;"",TEXT(AUX!AL$1,"dd-MMM-aa"),"")</f>
      </c>
      <c r="AI519" s="496" t="str">
        <f> IF(AI539&lt;&gt;"",TEXT(AUX!AM$1,"dd-MMM-aa"),"")</f>
      </c>
      <c r="AJ519" s="496" t="str">
        <f> IF(AJ539&lt;&gt;"",TEXT(AUX!AN$1,"dd-MMM-aa"),"")</f>
      </c>
      <c r="AK519" s="496" t="str">
        <f> IF(AK539&lt;&gt;"",TEXT(AUX!AO$1,"dd-MMM-aa"),"")</f>
      </c>
      <c r="AL519" s="496" t="str">
        <f> IF(AL539&lt;&gt;"",TEXT(AUX!AP$1,"dd-MMM-aa"),"")</f>
      </c>
      <c r="AM519" s="496" t="str">
        <f> IF(AM539&lt;&gt;"",TEXT(AUX!AQ$1,"dd-MMM-aa"),"")</f>
      </c>
      <c r="AN519" s="496" t="str">
        <f> IF(AN539&lt;&gt;"",TEXT(AUX!AR$1,"dd-MMM-aa"),"")</f>
      </c>
      <c r="AO519" s="496" t="str">
        <f> IF(AO539&lt;&gt;"",TEXT(AUX!AS$1,"dd-MMM-aa"),"")</f>
      </c>
      <c r="AP519" s="496" t="str">
        <f> IF(AP539&lt;&gt;"",TEXT(AUX!AT$1,"dd-MMM-aa"),"")</f>
      </c>
      <c r="AQ519" s="496" t="str">
        <f> IF(AQ539&lt;&gt;"",TEXT(AUX!AU$1,"dd-MMM-aa"),"")</f>
      </c>
      <c r="AR519" s="496" t="str">
        <f> IF(AR539&lt;&gt;"",TEXT(AUX!AV$1,"dd-MMM-aa"),"")</f>
      </c>
      <c r="AS519" s="496" t="str">
        <f> IF(AS539&lt;&gt;"",TEXT(AUX!AW$1,"dd-MMM-aa"),"")</f>
      </c>
      <c r="AT519" s="496" t="str">
        <f> IF(AT539&lt;&gt;"",TEXT(AUX!AX$1,"dd-MMM-aa"),"")</f>
      </c>
      <c r="AU519" s="496" t="str">
        <f> IF(AU539&lt;&gt;"",TEXT(AUX!AY$1,"dd-MMM-aa"),"")</f>
      </c>
      <c r="AV519" s="496" t="str">
        <f> IF(AV539&lt;&gt;"",TEXT(AUX!AZ$1,"dd-MMM-aa"),"")</f>
      </c>
      <c r="AW519" s="496" t="str">
        <f> IF(AW539&lt;&gt;"",TEXT(AUX!BA$1,"dd-MMM-aa"),"")</f>
      </c>
      <c r="AX519" s="496" t="str">
        <f> IF(AX539&lt;&gt;"",TEXT(AUX!BB$1,"dd-MMM-aa"),"")</f>
      </c>
      <c r="AY519" s="496" t="str">
        <f> IF(AY539&lt;&gt;"",TEXT(AUX!BC$1,"dd-MMM-aa"),"")</f>
      </c>
      <c r="AZ519" s="496" t="str">
        <f> IF(AZ539&lt;&gt;"",TEXT(AUX!BD$1,"dd-MMM-aa"),"")</f>
      </c>
      <c r="BA519" s="496" t="str">
        <f> IF(BA539&lt;&gt;"",TEXT(AUX!BE$1,"dd-MMM-aa"),"")</f>
      </c>
      <c r="BB519" s="496" t="str">
        <f> IF(BB539&lt;&gt;"",TEXT(AUX!BF$1,"dd-MMM-aa"),"")</f>
      </c>
      <c r="BC519" s="496" t="str">
        <f> IF(BC539&lt;&gt;"",TEXT(AUX!BG$1,"dd-MMM-aa"),"")</f>
      </c>
      <c r="BD519" s="496" t="str">
        <f> IF(BD539&lt;&gt;"",TEXT(AUX!BH$1,"dd-MMM-aa"),"")</f>
      </c>
      <c r="BE519" s="496" t="str">
        <f> IF(BE539&lt;&gt;"",TEXT(AUX!BI$1,"dd-MMM-aa"),"")</f>
      </c>
      <c r="BF519" s="496" t="str">
        <f> IF(BF539&lt;&gt;"",TEXT(AUX!BJ$1,"dd-MMM-aa"),"")</f>
      </c>
      <c r="BG519" s="496" t="str">
        <f> IF(BG539&lt;&gt;"",TEXT(AUX!BK$1,"dd-MMM-aa"),"")</f>
      </c>
      <c r="BH519" s="496" t="str">
        <f> IF(BH539&lt;&gt;"",TEXT(AUX!BL$1,"dd-MMM-aa"),"")</f>
      </c>
      <c r="BI519" s="496" t="str">
        <f> IF(BI539&lt;&gt;"",TEXT(AUX!BM$1,"dd-MMM-aa"),"")</f>
      </c>
      <c r="BJ519" s="496" t="str">
        <f> IF(BJ539&lt;&gt;"",TEXT(AUX!BN$1,"dd-MMM-aa"),"")</f>
      </c>
      <c r="BK519" s="496" t="str">
        <f> IF(BK539&lt;&gt;"",TEXT(AUX!BO$1,"dd-MMM-aa"),"")</f>
      </c>
      <c r="BL519" s="496" t="str">
        <f> IF(BL539&lt;&gt;"",TEXT(AUX!BP$1,"dd-MMM-aa"),"")</f>
      </c>
      <c r="BM519" s="496" t="str">
        <f> IF(BM539&lt;&gt;"",TEXT(AUX!BQ$1,"dd-MMM-aa"),"")</f>
      </c>
      <c r="BN519" s="496" t="str">
        <f> IF(BN539&lt;&gt;"",TEXT(AUX!BR$1,"dd-MMM-aa"),"")</f>
      </c>
      <c r="BO519" s="496" t="str">
        <f> IF(BO539&lt;&gt;"",TEXT(AUX!BS$1,"dd-MMM-aa"),"")</f>
      </c>
      <c r="BP519" s="496" t="str">
        <f> IF(BP539&lt;&gt;"",TEXT(AUX!BT$1,"dd-MMM-aa"),"")</f>
      </c>
      <c r="BQ519" s="496" t="str">
        <f> IF(BQ539&lt;&gt;"",TEXT(AUX!BU$1,"dd-MMM-aa"),"")</f>
      </c>
      <c r="BR519" s="496" t="str">
        <f> IF(BR539&lt;&gt;"",TEXT(AUX!BV$1,"dd-MMM-aa"),"")</f>
      </c>
      <c r="BS519" s="496" t="str">
        <f> IF(BS539&lt;&gt;"",TEXT(AUX!BW$1,"dd-MMM-aa"),"")</f>
      </c>
      <c r="BT519" s="496" t="str">
        <f> IF(BT539&lt;&gt;"",TEXT(AUX!BX$1,"dd-MMM-aa"),"")</f>
      </c>
      <c r="BU519" s="496" t="str">
        <f> IF(BU539&lt;&gt;"",TEXT(AUX!BY$1,"dd-MMM-aa"),"")</f>
      </c>
      <c r="BV519" s="496" t="str">
        <f> IF(BV539&lt;&gt;"",TEXT(AUX!BZ$1,"dd-MMM-aa"),"")</f>
      </c>
      <c r="BW519" s="496" t="str">
        <f> IF(BW539&lt;&gt;"",TEXT(AUX!CA$1,"dd-MMM-aa"),"")</f>
      </c>
      <c r="BX519" s="496" t="str">
        <f> IF(BX539&lt;&gt;"",TEXT(AUX!CB$1,"dd-MMM-aa"),"")</f>
      </c>
      <c r="BY519" s="496" t="str">
        <f> IF(BY539&lt;&gt;"",TEXT(AUX!CC$1,"dd-MMM-aa"),"")</f>
      </c>
      <c r="BZ519" s="496" t="str">
        <f> IF(BZ539&lt;&gt;"",TEXT(AUX!CD$1,"dd-MMM-aa"),"")</f>
      </c>
      <c r="CA519" s="496" t="str">
        <f> IF(CA539&lt;&gt;"",TEXT(AUX!CE$1,"dd-MMM-aa"),"")</f>
      </c>
      <c r="CB519" s="496" t="str">
        <f> IF(CB539&lt;&gt;"",TEXT(AUX!CF$1,"dd-MMM-aa"),"")</f>
      </c>
      <c r="CC519" s="496" t="str">
        <f> IF(CC539&lt;&gt;"",TEXT(AUX!CG$1,"dd-MMM-aa"),"")</f>
      </c>
      <c r="CD519" s="496" t="str">
        <f> IF(CD539&lt;&gt;"",TEXT(AUX!CH$1,"dd-MMM-aa"),"")</f>
      </c>
      <c r="CE519" s="496" t="str">
        <f> IF(CE539&lt;&gt;"",TEXT(AUX!CI$1,"dd-MMM-aa"),"")</f>
      </c>
      <c r="CF519" s="496" t="str">
        <f> IF(CF539&lt;&gt;"",TEXT(AUX!CJ$1,"dd-MMM-aa"),"")</f>
      </c>
      <c r="CG519" s="496" t="str">
        <f> IF(CG539&lt;&gt;"",TEXT(AUX!CK$1,"dd-MMM-aa"),"")</f>
      </c>
      <c r="CH519" s="496" t="str">
        <f> IF(CH539&lt;&gt;"",TEXT(AUX!CL$1,"dd-MMM-aa"),"")</f>
      </c>
      <c r="CI519" s="496" t="str">
        <f> IF(CI539&lt;&gt;"",TEXT(AUX!CM$1,"dd-MMM-aa"),"")</f>
      </c>
      <c r="CJ519" s="496" t="str">
        <f> IF(CJ539&lt;&gt;"",TEXT(AUX!CN$1,"dd-MMM-aa"),"")</f>
      </c>
      <c r="CK519" s="496" t="str">
        <f> IF(CK539&lt;&gt;"",TEXT(AUX!CO$1,"dd-MMM-aa"),"")</f>
      </c>
      <c r="CL519" s="496" t="str">
        <f> IF(CL539&lt;&gt;"",TEXT(AUX!CP$1,"dd-MMM-aa"),"")</f>
      </c>
      <c r="CM519" s="496" t="str">
        <f> IF(CM539&lt;&gt;"",TEXT(AUX!CQ$1,"dd-MMM-aa"),"")</f>
      </c>
      <c r="CN519" s="496" t="str">
        <f> IF(CN539&lt;&gt;"",TEXT(AUX!CR$1,"dd-MMM-aa"),"")</f>
      </c>
      <c r="CO519" s="496" t="str">
        <f> IF(CO539&lt;&gt;"",TEXT(AUX!CS$1,"dd-MMM-aa"),"")</f>
      </c>
      <c r="CP519" s="496" t="str">
        <f> IF(CP539&lt;&gt;"",TEXT(AUX!CT$1,"dd-MMM-aa"),"")</f>
      </c>
      <c r="CQ519" s="496" t="str">
        <f> IF(CQ539&lt;&gt;"",TEXT(AUX!CU$1,"dd-MMM-aa"),"")</f>
      </c>
      <c r="CR519" s="496" t="str">
        <f> IF(CR539&lt;&gt;"",TEXT(AUX!CV$1,"dd-MMM-aa"),"")</f>
      </c>
      <c r="CS519" s="496" t="str">
        <f> IF(CS539&lt;&gt;"",TEXT(AUX!CW$1,"dd-MMM-aa"),"")</f>
      </c>
      <c r="CT519" s="496" t="str">
        <f> IF(CT539&lt;&gt;"",TEXT(AUX!CX$1,"dd-MMM-aa"),"")</f>
      </c>
      <c r="CU519" s="496" t="str">
        <f> IF(CU539&lt;&gt;"",TEXT(AUX!CY$1,"dd-MMM-aa"),"")</f>
      </c>
      <c r="CV519" s="496" t="str">
        <f> IF(CV539&lt;&gt;"",TEXT(AUX!CZ$1,"dd-MMM-aa"),"")</f>
      </c>
      <c r="CW519" s="496" t="str">
        <f> IF(CW539&lt;&gt;"",TEXT(AUX!DA$1,"dd-MMM-aa"),"")</f>
      </c>
      <c r="CX519" s="496" t="str">
        <f> IF(CX539&lt;&gt;"",TEXT(AUX!DB$1,"dd-MMM-aa"),"")</f>
      </c>
      <c r="CY519" s="496" t="str">
        <f> IF(CY539&lt;&gt;"",TEXT(AUX!DC$1,"dd-MMM-aa"),"")</f>
      </c>
      <c r="CZ519" s="496" t="str">
        <f> IF(CZ539&lt;&gt;"",TEXT(AUX!DD$1,"dd-MMM-aa"),"")</f>
      </c>
      <c r="DA519" s="496" t="str">
        <f> IF(DA539&lt;&gt;"",TEXT(AUX!DE$1,"dd-MMM-aa"),"")</f>
      </c>
      <c r="DB519" s="496" t="str">
        <f> IF(DB539&lt;&gt;"",TEXT(AUX!DF$1,"dd-MMM-aa"),"")</f>
      </c>
      <c r="DC519" s="496" t="str">
        <f> IF(DC539&lt;&gt;"",TEXT(AUX!DG$1,"dd-MMM-aa"),"")</f>
      </c>
      <c r="DD519" s="496" t="str">
        <f> IF(DD539&lt;&gt;"",TEXT(AUX!DH$1,"dd-MMM-aa"),"")</f>
      </c>
      <c r="DE519" s="496" t="str">
        <f> IF(DE539&lt;&gt;"",TEXT(AUX!DI$1,"dd-MMM-aa"),"")</f>
      </c>
      <c r="DF519" s="496" t="str">
        <f> IF(DF539&lt;&gt;"",TEXT(AUX!DJ$1,"dd-MMM-aa"),"")</f>
      </c>
      <c r="DG519" s="496" t="str">
        <f> IF(DG539&lt;&gt;"",TEXT(AUX!DK$1,"dd-MMM-aa"),"")</f>
      </c>
      <c r="DH519" s="496" t="str">
        <f> IF(DH539&lt;&gt;"",TEXT(AUX!DL$1,"dd-MMM-aa"),"")</f>
      </c>
      <c r="DI519" s="496" t="str">
        <f> IF(DI539&lt;&gt;"",TEXT(AUX!DM$1,"dd-MMM-aa"),"")</f>
      </c>
      <c r="DJ519" s="496" t="str">
        <f> IF(DJ539&lt;&gt;"",TEXT(AUX!DN$1,"dd-MMM-aa"),"")</f>
      </c>
      <c r="DK519" s="496" t="str">
        <f> IF(DK539&lt;&gt;"",TEXT(AUX!DO$1,"dd-MMM-aa"),"")</f>
      </c>
      <c r="DL519" s="496" t="str">
        <f> IF(DL539&lt;&gt;"",TEXT(AUX!DP$1,"dd-MMM-aa"),"")</f>
      </c>
      <c r="DM519" s="496" t="str">
        <f> IF(DM539&lt;&gt;"",TEXT(AUX!DQ$1,"dd-MMM-aa"),"")</f>
      </c>
      <c r="DN519" s="496" t="str">
        <f> IF(DN539&lt;&gt;"",TEXT(AUX!DR$1,"dd-MMM-aa"),"")</f>
      </c>
      <c r="DO519" s="496" t="str">
        <f> IF(DO539&lt;&gt;"",TEXT(AUX!DS$1,"dd-MMM-aa"),"")</f>
      </c>
      <c r="DP519" s="496" t="str">
        <f> IF(DP539&lt;&gt;"",TEXT(AUX!DT$1,"dd-MMM-aa"),"")</f>
      </c>
      <c r="DQ519" s="496" t="str">
        <f> IF(DQ539&lt;&gt;"",TEXT(AUX!DU$1,"dd-MMM-aa"),"")</f>
      </c>
      <c r="DR519" s="496" t="str">
        <f> IF(DR539&lt;&gt;"",TEXT(AUX!DV$1,"dd-MMM-aa"),"")</f>
      </c>
      <c r="DS519" s="496" t="str">
        <f> IF(DS539&lt;&gt;"",TEXT(AUX!DW$1,"dd-MMM-aa"),"")</f>
      </c>
      <c r="DT519" s="496" t="str">
        <f> IF(DT539&lt;&gt;"",TEXT(AUX!DX$1,"dd-MMM-aa"),"")</f>
      </c>
      <c r="DU519" s="496" t="str">
        <f> IF(DU539&lt;&gt;"",TEXT(AUX!DY$1,"dd-MMM-aa"),"")</f>
      </c>
      <c r="DV519" s="496" t="str">
        <f> IF(DV539&lt;&gt;"",TEXT(AUX!DZ$1,"dd-MMM-aa"),"")</f>
      </c>
      <c r="DW519" s="496" t="str">
        <f> IF(DW539&lt;&gt;"",TEXT(AUX!EA$1,"dd-MMM-aa"),"")</f>
      </c>
      <c r="DX519" s="496" t="str">
        <f> IF(DX539&lt;&gt;"",TEXT(AUX!EB$1,"dd-MMM-aa"),"")</f>
      </c>
      <c r="DY519" s="496" t="str">
        <f> IF(DY539&lt;&gt;"",TEXT(AUX!EC$1,"dd-MMM-aa"),"")</f>
      </c>
      <c r="DZ519" s="496" t="str">
        <f> IF(DZ539&lt;&gt;"",TEXT(AUX!ED$1,"dd-MMM-aa"),"")</f>
      </c>
      <c r="EA519" s="496" t="str">
        <f> IF(EA539&lt;&gt;"",TEXT(AUX!EE$1,"dd-MMM-aa"),"")</f>
      </c>
      <c r="EB519" s="496" t="str">
        <f> IF(EB539&lt;&gt;"",TEXT(AUX!EF$1,"dd-MMM-aa"),"")</f>
      </c>
      <c r="EC519" s="496" t="str">
        <f> IF(EC539&lt;&gt;"",TEXT(AUX!EG$1,"dd-MMM-aa"),"")</f>
      </c>
      <c r="ED519" s="496" t="str">
        <f> IF(ED539&lt;&gt;"",TEXT(AUX!EH$1,"dd-MMM-aa"),"")</f>
      </c>
      <c r="EE519" s="496" t="str">
        <f> IF(EE539&lt;&gt;"",TEXT(AUX!EI$1,"dd-MMM-aa"),"")</f>
      </c>
      <c r="EF519" s="496" t="str">
        <f> IF(EF539&lt;&gt;"",TEXT(AUX!EJ$1,"dd-MMM-aa"),"")</f>
      </c>
      <c r="EG519" s="496" t="str">
        <f> IF(EG539&lt;&gt;"",TEXT(AUX!EK$1,"dd-MMM-aa"),"")</f>
      </c>
      <c r="EH519" s="496" t="str">
        <f> IF(EH539&lt;&gt;"",TEXT(AUX!EL$1,"dd-MMM-aa"),"")</f>
      </c>
      <c r="EI519" s="496" t="str">
        <f> IF(EI539&lt;&gt;"",TEXT(AUX!EM$1,"dd-MMM-aa"),"")</f>
      </c>
      <c r="EJ519" s="496" t="str">
        <f> IF(EJ539&lt;&gt;"",TEXT(AUX!EN$1,"dd-MMM-aa"),"")</f>
      </c>
      <c r="EK519" s="496" t="str">
        <f> IF(EK539&lt;&gt;"",TEXT(AUX!EO$1,"dd-MMM-aa"),"")</f>
      </c>
      <c r="EL519" s="496" t="str">
        <f> IF(EL539&lt;&gt;"",TEXT(AUX!EP$1,"dd-MMM-aa"),"")</f>
      </c>
      <c r="EM519" s="496" t="str">
        <f> IF(EM539&lt;&gt;"",TEXT(AUX!EQ$1,"dd-MMM-aa"),"")</f>
      </c>
      <c r="EN519" s="496" t="str">
        <f> IF(EN539&lt;&gt;"",TEXT(AUX!ER$1,"dd-MMM-aa"),"")</f>
      </c>
      <c r="EO519" s="496" t="str">
        <f> IF(EO539&lt;&gt;"",TEXT(AUX!ES$1,"dd-MMM-aa"),"")</f>
      </c>
      <c r="EP519" s="496" t="str">
        <f> IF(EP539&lt;&gt;"",TEXT(AUX!ET$1,"dd-MMM-aa"),"")</f>
      </c>
      <c r="EQ519" s="496" t="str">
        <f> IF(EQ539&lt;&gt;"",TEXT(AUX!EU$1,"dd-MMM-aa"),"")</f>
      </c>
      <c r="ER519" s="496" t="str">
        <f> IF(ER539&lt;&gt;"",TEXT(AUX!EV$1,"dd-MMM-aa"),"")</f>
      </c>
      <c r="ES519" s="496" t="str">
        <f> IF(ES539&lt;&gt;"",TEXT(AUX!EW$1,"dd-MMM-aa"),"")</f>
      </c>
      <c r="ET519" s="496" t="str">
        <f> IF(ET539&lt;&gt;"",TEXT(AUX!EX$1,"dd-MMM-aa"),"")</f>
      </c>
      <c r="EU519" s="496" t="str">
        <f> IF(EU539&lt;&gt;"",TEXT(AUX!EY$1,"dd-MMM-aa"),"")</f>
      </c>
      <c r="EV519" s="496" t="str">
        <f> IF(EV539&lt;&gt;"",TEXT(AUX!EZ$1,"dd-MMM-aa"),"")</f>
      </c>
      <c r="EW519" s="496" t="str">
        <f> IF(EW539&lt;&gt;"",TEXT(AUX!FA$1,"dd-MMM-aa"),"")</f>
      </c>
      <c r="EX519" s="496" t="str">
        <f> IF(EX539&lt;&gt;"",TEXT(AUX!FB$1,"dd-MMM-aa"),"")</f>
      </c>
      <c r="EY519" s="496" t="str">
        <f> IF(EY539&lt;&gt;"",TEXT(AUX!FC$1,"dd-MMM-aa"),"")</f>
      </c>
      <c r="EZ519" s="496" t="str">
        <f> IF(EZ539&lt;&gt;"",TEXT(AUX!FD$1,"dd-MMM-aa"),"")</f>
      </c>
      <c r="FA519" s="496" t="str">
        <f> IF(FA539&lt;&gt;"",TEXT(AUX!FE$1,"dd-MMM-aa"),"")</f>
      </c>
      <c r="FB519" s="496" t="str">
        <f> IF(FB539&lt;&gt;"",TEXT(AUX!FF$1,"dd-MMM-aa"),"")</f>
      </c>
      <c r="FC519" s="496" t="str">
        <f> IF(FC539&lt;&gt;"",TEXT(AUX!FG$1,"dd-MMM-aa"),"")</f>
      </c>
      <c r="FD519" s="496" t="str">
        <f> IF(FD539&lt;&gt;"",TEXT(AUX!FH$1,"dd-MMM-aa"),"")</f>
      </c>
      <c r="FE519" s="496" t="str">
        <f> IF(FE539&lt;&gt;"",TEXT(AUX!FI$1,"dd-MMM-aa"),"")</f>
      </c>
      <c r="FF519" s="496" t="str">
        <f> IF(FF539&lt;&gt;"",TEXT(AUX!FJ$1,"dd-MMM-aa"),"")</f>
      </c>
      <c r="FG519" s="496" t="str">
        <f> IF(FG539&lt;&gt;"",TEXT(AUX!FK$1,"dd-MMM-aa"),"")</f>
      </c>
      <c r="FH519" s="496" t="str">
        <f> IF(FH539&lt;&gt;"",TEXT(AUX!FL$1,"dd-MMM-aa"),"")</f>
      </c>
      <c r="FI519" s="496" t="str">
        <f> IF(FI539&lt;&gt;"",TEXT(AUX!FM$1,"dd-MMM-aa"),"")</f>
      </c>
      <c r="FJ519" s="496" t="str">
        <f> IF(FJ539&lt;&gt;"",TEXT(AUX!FN$1,"dd-MMM-aa"),"")</f>
      </c>
      <c r="FK519" s="496" t="str">
        <f> IF(FK539&lt;&gt;"",TEXT(AUX!FO$1,"dd-MMM-aa"),"")</f>
      </c>
      <c r="FL519" s="496" t="str">
        <f> IF(FL539&lt;&gt;"",TEXT(AUX!FP$1,"dd-MMM-aa"),"")</f>
      </c>
      <c r="FM519" s="496" t="str">
        <f> IF(FM539&lt;&gt;"",TEXT(AUX!FQ$1,"dd-MMM-aa"),"")</f>
      </c>
      <c r="FN519" s="496" t="str">
        <f> IF(FN539&lt;&gt;"",TEXT(AUX!FR$1,"dd-MMM-aa"),"")</f>
      </c>
      <c r="FO519" s="496" t="str">
        <f> IF(FO539&lt;&gt;"",TEXT(AUX!FS$1,"dd-MMM-aa"),"")</f>
      </c>
      <c r="FP519" s="496" t="str">
        <f> IF(FP539&lt;&gt;"",TEXT(AUX!FT$1,"dd-MMM-aa"),"")</f>
      </c>
      <c r="FQ519" s="496" t="str">
        <f> IF(FQ539&lt;&gt;"",TEXT(AUX!FU$1,"dd-MMM-aa"),"")</f>
      </c>
      <c r="FR519" s="496" t="str">
        <f> IF(FR539&lt;&gt;"",TEXT(AUX!FV$1,"dd-MMM-aa"),"")</f>
      </c>
      <c r="FS519" s="496" t="str">
        <f> IF(FS539&lt;&gt;"",TEXT(AUX!FW$1,"dd-MMM-aa"),"")</f>
      </c>
      <c r="FT519" s="496" t="str">
        <f> IF(FT539&lt;&gt;"",TEXT(AUX!FX$1,"dd-MMM-aa"),"")</f>
      </c>
      <c r="FU519" s="496" t="str">
        <f> IF(FU539&lt;&gt;"",TEXT(AUX!FY$1,"dd-MMM-aa"),"")</f>
      </c>
      <c r="FV519" s="496" t="str">
        <f> IF(FV539&lt;&gt;"",TEXT(AUX!FZ$1,"dd-MMM-aa"),"")</f>
      </c>
      <c r="FW519" s="496" t="str">
        <f> IF(FW539&lt;&gt;"",TEXT(AUX!GA$1,"dd-MMM-aa"),"")</f>
      </c>
      <c r="FX519" s="496" t="str">
        <f> IF(FX539&lt;&gt;"",TEXT(AUX!GB$1,"dd-MMM-aa"),"")</f>
      </c>
      <c r="FY519" s="496" t="str">
        <f> IF(FY539&lt;&gt;"",TEXT(AUX!GC$1,"dd-MMM-aa"),"")</f>
      </c>
      <c r="FZ519" s="496" t="str">
        <f> IF(FZ539&lt;&gt;"",TEXT(AUX!GD$1,"dd-MMM-aa"),"")</f>
      </c>
      <c r="GA519" s="496" t="str">
        <f> IF(GA539&lt;&gt;"",TEXT(AUX!GE$1,"dd-MMM-aa"),"")</f>
      </c>
      <c r="GB519" s="496" t="str">
        <f> IF(GB539&lt;&gt;"",TEXT(AUX!GF$1,"dd-MMM-aa"),"")</f>
      </c>
      <c r="GC519" s="496" t="str">
        <f> IF(GC539&lt;&gt;"",TEXT(AUX!GG$1,"dd-MMM-aa"),"")</f>
      </c>
      <c r="GD519" s="496" t="str">
        <f> IF(GD539&lt;&gt;"",TEXT(AUX!GH$1,"dd-MMM-aa"),"")</f>
      </c>
      <c r="GE519" s="496" t="str">
        <f> IF(GE539&lt;&gt;"",TEXT(AUX!GI$1,"dd-MMM-aa"),"")</f>
      </c>
      <c r="GF519" s="496" t="str">
        <f> IF(GF539&lt;&gt;"",TEXT(AUX!GJ$1,"dd-MMM-aa"),"")</f>
      </c>
      <c r="GG519" s="496" t="str">
        <f> IF(GG539&lt;&gt;"",TEXT(AUX!GK$1,"dd-MMM-aa"),"")</f>
      </c>
      <c r="GH519" s="496" t="str">
        <f> IF(GH539&lt;&gt;"",TEXT(AUX!GL$1,"dd-MMM-aa"),"")</f>
      </c>
      <c r="GI519" s="496" t="str">
        <f> IF(GI539&lt;&gt;"",TEXT(AUX!GM$1,"dd-MMM-aa"),"")</f>
      </c>
      <c r="GJ519" s="496" t="str">
        <f> IF(GJ539&lt;&gt;"",TEXT(AUX!GN$1,"dd-MMM-aa"),"")</f>
      </c>
      <c r="GK519" s="496" t="str">
        <f> IF(GK539&lt;&gt;"",TEXT(AUX!GO$1,"dd-MMM-aa"),"")</f>
      </c>
      <c r="GL519" s="496" t="str">
        <f> IF(GL539&lt;&gt;"",TEXT(AUX!GP$1,"dd-MMM-aa"),"")</f>
      </c>
      <c r="GM519" s="496" t="str">
        <f> IF(GM539&lt;&gt;"",TEXT(AUX!GQ$1,"dd-MMM-aa"),"")</f>
      </c>
      <c r="GN519" s="496" t="str">
        <f> IF(GN539&lt;&gt;"",TEXT(AUX!GR$1,"dd-MMM-aa"),"")</f>
      </c>
      <c r="GO519" s="496" t="str">
        <f> IF(GO539&lt;&gt;"",TEXT(AUX!GS$1,"dd-MMM-aa"),"")</f>
      </c>
      <c r="GP519" s="496" t="str">
        <f> IF(GP539&lt;&gt;"",TEXT(AUX!GT$1,"dd-MMM-aa"),"")</f>
      </c>
      <c r="GQ519" s="496" t="str">
        <f> IF(GQ539&lt;&gt;"",TEXT(AUX!GU$1,"dd-MMM-aa"),"")</f>
      </c>
      <c r="GR519" s="496" t="str">
        <f> IF(GR539&lt;&gt;"",TEXT(AUX!GV$1,"dd-MMM-aa"),"")</f>
      </c>
      <c r="GS519" s="496" t="str">
        <f> IF(GS539&lt;&gt;"",TEXT(AUX!GW$1,"dd-MMM-aa"),"")</f>
      </c>
      <c r="GT519" s="496" t="str">
        <f> IF(GT539&lt;&gt;"",TEXT(AUX!GX$1,"dd-MMM-aa"),"")</f>
      </c>
      <c r="GU519" s="496" t="str">
        <f> IF(GU539&lt;&gt;"",TEXT(AUX!GY$1,"dd-MMM-aa"),"")</f>
      </c>
      <c r="GV519" s="496" t="str">
        <f> IF(GV539&lt;&gt;"",TEXT(AUX!GZ$1,"dd-MMM-aa"),"")</f>
      </c>
      <c r="GW519" s="496" t="str">
        <f> IF(GW539&lt;&gt;"",TEXT(AUX!HA$1,"dd-MMM-aa"),"")</f>
      </c>
      <c r="GX519" s="496" t="str">
        <f> IF(GX539&lt;&gt;"",TEXT(AUX!HB$1,"dd-MMM-aa"),"")</f>
      </c>
      <c r="GY519" s="496" t="str">
        <f> IF(GY539&lt;&gt;"",TEXT(AUX!HC$1,"dd-MMM-aa"),"")</f>
      </c>
      <c r="GZ519" s="496" t="str">
        <f> IF(GZ539&lt;&gt;"",TEXT(AUX!HD$1,"dd-MMM-aa"),"")</f>
      </c>
      <c r="HA519" s="496" t="str">
        <f> IF(HA539&lt;&gt;"",TEXT(AUX!HE$1,"dd-MMM-aa"),"")</f>
      </c>
      <c r="HB519" s="496" t="str">
        <f> IF(HB539&lt;&gt;"",TEXT(AUX!HF$1,"dd-MMM-aa"),"")</f>
      </c>
      <c r="HC519" s="496" t="str">
        <f> IF(HC539&lt;&gt;"",TEXT(AUX!HG$1,"dd-MMM-aa"),"")</f>
      </c>
      <c r="HD519" s="496" t="str">
        <f> IF(HD539&lt;&gt;"",TEXT(AUX!HH$1,"dd-MMM-aa"),"")</f>
      </c>
      <c r="HE519" s="496" t="str">
        <f> IF(HE539&lt;&gt;"",TEXT(AUX!HI$1,"dd-MMM-aa"),"")</f>
      </c>
      <c r="HF519" s="496" t="str">
        <f> IF(HF539&lt;&gt;"",TEXT(AUX!HJ$1,"dd-MMM-aa"),"")</f>
      </c>
      <c r="HG519" s="496" t="str">
        <f> IF(HG539&lt;&gt;"",TEXT(AUX!HK$1,"dd-MMM-aa"),"")</f>
      </c>
      <c r="HH519" s="496" t="str">
        <f> IF(HH539&lt;&gt;"",TEXT(AUX!HL$1,"dd-MMM-aa"),"")</f>
      </c>
      <c r="HI519" s="496" t="str">
        <f> IF(HI539&lt;&gt;"",TEXT(AUX!HM$1,"dd-MMM-aa"),"")</f>
      </c>
      <c r="HJ519" s="496" t="str">
        <f> IF(HJ539&lt;&gt;"",TEXT(AUX!HN$1,"dd-MMM-aa"),"")</f>
      </c>
      <c r="HK519" s="496" t="str">
        <f> IF(HK539&lt;&gt;"",TEXT(AUX!HO$1,"dd-MMM-aa"),"")</f>
      </c>
      <c r="HL519" s="496" t="str">
        <f> IF(HL539&lt;&gt;"",TEXT(AUX!HP$1,"dd-MMM-aa"),"")</f>
      </c>
      <c r="HM519" s="496" t="str">
        <f> IF(HM539&lt;&gt;"",TEXT(AUX!HQ$1,"dd-MMM-aa"),"")</f>
      </c>
      <c r="HN519" s="496" t="str">
        <f> IF(HN539&lt;&gt;"",TEXT(AUX!HR$1,"dd-MMM-aa"),"")</f>
      </c>
      <c r="HO519" s="496" t="str">
        <f> IF(HO539&lt;&gt;"",TEXT(AUX!HS$1,"dd-MMM-aa"),"")</f>
      </c>
      <c r="HP519" s="496" t="str">
        <f> IF(HP539&lt;&gt;"",TEXT(AUX!HT$1,"dd-MMM-aa"),"")</f>
      </c>
      <c r="HQ519" s="496" t="str">
        <f> IF(HQ539&lt;&gt;"",TEXT(AUX!HU$1,"dd-MMM-aa"),"")</f>
      </c>
      <c r="HR519" s="496" t="str">
        <f> IF(HR539&lt;&gt;"",TEXT(AUX!HV$1,"dd-MMM-aa"),"")</f>
      </c>
      <c r="HS519" s="496" t="str">
        <f> IF(HS539&lt;&gt;"",TEXT(AUX!HW$1,"dd-MMM-aa"),"")</f>
      </c>
      <c r="HT519" s="496" t="str">
        <f> IF(HT539&lt;&gt;"",TEXT(AUX!HX$1,"dd-MMM-aa"),"")</f>
      </c>
      <c r="HU519" s="496" t="str">
        <f> IF(HU539&lt;&gt;"",TEXT(AUX!HY$1,"dd-MMM-aa"),"")</f>
      </c>
      <c r="HV519" s="496" t="str">
        <f> IF(HV539&lt;&gt;"",TEXT(AUX!HZ$1,"dd-MMM-aa"),"")</f>
      </c>
      <c r="HW519" s="496" t="str">
        <f> IF(HW539&lt;&gt;"",TEXT(AUX!IA$1,"dd-MMM-aa"),"")</f>
      </c>
      <c r="HX519" s="496" t="str">
        <f> IF(HX539&lt;&gt;"",TEXT(AUX!IB$1,"dd-MMM-aa"),"")</f>
      </c>
      <c r="HY519" s="496" t="str">
        <f> IF(HY539&lt;&gt;"",TEXT(AUX!IC$1,"dd-MMM-aa"),"")</f>
      </c>
      <c r="HZ519" s="496" t="str">
        <f> IF(HZ539&lt;&gt;"",TEXT(AUX!ID$1,"dd-MMM-aa"),"")</f>
      </c>
      <c r="IA519" s="496" t="str">
        <f> IF(IA539&lt;&gt;"",TEXT(AUX!IE$1,"dd-MMM-aa"),"")</f>
      </c>
      <c r="IB519" s="496" t="str">
        <f> IF(IB539&lt;&gt;"",TEXT(AUX!IF$1,"dd-MMM-aa"),"")</f>
      </c>
      <c r="IC519" s="496" t="str">
        <f> IF(IC539&lt;&gt;"",TEXT(AUX!IG$1,"dd-MMM-aa"),"")</f>
      </c>
      <c r="ID519" s="496" t="str">
        <f> IF(ID539&lt;&gt;"",TEXT(AUX!IH$1,"dd-MMM-aa"),"")</f>
      </c>
      <c r="IE519" s="496" t="str">
        <f> IF(IE539&lt;&gt;"",TEXT(AUX!II$1,"dd-MMM-aa"),"")</f>
      </c>
      <c r="IF519" s="496" t="str">
        <f> IF(IF539&lt;&gt;"",TEXT(AUX!IJ$1,"dd-MMM-aa"),"")</f>
      </c>
      <c r="IG519" s="496" t="str">
        <f> IF(IG539&lt;&gt;"",TEXT(AUX!IK$1,"dd-MMM-aa"),"")</f>
      </c>
      <c r="IH519" s="496" t="str">
        <f> IF(IH539&lt;&gt;"",TEXT(AUX!IL$1,"dd-MMM-aa"),"")</f>
      </c>
      <c r="II519" s="496" t="str">
        <f> IF(II539&lt;&gt;"",TEXT(AUX!IM$1,"dd-MMM-aa"),"")</f>
      </c>
      <c r="IJ519" s="496" t="str">
        <f> IF(IJ539&lt;&gt;"",TEXT(AUX!IN$1,"dd-MMM-aa"),"")</f>
      </c>
      <c r="IK519" s="496" t="str">
        <f> IF(IK539&lt;&gt;"",TEXT(AUX!IO$1,"dd-MMM-aa"),"")</f>
      </c>
      <c r="IL519" s="496" t="str">
        <f> IF(IL539&lt;&gt;"",TEXT(AUX!IP$1,"dd-MMM-aa"),"")</f>
      </c>
      <c r="IM519" s="496" t="str">
        <f> IF(IM539&lt;&gt;"",TEXT(AUX!IQ$1,"dd-MMM-aa"),"")</f>
      </c>
      <c r="IN519" s="496" t="str">
        <f> IF(IN539&lt;&gt;"",TEXT(AUX!IR$1,"dd-MMM-aa"),"")</f>
      </c>
      <c r="IO519" s="496" t="str">
        <f> IF(IO539&lt;&gt;"",TEXT(AUX!IS$1,"dd-MMM-aa"),"")</f>
      </c>
      <c r="IP519" s="496" t="str">
        <f> IF(IP539&lt;&gt;"",TEXT(AUX!IT$1,"dd-MMM-aa"),"")</f>
      </c>
      <c r="IQ519" s="496" t="str">
        <f> IF(IQ539&lt;&gt;"",TEXT(AUX!IU$1,"dd-MMM-aa"),"")</f>
      </c>
      <c r="IR519" s="496" t="str">
        <f> IF(IR539&lt;&gt;"",TEXT(AUX!IV$1,"dd-MMM-aa"),"")</f>
      </c>
      <c r="IS519" s="496" t="str">
        <f> IF(IS539&lt;&gt;"",TEXT(AUX!#REF!,"dd-MMM-aa"),"")</f>
      </c>
      <c r="IT519" s="496" t="str">
        <f> IF(IT539&lt;&gt;"",TEXT(AUX!#REF!,"dd-MMM-aa"),"")</f>
      </c>
      <c r="IU519" s="496" t="str">
        <f> IF(IU539&lt;&gt;"",TEXT(AUX!#REF!,"dd-MMM-aa"),"")</f>
      </c>
      <c r="IV519" s="496" t="str">
        <f> IF(IV539&lt;&gt;"",TEXT(AUX!#REF!,"dd-MMM-aa"),"")</f>
      </c>
    </row>
    <row r="520" hidden="1" ht="12.75" customHeight="1">
      <c r="B520" s="822" t="s">
        <v>8</v>
      </c>
      <c r="C520" s="823">
        <v>68388</v>
      </c>
      <c r="D520" s="823">
        <v>65937</v>
      </c>
      <c r="E520" s="823">
        <v>63859</v>
      </c>
      <c r="F520" s="823">
        <v>64761</v>
      </c>
      <c r="G520" s="823">
        <v>63794</v>
      </c>
      <c r="H520" s="823">
        <v>62250</v>
      </c>
      <c r="I520" s="823">
        <v>59860</v>
      </c>
      <c r="J520" s="823">
        <v>60208</v>
      </c>
      <c r="K520" s="823">
        <v>59424</v>
      </c>
      <c r="L520" s="823">
        <v>60199</v>
      </c>
      <c r="M520" s="823">
        <v>60330</v>
      </c>
      <c r="N520" s="823">
        <v>59863</v>
      </c>
      <c r="O520" s="823">
        <v>59911</v>
      </c>
      <c r="P520" s="823">
        <v>58094</v>
      </c>
      <c r="Q520" s="823">
        <v>55973</v>
      </c>
      <c r="R520" s="823">
        <v>57642</v>
      </c>
      <c r="S520" s="823">
        <v>59202</v>
      </c>
      <c r="T520" s="823">
        <v>59660</v>
      </c>
      <c r="U520" s="823">
        <v>60281</v>
      </c>
      <c r="V520" s="823">
        <v>61339</v>
      </c>
      <c r="W520" s="823">
        <v>60006</v>
      </c>
      <c r="X520" s="823">
        <v>60281</v>
      </c>
      <c r="Y520" s="823">
        <v>61808</v>
      </c>
      <c r="Z520" s="823">
        <v>61641</v>
      </c>
      <c r="AA520" s="823">
        <v>61206</v>
      </c>
      <c r="AB520" s="824">
        <v>61506</v>
      </c>
      <c r="AC520" s="825">
        <v>61657</v>
      </c>
      <c r="AD520" s="825">
        <v>62671</v>
      </c>
      <c r="AE520" s="825">
        <v>62650</v>
      </c>
      <c r="AF520" s="825">
        <v>62563</v>
      </c>
      <c r="AG520" s="825">
        <v>62109</v>
      </c>
      <c r="AH520" s="825">
        <v>60462</v>
      </c>
      <c r="AI520" s="825">
        <v>58362</v>
      </c>
      <c r="AJ520" s="825">
        <v>58557</v>
      </c>
      <c r="AK520" s="825">
        <v>57817</v>
      </c>
      <c r="AL520" s="825">
        <v>57310</v>
      </c>
      <c r="AM520" s="825">
        <v>56013</v>
      </c>
      <c r="AN520" s="825">
        <v>56237</v>
      </c>
      <c r="AO520" s="825">
        <v>54944</v>
      </c>
      <c r="AP520" s="825">
        <v>55675</v>
      </c>
    </row>
    <row r="521" hidden="1" ht="12.75" customHeight="1">
      <c r="B521" s="826" t="s">
        <v>9</v>
      </c>
      <c r="C521" s="827">
        <v>11232</v>
      </c>
      <c r="D521" s="827">
        <v>11237</v>
      </c>
      <c r="E521" s="827">
        <v>11258</v>
      </c>
      <c r="F521" s="827">
        <v>11696</v>
      </c>
      <c r="G521" s="827">
        <v>12922</v>
      </c>
      <c r="H521" s="827">
        <v>12750</v>
      </c>
      <c r="I521" s="827">
        <v>12466</v>
      </c>
      <c r="J521" s="827">
        <v>12461</v>
      </c>
      <c r="K521" s="827">
        <v>12406</v>
      </c>
      <c r="L521" s="827">
        <v>12865</v>
      </c>
      <c r="M521" s="827">
        <v>13204</v>
      </c>
      <c r="N521" s="827">
        <v>13648</v>
      </c>
      <c r="O521" s="827">
        <v>13520</v>
      </c>
      <c r="P521" s="827">
        <v>13812</v>
      </c>
      <c r="Q521" s="827">
        <v>13816</v>
      </c>
      <c r="R521" s="827">
        <v>14462</v>
      </c>
      <c r="S521" s="827">
        <v>14689</v>
      </c>
      <c r="T521" s="827">
        <v>15160</v>
      </c>
      <c r="U521" s="827">
        <v>14935</v>
      </c>
      <c r="V521" s="827">
        <v>15122</v>
      </c>
      <c r="W521" s="827">
        <v>14843</v>
      </c>
      <c r="X521" s="827">
        <v>15422</v>
      </c>
      <c r="Y521" s="827">
        <v>15241</v>
      </c>
      <c r="Z521" s="827">
        <v>15537</v>
      </c>
      <c r="AA521" s="827">
        <v>15768</v>
      </c>
      <c r="AB521" s="827">
        <v>16153</v>
      </c>
      <c r="AC521" s="828">
        <v>16380</v>
      </c>
      <c r="AD521" s="828">
        <v>16617</v>
      </c>
      <c r="AE521" s="828">
        <v>16516</v>
      </c>
      <c r="AF521" s="828">
        <v>16819</v>
      </c>
      <c r="AG521" s="828">
        <v>16454</v>
      </c>
      <c r="AH521" s="828">
        <v>16306</v>
      </c>
      <c r="AI521" s="828">
        <v>15955</v>
      </c>
      <c r="AJ521" s="828">
        <v>15704</v>
      </c>
      <c r="AK521" s="828">
        <v>15545</v>
      </c>
      <c r="AL521" s="828">
        <v>15449</v>
      </c>
      <c r="AM521" s="828">
        <v>14780</v>
      </c>
      <c r="AN521" s="828">
        <v>14861</v>
      </c>
      <c r="AO521" s="828">
        <v>14359</v>
      </c>
      <c r="AP521" s="828">
        <v>14715</v>
      </c>
    </row>
    <row r="522" hidden="1" ht="12.75" customHeight="1">
      <c r="B522" s="829" t="s">
        <v>10</v>
      </c>
      <c r="C522" s="823">
        <v>97709</v>
      </c>
      <c r="D522" s="823">
        <v>93720</v>
      </c>
      <c r="E522" s="823">
        <v>92522</v>
      </c>
      <c r="F522" s="823">
        <v>91497</v>
      </c>
      <c r="G522" s="823">
        <v>89605</v>
      </c>
      <c r="H522" s="823">
        <v>86806</v>
      </c>
      <c r="I522" s="823">
        <v>85035</v>
      </c>
      <c r="J522" s="823">
        <v>82871</v>
      </c>
      <c r="K522" s="823">
        <v>83107</v>
      </c>
      <c r="L522" s="823">
        <v>81694</v>
      </c>
      <c r="M522" s="823">
        <v>81336</v>
      </c>
      <c r="N522" s="823">
        <v>80314</v>
      </c>
      <c r="O522" s="823">
        <v>80461</v>
      </c>
      <c r="P522" s="823">
        <v>78698</v>
      </c>
      <c r="Q522" s="823">
        <v>78968</v>
      </c>
      <c r="R522" s="823">
        <v>78203</v>
      </c>
      <c r="S522" s="823">
        <v>79658</v>
      </c>
      <c r="T522" s="823">
        <v>79352</v>
      </c>
      <c r="U522" s="823">
        <v>79141</v>
      </c>
      <c r="V522" s="823">
        <v>78325</v>
      </c>
      <c r="W522" s="823">
        <v>77730</v>
      </c>
      <c r="X522" s="823">
        <v>75956</v>
      </c>
      <c r="Y522" s="823">
        <v>76239</v>
      </c>
      <c r="Z522" s="823">
        <v>75035</v>
      </c>
      <c r="AA522" s="823">
        <v>74494</v>
      </c>
      <c r="AB522" s="823">
        <v>72587</v>
      </c>
      <c r="AC522" s="825">
        <v>71758</v>
      </c>
      <c r="AD522" s="825">
        <v>70169</v>
      </c>
      <c r="AE522" s="825">
        <v>70364</v>
      </c>
      <c r="AF522" s="825">
        <v>68902</v>
      </c>
      <c r="AG522" s="825">
        <v>67612</v>
      </c>
      <c r="AH522" s="825">
        <v>65441</v>
      </c>
      <c r="AI522" s="825">
        <v>63468</v>
      </c>
      <c r="AJ522" s="825">
        <v>62205</v>
      </c>
      <c r="AK522" s="825">
        <v>62153</v>
      </c>
      <c r="AL522" s="825">
        <v>60136</v>
      </c>
      <c r="AM522" s="825">
        <v>59436</v>
      </c>
      <c r="AN522" s="825">
        <v>57641</v>
      </c>
      <c r="AO522" s="825">
        <v>56266</v>
      </c>
      <c r="AP522" s="825">
        <v>55869</v>
      </c>
    </row>
    <row r="523" hidden="1" ht="12.75" customHeight="1">
      <c r="B523" s="826" t="s">
        <v>11</v>
      </c>
      <c r="C523" s="827">
        <v>14866</v>
      </c>
      <c r="D523" s="827">
        <v>15302</v>
      </c>
      <c r="E523" s="827">
        <v>14414</v>
      </c>
      <c r="F523" s="827">
        <v>14608</v>
      </c>
      <c r="G523" s="827">
        <v>13562</v>
      </c>
      <c r="H523" s="827">
        <v>13862</v>
      </c>
      <c r="I523" s="827">
        <v>12971</v>
      </c>
      <c r="J523" s="827">
        <v>13202</v>
      </c>
      <c r="K523" s="827">
        <v>12566</v>
      </c>
      <c r="L523" s="827">
        <v>12831</v>
      </c>
      <c r="M523" s="827">
        <v>12231</v>
      </c>
      <c r="N523" s="827">
        <v>12081</v>
      </c>
      <c r="O523" s="827">
        <v>11415</v>
      </c>
      <c r="P523" s="827">
        <v>11552</v>
      </c>
      <c r="Q523" s="827">
        <v>10963</v>
      </c>
      <c r="R523" s="827">
        <v>11091</v>
      </c>
      <c r="S523" s="827">
        <v>10510</v>
      </c>
      <c r="T523" s="827">
        <v>10813</v>
      </c>
      <c r="U523" s="827">
        <v>10470</v>
      </c>
      <c r="V523" s="827">
        <v>10799</v>
      </c>
      <c r="W523" s="827">
        <v>10456</v>
      </c>
      <c r="X523" s="827">
        <v>10611</v>
      </c>
      <c r="Y523" s="827">
        <v>9906</v>
      </c>
      <c r="Z523" s="827">
        <v>9932</v>
      </c>
      <c r="AA523" s="827">
        <v>9417</v>
      </c>
      <c r="AB523" s="827">
        <v>9651</v>
      </c>
      <c r="AC523" s="828">
        <v>9089</v>
      </c>
      <c r="AD523" s="828">
        <v>9261</v>
      </c>
      <c r="AE523" s="828">
        <v>8749</v>
      </c>
      <c r="AF523" s="828">
        <v>8958</v>
      </c>
      <c r="AG523" s="828">
        <v>8297</v>
      </c>
      <c r="AH523" s="828">
        <v>8549</v>
      </c>
      <c r="AI523" s="828">
        <v>7899</v>
      </c>
      <c r="AJ523" s="828">
        <v>7986</v>
      </c>
      <c r="AK523" s="828">
        <v>7626</v>
      </c>
      <c r="AL523" s="828">
        <v>7840</v>
      </c>
      <c r="AM523" s="828">
        <v>7145</v>
      </c>
      <c r="AN523" s="828">
        <v>7289</v>
      </c>
      <c r="AO523" s="828">
        <v>6533</v>
      </c>
      <c r="AP523" s="828">
        <v>6944</v>
      </c>
    </row>
    <row r="524" hidden="1" ht="12.75" customHeight="1">
      <c r="B524" s="829" t="s">
        <v>12</v>
      </c>
      <c r="C524" s="823">
        <v>6221</v>
      </c>
      <c r="D524" s="823">
        <v>6166</v>
      </c>
      <c r="E524" s="823">
        <v>5800</v>
      </c>
      <c r="F524" s="823">
        <v>5391</v>
      </c>
      <c r="G524" s="823">
        <v>4963</v>
      </c>
      <c r="H524" s="823">
        <v>4639</v>
      </c>
      <c r="I524" s="823">
        <v>4260</v>
      </c>
      <c r="J524" s="823">
        <v>4268</v>
      </c>
      <c r="K524" s="823">
        <v>4446</v>
      </c>
      <c r="L524" s="823">
        <v>4461</v>
      </c>
      <c r="M524" s="823">
        <v>4596</v>
      </c>
      <c r="N524" s="823">
        <v>4511</v>
      </c>
      <c r="O524" s="823">
        <v>4334</v>
      </c>
      <c r="P524" s="823">
        <v>4294</v>
      </c>
      <c r="Q524" s="823">
        <v>3750</v>
      </c>
      <c r="R524" s="823">
        <v>3932</v>
      </c>
      <c r="S524" s="823">
        <v>3917</v>
      </c>
      <c r="T524" s="823">
        <v>4300</v>
      </c>
      <c r="U524" s="823">
        <v>4375</v>
      </c>
      <c r="V524" s="823">
        <v>4744</v>
      </c>
      <c r="W524" s="823">
        <v>4886</v>
      </c>
      <c r="X524" s="823">
        <v>5111</v>
      </c>
      <c r="Y524" s="823">
        <v>5300</v>
      </c>
      <c r="Z524" s="823">
        <v>5392</v>
      </c>
      <c r="AA524" s="823">
        <v>5589</v>
      </c>
      <c r="AB524" s="823">
        <v>5503</v>
      </c>
      <c r="AC524" s="825">
        <v>5979</v>
      </c>
      <c r="AD524" s="825">
        <v>5952</v>
      </c>
      <c r="AE524" s="825">
        <v>5842</v>
      </c>
      <c r="AF524" s="825">
        <v>5845</v>
      </c>
      <c r="AG524" s="825">
        <v>5837</v>
      </c>
      <c r="AH524" s="825">
        <v>5945</v>
      </c>
      <c r="AI524" s="825">
        <v>5852</v>
      </c>
      <c r="AJ524" s="825">
        <v>5879</v>
      </c>
      <c r="AK524" s="825">
        <v>5757</v>
      </c>
      <c r="AL524" s="825">
        <v>5980</v>
      </c>
      <c r="AM524" s="825">
        <v>6010</v>
      </c>
      <c r="AN524" s="825">
        <v>6008</v>
      </c>
      <c r="AO524" s="825">
        <v>5906</v>
      </c>
      <c r="AP524" s="825">
        <v>6043</v>
      </c>
    </row>
    <row r="525" hidden="1" ht="12.75" customHeight="1">
      <c r="B525" s="826" t="s">
        <v>13</v>
      </c>
      <c r="C525" s="827">
        <v>88567</v>
      </c>
      <c r="D525" s="827">
        <v>84898</v>
      </c>
      <c r="E525" s="827">
        <v>80498</v>
      </c>
      <c r="F525" s="827">
        <v>79532</v>
      </c>
      <c r="G525" s="827">
        <v>79302</v>
      </c>
      <c r="H525" s="827">
        <v>76777</v>
      </c>
      <c r="I525" s="827">
        <v>76113</v>
      </c>
      <c r="J525" s="827">
        <v>74970</v>
      </c>
      <c r="K525" s="827">
        <v>74255</v>
      </c>
      <c r="L525" s="827">
        <v>73334</v>
      </c>
      <c r="M525" s="827">
        <v>72583</v>
      </c>
      <c r="N525" s="827">
        <v>71955</v>
      </c>
      <c r="O525" s="827">
        <v>71651</v>
      </c>
      <c r="P525" s="827">
        <v>70525</v>
      </c>
      <c r="Q525" s="827">
        <v>70174</v>
      </c>
      <c r="R525" s="827">
        <v>69984</v>
      </c>
      <c r="S525" s="827">
        <v>71930</v>
      </c>
      <c r="T525" s="827">
        <v>71678</v>
      </c>
      <c r="U525" s="827">
        <v>70509</v>
      </c>
      <c r="V525" s="827">
        <v>69509</v>
      </c>
      <c r="W525" s="827">
        <v>68551</v>
      </c>
      <c r="X525" s="827">
        <v>67359</v>
      </c>
      <c r="Y525" s="827">
        <v>67415</v>
      </c>
      <c r="Z525" s="827">
        <v>65832</v>
      </c>
      <c r="AA525" s="827">
        <v>64778</v>
      </c>
      <c r="AB525" s="827">
        <v>63670</v>
      </c>
      <c r="AC525" s="828">
        <v>63487</v>
      </c>
      <c r="AD525" s="828">
        <v>62110</v>
      </c>
      <c r="AE525" s="828">
        <v>61872</v>
      </c>
      <c r="AF525" s="828">
        <v>60043</v>
      </c>
      <c r="AG525" s="828">
        <v>58730</v>
      </c>
      <c r="AH525" s="828">
        <v>56288</v>
      </c>
      <c r="AI525" s="828">
        <v>53989</v>
      </c>
      <c r="AJ525" s="828">
        <v>52254</v>
      </c>
      <c r="AK525" s="828">
        <v>52017</v>
      </c>
      <c r="AL525" s="828">
        <v>50313</v>
      </c>
      <c r="AM525" s="828">
        <v>49389</v>
      </c>
      <c r="AN525" s="828">
        <v>47653</v>
      </c>
      <c r="AO525" s="828">
        <v>45773</v>
      </c>
      <c r="AP525" s="828">
        <v>45952</v>
      </c>
    </row>
    <row r="526" hidden="1" ht="12.75" customHeight="1">
      <c r="B526" s="829" t="s">
        <v>109</v>
      </c>
      <c r="C526" s="823">
        <v>25199</v>
      </c>
      <c r="D526" s="823">
        <v>24810</v>
      </c>
      <c r="E526" s="823">
        <v>24115</v>
      </c>
      <c r="F526" s="823">
        <v>24377</v>
      </c>
      <c r="G526" s="823">
        <v>24824</v>
      </c>
      <c r="H526" s="823">
        <v>24782</v>
      </c>
      <c r="I526" s="823">
        <v>24318</v>
      </c>
      <c r="J526" s="823">
        <v>24151</v>
      </c>
      <c r="K526" s="823">
        <v>23733</v>
      </c>
      <c r="L526" s="823">
        <v>23818</v>
      </c>
      <c r="M526" s="823">
        <v>23934</v>
      </c>
      <c r="N526" s="823">
        <v>23888</v>
      </c>
      <c r="O526" s="823">
        <v>24652</v>
      </c>
      <c r="P526" s="823">
        <v>24730</v>
      </c>
      <c r="Q526" s="823">
        <v>24993</v>
      </c>
      <c r="R526" s="823">
        <v>25580</v>
      </c>
      <c r="S526" s="823">
        <v>25932</v>
      </c>
      <c r="T526" s="823">
        <v>25607</v>
      </c>
      <c r="U526" s="823">
        <v>25764</v>
      </c>
      <c r="V526" s="823">
        <v>25554</v>
      </c>
      <c r="W526" s="823">
        <v>27102</v>
      </c>
      <c r="X526" s="823">
        <v>27241</v>
      </c>
      <c r="Y526" s="823">
        <v>27503</v>
      </c>
      <c r="Z526" s="823">
        <v>27909</v>
      </c>
      <c r="AA526" s="823">
        <v>27451</v>
      </c>
      <c r="AB526" s="823">
        <v>27568</v>
      </c>
      <c r="AC526" s="825">
        <v>27264</v>
      </c>
      <c r="AD526" s="825">
        <v>27544</v>
      </c>
      <c r="AE526" s="825">
        <v>27368</v>
      </c>
      <c r="AF526" s="825">
        <v>27603</v>
      </c>
      <c r="AG526" s="825">
        <v>27350</v>
      </c>
      <c r="AH526" s="825">
        <v>27483</v>
      </c>
      <c r="AI526" s="825">
        <v>26836</v>
      </c>
      <c r="AJ526" s="825">
        <v>27014</v>
      </c>
      <c r="AK526" s="825">
        <v>27121</v>
      </c>
      <c r="AL526" s="825">
        <v>26864</v>
      </c>
      <c r="AM526" s="825">
        <v>26339</v>
      </c>
      <c r="AN526" s="825">
        <v>26448</v>
      </c>
      <c r="AO526" s="825">
        <v>25707</v>
      </c>
      <c r="AP526" s="825">
        <v>25769</v>
      </c>
    </row>
    <row r="527" hidden="1" ht="12.75" customHeight="1">
      <c r="B527" s="826" t="s">
        <v>110</v>
      </c>
      <c r="C527" s="827">
        <v>114642</v>
      </c>
      <c r="D527" s="827">
        <v>111725</v>
      </c>
      <c r="E527" s="827">
        <v>110260</v>
      </c>
      <c r="F527" s="827">
        <v>110569</v>
      </c>
      <c r="G527" s="827">
        <v>108952</v>
      </c>
      <c r="H527" s="827">
        <v>106148</v>
      </c>
      <c r="I527" s="827">
        <v>104533</v>
      </c>
      <c r="J527" s="827">
        <v>103643</v>
      </c>
      <c r="K527" s="827">
        <v>102620</v>
      </c>
      <c r="L527" s="827">
        <v>101437</v>
      </c>
      <c r="M527" s="827">
        <v>101567</v>
      </c>
      <c r="N527" s="827">
        <v>100205</v>
      </c>
      <c r="O527" s="827">
        <v>99940</v>
      </c>
      <c r="P527" s="827">
        <v>97559</v>
      </c>
      <c r="Q527" s="827">
        <v>96947</v>
      </c>
      <c r="R527" s="827">
        <v>97185</v>
      </c>
      <c r="S527" s="827">
        <v>99417</v>
      </c>
      <c r="T527" s="827">
        <v>98196</v>
      </c>
      <c r="U527" s="827">
        <v>98645</v>
      </c>
      <c r="V527" s="827">
        <v>97640</v>
      </c>
      <c r="W527" s="827">
        <v>95879</v>
      </c>
      <c r="X527" s="827">
        <v>95480</v>
      </c>
      <c r="Y527" s="827">
        <v>97937</v>
      </c>
      <c r="Z527" s="827">
        <v>100829</v>
      </c>
      <c r="AA527" s="827">
        <v>96944</v>
      </c>
      <c r="AB527" s="827">
        <v>96505</v>
      </c>
      <c r="AC527" s="828">
        <v>96606</v>
      </c>
      <c r="AD527" s="828">
        <v>95683</v>
      </c>
      <c r="AE527" s="828">
        <v>95232</v>
      </c>
      <c r="AF527" s="828">
        <v>93894</v>
      </c>
      <c r="AG527" s="828">
        <v>94501</v>
      </c>
      <c r="AH527" s="828">
        <v>93307</v>
      </c>
      <c r="AI527" s="828">
        <v>91756</v>
      </c>
      <c r="AJ527" s="828">
        <v>91096</v>
      </c>
      <c r="AK527" s="828">
        <v>90728</v>
      </c>
      <c r="AL527" s="828">
        <v>90056</v>
      </c>
      <c r="AM527" s="828">
        <v>88312</v>
      </c>
      <c r="AN527" s="828">
        <v>87131</v>
      </c>
      <c r="AO527" s="828">
        <v>85940</v>
      </c>
      <c r="AP527" s="828">
        <v>86885</v>
      </c>
    </row>
    <row r="528" hidden="1" ht="12.75" customHeight="1">
      <c r="B528" s="829" t="s">
        <v>16</v>
      </c>
      <c r="C528" s="823">
        <v>83438</v>
      </c>
      <c r="D528" s="823">
        <v>84138</v>
      </c>
      <c r="E528" s="823">
        <v>82440</v>
      </c>
      <c r="F528" s="823">
        <v>80310</v>
      </c>
      <c r="G528" s="823">
        <v>83610</v>
      </c>
      <c r="H528" s="823">
        <v>76215</v>
      </c>
      <c r="I528" s="823">
        <v>81284</v>
      </c>
      <c r="J528" s="823">
        <v>77254</v>
      </c>
      <c r="K528" s="823">
        <v>78719</v>
      </c>
      <c r="L528" s="823">
        <v>77301</v>
      </c>
      <c r="M528" s="823">
        <v>79420</v>
      </c>
      <c r="N528" s="823">
        <v>81723</v>
      </c>
      <c r="O528" s="823">
        <v>79980</v>
      </c>
      <c r="P528" s="823">
        <v>80485</v>
      </c>
      <c r="Q528" s="823">
        <v>79468</v>
      </c>
      <c r="R528" s="823">
        <v>0</v>
      </c>
      <c r="S528" s="823">
        <v>80971</v>
      </c>
      <c r="T528" s="823">
        <v>79944</v>
      </c>
      <c r="U528" s="823">
        <v>82143</v>
      </c>
      <c r="V528" s="823">
        <v>84200</v>
      </c>
      <c r="W528" s="823">
        <v>81556</v>
      </c>
      <c r="X528" s="823">
        <v>81770</v>
      </c>
      <c r="Y528" s="823">
        <v>82472</v>
      </c>
      <c r="Z528" s="823">
        <v>83246</v>
      </c>
      <c r="AA528" s="823">
        <v>81704</v>
      </c>
      <c r="AB528" s="823">
        <v>81836</v>
      </c>
      <c r="AC528" s="825">
        <v>81560</v>
      </c>
      <c r="AD528" s="825">
        <v>81718</v>
      </c>
      <c r="AE528" s="825">
        <v>79633</v>
      </c>
      <c r="AF528" s="825">
        <v>80488</v>
      </c>
      <c r="AG528" s="825">
        <v>78568</v>
      </c>
      <c r="AH528" s="825">
        <v>77197</v>
      </c>
      <c r="AI528" s="825">
        <v>74480</v>
      </c>
      <c r="AJ528" s="825">
        <v>74631</v>
      </c>
      <c r="AK528" s="825">
        <v>73055</v>
      </c>
      <c r="AL528" s="825">
        <v>74769</v>
      </c>
      <c r="AM528" s="825">
        <v>73007</v>
      </c>
      <c r="AN528" s="825">
        <v>72949</v>
      </c>
      <c r="AO528" s="825">
        <v>71225</v>
      </c>
      <c r="AP528" s="825">
        <v>71875</v>
      </c>
    </row>
    <row r="529" hidden="1" ht="12.75" customHeight="1">
      <c r="B529" s="826" t="s">
        <v>17</v>
      </c>
      <c r="C529" s="827">
        <v>7602</v>
      </c>
      <c r="D529" s="827">
        <v>6882</v>
      </c>
      <c r="E529" s="827">
        <v>6478</v>
      </c>
      <c r="F529" s="827">
        <v>6214</v>
      </c>
      <c r="G529" s="827">
        <v>5831</v>
      </c>
      <c r="H529" s="827">
        <v>5551</v>
      </c>
      <c r="I529" s="827">
        <v>5259</v>
      </c>
      <c r="J529" s="827">
        <v>5119</v>
      </c>
      <c r="K529" s="827">
        <v>4890</v>
      </c>
      <c r="L529" s="827">
        <v>4729</v>
      </c>
      <c r="M529" s="827">
        <v>4751</v>
      </c>
      <c r="N529" s="827">
        <v>4762</v>
      </c>
      <c r="O529" s="827">
        <v>4571</v>
      </c>
      <c r="P529" s="827">
        <v>4438</v>
      </c>
      <c r="Q529" s="827">
        <v>4762</v>
      </c>
      <c r="R529" s="827">
        <v>4738</v>
      </c>
      <c r="S529" s="827">
        <v>5266</v>
      </c>
      <c r="T529" s="827">
        <v>5240</v>
      </c>
      <c r="U529" s="827">
        <v>7679</v>
      </c>
      <c r="V529" s="827">
        <v>4684</v>
      </c>
      <c r="W529" s="827">
        <v>5267</v>
      </c>
      <c r="X529" s="827">
        <v>4734</v>
      </c>
      <c r="Y529" s="827">
        <v>5126</v>
      </c>
      <c r="Z529" s="827">
        <v>5207</v>
      </c>
      <c r="AA529" s="827">
        <v>4965</v>
      </c>
      <c r="AB529" s="827">
        <v>4691</v>
      </c>
      <c r="AC529" s="828">
        <v>4492</v>
      </c>
      <c r="AD529" s="828">
        <v>4511</v>
      </c>
      <c r="AE529" s="828">
        <v>4252</v>
      </c>
      <c r="AF529" s="828">
        <v>4028</v>
      </c>
      <c r="AG529" s="828">
        <v>3852</v>
      </c>
      <c r="AH529" s="828">
        <v>3615</v>
      </c>
      <c r="AI529" s="828">
        <v>3361</v>
      </c>
      <c r="AJ529" s="828">
        <v>3248</v>
      </c>
      <c r="AK529" s="828">
        <v>3332</v>
      </c>
      <c r="AL529" s="828">
        <v>3403</v>
      </c>
      <c r="AM529" s="828">
        <v>3604</v>
      </c>
      <c r="AN529" s="828">
        <v>3668</v>
      </c>
      <c r="AO529" s="828">
        <v>3676</v>
      </c>
      <c r="AP529" s="828">
        <v>3963</v>
      </c>
    </row>
    <row r="530" hidden="1" ht="12.75" customHeight="1">
      <c r="B530" s="829" t="s">
        <v>18</v>
      </c>
      <c r="C530" s="823">
        <v>373486</v>
      </c>
      <c r="D530" s="823">
        <v>362123</v>
      </c>
      <c r="E530" s="823">
        <v>357142</v>
      </c>
      <c r="F530" s="823">
        <v>356801</v>
      </c>
      <c r="G530" s="823">
        <v>365135</v>
      </c>
      <c r="H530" s="823">
        <v>352276</v>
      </c>
      <c r="I530" s="823">
        <v>348858</v>
      </c>
      <c r="J530" s="823">
        <v>341454</v>
      </c>
      <c r="K530" s="823">
        <v>340891</v>
      </c>
      <c r="L530" s="823">
        <v>337950</v>
      </c>
      <c r="M530" s="823">
        <v>340337</v>
      </c>
      <c r="N530" s="823">
        <v>339018</v>
      </c>
      <c r="O530" s="823">
        <v>339720</v>
      </c>
      <c r="P530" s="823">
        <v>336934</v>
      </c>
      <c r="Q530" s="823">
        <v>342049</v>
      </c>
      <c r="R530" s="823">
        <v>341599</v>
      </c>
      <c r="S530" s="823">
        <v>349622</v>
      </c>
      <c r="T530" s="823">
        <v>346456</v>
      </c>
      <c r="U530" s="823">
        <v>345591</v>
      </c>
      <c r="V530" s="823">
        <v>342664</v>
      </c>
      <c r="W530" s="823">
        <v>339349</v>
      </c>
      <c r="X530" s="823">
        <v>333617</v>
      </c>
      <c r="Y530" s="823">
        <v>337713</v>
      </c>
      <c r="Z530" s="823">
        <v>334921</v>
      </c>
      <c r="AA530" s="823">
        <v>333700</v>
      </c>
      <c r="AB530" s="823">
        <v>329131</v>
      </c>
      <c r="AC530" s="825">
        <v>329303</v>
      </c>
      <c r="AD530" s="825">
        <v>326603</v>
      </c>
      <c r="AE530" s="825">
        <v>329564</v>
      </c>
      <c r="AF530" s="825">
        <v>326164</v>
      </c>
      <c r="AG530" s="825">
        <v>326459</v>
      </c>
      <c r="AH530" s="825">
        <v>322725</v>
      </c>
      <c r="AI530" s="825">
        <v>321147</v>
      </c>
      <c r="AJ530" s="825">
        <v>318598</v>
      </c>
      <c r="AK530" s="825">
        <v>319381</v>
      </c>
      <c r="AL530" s="825">
        <v>318869</v>
      </c>
      <c r="AM530" s="825">
        <v>317374</v>
      </c>
      <c r="AN530" s="825">
        <v>313766</v>
      </c>
      <c r="AO530" s="825">
        <v>309628</v>
      </c>
      <c r="AP530" s="825">
        <v>311289</v>
      </c>
    </row>
    <row r="531" hidden="1" ht="12.75" customHeight="1">
      <c r="B531" s="826" t="s">
        <v>19</v>
      </c>
      <c r="C531" s="827">
        <v>8824</v>
      </c>
      <c r="D531" s="827">
        <v>8881</v>
      </c>
      <c r="E531" s="827">
        <v>8527</v>
      </c>
      <c r="F531" s="827">
        <v>8411</v>
      </c>
      <c r="G531" s="827">
        <v>8131</v>
      </c>
      <c r="H531" s="827">
        <v>8153</v>
      </c>
      <c r="I531" s="827">
        <v>8101</v>
      </c>
      <c r="J531" s="827">
        <v>8175</v>
      </c>
      <c r="K531" s="827">
        <v>7827</v>
      </c>
      <c r="L531" s="827">
        <v>7397</v>
      </c>
      <c r="M531" s="827">
        <v>7559</v>
      </c>
      <c r="N531" s="827">
        <v>7255</v>
      </c>
      <c r="O531" s="827">
        <v>6942</v>
      </c>
      <c r="P531" s="827">
        <v>6758</v>
      </c>
      <c r="Q531" s="827">
        <v>6446</v>
      </c>
      <c r="R531" s="827">
        <v>6525</v>
      </c>
      <c r="S531" s="827">
        <v>6639</v>
      </c>
      <c r="T531" s="827">
        <v>6261</v>
      </c>
      <c r="U531" s="827">
        <v>6303</v>
      </c>
      <c r="V531" s="827">
        <v>6522</v>
      </c>
      <c r="W531" s="827">
        <v>6612</v>
      </c>
      <c r="X531" s="827">
        <v>6387</v>
      </c>
      <c r="Y531" s="827">
        <v>6334</v>
      </c>
      <c r="Z531" s="827">
        <v>7138</v>
      </c>
      <c r="AA531" s="827">
        <v>6818</v>
      </c>
      <c r="AB531" s="827">
        <v>6522</v>
      </c>
      <c r="AC531" s="828">
        <v>6442</v>
      </c>
      <c r="AD531" s="828">
        <v>6505</v>
      </c>
      <c r="AE531" s="828">
        <v>6847</v>
      </c>
      <c r="AF531" s="828">
        <v>7062</v>
      </c>
      <c r="AG531" s="828">
        <v>6211</v>
      </c>
      <c r="AH531" s="828">
        <v>8129</v>
      </c>
      <c r="AI531" s="828">
        <v>6774</v>
      </c>
      <c r="AJ531" s="828">
        <v>6357</v>
      </c>
      <c r="AK531" s="828">
        <v>5901</v>
      </c>
      <c r="AL531" s="828">
        <v>6481</v>
      </c>
      <c r="AM531" s="828">
        <v>6971</v>
      </c>
      <c r="AN531" s="828">
        <v>5996</v>
      </c>
      <c r="AO531" s="828">
        <v>5755</v>
      </c>
      <c r="AP531" s="828">
        <v>5399</v>
      </c>
    </row>
    <row r="532" hidden="1" ht="12.75" customHeight="1">
      <c r="B532" s="829" t="s">
        <v>20</v>
      </c>
      <c r="C532" s="823">
        <v>5746</v>
      </c>
      <c r="D532" s="823">
        <v>5403</v>
      </c>
      <c r="E532" s="823">
        <v>5095</v>
      </c>
      <c r="F532" s="823">
        <v>5343</v>
      </c>
      <c r="G532" s="823">
        <v>5662</v>
      </c>
      <c r="H532" s="823">
        <v>6291</v>
      </c>
      <c r="I532" s="823">
        <v>6221</v>
      </c>
      <c r="J532" s="823">
        <v>6204</v>
      </c>
      <c r="K532" s="823">
        <v>6089</v>
      </c>
      <c r="L532" s="823">
        <v>6346</v>
      </c>
      <c r="M532" s="823">
        <v>6319</v>
      </c>
      <c r="N532" s="823">
        <v>6695</v>
      </c>
      <c r="O532" s="823">
        <v>6543</v>
      </c>
      <c r="P532" s="823">
        <v>6588</v>
      </c>
      <c r="Q532" s="823">
        <v>6469</v>
      </c>
      <c r="R532" s="823">
        <v>6864</v>
      </c>
      <c r="S532" s="823">
        <v>7021</v>
      </c>
      <c r="T532" s="823">
        <v>7394</v>
      </c>
      <c r="U532" s="823">
        <v>7125</v>
      </c>
      <c r="V532" s="823">
        <v>7374</v>
      </c>
      <c r="W532" s="823">
        <v>7406</v>
      </c>
      <c r="X532" s="823">
        <v>7705</v>
      </c>
      <c r="Y532" s="823">
        <v>7799</v>
      </c>
      <c r="Z532" s="823">
        <v>7775</v>
      </c>
      <c r="AA532" s="823">
        <v>8175</v>
      </c>
      <c r="AB532" s="823">
        <v>8270</v>
      </c>
      <c r="AC532" s="825">
        <v>8139</v>
      </c>
      <c r="AD532" s="825">
        <v>8185</v>
      </c>
      <c r="AE532" s="825">
        <v>8187</v>
      </c>
      <c r="AF532" s="825">
        <v>8247</v>
      </c>
      <c r="AG532" s="825">
        <v>8085</v>
      </c>
      <c r="AH532" s="825">
        <v>7794</v>
      </c>
      <c r="AI532" s="825">
        <v>7620</v>
      </c>
      <c r="AJ532" s="825">
        <v>7983</v>
      </c>
      <c r="AK532" s="825">
        <v>7811</v>
      </c>
      <c r="AL532" s="825">
        <v>7952</v>
      </c>
      <c r="AM532" s="825">
        <v>7579</v>
      </c>
      <c r="AN532" s="825">
        <v>7690</v>
      </c>
      <c r="AO532" s="825">
        <v>7671</v>
      </c>
      <c r="AP532" s="825">
        <v>7703</v>
      </c>
    </row>
    <row r="533" hidden="1" ht="12.75" customHeight="1">
      <c r="B533" s="826" t="s">
        <v>21</v>
      </c>
      <c r="C533" s="827">
        <v>23106</v>
      </c>
      <c r="D533" s="827">
        <v>22926</v>
      </c>
      <c r="E533" s="827">
        <v>22570</v>
      </c>
      <c r="F533" s="827">
        <v>23302</v>
      </c>
      <c r="G533" s="827">
        <v>23317</v>
      </c>
      <c r="H533" s="827">
        <v>23207</v>
      </c>
      <c r="I533" s="827">
        <v>22556</v>
      </c>
      <c r="J533" s="827">
        <v>22586</v>
      </c>
      <c r="K533" s="827">
        <v>23609</v>
      </c>
      <c r="L533" s="827">
        <v>23897</v>
      </c>
      <c r="M533" s="827">
        <v>24067</v>
      </c>
      <c r="N533" s="827">
        <v>24503</v>
      </c>
      <c r="O533" s="827">
        <v>24632</v>
      </c>
      <c r="P533" s="827">
        <v>24578</v>
      </c>
      <c r="Q533" s="827">
        <v>24584</v>
      </c>
      <c r="R533" s="827">
        <v>24574</v>
      </c>
      <c r="S533" s="827">
        <v>25261</v>
      </c>
      <c r="T533" s="827">
        <v>25231</v>
      </c>
      <c r="U533" s="827">
        <v>25498</v>
      </c>
      <c r="V533" s="827">
        <v>25890</v>
      </c>
      <c r="W533" s="827">
        <v>24843</v>
      </c>
      <c r="X533" s="827">
        <v>24601</v>
      </c>
      <c r="Y533" s="827">
        <v>24428</v>
      </c>
      <c r="Z533" s="827">
        <v>25397</v>
      </c>
      <c r="AA533" s="827">
        <v>25839</v>
      </c>
      <c r="AB533" s="827">
        <v>25595</v>
      </c>
      <c r="AC533" s="828">
        <v>25081</v>
      </c>
      <c r="AD533" s="828">
        <v>25061</v>
      </c>
      <c r="AE533" s="828">
        <v>25176</v>
      </c>
      <c r="AF533" s="828">
        <v>24991</v>
      </c>
      <c r="AG533" s="828">
        <v>24960</v>
      </c>
      <c r="AH533" s="828">
        <v>24651</v>
      </c>
      <c r="AI533" s="828">
        <v>24190</v>
      </c>
      <c r="AJ533" s="828">
        <v>23783</v>
      </c>
      <c r="AK533" s="828">
        <v>24760</v>
      </c>
      <c r="AL533" s="828">
        <v>24934</v>
      </c>
      <c r="AM533" s="828">
        <v>25049</v>
      </c>
      <c r="AN533" s="828">
        <v>24833</v>
      </c>
      <c r="AO533" s="828">
        <v>24946</v>
      </c>
      <c r="AP533" s="828">
        <v>24613</v>
      </c>
    </row>
    <row r="534" hidden="1" ht="12.75" customHeight="1">
      <c r="B534" s="829" t="s">
        <v>22</v>
      </c>
      <c r="C534" s="823">
        <v>29558</v>
      </c>
      <c r="D534" s="823">
        <v>29841</v>
      </c>
      <c r="E534" s="823">
        <v>29235</v>
      </c>
      <c r="F534" s="823">
        <v>29264</v>
      </c>
      <c r="G534" s="823">
        <v>27192</v>
      </c>
      <c r="H534" s="823">
        <v>29305</v>
      </c>
      <c r="I534" s="823">
        <v>27313</v>
      </c>
      <c r="J534" s="823">
        <v>27104</v>
      </c>
      <c r="K534" s="823">
        <v>26482</v>
      </c>
      <c r="L534" s="823">
        <v>26040</v>
      </c>
      <c r="M534" s="823">
        <v>25643</v>
      </c>
      <c r="N534" s="823">
        <v>25167</v>
      </c>
      <c r="O534" s="823">
        <v>24556</v>
      </c>
      <c r="P534" s="823">
        <v>24046</v>
      </c>
      <c r="Q534" s="823">
        <v>22928</v>
      </c>
      <c r="R534" s="823">
        <v>22914</v>
      </c>
      <c r="S534" s="823">
        <v>23201</v>
      </c>
      <c r="T534" s="823">
        <v>23015</v>
      </c>
      <c r="U534" s="823">
        <v>22021</v>
      </c>
      <c r="V534" s="823">
        <v>22381</v>
      </c>
      <c r="W534" s="823">
        <v>21827</v>
      </c>
      <c r="X534" s="823">
        <v>21771</v>
      </c>
      <c r="Y534" s="823">
        <v>21811</v>
      </c>
      <c r="Z534" s="823">
        <v>21725</v>
      </c>
      <c r="AA534" s="823">
        <v>21101</v>
      </c>
      <c r="AB534" s="823">
        <v>20808</v>
      </c>
      <c r="AC534" s="825">
        <v>20414</v>
      </c>
      <c r="AD534" s="825">
        <v>20448</v>
      </c>
      <c r="AE534" s="825">
        <v>20117</v>
      </c>
      <c r="AF534" s="825">
        <v>20255</v>
      </c>
      <c r="AG534" s="825">
        <v>19625</v>
      </c>
      <c r="AH534" s="825">
        <v>19249</v>
      </c>
      <c r="AI534" s="825">
        <v>18334</v>
      </c>
      <c r="AJ534" s="825">
        <v>17899</v>
      </c>
      <c r="AK534" s="825">
        <v>17869</v>
      </c>
      <c r="AL534" s="825">
        <v>17606</v>
      </c>
      <c r="AM534" s="825">
        <v>17335</v>
      </c>
      <c r="AN534" s="825">
        <v>17063</v>
      </c>
      <c r="AO534" s="825">
        <v>16403</v>
      </c>
      <c r="AP534" s="825">
        <v>16273</v>
      </c>
    </row>
    <row r="535" hidden="1" ht="12.75" customHeight="1">
      <c r="B535" s="826" t="s">
        <v>23</v>
      </c>
      <c r="C535" s="827">
        <v>2062</v>
      </c>
      <c r="D535" s="827">
        <v>2128</v>
      </c>
      <c r="E535" s="827">
        <v>1959</v>
      </c>
      <c r="F535" s="827">
        <v>1900</v>
      </c>
      <c r="G535" s="827">
        <v>1712</v>
      </c>
      <c r="H535" s="827">
        <v>1629</v>
      </c>
      <c r="I535" s="827">
        <v>1621</v>
      </c>
      <c r="J535" s="827">
        <v>1763</v>
      </c>
      <c r="K535" s="827">
        <v>1780</v>
      </c>
      <c r="L535" s="827">
        <v>1793</v>
      </c>
      <c r="M535" s="827">
        <v>1764</v>
      </c>
      <c r="N535" s="827">
        <v>1827</v>
      </c>
      <c r="O535" s="827">
        <v>1903</v>
      </c>
      <c r="P535" s="827">
        <v>1966</v>
      </c>
      <c r="Q535" s="827">
        <v>1990</v>
      </c>
      <c r="R535" s="827">
        <v>1990</v>
      </c>
      <c r="S535" s="827">
        <v>2085</v>
      </c>
      <c r="T535" s="827">
        <v>2113</v>
      </c>
      <c r="U535" s="827">
        <v>2050</v>
      </c>
      <c r="V535" s="827">
        <v>2113</v>
      </c>
      <c r="W535" s="827">
        <v>2099</v>
      </c>
      <c r="X535" s="827">
        <v>2190</v>
      </c>
      <c r="Y535" s="827">
        <v>2101</v>
      </c>
      <c r="Z535" s="827">
        <v>2143</v>
      </c>
      <c r="AA535" s="827">
        <v>2194</v>
      </c>
      <c r="AB535" s="827">
        <v>2297</v>
      </c>
      <c r="AC535" s="828">
        <v>2355</v>
      </c>
      <c r="AD535" s="828">
        <v>2491</v>
      </c>
      <c r="AE535" s="828">
        <v>2625</v>
      </c>
      <c r="AF535" s="828">
        <v>2786</v>
      </c>
      <c r="AG535" s="828">
        <v>2761</v>
      </c>
      <c r="AH535" s="828">
        <v>2721</v>
      </c>
      <c r="AI535" s="828">
        <v>2592</v>
      </c>
      <c r="AJ535" s="828">
        <v>2524</v>
      </c>
      <c r="AK535" s="828">
        <v>2499</v>
      </c>
      <c r="AL535" s="828">
        <v>2395</v>
      </c>
      <c r="AM535" s="828">
        <v>2307</v>
      </c>
      <c r="AN535" s="828">
        <v>2094</v>
      </c>
      <c r="AO535" s="828">
        <v>1884</v>
      </c>
      <c r="AP535" s="828">
        <v>1799</v>
      </c>
    </row>
    <row r="536" hidden="1" ht="12.75" customHeight="1">
      <c r="B536" s="830" t="s">
        <v>24</v>
      </c>
      <c r="C536" s="823">
        <v>5210</v>
      </c>
      <c r="D536" s="823">
        <v>5469</v>
      </c>
      <c r="E536" s="823">
        <v>5108</v>
      </c>
      <c r="F536" s="823">
        <v>5426</v>
      </c>
      <c r="G536" s="823">
        <v>5257</v>
      </c>
      <c r="H536" s="823">
        <v>5408</v>
      </c>
      <c r="I536" s="823">
        <v>5121</v>
      </c>
      <c r="J536" s="823">
        <v>5379</v>
      </c>
      <c r="K536" s="823">
        <v>5403</v>
      </c>
      <c r="L536" s="823">
        <v>5678</v>
      </c>
      <c r="M536" s="823">
        <v>5625</v>
      </c>
      <c r="N536" s="823">
        <v>5810</v>
      </c>
      <c r="O536" s="823">
        <v>5639</v>
      </c>
      <c r="P536" s="823">
        <v>5726</v>
      </c>
      <c r="Q536" s="823">
        <v>5848</v>
      </c>
      <c r="R536" s="823">
        <v>6651</v>
      </c>
      <c r="S536" s="823">
        <v>6729</v>
      </c>
      <c r="T536" s="823">
        <v>6868</v>
      </c>
      <c r="U536" s="823">
        <v>6915</v>
      </c>
      <c r="V536" s="823">
        <v>7363</v>
      </c>
      <c r="W536" s="823">
        <v>7317</v>
      </c>
      <c r="X536" s="823">
        <v>7432</v>
      </c>
      <c r="Y536" s="823">
        <v>7540</v>
      </c>
      <c r="Z536" s="823">
        <v>8013</v>
      </c>
      <c r="AA536" s="823">
        <v>8103</v>
      </c>
      <c r="AB536" s="823">
        <v>8218</v>
      </c>
      <c r="AC536" s="825">
        <v>8315</v>
      </c>
      <c r="AD536" s="825">
        <v>8352</v>
      </c>
      <c r="AE536" s="825">
        <v>8044</v>
      </c>
      <c r="AF536" s="825">
        <v>7988</v>
      </c>
      <c r="AG536" s="825">
        <v>7870</v>
      </c>
      <c r="AH536" s="825">
        <v>7671</v>
      </c>
      <c r="AI536" s="825">
        <v>7411</v>
      </c>
      <c r="AJ536" s="825">
        <v>7490</v>
      </c>
      <c r="AK536" s="825">
        <v>7362</v>
      </c>
      <c r="AL536" s="825">
        <v>7602</v>
      </c>
      <c r="AM536" s="825">
        <v>7409</v>
      </c>
      <c r="AN536" s="825">
        <v>7380</v>
      </c>
      <c r="AO536" s="825">
        <v>7060</v>
      </c>
      <c r="AP536" s="825">
        <v>6659</v>
      </c>
    </row>
    <row r="537" hidden="1" ht="12.75" customHeight="1">
      <c r="B537" s="826" t="s">
        <v>25</v>
      </c>
      <c r="C537" s="827">
        <v>0</v>
      </c>
      <c r="D537" s="827">
        <v>0</v>
      </c>
      <c r="E537" s="827">
        <v>0</v>
      </c>
      <c r="F537" s="827">
        <v>0</v>
      </c>
      <c r="G537" s="827">
        <v>0</v>
      </c>
      <c r="H537" s="827">
        <v>0</v>
      </c>
      <c r="I537" s="827">
        <v>0</v>
      </c>
      <c r="J537" s="827">
        <v>0</v>
      </c>
      <c r="K537" s="827">
        <v>0</v>
      </c>
      <c r="L537" s="827">
        <v>0</v>
      </c>
      <c r="M537" s="827">
        <v>0</v>
      </c>
      <c r="N537" s="827">
        <v>0</v>
      </c>
      <c r="O537" s="827">
        <v>0</v>
      </c>
      <c r="P537" s="827">
        <v>0</v>
      </c>
      <c r="Q537" s="827">
        <v>0</v>
      </c>
      <c r="R537" s="827">
        <v>0</v>
      </c>
      <c r="S537" s="827">
        <v>0</v>
      </c>
      <c r="T537" s="827">
        <v>0</v>
      </c>
      <c r="U537" s="827">
        <v>0</v>
      </c>
      <c r="V537" s="827">
        <v>0</v>
      </c>
      <c r="W537" s="827">
        <v>0</v>
      </c>
      <c r="X537" s="827">
        <v>0</v>
      </c>
      <c r="Y537" s="827">
        <v>0</v>
      </c>
      <c r="Z537" s="827">
        <v>0</v>
      </c>
      <c r="AA537" s="827">
        <v>0</v>
      </c>
      <c r="AB537" s="827">
        <v>0</v>
      </c>
      <c r="AC537" s="828">
        <v>0</v>
      </c>
      <c r="AD537" s="828">
        <v>0</v>
      </c>
      <c r="AE537" s="828">
        <v>0</v>
      </c>
      <c r="AF537" s="828">
        <v>0</v>
      </c>
      <c r="AG537" s="828">
        <v>0</v>
      </c>
      <c r="AH537" s="828">
        <v>0</v>
      </c>
      <c r="AI537" s="828">
        <v>0</v>
      </c>
      <c r="AJ537" s="828">
        <v>0</v>
      </c>
      <c r="AK537" s="828">
        <v>0</v>
      </c>
      <c r="AL537" s="828">
        <v>0</v>
      </c>
      <c r="AM537" s="828">
        <v>0</v>
      </c>
      <c r="AN537" s="828">
        <v>0</v>
      </c>
      <c r="AO537" s="828">
        <v>0</v>
      </c>
      <c r="AP537" s="828">
        <v>0</v>
      </c>
    </row>
    <row r="538" hidden="1" ht="13.5" customHeight="1">
      <c r="B538" s="831" t="s">
        <v>26</v>
      </c>
      <c r="C538" s="823">
        <v>0</v>
      </c>
      <c r="D538" s="823">
        <v>0</v>
      </c>
      <c r="E538" s="823">
        <v>0</v>
      </c>
      <c r="F538" s="823">
        <v>0</v>
      </c>
      <c r="G538" s="823">
        <v>0</v>
      </c>
      <c r="H538" s="823">
        <v>0</v>
      </c>
      <c r="I538" s="823">
        <v>0</v>
      </c>
      <c r="J538" s="823">
        <v>0</v>
      </c>
      <c r="K538" s="823">
        <v>0</v>
      </c>
      <c r="L538" s="823">
        <v>0</v>
      </c>
      <c r="M538" s="823">
        <v>0</v>
      </c>
      <c r="N538" s="823">
        <v>0</v>
      </c>
      <c r="O538" s="823">
        <v>0</v>
      </c>
      <c r="P538" s="823">
        <v>0</v>
      </c>
      <c r="Q538" s="823">
        <v>0</v>
      </c>
      <c r="R538" s="823">
        <v>0</v>
      </c>
      <c r="S538" s="823">
        <v>0</v>
      </c>
      <c r="T538" s="823">
        <v>0</v>
      </c>
      <c r="U538" s="823">
        <v>0</v>
      </c>
      <c r="V538" s="823">
        <v>0</v>
      </c>
      <c r="W538" s="823">
        <v>0</v>
      </c>
      <c r="X538" s="823">
        <v>0</v>
      </c>
      <c r="Y538" s="823">
        <v>0</v>
      </c>
      <c r="Z538" s="823">
        <v>0</v>
      </c>
      <c r="AA538" s="823">
        <v>0</v>
      </c>
      <c r="AB538" s="832">
        <v>0</v>
      </c>
      <c r="AC538" s="825">
        <v>0</v>
      </c>
      <c r="AD538" s="825">
        <v>0</v>
      </c>
      <c r="AE538" s="825">
        <v>0</v>
      </c>
      <c r="AF538" s="825">
        <v>0</v>
      </c>
      <c r="AG538" s="825">
        <v>0</v>
      </c>
      <c r="AH538" s="825">
        <v>0</v>
      </c>
      <c r="AI538" s="825">
        <v>0</v>
      </c>
      <c r="AJ538" s="825">
        <v>0</v>
      </c>
      <c r="AK538" s="825">
        <v>0</v>
      </c>
      <c r="AL538" s="825">
        <v>0</v>
      </c>
      <c r="AM538" s="825">
        <v>1</v>
      </c>
      <c r="AN538" s="825">
        <v>0</v>
      </c>
      <c r="AO538" s="825">
        <v>0</v>
      </c>
      <c r="AP538" s="825">
        <v>0</v>
      </c>
    </row>
    <row r="539" hidden="1" ht="13.5" customHeight="1">
      <c r="B539" s="128" t="s">
        <v>7</v>
      </c>
      <c r="C539" s="129" t="str">
        <f>IF(SUM(C520:C538)&lt;&gt;0,SUM(C520:C538),"")</f>
      </c>
      <c r="D539" s="129" t="str">
        <f ref="D539:AA539" t="shared" si="67" ca="1">IF(SUM(D520:D538)&lt;&gt;0,SUM(D520:D538),"")</f>
      </c>
      <c r="E539" s="129" t="str">
        <f t="shared" si="67" ca="1"/>
      </c>
      <c r="F539" s="129" t="str">
        <f t="shared" si="67" ca="1"/>
      </c>
      <c r="G539" s="129" t="str">
        <f t="shared" si="67" ca="1"/>
      </c>
      <c r="H539" s="129" t="str">
        <f t="shared" si="67" ca="1"/>
      </c>
      <c r="I539" s="129" t="str">
        <f t="shared" si="67" ca="1"/>
      </c>
      <c r="J539" s="129" t="str">
        <f t="shared" si="67" ca="1"/>
      </c>
      <c r="K539" s="129" t="str">
        <f t="shared" si="67" ca="1"/>
      </c>
      <c r="L539" s="129" t="str">
        <f t="shared" si="67" ca="1"/>
      </c>
      <c r="M539" s="129" t="str">
        <f t="shared" si="67" ca="1"/>
      </c>
      <c r="N539" s="129" t="str">
        <f t="shared" si="67" ca="1"/>
      </c>
      <c r="O539" s="129" t="str">
        <f t="shared" si="67" ca="1"/>
      </c>
      <c r="P539" s="129" t="str">
        <f t="shared" si="67" ca="1"/>
      </c>
      <c r="Q539" s="129" t="str">
        <f t="shared" si="67" ca="1"/>
      </c>
      <c r="R539" s="129" t="str">
        <f t="shared" si="67" ca="1"/>
      </c>
      <c r="S539" s="129" t="str">
        <f t="shared" si="67" ca="1"/>
      </c>
      <c r="T539" s="129" t="str">
        <f t="shared" si="67" ca="1"/>
      </c>
      <c r="U539" s="129" t="str">
        <f t="shared" si="67" ca="1"/>
      </c>
      <c r="V539" s="129" t="str">
        <f t="shared" si="67" ca="1"/>
      </c>
      <c r="W539" s="129" t="str">
        <f t="shared" si="67" ca="1"/>
      </c>
      <c r="X539" s="129" t="str">
        <f t="shared" si="67" ca="1"/>
      </c>
      <c r="Y539" s="129" t="str">
        <f t="shared" si="67" ca="1"/>
      </c>
      <c r="Z539" s="129" t="str">
        <f t="shared" si="67" ca="1"/>
      </c>
      <c r="AA539" s="129" t="str">
        <f t="shared" si="67" ca="1"/>
      </c>
      <c r="AB539" s="130" t="str">
        <f>IF(SUM(AB520:AB538)&lt;&gt;0,SUM(AB520:AB538),"")</f>
      </c>
      <c r="AC539" s="91" t="str">
        <f ref="AC539:CN539" t="shared" si="68" ca="1">IF(SUM(AC520:AC538)&lt;&gt;0,SUM(AC520:AC538),"")</f>
      </c>
      <c r="AD539" s="91" t="str">
        <f t="shared" si="68" ca="1"/>
      </c>
      <c r="AE539" s="91" t="str">
        <f t="shared" si="68" ca="1"/>
      </c>
      <c r="AF539" s="91" t="str">
        <f t="shared" si="68" ca="1"/>
      </c>
      <c r="AG539" s="91" t="str">
        <f t="shared" si="68" ca="1"/>
      </c>
      <c r="AH539" s="91" t="str">
        <f t="shared" si="68" ca="1"/>
      </c>
      <c r="AI539" s="91" t="str">
        <f t="shared" si="68" ca="1"/>
      </c>
      <c r="AJ539" s="91" t="str">
        <f t="shared" si="68" ca="1"/>
      </c>
      <c r="AK539" s="91" t="str">
        <f t="shared" si="68" ca="1"/>
      </c>
      <c r="AL539" s="91" t="str">
        <f t="shared" si="68" ca="1"/>
      </c>
      <c r="AM539" s="91" t="str">
        <f t="shared" si="68" ca="1"/>
      </c>
      <c r="AN539" s="91" t="str">
        <f t="shared" si="68" ca="1"/>
      </c>
      <c r="AO539" s="91" t="str">
        <f t="shared" si="68" ca="1"/>
      </c>
      <c r="AP539" s="91" t="str">
        <f t="shared" si="68" ca="1"/>
      </c>
      <c r="AQ539" s="91" t="str">
        <f t="shared" si="68" ca="1"/>
      </c>
      <c r="AR539" s="91" t="str">
        <f t="shared" si="68" ca="1"/>
      </c>
      <c r="AS539" s="91" t="str">
        <f t="shared" si="68" ca="1"/>
      </c>
      <c r="AT539" s="91" t="str">
        <f t="shared" si="68" ca="1"/>
      </c>
      <c r="AU539" s="91" t="str">
        <f t="shared" si="68" ca="1"/>
      </c>
      <c r="AV539" s="91" t="str">
        <f t="shared" si="68" ca="1"/>
      </c>
      <c r="AW539" s="91" t="str">
        <f t="shared" si="68" ca="1"/>
      </c>
      <c r="AX539" s="91" t="str">
        <f t="shared" si="68" ca="1"/>
      </c>
      <c r="AY539" s="91" t="str">
        <f t="shared" si="68" ca="1"/>
      </c>
      <c r="AZ539" s="91" t="str">
        <f t="shared" si="68" ca="1"/>
      </c>
      <c r="BA539" s="91" t="str">
        <f t="shared" si="68" ca="1"/>
      </c>
      <c r="BB539" s="91" t="str">
        <f t="shared" si="68" ca="1"/>
      </c>
      <c r="BC539" s="91" t="str">
        <f t="shared" si="68" ca="1"/>
      </c>
      <c r="BD539" s="91" t="str">
        <f t="shared" si="68" ca="1"/>
      </c>
      <c r="BE539" s="91" t="str">
        <f t="shared" si="68" ca="1"/>
      </c>
      <c r="BF539" s="91" t="str">
        <f t="shared" si="68" ca="1"/>
      </c>
      <c r="BG539" s="91" t="str">
        <f t="shared" si="68" ca="1"/>
      </c>
      <c r="BH539" s="91" t="str">
        <f t="shared" si="68" ca="1"/>
      </c>
      <c r="BI539" s="91" t="str">
        <f t="shared" si="68" ca="1"/>
      </c>
      <c r="BJ539" s="91" t="str">
        <f t="shared" si="68" ca="1"/>
      </c>
      <c r="BK539" s="91" t="str">
        <f t="shared" si="68" ca="1"/>
      </c>
      <c r="BL539" s="91" t="str">
        <f t="shared" si="68" ca="1"/>
      </c>
      <c r="BM539" s="91" t="str">
        <f t="shared" si="68" ca="1"/>
      </c>
      <c r="BN539" s="91" t="str">
        <f t="shared" si="68" ca="1"/>
      </c>
      <c r="BO539" s="91" t="str">
        <f t="shared" si="68" ca="1"/>
      </c>
      <c r="BP539" s="91" t="str">
        <f t="shared" si="68" ca="1"/>
      </c>
      <c r="BQ539" s="91" t="str">
        <f t="shared" si="68" ca="1"/>
      </c>
      <c r="BR539" s="91" t="str">
        <f t="shared" si="68" ca="1"/>
      </c>
      <c r="BS539" s="91" t="str">
        <f t="shared" si="68" ca="1"/>
      </c>
      <c r="BT539" s="91" t="str">
        <f t="shared" si="68" ca="1"/>
      </c>
      <c r="BU539" s="91" t="str">
        <f t="shared" si="68" ca="1"/>
      </c>
      <c r="BV539" s="91" t="str">
        <f t="shared" si="68" ca="1"/>
      </c>
      <c r="BW539" s="91" t="str">
        <f t="shared" si="68" ca="1"/>
      </c>
      <c r="BX539" s="91" t="str">
        <f t="shared" si="68" ca="1"/>
      </c>
      <c r="BY539" s="91" t="str">
        <f t="shared" si="68" ca="1"/>
      </c>
      <c r="BZ539" s="91" t="str">
        <f t="shared" si="68" ca="1"/>
      </c>
      <c r="CA539" s="91" t="str">
        <f t="shared" si="68" ca="1"/>
      </c>
      <c r="CB539" s="91" t="str">
        <f t="shared" si="68" ca="1"/>
      </c>
      <c r="CC539" s="91" t="str">
        <f t="shared" si="68" ca="1"/>
      </c>
      <c r="CD539" s="91" t="str">
        <f t="shared" si="68" ca="1"/>
      </c>
      <c r="CE539" s="91" t="str">
        <f t="shared" si="68" ca="1"/>
      </c>
      <c r="CF539" s="91" t="str">
        <f t="shared" si="68" ca="1"/>
      </c>
      <c r="CG539" s="91" t="str">
        <f t="shared" si="68" ca="1"/>
      </c>
      <c r="CH539" s="91" t="str">
        <f t="shared" si="68" ca="1"/>
      </c>
      <c r="CI539" s="91" t="str">
        <f t="shared" si="68" ca="1"/>
      </c>
      <c r="CJ539" s="91" t="str">
        <f t="shared" si="68" ca="1"/>
      </c>
      <c r="CK539" s="91" t="str">
        <f t="shared" si="68" ca="1"/>
      </c>
      <c r="CL539" s="91" t="str">
        <f t="shared" si="68" ca="1"/>
      </c>
      <c r="CM539" s="91" t="str">
        <f t="shared" si="68" ca="1"/>
      </c>
      <c r="CN539" s="91" t="str">
        <f t="shared" si="68" ca="1"/>
      </c>
      <c r="CO539" s="91" t="str">
        <f ref="CO539:EZ539" t="shared" si="69" ca="1">IF(SUM(CO520:CO538)&lt;&gt;0,SUM(CO520:CO538),"")</f>
      </c>
      <c r="CP539" s="91" t="str">
        <f t="shared" si="69" ca="1"/>
      </c>
      <c r="CQ539" s="91" t="str">
        <f t="shared" si="69" ca="1"/>
      </c>
      <c r="CR539" s="91" t="str">
        <f t="shared" si="69" ca="1"/>
      </c>
      <c r="CS539" s="91" t="str">
        <f t="shared" si="69" ca="1"/>
      </c>
      <c r="CT539" s="91" t="str">
        <f t="shared" si="69" ca="1"/>
      </c>
      <c r="CU539" s="91" t="str">
        <f t="shared" si="69" ca="1"/>
      </c>
      <c r="CV539" s="91" t="str">
        <f t="shared" si="69" ca="1"/>
      </c>
      <c r="CW539" s="91" t="str">
        <f t="shared" si="69" ca="1"/>
      </c>
      <c r="CX539" s="91" t="str">
        <f t="shared" si="69" ca="1"/>
      </c>
      <c r="CY539" s="91" t="str">
        <f t="shared" si="69" ca="1"/>
      </c>
      <c r="CZ539" s="91" t="str">
        <f t="shared" si="69" ca="1"/>
      </c>
      <c r="DA539" s="91" t="str">
        <f t="shared" si="69" ca="1"/>
      </c>
      <c r="DB539" s="91" t="str">
        <f t="shared" si="69" ca="1"/>
      </c>
      <c r="DC539" s="91" t="str">
        <f t="shared" si="69" ca="1"/>
      </c>
      <c r="DD539" s="91" t="str">
        <f t="shared" si="69" ca="1"/>
      </c>
      <c r="DE539" s="91" t="str">
        <f t="shared" si="69" ca="1"/>
      </c>
      <c r="DF539" s="91" t="str">
        <f t="shared" si="69" ca="1"/>
      </c>
      <c r="DG539" s="91" t="str">
        <f t="shared" si="69" ca="1"/>
      </c>
      <c r="DH539" s="91" t="str">
        <f t="shared" si="69" ca="1"/>
      </c>
      <c r="DI539" s="91" t="str">
        <f t="shared" si="69" ca="1"/>
      </c>
      <c r="DJ539" s="91" t="str">
        <f t="shared" si="69" ca="1"/>
      </c>
      <c r="DK539" s="91" t="str">
        <f t="shared" si="69" ca="1"/>
      </c>
      <c r="DL539" s="91" t="str">
        <f t="shared" si="69" ca="1"/>
      </c>
      <c r="DM539" s="91" t="str">
        <f t="shared" si="69" ca="1"/>
      </c>
      <c r="DN539" s="91" t="str">
        <f t="shared" si="69" ca="1"/>
      </c>
      <c r="DO539" s="91" t="str">
        <f t="shared" si="69" ca="1"/>
      </c>
      <c r="DP539" s="91" t="str">
        <f t="shared" si="69" ca="1"/>
      </c>
      <c r="DQ539" s="91" t="str">
        <f t="shared" si="69" ca="1"/>
      </c>
      <c r="DR539" s="91" t="str">
        <f t="shared" si="69" ca="1"/>
      </c>
      <c r="DS539" s="91" t="str">
        <f t="shared" si="69" ca="1"/>
      </c>
      <c r="DT539" s="91" t="str">
        <f t="shared" si="69" ca="1"/>
      </c>
      <c r="DU539" s="91" t="str">
        <f t="shared" si="69" ca="1"/>
      </c>
      <c r="DV539" s="91" t="str">
        <f t="shared" si="69" ca="1"/>
      </c>
      <c r="DW539" s="91" t="str">
        <f t="shared" si="69" ca="1"/>
      </c>
      <c r="DX539" s="91" t="str">
        <f t="shared" si="69" ca="1"/>
      </c>
      <c r="DY539" s="91" t="str">
        <f t="shared" si="69" ca="1"/>
      </c>
      <c r="DZ539" s="91" t="str">
        <f t="shared" si="69" ca="1"/>
      </c>
      <c r="EA539" s="91" t="str">
        <f t="shared" si="69" ca="1"/>
      </c>
      <c r="EB539" s="91" t="str">
        <f t="shared" si="69" ca="1"/>
      </c>
      <c r="EC539" s="91" t="str">
        <f t="shared" si="69" ca="1"/>
      </c>
      <c r="ED539" s="91" t="str">
        <f t="shared" si="69" ca="1"/>
      </c>
      <c r="EE539" s="91" t="str">
        <f t="shared" si="69" ca="1"/>
      </c>
      <c r="EF539" s="91" t="str">
        <f t="shared" si="69" ca="1"/>
      </c>
      <c r="EG539" s="91" t="str">
        <f t="shared" si="69" ca="1"/>
      </c>
      <c r="EH539" s="91" t="str">
        <f t="shared" si="69" ca="1"/>
      </c>
      <c r="EI539" s="91" t="str">
        <f t="shared" si="69" ca="1"/>
      </c>
      <c r="EJ539" s="91" t="str">
        <f t="shared" si="69" ca="1"/>
      </c>
      <c r="EK539" s="91" t="str">
        <f t="shared" si="69" ca="1"/>
      </c>
      <c r="EL539" s="91" t="str">
        <f t="shared" si="69" ca="1"/>
      </c>
      <c r="EM539" s="91" t="str">
        <f t="shared" si="69" ca="1"/>
      </c>
      <c r="EN539" s="91" t="str">
        <f t="shared" si="69" ca="1"/>
      </c>
      <c r="EO539" s="91" t="str">
        <f t="shared" si="69" ca="1"/>
      </c>
      <c r="EP539" s="91" t="str">
        <f t="shared" si="69" ca="1"/>
      </c>
      <c r="EQ539" s="91" t="str">
        <f t="shared" si="69" ca="1"/>
      </c>
      <c r="ER539" s="91" t="str">
        <f t="shared" si="69" ca="1"/>
      </c>
      <c r="ES539" s="91" t="str">
        <f t="shared" si="69" ca="1"/>
      </c>
      <c r="ET539" s="91" t="str">
        <f t="shared" si="69" ca="1"/>
      </c>
      <c r="EU539" s="91" t="str">
        <f t="shared" si="69" ca="1"/>
      </c>
      <c r="EV539" s="91" t="str">
        <f t="shared" si="69" ca="1"/>
      </c>
      <c r="EW539" s="91" t="str">
        <f t="shared" si="69" ca="1"/>
      </c>
      <c r="EX539" s="91" t="str">
        <f t="shared" si="69" ca="1"/>
      </c>
      <c r="EY539" s="91" t="str">
        <f t="shared" si="69" ca="1"/>
      </c>
      <c r="EZ539" s="91" t="str">
        <f t="shared" si="69" ca="1"/>
      </c>
      <c r="FA539" s="91" t="str">
        <f ref="FA539:HL539" t="shared" si="70" ca="1">IF(SUM(FA520:FA538)&lt;&gt;0,SUM(FA520:FA538),"")</f>
      </c>
      <c r="FB539" s="91" t="str">
        <f t="shared" si="70" ca="1"/>
      </c>
      <c r="FC539" s="91" t="str">
        <f t="shared" si="70" ca="1"/>
      </c>
      <c r="FD539" s="91" t="str">
        <f t="shared" si="70" ca="1"/>
      </c>
      <c r="FE539" s="91" t="str">
        <f t="shared" si="70" ca="1"/>
      </c>
      <c r="FF539" s="91" t="str">
        <f t="shared" si="70" ca="1"/>
      </c>
      <c r="FG539" s="91" t="str">
        <f t="shared" si="70" ca="1"/>
      </c>
      <c r="FH539" s="91" t="str">
        <f t="shared" si="70" ca="1"/>
      </c>
      <c r="FI539" s="91" t="str">
        <f t="shared" si="70" ca="1"/>
      </c>
      <c r="FJ539" s="91" t="str">
        <f t="shared" si="70" ca="1"/>
      </c>
      <c r="FK539" s="91" t="str">
        <f t="shared" si="70" ca="1"/>
      </c>
      <c r="FL539" s="91" t="str">
        <f t="shared" si="70" ca="1"/>
      </c>
      <c r="FM539" s="91" t="str">
        <f t="shared" si="70" ca="1"/>
      </c>
      <c r="FN539" s="91" t="str">
        <f t="shared" si="70" ca="1"/>
      </c>
      <c r="FO539" s="91" t="str">
        <f t="shared" si="70" ca="1"/>
      </c>
      <c r="FP539" s="91" t="str">
        <f t="shared" si="70" ca="1"/>
      </c>
      <c r="FQ539" s="91" t="str">
        <f t="shared" si="70" ca="1"/>
      </c>
      <c r="FR539" s="91" t="str">
        <f t="shared" si="70" ca="1"/>
      </c>
      <c r="FS539" s="91" t="str">
        <f t="shared" si="70" ca="1"/>
      </c>
      <c r="FT539" s="91" t="str">
        <f t="shared" si="70" ca="1"/>
      </c>
      <c r="FU539" s="91" t="str">
        <f t="shared" si="70" ca="1"/>
      </c>
      <c r="FV539" s="91" t="str">
        <f t="shared" si="70" ca="1"/>
      </c>
      <c r="FW539" s="91" t="str">
        <f t="shared" si="70" ca="1"/>
      </c>
      <c r="FX539" s="91" t="str">
        <f t="shared" si="70" ca="1"/>
      </c>
      <c r="FY539" s="91" t="str">
        <f t="shared" si="70" ca="1"/>
      </c>
      <c r="FZ539" s="91" t="str">
        <f t="shared" si="70" ca="1"/>
      </c>
      <c r="GA539" s="91" t="str">
        <f t="shared" si="70" ca="1"/>
      </c>
      <c r="GB539" s="91" t="str">
        <f t="shared" si="70" ca="1"/>
      </c>
      <c r="GC539" s="91" t="str">
        <f t="shared" si="70" ca="1"/>
      </c>
      <c r="GD539" s="91" t="str">
        <f t="shared" si="70" ca="1"/>
      </c>
      <c r="GE539" s="91" t="str">
        <f t="shared" si="70" ca="1"/>
      </c>
      <c r="GF539" s="91" t="str">
        <f t="shared" si="70" ca="1"/>
      </c>
      <c r="GG539" s="91" t="str">
        <f t="shared" si="70" ca="1"/>
      </c>
      <c r="GH539" s="91" t="str">
        <f t="shared" si="70" ca="1"/>
      </c>
      <c r="GI539" s="91" t="str">
        <f t="shared" si="70" ca="1"/>
      </c>
      <c r="GJ539" s="91" t="str">
        <f t="shared" si="70" ca="1"/>
      </c>
      <c r="GK539" s="91" t="str">
        <f t="shared" si="70" ca="1"/>
      </c>
      <c r="GL539" s="91" t="str">
        <f t="shared" si="70" ca="1"/>
      </c>
      <c r="GM539" s="91" t="str">
        <f t="shared" si="70" ca="1"/>
      </c>
      <c r="GN539" s="91" t="str">
        <f t="shared" si="70" ca="1"/>
      </c>
      <c r="GO539" s="91" t="str">
        <f t="shared" si="70" ca="1"/>
      </c>
      <c r="GP539" s="91" t="str">
        <f t="shared" si="70" ca="1"/>
      </c>
      <c r="GQ539" s="91" t="str">
        <f t="shared" si="70" ca="1"/>
      </c>
      <c r="GR539" s="91" t="str">
        <f t="shared" si="70" ca="1"/>
      </c>
      <c r="GS539" s="91" t="str">
        <f t="shared" si="70" ca="1"/>
      </c>
      <c r="GT539" s="91" t="str">
        <f t="shared" si="70" ca="1"/>
      </c>
      <c r="GU539" s="91" t="str">
        <f t="shared" si="70" ca="1"/>
      </c>
      <c r="GV539" s="91" t="str">
        <f t="shared" si="70" ca="1"/>
      </c>
      <c r="GW539" s="91" t="str">
        <f t="shared" si="70" ca="1"/>
      </c>
      <c r="GX539" s="91" t="str">
        <f t="shared" si="70" ca="1"/>
      </c>
      <c r="GY539" s="91" t="str">
        <f t="shared" si="70" ca="1"/>
      </c>
      <c r="GZ539" s="91" t="str">
        <f t="shared" si="70" ca="1"/>
      </c>
      <c r="HA539" s="91" t="str">
        <f t="shared" si="70" ca="1"/>
      </c>
      <c r="HB539" s="91" t="str">
        <f t="shared" si="70" ca="1"/>
      </c>
      <c r="HC539" s="91" t="str">
        <f t="shared" si="70" ca="1"/>
      </c>
      <c r="HD539" s="91" t="str">
        <f t="shared" si="70" ca="1"/>
      </c>
      <c r="HE539" s="91" t="str">
        <f t="shared" si="70" ca="1"/>
      </c>
      <c r="HF539" s="91" t="str">
        <f t="shared" si="70" ca="1"/>
      </c>
      <c r="HG539" s="91" t="str">
        <f t="shared" si="70" ca="1"/>
      </c>
      <c r="HH539" s="91" t="str">
        <f t="shared" si="70" ca="1"/>
      </c>
      <c r="HI539" s="91" t="str">
        <f t="shared" si="70" ca="1"/>
      </c>
      <c r="HJ539" s="91" t="str">
        <f t="shared" si="70" ca="1"/>
      </c>
      <c r="HK539" s="91" t="str">
        <f t="shared" si="70" ca="1"/>
      </c>
      <c r="HL539" s="91" t="str">
        <f t="shared" si="70" ca="1"/>
      </c>
      <c r="HM539" s="91" t="str">
        <f ref="HM539:IV539" t="shared" si="71" ca="1">IF(SUM(HM520:HM538)&lt;&gt;0,SUM(HM520:HM538),"")</f>
      </c>
      <c r="HN539" s="91" t="str">
        <f t="shared" si="71" ca="1"/>
      </c>
      <c r="HO539" s="91" t="str">
        <f t="shared" si="71" ca="1"/>
      </c>
      <c r="HP539" s="91" t="str">
        <f t="shared" si="71" ca="1"/>
      </c>
      <c r="HQ539" s="91" t="str">
        <f t="shared" si="71" ca="1"/>
      </c>
      <c r="HR539" s="91" t="str">
        <f t="shared" si="71" ca="1"/>
      </c>
      <c r="HS539" s="91" t="str">
        <f t="shared" si="71" ca="1"/>
      </c>
      <c r="HT539" s="91" t="str">
        <f t="shared" si="71" ca="1"/>
      </c>
      <c r="HU539" s="91" t="str">
        <f t="shared" si="71" ca="1"/>
      </c>
      <c r="HV539" s="91" t="str">
        <f t="shared" si="71" ca="1"/>
      </c>
      <c r="HW539" s="91" t="str">
        <f t="shared" si="71" ca="1"/>
      </c>
      <c r="HX539" s="91" t="str">
        <f t="shared" si="71" ca="1"/>
      </c>
      <c r="HY539" s="91" t="str">
        <f t="shared" si="71" ca="1"/>
      </c>
      <c r="HZ539" s="91" t="str">
        <f t="shared" si="71" ca="1"/>
      </c>
      <c r="IA539" s="91" t="str">
        <f t="shared" si="71" ca="1"/>
      </c>
      <c r="IB539" s="91" t="str">
        <f t="shared" si="71" ca="1"/>
      </c>
      <c r="IC539" s="91" t="str">
        <f t="shared" si="71" ca="1"/>
      </c>
      <c r="ID539" s="91" t="str">
        <f t="shared" si="71" ca="1"/>
      </c>
      <c r="IE539" s="91" t="str">
        <f t="shared" si="71" ca="1"/>
      </c>
      <c r="IF539" s="91" t="str">
        <f t="shared" si="71" ca="1"/>
      </c>
      <c r="IG539" s="91" t="str">
        <f t="shared" si="71" ca="1"/>
      </c>
      <c r="IH539" s="91" t="str">
        <f t="shared" si="71" ca="1"/>
      </c>
      <c r="II539" s="91" t="str">
        <f t="shared" si="71" ca="1"/>
      </c>
      <c r="IJ539" s="91" t="str">
        <f t="shared" si="71" ca="1"/>
      </c>
      <c r="IK539" s="91" t="str">
        <f t="shared" si="71" ca="1"/>
      </c>
      <c r="IL539" s="91" t="str">
        <f t="shared" si="71" ca="1"/>
      </c>
      <c r="IM539" s="91" t="str">
        <f t="shared" si="71" ca="1"/>
      </c>
      <c r="IN539" s="91" t="str">
        <f t="shared" si="71" ca="1"/>
      </c>
      <c r="IO539" s="91" t="str">
        <f t="shared" si="71" ca="1"/>
      </c>
      <c r="IP539" s="91" t="str">
        <f t="shared" si="71" ca="1"/>
      </c>
      <c r="IQ539" s="91" t="str">
        <f t="shared" si="71" ca="1"/>
      </c>
      <c r="IR539" s="91" t="str">
        <f t="shared" si="71" ca="1"/>
      </c>
      <c r="IS539" s="91" t="str">
        <f t="shared" si="71" ca="1"/>
      </c>
      <c r="IT539" s="91" t="str">
        <f t="shared" si="71" ca="1"/>
      </c>
      <c r="IU539" s="91" t="str">
        <f t="shared" si="71" ca="1"/>
      </c>
      <c r="IV539" s="91" t="str">
        <f t="shared" si="71" ca="1"/>
      </c>
    </row>
    <row r="540" hidden="1" ht="12.75" customHeight="1"/>
    <row r="541" hidden="1" ht="12.75" customHeight="1"/>
    <row r="542" hidden="1" ht="12.75" customHeight="1"/>
    <row r="543" hidden="1" ht="12.75" customHeight="1"/>
  </sheetData>
  <sheetProtection sheet="1" autoFilter="0" objects="1" scenarios="1" sort="0" password="ed66"/>
  <mergeCells>
    <mergeCell ref="C142:D142"/>
    <mergeCell ref="C133:D133"/>
    <mergeCell ref="C139:D139"/>
    <mergeCell ref="C140:D140"/>
    <mergeCell ref="C141:D141"/>
    <mergeCell ref="C137:D137"/>
    <mergeCell ref="B9:E9"/>
    <mergeCell ref="C129:D129"/>
    <mergeCell ref="C130:D130"/>
    <mergeCell ref="C131:D131"/>
    <mergeCell ref="D123:E123"/>
    <mergeCell ref="C128:D128"/>
    <mergeCell ref="C20:M20"/>
    <mergeCell ref="C22:M22"/>
    <mergeCell ref="C24:M24"/>
    <mergeCell ref="C31:M31"/>
    <mergeCell ref="C13:M13"/>
    <mergeCell ref="C14:M14"/>
    <mergeCell ref="C17:M17"/>
    <mergeCell ref="C18:M18"/>
    <mergeCell ref="C27:M27"/>
    <mergeCell ref="C25:M25"/>
    <mergeCell ref="C38:M38"/>
    <mergeCell ref="C40:M40"/>
    <mergeCell ref="C138:D138"/>
    <mergeCell ref="C42:M42"/>
    <mergeCell ref="C29:M29"/>
    <mergeCell ref="C132:D132"/>
    <mergeCell ref="C135:D135"/>
    <mergeCell ref="C134:D134"/>
    <mergeCell ref="C32:M32"/>
    <mergeCell ref="C34:M34"/>
    <mergeCell ref="C36:M36"/>
    <mergeCell ref="C136:D136"/>
    <mergeCell ref="C178:AB178"/>
    <mergeCell ref="C201:AB201"/>
    <mergeCell ref="C349:AB349"/>
    <mergeCell ref="C225:AB225"/>
    <mergeCell ref="C373:AB373"/>
    <mergeCell ref="C273:AB273"/>
    <mergeCell ref="C518:AB518"/>
    <mergeCell ref="C397:AB397"/>
    <mergeCell ref="C297:AB297"/>
    <mergeCell ref="C494:AB494"/>
    <mergeCell ref="C249:AB249"/>
    <mergeCell ref="C470:AB470"/>
    <mergeCell ref="C421:AB421"/>
    <mergeCell ref="C446:AB446"/>
  </mergeCells>
  <phoneticPr fontId="3" type="noConversion"/>
  <printOptions horizontalCentered="1"/>
  <pageMargins left="0.23622047244094491" right="0.39370078740157483" top="0.98425196850393704" bottom="0.98425196850393704" header="0.15748031496062992" footer="0"/>
  <pageSetup paperSize="9" scale="54" orientation="portrait"/>
  <headerFooter alignWithMargins="0"/>
  <rowBreaks count="1" manualBreakCount="1">
    <brk id="92" max="1048575" man="1"/>
  </rowBreaks>
  <drawing r:id="rId2"/>
  <legacyDrawing r:id="rId3"/>
  <mc:AlternateContent xmlns:mc="http://schemas.openxmlformats.org/markup-compatibility/2006">
    <mc:Choice Requires="x14">
      <controls>
        <mc:AlternateContent xmlns:mc="http://schemas.openxmlformats.org/markup-compatibility/2006">
          <mc:Choice Requires="x14">
            <control shapeId="14337" r:id="rId4" name="Drop Down 1">
              <controlPr defaultSize="0" autoLine="0" autoPict="0">
                <anchor moveWithCells="1">
                  <from>
                    <xdr:col>4</xdr:col>
                    <xdr:colOff>609600</xdr:colOff>
                    <xdr:row>7</xdr:row>
                    <xdr:rowOff>0</xdr:rowOff>
                  </from>
                  <to>
                    <xdr:col>6</xdr:col>
                    <xdr:colOff>695325</xdr:colOff>
                    <xdr:row>8</xdr:row>
                    <xdr:rowOff>152400</xdr:rowOff>
                  </to>
                </anchor>
              </controlPr>
            </control>
          </mc:Choice>
        </mc:AlternateContent>
        <mc:AlternateContent xmlns:mc="http://schemas.openxmlformats.org/markup-compatibility/2006">
          <mc:Choice Requires="x14">
            <control shapeId="14340" r:id="rId5" name="Drop Down 4">
              <controlPr locked="0" defaultSize="0" autoLine="0" autoPict="0">
                <anchor moveWithCells="1">
                  <from>
                    <xdr:col>4</xdr:col>
                    <xdr:colOff>638175</xdr:colOff>
                    <xdr:row>121</xdr:row>
                    <xdr:rowOff>133350</xdr:rowOff>
                  </from>
                  <to>
                    <xdr:col>6</xdr:col>
                    <xdr:colOff>714375</xdr:colOff>
                    <xdr:row>123</xdr:row>
                    <xdr:rowOff>66675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ontainsText" priority="28" operator="containsText" id="{A312DAE2-A5A4-4AA6-9403-E9A8362E461E}">
            <xm:f>NOT(ISERROR(SEARCH("",AC394)))</xm:f>
            <xm:f>""</xm:f>
            <x14:dxf>
              <numFmt numFmtId="3" formatCode="#,##0"/>
              <border>
                <left style="thin">
                  <color auto="1"/>
                </left>
                <right style="thin">
                  <color auto="1"/>
                </right>
                <top style="thin">
                  <color auto="1"/>
                </top>
                <bottom style="thin">
                  <color auto="1"/>
                </bottom>
                <vertical/>
                <horizontal/>
              </border>
            </x14:dxf>
          </x14:cfRule>
          <xm:sqref>AC394:IV394</xm:sqref>
        </x14:conditionalFormatting>
        <x14:conditionalFormatting xmlns:xm="http://schemas.microsoft.com/office/excel/2006/main">
          <x14:cfRule type="containsText" priority="27" operator="containsText" id="{C91E8B20-DC53-427E-A9DC-C8928089506D}">
            <xm:f>NOT(ISERROR(SEARCH("",C375)))</xm:f>
            <xm:f>""</xm:f>
            <x14:dxf>
              <numFmt numFmtId="3" formatCode="#,##0"/>
              <border>
                <right style="thin">
                  <color auto="1"/>
                </right>
                <top style="thin">
                  <color auto="1"/>
                </top>
                <bottom style="thin">
                  <color auto="1"/>
                </bottom>
                <vertical/>
                <horizontal/>
              </border>
            </x14:dxf>
          </x14:cfRule>
          <xm:sqref>C375:IV393</xm:sqref>
        </x14:conditionalFormatting>
        <x14:conditionalFormatting xmlns:xm="http://schemas.microsoft.com/office/excel/2006/main">
          <x14:cfRule type="containsText" priority="30" operator="containsText" id="{389C326E-6988-4A62-BE2B-BFFBC93C507F}">
            <xm:f>NOT(ISERROR(SEARCH("",AD350)))</xm:f>
            <xm:f>""</xm:f>
            <x14:dxf>
              <numFmt numFmtId="3" formatCode="#,##0"/>
              <border>
                <left style="thin">
                  <color auto="1"/>
                </left>
                <right style="thin">
                  <color auto="1"/>
                </right>
                <top style="thin">
                  <color auto="1"/>
                </top>
                <bottom style="thin">
                  <color auto="1"/>
                </bottom>
                <vertical/>
                <horizontal/>
              </border>
            </x14:dxf>
          </x14:cfRule>
          <xm:sqref>AD350:AG350 AI350:AL350 AN350:AQ350 AS350:AV350 AX350:BA350 BC350:BF350 BH350:BK350 BM350:BP350 BR350:BU350 BW350:BZ350 CB350:CE350 CG350:CJ350 CL350:CO350 CQ350:CT350 CV350:CY350 DA350:DD350 DF350:DI350 DK350:DN350 DP350:DS350 DU350:DX350 DZ350:EC350 EE350:EH350 EJ350:EM350 EO350:ER350 ET350:EW350 EY350:FB350 FD350:FG350 FI350:FL350 FN350:FQ350 FS350:FV350 FX350:GA350 GC350:GF350 GH350:GK350 GM350:GP350 GR350:GU350 GW350:GZ350 HB350:HE350 HG350:HJ350 HL350:HO350 HQ350:HT350 HV350:HY350 IA350:ID350 IF350:II350 IK350:IN350 IP350:IS350 IU350:IV350</xm:sqref>
        </x14:conditionalFormatting>
        <x14:conditionalFormatting xmlns:xm="http://schemas.microsoft.com/office/excel/2006/main">
          <x14:cfRule type="containsText" priority="32" operator="containsText" id="{B5F1307D-714E-438A-AC04-8D275DFEA121}">
            <xm:f>NOT(ISERROR(SEARCH("",AC370)))</xm:f>
            <xm:f>""</xm:f>
            <x14:dxf>
              <numFmt numFmtId="3" formatCode="#,##0"/>
              <border>
                <left style="thin">
                  <color auto="1"/>
                </left>
                <right style="thin">
                  <color auto="1"/>
                </right>
                <top style="thin">
                  <color auto="1"/>
                </top>
                <bottom style="thin">
                  <color auto="1"/>
                </bottom>
                <vertical/>
                <horizontal/>
              </border>
            </x14:dxf>
          </x14:cfRule>
          <xm:sqref>AC370:IV370</xm:sqref>
        </x14:conditionalFormatting>
        <x14:conditionalFormatting xmlns:xm="http://schemas.microsoft.com/office/excel/2006/main">
          <x14:cfRule type="containsText" priority="31" operator="containsText" id="{A0684E7D-CA6B-4FAA-A82B-9657800C0099}">
            <xm:f>NOT(ISERROR(SEARCH("",C351)))</xm:f>
            <xm:f>""</xm:f>
            <x14:dxf>
              <numFmt numFmtId="3" formatCode="#,##0"/>
              <border>
                <right style="thin">
                  <color auto="1"/>
                </right>
                <top style="thin">
                  <color auto="1"/>
                </top>
                <bottom style="thin">
                  <color auto="1"/>
                </bottom>
                <vertical/>
                <horizontal/>
              </border>
            </x14:dxf>
          </x14:cfRule>
          <xm:sqref>C351:IV369</xm:sqref>
        </x14:conditionalFormatting>
        <x14:conditionalFormatting xmlns:xm="http://schemas.microsoft.com/office/excel/2006/main">
          <x14:cfRule type="containsText" priority="34" operator="containsText" id="{2EAEF4C1-4EA6-437B-8832-D3E6C7D7EACD}">
            <xm:f>NOT(ISERROR(SEARCH("",AD298)))</xm:f>
            <xm:f>""</xm:f>
            <x14:dxf>
              <numFmt numFmtId="3" formatCode="#,##0"/>
              <border>
                <left style="thin">
                  <color auto="1"/>
                </left>
                <right style="thin">
                  <color auto="1"/>
                </right>
                <top style="thin">
                  <color auto="1"/>
                </top>
                <bottom style="thin">
                  <color auto="1"/>
                </bottom>
                <vertical/>
                <horizontal/>
              </border>
            </x14:dxf>
          </x14:cfRule>
          <xm:sqref>AD298:AG298 AI298:AL298 AN298:AQ298 AS298:AV298 AX298:BA298 BC298:BF298 BH298:BK298 BM298:BP298 BR298:BU298 BW298:BZ298 CB298:CE298 CG298:CJ298 CL298:CO298 CQ298:CT298 CV298:CY298 DA298:DD298 DF298:DI298 DK298:DN298 DP298:DS298 DU298:DX298 DZ298:EC298 EE298:EH298 EJ298:EM298 EO298:ER298 ET298:EW298 EY298:FB298 FD298:FG298 FI298:FL298 FN298:FQ298 FS298:FV298 FX298:GA298 GC298:GF298 GH298:GK298 GM298:GP298 GR298:GU298 GW298:GZ298 HB298:HE298 HG298:HJ298 HL298:HO298 HQ298:HT298 HV298:HY298 IA298:ID298 IF298:II298 IK298:IN298 IP298:IS298 IU298:IV298</xm:sqref>
        </x14:conditionalFormatting>
        <x14:conditionalFormatting xmlns:xm="http://schemas.microsoft.com/office/excel/2006/main">
          <x14:cfRule type="containsText" priority="36" operator="containsText" id="{B8F04B66-2B9E-4667-BAE3-93642EFA8245}">
            <xm:f>NOT(ISERROR(SEARCH("",AC318)))</xm:f>
            <xm:f>""</xm:f>
            <x14:dxf>
              <numFmt numFmtId="3" formatCode="#,##0"/>
              <border>
                <left style="thin">
                  <color auto="1"/>
                </left>
                <right style="thin">
                  <color auto="1"/>
                </right>
                <top style="thin">
                  <color auto="1"/>
                </top>
                <bottom style="thin">
                  <color auto="1"/>
                </bottom>
                <vertical/>
                <horizontal/>
              </border>
            </x14:dxf>
          </x14:cfRule>
          <xm:sqref>AC318:IV318</xm:sqref>
        </x14:conditionalFormatting>
        <x14:conditionalFormatting xmlns:xm="http://schemas.microsoft.com/office/excel/2006/main">
          <x14:cfRule type="containsText" priority="35" operator="containsText" id="{5827A44C-77BB-46FD-86AC-E26DB14DB44C}">
            <xm:f>NOT(ISERROR(SEARCH("",C299)))</xm:f>
            <xm:f>""</xm:f>
            <x14:dxf>
              <numFmt numFmtId="3" formatCode="#,##0"/>
              <border>
                <right style="thin">
                  <color auto="1"/>
                </right>
                <top style="thin">
                  <color auto="1"/>
                </top>
                <bottom style="thin">
                  <color auto="1"/>
                </bottom>
                <vertical/>
                <horizontal/>
              </border>
            </x14:dxf>
          </x14:cfRule>
          <xm:sqref>C299:IV317</xm:sqref>
        </x14:conditionalFormatting>
        <x14:conditionalFormatting xmlns:xm="http://schemas.microsoft.com/office/excel/2006/main">
          <x14:cfRule type="containsText" priority="38" operator="containsText" id="{6F83BA15-B4D4-4B8D-AAAD-83260CD18F16}">
            <xm:f>NOT(ISERROR(SEARCH("",AD274)))</xm:f>
            <xm:f>""</xm:f>
            <x14:dxf>
              <numFmt numFmtId="3" formatCode="#,##0"/>
              <border>
                <left style="thin">
                  <color auto="1"/>
                </left>
                <right style="thin">
                  <color auto="1"/>
                </right>
                <top style="thin">
                  <color auto="1"/>
                </top>
                <bottom style="thin">
                  <color auto="1"/>
                </bottom>
                <vertical/>
                <horizontal/>
              </border>
            </x14:dxf>
          </x14:cfRule>
          <xm:sqref>AD274:AG274 AI274:AL274 AN274:AQ274 AS274:AV274 AX274:BA274 BC274:BF274 BH274:BK274 BM274:BP274 BR274:BU274 BW274:BZ274 CB274:CE274 CG274:CJ274 CL274:CO274 CQ274:CT274 CV274:CY274 DA274:DD274 DF274:DI274 DK274:DN274 DP274:DS274 DU274:DX274 DZ274:EC274 EE274:EH274 EJ274:EM274 EO274:ER274 ET274:EW274 EY274:FB274 FD274:FG274 FI274:FL274 FN274:FQ274 FS274:FV274 FX274:GA274 GC274:GF274 GH274:GK274 GM274:GP274 GR274:GU274 GW274:GZ274 HB274:HE274 HG274:HJ274 HL274:HO274 HQ274:HT274 HV274:HY274 IA274:ID274 IF274:II274 IK274:IN274 IP274:IS274 IU274:IV274</xm:sqref>
        </x14:conditionalFormatting>
        <x14:conditionalFormatting xmlns:xm="http://schemas.microsoft.com/office/excel/2006/main">
          <x14:cfRule type="containsText" priority="40" operator="containsText" id="{BD95CBEF-9ACC-438E-8788-43D48135899F}">
            <xm:f>NOT(ISERROR(SEARCH("",AC294)))</xm:f>
            <xm:f>""</xm:f>
            <x14:dxf>
              <numFmt numFmtId="3" formatCode="#,##0"/>
              <border>
                <left style="thin">
                  <color auto="1"/>
                </left>
                <right style="thin">
                  <color auto="1"/>
                </right>
                <top style="thin">
                  <color auto="1"/>
                </top>
                <bottom style="thin">
                  <color auto="1"/>
                </bottom>
                <vertical/>
                <horizontal/>
              </border>
            </x14:dxf>
          </x14:cfRule>
          <xm:sqref>AC294:IV294</xm:sqref>
        </x14:conditionalFormatting>
        <x14:conditionalFormatting xmlns:xm="http://schemas.microsoft.com/office/excel/2006/main">
          <x14:cfRule type="containsText" priority="39" operator="containsText" id="{1F941487-6FEA-4D11-9251-30ADA42562D6}">
            <xm:f>NOT(ISERROR(SEARCH("",C275)))</xm:f>
            <xm:f>""</xm:f>
            <x14:dxf>
              <numFmt numFmtId="3" formatCode="#,##0"/>
              <border>
                <right style="thin">
                  <color auto="1"/>
                </right>
                <top style="thin">
                  <color auto="1"/>
                </top>
                <bottom style="thin">
                  <color auto="1"/>
                </bottom>
                <vertical/>
                <horizontal/>
              </border>
            </x14:dxf>
          </x14:cfRule>
          <xm:sqref>C275:IV293</xm:sqref>
        </x14:conditionalFormatting>
        <x14:conditionalFormatting xmlns:xm="http://schemas.microsoft.com/office/excel/2006/main">
          <x14:cfRule type="containsText" priority="42" operator="containsText" id="{EC321D4C-0F43-446D-8BB7-8831670D83EB}">
            <xm:f>NOT(ISERROR(SEARCH("",AD250)))</xm:f>
            <xm:f>""</xm:f>
            <x14:dxf>
              <numFmt numFmtId="3" formatCode="#,##0"/>
              <border>
                <left style="thin">
                  <color auto="1"/>
                </left>
                <right style="thin">
                  <color auto="1"/>
                </right>
                <top style="thin">
                  <color auto="1"/>
                </top>
                <bottom style="thin">
                  <color auto="1"/>
                </bottom>
                <vertical/>
                <horizontal/>
              </border>
            </x14:dxf>
          </x14:cfRule>
          <xm:sqref>AD250:AG250 AI250:AL250 AN250:AQ250 AS250:AV250 AX250:BA250 BC250:BF250 BH250:BK250 BM250:BP250 BR250:BU250 BW250:BZ250 CB250:CE250 CG250:CJ250 CL250:CO250 CQ250:CT250 CV250:CY250 DA250:DD250 DF250:DI250 DK250:DN250 DP250:DS250 DU250:DX250 DZ250:EC250 EE250:EH250 EJ250:EM250 EO250:ER250 ET250:EW250 EY250:FB250 FD250:FG250 FI250:FL250 FN250:FQ250 FS250:FV250 FX250:GA250 GC250:GF250 GH250:GK250 GM250:GP250 GR250:GU250 GW250:GZ250 HB250:HE250 HG250:HJ250 HL250:HO250 HQ250:HT250 HV250:HY250 IA250:ID250 IF250:II250 IK250:IN250 IP250:IS250 IU250:IV250</xm:sqref>
        </x14:conditionalFormatting>
        <x14:conditionalFormatting xmlns:xm="http://schemas.microsoft.com/office/excel/2006/main">
          <x14:cfRule type="containsText" priority="44" operator="containsText" id="{D6E2C175-B918-4A12-91FF-EC9D15D9311B}">
            <xm:f>NOT(ISERROR(SEARCH("",AC270)))</xm:f>
            <xm:f>""</xm:f>
            <x14:dxf>
              <numFmt numFmtId="3" formatCode="#,##0"/>
              <border>
                <left style="thin">
                  <color auto="1"/>
                </left>
                <right style="thin">
                  <color auto="1"/>
                </right>
                <top style="thin">
                  <color auto="1"/>
                </top>
                <bottom style="thin">
                  <color auto="1"/>
                </bottom>
                <vertical/>
                <horizontal/>
              </border>
            </x14:dxf>
          </x14:cfRule>
          <xm:sqref>AC270:IV270</xm:sqref>
        </x14:conditionalFormatting>
        <x14:conditionalFormatting xmlns:xm="http://schemas.microsoft.com/office/excel/2006/main">
          <x14:cfRule type="containsText" priority="43" operator="containsText" id="{5A18C726-2FF5-42B6-B0AE-8FF3F4B4226C}">
            <xm:f>NOT(ISERROR(SEARCH("",C251)))</xm:f>
            <xm:f>""</xm:f>
            <x14:dxf>
              <numFmt numFmtId="3" formatCode="#,##0"/>
              <border>
                <right style="thin">
                  <color auto="1"/>
                </right>
                <top style="thin">
                  <color auto="1"/>
                </top>
                <bottom style="thin">
                  <color auto="1"/>
                </bottom>
                <vertical/>
                <horizontal/>
              </border>
            </x14:dxf>
          </x14:cfRule>
          <xm:sqref>C251:IV269</xm:sqref>
        </x14:conditionalFormatting>
        <x14:conditionalFormatting xmlns:xm="http://schemas.microsoft.com/office/excel/2006/main">
          <x14:cfRule type="containsText" priority="46" operator="containsText" id="{E72C8CDD-B854-40BE-9A2D-3A7472F66F09}">
            <xm:f>NOT(ISERROR(SEARCH("",AD226)))</xm:f>
            <xm:f>""</xm:f>
            <x14:dxf>
              <numFmt numFmtId="3" formatCode="#,##0"/>
              <border>
                <left style="thin">
                  <color auto="1"/>
                </left>
                <right style="thin">
                  <color auto="1"/>
                </right>
                <top style="thin">
                  <color auto="1"/>
                </top>
                <bottom style="thin">
                  <color auto="1"/>
                </bottom>
                <vertical/>
                <horizontal/>
              </border>
            </x14:dxf>
          </x14:cfRule>
          <xm:sqref>AD226:AG226 AI226:AL226 AN226:AQ226 AS226:AV226 AX226:BA226 BC226:BF226 BH226:BK226 BM226:BP226 BR226:BU226 BW226:BZ226 CB226:CE226 CG226:CJ226 CL226:CO226 CQ226:CT226 CV226:CY226 DA226:DD226 DF226:DI226 DK226:DN226 DP226:DS226 DU226:DX226 DZ226:EC226 EE226:EH226 EJ226:EM226 EO226:ER226 ET226:EW226 EY226:FB226 FD226:FG226 FI226:FL226 FN226:FQ226 FS226:FV226 FX226:GA226 GC226:GF226 GH226:GK226 GM226:GP226 GR226:GU226 GW226:GZ226 HB226:HE226 HG226:HJ226 HL226:HO226 HQ226:HT226 HV226:HY226 IA226:ID226 IF226:II226 IK226:IN226 IP226:IS226 IU226:IV226</xm:sqref>
        </x14:conditionalFormatting>
        <x14:conditionalFormatting xmlns:xm="http://schemas.microsoft.com/office/excel/2006/main">
          <x14:cfRule type="containsText" priority="48" operator="containsText" id="{F146EC36-7444-416A-B922-856F72F651E8}">
            <xm:f>NOT(ISERROR(SEARCH("",AC246)))</xm:f>
            <xm:f>""</xm:f>
            <x14:dxf>
              <numFmt numFmtId="3" formatCode="#,##0"/>
              <border>
                <left style="thin">
                  <color auto="1"/>
                </left>
                <right style="thin">
                  <color auto="1"/>
                </right>
                <top style="thin">
                  <color auto="1"/>
                </top>
                <bottom style="thin">
                  <color auto="1"/>
                </bottom>
                <vertical/>
                <horizontal/>
              </border>
            </x14:dxf>
          </x14:cfRule>
          <xm:sqref>AC246:IV246</xm:sqref>
        </x14:conditionalFormatting>
        <x14:conditionalFormatting xmlns:xm="http://schemas.microsoft.com/office/excel/2006/main">
          <x14:cfRule type="containsText" priority="47" operator="containsText" id="{061FB57C-211A-4422-8EFE-C0DEEBEDEE19}">
            <xm:f>NOT(ISERROR(SEARCH("",C227)))</xm:f>
            <xm:f>""</xm:f>
            <x14:dxf>
              <numFmt numFmtId="3" formatCode="#,##0"/>
              <border>
                <right style="thin">
                  <color auto="1"/>
                </right>
                <top style="thin">
                  <color auto="1"/>
                </top>
                <bottom style="thin">
                  <color auto="1"/>
                </bottom>
                <vertical/>
                <horizontal/>
              </border>
            </x14:dxf>
          </x14:cfRule>
          <xm:sqref>C227:IV245</xm:sqref>
        </x14:conditionalFormatting>
        <x14:conditionalFormatting xmlns:xm="http://schemas.microsoft.com/office/excel/2006/main">
          <x14:cfRule type="containsText" priority="50" operator="containsText" id="{562598D5-1A79-47BA-AFDA-0A87D6CD597C}">
            <xm:f>NOT(ISERROR(SEARCH("",AD202)))</xm:f>
            <xm:f>""</xm:f>
            <x14:dxf>
              <numFmt numFmtId="3" formatCode="#,##0"/>
              <border>
                <left style="thin">
                  <color auto="1"/>
                </left>
                <right style="thin">
                  <color auto="1"/>
                </right>
                <top style="thin">
                  <color auto="1"/>
                </top>
                <bottom style="thin">
                  <color auto="1"/>
                </bottom>
                <vertical/>
                <horizontal/>
              </border>
            </x14:dxf>
          </x14:cfRule>
          <xm:sqref>AD202:AG202 AI202:AL202 AN202:AQ202 AS202:AV202 AX202:BA202 BC202:BF202 BH202:BK202 BM202:BP202 BR202:BU202 BW202:BZ202 CB202:CE202 CG202:CJ202 CL202:CO202 CQ202:CT202 CV202:CY202 DA202:DD202 DF202:DI202 DK202:DN202 DP202:DS202 DU202:DX202 DZ202:EC202 EE202:EH202 EJ202:EM202 EO202:ER202 ET202:EW202 EY202:FB202 FD202:FG202 FI202:FL202 FN202:FQ202 FS202:FV202 FX202:GA202 GC202:GF202 GH202:GK202 GM202:GP202 GR202:GU202 GW202:GZ202 HB202:HE202 HG202:HJ202 HL202:HO202 HQ202:HT202 HV202:HY202 IA202:ID202 IF202:II202 IK202:IN202 IP202:IS202 IU202:IV202</xm:sqref>
        </x14:conditionalFormatting>
        <x14:conditionalFormatting xmlns:xm="http://schemas.microsoft.com/office/excel/2006/main">
          <x14:cfRule type="containsText" priority="52" operator="containsText" id="{E2AA6541-D28A-4D74-9C16-D735267B03F2}">
            <xm:f>NOT(ISERROR(SEARCH("",AC222)))</xm:f>
            <xm:f>""</xm:f>
            <x14:dxf>
              <numFmt numFmtId="3" formatCode="#,##0"/>
              <border>
                <left style="thin">
                  <color auto="1"/>
                </left>
                <right style="thin">
                  <color auto="1"/>
                </right>
                <top style="thin">
                  <color auto="1"/>
                </top>
                <bottom style="thin">
                  <color auto="1"/>
                </bottom>
                <vertical/>
                <horizontal/>
              </border>
            </x14:dxf>
          </x14:cfRule>
          <xm:sqref>AC222:IV222</xm:sqref>
        </x14:conditionalFormatting>
        <x14:conditionalFormatting xmlns:xm="http://schemas.microsoft.com/office/excel/2006/main">
          <x14:cfRule type="containsText" priority="51" operator="containsText" id="{29EC872B-00ED-4D82-A01A-914D2E7B84DF}">
            <xm:f>NOT(ISERROR(SEARCH("",C203)))</xm:f>
            <xm:f>""</xm:f>
            <x14:dxf>
              <numFmt numFmtId="3" formatCode="#,##0"/>
              <border>
                <right style="thin">
                  <color auto="1"/>
                </right>
                <top style="thin">
                  <color auto="1"/>
                </top>
                <bottom style="thin">
                  <color auto="1"/>
                </bottom>
                <vertical/>
                <horizontal/>
              </border>
            </x14:dxf>
          </x14:cfRule>
          <xm:sqref>C203:IV221</xm:sqref>
        </x14:conditionalFormatting>
        <x14:conditionalFormatting xmlns:xm="http://schemas.microsoft.com/office/excel/2006/main">
          <x14:cfRule type="containsText" priority="54" operator="containsText" id="{202278FA-FDCF-4BFB-8CB8-03C69B81C97A}">
            <xm:f>NOT(ISERROR(SEARCH("",AD179)))</xm:f>
            <xm:f>""</xm:f>
            <x14:dxf>
              <numFmt numFmtId="3" formatCode="#,##0"/>
              <border>
                <left style="thin">
                  <color auto="1"/>
                </left>
                <right style="thin">
                  <color auto="1"/>
                </right>
                <top style="thin">
                  <color auto="1"/>
                </top>
                <bottom style="thin">
                  <color auto="1"/>
                </bottom>
                <vertical/>
                <horizontal/>
              </border>
            </x14:dxf>
          </x14:cfRule>
          <xm:sqref>AD179:AG179 AI179:AL179 AN179:AQ179 AS179:AV179 AX179:BA179 BC179:BF179 BH179:BK179 BM179:BP179 BR179:BU179 BW179:BZ179 CB179:CE179 CG179:CJ179 CL179:CO179 CQ179:CT179 CV179:CY179 DA179:DD179 DF179:DI179 DK179:DN179 DP179:DS179 DU179:DX179 DZ179:EC179 EE179:EH179 EJ179:EM179 EO179:ER179 ET179:EW179 EY179:FB179 FD179:FG179 FI179:FL179 FN179:FQ179 FS179:FV179 FX179:GA179 GC179:GF179 GH179:GK179 GM179:GP179 GR179:GU179 GW179:GZ179 HB179:HE179 HG179:HJ179 HL179:HO179 HQ179:HT179 HV179:HY179 IA179:ID179 IF179:II179 IK179:IN179 IP179:IS179 IU179:IV179</xm:sqref>
        </x14:conditionalFormatting>
        <x14:conditionalFormatting xmlns:xm="http://schemas.microsoft.com/office/excel/2006/main">
          <x14:cfRule type="containsText" priority="56" operator="containsText" id="{87A47652-97D6-4DC9-AFB8-A214858EDAE1}">
            <xm:f>NOT(ISERROR(SEARCH("",AC199)))</xm:f>
            <xm:f>""</xm:f>
            <x14:dxf>
              <numFmt numFmtId="3" formatCode="#,##0"/>
              <border>
                <left style="thin">
                  <color auto="1"/>
                </left>
                <right style="thin">
                  <color auto="1"/>
                </right>
                <top style="thin">
                  <color auto="1"/>
                </top>
                <bottom style="thin">
                  <color auto="1"/>
                </bottom>
                <vertical/>
                <horizontal/>
              </border>
            </x14:dxf>
          </x14:cfRule>
          <xm:sqref>AC199:IV199</xm:sqref>
        </x14:conditionalFormatting>
        <x14:conditionalFormatting xmlns:xm="http://schemas.microsoft.com/office/excel/2006/main">
          <x14:cfRule type="containsText" priority="55" operator="containsText" id="{7C38F247-7DE8-4865-94AE-549C9E3311A3}">
            <xm:f>NOT(ISERROR(SEARCH("",C180)))</xm:f>
            <xm:f>""</xm:f>
            <x14:dxf>
              <numFmt numFmtId="3" formatCode="#,##0"/>
              <border>
                <right style="thin">
                  <color auto="1"/>
                </right>
                <top style="thin">
                  <color auto="1"/>
                </top>
                <bottom style="thin">
                  <color auto="1"/>
                </bottom>
                <vertical/>
                <horizontal/>
              </border>
            </x14:dxf>
          </x14:cfRule>
          <xm:sqref>C180:IV198</xm:sqref>
        </x14:conditionalFormatting>
        <x14:conditionalFormatting xmlns:xm="http://schemas.microsoft.com/office/excel/2006/main">
          <x14:cfRule type="containsText" priority="53" operator="containsText" id="{72E1A310-5662-4D0D-8B22-41597D8676CA}">
            <xm:f>NOT(ISERROR(SEARCH("",AC179)))</xm:f>
            <xm:f>""</xm:f>
            <x14:dxf>
              <numFmt numFmtId="3" formatCode="#,##0"/>
              <border>
                <left style="thin">
                  <color auto="1"/>
                </left>
                <right style="thin">
                  <color auto="1"/>
                </right>
                <top style="thin">
                  <color auto="1"/>
                </top>
                <bottom style="thin">
                  <color auto="1"/>
                </bottom>
                <vertical/>
                <horizontal/>
              </border>
            </x14:dxf>
          </x14:cfRule>
          <xm:sqref>AC179 AH179 AM179 AR179 AW179 BB179 BG179 BL179 BQ179 BV179 CA179 CF179 CK179 CP179 CU179 CZ179 DE179 DJ179 DO179 DT179 DY179 ED179 EI179 EN179 ES179 EX179 FC179 FH179 FM179 FR179 FW179 GB179 GG179 GL179 GQ179 GV179 HA179 HF179 HK179 HP179 HU179 HZ179 IE179 IJ179 IO179 IT179</xm:sqref>
        </x14:conditionalFormatting>
        <x14:conditionalFormatting xmlns:xm="http://schemas.microsoft.com/office/excel/2006/main">
          <x14:cfRule type="containsText" priority="49" operator="containsText" id="{3A29F72D-2530-4723-963F-95CFCD9C1F75}">
            <xm:f>NOT(ISERROR(SEARCH("",AC202)))</xm:f>
            <xm:f>""</xm:f>
            <x14:dxf>
              <numFmt numFmtId="3" formatCode="#,##0"/>
              <border>
                <left style="thin">
                  <color auto="1"/>
                </left>
                <right style="thin">
                  <color auto="1"/>
                </right>
                <top style="thin">
                  <color auto="1"/>
                </top>
                <bottom style="thin">
                  <color auto="1"/>
                </bottom>
                <vertical/>
                <horizontal/>
              </border>
            </x14:dxf>
          </x14:cfRule>
          <xm:sqref>AC202 AH202 AM202 AR202 AW202 BB202 BG202 BL202 BQ202 BV202 CA202 CF202 CK202 CP202 CU202 CZ202 DE202 DJ202 DO202 DT202 DY202 ED202 EI202 EN202 ES202 EX202 FC202 FH202 FM202 FR202 FW202 GB202 GG202 GL202 GQ202 GV202 HA202 HF202 HK202 HP202 HU202 HZ202 IE202 IJ202 IO202 IT202</xm:sqref>
        </x14:conditionalFormatting>
        <x14:conditionalFormatting xmlns:xm="http://schemas.microsoft.com/office/excel/2006/main">
          <x14:cfRule type="containsText" priority="45" operator="containsText" id="{DA04339B-7BAD-420F-80C9-E95B38839E14}">
            <xm:f>NOT(ISERROR(SEARCH("",AC226)))</xm:f>
            <xm:f>""</xm:f>
            <x14:dxf>
              <numFmt numFmtId="3" formatCode="#,##0"/>
              <border>
                <left style="thin">
                  <color auto="1"/>
                </left>
                <right style="thin">
                  <color auto="1"/>
                </right>
                <top style="thin">
                  <color auto="1"/>
                </top>
                <bottom style="thin">
                  <color auto="1"/>
                </bottom>
                <vertical/>
                <horizontal/>
              </border>
            </x14:dxf>
          </x14:cfRule>
          <xm:sqref>AC226 AH226 AM226 AR226 AW226 BB226 BG226 BL226 BQ226 BV226 CA226 CF226 CK226 CP226 CU226 CZ226 DE226 DJ226 DO226 DT226 DY226 ED226 EI226 EN226 ES226 EX226 FC226 FH226 FM226 FR226 FW226 GB226 GG226 GL226 GQ226 GV226 HA226 HF226 HK226 HP226 HU226 HZ226 IE226 IJ226 IO226 IT226</xm:sqref>
        </x14:conditionalFormatting>
        <x14:conditionalFormatting xmlns:xm="http://schemas.microsoft.com/office/excel/2006/main">
          <x14:cfRule type="containsText" priority="41" operator="containsText" id="{1CD4080E-F9C2-4814-9CD8-324965155A0A}">
            <xm:f>NOT(ISERROR(SEARCH("",AC250)))</xm:f>
            <xm:f>""</xm:f>
            <x14:dxf>
              <numFmt numFmtId="3" formatCode="#,##0"/>
              <border>
                <left style="thin">
                  <color auto="1"/>
                </left>
                <right style="thin">
                  <color auto="1"/>
                </right>
                <top style="thin">
                  <color auto="1"/>
                </top>
                <bottom style="thin">
                  <color auto="1"/>
                </bottom>
                <vertical/>
                <horizontal/>
              </border>
            </x14:dxf>
          </x14:cfRule>
          <xm:sqref>AC250 AH250 AM250 AR250 AW250 BB250 BG250 BL250 BQ250 BV250 CA250 CF250 CK250 CP250 CU250 CZ250 DE250 DJ250 DO250 DT250 DY250 ED250 EI250 EN250 ES250 EX250 FC250 FH250 FM250 FR250 FW250 GB250 GG250 GL250 GQ250 GV250 HA250 HF250 HK250 HP250 HU250 HZ250 IE250 IJ250 IO250 IT250</xm:sqref>
        </x14:conditionalFormatting>
        <x14:conditionalFormatting xmlns:xm="http://schemas.microsoft.com/office/excel/2006/main">
          <x14:cfRule type="containsText" priority="37" operator="containsText" id="{36FE7910-5DA7-4660-8A53-BBC3BC9CCA11}">
            <xm:f>NOT(ISERROR(SEARCH("",AC274)))</xm:f>
            <xm:f>""</xm:f>
            <x14:dxf>
              <numFmt numFmtId="3" formatCode="#,##0"/>
              <border>
                <left style="thin">
                  <color auto="1"/>
                </left>
                <right style="thin">
                  <color auto="1"/>
                </right>
                <top style="thin">
                  <color auto="1"/>
                </top>
                <bottom style="thin">
                  <color auto="1"/>
                </bottom>
                <vertical/>
                <horizontal/>
              </border>
            </x14:dxf>
          </x14:cfRule>
          <xm:sqref>AC274 AH274 AM274 AR274 AW274 BB274 BG274 BL274 BQ274 BV274 CA274 CF274 CK274 CP274 CU274 CZ274 DE274 DJ274 DO274 DT274 DY274 ED274 EI274 EN274 ES274 EX274 FC274 FH274 FM274 FR274 FW274 GB274 GG274 GL274 GQ274 GV274 HA274 HF274 HK274 HP274 HU274 HZ274 IE274 IJ274 IO274 IT274</xm:sqref>
        </x14:conditionalFormatting>
        <x14:conditionalFormatting xmlns:xm="http://schemas.microsoft.com/office/excel/2006/main">
          <x14:cfRule type="containsText" priority="33" operator="containsText" id="{85CCEF9B-0B0B-4091-AD1B-E9D3AB0334CE}">
            <xm:f>NOT(ISERROR(SEARCH("",AC298)))</xm:f>
            <xm:f>""</xm:f>
            <x14:dxf>
              <numFmt numFmtId="3" formatCode="#,##0"/>
              <border>
                <left style="thin">
                  <color auto="1"/>
                </left>
                <right style="thin">
                  <color auto="1"/>
                </right>
                <top style="thin">
                  <color auto="1"/>
                </top>
                <bottom style="thin">
                  <color auto="1"/>
                </bottom>
                <vertical/>
                <horizontal/>
              </border>
            </x14:dxf>
          </x14:cfRule>
          <xm:sqref>AC298 AH298 AM298 AR298 AW298 BB298 BG298 BL298 BQ298 BV298 CA298 CF298 CK298 CP298 CU298 CZ298 DE298 DJ298 DO298 DT298 DY298 ED298 EI298 EN298 ES298 EX298 FC298 FH298 FM298 FR298 FW298 GB298 GG298 GL298 GQ298 GV298 HA298 HF298 HK298 HP298 HU298 HZ298 IE298 IJ298 IO298 IT298</xm:sqref>
        </x14:conditionalFormatting>
        <x14:conditionalFormatting xmlns:xm="http://schemas.microsoft.com/office/excel/2006/main">
          <x14:cfRule type="containsText" priority="29" operator="containsText" id="{2F374616-74F0-43C5-B209-B71A50371EED}">
            <xm:f>NOT(ISERROR(SEARCH("",AC350)))</xm:f>
            <xm:f>""</xm:f>
            <x14:dxf>
              <numFmt numFmtId="3" formatCode="#,##0"/>
              <border>
                <left style="thin">
                  <color auto="1"/>
                </left>
                <right style="thin">
                  <color auto="1"/>
                </right>
                <top style="thin">
                  <color auto="1"/>
                </top>
                <bottom style="thin">
                  <color auto="1"/>
                </bottom>
                <vertical/>
                <horizontal/>
              </border>
            </x14:dxf>
          </x14:cfRule>
          <xm:sqref>AC350 AH350 AM350 AR350 AW350 BB350 BG350 BL350 BQ350 BV350 CA350 CF350 CK350 CP350 CU350 CZ350 DE350 DJ350 DO350 DT350 DY350 ED350 EI350 EN350 ES350 EX350 FC350 FH350 FM350 FR350 FW350 GB350 GG350 GL350 GQ350 GV350 HA350 HF350 HK350 HP350 HU350 HZ350 IE350 IJ350 IO350 IT350</xm:sqref>
        </x14:conditionalFormatting>
        <x14:conditionalFormatting xmlns:xm="http://schemas.microsoft.com/office/excel/2006/main">
          <x14:cfRule type="containsText" priority="26" operator="containsText" id="{47E02DA0-DAFD-45FF-8481-CE545169E29A}">
            <xm:f>NOT(ISERROR(SEARCH("",AD374)))</xm:f>
            <xm:f>""</xm:f>
            <x14:dxf>
              <numFmt numFmtId="3" formatCode="#,##0"/>
              <border>
                <left style="thin">
                  <color auto="1"/>
                </left>
                <right style="thin">
                  <color auto="1"/>
                </right>
                <top style="thin">
                  <color auto="1"/>
                </top>
                <bottom style="thin">
                  <color auto="1"/>
                </bottom>
                <vertical/>
                <horizontal/>
              </border>
            </x14:dxf>
          </x14:cfRule>
          <xm:sqref>AD374:AG374 AI374:AL374 AN374:AQ374 AS374:AV374 AX374:BA374 BC374:BF374 BH374:BK374 BM374:BP374 BR374:BU374 BW374:BZ374 CB374:CE374 CG374:CJ374 CL374:CO374 CQ374:CT374 CV374:CY374 DA374:DD374 DF374:DI374 DK374:DN374 DP374:DS374 DU374:DX374 DZ374:EC374 EE374:EH374 EJ374:EM374 EO374:ER374 ET374:EW374 EY374:FB374 FD374:FG374 FI374:FL374 FN374:FQ374 FS374:FV374 FX374:GA374 GC374:GF374 GH374:GK374 GM374:GP374 GR374:GU374 GW374:GZ374 HB374:HE374 HG374:HJ374 HL374:HO374 HQ374:HT374 HV374:HY374 IA374:ID374 IF374:II374 IK374:IN374 IP374:IS374 IU374:IV374</xm:sqref>
        </x14:conditionalFormatting>
        <x14:conditionalFormatting xmlns:xm="http://schemas.microsoft.com/office/excel/2006/main">
          <x14:cfRule type="containsText" priority="25" operator="containsText" id="{C66010AE-8223-4A91-B18E-CD6852487504}">
            <xm:f>NOT(ISERROR(SEARCH("",AC374)))</xm:f>
            <xm:f>""</xm:f>
            <x14:dxf>
              <numFmt numFmtId="3" formatCode="#,##0"/>
              <border>
                <left style="thin">
                  <color auto="1"/>
                </left>
                <right style="thin">
                  <color auto="1"/>
                </right>
                <top style="thin">
                  <color auto="1"/>
                </top>
                <bottom style="thin">
                  <color auto="1"/>
                </bottom>
                <vertical/>
                <horizontal/>
              </border>
            </x14:dxf>
          </x14:cfRule>
          <xm:sqref>AC374 AH374 AM374 AR374 AW374 BB374 BG374 BL374 BQ374 BV374 CA374 CF374 CK374 CP374 CU374 CZ374 DE374 DJ374 DO374 DT374 DY374 ED374 EI374 EN374 ES374 EX374 FC374 FH374 FM374 FR374 FW374 GB374 GG374 GL374 GQ374 GV374 HA374 HF374 HK374 HP374 HU374 HZ374 IE374 IJ374 IO374 IT374</xm:sqref>
        </x14:conditionalFormatting>
        <x14:conditionalFormatting xmlns:xm="http://schemas.microsoft.com/office/excel/2006/main">
          <x14:cfRule type="containsText" priority="24" operator="containsText" id="{BEFBB018-0EC3-41E1-B710-DDD85D53AE1D}">
            <xm:f>NOT(ISERROR(SEARCH("",AC418)))</xm:f>
            <xm:f>""</xm:f>
            <x14:dxf>
              <numFmt numFmtId="3" formatCode="#,##0"/>
              <border>
                <left style="thin">
                  <color auto="1"/>
                </left>
                <right style="thin">
                  <color auto="1"/>
                </right>
                <top style="thin">
                  <color auto="1"/>
                </top>
                <bottom style="thin">
                  <color auto="1"/>
                </bottom>
                <vertical/>
                <horizontal/>
              </border>
            </x14:dxf>
          </x14:cfRule>
          <xm:sqref>AC418:IV418</xm:sqref>
        </x14:conditionalFormatting>
        <x14:conditionalFormatting xmlns:xm="http://schemas.microsoft.com/office/excel/2006/main">
          <x14:cfRule type="containsText" priority="23" operator="containsText" id="{3E7D1665-95FE-46AD-8E33-FAFD8C01F2CB}">
            <xm:f>NOT(ISERROR(SEARCH("",C399)))</xm:f>
            <xm:f>""</xm:f>
            <x14:dxf>
              <numFmt numFmtId="3" formatCode="#,##0"/>
              <border>
                <right style="thin">
                  <color auto="1"/>
                </right>
                <top style="thin">
                  <color auto="1"/>
                </top>
                <bottom style="thin">
                  <color auto="1"/>
                </bottom>
                <vertical/>
                <horizontal/>
              </border>
            </x14:dxf>
          </x14:cfRule>
          <xm:sqref>C399:IV417</xm:sqref>
        </x14:conditionalFormatting>
        <x14:conditionalFormatting xmlns:xm="http://schemas.microsoft.com/office/excel/2006/main">
          <x14:cfRule type="containsText" priority="22" operator="containsText" id="{8CCFF6A2-4BDA-4A3B-95A3-541E972F18D6}">
            <xm:f>NOT(ISERROR(SEARCH("",AD398)))</xm:f>
            <xm:f>""</xm:f>
            <x14:dxf>
              <numFmt numFmtId="3" formatCode="#,##0"/>
              <border>
                <left style="thin">
                  <color auto="1"/>
                </left>
                <right style="thin">
                  <color auto="1"/>
                </right>
                <top style="thin">
                  <color auto="1"/>
                </top>
                <bottom style="thin">
                  <color auto="1"/>
                </bottom>
                <vertical/>
                <horizontal/>
              </border>
            </x14:dxf>
          </x14:cfRule>
          <xm:sqref>AD398:AG398 AI398:AL398 AN398:AQ398 AS398:AV398 AX398:BA398 BC398:BF398 BH398:BK398 BM398:BP398 BR398:BU398 BW398:BZ398 CB398:CE398 CG398:CJ398 CL398:CO398 CQ398:CT398 CV398:CY398 DA398:DD398 DF398:DI398 DK398:DN398 DP398:DS398 DU398:DX398 DZ398:EC398 EE398:EH398 EJ398:EM398 EO398:ER398 ET398:EW398 EY398:FB398 FD398:FG398 FI398:FL398 FN398:FQ398 FS398:FV398 FX398:GA398 GC398:GF398 GH398:GK398 GM398:GP398 GR398:GU398 GW398:GZ398 HB398:HE398 HG398:HJ398 HL398:HO398 HQ398:HT398 HV398:HY398 IA398:ID398 IF398:II398 IK398:IN398 IP398:IS398 IU398:IV398</xm:sqref>
        </x14:conditionalFormatting>
        <x14:conditionalFormatting xmlns:xm="http://schemas.microsoft.com/office/excel/2006/main">
          <x14:cfRule type="containsText" priority="21" operator="containsText" id="{CCC635C4-45AD-4286-AEB4-42EF80968951}">
            <xm:f>NOT(ISERROR(SEARCH("",AC398)))</xm:f>
            <xm:f>""</xm:f>
            <x14:dxf>
              <numFmt numFmtId="3" formatCode="#,##0"/>
              <border>
                <left style="thin">
                  <color auto="1"/>
                </left>
                <right style="thin">
                  <color auto="1"/>
                </right>
                <top style="thin">
                  <color auto="1"/>
                </top>
                <bottom style="thin">
                  <color auto="1"/>
                </bottom>
                <vertical/>
                <horizontal/>
              </border>
            </x14:dxf>
          </x14:cfRule>
          <xm:sqref>AC398 AH398 AM398 AR398 AW398 BB398 BG398 BL398 BQ398 BV398 CA398 CF398 CK398 CP398 CU398 CZ398 DE398 DJ398 DO398 DT398 DY398 ED398 EI398 EN398 ES398 EX398 FC398 FH398 FM398 FR398 FW398 GB398 GG398 GL398 GQ398 GV398 HA398 HF398 HK398 HP398 HU398 HZ398 IE398 IJ398 IO398 IT398</xm:sqref>
        </x14:conditionalFormatting>
        <x14:conditionalFormatting xmlns:xm="http://schemas.microsoft.com/office/excel/2006/main">
          <x14:cfRule type="containsText" priority="20" operator="containsText" id="{144FF2EB-4547-4969-BF98-3AF10259406C}">
            <xm:f>NOT(ISERROR(SEARCH("",AC442)))</xm:f>
            <xm:f>""</xm:f>
            <x14:dxf>
              <numFmt numFmtId="3" formatCode="#,##0"/>
              <border>
                <left style="thin">
                  <color auto="1"/>
                </left>
                <right style="thin">
                  <color auto="1"/>
                </right>
                <top style="thin">
                  <color auto="1"/>
                </top>
                <bottom style="thin">
                  <color auto="1"/>
                </bottom>
                <vertical/>
                <horizontal/>
              </border>
            </x14:dxf>
          </x14:cfRule>
          <xm:sqref>AC442:IV442</xm:sqref>
        </x14:conditionalFormatting>
        <x14:conditionalFormatting xmlns:xm="http://schemas.microsoft.com/office/excel/2006/main">
          <x14:cfRule type="containsText" priority="19" operator="containsText" id="{2753D7FD-B362-4EE3-92EC-E65611E3A073}">
            <xm:f>NOT(ISERROR(SEARCH("",C423)))</xm:f>
            <xm:f>""</xm:f>
            <x14:dxf>
              <numFmt numFmtId="3" formatCode="#,##0"/>
              <border>
                <right style="thin">
                  <color auto="1"/>
                </right>
                <top style="thin">
                  <color auto="1"/>
                </top>
                <bottom style="thin">
                  <color auto="1"/>
                </bottom>
                <vertical/>
                <horizontal/>
              </border>
            </x14:dxf>
          </x14:cfRule>
          <xm:sqref>C423:IV441</xm:sqref>
        </x14:conditionalFormatting>
        <x14:conditionalFormatting xmlns:xm="http://schemas.microsoft.com/office/excel/2006/main">
          <x14:cfRule type="containsText" priority="18" operator="containsText" id="{1EB4BCF2-6CFC-4F90-B338-6844A5FA8892}">
            <xm:f>NOT(ISERROR(SEARCH("",AD422)))</xm:f>
            <xm:f>""</xm:f>
            <x14:dxf>
              <numFmt numFmtId="3" formatCode="#,##0"/>
              <border>
                <left style="thin">
                  <color auto="1"/>
                </left>
                <right style="thin">
                  <color auto="1"/>
                </right>
                <top style="thin">
                  <color auto="1"/>
                </top>
                <bottom style="thin">
                  <color auto="1"/>
                </bottom>
                <vertical/>
                <horizontal/>
              </border>
            </x14:dxf>
          </x14:cfRule>
          <xm:sqref>AD422:AG422 AI422:AL422 AN422:AQ422 AS422:AV422 AX422:BA422 BC422:BF422 BH422:BK422 BM422:BP422 BR422:BU422 BW422:BZ422 CB422:CE422 CG422:CJ422 CL422:CO422 CQ422:CT422 CV422:CY422 DA422:DD422 DF422:DI422 DK422:DN422 DP422:DS422 DU422:DX422 DZ422:EC422 EE422:EH422 EJ422:EM422 EO422:ER422 ET422:EW422 EY422:FB422 FD422:FG422 FI422:FL422 FN422:FQ422 FS422:FV422 FX422:GA422 GC422:GF422 GH422:GK422 GM422:GP422 GR422:GU422 GW422:GZ422 HB422:HE422 HG422:HJ422 HL422:HO422 HQ422:HT422 HV422:HY422 IA422:ID422 IF422:II422 IK422:IN422 IP422:IS422 IU422:IV422</xm:sqref>
        </x14:conditionalFormatting>
        <x14:conditionalFormatting xmlns:xm="http://schemas.microsoft.com/office/excel/2006/main">
          <x14:cfRule type="containsText" priority="17" operator="containsText" id="{EDE66377-5A94-45D3-B49B-4ED518641A97}">
            <xm:f>NOT(ISERROR(SEARCH("",AC422)))</xm:f>
            <xm:f>""</xm:f>
            <x14:dxf>
              <numFmt numFmtId="3" formatCode="#,##0"/>
              <border>
                <left style="thin">
                  <color auto="1"/>
                </left>
                <right style="thin">
                  <color auto="1"/>
                </right>
                <top style="thin">
                  <color auto="1"/>
                </top>
                <bottom style="thin">
                  <color auto="1"/>
                </bottom>
                <vertical/>
                <horizontal/>
              </border>
            </x14:dxf>
          </x14:cfRule>
          <xm:sqref>AC422 AH422 AM422 AR422 AW422 BB422 BG422 BL422 BQ422 BV422 CA422 CF422 CK422 CP422 CU422 CZ422 DE422 DJ422 DO422 DT422 DY422 ED422 EI422 EN422 ES422 EX422 FC422 FH422 FM422 FR422 FW422 GB422 GG422 GL422 GQ422 GV422 HA422 HF422 HK422 HP422 HU422 HZ422 IE422 IJ422 IO422 IT422</xm:sqref>
        </x14:conditionalFormatting>
        <x14:conditionalFormatting xmlns:xm="http://schemas.microsoft.com/office/excel/2006/main">
          <x14:cfRule type="containsText" priority="16" operator="containsText" id="{6DE40693-B2E7-4BC4-98B9-B9BF7FF9157F}">
            <xm:f>NOT(ISERROR(SEARCH("",AC467)))</xm:f>
            <xm:f>""</xm:f>
            <x14:dxf>
              <numFmt numFmtId="3" formatCode="#,##0"/>
              <border>
                <left style="thin">
                  <color auto="1"/>
                </left>
                <right style="thin">
                  <color auto="1"/>
                </right>
                <top style="thin">
                  <color auto="1"/>
                </top>
                <bottom style="thin">
                  <color auto="1"/>
                </bottom>
                <vertical/>
                <horizontal/>
              </border>
            </x14:dxf>
          </x14:cfRule>
          <xm:sqref>AC467:IV467</xm:sqref>
        </x14:conditionalFormatting>
        <x14:conditionalFormatting xmlns:xm="http://schemas.microsoft.com/office/excel/2006/main">
          <x14:cfRule type="containsText" priority="15" operator="containsText" id="{663EE2B2-39AD-45EA-A213-A6F99439BB09}">
            <xm:f>NOT(ISERROR(SEARCH("",C448)))</xm:f>
            <xm:f>""</xm:f>
            <x14:dxf>
              <numFmt numFmtId="3" formatCode="#,##0"/>
              <border>
                <right style="thin">
                  <color auto="1"/>
                </right>
                <top style="thin">
                  <color auto="1"/>
                </top>
                <bottom style="thin">
                  <color auto="1"/>
                </bottom>
                <vertical/>
                <horizontal/>
              </border>
            </x14:dxf>
          </x14:cfRule>
          <xm:sqref>C448:IV466</xm:sqref>
        </x14:conditionalFormatting>
        <x14:conditionalFormatting xmlns:xm="http://schemas.microsoft.com/office/excel/2006/main">
          <x14:cfRule type="containsText" priority="14" operator="containsText" id="{7DF12639-A582-4678-B095-B4BB779924C4}">
            <xm:f>NOT(ISERROR(SEARCH("",AD447)))</xm:f>
            <xm:f>""</xm:f>
            <x14:dxf>
              <numFmt numFmtId="3" formatCode="#,##0"/>
              <border>
                <left style="thin">
                  <color auto="1"/>
                </left>
                <right style="thin">
                  <color auto="1"/>
                </right>
                <top style="thin">
                  <color auto="1"/>
                </top>
                <bottom style="thin">
                  <color auto="1"/>
                </bottom>
                <vertical/>
                <horizontal/>
              </border>
            </x14:dxf>
          </x14:cfRule>
          <xm:sqref>AD447:AG447 AI447:AL447 AN447:AQ447 AS447:AV447 AX447:BA447 BC447:BF447 BH447:BK447 BM447:BP447 BR447:BU447 BW447:BZ447 CB447:CE447 CG447:CJ447 CL447:CO447 CQ447:CT447 CV447:CY447 DA447:DD447 DF447:DI447 DK447:DN447 DP447:DS447 DU447:DX447 DZ447:EC447 EE447:EH447 EJ447:EM447 EO447:ER447 ET447:EW447 EY447:FB447 FD447:FG447 FI447:FL447 FN447:FQ447 FS447:FV447 FX447:GA447 GC447:GF447 GH447:GK447 GM447:GP447 GR447:GU447 GW447:GZ447 HB447:HE447 HG447:HJ447 HL447:HO447 HQ447:HT447 HV447:HY447 IA447:ID447 IF447:II447 IK447:IN447 IP447:IS447 IU447:IV447</xm:sqref>
        </x14:conditionalFormatting>
        <x14:conditionalFormatting xmlns:xm="http://schemas.microsoft.com/office/excel/2006/main">
          <x14:cfRule type="containsText" priority="13" operator="containsText" id="{42063632-7C72-40EB-A927-B6D3E4D65456}">
            <xm:f>NOT(ISERROR(SEARCH("",AC447)))</xm:f>
            <xm:f>""</xm:f>
            <x14:dxf>
              <numFmt numFmtId="3" formatCode="#,##0"/>
              <border>
                <left style="thin">
                  <color auto="1"/>
                </left>
                <right style="thin">
                  <color auto="1"/>
                </right>
                <top style="thin">
                  <color auto="1"/>
                </top>
                <bottom style="thin">
                  <color auto="1"/>
                </bottom>
                <vertical/>
                <horizontal/>
              </border>
            </x14:dxf>
          </x14:cfRule>
          <xm:sqref>AC447 AH447 AM447 AR447 AW447 BB447 BG447 BL447 BQ447 BV447 CA447 CF447 CK447 CP447 CU447 CZ447 DE447 DJ447 DO447 DT447 DY447 ED447 EI447 EN447 ES447 EX447 FC447 FH447 FM447 FR447 FW447 GB447 GG447 GL447 GQ447 GV447 HA447 HF447 HK447 HP447 HU447 HZ447 IE447 IJ447 IO447 IT447</xm:sqref>
        </x14:conditionalFormatting>
        <x14:conditionalFormatting xmlns:xm="http://schemas.microsoft.com/office/excel/2006/main">
          <x14:cfRule type="containsText" priority="12" operator="containsText" id="{6731F6D0-7762-4BC8-9B04-E88533BE519A}">
            <xm:f>NOT(ISERROR(SEARCH("",AC491)))</xm:f>
            <xm:f>""</xm:f>
            <x14:dxf>
              <numFmt numFmtId="3" formatCode="#,##0"/>
              <border>
                <left style="thin">
                  <color auto="1"/>
                </left>
                <right style="thin">
                  <color auto="1"/>
                </right>
                <top style="thin">
                  <color auto="1"/>
                </top>
                <bottom style="thin">
                  <color auto="1"/>
                </bottom>
                <vertical/>
                <horizontal/>
              </border>
            </x14:dxf>
          </x14:cfRule>
          <xm:sqref>AC491:IV491</xm:sqref>
        </x14:conditionalFormatting>
        <x14:conditionalFormatting xmlns:xm="http://schemas.microsoft.com/office/excel/2006/main">
          <x14:cfRule type="containsText" priority="11" operator="containsText" id="{582401B6-0D92-4ED1-90AB-BC75BE7324B5}">
            <xm:f>NOT(ISERROR(SEARCH("",C472)))</xm:f>
            <xm:f>""</xm:f>
            <x14:dxf>
              <numFmt numFmtId="3" formatCode="#,##0"/>
              <border>
                <right style="thin">
                  <color auto="1"/>
                </right>
                <top style="thin">
                  <color auto="1"/>
                </top>
                <bottom style="thin">
                  <color auto="1"/>
                </bottom>
                <vertical/>
                <horizontal/>
              </border>
            </x14:dxf>
          </x14:cfRule>
          <xm:sqref>C472:IV490</xm:sqref>
        </x14:conditionalFormatting>
        <x14:conditionalFormatting xmlns:xm="http://schemas.microsoft.com/office/excel/2006/main">
          <x14:cfRule type="containsText" priority="10" operator="containsText" id="{0B843560-552D-431D-BE40-262256DB7AEA}">
            <xm:f>NOT(ISERROR(SEARCH("",AD471)))</xm:f>
            <xm:f>""</xm:f>
            <x14:dxf>
              <numFmt numFmtId="3" formatCode="#,##0"/>
              <border>
                <left style="thin">
                  <color auto="1"/>
                </left>
                <right style="thin">
                  <color auto="1"/>
                </right>
                <top style="thin">
                  <color auto="1"/>
                </top>
                <bottom style="thin">
                  <color auto="1"/>
                </bottom>
                <vertical/>
                <horizontal/>
              </border>
            </x14:dxf>
          </x14:cfRule>
          <xm:sqref>AD471:AG471 AI471:AL471 AN471:AQ471 AS471:AV471 AX471:BA471 BC471:BF471 BH471:BK471 BM471:BP471 BR471:BU471 BW471:BZ471 CB471:CE471 CG471:CJ471 CL471:CO471 CQ471:CT471 CV471:CY471 DA471:DD471 DF471:DI471 DK471:DN471 DP471:DS471 DU471:DX471 DZ471:EC471 EE471:EH471 EJ471:EM471 EO471:ER471 ET471:EW471 EY471:FB471 FD471:FG471 FI471:FL471 FN471:FQ471 FS471:FV471 FX471:GA471 GC471:GF471 GH471:GK471 GM471:GP471 GR471:GU471 GW471:GZ471 HB471:HE471 HG471:HJ471 HL471:HO471 HQ471:HT471 HV471:HY471 IA471:ID471 IF471:II471 IK471:IN471 IP471:IS471 IU471:IV471</xm:sqref>
        </x14:conditionalFormatting>
        <x14:conditionalFormatting xmlns:xm="http://schemas.microsoft.com/office/excel/2006/main">
          <x14:cfRule type="containsText" priority="9" operator="containsText" id="{9F5D33BE-7AED-45F5-8276-241AE7296FE0}">
            <xm:f>NOT(ISERROR(SEARCH("",AC471)))</xm:f>
            <xm:f>""</xm:f>
            <x14:dxf>
              <numFmt numFmtId="3" formatCode="#,##0"/>
              <border>
                <left style="thin">
                  <color auto="1"/>
                </left>
                <right style="thin">
                  <color auto="1"/>
                </right>
                <top style="thin">
                  <color auto="1"/>
                </top>
                <bottom style="thin">
                  <color auto="1"/>
                </bottom>
                <vertical/>
                <horizontal/>
              </border>
            </x14:dxf>
          </x14:cfRule>
          <xm:sqref>AC471 AH471 AM471 AR471 AW471 BB471 BG471 BL471 BQ471 BV471 CA471 CF471 CK471 CP471 CU471 CZ471 DE471 DJ471 DO471 DT471 DY471 ED471 EI471 EN471 ES471 EX471 FC471 FH471 FM471 FR471 FW471 GB471 GG471 GL471 GQ471 GV471 HA471 HF471 HK471 HP471 HU471 HZ471 IE471 IJ471 IO471 IT471</xm:sqref>
        </x14:conditionalFormatting>
        <x14:conditionalFormatting xmlns:xm="http://schemas.microsoft.com/office/excel/2006/main">
          <x14:cfRule type="containsText" priority="8" operator="containsText" id="{9B237C50-AD66-4956-BA51-44F9DD2A3084}">
            <xm:f>NOT(ISERROR(SEARCH("",AC515)))</xm:f>
            <xm:f>""</xm:f>
            <x14:dxf>
              <numFmt numFmtId="3" formatCode="#,##0"/>
              <border>
                <left style="thin">
                  <color auto="1"/>
                </left>
                <right style="thin">
                  <color auto="1"/>
                </right>
                <top style="thin">
                  <color auto="1"/>
                </top>
                <bottom style="thin">
                  <color auto="1"/>
                </bottom>
                <vertical/>
                <horizontal/>
              </border>
            </x14:dxf>
          </x14:cfRule>
          <xm:sqref>AC515:IV515</xm:sqref>
        </x14:conditionalFormatting>
        <x14:conditionalFormatting xmlns:xm="http://schemas.microsoft.com/office/excel/2006/main">
          <x14:cfRule type="containsText" priority="7" operator="containsText" id="{E1A1EAA2-4388-49DC-98B0-71B0635B01EA}">
            <xm:f>NOT(ISERROR(SEARCH("",C496)))</xm:f>
            <xm:f>""</xm:f>
            <x14:dxf>
              <numFmt numFmtId="3" formatCode="#,##0"/>
              <border>
                <right style="thin">
                  <color auto="1"/>
                </right>
                <top style="thin">
                  <color auto="1"/>
                </top>
                <bottom style="thin">
                  <color auto="1"/>
                </bottom>
                <vertical/>
                <horizontal/>
              </border>
            </x14:dxf>
          </x14:cfRule>
          <xm:sqref>C496:IV514</xm:sqref>
        </x14:conditionalFormatting>
        <x14:conditionalFormatting xmlns:xm="http://schemas.microsoft.com/office/excel/2006/main">
          <x14:cfRule type="containsText" priority="6" operator="containsText" id="{2B588B26-0A55-42EF-9D74-7B4CD720D57A}">
            <xm:f>NOT(ISERROR(SEARCH("",AD495)))</xm:f>
            <xm:f>""</xm:f>
            <x14:dxf>
              <numFmt numFmtId="3" formatCode="#,##0"/>
              <border>
                <left style="thin">
                  <color auto="1"/>
                </left>
                <right style="thin">
                  <color auto="1"/>
                </right>
                <top style="thin">
                  <color auto="1"/>
                </top>
                <bottom style="thin">
                  <color auto="1"/>
                </bottom>
                <vertical/>
                <horizontal/>
              </border>
            </x14:dxf>
          </x14:cfRule>
          <xm:sqref>AD495:AG495 AI495:AL495 AN495:AQ495 AS495:AV495 AX495:BA495 BC495:BF495 BH495:BK495 BM495:BP495 BR495:BU495 BW495:BZ495 CB495:CE495 CG495:CJ495 CL495:CO495 CQ495:CT495 CV495:CY495 DA495:DD495 DF495:DI495 DK495:DN495 DP495:DS495 DU495:DX495 DZ495:EC495 EE495:EH495 EJ495:EM495 EO495:ER495 ET495:EW495 EY495:FB495 FD495:FG495 FI495:FL495 FN495:FQ495 FS495:FV495 FX495:GA495 GC495:GF495 GH495:GK495 GM495:GP495 GR495:GU495 GW495:GZ495 HB495:HE495 HG495:HJ495 HL495:HO495 HQ495:HT495 HV495:HY495 IA495:ID495 IF495:II495 IK495:IN495 IP495:IS495 IU495:IV495</xm:sqref>
        </x14:conditionalFormatting>
        <x14:conditionalFormatting xmlns:xm="http://schemas.microsoft.com/office/excel/2006/main">
          <x14:cfRule type="containsText" priority="5" operator="containsText" id="{197EEDF7-F4AB-4B92-A69C-266EE82BFD14}">
            <xm:f>NOT(ISERROR(SEARCH("",AC495)))</xm:f>
            <xm:f>""</xm:f>
            <x14:dxf>
              <numFmt numFmtId="3" formatCode="#,##0"/>
              <border>
                <left style="thin">
                  <color auto="1"/>
                </left>
                <right style="thin">
                  <color auto="1"/>
                </right>
                <top style="thin">
                  <color auto="1"/>
                </top>
                <bottom style="thin">
                  <color auto="1"/>
                </bottom>
                <vertical/>
                <horizontal/>
              </border>
            </x14:dxf>
          </x14:cfRule>
          <xm:sqref>AC495 AH495 AM495 AR495 AW495 BB495 BG495 BL495 BQ495 BV495 CA495 CF495 CK495 CP495 CU495 CZ495 DE495 DJ495 DO495 DT495 DY495 ED495 EI495 EN495 ES495 EX495 FC495 FH495 FM495 FR495 FW495 GB495 GG495 GL495 GQ495 GV495 HA495 HF495 HK495 HP495 HU495 HZ495 IE495 IJ495 IO495 IT495</xm:sqref>
        </x14:conditionalFormatting>
        <x14:conditionalFormatting xmlns:xm="http://schemas.microsoft.com/office/excel/2006/main">
          <x14:cfRule type="containsText" priority="4" operator="containsText" id="{61E39567-F86E-4C0B-8FD2-4D2C49EC4050}">
            <xm:f>NOT(ISERROR(SEARCH("",AC539)))</xm:f>
            <xm:f>""</xm:f>
            <x14:dxf>
              <numFmt numFmtId="3" formatCode="#,##0"/>
              <border>
                <left style="thin">
                  <color auto="1"/>
                </left>
                <right style="thin">
                  <color auto="1"/>
                </right>
                <top style="thin">
                  <color auto="1"/>
                </top>
                <bottom style="thin">
                  <color auto="1"/>
                </bottom>
                <vertical/>
                <horizontal/>
              </border>
            </x14:dxf>
          </x14:cfRule>
          <xm:sqref>AC539:IV539</xm:sqref>
        </x14:conditionalFormatting>
        <x14:conditionalFormatting xmlns:xm="http://schemas.microsoft.com/office/excel/2006/main">
          <x14:cfRule type="containsText" priority="3" operator="containsText" id="{9B19A1B6-6848-4F2B-B7E1-36473E32502B}">
            <xm:f>NOT(ISERROR(SEARCH("",C520)))</xm:f>
            <xm:f>""</xm:f>
            <x14:dxf>
              <numFmt numFmtId="3" formatCode="#,##0"/>
              <border>
                <right style="thin">
                  <color auto="1"/>
                </right>
                <top style="thin">
                  <color auto="1"/>
                </top>
                <bottom style="thin">
                  <color auto="1"/>
                </bottom>
                <vertical/>
                <horizontal/>
              </border>
            </x14:dxf>
          </x14:cfRule>
          <xm:sqref>C520:IV538</xm:sqref>
        </x14:conditionalFormatting>
        <x14:conditionalFormatting xmlns:xm="http://schemas.microsoft.com/office/excel/2006/main">
          <x14:cfRule type="containsText" priority="2" operator="containsText" id="{A0622EA9-D991-4963-9813-77442B5D7405}">
            <xm:f>NOT(ISERROR(SEARCH("",AD519)))</xm:f>
            <xm:f>""</xm:f>
            <x14:dxf>
              <numFmt numFmtId="3" formatCode="#,##0"/>
              <border>
                <left style="thin">
                  <color auto="1"/>
                </left>
                <right style="thin">
                  <color auto="1"/>
                </right>
                <top style="thin">
                  <color auto="1"/>
                </top>
                <bottom style="thin">
                  <color auto="1"/>
                </bottom>
                <vertical/>
                <horizontal/>
              </border>
            </x14:dxf>
          </x14:cfRule>
          <xm:sqref>AD519:AG519 AI519:AL519 AN519:AQ519 AS519:AV519 AX519:BA519 BC519:BF519 BH519:BK519 BM519:BP519 BR519:BU519 BW519:BZ519 CB519:CE519 CG519:CJ519 CL519:CO519 CQ519:CT519 CV519:CY519 DA519:DD519 DF519:DI519 DK519:DN519 DP519:DS519 DU519:DX519 DZ519:EC519 EE519:EH519 EJ519:EM519 EO519:ER519 ET519:EW519 EY519:FB519 FD519:FG519 FI519:FL519 FN519:FQ519 FS519:FV519 FX519:GA519 GC519:GF519 GH519:GK519 GM519:GP519 GR519:GU519 GW519:GZ519 HB519:HE519 HG519:HJ519 HL519:HO519 HQ519:HT519 HV519:HY519 IA519:ID519 IF519:II519 IK519:IN519 IP519:IS519 IU519:IV519</xm:sqref>
        </x14:conditionalFormatting>
        <x14:conditionalFormatting xmlns:xm="http://schemas.microsoft.com/office/excel/2006/main">
          <x14:cfRule type="containsText" priority="1" operator="containsText" id="{3645A552-EB47-46CB-8316-33B96E9D9413}">
            <xm:f>NOT(ISERROR(SEARCH("",AC519)))</xm:f>
            <xm:f>""</xm:f>
            <x14:dxf>
              <numFmt numFmtId="3" formatCode="#,##0"/>
              <border>
                <left style="thin">
                  <color auto="1"/>
                </left>
                <right style="thin">
                  <color auto="1"/>
                </right>
                <top style="thin">
                  <color auto="1"/>
                </top>
                <bottom style="thin">
                  <color auto="1"/>
                </bottom>
                <vertical/>
                <horizontal/>
              </border>
            </x14:dxf>
          </x14:cfRule>
          <xm:sqref>AC519 AH519 AM519 AR519 AW519 BB519 BG519 BL519 BQ519 BV519 CA519 CF519 CK519 CP519 CU519 CZ519 DE519 DJ519 DO519 DT519 DY519 ED519 EI519 EN519 ES519 EX519 FC519 FH519 FM519 FR519 FW519 GB519 GG519 GL519 GQ519 GV519 HA519 HF519 HK519 HP519 HU519 HZ519 IE519 IJ519 IO519 IT519</xm:sqref>
        </x14:conditionalFormatting>
      </x14:conditionalFormatting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mc:Ignorable="x14ac xr">
  <sheetPr codeName="Hoja9">
    <tabColor indexed="50"/>
  </sheetPr>
  <dimension ref="A1:IV403"/>
  <sheetViews>
    <sheetView showGridLines="0" view="pageBreakPreview" zoomScaleNormal="100" workbookViewId="0">
      <pane ySplit="9" topLeftCell="A10" activePane="bottomLeft" state="frozen"/>
      <selection pane="bottomLeft" activeCell="A7" sqref="A7"/>
    </sheetView>
  </sheetViews>
  <sheetFormatPr baseColWidth="10" defaultRowHeight="12.75"/>
  <cols>
    <col min="1" max="1" width="3.42578125" customWidth="1" style="51"/>
    <col min="2" max="2" width="18" customWidth="1" style="51"/>
    <col min="3" max="11" width="11.7109375" customWidth="1" style="51"/>
    <col min="12" max="12" width="12.7109375" customWidth="1" style="51"/>
    <col min="13" max="13" bestFit="1" width="13.7109375" customWidth="1" style="51"/>
    <col min="14" max="14" bestFit="1" width="11.28515625" customWidth="1" style="51"/>
    <col min="15" max="16" width="12.85546875" customWidth="1" style="51"/>
    <col min="17" max="28" width="11.42578125" customWidth="1" style="51"/>
    <col min="29" max="29" bestFit="1" width="31" customWidth="1" style="51"/>
    <col min="30" max="16384" width="11.42578125" customWidth="1" style="51"/>
  </cols>
  <sheetData>
    <row r="1">
      <c r="A1" s="46"/>
      <c r="B1" s="47"/>
      <c r="C1" s="47"/>
      <c r="D1" s="47"/>
      <c r="E1" s="47"/>
      <c r="F1" s="47"/>
      <c r="G1" s="47"/>
      <c r="H1" s="47"/>
      <c r="I1" s="47"/>
      <c r="J1" s="47"/>
      <c r="K1" s="47"/>
      <c r="L1" s="47"/>
      <c r="M1" s="47"/>
      <c r="N1" s="48"/>
      <c r="O1" s="49"/>
      <c r="P1" s="50"/>
    </row>
    <row r="2">
      <c r="A2" s="52"/>
      <c r="B2" s="49"/>
      <c r="C2" s="49"/>
      <c r="D2" s="49"/>
      <c r="E2" s="49"/>
      <c r="F2" s="49"/>
      <c r="G2" s="49"/>
      <c r="H2" s="49"/>
      <c r="I2" s="49"/>
      <c r="J2" s="49"/>
      <c r="K2" s="49"/>
      <c r="L2" s="49"/>
      <c r="M2" s="49"/>
      <c r="N2" s="53"/>
      <c r="O2" s="49"/>
      <c r="P2" s="50"/>
    </row>
    <row r="3">
      <c r="A3" s="52"/>
      <c r="B3" s="49"/>
      <c r="C3" s="49"/>
      <c r="D3" s="49"/>
      <c r="E3" s="49"/>
      <c r="F3" s="49"/>
      <c r="G3" s="49"/>
      <c r="H3" s="49"/>
      <c r="I3" s="49"/>
      <c r="J3" s="49"/>
      <c r="K3" s="49"/>
      <c r="L3" s="49"/>
      <c r="M3" s="49"/>
      <c r="N3" s="53"/>
      <c r="O3" s="49"/>
      <c r="P3" s="50"/>
    </row>
    <row r="4">
      <c r="A4" s="52"/>
      <c r="B4" s="49"/>
      <c r="C4" s="49"/>
      <c r="D4" s="49"/>
      <c r="E4" s="49"/>
      <c r="F4" s="49"/>
      <c r="G4" s="49"/>
      <c r="H4" s="49"/>
      <c r="I4" s="49"/>
      <c r="J4" s="49"/>
      <c r="K4" s="49"/>
      <c r="L4" s="49"/>
      <c r="M4" s="49"/>
      <c r="N4" s="53"/>
      <c r="O4" s="49"/>
      <c r="P4" s="50"/>
    </row>
    <row r="5">
      <c r="A5" s="52"/>
      <c r="B5" s="49"/>
      <c r="C5" s="49"/>
      <c r="D5" s="49"/>
      <c r="E5" s="49"/>
      <c r="F5" s="49"/>
      <c r="G5" s="49"/>
      <c r="H5" s="49"/>
      <c r="I5" s="49"/>
      <c r="J5" s="49"/>
      <c r="K5" s="49"/>
      <c r="L5" s="49"/>
      <c r="M5" s="49"/>
      <c r="N5" s="53"/>
      <c r="O5" s="49"/>
      <c r="P5" s="50"/>
    </row>
    <row r="6" ht="13.5">
      <c r="A6" s="54"/>
      <c r="B6" s="55"/>
      <c r="C6" s="55"/>
      <c r="D6" s="55"/>
      <c r="E6" s="55"/>
      <c r="F6" s="55"/>
      <c r="G6" s="55"/>
      <c r="H6" s="55"/>
      <c r="I6" s="55"/>
      <c r="J6" s="55"/>
      <c r="K6" s="55"/>
      <c r="L6" s="55"/>
      <c r="M6" s="55"/>
      <c r="N6" s="56"/>
      <c r="O6" s="49"/>
      <c r="P6" s="50"/>
    </row>
    <row r="7" s="57" customFormat="1">
      <c r="O7" s="58"/>
      <c r="P7" s="58"/>
    </row>
    <row r="8">
      <c r="F8" s="131">
        <v>20</v>
      </c>
      <c r="I8" s="51" t="s">
        <v>100</v>
      </c>
      <c r="J8" s="51" t="e">
        <f>LOOKUP(AUX!$E$10,AUX!$B:$B,AUX!$A:$A)</f>
        <v>#N/A</v>
      </c>
      <c r="O8" s="50"/>
      <c r="P8" s="50"/>
    </row>
    <row r="9">
      <c r="B9" s="597" t="s">
        <v>101</v>
      </c>
      <c r="C9" s="597"/>
      <c r="D9" s="597"/>
      <c r="E9" s="597"/>
      <c r="I9" s="51" t="s">
        <v>1</v>
      </c>
      <c r="J9" s="51" t="str">
        <f>LOOKUP(AUX!$E$11,AUX!$E1:$E5,AUX!$D1:$D5)</f>
        <v>6 meses</v>
      </c>
      <c r="O9" s="50"/>
      <c r="P9" s="50"/>
    </row>
    <row r="10">
      <c r="O10" s="50"/>
      <c r="P10" s="50"/>
    </row>
    <row r="11">
      <c r="O11" s="50"/>
      <c r="P11" s="50"/>
    </row>
    <row r="12" ht="13.5">
      <c r="O12" s="50"/>
      <c r="P12" s="50"/>
    </row>
    <row r="13" ht="15.75">
      <c r="C13" s="632" t="s">
        <v>88</v>
      </c>
      <c r="D13" s="633"/>
      <c r="E13" s="633"/>
      <c r="F13" s="633"/>
      <c r="G13" s="633"/>
      <c r="H13" s="633"/>
      <c r="I13" s="633"/>
      <c r="J13" s="633"/>
      <c r="K13" s="633"/>
      <c r="L13" s="633"/>
      <c r="M13" s="634"/>
      <c r="O13" s="50"/>
      <c r="P13" s="50"/>
    </row>
    <row r="14" ht="15.75">
      <c r="C14" s="635" t="s">
        <v>182</v>
      </c>
      <c r="D14" s="636"/>
      <c r="E14" s="636"/>
      <c r="F14" s="636"/>
      <c r="G14" s="636"/>
      <c r="H14" s="636"/>
      <c r="I14" s="636"/>
      <c r="J14" s="636"/>
      <c r="K14" s="636"/>
      <c r="L14" s="636"/>
      <c r="M14" s="637"/>
      <c r="O14" s="50"/>
      <c r="P14" s="50"/>
    </row>
    <row r="15">
      <c r="C15" s="141"/>
      <c r="D15" s="142"/>
      <c r="E15" s="142"/>
      <c r="F15" s="142"/>
      <c r="G15" s="142"/>
      <c r="H15" s="142"/>
      <c r="I15" s="142"/>
      <c r="J15" s="142"/>
      <c r="K15" s="142"/>
      <c r="L15" s="142"/>
      <c r="M15" s="143"/>
      <c r="O15" s="50"/>
      <c r="P15" s="50"/>
    </row>
    <row r="16" ht="15.75" customHeight="1">
      <c r="B16" s="144"/>
      <c r="C16" s="145" t="e">
        <f>INDEX(AUX!$G$1:$IV$1,1,AUX!$E$10+(AUX!$E$11*AUX!G$2))</f>
        <v>#VALUE!</v>
      </c>
      <c r="D16" s="146">
        <f>INDEX(AUX!$G$1:$IV$1,1,AUX!$E$10+(AUX!$E$11*AUX!H$2))</f>
        <v>38899</v>
      </c>
      <c r="E16" s="146">
        <f>INDEX(AUX!$G$1:$IV$1,1,AUX!$E$10+(AUX!$E$11*AUX!I$2))</f>
        <v>39083</v>
      </c>
      <c r="F16" s="146">
        <f>INDEX(AUX!$G$1:$IV$1,1,AUX!$E$10+(AUX!$E$11*AUX!J$2))</f>
        <v>39264</v>
      </c>
      <c r="G16" s="146">
        <f>INDEX(AUX!$G$1:$IV$1,1,AUX!$E$10+(AUX!$E$11*AUX!K$2))</f>
        <v>39448</v>
      </c>
      <c r="H16" s="146">
        <f>INDEX(AUX!$G$1:$IV$1,1,AUX!$E$10+(AUX!$E$11*AUX!L$2))</f>
        <v>39630</v>
      </c>
      <c r="I16" s="146">
        <f>INDEX(AUX!$G$1:$IV$1,1,AUX!$E$10+(AUX!$E$11*AUX!M$2))</f>
        <v>39814</v>
      </c>
      <c r="J16" s="146">
        <f>INDEX(AUX!$G$1:$IV$1,1,AUX!$E$10+(AUX!$E$11*AUX!N$2))</f>
        <v>39995</v>
      </c>
      <c r="K16" s="146">
        <f>INDEX(AUX!$G$1:$IV$1,1,AUX!$E$10+(AUX!$E$11*AUX!O$2))</f>
        <v>40179</v>
      </c>
      <c r="L16" s="146">
        <f>INDEX(AUX!$G$1:$IV$1,1,AUX!$E$10+(AUX!$E$11*AUX!P$2))</f>
        <v>40360</v>
      </c>
      <c r="M16" s="147">
        <f>INDEX(AUX!$G$1:$IV$1,1,AUX!$E$10+(AUX!$E$11*AUX!Q$2))</f>
        <v>40544</v>
      </c>
      <c r="N16" s="201"/>
      <c r="O16" s="202"/>
      <c r="P16" s="50"/>
    </row>
    <row r="17" ht="15.75" customHeight="1">
      <c r="B17" s="203"/>
      <c r="C17" s="628" t="s">
        <v>194</v>
      </c>
      <c r="D17" s="629"/>
      <c r="E17" s="629"/>
      <c r="F17" s="629"/>
      <c r="G17" s="629"/>
      <c r="H17" s="629"/>
      <c r="I17" s="629"/>
      <c r="J17" s="629"/>
      <c r="K17" s="629"/>
      <c r="L17" s="629"/>
      <c r="M17" s="630"/>
      <c r="N17" s="201"/>
      <c r="O17" s="202"/>
      <c r="P17" s="50"/>
    </row>
    <row r="18" ht="15.75" customHeight="1">
      <c r="B18" s="204" t="str">
        <f>INDEX($B$158:$I$177, $F$8, 1)</f>
        <v>Total</v>
      </c>
      <c r="C18" s="150" t="str">
        <f>IF(INDEX($C$158:$II$177,$F$8,AUX!$E$10+(AUX!$E$11*AUX!G$2))="","--",INDEX($C$158:$II$177,$F$8,AUX!$E$10+(AUX!$E$11*AUX!G$2)))</f>
        <v>--</v>
      </c>
      <c r="D18" s="151" t="str">
        <f>IF(INDEX($C$158:$II$177,$F$8,AUX!$E$10+(AUX!$E$11*AUX!H$2))="","--",INDEX($C$158:$II$177,$F$8,AUX!$E$10+(AUX!$E$11*AUX!H$2)))</f>
        <v>--</v>
      </c>
      <c r="E18" s="151" t="str">
        <f>IF(INDEX($C$158:$II$177,$F$8,AUX!$E$10+(AUX!$E$11*AUX!I$2))="","--",INDEX($C$158:$II$177,$F$8,AUX!$E$10+(AUX!$E$11*AUX!I$2)))</f>
        <v>--</v>
      </c>
      <c r="F18" s="151" t="str">
        <f>IF(INDEX($C$158:$II$177,$F$8,AUX!$E$10+(AUX!$E$11*AUX!J$2))="","--",INDEX($C$158:$II$177,$F$8,AUX!$E$10+(AUX!$E$11*AUX!J$2)))</f>
        <v>--</v>
      </c>
      <c r="G18" s="151" t="str">
        <f>IF(INDEX($C$158:$II$177,$F$8,AUX!$E$10+(AUX!$E$11*AUX!K$2))="","--",INDEX($C$158:$II$177,$F$8,AUX!$E$10+(AUX!$E$11*AUX!K$2)))</f>
        <v>--</v>
      </c>
      <c r="H18" s="151" t="str">
        <f>IF(INDEX($C$158:$II$177,$F$8,AUX!$E$10+(AUX!$E$11*AUX!L$2))="","--",INDEX($C$158:$II$177,$F$8,AUX!$E$10+(AUX!$E$11*AUX!L$2)))</f>
        <v>--</v>
      </c>
      <c r="I18" s="151" t="str">
        <f>IF(INDEX($C$158:$II$177,$F$8,AUX!$E$10+(AUX!$E$11*AUX!M$2))="","--",INDEX($C$158:$II$177,$F$8,AUX!$E$10+(AUX!$E$11*AUX!M$2)))</f>
        <v>--</v>
      </c>
      <c r="J18" s="151" t="str">
        <f>IF(INDEX($C$158:$II$177,$F$8,AUX!$E$10+(AUX!$E$11*AUX!N$2))="","--",INDEX($C$158:$II$177,$F$8,AUX!$E$10+(AUX!$E$11*AUX!N$2)))</f>
        <v>--</v>
      </c>
      <c r="K18" s="151" t="str">
        <f>IF(INDEX($C$158:$II$177,$F$8,AUX!$E$10+(AUX!$E$11*AUX!O$2))="","--",INDEX($C$158:$II$177,$F$8,AUX!$E$10+(AUX!$E$11*AUX!O$2)))</f>
        <v>--</v>
      </c>
      <c r="L18" s="151" t="str">
        <f>IF(INDEX($C$158:$II$177,$F$8,AUX!$E$10+(AUX!$E$11*AUX!P$2))="","--",INDEX($C$158:$II$177,$F$8,AUX!$E$10+(AUX!$E$11*AUX!P$2)))</f>
        <v>--</v>
      </c>
      <c r="M18" s="152" t="str">
        <f>IF(INDEX($C$158:$II$177,$F$8,AUX!$E$10+(AUX!$E$11*AUX!Q$2))="","--",INDEX($C$158:$II$177,$F$8,AUX!$E$10+(AUX!$E$11*AUX!Q$2)))</f>
        <v>--</v>
      </c>
      <c r="N18" s="201"/>
      <c r="O18" s="202"/>
      <c r="P18" s="50"/>
    </row>
    <row r="19" ht="15" customHeight="1">
      <c r="B19" s="205"/>
      <c r="C19" s="639" t="s">
        <v>243</v>
      </c>
      <c r="D19" s="640"/>
      <c r="E19" s="640"/>
      <c r="F19" s="640"/>
      <c r="G19" s="640"/>
      <c r="H19" s="640"/>
      <c r="I19" s="640"/>
      <c r="J19" s="640"/>
      <c r="K19" s="640"/>
      <c r="L19" s="640"/>
      <c r="M19" s="641"/>
      <c r="N19" s="201"/>
      <c r="O19" s="202"/>
      <c r="P19" s="50"/>
    </row>
    <row r="20" ht="15">
      <c r="B20" s="206"/>
      <c r="C20" s="150" t="str">
        <f>IF(INDEX($C$182:$II$201,$F$8,AUX!$E$10+(AUX!$E$11*AUX!G$2))="","--",INDEX($C$182:$II$201,$F$8,AUX!$E$10+(AUX!$E$11*AUX!G$2)))</f>
        <v>--</v>
      </c>
      <c r="D20" s="151" t="str">
        <f>IF(INDEX($C$182:$II$201,$F$8,AUX!$E$10+(AUX!$E$11*AUX!H$2))="","--",INDEX($C$182:$II$201,$F$8,AUX!$E$10+(AUX!$E$11*AUX!H$2)))</f>
        <v>--</v>
      </c>
      <c r="E20" s="151" t="str">
        <f>IF(INDEX($C$182:$II$201,$F$8,AUX!$E$10+(AUX!$E$11*AUX!I$2))="","--",INDEX($C$182:$II$201,$F$8,AUX!$E$10+(AUX!$E$11*AUX!I$2)))</f>
        <v>--</v>
      </c>
      <c r="F20" s="151" t="str">
        <f>IF(INDEX($C$182:$II$201,$F$8,AUX!$E$10+(AUX!$E$11*AUX!J$2))="","--",INDEX($C$182:$II$201,$F$8,AUX!$E$10+(AUX!$E$11*AUX!J$2)))</f>
        <v>--</v>
      </c>
      <c r="G20" s="151" t="str">
        <f>IF(INDEX($C$182:$II$201,$F$8,AUX!$E$10+(AUX!$E$11*AUX!K$2))="","--",INDEX($C$182:$II$201,$F$8,AUX!$E$10+(AUX!$E$11*AUX!K$2)))</f>
        <v>--</v>
      </c>
      <c r="H20" s="151" t="str">
        <f>IF(INDEX($C$182:$II$201,$F$8,AUX!$E$10+(AUX!$E$11*AUX!L$2))="","--",INDEX($C$182:$II$201,$F$8,AUX!$E$10+(AUX!$E$11*AUX!L$2)))</f>
        <v>--</v>
      </c>
      <c r="I20" s="151" t="str">
        <f>IF(INDEX($C$182:$II$201,$F$8,AUX!$E$10+(AUX!$E$11*AUX!M$2))="","--",INDEX($C$182:$II$201,$F$8,AUX!$E$10+(AUX!$E$11*AUX!M$2)))</f>
        <v>--</v>
      </c>
      <c r="J20" s="151" t="str">
        <f>IF(INDEX($C$182:$II$201,$F$8,AUX!$E$10+(AUX!$E$11*AUX!N$2))="","--",INDEX($C$182:$II$201,$F$8,AUX!$E$10+(AUX!$E$11*AUX!N$2)))</f>
        <v>--</v>
      </c>
      <c r="K20" s="151" t="str">
        <f>IF(INDEX($C$182:$II$201,$F$8,AUX!$E$10+(AUX!$E$11*AUX!O$2))="","--",INDEX($C$182:$II$201,$F$8,AUX!$E$10+(AUX!$E$11*AUX!O$2)))</f>
        <v>--</v>
      </c>
      <c r="L20" s="151" t="str">
        <f>IF(INDEX($C$182:$II$201,$F$8,AUX!$E$10+(AUX!$E$11*AUX!P$2))="","--",INDEX($C$182:$II$201,$F$8,AUX!$E$10+(AUX!$E$11*AUX!P$2)))</f>
        <v>--</v>
      </c>
      <c r="M20" s="152" t="str">
        <f>IF(INDEX($C$182:$II$201,$F$8,AUX!$E$10+(AUX!$E$11*AUX!Q$2))="","--",INDEX($C$182:$II$201,$F$8,AUX!$E$10+(AUX!$E$11*AUX!Q$2)))</f>
        <v>--</v>
      </c>
      <c r="N20" s="201"/>
      <c r="O20" s="202"/>
      <c r="P20" s="50"/>
    </row>
    <row r="21" ht="15" customHeight="1">
      <c r="B21" s="207"/>
      <c r="C21" s="639" t="s">
        <v>257</v>
      </c>
      <c r="D21" s="640"/>
      <c r="E21" s="640"/>
      <c r="F21" s="640"/>
      <c r="G21" s="640"/>
      <c r="H21" s="640"/>
      <c r="I21" s="640"/>
      <c r="J21" s="640"/>
      <c r="K21" s="640"/>
      <c r="L21" s="640"/>
      <c r="M21" s="641"/>
      <c r="N21" s="208"/>
      <c r="O21" s="50"/>
      <c r="P21" s="50"/>
    </row>
    <row r="22" ht="15">
      <c r="B22" s="206"/>
      <c r="C22" s="150" t="str">
        <f>IF(INDEX($C$206:$II$225,$F$8,AUX!$E$10+(AUX!$E$11*AUX!G$2))="","--",INDEX($C$206:$II$225,$F$8,AUX!$E$10+(AUX!$E$11*AUX!G$2)))</f>
        <v>--</v>
      </c>
      <c r="D22" s="151" t="str">
        <f>IF(INDEX($C$206:$II$225,$F$8,AUX!$E$10+(AUX!$E$11*AUX!H$2))="","--",INDEX($C$206:$II$225,$F$8,AUX!$E$10+(AUX!$E$11*AUX!H$2)))</f>
        <v>--</v>
      </c>
      <c r="E22" s="151" t="str">
        <f>IF(INDEX($C$206:$II$225,$F$8,AUX!$E$10+(AUX!$E$11*AUX!I$2))="","--",INDEX($C$206:$II$225,$F$8,AUX!$E$10+(AUX!$E$11*AUX!I$2)))</f>
        <v>--</v>
      </c>
      <c r="F22" s="151" t="str">
        <f>IF(INDEX($C$206:$II$225,$F$8,AUX!$E$10+(AUX!$E$11*AUX!J$2))="","--",INDEX($C$206:$II$225,$F$8,AUX!$E$10+(AUX!$E$11*AUX!J$2)))</f>
        <v>--</v>
      </c>
      <c r="G22" s="151" t="str">
        <f>IF(INDEX($C$206:$II$225,$F$8,AUX!$E$10+(AUX!$E$11*AUX!K$2))="","--",INDEX($C$206:$II$225,$F$8,AUX!$E$10+(AUX!$E$11*AUX!K$2)))</f>
        <v>--</v>
      </c>
      <c r="H22" s="151" t="str">
        <f>IF(INDEX($C$206:$II$225,$F$8,AUX!$E$10+(AUX!$E$11*AUX!L$2))="","--",INDEX($C$206:$II$225,$F$8,AUX!$E$10+(AUX!$E$11*AUX!L$2)))</f>
        <v>--</v>
      </c>
      <c r="I22" s="151" t="str">
        <f>IF(INDEX($C$206:$II$225,$F$8,AUX!$E$10+(AUX!$E$11*AUX!M$2))="","--",INDEX($C$206:$II$225,$F$8,AUX!$E$10+(AUX!$E$11*AUX!M$2)))</f>
        <v>--</v>
      </c>
      <c r="J22" s="151" t="str">
        <f>IF(INDEX($C$206:$II$225,$F$8,AUX!$E$10+(AUX!$E$11*AUX!N$2))="","--",INDEX($C$206:$II$225,$F$8,AUX!$E$10+(AUX!$E$11*AUX!N$2)))</f>
        <v>--</v>
      </c>
      <c r="K22" s="151" t="str">
        <f>IF(INDEX($C$206:$II$225,$F$8,AUX!$E$10+(AUX!$E$11*AUX!O$2))="","--",INDEX($C$206:$II$225,$F$8,AUX!$E$10+(AUX!$E$11*AUX!O$2)))</f>
        <v>--</v>
      </c>
      <c r="L22" s="151" t="str">
        <f>IF(INDEX($C$206:$II$225,$F$8,AUX!$E$10+(AUX!$E$11*AUX!P$2))="","--",INDEX($C$206:$II$225,$F$8,AUX!$E$10+(AUX!$E$11*AUX!P$2)))</f>
        <v>--</v>
      </c>
      <c r="M22" s="152" t="str">
        <f>IF(INDEX($C$206:$II$225,$F$8,AUX!$E$10+(AUX!$E$11*AUX!Q$2))="","--",INDEX($C$206:$II$225,$F$8,AUX!$E$10+(AUX!$E$11*AUX!Q$2)))</f>
        <v>--</v>
      </c>
      <c r="N22" s="208"/>
      <c r="O22" s="50"/>
      <c r="P22" s="50"/>
    </row>
    <row r="23" hidden="1" ht="15" customHeight="1">
      <c r="B23" s="207"/>
      <c r="C23" s="642" t="s">
        <v>244</v>
      </c>
      <c r="D23" s="643"/>
      <c r="E23" s="643"/>
      <c r="F23" s="643"/>
      <c r="G23" s="643"/>
      <c r="H23" s="643"/>
      <c r="I23" s="643"/>
      <c r="J23" s="643"/>
      <c r="K23" s="643"/>
      <c r="L23" s="643"/>
      <c r="M23" s="644"/>
      <c r="O23" s="50"/>
      <c r="P23" s="50"/>
    </row>
    <row r="24" hidden="1" ht="15.75" customHeight="1">
      <c r="B24" s="206"/>
      <c r="C24" s="150" t="str">
        <f>IF(INDEX($C$351:$II$370,$F$8,AUX!$E$10+(AUX!$E$11*AUX!G$2))="","--",INDEX($C$351:$II$370,$F$8,AUX!$E$10+(AUX!$E$11*AUX!G$2)))</f>
        <v>--</v>
      </c>
      <c r="D24" s="151" t="str">
        <f>IF(INDEX($C$351:$II$370,$F$8,AUX!$E$10+(AUX!$E$11*AUX!H$2))="","--",INDEX($C$351:$II$370,$F$8,AUX!$E$10+(AUX!$E$11*AUX!H$2)))</f>
        <v>--</v>
      </c>
      <c r="E24" s="151" t="str">
        <f>IF(INDEX($C$351:$II$370,$F$8,AUX!$E$10+(AUX!$E$11*AUX!I$2))="","--",INDEX($C$351:$II$370,$F$8,AUX!$E$10+(AUX!$E$11*AUX!I$2)))</f>
        <v>--</v>
      </c>
      <c r="F24" s="151" t="str">
        <f>IF(INDEX($C$351:$II$370,$F$8,AUX!$E$10+(AUX!$E$11*AUX!J$2))="","--",INDEX($C$351:$II$370,$F$8,AUX!$E$10+(AUX!$E$11*AUX!J$2)))</f>
        <v>--</v>
      </c>
      <c r="G24" s="151" t="str">
        <f>IF(INDEX($C$351:$II$370,$F$8,AUX!$E$10+(AUX!$E$11*AUX!K$2))="","--",INDEX($C$351:$II$370,$F$8,AUX!$E$10+(AUX!$E$11*AUX!K$2)))</f>
        <v>--</v>
      </c>
      <c r="H24" s="151" t="str">
        <f>IF(INDEX($C$351:$II$370,$F$8,AUX!$E$10+(AUX!$E$11*AUX!L$2))="","--",INDEX($C$351:$II$370,$F$8,AUX!$E$10+(AUX!$E$11*AUX!L$2)))</f>
        <v>--</v>
      </c>
      <c r="I24" s="151" t="str">
        <f>IF(INDEX($C$351:$II$370,$F$8,AUX!$E$10+(AUX!$E$11*AUX!M$2))="","--",INDEX($C$351:$II$370,$F$8,AUX!$E$10+(AUX!$E$11*AUX!M$2)))</f>
        <v>--</v>
      </c>
      <c r="J24" s="151" t="str">
        <f>IF(INDEX($C$351:$II$370,$F$8,AUX!$E$10+(AUX!$E$11*AUX!N$2))="","--",INDEX($C$351:$II$370,$F$8,AUX!$E$10+(AUX!$E$11*AUX!N$2)))</f>
        <v>--</v>
      </c>
      <c r="K24" s="151" t="str">
        <f>IF(INDEX($C$351:$II$370,$F$8,AUX!$E$10+(AUX!$E$11*AUX!O$2))="","--",INDEX($C$351:$II$370,$F$8,AUX!$E$10+(AUX!$E$11*AUX!O$2)))</f>
        <v>--</v>
      </c>
      <c r="L24" s="151" t="str">
        <f>IF(INDEX($C$351:$II$370,$F$8,AUX!$E$10+(AUX!$E$11*AUX!P$2))="","--",INDEX($C$351:$II$370,$F$8,AUX!$E$10+(AUX!$E$11*AUX!P$2)))</f>
        <v>--</v>
      </c>
      <c r="M24" s="152" t="str">
        <f>IF(INDEX($C$351:$II$370,$F$8,AUX!$E$10+(AUX!$E$11*AUX!Q$2))="","--",INDEX($C$351:$II$370,$F$8,AUX!$E$10+(AUX!$E$11*AUX!Q$2)))</f>
        <v>--</v>
      </c>
      <c r="O24" s="50"/>
      <c r="P24" s="50"/>
    </row>
    <row r="25" hidden="1" ht="15.75" customHeight="1">
      <c r="B25" s="207"/>
      <c r="C25" s="642" t="s">
        <v>258</v>
      </c>
      <c r="D25" s="643"/>
      <c r="E25" s="643"/>
      <c r="F25" s="643"/>
      <c r="G25" s="643"/>
      <c r="H25" s="643"/>
      <c r="I25" s="643"/>
      <c r="J25" s="643"/>
      <c r="K25" s="643"/>
      <c r="L25" s="643"/>
      <c r="M25" s="644"/>
      <c r="O25" s="50"/>
      <c r="P25" s="50"/>
    </row>
    <row r="26" hidden="1" ht="15.75" customHeight="1">
      <c r="B26" s="206"/>
      <c r="C26" s="150" t="str">
        <f>IF(INDEX($C$254:$II$273,$F$8,AUX!$E$10+(AUX!$E$11*AUX!G$2))="","--",INDEX($C$254:$II$273,$F$8,AUX!$E$10+(AUX!$E$11*AUX!G$2)))</f>
        <v>--</v>
      </c>
      <c r="D26" s="151" t="str">
        <f>IF(INDEX($C$254:$II$273,$F$8,AUX!$E$10+(AUX!$E$11*AUX!H$2))="","--",INDEX($C$254:$II$273,$F$8,AUX!$E$10+(AUX!$E$11*AUX!H$2)))</f>
        <v>--</v>
      </c>
      <c r="E26" s="151" t="str">
        <f>IF(INDEX($C$254:$II$273,$F$8,AUX!$E$10+(AUX!$E$11*AUX!I$2))="","--",INDEX($C$254:$II$273,$F$8,AUX!$E$10+(AUX!$E$11*AUX!I$2)))</f>
        <v>--</v>
      </c>
      <c r="F26" s="151" t="str">
        <f>IF(INDEX($C$254:$II$273,$F$8,AUX!$E$10+(AUX!$E$11*AUX!J$2))="","--",INDEX($C$254:$II$273,$F$8,AUX!$E$10+(AUX!$E$11*AUX!J$2)))</f>
        <v>--</v>
      </c>
      <c r="G26" s="151" t="str">
        <f>IF(INDEX($C$254:$II$273,$F$8,AUX!$E$10+(AUX!$E$11*AUX!K$2))="","--",INDEX($C$254:$II$273,$F$8,AUX!$E$10+(AUX!$E$11*AUX!K$2)))</f>
        <v>--</v>
      </c>
      <c r="H26" s="151" t="str">
        <f>IF(INDEX($C$254:$II$273,$F$8,AUX!$E$10+(AUX!$E$11*AUX!L$2))="","--",INDEX($C$254:$II$273,$F$8,AUX!$E$10+(AUX!$E$11*AUX!L$2)))</f>
        <v>--</v>
      </c>
      <c r="I26" s="151" t="str">
        <f>IF(INDEX($C$254:$II$273,$F$8,AUX!$E$10+(AUX!$E$11*AUX!M$2))="","--",INDEX($C$254:$II$273,$F$8,AUX!$E$10+(AUX!$E$11*AUX!M$2)))</f>
        <v>--</v>
      </c>
      <c r="J26" s="151" t="str">
        <f>IF(INDEX($C$254:$II$273,$F$8,AUX!$E$10+(AUX!$E$11*AUX!N$2))="","--",INDEX($C$254:$II$273,$F$8,AUX!$E$10+(AUX!$E$11*AUX!N$2)))</f>
        <v>--</v>
      </c>
      <c r="K26" s="151" t="str">
        <f>IF(INDEX($C$254:$II$273,$F$8,AUX!$E$10+(AUX!$E$11*AUX!O$2))="","--",INDEX($C$254:$II$273,$F$8,AUX!$E$10+(AUX!$E$11*AUX!O$2)))</f>
        <v>--</v>
      </c>
      <c r="L26" s="151" t="str">
        <f>IF(INDEX($C$254:$II$273,$F$8,AUX!$E$10+(AUX!$E$11*AUX!P$2))="","--",INDEX($C$254:$II$273,$F$8,AUX!$E$10+(AUX!$E$11*AUX!P$2)))</f>
        <v>--</v>
      </c>
      <c r="M26" s="152" t="str">
        <f>IF(INDEX($C$254:$II$273,$F$8,AUX!$E$10+(AUX!$E$11*AUX!Q$2))="","--",INDEX($C$254:$II$273,$F$8,AUX!$E$10+(AUX!$E$11*AUX!Q$2)))</f>
        <v>--</v>
      </c>
      <c r="O26" s="50"/>
      <c r="P26" s="50"/>
    </row>
    <row r="27" ht="15.75" customHeight="1">
      <c r="B27" s="205"/>
      <c r="C27" s="639" t="s">
        <v>241</v>
      </c>
      <c r="D27" s="640"/>
      <c r="E27" s="640"/>
      <c r="F27" s="640"/>
      <c r="G27" s="640"/>
      <c r="H27" s="640"/>
      <c r="I27" s="640"/>
      <c r="J27" s="640"/>
      <c r="K27" s="640"/>
      <c r="L27" s="640"/>
      <c r="M27" s="641"/>
      <c r="O27" s="50"/>
      <c r="P27" s="50"/>
    </row>
    <row r="28" ht="15">
      <c r="B28" s="206"/>
      <c r="C28" s="150" t="str">
        <f>IF(INDEX($C$230:$II$249,$F$8,AUX!$E$10+(AUX!$E$11*AUX!G$2))="","--",INDEX($C$230:$II$249,$F$8,AUX!$E$10+(AUX!$E$11*AUX!G$2)))</f>
        <v>--</v>
      </c>
      <c r="D28" s="151" t="str">
        <f>IF(INDEX($C$230:$II$249,$F$8,AUX!$E$10+(AUX!$E$11*AUX!H$2))="","--",INDEX($C$230:$II$249,$F$8,AUX!$E$10+(AUX!$E$11*AUX!H$2)))</f>
        <v>--</v>
      </c>
      <c r="E28" s="151" t="str">
        <f>IF(INDEX($C$230:$II$249,$F$8,AUX!$E$10+(AUX!$E$11*AUX!I$2))="","--",INDEX($C$230:$II$249,$F$8,AUX!$E$10+(AUX!$E$11*AUX!I$2)))</f>
        <v>--</v>
      </c>
      <c r="F28" s="151" t="str">
        <f>IF(INDEX($C$230:$II$249,$F$8,AUX!$E$10+(AUX!$E$11*AUX!J$2))="","--",INDEX($C$230:$II$249,$F$8,AUX!$E$10+(AUX!$E$11*AUX!J$2)))</f>
        <v>--</v>
      </c>
      <c r="G28" s="151" t="str">
        <f>IF(INDEX($C$230:$II$249,$F$8,AUX!$E$10+(AUX!$E$11*AUX!K$2))="","--",INDEX($C$230:$II$249,$F$8,AUX!$E$10+(AUX!$E$11*AUX!K$2)))</f>
        <v>--</v>
      </c>
      <c r="H28" s="151" t="str">
        <f>IF(INDEX($C$230:$II$249,$F$8,AUX!$E$10+(AUX!$E$11*AUX!L$2))="","--",INDEX($C$230:$II$249,$F$8,AUX!$E$10+(AUX!$E$11*AUX!L$2)))</f>
        <v>--</v>
      </c>
      <c r="I28" s="151" t="str">
        <f>IF(INDEX($C$230:$II$249,$F$8,AUX!$E$10+(AUX!$E$11*AUX!M$2))="","--",INDEX($C$230:$II$249,$F$8,AUX!$E$10+(AUX!$E$11*AUX!M$2)))</f>
        <v>--</v>
      </c>
      <c r="J28" s="151" t="str">
        <f>IF(INDEX($C$230:$II$249,$F$8,AUX!$E$10+(AUX!$E$11*AUX!N$2))="","--",INDEX($C$230:$II$249,$F$8,AUX!$E$10+(AUX!$E$11*AUX!N$2)))</f>
        <v>--</v>
      </c>
      <c r="K28" s="151" t="str">
        <f>IF(INDEX($C$230:$II$249,$F$8,AUX!$E$10+(AUX!$E$11*AUX!O$2))="","--",INDEX($C$230:$II$249,$F$8,AUX!$E$10+(AUX!$E$11*AUX!O$2)))</f>
        <v>--</v>
      </c>
      <c r="L28" s="151" t="str">
        <f>IF(INDEX($C$230:$II$249,$F$8,AUX!$E$10+(AUX!$E$11*AUX!P$2))="","--",INDEX($C$230:$II$249,$F$8,AUX!$E$10+(AUX!$E$11*AUX!P$2)))</f>
        <v>--</v>
      </c>
      <c r="M28" s="152" t="str">
        <f>IF(INDEX($C$230:$II$249,$F$8,AUX!$E$10+(AUX!$E$11*AUX!Q$2))="","--",INDEX($C$230:$II$249,$F$8,AUX!$E$10+(AUX!$E$11*AUX!Q$2)))</f>
        <v>--</v>
      </c>
    </row>
    <row r="29" ht="15">
      <c r="B29" s="207"/>
      <c r="C29" s="639" t="s">
        <v>259</v>
      </c>
      <c r="D29" s="640"/>
      <c r="E29" s="640"/>
      <c r="F29" s="640"/>
      <c r="G29" s="640"/>
      <c r="H29" s="640"/>
      <c r="I29" s="640"/>
      <c r="J29" s="640"/>
      <c r="K29" s="640"/>
      <c r="L29" s="640"/>
      <c r="M29" s="641"/>
    </row>
    <row r="30" ht="15">
      <c r="B30" s="206"/>
      <c r="C30" s="150" t="str">
        <f>IF(INDEX($C$278:$II$297,$F$8,AUX!$E$10+(AUX!$E$11*AUX!G$2))="","--",INDEX($C$278:$II$297,$F$8,AUX!$E$10+(AUX!$E$11*AUX!G$2)))</f>
        <v>--</v>
      </c>
      <c r="D30" s="151" t="str">
        <f>IF(INDEX($C$278:$II$297,$F$8,AUX!$E$10+(AUX!$E$11*AUX!H$2))="","--",INDEX($C$278:$II$297,$F$8,AUX!$E$10+(AUX!$E$11*AUX!H$2)))</f>
        <v>--</v>
      </c>
      <c r="E30" s="151" t="str">
        <f>IF(INDEX($C$278:$II$297,$F$8,AUX!$E$10+(AUX!$E$11*AUX!I$2))="","--",INDEX($C$278:$II$297,$F$8,AUX!$E$10+(AUX!$E$11*AUX!I$2)))</f>
        <v>--</v>
      </c>
      <c r="F30" s="151" t="str">
        <f>IF(INDEX($C$278:$II$297,$F$8,AUX!$E$10+(AUX!$E$11*AUX!J$2))="","--",INDEX($C$278:$II$297,$F$8,AUX!$E$10+(AUX!$E$11*AUX!J$2)))</f>
        <v>--</v>
      </c>
      <c r="G30" s="151" t="str">
        <f>IF(INDEX($C$278:$II$297,$F$8,AUX!$E$10+(AUX!$E$11*AUX!K$2))="","--",INDEX($C$278:$II$297,$F$8,AUX!$E$10+(AUX!$E$11*AUX!K$2)))</f>
        <v>--</v>
      </c>
      <c r="H30" s="151" t="str">
        <f>IF(INDEX($C$278:$II$297,$F$8,AUX!$E$10+(AUX!$E$11*AUX!L$2))="","--",INDEX($C$278:$II$297,$F$8,AUX!$E$10+(AUX!$E$11*AUX!L$2)))</f>
        <v>--</v>
      </c>
      <c r="I30" s="151" t="str">
        <f>IF(INDEX($C$278:$II$297,$F$8,AUX!$E$10+(AUX!$E$11*AUX!M$2))="","--",INDEX($C$278:$II$297,$F$8,AUX!$E$10+(AUX!$E$11*AUX!M$2)))</f>
        <v>--</v>
      </c>
      <c r="J30" s="151" t="str">
        <f>IF(INDEX($C$278:$II$297,$F$8,AUX!$E$10+(AUX!$E$11*AUX!N$2))="","--",INDEX($C$278:$II$297,$F$8,AUX!$E$10+(AUX!$E$11*AUX!N$2)))</f>
        <v>--</v>
      </c>
      <c r="K30" s="151" t="str">
        <f>IF(INDEX($C$278:$II$297,$F$8,AUX!$E$10+(AUX!$E$11*AUX!O$2))="","--",INDEX($C$278:$II$297,$F$8,AUX!$E$10+(AUX!$E$11*AUX!O$2)))</f>
        <v>--</v>
      </c>
      <c r="L30" s="151" t="str">
        <f>IF(INDEX($C$278:$II$297,$F$8,AUX!$E$10+(AUX!$E$11*AUX!P$2))="","--",INDEX($C$278:$II$297,$F$8,AUX!$E$10+(AUX!$E$11*AUX!P$2)))</f>
        <v>--</v>
      </c>
      <c r="M30" s="152" t="str">
        <f>IF(INDEX($C$278:$II$297,$F$8,AUX!$E$10+(AUX!$E$11*AUX!Q$2))="","--",INDEX($C$278:$II$297,$F$8,AUX!$E$10+(AUX!$E$11*AUX!Q$2)))</f>
        <v>--</v>
      </c>
    </row>
    <row r="31" ht="15" customHeight="1">
      <c r="B31" s="207"/>
      <c r="C31" s="639" t="s">
        <v>260</v>
      </c>
      <c r="D31" s="640"/>
      <c r="E31" s="640"/>
      <c r="F31" s="640"/>
      <c r="G31" s="640"/>
      <c r="H31" s="640"/>
      <c r="I31" s="640"/>
      <c r="J31" s="640"/>
      <c r="K31" s="640"/>
      <c r="L31" s="640"/>
      <c r="M31" s="641"/>
    </row>
    <row r="32" ht="15">
      <c r="B32" s="206"/>
      <c r="C32" s="150" t="str">
        <f>IF(INDEX($C$302:$II$321,$F$8,AUX!$E$10+(AUX!$E$11*AUX!G$2))="","--",INDEX($C$302:$II$321,$F$8,AUX!$E$10+(AUX!$E$11*AUX!G$2)))</f>
        <v>--</v>
      </c>
      <c r="D32" s="151" t="str">
        <f>IF(INDEX($C$302:$II$321,$F$8,AUX!$E$10+(AUX!$E$11*AUX!H$2))="","--",INDEX($C$302:$II$321,$F$8,AUX!$E$10+(AUX!$E$11*AUX!H$2)))</f>
        <v>--</v>
      </c>
      <c r="E32" s="151" t="str">
        <f>IF(INDEX($C$302:$II$321,$F$8,AUX!$E$10+(AUX!$E$11*AUX!I$2))="","--",INDEX($C$302:$II$321,$F$8,AUX!$E$10+(AUX!$E$11*AUX!I$2)))</f>
        <v>--</v>
      </c>
      <c r="F32" s="151" t="str">
        <f>IF(INDEX($C$302:$II$321,$F$8,AUX!$E$10+(AUX!$E$11*AUX!J$2))="","--",INDEX($C$302:$II$321,$F$8,AUX!$E$10+(AUX!$E$11*AUX!J$2)))</f>
        <v>--</v>
      </c>
      <c r="G32" s="151" t="str">
        <f>IF(INDEX($C$302:$II$321,$F$8,AUX!$E$10+(AUX!$E$11*AUX!K$2))="","--",INDEX($C$302:$II$321,$F$8,AUX!$E$10+(AUX!$E$11*AUX!K$2)))</f>
        <v>--</v>
      </c>
      <c r="H32" s="151" t="str">
        <f>IF(INDEX($C$302:$II$321,$F$8,AUX!$E$10+(AUX!$E$11*AUX!L$2))="","--",INDEX($C$302:$II$321,$F$8,AUX!$E$10+(AUX!$E$11*AUX!L$2)))</f>
        <v>--</v>
      </c>
      <c r="I32" s="151" t="str">
        <f>IF(INDEX($C$302:$II$321,$F$8,AUX!$E$10+(AUX!$E$11*AUX!M$2))="","--",INDEX($C$302:$II$321,$F$8,AUX!$E$10+(AUX!$E$11*AUX!M$2)))</f>
        <v>--</v>
      </c>
      <c r="J32" s="151" t="str">
        <f>IF(INDEX($C$302:$II$321,$F$8,AUX!$E$10+(AUX!$E$11*AUX!N$2))="","--",INDEX($C$302:$II$321,$F$8,AUX!$E$10+(AUX!$E$11*AUX!N$2)))</f>
        <v>--</v>
      </c>
      <c r="K32" s="151" t="str">
        <f>IF(INDEX($C$302:$II$321,$F$8,AUX!$E$10+(AUX!$E$11*AUX!O$2))="","--",INDEX($C$302:$II$321,$F$8,AUX!$E$10+(AUX!$E$11*AUX!O$2)))</f>
        <v>--</v>
      </c>
      <c r="L32" s="151" t="str">
        <f>IF(INDEX($C$302:$II$321,$F$8,AUX!$E$10+(AUX!$E$11*AUX!P$2))="","--",INDEX($C$302:$II$321,$F$8,AUX!$E$10+(AUX!$E$11*AUX!P$2)))</f>
        <v>--</v>
      </c>
      <c r="M32" s="152" t="str">
        <f>IF(INDEX($C$302:$II$321,$F$8,AUX!$E$10+(AUX!$E$11*AUX!Q$2))="","--",INDEX($C$302:$II$321,$F$8,AUX!$E$10+(AUX!$E$11*AUX!Q$2)))</f>
        <v>--</v>
      </c>
    </row>
    <row r="33" ht="15">
      <c r="B33" s="206"/>
      <c r="C33" s="639" t="s">
        <v>204</v>
      </c>
      <c r="D33" s="640"/>
      <c r="E33" s="640"/>
      <c r="F33" s="640"/>
      <c r="G33" s="640"/>
      <c r="H33" s="640"/>
      <c r="I33" s="640"/>
      <c r="J33" s="640"/>
      <c r="K33" s="640"/>
      <c r="L33" s="640"/>
      <c r="M33" s="641"/>
    </row>
    <row r="34" ht="15">
      <c r="B34" s="206"/>
      <c r="C34" s="150" t="str">
        <f>IF(INDEX($C$384:$II$403,$F$8,AUX!$E$10+(AUX!$E$11*AUX!G$2))="","--",INDEX($C$384:$II$403,$F$8,AUX!$E$10+(AUX!$E$11*AUX!G$2)))</f>
        <v>--</v>
      </c>
      <c r="D34" s="151" t="str">
        <f>IF(INDEX($C$384:$II$403,$F$8,AUX!$E$10+(AUX!$E$11*AUX!H$2))="","--",INDEX($C$384:$II$403,$F$8,AUX!$E$10+(AUX!$E$11*AUX!H$2)))</f>
        <v>--</v>
      </c>
      <c r="E34" s="151" t="str">
        <f>IF(INDEX($C$384:$II$403,$F$8,AUX!$E$10+(AUX!$E$11*AUX!I$2))="","--",INDEX($C$384:$II$403,$F$8,AUX!$E$10+(AUX!$E$11*AUX!I$2)))</f>
        <v>--</v>
      </c>
      <c r="F34" s="151" t="str">
        <f>IF(INDEX($C$384:$II$403,$F$8,AUX!$E$10+(AUX!$E$11*AUX!J$2))="","--",INDEX($C$384:$II$403,$F$8,AUX!$E$10+(AUX!$E$11*AUX!J$2)))</f>
        <v>--</v>
      </c>
      <c r="G34" s="151" t="str">
        <f>IF(INDEX($C$384:$II$403,$F$8,AUX!$E$10+(AUX!$E$11*AUX!K$2))="","--",INDEX($C$384:$II$403,$F$8,AUX!$E$10+(AUX!$E$11*AUX!K$2)))</f>
        <v>--</v>
      </c>
      <c r="H34" s="151" t="str">
        <f>IF(INDEX($C$384:$II$403,$F$8,AUX!$E$10+(AUX!$E$11*AUX!L$2))="","--",INDEX($C$384:$II$403,$F$8,AUX!$E$10+(AUX!$E$11*AUX!L$2)))</f>
        <v>--</v>
      </c>
      <c r="I34" s="151" t="str">
        <f>IF(INDEX($C$384:$II$403,$F$8,AUX!$E$10+(AUX!$E$11*AUX!M$2))="","--",INDEX($C$384:$II$403,$F$8,AUX!$E$10+(AUX!$E$11*AUX!M$2)))</f>
        <v>--</v>
      </c>
      <c r="J34" s="151" t="str">
        <f>IF(INDEX($C$384:$II$403,$F$8,AUX!$E$10+(AUX!$E$11*AUX!N$2))="","--",INDEX($C$384:$II$403,$F$8,AUX!$E$10+(AUX!$E$11*AUX!N$2)))</f>
        <v>--</v>
      </c>
      <c r="K34" s="151" t="str">
        <f>IF(INDEX($C$384:$II$403,$F$8,AUX!$E$10+(AUX!$E$11*AUX!O$2))="","--",INDEX($C$384:$II$403,$F$8,AUX!$E$10+(AUX!$E$11*AUX!O$2)))</f>
        <v>--</v>
      </c>
      <c r="L34" s="151" t="str">
        <f>IF(INDEX($C$384:$II$403,$F$8,AUX!$E$10+(AUX!$E$11*AUX!P$2))="","--",INDEX($C$384:$II$403,$F$8,AUX!$E$10+(AUX!$E$11*AUX!P$2)))</f>
        <v>--</v>
      </c>
      <c r="M34" s="152" t="str">
        <f>IF(INDEX($C$384:$II$403,$F$8,AUX!$E$10+(AUX!$E$11*AUX!Q$2))="","--",INDEX($C$384:$II$403,$F$8,AUX!$E$10+(AUX!$E$11*AUX!Q$2)))</f>
        <v>--</v>
      </c>
    </row>
    <row r="35" ht="15.75" customHeight="1">
      <c r="B35" s="209"/>
      <c r="C35" s="639" t="s">
        <v>205</v>
      </c>
      <c r="D35" s="640"/>
      <c r="E35" s="640"/>
      <c r="F35" s="640"/>
      <c r="G35" s="640"/>
      <c r="H35" s="640"/>
      <c r="I35" s="640"/>
      <c r="J35" s="640"/>
      <c r="K35" s="640"/>
      <c r="L35" s="640"/>
      <c r="M35" s="641"/>
    </row>
    <row r="36" ht="15">
      <c r="B36" s="209"/>
      <c r="C36" s="155" t="str">
        <f>IF(INDEX($C$326:$II$345,$F$8,AUX!$E$10+(AUX!$E$11*AUX!G$2))="","--",INDEX($C$326:$II$345,$F$8,AUX!$E$10+(AUX!$E$11*AUX!G$2)))</f>
        <v>--</v>
      </c>
      <c r="D36" s="156" t="str">
        <f>IF(INDEX($C$326:$II$345,$F$8,AUX!$E$10+(AUX!$E$11*AUX!H$2))="","--",INDEX($C$326:$II$345,$F$8,AUX!$E$10+(AUX!$E$11*AUX!H$2)))</f>
        <v>--</v>
      </c>
      <c r="E36" s="156" t="str">
        <f>IF(INDEX($C$326:$II$345,$F$8,AUX!$E$10+(AUX!$E$11*AUX!I$2))="","--",INDEX($C$326:$II$345,$F$8,AUX!$E$10+(AUX!$E$11*AUX!I$2)))</f>
        <v>--</v>
      </c>
      <c r="F36" s="156" t="str">
        <f>IF(INDEX($C$326:$II$345,$F$8,AUX!$E$10+(AUX!$E$11*AUX!J$2))="","--",INDEX($C$326:$II$345,$F$8,AUX!$E$10+(AUX!$E$11*AUX!J$2)))</f>
        <v>--</v>
      </c>
      <c r="G36" s="156" t="str">
        <f>IF(INDEX($C$326:$II$345,$F$8,AUX!$E$10+(AUX!$E$11*AUX!K$2))="","--",INDEX($C$326:$II$345,$F$8,AUX!$E$10+(AUX!$E$11*AUX!K$2)))</f>
        <v>--</v>
      </c>
      <c r="H36" s="156" t="str">
        <f>IF(INDEX($C$326:$II$345,$F$8,AUX!$E$10+(AUX!$E$11*AUX!L$2))="","--",INDEX($C$326:$II$345,$F$8,AUX!$E$10+(AUX!$E$11*AUX!L$2)))</f>
        <v>--</v>
      </c>
      <c r="I36" s="156" t="str">
        <f>IF(INDEX($C$326:$II$345,$F$8,AUX!$E$10+(AUX!$E$11*AUX!M$2))="","--",INDEX($C$326:$II$345,$F$8,AUX!$E$10+(AUX!$E$11*AUX!M$2)))</f>
        <v>--</v>
      </c>
      <c r="J36" s="156" t="str">
        <f>IF(INDEX($C$326:$II$345,$F$8,AUX!$E$10+(AUX!$E$11*AUX!N$2))="","--",INDEX($C$326:$II$345,$F$8,AUX!$E$10+(AUX!$E$11*AUX!N$2)))</f>
        <v>--</v>
      </c>
      <c r="K36" s="156" t="str">
        <f>IF(INDEX($C$326:$II$345,$F$8,AUX!$E$10+(AUX!$E$11*AUX!O$2))="","--",INDEX($C$326:$II$345,$F$8,AUX!$E$10+(AUX!$E$11*AUX!O$2)))</f>
        <v>--</v>
      </c>
      <c r="L36" s="156" t="str">
        <f>IF(INDEX($C$326:$II$345,$F$8,AUX!$E$10+(AUX!$E$11*AUX!P$2))="","--",INDEX($C$326:$II$345,$F$8,AUX!$E$10+(AUX!$E$11*AUX!P$2)))</f>
        <v>--</v>
      </c>
      <c r="M36" s="157" t="str">
        <f>IF(INDEX($C$326:$II$345,$F$8,AUX!$E$10+(AUX!$E$11*AUX!Q$2))="","--",INDEX($C$326:$II$345,$F$8,AUX!$E$10+(AUX!$E$11*AUX!Q$2)))</f>
        <v>--</v>
      </c>
      <c r="N36" s="98"/>
    </row>
    <row r="37" ht="12.75" customHeight="1">
      <c r="B37" s="153"/>
      <c r="C37" s="158"/>
      <c r="D37" s="158"/>
      <c r="E37" s="158"/>
      <c r="F37" s="159"/>
      <c r="G37" s="50"/>
      <c r="H37" s="50"/>
      <c r="I37" s="50"/>
      <c r="J37" s="50"/>
      <c r="K37" s="50"/>
      <c r="L37" s="50"/>
    </row>
    <row r="38" ht="12.75" customHeight="1">
      <c r="B38" s="153"/>
      <c r="C38"/>
      <c r="D38"/>
      <c r="E38"/>
      <c r="F38"/>
      <c r="G38"/>
      <c r="H38"/>
      <c r="I38"/>
      <c r="J38"/>
      <c r="K38"/>
      <c r="L38"/>
      <c r="M38"/>
    </row>
    <row r="39" ht="12.75" customHeight="1">
      <c r="B39" s="153"/>
      <c r="C39"/>
      <c r="D39"/>
      <c r="E39"/>
      <c r="F39"/>
      <c r="G39"/>
      <c r="H39"/>
      <c r="I39"/>
      <c r="J39"/>
      <c r="K39"/>
      <c r="L39"/>
      <c r="M39"/>
    </row>
    <row r="40" ht="12.75" customHeight="1">
      <c r="B40" s="153"/>
      <c r="C40" s="158"/>
      <c r="D40" s="158"/>
      <c r="E40" s="158"/>
      <c r="F40" s="159"/>
      <c r="G40" s="50"/>
      <c r="H40" s="50"/>
      <c r="I40" s="50"/>
      <c r="J40" s="50"/>
      <c r="K40" s="50"/>
      <c r="L40" s="50"/>
      <c r="M40" s="50"/>
    </row>
    <row r="41" ht="12.75" customHeight="1">
      <c r="B41" s="153"/>
      <c r="C41" s="158"/>
      <c r="D41" s="158"/>
      <c r="E41" s="158"/>
      <c r="F41" s="159"/>
      <c r="G41" s="50"/>
      <c r="H41" s="50"/>
      <c r="I41" s="50"/>
      <c r="J41" s="50"/>
      <c r="K41" s="50"/>
      <c r="L41" s="50"/>
      <c r="M41" s="50"/>
    </row>
    <row r="42" ht="12.75" customHeight="1">
      <c r="B42" s="153"/>
      <c r="C42" s="158"/>
      <c r="D42" s="158"/>
      <c r="E42" s="158"/>
      <c r="F42" s="159"/>
      <c r="G42" s="50"/>
      <c r="H42" s="50"/>
      <c r="I42" s="50"/>
      <c r="J42" s="50"/>
      <c r="K42" s="50"/>
      <c r="L42" s="50"/>
      <c r="M42" s="50"/>
    </row>
    <row r="43" ht="12.75" customHeight="1">
      <c r="B43" s="153"/>
      <c r="C43" s="158"/>
      <c r="D43" s="158"/>
      <c r="E43" s="158"/>
      <c r="F43" s="159"/>
      <c r="G43" s="50"/>
      <c r="H43" s="50"/>
      <c r="I43" s="50"/>
      <c r="J43" s="50"/>
      <c r="K43" s="50"/>
      <c r="L43" s="50"/>
      <c r="M43" s="50"/>
    </row>
    <row r="44" ht="12.75" customHeight="1">
      <c r="B44" s="153"/>
      <c r="C44" s="158"/>
      <c r="D44" s="158"/>
      <c r="E44" s="158"/>
      <c r="F44" s="159"/>
      <c r="G44" s="50"/>
      <c r="H44" s="50"/>
      <c r="I44" s="50"/>
      <c r="J44" s="50"/>
      <c r="K44" s="50"/>
      <c r="L44" s="50"/>
      <c r="M44" s="50"/>
    </row>
    <row r="45" ht="12.75" customHeight="1">
      <c r="B45" s="153"/>
      <c r="C45" s="158"/>
      <c r="D45" s="158"/>
      <c r="E45" s="158"/>
      <c r="F45" s="159"/>
      <c r="G45" s="50"/>
      <c r="H45" s="50"/>
      <c r="I45" s="50"/>
      <c r="J45" s="50"/>
      <c r="K45" s="50"/>
      <c r="L45" s="50"/>
      <c r="M45" s="50"/>
    </row>
    <row r="46" ht="12.75" customHeight="1">
      <c r="B46" s="153"/>
      <c r="C46" s="158"/>
      <c r="D46" s="158"/>
      <c r="E46" s="158"/>
      <c r="F46" s="159"/>
      <c r="G46" s="50"/>
      <c r="H46" s="50"/>
      <c r="I46" s="50"/>
      <c r="J46" s="50"/>
      <c r="K46" s="50"/>
      <c r="L46" s="50"/>
      <c r="M46" s="50"/>
    </row>
    <row r="47">
      <c r="B47" s="90"/>
      <c r="C47" s="90"/>
      <c r="D47" s="90"/>
      <c r="G47" s="50"/>
      <c r="H47" s="50"/>
      <c r="I47" s="50"/>
      <c r="J47" s="50"/>
      <c r="K47" s="50"/>
      <c r="L47" s="50"/>
      <c r="M47" s="50"/>
    </row>
    <row r="48" ht="12.75" customHeight="1">
      <c r="I48" s="50"/>
      <c r="J48" s="50"/>
      <c r="K48" s="50"/>
      <c r="L48" s="50"/>
      <c r="M48" s="90"/>
      <c r="N48" s="90"/>
      <c r="O48" s="90"/>
      <c r="P48" s="90"/>
      <c r="Q48" s="90"/>
      <c r="R48" s="90"/>
      <c r="S48" s="90"/>
      <c r="T48" s="90"/>
      <c r="X48" s="50"/>
      <c r="Y48" s="50"/>
      <c r="Z48" s="50"/>
      <c r="AA48" s="50"/>
    </row>
    <row r="49" ht="12.75" customHeight="1">
      <c r="L49" s="50"/>
      <c r="M49" s="50"/>
      <c r="N49" s="90"/>
      <c r="O49" s="90"/>
      <c r="P49" s="90"/>
      <c r="Q49" s="90"/>
      <c r="R49" s="90"/>
      <c r="S49" s="90"/>
      <c r="T49" s="90"/>
      <c r="U49" s="90"/>
      <c r="V49" s="90"/>
      <c r="Y49" s="50"/>
      <c r="Z49" s="50"/>
      <c r="AA49" s="50"/>
      <c r="AB49" s="50"/>
    </row>
    <row r="50" ht="12.75" customHeight="1">
      <c r="L50" s="50"/>
      <c r="M50" s="50"/>
      <c r="N50" s="90"/>
      <c r="O50" s="90"/>
      <c r="P50" s="90"/>
      <c r="Q50" s="90"/>
      <c r="R50" s="90"/>
      <c r="S50" s="90"/>
      <c r="T50" s="90"/>
      <c r="U50" s="90"/>
      <c r="V50" s="90"/>
      <c r="Y50" s="50"/>
      <c r="Z50" s="50"/>
      <c r="AA50" s="50"/>
      <c r="AB50" s="50"/>
    </row>
    <row r="51" ht="12.75" customHeight="1">
      <c r="L51" s="50"/>
      <c r="M51" s="50"/>
      <c r="N51" s="90"/>
      <c r="O51" s="90"/>
      <c r="P51" s="90"/>
      <c r="Q51" s="90"/>
      <c r="R51" s="90"/>
      <c r="S51" s="90"/>
      <c r="T51" s="90"/>
      <c r="U51" s="90"/>
      <c r="V51" s="90"/>
      <c r="Y51" s="50"/>
      <c r="Z51" s="50"/>
      <c r="AA51" s="50"/>
      <c r="AB51" s="50"/>
    </row>
    <row r="52" ht="12.75" customHeight="1">
      <c r="C52" s="210" t="s">
        <v>261</v>
      </c>
      <c r="L52" s="50"/>
      <c r="M52" s="50"/>
      <c r="N52" s="159"/>
      <c r="O52" s="159"/>
      <c r="P52" s="159"/>
      <c r="Q52" s="159"/>
      <c r="R52" s="159"/>
      <c r="S52" s="159"/>
      <c r="T52" s="159"/>
      <c r="U52" s="159"/>
      <c r="V52" s="159"/>
      <c r="Y52" s="50"/>
      <c r="Z52" s="50"/>
      <c r="AA52" s="50"/>
      <c r="AB52" s="50"/>
    </row>
    <row r="53">
      <c r="E53" s="210" t="s">
        <v>261</v>
      </c>
      <c r="F53" s="211" t="s">
        <v>262</v>
      </c>
      <c r="G53" s="211"/>
      <c r="H53" s="211"/>
      <c r="I53" s="212"/>
      <c r="J53" s="212"/>
      <c r="K53" s="212"/>
      <c r="L53" s="50"/>
      <c r="M53" s="50"/>
      <c r="N53" s="90"/>
      <c r="O53" s="90"/>
      <c r="P53" s="90"/>
      <c r="Q53" s="90"/>
      <c r="R53" s="90"/>
      <c r="S53" s="90"/>
      <c r="T53" s="90"/>
      <c r="U53" s="90"/>
      <c r="V53" s="90"/>
      <c r="Y53" s="50"/>
      <c r="Z53" s="50"/>
      <c r="AA53" s="50"/>
      <c r="AB53" s="50"/>
    </row>
    <row r="54" ht="12.75" customHeight="1">
      <c r="B54" s="162"/>
      <c r="C54" s="91"/>
      <c r="D54" s="91"/>
      <c r="E54" s="91"/>
      <c r="F54" s="91"/>
      <c r="L54" s="50"/>
      <c r="M54" s="50"/>
      <c r="P54" s="91"/>
      <c r="Q54" s="91"/>
      <c r="Y54" s="50"/>
      <c r="Z54" s="50"/>
      <c r="AA54" s="50"/>
      <c r="AB54" s="50"/>
    </row>
    <row r="55">
      <c r="B55" s="162"/>
      <c r="C55" s="91"/>
      <c r="D55" s="91"/>
      <c r="E55" s="91"/>
      <c r="F55" s="91"/>
      <c r="L55" s="50"/>
      <c r="M55" s="50"/>
      <c r="P55" s="91"/>
      <c r="Q55" s="91"/>
      <c r="Y55" s="50"/>
      <c r="Z55" s="50"/>
      <c r="AA55" s="50"/>
      <c r="AB55" s="50"/>
    </row>
    <row r="56" ht="12.75" customHeight="1">
      <c r="B56" s="162"/>
      <c r="C56" s="91"/>
      <c r="D56" s="91"/>
      <c r="E56" s="91"/>
      <c r="F56" s="91"/>
      <c r="L56" s="50"/>
      <c r="M56" s="50"/>
      <c r="P56" s="91"/>
      <c r="Q56" s="91"/>
      <c r="Y56" s="50"/>
      <c r="Z56" s="50"/>
      <c r="AA56" s="50"/>
      <c r="AB56" s="50"/>
    </row>
    <row r="57" ht="25.5">
      <c r="B57" s="162"/>
      <c r="C57" s="213" t="s">
        <v>263</v>
      </c>
      <c r="D57" s="91"/>
      <c r="E57" s="91"/>
      <c r="F57" s="91"/>
      <c r="L57" s="50"/>
      <c r="M57" s="50"/>
      <c r="P57" s="91"/>
      <c r="Q57" s="91"/>
      <c r="Y57" s="50"/>
      <c r="Z57" s="50"/>
      <c r="AA57" s="50"/>
      <c r="AB57" s="50"/>
    </row>
    <row r="58">
      <c r="B58" s="162"/>
      <c r="C58" s="91"/>
      <c r="D58" s="91"/>
      <c r="E58" s="91"/>
      <c r="F58" s="91"/>
      <c r="L58" s="50"/>
      <c r="M58" s="50"/>
      <c r="P58" s="91"/>
      <c r="Q58" s="91"/>
      <c r="Y58" s="50"/>
      <c r="Z58" s="50"/>
      <c r="AA58" s="50"/>
      <c r="AB58" s="50"/>
    </row>
    <row r="59">
      <c r="B59" s="162"/>
      <c r="C59" s="91"/>
      <c r="D59" s="91"/>
      <c r="E59" s="91"/>
      <c r="F59" s="91"/>
      <c r="L59" s="50"/>
      <c r="M59" s="50"/>
      <c r="P59" s="91"/>
      <c r="Q59" s="91"/>
      <c r="Y59" s="50"/>
      <c r="Z59" s="50"/>
      <c r="AA59" s="50"/>
      <c r="AB59" s="50"/>
    </row>
    <row r="60">
      <c r="B60" s="162"/>
      <c r="C60" s="91"/>
      <c r="D60" s="91"/>
      <c r="E60" s="91"/>
      <c r="F60" s="91"/>
      <c r="L60" s="50"/>
      <c r="M60" s="50"/>
      <c r="P60" s="91"/>
      <c r="Q60" s="91"/>
      <c r="Y60" s="50"/>
      <c r="Z60" s="50"/>
      <c r="AA60" s="50"/>
      <c r="AB60" s="50"/>
    </row>
    <row r="61">
      <c r="B61" s="162"/>
      <c r="C61" s="91"/>
      <c r="D61" s="91"/>
      <c r="E61" s="91"/>
      <c r="F61" s="91"/>
      <c r="L61" s="50"/>
      <c r="M61" s="50"/>
      <c r="P61" s="91"/>
      <c r="Q61" s="91"/>
      <c r="Y61" s="50"/>
      <c r="Z61" s="50"/>
      <c r="AA61" s="50"/>
      <c r="AB61" s="50"/>
    </row>
    <row r="62">
      <c r="B62" s="162"/>
      <c r="C62" s="91"/>
      <c r="D62" s="91"/>
      <c r="E62" s="91"/>
      <c r="F62" s="91"/>
      <c r="L62" s="50"/>
      <c r="M62" s="50"/>
      <c r="P62" s="91"/>
      <c r="Q62" s="91"/>
      <c r="Y62" s="50"/>
      <c r="Z62" s="50"/>
      <c r="AA62" s="50"/>
      <c r="AB62" s="50"/>
    </row>
    <row r="63">
      <c r="B63" s="162"/>
      <c r="C63" s="91"/>
      <c r="D63" s="91"/>
      <c r="E63" s="91"/>
      <c r="F63" s="91"/>
      <c r="L63" s="50"/>
      <c r="M63" s="50"/>
      <c r="P63" s="91"/>
      <c r="Q63" s="91"/>
      <c r="Y63" s="50"/>
      <c r="Z63" s="50"/>
      <c r="AA63" s="50"/>
      <c r="AB63" s="50"/>
    </row>
    <row r="64">
      <c r="B64" s="162"/>
      <c r="C64" s="91"/>
      <c r="D64" s="91"/>
      <c r="E64" s="91"/>
      <c r="F64" s="91"/>
      <c r="L64" s="50"/>
      <c r="M64" s="50"/>
      <c r="P64" s="91"/>
      <c r="Q64" s="91"/>
      <c r="Y64" s="50"/>
      <c r="Z64" s="50"/>
      <c r="AA64" s="50"/>
      <c r="AB64" s="50"/>
    </row>
    <row r="65">
      <c r="B65" s="162"/>
      <c r="C65" s="91"/>
      <c r="D65" s="91"/>
      <c r="E65" s="91"/>
      <c r="F65" s="91"/>
      <c r="L65" s="50"/>
      <c r="M65" s="50"/>
      <c r="P65" s="91"/>
      <c r="Q65" s="91"/>
      <c r="Y65" s="50"/>
      <c r="Z65" s="50"/>
      <c r="AA65" s="50"/>
      <c r="AB65" s="50"/>
    </row>
    <row r="66">
      <c r="B66" s="162"/>
      <c r="C66" s="91"/>
      <c r="D66" s="91"/>
      <c r="E66" s="91"/>
      <c r="F66" s="91"/>
      <c r="L66" s="50"/>
      <c r="M66" s="50"/>
      <c r="P66" s="91"/>
      <c r="Q66" s="91"/>
      <c r="Y66" s="50"/>
      <c r="Z66" s="50"/>
      <c r="AA66" s="50"/>
      <c r="AB66" s="50"/>
    </row>
    <row r="67">
      <c r="B67" s="162"/>
      <c r="C67" s="91"/>
      <c r="D67" s="91"/>
      <c r="E67" s="91"/>
      <c r="F67" s="91"/>
      <c r="L67" s="50"/>
      <c r="M67" s="50"/>
      <c r="P67" s="91"/>
      <c r="Q67" s="91"/>
      <c r="Y67" s="50"/>
      <c r="Z67" s="50"/>
      <c r="AA67" s="50"/>
      <c r="AB67" s="50"/>
    </row>
    <row r="68">
      <c r="B68" s="162"/>
      <c r="C68" s="91"/>
      <c r="D68" s="91"/>
      <c r="E68" s="91"/>
      <c r="F68" s="91"/>
      <c r="L68" s="50"/>
      <c r="M68" s="50"/>
      <c r="P68" s="91"/>
      <c r="Q68" s="91"/>
      <c r="Y68" s="50"/>
      <c r="Z68" s="50"/>
      <c r="AA68" s="50"/>
      <c r="AB68" s="50"/>
    </row>
    <row r="69">
      <c r="B69" s="162"/>
      <c r="C69" s="91"/>
      <c r="D69" s="91"/>
      <c r="E69" s="91"/>
      <c r="F69" s="91"/>
      <c r="L69" s="50"/>
      <c r="M69" s="50"/>
      <c r="P69" s="91"/>
      <c r="Q69" s="91"/>
      <c r="Y69" s="50"/>
      <c r="Z69" s="50"/>
      <c r="AA69" s="50"/>
      <c r="AB69" s="50"/>
    </row>
    <row r="70">
      <c r="B70" s="162"/>
      <c r="C70" s="91"/>
      <c r="D70" s="91"/>
      <c r="E70" s="91"/>
      <c r="F70" s="91"/>
      <c r="L70" s="50"/>
      <c r="M70" s="50"/>
      <c r="P70" s="91"/>
      <c r="Q70" s="91"/>
      <c r="Y70" s="50"/>
      <c r="Z70" s="50"/>
      <c r="AA70" s="50"/>
      <c r="AB70" s="50"/>
    </row>
    <row r="71">
      <c r="B71" s="162"/>
      <c r="C71" s="91"/>
      <c r="D71" s="91"/>
      <c r="E71" s="91"/>
      <c r="F71" s="91"/>
      <c r="L71" s="50"/>
      <c r="M71" s="50"/>
      <c r="P71" s="91"/>
      <c r="Q71" s="91"/>
      <c r="Y71" s="50"/>
      <c r="Z71" s="50"/>
      <c r="AA71" s="50"/>
      <c r="AB71" s="50"/>
    </row>
    <row r="72">
      <c r="B72" s="162"/>
      <c r="C72" s="91"/>
      <c r="D72" s="91"/>
      <c r="E72" s="91"/>
      <c r="F72" s="91"/>
      <c r="L72" s="50"/>
      <c r="M72" s="50"/>
      <c r="P72" s="91"/>
      <c r="Q72" s="91"/>
      <c r="Y72" s="50"/>
      <c r="Z72" s="50"/>
      <c r="AA72" s="50"/>
      <c r="AB72" s="50"/>
    </row>
    <row r="73">
      <c r="B73" s="162"/>
      <c r="C73" s="91"/>
      <c r="D73" s="91"/>
      <c r="E73" s="91"/>
      <c r="F73" s="91"/>
      <c r="L73" s="50"/>
      <c r="M73" s="50"/>
      <c r="P73" s="91"/>
      <c r="Q73" s="91"/>
      <c r="Y73" s="50"/>
      <c r="Z73" s="50"/>
      <c r="AA73" s="50"/>
      <c r="AB73" s="50"/>
    </row>
    <row r="74">
      <c r="B74" s="162"/>
      <c r="C74" s="91"/>
      <c r="D74" s="91"/>
      <c r="E74" s="91"/>
      <c r="F74" s="91"/>
      <c r="L74" s="50"/>
      <c r="M74" s="50"/>
      <c r="P74" s="91"/>
      <c r="Q74" s="91"/>
      <c r="Y74" s="50"/>
      <c r="Z74" s="50"/>
      <c r="AA74" s="50"/>
      <c r="AB74" s="50"/>
    </row>
    <row r="75">
      <c r="B75" s="162"/>
      <c r="C75" s="91"/>
      <c r="D75" s="91"/>
      <c r="E75" s="91"/>
      <c r="F75" s="91"/>
      <c r="L75" s="50"/>
      <c r="M75" s="50"/>
      <c r="P75" s="91"/>
      <c r="Q75" s="91"/>
      <c r="Y75" s="50"/>
      <c r="Z75" s="50"/>
      <c r="AA75" s="50"/>
      <c r="AB75" s="50"/>
    </row>
    <row r="76">
      <c r="B76" s="162"/>
      <c r="C76" s="91"/>
      <c r="D76" s="91"/>
      <c r="E76" s="91"/>
      <c r="F76" s="91"/>
      <c r="L76" s="50"/>
      <c r="M76" s="50"/>
      <c r="P76" s="91"/>
      <c r="Q76" s="91"/>
      <c r="Y76" s="50"/>
      <c r="Z76" s="50"/>
      <c r="AA76" s="50"/>
      <c r="AB76" s="50"/>
    </row>
    <row r="77">
      <c r="B77" s="162"/>
      <c r="C77" s="91"/>
      <c r="D77" s="91"/>
      <c r="E77" s="91"/>
      <c r="F77" s="91"/>
      <c r="L77" s="50"/>
      <c r="M77" s="50"/>
      <c r="P77" s="91"/>
      <c r="Q77" s="91"/>
      <c r="Y77" s="50"/>
      <c r="Z77" s="50"/>
      <c r="AA77" s="50"/>
      <c r="AB77" s="50"/>
    </row>
    <row r="78">
      <c r="B78" s="162"/>
      <c r="C78" s="91"/>
      <c r="D78" s="91"/>
      <c r="E78" s="91"/>
      <c r="F78" s="91"/>
      <c r="L78" s="50"/>
      <c r="M78" s="50"/>
      <c r="P78" s="91"/>
      <c r="Q78" s="91"/>
      <c r="Y78" s="50"/>
      <c r="Z78" s="50"/>
      <c r="AA78" s="50"/>
      <c r="AB78" s="50"/>
    </row>
    <row r="79">
      <c r="B79" s="162"/>
      <c r="C79" s="91"/>
      <c r="D79" s="91"/>
      <c r="E79" s="91"/>
      <c r="F79" s="91"/>
      <c r="L79" s="50"/>
      <c r="M79" s="50"/>
      <c r="P79" s="91"/>
      <c r="Q79" s="91"/>
      <c r="Y79" s="50"/>
      <c r="Z79" s="50"/>
      <c r="AA79" s="50"/>
      <c r="AB79" s="50"/>
    </row>
    <row r="80">
      <c r="B80" s="162"/>
      <c r="C80" s="91"/>
      <c r="D80" s="91"/>
      <c r="E80" s="91"/>
      <c r="F80" s="91"/>
      <c r="L80" s="50"/>
      <c r="M80" s="50"/>
      <c r="P80" s="91"/>
      <c r="Q80" s="91"/>
      <c r="Y80" s="50"/>
      <c r="Z80" s="50"/>
      <c r="AA80" s="50"/>
      <c r="AB80" s="50"/>
    </row>
    <row r="81">
      <c r="B81" s="162"/>
      <c r="C81" s="91"/>
      <c r="D81" s="91"/>
      <c r="E81" s="91"/>
      <c r="F81" s="91"/>
      <c r="L81" s="50"/>
      <c r="M81" s="50"/>
      <c r="P81" s="91"/>
      <c r="Q81" s="91"/>
      <c r="Y81" s="50"/>
      <c r="Z81" s="50"/>
      <c r="AA81" s="50"/>
      <c r="AB81" s="50"/>
    </row>
    <row r="82">
      <c r="B82" s="162"/>
      <c r="C82" s="91"/>
      <c r="D82" s="91"/>
      <c r="E82" s="91"/>
      <c r="F82" s="91"/>
      <c r="L82" s="50"/>
      <c r="M82" s="50"/>
      <c r="P82" s="91"/>
      <c r="Q82" s="91"/>
      <c r="Y82" s="50"/>
      <c r="Z82" s="50"/>
      <c r="AA82" s="50"/>
      <c r="AB82" s="50"/>
    </row>
    <row r="83">
      <c r="B83" s="162"/>
      <c r="C83" s="91"/>
      <c r="D83" s="91"/>
      <c r="E83" s="91"/>
      <c r="F83" s="91"/>
      <c r="L83" s="50"/>
      <c r="M83" s="50"/>
      <c r="P83" s="91"/>
      <c r="Q83" s="91"/>
      <c r="Y83" s="50"/>
      <c r="Z83" s="50"/>
      <c r="AA83" s="50"/>
      <c r="AB83" s="50"/>
    </row>
    <row r="84">
      <c r="B84" s="162"/>
      <c r="C84" s="91"/>
      <c r="D84" s="91"/>
      <c r="E84" s="91"/>
      <c r="F84" s="91"/>
      <c r="L84" s="50"/>
      <c r="M84" s="50"/>
      <c r="P84" s="91"/>
      <c r="Q84" s="91"/>
      <c r="Y84" s="50"/>
      <c r="Z84" s="50"/>
      <c r="AA84" s="50"/>
      <c r="AB84" s="50"/>
    </row>
    <row r="85">
      <c r="B85" s="162"/>
      <c r="C85" s="91"/>
      <c r="D85" s="91"/>
      <c r="E85" s="91"/>
      <c r="F85" s="91"/>
      <c r="L85" s="50"/>
      <c r="M85" s="50"/>
      <c r="P85" s="91"/>
      <c r="Q85" s="91"/>
      <c r="Y85" s="50"/>
      <c r="Z85" s="50"/>
      <c r="AA85" s="50"/>
      <c r="AB85" s="50"/>
    </row>
    <row r="86">
      <c r="B86" s="162"/>
      <c r="C86" s="91"/>
      <c r="D86" s="91"/>
      <c r="E86" s="91"/>
      <c r="F86" s="91"/>
      <c r="L86" s="50"/>
      <c r="M86" s="50"/>
      <c r="P86" s="91"/>
      <c r="Q86" s="91"/>
      <c r="Y86" s="50"/>
      <c r="Z86" s="50"/>
      <c r="AA86" s="50"/>
      <c r="AB86" s="50"/>
    </row>
    <row r="87">
      <c r="B87" s="162"/>
      <c r="C87" s="91"/>
      <c r="D87" s="91"/>
      <c r="E87" s="91"/>
      <c r="F87" s="91"/>
      <c r="L87" s="50"/>
      <c r="M87" s="50"/>
      <c r="P87" s="91"/>
      <c r="Q87" s="91"/>
      <c r="Y87" s="50"/>
      <c r="Z87" s="50"/>
      <c r="AA87" s="50"/>
      <c r="AB87" s="50"/>
    </row>
    <row r="88">
      <c r="B88" s="162"/>
      <c r="C88" s="91"/>
      <c r="D88" s="91"/>
      <c r="E88" s="91"/>
      <c r="F88" s="91"/>
      <c r="L88" s="50"/>
      <c r="M88" s="50"/>
      <c r="P88" s="91"/>
      <c r="Q88" s="91"/>
      <c r="Y88" s="50"/>
      <c r="Z88" s="50"/>
      <c r="AA88" s="50"/>
      <c r="AB88" s="50"/>
    </row>
    <row r="89">
      <c r="B89" s="162"/>
      <c r="C89" s="91"/>
      <c r="D89" s="91"/>
      <c r="E89" s="91"/>
      <c r="F89" s="91"/>
      <c r="L89" s="50"/>
      <c r="M89" s="50"/>
      <c r="P89" s="91"/>
      <c r="Q89" s="91"/>
      <c r="Y89" s="50"/>
      <c r="Z89" s="50"/>
      <c r="AA89" s="50"/>
      <c r="AB89" s="50"/>
    </row>
    <row r="90">
      <c r="B90" s="162"/>
      <c r="C90" s="91"/>
      <c r="D90" s="91"/>
      <c r="E90" s="91"/>
      <c r="F90" s="91"/>
      <c r="L90" s="50"/>
      <c r="M90" s="50"/>
      <c r="P90" s="91"/>
      <c r="Q90" s="91"/>
      <c r="Y90" s="50"/>
      <c r="Z90" s="50"/>
      <c r="AA90" s="50"/>
      <c r="AB90" s="50"/>
    </row>
    <row r="91">
      <c r="B91" s="162"/>
      <c r="C91" s="91"/>
      <c r="D91" s="91"/>
      <c r="E91" s="91"/>
      <c r="F91" s="91"/>
      <c r="L91" s="50"/>
      <c r="M91" s="50"/>
      <c r="P91" s="91"/>
      <c r="Q91" s="91"/>
      <c r="Y91" s="50"/>
      <c r="Z91" s="50"/>
      <c r="AA91" s="50"/>
      <c r="AB91" s="50"/>
    </row>
    <row r="92">
      <c r="B92" s="162"/>
      <c r="C92" s="91"/>
      <c r="D92" s="91"/>
      <c r="E92" s="91"/>
      <c r="F92" s="91"/>
      <c r="L92" s="50"/>
      <c r="M92" s="50"/>
      <c r="P92" s="91"/>
      <c r="Q92" s="91"/>
      <c r="Y92" s="50"/>
      <c r="Z92" s="50"/>
      <c r="AA92" s="50"/>
      <c r="AB92" s="50"/>
    </row>
    <row r="93">
      <c r="B93" s="162"/>
      <c r="C93" s="91"/>
      <c r="D93" s="91"/>
      <c r="E93" s="91"/>
      <c r="F93" s="91"/>
      <c r="L93" s="50"/>
      <c r="M93" s="50"/>
      <c r="P93" s="91"/>
      <c r="Q93" s="91"/>
      <c r="Y93" s="50"/>
      <c r="Z93" s="50"/>
      <c r="AA93" s="50"/>
      <c r="AB93" s="50"/>
    </row>
    <row r="94">
      <c r="B94" s="162"/>
      <c r="C94" s="91"/>
      <c r="D94" s="91"/>
      <c r="E94" s="91"/>
      <c r="F94" s="91"/>
      <c r="L94" s="50"/>
      <c r="M94" s="50"/>
      <c r="P94" s="91"/>
      <c r="Q94" s="91"/>
      <c r="Y94" s="50"/>
      <c r="Z94" s="50"/>
      <c r="AA94" s="50"/>
      <c r="AB94" s="50"/>
    </row>
    <row r="95">
      <c r="B95" s="162"/>
      <c r="C95" s="91"/>
      <c r="D95" s="91"/>
      <c r="E95" s="91"/>
      <c r="F95" s="91"/>
      <c r="L95" s="50"/>
      <c r="M95" s="50"/>
      <c r="P95" s="91"/>
      <c r="Q95" s="91"/>
      <c r="Y95" s="50"/>
      <c r="Z95" s="50"/>
      <c r="AA95" s="50"/>
      <c r="AB95" s="50"/>
    </row>
    <row r="96">
      <c r="B96" s="162"/>
      <c r="C96" s="91"/>
      <c r="D96" s="91"/>
      <c r="E96" s="91"/>
      <c r="F96" s="91"/>
      <c r="L96" s="50"/>
      <c r="M96" s="50"/>
      <c r="P96" s="91"/>
      <c r="Q96" s="91"/>
      <c r="Y96" s="50"/>
      <c r="Z96" s="50"/>
      <c r="AA96" s="50"/>
      <c r="AB96" s="50"/>
    </row>
    <row r="97">
      <c r="B97" s="162"/>
      <c r="C97" s="91"/>
      <c r="D97" s="91"/>
      <c r="E97" s="91"/>
      <c r="F97" s="91"/>
      <c r="L97" s="50"/>
      <c r="M97" s="50"/>
      <c r="P97" s="91"/>
      <c r="Q97" s="91"/>
      <c r="Y97" s="50"/>
      <c r="Z97" s="50"/>
      <c r="AA97" s="50"/>
      <c r="AB97" s="50"/>
    </row>
    <row r="98">
      <c r="B98" s="162"/>
      <c r="C98" s="91"/>
      <c r="D98" s="91"/>
      <c r="E98" s="91"/>
      <c r="F98" s="91"/>
      <c r="L98" s="50"/>
      <c r="M98" s="50"/>
      <c r="P98" s="91"/>
      <c r="Q98" s="91"/>
      <c r="Y98" s="50"/>
      <c r="Z98" s="50"/>
      <c r="AA98" s="50"/>
      <c r="AB98" s="50"/>
    </row>
    <row r="99">
      <c r="B99" s="162"/>
      <c r="C99" s="91"/>
      <c r="D99" s="91"/>
      <c r="E99" s="91"/>
      <c r="F99" s="91"/>
      <c r="L99" s="50"/>
      <c r="M99" s="50"/>
      <c r="P99" s="91"/>
      <c r="Q99" s="91"/>
      <c r="Y99" s="50"/>
      <c r="Z99" s="50"/>
      <c r="AA99" s="50"/>
      <c r="AB99" s="50"/>
    </row>
    <row r="100">
      <c r="B100" s="162"/>
      <c r="C100" s="91"/>
      <c r="D100" s="91"/>
      <c r="E100" s="91"/>
      <c r="F100" s="91"/>
      <c r="L100" s="50"/>
      <c r="M100" s="50"/>
      <c r="P100" s="91"/>
      <c r="Q100" s="91"/>
      <c r="Y100" s="50"/>
      <c r="Z100" s="50"/>
      <c r="AA100" s="50"/>
      <c r="AB100" s="50"/>
    </row>
    <row r="101">
      <c r="B101" s="162"/>
      <c r="C101" s="91"/>
      <c r="D101" s="91"/>
      <c r="E101" s="91"/>
      <c r="F101" s="91"/>
      <c r="L101" s="50"/>
      <c r="M101" s="50"/>
      <c r="P101" s="91"/>
      <c r="Q101" s="91"/>
      <c r="Y101" s="50"/>
      <c r="Z101" s="50"/>
      <c r="AA101" s="50"/>
      <c r="AB101" s="50"/>
    </row>
    <row r="102">
      <c r="B102" s="162"/>
      <c r="C102" s="91"/>
      <c r="D102" s="91"/>
      <c r="E102" s="91"/>
      <c r="F102" s="91"/>
      <c r="L102" s="50"/>
      <c r="M102" s="50"/>
      <c r="P102" s="91"/>
      <c r="Q102" s="91"/>
      <c r="Y102" s="50"/>
      <c r="Z102" s="50"/>
      <c r="AA102" s="50"/>
      <c r="AB102" s="50"/>
    </row>
    <row r="103">
      <c r="B103" s="162"/>
      <c r="C103" s="91"/>
      <c r="D103" s="91"/>
      <c r="E103" s="91"/>
      <c r="F103" s="91"/>
      <c r="L103" s="50"/>
      <c r="M103" s="50"/>
      <c r="P103" s="91"/>
      <c r="Q103" s="91"/>
      <c r="Y103" s="50"/>
      <c r="Z103" s="50"/>
      <c r="AA103" s="50"/>
      <c r="AB103" s="50"/>
    </row>
    <row r="104">
      <c r="B104" s="162"/>
      <c r="C104" s="91"/>
      <c r="D104" s="91"/>
      <c r="E104" s="91"/>
      <c r="F104" s="91"/>
      <c r="L104" s="50"/>
      <c r="M104" s="50"/>
      <c r="P104" s="91"/>
      <c r="Q104" s="91"/>
      <c r="Y104" s="50"/>
      <c r="Z104" s="50"/>
      <c r="AA104" s="50"/>
      <c r="AB104" s="50"/>
    </row>
    <row r="105">
      <c r="B105" s="162"/>
      <c r="C105" s="91"/>
      <c r="D105" s="91"/>
      <c r="E105" s="91"/>
      <c r="F105" s="91"/>
      <c r="L105" s="50"/>
      <c r="M105" s="50"/>
      <c r="P105" s="91"/>
      <c r="Q105" s="91"/>
      <c r="Y105" s="50"/>
      <c r="Z105" s="50"/>
      <c r="AA105" s="50"/>
      <c r="AB105" s="50"/>
    </row>
    <row r="106">
      <c r="B106" s="162"/>
      <c r="C106" s="91"/>
      <c r="D106" s="91"/>
      <c r="E106" s="91"/>
      <c r="F106" s="91"/>
      <c r="L106" s="50"/>
      <c r="M106" s="50"/>
      <c r="P106" s="91"/>
      <c r="Q106" s="91"/>
      <c r="Y106" s="50"/>
      <c r="Z106" s="50"/>
      <c r="AA106" s="50"/>
      <c r="AB106" s="50"/>
    </row>
    <row r="107">
      <c r="B107" s="162"/>
      <c r="C107" s="91"/>
      <c r="D107" s="91"/>
      <c r="E107" s="91"/>
      <c r="F107" s="91"/>
      <c r="L107" s="50"/>
      <c r="M107" s="50"/>
      <c r="P107" s="91"/>
      <c r="Q107" s="91"/>
      <c r="Y107" s="50"/>
      <c r="Z107" s="50"/>
      <c r="AA107" s="50"/>
      <c r="AB107" s="50"/>
    </row>
    <row r="108">
      <c r="B108" s="162"/>
      <c r="C108" s="91"/>
      <c r="D108" s="91"/>
      <c r="E108" s="91"/>
      <c r="F108" s="91"/>
      <c r="L108" s="50"/>
      <c r="M108" s="50"/>
      <c r="P108" s="91"/>
      <c r="Q108" s="91"/>
      <c r="Y108" s="50"/>
      <c r="Z108" s="50"/>
      <c r="AA108" s="50"/>
      <c r="AB108" s="50"/>
    </row>
    <row r="109">
      <c r="B109" s="162"/>
      <c r="C109" s="91"/>
      <c r="D109" s="91"/>
      <c r="E109" s="91"/>
      <c r="F109" s="91"/>
      <c r="L109" s="50"/>
      <c r="M109" s="50"/>
      <c r="P109" s="91"/>
      <c r="Q109" s="91"/>
      <c r="Y109" s="50"/>
      <c r="Z109" s="50"/>
      <c r="AA109" s="50"/>
      <c r="AB109" s="50"/>
    </row>
    <row r="110">
      <c r="B110" s="162"/>
      <c r="C110" s="91"/>
      <c r="D110" s="91"/>
      <c r="E110" s="91"/>
      <c r="F110" s="91"/>
      <c r="L110" s="50"/>
      <c r="M110" s="50"/>
      <c r="P110" s="91"/>
      <c r="Q110" s="91"/>
      <c r="Y110" s="50"/>
      <c r="Z110" s="50"/>
      <c r="AA110" s="50"/>
      <c r="AB110" s="50"/>
    </row>
    <row r="111">
      <c r="B111" s="162"/>
      <c r="C111" s="91"/>
      <c r="D111" s="91"/>
      <c r="E111" s="91"/>
      <c r="F111" s="91"/>
      <c r="L111" s="50"/>
      <c r="M111" s="50"/>
      <c r="P111" s="91"/>
      <c r="Q111" s="91"/>
      <c r="Y111" s="50"/>
      <c r="Z111" s="50"/>
      <c r="AA111" s="50"/>
      <c r="AB111" s="50"/>
    </row>
    <row r="112">
      <c r="B112" s="162"/>
      <c r="C112" s="91"/>
      <c r="D112" s="91"/>
      <c r="E112" s="91"/>
      <c r="F112" s="91"/>
      <c r="L112" s="50"/>
      <c r="M112" s="50"/>
      <c r="P112" s="91"/>
      <c r="Q112" s="91"/>
      <c r="Y112" s="50"/>
      <c r="Z112" s="50"/>
      <c r="AA112" s="50"/>
      <c r="AB112" s="50"/>
    </row>
    <row r="113">
      <c r="B113" s="162"/>
      <c r="C113" s="91"/>
      <c r="D113" s="91"/>
      <c r="E113" s="91"/>
      <c r="F113" s="91"/>
      <c r="L113" s="50"/>
      <c r="M113" s="50"/>
      <c r="P113" s="91"/>
      <c r="Q113" s="91"/>
      <c r="Y113" s="50"/>
      <c r="Z113" s="50"/>
      <c r="AA113" s="50"/>
      <c r="AB113" s="50"/>
    </row>
    <row r="114">
      <c r="B114" s="162"/>
      <c r="C114" s="91"/>
      <c r="D114" s="91"/>
      <c r="E114" s="91"/>
      <c r="F114" s="91"/>
      <c r="L114" s="50"/>
      <c r="M114" s="50"/>
      <c r="P114" s="91"/>
      <c r="Q114" s="91"/>
      <c r="Y114" s="50"/>
      <c r="Z114" s="50"/>
      <c r="AA114" s="50"/>
      <c r="AB114" s="50"/>
    </row>
    <row r="115">
      <c r="B115" s="162"/>
      <c r="C115" s="91"/>
      <c r="D115" s="91"/>
      <c r="E115" s="91"/>
      <c r="F115" s="91"/>
      <c r="L115" s="50"/>
      <c r="M115" s="50"/>
      <c r="P115" s="91"/>
      <c r="Q115" s="91"/>
      <c r="Y115" s="50"/>
      <c r="Z115" s="50"/>
      <c r="AA115" s="50"/>
      <c r="AB115" s="50"/>
    </row>
    <row r="116">
      <c r="B116" s="162"/>
      <c r="C116" s="91"/>
      <c r="D116" s="91"/>
      <c r="E116" s="91"/>
      <c r="F116" s="91"/>
      <c r="L116" s="50"/>
      <c r="M116" s="50"/>
      <c r="P116" s="91"/>
      <c r="Q116" s="91"/>
      <c r="Y116" s="50"/>
      <c r="Z116" s="50"/>
      <c r="AA116" s="50"/>
      <c r="AB116" s="50"/>
    </row>
    <row r="117">
      <c r="B117" s="162"/>
      <c r="C117" s="91"/>
      <c r="D117" s="91"/>
      <c r="E117" s="91"/>
      <c r="F117" s="91"/>
      <c r="L117" s="50"/>
      <c r="M117" s="50"/>
      <c r="P117" s="91"/>
      <c r="Q117" s="91"/>
      <c r="Y117" s="50"/>
      <c r="Z117" s="50"/>
      <c r="AA117" s="50"/>
      <c r="AB117" s="50"/>
    </row>
    <row r="118">
      <c r="B118" s="162"/>
      <c r="C118" s="91"/>
      <c r="D118" s="91"/>
      <c r="E118" s="51" t="s">
        <v>194</v>
      </c>
      <c r="F118" s="91"/>
      <c r="L118" s="50"/>
      <c r="M118" s="50"/>
      <c r="P118" s="91"/>
      <c r="Q118" s="91"/>
      <c r="Y118" s="50"/>
      <c r="Z118" s="50"/>
      <c r="AA118" s="50"/>
      <c r="AB118" s="50"/>
    </row>
    <row r="119">
      <c r="B119" s="162"/>
      <c r="C119" s="91"/>
      <c r="D119" s="91"/>
      <c r="E119" s="51" t="s">
        <v>243</v>
      </c>
      <c r="F119" s="91"/>
      <c r="L119" s="50"/>
      <c r="M119" s="50"/>
      <c r="P119" s="91"/>
      <c r="Q119" s="91"/>
      <c r="Y119" s="50"/>
      <c r="Z119" s="50"/>
      <c r="AA119" s="50"/>
      <c r="AB119" s="50"/>
    </row>
    <row r="120">
      <c r="B120" s="162"/>
      <c r="C120" s="91"/>
      <c r="D120" s="91"/>
      <c r="E120" s="51" t="s">
        <v>244</v>
      </c>
      <c r="F120" s="91"/>
      <c r="L120" s="50"/>
      <c r="M120" s="50"/>
      <c r="P120" s="91"/>
      <c r="Q120" s="91"/>
      <c r="Y120" s="50"/>
      <c r="Z120" s="50"/>
      <c r="AA120" s="50"/>
      <c r="AB120" s="50"/>
    </row>
    <row r="121">
      <c r="B121" s="162"/>
      <c r="C121" s="91"/>
      <c r="D121" s="91"/>
      <c r="E121" s="51" t="s">
        <v>241</v>
      </c>
      <c r="F121" s="91"/>
      <c r="L121" s="50"/>
      <c r="M121" s="50"/>
      <c r="P121" s="91"/>
      <c r="Q121" s="91"/>
      <c r="Y121" s="50"/>
      <c r="Z121" s="50"/>
      <c r="AA121" s="50"/>
      <c r="AB121" s="50"/>
    </row>
    <row r="122">
      <c r="B122" s="162"/>
      <c r="C122" s="91"/>
      <c r="D122" s="91"/>
      <c r="E122" s="51" t="s">
        <v>259</v>
      </c>
      <c r="F122" s="91"/>
      <c r="L122" s="50"/>
      <c r="M122" s="50"/>
      <c r="P122" s="91"/>
      <c r="Q122" s="91"/>
      <c r="Y122" s="50"/>
      <c r="Z122" s="50"/>
      <c r="AA122" s="50"/>
      <c r="AB122" s="50"/>
    </row>
    <row r="123">
      <c r="B123" s="162"/>
      <c r="C123" s="91"/>
      <c r="D123" s="91"/>
      <c r="E123" s="51" t="s">
        <v>260</v>
      </c>
      <c r="F123" s="91"/>
      <c r="L123" s="50"/>
      <c r="M123" s="50"/>
      <c r="P123" s="91"/>
      <c r="Q123" s="91"/>
      <c r="Y123" s="50"/>
      <c r="Z123" s="50"/>
      <c r="AA123" s="50"/>
      <c r="AB123" s="50"/>
    </row>
    <row r="124">
      <c r="B124" s="162"/>
      <c r="C124" s="91"/>
      <c r="D124" s="91"/>
      <c r="F124" s="91"/>
      <c r="L124" s="50"/>
      <c r="M124" s="50"/>
      <c r="P124" s="91"/>
      <c r="Q124" s="91"/>
      <c r="Y124" s="50"/>
      <c r="Z124" s="50"/>
      <c r="AA124" s="50"/>
      <c r="AB124" s="50"/>
    </row>
    <row r="125">
      <c r="B125" s="162"/>
      <c r="C125" s="91"/>
      <c r="D125" s="91"/>
      <c r="F125" s="91"/>
      <c r="L125" s="50"/>
      <c r="M125" s="50"/>
      <c r="P125" s="91"/>
      <c r="Q125" s="91"/>
      <c r="Y125" s="50"/>
      <c r="Z125" s="50"/>
      <c r="AA125" s="50"/>
      <c r="AB125" s="50"/>
    </row>
    <row r="126">
      <c r="B126" s="162"/>
      <c r="C126" s="91"/>
      <c r="D126" s="91"/>
      <c r="E126" s="91"/>
      <c r="F126" s="91"/>
      <c r="L126" s="50"/>
      <c r="M126" s="50"/>
      <c r="P126" s="91"/>
      <c r="Q126" s="91"/>
      <c r="Y126" s="50"/>
      <c r="Z126" s="50"/>
      <c r="AA126" s="50"/>
      <c r="AB126" s="50"/>
    </row>
    <row r="127">
      <c r="B127" s="162"/>
      <c r="C127" s="91"/>
      <c r="D127" s="91"/>
      <c r="E127" s="91"/>
      <c r="F127" s="91"/>
      <c r="L127" s="50"/>
      <c r="M127" s="50"/>
      <c r="P127" s="91"/>
      <c r="Q127" s="91"/>
      <c r="Y127" s="50"/>
      <c r="Z127" s="50"/>
      <c r="AA127" s="50"/>
      <c r="AB127" s="50"/>
    </row>
    <row r="128">
      <c r="B128" s="162"/>
      <c r="C128" s="91"/>
      <c r="D128" s="91"/>
      <c r="E128" s="91"/>
      <c r="F128" s="91"/>
      <c r="L128" s="50"/>
      <c r="M128" s="50"/>
      <c r="P128" s="91"/>
      <c r="Q128" s="91"/>
      <c r="Y128" s="50"/>
      <c r="Z128" s="50"/>
      <c r="AA128" s="50"/>
      <c r="AB128" s="50"/>
    </row>
    <row r="129">
      <c r="B129" s="162"/>
      <c r="C129" s="91"/>
      <c r="D129" s="91"/>
      <c r="E129" s="91"/>
      <c r="F129" s="91"/>
      <c r="L129" s="50"/>
      <c r="M129" s="50"/>
      <c r="P129" s="91"/>
      <c r="Q129" s="91"/>
      <c r="Y129" s="50"/>
      <c r="Z129" s="50"/>
      <c r="AA129" s="50"/>
      <c r="AB129" s="50"/>
    </row>
    <row r="130">
      <c r="B130" s="162"/>
      <c r="C130" s="91"/>
      <c r="D130" s="91"/>
      <c r="E130" s="91"/>
      <c r="F130" s="91"/>
      <c r="L130" s="50"/>
      <c r="M130" s="50"/>
      <c r="P130" s="91"/>
      <c r="Q130" s="91"/>
      <c r="Y130" s="50"/>
      <c r="Z130" s="50"/>
      <c r="AA130" s="50"/>
      <c r="AB130" s="50"/>
    </row>
    <row r="131">
      <c r="B131" s="162"/>
      <c r="C131" s="91"/>
      <c r="D131" s="91"/>
      <c r="E131" s="91"/>
      <c r="F131" s="91"/>
      <c r="L131" s="50"/>
      <c r="M131" s="50"/>
      <c r="P131" s="91"/>
      <c r="Q131" s="91"/>
      <c r="Y131" s="50"/>
      <c r="Z131" s="50"/>
      <c r="AA131" s="50"/>
      <c r="AB131" s="50"/>
    </row>
    <row r="132">
      <c r="B132" s="162"/>
      <c r="C132" s="91"/>
      <c r="D132" s="91"/>
      <c r="E132" s="91"/>
      <c r="F132" s="91"/>
      <c r="L132" s="50"/>
      <c r="M132" s="50"/>
      <c r="P132" s="91"/>
      <c r="Q132" s="91"/>
      <c r="Y132" s="50"/>
      <c r="Z132" s="50"/>
      <c r="AA132" s="50"/>
      <c r="AB132" s="50"/>
    </row>
    <row r="133">
      <c r="B133" s="162"/>
      <c r="C133" s="91"/>
      <c r="D133" s="91"/>
      <c r="E133" s="91"/>
      <c r="F133" s="91"/>
      <c r="L133" s="50"/>
      <c r="M133" s="50"/>
      <c r="P133" s="91"/>
      <c r="Q133" s="91"/>
      <c r="Y133" s="50"/>
      <c r="Z133" s="50"/>
      <c r="AA133" s="50"/>
      <c r="AB133" s="50"/>
    </row>
    <row r="134">
      <c r="B134" s="162"/>
      <c r="C134" s="91"/>
      <c r="D134" s="91"/>
      <c r="E134" s="91"/>
      <c r="F134" s="91"/>
      <c r="L134" s="50"/>
      <c r="M134" s="50"/>
      <c r="P134" s="91"/>
      <c r="Q134" s="91"/>
      <c r="Y134" s="50"/>
      <c r="Z134" s="50"/>
      <c r="AA134" s="50"/>
      <c r="AB134" s="50"/>
    </row>
    <row r="135">
      <c r="B135" s="162"/>
      <c r="C135" s="91"/>
      <c r="D135" s="91"/>
      <c r="E135" s="91"/>
      <c r="F135" s="91"/>
      <c r="L135" s="50"/>
      <c r="M135" s="50"/>
      <c r="P135" s="91"/>
      <c r="Q135" s="91"/>
      <c r="Y135" s="50"/>
      <c r="Z135" s="50"/>
      <c r="AA135" s="50"/>
      <c r="AB135" s="50"/>
    </row>
    <row r="136">
      <c r="B136" s="162"/>
      <c r="C136" s="91"/>
      <c r="D136" s="91"/>
      <c r="E136" s="91"/>
      <c r="F136" s="91"/>
      <c r="L136" s="50"/>
      <c r="M136" s="50"/>
      <c r="P136" s="91"/>
      <c r="Q136" s="91"/>
      <c r="Y136" s="50"/>
      <c r="Z136" s="50"/>
      <c r="AA136" s="50"/>
      <c r="AB136" s="50"/>
    </row>
    <row r="137">
      <c r="B137" s="162"/>
      <c r="C137" s="91"/>
      <c r="D137" s="91"/>
      <c r="E137" s="91"/>
      <c r="F137" s="91"/>
      <c r="L137" s="50"/>
      <c r="M137" s="50"/>
      <c r="P137" s="91"/>
      <c r="Q137" s="91"/>
      <c r="Y137" s="50"/>
      <c r="Z137" s="50"/>
      <c r="AA137" s="50"/>
      <c r="AB137" s="50"/>
    </row>
    <row r="138">
      <c r="B138" s="162"/>
      <c r="C138" s="91"/>
      <c r="D138" s="91"/>
      <c r="E138" s="91"/>
      <c r="F138" s="91"/>
      <c r="L138" s="50"/>
      <c r="M138" s="50"/>
      <c r="P138" s="91"/>
      <c r="Q138" s="91"/>
      <c r="Y138" s="50"/>
      <c r="Z138" s="50"/>
      <c r="AA138" s="50"/>
      <c r="AB138" s="50"/>
    </row>
    <row r="139">
      <c r="B139" s="162"/>
      <c r="C139" s="91"/>
      <c r="D139" s="91"/>
      <c r="E139" s="91"/>
      <c r="F139" s="91"/>
      <c r="L139" s="50"/>
      <c r="M139" s="50"/>
      <c r="P139" s="91"/>
      <c r="Q139" s="91"/>
      <c r="Y139" s="50"/>
      <c r="Z139" s="50"/>
      <c r="AA139" s="50"/>
      <c r="AB139" s="50"/>
    </row>
    <row r="140">
      <c r="B140" s="162"/>
      <c r="C140" s="91"/>
      <c r="D140" s="91"/>
      <c r="E140" s="91"/>
      <c r="F140" s="91"/>
      <c r="L140" s="50"/>
      <c r="M140" s="50"/>
      <c r="P140" s="91"/>
      <c r="Q140" s="91"/>
      <c r="Y140" s="50"/>
      <c r="Z140" s="50"/>
      <c r="AA140" s="50"/>
      <c r="AB140" s="50"/>
    </row>
    <row r="141">
      <c r="B141" s="162"/>
      <c r="C141" s="91"/>
      <c r="D141" s="91"/>
      <c r="E141" s="91"/>
      <c r="F141" s="91"/>
      <c r="L141" s="50"/>
      <c r="M141" s="50"/>
      <c r="P141" s="91"/>
      <c r="Q141" s="91"/>
      <c r="Y141" s="50"/>
      <c r="Z141" s="50"/>
      <c r="AA141" s="50"/>
      <c r="AB141" s="50"/>
    </row>
    <row r="142">
      <c r="B142" s="162"/>
      <c r="C142" s="91"/>
      <c r="D142" s="91"/>
      <c r="E142" s="91"/>
      <c r="F142" s="91"/>
      <c r="L142" s="50"/>
      <c r="M142" s="50"/>
      <c r="P142" s="91"/>
      <c r="Q142" s="91"/>
      <c r="Y142" s="50"/>
      <c r="Z142" s="50"/>
      <c r="AA142" s="50"/>
      <c r="AB142" s="50"/>
    </row>
    <row r="143">
      <c r="B143" s="162"/>
      <c r="C143" s="91"/>
      <c r="D143" s="91"/>
      <c r="E143" s="91"/>
      <c r="F143" s="91"/>
      <c r="L143" s="50"/>
      <c r="M143" s="50"/>
      <c r="P143" s="91"/>
      <c r="Q143" s="91"/>
      <c r="Y143" s="50"/>
      <c r="Z143" s="50"/>
      <c r="AA143" s="50"/>
      <c r="AB143" s="50"/>
    </row>
    <row r="144">
      <c r="B144" s="162"/>
      <c r="C144" s="91"/>
      <c r="D144" s="91"/>
      <c r="E144" s="91"/>
      <c r="F144" s="91"/>
      <c r="L144" s="50"/>
      <c r="M144" s="50"/>
      <c r="P144" s="91"/>
      <c r="Q144" s="91"/>
      <c r="Y144" s="50"/>
      <c r="Z144" s="50"/>
      <c r="AA144" s="50"/>
      <c r="AB144" s="50"/>
    </row>
    <row r="145">
      <c r="B145" s="162"/>
      <c r="C145" s="91"/>
      <c r="D145" s="91"/>
      <c r="E145" s="91"/>
      <c r="F145" s="91"/>
      <c r="L145" s="50"/>
      <c r="M145" s="50"/>
      <c r="P145" s="91"/>
      <c r="Q145" s="91"/>
      <c r="Y145" s="50"/>
      <c r="Z145" s="50"/>
      <c r="AA145" s="50"/>
      <c r="AB145" s="50"/>
    </row>
    <row r="146">
      <c r="B146" s="162"/>
      <c r="C146" s="91"/>
      <c r="D146" s="91"/>
      <c r="E146" s="91"/>
      <c r="F146" s="91"/>
      <c r="L146" s="50"/>
      <c r="M146" s="50"/>
      <c r="P146" s="91"/>
      <c r="Q146" s="91"/>
      <c r="Y146" s="50"/>
      <c r="Z146" s="50"/>
      <c r="AA146" s="50"/>
      <c r="AB146" s="50"/>
    </row>
    <row r="147">
      <c r="B147" s="162"/>
      <c r="C147" s="91"/>
      <c r="D147" s="91"/>
      <c r="E147" s="91"/>
      <c r="F147" s="91"/>
      <c r="L147" s="50"/>
      <c r="M147" s="50"/>
      <c r="P147" s="91"/>
      <c r="Q147" s="91"/>
      <c r="Y147" s="50"/>
      <c r="Z147" s="50"/>
      <c r="AA147" s="50"/>
      <c r="AB147" s="50"/>
    </row>
    <row r="148">
      <c r="B148" s="162"/>
      <c r="C148" s="91"/>
      <c r="D148" s="91"/>
      <c r="E148" s="91"/>
      <c r="F148" s="91"/>
      <c r="L148" s="50"/>
      <c r="M148" s="50"/>
      <c r="P148" s="91"/>
      <c r="Q148" s="91"/>
      <c r="Y148" s="50"/>
      <c r="Z148" s="50"/>
      <c r="AA148" s="50"/>
      <c r="AB148" s="50"/>
    </row>
    <row r="149">
      <c r="B149" s="162"/>
      <c r="C149" s="91"/>
      <c r="D149" s="91"/>
      <c r="E149" s="91"/>
      <c r="F149" s="91"/>
      <c r="L149" s="50"/>
      <c r="M149" s="50"/>
      <c r="P149" s="91"/>
      <c r="Q149" s="91"/>
      <c r="Y149" s="50"/>
      <c r="Z149" s="50"/>
      <c r="AA149" s="50"/>
      <c r="AB149" s="50"/>
    </row>
    <row r="150">
      <c r="B150" s="162"/>
      <c r="C150" s="91"/>
      <c r="D150" s="91"/>
      <c r="E150" s="91"/>
      <c r="F150" s="91"/>
      <c r="L150" s="50"/>
      <c r="M150" s="50"/>
      <c r="P150" s="91"/>
      <c r="Q150" s="91"/>
      <c r="Y150" s="50"/>
      <c r="Z150" s="50"/>
      <c r="AA150" s="50"/>
      <c r="AB150" s="50"/>
    </row>
    <row r="151">
      <c r="B151" s="162"/>
      <c r="C151" s="91"/>
      <c r="D151" s="91"/>
      <c r="E151" s="91"/>
      <c r="F151" s="91"/>
      <c r="L151" s="50"/>
      <c r="M151" s="50"/>
      <c r="P151" s="91"/>
      <c r="Q151" s="91"/>
      <c r="Y151" s="50"/>
      <c r="Z151" s="50"/>
      <c r="AA151" s="50"/>
      <c r="AB151" s="50"/>
    </row>
    <row r="152">
      <c r="B152" s="162"/>
      <c r="C152" s="91"/>
      <c r="D152" s="91"/>
      <c r="E152" s="91"/>
      <c r="F152" s="91"/>
      <c r="L152" s="50"/>
      <c r="M152" s="50"/>
      <c r="P152" s="91"/>
      <c r="Q152" s="91"/>
      <c r="Y152" s="50"/>
      <c r="Z152" s="50"/>
      <c r="AA152" s="50"/>
      <c r="AB152" s="50"/>
    </row>
    <row r="153">
      <c r="B153" s="162"/>
      <c r="C153" s="91"/>
      <c r="D153" s="91"/>
      <c r="E153" s="91"/>
      <c r="F153" s="91"/>
      <c r="L153" s="50"/>
      <c r="M153" s="50"/>
      <c r="P153" s="91"/>
      <c r="Q153" s="91"/>
      <c r="Y153" s="50"/>
      <c r="Z153" s="50"/>
      <c r="AA153" s="50"/>
      <c r="AB153" s="50"/>
    </row>
    <row r="154">
      <c r="B154" s="162"/>
      <c r="C154" s="91"/>
      <c r="D154" s="91"/>
      <c r="E154" s="91"/>
      <c r="F154" s="91"/>
      <c r="L154" s="50"/>
      <c r="M154" s="50"/>
      <c r="P154" s="91"/>
      <c r="Q154" s="91"/>
      <c r="Y154" s="50"/>
      <c r="Z154" s="50"/>
      <c r="AA154" s="50"/>
      <c r="AB154" s="50"/>
    </row>
    <row r="155" hidden="1" ht="13.5">
      <c r="B155" s="162"/>
      <c r="C155" s="91"/>
      <c r="D155" s="91"/>
      <c r="E155" s="91"/>
      <c r="F155" s="91"/>
      <c r="L155" s="50"/>
      <c r="M155" s="50"/>
      <c r="P155" s="91"/>
      <c r="Q155" s="91"/>
      <c r="Y155" s="50"/>
      <c r="Z155" s="50"/>
    </row>
    <row r="156" hidden="1" ht="12.75" customHeight="1">
      <c r="B156" s="162"/>
      <c r="C156" s="617" t="s">
        <v>194</v>
      </c>
      <c r="D156" s="618"/>
      <c r="E156" s="618"/>
      <c r="F156" s="618"/>
      <c r="G156" s="618"/>
      <c r="H156" s="618"/>
      <c r="I156" s="618"/>
      <c r="J156" s="618"/>
      <c r="K156" s="618"/>
      <c r="L156" s="618"/>
      <c r="M156" s="618"/>
      <c r="N156" s="618"/>
      <c r="O156" s="618"/>
      <c r="P156" s="618"/>
      <c r="Q156" s="618"/>
      <c r="R156" s="618"/>
      <c r="S156" s="618"/>
      <c r="T156" s="618"/>
      <c r="U156" s="618"/>
      <c r="V156" s="618"/>
      <c r="W156" s="618"/>
      <c r="X156" s="618"/>
      <c r="Y156" s="618"/>
      <c r="Z156" s="618"/>
      <c r="AA156" s="618"/>
      <c r="AB156" s="619"/>
    </row>
    <row r="157" hidden="1" ht="13.5">
      <c r="C157" s="435" t="str">
        <f> IF(C177&lt;&gt;"",TEXT(AUX!G$1,"dd-MMM-aa"),"")</f>
      </c>
      <c r="D157" s="435" t="str">
        <f> IF(D177&lt;&gt;"",TEXT(AUX!H$1,"dd-MMM-aa"),"")</f>
      </c>
      <c r="E157" s="435" t="str">
        <f> IF(E177&lt;&gt;"",TEXT(AUX!I$1,"dd-MMM-aa"),"")</f>
      </c>
      <c r="F157" s="435" t="str">
        <f> IF(F177&lt;&gt;"",TEXT(AUX!J$1,"dd-MMM-aa"),"")</f>
      </c>
      <c r="G157" s="435" t="str">
        <f> IF(G177&lt;&gt;"",TEXT(AUX!K$1,"dd-MMM-aa"),"")</f>
      </c>
      <c r="H157" s="435" t="str">
        <f> IF(H177&lt;&gt;"",TEXT(AUX!L$1,"dd-MMM-aa"),"")</f>
      </c>
      <c r="I157" s="435" t="str">
        <f> IF(I177&lt;&gt;"",TEXT(AUX!M$1,"dd-MMM-aa"),"")</f>
      </c>
      <c r="J157" s="435" t="str">
        <f> IF(J177&lt;&gt;"",TEXT(AUX!N$1,"dd-MMM-aa"),"")</f>
      </c>
      <c r="K157" s="435" t="str">
        <f> IF(K177&lt;&gt;"",TEXT(AUX!O$1,"dd-MMM-aa"),"")</f>
      </c>
      <c r="L157" s="435" t="str">
        <f> IF(L177&lt;&gt;"",TEXT(AUX!P$1,"dd-MMM-aa"),"")</f>
      </c>
      <c r="M157" s="435" t="str">
        <f> IF(M177&lt;&gt;"",TEXT(AUX!Q$1,"dd-MMM-aa"),"")</f>
      </c>
      <c r="N157" s="435" t="str">
        <f> IF(N177&lt;&gt;"",TEXT(AUX!R$1,"dd-MMM-aa"),"")</f>
      </c>
      <c r="O157" s="435" t="str">
        <f> IF(O177&lt;&gt;"",TEXT(AUX!S$1,"dd-MMM-aa"),"")</f>
      </c>
      <c r="P157" s="435" t="str">
        <f> IF(P177&lt;&gt;"",TEXT(AUX!T$1,"dd-MMM-aa"),"")</f>
      </c>
      <c r="Q157" s="435" t="str">
        <f> IF(Q177&lt;&gt;"",TEXT(AUX!U$1,"dd-MMM-aa"),"")</f>
      </c>
      <c r="R157" s="435" t="str">
        <f> IF(R177&lt;&gt;"",TEXT(AUX!V$1,"dd-MMM-aa"),"")</f>
      </c>
      <c r="S157" s="435" t="str">
        <f> IF(S177&lt;&gt;"",TEXT(AUX!W$1,"dd-MMM-aa"),"")</f>
      </c>
      <c r="T157" s="435" t="str">
        <f> IF(T177&lt;&gt;"",TEXT(AUX!X$1,"dd-MMM-aa"),"")</f>
      </c>
      <c r="U157" s="435" t="str">
        <f> IF(U177&lt;&gt;"",TEXT(AUX!Y$1,"dd-MMM-aa"),"")</f>
      </c>
      <c r="V157" s="435" t="str">
        <f> IF(V177&lt;&gt;"",TEXT(AUX!Z$1,"dd-MMM-aa"),"")</f>
      </c>
      <c r="W157" s="435" t="str">
        <f> IF(W177&lt;&gt;"",TEXT(AUX!AA$1,"dd-MMM-aa"),"")</f>
      </c>
      <c r="X157" s="435" t="str">
        <f> IF(X177&lt;&gt;"",TEXT(AUX!AB$1,"dd-MMM-aa"),"")</f>
      </c>
      <c r="Y157" s="435" t="str">
        <f> IF(Y177&lt;&gt;"",TEXT(AUX!AC$1,"dd-MMM-aa"),"")</f>
      </c>
      <c r="Z157" s="435" t="str">
        <f> IF(Z177&lt;&gt;"",TEXT(AUX!AD$1,"dd-MMM-aa"),"")</f>
      </c>
      <c r="AA157" s="435" t="str">
        <f> IF(AA177&lt;&gt;"",TEXT(AUX!AE$1,"dd-MMM-aa"),"")</f>
      </c>
      <c r="AB157" s="497" t="str">
        <f> IF(AB177&lt;&gt;"",TEXT(AUX!AF$1,"dd-MMM-aa"),"")</f>
      </c>
      <c r="AC157" s="496" t="str">
        <f> IF(AC177&lt;&gt;"",TEXT(AUX!AG$1,"dd-MMM-aa"),"")</f>
      </c>
      <c r="AD157" s="496" t="str">
        <f> IF(AD177&lt;&gt;"",TEXT(AUX!AH$1,"dd-MMM-aa"),"")</f>
      </c>
      <c r="AE157" s="496" t="str">
        <f> IF(AE177&lt;&gt;"",TEXT(AUX!AI$1,"dd-MMM-aa"),"")</f>
      </c>
      <c r="AF157" s="496" t="str">
        <f> IF(AF177&lt;&gt;"",TEXT(AUX!AJ$1,"dd-MMM-aa"),"")</f>
      </c>
      <c r="AG157" s="496" t="str">
        <f> IF(AG177&lt;&gt;"",TEXT(AUX!AK$1,"dd-MMM-aa"),"")</f>
      </c>
      <c r="AH157" s="496" t="str">
        <f> IF(AH177&lt;&gt;"",TEXT(AUX!AL$1,"dd-MMM-aa"),"")</f>
      </c>
      <c r="AI157" s="496" t="str">
        <f> IF(AI177&lt;&gt;"",TEXT(AUX!AM$1,"dd-MMM-aa"),"")</f>
      </c>
      <c r="AJ157" s="496" t="str">
        <f> IF(AJ177&lt;&gt;"",TEXT(AUX!AN$1,"dd-MMM-aa"),"")</f>
      </c>
      <c r="AK157" s="496" t="str">
        <f> IF(AK177&lt;&gt;"",TEXT(AUX!AO$1,"dd-MMM-aa"),"")</f>
      </c>
      <c r="AL157" s="496" t="str">
        <f> IF(AL177&lt;&gt;"",TEXT(AUX!AP$1,"dd-MMM-aa"),"")</f>
      </c>
      <c r="AM157" s="496" t="str">
        <f> IF(AM177&lt;&gt;"",TEXT(AUX!AQ$1,"dd-MMM-aa"),"")</f>
      </c>
      <c r="AN157" s="496" t="str">
        <f> IF(AN177&lt;&gt;"",TEXT(AUX!AR$1,"dd-MMM-aa"),"")</f>
      </c>
      <c r="AO157" s="496" t="str">
        <f> IF(AO177&lt;&gt;"",TEXT(AUX!AS$1,"dd-MMM-aa"),"")</f>
      </c>
      <c r="AP157" s="496" t="str">
        <f> IF(AP177&lt;&gt;"",TEXT(AUX!AT$1,"dd-MMM-aa"),"")</f>
      </c>
      <c r="AQ157" s="496" t="str">
        <f> IF(AQ177&lt;&gt;"",TEXT(AUX!AU$1,"dd-MMM-aa"),"")</f>
      </c>
      <c r="AR157" s="496" t="str">
        <f> IF(AR177&lt;&gt;"",TEXT(AUX!AV$1,"dd-MMM-aa"),"")</f>
      </c>
      <c r="AS157" s="496" t="str">
        <f> IF(AS177&lt;&gt;"",TEXT(AUX!AW$1,"dd-MMM-aa"),"")</f>
      </c>
      <c r="AT157" s="496" t="str">
        <f> IF(AT177&lt;&gt;"",TEXT(AUX!AX$1,"dd-MMM-aa"),"")</f>
      </c>
      <c r="AU157" s="496" t="str">
        <f> IF(AU177&lt;&gt;"",TEXT(AUX!AY$1,"dd-MMM-aa"),"")</f>
      </c>
      <c r="AV157" s="496" t="str">
        <f> IF(AV177&lt;&gt;"",TEXT(AUX!AZ$1,"dd-MMM-aa"),"")</f>
      </c>
      <c r="AW157" s="496" t="str">
        <f> IF(AW177&lt;&gt;"",TEXT(AUX!BA$1,"dd-MMM-aa"),"")</f>
      </c>
      <c r="AX157" s="496" t="str">
        <f> IF(AX177&lt;&gt;"",TEXT(AUX!BB$1,"dd-MMM-aa"),"")</f>
      </c>
      <c r="AY157" s="496" t="str">
        <f> IF(AY177&lt;&gt;"",TEXT(AUX!BC$1,"dd-MMM-aa"),"")</f>
      </c>
      <c r="AZ157" s="496" t="str">
        <f> IF(AZ177&lt;&gt;"",TEXT(AUX!BD$1,"dd-MMM-aa"),"")</f>
      </c>
      <c r="BA157" s="496" t="str">
        <f> IF(BA177&lt;&gt;"",TEXT(AUX!BE$1,"dd-MMM-aa"),"")</f>
      </c>
      <c r="BB157" s="496" t="str">
        <f> IF(BB177&lt;&gt;"",TEXT(AUX!BF$1,"dd-MMM-aa"),"")</f>
      </c>
      <c r="BC157" s="496" t="str">
        <f> IF(BC177&lt;&gt;"",TEXT(AUX!BG$1,"dd-MMM-aa"),"")</f>
      </c>
      <c r="BD157" s="496" t="str">
        <f> IF(BD177&lt;&gt;"",TEXT(AUX!BH$1,"dd-MMM-aa"),"")</f>
      </c>
      <c r="BE157" s="496" t="str">
        <f> IF(BE177&lt;&gt;"",TEXT(AUX!BI$1,"dd-MMM-aa"),"")</f>
      </c>
      <c r="BF157" s="496" t="str">
        <f> IF(BF177&lt;&gt;"",TEXT(AUX!BJ$1,"dd-MMM-aa"),"")</f>
      </c>
      <c r="BG157" s="496" t="str">
        <f> IF(BG177&lt;&gt;"",TEXT(AUX!BK$1,"dd-MMM-aa"),"")</f>
      </c>
      <c r="BH157" s="496" t="str">
        <f> IF(BH177&lt;&gt;"",TEXT(AUX!BL$1,"dd-MMM-aa"),"")</f>
      </c>
      <c r="BI157" s="496" t="str">
        <f> IF(BI177&lt;&gt;"",TEXT(AUX!BM$1,"dd-MMM-aa"),"")</f>
      </c>
      <c r="BJ157" s="496" t="str">
        <f> IF(BJ177&lt;&gt;"",TEXT(AUX!BN$1,"dd-MMM-aa"),"")</f>
      </c>
      <c r="BK157" s="496" t="str">
        <f> IF(BK177&lt;&gt;"",TEXT(AUX!BO$1,"dd-MMM-aa"),"")</f>
      </c>
      <c r="BL157" s="496" t="str">
        <f> IF(BL177&lt;&gt;"",TEXT(AUX!BP$1,"dd-MMM-aa"),"")</f>
      </c>
      <c r="BM157" s="496" t="str">
        <f> IF(BM177&lt;&gt;"",TEXT(AUX!BQ$1,"dd-MMM-aa"),"")</f>
      </c>
      <c r="BN157" s="496" t="str">
        <f> IF(BN177&lt;&gt;"",TEXT(AUX!BR$1,"dd-MMM-aa"),"")</f>
      </c>
      <c r="BO157" s="496" t="str">
        <f> IF(BO177&lt;&gt;"",TEXT(AUX!BS$1,"dd-MMM-aa"),"")</f>
      </c>
      <c r="BP157" s="496" t="str">
        <f> IF(BP177&lt;&gt;"",TEXT(AUX!BT$1,"dd-MMM-aa"),"")</f>
      </c>
      <c r="BQ157" s="496" t="str">
        <f> IF(BQ177&lt;&gt;"",TEXT(AUX!BU$1,"dd-MMM-aa"),"")</f>
      </c>
      <c r="BR157" s="496" t="str">
        <f> IF(BR177&lt;&gt;"",TEXT(AUX!BV$1,"dd-MMM-aa"),"")</f>
      </c>
      <c r="BS157" s="496" t="str">
        <f> IF(BS177&lt;&gt;"",TEXT(AUX!BW$1,"dd-MMM-aa"),"")</f>
      </c>
      <c r="BT157" s="496" t="str">
        <f> IF(BT177&lt;&gt;"",TEXT(AUX!BX$1,"dd-MMM-aa"),"")</f>
      </c>
      <c r="BU157" s="496" t="str">
        <f> IF(BU177&lt;&gt;"",TEXT(AUX!BY$1,"dd-MMM-aa"),"")</f>
      </c>
      <c r="BV157" s="496" t="str">
        <f> IF(BV177&lt;&gt;"",TEXT(AUX!BZ$1,"dd-MMM-aa"),"")</f>
      </c>
      <c r="BW157" s="496" t="str">
        <f> IF(BW177&lt;&gt;"",TEXT(AUX!CA$1,"dd-MMM-aa"),"")</f>
      </c>
      <c r="BX157" s="496" t="str">
        <f> IF(BX177&lt;&gt;"",TEXT(AUX!CB$1,"dd-MMM-aa"),"")</f>
      </c>
      <c r="BY157" s="496" t="str">
        <f> IF(BY177&lt;&gt;"",TEXT(AUX!CC$1,"dd-MMM-aa"),"")</f>
      </c>
      <c r="BZ157" s="496" t="str">
        <f> IF(BZ177&lt;&gt;"",TEXT(AUX!CD$1,"dd-MMM-aa"),"")</f>
      </c>
      <c r="CA157" s="496" t="str">
        <f> IF(CA177&lt;&gt;"",TEXT(AUX!CE$1,"dd-MMM-aa"),"")</f>
      </c>
      <c r="CB157" s="496" t="str">
        <f> IF(CB177&lt;&gt;"",TEXT(AUX!CF$1,"dd-MMM-aa"),"")</f>
      </c>
      <c r="CC157" s="496" t="str">
        <f> IF(CC177&lt;&gt;"",TEXT(AUX!CG$1,"dd-MMM-aa"),"")</f>
      </c>
      <c r="CD157" s="496" t="str">
        <f> IF(CD177&lt;&gt;"",TEXT(AUX!CH$1,"dd-MMM-aa"),"")</f>
      </c>
      <c r="CE157" s="496" t="str">
        <f> IF(CE177&lt;&gt;"",TEXT(AUX!CI$1,"dd-MMM-aa"),"")</f>
      </c>
      <c r="CF157" s="496" t="str">
        <f> IF(CF177&lt;&gt;"",TEXT(AUX!CJ$1,"dd-MMM-aa"),"")</f>
      </c>
      <c r="CG157" s="496" t="str">
        <f> IF(CG177&lt;&gt;"",TEXT(AUX!CK$1,"dd-MMM-aa"),"")</f>
      </c>
      <c r="CH157" s="496" t="str">
        <f> IF(CH177&lt;&gt;"",TEXT(AUX!CL$1,"dd-MMM-aa"),"")</f>
      </c>
      <c r="CI157" s="496" t="str">
        <f> IF(CI177&lt;&gt;"",TEXT(AUX!CM$1,"dd-MMM-aa"),"")</f>
      </c>
      <c r="CJ157" s="496" t="str">
        <f> IF(CJ177&lt;&gt;"",TEXT(AUX!CN$1,"dd-MMM-aa"),"")</f>
      </c>
      <c r="CK157" s="496" t="str">
        <f> IF(CK177&lt;&gt;"",TEXT(AUX!CO$1,"dd-MMM-aa"),"")</f>
      </c>
      <c r="CL157" s="496" t="str">
        <f> IF(CL177&lt;&gt;"",TEXT(AUX!CP$1,"dd-MMM-aa"),"")</f>
      </c>
      <c r="CM157" s="496" t="str">
        <f> IF(CM177&lt;&gt;"",TEXT(AUX!CQ$1,"dd-MMM-aa"),"")</f>
      </c>
      <c r="CN157" s="496" t="str">
        <f> IF(CN177&lt;&gt;"",TEXT(AUX!CR$1,"dd-MMM-aa"),"")</f>
      </c>
      <c r="CO157" s="496" t="str">
        <f> IF(CO177&lt;&gt;"",TEXT(AUX!CS$1,"dd-MMM-aa"),"")</f>
      </c>
      <c r="CP157" s="496" t="str">
        <f> IF(CP177&lt;&gt;"",TEXT(AUX!CT$1,"dd-MMM-aa"),"")</f>
      </c>
      <c r="CQ157" s="496" t="str">
        <f> IF(CQ177&lt;&gt;"",TEXT(AUX!CU$1,"dd-MMM-aa"),"")</f>
      </c>
      <c r="CR157" s="496" t="str">
        <f> IF(CR177&lt;&gt;"",TEXT(AUX!CV$1,"dd-MMM-aa"),"")</f>
      </c>
      <c r="CS157" s="496" t="str">
        <f> IF(CS177&lt;&gt;"",TEXT(AUX!CW$1,"dd-MMM-aa"),"")</f>
      </c>
      <c r="CT157" s="496" t="str">
        <f> IF(CT177&lt;&gt;"",TEXT(AUX!CX$1,"dd-MMM-aa"),"")</f>
      </c>
      <c r="CU157" s="496" t="str">
        <f> IF(CU177&lt;&gt;"",TEXT(AUX!CY$1,"dd-MMM-aa"),"")</f>
      </c>
      <c r="CV157" s="496" t="str">
        <f> IF(CV177&lt;&gt;"",TEXT(AUX!CZ$1,"dd-MMM-aa"),"")</f>
      </c>
      <c r="CW157" s="496" t="str">
        <f> IF(CW177&lt;&gt;"",TEXT(AUX!DA$1,"dd-MMM-aa"),"")</f>
      </c>
      <c r="CX157" s="496" t="str">
        <f> IF(CX177&lt;&gt;"",TEXT(AUX!DB$1,"dd-MMM-aa"),"")</f>
      </c>
      <c r="CY157" s="496" t="str">
        <f> IF(CY177&lt;&gt;"",TEXT(AUX!DC$1,"dd-MMM-aa"),"")</f>
      </c>
      <c r="CZ157" s="496" t="str">
        <f> IF(CZ177&lt;&gt;"",TEXT(AUX!DD$1,"dd-MMM-aa"),"")</f>
      </c>
      <c r="DA157" s="496" t="str">
        <f> IF(DA177&lt;&gt;"",TEXT(AUX!DE$1,"dd-MMM-aa"),"")</f>
      </c>
      <c r="DB157" s="496" t="str">
        <f> IF(DB177&lt;&gt;"",TEXT(AUX!DF$1,"dd-MMM-aa"),"")</f>
      </c>
      <c r="DC157" s="496" t="str">
        <f> IF(DC177&lt;&gt;"",TEXT(AUX!DG$1,"dd-MMM-aa"),"")</f>
      </c>
      <c r="DD157" s="496" t="str">
        <f> IF(DD177&lt;&gt;"",TEXT(AUX!DH$1,"dd-MMM-aa"),"")</f>
      </c>
      <c r="DE157" s="496" t="str">
        <f> IF(DE177&lt;&gt;"",TEXT(AUX!DI$1,"dd-MMM-aa"),"")</f>
      </c>
      <c r="DF157" s="496" t="str">
        <f> IF(DF177&lt;&gt;"",TEXT(AUX!DJ$1,"dd-MMM-aa"),"")</f>
      </c>
      <c r="DG157" s="496" t="str">
        <f> IF(DG177&lt;&gt;"",TEXT(AUX!DK$1,"dd-MMM-aa"),"")</f>
      </c>
      <c r="DH157" s="496" t="str">
        <f> IF(DH177&lt;&gt;"",TEXT(AUX!DL$1,"dd-MMM-aa"),"")</f>
      </c>
      <c r="DI157" s="496" t="str">
        <f> IF(DI177&lt;&gt;"",TEXT(AUX!DM$1,"dd-MMM-aa"),"")</f>
      </c>
      <c r="DJ157" s="496" t="str">
        <f> IF(DJ177&lt;&gt;"",TEXT(AUX!DN$1,"dd-MMM-aa"),"")</f>
      </c>
      <c r="DK157" s="496" t="str">
        <f> IF(DK177&lt;&gt;"",TEXT(AUX!DO$1,"dd-MMM-aa"),"")</f>
      </c>
      <c r="DL157" s="496" t="str">
        <f> IF(DL177&lt;&gt;"",TEXT(AUX!DP$1,"dd-MMM-aa"),"")</f>
      </c>
      <c r="DM157" s="496" t="str">
        <f> IF(DM177&lt;&gt;"",TEXT(AUX!DQ$1,"dd-MMM-aa"),"")</f>
      </c>
      <c r="DN157" s="496" t="str">
        <f> IF(DN177&lt;&gt;"",TEXT(AUX!DR$1,"dd-MMM-aa"),"")</f>
      </c>
      <c r="DO157" s="496" t="str">
        <f> IF(DO177&lt;&gt;"",TEXT(AUX!DS$1,"dd-MMM-aa"),"")</f>
      </c>
      <c r="DP157" s="496" t="str">
        <f> IF(DP177&lt;&gt;"",TEXT(AUX!DT$1,"dd-MMM-aa"),"")</f>
      </c>
      <c r="DQ157" s="496" t="str">
        <f> IF(DQ177&lt;&gt;"",TEXT(AUX!DU$1,"dd-MMM-aa"),"")</f>
      </c>
      <c r="DR157" s="496" t="str">
        <f> IF(DR177&lt;&gt;"",TEXT(AUX!DV$1,"dd-MMM-aa"),"")</f>
      </c>
      <c r="DS157" s="496" t="str">
        <f> IF(DS177&lt;&gt;"",TEXT(AUX!DW$1,"dd-MMM-aa"),"")</f>
      </c>
      <c r="DT157" s="496" t="str">
        <f> IF(DT177&lt;&gt;"",TEXT(AUX!DX$1,"dd-MMM-aa"),"")</f>
      </c>
      <c r="DU157" s="496" t="str">
        <f> IF(DU177&lt;&gt;"",TEXT(AUX!DY$1,"dd-MMM-aa"),"")</f>
      </c>
      <c r="DV157" s="496" t="str">
        <f> IF(DV177&lt;&gt;"",TEXT(AUX!DZ$1,"dd-MMM-aa"),"")</f>
      </c>
      <c r="DW157" s="496" t="str">
        <f> IF(DW177&lt;&gt;"",TEXT(AUX!EA$1,"dd-MMM-aa"),"")</f>
      </c>
      <c r="DX157" s="496" t="str">
        <f> IF(DX177&lt;&gt;"",TEXT(AUX!EB$1,"dd-MMM-aa"),"")</f>
      </c>
      <c r="DY157" s="496" t="str">
        <f> IF(DY177&lt;&gt;"",TEXT(AUX!EC$1,"dd-MMM-aa"),"")</f>
      </c>
      <c r="DZ157" s="496" t="str">
        <f> IF(DZ177&lt;&gt;"",TEXT(AUX!ED$1,"dd-MMM-aa"),"")</f>
      </c>
      <c r="EA157" s="496" t="str">
        <f> IF(EA177&lt;&gt;"",TEXT(AUX!EE$1,"dd-MMM-aa"),"")</f>
      </c>
      <c r="EB157" s="496" t="str">
        <f> IF(EB177&lt;&gt;"",TEXT(AUX!EF$1,"dd-MMM-aa"),"")</f>
      </c>
      <c r="EC157" s="496" t="str">
        <f> IF(EC177&lt;&gt;"",TEXT(AUX!EG$1,"dd-MMM-aa"),"")</f>
      </c>
      <c r="ED157" s="496" t="str">
        <f> IF(ED177&lt;&gt;"",TEXT(AUX!EH$1,"dd-MMM-aa"),"")</f>
      </c>
      <c r="EE157" s="496" t="str">
        <f> IF(EE177&lt;&gt;"",TEXT(AUX!EI$1,"dd-MMM-aa"),"")</f>
      </c>
      <c r="EF157" s="496" t="str">
        <f> IF(EF177&lt;&gt;"",TEXT(AUX!EJ$1,"dd-MMM-aa"),"")</f>
      </c>
      <c r="EG157" s="496" t="str">
        <f> IF(EG177&lt;&gt;"",TEXT(AUX!EK$1,"dd-MMM-aa"),"")</f>
      </c>
      <c r="EH157" s="496" t="str">
        <f> IF(EH177&lt;&gt;"",TEXT(AUX!EL$1,"dd-MMM-aa"),"")</f>
      </c>
      <c r="EI157" s="496" t="str">
        <f> IF(EI177&lt;&gt;"",TEXT(AUX!EM$1,"dd-MMM-aa"),"")</f>
      </c>
      <c r="EJ157" s="496" t="str">
        <f> IF(EJ177&lt;&gt;"",TEXT(AUX!EN$1,"dd-MMM-aa"),"")</f>
      </c>
      <c r="EK157" s="496" t="str">
        <f> IF(EK177&lt;&gt;"",TEXT(AUX!EO$1,"dd-MMM-aa"),"")</f>
      </c>
      <c r="EL157" s="496" t="str">
        <f> IF(EL177&lt;&gt;"",TEXT(AUX!EP$1,"dd-MMM-aa"),"")</f>
      </c>
      <c r="EM157" s="496" t="str">
        <f> IF(EM177&lt;&gt;"",TEXT(AUX!EQ$1,"dd-MMM-aa"),"")</f>
      </c>
      <c r="EN157" s="496" t="str">
        <f> IF(EN177&lt;&gt;"",TEXT(AUX!ER$1,"dd-MMM-aa"),"")</f>
      </c>
      <c r="EO157" s="496" t="str">
        <f> IF(EO177&lt;&gt;"",TEXT(AUX!ES$1,"dd-MMM-aa"),"")</f>
      </c>
      <c r="EP157" s="496" t="str">
        <f> IF(EP177&lt;&gt;"",TEXT(AUX!ET$1,"dd-MMM-aa"),"")</f>
      </c>
      <c r="EQ157" s="496" t="str">
        <f> IF(EQ177&lt;&gt;"",TEXT(AUX!EU$1,"dd-MMM-aa"),"")</f>
      </c>
      <c r="ER157" s="496" t="str">
        <f> IF(ER177&lt;&gt;"",TEXT(AUX!EV$1,"dd-MMM-aa"),"")</f>
      </c>
      <c r="ES157" s="496" t="str">
        <f> IF(ES177&lt;&gt;"",TEXT(AUX!EW$1,"dd-MMM-aa"),"")</f>
      </c>
      <c r="ET157" s="496" t="str">
        <f> IF(ET177&lt;&gt;"",TEXT(AUX!EX$1,"dd-MMM-aa"),"")</f>
      </c>
      <c r="EU157" s="496" t="str">
        <f> IF(EU177&lt;&gt;"",TEXT(AUX!EY$1,"dd-MMM-aa"),"")</f>
      </c>
      <c r="EV157" s="496" t="str">
        <f> IF(EV177&lt;&gt;"",TEXT(AUX!EZ$1,"dd-MMM-aa"),"")</f>
      </c>
      <c r="EW157" s="496" t="str">
        <f> IF(EW177&lt;&gt;"",TEXT(AUX!FA$1,"dd-MMM-aa"),"")</f>
      </c>
      <c r="EX157" s="496" t="str">
        <f> IF(EX177&lt;&gt;"",TEXT(AUX!FB$1,"dd-MMM-aa"),"")</f>
      </c>
      <c r="EY157" s="496" t="str">
        <f> IF(EY177&lt;&gt;"",TEXT(AUX!FC$1,"dd-MMM-aa"),"")</f>
      </c>
      <c r="EZ157" s="496" t="str">
        <f> IF(EZ177&lt;&gt;"",TEXT(AUX!FD$1,"dd-MMM-aa"),"")</f>
      </c>
      <c r="FA157" s="496" t="str">
        <f> IF(FA177&lt;&gt;"",TEXT(AUX!FE$1,"dd-MMM-aa"),"")</f>
      </c>
      <c r="FB157" s="496" t="str">
        <f> IF(FB177&lt;&gt;"",TEXT(AUX!FF$1,"dd-MMM-aa"),"")</f>
      </c>
      <c r="FC157" s="496" t="str">
        <f> IF(FC177&lt;&gt;"",TEXT(AUX!FG$1,"dd-MMM-aa"),"")</f>
      </c>
      <c r="FD157" s="496" t="str">
        <f> IF(FD177&lt;&gt;"",TEXT(AUX!FH$1,"dd-MMM-aa"),"")</f>
      </c>
      <c r="FE157" s="496" t="str">
        <f> IF(FE177&lt;&gt;"",TEXT(AUX!FI$1,"dd-MMM-aa"),"")</f>
      </c>
      <c r="FF157" s="496" t="str">
        <f> IF(FF177&lt;&gt;"",TEXT(AUX!FJ$1,"dd-MMM-aa"),"")</f>
      </c>
      <c r="FG157" s="496" t="str">
        <f> IF(FG177&lt;&gt;"",TEXT(AUX!FK$1,"dd-MMM-aa"),"")</f>
      </c>
      <c r="FH157" s="496" t="str">
        <f> IF(FH177&lt;&gt;"",TEXT(AUX!FL$1,"dd-MMM-aa"),"")</f>
      </c>
      <c r="FI157" s="496" t="str">
        <f> IF(FI177&lt;&gt;"",TEXT(AUX!FM$1,"dd-MMM-aa"),"")</f>
      </c>
      <c r="FJ157" s="496" t="str">
        <f> IF(FJ177&lt;&gt;"",TEXT(AUX!FN$1,"dd-MMM-aa"),"")</f>
      </c>
      <c r="FK157" s="496" t="str">
        <f> IF(FK177&lt;&gt;"",TEXT(AUX!FO$1,"dd-MMM-aa"),"")</f>
      </c>
      <c r="FL157" s="496" t="str">
        <f> IF(FL177&lt;&gt;"",TEXT(AUX!FP$1,"dd-MMM-aa"),"")</f>
      </c>
      <c r="FM157" s="496" t="str">
        <f> IF(FM177&lt;&gt;"",TEXT(AUX!FQ$1,"dd-MMM-aa"),"")</f>
      </c>
      <c r="FN157" s="496" t="str">
        <f> IF(FN177&lt;&gt;"",TEXT(AUX!FR$1,"dd-MMM-aa"),"")</f>
      </c>
      <c r="FO157" s="496" t="str">
        <f> IF(FO177&lt;&gt;"",TEXT(AUX!FS$1,"dd-MMM-aa"),"")</f>
      </c>
      <c r="FP157" s="496" t="str">
        <f> IF(FP177&lt;&gt;"",TEXT(AUX!FT$1,"dd-MMM-aa"),"")</f>
      </c>
      <c r="FQ157" s="496" t="str">
        <f> IF(FQ177&lt;&gt;"",TEXT(AUX!FU$1,"dd-MMM-aa"),"")</f>
      </c>
      <c r="FR157" s="496" t="str">
        <f> IF(FR177&lt;&gt;"",TEXT(AUX!FV$1,"dd-MMM-aa"),"")</f>
      </c>
      <c r="FS157" s="496" t="str">
        <f> IF(FS177&lt;&gt;"",TEXT(AUX!FW$1,"dd-MMM-aa"),"")</f>
      </c>
      <c r="FT157" s="496" t="str">
        <f> IF(FT177&lt;&gt;"",TEXT(AUX!FX$1,"dd-MMM-aa"),"")</f>
      </c>
      <c r="FU157" s="496" t="str">
        <f> IF(FU177&lt;&gt;"",TEXT(AUX!FY$1,"dd-MMM-aa"),"")</f>
      </c>
      <c r="FV157" s="496" t="str">
        <f> IF(FV177&lt;&gt;"",TEXT(AUX!FZ$1,"dd-MMM-aa"),"")</f>
      </c>
      <c r="FW157" s="496" t="str">
        <f> IF(FW177&lt;&gt;"",TEXT(AUX!GA$1,"dd-MMM-aa"),"")</f>
      </c>
      <c r="FX157" s="496" t="str">
        <f> IF(FX177&lt;&gt;"",TEXT(AUX!GB$1,"dd-MMM-aa"),"")</f>
      </c>
      <c r="FY157" s="496" t="str">
        <f> IF(FY177&lt;&gt;"",TEXT(AUX!GC$1,"dd-MMM-aa"),"")</f>
      </c>
      <c r="FZ157" s="496" t="str">
        <f> IF(FZ177&lt;&gt;"",TEXT(AUX!GD$1,"dd-MMM-aa"),"")</f>
      </c>
      <c r="GA157" s="496" t="str">
        <f> IF(GA177&lt;&gt;"",TEXT(AUX!GE$1,"dd-MMM-aa"),"")</f>
      </c>
      <c r="GB157" s="496" t="str">
        <f> IF(GB177&lt;&gt;"",TEXT(AUX!GF$1,"dd-MMM-aa"),"")</f>
      </c>
      <c r="GC157" s="496" t="str">
        <f> IF(GC177&lt;&gt;"",TEXT(AUX!GG$1,"dd-MMM-aa"),"")</f>
      </c>
      <c r="GD157" s="496" t="str">
        <f> IF(GD177&lt;&gt;"",TEXT(AUX!GH$1,"dd-MMM-aa"),"")</f>
      </c>
      <c r="GE157" s="496" t="str">
        <f> IF(GE177&lt;&gt;"",TEXT(AUX!GI$1,"dd-MMM-aa"),"")</f>
      </c>
      <c r="GF157" s="496" t="str">
        <f> IF(GF177&lt;&gt;"",TEXT(AUX!GJ$1,"dd-MMM-aa"),"")</f>
      </c>
      <c r="GG157" s="496" t="str">
        <f> IF(GG177&lt;&gt;"",TEXT(AUX!GK$1,"dd-MMM-aa"),"")</f>
      </c>
      <c r="GH157" s="496" t="str">
        <f> IF(GH177&lt;&gt;"",TEXT(AUX!GL$1,"dd-MMM-aa"),"")</f>
      </c>
      <c r="GI157" s="496" t="str">
        <f> IF(GI177&lt;&gt;"",TEXT(AUX!GM$1,"dd-MMM-aa"),"")</f>
      </c>
      <c r="GJ157" s="496" t="str">
        <f> IF(GJ177&lt;&gt;"",TEXT(AUX!GN$1,"dd-MMM-aa"),"")</f>
      </c>
      <c r="GK157" s="496" t="str">
        <f> IF(GK177&lt;&gt;"",TEXT(AUX!GO$1,"dd-MMM-aa"),"")</f>
      </c>
      <c r="GL157" s="496" t="str">
        <f> IF(GL177&lt;&gt;"",TEXT(AUX!GP$1,"dd-MMM-aa"),"")</f>
      </c>
      <c r="GM157" s="496" t="str">
        <f> IF(GM177&lt;&gt;"",TEXT(AUX!GQ$1,"dd-MMM-aa"),"")</f>
      </c>
      <c r="GN157" s="496" t="str">
        <f> IF(GN177&lt;&gt;"",TEXT(AUX!GR$1,"dd-MMM-aa"),"")</f>
      </c>
      <c r="GO157" s="496" t="str">
        <f> IF(GO177&lt;&gt;"",TEXT(AUX!GS$1,"dd-MMM-aa"),"")</f>
      </c>
      <c r="GP157" s="496" t="str">
        <f> IF(GP177&lt;&gt;"",TEXT(AUX!GT$1,"dd-MMM-aa"),"")</f>
      </c>
      <c r="GQ157" s="496" t="str">
        <f> IF(GQ177&lt;&gt;"",TEXT(AUX!GU$1,"dd-MMM-aa"),"")</f>
      </c>
      <c r="GR157" s="496" t="str">
        <f> IF(GR177&lt;&gt;"",TEXT(AUX!GV$1,"dd-MMM-aa"),"")</f>
      </c>
      <c r="GS157" s="496" t="str">
        <f> IF(GS177&lt;&gt;"",TEXT(AUX!GW$1,"dd-MMM-aa"),"")</f>
      </c>
      <c r="GT157" s="496" t="str">
        <f> IF(GT177&lt;&gt;"",TEXT(AUX!GX$1,"dd-MMM-aa"),"")</f>
      </c>
      <c r="GU157" s="496" t="str">
        <f> IF(GU177&lt;&gt;"",TEXT(AUX!GY$1,"dd-MMM-aa"),"")</f>
      </c>
      <c r="GV157" s="496" t="str">
        <f> IF(GV177&lt;&gt;"",TEXT(AUX!GZ$1,"dd-MMM-aa"),"")</f>
      </c>
      <c r="GW157" s="496" t="str">
        <f> IF(GW177&lt;&gt;"",TEXT(AUX!HA$1,"dd-MMM-aa"),"")</f>
      </c>
      <c r="GX157" s="496" t="str">
        <f> IF(GX177&lt;&gt;"",TEXT(AUX!HB$1,"dd-MMM-aa"),"")</f>
      </c>
      <c r="GY157" s="496" t="str">
        <f> IF(GY177&lt;&gt;"",TEXT(AUX!HC$1,"dd-MMM-aa"),"")</f>
      </c>
      <c r="GZ157" s="496" t="str">
        <f> IF(GZ177&lt;&gt;"",TEXT(AUX!HD$1,"dd-MMM-aa"),"")</f>
      </c>
      <c r="HA157" s="496" t="str">
        <f> IF(HA177&lt;&gt;"",TEXT(AUX!HE$1,"dd-MMM-aa"),"")</f>
      </c>
      <c r="HB157" s="496" t="str">
        <f> IF(HB177&lt;&gt;"",TEXT(AUX!HF$1,"dd-MMM-aa"),"")</f>
      </c>
      <c r="HC157" s="496" t="str">
        <f> IF(HC177&lt;&gt;"",TEXT(AUX!HG$1,"dd-MMM-aa"),"")</f>
      </c>
      <c r="HD157" s="496" t="str">
        <f> IF(HD177&lt;&gt;"",TEXT(AUX!HH$1,"dd-MMM-aa"),"")</f>
      </c>
      <c r="HE157" s="496" t="str">
        <f> IF(HE177&lt;&gt;"",TEXT(AUX!HI$1,"dd-MMM-aa"),"")</f>
      </c>
      <c r="HF157" s="496" t="str">
        <f> IF(HF177&lt;&gt;"",TEXT(AUX!HJ$1,"dd-MMM-aa"),"")</f>
      </c>
      <c r="HG157" s="496" t="str">
        <f> IF(HG177&lt;&gt;"",TEXT(AUX!HK$1,"dd-MMM-aa"),"")</f>
      </c>
      <c r="HH157" s="496" t="str">
        <f> IF(HH177&lt;&gt;"",TEXT(AUX!HL$1,"dd-MMM-aa"),"")</f>
      </c>
      <c r="HI157" s="496" t="str">
        <f> IF(HI177&lt;&gt;"",TEXT(AUX!HM$1,"dd-MMM-aa"),"")</f>
      </c>
      <c r="HJ157" s="496" t="str">
        <f> IF(HJ177&lt;&gt;"",TEXT(AUX!HN$1,"dd-MMM-aa"),"")</f>
      </c>
      <c r="HK157" s="496" t="str">
        <f> IF(HK177&lt;&gt;"",TEXT(AUX!HO$1,"dd-MMM-aa"),"")</f>
      </c>
      <c r="HL157" s="496" t="str">
        <f> IF(HL177&lt;&gt;"",TEXT(AUX!HP$1,"dd-MMM-aa"),"")</f>
      </c>
      <c r="HM157" s="496" t="str">
        <f> IF(HM177&lt;&gt;"",TEXT(AUX!HQ$1,"dd-MMM-aa"),"")</f>
      </c>
      <c r="HN157" s="496" t="str">
        <f> IF(HN177&lt;&gt;"",TEXT(AUX!HR$1,"dd-MMM-aa"),"")</f>
      </c>
      <c r="HO157" s="496" t="str">
        <f> IF(HO177&lt;&gt;"",TEXT(AUX!HS$1,"dd-MMM-aa"),"")</f>
      </c>
      <c r="HP157" s="496" t="str">
        <f> IF(HP177&lt;&gt;"",TEXT(AUX!HT$1,"dd-MMM-aa"),"")</f>
      </c>
      <c r="HQ157" s="496" t="str">
        <f> IF(HQ177&lt;&gt;"",TEXT(AUX!HU$1,"dd-MMM-aa"),"")</f>
      </c>
      <c r="HR157" s="496" t="str">
        <f> IF(HR177&lt;&gt;"",TEXT(AUX!HV$1,"dd-MMM-aa"),"")</f>
      </c>
      <c r="HS157" s="496" t="str">
        <f> IF(HS177&lt;&gt;"",TEXT(AUX!HW$1,"dd-MMM-aa"),"")</f>
      </c>
      <c r="HT157" s="496" t="str">
        <f> IF(HT177&lt;&gt;"",TEXT(AUX!HX$1,"dd-MMM-aa"),"")</f>
      </c>
      <c r="HU157" s="496" t="str">
        <f> IF(HU177&lt;&gt;"",TEXT(AUX!HY$1,"dd-MMM-aa"),"")</f>
      </c>
      <c r="HV157" s="496" t="str">
        <f> IF(HV177&lt;&gt;"",TEXT(AUX!HZ$1,"dd-MMM-aa"),"")</f>
      </c>
      <c r="HW157" s="496" t="str">
        <f> IF(HW177&lt;&gt;"",TEXT(AUX!IA$1,"dd-MMM-aa"),"")</f>
      </c>
      <c r="HX157" s="496" t="str">
        <f> IF(HX177&lt;&gt;"",TEXT(AUX!IB$1,"dd-MMM-aa"),"")</f>
      </c>
      <c r="HY157" s="496" t="str">
        <f> IF(HY177&lt;&gt;"",TEXT(AUX!IC$1,"dd-MMM-aa"),"")</f>
      </c>
      <c r="HZ157" s="496" t="str">
        <f> IF(HZ177&lt;&gt;"",TEXT(AUX!ID$1,"dd-MMM-aa"),"")</f>
      </c>
      <c r="IA157" s="496" t="str">
        <f> IF(IA177&lt;&gt;"",TEXT(AUX!IE$1,"dd-MMM-aa"),"")</f>
      </c>
      <c r="IB157" s="496" t="str">
        <f> IF(IB177&lt;&gt;"",TEXT(AUX!IF$1,"dd-MMM-aa"),"")</f>
      </c>
      <c r="IC157" s="496" t="str">
        <f> IF(IC177&lt;&gt;"",TEXT(AUX!IG$1,"dd-MMM-aa"),"")</f>
      </c>
      <c r="ID157" s="496" t="str">
        <f> IF(ID177&lt;&gt;"",TEXT(AUX!IH$1,"dd-MMM-aa"),"")</f>
      </c>
      <c r="IE157" s="496" t="str">
        <f> IF(IE177&lt;&gt;"",TEXT(AUX!II$1,"dd-MMM-aa"),"")</f>
      </c>
      <c r="IF157" s="496" t="str">
        <f> IF(IF177&lt;&gt;"",TEXT(AUX!IJ$1,"dd-MMM-aa"),"")</f>
      </c>
      <c r="IG157" s="496" t="str">
        <f> IF(IG177&lt;&gt;"",TEXT(AUX!IK$1,"dd-MMM-aa"),"")</f>
      </c>
      <c r="IH157" s="496" t="str">
        <f> IF(IH177&lt;&gt;"",TEXT(AUX!IL$1,"dd-MMM-aa"),"")</f>
      </c>
      <c r="II157" s="496" t="str">
        <f> IF(II177&lt;&gt;"",TEXT(AUX!IM$1,"dd-MMM-aa"),"")</f>
      </c>
      <c r="IJ157" s="496" t="str">
        <f> IF(IJ177&lt;&gt;"",TEXT(AUX!IN$1,"dd-MMM-aa"),"")</f>
      </c>
      <c r="IK157" s="496" t="str">
        <f> IF(IK177&lt;&gt;"",TEXT(AUX!IO$1,"dd-MMM-aa"),"")</f>
      </c>
      <c r="IL157" s="496" t="str">
        <f> IF(IL177&lt;&gt;"",TEXT(AUX!IP$1,"dd-MMM-aa"),"")</f>
      </c>
      <c r="IM157" s="496" t="str">
        <f> IF(IM177&lt;&gt;"",TEXT(AUX!IQ$1,"dd-MMM-aa"),"")</f>
      </c>
      <c r="IN157" s="496" t="str">
        <f> IF(IN177&lt;&gt;"",TEXT(AUX!IR$1,"dd-MMM-aa"),"")</f>
      </c>
      <c r="IO157" s="496" t="str">
        <f> IF(IO177&lt;&gt;"",TEXT(AUX!IS$1,"dd-MMM-aa"),"")</f>
      </c>
      <c r="IP157" s="496" t="str">
        <f> IF(IP177&lt;&gt;"",TEXT(AUX!IT$1,"dd-MMM-aa"),"")</f>
      </c>
      <c r="IQ157" s="496" t="str">
        <f> IF(IQ177&lt;&gt;"",TEXT(AUX!IU$1,"dd-MMM-aa"),"")</f>
      </c>
      <c r="IR157" s="496" t="str">
        <f> IF(IR177&lt;&gt;"",TEXT(AUX!IV$1,"dd-MMM-aa"),"")</f>
      </c>
      <c r="IS157" s="496" t="str">
        <f> IF(IS177&lt;&gt;"",TEXT(AUX!#REF!,"dd-MMM-aa"),"")</f>
      </c>
      <c r="IT157" s="496" t="str">
        <f> IF(IT177&lt;&gt;"",TEXT(AUX!#REF!,"dd-MMM-aa"),"")</f>
      </c>
      <c r="IU157" s="496" t="str">
        <f> IF(IU177&lt;&gt;"",TEXT(AUX!#REF!,"dd-MMM-aa"),"")</f>
      </c>
      <c r="IV157" s="496" t="str">
        <f> IF(IV177&lt;&gt;"",TEXT(AUX!#REF!,"dd-MMM-aa"),"")</f>
      </c>
    </row>
    <row r="158" hidden="1">
      <c r="B158" s="822" t="s">
        <v>8</v>
      </c>
      <c r="C158" s="823">
        <v>1789</v>
      </c>
      <c r="D158" s="823">
        <v>1746</v>
      </c>
      <c r="E158" s="823">
        <v>1675</v>
      </c>
      <c r="F158" s="823">
        <v>1627</v>
      </c>
      <c r="G158" s="823">
        <v>1164</v>
      </c>
      <c r="H158" s="823">
        <v>1136</v>
      </c>
      <c r="I158" s="823">
        <v>1094</v>
      </c>
      <c r="J158" s="823">
        <v>1067</v>
      </c>
      <c r="K158" s="823">
        <v>1040</v>
      </c>
      <c r="L158" s="823">
        <v>1037</v>
      </c>
      <c r="M158" s="823">
        <v>1018</v>
      </c>
      <c r="N158" s="823">
        <v>1020</v>
      </c>
      <c r="O158" s="823">
        <v>986</v>
      </c>
      <c r="P158" s="823">
        <v>963</v>
      </c>
      <c r="Q158" s="823">
        <v>920</v>
      </c>
      <c r="R158" s="823">
        <v>862</v>
      </c>
      <c r="S158" s="823">
        <v>842</v>
      </c>
      <c r="T158" s="823">
        <v>839</v>
      </c>
      <c r="U158" s="823">
        <v>817</v>
      </c>
      <c r="V158" s="823">
        <v>816</v>
      </c>
      <c r="W158" s="823">
        <v>802</v>
      </c>
      <c r="X158" s="823">
        <v>594</v>
      </c>
      <c r="Y158" s="823">
        <v>774</v>
      </c>
      <c r="Z158" s="823">
        <v>758</v>
      </c>
      <c r="AA158" s="823">
        <v>736</v>
      </c>
      <c r="AB158" s="824">
        <v>706</v>
      </c>
      <c r="AC158" s="825">
        <v>711</v>
      </c>
      <c r="AD158" s="825">
        <v>703</v>
      </c>
      <c r="AE158" s="825">
        <v>701</v>
      </c>
      <c r="AF158" s="825">
        <v>681</v>
      </c>
      <c r="AG158" s="825">
        <v>683</v>
      </c>
      <c r="AH158" s="825">
        <v>677</v>
      </c>
      <c r="AI158" s="825">
        <v>670</v>
      </c>
      <c r="AJ158" s="825">
        <v>665</v>
      </c>
      <c r="AK158" s="825">
        <v>619</v>
      </c>
      <c r="AL158" s="825">
        <v>609</v>
      </c>
      <c r="AM158" s="825">
        <v>466</v>
      </c>
      <c r="AN158" s="825">
        <v>423</v>
      </c>
      <c r="AO158" s="825">
        <v>405</v>
      </c>
      <c r="AP158" s="825">
        <v>402</v>
      </c>
    </row>
    <row r="159" hidden="1">
      <c r="B159" s="826" t="s">
        <v>9</v>
      </c>
      <c r="C159" s="827">
        <v>2374</v>
      </c>
      <c r="D159" s="827">
        <v>2376</v>
      </c>
      <c r="E159" s="827">
        <v>2376</v>
      </c>
      <c r="F159" s="827">
        <v>2363</v>
      </c>
      <c r="G159" s="827">
        <v>2309</v>
      </c>
      <c r="H159" s="827">
        <v>2317</v>
      </c>
      <c r="I159" s="827">
        <v>2192</v>
      </c>
      <c r="J159" s="827">
        <v>2207</v>
      </c>
      <c r="K159" s="827">
        <v>2190</v>
      </c>
      <c r="L159" s="827">
        <v>2197</v>
      </c>
      <c r="M159" s="827">
        <v>2189</v>
      </c>
      <c r="N159" s="827">
        <v>2182</v>
      </c>
      <c r="O159" s="827">
        <v>2136</v>
      </c>
      <c r="P159" s="827">
        <v>2115</v>
      </c>
      <c r="Q159" s="827">
        <v>2000</v>
      </c>
      <c r="R159" s="827">
        <v>1991</v>
      </c>
      <c r="S159" s="827">
        <v>2025</v>
      </c>
      <c r="T159" s="827">
        <v>2057</v>
      </c>
      <c r="U159" s="827">
        <v>2059</v>
      </c>
      <c r="V159" s="827">
        <v>2029</v>
      </c>
      <c r="W159" s="827">
        <v>2043</v>
      </c>
      <c r="X159" s="827">
        <v>2101</v>
      </c>
      <c r="Y159" s="827">
        <v>2115</v>
      </c>
      <c r="Z159" s="827">
        <v>2130</v>
      </c>
      <c r="AA159" s="827">
        <v>2148</v>
      </c>
      <c r="AB159" s="827">
        <v>2148</v>
      </c>
      <c r="AC159" s="828">
        <v>2171</v>
      </c>
      <c r="AD159" s="828">
        <v>2196</v>
      </c>
      <c r="AE159" s="828">
        <v>2209</v>
      </c>
      <c r="AF159" s="828">
        <v>2197</v>
      </c>
      <c r="AG159" s="828">
        <v>2192</v>
      </c>
      <c r="AH159" s="828">
        <v>2184</v>
      </c>
      <c r="AI159" s="828">
        <v>40</v>
      </c>
      <c r="AJ159" s="828">
        <v>2163</v>
      </c>
      <c r="AK159" s="828">
        <v>2138</v>
      </c>
      <c r="AL159" s="828">
        <v>2137</v>
      </c>
      <c r="AM159" s="828">
        <v>2094</v>
      </c>
      <c r="AN159" s="828">
        <v>2067</v>
      </c>
      <c r="AO159" s="828">
        <v>2068</v>
      </c>
      <c r="AP159" s="828">
        <v>2049</v>
      </c>
    </row>
    <row r="160" hidden="1">
      <c r="B160" s="829" t="s">
        <v>10</v>
      </c>
      <c r="C160" s="823">
        <v>991</v>
      </c>
      <c r="D160" s="823">
        <v>991</v>
      </c>
      <c r="E160" s="823">
        <v>485</v>
      </c>
      <c r="F160" s="823">
        <v>507</v>
      </c>
      <c r="G160" s="823">
        <v>438</v>
      </c>
      <c r="H160" s="823">
        <v>468</v>
      </c>
      <c r="I160" s="823">
        <v>466</v>
      </c>
      <c r="J160" s="823">
        <v>481</v>
      </c>
      <c r="K160" s="823">
        <v>475</v>
      </c>
      <c r="L160" s="823">
        <v>480</v>
      </c>
      <c r="M160" s="823">
        <v>489</v>
      </c>
      <c r="N160" s="823">
        <v>501</v>
      </c>
      <c r="O160" s="823">
        <v>505</v>
      </c>
      <c r="P160" s="823">
        <v>519</v>
      </c>
      <c r="Q160" s="823">
        <v>506</v>
      </c>
      <c r="R160" s="823">
        <v>513</v>
      </c>
      <c r="S160" s="823">
        <v>512</v>
      </c>
      <c r="T160" s="823">
        <v>521</v>
      </c>
      <c r="U160" s="823">
        <v>520</v>
      </c>
      <c r="V160" s="823">
        <v>514</v>
      </c>
      <c r="W160" s="823">
        <v>532</v>
      </c>
      <c r="X160" s="823">
        <v>527</v>
      </c>
      <c r="Y160" s="823">
        <v>535</v>
      </c>
      <c r="Z160" s="823">
        <v>531</v>
      </c>
      <c r="AA160" s="823">
        <v>542</v>
      </c>
      <c r="AB160" s="823">
        <v>538</v>
      </c>
      <c r="AC160" s="825">
        <v>540</v>
      </c>
      <c r="AD160" s="825">
        <v>530</v>
      </c>
      <c r="AE160" s="825">
        <v>542</v>
      </c>
      <c r="AF160" s="825">
        <v>542</v>
      </c>
      <c r="AG160" s="825">
        <v>558</v>
      </c>
      <c r="AH160" s="825">
        <v>3</v>
      </c>
      <c r="AI160" s="825">
        <v>7</v>
      </c>
      <c r="AJ160" s="825">
        <v>557</v>
      </c>
      <c r="AK160" s="825">
        <v>560</v>
      </c>
      <c r="AL160" s="825">
        <v>525</v>
      </c>
      <c r="AM160" s="825">
        <v>533</v>
      </c>
      <c r="AN160" s="825">
        <v>209</v>
      </c>
      <c r="AO160" s="825">
        <v>216</v>
      </c>
      <c r="AP160" s="825">
        <v>204</v>
      </c>
    </row>
    <row r="161" hidden="1">
      <c r="B161" s="826" t="s">
        <v>11</v>
      </c>
      <c r="C161" s="827">
        <v>219</v>
      </c>
      <c r="D161" s="827">
        <v>217</v>
      </c>
      <c r="E161" s="827">
        <v>209</v>
      </c>
      <c r="F161" s="827">
        <v>214</v>
      </c>
      <c r="G161" s="827">
        <v>194</v>
      </c>
      <c r="H161" s="827">
        <v>192</v>
      </c>
      <c r="I161" s="827">
        <v>179</v>
      </c>
      <c r="J161" s="827">
        <v>166</v>
      </c>
      <c r="K161" s="827">
        <v>143</v>
      </c>
      <c r="L161" s="827">
        <v>146</v>
      </c>
      <c r="M161" s="827">
        <v>153</v>
      </c>
      <c r="N161" s="827">
        <v>163</v>
      </c>
      <c r="O161" s="827">
        <v>168</v>
      </c>
      <c r="P161" s="827">
        <v>169</v>
      </c>
      <c r="Q161" s="827">
        <v>175</v>
      </c>
      <c r="R161" s="827">
        <v>181</v>
      </c>
      <c r="S161" s="827">
        <v>177</v>
      </c>
      <c r="T161" s="827">
        <v>187</v>
      </c>
      <c r="U161" s="827">
        <v>188</v>
      </c>
      <c r="V161" s="827">
        <v>192</v>
      </c>
      <c r="W161" s="827">
        <v>181</v>
      </c>
      <c r="X161" s="827">
        <v>181</v>
      </c>
      <c r="Y161" s="827">
        <v>179</v>
      </c>
      <c r="Z161" s="827">
        <v>178</v>
      </c>
      <c r="AA161" s="827">
        <v>170</v>
      </c>
      <c r="AB161" s="827">
        <v>170</v>
      </c>
      <c r="AC161" s="828">
        <v>170</v>
      </c>
      <c r="AD161" s="828">
        <v>173</v>
      </c>
      <c r="AE161" s="828">
        <v>178</v>
      </c>
      <c r="AF161" s="828">
        <v>183</v>
      </c>
      <c r="AG161" s="828">
        <v>172</v>
      </c>
      <c r="AH161" s="828">
        <v>177</v>
      </c>
      <c r="AI161" s="828">
        <v>3</v>
      </c>
      <c r="AJ161" s="828">
        <v>187</v>
      </c>
      <c r="AK161" s="828">
        <v>180</v>
      </c>
      <c r="AL161" s="828">
        <v>182</v>
      </c>
      <c r="AM161" s="828">
        <v>163</v>
      </c>
      <c r="AN161" s="828">
        <v>150</v>
      </c>
      <c r="AO161" s="828">
        <v>137</v>
      </c>
      <c r="AP161" s="828">
        <v>130</v>
      </c>
    </row>
    <row r="162" hidden="1">
      <c r="B162" s="829" t="s">
        <v>12</v>
      </c>
      <c r="C162" s="823">
        <v>64</v>
      </c>
      <c r="D162" s="823">
        <v>69</v>
      </c>
      <c r="E162" s="823">
        <v>85</v>
      </c>
      <c r="F162" s="823">
        <v>80</v>
      </c>
      <c r="G162" s="823">
        <v>105</v>
      </c>
      <c r="H162" s="823">
        <v>110</v>
      </c>
      <c r="I162" s="823">
        <v>113</v>
      </c>
      <c r="J162" s="823">
        <v>109</v>
      </c>
      <c r="K162" s="823">
        <v>123</v>
      </c>
      <c r="L162" s="823">
        <v>125</v>
      </c>
      <c r="M162" s="823">
        <v>126</v>
      </c>
      <c r="N162" s="823">
        <v>123</v>
      </c>
      <c r="O162" s="823">
        <v>124</v>
      </c>
      <c r="P162" s="823">
        <v>135</v>
      </c>
      <c r="Q162" s="823">
        <v>144</v>
      </c>
      <c r="R162" s="823">
        <v>144</v>
      </c>
      <c r="S162" s="823">
        <v>143</v>
      </c>
      <c r="T162" s="823">
        <v>146</v>
      </c>
      <c r="U162" s="823">
        <v>149</v>
      </c>
      <c r="V162" s="823">
        <v>151</v>
      </c>
      <c r="W162" s="823">
        <v>149</v>
      </c>
      <c r="X162" s="823">
        <v>153</v>
      </c>
      <c r="Y162" s="823">
        <v>145</v>
      </c>
      <c r="Z162" s="823">
        <v>143</v>
      </c>
      <c r="AA162" s="823">
        <v>141</v>
      </c>
      <c r="AB162" s="823">
        <v>145</v>
      </c>
      <c r="AC162" s="825">
        <v>152</v>
      </c>
      <c r="AD162" s="825">
        <v>150</v>
      </c>
      <c r="AE162" s="825">
        <v>151</v>
      </c>
      <c r="AF162" s="825">
        <v>157</v>
      </c>
      <c r="AG162" s="825">
        <v>159</v>
      </c>
      <c r="AH162" s="825">
        <v>153</v>
      </c>
      <c r="AI162" s="825">
        <v>145</v>
      </c>
      <c r="AJ162" s="825">
        <v>135</v>
      </c>
      <c r="AK162" s="825">
        <v>126</v>
      </c>
      <c r="AL162" s="825">
        <v>87</v>
      </c>
      <c r="AM162" s="825">
        <v>76</v>
      </c>
      <c r="AN162" s="825">
        <v>74</v>
      </c>
      <c r="AO162" s="825">
        <v>76</v>
      </c>
      <c r="AP162" s="825">
        <v>76</v>
      </c>
    </row>
    <row r="163" hidden="1">
      <c r="B163" s="826" t="s">
        <v>13</v>
      </c>
      <c r="C163" s="827">
        <v>48</v>
      </c>
      <c r="D163" s="827">
        <v>48</v>
      </c>
      <c r="E163" s="827">
        <v>53</v>
      </c>
      <c r="F163" s="827">
        <v>42</v>
      </c>
      <c r="G163" s="827">
        <v>42</v>
      </c>
      <c r="H163" s="827">
        <v>44</v>
      </c>
      <c r="I163" s="827">
        <v>41</v>
      </c>
      <c r="J163" s="827">
        <v>47</v>
      </c>
      <c r="K163" s="827">
        <v>47</v>
      </c>
      <c r="L163" s="827">
        <v>49</v>
      </c>
      <c r="M163" s="827">
        <v>51</v>
      </c>
      <c r="N163" s="827">
        <v>51</v>
      </c>
      <c r="O163" s="827">
        <v>52</v>
      </c>
      <c r="P163" s="827">
        <v>53</v>
      </c>
      <c r="Q163" s="827">
        <v>53</v>
      </c>
      <c r="R163" s="827">
        <v>53</v>
      </c>
      <c r="S163" s="827">
        <v>53</v>
      </c>
      <c r="T163" s="827">
        <v>56</v>
      </c>
      <c r="U163" s="827">
        <v>56</v>
      </c>
      <c r="V163" s="827">
        <v>58</v>
      </c>
      <c r="W163" s="827">
        <v>60</v>
      </c>
      <c r="X163" s="827">
        <v>62</v>
      </c>
      <c r="Y163" s="827">
        <v>62</v>
      </c>
      <c r="Z163" s="827">
        <v>60</v>
      </c>
      <c r="AA163" s="827">
        <v>68</v>
      </c>
      <c r="AB163" s="827">
        <v>75</v>
      </c>
      <c r="AC163" s="828">
        <v>75</v>
      </c>
      <c r="AD163" s="828">
        <v>79</v>
      </c>
      <c r="AE163" s="828">
        <v>82</v>
      </c>
      <c r="AF163" s="828">
        <v>83</v>
      </c>
      <c r="AG163" s="828">
        <v>85</v>
      </c>
      <c r="AH163" s="828">
        <v>86</v>
      </c>
      <c r="AI163" s="828">
        <v>86</v>
      </c>
      <c r="AJ163" s="828">
        <v>86</v>
      </c>
      <c r="AK163" s="828">
        <v>85</v>
      </c>
      <c r="AL163" s="828">
        <v>85</v>
      </c>
      <c r="AM163" s="828">
        <v>86</v>
      </c>
      <c r="AN163" s="828">
        <v>83</v>
      </c>
      <c r="AO163" s="828">
        <v>82</v>
      </c>
      <c r="AP163" s="828">
        <v>85</v>
      </c>
    </row>
    <row r="164" hidden="1">
      <c r="B164" s="829" t="s">
        <v>109</v>
      </c>
      <c r="C164" s="823">
        <v>1725</v>
      </c>
      <c r="D164" s="823">
        <v>1539</v>
      </c>
      <c r="E164" s="823">
        <v>1503</v>
      </c>
      <c r="F164" s="823">
        <v>1421</v>
      </c>
      <c r="G164" s="823">
        <v>1397</v>
      </c>
      <c r="H164" s="823">
        <v>1340</v>
      </c>
      <c r="I164" s="823">
        <v>1348</v>
      </c>
      <c r="J164" s="823">
        <v>1332</v>
      </c>
      <c r="K164" s="823">
        <v>1295</v>
      </c>
      <c r="L164" s="823">
        <v>1257</v>
      </c>
      <c r="M164" s="823">
        <v>1253</v>
      </c>
      <c r="N164" s="823">
        <v>1214</v>
      </c>
      <c r="O164" s="823">
        <v>1184</v>
      </c>
      <c r="P164" s="823">
        <v>1179</v>
      </c>
      <c r="Q164" s="823">
        <v>1201</v>
      </c>
      <c r="R164" s="823">
        <v>1218</v>
      </c>
      <c r="S164" s="823">
        <v>1203</v>
      </c>
      <c r="T164" s="823">
        <v>1199</v>
      </c>
      <c r="U164" s="823">
        <v>1206</v>
      </c>
      <c r="V164" s="823">
        <v>1208</v>
      </c>
      <c r="W164" s="823">
        <v>1215</v>
      </c>
      <c r="X164" s="823">
        <v>1123</v>
      </c>
      <c r="Y164" s="823">
        <v>1145</v>
      </c>
      <c r="Z164" s="823">
        <v>1141</v>
      </c>
      <c r="AA164" s="823">
        <v>1132</v>
      </c>
      <c r="AB164" s="823">
        <v>1146</v>
      </c>
      <c r="AC164" s="825">
        <v>1085</v>
      </c>
      <c r="AD164" s="825">
        <v>1096</v>
      </c>
      <c r="AE164" s="825">
        <v>1106</v>
      </c>
      <c r="AF164" s="825">
        <v>1108</v>
      </c>
      <c r="AG164" s="825">
        <v>1106</v>
      </c>
      <c r="AH164" s="825">
        <v>1092</v>
      </c>
      <c r="AI164" s="825">
        <v>2</v>
      </c>
      <c r="AJ164" s="825">
        <v>980</v>
      </c>
      <c r="AK164" s="825">
        <v>988</v>
      </c>
      <c r="AL164" s="825">
        <v>1001</v>
      </c>
      <c r="AM164" s="825">
        <v>915</v>
      </c>
      <c r="AN164" s="825">
        <v>937</v>
      </c>
      <c r="AO164" s="825">
        <v>950</v>
      </c>
      <c r="AP164" s="825">
        <v>962</v>
      </c>
    </row>
    <row r="165" hidden="1">
      <c r="B165" s="826" t="s">
        <v>110</v>
      </c>
      <c r="C165" s="827">
        <v>4384</v>
      </c>
      <c r="D165" s="827">
        <v>4439</v>
      </c>
      <c r="E165" s="827">
        <v>4493</v>
      </c>
      <c r="F165" s="827">
        <v>4549</v>
      </c>
      <c r="G165" s="827">
        <v>4580</v>
      </c>
      <c r="H165" s="827">
        <v>4605</v>
      </c>
      <c r="I165" s="827">
        <v>3658</v>
      </c>
      <c r="J165" s="827">
        <v>3765</v>
      </c>
      <c r="K165" s="827">
        <v>3848</v>
      </c>
      <c r="L165" s="827">
        <v>3825</v>
      </c>
      <c r="M165" s="827">
        <v>3866</v>
      </c>
      <c r="N165" s="827">
        <v>3847</v>
      </c>
      <c r="O165" s="827">
        <v>3654</v>
      </c>
      <c r="P165" s="827">
        <v>3486</v>
      </c>
      <c r="Q165" s="827">
        <v>3541</v>
      </c>
      <c r="R165" s="827">
        <v>3462</v>
      </c>
      <c r="S165" s="827">
        <v>3552</v>
      </c>
      <c r="T165" s="827">
        <v>3465</v>
      </c>
      <c r="U165" s="827">
        <v>3441</v>
      </c>
      <c r="V165" s="827">
        <v>3448</v>
      </c>
      <c r="W165" s="827">
        <v>3404</v>
      </c>
      <c r="X165" s="827">
        <v>3410</v>
      </c>
      <c r="Y165" s="827">
        <v>3403</v>
      </c>
      <c r="Z165" s="827">
        <v>3393</v>
      </c>
      <c r="AA165" s="827">
        <v>3353</v>
      </c>
      <c r="AB165" s="827">
        <v>3386</v>
      </c>
      <c r="AC165" s="828">
        <v>3359</v>
      </c>
      <c r="AD165" s="828">
        <v>3350</v>
      </c>
      <c r="AE165" s="828">
        <v>3339</v>
      </c>
      <c r="AF165" s="828">
        <v>3253</v>
      </c>
      <c r="AG165" s="828">
        <v>3254</v>
      </c>
      <c r="AH165" s="828">
        <v>3201</v>
      </c>
      <c r="AI165" s="828">
        <v>3121</v>
      </c>
      <c r="AJ165" s="828">
        <v>3036</v>
      </c>
      <c r="AK165" s="828">
        <v>3039</v>
      </c>
      <c r="AL165" s="828">
        <v>2961</v>
      </c>
      <c r="AM165" s="828">
        <v>2856</v>
      </c>
      <c r="AN165" s="828">
        <v>2815</v>
      </c>
      <c r="AO165" s="828">
        <v>2747</v>
      </c>
      <c r="AP165" s="828">
        <v>2741</v>
      </c>
    </row>
    <row r="166" hidden="1">
      <c r="B166" s="829" t="s">
        <v>16</v>
      </c>
      <c r="C166" s="823">
        <v>3423</v>
      </c>
      <c r="D166" s="823">
        <v>3385</v>
      </c>
      <c r="E166" s="823">
        <v>3333</v>
      </c>
      <c r="F166" s="823">
        <v>3307</v>
      </c>
      <c r="G166" s="823">
        <v>3210</v>
      </c>
      <c r="H166" s="823">
        <v>3164</v>
      </c>
      <c r="I166" s="823">
        <v>3070</v>
      </c>
      <c r="J166" s="823">
        <v>2893</v>
      </c>
      <c r="K166" s="823">
        <v>2812</v>
      </c>
      <c r="L166" s="823">
        <v>2774</v>
      </c>
      <c r="M166" s="823">
        <v>2719</v>
      </c>
      <c r="N166" s="823">
        <v>2697</v>
      </c>
      <c r="O166" s="823">
        <v>2661</v>
      </c>
      <c r="P166" s="823">
        <v>2631</v>
      </c>
      <c r="Q166" s="823">
        <v>2596</v>
      </c>
      <c r="R166" s="823">
        <v>2558</v>
      </c>
      <c r="S166" s="823">
        <v>2544</v>
      </c>
      <c r="T166" s="823">
        <v>2520</v>
      </c>
      <c r="U166" s="823">
        <v>2491</v>
      </c>
      <c r="V166" s="823">
        <v>2473</v>
      </c>
      <c r="W166" s="823">
        <v>2476</v>
      </c>
      <c r="X166" s="823">
        <v>2469</v>
      </c>
      <c r="Y166" s="823">
        <v>2459</v>
      </c>
      <c r="Z166" s="823">
        <v>2458</v>
      </c>
      <c r="AA166" s="823">
        <v>2462</v>
      </c>
      <c r="AB166" s="823">
        <v>2456</v>
      </c>
      <c r="AC166" s="825">
        <v>2454</v>
      </c>
      <c r="AD166" s="825">
        <v>2451</v>
      </c>
      <c r="AE166" s="825">
        <v>2446</v>
      </c>
      <c r="AF166" s="825">
        <v>2459</v>
      </c>
      <c r="AG166" s="825">
        <v>2449</v>
      </c>
      <c r="AH166" s="825">
        <v>2444</v>
      </c>
      <c r="AI166" s="825">
        <v>60</v>
      </c>
      <c r="AJ166" s="825">
        <v>2428</v>
      </c>
      <c r="AK166" s="825">
        <v>2391</v>
      </c>
      <c r="AL166" s="825">
        <v>2352</v>
      </c>
      <c r="AM166" s="825">
        <v>2327</v>
      </c>
      <c r="AN166" s="825">
        <v>2324</v>
      </c>
      <c r="AO166" s="825">
        <v>2316</v>
      </c>
      <c r="AP166" s="825">
        <v>2291</v>
      </c>
    </row>
    <row r="167" hidden="1">
      <c r="B167" s="826" t="s">
        <v>17</v>
      </c>
      <c r="C167" s="827">
        <v>831</v>
      </c>
      <c r="D167" s="827">
        <v>804</v>
      </c>
      <c r="E167" s="827">
        <v>804</v>
      </c>
      <c r="F167" s="827">
        <v>809</v>
      </c>
      <c r="G167" s="827">
        <v>658</v>
      </c>
      <c r="H167" s="827">
        <v>673</v>
      </c>
      <c r="I167" s="827">
        <v>672</v>
      </c>
      <c r="J167" s="827">
        <v>676</v>
      </c>
      <c r="K167" s="827">
        <v>681</v>
      </c>
      <c r="L167" s="827">
        <v>687</v>
      </c>
      <c r="M167" s="827">
        <v>687</v>
      </c>
      <c r="N167" s="827">
        <v>691</v>
      </c>
      <c r="O167" s="827">
        <v>696</v>
      </c>
      <c r="P167" s="827">
        <v>676</v>
      </c>
      <c r="Q167" s="827">
        <v>650</v>
      </c>
      <c r="R167" s="827">
        <v>647</v>
      </c>
      <c r="S167" s="827">
        <v>589</v>
      </c>
      <c r="T167" s="827">
        <v>589</v>
      </c>
      <c r="U167" s="827">
        <v>596</v>
      </c>
      <c r="V167" s="827">
        <v>604</v>
      </c>
      <c r="W167" s="827">
        <v>578</v>
      </c>
      <c r="X167" s="827">
        <v>573</v>
      </c>
      <c r="Y167" s="827">
        <v>576</v>
      </c>
      <c r="Z167" s="827">
        <v>581</v>
      </c>
      <c r="AA167" s="827">
        <v>581</v>
      </c>
      <c r="AB167" s="827">
        <v>589</v>
      </c>
      <c r="AC167" s="828">
        <v>593</v>
      </c>
      <c r="AD167" s="828">
        <v>591</v>
      </c>
      <c r="AE167" s="828">
        <v>591</v>
      </c>
      <c r="AF167" s="828">
        <v>593</v>
      </c>
      <c r="AG167" s="828">
        <v>589</v>
      </c>
      <c r="AH167" s="828">
        <v>584</v>
      </c>
      <c r="AI167" s="828">
        <v>500</v>
      </c>
      <c r="AJ167" s="828">
        <v>577</v>
      </c>
      <c r="AK167" s="828">
        <v>570</v>
      </c>
      <c r="AL167" s="828">
        <v>568</v>
      </c>
      <c r="AM167" s="828">
        <v>563</v>
      </c>
      <c r="AN167" s="828">
        <v>561</v>
      </c>
      <c r="AO167" s="828">
        <v>552</v>
      </c>
      <c r="AP167" s="828">
        <v>525</v>
      </c>
    </row>
    <row r="168" hidden="1">
      <c r="B168" s="829" t="s">
        <v>18</v>
      </c>
      <c r="C168" s="823">
        <v>18931</v>
      </c>
      <c r="D168" s="823">
        <v>8033</v>
      </c>
      <c r="E168" s="823">
        <v>9951</v>
      </c>
      <c r="F168" s="823">
        <v>11085</v>
      </c>
      <c r="G168" s="823">
        <v>11427</v>
      </c>
      <c r="H168" s="823">
        <v>11925</v>
      </c>
      <c r="I168" s="823">
        <v>10839</v>
      </c>
      <c r="J168" s="823">
        <v>10785</v>
      </c>
      <c r="K168" s="823">
        <v>10887</v>
      </c>
      <c r="L168" s="823">
        <v>10452</v>
      </c>
      <c r="M168" s="823">
        <v>10254</v>
      </c>
      <c r="N168" s="823">
        <v>10241</v>
      </c>
      <c r="O168" s="823">
        <v>9986</v>
      </c>
      <c r="P168" s="823">
        <v>10090</v>
      </c>
      <c r="Q168" s="823">
        <v>9915</v>
      </c>
      <c r="R168" s="823">
        <v>10091</v>
      </c>
      <c r="S168" s="823">
        <v>10097</v>
      </c>
      <c r="T168" s="823">
        <v>9907</v>
      </c>
      <c r="U168" s="823">
        <v>9934</v>
      </c>
      <c r="V168" s="823">
        <v>9460</v>
      </c>
      <c r="W168" s="823">
        <v>9212</v>
      </c>
      <c r="X168" s="823">
        <v>9196</v>
      </c>
      <c r="Y168" s="823">
        <v>8066</v>
      </c>
      <c r="Z168" s="823">
        <v>8017</v>
      </c>
      <c r="AA168" s="823">
        <v>7858</v>
      </c>
      <c r="AB168" s="823">
        <v>8105</v>
      </c>
      <c r="AC168" s="825">
        <v>8421</v>
      </c>
      <c r="AD168" s="825">
        <v>8594</v>
      </c>
      <c r="AE168" s="825">
        <v>8850</v>
      </c>
      <c r="AF168" s="825">
        <v>9256</v>
      </c>
      <c r="AG168" s="825">
        <v>9515</v>
      </c>
      <c r="AH168" s="825">
        <v>9524</v>
      </c>
      <c r="AI168" s="825">
        <v>2955</v>
      </c>
      <c r="AJ168" s="825">
        <v>6214</v>
      </c>
      <c r="AK168" s="825">
        <v>5067</v>
      </c>
      <c r="AL168" s="825">
        <v>5116</v>
      </c>
      <c r="AM168" s="825">
        <v>4774</v>
      </c>
      <c r="AN168" s="825">
        <v>4809</v>
      </c>
      <c r="AO168" s="825">
        <v>4057</v>
      </c>
      <c r="AP168" s="825">
        <v>3951</v>
      </c>
    </row>
    <row r="169" hidden="1">
      <c r="B169" s="826" t="s">
        <v>19</v>
      </c>
      <c r="C169" s="827">
        <v>231</v>
      </c>
      <c r="D169" s="827">
        <v>233</v>
      </c>
      <c r="E169" s="827">
        <v>234</v>
      </c>
      <c r="F169" s="827">
        <v>240</v>
      </c>
      <c r="G169" s="827">
        <v>239</v>
      </c>
      <c r="H169" s="827">
        <v>245</v>
      </c>
      <c r="I169" s="827">
        <v>177</v>
      </c>
      <c r="J169" s="827">
        <v>185</v>
      </c>
      <c r="K169" s="827">
        <v>187</v>
      </c>
      <c r="L169" s="827">
        <v>187</v>
      </c>
      <c r="M169" s="827">
        <v>171</v>
      </c>
      <c r="N169" s="827">
        <v>171</v>
      </c>
      <c r="O169" s="827">
        <v>173</v>
      </c>
      <c r="P169" s="827">
        <v>173</v>
      </c>
      <c r="Q169" s="827">
        <v>169</v>
      </c>
      <c r="R169" s="827">
        <v>171</v>
      </c>
      <c r="S169" s="827">
        <v>175</v>
      </c>
      <c r="T169" s="827">
        <v>178</v>
      </c>
      <c r="U169" s="827">
        <v>181</v>
      </c>
      <c r="V169" s="827">
        <v>181</v>
      </c>
      <c r="W169" s="827">
        <v>184</v>
      </c>
      <c r="X169" s="827">
        <v>185</v>
      </c>
      <c r="Y169" s="827">
        <v>184</v>
      </c>
      <c r="Z169" s="827">
        <v>184</v>
      </c>
      <c r="AA169" s="827">
        <v>186</v>
      </c>
      <c r="AB169" s="827">
        <v>188</v>
      </c>
      <c r="AC169" s="828">
        <v>190</v>
      </c>
      <c r="AD169" s="828">
        <v>189</v>
      </c>
      <c r="AE169" s="828">
        <v>187</v>
      </c>
      <c r="AF169" s="828">
        <v>188</v>
      </c>
      <c r="AG169" s="828">
        <v>188</v>
      </c>
      <c r="AH169" s="828">
        <v>186</v>
      </c>
      <c r="AI169" s="828">
        <v>187</v>
      </c>
      <c r="AJ169" s="828">
        <v>188</v>
      </c>
      <c r="AK169" s="828">
        <v>189</v>
      </c>
      <c r="AL169" s="828">
        <v>185</v>
      </c>
      <c r="AM169" s="828">
        <v>184</v>
      </c>
      <c r="AN169" s="828">
        <v>188</v>
      </c>
      <c r="AO169" s="828">
        <v>195</v>
      </c>
      <c r="AP169" s="828">
        <v>197</v>
      </c>
    </row>
    <row r="170" hidden="1">
      <c r="B170" s="829" t="s">
        <v>20</v>
      </c>
      <c r="C170" s="823">
        <v>418</v>
      </c>
      <c r="D170" s="823">
        <v>423</v>
      </c>
      <c r="E170" s="823">
        <v>424</v>
      </c>
      <c r="F170" s="823">
        <v>409</v>
      </c>
      <c r="G170" s="823">
        <v>384</v>
      </c>
      <c r="H170" s="823">
        <v>384</v>
      </c>
      <c r="I170" s="823">
        <v>386</v>
      </c>
      <c r="J170" s="823">
        <v>392</v>
      </c>
      <c r="K170" s="823">
        <v>392</v>
      </c>
      <c r="L170" s="823">
        <v>368</v>
      </c>
      <c r="M170" s="823">
        <v>374</v>
      </c>
      <c r="N170" s="823">
        <v>339</v>
      </c>
      <c r="O170" s="823">
        <v>345</v>
      </c>
      <c r="P170" s="823">
        <v>352</v>
      </c>
      <c r="Q170" s="823">
        <v>353</v>
      </c>
      <c r="R170" s="823">
        <v>357</v>
      </c>
      <c r="S170" s="823">
        <v>324</v>
      </c>
      <c r="T170" s="823">
        <v>329</v>
      </c>
      <c r="U170" s="823">
        <v>334</v>
      </c>
      <c r="V170" s="823">
        <v>334</v>
      </c>
      <c r="W170" s="823">
        <v>339</v>
      </c>
      <c r="X170" s="823">
        <v>343</v>
      </c>
      <c r="Y170" s="823">
        <v>342</v>
      </c>
      <c r="Z170" s="823">
        <v>343</v>
      </c>
      <c r="AA170" s="823">
        <v>348</v>
      </c>
      <c r="AB170" s="823">
        <v>350</v>
      </c>
      <c r="AC170" s="825">
        <v>353</v>
      </c>
      <c r="AD170" s="825">
        <v>355</v>
      </c>
      <c r="AE170" s="825">
        <v>356</v>
      </c>
      <c r="AF170" s="825">
        <v>354</v>
      </c>
      <c r="AG170" s="825">
        <v>318</v>
      </c>
      <c r="AH170" s="825">
        <v>317</v>
      </c>
      <c r="AI170" s="825">
        <v>316</v>
      </c>
      <c r="AJ170" s="825">
        <v>318</v>
      </c>
      <c r="AK170" s="825">
        <v>309</v>
      </c>
      <c r="AL170" s="825">
        <v>299</v>
      </c>
      <c r="AM170" s="825">
        <v>297</v>
      </c>
      <c r="AN170" s="825">
        <v>300</v>
      </c>
      <c r="AO170" s="825">
        <v>294</v>
      </c>
      <c r="AP170" s="825">
        <v>294</v>
      </c>
    </row>
    <row r="171" hidden="1">
      <c r="B171" s="826" t="s">
        <v>21</v>
      </c>
      <c r="C171" s="827">
        <v>228</v>
      </c>
      <c r="D171" s="827">
        <v>175</v>
      </c>
      <c r="E171" s="827">
        <v>183</v>
      </c>
      <c r="F171" s="827">
        <v>183</v>
      </c>
      <c r="G171" s="827">
        <v>194</v>
      </c>
      <c r="H171" s="827">
        <v>175</v>
      </c>
      <c r="I171" s="827">
        <v>181</v>
      </c>
      <c r="J171" s="827">
        <v>184</v>
      </c>
      <c r="K171" s="827">
        <v>193</v>
      </c>
      <c r="L171" s="827">
        <v>198</v>
      </c>
      <c r="M171" s="827">
        <v>199</v>
      </c>
      <c r="N171" s="827">
        <v>180</v>
      </c>
      <c r="O171" s="827">
        <v>186</v>
      </c>
      <c r="P171" s="827">
        <v>173</v>
      </c>
      <c r="Q171" s="827">
        <v>182</v>
      </c>
      <c r="R171" s="827">
        <v>187</v>
      </c>
      <c r="S171" s="827">
        <v>189</v>
      </c>
      <c r="T171" s="827">
        <v>189</v>
      </c>
      <c r="U171" s="827">
        <v>187</v>
      </c>
      <c r="V171" s="827">
        <v>189</v>
      </c>
      <c r="W171" s="827">
        <v>176</v>
      </c>
      <c r="X171" s="827">
        <v>178</v>
      </c>
      <c r="Y171" s="827">
        <v>172</v>
      </c>
      <c r="Z171" s="827">
        <v>174</v>
      </c>
      <c r="AA171" s="827">
        <v>171</v>
      </c>
      <c r="AB171" s="827">
        <v>177</v>
      </c>
      <c r="AC171" s="828">
        <v>182</v>
      </c>
      <c r="AD171" s="828">
        <v>182</v>
      </c>
      <c r="AE171" s="828">
        <v>184</v>
      </c>
      <c r="AF171" s="828">
        <v>167</v>
      </c>
      <c r="AG171" s="828">
        <v>174</v>
      </c>
      <c r="AH171" s="828">
        <v>1</v>
      </c>
      <c r="AI171" s="828">
        <v>4</v>
      </c>
      <c r="AJ171" s="828">
        <v>173</v>
      </c>
      <c r="AK171" s="828">
        <v>162</v>
      </c>
      <c r="AL171" s="828">
        <v>160</v>
      </c>
      <c r="AM171" s="828">
        <v>149</v>
      </c>
      <c r="AN171" s="828">
        <v>155</v>
      </c>
      <c r="AO171" s="828">
        <v>156</v>
      </c>
      <c r="AP171" s="828">
        <v>160</v>
      </c>
    </row>
    <row r="172" hidden="1">
      <c r="B172" s="829" t="s">
        <v>22</v>
      </c>
      <c r="C172" s="823">
        <v>645</v>
      </c>
      <c r="D172" s="823">
        <v>671</v>
      </c>
      <c r="E172" s="823">
        <v>688</v>
      </c>
      <c r="F172" s="823">
        <v>703</v>
      </c>
      <c r="G172" s="823">
        <v>714</v>
      </c>
      <c r="H172" s="823">
        <v>723</v>
      </c>
      <c r="I172" s="823">
        <v>618</v>
      </c>
      <c r="J172" s="823">
        <v>625</v>
      </c>
      <c r="K172" s="823">
        <v>550</v>
      </c>
      <c r="L172" s="823">
        <v>568</v>
      </c>
      <c r="M172" s="823">
        <v>306</v>
      </c>
      <c r="N172" s="823">
        <v>323</v>
      </c>
      <c r="O172" s="823">
        <v>317</v>
      </c>
      <c r="P172" s="823">
        <v>333</v>
      </c>
      <c r="Q172" s="823">
        <v>314</v>
      </c>
      <c r="R172" s="823">
        <v>319</v>
      </c>
      <c r="S172" s="823">
        <v>313</v>
      </c>
      <c r="T172" s="823">
        <v>317</v>
      </c>
      <c r="U172" s="823">
        <v>271</v>
      </c>
      <c r="V172" s="823">
        <v>293</v>
      </c>
      <c r="W172" s="823">
        <v>279</v>
      </c>
      <c r="X172" s="823">
        <v>276</v>
      </c>
      <c r="Y172" s="823">
        <v>253</v>
      </c>
      <c r="Z172" s="823">
        <v>260</v>
      </c>
      <c r="AA172" s="823">
        <v>244</v>
      </c>
      <c r="AB172" s="823">
        <v>245</v>
      </c>
      <c r="AC172" s="825">
        <v>241</v>
      </c>
      <c r="AD172" s="825">
        <v>249</v>
      </c>
      <c r="AE172" s="825">
        <v>242</v>
      </c>
      <c r="AF172" s="825">
        <v>249</v>
      </c>
      <c r="AG172" s="825">
        <v>250</v>
      </c>
      <c r="AH172" s="825">
        <v>182</v>
      </c>
      <c r="AI172" s="825">
        <v>142</v>
      </c>
      <c r="AJ172" s="825">
        <v>242</v>
      </c>
      <c r="AK172" s="825">
        <v>241</v>
      </c>
      <c r="AL172" s="825">
        <v>243</v>
      </c>
      <c r="AM172" s="825">
        <v>240</v>
      </c>
      <c r="AN172" s="825">
        <v>234</v>
      </c>
      <c r="AO172" s="825">
        <v>232</v>
      </c>
      <c r="AP172" s="825">
        <v>228</v>
      </c>
    </row>
    <row r="173" hidden="1">
      <c r="B173" s="826" t="s">
        <v>23</v>
      </c>
      <c r="C173" s="827">
        <v>101</v>
      </c>
      <c r="D173" s="827">
        <v>97</v>
      </c>
      <c r="E173" s="827">
        <v>95</v>
      </c>
      <c r="F173" s="827">
        <v>90</v>
      </c>
      <c r="G173" s="827">
        <v>87</v>
      </c>
      <c r="H173" s="827">
        <v>88</v>
      </c>
      <c r="I173" s="827">
        <v>87</v>
      </c>
      <c r="J173" s="827">
        <v>86</v>
      </c>
      <c r="K173" s="827">
        <v>84</v>
      </c>
      <c r="L173" s="827">
        <v>77</v>
      </c>
      <c r="M173" s="827">
        <v>78</v>
      </c>
      <c r="N173" s="827">
        <v>82</v>
      </c>
      <c r="O173" s="827">
        <v>84</v>
      </c>
      <c r="P173" s="827">
        <v>84</v>
      </c>
      <c r="Q173" s="827">
        <v>81</v>
      </c>
      <c r="R173" s="827">
        <v>80</v>
      </c>
      <c r="S173" s="827">
        <v>79</v>
      </c>
      <c r="T173" s="827">
        <v>81</v>
      </c>
      <c r="U173" s="827">
        <v>82</v>
      </c>
      <c r="V173" s="827">
        <v>83</v>
      </c>
      <c r="W173" s="827">
        <v>82</v>
      </c>
      <c r="X173" s="827">
        <v>80</v>
      </c>
      <c r="Y173" s="827">
        <v>80</v>
      </c>
      <c r="Z173" s="827">
        <v>73</v>
      </c>
      <c r="AA173" s="827">
        <v>73</v>
      </c>
      <c r="AB173" s="827">
        <v>69</v>
      </c>
      <c r="AC173" s="828">
        <v>69</v>
      </c>
      <c r="AD173" s="828">
        <v>68</v>
      </c>
      <c r="AE173" s="828">
        <v>71</v>
      </c>
      <c r="AF173" s="828">
        <v>65</v>
      </c>
      <c r="AG173" s="828">
        <v>71</v>
      </c>
      <c r="AH173" s="828">
        <v>67</v>
      </c>
      <c r="AI173" s="828">
        <v>0</v>
      </c>
      <c r="AJ173" s="828">
        <v>69</v>
      </c>
      <c r="AK173" s="828">
        <v>65</v>
      </c>
      <c r="AL173" s="828">
        <v>63</v>
      </c>
      <c r="AM173" s="828">
        <v>61</v>
      </c>
      <c r="AN173" s="828">
        <v>61</v>
      </c>
      <c r="AO173" s="828">
        <v>61</v>
      </c>
      <c r="AP173" s="828">
        <v>63</v>
      </c>
    </row>
    <row r="174" hidden="1">
      <c r="B174" s="830" t="s">
        <v>24</v>
      </c>
      <c r="C174" s="823">
        <v>343</v>
      </c>
      <c r="D174" s="823">
        <v>307</v>
      </c>
      <c r="E174" s="823">
        <v>243</v>
      </c>
      <c r="F174" s="823">
        <v>229</v>
      </c>
      <c r="G174" s="823">
        <v>211</v>
      </c>
      <c r="H174" s="823">
        <v>207</v>
      </c>
      <c r="I174" s="823">
        <v>202</v>
      </c>
      <c r="J174" s="823">
        <v>198</v>
      </c>
      <c r="K174" s="823">
        <v>198</v>
      </c>
      <c r="L174" s="823">
        <v>190</v>
      </c>
      <c r="M174" s="823">
        <v>183</v>
      </c>
      <c r="N174" s="823">
        <v>182</v>
      </c>
      <c r="O174" s="823">
        <v>172</v>
      </c>
      <c r="P174" s="823">
        <v>165</v>
      </c>
      <c r="Q174" s="823">
        <v>160</v>
      </c>
      <c r="R174" s="823">
        <v>164</v>
      </c>
      <c r="S174" s="823">
        <v>171</v>
      </c>
      <c r="T174" s="823">
        <v>178</v>
      </c>
      <c r="U174" s="823">
        <v>172</v>
      </c>
      <c r="V174" s="823">
        <v>176</v>
      </c>
      <c r="W174" s="823">
        <v>180</v>
      </c>
      <c r="X174" s="823">
        <v>181</v>
      </c>
      <c r="Y174" s="823">
        <v>177</v>
      </c>
      <c r="Z174" s="823">
        <v>177</v>
      </c>
      <c r="AA174" s="823">
        <v>170</v>
      </c>
      <c r="AB174" s="823">
        <v>168</v>
      </c>
      <c r="AC174" s="825">
        <v>166</v>
      </c>
      <c r="AD174" s="825">
        <v>169</v>
      </c>
      <c r="AE174" s="825">
        <v>173</v>
      </c>
      <c r="AF174" s="825">
        <v>176</v>
      </c>
      <c r="AG174" s="825">
        <v>174</v>
      </c>
      <c r="AH174" s="825">
        <v>175</v>
      </c>
      <c r="AI174" s="825">
        <v>156</v>
      </c>
      <c r="AJ174" s="825">
        <v>155</v>
      </c>
      <c r="AK174" s="825">
        <v>141</v>
      </c>
      <c r="AL174" s="825">
        <v>138</v>
      </c>
      <c r="AM174" s="825">
        <v>131</v>
      </c>
      <c r="AN174" s="825">
        <v>129</v>
      </c>
      <c r="AO174" s="825">
        <v>131</v>
      </c>
      <c r="AP174" s="825">
        <v>129</v>
      </c>
    </row>
    <row r="175" hidden="1">
      <c r="B175" s="826" t="s">
        <v>25</v>
      </c>
      <c r="C175" s="827">
        <v>0</v>
      </c>
      <c r="D175" s="827">
        <v>0</v>
      </c>
      <c r="E175" s="827">
        <v>0</v>
      </c>
      <c r="F175" s="827">
        <v>0</v>
      </c>
      <c r="G175" s="827">
        <v>0</v>
      </c>
      <c r="H175" s="827">
        <v>3</v>
      </c>
      <c r="I175" s="827">
        <v>3</v>
      </c>
      <c r="J175" s="827">
        <v>3</v>
      </c>
      <c r="K175" s="827">
        <v>3</v>
      </c>
      <c r="L175" s="827">
        <v>3</v>
      </c>
      <c r="M175" s="827">
        <v>3</v>
      </c>
      <c r="N175" s="827">
        <v>3</v>
      </c>
      <c r="O175" s="827">
        <v>3</v>
      </c>
      <c r="P175" s="827">
        <v>3</v>
      </c>
      <c r="Q175" s="827">
        <v>3</v>
      </c>
      <c r="R175" s="827">
        <v>3</v>
      </c>
      <c r="S175" s="827">
        <v>3</v>
      </c>
      <c r="T175" s="827">
        <v>3</v>
      </c>
      <c r="U175" s="827">
        <v>3</v>
      </c>
      <c r="V175" s="827">
        <v>3</v>
      </c>
      <c r="W175" s="827">
        <v>3</v>
      </c>
      <c r="X175" s="827">
        <v>3</v>
      </c>
      <c r="Y175" s="827">
        <v>3</v>
      </c>
      <c r="Z175" s="827">
        <v>3</v>
      </c>
      <c r="AA175" s="827">
        <v>3</v>
      </c>
      <c r="AB175" s="827">
        <v>3</v>
      </c>
      <c r="AC175" s="828">
        <v>3</v>
      </c>
      <c r="AD175" s="828">
        <v>1</v>
      </c>
      <c r="AE175" s="828">
        <v>1</v>
      </c>
      <c r="AF175" s="828">
        <v>1</v>
      </c>
      <c r="AG175" s="828">
        <v>1</v>
      </c>
      <c r="AH175" s="828">
        <v>1</v>
      </c>
      <c r="AI175" s="828">
        <v>1</v>
      </c>
      <c r="AJ175" s="828">
        <v>1</v>
      </c>
      <c r="AK175" s="828">
        <v>1</v>
      </c>
      <c r="AL175" s="828">
        <v>1</v>
      </c>
      <c r="AM175" s="828">
        <v>1</v>
      </c>
      <c r="AN175" s="828">
        <v>1</v>
      </c>
      <c r="AO175" s="828">
        <v>1</v>
      </c>
      <c r="AP175" s="828">
        <v>1</v>
      </c>
    </row>
    <row r="176" hidden="1" ht="13.5">
      <c r="B176" s="831" t="s">
        <v>26</v>
      </c>
      <c r="C176" s="823">
        <v>0</v>
      </c>
      <c r="D176" s="823">
        <v>0</v>
      </c>
      <c r="E176" s="823">
        <v>0</v>
      </c>
      <c r="F176" s="823">
        <v>0</v>
      </c>
      <c r="G176" s="823">
        <v>0</v>
      </c>
      <c r="H176" s="823">
        <v>0</v>
      </c>
      <c r="I176" s="823">
        <v>0</v>
      </c>
      <c r="J176" s="823">
        <v>0</v>
      </c>
      <c r="K176" s="823">
        <v>0</v>
      </c>
      <c r="L176" s="823">
        <v>0</v>
      </c>
      <c r="M176" s="823">
        <v>0</v>
      </c>
      <c r="N176" s="823">
        <v>0</v>
      </c>
      <c r="O176" s="823">
        <v>0</v>
      </c>
      <c r="P176" s="823">
        <v>0</v>
      </c>
      <c r="Q176" s="823">
        <v>0</v>
      </c>
      <c r="R176" s="823">
        <v>0</v>
      </c>
      <c r="S176" s="823">
        <v>0</v>
      </c>
      <c r="T176" s="823">
        <v>0</v>
      </c>
      <c r="U176" s="823">
        <v>0</v>
      </c>
      <c r="V176" s="823">
        <v>0</v>
      </c>
      <c r="W176" s="823">
        <v>2</v>
      </c>
      <c r="X176" s="823">
        <v>2</v>
      </c>
      <c r="Y176" s="823">
        <v>2</v>
      </c>
      <c r="Z176" s="823">
        <v>2</v>
      </c>
      <c r="AA176" s="823">
        <v>3</v>
      </c>
      <c r="AB176" s="832">
        <v>3</v>
      </c>
      <c r="AC176" s="825">
        <v>3</v>
      </c>
      <c r="AD176" s="825">
        <v>3</v>
      </c>
      <c r="AE176" s="825">
        <v>3</v>
      </c>
      <c r="AF176" s="825">
        <v>3</v>
      </c>
      <c r="AG176" s="825">
        <v>3</v>
      </c>
      <c r="AH176" s="825">
        <v>3</v>
      </c>
      <c r="AI176" s="825">
        <v>4</v>
      </c>
      <c r="AJ176" s="825">
        <v>4</v>
      </c>
      <c r="AK176" s="825">
        <v>4</v>
      </c>
      <c r="AL176" s="825">
        <v>4</v>
      </c>
      <c r="AM176" s="825">
        <v>4</v>
      </c>
      <c r="AN176" s="825">
        <v>4</v>
      </c>
      <c r="AO176" s="825">
        <v>4</v>
      </c>
      <c r="AP176" s="825">
        <v>4</v>
      </c>
    </row>
    <row r="177" hidden="1" ht="13.5">
      <c r="B177" s="128" t="s">
        <v>7</v>
      </c>
      <c r="C177" s="129" t="str">
        <f>IF(SUM(C158:C176)&lt;&gt;0,SUM(C158:C176),"")</f>
      </c>
      <c r="D177" s="129" t="str">
        <f ref="D177:AA177" t="shared" si="0">IF(SUM(D158:D176)&lt;&gt;0,SUM(D158:D176),"")</f>
      </c>
      <c r="E177" s="129" t="str">
        <f t="shared" si="0"/>
      </c>
      <c r="F177" s="129" t="str">
        <f t="shared" si="0"/>
      </c>
      <c r="G177" s="129" t="str">
        <f t="shared" si="0"/>
      </c>
      <c r="H177" s="129" t="str">
        <f t="shared" si="0"/>
      </c>
      <c r="I177" s="129" t="str">
        <f t="shared" si="0"/>
      </c>
      <c r="J177" s="129" t="str">
        <f t="shared" si="0"/>
      </c>
      <c r="K177" s="129" t="str">
        <f t="shared" si="0"/>
      </c>
      <c r="L177" s="129" t="str">
        <f t="shared" si="0"/>
      </c>
      <c r="M177" s="129" t="str">
        <f t="shared" si="0"/>
      </c>
      <c r="N177" s="129" t="str">
        <f t="shared" si="0"/>
      </c>
      <c r="O177" s="129" t="str">
        <f t="shared" si="0"/>
      </c>
      <c r="P177" s="129" t="str">
        <f t="shared" si="0"/>
      </c>
      <c r="Q177" s="129" t="str">
        <f t="shared" si="0"/>
      </c>
      <c r="R177" s="129" t="str">
        <f t="shared" si="0"/>
      </c>
      <c r="S177" s="129" t="str">
        <f t="shared" si="0"/>
      </c>
      <c r="T177" s="129" t="str">
        <f t="shared" si="0"/>
      </c>
      <c r="U177" s="129" t="str">
        <f t="shared" si="0"/>
      </c>
      <c r="V177" s="129" t="str">
        <f t="shared" si="0"/>
      </c>
      <c r="W177" s="129" t="str">
        <f t="shared" si="0"/>
      </c>
      <c r="X177" s="129" t="str">
        <f t="shared" si="0"/>
      </c>
      <c r="Y177" s="129" t="str">
        <f t="shared" si="0"/>
      </c>
      <c r="Z177" s="129" t="str">
        <f t="shared" si="0"/>
      </c>
      <c r="AA177" s="129" t="str">
        <f t="shared" si="0"/>
      </c>
      <c r="AB177" s="130" t="str">
        <f>IF(SUM(AB158:AB176)&lt;&gt;0,SUM(AB158:AB176),"")</f>
      </c>
      <c r="AC177" s="91" t="str">
        <f ref="AC177:CN177" t="shared" si="1">IF(SUM(AC158:AC176)&lt;&gt;0,SUM(AC158:AC176),"")</f>
      </c>
      <c r="AD177" s="91" t="str">
        <f t="shared" si="1"/>
      </c>
      <c r="AE177" s="91" t="str">
        <f t="shared" si="1"/>
      </c>
      <c r="AF177" s="91" t="str">
        <f t="shared" si="1"/>
      </c>
      <c r="AG177" s="91" t="str">
        <f t="shared" si="1"/>
      </c>
      <c r="AH177" s="91" t="str">
        <f t="shared" si="1"/>
      </c>
      <c r="AI177" s="91" t="str">
        <f t="shared" si="1"/>
      </c>
      <c r="AJ177" s="91" t="str">
        <f t="shared" si="1"/>
      </c>
      <c r="AK177" s="91" t="str">
        <f t="shared" si="1"/>
      </c>
      <c r="AL177" s="91" t="str">
        <f t="shared" si="1"/>
      </c>
      <c r="AM177" s="91" t="str">
        <f t="shared" si="1"/>
      </c>
      <c r="AN177" s="91" t="str">
        <f t="shared" si="1"/>
      </c>
      <c r="AO177" s="91" t="str">
        <f t="shared" si="1"/>
      </c>
      <c r="AP177" s="91" t="str">
        <f t="shared" si="1"/>
      </c>
      <c r="AQ177" s="91" t="str">
        <f t="shared" si="1"/>
      </c>
      <c r="AR177" s="91" t="str">
        <f t="shared" si="1"/>
      </c>
      <c r="AS177" s="91" t="str">
        <f t="shared" si="1"/>
      </c>
      <c r="AT177" s="91" t="str">
        <f t="shared" si="1"/>
      </c>
      <c r="AU177" s="91" t="str">
        <f t="shared" si="1"/>
      </c>
      <c r="AV177" s="91" t="str">
        <f t="shared" si="1"/>
      </c>
      <c r="AW177" s="91" t="str">
        <f t="shared" si="1"/>
      </c>
      <c r="AX177" s="91" t="str">
        <f t="shared" si="1"/>
      </c>
      <c r="AY177" s="91" t="str">
        <f t="shared" si="1"/>
      </c>
      <c r="AZ177" s="91" t="str">
        <f t="shared" si="1"/>
      </c>
      <c r="BA177" s="91" t="str">
        <f t="shared" si="1"/>
      </c>
      <c r="BB177" s="91" t="str">
        <f t="shared" si="1"/>
      </c>
      <c r="BC177" s="91" t="str">
        <f t="shared" si="1"/>
      </c>
      <c r="BD177" s="91" t="str">
        <f t="shared" si="1"/>
      </c>
      <c r="BE177" s="91" t="str">
        <f t="shared" si="1"/>
      </c>
      <c r="BF177" s="91" t="str">
        <f t="shared" si="1"/>
      </c>
      <c r="BG177" s="91" t="str">
        <f t="shared" si="1"/>
      </c>
      <c r="BH177" s="91" t="str">
        <f t="shared" si="1"/>
      </c>
      <c r="BI177" s="91" t="str">
        <f t="shared" si="1"/>
      </c>
      <c r="BJ177" s="91" t="str">
        <f t="shared" si="1"/>
      </c>
      <c r="BK177" s="91" t="str">
        <f t="shared" si="1"/>
      </c>
      <c r="BL177" s="91" t="str">
        <f t="shared" si="1"/>
      </c>
      <c r="BM177" s="91" t="str">
        <f t="shared" si="1"/>
      </c>
      <c r="BN177" s="91" t="str">
        <f t="shared" si="1"/>
      </c>
      <c r="BO177" s="91" t="str">
        <f t="shared" si="1"/>
      </c>
      <c r="BP177" s="91" t="str">
        <f t="shared" si="1"/>
      </c>
      <c r="BQ177" s="91" t="str">
        <f t="shared" si="1"/>
      </c>
      <c r="BR177" s="91" t="str">
        <f t="shared" si="1"/>
      </c>
      <c r="BS177" s="91" t="str">
        <f t="shared" si="1"/>
      </c>
      <c r="BT177" s="91" t="str">
        <f t="shared" si="1"/>
      </c>
      <c r="BU177" s="91" t="str">
        <f t="shared" si="1"/>
      </c>
      <c r="BV177" s="91" t="str">
        <f t="shared" si="1"/>
      </c>
      <c r="BW177" s="91" t="str">
        <f t="shared" si="1"/>
      </c>
      <c r="BX177" s="91" t="str">
        <f t="shared" si="1"/>
      </c>
      <c r="BY177" s="91" t="str">
        <f t="shared" si="1"/>
      </c>
      <c r="BZ177" s="91" t="str">
        <f t="shared" si="1"/>
      </c>
      <c r="CA177" s="91" t="str">
        <f t="shared" si="1"/>
      </c>
      <c r="CB177" s="91" t="str">
        <f t="shared" si="1"/>
      </c>
      <c r="CC177" s="91" t="str">
        <f t="shared" si="1"/>
      </c>
      <c r="CD177" s="91" t="str">
        <f t="shared" si="1"/>
      </c>
      <c r="CE177" s="91" t="str">
        <f t="shared" si="1"/>
      </c>
      <c r="CF177" s="91" t="str">
        <f t="shared" si="1"/>
      </c>
      <c r="CG177" s="91" t="str">
        <f t="shared" si="1"/>
      </c>
      <c r="CH177" s="91" t="str">
        <f t="shared" si="1"/>
      </c>
      <c r="CI177" s="91" t="str">
        <f t="shared" si="1"/>
      </c>
      <c r="CJ177" s="91" t="str">
        <f t="shared" si="1"/>
      </c>
      <c r="CK177" s="91" t="str">
        <f t="shared" si="1"/>
      </c>
      <c r="CL177" s="91" t="str">
        <f t="shared" si="1"/>
      </c>
      <c r="CM177" s="91" t="str">
        <f t="shared" si="1"/>
      </c>
      <c r="CN177" s="91" t="str">
        <f t="shared" si="1"/>
      </c>
      <c r="CO177" s="91" t="str">
        <f ref="CO177:EZ177" t="shared" si="2">IF(SUM(CO158:CO176)&lt;&gt;0,SUM(CO158:CO176),"")</f>
      </c>
      <c r="CP177" s="91" t="str">
        <f t="shared" si="2"/>
      </c>
      <c r="CQ177" s="91" t="str">
        <f t="shared" si="2"/>
      </c>
      <c r="CR177" s="91" t="str">
        <f t="shared" si="2"/>
      </c>
      <c r="CS177" s="91" t="str">
        <f t="shared" si="2"/>
      </c>
      <c r="CT177" s="91" t="str">
        <f t="shared" si="2"/>
      </c>
      <c r="CU177" s="91" t="str">
        <f t="shared" si="2"/>
      </c>
      <c r="CV177" s="91" t="str">
        <f t="shared" si="2"/>
      </c>
      <c r="CW177" s="91" t="str">
        <f t="shared" si="2"/>
      </c>
      <c r="CX177" s="91" t="str">
        <f t="shared" si="2"/>
      </c>
      <c r="CY177" s="91" t="str">
        <f t="shared" si="2"/>
      </c>
      <c r="CZ177" s="91" t="str">
        <f t="shared" si="2"/>
      </c>
      <c r="DA177" s="91" t="str">
        <f t="shared" si="2"/>
      </c>
      <c r="DB177" s="91" t="str">
        <f t="shared" si="2"/>
      </c>
      <c r="DC177" s="91" t="str">
        <f t="shared" si="2"/>
      </c>
      <c r="DD177" s="91" t="str">
        <f t="shared" si="2"/>
      </c>
      <c r="DE177" s="91" t="str">
        <f t="shared" si="2"/>
      </c>
      <c r="DF177" s="91" t="str">
        <f t="shared" si="2"/>
      </c>
      <c r="DG177" s="91" t="str">
        <f t="shared" si="2"/>
      </c>
      <c r="DH177" s="91" t="str">
        <f t="shared" si="2"/>
      </c>
      <c r="DI177" s="91" t="str">
        <f t="shared" si="2"/>
      </c>
      <c r="DJ177" s="91" t="str">
        <f t="shared" si="2"/>
      </c>
      <c r="DK177" s="91" t="str">
        <f t="shared" si="2"/>
      </c>
      <c r="DL177" s="91" t="str">
        <f t="shared" si="2"/>
      </c>
      <c r="DM177" s="91" t="str">
        <f t="shared" si="2"/>
      </c>
      <c r="DN177" s="91" t="str">
        <f t="shared" si="2"/>
      </c>
      <c r="DO177" s="91" t="str">
        <f t="shared" si="2"/>
      </c>
      <c r="DP177" s="91" t="str">
        <f t="shared" si="2"/>
      </c>
      <c r="DQ177" s="91" t="str">
        <f t="shared" si="2"/>
      </c>
      <c r="DR177" s="91" t="str">
        <f t="shared" si="2"/>
      </c>
      <c r="DS177" s="91" t="str">
        <f t="shared" si="2"/>
      </c>
      <c r="DT177" s="91" t="str">
        <f t="shared" si="2"/>
      </c>
      <c r="DU177" s="91" t="str">
        <f t="shared" si="2"/>
      </c>
      <c r="DV177" s="91" t="str">
        <f t="shared" si="2"/>
      </c>
      <c r="DW177" s="91" t="str">
        <f t="shared" si="2"/>
      </c>
      <c r="DX177" s="91" t="str">
        <f t="shared" si="2"/>
      </c>
      <c r="DY177" s="91" t="str">
        <f t="shared" si="2"/>
      </c>
      <c r="DZ177" s="91" t="str">
        <f t="shared" si="2"/>
      </c>
      <c r="EA177" s="91" t="str">
        <f t="shared" si="2"/>
      </c>
      <c r="EB177" s="91" t="str">
        <f t="shared" si="2"/>
      </c>
      <c r="EC177" s="91" t="str">
        <f t="shared" si="2"/>
      </c>
      <c r="ED177" s="91" t="str">
        <f t="shared" si="2"/>
      </c>
      <c r="EE177" s="91" t="str">
        <f t="shared" si="2"/>
      </c>
      <c r="EF177" s="91" t="str">
        <f t="shared" si="2"/>
      </c>
      <c r="EG177" s="91" t="str">
        <f t="shared" si="2"/>
      </c>
      <c r="EH177" s="91" t="str">
        <f t="shared" si="2"/>
      </c>
      <c r="EI177" s="91" t="str">
        <f t="shared" si="2"/>
      </c>
      <c r="EJ177" s="91" t="str">
        <f t="shared" si="2"/>
      </c>
      <c r="EK177" s="91" t="str">
        <f t="shared" si="2"/>
      </c>
      <c r="EL177" s="91" t="str">
        <f t="shared" si="2"/>
      </c>
      <c r="EM177" s="91" t="str">
        <f t="shared" si="2"/>
      </c>
      <c r="EN177" s="91" t="str">
        <f t="shared" si="2"/>
      </c>
      <c r="EO177" s="91" t="str">
        <f t="shared" si="2"/>
      </c>
      <c r="EP177" s="91" t="str">
        <f t="shared" si="2"/>
      </c>
      <c r="EQ177" s="91" t="str">
        <f t="shared" si="2"/>
      </c>
      <c r="ER177" s="91" t="str">
        <f t="shared" si="2"/>
      </c>
      <c r="ES177" s="91" t="str">
        <f t="shared" si="2"/>
      </c>
      <c r="ET177" s="91" t="str">
        <f t="shared" si="2"/>
      </c>
      <c r="EU177" s="91" t="str">
        <f t="shared" si="2"/>
      </c>
      <c r="EV177" s="91" t="str">
        <f t="shared" si="2"/>
      </c>
      <c r="EW177" s="91" t="str">
        <f t="shared" si="2"/>
      </c>
      <c r="EX177" s="91" t="str">
        <f t="shared" si="2"/>
      </c>
      <c r="EY177" s="91" t="str">
        <f t="shared" si="2"/>
      </c>
      <c r="EZ177" s="91" t="str">
        <f t="shared" si="2"/>
      </c>
      <c r="FA177" s="91" t="str">
        <f ref="FA177:HL177" t="shared" si="3">IF(SUM(FA158:FA176)&lt;&gt;0,SUM(FA158:FA176),"")</f>
      </c>
      <c r="FB177" s="91" t="str">
        <f t="shared" si="3"/>
      </c>
      <c r="FC177" s="91" t="str">
        <f t="shared" si="3"/>
      </c>
      <c r="FD177" s="91" t="str">
        <f t="shared" si="3"/>
      </c>
      <c r="FE177" s="91" t="str">
        <f t="shared" si="3"/>
      </c>
      <c r="FF177" s="91" t="str">
        <f t="shared" si="3"/>
      </c>
      <c r="FG177" s="91" t="str">
        <f t="shared" si="3"/>
      </c>
      <c r="FH177" s="91" t="str">
        <f t="shared" si="3"/>
      </c>
      <c r="FI177" s="91" t="str">
        <f t="shared" si="3"/>
      </c>
      <c r="FJ177" s="91" t="str">
        <f t="shared" si="3"/>
      </c>
      <c r="FK177" s="91" t="str">
        <f t="shared" si="3"/>
      </c>
      <c r="FL177" s="91" t="str">
        <f t="shared" si="3"/>
      </c>
      <c r="FM177" s="91" t="str">
        <f t="shared" si="3"/>
      </c>
      <c r="FN177" s="91" t="str">
        <f t="shared" si="3"/>
      </c>
      <c r="FO177" s="91" t="str">
        <f t="shared" si="3"/>
      </c>
      <c r="FP177" s="91" t="str">
        <f t="shared" si="3"/>
      </c>
      <c r="FQ177" s="91" t="str">
        <f t="shared" si="3"/>
      </c>
      <c r="FR177" s="91" t="str">
        <f t="shared" si="3"/>
      </c>
      <c r="FS177" s="91" t="str">
        <f t="shared" si="3"/>
      </c>
      <c r="FT177" s="91" t="str">
        <f t="shared" si="3"/>
      </c>
      <c r="FU177" s="91" t="str">
        <f t="shared" si="3"/>
      </c>
      <c r="FV177" s="91" t="str">
        <f t="shared" si="3"/>
      </c>
      <c r="FW177" s="91" t="str">
        <f t="shared" si="3"/>
      </c>
      <c r="FX177" s="91" t="str">
        <f t="shared" si="3"/>
      </c>
      <c r="FY177" s="91" t="str">
        <f t="shared" si="3"/>
      </c>
      <c r="FZ177" s="91" t="str">
        <f t="shared" si="3"/>
      </c>
      <c r="GA177" s="91" t="str">
        <f t="shared" si="3"/>
      </c>
      <c r="GB177" s="91" t="str">
        <f t="shared" si="3"/>
      </c>
      <c r="GC177" s="91" t="str">
        <f t="shared" si="3"/>
      </c>
      <c r="GD177" s="91" t="str">
        <f t="shared" si="3"/>
      </c>
      <c r="GE177" s="91" t="str">
        <f t="shared" si="3"/>
      </c>
      <c r="GF177" s="91" t="str">
        <f t="shared" si="3"/>
      </c>
      <c r="GG177" s="91" t="str">
        <f t="shared" si="3"/>
      </c>
      <c r="GH177" s="91" t="str">
        <f t="shared" si="3"/>
      </c>
      <c r="GI177" s="91" t="str">
        <f t="shared" si="3"/>
      </c>
      <c r="GJ177" s="91" t="str">
        <f t="shared" si="3"/>
      </c>
      <c r="GK177" s="91" t="str">
        <f t="shared" si="3"/>
      </c>
      <c r="GL177" s="91" t="str">
        <f t="shared" si="3"/>
      </c>
      <c r="GM177" s="91" t="str">
        <f t="shared" si="3"/>
      </c>
      <c r="GN177" s="91" t="str">
        <f t="shared" si="3"/>
      </c>
      <c r="GO177" s="91" t="str">
        <f t="shared" si="3"/>
      </c>
      <c r="GP177" s="91" t="str">
        <f t="shared" si="3"/>
      </c>
      <c r="GQ177" s="91" t="str">
        <f t="shared" si="3"/>
      </c>
      <c r="GR177" s="91" t="str">
        <f t="shared" si="3"/>
      </c>
      <c r="GS177" s="91" t="str">
        <f t="shared" si="3"/>
      </c>
      <c r="GT177" s="91" t="str">
        <f t="shared" si="3"/>
      </c>
      <c r="GU177" s="91" t="str">
        <f t="shared" si="3"/>
      </c>
      <c r="GV177" s="91" t="str">
        <f t="shared" si="3"/>
      </c>
      <c r="GW177" s="91" t="str">
        <f t="shared" si="3"/>
      </c>
      <c r="GX177" s="91" t="str">
        <f t="shared" si="3"/>
      </c>
      <c r="GY177" s="91" t="str">
        <f t="shared" si="3"/>
      </c>
      <c r="GZ177" s="91" t="str">
        <f t="shared" si="3"/>
      </c>
      <c r="HA177" s="91" t="str">
        <f t="shared" si="3"/>
      </c>
      <c r="HB177" s="91" t="str">
        <f t="shared" si="3"/>
      </c>
      <c r="HC177" s="91" t="str">
        <f t="shared" si="3"/>
      </c>
      <c r="HD177" s="91" t="str">
        <f t="shared" si="3"/>
      </c>
      <c r="HE177" s="91" t="str">
        <f t="shared" si="3"/>
      </c>
      <c r="HF177" s="91" t="str">
        <f t="shared" si="3"/>
      </c>
      <c r="HG177" s="91" t="str">
        <f t="shared" si="3"/>
      </c>
      <c r="HH177" s="91" t="str">
        <f t="shared" si="3"/>
      </c>
      <c r="HI177" s="91" t="str">
        <f t="shared" si="3"/>
      </c>
      <c r="HJ177" s="91" t="str">
        <f t="shared" si="3"/>
      </c>
      <c r="HK177" s="91" t="str">
        <f t="shared" si="3"/>
      </c>
      <c r="HL177" s="91" t="str">
        <f t="shared" si="3"/>
      </c>
      <c r="HM177" s="91" t="str">
        <f ref="HM177:IV177" t="shared" si="4">IF(SUM(HM158:HM176)&lt;&gt;0,SUM(HM158:HM176),"")</f>
      </c>
      <c r="HN177" s="91" t="str">
        <f t="shared" si="4"/>
      </c>
      <c r="HO177" s="91" t="str">
        <f t="shared" si="4"/>
      </c>
      <c r="HP177" s="91" t="str">
        <f t="shared" si="4"/>
      </c>
      <c r="HQ177" s="91" t="str">
        <f t="shared" si="4"/>
      </c>
      <c r="HR177" s="91" t="str">
        <f t="shared" si="4"/>
      </c>
      <c r="HS177" s="91" t="str">
        <f t="shared" si="4"/>
      </c>
      <c r="HT177" s="91" t="str">
        <f t="shared" si="4"/>
      </c>
      <c r="HU177" s="91" t="str">
        <f t="shared" si="4"/>
      </c>
      <c r="HV177" s="91" t="str">
        <f t="shared" si="4"/>
      </c>
      <c r="HW177" s="91" t="str">
        <f t="shared" si="4"/>
      </c>
      <c r="HX177" s="91" t="str">
        <f t="shared" si="4"/>
      </c>
      <c r="HY177" s="91" t="str">
        <f t="shared" si="4"/>
      </c>
      <c r="HZ177" s="91" t="str">
        <f t="shared" si="4"/>
      </c>
      <c r="IA177" s="91" t="str">
        <f t="shared" si="4"/>
      </c>
      <c r="IB177" s="91" t="str">
        <f t="shared" si="4"/>
      </c>
      <c r="IC177" s="91" t="str">
        <f t="shared" si="4"/>
      </c>
      <c r="ID177" s="91" t="str">
        <f t="shared" si="4"/>
      </c>
      <c r="IE177" s="91" t="str">
        <f t="shared" si="4"/>
      </c>
      <c r="IF177" s="91" t="str">
        <f t="shared" si="4"/>
      </c>
      <c r="IG177" s="91" t="str">
        <f t="shared" si="4"/>
      </c>
      <c r="IH177" s="91" t="str">
        <f t="shared" si="4"/>
      </c>
      <c r="II177" s="91" t="str">
        <f t="shared" si="4"/>
      </c>
      <c r="IJ177" s="91" t="str">
        <f t="shared" si="4"/>
      </c>
      <c r="IK177" s="91" t="str">
        <f t="shared" si="4"/>
      </c>
      <c r="IL177" s="91" t="str">
        <f t="shared" si="4"/>
      </c>
      <c r="IM177" s="91" t="str">
        <f t="shared" si="4"/>
      </c>
      <c r="IN177" s="91" t="str">
        <f t="shared" si="4"/>
      </c>
      <c r="IO177" s="91" t="str">
        <f t="shared" si="4"/>
      </c>
      <c r="IP177" s="91" t="str">
        <f t="shared" si="4"/>
      </c>
      <c r="IQ177" s="91" t="str">
        <f t="shared" si="4"/>
      </c>
      <c r="IR177" s="91" t="str">
        <f t="shared" si="4"/>
      </c>
      <c r="IS177" s="91" t="str">
        <f t="shared" si="4"/>
      </c>
      <c r="IT177" s="91" t="str">
        <f t="shared" si="4"/>
      </c>
      <c r="IU177" s="91" t="str">
        <f t="shared" si="4"/>
      </c>
      <c r="IV177" s="91" t="str">
        <f t="shared" si="4"/>
      </c>
    </row>
    <row r="178" hidden="1">
      <c r="B178" s="162"/>
      <c r="C178" s="91"/>
      <c r="D178" s="91"/>
      <c r="E178" s="91"/>
      <c r="F178" s="91"/>
      <c r="L178" s="50"/>
      <c r="P178" s="91"/>
      <c r="Q178" s="91"/>
      <c r="Y178" s="50"/>
      <c r="Z178" s="50"/>
    </row>
    <row r="179" hidden="1" ht="13.5">
      <c r="B179" s="162"/>
      <c r="C179" s="91"/>
      <c r="D179" s="91"/>
      <c r="E179" s="91"/>
      <c r="F179" s="91"/>
      <c r="L179" s="50"/>
      <c r="P179" s="91"/>
      <c r="Q179" s="91"/>
      <c r="Y179" s="50"/>
      <c r="Z179" s="50"/>
    </row>
    <row r="180" hidden="1" ht="12.75" customHeight="1">
      <c r="B180" s="162"/>
      <c r="C180" s="617" t="s">
        <v>243</v>
      </c>
      <c r="D180" s="618"/>
      <c r="E180" s="618"/>
      <c r="F180" s="618"/>
      <c r="G180" s="618"/>
      <c r="H180" s="618"/>
      <c r="I180" s="618"/>
      <c r="J180" s="618"/>
      <c r="K180" s="618"/>
      <c r="L180" s="618"/>
      <c r="M180" s="618"/>
      <c r="N180" s="618"/>
      <c r="O180" s="618"/>
      <c r="P180" s="618"/>
      <c r="Q180" s="618"/>
      <c r="R180" s="618"/>
      <c r="S180" s="618"/>
      <c r="T180" s="618"/>
      <c r="U180" s="618"/>
      <c r="V180" s="618"/>
      <c r="W180" s="618"/>
      <c r="X180" s="618"/>
      <c r="Y180" s="618"/>
      <c r="Z180" s="618"/>
      <c r="AA180" s="618"/>
      <c r="AB180" s="619"/>
    </row>
    <row r="181" hidden="1" ht="13.5">
      <c r="C181" s="435" t="str">
        <f> IF(C201&lt;&gt;"",TEXT(AUX!G$1,"dd-MMM-aa"),"")</f>
      </c>
      <c r="D181" s="435" t="str">
        <f> IF(D201&lt;&gt;"",TEXT(AUX!H$1,"dd-MMM-aa"),"")</f>
      </c>
      <c r="E181" s="435" t="str">
        <f> IF(E201&lt;&gt;"",TEXT(AUX!I$1,"dd-MMM-aa"),"")</f>
      </c>
      <c r="F181" s="435" t="str">
        <f> IF(F201&lt;&gt;"",TEXT(AUX!J$1,"dd-MMM-aa"),"")</f>
      </c>
      <c r="G181" s="435" t="str">
        <f> IF(G201&lt;&gt;"",TEXT(AUX!K$1,"dd-MMM-aa"),"")</f>
      </c>
      <c r="H181" s="435" t="str">
        <f> IF(H201&lt;&gt;"",TEXT(AUX!L$1,"dd-MMM-aa"),"")</f>
      </c>
      <c r="I181" s="435" t="str">
        <f> IF(I201&lt;&gt;"",TEXT(AUX!M$1,"dd-MMM-aa"),"")</f>
      </c>
      <c r="J181" s="435" t="str">
        <f> IF(J201&lt;&gt;"",TEXT(AUX!N$1,"dd-MMM-aa"),"")</f>
      </c>
      <c r="K181" s="435" t="str">
        <f> IF(K201&lt;&gt;"",TEXT(AUX!O$1,"dd-MMM-aa"),"")</f>
      </c>
      <c r="L181" s="435" t="str">
        <f> IF(L201&lt;&gt;"",TEXT(AUX!P$1,"dd-MMM-aa"),"")</f>
      </c>
      <c r="M181" s="435" t="str">
        <f> IF(M201&lt;&gt;"",TEXT(AUX!Q$1,"dd-MMM-aa"),"")</f>
      </c>
      <c r="N181" s="435" t="str">
        <f> IF(N201&lt;&gt;"",TEXT(AUX!R$1,"dd-MMM-aa"),"")</f>
      </c>
      <c r="O181" s="435" t="str">
        <f> IF(O201&lt;&gt;"",TEXT(AUX!S$1,"dd-MMM-aa"),"")</f>
      </c>
      <c r="P181" s="435" t="str">
        <f> IF(P201&lt;&gt;"",TEXT(AUX!T$1,"dd-MMM-aa"),"")</f>
      </c>
      <c r="Q181" s="435" t="str">
        <f> IF(Q201&lt;&gt;"",TEXT(AUX!U$1,"dd-MMM-aa"),"")</f>
      </c>
      <c r="R181" s="435" t="str">
        <f> IF(R201&lt;&gt;"",TEXT(AUX!V$1,"dd-MMM-aa"),"")</f>
      </c>
      <c r="S181" s="435" t="str">
        <f> IF(S201&lt;&gt;"",TEXT(AUX!W$1,"dd-MMM-aa"),"")</f>
      </c>
      <c r="T181" s="435" t="str">
        <f> IF(T201&lt;&gt;"",TEXT(AUX!X$1,"dd-MMM-aa"),"")</f>
      </c>
      <c r="U181" s="435" t="str">
        <f> IF(U201&lt;&gt;"",TEXT(AUX!Y$1,"dd-MMM-aa"),"")</f>
      </c>
      <c r="V181" s="435" t="str">
        <f> IF(V201&lt;&gt;"",TEXT(AUX!Z$1,"dd-MMM-aa"),"")</f>
      </c>
      <c r="W181" s="435" t="str">
        <f> IF(W201&lt;&gt;"",TEXT(AUX!AA$1,"dd-MMM-aa"),"")</f>
      </c>
      <c r="X181" s="435" t="str">
        <f> IF(X201&lt;&gt;"",TEXT(AUX!AB$1,"dd-MMM-aa"),"")</f>
      </c>
      <c r="Y181" s="435" t="str">
        <f> IF(Y201&lt;&gt;"",TEXT(AUX!AC$1,"dd-MMM-aa"),"")</f>
      </c>
      <c r="Z181" s="435" t="str">
        <f> IF(Z201&lt;&gt;"",TEXT(AUX!AD$1,"dd-MMM-aa"),"")</f>
      </c>
      <c r="AA181" s="435" t="str">
        <f> IF(AA201&lt;&gt;"",TEXT(AUX!AE$1,"dd-MMM-aa"),"")</f>
      </c>
      <c r="AB181" s="497" t="str">
        <f> IF(AB201&lt;&gt;"",TEXT(AUX!AF$1,"dd-MMM-aa"),"")</f>
      </c>
      <c r="AC181" s="496" t="str">
        <f> IF(AC201&lt;&gt;"",TEXT(AUX!AG$1,"dd-MMM-aa"),"")</f>
      </c>
      <c r="AD181" s="496" t="str">
        <f> IF(AD201&lt;&gt;"",TEXT(AUX!AH$1,"dd-MMM-aa"),"")</f>
      </c>
      <c r="AE181" s="496" t="str">
        <f> IF(AE201&lt;&gt;"",TEXT(AUX!AI$1,"dd-MMM-aa"),"")</f>
      </c>
      <c r="AF181" s="496" t="str">
        <f> IF(AF201&lt;&gt;"",TEXT(AUX!AJ$1,"dd-MMM-aa"),"")</f>
      </c>
      <c r="AG181" s="496" t="str">
        <f> IF(AG201&lt;&gt;"",TEXT(AUX!AK$1,"dd-MMM-aa"),"")</f>
      </c>
      <c r="AH181" s="496" t="str">
        <f> IF(AH201&lt;&gt;"",TEXT(AUX!AL$1,"dd-MMM-aa"),"")</f>
      </c>
      <c r="AI181" s="496" t="str">
        <f> IF(AI201&lt;&gt;"",TEXT(AUX!AM$1,"dd-MMM-aa"),"")</f>
      </c>
      <c r="AJ181" s="496" t="str">
        <f> IF(AJ201&lt;&gt;"",TEXT(AUX!AN$1,"dd-MMM-aa"),"")</f>
      </c>
      <c r="AK181" s="496" t="str">
        <f> IF(AK201&lt;&gt;"",TEXT(AUX!AO$1,"dd-MMM-aa"),"")</f>
      </c>
      <c r="AL181" s="496" t="str">
        <f> IF(AL201&lt;&gt;"",TEXT(AUX!AP$1,"dd-MMM-aa"),"")</f>
      </c>
      <c r="AM181" s="496" t="str">
        <f> IF(AM201&lt;&gt;"",TEXT(AUX!AQ$1,"dd-MMM-aa"),"")</f>
      </c>
      <c r="AN181" s="496" t="str">
        <f> IF(AN201&lt;&gt;"",TEXT(AUX!AR$1,"dd-MMM-aa"),"")</f>
      </c>
      <c r="AO181" s="496" t="str">
        <f> IF(AO201&lt;&gt;"",TEXT(AUX!AS$1,"dd-MMM-aa"),"")</f>
      </c>
      <c r="AP181" s="496" t="str">
        <f> IF(AP201&lt;&gt;"",TEXT(AUX!AT$1,"dd-MMM-aa"),"")</f>
      </c>
      <c r="AQ181" s="496" t="str">
        <f> IF(AQ201&lt;&gt;"",TEXT(AUX!AU$1,"dd-MMM-aa"),"")</f>
      </c>
      <c r="AR181" s="496" t="str">
        <f> IF(AR201&lt;&gt;"",TEXT(AUX!AV$1,"dd-MMM-aa"),"")</f>
      </c>
      <c r="AS181" s="496" t="str">
        <f> IF(AS201&lt;&gt;"",TEXT(AUX!AW$1,"dd-MMM-aa"),"")</f>
      </c>
      <c r="AT181" s="496" t="str">
        <f> IF(AT201&lt;&gt;"",TEXT(AUX!AX$1,"dd-MMM-aa"),"")</f>
      </c>
      <c r="AU181" s="496" t="str">
        <f> IF(AU201&lt;&gt;"",TEXT(AUX!AY$1,"dd-MMM-aa"),"")</f>
      </c>
      <c r="AV181" s="496" t="str">
        <f> IF(AV201&lt;&gt;"",TEXT(AUX!AZ$1,"dd-MMM-aa"),"")</f>
      </c>
      <c r="AW181" s="496" t="str">
        <f> IF(AW201&lt;&gt;"",TEXT(AUX!BA$1,"dd-MMM-aa"),"")</f>
      </c>
      <c r="AX181" s="496" t="str">
        <f> IF(AX201&lt;&gt;"",TEXT(AUX!BB$1,"dd-MMM-aa"),"")</f>
      </c>
      <c r="AY181" s="496" t="str">
        <f> IF(AY201&lt;&gt;"",TEXT(AUX!BC$1,"dd-MMM-aa"),"")</f>
      </c>
      <c r="AZ181" s="496" t="str">
        <f> IF(AZ201&lt;&gt;"",TEXT(AUX!BD$1,"dd-MMM-aa"),"")</f>
      </c>
      <c r="BA181" s="496" t="str">
        <f> IF(BA201&lt;&gt;"",TEXT(AUX!BE$1,"dd-MMM-aa"),"")</f>
      </c>
      <c r="BB181" s="496" t="str">
        <f> IF(BB201&lt;&gt;"",TEXT(AUX!BF$1,"dd-MMM-aa"),"")</f>
      </c>
      <c r="BC181" s="496" t="str">
        <f> IF(BC201&lt;&gt;"",TEXT(AUX!BG$1,"dd-MMM-aa"),"")</f>
      </c>
      <c r="BD181" s="496" t="str">
        <f> IF(BD201&lt;&gt;"",TEXT(AUX!BH$1,"dd-MMM-aa"),"")</f>
      </c>
      <c r="BE181" s="496" t="str">
        <f> IF(BE201&lt;&gt;"",TEXT(AUX!BI$1,"dd-MMM-aa"),"")</f>
      </c>
      <c r="BF181" s="496" t="str">
        <f> IF(BF201&lt;&gt;"",TEXT(AUX!BJ$1,"dd-MMM-aa"),"")</f>
      </c>
      <c r="BG181" s="496" t="str">
        <f> IF(BG201&lt;&gt;"",TEXT(AUX!BK$1,"dd-MMM-aa"),"")</f>
      </c>
      <c r="BH181" s="496" t="str">
        <f> IF(BH201&lt;&gt;"",TEXT(AUX!BL$1,"dd-MMM-aa"),"")</f>
      </c>
      <c r="BI181" s="496" t="str">
        <f> IF(BI201&lt;&gt;"",TEXT(AUX!BM$1,"dd-MMM-aa"),"")</f>
      </c>
      <c r="BJ181" s="496" t="str">
        <f> IF(BJ201&lt;&gt;"",TEXT(AUX!BN$1,"dd-MMM-aa"),"")</f>
      </c>
      <c r="BK181" s="496" t="str">
        <f> IF(BK201&lt;&gt;"",TEXT(AUX!BO$1,"dd-MMM-aa"),"")</f>
      </c>
      <c r="BL181" s="496" t="str">
        <f> IF(BL201&lt;&gt;"",TEXT(AUX!BP$1,"dd-MMM-aa"),"")</f>
      </c>
      <c r="BM181" s="496" t="str">
        <f> IF(BM201&lt;&gt;"",TEXT(AUX!BQ$1,"dd-MMM-aa"),"")</f>
      </c>
      <c r="BN181" s="496" t="str">
        <f> IF(BN201&lt;&gt;"",TEXT(AUX!BR$1,"dd-MMM-aa"),"")</f>
      </c>
      <c r="BO181" s="496" t="str">
        <f> IF(BO201&lt;&gt;"",TEXT(AUX!BS$1,"dd-MMM-aa"),"")</f>
      </c>
      <c r="BP181" s="496" t="str">
        <f> IF(BP201&lt;&gt;"",TEXT(AUX!BT$1,"dd-MMM-aa"),"")</f>
      </c>
      <c r="BQ181" s="496" t="str">
        <f> IF(BQ201&lt;&gt;"",TEXT(AUX!BU$1,"dd-MMM-aa"),"")</f>
      </c>
      <c r="BR181" s="496" t="str">
        <f> IF(BR201&lt;&gt;"",TEXT(AUX!BV$1,"dd-MMM-aa"),"")</f>
      </c>
      <c r="BS181" s="496" t="str">
        <f> IF(BS201&lt;&gt;"",TEXT(AUX!BW$1,"dd-MMM-aa"),"")</f>
      </c>
      <c r="BT181" s="496" t="str">
        <f> IF(BT201&lt;&gt;"",TEXT(AUX!BX$1,"dd-MMM-aa"),"")</f>
      </c>
      <c r="BU181" s="496" t="str">
        <f> IF(BU201&lt;&gt;"",TEXT(AUX!BY$1,"dd-MMM-aa"),"")</f>
      </c>
      <c r="BV181" s="496" t="str">
        <f> IF(BV201&lt;&gt;"",TEXT(AUX!BZ$1,"dd-MMM-aa"),"")</f>
      </c>
      <c r="BW181" s="496" t="str">
        <f> IF(BW201&lt;&gt;"",TEXT(AUX!CA$1,"dd-MMM-aa"),"")</f>
      </c>
      <c r="BX181" s="496" t="str">
        <f> IF(BX201&lt;&gt;"",TEXT(AUX!CB$1,"dd-MMM-aa"),"")</f>
      </c>
      <c r="BY181" s="496" t="str">
        <f> IF(BY201&lt;&gt;"",TEXT(AUX!CC$1,"dd-MMM-aa"),"")</f>
      </c>
      <c r="BZ181" s="496" t="str">
        <f> IF(BZ201&lt;&gt;"",TEXT(AUX!CD$1,"dd-MMM-aa"),"")</f>
      </c>
      <c r="CA181" s="496" t="str">
        <f> IF(CA201&lt;&gt;"",TEXT(AUX!CE$1,"dd-MMM-aa"),"")</f>
      </c>
      <c r="CB181" s="496" t="str">
        <f> IF(CB201&lt;&gt;"",TEXT(AUX!CF$1,"dd-MMM-aa"),"")</f>
      </c>
      <c r="CC181" s="496" t="str">
        <f> IF(CC201&lt;&gt;"",TEXT(AUX!CG$1,"dd-MMM-aa"),"")</f>
      </c>
      <c r="CD181" s="496" t="str">
        <f> IF(CD201&lt;&gt;"",TEXT(AUX!CH$1,"dd-MMM-aa"),"")</f>
      </c>
      <c r="CE181" s="496" t="str">
        <f> IF(CE201&lt;&gt;"",TEXT(AUX!CI$1,"dd-MMM-aa"),"")</f>
      </c>
      <c r="CF181" s="496" t="str">
        <f> IF(CF201&lt;&gt;"",TEXT(AUX!CJ$1,"dd-MMM-aa"),"")</f>
      </c>
      <c r="CG181" s="496" t="str">
        <f> IF(CG201&lt;&gt;"",TEXT(AUX!CK$1,"dd-MMM-aa"),"")</f>
      </c>
      <c r="CH181" s="496" t="str">
        <f> IF(CH201&lt;&gt;"",TEXT(AUX!CL$1,"dd-MMM-aa"),"")</f>
      </c>
      <c r="CI181" s="496" t="str">
        <f> IF(CI201&lt;&gt;"",TEXT(AUX!CM$1,"dd-MMM-aa"),"")</f>
      </c>
      <c r="CJ181" s="496" t="str">
        <f> IF(CJ201&lt;&gt;"",TEXT(AUX!CN$1,"dd-MMM-aa"),"")</f>
      </c>
      <c r="CK181" s="496" t="str">
        <f> IF(CK201&lt;&gt;"",TEXT(AUX!CO$1,"dd-MMM-aa"),"")</f>
      </c>
      <c r="CL181" s="496" t="str">
        <f> IF(CL201&lt;&gt;"",TEXT(AUX!CP$1,"dd-MMM-aa"),"")</f>
      </c>
      <c r="CM181" s="496" t="str">
        <f> IF(CM201&lt;&gt;"",TEXT(AUX!CQ$1,"dd-MMM-aa"),"")</f>
      </c>
      <c r="CN181" s="496" t="str">
        <f> IF(CN201&lt;&gt;"",TEXT(AUX!CR$1,"dd-MMM-aa"),"")</f>
      </c>
      <c r="CO181" s="496" t="str">
        <f> IF(CO201&lt;&gt;"",TEXT(AUX!CS$1,"dd-MMM-aa"),"")</f>
      </c>
      <c r="CP181" s="496" t="str">
        <f> IF(CP201&lt;&gt;"",TEXT(AUX!CT$1,"dd-MMM-aa"),"")</f>
      </c>
      <c r="CQ181" s="496" t="str">
        <f> IF(CQ201&lt;&gt;"",TEXT(AUX!CU$1,"dd-MMM-aa"),"")</f>
      </c>
      <c r="CR181" s="496" t="str">
        <f> IF(CR201&lt;&gt;"",TEXT(AUX!CV$1,"dd-MMM-aa"),"")</f>
      </c>
      <c r="CS181" s="496" t="str">
        <f> IF(CS201&lt;&gt;"",TEXT(AUX!CW$1,"dd-MMM-aa"),"")</f>
      </c>
      <c r="CT181" s="496" t="str">
        <f> IF(CT201&lt;&gt;"",TEXT(AUX!CX$1,"dd-MMM-aa"),"")</f>
      </c>
      <c r="CU181" s="496" t="str">
        <f> IF(CU201&lt;&gt;"",TEXT(AUX!CY$1,"dd-MMM-aa"),"")</f>
      </c>
      <c r="CV181" s="496" t="str">
        <f> IF(CV201&lt;&gt;"",TEXT(AUX!CZ$1,"dd-MMM-aa"),"")</f>
      </c>
      <c r="CW181" s="496" t="str">
        <f> IF(CW201&lt;&gt;"",TEXT(AUX!DA$1,"dd-MMM-aa"),"")</f>
      </c>
      <c r="CX181" s="496" t="str">
        <f> IF(CX201&lt;&gt;"",TEXT(AUX!DB$1,"dd-MMM-aa"),"")</f>
      </c>
      <c r="CY181" s="496" t="str">
        <f> IF(CY201&lt;&gt;"",TEXT(AUX!DC$1,"dd-MMM-aa"),"")</f>
      </c>
      <c r="CZ181" s="496" t="str">
        <f> IF(CZ201&lt;&gt;"",TEXT(AUX!DD$1,"dd-MMM-aa"),"")</f>
      </c>
      <c r="DA181" s="496" t="str">
        <f> IF(DA201&lt;&gt;"",TEXT(AUX!DE$1,"dd-MMM-aa"),"")</f>
      </c>
      <c r="DB181" s="496" t="str">
        <f> IF(DB201&lt;&gt;"",TEXT(AUX!DF$1,"dd-MMM-aa"),"")</f>
      </c>
      <c r="DC181" s="496" t="str">
        <f> IF(DC201&lt;&gt;"",TEXT(AUX!DG$1,"dd-MMM-aa"),"")</f>
      </c>
      <c r="DD181" s="496" t="str">
        <f> IF(DD201&lt;&gt;"",TEXT(AUX!DH$1,"dd-MMM-aa"),"")</f>
      </c>
      <c r="DE181" s="496" t="str">
        <f> IF(DE201&lt;&gt;"",TEXT(AUX!DI$1,"dd-MMM-aa"),"")</f>
      </c>
      <c r="DF181" s="496" t="str">
        <f> IF(DF201&lt;&gt;"",TEXT(AUX!DJ$1,"dd-MMM-aa"),"")</f>
      </c>
      <c r="DG181" s="496" t="str">
        <f> IF(DG201&lt;&gt;"",TEXT(AUX!DK$1,"dd-MMM-aa"),"")</f>
      </c>
      <c r="DH181" s="496" t="str">
        <f> IF(DH201&lt;&gt;"",TEXT(AUX!DL$1,"dd-MMM-aa"),"")</f>
      </c>
      <c r="DI181" s="496" t="str">
        <f> IF(DI201&lt;&gt;"",TEXT(AUX!DM$1,"dd-MMM-aa"),"")</f>
      </c>
      <c r="DJ181" s="496" t="str">
        <f> IF(DJ201&lt;&gt;"",TEXT(AUX!DN$1,"dd-MMM-aa"),"")</f>
      </c>
      <c r="DK181" s="496" t="str">
        <f> IF(DK201&lt;&gt;"",TEXT(AUX!DO$1,"dd-MMM-aa"),"")</f>
      </c>
      <c r="DL181" s="496" t="str">
        <f> IF(DL201&lt;&gt;"",TEXT(AUX!DP$1,"dd-MMM-aa"),"")</f>
      </c>
      <c r="DM181" s="496" t="str">
        <f> IF(DM201&lt;&gt;"",TEXT(AUX!DQ$1,"dd-MMM-aa"),"")</f>
      </c>
      <c r="DN181" s="496" t="str">
        <f> IF(DN201&lt;&gt;"",TEXT(AUX!DR$1,"dd-MMM-aa"),"")</f>
      </c>
      <c r="DO181" s="496" t="str">
        <f> IF(DO201&lt;&gt;"",TEXT(AUX!DS$1,"dd-MMM-aa"),"")</f>
      </c>
      <c r="DP181" s="496" t="str">
        <f> IF(DP201&lt;&gt;"",TEXT(AUX!DT$1,"dd-MMM-aa"),"")</f>
      </c>
      <c r="DQ181" s="496" t="str">
        <f> IF(DQ201&lt;&gt;"",TEXT(AUX!DU$1,"dd-MMM-aa"),"")</f>
      </c>
      <c r="DR181" s="496" t="str">
        <f> IF(DR201&lt;&gt;"",TEXT(AUX!DV$1,"dd-MMM-aa"),"")</f>
      </c>
      <c r="DS181" s="496" t="str">
        <f> IF(DS201&lt;&gt;"",TEXT(AUX!DW$1,"dd-MMM-aa"),"")</f>
      </c>
      <c r="DT181" s="496" t="str">
        <f> IF(DT201&lt;&gt;"",TEXT(AUX!DX$1,"dd-MMM-aa"),"")</f>
      </c>
      <c r="DU181" s="496" t="str">
        <f> IF(DU201&lt;&gt;"",TEXT(AUX!DY$1,"dd-MMM-aa"),"")</f>
      </c>
      <c r="DV181" s="496" t="str">
        <f> IF(DV201&lt;&gt;"",TEXT(AUX!DZ$1,"dd-MMM-aa"),"")</f>
      </c>
      <c r="DW181" s="496" t="str">
        <f> IF(DW201&lt;&gt;"",TEXT(AUX!EA$1,"dd-MMM-aa"),"")</f>
      </c>
      <c r="DX181" s="496" t="str">
        <f> IF(DX201&lt;&gt;"",TEXT(AUX!EB$1,"dd-MMM-aa"),"")</f>
      </c>
      <c r="DY181" s="496" t="str">
        <f> IF(DY201&lt;&gt;"",TEXT(AUX!EC$1,"dd-MMM-aa"),"")</f>
      </c>
      <c r="DZ181" s="496" t="str">
        <f> IF(DZ201&lt;&gt;"",TEXT(AUX!ED$1,"dd-MMM-aa"),"")</f>
      </c>
      <c r="EA181" s="496" t="str">
        <f> IF(EA201&lt;&gt;"",TEXT(AUX!EE$1,"dd-MMM-aa"),"")</f>
      </c>
      <c r="EB181" s="496" t="str">
        <f> IF(EB201&lt;&gt;"",TEXT(AUX!EF$1,"dd-MMM-aa"),"")</f>
      </c>
      <c r="EC181" s="496" t="str">
        <f> IF(EC201&lt;&gt;"",TEXT(AUX!EG$1,"dd-MMM-aa"),"")</f>
      </c>
      <c r="ED181" s="496" t="str">
        <f> IF(ED201&lt;&gt;"",TEXT(AUX!EH$1,"dd-MMM-aa"),"")</f>
      </c>
      <c r="EE181" s="496" t="str">
        <f> IF(EE201&lt;&gt;"",TEXT(AUX!EI$1,"dd-MMM-aa"),"")</f>
      </c>
      <c r="EF181" s="496" t="str">
        <f> IF(EF201&lt;&gt;"",TEXT(AUX!EJ$1,"dd-MMM-aa"),"")</f>
      </c>
      <c r="EG181" s="496" t="str">
        <f> IF(EG201&lt;&gt;"",TEXT(AUX!EK$1,"dd-MMM-aa"),"")</f>
      </c>
      <c r="EH181" s="496" t="str">
        <f> IF(EH201&lt;&gt;"",TEXT(AUX!EL$1,"dd-MMM-aa"),"")</f>
      </c>
      <c r="EI181" s="496" t="str">
        <f> IF(EI201&lt;&gt;"",TEXT(AUX!EM$1,"dd-MMM-aa"),"")</f>
      </c>
      <c r="EJ181" s="496" t="str">
        <f> IF(EJ201&lt;&gt;"",TEXT(AUX!EN$1,"dd-MMM-aa"),"")</f>
      </c>
      <c r="EK181" s="496" t="str">
        <f> IF(EK201&lt;&gt;"",TEXT(AUX!EO$1,"dd-MMM-aa"),"")</f>
      </c>
      <c r="EL181" s="496" t="str">
        <f> IF(EL201&lt;&gt;"",TEXT(AUX!EP$1,"dd-MMM-aa"),"")</f>
      </c>
      <c r="EM181" s="496" t="str">
        <f> IF(EM201&lt;&gt;"",TEXT(AUX!EQ$1,"dd-MMM-aa"),"")</f>
      </c>
      <c r="EN181" s="496" t="str">
        <f> IF(EN201&lt;&gt;"",TEXT(AUX!ER$1,"dd-MMM-aa"),"")</f>
      </c>
      <c r="EO181" s="496" t="str">
        <f> IF(EO201&lt;&gt;"",TEXT(AUX!ES$1,"dd-MMM-aa"),"")</f>
      </c>
      <c r="EP181" s="496" t="str">
        <f> IF(EP201&lt;&gt;"",TEXT(AUX!ET$1,"dd-MMM-aa"),"")</f>
      </c>
      <c r="EQ181" s="496" t="str">
        <f> IF(EQ201&lt;&gt;"",TEXT(AUX!EU$1,"dd-MMM-aa"),"")</f>
      </c>
      <c r="ER181" s="496" t="str">
        <f> IF(ER201&lt;&gt;"",TEXT(AUX!EV$1,"dd-MMM-aa"),"")</f>
      </c>
      <c r="ES181" s="496" t="str">
        <f> IF(ES201&lt;&gt;"",TEXT(AUX!EW$1,"dd-MMM-aa"),"")</f>
      </c>
      <c r="ET181" s="496" t="str">
        <f> IF(ET201&lt;&gt;"",TEXT(AUX!EX$1,"dd-MMM-aa"),"")</f>
      </c>
      <c r="EU181" s="496" t="str">
        <f> IF(EU201&lt;&gt;"",TEXT(AUX!EY$1,"dd-MMM-aa"),"")</f>
      </c>
      <c r="EV181" s="496" t="str">
        <f> IF(EV201&lt;&gt;"",TEXT(AUX!EZ$1,"dd-MMM-aa"),"")</f>
      </c>
      <c r="EW181" s="496" t="str">
        <f> IF(EW201&lt;&gt;"",TEXT(AUX!FA$1,"dd-MMM-aa"),"")</f>
      </c>
      <c r="EX181" s="496" t="str">
        <f> IF(EX201&lt;&gt;"",TEXT(AUX!FB$1,"dd-MMM-aa"),"")</f>
      </c>
      <c r="EY181" s="496" t="str">
        <f> IF(EY201&lt;&gt;"",TEXT(AUX!FC$1,"dd-MMM-aa"),"")</f>
      </c>
      <c r="EZ181" s="496" t="str">
        <f> IF(EZ201&lt;&gt;"",TEXT(AUX!FD$1,"dd-MMM-aa"),"")</f>
      </c>
      <c r="FA181" s="496" t="str">
        <f> IF(FA201&lt;&gt;"",TEXT(AUX!FE$1,"dd-MMM-aa"),"")</f>
      </c>
      <c r="FB181" s="496" t="str">
        <f> IF(FB201&lt;&gt;"",TEXT(AUX!FF$1,"dd-MMM-aa"),"")</f>
      </c>
      <c r="FC181" s="496" t="str">
        <f> IF(FC201&lt;&gt;"",TEXT(AUX!FG$1,"dd-MMM-aa"),"")</f>
      </c>
      <c r="FD181" s="496" t="str">
        <f> IF(FD201&lt;&gt;"",TEXT(AUX!FH$1,"dd-MMM-aa"),"")</f>
      </c>
      <c r="FE181" s="496" t="str">
        <f> IF(FE201&lt;&gt;"",TEXT(AUX!FI$1,"dd-MMM-aa"),"")</f>
      </c>
      <c r="FF181" s="496" t="str">
        <f> IF(FF201&lt;&gt;"",TEXT(AUX!FJ$1,"dd-MMM-aa"),"")</f>
      </c>
      <c r="FG181" s="496" t="str">
        <f> IF(FG201&lt;&gt;"",TEXT(AUX!FK$1,"dd-MMM-aa"),"")</f>
      </c>
      <c r="FH181" s="496" t="str">
        <f> IF(FH201&lt;&gt;"",TEXT(AUX!FL$1,"dd-MMM-aa"),"")</f>
      </c>
      <c r="FI181" s="496" t="str">
        <f> IF(FI201&lt;&gt;"",TEXT(AUX!FM$1,"dd-MMM-aa"),"")</f>
      </c>
      <c r="FJ181" s="496" t="str">
        <f> IF(FJ201&lt;&gt;"",TEXT(AUX!FN$1,"dd-MMM-aa"),"")</f>
      </c>
      <c r="FK181" s="496" t="str">
        <f> IF(FK201&lt;&gt;"",TEXT(AUX!FO$1,"dd-MMM-aa"),"")</f>
      </c>
      <c r="FL181" s="496" t="str">
        <f> IF(FL201&lt;&gt;"",TEXT(AUX!FP$1,"dd-MMM-aa"),"")</f>
      </c>
      <c r="FM181" s="496" t="str">
        <f> IF(FM201&lt;&gt;"",TEXT(AUX!FQ$1,"dd-MMM-aa"),"")</f>
      </c>
      <c r="FN181" s="496" t="str">
        <f> IF(FN201&lt;&gt;"",TEXT(AUX!FR$1,"dd-MMM-aa"),"")</f>
      </c>
      <c r="FO181" s="496" t="str">
        <f> IF(FO201&lt;&gt;"",TEXT(AUX!FS$1,"dd-MMM-aa"),"")</f>
      </c>
      <c r="FP181" s="496" t="str">
        <f> IF(FP201&lt;&gt;"",TEXT(AUX!FT$1,"dd-MMM-aa"),"")</f>
      </c>
      <c r="FQ181" s="496" t="str">
        <f> IF(FQ201&lt;&gt;"",TEXT(AUX!FU$1,"dd-MMM-aa"),"")</f>
      </c>
      <c r="FR181" s="496" t="str">
        <f> IF(FR201&lt;&gt;"",TEXT(AUX!FV$1,"dd-MMM-aa"),"")</f>
      </c>
      <c r="FS181" s="496" t="str">
        <f> IF(FS201&lt;&gt;"",TEXT(AUX!FW$1,"dd-MMM-aa"),"")</f>
      </c>
      <c r="FT181" s="496" t="str">
        <f> IF(FT201&lt;&gt;"",TEXT(AUX!FX$1,"dd-MMM-aa"),"")</f>
      </c>
      <c r="FU181" s="496" t="str">
        <f> IF(FU201&lt;&gt;"",TEXT(AUX!FY$1,"dd-MMM-aa"),"")</f>
      </c>
      <c r="FV181" s="496" t="str">
        <f> IF(FV201&lt;&gt;"",TEXT(AUX!FZ$1,"dd-MMM-aa"),"")</f>
      </c>
      <c r="FW181" s="496" t="str">
        <f> IF(FW201&lt;&gt;"",TEXT(AUX!GA$1,"dd-MMM-aa"),"")</f>
      </c>
      <c r="FX181" s="496" t="str">
        <f> IF(FX201&lt;&gt;"",TEXT(AUX!GB$1,"dd-MMM-aa"),"")</f>
      </c>
      <c r="FY181" s="496" t="str">
        <f> IF(FY201&lt;&gt;"",TEXT(AUX!GC$1,"dd-MMM-aa"),"")</f>
      </c>
      <c r="FZ181" s="496" t="str">
        <f> IF(FZ201&lt;&gt;"",TEXT(AUX!GD$1,"dd-MMM-aa"),"")</f>
      </c>
      <c r="GA181" s="496" t="str">
        <f> IF(GA201&lt;&gt;"",TEXT(AUX!GE$1,"dd-MMM-aa"),"")</f>
      </c>
      <c r="GB181" s="496" t="str">
        <f> IF(GB201&lt;&gt;"",TEXT(AUX!GF$1,"dd-MMM-aa"),"")</f>
      </c>
      <c r="GC181" s="496" t="str">
        <f> IF(GC201&lt;&gt;"",TEXT(AUX!GG$1,"dd-MMM-aa"),"")</f>
      </c>
      <c r="GD181" s="496" t="str">
        <f> IF(GD201&lt;&gt;"",TEXT(AUX!GH$1,"dd-MMM-aa"),"")</f>
      </c>
      <c r="GE181" s="496" t="str">
        <f> IF(GE201&lt;&gt;"",TEXT(AUX!GI$1,"dd-MMM-aa"),"")</f>
      </c>
      <c r="GF181" s="496" t="str">
        <f> IF(GF201&lt;&gt;"",TEXT(AUX!GJ$1,"dd-MMM-aa"),"")</f>
      </c>
      <c r="GG181" s="496" t="str">
        <f> IF(GG201&lt;&gt;"",TEXT(AUX!GK$1,"dd-MMM-aa"),"")</f>
      </c>
      <c r="GH181" s="496" t="str">
        <f> IF(GH201&lt;&gt;"",TEXT(AUX!GL$1,"dd-MMM-aa"),"")</f>
      </c>
      <c r="GI181" s="496" t="str">
        <f> IF(GI201&lt;&gt;"",TEXT(AUX!GM$1,"dd-MMM-aa"),"")</f>
      </c>
      <c r="GJ181" s="496" t="str">
        <f> IF(GJ201&lt;&gt;"",TEXT(AUX!GN$1,"dd-MMM-aa"),"")</f>
      </c>
      <c r="GK181" s="496" t="str">
        <f> IF(GK201&lt;&gt;"",TEXT(AUX!GO$1,"dd-MMM-aa"),"")</f>
      </c>
      <c r="GL181" s="496" t="str">
        <f> IF(GL201&lt;&gt;"",TEXT(AUX!GP$1,"dd-MMM-aa"),"")</f>
      </c>
      <c r="GM181" s="496" t="str">
        <f> IF(GM201&lt;&gt;"",TEXT(AUX!GQ$1,"dd-MMM-aa"),"")</f>
      </c>
      <c r="GN181" s="496" t="str">
        <f> IF(GN201&lt;&gt;"",TEXT(AUX!GR$1,"dd-MMM-aa"),"")</f>
      </c>
      <c r="GO181" s="496" t="str">
        <f> IF(GO201&lt;&gt;"",TEXT(AUX!GS$1,"dd-MMM-aa"),"")</f>
      </c>
      <c r="GP181" s="496" t="str">
        <f> IF(GP201&lt;&gt;"",TEXT(AUX!GT$1,"dd-MMM-aa"),"")</f>
      </c>
      <c r="GQ181" s="496" t="str">
        <f> IF(GQ201&lt;&gt;"",TEXT(AUX!GU$1,"dd-MMM-aa"),"")</f>
      </c>
      <c r="GR181" s="496" t="str">
        <f> IF(GR201&lt;&gt;"",TEXT(AUX!GV$1,"dd-MMM-aa"),"")</f>
      </c>
      <c r="GS181" s="496" t="str">
        <f> IF(GS201&lt;&gt;"",TEXT(AUX!GW$1,"dd-MMM-aa"),"")</f>
      </c>
      <c r="GT181" s="496" t="str">
        <f> IF(GT201&lt;&gt;"",TEXT(AUX!GX$1,"dd-MMM-aa"),"")</f>
      </c>
      <c r="GU181" s="496" t="str">
        <f> IF(GU201&lt;&gt;"",TEXT(AUX!GY$1,"dd-MMM-aa"),"")</f>
      </c>
      <c r="GV181" s="496" t="str">
        <f> IF(GV201&lt;&gt;"",TEXT(AUX!GZ$1,"dd-MMM-aa"),"")</f>
      </c>
      <c r="GW181" s="496" t="str">
        <f> IF(GW201&lt;&gt;"",TEXT(AUX!HA$1,"dd-MMM-aa"),"")</f>
      </c>
      <c r="GX181" s="496" t="str">
        <f> IF(GX201&lt;&gt;"",TEXT(AUX!HB$1,"dd-MMM-aa"),"")</f>
      </c>
      <c r="GY181" s="496" t="str">
        <f> IF(GY201&lt;&gt;"",TEXT(AUX!HC$1,"dd-MMM-aa"),"")</f>
      </c>
      <c r="GZ181" s="496" t="str">
        <f> IF(GZ201&lt;&gt;"",TEXT(AUX!HD$1,"dd-MMM-aa"),"")</f>
      </c>
      <c r="HA181" s="496" t="str">
        <f> IF(HA201&lt;&gt;"",TEXT(AUX!HE$1,"dd-MMM-aa"),"")</f>
      </c>
      <c r="HB181" s="496" t="str">
        <f> IF(HB201&lt;&gt;"",TEXT(AUX!HF$1,"dd-MMM-aa"),"")</f>
      </c>
      <c r="HC181" s="496" t="str">
        <f> IF(HC201&lt;&gt;"",TEXT(AUX!HG$1,"dd-MMM-aa"),"")</f>
      </c>
      <c r="HD181" s="496" t="str">
        <f> IF(HD201&lt;&gt;"",TEXT(AUX!HH$1,"dd-MMM-aa"),"")</f>
      </c>
      <c r="HE181" s="496" t="str">
        <f> IF(HE201&lt;&gt;"",TEXT(AUX!HI$1,"dd-MMM-aa"),"")</f>
      </c>
      <c r="HF181" s="496" t="str">
        <f> IF(HF201&lt;&gt;"",TEXT(AUX!HJ$1,"dd-MMM-aa"),"")</f>
      </c>
      <c r="HG181" s="496" t="str">
        <f> IF(HG201&lt;&gt;"",TEXT(AUX!HK$1,"dd-MMM-aa"),"")</f>
      </c>
      <c r="HH181" s="496" t="str">
        <f> IF(HH201&lt;&gt;"",TEXT(AUX!HL$1,"dd-MMM-aa"),"")</f>
      </c>
      <c r="HI181" s="496" t="str">
        <f> IF(HI201&lt;&gt;"",TEXT(AUX!HM$1,"dd-MMM-aa"),"")</f>
      </c>
      <c r="HJ181" s="496" t="str">
        <f> IF(HJ201&lt;&gt;"",TEXT(AUX!HN$1,"dd-MMM-aa"),"")</f>
      </c>
      <c r="HK181" s="496" t="str">
        <f> IF(HK201&lt;&gt;"",TEXT(AUX!HO$1,"dd-MMM-aa"),"")</f>
      </c>
      <c r="HL181" s="496" t="str">
        <f> IF(HL201&lt;&gt;"",TEXT(AUX!HP$1,"dd-MMM-aa"),"")</f>
      </c>
      <c r="HM181" s="496" t="str">
        <f> IF(HM201&lt;&gt;"",TEXT(AUX!HQ$1,"dd-MMM-aa"),"")</f>
      </c>
      <c r="HN181" s="496" t="str">
        <f> IF(HN201&lt;&gt;"",TEXT(AUX!HR$1,"dd-MMM-aa"),"")</f>
      </c>
      <c r="HO181" s="496" t="str">
        <f> IF(HO201&lt;&gt;"",TEXT(AUX!HS$1,"dd-MMM-aa"),"")</f>
      </c>
      <c r="HP181" s="496" t="str">
        <f> IF(HP201&lt;&gt;"",TEXT(AUX!HT$1,"dd-MMM-aa"),"")</f>
      </c>
      <c r="HQ181" s="496" t="str">
        <f> IF(HQ201&lt;&gt;"",TEXT(AUX!HU$1,"dd-MMM-aa"),"")</f>
      </c>
      <c r="HR181" s="496" t="str">
        <f> IF(HR201&lt;&gt;"",TEXT(AUX!HV$1,"dd-MMM-aa"),"")</f>
      </c>
      <c r="HS181" s="496" t="str">
        <f> IF(HS201&lt;&gt;"",TEXT(AUX!HW$1,"dd-MMM-aa"),"")</f>
      </c>
      <c r="HT181" s="496" t="str">
        <f> IF(HT201&lt;&gt;"",TEXT(AUX!HX$1,"dd-MMM-aa"),"")</f>
      </c>
      <c r="HU181" s="496" t="str">
        <f> IF(HU201&lt;&gt;"",TEXT(AUX!HY$1,"dd-MMM-aa"),"")</f>
      </c>
      <c r="HV181" s="496" t="str">
        <f> IF(HV201&lt;&gt;"",TEXT(AUX!HZ$1,"dd-MMM-aa"),"")</f>
      </c>
      <c r="HW181" s="496" t="str">
        <f> IF(HW201&lt;&gt;"",TEXT(AUX!IA$1,"dd-MMM-aa"),"")</f>
      </c>
      <c r="HX181" s="496" t="str">
        <f> IF(HX201&lt;&gt;"",TEXT(AUX!IB$1,"dd-MMM-aa"),"")</f>
      </c>
      <c r="HY181" s="496" t="str">
        <f> IF(HY201&lt;&gt;"",TEXT(AUX!IC$1,"dd-MMM-aa"),"")</f>
      </c>
      <c r="HZ181" s="496" t="str">
        <f> IF(HZ201&lt;&gt;"",TEXT(AUX!ID$1,"dd-MMM-aa"),"")</f>
      </c>
      <c r="IA181" s="496" t="str">
        <f> IF(IA201&lt;&gt;"",TEXT(AUX!IE$1,"dd-MMM-aa"),"")</f>
      </c>
      <c r="IB181" s="496" t="str">
        <f> IF(IB201&lt;&gt;"",TEXT(AUX!IF$1,"dd-MMM-aa"),"")</f>
      </c>
      <c r="IC181" s="496" t="str">
        <f> IF(IC201&lt;&gt;"",TEXT(AUX!IG$1,"dd-MMM-aa"),"")</f>
      </c>
      <c r="ID181" s="496" t="str">
        <f> IF(ID201&lt;&gt;"",TEXT(AUX!IH$1,"dd-MMM-aa"),"")</f>
      </c>
      <c r="IE181" s="496" t="str">
        <f> IF(IE201&lt;&gt;"",TEXT(AUX!II$1,"dd-MMM-aa"),"")</f>
      </c>
      <c r="IF181" s="496" t="str">
        <f> IF(IF201&lt;&gt;"",TEXT(AUX!IJ$1,"dd-MMM-aa"),"")</f>
      </c>
      <c r="IG181" s="496" t="str">
        <f> IF(IG201&lt;&gt;"",TEXT(AUX!IK$1,"dd-MMM-aa"),"")</f>
      </c>
      <c r="IH181" s="496" t="str">
        <f> IF(IH201&lt;&gt;"",TEXT(AUX!IL$1,"dd-MMM-aa"),"")</f>
      </c>
      <c r="II181" s="496" t="str">
        <f> IF(II201&lt;&gt;"",TEXT(AUX!IM$1,"dd-MMM-aa"),"")</f>
      </c>
      <c r="IJ181" s="496" t="str">
        <f> IF(IJ201&lt;&gt;"",TEXT(AUX!IN$1,"dd-MMM-aa"),"")</f>
      </c>
      <c r="IK181" s="496" t="str">
        <f> IF(IK201&lt;&gt;"",TEXT(AUX!IO$1,"dd-MMM-aa"),"")</f>
      </c>
      <c r="IL181" s="496" t="str">
        <f> IF(IL201&lt;&gt;"",TEXT(AUX!IP$1,"dd-MMM-aa"),"")</f>
      </c>
      <c r="IM181" s="496" t="str">
        <f> IF(IM201&lt;&gt;"",TEXT(AUX!IQ$1,"dd-MMM-aa"),"")</f>
      </c>
      <c r="IN181" s="496" t="str">
        <f> IF(IN201&lt;&gt;"",TEXT(AUX!IR$1,"dd-MMM-aa"),"")</f>
      </c>
      <c r="IO181" s="496" t="str">
        <f> IF(IO201&lt;&gt;"",TEXT(AUX!IS$1,"dd-MMM-aa"),"")</f>
      </c>
      <c r="IP181" s="496" t="str">
        <f> IF(IP201&lt;&gt;"",TEXT(AUX!IT$1,"dd-MMM-aa"),"")</f>
      </c>
      <c r="IQ181" s="496" t="str">
        <f> IF(IQ201&lt;&gt;"",TEXT(AUX!IU$1,"dd-MMM-aa"),"")</f>
      </c>
      <c r="IR181" s="496" t="str">
        <f> IF(IR201&lt;&gt;"",TEXT(AUX!IV$1,"dd-MMM-aa"),"")</f>
      </c>
      <c r="IS181" s="496" t="str">
        <f> IF(IS201&lt;&gt;"",TEXT(AUX!#REF!,"dd-MMM-aa"),"")</f>
      </c>
      <c r="IT181" s="496" t="str">
        <f> IF(IT201&lt;&gt;"",TEXT(AUX!#REF!,"dd-MMM-aa"),"")</f>
      </c>
      <c r="IU181" s="496" t="str">
        <f> IF(IU201&lt;&gt;"",TEXT(AUX!#REF!,"dd-MMM-aa"),"")</f>
      </c>
      <c r="IV181" s="496" t="str">
        <f> IF(IV201&lt;&gt;"",TEXT(AUX!#REF!,"dd-MMM-aa"),"")</f>
      </c>
    </row>
    <row r="182" hidden="1">
      <c r="B182" s="822" t="s">
        <v>8</v>
      </c>
      <c r="C182" s="823">
        <v>1588</v>
      </c>
      <c r="D182" s="823">
        <v>1529</v>
      </c>
      <c r="E182" s="823">
        <v>1440</v>
      </c>
      <c r="F182" s="823">
        <v>1378</v>
      </c>
      <c r="G182" s="823">
        <v>1142</v>
      </c>
      <c r="H182" s="823">
        <v>1128</v>
      </c>
      <c r="I182" s="823">
        <v>1084</v>
      </c>
      <c r="J182" s="823">
        <v>1114</v>
      </c>
      <c r="K182" s="823">
        <v>1081</v>
      </c>
      <c r="L182" s="823">
        <v>1071</v>
      </c>
      <c r="M182" s="823">
        <v>1049</v>
      </c>
      <c r="N182" s="823">
        <v>1038</v>
      </c>
      <c r="O182" s="823">
        <v>998</v>
      </c>
      <c r="P182" s="823">
        <v>995</v>
      </c>
      <c r="Q182" s="823">
        <v>972</v>
      </c>
      <c r="R182" s="823">
        <v>963</v>
      </c>
      <c r="S182" s="823">
        <v>958</v>
      </c>
      <c r="T182" s="823">
        <v>945</v>
      </c>
      <c r="U182" s="823">
        <v>919</v>
      </c>
      <c r="V182" s="823">
        <v>909</v>
      </c>
      <c r="W182" s="823">
        <v>888</v>
      </c>
      <c r="X182" s="823">
        <v>622</v>
      </c>
      <c r="Y182" s="823">
        <v>853</v>
      </c>
      <c r="Z182" s="823">
        <v>842</v>
      </c>
      <c r="AA182" s="823">
        <v>806</v>
      </c>
      <c r="AB182" s="824">
        <v>743</v>
      </c>
      <c r="AC182" s="825">
        <v>721</v>
      </c>
      <c r="AD182" s="825">
        <v>717</v>
      </c>
      <c r="AE182" s="825">
        <v>712</v>
      </c>
      <c r="AF182" s="825">
        <v>695</v>
      </c>
      <c r="AG182" s="825">
        <v>677</v>
      </c>
      <c r="AH182" s="825">
        <v>668</v>
      </c>
      <c r="AI182" s="825">
        <v>659</v>
      </c>
      <c r="AJ182" s="825">
        <v>658</v>
      </c>
      <c r="AK182" s="825">
        <v>641</v>
      </c>
      <c r="AL182" s="825">
        <v>632</v>
      </c>
      <c r="AM182" s="825">
        <v>541</v>
      </c>
      <c r="AN182" s="825">
        <v>514</v>
      </c>
      <c r="AO182" s="825">
        <v>495</v>
      </c>
      <c r="AP182" s="825">
        <v>478</v>
      </c>
    </row>
    <row r="183" hidden="1">
      <c r="B183" s="826" t="s">
        <v>9</v>
      </c>
      <c r="C183" s="827">
        <v>146</v>
      </c>
      <c r="D183" s="827">
        <v>143</v>
      </c>
      <c r="E183" s="827">
        <v>139</v>
      </c>
      <c r="F183" s="827">
        <v>132</v>
      </c>
      <c r="G183" s="827">
        <v>128</v>
      </c>
      <c r="H183" s="827">
        <v>126</v>
      </c>
      <c r="I183" s="827">
        <v>121</v>
      </c>
      <c r="J183" s="827">
        <v>120</v>
      </c>
      <c r="K183" s="827">
        <v>116</v>
      </c>
      <c r="L183" s="827">
        <v>114</v>
      </c>
      <c r="M183" s="827">
        <v>109</v>
      </c>
      <c r="N183" s="827">
        <v>108</v>
      </c>
      <c r="O183" s="827">
        <v>107</v>
      </c>
      <c r="P183" s="827">
        <v>103</v>
      </c>
      <c r="Q183" s="827">
        <v>94</v>
      </c>
      <c r="R183" s="827">
        <v>93</v>
      </c>
      <c r="S183" s="827">
        <v>90</v>
      </c>
      <c r="T183" s="827">
        <v>90</v>
      </c>
      <c r="U183" s="827">
        <v>89</v>
      </c>
      <c r="V183" s="827">
        <v>88</v>
      </c>
      <c r="W183" s="827">
        <v>87</v>
      </c>
      <c r="X183" s="827">
        <v>85</v>
      </c>
      <c r="Y183" s="827">
        <v>82</v>
      </c>
      <c r="Z183" s="827">
        <v>77</v>
      </c>
      <c r="AA183" s="827">
        <v>77</v>
      </c>
      <c r="AB183" s="827">
        <v>76</v>
      </c>
      <c r="AC183" s="828">
        <v>73</v>
      </c>
      <c r="AD183" s="828">
        <v>71</v>
      </c>
      <c r="AE183" s="828">
        <v>71</v>
      </c>
      <c r="AF183" s="828">
        <v>73</v>
      </c>
      <c r="AG183" s="828">
        <v>72</v>
      </c>
      <c r="AH183" s="828">
        <v>70</v>
      </c>
      <c r="AI183" s="828">
        <v>70</v>
      </c>
      <c r="AJ183" s="828">
        <v>68</v>
      </c>
      <c r="AK183" s="828">
        <v>63</v>
      </c>
      <c r="AL183" s="828">
        <v>65</v>
      </c>
      <c r="AM183" s="828">
        <v>63</v>
      </c>
      <c r="AN183" s="828">
        <v>61</v>
      </c>
      <c r="AO183" s="828">
        <v>58</v>
      </c>
      <c r="AP183" s="828">
        <v>58</v>
      </c>
    </row>
    <row r="184" hidden="1">
      <c r="B184" s="829" t="s">
        <v>10</v>
      </c>
      <c r="C184" s="823">
        <v>4502</v>
      </c>
      <c r="D184" s="823">
        <v>4479</v>
      </c>
      <c r="E184" s="823">
        <v>4209</v>
      </c>
      <c r="F184" s="823">
        <v>4199</v>
      </c>
      <c r="G184" s="823">
        <v>4031</v>
      </c>
      <c r="H184" s="823">
        <v>4010</v>
      </c>
      <c r="I184" s="823">
        <v>3890</v>
      </c>
      <c r="J184" s="823">
        <v>3865</v>
      </c>
      <c r="K184" s="823">
        <v>3786</v>
      </c>
      <c r="L184" s="823">
        <v>3774</v>
      </c>
      <c r="M184" s="823">
        <v>3649</v>
      </c>
      <c r="N184" s="823">
        <v>3650</v>
      </c>
      <c r="O184" s="823">
        <v>3584</v>
      </c>
      <c r="P184" s="823">
        <v>3410</v>
      </c>
      <c r="Q184" s="823">
        <v>3016</v>
      </c>
      <c r="R184" s="823">
        <v>2903</v>
      </c>
      <c r="S184" s="823">
        <v>2822</v>
      </c>
      <c r="T184" s="823">
        <v>2795</v>
      </c>
      <c r="U184" s="823">
        <v>2752</v>
      </c>
      <c r="V184" s="823">
        <v>2641</v>
      </c>
      <c r="W184" s="823">
        <v>2607</v>
      </c>
      <c r="X184" s="823">
        <v>2493</v>
      </c>
      <c r="Y184" s="823">
        <v>2458</v>
      </c>
      <c r="Z184" s="823">
        <v>2381</v>
      </c>
      <c r="AA184" s="823">
        <v>2341</v>
      </c>
      <c r="AB184" s="823">
        <v>2241</v>
      </c>
      <c r="AC184" s="825">
        <v>2193</v>
      </c>
      <c r="AD184" s="825">
        <v>2118</v>
      </c>
      <c r="AE184" s="825">
        <v>2096</v>
      </c>
      <c r="AF184" s="825">
        <v>2013</v>
      </c>
      <c r="AG184" s="825">
        <v>1981</v>
      </c>
      <c r="AH184" s="825">
        <v>1894</v>
      </c>
      <c r="AI184" s="825">
        <v>1845</v>
      </c>
      <c r="AJ184" s="825">
        <v>1750</v>
      </c>
      <c r="AK184" s="825">
        <v>1177</v>
      </c>
      <c r="AL184" s="825">
        <v>1166</v>
      </c>
      <c r="AM184" s="825">
        <v>1155</v>
      </c>
      <c r="AN184" s="825">
        <v>1129</v>
      </c>
      <c r="AO184" s="825">
        <v>1114</v>
      </c>
      <c r="AP184" s="825">
        <v>1095</v>
      </c>
    </row>
    <row r="185" hidden="1">
      <c r="B185" s="826" t="s">
        <v>11</v>
      </c>
      <c r="C185" s="827">
        <v>217</v>
      </c>
      <c r="D185" s="827">
        <v>273</v>
      </c>
      <c r="E185" s="827">
        <v>270</v>
      </c>
      <c r="F185" s="827">
        <v>267</v>
      </c>
      <c r="G185" s="827">
        <v>259</v>
      </c>
      <c r="H185" s="827">
        <v>246</v>
      </c>
      <c r="I185" s="827">
        <v>238</v>
      </c>
      <c r="J185" s="827">
        <v>236</v>
      </c>
      <c r="K185" s="827">
        <v>237</v>
      </c>
      <c r="L185" s="827">
        <v>238</v>
      </c>
      <c r="M185" s="827">
        <v>232</v>
      </c>
      <c r="N185" s="827">
        <v>231</v>
      </c>
      <c r="O185" s="827">
        <v>228</v>
      </c>
      <c r="P185" s="827">
        <v>229</v>
      </c>
      <c r="Q185" s="827">
        <v>260</v>
      </c>
      <c r="R185" s="827">
        <v>262</v>
      </c>
      <c r="S185" s="827">
        <v>262</v>
      </c>
      <c r="T185" s="827">
        <v>259</v>
      </c>
      <c r="U185" s="827">
        <v>260</v>
      </c>
      <c r="V185" s="827">
        <v>252</v>
      </c>
      <c r="W185" s="827">
        <v>239</v>
      </c>
      <c r="X185" s="827">
        <v>234</v>
      </c>
      <c r="Y185" s="827">
        <v>231</v>
      </c>
      <c r="Z185" s="827">
        <v>234</v>
      </c>
      <c r="AA185" s="827">
        <v>226</v>
      </c>
      <c r="AB185" s="827">
        <v>211</v>
      </c>
      <c r="AC185" s="828">
        <v>163</v>
      </c>
      <c r="AD185" s="828">
        <v>160</v>
      </c>
      <c r="AE185" s="828">
        <v>135</v>
      </c>
      <c r="AF185" s="828">
        <v>133</v>
      </c>
      <c r="AG185" s="828">
        <v>127</v>
      </c>
      <c r="AH185" s="828">
        <v>125</v>
      </c>
      <c r="AI185" s="828">
        <v>123</v>
      </c>
      <c r="AJ185" s="828">
        <v>123</v>
      </c>
      <c r="AK185" s="828">
        <v>166</v>
      </c>
      <c r="AL185" s="828">
        <v>165</v>
      </c>
      <c r="AM185" s="828">
        <v>163</v>
      </c>
      <c r="AN185" s="828">
        <v>164</v>
      </c>
      <c r="AO185" s="828">
        <v>154</v>
      </c>
      <c r="AP185" s="828">
        <v>151</v>
      </c>
    </row>
    <row r="186" hidden="1">
      <c r="B186" s="829" t="s">
        <v>12</v>
      </c>
      <c r="C186" s="823">
        <v>278</v>
      </c>
      <c r="D186" s="823">
        <v>264</v>
      </c>
      <c r="E186" s="823">
        <v>234</v>
      </c>
      <c r="F186" s="823">
        <v>168</v>
      </c>
      <c r="G186" s="823">
        <v>153</v>
      </c>
      <c r="H186" s="823">
        <v>148</v>
      </c>
      <c r="I186" s="823">
        <v>134</v>
      </c>
      <c r="J186" s="823">
        <v>133</v>
      </c>
      <c r="K186" s="823">
        <v>130</v>
      </c>
      <c r="L186" s="823">
        <v>124</v>
      </c>
      <c r="M186" s="823">
        <v>121</v>
      </c>
      <c r="N186" s="823">
        <v>121</v>
      </c>
      <c r="O186" s="823">
        <v>117</v>
      </c>
      <c r="P186" s="823">
        <v>118</v>
      </c>
      <c r="Q186" s="823">
        <v>116</v>
      </c>
      <c r="R186" s="823">
        <v>111</v>
      </c>
      <c r="S186" s="823">
        <v>108</v>
      </c>
      <c r="T186" s="823">
        <v>106</v>
      </c>
      <c r="U186" s="823">
        <v>103</v>
      </c>
      <c r="V186" s="823">
        <v>101</v>
      </c>
      <c r="W186" s="823">
        <v>101</v>
      </c>
      <c r="X186" s="823">
        <v>95</v>
      </c>
      <c r="Y186" s="823">
        <v>99</v>
      </c>
      <c r="Z186" s="823">
        <v>93</v>
      </c>
      <c r="AA186" s="823">
        <v>93</v>
      </c>
      <c r="AB186" s="823">
        <v>91</v>
      </c>
      <c r="AC186" s="825">
        <v>90</v>
      </c>
      <c r="AD186" s="825">
        <v>84</v>
      </c>
      <c r="AE186" s="825">
        <v>80</v>
      </c>
      <c r="AF186" s="825">
        <v>76</v>
      </c>
      <c r="AG186" s="825">
        <v>76</v>
      </c>
      <c r="AH186" s="825">
        <v>75</v>
      </c>
      <c r="AI186" s="825">
        <v>69</v>
      </c>
      <c r="AJ186" s="825">
        <v>71</v>
      </c>
      <c r="AK186" s="825">
        <v>68</v>
      </c>
      <c r="AL186" s="825">
        <v>150</v>
      </c>
      <c r="AM186" s="825">
        <v>108</v>
      </c>
      <c r="AN186" s="825">
        <v>96</v>
      </c>
      <c r="AO186" s="825">
        <v>86</v>
      </c>
      <c r="AP186" s="825">
        <v>73</v>
      </c>
    </row>
    <row r="187" hidden="1">
      <c r="B187" s="826" t="s">
        <v>13</v>
      </c>
      <c r="C187" s="827">
        <v>3660</v>
      </c>
      <c r="D187" s="827">
        <v>3637</v>
      </c>
      <c r="E187" s="827">
        <v>3597</v>
      </c>
      <c r="F187" s="827">
        <v>3417</v>
      </c>
      <c r="G187" s="827">
        <v>3349</v>
      </c>
      <c r="H187" s="827">
        <v>3315</v>
      </c>
      <c r="I187" s="827">
        <v>3114</v>
      </c>
      <c r="J187" s="827">
        <v>3103</v>
      </c>
      <c r="K187" s="827">
        <v>3082</v>
      </c>
      <c r="L187" s="827">
        <v>3061</v>
      </c>
      <c r="M187" s="827">
        <v>3027</v>
      </c>
      <c r="N187" s="827">
        <v>3012</v>
      </c>
      <c r="O187" s="827">
        <v>2972</v>
      </c>
      <c r="P187" s="827">
        <v>2957</v>
      </c>
      <c r="Q187" s="827">
        <v>2939</v>
      </c>
      <c r="R187" s="827">
        <v>2918</v>
      </c>
      <c r="S187" s="827">
        <v>2899</v>
      </c>
      <c r="T187" s="827">
        <v>2889</v>
      </c>
      <c r="U187" s="827">
        <v>1405</v>
      </c>
      <c r="V187" s="827">
        <v>1398</v>
      </c>
      <c r="W187" s="827">
        <v>1361</v>
      </c>
      <c r="X187" s="827">
        <v>1351</v>
      </c>
      <c r="Y187" s="827">
        <v>1329</v>
      </c>
      <c r="Z187" s="827">
        <v>1318</v>
      </c>
      <c r="AA187" s="827">
        <v>1252</v>
      </c>
      <c r="AB187" s="827">
        <v>1234</v>
      </c>
      <c r="AC187" s="828">
        <v>1208</v>
      </c>
      <c r="AD187" s="828">
        <v>1183</v>
      </c>
      <c r="AE187" s="828">
        <v>1164</v>
      </c>
      <c r="AF187" s="828">
        <v>1139</v>
      </c>
      <c r="AG187" s="828">
        <v>1105</v>
      </c>
      <c r="AH187" s="828">
        <v>1089</v>
      </c>
      <c r="AI187" s="828">
        <v>1050</v>
      </c>
      <c r="AJ187" s="828">
        <v>1034</v>
      </c>
      <c r="AK187" s="828">
        <v>900</v>
      </c>
      <c r="AL187" s="828">
        <v>838</v>
      </c>
      <c r="AM187" s="828">
        <v>823</v>
      </c>
      <c r="AN187" s="828">
        <v>818</v>
      </c>
      <c r="AO187" s="828">
        <v>803</v>
      </c>
      <c r="AP187" s="828">
        <v>786</v>
      </c>
    </row>
    <row r="188" hidden="1">
      <c r="B188" s="829" t="s">
        <v>109</v>
      </c>
      <c r="C188" s="823">
        <v>592</v>
      </c>
      <c r="D188" s="823">
        <v>511</v>
      </c>
      <c r="E188" s="823">
        <v>409</v>
      </c>
      <c r="F188" s="823">
        <v>379</v>
      </c>
      <c r="G188" s="823">
        <v>375</v>
      </c>
      <c r="H188" s="823">
        <v>372</v>
      </c>
      <c r="I188" s="823">
        <v>359</v>
      </c>
      <c r="J188" s="823">
        <v>353</v>
      </c>
      <c r="K188" s="823">
        <v>381</v>
      </c>
      <c r="L188" s="823">
        <v>385</v>
      </c>
      <c r="M188" s="823">
        <v>380</v>
      </c>
      <c r="N188" s="823">
        <v>380</v>
      </c>
      <c r="O188" s="823">
        <v>357</v>
      </c>
      <c r="P188" s="823">
        <v>356</v>
      </c>
      <c r="Q188" s="823">
        <v>350</v>
      </c>
      <c r="R188" s="823">
        <v>349</v>
      </c>
      <c r="S188" s="823">
        <v>331</v>
      </c>
      <c r="T188" s="823">
        <v>323</v>
      </c>
      <c r="U188" s="823">
        <v>316</v>
      </c>
      <c r="V188" s="823">
        <v>312</v>
      </c>
      <c r="W188" s="823">
        <v>307</v>
      </c>
      <c r="X188" s="823">
        <v>269</v>
      </c>
      <c r="Y188" s="823">
        <v>267</v>
      </c>
      <c r="Z188" s="823">
        <v>262</v>
      </c>
      <c r="AA188" s="823">
        <v>247</v>
      </c>
      <c r="AB188" s="823">
        <v>249</v>
      </c>
      <c r="AC188" s="825">
        <v>237</v>
      </c>
      <c r="AD188" s="825">
        <v>235</v>
      </c>
      <c r="AE188" s="825">
        <v>232</v>
      </c>
      <c r="AF188" s="825">
        <v>230</v>
      </c>
      <c r="AG188" s="825">
        <v>229</v>
      </c>
      <c r="AH188" s="825">
        <v>229</v>
      </c>
      <c r="AI188" s="825">
        <v>231</v>
      </c>
      <c r="AJ188" s="825">
        <v>212</v>
      </c>
      <c r="AK188" s="825">
        <v>212</v>
      </c>
      <c r="AL188" s="825">
        <v>209</v>
      </c>
      <c r="AM188" s="825">
        <v>194</v>
      </c>
      <c r="AN188" s="825">
        <v>193</v>
      </c>
      <c r="AO188" s="825">
        <v>192</v>
      </c>
      <c r="AP188" s="825">
        <v>189</v>
      </c>
    </row>
    <row r="189" hidden="1">
      <c r="B189" s="826" t="s">
        <v>110</v>
      </c>
      <c r="C189" s="827">
        <v>3295</v>
      </c>
      <c r="D189" s="827">
        <v>3248</v>
      </c>
      <c r="E189" s="827">
        <v>3104</v>
      </c>
      <c r="F189" s="827">
        <v>3014</v>
      </c>
      <c r="G189" s="827">
        <v>2916</v>
      </c>
      <c r="H189" s="827">
        <v>2868</v>
      </c>
      <c r="I189" s="827">
        <v>2158</v>
      </c>
      <c r="J189" s="827">
        <v>2086</v>
      </c>
      <c r="K189" s="827">
        <v>2040</v>
      </c>
      <c r="L189" s="827">
        <v>1986</v>
      </c>
      <c r="M189" s="827">
        <v>1949</v>
      </c>
      <c r="N189" s="827">
        <v>1830</v>
      </c>
      <c r="O189" s="827">
        <v>1796</v>
      </c>
      <c r="P189" s="827">
        <v>1692</v>
      </c>
      <c r="Q189" s="827">
        <v>1673</v>
      </c>
      <c r="R189" s="827">
        <v>1621</v>
      </c>
      <c r="S189" s="827">
        <v>1599</v>
      </c>
      <c r="T189" s="827">
        <v>1568</v>
      </c>
      <c r="U189" s="827">
        <v>1384</v>
      </c>
      <c r="V189" s="827">
        <v>1348</v>
      </c>
      <c r="W189" s="827">
        <v>1276</v>
      </c>
      <c r="X189" s="827">
        <v>1244</v>
      </c>
      <c r="Y189" s="827">
        <v>1180</v>
      </c>
      <c r="Z189" s="827">
        <v>1147</v>
      </c>
      <c r="AA189" s="827">
        <v>1093</v>
      </c>
      <c r="AB189" s="827">
        <v>1062</v>
      </c>
      <c r="AC189" s="828">
        <v>1018</v>
      </c>
      <c r="AD189" s="828">
        <v>989</v>
      </c>
      <c r="AE189" s="828">
        <v>963</v>
      </c>
      <c r="AF189" s="828">
        <v>913</v>
      </c>
      <c r="AG189" s="828">
        <v>890</v>
      </c>
      <c r="AH189" s="828">
        <v>864</v>
      </c>
      <c r="AI189" s="828">
        <v>824</v>
      </c>
      <c r="AJ189" s="828">
        <v>797</v>
      </c>
      <c r="AK189" s="828">
        <v>750</v>
      </c>
      <c r="AL189" s="828">
        <v>722</v>
      </c>
      <c r="AM189" s="828">
        <v>683</v>
      </c>
      <c r="AN189" s="828">
        <v>660</v>
      </c>
      <c r="AO189" s="828">
        <v>620</v>
      </c>
      <c r="AP189" s="828">
        <v>601</v>
      </c>
    </row>
    <row r="190" hidden="1">
      <c r="B190" s="829" t="s">
        <v>16</v>
      </c>
      <c r="C190" s="823">
        <v>1295</v>
      </c>
      <c r="D190" s="823">
        <v>1286</v>
      </c>
      <c r="E190" s="823">
        <v>1231</v>
      </c>
      <c r="F190" s="823">
        <v>1173</v>
      </c>
      <c r="G190" s="823">
        <v>1089</v>
      </c>
      <c r="H190" s="823">
        <v>1043</v>
      </c>
      <c r="I190" s="823">
        <v>1023</v>
      </c>
      <c r="J190" s="823">
        <v>976</v>
      </c>
      <c r="K190" s="823">
        <v>958</v>
      </c>
      <c r="L190" s="823">
        <v>949</v>
      </c>
      <c r="M190" s="823">
        <v>925</v>
      </c>
      <c r="N190" s="823">
        <v>896</v>
      </c>
      <c r="O190" s="823">
        <v>863</v>
      </c>
      <c r="P190" s="823">
        <v>844</v>
      </c>
      <c r="Q190" s="823">
        <v>833</v>
      </c>
      <c r="R190" s="823">
        <v>778</v>
      </c>
      <c r="S190" s="823">
        <v>751</v>
      </c>
      <c r="T190" s="823">
        <v>743</v>
      </c>
      <c r="U190" s="823">
        <v>721</v>
      </c>
      <c r="V190" s="823">
        <v>710</v>
      </c>
      <c r="W190" s="823">
        <v>693</v>
      </c>
      <c r="X190" s="823">
        <v>668</v>
      </c>
      <c r="Y190" s="823">
        <v>641</v>
      </c>
      <c r="Z190" s="823">
        <v>622</v>
      </c>
      <c r="AA190" s="823">
        <v>581</v>
      </c>
      <c r="AB190" s="823">
        <v>547</v>
      </c>
      <c r="AC190" s="825">
        <v>529</v>
      </c>
      <c r="AD190" s="825">
        <v>516</v>
      </c>
      <c r="AE190" s="825">
        <v>504</v>
      </c>
      <c r="AF190" s="825">
        <v>503</v>
      </c>
      <c r="AG190" s="825">
        <v>494</v>
      </c>
      <c r="AH190" s="825">
        <v>484</v>
      </c>
      <c r="AI190" s="825">
        <v>469</v>
      </c>
      <c r="AJ190" s="825">
        <v>455</v>
      </c>
      <c r="AK190" s="825">
        <v>448</v>
      </c>
      <c r="AL190" s="825">
        <v>436</v>
      </c>
      <c r="AM190" s="825">
        <v>415</v>
      </c>
      <c r="AN190" s="825">
        <v>413</v>
      </c>
      <c r="AO190" s="825">
        <v>403</v>
      </c>
      <c r="AP190" s="825">
        <v>397</v>
      </c>
    </row>
    <row r="191" hidden="1">
      <c r="B191" s="826" t="s">
        <v>17</v>
      </c>
      <c r="C191" s="827">
        <v>771</v>
      </c>
      <c r="D191" s="827">
        <v>680</v>
      </c>
      <c r="E191" s="827">
        <v>665</v>
      </c>
      <c r="F191" s="827">
        <v>650</v>
      </c>
      <c r="G191" s="827">
        <v>433</v>
      </c>
      <c r="H191" s="827">
        <v>396</v>
      </c>
      <c r="I191" s="827">
        <v>359</v>
      </c>
      <c r="J191" s="827">
        <v>361</v>
      </c>
      <c r="K191" s="827">
        <v>359</v>
      </c>
      <c r="L191" s="827">
        <v>361</v>
      </c>
      <c r="M191" s="827">
        <v>355</v>
      </c>
      <c r="N191" s="827">
        <v>358</v>
      </c>
      <c r="O191" s="827">
        <v>348</v>
      </c>
      <c r="P191" s="827">
        <v>343</v>
      </c>
      <c r="Q191" s="827">
        <v>336</v>
      </c>
      <c r="R191" s="827">
        <v>349</v>
      </c>
      <c r="S191" s="827">
        <v>257</v>
      </c>
      <c r="T191" s="827">
        <v>255</v>
      </c>
      <c r="U191" s="827">
        <v>253</v>
      </c>
      <c r="V191" s="827">
        <v>251</v>
      </c>
      <c r="W191" s="827">
        <v>208</v>
      </c>
      <c r="X191" s="827">
        <v>206</v>
      </c>
      <c r="Y191" s="827">
        <v>203</v>
      </c>
      <c r="Z191" s="827">
        <v>205</v>
      </c>
      <c r="AA191" s="827">
        <v>202</v>
      </c>
      <c r="AB191" s="827">
        <v>198</v>
      </c>
      <c r="AC191" s="828">
        <v>194</v>
      </c>
      <c r="AD191" s="828">
        <v>193</v>
      </c>
      <c r="AE191" s="828">
        <v>196</v>
      </c>
      <c r="AF191" s="828">
        <v>200</v>
      </c>
      <c r="AG191" s="828">
        <v>197</v>
      </c>
      <c r="AH191" s="828">
        <v>193</v>
      </c>
      <c r="AI191" s="828">
        <v>188</v>
      </c>
      <c r="AJ191" s="828">
        <v>186</v>
      </c>
      <c r="AK191" s="828">
        <v>182</v>
      </c>
      <c r="AL191" s="828">
        <v>176</v>
      </c>
      <c r="AM191" s="828">
        <v>171</v>
      </c>
      <c r="AN191" s="828">
        <v>169</v>
      </c>
      <c r="AO191" s="828">
        <v>169</v>
      </c>
      <c r="AP191" s="828">
        <v>167</v>
      </c>
    </row>
    <row r="192" hidden="1">
      <c r="B192" s="829" t="s">
        <v>18</v>
      </c>
      <c r="C192" s="823">
        <v>20234</v>
      </c>
      <c r="D192" s="823">
        <v>19968</v>
      </c>
      <c r="E192" s="823">
        <v>14086</v>
      </c>
      <c r="F192" s="823">
        <v>14011</v>
      </c>
      <c r="G192" s="823">
        <v>13935</v>
      </c>
      <c r="H192" s="823">
        <v>13816</v>
      </c>
      <c r="I192" s="823">
        <v>13223</v>
      </c>
      <c r="J192" s="823">
        <v>13104</v>
      </c>
      <c r="K192" s="823">
        <v>12949</v>
      </c>
      <c r="L192" s="823">
        <v>12812</v>
      </c>
      <c r="M192" s="823">
        <v>12671</v>
      </c>
      <c r="N192" s="823">
        <v>12547</v>
      </c>
      <c r="O192" s="823">
        <v>12373</v>
      </c>
      <c r="P192" s="823">
        <v>12244</v>
      </c>
      <c r="Q192" s="823">
        <v>11952</v>
      </c>
      <c r="R192" s="823">
        <v>11764</v>
      </c>
      <c r="S192" s="823">
        <v>11524</v>
      </c>
      <c r="T192" s="823">
        <v>11355</v>
      </c>
      <c r="U192" s="823">
        <v>11037</v>
      </c>
      <c r="V192" s="823">
        <v>10393</v>
      </c>
      <c r="W192" s="823">
        <v>8759</v>
      </c>
      <c r="X192" s="823">
        <v>8615</v>
      </c>
      <c r="Y192" s="823">
        <v>8108</v>
      </c>
      <c r="Z192" s="823">
        <v>8039</v>
      </c>
      <c r="AA192" s="823">
        <v>7708</v>
      </c>
      <c r="AB192" s="823">
        <v>7543</v>
      </c>
      <c r="AC192" s="825">
        <v>7240</v>
      </c>
      <c r="AD192" s="825">
        <v>7007</v>
      </c>
      <c r="AE192" s="825">
        <v>6908</v>
      </c>
      <c r="AF192" s="825">
        <v>6782</v>
      </c>
      <c r="AG192" s="825">
        <v>6645</v>
      </c>
      <c r="AH192" s="825">
        <v>6479</v>
      </c>
      <c r="AI192" s="825">
        <v>6090</v>
      </c>
      <c r="AJ192" s="825">
        <v>5998</v>
      </c>
      <c r="AK192" s="825">
        <v>5879</v>
      </c>
      <c r="AL192" s="825">
        <v>5765</v>
      </c>
      <c r="AM192" s="825">
        <v>5611</v>
      </c>
      <c r="AN192" s="825">
        <v>5496</v>
      </c>
      <c r="AO192" s="825">
        <v>5297</v>
      </c>
      <c r="AP192" s="825">
        <v>5137</v>
      </c>
    </row>
    <row r="193" hidden="1">
      <c r="B193" s="826" t="s">
        <v>19</v>
      </c>
      <c r="C193" s="827">
        <v>160</v>
      </c>
      <c r="D193" s="827">
        <v>158</v>
      </c>
      <c r="E193" s="827">
        <v>155</v>
      </c>
      <c r="F193" s="827">
        <v>151</v>
      </c>
      <c r="G193" s="827">
        <v>153</v>
      </c>
      <c r="H193" s="827">
        <v>94</v>
      </c>
      <c r="I193" s="827">
        <v>94</v>
      </c>
      <c r="J193" s="827">
        <v>93</v>
      </c>
      <c r="K193" s="827">
        <v>94</v>
      </c>
      <c r="L193" s="827">
        <v>95</v>
      </c>
      <c r="M193" s="827">
        <v>88</v>
      </c>
      <c r="N193" s="827">
        <v>88</v>
      </c>
      <c r="O193" s="827">
        <v>88</v>
      </c>
      <c r="P193" s="827">
        <v>88</v>
      </c>
      <c r="Q193" s="827">
        <v>86</v>
      </c>
      <c r="R193" s="827">
        <v>84</v>
      </c>
      <c r="S193" s="827">
        <v>85</v>
      </c>
      <c r="T193" s="827">
        <v>83</v>
      </c>
      <c r="U193" s="827">
        <v>82</v>
      </c>
      <c r="V193" s="827">
        <v>81</v>
      </c>
      <c r="W193" s="827">
        <v>75</v>
      </c>
      <c r="X193" s="827">
        <v>74</v>
      </c>
      <c r="Y193" s="827">
        <v>71</v>
      </c>
      <c r="Z193" s="827">
        <v>70</v>
      </c>
      <c r="AA193" s="827">
        <v>67</v>
      </c>
      <c r="AB193" s="827">
        <v>64</v>
      </c>
      <c r="AC193" s="828">
        <v>62</v>
      </c>
      <c r="AD193" s="828">
        <v>61</v>
      </c>
      <c r="AE193" s="828">
        <v>60</v>
      </c>
      <c r="AF193" s="828">
        <v>59</v>
      </c>
      <c r="AG193" s="828">
        <v>59</v>
      </c>
      <c r="AH193" s="828">
        <v>54</v>
      </c>
      <c r="AI193" s="828">
        <v>53</v>
      </c>
      <c r="AJ193" s="828">
        <v>50</v>
      </c>
      <c r="AK193" s="828">
        <v>49</v>
      </c>
      <c r="AL193" s="828">
        <v>48</v>
      </c>
      <c r="AM193" s="828">
        <v>46</v>
      </c>
      <c r="AN193" s="828">
        <v>45</v>
      </c>
      <c r="AO193" s="828">
        <v>43</v>
      </c>
      <c r="AP193" s="828">
        <v>40</v>
      </c>
    </row>
    <row r="194" hidden="1">
      <c r="B194" s="829" t="s">
        <v>20</v>
      </c>
      <c r="C194" s="823">
        <v>124</v>
      </c>
      <c r="D194" s="823">
        <v>122</v>
      </c>
      <c r="E194" s="823">
        <v>123</v>
      </c>
      <c r="F194" s="823">
        <v>68</v>
      </c>
      <c r="G194" s="823">
        <v>52</v>
      </c>
      <c r="H194" s="823">
        <v>53</v>
      </c>
      <c r="I194" s="823">
        <v>54</v>
      </c>
      <c r="J194" s="823">
        <v>52</v>
      </c>
      <c r="K194" s="823">
        <v>52</v>
      </c>
      <c r="L194" s="823">
        <v>52</v>
      </c>
      <c r="M194" s="823">
        <v>52</v>
      </c>
      <c r="N194" s="823">
        <v>41</v>
      </c>
      <c r="O194" s="823">
        <v>41</v>
      </c>
      <c r="P194" s="823">
        <v>42</v>
      </c>
      <c r="Q194" s="823">
        <v>42</v>
      </c>
      <c r="R194" s="823">
        <v>42</v>
      </c>
      <c r="S194" s="823">
        <v>37</v>
      </c>
      <c r="T194" s="823">
        <v>39</v>
      </c>
      <c r="U194" s="823">
        <v>38</v>
      </c>
      <c r="V194" s="823">
        <v>38</v>
      </c>
      <c r="W194" s="823">
        <v>37</v>
      </c>
      <c r="X194" s="823">
        <v>37</v>
      </c>
      <c r="Y194" s="823">
        <v>37</v>
      </c>
      <c r="Z194" s="823">
        <v>34</v>
      </c>
      <c r="AA194" s="823">
        <v>34</v>
      </c>
      <c r="AB194" s="823">
        <v>34</v>
      </c>
      <c r="AC194" s="825">
        <v>34</v>
      </c>
      <c r="AD194" s="825">
        <v>34</v>
      </c>
      <c r="AE194" s="825">
        <v>34</v>
      </c>
      <c r="AF194" s="825">
        <v>34</v>
      </c>
      <c r="AG194" s="825">
        <v>26</v>
      </c>
      <c r="AH194" s="825">
        <v>26</v>
      </c>
      <c r="AI194" s="825">
        <v>26</v>
      </c>
      <c r="AJ194" s="825">
        <v>25</v>
      </c>
      <c r="AK194" s="825">
        <v>25</v>
      </c>
      <c r="AL194" s="825">
        <v>25</v>
      </c>
      <c r="AM194" s="825">
        <v>25</v>
      </c>
      <c r="AN194" s="825">
        <v>25</v>
      </c>
      <c r="AO194" s="825">
        <v>24</v>
      </c>
      <c r="AP194" s="825">
        <v>23</v>
      </c>
    </row>
    <row r="195" hidden="1">
      <c r="B195" s="826" t="s">
        <v>21</v>
      </c>
      <c r="C195" s="827">
        <v>388</v>
      </c>
      <c r="D195" s="827">
        <v>340</v>
      </c>
      <c r="E195" s="827">
        <v>283</v>
      </c>
      <c r="F195" s="827">
        <v>283</v>
      </c>
      <c r="G195" s="827">
        <v>277</v>
      </c>
      <c r="H195" s="827">
        <v>269</v>
      </c>
      <c r="I195" s="827">
        <v>268</v>
      </c>
      <c r="J195" s="827">
        <v>271</v>
      </c>
      <c r="K195" s="827">
        <v>272</v>
      </c>
      <c r="L195" s="827">
        <v>270</v>
      </c>
      <c r="M195" s="827">
        <v>269</v>
      </c>
      <c r="N195" s="827">
        <v>254</v>
      </c>
      <c r="O195" s="827">
        <v>254</v>
      </c>
      <c r="P195" s="827">
        <v>249</v>
      </c>
      <c r="Q195" s="827">
        <v>243</v>
      </c>
      <c r="R195" s="827">
        <v>221</v>
      </c>
      <c r="S195" s="827">
        <v>221</v>
      </c>
      <c r="T195" s="827">
        <v>202</v>
      </c>
      <c r="U195" s="827">
        <v>193</v>
      </c>
      <c r="V195" s="827">
        <v>190</v>
      </c>
      <c r="W195" s="827">
        <v>183</v>
      </c>
      <c r="X195" s="827">
        <v>182</v>
      </c>
      <c r="Y195" s="827">
        <v>177</v>
      </c>
      <c r="Z195" s="827">
        <v>158</v>
      </c>
      <c r="AA195" s="827">
        <v>157</v>
      </c>
      <c r="AB195" s="827">
        <v>157</v>
      </c>
      <c r="AC195" s="828">
        <v>159</v>
      </c>
      <c r="AD195" s="828">
        <v>156</v>
      </c>
      <c r="AE195" s="828">
        <v>155</v>
      </c>
      <c r="AF195" s="828">
        <v>145</v>
      </c>
      <c r="AG195" s="828">
        <v>142</v>
      </c>
      <c r="AH195" s="828">
        <v>142</v>
      </c>
      <c r="AI195" s="828">
        <v>138</v>
      </c>
      <c r="AJ195" s="828">
        <v>135</v>
      </c>
      <c r="AK195" s="828">
        <v>129</v>
      </c>
      <c r="AL195" s="828">
        <v>128</v>
      </c>
      <c r="AM195" s="828">
        <v>126</v>
      </c>
      <c r="AN195" s="828">
        <v>124</v>
      </c>
      <c r="AO195" s="828">
        <v>121</v>
      </c>
      <c r="AP195" s="828">
        <v>117</v>
      </c>
    </row>
    <row r="196" hidden="1">
      <c r="B196" s="829" t="s">
        <v>22</v>
      </c>
      <c r="C196" s="823">
        <v>510</v>
      </c>
      <c r="D196" s="823">
        <v>507</v>
      </c>
      <c r="E196" s="823">
        <v>505</v>
      </c>
      <c r="F196" s="823">
        <v>506</v>
      </c>
      <c r="G196" s="823">
        <v>510</v>
      </c>
      <c r="H196" s="823">
        <v>511</v>
      </c>
      <c r="I196" s="823">
        <v>480</v>
      </c>
      <c r="J196" s="823">
        <v>480</v>
      </c>
      <c r="K196" s="823">
        <v>446</v>
      </c>
      <c r="L196" s="823">
        <v>448</v>
      </c>
      <c r="M196" s="823">
        <v>422</v>
      </c>
      <c r="N196" s="823">
        <v>347</v>
      </c>
      <c r="O196" s="823">
        <v>343</v>
      </c>
      <c r="P196" s="823">
        <v>353</v>
      </c>
      <c r="Q196" s="823">
        <v>346</v>
      </c>
      <c r="R196" s="823">
        <v>351</v>
      </c>
      <c r="S196" s="823">
        <v>349</v>
      </c>
      <c r="T196" s="823">
        <v>281</v>
      </c>
      <c r="U196" s="823">
        <v>353</v>
      </c>
      <c r="V196" s="823">
        <v>343</v>
      </c>
      <c r="W196" s="823">
        <v>334</v>
      </c>
      <c r="X196" s="823">
        <v>330</v>
      </c>
      <c r="Y196" s="823">
        <v>308</v>
      </c>
      <c r="Z196" s="823">
        <v>307</v>
      </c>
      <c r="AA196" s="823">
        <v>300</v>
      </c>
      <c r="AB196" s="823">
        <v>285</v>
      </c>
      <c r="AC196" s="825">
        <v>281</v>
      </c>
      <c r="AD196" s="825">
        <v>275</v>
      </c>
      <c r="AE196" s="825">
        <v>254</v>
      </c>
      <c r="AF196" s="825">
        <v>251</v>
      </c>
      <c r="AG196" s="825">
        <v>243</v>
      </c>
      <c r="AH196" s="825">
        <v>239</v>
      </c>
      <c r="AI196" s="825">
        <v>227</v>
      </c>
      <c r="AJ196" s="825">
        <v>214</v>
      </c>
      <c r="AK196" s="825">
        <v>209</v>
      </c>
      <c r="AL196" s="825">
        <v>204</v>
      </c>
      <c r="AM196" s="825">
        <v>196</v>
      </c>
      <c r="AN196" s="825">
        <v>195</v>
      </c>
      <c r="AO196" s="825">
        <v>186</v>
      </c>
      <c r="AP196" s="825">
        <v>186</v>
      </c>
    </row>
    <row r="197" hidden="1">
      <c r="B197" s="826" t="s">
        <v>23</v>
      </c>
      <c r="C197" s="827">
        <v>32</v>
      </c>
      <c r="D197" s="827">
        <v>30</v>
      </c>
      <c r="E197" s="827">
        <v>30</v>
      </c>
      <c r="F197" s="827">
        <v>27</v>
      </c>
      <c r="G197" s="827">
        <v>25</v>
      </c>
      <c r="H197" s="827">
        <v>24</v>
      </c>
      <c r="I197" s="827">
        <v>23</v>
      </c>
      <c r="J197" s="827">
        <v>21</v>
      </c>
      <c r="K197" s="827">
        <v>18</v>
      </c>
      <c r="L197" s="827">
        <v>17</v>
      </c>
      <c r="M197" s="827">
        <v>17</v>
      </c>
      <c r="N197" s="827">
        <v>17</v>
      </c>
      <c r="O197" s="827">
        <v>17</v>
      </c>
      <c r="P197" s="827">
        <v>16</v>
      </c>
      <c r="Q197" s="827">
        <v>15</v>
      </c>
      <c r="R197" s="827">
        <v>15</v>
      </c>
      <c r="S197" s="827">
        <v>15</v>
      </c>
      <c r="T197" s="827">
        <v>15</v>
      </c>
      <c r="U197" s="827">
        <v>15</v>
      </c>
      <c r="V197" s="827">
        <v>15</v>
      </c>
      <c r="W197" s="827">
        <v>15</v>
      </c>
      <c r="X197" s="827">
        <v>14</v>
      </c>
      <c r="Y197" s="827">
        <v>13</v>
      </c>
      <c r="Z197" s="827">
        <v>12</v>
      </c>
      <c r="AA197" s="827">
        <v>12</v>
      </c>
      <c r="AB197" s="827">
        <v>12</v>
      </c>
      <c r="AC197" s="828">
        <v>12</v>
      </c>
      <c r="AD197" s="828">
        <v>12</v>
      </c>
      <c r="AE197" s="828">
        <v>11</v>
      </c>
      <c r="AF197" s="828">
        <v>10</v>
      </c>
      <c r="AG197" s="828">
        <v>10</v>
      </c>
      <c r="AH197" s="828">
        <v>10</v>
      </c>
      <c r="AI197" s="828">
        <v>10</v>
      </c>
      <c r="AJ197" s="828">
        <v>10</v>
      </c>
      <c r="AK197" s="828">
        <v>10</v>
      </c>
      <c r="AL197" s="828">
        <v>7</v>
      </c>
      <c r="AM197" s="828">
        <v>7</v>
      </c>
      <c r="AN197" s="828">
        <v>7</v>
      </c>
      <c r="AO197" s="828">
        <v>9</v>
      </c>
      <c r="AP197" s="828">
        <v>9</v>
      </c>
    </row>
    <row r="198" hidden="1">
      <c r="B198" s="830" t="s">
        <v>24</v>
      </c>
      <c r="C198" s="823">
        <v>51</v>
      </c>
      <c r="D198" s="823">
        <v>50</v>
      </c>
      <c r="E198" s="823">
        <v>42</v>
      </c>
      <c r="F198" s="823">
        <v>39</v>
      </c>
      <c r="G198" s="823">
        <v>38</v>
      </c>
      <c r="H198" s="823">
        <v>36</v>
      </c>
      <c r="I198" s="823">
        <v>38</v>
      </c>
      <c r="J198" s="823">
        <v>36</v>
      </c>
      <c r="K198" s="823">
        <v>35</v>
      </c>
      <c r="L198" s="823">
        <v>34</v>
      </c>
      <c r="M198" s="823">
        <v>34</v>
      </c>
      <c r="N198" s="823">
        <v>34</v>
      </c>
      <c r="O198" s="823">
        <v>34</v>
      </c>
      <c r="P198" s="823">
        <v>34</v>
      </c>
      <c r="Q198" s="823">
        <v>34</v>
      </c>
      <c r="R198" s="823">
        <v>33</v>
      </c>
      <c r="S198" s="823">
        <v>31</v>
      </c>
      <c r="T198" s="823">
        <v>31</v>
      </c>
      <c r="U198" s="823">
        <v>31</v>
      </c>
      <c r="V198" s="823">
        <v>31</v>
      </c>
      <c r="W198" s="823">
        <v>31</v>
      </c>
      <c r="X198" s="823">
        <v>31</v>
      </c>
      <c r="Y198" s="823">
        <v>31</v>
      </c>
      <c r="Z198" s="823">
        <v>29</v>
      </c>
      <c r="AA198" s="823">
        <v>29</v>
      </c>
      <c r="AB198" s="823">
        <v>29</v>
      </c>
      <c r="AC198" s="825">
        <v>27</v>
      </c>
      <c r="AD198" s="825">
        <v>27</v>
      </c>
      <c r="AE198" s="825">
        <v>27</v>
      </c>
      <c r="AF198" s="825">
        <v>28</v>
      </c>
      <c r="AG198" s="825">
        <v>27</v>
      </c>
      <c r="AH198" s="825">
        <v>26</v>
      </c>
      <c r="AI198" s="825">
        <v>25</v>
      </c>
      <c r="AJ198" s="825">
        <v>24</v>
      </c>
      <c r="AK198" s="825">
        <v>21</v>
      </c>
      <c r="AL198" s="825">
        <v>20</v>
      </c>
      <c r="AM198" s="825">
        <v>19</v>
      </c>
      <c r="AN198" s="825">
        <v>19</v>
      </c>
      <c r="AO198" s="825">
        <v>18</v>
      </c>
      <c r="AP198" s="825">
        <v>17</v>
      </c>
    </row>
    <row r="199" hidden="1">
      <c r="B199" s="826" t="s">
        <v>25</v>
      </c>
      <c r="C199" s="827">
        <v>0</v>
      </c>
      <c r="D199" s="827">
        <v>0</v>
      </c>
      <c r="E199" s="827">
        <v>0</v>
      </c>
      <c r="F199" s="827">
        <v>0</v>
      </c>
      <c r="G199" s="827">
        <v>0</v>
      </c>
      <c r="H199" s="827">
        <v>0</v>
      </c>
      <c r="I199" s="827">
        <v>0</v>
      </c>
      <c r="J199" s="827">
        <v>0</v>
      </c>
      <c r="K199" s="827">
        <v>0</v>
      </c>
      <c r="L199" s="827">
        <v>0</v>
      </c>
      <c r="M199" s="827">
        <v>0</v>
      </c>
      <c r="N199" s="827">
        <v>0</v>
      </c>
      <c r="O199" s="827">
        <v>0</v>
      </c>
      <c r="P199" s="827">
        <v>0</v>
      </c>
      <c r="Q199" s="827">
        <v>0</v>
      </c>
      <c r="R199" s="827">
        <v>0</v>
      </c>
      <c r="S199" s="827">
        <v>0</v>
      </c>
      <c r="T199" s="827">
        <v>0</v>
      </c>
      <c r="U199" s="827">
        <v>0</v>
      </c>
      <c r="V199" s="827">
        <v>0</v>
      </c>
      <c r="W199" s="827">
        <v>0</v>
      </c>
      <c r="X199" s="827">
        <v>0</v>
      </c>
      <c r="Y199" s="827">
        <v>0</v>
      </c>
      <c r="Z199" s="827">
        <v>0</v>
      </c>
      <c r="AA199" s="827">
        <v>0</v>
      </c>
      <c r="AB199" s="827">
        <v>0</v>
      </c>
      <c r="AC199" s="828">
        <v>0</v>
      </c>
      <c r="AD199" s="828">
        <v>0</v>
      </c>
      <c r="AE199" s="828">
        <v>0</v>
      </c>
      <c r="AF199" s="828">
        <v>0</v>
      </c>
      <c r="AG199" s="828">
        <v>0</v>
      </c>
      <c r="AH199" s="828">
        <v>0</v>
      </c>
      <c r="AI199" s="828">
        <v>0</v>
      </c>
      <c r="AJ199" s="828">
        <v>0</v>
      </c>
      <c r="AK199" s="828">
        <v>0</v>
      </c>
      <c r="AL199" s="828">
        <v>0</v>
      </c>
      <c r="AM199" s="828">
        <v>0</v>
      </c>
      <c r="AN199" s="828">
        <v>0</v>
      </c>
      <c r="AO199" s="828">
        <v>0</v>
      </c>
      <c r="AP199" s="828">
        <v>0</v>
      </c>
    </row>
    <row r="200" hidden="1" ht="13.5">
      <c r="B200" s="831" t="s">
        <v>26</v>
      </c>
      <c r="C200" s="823">
        <v>0</v>
      </c>
      <c r="D200" s="823">
        <v>0</v>
      </c>
      <c r="E200" s="823">
        <v>0</v>
      </c>
      <c r="F200" s="823">
        <v>0</v>
      </c>
      <c r="G200" s="823">
        <v>0</v>
      </c>
      <c r="H200" s="823">
        <v>0</v>
      </c>
      <c r="I200" s="823">
        <v>0</v>
      </c>
      <c r="J200" s="823">
        <v>0</v>
      </c>
      <c r="K200" s="823">
        <v>0</v>
      </c>
      <c r="L200" s="823">
        <v>0</v>
      </c>
      <c r="M200" s="823">
        <v>0</v>
      </c>
      <c r="N200" s="823">
        <v>0</v>
      </c>
      <c r="O200" s="823">
        <v>0</v>
      </c>
      <c r="P200" s="823">
        <v>0</v>
      </c>
      <c r="Q200" s="823">
        <v>0</v>
      </c>
      <c r="R200" s="823">
        <v>0</v>
      </c>
      <c r="S200" s="823">
        <v>0</v>
      </c>
      <c r="T200" s="823">
        <v>0</v>
      </c>
      <c r="U200" s="823">
        <v>0</v>
      </c>
      <c r="V200" s="823">
        <v>0</v>
      </c>
      <c r="W200" s="823">
        <v>0</v>
      </c>
      <c r="X200" s="823">
        <v>0</v>
      </c>
      <c r="Y200" s="823">
        <v>0</v>
      </c>
      <c r="Z200" s="823">
        <v>0</v>
      </c>
      <c r="AA200" s="823">
        <v>0</v>
      </c>
      <c r="AB200" s="832">
        <v>0</v>
      </c>
      <c r="AC200" s="825">
        <v>0</v>
      </c>
      <c r="AD200" s="825">
        <v>0</v>
      </c>
      <c r="AE200" s="825">
        <v>0</v>
      </c>
      <c r="AF200" s="825">
        <v>0</v>
      </c>
      <c r="AG200" s="825">
        <v>0</v>
      </c>
      <c r="AH200" s="825">
        <v>0</v>
      </c>
      <c r="AI200" s="825">
        <v>0</v>
      </c>
      <c r="AJ200" s="825">
        <v>0</v>
      </c>
      <c r="AK200" s="825">
        <v>0</v>
      </c>
      <c r="AL200" s="825">
        <v>0</v>
      </c>
      <c r="AM200" s="825">
        <v>0</v>
      </c>
      <c r="AN200" s="825">
        <v>0</v>
      </c>
      <c r="AO200" s="825">
        <v>0</v>
      </c>
      <c r="AP200" s="825">
        <v>0</v>
      </c>
    </row>
    <row r="201" hidden="1" ht="13.5">
      <c r="B201" s="128" t="s">
        <v>7</v>
      </c>
      <c r="C201" s="129" t="str">
        <f>IF(SUM(C182:C200)&lt;&gt;0,SUM(C182:C200),"")</f>
      </c>
      <c r="D201" s="129" t="str">
        <f ref="D201:AA201" t="shared" si="5">IF(SUM(D182:D200)&lt;&gt;0,SUM(D182:D200),"")</f>
      </c>
      <c r="E201" s="129" t="str">
        <f t="shared" si="5"/>
      </c>
      <c r="F201" s="129" t="str">
        <f t="shared" si="5"/>
      </c>
      <c r="G201" s="129" t="str">
        <f t="shared" si="5"/>
      </c>
      <c r="H201" s="129" t="str">
        <f t="shared" si="5"/>
      </c>
      <c r="I201" s="129" t="str">
        <f t="shared" si="5"/>
      </c>
      <c r="J201" s="129" t="str">
        <f t="shared" si="5"/>
      </c>
      <c r="K201" s="129" t="str">
        <f t="shared" si="5"/>
      </c>
      <c r="L201" s="129" t="str">
        <f t="shared" si="5"/>
      </c>
      <c r="M201" s="129" t="str">
        <f t="shared" si="5"/>
      </c>
      <c r="N201" s="129" t="str">
        <f t="shared" si="5"/>
      </c>
      <c r="O201" s="129" t="str">
        <f t="shared" si="5"/>
      </c>
      <c r="P201" s="129" t="str">
        <f t="shared" si="5"/>
      </c>
      <c r="Q201" s="129" t="str">
        <f t="shared" si="5"/>
      </c>
      <c r="R201" s="129" t="str">
        <f t="shared" si="5"/>
      </c>
      <c r="S201" s="129" t="str">
        <f t="shared" si="5"/>
      </c>
      <c r="T201" s="129" t="str">
        <f t="shared" si="5"/>
      </c>
      <c r="U201" s="129" t="str">
        <f t="shared" si="5"/>
      </c>
      <c r="V201" s="129" t="str">
        <f t="shared" si="5"/>
      </c>
      <c r="W201" s="129" t="str">
        <f t="shared" si="5"/>
      </c>
      <c r="X201" s="129" t="str">
        <f t="shared" si="5"/>
      </c>
      <c r="Y201" s="129" t="str">
        <f t="shared" si="5"/>
      </c>
      <c r="Z201" s="129" t="str">
        <f t="shared" si="5"/>
      </c>
      <c r="AA201" s="129" t="str">
        <f t="shared" si="5"/>
      </c>
      <c r="AB201" s="130" t="str">
        <f>IF(SUM(AB182:AB200)&lt;&gt;0,SUM(AB182:AB200),"")</f>
      </c>
      <c r="AC201" s="91" t="str">
        <f ref="AC201:CN201" t="shared" si="6">IF(SUM(AC182:AC200)&lt;&gt;0,SUM(AC182:AC200),"")</f>
      </c>
      <c r="AD201" s="91" t="str">
        <f t="shared" si="6"/>
      </c>
      <c r="AE201" s="91" t="str">
        <f t="shared" si="6"/>
      </c>
      <c r="AF201" s="91" t="str">
        <f t="shared" si="6"/>
      </c>
      <c r="AG201" s="91" t="str">
        <f t="shared" si="6"/>
      </c>
      <c r="AH201" s="91" t="str">
        <f t="shared" si="6"/>
      </c>
      <c r="AI201" s="91" t="str">
        <f t="shared" si="6"/>
      </c>
      <c r="AJ201" s="91" t="str">
        <f t="shared" si="6"/>
      </c>
      <c r="AK201" s="91" t="str">
        <f t="shared" si="6"/>
      </c>
      <c r="AL201" s="91" t="str">
        <f t="shared" si="6"/>
      </c>
      <c r="AM201" s="91" t="str">
        <f t="shared" si="6"/>
      </c>
      <c r="AN201" s="91" t="str">
        <f t="shared" si="6"/>
      </c>
      <c r="AO201" s="91" t="str">
        <f t="shared" si="6"/>
      </c>
      <c r="AP201" s="91" t="str">
        <f t="shared" si="6"/>
      </c>
      <c r="AQ201" s="91" t="str">
        <f t="shared" si="6"/>
      </c>
      <c r="AR201" s="91" t="str">
        <f t="shared" si="6"/>
      </c>
      <c r="AS201" s="91" t="str">
        <f t="shared" si="6"/>
      </c>
      <c r="AT201" s="91" t="str">
        <f t="shared" si="6"/>
      </c>
      <c r="AU201" s="91" t="str">
        <f t="shared" si="6"/>
      </c>
      <c r="AV201" s="91" t="str">
        <f t="shared" si="6"/>
      </c>
      <c r="AW201" s="91" t="str">
        <f t="shared" si="6"/>
      </c>
      <c r="AX201" s="91" t="str">
        <f t="shared" si="6"/>
      </c>
      <c r="AY201" s="91" t="str">
        <f t="shared" si="6"/>
      </c>
      <c r="AZ201" s="91" t="str">
        <f t="shared" si="6"/>
      </c>
      <c r="BA201" s="91" t="str">
        <f t="shared" si="6"/>
      </c>
      <c r="BB201" s="91" t="str">
        <f t="shared" si="6"/>
      </c>
      <c r="BC201" s="91" t="str">
        <f t="shared" si="6"/>
      </c>
      <c r="BD201" s="91" t="str">
        <f t="shared" si="6"/>
      </c>
      <c r="BE201" s="91" t="str">
        <f t="shared" si="6"/>
      </c>
      <c r="BF201" s="91" t="str">
        <f t="shared" si="6"/>
      </c>
      <c r="BG201" s="91" t="str">
        <f t="shared" si="6"/>
      </c>
      <c r="BH201" s="91" t="str">
        <f t="shared" si="6"/>
      </c>
      <c r="BI201" s="91" t="str">
        <f t="shared" si="6"/>
      </c>
      <c r="BJ201" s="91" t="str">
        <f t="shared" si="6"/>
      </c>
      <c r="BK201" s="91" t="str">
        <f t="shared" si="6"/>
      </c>
      <c r="BL201" s="91" t="str">
        <f t="shared" si="6"/>
      </c>
      <c r="BM201" s="91" t="str">
        <f t="shared" si="6"/>
      </c>
      <c r="BN201" s="91" t="str">
        <f t="shared" si="6"/>
      </c>
      <c r="BO201" s="91" t="str">
        <f t="shared" si="6"/>
      </c>
      <c r="BP201" s="91" t="str">
        <f t="shared" si="6"/>
      </c>
      <c r="BQ201" s="91" t="str">
        <f t="shared" si="6"/>
      </c>
      <c r="BR201" s="91" t="str">
        <f t="shared" si="6"/>
      </c>
      <c r="BS201" s="91" t="str">
        <f t="shared" si="6"/>
      </c>
      <c r="BT201" s="91" t="str">
        <f t="shared" si="6"/>
      </c>
      <c r="BU201" s="91" t="str">
        <f t="shared" si="6"/>
      </c>
      <c r="BV201" s="91" t="str">
        <f t="shared" si="6"/>
      </c>
      <c r="BW201" s="91" t="str">
        <f t="shared" si="6"/>
      </c>
      <c r="BX201" s="91" t="str">
        <f t="shared" si="6"/>
      </c>
      <c r="BY201" s="91" t="str">
        <f t="shared" si="6"/>
      </c>
      <c r="BZ201" s="91" t="str">
        <f t="shared" si="6"/>
      </c>
      <c r="CA201" s="91" t="str">
        <f t="shared" si="6"/>
      </c>
      <c r="CB201" s="91" t="str">
        <f t="shared" si="6"/>
      </c>
      <c r="CC201" s="91" t="str">
        <f t="shared" si="6"/>
      </c>
      <c r="CD201" s="91" t="str">
        <f t="shared" si="6"/>
      </c>
      <c r="CE201" s="91" t="str">
        <f t="shared" si="6"/>
      </c>
      <c r="CF201" s="91" t="str">
        <f t="shared" si="6"/>
      </c>
      <c r="CG201" s="91" t="str">
        <f t="shared" si="6"/>
      </c>
      <c r="CH201" s="91" t="str">
        <f t="shared" si="6"/>
      </c>
      <c r="CI201" s="91" t="str">
        <f t="shared" si="6"/>
      </c>
      <c r="CJ201" s="91" t="str">
        <f t="shared" si="6"/>
      </c>
      <c r="CK201" s="91" t="str">
        <f t="shared" si="6"/>
      </c>
      <c r="CL201" s="91" t="str">
        <f t="shared" si="6"/>
      </c>
      <c r="CM201" s="91" t="str">
        <f t="shared" si="6"/>
      </c>
      <c r="CN201" s="91" t="str">
        <f t="shared" si="6"/>
      </c>
      <c r="CO201" s="91" t="str">
        <f ref="CO201:EZ201" t="shared" si="7">IF(SUM(CO182:CO200)&lt;&gt;0,SUM(CO182:CO200),"")</f>
      </c>
      <c r="CP201" s="91" t="str">
        <f t="shared" si="7"/>
      </c>
      <c r="CQ201" s="91" t="str">
        <f t="shared" si="7"/>
      </c>
      <c r="CR201" s="91" t="str">
        <f t="shared" si="7"/>
      </c>
      <c r="CS201" s="91" t="str">
        <f t="shared" si="7"/>
      </c>
      <c r="CT201" s="91" t="str">
        <f t="shared" si="7"/>
      </c>
      <c r="CU201" s="91" t="str">
        <f t="shared" si="7"/>
      </c>
      <c r="CV201" s="91" t="str">
        <f t="shared" si="7"/>
      </c>
      <c r="CW201" s="91" t="str">
        <f t="shared" si="7"/>
      </c>
      <c r="CX201" s="91" t="str">
        <f t="shared" si="7"/>
      </c>
      <c r="CY201" s="91" t="str">
        <f t="shared" si="7"/>
      </c>
      <c r="CZ201" s="91" t="str">
        <f t="shared" si="7"/>
      </c>
      <c r="DA201" s="91" t="str">
        <f t="shared" si="7"/>
      </c>
      <c r="DB201" s="91" t="str">
        <f t="shared" si="7"/>
      </c>
      <c r="DC201" s="91" t="str">
        <f t="shared" si="7"/>
      </c>
      <c r="DD201" s="91" t="str">
        <f t="shared" si="7"/>
      </c>
      <c r="DE201" s="91" t="str">
        <f t="shared" si="7"/>
      </c>
      <c r="DF201" s="91" t="str">
        <f t="shared" si="7"/>
      </c>
      <c r="DG201" s="91" t="str">
        <f t="shared" si="7"/>
      </c>
      <c r="DH201" s="91" t="str">
        <f t="shared" si="7"/>
      </c>
      <c r="DI201" s="91" t="str">
        <f t="shared" si="7"/>
      </c>
      <c r="DJ201" s="91" t="str">
        <f t="shared" si="7"/>
      </c>
      <c r="DK201" s="91" t="str">
        <f t="shared" si="7"/>
      </c>
      <c r="DL201" s="91" t="str">
        <f t="shared" si="7"/>
      </c>
      <c r="DM201" s="91" t="str">
        <f t="shared" si="7"/>
      </c>
      <c r="DN201" s="91" t="str">
        <f t="shared" si="7"/>
      </c>
      <c r="DO201" s="91" t="str">
        <f t="shared" si="7"/>
      </c>
      <c r="DP201" s="91" t="str">
        <f t="shared" si="7"/>
      </c>
      <c r="DQ201" s="91" t="str">
        <f t="shared" si="7"/>
      </c>
      <c r="DR201" s="91" t="str">
        <f t="shared" si="7"/>
      </c>
      <c r="DS201" s="91" t="str">
        <f t="shared" si="7"/>
      </c>
      <c r="DT201" s="91" t="str">
        <f t="shared" si="7"/>
      </c>
      <c r="DU201" s="91" t="str">
        <f t="shared" si="7"/>
      </c>
      <c r="DV201" s="91" t="str">
        <f t="shared" si="7"/>
      </c>
      <c r="DW201" s="91" t="str">
        <f t="shared" si="7"/>
      </c>
      <c r="DX201" s="91" t="str">
        <f t="shared" si="7"/>
      </c>
      <c r="DY201" s="91" t="str">
        <f t="shared" si="7"/>
      </c>
      <c r="DZ201" s="91" t="str">
        <f t="shared" si="7"/>
      </c>
      <c r="EA201" s="91" t="str">
        <f t="shared" si="7"/>
      </c>
      <c r="EB201" s="91" t="str">
        <f t="shared" si="7"/>
      </c>
      <c r="EC201" s="91" t="str">
        <f t="shared" si="7"/>
      </c>
      <c r="ED201" s="91" t="str">
        <f t="shared" si="7"/>
      </c>
      <c r="EE201" s="91" t="str">
        <f t="shared" si="7"/>
      </c>
      <c r="EF201" s="91" t="str">
        <f t="shared" si="7"/>
      </c>
      <c r="EG201" s="91" t="str">
        <f t="shared" si="7"/>
      </c>
      <c r="EH201" s="91" t="str">
        <f t="shared" si="7"/>
      </c>
      <c r="EI201" s="91" t="str">
        <f t="shared" si="7"/>
      </c>
      <c r="EJ201" s="91" t="str">
        <f t="shared" si="7"/>
      </c>
      <c r="EK201" s="91" t="str">
        <f t="shared" si="7"/>
      </c>
      <c r="EL201" s="91" t="str">
        <f t="shared" si="7"/>
      </c>
      <c r="EM201" s="91" t="str">
        <f t="shared" si="7"/>
      </c>
      <c r="EN201" s="91" t="str">
        <f t="shared" si="7"/>
      </c>
      <c r="EO201" s="91" t="str">
        <f t="shared" si="7"/>
      </c>
      <c r="EP201" s="91" t="str">
        <f t="shared" si="7"/>
      </c>
      <c r="EQ201" s="91" t="str">
        <f t="shared" si="7"/>
      </c>
      <c r="ER201" s="91" t="str">
        <f t="shared" si="7"/>
      </c>
      <c r="ES201" s="91" t="str">
        <f t="shared" si="7"/>
      </c>
      <c r="ET201" s="91" t="str">
        <f t="shared" si="7"/>
      </c>
      <c r="EU201" s="91" t="str">
        <f t="shared" si="7"/>
      </c>
      <c r="EV201" s="91" t="str">
        <f t="shared" si="7"/>
      </c>
      <c r="EW201" s="91" t="str">
        <f t="shared" si="7"/>
      </c>
      <c r="EX201" s="91" t="str">
        <f t="shared" si="7"/>
      </c>
      <c r="EY201" s="91" t="str">
        <f t="shared" si="7"/>
      </c>
      <c r="EZ201" s="91" t="str">
        <f t="shared" si="7"/>
      </c>
      <c r="FA201" s="91" t="str">
        <f ref="FA201:HL201" t="shared" si="8">IF(SUM(FA182:FA200)&lt;&gt;0,SUM(FA182:FA200),"")</f>
      </c>
      <c r="FB201" s="91" t="str">
        <f t="shared" si="8"/>
      </c>
      <c r="FC201" s="91" t="str">
        <f t="shared" si="8"/>
      </c>
      <c r="FD201" s="91" t="str">
        <f t="shared" si="8"/>
      </c>
      <c r="FE201" s="91" t="str">
        <f t="shared" si="8"/>
      </c>
      <c r="FF201" s="91" t="str">
        <f t="shared" si="8"/>
      </c>
      <c r="FG201" s="91" t="str">
        <f t="shared" si="8"/>
      </c>
      <c r="FH201" s="91" t="str">
        <f t="shared" si="8"/>
      </c>
      <c r="FI201" s="91" t="str">
        <f t="shared" si="8"/>
      </c>
      <c r="FJ201" s="91" t="str">
        <f t="shared" si="8"/>
      </c>
      <c r="FK201" s="91" t="str">
        <f t="shared" si="8"/>
      </c>
      <c r="FL201" s="91" t="str">
        <f t="shared" si="8"/>
      </c>
      <c r="FM201" s="91" t="str">
        <f t="shared" si="8"/>
      </c>
      <c r="FN201" s="91" t="str">
        <f t="shared" si="8"/>
      </c>
      <c r="FO201" s="91" t="str">
        <f t="shared" si="8"/>
      </c>
      <c r="FP201" s="91" t="str">
        <f t="shared" si="8"/>
      </c>
      <c r="FQ201" s="91" t="str">
        <f t="shared" si="8"/>
      </c>
      <c r="FR201" s="91" t="str">
        <f t="shared" si="8"/>
      </c>
      <c r="FS201" s="91" t="str">
        <f t="shared" si="8"/>
      </c>
      <c r="FT201" s="91" t="str">
        <f t="shared" si="8"/>
      </c>
      <c r="FU201" s="91" t="str">
        <f t="shared" si="8"/>
      </c>
      <c r="FV201" s="91" t="str">
        <f t="shared" si="8"/>
      </c>
      <c r="FW201" s="91" t="str">
        <f t="shared" si="8"/>
      </c>
      <c r="FX201" s="91" t="str">
        <f t="shared" si="8"/>
      </c>
      <c r="FY201" s="91" t="str">
        <f t="shared" si="8"/>
      </c>
      <c r="FZ201" s="91" t="str">
        <f t="shared" si="8"/>
      </c>
      <c r="GA201" s="91" t="str">
        <f t="shared" si="8"/>
      </c>
      <c r="GB201" s="91" t="str">
        <f t="shared" si="8"/>
      </c>
      <c r="GC201" s="91" t="str">
        <f t="shared" si="8"/>
      </c>
      <c r="GD201" s="91" t="str">
        <f t="shared" si="8"/>
      </c>
      <c r="GE201" s="91" t="str">
        <f t="shared" si="8"/>
      </c>
      <c r="GF201" s="91" t="str">
        <f t="shared" si="8"/>
      </c>
      <c r="GG201" s="91" t="str">
        <f t="shared" si="8"/>
      </c>
      <c r="GH201" s="91" t="str">
        <f t="shared" si="8"/>
      </c>
      <c r="GI201" s="91" t="str">
        <f t="shared" si="8"/>
      </c>
      <c r="GJ201" s="91" t="str">
        <f t="shared" si="8"/>
      </c>
      <c r="GK201" s="91" t="str">
        <f t="shared" si="8"/>
      </c>
      <c r="GL201" s="91" t="str">
        <f t="shared" si="8"/>
      </c>
      <c r="GM201" s="91" t="str">
        <f t="shared" si="8"/>
      </c>
      <c r="GN201" s="91" t="str">
        <f t="shared" si="8"/>
      </c>
      <c r="GO201" s="91" t="str">
        <f t="shared" si="8"/>
      </c>
      <c r="GP201" s="91" t="str">
        <f t="shared" si="8"/>
      </c>
      <c r="GQ201" s="91" t="str">
        <f t="shared" si="8"/>
      </c>
      <c r="GR201" s="91" t="str">
        <f t="shared" si="8"/>
      </c>
      <c r="GS201" s="91" t="str">
        <f t="shared" si="8"/>
      </c>
      <c r="GT201" s="91" t="str">
        <f t="shared" si="8"/>
      </c>
      <c r="GU201" s="91" t="str">
        <f t="shared" si="8"/>
      </c>
      <c r="GV201" s="91" t="str">
        <f t="shared" si="8"/>
      </c>
      <c r="GW201" s="91" t="str">
        <f t="shared" si="8"/>
      </c>
      <c r="GX201" s="91" t="str">
        <f t="shared" si="8"/>
      </c>
      <c r="GY201" s="91" t="str">
        <f t="shared" si="8"/>
      </c>
      <c r="GZ201" s="91" t="str">
        <f t="shared" si="8"/>
      </c>
      <c r="HA201" s="91" t="str">
        <f t="shared" si="8"/>
      </c>
      <c r="HB201" s="91" t="str">
        <f t="shared" si="8"/>
      </c>
      <c r="HC201" s="91" t="str">
        <f t="shared" si="8"/>
      </c>
      <c r="HD201" s="91" t="str">
        <f t="shared" si="8"/>
      </c>
      <c r="HE201" s="91" t="str">
        <f t="shared" si="8"/>
      </c>
      <c r="HF201" s="91" t="str">
        <f t="shared" si="8"/>
      </c>
      <c r="HG201" s="91" t="str">
        <f t="shared" si="8"/>
      </c>
      <c r="HH201" s="91" t="str">
        <f t="shared" si="8"/>
      </c>
      <c r="HI201" s="91" t="str">
        <f t="shared" si="8"/>
      </c>
      <c r="HJ201" s="91" t="str">
        <f t="shared" si="8"/>
      </c>
      <c r="HK201" s="91" t="str">
        <f t="shared" si="8"/>
      </c>
      <c r="HL201" s="91" t="str">
        <f t="shared" si="8"/>
      </c>
      <c r="HM201" s="91" t="str">
        <f ref="HM201:IV201" t="shared" si="9">IF(SUM(HM182:HM200)&lt;&gt;0,SUM(HM182:HM200),"")</f>
      </c>
      <c r="HN201" s="91" t="str">
        <f t="shared" si="9"/>
      </c>
      <c r="HO201" s="91" t="str">
        <f t="shared" si="9"/>
      </c>
      <c r="HP201" s="91" t="str">
        <f t="shared" si="9"/>
      </c>
      <c r="HQ201" s="91" t="str">
        <f t="shared" si="9"/>
      </c>
      <c r="HR201" s="91" t="str">
        <f t="shared" si="9"/>
      </c>
      <c r="HS201" s="91" t="str">
        <f t="shared" si="9"/>
      </c>
      <c r="HT201" s="91" t="str">
        <f t="shared" si="9"/>
      </c>
      <c r="HU201" s="91" t="str">
        <f t="shared" si="9"/>
      </c>
      <c r="HV201" s="91" t="str">
        <f t="shared" si="9"/>
      </c>
      <c r="HW201" s="91" t="str">
        <f t="shared" si="9"/>
      </c>
      <c r="HX201" s="91" t="str">
        <f t="shared" si="9"/>
      </c>
      <c r="HY201" s="91" t="str">
        <f t="shared" si="9"/>
      </c>
      <c r="HZ201" s="91" t="str">
        <f t="shared" si="9"/>
      </c>
      <c r="IA201" s="91" t="str">
        <f t="shared" si="9"/>
      </c>
      <c r="IB201" s="91" t="str">
        <f t="shared" si="9"/>
      </c>
      <c r="IC201" s="91" t="str">
        <f t="shared" si="9"/>
      </c>
      <c r="ID201" s="91" t="str">
        <f t="shared" si="9"/>
      </c>
      <c r="IE201" s="91" t="str">
        <f t="shared" si="9"/>
      </c>
      <c r="IF201" s="91" t="str">
        <f t="shared" si="9"/>
      </c>
      <c r="IG201" s="91" t="str">
        <f t="shared" si="9"/>
      </c>
      <c r="IH201" s="91" t="str">
        <f t="shared" si="9"/>
      </c>
      <c r="II201" s="91" t="str">
        <f t="shared" si="9"/>
      </c>
      <c r="IJ201" s="91" t="str">
        <f t="shared" si="9"/>
      </c>
      <c r="IK201" s="91" t="str">
        <f t="shared" si="9"/>
      </c>
      <c r="IL201" s="91" t="str">
        <f t="shared" si="9"/>
      </c>
      <c r="IM201" s="91" t="str">
        <f t="shared" si="9"/>
      </c>
      <c r="IN201" s="91" t="str">
        <f t="shared" si="9"/>
      </c>
      <c r="IO201" s="91" t="str">
        <f t="shared" si="9"/>
      </c>
      <c r="IP201" s="91" t="str">
        <f t="shared" si="9"/>
      </c>
      <c r="IQ201" s="91" t="str">
        <f t="shared" si="9"/>
      </c>
      <c r="IR201" s="91" t="str">
        <f t="shared" si="9"/>
      </c>
      <c r="IS201" s="91" t="str">
        <f t="shared" si="9"/>
      </c>
      <c r="IT201" s="91" t="str">
        <f t="shared" si="9"/>
      </c>
      <c r="IU201" s="91" t="str">
        <f t="shared" si="9"/>
      </c>
      <c r="IV201" s="91" t="str">
        <f t="shared" si="9"/>
      </c>
    </row>
    <row r="202" hidden="1">
      <c r="B202" s="215"/>
      <c r="C202" s="216"/>
      <c r="D202" s="216"/>
      <c r="E202" s="216"/>
      <c r="F202" s="216"/>
      <c r="G202" s="216"/>
      <c r="H202" s="216"/>
      <c r="I202" s="216"/>
      <c r="J202" s="216"/>
      <c r="K202" s="216"/>
      <c r="L202" s="217"/>
      <c r="M202" s="218"/>
      <c r="P202" s="91"/>
      <c r="Q202" s="91"/>
      <c r="Y202" s="50"/>
      <c r="Z202" s="50"/>
    </row>
    <row r="203" hidden="1" ht="13.5">
      <c r="B203" s="162"/>
      <c r="L203" s="50"/>
      <c r="Y203" s="50"/>
      <c r="Z203" s="50"/>
    </row>
    <row r="204" hidden="1" ht="12.75" customHeight="1">
      <c r="B204" s="162"/>
      <c r="C204" s="617" t="s">
        <v>257</v>
      </c>
      <c r="D204" s="618"/>
      <c r="E204" s="618"/>
      <c r="F204" s="618"/>
      <c r="G204" s="618"/>
      <c r="H204" s="618"/>
      <c r="I204" s="618"/>
      <c r="J204" s="618"/>
      <c r="K204" s="618"/>
      <c r="L204" s="618"/>
      <c r="M204" s="618"/>
      <c r="N204" s="618"/>
      <c r="O204" s="618"/>
      <c r="P204" s="618"/>
      <c r="Q204" s="618"/>
      <c r="R204" s="618"/>
      <c r="S204" s="618"/>
      <c r="T204" s="618"/>
      <c r="U204" s="618"/>
      <c r="V204" s="618"/>
      <c r="W204" s="618"/>
      <c r="X204" s="618"/>
      <c r="Y204" s="618"/>
      <c r="Z204" s="618"/>
      <c r="AA204" s="618"/>
      <c r="AB204" s="619"/>
    </row>
    <row r="205" hidden="1" ht="13.5">
      <c r="C205" s="435" t="str">
        <f> IF(C225&lt;&gt;"",TEXT(AUX!G$1,"dd-MMM-aa"),"")</f>
      </c>
      <c r="D205" s="435" t="str">
        <f> IF(D225&lt;&gt;"",TEXT(AUX!H$1,"dd-MMM-aa"),"")</f>
      </c>
      <c r="E205" s="435" t="str">
        <f> IF(E225&lt;&gt;"",TEXT(AUX!I$1,"dd-MMM-aa"),"")</f>
      </c>
      <c r="F205" s="435" t="str">
        <f> IF(F225&lt;&gt;"",TEXT(AUX!J$1,"dd-MMM-aa"),"")</f>
      </c>
      <c r="G205" s="435" t="str">
        <f> IF(G225&lt;&gt;"",TEXT(AUX!K$1,"dd-MMM-aa"),"")</f>
      </c>
      <c r="H205" s="435" t="str">
        <f> IF(H225&lt;&gt;"",TEXT(AUX!L$1,"dd-MMM-aa"),"")</f>
      </c>
      <c r="I205" s="435" t="str">
        <f> IF(I225&lt;&gt;"",TEXT(AUX!M$1,"dd-MMM-aa"),"")</f>
      </c>
      <c r="J205" s="435" t="str">
        <f> IF(J225&lt;&gt;"",TEXT(AUX!N$1,"dd-MMM-aa"),"")</f>
      </c>
      <c r="K205" s="435" t="str">
        <f> IF(K225&lt;&gt;"",TEXT(AUX!O$1,"dd-MMM-aa"),"")</f>
      </c>
      <c r="L205" s="435" t="str">
        <f> IF(L225&lt;&gt;"",TEXT(AUX!P$1,"dd-MMM-aa"),"")</f>
      </c>
      <c r="M205" s="435" t="str">
        <f> IF(M225&lt;&gt;"",TEXT(AUX!Q$1,"dd-MMM-aa"),"")</f>
      </c>
      <c r="N205" s="435" t="str">
        <f> IF(N225&lt;&gt;"",TEXT(AUX!R$1,"dd-MMM-aa"),"")</f>
      </c>
      <c r="O205" s="435" t="str">
        <f> IF(O225&lt;&gt;"",TEXT(AUX!S$1,"dd-MMM-aa"),"")</f>
      </c>
      <c r="P205" s="435" t="str">
        <f> IF(P225&lt;&gt;"",TEXT(AUX!T$1,"dd-MMM-aa"),"")</f>
      </c>
      <c r="Q205" s="435" t="str">
        <f> IF(Q225&lt;&gt;"",TEXT(AUX!U$1,"dd-MMM-aa"),"")</f>
      </c>
      <c r="R205" s="435" t="str">
        <f> IF(R225&lt;&gt;"",TEXT(AUX!V$1,"dd-MMM-aa"),"")</f>
      </c>
      <c r="S205" s="435" t="str">
        <f> IF(S225&lt;&gt;"",TEXT(AUX!W$1,"dd-MMM-aa"),"")</f>
      </c>
      <c r="T205" s="435" t="str">
        <f> IF(T225&lt;&gt;"",TEXT(AUX!X$1,"dd-MMM-aa"),"")</f>
      </c>
      <c r="U205" s="435" t="str">
        <f> IF(U225&lt;&gt;"",TEXT(AUX!Y$1,"dd-MMM-aa"),"")</f>
      </c>
      <c r="V205" s="435" t="str">
        <f> IF(V225&lt;&gt;"",TEXT(AUX!Z$1,"dd-MMM-aa"),"")</f>
      </c>
      <c r="W205" s="435" t="str">
        <f> IF(W225&lt;&gt;"",TEXT(AUX!AA$1,"dd-MMM-aa"),"")</f>
      </c>
      <c r="X205" s="435" t="str">
        <f> IF(X225&lt;&gt;"",TEXT(AUX!AB$1,"dd-MMM-aa"),"")</f>
      </c>
      <c r="Y205" s="435" t="str">
        <f> IF(Y225&lt;&gt;"",TEXT(AUX!AC$1,"dd-MMM-aa"),"")</f>
      </c>
      <c r="Z205" s="435" t="str">
        <f> IF(Z225&lt;&gt;"",TEXT(AUX!AD$1,"dd-MMM-aa"),"")</f>
      </c>
      <c r="AA205" s="435" t="str">
        <f> IF(AA225&lt;&gt;"",TEXT(AUX!AE$1,"dd-MMM-aa"),"")</f>
      </c>
      <c r="AB205" s="497" t="str">
        <f> IF(AB225&lt;&gt;"",TEXT(AUX!AF$1,"dd-MMM-aa"),"")</f>
      </c>
      <c r="AC205" s="496" t="str">
        <f> IF(AC225&lt;&gt;"",TEXT(AUX!AG$1,"dd-MMM-aa"),"")</f>
      </c>
      <c r="AD205" s="496" t="str">
        <f> IF(AD225&lt;&gt;"",TEXT(AUX!AH$1,"dd-MMM-aa"),"")</f>
      </c>
      <c r="AE205" s="496" t="str">
        <f> IF(AE225&lt;&gt;"",TEXT(AUX!AI$1,"dd-MMM-aa"),"")</f>
      </c>
      <c r="AF205" s="496" t="str">
        <f> IF(AF225&lt;&gt;"",TEXT(AUX!AJ$1,"dd-MMM-aa"),"")</f>
      </c>
      <c r="AG205" s="496" t="str">
        <f> IF(AG225&lt;&gt;"",TEXT(AUX!AK$1,"dd-MMM-aa"),"")</f>
      </c>
      <c r="AH205" s="496" t="str">
        <f> IF(AH225&lt;&gt;"",TEXT(AUX!AL$1,"dd-MMM-aa"),"")</f>
      </c>
      <c r="AI205" s="496" t="str">
        <f> IF(AI225&lt;&gt;"",TEXT(AUX!AM$1,"dd-MMM-aa"),"")</f>
      </c>
      <c r="AJ205" s="496" t="str">
        <f> IF(AJ225&lt;&gt;"",TEXT(AUX!AN$1,"dd-MMM-aa"),"")</f>
      </c>
      <c r="AK205" s="496" t="str">
        <f> IF(AK225&lt;&gt;"",TEXT(AUX!AO$1,"dd-MMM-aa"),"")</f>
      </c>
      <c r="AL205" s="496" t="str">
        <f> IF(AL225&lt;&gt;"",TEXT(AUX!AP$1,"dd-MMM-aa"),"")</f>
      </c>
      <c r="AM205" s="496" t="str">
        <f> IF(AM225&lt;&gt;"",TEXT(AUX!AQ$1,"dd-MMM-aa"),"")</f>
      </c>
      <c r="AN205" s="496" t="str">
        <f> IF(AN225&lt;&gt;"",TEXT(AUX!AR$1,"dd-MMM-aa"),"")</f>
      </c>
      <c r="AO205" s="496" t="str">
        <f> IF(AO225&lt;&gt;"",TEXT(AUX!AS$1,"dd-MMM-aa"),"")</f>
      </c>
      <c r="AP205" s="496" t="str">
        <f> IF(AP225&lt;&gt;"",TEXT(AUX!AT$1,"dd-MMM-aa"),"")</f>
      </c>
      <c r="AQ205" s="496" t="str">
        <f> IF(AQ225&lt;&gt;"",TEXT(AUX!AU$1,"dd-MMM-aa"),"")</f>
      </c>
      <c r="AR205" s="496" t="str">
        <f> IF(AR225&lt;&gt;"",TEXT(AUX!AV$1,"dd-MMM-aa"),"")</f>
      </c>
      <c r="AS205" s="496" t="str">
        <f> IF(AS225&lt;&gt;"",TEXT(AUX!AW$1,"dd-MMM-aa"),"")</f>
      </c>
      <c r="AT205" s="496" t="str">
        <f> IF(AT225&lt;&gt;"",TEXT(AUX!AX$1,"dd-MMM-aa"),"")</f>
      </c>
      <c r="AU205" s="496" t="str">
        <f> IF(AU225&lt;&gt;"",TEXT(AUX!AY$1,"dd-MMM-aa"),"")</f>
      </c>
      <c r="AV205" s="496" t="str">
        <f> IF(AV225&lt;&gt;"",TEXT(AUX!AZ$1,"dd-MMM-aa"),"")</f>
      </c>
      <c r="AW205" s="496" t="str">
        <f> IF(AW225&lt;&gt;"",TEXT(AUX!BA$1,"dd-MMM-aa"),"")</f>
      </c>
      <c r="AX205" s="496" t="str">
        <f> IF(AX225&lt;&gt;"",TEXT(AUX!BB$1,"dd-MMM-aa"),"")</f>
      </c>
      <c r="AY205" s="496" t="str">
        <f> IF(AY225&lt;&gt;"",TEXT(AUX!BC$1,"dd-MMM-aa"),"")</f>
      </c>
      <c r="AZ205" s="496" t="str">
        <f> IF(AZ225&lt;&gt;"",TEXT(AUX!BD$1,"dd-MMM-aa"),"")</f>
      </c>
      <c r="BA205" s="496" t="str">
        <f> IF(BA225&lt;&gt;"",TEXT(AUX!BE$1,"dd-MMM-aa"),"")</f>
      </c>
      <c r="BB205" s="496" t="str">
        <f> IF(BB225&lt;&gt;"",TEXT(AUX!BF$1,"dd-MMM-aa"),"")</f>
      </c>
      <c r="BC205" s="496" t="str">
        <f> IF(BC225&lt;&gt;"",TEXT(AUX!BG$1,"dd-MMM-aa"),"")</f>
      </c>
      <c r="BD205" s="496" t="str">
        <f> IF(BD225&lt;&gt;"",TEXT(AUX!BH$1,"dd-MMM-aa"),"")</f>
      </c>
      <c r="BE205" s="496" t="str">
        <f> IF(BE225&lt;&gt;"",TEXT(AUX!BI$1,"dd-MMM-aa"),"")</f>
      </c>
      <c r="BF205" s="496" t="str">
        <f> IF(BF225&lt;&gt;"",TEXT(AUX!BJ$1,"dd-MMM-aa"),"")</f>
      </c>
      <c r="BG205" s="496" t="str">
        <f> IF(BG225&lt;&gt;"",TEXT(AUX!BK$1,"dd-MMM-aa"),"")</f>
      </c>
      <c r="BH205" s="496" t="str">
        <f> IF(BH225&lt;&gt;"",TEXT(AUX!BL$1,"dd-MMM-aa"),"")</f>
      </c>
      <c r="BI205" s="496" t="str">
        <f> IF(BI225&lt;&gt;"",TEXT(AUX!BM$1,"dd-MMM-aa"),"")</f>
      </c>
      <c r="BJ205" s="496" t="str">
        <f> IF(BJ225&lt;&gt;"",TEXT(AUX!BN$1,"dd-MMM-aa"),"")</f>
      </c>
      <c r="BK205" s="496" t="str">
        <f> IF(BK225&lt;&gt;"",TEXT(AUX!BO$1,"dd-MMM-aa"),"")</f>
      </c>
      <c r="BL205" s="496" t="str">
        <f> IF(BL225&lt;&gt;"",TEXT(AUX!BP$1,"dd-MMM-aa"),"")</f>
      </c>
      <c r="BM205" s="496" t="str">
        <f> IF(BM225&lt;&gt;"",TEXT(AUX!BQ$1,"dd-MMM-aa"),"")</f>
      </c>
      <c r="BN205" s="496" t="str">
        <f> IF(BN225&lt;&gt;"",TEXT(AUX!BR$1,"dd-MMM-aa"),"")</f>
      </c>
      <c r="BO205" s="496" t="str">
        <f> IF(BO225&lt;&gt;"",TEXT(AUX!BS$1,"dd-MMM-aa"),"")</f>
      </c>
      <c r="BP205" s="496" t="str">
        <f> IF(BP225&lt;&gt;"",TEXT(AUX!BT$1,"dd-MMM-aa"),"")</f>
      </c>
      <c r="BQ205" s="496" t="str">
        <f> IF(BQ225&lt;&gt;"",TEXT(AUX!BU$1,"dd-MMM-aa"),"")</f>
      </c>
      <c r="BR205" s="496" t="str">
        <f> IF(BR225&lt;&gt;"",TEXT(AUX!BV$1,"dd-MMM-aa"),"")</f>
      </c>
      <c r="BS205" s="496" t="str">
        <f> IF(BS225&lt;&gt;"",TEXT(AUX!BW$1,"dd-MMM-aa"),"")</f>
      </c>
      <c r="BT205" s="496" t="str">
        <f> IF(BT225&lt;&gt;"",TEXT(AUX!BX$1,"dd-MMM-aa"),"")</f>
      </c>
      <c r="BU205" s="496" t="str">
        <f> IF(BU225&lt;&gt;"",TEXT(AUX!BY$1,"dd-MMM-aa"),"")</f>
      </c>
      <c r="BV205" s="496" t="str">
        <f> IF(BV225&lt;&gt;"",TEXT(AUX!BZ$1,"dd-MMM-aa"),"")</f>
      </c>
      <c r="BW205" s="496" t="str">
        <f> IF(BW225&lt;&gt;"",TEXT(AUX!CA$1,"dd-MMM-aa"),"")</f>
      </c>
      <c r="BX205" s="496" t="str">
        <f> IF(BX225&lt;&gt;"",TEXT(AUX!CB$1,"dd-MMM-aa"),"")</f>
      </c>
      <c r="BY205" s="496" t="str">
        <f> IF(BY225&lt;&gt;"",TEXT(AUX!CC$1,"dd-MMM-aa"),"")</f>
      </c>
      <c r="BZ205" s="496" t="str">
        <f> IF(BZ225&lt;&gt;"",TEXT(AUX!CD$1,"dd-MMM-aa"),"")</f>
      </c>
      <c r="CA205" s="496" t="str">
        <f> IF(CA225&lt;&gt;"",TEXT(AUX!CE$1,"dd-MMM-aa"),"")</f>
      </c>
      <c r="CB205" s="496" t="str">
        <f> IF(CB225&lt;&gt;"",TEXT(AUX!CF$1,"dd-MMM-aa"),"")</f>
      </c>
      <c r="CC205" s="496" t="str">
        <f> IF(CC225&lt;&gt;"",TEXT(AUX!CG$1,"dd-MMM-aa"),"")</f>
      </c>
      <c r="CD205" s="496" t="str">
        <f> IF(CD225&lt;&gt;"",TEXT(AUX!CH$1,"dd-MMM-aa"),"")</f>
      </c>
      <c r="CE205" s="496" t="str">
        <f> IF(CE225&lt;&gt;"",TEXT(AUX!CI$1,"dd-MMM-aa"),"")</f>
      </c>
      <c r="CF205" s="496" t="str">
        <f> IF(CF225&lt;&gt;"",TEXT(AUX!CJ$1,"dd-MMM-aa"),"")</f>
      </c>
      <c r="CG205" s="496" t="str">
        <f> IF(CG225&lt;&gt;"",TEXT(AUX!CK$1,"dd-MMM-aa"),"")</f>
      </c>
      <c r="CH205" s="496" t="str">
        <f> IF(CH225&lt;&gt;"",TEXT(AUX!CL$1,"dd-MMM-aa"),"")</f>
      </c>
      <c r="CI205" s="496" t="str">
        <f> IF(CI225&lt;&gt;"",TEXT(AUX!CM$1,"dd-MMM-aa"),"")</f>
      </c>
      <c r="CJ205" s="496" t="str">
        <f> IF(CJ225&lt;&gt;"",TEXT(AUX!CN$1,"dd-MMM-aa"),"")</f>
      </c>
      <c r="CK205" s="496" t="str">
        <f> IF(CK225&lt;&gt;"",TEXT(AUX!CO$1,"dd-MMM-aa"),"")</f>
      </c>
      <c r="CL205" s="496" t="str">
        <f> IF(CL225&lt;&gt;"",TEXT(AUX!CP$1,"dd-MMM-aa"),"")</f>
      </c>
      <c r="CM205" s="496" t="str">
        <f> IF(CM225&lt;&gt;"",TEXT(AUX!CQ$1,"dd-MMM-aa"),"")</f>
      </c>
      <c r="CN205" s="496" t="str">
        <f> IF(CN225&lt;&gt;"",TEXT(AUX!CR$1,"dd-MMM-aa"),"")</f>
      </c>
      <c r="CO205" s="496" t="str">
        <f> IF(CO225&lt;&gt;"",TEXT(AUX!CS$1,"dd-MMM-aa"),"")</f>
      </c>
      <c r="CP205" s="496" t="str">
        <f> IF(CP225&lt;&gt;"",TEXT(AUX!CT$1,"dd-MMM-aa"),"")</f>
      </c>
      <c r="CQ205" s="496" t="str">
        <f> IF(CQ225&lt;&gt;"",TEXT(AUX!CU$1,"dd-MMM-aa"),"")</f>
      </c>
      <c r="CR205" s="496" t="str">
        <f> IF(CR225&lt;&gt;"",TEXT(AUX!CV$1,"dd-MMM-aa"),"")</f>
      </c>
      <c r="CS205" s="496" t="str">
        <f> IF(CS225&lt;&gt;"",TEXT(AUX!CW$1,"dd-MMM-aa"),"")</f>
      </c>
      <c r="CT205" s="496" t="str">
        <f> IF(CT225&lt;&gt;"",TEXT(AUX!CX$1,"dd-MMM-aa"),"")</f>
      </c>
      <c r="CU205" s="496" t="str">
        <f> IF(CU225&lt;&gt;"",TEXT(AUX!CY$1,"dd-MMM-aa"),"")</f>
      </c>
      <c r="CV205" s="496" t="str">
        <f> IF(CV225&lt;&gt;"",TEXT(AUX!CZ$1,"dd-MMM-aa"),"")</f>
      </c>
      <c r="CW205" s="496" t="str">
        <f> IF(CW225&lt;&gt;"",TEXT(AUX!DA$1,"dd-MMM-aa"),"")</f>
      </c>
      <c r="CX205" s="496" t="str">
        <f> IF(CX225&lt;&gt;"",TEXT(AUX!DB$1,"dd-MMM-aa"),"")</f>
      </c>
      <c r="CY205" s="496" t="str">
        <f> IF(CY225&lt;&gt;"",TEXT(AUX!DC$1,"dd-MMM-aa"),"")</f>
      </c>
      <c r="CZ205" s="496" t="str">
        <f> IF(CZ225&lt;&gt;"",TEXT(AUX!DD$1,"dd-MMM-aa"),"")</f>
      </c>
      <c r="DA205" s="496" t="str">
        <f> IF(DA225&lt;&gt;"",TEXT(AUX!DE$1,"dd-MMM-aa"),"")</f>
      </c>
      <c r="DB205" s="496" t="str">
        <f> IF(DB225&lt;&gt;"",TEXT(AUX!DF$1,"dd-MMM-aa"),"")</f>
      </c>
      <c r="DC205" s="496" t="str">
        <f> IF(DC225&lt;&gt;"",TEXT(AUX!DG$1,"dd-MMM-aa"),"")</f>
      </c>
      <c r="DD205" s="496" t="str">
        <f> IF(DD225&lt;&gt;"",TEXT(AUX!DH$1,"dd-MMM-aa"),"")</f>
      </c>
      <c r="DE205" s="496" t="str">
        <f> IF(DE225&lt;&gt;"",TEXT(AUX!DI$1,"dd-MMM-aa"),"")</f>
      </c>
      <c r="DF205" s="496" t="str">
        <f> IF(DF225&lt;&gt;"",TEXT(AUX!DJ$1,"dd-MMM-aa"),"")</f>
      </c>
      <c r="DG205" s="496" t="str">
        <f> IF(DG225&lt;&gt;"",TEXT(AUX!DK$1,"dd-MMM-aa"),"")</f>
      </c>
      <c r="DH205" s="496" t="str">
        <f> IF(DH225&lt;&gt;"",TEXT(AUX!DL$1,"dd-MMM-aa"),"")</f>
      </c>
      <c r="DI205" s="496" t="str">
        <f> IF(DI225&lt;&gt;"",TEXT(AUX!DM$1,"dd-MMM-aa"),"")</f>
      </c>
      <c r="DJ205" s="496" t="str">
        <f> IF(DJ225&lt;&gt;"",TEXT(AUX!DN$1,"dd-MMM-aa"),"")</f>
      </c>
      <c r="DK205" s="496" t="str">
        <f> IF(DK225&lt;&gt;"",TEXT(AUX!DO$1,"dd-MMM-aa"),"")</f>
      </c>
      <c r="DL205" s="496" t="str">
        <f> IF(DL225&lt;&gt;"",TEXT(AUX!DP$1,"dd-MMM-aa"),"")</f>
      </c>
      <c r="DM205" s="496" t="str">
        <f> IF(DM225&lt;&gt;"",TEXT(AUX!DQ$1,"dd-MMM-aa"),"")</f>
      </c>
      <c r="DN205" s="496" t="str">
        <f> IF(DN225&lt;&gt;"",TEXT(AUX!DR$1,"dd-MMM-aa"),"")</f>
      </c>
      <c r="DO205" s="496" t="str">
        <f> IF(DO225&lt;&gt;"",TEXT(AUX!DS$1,"dd-MMM-aa"),"")</f>
      </c>
      <c r="DP205" s="496" t="str">
        <f> IF(DP225&lt;&gt;"",TEXT(AUX!DT$1,"dd-MMM-aa"),"")</f>
      </c>
      <c r="DQ205" s="496" t="str">
        <f> IF(DQ225&lt;&gt;"",TEXT(AUX!DU$1,"dd-MMM-aa"),"")</f>
      </c>
      <c r="DR205" s="496" t="str">
        <f> IF(DR225&lt;&gt;"",TEXT(AUX!DV$1,"dd-MMM-aa"),"")</f>
      </c>
      <c r="DS205" s="496" t="str">
        <f> IF(DS225&lt;&gt;"",TEXT(AUX!DW$1,"dd-MMM-aa"),"")</f>
      </c>
      <c r="DT205" s="496" t="str">
        <f> IF(DT225&lt;&gt;"",TEXT(AUX!DX$1,"dd-MMM-aa"),"")</f>
      </c>
      <c r="DU205" s="496" t="str">
        <f> IF(DU225&lt;&gt;"",TEXT(AUX!DY$1,"dd-MMM-aa"),"")</f>
      </c>
      <c r="DV205" s="496" t="str">
        <f> IF(DV225&lt;&gt;"",TEXT(AUX!DZ$1,"dd-MMM-aa"),"")</f>
      </c>
      <c r="DW205" s="496" t="str">
        <f> IF(DW225&lt;&gt;"",TEXT(AUX!EA$1,"dd-MMM-aa"),"")</f>
      </c>
      <c r="DX205" s="496" t="str">
        <f> IF(DX225&lt;&gt;"",TEXT(AUX!EB$1,"dd-MMM-aa"),"")</f>
      </c>
      <c r="DY205" s="496" t="str">
        <f> IF(DY225&lt;&gt;"",TEXT(AUX!EC$1,"dd-MMM-aa"),"")</f>
      </c>
      <c r="DZ205" s="496" t="str">
        <f> IF(DZ225&lt;&gt;"",TEXT(AUX!ED$1,"dd-MMM-aa"),"")</f>
      </c>
      <c r="EA205" s="496" t="str">
        <f> IF(EA225&lt;&gt;"",TEXT(AUX!EE$1,"dd-MMM-aa"),"")</f>
      </c>
      <c r="EB205" s="496" t="str">
        <f> IF(EB225&lt;&gt;"",TEXT(AUX!EF$1,"dd-MMM-aa"),"")</f>
      </c>
      <c r="EC205" s="496" t="str">
        <f> IF(EC225&lt;&gt;"",TEXT(AUX!EG$1,"dd-MMM-aa"),"")</f>
      </c>
      <c r="ED205" s="496" t="str">
        <f> IF(ED225&lt;&gt;"",TEXT(AUX!EH$1,"dd-MMM-aa"),"")</f>
      </c>
      <c r="EE205" s="496" t="str">
        <f> IF(EE225&lt;&gt;"",TEXT(AUX!EI$1,"dd-MMM-aa"),"")</f>
      </c>
      <c r="EF205" s="496" t="str">
        <f> IF(EF225&lt;&gt;"",TEXT(AUX!EJ$1,"dd-MMM-aa"),"")</f>
      </c>
      <c r="EG205" s="496" t="str">
        <f> IF(EG225&lt;&gt;"",TEXT(AUX!EK$1,"dd-MMM-aa"),"")</f>
      </c>
      <c r="EH205" s="496" t="str">
        <f> IF(EH225&lt;&gt;"",TEXT(AUX!EL$1,"dd-MMM-aa"),"")</f>
      </c>
      <c r="EI205" s="496" t="str">
        <f> IF(EI225&lt;&gt;"",TEXT(AUX!EM$1,"dd-MMM-aa"),"")</f>
      </c>
      <c r="EJ205" s="496" t="str">
        <f> IF(EJ225&lt;&gt;"",TEXT(AUX!EN$1,"dd-MMM-aa"),"")</f>
      </c>
      <c r="EK205" s="496" t="str">
        <f> IF(EK225&lt;&gt;"",TEXT(AUX!EO$1,"dd-MMM-aa"),"")</f>
      </c>
      <c r="EL205" s="496" t="str">
        <f> IF(EL225&lt;&gt;"",TEXT(AUX!EP$1,"dd-MMM-aa"),"")</f>
      </c>
      <c r="EM205" s="496" t="str">
        <f> IF(EM225&lt;&gt;"",TEXT(AUX!EQ$1,"dd-MMM-aa"),"")</f>
      </c>
      <c r="EN205" s="496" t="str">
        <f> IF(EN225&lt;&gt;"",TEXT(AUX!ER$1,"dd-MMM-aa"),"")</f>
      </c>
      <c r="EO205" s="496" t="str">
        <f> IF(EO225&lt;&gt;"",TEXT(AUX!ES$1,"dd-MMM-aa"),"")</f>
      </c>
      <c r="EP205" s="496" t="str">
        <f> IF(EP225&lt;&gt;"",TEXT(AUX!ET$1,"dd-MMM-aa"),"")</f>
      </c>
      <c r="EQ205" s="496" t="str">
        <f> IF(EQ225&lt;&gt;"",TEXT(AUX!EU$1,"dd-MMM-aa"),"")</f>
      </c>
      <c r="ER205" s="496" t="str">
        <f> IF(ER225&lt;&gt;"",TEXT(AUX!EV$1,"dd-MMM-aa"),"")</f>
      </c>
      <c r="ES205" s="496" t="str">
        <f> IF(ES225&lt;&gt;"",TEXT(AUX!EW$1,"dd-MMM-aa"),"")</f>
      </c>
      <c r="ET205" s="496" t="str">
        <f> IF(ET225&lt;&gt;"",TEXT(AUX!EX$1,"dd-MMM-aa"),"")</f>
      </c>
      <c r="EU205" s="496" t="str">
        <f> IF(EU225&lt;&gt;"",TEXT(AUX!EY$1,"dd-MMM-aa"),"")</f>
      </c>
      <c r="EV205" s="496" t="str">
        <f> IF(EV225&lt;&gt;"",TEXT(AUX!EZ$1,"dd-MMM-aa"),"")</f>
      </c>
      <c r="EW205" s="496" t="str">
        <f> IF(EW225&lt;&gt;"",TEXT(AUX!FA$1,"dd-MMM-aa"),"")</f>
      </c>
      <c r="EX205" s="496" t="str">
        <f> IF(EX225&lt;&gt;"",TEXT(AUX!FB$1,"dd-MMM-aa"),"")</f>
      </c>
      <c r="EY205" s="496" t="str">
        <f> IF(EY225&lt;&gt;"",TEXT(AUX!FC$1,"dd-MMM-aa"),"")</f>
      </c>
      <c r="EZ205" s="496" t="str">
        <f> IF(EZ225&lt;&gt;"",TEXT(AUX!FD$1,"dd-MMM-aa"),"")</f>
      </c>
      <c r="FA205" s="496" t="str">
        <f> IF(FA225&lt;&gt;"",TEXT(AUX!FE$1,"dd-MMM-aa"),"")</f>
      </c>
      <c r="FB205" s="496" t="str">
        <f> IF(FB225&lt;&gt;"",TEXT(AUX!FF$1,"dd-MMM-aa"),"")</f>
      </c>
      <c r="FC205" s="496" t="str">
        <f> IF(FC225&lt;&gt;"",TEXT(AUX!FG$1,"dd-MMM-aa"),"")</f>
      </c>
      <c r="FD205" s="496" t="str">
        <f> IF(FD225&lt;&gt;"",TEXT(AUX!FH$1,"dd-MMM-aa"),"")</f>
      </c>
      <c r="FE205" s="496" t="str">
        <f> IF(FE225&lt;&gt;"",TEXT(AUX!FI$1,"dd-MMM-aa"),"")</f>
      </c>
      <c r="FF205" s="496" t="str">
        <f> IF(FF225&lt;&gt;"",TEXT(AUX!FJ$1,"dd-MMM-aa"),"")</f>
      </c>
      <c r="FG205" s="496" t="str">
        <f> IF(FG225&lt;&gt;"",TEXT(AUX!FK$1,"dd-MMM-aa"),"")</f>
      </c>
      <c r="FH205" s="496" t="str">
        <f> IF(FH225&lt;&gt;"",TEXT(AUX!FL$1,"dd-MMM-aa"),"")</f>
      </c>
      <c r="FI205" s="496" t="str">
        <f> IF(FI225&lt;&gt;"",TEXT(AUX!FM$1,"dd-MMM-aa"),"")</f>
      </c>
      <c r="FJ205" s="496" t="str">
        <f> IF(FJ225&lt;&gt;"",TEXT(AUX!FN$1,"dd-MMM-aa"),"")</f>
      </c>
      <c r="FK205" s="496" t="str">
        <f> IF(FK225&lt;&gt;"",TEXT(AUX!FO$1,"dd-MMM-aa"),"")</f>
      </c>
      <c r="FL205" s="496" t="str">
        <f> IF(FL225&lt;&gt;"",TEXT(AUX!FP$1,"dd-MMM-aa"),"")</f>
      </c>
      <c r="FM205" s="496" t="str">
        <f> IF(FM225&lt;&gt;"",TEXT(AUX!FQ$1,"dd-MMM-aa"),"")</f>
      </c>
      <c r="FN205" s="496" t="str">
        <f> IF(FN225&lt;&gt;"",TEXT(AUX!FR$1,"dd-MMM-aa"),"")</f>
      </c>
      <c r="FO205" s="496" t="str">
        <f> IF(FO225&lt;&gt;"",TEXT(AUX!FS$1,"dd-MMM-aa"),"")</f>
      </c>
      <c r="FP205" s="496" t="str">
        <f> IF(FP225&lt;&gt;"",TEXT(AUX!FT$1,"dd-MMM-aa"),"")</f>
      </c>
      <c r="FQ205" s="496" t="str">
        <f> IF(FQ225&lt;&gt;"",TEXT(AUX!FU$1,"dd-MMM-aa"),"")</f>
      </c>
      <c r="FR205" s="496" t="str">
        <f> IF(FR225&lt;&gt;"",TEXT(AUX!FV$1,"dd-MMM-aa"),"")</f>
      </c>
      <c r="FS205" s="496" t="str">
        <f> IF(FS225&lt;&gt;"",TEXT(AUX!FW$1,"dd-MMM-aa"),"")</f>
      </c>
      <c r="FT205" s="496" t="str">
        <f> IF(FT225&lt;&gt;"",TEXT(AUX!FX$1,"dd-MMM-aa"),"")</f>
      </c>
      <c r="FU205" s="496" t="str">
        <f> IF(FU225&lt;&gt;"",TEXT(AUX!FY$1,"dd-MMM-aa"),"")</f>
      </c>
      <c r="FV205" s="496" t="str">
        <f> IF(FV225&lt;&gt;"",TEXT(AUX!FZ$1,"dd-MMM-aa"),"")</f>
      </c>
      <c r="FW205" s="496" t="str">
        <f> IF(FW225&lt;&gt;"",TEXT(AUX!GA$1,"dd-MMM-aa"),"")</f>
      </c>
      <c r="FX205" s="496" t="str">
        <f> IF(FX225&lt;&gt;"",TEXT(AUX!GB$1,"dd-MMM-aa"),"")</f>
      </c>
      <c r="FY205" s="496" t="str">
        <f> IF(FY225&lt;&gt;"",TEXT(AUX!GC$1,"dd-MMM-aa"),"")</f>
      </c>
      <c r="FZ205" s="496" t="str">
        <f> IF(FZ225&lt;&gt;"",TEXT(AUX!GD$1,"dd-MMM-aa"),"")</f>
      </c>
      <c r="GA205" s="496" t="str">
        <f> IF(GA225&lt;&gt;"",TEXT(AUX!GE$1,"dd-MMM-aa"),"")</f>
      </c>
      <c r="GB205" s="496" t="str">
        <f> IF(GB225&lt;&gt;"",TEXT(AUX!GF$1,"dd-MMM-aa"),"")</f>
      </c>
      <c r="GC205" s="496" t="str">
        <f> IF(GC225&lt;&gt;"",TEXT(AUX!GG$1,"dd-MMM-aa"),"")</f>
      </c>
      <c r="GD205" s="496" t="str">
        <f> IF(GD225&lt;&gt;"",TEXT(AUX!GH$1,"dd-MMM-aa"),"")</f>
      </c>
      <c r="GE205" s="496" t="str">
        <f> IF(GE225&lt;&gt;"",TEXT(AUX!GI$1,"dd-MMM-aa"),"")</f>
      </c>
      <c r="GF205" s="496" t="str">
        <f> IF(GF225&lt;&gt;"",TEXT(AUX!GJ$1,"dd-MMM-aa"),"")</f>
      </c>
      <c r="GG205" s="496" t="str">
        <f> IF(GG225&lt;&gt;"",TEXT(AUX!GK$1,"dd-MMM-aa"),"")</f>
      </c>
      <c r="GH205" s="496" t="str">
        <f> IF(GH225&lt;&gt;"",TEXT(AUX!GL$1,"dd-MMM-aa"),"")</f>
      </c>
      <c r="GI205" s="496" t="str">
        <f> IF(GI225&lt;&gt;"",TEXT(AUX!GM$1,"dd-MMM-aa"),"")</f>
      </c>
      <c r="GJ205" s="496" t="str">
        <f> IF(GJ225&lt;&gt;"",TEXT(AUX!GN$1,"dd-MMM-aa"),"")</f>
      </c>
      <c r="GK205" s="496" t="str">
        <f> IF(GK225&lt;&gt;"",TEXT(AUX!GO$1,"dd-MMM-aa"),"")</f>
      </c>
      <c r="GL205" s="496" t="str">
        <f> IF(GL225&lt;&gt;"",TEXT(AUX!GP$1,"dd-MMM-aa"),"")</f>
      </c>
      <c r="GM205" s="496" t="str">
        <f> IF(GM225&lt;&gt;"",TEXT(AUX!GQ$1,"dd-MMM-aa"),"")</f>
      </c>
      <c r="GN205" s="496" t="str">
        <f> IF(GN225&lt;&gt;"",TEXT(AUX!GR$1,"dd-MMM-aa"),"")</f>
      </c>
      <c r="GO205" s="496" t="str">
        <f> IF(GO225&lt;&gt;"",TEXT(AUX!GS$1,"dd-MMM-aa"),"")</f>
      </c>
      <c r="GP205" s="496" t="str">
        <f> IF(GP225&lt;&gt;"",TEXT(AUX!GT$1,"dd-MMM-aa"),"")</f>
      </c>
      <c r="GQ205" s="496" t="str">
        <f> IF(GQ225&lt;&gt;"",TEXT(AUX!GU$1,"dd-MMM-aa"),"")</f>
      </c>
      <c r="GR205" s="496" t="str">
        <f> IF(GR225&lt;&gt;"",TEXT(AUX!GV$1,"dd-MMM-aa"),"")</f>
      </c>
      <c r="GS205" s="496" t="str">
        <f> IF(GS225&lt;&gt;"",TEXT(AUX!GW$1,"dd-MMM-aa"),"")</f>
      </c>
      <c r="GT205" s="496" t="str">
        <f> IF(GT225&lt;&gt;"",TEXT(AUX!GX$1,"dd-MMM-aa"),"")</f>
      </c>
      <c r="GU205" s="496" t="str">
        <f> IF(GU225&lt;&gt;"",TEXT(AUX!GY$1,"dd-MMM-aa"),"")</f>
      </c>
      <c r="GV205" s="496" t="str">
        <f> IF(GV225&lt;&gt;"",TEXT(AUX!GZ$1,"dd-MMM-aa"),"")</f>
      </c>
      <c r="GW205" s="496" t="str">
        <f> IF(GW225&lt;&gt;"",TEXT(AUX!HA$1,"dd-MMM-aa"),"")</f>
      </c>
      <c r="GX205" s="496" t="str">
        <f> IF(GX225&lt;&gt;"",TEXT(AUX!HB$1,"dd-MMM-aa"),"")</f>
      </c>
      <c r="GY205" s="496" t="str">
        <f> IF(GY225&lt;&gt;"",TEXT(AUX!HC$1,"dd-MMM-aa"),"")</f>
      </c>
      <c r="GZ205" s="496" t="str">
        <f> IF(GZ225&lt;&gt;"",TEXT(AUX!HD$1,"dd-MMM-aa"),"")</f>
      </c>
      <c r="HA205" s="496" t="str">
        <f> IF(HA225&lt;&gt;"",TEXT(AUX!HE$1,"dd-MMM-aa"),"")</f>
      </c>
      <c r="HB205" s="496" t="str">
        <f> IF(HB225&lt;&gt;"",TEXT(AUX!HF$1,"dd-MMM-aa"),"")</f>
      </c>
      <c r="HC205" s="496" t="str">
        <f> IF(HC225&lt;&gt;"",TEXT(AUX!HG$1,"dd-MMM-aa"),"")</f>
      </c>
      <c r="HD205" s="496" t="str">
        <f> IF(HD225&lt;&gt;"",TEXT(AUX!HH$1,"dd-MMM-aa"),"")</f>
      </c>
      <c r="HE205" s="496" t="str">
        <f> IF(HE225&lt;&gt;"",TEXT(AUX!HI$1,"dd-MMM-aa"),"")</f>
      </c>
      <c r="HF205" s="496" t="str">
        <f> IF(HF225&lt;&gt;"",TEXT(AUX!HJ$1,"dd-MMM-aa"),"")</f>
      </c>
      <c r="HG205" s="496" t="str">
        <f> IF(HG225&lt;&gt;"",TEXT(AUX!HK$1,"dd-MMM-aa"),"")</f>
      </c>
      <c r="HH205" s="496" t="str">
        <f> IF(HH225&lt;&gt;"",TEXT(AUX!HL$1,"dd-MMM-aa"),"")</f>
      </c>
      <c r="HI205" s="496" t="str">
        <f> IF(HI225&lt;&gt;"",TEXT(AUX!HM$1,"dd-MMM-aa"),"")</f>
      </c>
      <c r="HJ205" s="496" t="str">
        <f> IF(HJ225&lt;&gt;"",TEXT(AUX!HN$1,"dd-MMM-aa"),"")</f>
      </c>
      <c r="HK205" s="496" t="str">
        <f> IF(HK225&lt;&gt;"",TEXT(AUX!HO$1,"dd-MMM-aa"),"")</f>
      </c>
      <c r="HL205" s="496" t="str">
        <f> IF(HL225&lt;&gt;"",TEXT(AUX!HP$1,"dd-MMM-aa"),"")</f>
      </c>
      <c r="HM205" s="496" t="str">
        <f> IF(HM225&lt;&gt;"",TEXT(AUX!HQ$1,"dd-MMM-aa"),"")</f>
      </c>
      <c r="HN205" s="496" t="str">
        <f> IF(HN225&lt;&gt;"",TEXT(AUX!HR$1,"dd-MMM-aa"),"")</f>
      </c>
      <c r="HO205" s="496" t="str">
        <f> IF(HO225&lt;&gt;"",TEXT(AUX!HS$1,"dd-MMM-aa"),"")</f>
      </c>
      <c r="HP205" s="496" t="str">
        <f> IF(HP225&lt;&gt;"",TEXT(AUX!HT$1,"dd-MMM-aa"),"")</f>
      </c>
      <c r="HQ205" s="496" t="str">
        <f> IF(HQ225&lt;&gt;"",TEXT(AUX!HU$1,"dd-MMM-aa"),"")</f>
      </c>
      <c r="HR205" s="496" t="str">
        <f> IF(HR225&lt;&gt;"",TEXT(AUX!HV$1,"dd-MMM-aa"),"")</f>
      </c>
      <c r="HS205" s="496" t="str">
        <f> IF(HS225&lt;&gt;"",TEXT(AUX!HW$1,"dd-MMM-aa"),"")</f>
      </c>
      <c r="HT205" s="496" t="str">
        <f> IF(HT225&lt;&gt;"",TEXT(AUX!HX$1,"dd-MMM-aa"),"")</f>
      </c>
      <c r="HU205" s="496" t="str">
        <f> IF(HU225&lt;&gt;"",TEXT(AUX!HY$1,"dd-MMM-aa"),"")</f>
      </c>
      <c r="HV205" s="496" t="str">
        <f> IF(HV225&lt;&gt;"",TEXT(AUX!HZ$1,"dd-MMM-aa"),"")</f>
      </c>
      <c r="HW205" s="496" t="str">
        <f> IF(HW225&lt;&gt;"",TEXT(AUX!IA$1,"dd-MMM-aa"),"")</f>
      </c>
      <c r="HX205" s="496" t="str">
        <f> IF(HX225&lt;&gt;"",TEXT(AUX!IB$1,"dd-MMM-aa"),"")</f>
      </c>
      <c r="HY205" s="496" t="str">
        <f> IF(HY225&lt;&gt;"",TEXT(AUX!IC$1,"dd-MMM-aa"),"")</f>
      </c>
      <c r="HZ205" s="496" t="str">
        <f> IF(HZ225&lt;&gt;"",TEXT(AUX!ID$1,"dd-MMM-aa"),"")</f>
      </c>
      <c r="IA205" s="496" t="str">
        <f> IF(IA225&lt;&gt;"",TEXT(AUX!IE$1,"dd-MMM-aa"),"")</f>
      </c>
      <c r="IB205" s="496" t="str">
        <f> IF(IB225&lt;&gt;"",TEXT(AUX!IF$1,"dd-MMM-aa"),"")</f>
      </c>
      <c r="IC205" s="496" t="str">
        <f> IF(IC225&lt;&gt;"",TEXT(AUX!IG$1,"dd-MMM-aa"),"")</f>
      </c>
      <c r="ID205" s="496" t="str">
        <f> IF(ID225&lt;&gt;"",TEXT(AUX!IH$1,"dd-MMM-aa"),"")</f>
      </c>
      <c r="IE205" s="496" t="str">
        <f> IF(IE225&lt;&gt;"",TEXT(AUX!II$1,"dd-MMM-aa"),"")</f>
      </c>
      <c r="IF205" s="496" t="str">
        <f> IF(IF225&lt;&gt;"",TEXT(AUX!IJ$1,"dd-MMM-aa"),"")</f>
      </c>
      <c r="IG205" s="496" t="str">
        <f> IF(IG225&lt;&gt;"",TEXT(AUX!IK$1,"dd-MMM-aa"),"")</f>
      </c>
      <c r="IH205" s="496" t="str">
        <f> IF(IH225&lt;&gt;"",TEXT(AUX!IL$1,"dd-MMM-aa"),"")</f>
      </c>
      <c r="II205" s="496" t="str">
        <f> IF(II225&lt;&gt;"",TEXT(AUX!IM$1,"dd-MMM-aa"),"")</f>
      </c>
      <c r="IJ205" s="496" t="str">
        <f> IF(IJ225&lt;&gt;"",TEXT(AUX!IN$1,"dd-MMM-aa"),"")</f>
      </c>
      <c r="IK205" s="496" t="str">
        <f> IF(IK225&lt;&gt;"",TEXT(AUX!IO$1,"dd-MMM-aa"),"")</f>
      </c>
      <c r="IL205" s="496" t="str">
        <f> IF(IL225&lt;&gt;"",TEXT(AUX!IP$1,"dd-MMM-aa"),"")</f>
      </c>
      <c r="IM205" s="496" t="str">
        <f> IF(IM225&lt;&gt;"",TEXT(AUX!IQ$1,"dd-MMM-aa"),"")</f>
      </c>
      <c r="IN205" s="496" t="str">
        <f> IF(IN225&lt;&gt;"",TEXT(AUX!IR$1,"dd-MMM-aa"),"")</f>
      </c>
      <c r="IO205" s="496" t="str">
        <f> IF(IO225&lt;&gt;"",TEXT(AUX!IS$1,"dd-MMM-aa"),"")</f>
      </c>
      <c r="IP205" s="496" t="str">
        <f> IF(IP225&lt;&gt;"",TEXT(AUX!IT$1,"dd-MMM-aa"),"")</f>
      </c>
      <c r="IQ205" s="496" t="str">
        <f> IF(IQ225&lt;&gt;"",TEXT(AUX!IU$1,"dd-MMM-aa"),"")</f>
      </c>
      <c r="IR205" s="496" t="str">
        <f> IF(IR225&lt;&gt;"",TEXT(AUX!IV$1,"dd-MMM-aa"),"")</f>
      </c>
      <c r="IS205" s="496" t="str">
        <f> IF(IS225&lt;&gt;"",TEXT(AUX!#REF!,"dd-MMM-aa"),"")</f>
      </c>
      <c r="IT205" s="496" t="str">
        <f> IF(IT225&lt;&gt;"",TEXT(AUX!#REF!,"dd-MMM-aa"),"")</f>
      </c>
      <c r="IU205" s="496" t="str">
        <f> IF(IU225&lt;&gt;"",TEXT(AUX!#REF!,"dd-MMM-aa"),"")</f>
      </c>
      <c r="IV205" s="496" t="str">
        <f> IF(IV225&lt;&gt;"",TEXT(AUX!#REF!,"dd-MMM-aa"),"")</f>
      </c>
    </row>
    <row r="206" hidden="1">
      <c r="B206" s="838" t="s">
        <v>8</v>
      </c>
      <c r="C206" s="839">
        <f>C254 + C351</f>
        <v>0</v>
      </c>
      <c r="D206" s="839">
        <f>D254 + D351</f>
        <v>0</v>
      </c>
      <c r="E206" s="839">
        <f>E254 + E351</f>
        <v>0</v>
      </c>
      <c r="F206" s="839">
        <f>F254 + F351</f>
        <v>0</v>
      </c>
      <c r="G206" s="839">
        <f>G254 + G351</f>
        <v>0</v>
      </c>
      <c r="H206" s="839">
        <f>H254 + H351</f>
        <v>0</v>
      </c>
      <c r="I206" s="839">
        <f>I254 + I351</f>
        <v>0</v>
      </c>
      <c r="J206" s="839">
        <f>J254 + J351</f>
        <v>0</v>
      </c>
      <c r="K206" s="839">
        <f>K254 + K351</f>
        <v>0</v>
      </c>
      <c r="L206" s="839">
        <f>L254 + L351</f>
        <v>0</v>
      </c>
      <c r="M206" s="839">
        <f>M254 + M351</f>
        <v>0</v>
      </c>
      <c r="N206" s="839">
        <f>N254 + N351</f>
        <v>0</v>
      </c>
      <c r="O206" s="839">
        <f>O254 + O351</f>
        <v>0</v>
      </c>
      <c r="P206" s="839">
        <f>P254 + P351</f>
        <v>0</v>
      </c>
      <c r="Q206" s="839">
        <f>Q254 + Q351</f>
        <v>0</v>
      </c>
      <c r="R206" s="839">
        <f>R254 + R351</f>
        <v>0</v>
      </c>
      <c r="S206" s="839">
        <f>S254 + S351</f>
        <v>0</v>
      </c>
      <c r="T206" s="839">
        <f>T254 + T351</f>
        <v>0</v>
      </c>
      <c r="U206" s="839">
        <f>U254 + U351</f>
        <v>0</v>
      </c>
      <c r="V206" s="839">
        <f>V254 + V351</f>
        <v>0</v>
      </c>
      <c r="W206" s="839">
        <f>W254 + W351</f>
        <v>0</v>
      </c>
      <c r="X206" s="839">
        <f>X254 + X351</f>
        <v>0</v>
      </c>
      <c r="Y206" s="839">
        <f>Y254 + Y351</f>
        <v>0</v>
      </c>
      <c r="Z206" s="839">
        <f>Z254 + Z351</f>
        <v>0</v>
      </c>
      <c r="AA206" s="839">
        <f>AA254 + AA351</f>
        <v>0</v>
      </c>
      <c r="AB206" s="840">
        <f>AB254 + AB351</f>
        <v>0</v>
      </c>
      <c r="AC206" s="841">
        <f>AC254 + AC351</f>
        <v>0</v>
      </c>
      <c r="AD206" s="841">
        <f>AD254 + AD351</f>
        <v>0</v>
      </c>
      <c r="AE206" s="841">
        <f>AE254 + AE351</f>
        <v>0</v>
      </c>
      <c r="AF206" s="841">
        <f>AF254 + AF351</f>
        <v>0</v>
      </c>
      <c r="AG206" s="841">
        <f>AG254 + AG351</f>
        <v>0</v>
      </c>
      <c r="AH206" s="841">
        <f>AH254 + AH351</f>
        <v>0</v>
      </c>
      <c r="AI206" s="841">
        <f>AI254 + AI351</f>
        <v>0</v>
      </c>
      <c r="AJ206" s="841">
        <f>AJ254 + AJ351</f>
        <v>0</v>
      </c>
      <c r="AK206" s="841">
        <f>AK254 + AK351</f>
        <v>0</v>
      </c>
      <c r="AL206" s="841">
        <f>AL254 + AL351</f>
        <v>0</v>
      </c>
      <c r="AM206" s="841">
        <f>AM254 + AM351</f>
        <v>0</v>
      </c>
      <c r="AN206" s="841">
        <f>AN254 + AN351</f>
        <v>0</v>
      </c>
      <c r="AO206" s="841">
        <f>AO254 + AO351</f>
        <v>0</v>
      </c>
      <c r="AP206" s="841">
        <f>AP254 + AP351</f>
        <v>0</v>
      </c>
    </row>
    <row r="207" hidden="1">
      <c r="B207" s="842" t="s">
        <v>9</v>
      </c>
      <c r="C207" s="839">
        <f>C255 + C352</f>
        <v>0</v>
      </c>
      <c r="D207" s="839">
        <f>D255 + D352</f>
        <v>0</v>
      </c>
      <c r="E207" s="839">
        <f>E255 + E352</f>
        <v>0</v>
      </c>
      <c r="F207" s="839">
        <f>F255 + F352</f>
        <v>0</v>
      </c>
      <c r="G207" s="839">
        <f>G255 + G352</f>
        <v>0</v>
      </c>
      <c r="H207" s="839">
        <f>H255 + H352</f>
        <v>0</v>
      </c>
      <c r="I207" s="839">
        <f>I255 + I352</f>
        <v>0</v>
      </c>
      <c r="J207" s="839">
        <f>J255 + J352</f>
        <v>0</v>
      </c>
      <c r="K207" s="839">
        <f>K255 + K352</f>
        <v>0</v>
      </c>
      <c r="L207" s="839">
        <f>L255 + L352</f>
        <v>0</v>
      </c>
      <c r="M207" s="839">
        <f>M255 + M352</f>
        <v>0</v>
      </c>
      <c r="N207" s="839">
        <f>N255 + N352</f>
        <v>0</v>
      </c>
      <c r="O207" s="839">
        <f>O255 + O352</f>
        <v>0</v>
      </c>
      <c r="P207" s="839">
        <f>P255 + P352</f>
        <v>0</v>
      </c>
      <c r="Q207" s="839">
        <f>Q255 + Q352</f>
        <v>0</v>
      </c>
      <c r="R207" s="839">
        <f>R255 + R352</f>
        <v>0</v>
      </c>
      <c r="S207" s="839">
        <f>S255 + S352</f>
        <v>0</v>
      </c>
      <c r="T207" s="839">
        <f>T255 + T352</f>
        <v>0</v>
      </c>
      <c r="U207" s="839">
        <f>U255 + U352</f>
        <v>0</v>
      </c>
      <c r="V207" s="839">
        <f>V255 + V352</f>
        <v>0</v>
      </c>
      <c r="W207" s="839">
        <f>W255 + W352</f>
        <v>0</v>
      </c>
      <c r="X207" s="839">
        <f>X255 + X352</f>
        <v>0</v>
      </c>
      <c r="Y207" s="839">
        <f>Y255 + Y352</f>
        <v>0</v>
      </c>
      <c r="Z207" s="839">
        <f>Z255 + Z352</f>
        <v>0</v>
      </c>
      <c r="AA207" s="839">
        <f>AA255 + AA352</f>
        <v>0</v>
      </c>
      <c r="AB207" s="839">
        <f>AB255 + AB352</f>
        <v>0</v>
      </c>
      <c r="AC207" s="841">
        <f>AC255 + AC352</f>
        <v>0</v>
      </c>
      <c r="AD207" s="841">
        <f>AD255 + AD352</f>
        <v>0</v>
      </c>
      <c r="AE207" s="841">
        <f>AE255 + AE352</f>
        <v>0</v>
      </c>
      <c r="AF207" s="841">
        <f>AF255 + AF352</f>
        <v>0</v>
      </c>
      <c r="AG207" s="841">
        <f>AG255 + AG352</f>
        <v>0</v>
      </c>
      <c r="AH207" s="841">
        <f>AH255 + AH352</f>
        <v>0</v>
      </c>
      <c r="AI207" s="841">
        <f>AI255 + AI352</f>
        <v>0</v>
      </c>
      <c r="AJ207" s="841">
        <f>AJ255 + AJ352</f>
        <v>0</v>
      </c>
      <c r="AK207" s="841">
        <f>AK255 + AK352</f>
        <v>0</v>
      </c>
      <c r="AL207" s="841">
        <f>AL255 + AL352</f>
        <v>0</v>
      </c>
      <c r="AM207" s="841">
        <f>AM255 + AM352</f>
        <v>0</v>
      </c>
      <c r="AN207" s="841">
        <f>AN255 + AN352</f>
        <v>0</v>
      </c>
      <c r="AO207" s="841">
        <f>AO255 + AO352</f>
        <v>0</v>
      </c>
      <c r="AP207" s="841">
        <f>AP255 + AP352</f>
        <v>0</v>
      </c>
    </row>
    <row r="208" hidden="1">
      <c r="B208" s="842" t="s">
        <v>10</v>
      </c>
      <c r="C208" s="839">
        <f>C256 + C353</f>
        <v>0</v>
      </c>
      <c r="D208" s="839">
        <f>D256 + D353</f>
        <v>0</v>
      </c>
      <c r="E208" s="839">
        <f>E256 + E353</f>
        <v>0</v>
      </c>
      <c r="F208" s="839">
        <f>F256 + F353</f>
        <v>0</v>
      </c>
      <c r="G208" s="839">
        <f>G256 + G353</f>
        <v>0</v>
      </c>
      <c r="H208" s="839">
        <f>H256 + H353</f>
        <v>0</v>
      </c>
      <c r="I208" s="839">
        <f>I256 + I353</f>
        <v>0</v>
      </c>
      <c r="J208" s="839">
        <f>J256 + J353</f>
        <v>0</v>
      </c>
      <c r="K208" s="839">
        <f>K256 + K353</f>
        <v>0</v>
      </c>
      <c r="L208" s="839">
        <f>L256 + L353</f>
        <v>0</v>
      </c>
      <c r="M208" s="839">
        <f>M256 + M353</f>
        <v>0</v>
      </c>
      <c r="N208" s="839">
        <f>N256 + N353</f>
        <v>0</v>
      </c>
      <c r="O208" s="839">
        <f>O256 + O353</f>
        <v>0</v>
      </c>
      <c r="P208" s="839">
        <f>P256 + P353</f>
        <v>0</v>
      </c>
      <c r="Q208" s="839">
        <f>Q256 + Q353</f>
        <v>0</v>
      </c>
      <c r="R208" s="839">
        <f>R256 + R353</f>
        <v>0</v>
      </c>
      <c r="S208" s="839">
        <f>S256 + S353</f>
        <v>0</v>
      </c>
      <c r="T208" s="839">
        <f>T256 + T353</f>
        <v>0</v>
      </c>
      <c r="U208" s="839">
        <f>U256 + U353</f>
        <v>0</v>
      </c>
      <c r="V208" s="839">
        <f>V256 + V353</f>
        <v>0</v>
      </c>
      <c r="W208" s="839">
        <f>W256 + W353</f>
        <v>0</v>
      </c>
      <c r="X208" s="839">
        <f>X256 + X353</f>
        <v>0</v>
      </c>
      <c r="Y208" s="839">
        <f>Y256 + Y353</f>
        <v>0</v>
      </c>
      <c r="Z208" s="839">
        <f>Z256 + Z353</f>
        <v>0</v>
      </c>
      <c r="AA208" s="839">
        <f>AA256 + AA353</f>
        <v>0</v>
      </c>
      <c r="AB208" s="839">
        <f>AB256 + AB353</f>
        <v>0</v>
      </c>
      <c r="AC208" s="841">
        <f>AC256 + AC353</f>
        <v>0</v>
      </c>
      <c r="AD208" s="841">
        <f>AD256 + AD353</f>
        <v>0</v>
      </c>
      <c r="AE208" s="841">
        <f>AE256 + AE353</f>
        <v>0</v>
      </c>
      <c r="AF208" s="841">
        <f>AF256 + AF353</f>
        <v>0</v>
      </c>
      <c r="AG208" s="841">
        <f>AG256 + AG353</f>
        <v>0</v>
      </c>
      <c r="AH208" s="841">
        <f>AH256 + AH353</f>
        <v>0</v>
      </c>
      <c r="AI208" s="841">
        <f>AI256 + AI353</f>
        <v>0</v>
      </c>
      <c r="AJ208" s="841">
        <f>AJ256 + AJ353</f>
        <v>0</v>
      </c>
      <c r="AK208" s="841">
        <f>AK256 + AK353</f>
        <v>0</v>
      </c>
      <c r="AL208" s="841">
        <f>AL256 + AL353</f>
        <v>0</v>
      </c>
      <c r="AM208" s="841">
        <f>AM256 + AM353</f>
        <v>0</v>
      </c>
      <c r="AN208" s="841">
        <f>AN256 + AN353</f>
        <v>0</v>
      </c>
      <c r="AO208" s="841">
        <f>AO256 + AO353</f>
        <v>0</v>
      </c>
      <c r="AP208" s="841">
        <f>AP256 + AP353</f>
        <v>0</v>
      </c>
    </row>
    <row r="209" hidden="1">
      <c r="B209" s="842" t="s">
        <v>11</v>
      </c>
      <c r="C209" s="839">
        <f>C257 + C354</f>
        <v>0</v>
      </c>
      <c r="D209" s="839">
        <f>D257 + D354</f>
        <v>0</v>
      </c>
      <c r="E209" s="839">
        <f>E257 + E354</f>
        <v>0</v>
      </c>
      <c r="F209" s="839">
        <f>F257 + F354</f>
        <v>0</v>
      </c>
      <c r="G209" s="839">
        <f>G257 + G354</f>
        <v>0</v>
      </c>
      <c r="H209" s="839">
        <f>H257 + H354</f>
        <v>0</v>
      </c>
      <c r="I209" s="839">
        <f>I257 + I354</f>
        <v>0</v>
      </c>
      <c r="J209" s="839">
        <f>J257 + J354</f>
        <v>0</v>
      </c>
      <c r="K209" s="839">
        <f>K257 + K354</f>
        <v>0</v>
      </c>
      <c r="L209" s="839">
        <f>L257 + L354</f>
        <v>0</v>
      </c>
      <c r="M209" s="839">
        <f>M257 + M354</f>
        <v>0</v>
      </c>
      <c r="N209" s="839">
        <f>N257 + N354</f>
        <v>0</v>
      </c>
      <c r="O209" s="839">
        <f>O257 + O354</f>
        <v>0</v>
      </c>
      <c r="P209" s="839">
        <f>P257 + P354</f>
        <v>0</v>
      </c>
      <c r="Q209" s="839">
        <f>Q257 + Q354</f>
        <v>0</v>
      </c>
      <c r="R209" s="839">
        <f>R257 + R354</f>
        <v>0</v>
      </c>
      <c r="S209" s="839">
        <f>S257 + S354</f>
        <v>0</v>
      </c>
      <c r="T209" s="839">
        <f>T257 + T354</f>
        <v>0</v>
      </c>
      <c r="U209" s="839">
        <f>U257 + U354</f>
        <v>0</v>
      </c>
      <c r="V209" s="839">
        <f>V257 + V354</f>
        <v>0</v>
      </c>
      <c r="W209" s="839">
        <f>W257 + W354</f>
        <v>0</v>
      </c>
      <c r="X209" s="839">
        <f>X257 + X354</f>
        <v>0</v>
      </c>
      <c r="Y209" s="839">
        <f>Y257 + Y354</f>
        <v>0</v>
      </c>
      <c r="Z209" s="839">
        <f>Z257 + Z354</f>
        <v>0</v>
      </c>
      <c r="AA209" s="839">
        <f>AA257 + AA354</f>
        <v>0</v>
      </c>
      <c r="AB209" s="839">
        <f>AB257 + AB354</f>
        <v>0</v>
      </c>
      <c r="AC209" s="841">
        <f>AC257 + AC354</f>
        <v>0</v>
      </c>
      <c r="AD209" s="841">
        <f>AD257 + AD354</f>
        <v>0</v>
      </c>
      <c r="AE209" s="841">
        <f>AE257 + AE354</f>
        <v>0</v>
      </c>
      <c r="AF209" s="841">
        <f>AF257 + AF354</f>
        <v>0</v>
      </c>
      <c r="AG209" s="841">
        <f>AG257 + AG354</f>
        <v>0</v>
      </c>
      <c r="AH209" s="841">
        <f>AH257 + AH354</f>
        <v>0</v>
      </c>
      <c r="AI209" s="841">
        <f>AI257 + AI354</f>
        <v>0</v>
      </c>
      <c r="AJ209" s="841">
        <f>AJ257 + AJ354</f>
        <v>0</v>
      </c>
      <c r="AK209" s="841">
        <f>AK257 + AK354</f>
        <v>0</v>
      </c>
      <c r="AL209" s="841">
        <f>AL257 + AL354</f>
        <v>0</v>
      </c>
      <c r="AM209" s="841">
        <f>AM257 + AM354</f>
        <v>0</v>
      </c>
      <c r="AN209" s="841">
        <f>AN257 + AN354</f>
        <v>0</v>
      </c>
      <c r="AO209" s="841">
        <f>AO257 + AO354</f>
        <v>0</v>
      </c>
      <c r="AP209" s="841">
        <f>AP257 + AP354</f>
        <v>0</v>
      </c>
    </row>
    <row r="210" hidden="1">
      <c r="B210" s="842" t="s">
        <v>12</v>
      </c>
      <c r="C210" s="839">
        <f>C258 + C355</f>
        <v>0</v>
      </c>
      <c r="D210" s="839">
        <f>D258 + D355</f>
        <v>0</v>
      </c>
      <c r="E210" s="839">
        <f>E258 + E355</f>
        <v>0</v>
      </c>
      <c r="F210" s="839">
        <f>F258 + F355</f>
        <v>0</v>
      </c>
      <c r="G210" s="839">
        <f>G258 + G355</f>
        <v>0</v>
      </c>
      <c r="H210" s="839">
        <f>H258 + H355</f>
        <v>0</v>
      </c>
      <c r="I210" s="839">
        <f>I258 + I355</f>
        <v>0</v>
      </c>
      <c r="J210" s="839">
        <f>J258 + J355</f>
        <v>0</v>
      </c>
      <c r="K210" s="839">
        <f>K258 + K355</f>
        <v>0</v>
      </c>
      <c r="L210" s="839">
        <f>L258 + L355</f>
        <v>0</v>
      </c>
      <c r="M210" s="839">
        <f>M258 + M355</f>
        <v>0</v>
      </c>
      <c r="N210" s="839">
        <f>N258 + N355</f>
        <v>0</v>
      </c>
      <c r="O210" s="839">
        <f>O258 + O355</f>
        <v>0</v>
      </c>
      <c r="P210" s="839">
        <f>P258 + P355</f>
        <v>0</v>
      </c>
      <c r="Q210" s="839">
        <f>Q258 + Q355</f>
        <v>0</v>
      </c>
      <c r="R210" s="839">
        <f>R258 + R355</f>
        <v>0</v>
      </c>
      <c r="S210" s="839">
        <f>S258 + S355</f>
        <v>0</v>
      </c>
      <c r="T210" s="839">
        <f>T258 + T355</f>
        <v>0</v>
      </c>
      <c r="U210" s="839">
        <f>U258 + U355</f>
        <v>0</v>
      </c>
      <c r="V210" s="839">
        <f>V258 + V355</f>
        <v>0</v>
      </c>
      <c r="W210" s="839">
        <f>W258 + W355</f>
        <v>0</v>
      </c>
      <c r="X210" s="839">
        <f>X258 + X355</f>
        <v>0</v>
      </c>
      <c r="Y210" s="839">
        <f>Y258 + Y355</f>
        <v>0</v>
      </c>
      <c r="Z210" s="839">
        <f>Z258 + Z355</f>
        <v>0</v>
      </c>
      <c r="AA210" s="839">
        <f>AA258 + AA355</f>
        <v>0</v>
      </c>
      <c r="AB210" s="839">
        <f>AB258 + AB355</f>
        <v>0</v>
      </c>
      <c r="AC210" s="841">
        <f>AC258 + AC355</f>
        <v>0</v>
      </c>
      <c r="AD210" s="841">
        <f>AD258 + AD355</f>
        <v>0</v>
      </c>
      <c r="AE210" s="841">
        <f>AE258 + AE355</f>
        <v>0</v>
      </c>
      <c r="AF210" s="841">
        <f>AF258 + AF355</f>
        <v>0</v>
      </c>
      <c r="AG210" s="841">
        <f>AG258 + AG355</f>
        <v>0</v>
      </c>
      <c r="AH210" s="841">
        <f>AH258 + AH355</f>
        <v>0</v>
      </c>
      <c r="AI210" s="841">
        <f>AI258 + AI355</f>
        <v>0</v>
      </c>
      <c r="AJ210" s="841">
        <f>AJ258 + AJ355</f>
        <v>0</v>
      </c>
      <c r="AK210" s="841">
        <f>AK258 + AK355</f>
        <v>0</v>
      </c>
      <c r="AL210" s="841">
        <f>AL258 + AL355</f>
        <v>0</v>
      </c>
      <c r="AM210" s="841">
        <f>AM258 + AM355</f>
        <v>0</v>
      </c>
      <c r="AN210" s="841">
        <f>AN258 + AN355</f>
        <v>0</v>
      </c>
      <c r="AO210" s="841">
        <f>AO258 + AO355</f>
        <v>0</v>
      </c>
      <c r="AP210" s="841">
        <f>AP258 + AP355</f>
        <v>0</v>
      </c>
    </row>
    <row r="211" hidden="1">
      <c r="B211" s="842" t="s">
        <v>13</v>
      </c>
      <c r="C211" s="839">
        <f>C259 + C356</f>
        <v>0</v>
      </c>
      <c r="D211" s="839">
        <f>D259 + D356</f>
        <v>0</v>
      </c>
      <c r="E211" s="839">
        <f>E259 + E356</f>
        <v>0</v>
      </c>
      <c r="F211" s="839">
        <f>F259 + F356</f>
        <v>0</v>
      </c>
      <c r="G211" s="839">
        <f>G259 + G356</f>
        <v>0</v>
      </c>
      <c r="H211" s="839">
        <f>H259 + H356</f>
        <v>0</v>
      </c>
      <c r="I211" s="839">
        <f>I259 + I356</f>
        <v>0</v>
      </c>
      <c r="J211" s="839">
        <f>J259 + J356</f>
        <v>0</v>
      </c>
      <c r="K211" s="839">
        <f>K259 + K356</f>
        <v>0</v>
      </c>
      <c r="L211" s="839">
        <f>L259 + L356</f>
        <v>0</v>
      </c>
      <c r="M211" s="839">
        <f>M259 + M356</f>
        <v>0</v>
      </c>
      <c r="N211" s="839">
        <f>N259 + N356</f>
        <v>0</v>
      </c>
      <c r="O211" s="839">
        <f>O259 + O356</f>
        <v>0</v>
      </c>
      <c r="P211" s="839">
        <f>P259 + P356</f>
        <v>0</v>
      </c>
      <c r="Q211" s="839">
        <f>Q259 + Q356</f>
        <v>0</v>
      </c>
      <c r="R211" s="839">
        <f>R259 + R356</f>
        <v>0</v>
      </c>
      <c r="S211" s="839">
        <f>S259 + S356</f>
        <v>0</v>
      </c>
      <c r="T211" s="839">
        <f>T259 + T356</f>
        <v>0</v>
      </c>
      <c r="U211" s="839">
        <f>U259 + U356</f>
        <v>0</v>
      </c>
      <c r="V211" s="839">
        <f>V259 + V356</f>
        <v>0</v>
      </c>
      <c r="W211" s="839">
        <f>W259 + W356</f>
        <v>0</v>
      </c>
      <c r="X211" s="839">
        <f>X259 + X356</f>
        <v>0</v>
      </c>
      <c r="Y211" s="839">
        <f>Y259 + Y356</f>
        <v>0</v>
      </c>
      <c r="Z211" s="839">
        <f>Z259 + Z356</f>
        <v>0</v>
      </c>
      <c r="AA211" s="839">
        <f>AA259 + AA356</f>
        <v>0</v>
      </c>
      <c r="AB211" s="839">
        <f>AB259 + AB356</f>
        <v>0</v>
      </c>
      <c r="AC211" s="841">
        <f>AC259 + AC356</f>
        <v>0</v>
      </c>
      <c r="AD211" s="841">
        <f>AD259 + AD356</f>
        <v>0</v>
      </c>
      <c r="AE211" s="841">
        <f>AE259 + AE356</f>
        <v>0</v>
      </c>
      <c r="AF211" s="841">
        <f>AF259 + AF356</f>
        <v>0</v>
      </c>
      <c r="AG211" s="841">
        <f>AG259 + AG356</f>
        <v>0</v>
      </c>
      <c r="AH211" s="841">
        <f>AH259 + AH356</f>
        <v>0</v>
      </c>
      <c r="AI211" s="841">
        <f>AI259 + AI356</f>
        <v>0</v>
      </c>
      <c r="AJ211" s="841">
        <f>AJ259 + AJ356</f>
        <v>0</v>
      </c>
      <c r="AK211" s="841">
        <f>AK259 + AK356</f>
        <v>0</v>
      </c>
      <c r="AL211" s="841">
        <f>AL259 + AL356</f>
        <v>0</v>
      </c>
      <c r="AM211" s="841">
        <f>AM259 + AM356</f>
        <v>0</v>
      </c>
      <c r="AN211" s="841">
        <f>AN259 + AN356</f>
        <v>0</v>
      </c>
      <c r="AO211" s="841">
        <f>AO259 + AO356</f>
        <v>0</v>
      </c>
      <c r="AP211" s="841">
        <f>AP259 + AP356</f>
        <v>0</v>
      </c>
    </row>
    <row r="212" hidden="1">
      <c r="B212" s="842" t="s">
        <v>109</v>
      </c>
      <c r="C212" s="839">
        <f>C260 + C357</f>
        <v>0</v>
      </c>
      <c r="D212" s="839">
        <f>D260 + D357</f>
        <v>0</v>
      </c>
      <c r="E212" s="839">
        <f>E260 + E357</f>
        <v>0</v>
      </c>
      <c r="F212" s="839">
        <f>F260 + F357</f>
        <v>0</v>
      </c>
      <c r="G212" s="839">
        <f>G260 + G357</f>
        <v>0</v>
      </c>
      <c r="H212" s="839">
        <f>H260 + H357</f>
        <v>0</v>
      </c>
      <c r="I212" s="839">
        <f>I260 + I357</f>
        <v>0</v>
      </c>
      <c r="J212" s="839">
        <f>J260 + J357</f>
        <v>0</v>
      </c>
      <c r="K212" s="839">
        <f>K260 + K357</f>
        <v>0</v>
      </c>
      <c r="L212" s="839">
        <f>L260 + L357</f>
        <v>0</v>
      </c>
      <c r="M212" s="839">
        <f>M260 + M357</f>
        <v>0</v>
      </c>
      <c r="N212" s="839">
        <f>N260 + N357</f>
        <v>0</v>
      </c>
      <c r="O212" s="839">
        <f>O260 + O357</f>
        <v>0</v>
      </c>
      <c r="P212" s="839">
        <f>P260 + P357</f>
        <v>0</v>
      </c>
      <c r="Q212" s="839">
        <f>Q260 + Q357</f>
        <v>0</v>
      </c>
      <c r="R212" s="839">
        <f>R260 + R357</f>
        <v>0</v>
      </c>
      <c r="S212" s="839">
        <f>S260 + S357</f>
        <v>0</v>
      </c>
      <c r="T212" s="839">
        <f>T260 + T357</f>
        <v>0</v>
      </c>
      <c r="U212" s="839">
        <f>U260 + U357</f>
        <v>0</v>
      </c>
      <c r="V212" s="839">
        <f>V260 + V357</f>
        <v>0</v>
      </c>
      <c r="W212" s="839">
        <f>W260 + W357</f>
        <v>0</v>
      </c>
      <c r="X212" s="839">
        <f>X260 + X357</f>
        <v>0</v>
      </c>
      <c r="Y212" s="839">
        <f>Y260 + Y357</f>
        <v>0</v>
      </c>
      <c r="Z212" s="839">
        <f>Z260 + Z357</f>
        <v>0</v>
      </c>
      <c r="AA212" s="839">
        <f>AA260 + AA357</f>
        <v>0</v>
      </c>
      <c r="AB212" s="839">
        <f>AB260 + AB357</f>
        <v>0</v>
      </c>
      <c r="AC212" s="841">
        <f>AC260 + AC357</f>
        <v>0</v>
      </c>
      <c r="AD212" s="841">
        <f>AD260 + AD357</f>
        <v>0</v>
      </c>
      <c r="AE212" s="841">
        <f>AE260 + AE357</f>
        <v>0</v>
      </c>
      <c r="AF212" s="841">
        <f>AF260 + AF357</f>
        <v>0</v>
      </c>
      <c r="AG212" s="841">
        <f>AG260 + AG357</f>
        <v>0</v>
      </c>
      <c r="AH212" s="841">
        <f>AH260 + AH357</f>
        <v>0</v>
      </c>
      <c r="AI212" s="841">
        <f>AI260 + AI357</f>
        <v>0</v>
      </c>
      <c r="AJ212" s="841">
        <f>AJ260 + AJ357</f>
        <v>0</v>
      </c>
      <c r="AK212" s="841">
        <f>AK260 + AK357</f>
        <v>0</v>
      </c>
      <c r="AL212" s="841">
        <f>AL260 + AL357</f>
        <v>0</v>
      </c>
      <c r="AM212" s="841">
        <f>AM260 + AM357</f>
        <v>0</v>
      </c>
      <c r="AN212" s="841">
        <f>AN260 + AN357</f>
        <v>0</v>
      </c>
      <c r="AO212" s="841">
        <f>AO260 + AO357</f>
        <v>0</v>
      </c>
      <c r="AP212" s="841">
        <f>AP260 + AP357</f>
        <v>0</v>
      </c>
    </row>
    <row r="213" hidden="1">
      <c r="B213" s="842" t="s">
        <v>110</v>
      </c>
      <c r="C213" s="839">
        <f>C261 + C358</f>
        <v>0</v>
      </c>
      <c r="D213" s="839">
        <f>D261 + D358</f>
        <v>0</v>
      </c>
      <c r="E213" s="839">
        <f>E261 + E358</f>
        <v>0</v>
      </c>
      <c r="F213" s="839">
        <f>F261 + F358</f>
        <v>0</v>
      </c>
      <c r="G213" s="839">
        <f>G261 + G358</f>
        <v>0</v>
      </c>
      <c r="H213" s="839">
        <f>H261 + H358</f>
        <v>0</v>
      </c>
      <c r="I213" s="839">
        <f>I261 + I358</f>
        <v>0</v>
      </c>
      <c r="J213" s="839">
        <f>J261 + J358</f>
        <v>0</v>
      </c>
      <c r="K213" s="839">
        <f>K261 + K358</f>
        <v>0</v>
      </c>
      <c r="L213" s="839">
        <f>L261 + L358</f>
        <v>0</v>
      </c>
      <c r="M213" s="839">
        <f>M261 + M358</f>
        <v>0</v>
      </c>
      <c r="N213" s="839">
        <f>N261 + N358</f>
        <v>0</v>
      </c>
      <c r="O213" s="839">
        <f>O261 + O358</f>
        <v>0</v>
      </c>
      <c r="P213" s="839">
        <f>P261 + P358</f>
        <v>0</v>
      </c>
      <c r="Q213" s="839">
        <f>Q261 + Q358</f>
        <v>0</v>
      </c>
      <c r="R213" s="839">
        <f>R261 + R358</f>
        <v>0</v>
      </c>
      <c r="S213" s="839">
        <f>S261 + S358</f>
        <v>0</v>
      </c>
      <c r="T213" s="839">
        <f>T261 + T358</f>
        <v>0</v>
      </c>
      <c r="U213" s="839">
        <f>U261 + U358</f>
        <v>0</v>
      </c>
      <c r="V213" s="839">
        <f>V261 + V358</f>
        <v>0</v>
      </c>
      <c r="W213" s="839">
        <f>W261 + W358</f>
        <v>0</v>
      </c>
      <c r="X213" s="839">
        <f>X261 + X358</f>
        <v>0</v>
      </c>
      <c r="Y213" s="839">
        <f>Y261 + Y358</f>
        <v>0</v>
      </c>
      <c r="Z213" s="839">
        <f>Z261 + Z358</f>
        <v>0</v>
      </c>
      <c r="AA213" s="839">
        <f>AA261 + AA358</f>
        <v>0</v>
      </c>
      <c r="AB213" s="839">
        <f>AB261 + AB358</f>
        <v>0</v>
      </c>
      <c r="AC213" s="841">
        <f>AC261 + AC358</f>
        <v>0</v>
      </c>
      <c r="AD213" s="841">
        <f>AD261 + AD358</f>
        <v>0</v>
      </c>
      <c r="AE213" s="841">
        <f>AE261 + AE358</f>
        <v>0</v>
      </c>
      <c r="AF213" s="841">
        <f>AF261 + AF358</f>
        <v>0</v>
      </c>
      <c r="AG213" s="841">
        <f>AG261 + AG358</f>
        <v>0</v>
      </c>
      <c r="AH213" s="841">
        <f>AH261 + AH358</f>
        <v>0</v>
      </c>
      <c r="AI213" s="841">
        <f>AI261 + AI358</f>
        <v>0</v>
      </c>
      <c r="AJ213" s="841">
        <f>AJ261 + AJ358</f>
        <v>0</v>
      </c>
      <c r="AK213" s="841">
        <f>AK261 + AK358</f>
        <v>0</v>
      </c>
      <c r="AL213" s="841">
        <f>AL261 + AL358</f>
        <v>0</v>
      </c>
      <c r="AM213" s="841">
        <f>AM261 + AM358</f>
        <v>0</v>
      </c>
      <c r="AN213" s="841">
        <f>AN261 + AN358</f>
        <v>0</v>
      </c>
      <c r="AO213" s="841">
        <f>AO261 + AO358</f>
        <v>0</v>
      </c>
      <c r="AP213" s="841">
        <f>AP261 + AP358</f>
        <v>0</v>
      </c>
    </row>
    <row r="214" hidden="1">
      <c r="B214" s="842" t="s">
        <v>16</v>
      </c>
      <c r="C214" s="839">
        <f>C262 + C359</f>
        <v>0</v>
      </c>
      <c r="D214" s="839">
        <f>D262 + D359</f>
        <v>0</v>
      </c>
      <c r="E214" s="839">
        <f>E262 + E359</f>
        <v>0</v>
      </c>
      <c r="F214" s="839">
        <f>F262 + F359</f>
        <v>0</v>
      </c>
      <c r="G214" s="839">
        <f>G262 + G359</f>
        <v>0</v>
      </c>
      <c r="H214" s="839">
        <f>H262 + H359</f>
        <v>0</v>
      </c>
      <c r="I214" s="839">
        <f>I262 + I359</f>
        <v>0</v>
      </c>
      <c r="J214" s="839">
        <f>J262 + J359</f>
        <v>0</v>
      </c>
      <c r="K214" s="839">
        <f>K262 + K359</f>
        <v>0</v>
      </c>
      <c r="L214" s="839">
        <f>L262 + L359</f>
        <v>0</v>
      </c>
      <c r="M214" s="839">
        <f>M262 + M359</f>
        <v>0</v>
      </c>
      <c r="N214" s="839">
        <f>N262 + N359</f>
        <v>0</v>
      </c>
      <c r="O214" s="839">
        <f>O262 + O359</f>
        <v>0</v>
      </c>
      <c r="P214" s="839">
        <f>P262 + P359</f>
        <v>0</v>
      </c>
      <c r="Q214" s="839">
        <f>Q262 + Q359</f>
        <v>0</v>
      </c>
      <c r="R214" s="839">
        <f>R262 + R359</f>
        <v>0</v>
      </c>
      <c r="S214" s="839">
        <f>S262 + S359</f>
        <v>0</v>
      </c>
      <c r="T214" s="839">
        <f>T262 + T359</f>
        <v>0</v>
      </c>
      <c r="U214" s="839">
        <f>U262 + U359</f>
        <v>0</v>
      </c>
      <c r="V214" s="839">
        <f>V262 + V359</f>
        <v>0</v>
      </c>
      <c r="W214" s="839">
        <f>W262 + W359</f>
        <v>0</v>
      </c>
      <c r="X214" s="839">
        <f>X262 + X359</f>
        <v>0</v>
      </c>
      <c r="Y214" s="839">
        <f>Y262 + Y359</f>
        <v>0</v>
      </c>
      <c r="Z214" s="839">
        <f>Z262 + Z359</f>
        <v>0</v>
      </c>
      <c r="AA214" s="839">
        <f>AA262 + AA359</f>
        <v>0</v>
      </c>
      <c r="AB214" s="839">
        <f>AB262 + AB359</f>
        <v>0</v>
      </c>
      <c r="AC214" s="841">
        <f>AC262 + AC359</f>
        <v>0</v>
      </c>
      <c r="AD214" s="841">
        <f>AD262 + AD359</f>
        <v>0</v>
      </c>
      <c r="AE214" s="841">
        <f>AE262 + AE359</f>
        <v>0</v>
      </c>
      <c r="AF214" s="841">
        <f>AF262 + AF359</f>
        <v>0</v>
      </c>
      <c r="AG214" s="841">
        <f>AG262 + AG359</f>
        <v>0</v>
      </c>
      <c r="AH214" s="841">
        <f>AH262 + AH359</f>
        <v>0</v>
      </c>
      <c r="AI214" s="841">
        <f>AI262 + AI359</f>
        <v>0</v>
      </c>
      <c r="AJ214" s="841">
        <f>AJ262 + AJ359</f>
        <v>0</v>
      </c>
      <c r="AK214" s="841">
        <f>AK262 + AK359</f>
        <v>0</v>
      </c>
      <c r="AL214" s="841">
        <f>AL262 + AL359</f>
        <v>0</v>
      </c>
      <c r="AM214" s="841">
        <f>AM262 + AM359</f>
        <v>0</v>
      </c>
      <c r="AN214" s="841">
        <f>AN262 + AN359</f>
        <v>0</v>
      </c>
      <c r="AO214" s="841">
        <f>AO262 + AO359</f>
        <v>0</v>
      </c>
      <c r="AP214" s="841">
        <f>AP262 + AP359</f>
        <v>0</v>
      </c>
    </row>
    <row r="215" hidden="1">
      <c r="B215" s="842" t="s">
        <v>17</v>
      </c>
      <c r="C215" s="839">
        <f>C263 + C360</f>
        <v>0</v>
      </c>
      <c r="D215" s="839">
        <f>D263 + D360</f>
        <v>0</v>
      </c>
      <c r="E215" s="839">
        <f>E263 + E360</f>
        <v>0</v>
      </c>
      <c r="F215" s="839">
        <f>F263 + F360</f>
        <v>0</v>
      </c>
      <c r="G215" s="839">
        <f>G263 + G360</f>
        <v>0</v>
      </c>
      <c r="H215" s="839">
        <f>H263 + H360</f>
        <v>0</v>
      </c>
      <c r="I215" s="839">
        <f>I263 + I360</f>
        <v>0</v>
      </c>
      <c r="J215" s="839">
        <f>J263 + J360</f>
        <v>0</v>
      </c>
      <c r="K215" s="839">
        <f>K263 + K360</f>
        <v>0</v>
      </c>
      <c r="L215" s="839">
        <f>L263 + L360</f>
        <v>0</v>
      </c>
      <c r="M215" s="839">
        <f>M263 + M360</f>
        <v>0</v>
      </c>
      <c r="N215" s="839">
        <f>N263 + N360</f>
        <v>0</v>
      </c>
      <c r="O215" s="839">
        <f>O263 + O360</f>
        <v>0</v>
      </c>
      <c r="P215" s="839">
        <f>P263 + P360</f>
        <v>0</v>
      </c>
      <c r="Q215" s="839">
        <f>Q263 + Q360</f>
        <v>0</v>
      </c>
      <c r="R215" s="839">
        <f>R263 + R360</f>
        <v>0</v>
      </c>
      <c r="S215" s="839">
        <f>S263 + S360</f>
        <v>0</v>
      </c>
      <c r="T215" s="839">
        <f>T263 + T360</f>
        <v>0</v>
      </c>
      <c r="U215" s="839">
        <f>U263 + U360</f>
        <v>0</v>
      </c>
      <c r="V215" s="839">
        <f>V263 + V360</f>
        <v>0</v>
      </c>
      <c r="W215" s="839">
        <f>W263 + W360</f>
        <v>0</v>
      </c>
      <c r="X215" s="839">
        <f>X263 + X360</f>
        <v>0</v>
      </c>
      <c r="Y215" s="839">
        <f>Y263 + Y360</f>
        <v>0</v>
      </c>
      <c r="Z215" s="839">
        <f>Z263 + Z360</f>
        <v>0</v>
      </c>
      <c r="AA215" s="839">
        <f>AA263 + AA360</f>
        <v>0</v>
      </c>
      <c r="AB215" s="839">
        <f>AB263 + AB360</f>
        <v>0</v>
      </c>
      <c r="AC215" s="841">
        <f>AC263 + AC360</f>
        <v>0</v>
      </c>
      <c r="AD215" s="841">
        <f>AD263 + AD360</f>
        <v>0</v>
      </c>
      <c r="AE215" s="841">
        <f>AE263 + AE360</f>
        <v>0</v>
      </c>
      <c r="AF215" s="841">
        <f>AF263 + AF360</f>
        <v>0</v>
      </c>
      <c r="AG215" s="841">
        <f>AG263 + AG360</f>
        <v>0</v>
      </c>
      <c r="AH215" s="841">
        <f>AH263 + AH360</f>
        <v>0</v>
      </c>
      <c r="AI215" s="841">
        <f>AI263 + AI360</f>
        <v>0</v>
      </c>
      <c r="AJ215" s="841">
        <f>AJ263 + AJ360</f>
        <v>0</v>
      </c>
      <c r="AK215" s="841">
        <f>AK263 + AK360</f>
        <v>0</v>
      </c>
      <c r="AL215" s="841">
        <f>AL263 + AL360</f>
        <v>0</v>
      </c>
      <c r="AM215" s="841">
        <f>AM263 + AM360</f>
        <v>0</v>
      </c>
      <c r="AN215" s="841">
        <f>AN263 + AN360</f>
        <v>0</v>
      </c>
      <c r="AO215" s="841">
        <f>AO263 + AO360</f>
        <v>0</v>
      </c>
      <c r="AP215" s="841">
        <f>AP263 + AP360</f>
        <v>0</v>
      </c>
    </row>
    <row r="216" hidden="1">
      <c r="B216" s="842" t="s">
        <v>18</v>
      </c>
      <c r="C216" s="839">
        <f>C264 + C361</f>
        <v>0</v>
      </c>
      <c r="D216" s="839">
        <f>D264 + D361</f>
        <v>0</v>
      </c>
      <c r="E216" s="839">
        <f>E264 + E361</f>
        <v>0</v>
      </c>
      <c r="F216" s="839">
        <f>F264 + F361</f>
        <v>0</v>
      </c>
      <c r="G216" s="839">
        <f>G264 + G361</f>
        <v>0</v>
      </c>
      <c r="H216" s="839">
        <f>H264 + H361</f>
        <v>0</v>
      </c>
      <c r="I216" s="839">
        <f>I264 + I361</f>
        <v>0</v>
      </c>
      <c r="J216" s="839">
        <f>J264 + J361</f>
        <v>0</v>
      </c>
      <c r="K216" s="839">
        <f>K264 + K361</f>
        <v>0</v>
      </c>
      <c r="L216" s="839">
        <f>L264 + L361</f>
        <v>0</v>
      </c>
      <c r="M216" s="839">
        <f>M264 + M361</f>
        <v>0</v>
      </c>
      <c r="N216" s="839">
        <f>N264 + N361</f>
        <v>0</v>
      </c>
      <c r="O216" s="839">
        <f>O264 + O361</f>
        <v>0</v>
      </c>
      <c r="P216" s="839">
        <f>P264 + P361</f>
        <v>0</v>
      </c>
      <c r="Q216" s="839">
        <f>Q264 + Q361</f>
        <v>0</v>
      </c>
      <c r="R216" s="839">
        <f>R264 + R361</f>
        <v>0</v>
      </c>
      <c r="S216" s="839">
        <f>S264 + S361</f>
        <v>0</v>
      </c>
      <c r="T216" s="839">
        <f>T264 + T361</f>
        <v>0</v>
      </c>
      <c r="U216" s="839">
        <f>U264 + U361</f>
        <v>0</v>
      </c>
      <c r="V216" s="839">
        <f>V264 + V361</f>
        <v>0</v>
      </c>
      <c r="W216" s="839">
        <f>W264 + W361</f>
        <v>0</v>
      </c>
      <c r="X216" s="839">
        <f>X264 + X361</f>
        <v>0</v>
      </c>
      <c r="Y216" s="839">
        <f>Y264 + Y361</f>
        <v>0</v>
      </c>
      <c r="Z216" s="839">
        <f>Z264 + Z361</f>
        <v>0</v>
      </c>
      <c r="AA216" s="839">
        <f>AA264 + AA361</f>
        <v>0</v>
      </c>
      <c r="AB216" s="839">
        <f>AB264 + AB361</f>
        <v>0</v>
      </c>
      <c r="AC216" s="841">
        <f>AC264 + AC361</f>
        <v>0</v>
      </c>
      <c r="AD216" s="841">
        <f>AD264 + AD361</f>
        <v>0</v>
      </c>
      <c r="AE216" s="841">
        <f>AE264 + AE361</f>
        <v>0</v>
      </c>
      <c r="AF216" s="841">
        <f>AF264 + AF361</f>
        <v>0</v>
      </c>
      <c r="AG216" s="841">
        <f>AG264 + AG361</f>
        <v>0</v>
      </c>
      <c r="AH216" s="841">
        <f>AH264 + AH361</f>
        <v>0</v>
      </c>
      <c r="AI216" s="841">
        <f>AI264 + AI361</f>
        <v>0</v>
      </c>
      <c r="AJ216" s="841">
        <f>AJ264 + AJ361</f>
        <v>0</v>
      </c>
      <c r="AK216" s="841">
        <f>AK264 + AK361</f>
        <v>0</v>
      </c>
      <c r="AL216" s="841">
        <f>AL264 + AL361</f>
        <v>0</v>
      </c>
      <c r="AM216" s="841">
        <f>AM264 + AM361</f>
        <v>0</v>
      </c>
      <c r="AN216" s="841">
        <f>AN264 + AN361</f>
        <v>0</v>
      </c>
      <c r="AO216" s="841">
        <f>AO264 + AO361</f>
        <v>0</v>
      </c>
      <c r="AP216" s="841">
        <f>AP264 + AP361</f>
        <v>0</v>
      </c>
    </row>
    <row r="217" hidden="1">
      <c r="B217" s="842" t="s">
        <v>19</v>
      </c>
      <c r="C217" s="839">
        <f>C265 + C362</f>
        <v>0</v>
      </c>
      <c r="D217" s="839">
        <f>D265 + D362</f>
        <v>0</v>
      </c>
      <c r="E217" s="839">
        <f>E265 + E362</f>
        <v>0</v>
      </c>
      <c r="F217" s="839">
        <f>F265 + F362</f>
        <v>0</v>
      </c>
      <c r="G217" s="839">
        <f>G265 + G362</f>
        <v>0</v>
      </c>
      <c r="H217" s="839">
        <f>H265 + H362</f>
        <v>0</v>
      </c>
      <c r="I217" s="839">
        <f>I265 + I362</f>
        <v>0</v>
      </c>
      <c r="J217" s="839">
        <f>J265 + J362</f>
        <v>0</v>
      </c>
      <c r="K217" s="839">
        <f>K265 + K362</f>
        <v>0</v>
      </c>
      <c r="L217" s="839">
        <f>L265 + L362</f>
        <v>0</v>
      </c>
      <c r="M217" s="839">
        <f>M265 + M362</f>
        <v>0</v>
      </c>
      <c r="N217" s="839">
        <f>N265 + N362</f>
        <v>0</v>
      </c>
      <c r="O217" s="839">
        <f>O265 + O362</f>
        <v>0</v>
      </c>
      <c r="P217" s="839">
        <f>P265 + P362</f>
        <v>0</v>
      </c>
      <c r="Q217" s="839">
        <f>Q265 + Q362</f>
        <v>0</v>
      </c>
      <c r="R217" s="839">
        <f>R265 + R362</f>
        <v>0</v>
      </c>
      <c r="S217" s="839">
        <f>S265 + S362</f>
        <v>0</v>
      </c>
      <c r="T217" s="839">
        <f>T265 + T362</f>
        <v>0</v>
      </c>
      <c r="U217" s="839">
        <f>U265 + U362</f>
        <v>0</v>
      </c>
      <c r="V217" s="839">
        <f>V265 + V362</f>
        <v>0</v>
      </c>
      <c r="W217" s="839">
        <f>W265 + W362</f>
        <v>0</v>
      </c>
      <c r="X217" s="839">
        <f>X265 + X362</f>
        <v>0</v>
      </c>
      <c r="Y217" s="839">
        <f>Y265 + Y362</f>
        <v>0</v>
      </c>
      <c r="Z217" s="839">
        <f>Z265 + Z362</f>
        <v>0</v>
      </c>
      <c r="AA217" s="839">
        <f>AA265 + AA362</f>
        <v>0</v>
      </c>
      <c r="AB217" s="839">
        <f>AB265 + AB362</f>
        <v>0</v>
      </c>
      <c r="AC217" s="841">
        <f>AC265 + AC362</f>
        <v>0</v>
      </c>
      <c r="AD217" s="841">
        <f>AD265 + AD362</f>
        <v>0</v>
      </c>
      <c r="AE217" s="841">
        <f>AE265 + AE362</f>
        <v>0</v>
      </c>
      <c r="AF217" s="841">
        <f>AF265 + AF362</f>
        <v>0</v>
      </c>
      <c r="AG217" s="841">
        <f>AG265 + AG362</f>
        <v>0</v>
      </c>
      <c r="AH217" s="841">
        <f>AH265 + AH362</f>
        <v>0</v>
      </c>
      <c r="AI217" s="841">
        <f>AI265 + AI362</f>
        <v>0</v>
      </c>
      <c r="AJ217" s="841">
        <f>AJ265 + AJ362</f>
        <v>0</v>
      </c>
      <c r="AK217" s="841">
        <f>AK265 + AK362</f>
        <v>0</v>
      </c>
      <c r="AL217" s="841">
        <f>AL265 + AL362</f>
        <v>0</v>
      </c>
      <c r="AM217" s="841">
        <f>AM265 + AM362</f>
        <v>0</v>
      </c>
      <c r="AN217" s="841">
        <f>AN265 + AN362</f>
        <v>0</v>
      </c>
      <c r="AO217" s="841">
        <f>AO265 + AO362</f>
        <v>0</v>
      </c>
      <c r="AP217" s="841">
        <f>AP265 + AP362</f>
        <v>0</v>
      </c>
    </row>
    <row r="218" hidden="1">
      <c r="B218" s="842" t="s">
        <v>20</v>
      </c>
      <c r="C218" s="839">
        <f>C266 + C363</f>
        <v>0</v>
      </c>
      <c r="D218" s="839">
        <f>D266 + D363</f>
        <v>0</v>
      </c>
      <c r="E218" s="839">
        <f>E266 + E363</f>
        <v>0</v>
      </c>
      <c r="F218" s="839">
        <f>F266 + F363</f>
        <v>0</v>
      </c>
      <c r="G218" s="839">
        <f>G266 + G363</f>
        <v>0</v>
      </c>
      <c r="H218" s="839">
        <f>H266 + H363</f>
        <v>0</v>
      </c>
      <c r="I218" s="839">
        <f>I266 + I363</f>
        <v>0</v>
      </c>
      <c r="J218" s="839">
        <f>J266 + J363</f>
        <v>0</v>
      </c>
      <c r="K218" s="839">
        <f>K266 + K363</f>
        <v>0</v>
      </c>
      <c r="L218" s="839">
        <f>L266 + L363</f>
        <v>0</v>
      </c>
      <c r="M218" s="839">
        <f>M266 + M363</f>
        <v>0</v>
      </c>
      <c r="N218" s="839">
        <f>N266 + N363</f>
        <v>0</v>
      </c>
      <c r="O218" s="839">
        <f>O266 + O363</f>
        <v>0</v>
      </c>
      <c r="P218" s="839">
        <f>P266 + P363</f>
        <v>0</v>
      </c>
      <c r="Q218" s="839">
        <f>Q266 + Q363</f>
        <v>0</v>
      </c>
      <c r="R218" s="839">
        <f>R266 + R363</f>
        <v>0</v>
      </c>
      <c r="S218" s="839">
        <f>S266 + S363</f>
        <v>0</v>
      </c>
      <c r="T218" s="839">
        <f>T266 + T363</f>
        <v>0</v>
      </c>
      <c r="U218" s="839">
        <f>U266 + U363</f>
        <v>0</v>
      </c>
      <c r="V218" s="839">
        <f>V266 + V363</f>
        <v>0</v>
      </c>
      <c r="W218" s="839">
        <f>W266 + W363</f>
        <v>0</v>
      </c>
      <c r="X218" s="839">
        <f>X266 + X363</f>
        <v>0</v>
      </c>
      <c r="Y218" s="839">
        <f>Y266 + Y363</f>
        <v>0</v>
      </c>
      <c r="Z218" s="839">
        <f>Z266 + Z363</f>
        <v>0</v>
      </c>
      <c r="AA218" s="839">
        <f>AA266 + AA363</f>
        <v>0</v>
      </c>
      <c r="AB218" s="839">
        <f>AB266 + AB363</f>
        <v>0</v>
      </c>
      <c r="AC218" s="841">
        <f>AC266 + AC363</f>
        <v>0</v>
      </c>
      <c r="AD218" s="841">
        <f>AD266 + AD363</f>
        <v>0</v>
      </c>
      <c r="AE218" s="841">
        <f>AE266 + AE363</f>
        <v>0</v>
      </c>
      <c r="AF218" s="841">
        <f>AF266 + AF363</f>
        <v>0</v>
      </c>
      <c r="AG218" s="841">
        <f>AG266 + AG363</f>
        <v>0</v>
      </c>
      <c r="AH218" s="841">
        <f>AH266 + AH363</f>
        <v>0</v>
      </c>
      <c r="AI218" s="841">
        <f>AI266 + AI363</f>
        <v>0</v>
      </c>
      <c r="AJ218" s="841">
        <f>AJ266 + AJ363</f>
        <v>0</v>
      </c>
      <c r="AK218" s="841">
        <f>AK266 + AK363</f>
        <v>0</v>
      </c>
      <c r="AL218" s="841">
        <f>AL266 + AL363</f>
        <v>0</v>
      </c>
      <c r="AM218" s="841">
        <f>AM266 + AM363</f>
        <v>0</v>
      </c>
      <c r="AN218" s="841">
        <f>AN266 + AN363</f>
        <v>0</v>
      </c>
      <c r="AO218" s="841">
        <f>AO266 + AO363</f>
        <v>0</v>
      </c>
      <c r="AP218" s="841">
        <f>AP266 + AP363</f>
        <v>0</v>
      </c>
    </row>
    <row r="219" hidden="1">
      <c r="B219" s="842" t="s">
        <v>21</v>
      </c>
      <c r="C219" s="839">
        <f>C267 + C364</f>
        <v>0</v>
      </c>
      <c r="D219" s="839">
        <f>D267 + D364</f>
        <v>0</v>
      </c>
      <c r="E219" s="839">
        <f>E267 + E364</f>
        <v>0</v>
      </c>
      <c r="F219" s="839">
        <f>F267 + F364</f>
        <v>0</v>
      </c>
      <c r="G219" s="839">
        <f>G267 + G364</f>
        <v>0</v>
      </c>
      <c r="H219" s="839">
        <f>H267 + H364</f>
        <v>0</v>
      </c>
      <c r="I219" s="839">
        <f>I267 + I364</f>
        <v>0</v>
      </c>
      <c r="J219" s="839">
        <f>J267 + J364</f>
        <v>0</v>
      </c>
      <c r="K219" s="839">
        <f>K267 + K364</f>
        <v>0</v>
      </c>
      <c r="L219" s="839">
        <f>L267 + L364</f>
        <v>0</v>
      </c>
      <c r="M219" s="839">
        <f>M267 + M364</f>
        <v>0</v>
      </c>
      <c r="N219" s="839">
        <f>N267 + N364</f>
        <v>0</v>
      </c>
      <c r="O219" s="839">
        <f>O267 + O364</f>
        <v>0</v>
      </c>
      <c r="P219" s="839">
        <f>P267 + P364</f>
        <v>0</v>
      </c>
      <c r="Q219" s="839">
        <f>Q267 + Q364</f>
        <v>0</v>
      </c>
      <c r="R219" s="839">
        <f>R267 + R364</f>
        <v>0</v>
      </c>
      <c r="S219" s="839">
        <f>S267 + S364</f>
        <v>0</v>
      </c>
      <c r="T219" s="839">
        <f>T267 + T364</f>
        <v>0</v>
      </c>
      <c r="U219" s="839">
        <f>U267 + U364</f>
        <v>0</v>
      </c>
      <c r="V219" s="839">
        <f>V267 + V364</f>
        <v>0</v>
      </c>
      <c r="W219" s="839">
        <f>W267 + W364</f>
        <v>0</v>
      </c>
      <c r="X219" s="839">
        <f>X267 + X364</f>
        <v>0</v>
      </c>
      <c r="Y219" s="839">
        <f>Y267 + Y364</f>
        <v>0</v>
      </c>
      <c r="Z219" s="839">
        <f>Z267 + Z364</f>
        <v>0</v>
      </c>
      <c r="AA219" s="839">
        <f>AA267 + AA364</f>
        <v>0</v>
      </c>
      <c r="AB219" s="839">
        <f>AB267 + AB364</f>
        <v>0</v>
      </c>
      <c r="AC219" s="841">
        <f>AC267 + AC364</f>
        <v>0</v>
      </c>
      <c r="AD219" s="841">
        <f>AD267 + AD364</f>
        <v>0</v>
      </c>
      <c r="AE219" s="841">
        <f>AE267 + AE364</f>
        <v>0</v>
      </c>
      <c r="AF219" s="841">
        <f>AF267 + AF364</f>
        <v>0</v>
      </c>
      <c r="AG219" s="841">
        <f>AG267 + AG364</f>
        <v>0</v>
      </c>
      <c r="AH219" s="841">
        <f>AH267 + AH364</f>
        <v>0</v>
      </c>
      <c r="AI219" s="841">
        <f>AI267 + AI364</f>
        <v>0</v>
      </c>
      <c r="AJ219" s="841">
        <f>AJ267 + AJ364</f>
        <v>0</v>
      </c>
      <c r="AK219" s="841">
        <f>AK267 + AK364</f>
        <v>0</v>
      </c>
      <c r="AL219" s="841">
        <f>AL267 + AL364</f>
        <v>0</v>
      </c>
      <c r="AM219" s="841">
        <f>AM267 + AM364</f>
        <v>0</v>
      </c>
      <c r="AN219" s="841">
        <f>AN267 + AN364</f>
        <v>0</v>
      </c>
      <c r="AO219" s="841">
        <f>AO267 + AO364</f>
        <v>0</v>
      </c>
      <c r="AP219" s="841">
        <f>AP267 + AP364</f>
        <v>0</v>
      </c>
    </row>
    <row r="220" hidden="1">
      <c r="B220" s="842" t="s">
        <v>22</v>
      </c>
      <c r="C220" s="839">
        <f>C268 + C365</f>
        <v>0</v>
      </c>
      <c r="D220" s="839">
        <f>D268 + D365</f>
        <v>0</v>
      </c>
      <c r="E220" s="839">
        <f>E268 + E365</f>
        <v>0</v>
      </c>
      <c r="F220" s="839">
        <f>F268 + F365</f>
        <v>0</v>
      </c>
      <c r="G220" s="839">
        <f>G268 + G365</f>
        <v>0</v>
      </c>
      <c r="H220" s="839">
        <f>H268 + H365</f>
        <v>0</v>
      </c>
      <c r="I220" s="839">
        <f>I268 + I365</f>
        <v>0</v>
      </c>
      <c r="J220" s="839">
        <f>J268 + J365</f>
        <v>0</v>
      </c>
      <c r="K220" s="839">
        <f>K268 + K365</f>
        <v>0</v>
      </c>
      <c r="L220" s="839">
        <f>L268 + L365</f>
        <v>0</v>
      </c>
      <c r="M220" s="839">
        <f>M268 + M365</f>
        <v>0</v>
      </c>
      <c r="N220" s="839">
        <f>N268 + N365</f>
        <v>0</v>
      </c>
      <c r="O220" s="839">
        <f>O268 + O365</f>
        <v>0</v>
      </c>
      <c r="P220" s="839">
        <f>P268 + P365</f>
        <v>0</v>
      </c>
      <c r="Q220" s="839">
        <f>Q268 + Q365</f>
        <v>0</v>
      </c>
      <c r="R220" s="839">
        <f>R268 + R365</f>
        <v>0</v>
      </c>
      <c r="S220" s="839">
        <f>S268 + S365</f>
        <v>0</v>
      </c>
      <c r="T220" s="839">
        <f>T268 + T365</f>
        <v>0</v>
      </c>
      <c r="U220" s="839">
        <f>U268 + U365</f>
        <v>0</v>
      </c>
      <c r="V220" s="839">
        <f>V268 + V365</f>
        <v>0</v>
      </c>
      <c r="W220" s="839">
        <f>W268 + W365</f>
        <v>0</v>
      </c>
      <c r="X220" s="839">
        <f>X268 + X365</f>
        <v>0</v>
      </c>
      <c r="Y220" s="839">
        <f>Y268 + Y365</f>
        <v>0</v>
      </c>
      <c r="Z220" s="839">
        <f>Z268 + Z365</f>
        <v>0</v>
      </c>
      <c r="AA220" s="839">
        <f>AA268 + AA365</f>
        <v>0</v>
      </c>
      <c r="AB220" s="839">
        <f>AB268 + AB365</f>
        <v>0</v>
      </c>
      <c r="AC220" s="841">
        <f>AC268 + AC365</f>
        <v>0</v>
      </c>
      <c r="AD220" s="841">
        <f>AD268 + AD365</f>
        <v>0</v>
      </c>
      <c r="AE220" s="841">
        <f>AE268 + AE365</f>
        <v>0</v>
      </c>
      <c r="AF220" s="841">
        <f>AF268 + AF365</f>
        <v>0</v>
      </c>
      <c r="AG220" s="841">
        <f>AG268 + AG365</f>
        <v>0</v>
      </c>
      <c r="AH220" s="841">
        <f>AH268 + AH365</f>
        <v>0</v>
      </c>
      <c r="AI220" s="841">
        <f>AI268 + AI365</f>
        <v>0</v>
      </c>
      <c r="AJ220" s="841">
        <f>AJ268 + AJ365</f>
        <v>0</v>
      </c>
      <c r="AK220" s="841">
        <f>AK268 + AK365</f>
        <v>0</v>
      </c>
      <c r="AL220" s="841">
        <f>AL268 + AL365</f>
        <v>0</v>
      </c>
      <c r="AM220" s="841">
        <f>AM268 + AM365</f>
        <v>0</v>
      </c>
      <c r="AN220" s="841">
        <f>AN268 + AN365</f>
        <v>0</v>
      </c>
      <c r="AO220" s="841">
        <f>AO268 + AO365</f>
        <v>0</v>
      </c>
      <c r="AP220" s="841">
        <f>AP268 + AP365</f>
        <v>0</v>
      </c>
    </row>
    <row r="221" hidden="1">
      <c r="B221" s="842" t="s">
        <v>23</v>
      </c>
      <c r="C221" s="839">
        <f>C269 + C366</f>
        <v>0</v>
      </c>
      <c r="D221" s="839">
        <f>D269 + D366</f>
        <v>0</v>
      </c>
      <c r="E221" s="839">
        <f>E269 + E366</f>
        <v>0</v>
      </c>
      <c r="F221" s="839">
        <f>F269 + F366</f>
        <v>0</v>
      </c>
      <c r="G221" s="839">
        <f>G269 + G366</f>
        <v>0</v>
      </c>
      <c r="H221" s="839">
        <f>H269 + H366</f>
        <v>0</v>
      </c>
      <c r="I221" s="839">
        <f>I269 + I366</f>
        <v>0</v>
      </c>
      <c r="J221" s="839">
        <f>J269 + J366</f>
        <v>0</v>
      </c>
      <c r="K221" s="839">
        <f>K269 + K366</f>
        <v>0</v>
      </c>
      <c r="L221" s="839">
        <f>L269 + L366</f>
        <v>0</v>
      </c>
      <c r="M221" s="839">
        <f>M269 + M366</f>
        <v>0</v>
      </c>
      <c r="N221" s="839">
        <f>N269 + N366</f>
        <v>0</v>
      </c>
      <c r="O221" s="839">
        <f>O269 + O366</f>
        <v>0</v>
      </c>
      <c r="P221" s="839">
        <f>P269 + P366</f>
        <v>0</v>
      </c>
      <c r="Q221" s="839">
        <f>Q269 + Q366</f>
        <v>0</v>
      </c>
      <c r="R221" s="839">
        <f>R269 + R366</f>
        <v>0</v>
      </c>
      <c r="S221" s="839">
        <f>S269 + S366</f>
        <v>0</v>
      </c>
      <c r="T221" s="839">
        <f>T269 + T366</f>
        <v>0</v>
      </c>
      <c r="U221" s="839">
        <f>U269 + U366</f>
        <v>0</v>
      </c>
      <c r="V221" s="839">
        <f>V269 + V366</f>
        <v>0</v>
      </c>
      <c r="W221" s="839">
        <f>W269 + W366</f>
        <v>0</v>
      </c>
      <c r="X221" s="839">
        <f>X269 + X366</f>
        <v>0</v>
      </c>
      <c r="Y221" s="839">
        <f>Y269 + Y366</f>
        <v>0</v>
      </c>
      <c r="Z221" s="839">
        <f>Z269 + Z366</f>
        <v>0</v>
      </c>
      <c r="AA221" s="839">
        <f>AA269 + AA366</f>
        <v>0</v>
      </c>
      <c r="AB221" s="839">
        <f>AB269 + AB366</f>
        <v>0</v>
      </c>
      <c r="AC221" s="841">
        <f>AC269 + AC366</f>
        <v>0</v>
      </c>
      <c r="AD221" s="841">
        <f>AD269 + AD366</f>
        <v>0</v>
      </c>
      <c r="AE221" s="841">
        <f>AE269 + AE366</f>
        <v>0</v>
      </c>
      <c r="AF221" s="841">
        <f>AF269 + AF366</f>
        <v>0</v>
      </c>
      <c r="AG221" s="841">
        <f>AG269 + AG366</f>
        <v>0</v>
      </c>
      <c r="AH221" s="841">
        <f>AH269 + AH366</f>
        <v>0</v>
      </c>
      <c r="AI221" s="841">
        <f>AI269 + AI366</f>
        <v>0</v>
      </c>
      <c r="AJ221" s="841">
        <f>AJ269 + AJ366</f>
        <v>0</v>
      </c>
      <c r="AK221" s="841">
        <f>AK269 + AK366</f>
        <v>0</v>
      </c>
      <c r="AL221" s="841">
        <f>AL269 + AL366</f>
        <v>0</v>
      </c>
      <c r="AM221" s="841">
        <f>AM269 + AM366</f>
        <v>0</v>
      </c>
      <c r="AN221" s="841">
        <f>AN269 + AN366</f>
        <v>0</v>
      </c>
      <c r="AO221" s="841">
        <f>AO269 + AO366</f>
        <v>0</v>
      </c>
      <c r="AP221" s="841">
        <f>AP269 + AP366</f>
        <v>0</v>
      </c>
    </row>
    <row r="222" hidden="1">
      <c r="B222" s="843" t="s">
        <v>24</v>
      </c>
      <c r="C222" s="839">
        <f>C270 + C367</f>
        <v>0</v>
      </c>
      <c r="D222" s="839">
        <f>D270 + D367</f>
        <v>0</v>
      </c>
      <c r="E222" s="839">
        <f>E270 + E367</f>
        <v>0</v>
      </c>
      <c r="F222" s="839">
        <f>F270 + F367</f>
        <v>0</v>
      </c>
      <c r="G222" s="839">
        <f>G270 + G367</f>
        <v>0</v>
      </c>
      <c r="H222" s="839">
        <f>H270 + H367</f>
        <v>0</v>
      </c>
      <c r="I222" s="839">
        <f>I270 + I367</f>
        <v>0</v>
      </c>
      <c r="J222" s="839">
        <f>J270 + J367</f>
        <v>0</v>
      </c>
      <c r="K222" s="839">
        <f>K270 + K367</f>
        <v>0</v>
      </c>
      <c r="L222" s="839">
        <f>L270 + L367</f>
        <v>0</v>
      </c>
      <c r="M222" s="839">
        <f>M270 + M367</f>
        <v>0</v>
      </c>
      <c r="N222" s="839">
        <f>N270 + N367</f>
        <v>0</v>
      </c>
      <c r="O222" s="839">
        <f>O270 + O367</f>
        <v>0</v>
      </c>
      <c r="P222" s="839">
        <f>P270 + P367</f>
        <v>0</v>
      </c>
      <c r="Q222" s="839">
        <f>Q270 + Q367</f>
        <v>0</v>
      </c>
      <c r="R222" s="839">
        <f>R270 + R367</f>
        <v>0</v>
      </c>
      <c r="S222" s="839">
        <f>S270 + S367</f>
        <v>0</v>
      </c>
      <c r="T222" s="839">
        <f>T270 + T367</f>
        <v>0</v>
      </c>
      <c r="U222" s="839">
        <f>U270 + U367</f>
        <v>0</v>
      </c>
      <c r="V222" s="839">
        <f>V270 + V367</f>
        <v>0</v>
      </c>
      <c r="W222" s="839">
        <f>W270 + W367</f>
        <v>0</v>
      </c>
      <c r="X222" s="839">
        <f>X270 + X367</f>
        <v>0</v>
      </c>
      <c r="Y222" s="839">
        <f>Y270 + Y367</f>
        <v>0</v>
      </c>
      <c r="Z222" s="839">
        <f>Z270 + Z367</f>
        <v>0</v>
      </c>
      <c r="AA222" s="839">
        <f>AA270 + AA367</f>
        <v>0</v>
      </c>
      <c r="AB222" s="839">
        <f>AB270 + AB367</f>
        <v>0</v>
      </c>
      <c r="AC222" s="841">
        <f>AC270 + AC367</f>
        <v>0</v>
      </c>
      <c r="AD222" s="841">
        <f>AD270 + AD367</f>
        <v>0</v>
      </c>
      <c r="AE222" s="841">
        <f>AE270 + AE367</f>
        <v>0</v>
      </c>
      <c r="AF222" s="841">
        <f>AF270 + AF367</f>
        <v>0</v>
      </c>
      <c r="AG222" s="841">
        <f>AG270 + AG367</f>
        <v>0</v>
      </c>
      <c r="AH222" s="841">
        <f>AH270 + AH367</f>
        <v>0</v>
      </c>
      <c r="AI222" s="841">
        <f>AI270 + AI367</f>
        <v>0</v>
      </c>
      <c r="AJ222" s="841">
        <f>AJ270 + AJ367</f>
        <v>0</v>
      </c>
      <c r="AK222" s="841">
        <f>AK270 + AK367</f>
        <v>0</v>
      </c>
      <c r="AL222" s="841">
        <f>AL270 + AL367</f>
        <v>0</v>
      </c>
      <c r="AM222" s="841">
        <f>AM270 + AM367</f>
        <v>0</v>
      </c>
      <c r="AN222" s="841">
        <f>AN270 + AN367</f>
        <v>0</v>
      </c>
      <c r="AO222" s="841">
        <f>AO270 + AO367</f>
        <v>0</v>
      </c>
      <c r="AP222" s="841">
        <f>AP270 + AP367</f>
        <v>0</v>
      </c>
    </row>
    <row r="223" hidden="1">
      <c r="B223" s="842" t="s">
        <v>25</v>
      </c>
      <c r="C223" s="839">
        <f>C271 + C368</f>
        <v>0</v>
      </c>
      <c r="D223" s="839">
        <f>D271 + D368</f>
        <v>0</v>
      </c>
      <c r="E223" s="839">
        <f>E271 + E368</f>
        <v>0</v>
      </c>
      <c r="F223" s="839">
        <f>F271 + F368</f>
        <v>0</v>
      </c>
      <c r="G223" s="839">
        <f>G271 + G368</f>
        <v>0</v>
      </c>
      <c r="H223" s="839">
        <f>H271 + H368</f>
        <v>0</v>
      </c>
      <c r="I223" s="839">
        <f>I271 + I368</f>
        <v>0</v>
      </c>
      <c r="J223" s="839">
        <f>J271 + J368</f>
        <v>0</v>
      </c>
      <c r="K223" s="839">
        <f>K271 + K368</f>
        <v>0</v>
      </c>
      <c r="L223" s="839">
        <f>L271 + L368</f>
        <v>0</v>
      </c>
      <c r="M223" s="839">
        <f>M271 + M368</f>
        <v>0</v>
      </c>
      <c r="N223" s="839">
        <f>N271 + N368</f>
        <v>0</v>
      </c>
      <c r="O223" s="839">
        <f>O271 + O368</f>
        <v>0</v>
      </c>
      <c r="P223" s="839">
        <f>P271 + P368</f>
        <v>0</v>
      </c>
      <c r="Q223" s="839">
        <f>Q271 + Q368</f>
        <v>0</v>
      </c>
      <c r="R223" s="839">
        <f>R271 + R368</f>
        <v>0</v>
      </c>
      <c r="S223" s="839">
        <f>S271 + S368</f>
        <v>0</v>
      </c>
      <c r="T223" s="839">
        <f>T271 + T368</f>
        <v>0</v>
      </c>
      <c r="U223" s="839">
        <f>U271 + U368</f>
        <v>0</v>
      </c>
      <c r="V223" s="839">
        <f>V271 + V368</f>
        <v>0</v>
      </c>
      <c r="W223" s="839">
        <f>W271 + W368</f>
        <v>0</v>
      </c>
      <c r="X223" s="839">
        <f>X271 + X368</f>
        <v>0</v>
      </c>
      <c r="Y223" s="839">
        <f>Y271 + Y368</f>
        <v>0</v>
      </c>
      <c r="Z223" s="839">
        <f>Z271 + Z368</f>
        <v>0</v>
      </c>
      <c r="AA223" s="839">
        <f>AA271 + AA368</f>
        <v>0</v>
      </c>
      <c r="AB223" s="839">
        <f>AB271 + AB368</f>
        <v>0</v>
      </c>
      <c r="AC223" s="841">
        <f>AC271 + AC368</f>
        <v>0</v>
      </c>
      <c r="AD223" s="841">
        <f>AD271 + AD368</f>
        <v>0</v>
      </c>
      <c r="AE223" s="841">
        <f>AE271 + AE368</f>
        <v>0</v>
      </c>
      <c r="AF223" s="841">
        <f>AF271 + AF368</f>
        <v>0</v>
      </c>
      <c r="AG223" s="841">
        <f>AG271 + AG368</f>
        <v>0</v>
      </c>
      <c r="AH223" s="841">
        <f>AH271 + AH368</f>
        <v>0</v>
      </c>
      <c r="AI223" s="841">
        <f>AI271 + AI368</f>
        <v>0</v>
      </c>
      <c r="AJ223" s="841">
        <f>AJ271 + AJ368</f>
        <v>0</v>
      </c>
      <c r="AK223" s="841">
        <f>AK271 + AK368</f>
        <v>0</v>
      </c>
      <c r="AL223" s="841">
        <f>AL271 + AL368</f>
        <v>0</v>
      </c>
      <c r="AM223" s="841">
        <f>AM271 + AM368</f>
        <v>0</v>
      </c>
      <c r="AN223" s="841">
        <f>AN271 + AN368</f>
        <v>0</v>
      </c>
      <c r="AO223" s="841">
        <f>AO271 + AO368</f>
        <v>0</v>
      </c>
      <c r="AP223" s="841">
        <f>AP271 + AP368</f>
        <v>0</v>
      </c>
    </row>
    <row r="224" hidden="1" ht="13.5">
      <c r="B224" s="844" t="s">
        <v>26</v>
      </c>
      <c r="C224" s="839">
        <f>C272 + C369</f>
        <v>0</v>
      </c>
      <c r="D224" s="839">
        <f>D272 + D369</f>
        <v>0</v>
      </c>
      <c r="E224" s="839">
        <f>E272 + E369</f>
        <v>0</v>
      </c>
      <c r="F224" s="839">
        <f>F272 + F369</f>
        <v>0</v>
      </c>
      <c r="G224" s="839">
        <f>G272 + G369</f>
        <v>0</v>
      </c>
      <c r="H224" s="839">
        <f>H272 + H369</f>
        <v>0</v>
      </c>
      <c r="I224" s="839">
        <f>I272 + I369</f>
        <v>0</v>
      </c>
      <c r="J224" s="839">
        <f>J272 + J369</f>
        <v>0</v>
      </c>
      <c r="K224" s="839">
        <f>K272 + K369</f>
        <v>0</v>
      </c>
      <c r="L224" s="839">
        <f>L272 + L369</f>
        <v>0</v>
      </c>
      <c r="M224" s="839">
        <f>M272 + M369</f>
        <v>0</v>
      </c>
      <c r="N224" s="839">
        <f>N272 + N369</f>
        <v>0</v>
      </c>
      <c r="O224" s="839">
        <f>O272 + O369</f>
        <v>0</v>
      </c>
      <c r="P224" s="839">
        <f>P272 + P369</f>
        <v>0</v>
      </c>
      <c r="Q224" s="839">
        <f>Q272 + Q369</f>
        <v>0</v>
      </c>
      <c r="R224" s="839">
        <f>R272 + R369</f>
        <v>0</v>
      </c>
      <c r="S224" s="839">
        <f>S272 + S369</f>
        <v>0</v>
      </c>
      <c r="T224" s="839">
        <f>T272 + T369</f>
        <v>0</v>
      </c>
      <c r="U224" s="839">
        <f>U272 + U369</f>
        <v>0</v>
      </c>
      <c r="V224" s="839">
        <f>V272 + V369</f>
        <v>0</v>
      </c>
      <c r="W224" s="839">
        <f>W272 + W369</f>
        <v>0</v>
      </c>
      <c r="X224" s="839">
        <f>X272 + X369</f>
        <v>0</v>
      </c>
      <c r="Y224" s="839">
        <f>Y272 + Y369</f>
        <v>0</v>
      </c>
      <c r="Z224" s="839">
        <f>Z272 + Z369</f>
        <v>0</v>
      </c>
      <c r="AA224" s="839">
        <f>AA272 + AA369</f>
        <v>0</v>
      </c>
      <c r="AB224" s="845">
        <f>AB272 + AB369</f>
        <v>0</v>
      </c>
      <c r="AC224" s="841">
        <f>AC272 + AC369</f>
        <v>0</v>
      </c>
      <c r="AD224" s="841">
        <f>AD272 + AD369</f>
        <v>0</v>
      </c>
      <c r="AE224" s="841">
        <f>AE272 + AE369</f>
        <v>0</v>
      </c>
      <c r="AF224" s="841">
        <f>AF272 + AF369</f>
        <v>0</v>
      </c>
      <c r="AG224" s="841">
        <f>AG272 + AG369</f>
        <v>0</v>
      </c>
      <c r="AH224" s="841">
        <f>AH272 + AH369</f>
        <v>0</v>
      </c>
      <c r="AI224" s="841">
        <f>AI272 + AI369</f>
        <v>0</v>
      </c>
      <c r="AJ224" s="841">
        <f>AJ272 + AJ369</f>
        <v>0</v>
      </c>
      <c r="AK224" s="841">
        <f>AK272 + AK369</f>
        <v>0</v>
      </c>
      <c r="AL224" s="841">
        <f>AL272 + AL369</f>
        <v>0</v>
      </c>
      <c r="AM224" s="841">
        <f>AM272 + AM369</f>
        <v>0</v>
      </c>
      <c r="AN224" s="841">
        <f>AN272 + AN369</f>
        <v>0</v>
      </c>
      <c r="AO224" s="841">
        <f>AO272 + AO369</f>
        <v>0</v>
      </c>
      <c r="AP224" s="841">
        <f>AP272 + AP369</f>
        <v>0</v>
      </c>
    </row>
    <row r="225" hidden="1" ht="13.5">
      <c r="B225" s="128" t="s">
        <v>7</v>
      </c>
      <c r="C225" s="129" t="str">
        <f>IF(SUM(C206:C224)&lt;&gt;0,SUM(C206:C224),"")</f>
      </c>
      <c r="D225" s="129" t="str">
        <f ref="D225:AA225" t="shared" si="10">IF(SUM(D206:D224)&lt;&gt;0,SUM(D206:D224),"")</f>
      </c>
      <c r="E225" s="129" t="str">
        <f t="shared" si="10"/>
      </c>
      <c r="F225" s="129" t="str">
        <f t="shared" si="10"/>
      </c>
      <c r="G225" s="129" t="str">
        <f t="shared" si="10"/>
      </c>
      <c r="H225" s="129" t="str">
        <f t="shared" si="10"/>
      </c>
      <c r="I225" s="129" t="str">
        <f t="shared" si="10"/>
      </c>
      <c r="J225" s="129" t="str">
        <f t="shared" si="10"/>
      </c>
      <c r="K225" s="129" t="str">
        <f t="shared" si="10"/>
      </c>
      <c r="L225" s="129" t="str">
        <f t="shared" si="10"/>
      </c>
      <c r="M225" s="129" t="str">
        <f t="shared" si="10"/>
      </c>
      <c r="N225" s="129" t="str">
        <f t="shared" si="10"/>
      </c>
      <c r="O225" s="129" t="str">
        <f t="shared" si="10"/>
      </c>
      <c r="P225" s="129" t="str">
        <f t="shared" si="10"/>
      </c>
      <c r="Q225" s="129" t="str">
        <f t="shared" si="10"/>
      </c>
      <c r="R225" s="129" t="str">
        <f t="shared" si="10"/>
      </c>
      <c r="S225" s="129" t="str">
        <f t="shared" si="10"/>
      </c>
      <c r="T225" s="129" t="str">
        <f t="shared" si="10"/>
      </c>
      <c r="U225" s="129" t="str">
        <f t="shared" si="10"/>
      </c>
      <c r="V225" s="129" t="str">
        <f t="shared" si="10"/>
      </c>
      <c r="W225" s="129" t="str">
        <f t="shared" si="10"/>
      </c>
      <c r="X225" s="129" t="str">
        <f t="shared" si="10"/>
      </c>
      <c r="Y225" s="129" t="str">
        <f t="shared" si="10"/>
      </c>
      <c r="Z225" s="129" t="str">
        <f t="shared" si="10"/>
      </c>
      <c r="AA225" s="129" t="str">
        <f t="shared" si="10"/>
      </c>
      <c r="AB225" s="130" t="str">
        <f>IF(SUM(AB206:AB224)&lt;&gt;0,SUM(AB206:AB224),"")</f>
      </c>
      <c r="AC225" s="91" t="str">
        <f ref="AC225:CN225" t="shared" si="11">IF(SUM(AC206:AC224)&lt;&gt;0,SUM(AC206:AC224),"")</f>
      </c>
      <c r="AD225" s="91" t="str">
        <f t="shared" si="11"/>
      </c>
      <c r="AE225" s="91" t="str">
        <f t="shared" si="11"/>
      </c>
      <c r="AF225" s="91" t="str">
        <f t="shared" si="11"/>
      </c>
      <c r="AG225" s="91" t="str">
        <f t="shared" si="11"/>
      </c>
      <c r="AH225" s="91" t="str">
        <f t="shared" si="11"/>
      </c>
      <c r="AI225" s="91" t="str">
        <f t="shared" si="11"/>
      </c>
      <c r="AJ225" s="91" t="str">
        <f t="shared" si="11"/>
      </c>
      <c r="AK225" s="91" t="str">
        <f t="shared" si="11"/>
      </c>
      <c r="AL225" s="91" t="str">
        <f t="shared" si="11"/>
      </c>
      <c r="AM225" s="91" t="str">
        <f t="shared" si="11"/>
      </c>
      <c r="AN225" s="91" t="str">
        <f t="shared" si="11"/>
      </c>
      <c r="AO225" s="91" t="str">
        <f t="shared" si="11"/>
      </c>
      <c r="AP225" s="91" t="str">
        <f t="shared" si="11"/>
      </c>
      <c r="AQ225" s="91" t="str">
        <f t="shared" si="11"/>
      </c>
      <c r="AR225" s="91" t="str">
        <f t="shared" si="11"/>
      </c>
      <c r="AS225" s="91" t="str">
        <f t="shared" si="11"/>
      </c>
      <c r="AT225" s="91" t="str">
        <f t="shared" si="11"/>
      </c>
      <c r="AU225" s="91" t="str">
        <f t="shared" si="11"/>
      </c>
      <c r="AV225" s="91" t="str">
        <f t="shared" si="11"/>
      </c>
      <c r="AW225" s="91" t="str">
        <f t="shared" si="11"/>
      </c>
      <c r="AX225" s="91" t="str">
        <f t="shared" si="11"/>
      </c>
      <c r="AY225" s="91" t="str">
        <f t="shared" si="11"/>
      </c>
      <c r="AZ225" s="91" t="str">
        <f t="shared" si="11"/>
      </c>
      <c r="BA225" s="91" t="str">
        <f t="shared" si="11"/>
      </c>
      <c r="BB225" s="91" t="str">
        <f t="shared" si="11"/>
      </c>
      <c r="BC225" s="91" t="str">
        <f t="shared" si="11"/>
      </c>
      <c r="BD225" s="91" t="str">
        <f t="shared" si="11"/>
      </c>
      <c r="BE225" s="91" t="str">
        <f t="shared" si="11"/>
      </c>
      <c r="BF225" s="91" t="str">
        <f t="shared" si="11"/>
      </c>
      <c r="BG225" s="91" t="str">
        <f t="shared" si="11"/>
      </c>
      <c r="BH225" s="91" t="str">
        <f t="shared" si="11"/>
      </c>
      <c r="BI225" s="91" t="str">
        <f t="shared" si="11"/>
      </c>
      <c r="BJ225" s="91" t="str">
        <f t="shared" si="11"/>
      </c>
      <c r="BK225" s="91" t="str">
        <f t="shared" si="11"/>
      </c>
      <c r="BL225" s="91" t="str">
        <f t="shared" si="11"/>
      </c>
      <c r="BM225" s="91" t="str">
        <f t="shared" si="11"/>
      </c>
      <c r="BN225" s="91" t="str">
        <f t="shared" si="11"/>
      </c>
      <c r="BO225" s="91" t="str">
        <f t="shared" si="11"/>
      </c>
      <c r="BP225" s="91" t="str">
        <f t="shared" si="11"/>
      </c>
      <c r="BQ225" s="91" t="str">
        <f t="shared" si="11"/>
      </c>
      <c r="BR225" s="91" t="str">
        <f t="shared" si="11"/>
      </c>
      <c r="BS225" s="91" t="str">
        <f t="shared" si="11"/>
      </c>
      <c r="BT225" s="91" t="str">
        <f t="shared" si="11"/>
      </c>
      <c r="BU225" s="91" t="str">
        <f t="shared" si="11"/>
      </c>
      <c r="BV225" s="91" t="str">
        <f t="shared" si="11"/>
      </c>
      <c r="BW225" s="91" t="str">
        <f t="shared" si="11"/>
      </c>
      <c r="BX225" s="91" t="str">
        <f t="shared" si="11"/>
      </c>
      <c r="BY225" s="91" t="str">
        <f t="shared" si="11"/>
      </c>
      <c r="BZ225" s="91" t="str">
        <f t="shared" si="11"/>
      </c>
      <c r="CA225" s="91" t="str">
        <f t="shared" si="11"/>
      </c>
      <c r="CB225" s="91" t="str">
        <f t="shared" si="11"/>
      </c>
      <c r="CC225" s="91" t="str">
        <f t="shared" si="11"/>
      </c>
      <c r="CD225" s="91" t="str">
        <f t="shared" si="11"/>
      </c>
      <c r="CE225" s="91" t="str">
        <f t="shared" si="11"/>
      </c>
      <c r="CF225" s="91" t="str">
        <f t="shared" si="11"/>
      </c>
      <c r="CG225" s="91" t="str">
        <f t="shared" si="11"/>
      </c>
      <c r="CH225" s="91" t="str">
        <f t="shared" si="11"/>
      </c>
      <c r="CI225" s="91" t="str">
        <f t="shared" si="11"/>
      </c>
      <c r="CJ225" s="91" t="str">
        <f t="shared" si="11"/>
      </c>
      <c r="CK225" s="91" t="str">
        <f t="shared" si="11"/>
      </c>
      <c r="CL225" s="91" t="str">
        <f t="shared" si="11"/>
      </c>
      <c r="CM225" s="91" t="str">
        <f t="shared" si="11"/>
      </c>
      <c r="CN225" s="91" t="str">
        <f t="shared" si="11"/>
      </c>
      <c r="CO225" s="91" t="str">
        <f ref="CO225:EZ225" t="shared" si="12">IF(SUM(CO206:CO224)&lt;&gt;0,SUM(CO206:CO224),"")</f>
      </c>
      <c r="CP225" s="91" t="str">
        <f t="shared" si="12"/>
      </c>
      <c r="CQ225" s="91" t="str">
        <f t="shared" si="12"/>
      </c>
      <c r="CR225" s="91" t="str">
        <f t="shared" si="12"/>
      </c>
      <c r="CS225" s="91" t="str">
        <f t="shared" si="12"/>
      </c>
      <c r="CT225" s="91" t="str">
        <f t="shared" si="12"/>
      </c>
      <c r="CU225" s="91" t="str">
        <f t="shared" si="12"/>
      </c>
      <c r="CV225" s="91" t="str">
        <f t="shared" si="12"/>
      </c>
      <c r="CW225" s="91" t="str">
        <f t="shared" si="12"/>
      </c>
      <c r="CX225" s="91" t="str">
        <f t="shared" si="12"/>
      </c>
      <c r="CY225" s="91" t="str">
        <f t="shared" si="12"/>
      </c>
      <c r="CZ225" s="91" t="str">
        <f t="shared" si="12"/>
      </c>
      <c r="DA225" s="91" t="str">
        <f t="shared" si="12"/>
      </c>
      <c r="DB225" s="91" t="str">
        <f t="shared" si="12"/>
      </c>
      <c r="DC225" s="91" t="str">
        <f t="shared" si="12"/>
      </c>
      <c r="DD225" s="91" t="str">
        <f t="shared" si="12"/>
      </c>
      <c r="DE225" s="91" t="str">
        <f t="shared" si="12"/>
      </c>
      <c r="DF225" s="91" t="str">
        <f t="shared" si="12"/>
      </c>
      <c r="DG225" s="91" t="str">
        <f t="shared" si="12"/>
      </c>
      <c r="DH225" s="91" t="str">
        <f t="shared" si="12"/>
      </c>
      <c r="DI225" s="91" t="str">
        <f t="shared" si="12"/>
      </c>
      <c r="DJ225" s="91" t="str">
        <f t="shared" si="12"/>
      </c>
      <c r="DK225" s="91" t="str">
        <f t="shared" si="12"/>
      </c>
      <c r="DL225" s="91" t="str">
        <f t="shared" si="12"/>
      </c>
      <c r="DM225" s="91" t="str">
        <f t="shared" si="12"/>
      </c>
      <c r="DN225" s="91" t="str">
        <f t="shared" si="12"/>
      </c>
      <c r="DO225" s="91" t="str">
        <f t="shared" si="12"/>
      </c>
      <c r="DP225" s="91" t="str">
        <f t="shared" si="12"/>
      </c>
      <c r="DQ225" s="91" t="str">
        <f t="shared" si="12"/>
      </c>
      <c r="DR225" s="91" t="str">
        <f t="shared" si="12"/>
      </c>
      <c r="DS225" s="91" t="str">
        <f t="shared" si="12"/>
      </c>
      <c r="DT225" s="91" t="str">
        <f t="shared" si="12"/>
      </c>
      <c r="DU225" s="91" t="str">
        <f t="shared" si="12"/>
      </c>
      <c r="DV225" s="91" t="str">
        <f t="shared" si="12"/>
      </c>
      <c r="DW225" s="91" t="str">
        <f t="shared" si="12"/>
      </c>
      <c r="DX225" s="91" t="str">
        <f t="shared" si="12"/>
      </c>
      <c r="DY225" s="91" t="str">
        <f t="shared" si="12"/>
      </c>
      <c r="DZ225" s="91" t="str">
        <f t="shared" si="12"/>
      </c>
      <c r="EA225" s="91" t="str">
        <f t="shared" si="12"/>
      </c>
      <c r="EB225" s="91" t="str">
        <f t="shared" si="12"/>
      </c>
      <c r="EC225" s="91" t="str">
        <f t="shared" si="12"/>
      </c>
      <c r="ED225" s="91" t="str">
        <f t="shared" si="12"/>
      </c>
      <c r="EE225" s="91" t="str">
        <f t="shared" si="12"/>
      </c>
      <c r="EF225" s="91" t="str">
        <f t="shared" si="12"/>
      </c>
      <c r="EG225" s="91" t="str">
        <f t="shared" si="12"/>
      </c>
      <c r="EH225" s="91" t="str">
        <f t="shared" si="12"/>
      </c>
      <c r="EI225" s="91" t="str">
        <f t="shared" si="12"/>
      </c>
      <c r="EJ225" s="91" t="str">
        <f t="shared" si="12"/>
      </c>
      <c r="EK225" s="91" t="str">
        <f t="shared" si="12"/>
      </c>
      <c r="EL225" s="91" t="str">
        <f t="shared" si="12"/>
      </c>
      <c r="EM225" s="91" t="str">
        <f t="shared" si="12"/>
      </c>
      <c r="EN225" s="91" t="str">
        <f t="shared" si="12"/>
      </c>
      <c r="EO225" s="91" t="str">
        <f t="shared" si="12"/>
      </c>
      <c r="EP225" s="91" t="str">
        <f t="shared" si="12"/>
      </c>
      <c r="EQ225" s="91" t="str">
        <f t="shared" si="12"/>
      </c>
      <c r="ER225" s="91" t="str">
        <f t="shared" si="12"/>
      </c>
      <c r="ES225" s="91" t="str">
        <f t="shared" si="12"/>
      </c>
      <c r="ET225" s="91" t="str">
        <f t="shared" si="12"/>
      </c>
      <c r="EU225" s="91" t="str">
        <f t="shared" si="12"/>
      </c>
      <c r="EV225" s="91" t="str">
        <f t="shared" si="12"/>
      </c>
      <c r="EW225" s="91" t="str">
        <f t="shared" si="12"/>
      </c>
      <c r="EX225" s="91" t="str">
        <f t="shared" si="12"/>
      </c>
      <c r="EY225" s="91" t="str">
        <f t="shared" si="12"/>
      </c>
      <c r="EZ225" s="91" t="str">
        <f t="shared" si="12"/>
      </c>
      <c r="FA225" s="91" t="str">
        <f ref="FA225:HL225" t="shared" si="13">IF(SUM(FA206:FA224)&lt;&gt;0,SUM(FA206:FA224),"")</f>
      </c>
      <c r="FB225" s="91" t="str">
        <f t="shared" si="13"/>
      </c>
      <c r="FC225" s="91" t="str">
        <f t="shared" si="13"/>
      </c>
      <c r="FD225" s="91" t="str">
        <f t="shared" si="13"/>
      </c>
      <c r="FE225" s="91" t="str">
        <f t="shared" si="13"/>
      </c>
      <c r="FF225" s="91" t="str">
        <f t="shared" si="13"/>
      </c>
      <c r="FG225" s="91" t="str">
        <f t="shared" si="13"/>
      </c>
      <c r="FH225" s="91" t="str">
        <f t="shared" si="13"/>
      </c>
      <c r="FI225" s="91" t="str">
        <f t="shared" si="13"/>
      </c>
      <c r="FJ225" s="91" t="str">
        <f t="shared" si="13"/>
      </c>
      <c r="FK225" s="91" t="str">
        <f t="shared" si="13"/>
      </c>
      <c r="FL225" s="91" t="str">
        <f t="shared" si="13"/>
      </c>
      <c r="FM225" s="91" t="str">
        <f t="shared" si="13"/>
      </c>
      <c r="FN225" s="91" t="str">
        <f t="shared" si="13"/>
      </c>
      <c r="FO225" s="91" t="str">
        <f t="shared" si="13"/>
      </c>
      <c r="FP225" s="91" t="str">
        <f t="shared" si="13"/>
      </c>
      <c r="FQ225" s="91" t="str">
        <f t="shared" si="13"/>
      </c>
      <c r="FR225" s="91" t="str">
        <f t="shared" si="13"/>
      </c>
      <c r="FS225" s="91" t="str">
        <f t="shared" si="13"/>
      </c>
      <c r="FT225" s="91" t="str">
        <f t="shared" si="13"/>
      </c>
      <c r="FU225" s="91" t="str">
        <f t="shared" si="13"/>
      </c>
      <c r="FV225" s="91" t="str">
        <f t="shared" si="13"/>
      </c>
      <c r="FW225" s="91" t="str">
        <f t="shared" si="13"/>
      </c>
      <c r="FX225" s="91" t="str">
        <f t="shared" si="13"/>
      </c>
      <c r="FY225" s="91" t="str">
        <f t="shared" si="13"/>
      </c>
      <c r="FZ225" s="91" t="str">
        <f t="shared" si="13"/>
      </c>
      <c r="GA225" s="91" t="str">
        <f t="shared" si="13"/>
      </c>
      <c r="GB225" s="91" t="str">
        <f t="shared" si="13"/>
      </c>
      <c r="GC225" s="91" t="str">
        <f t="shared" si="13"/>
      </c>
      <c r="GD225" s="91" t="str">
        <f t="shared" si="13"/>
      </c>
      <c r="GE225" s="91" t="str">
        <f t="shared" si="13"/>
      </c>
      <c r="GF225" s="91" t="str">
        <f t="shared" si="13"/>
      </c>
      <c r="GG225" s="91" t="str">
        <f t="shared" si="13"/>
      </c>
      <c r="GH225" s="91" t="str">
        <f t="shared" si="13"/>
      </c>
      <c r="GI225" s="91" t="str">
        <f t="shared" si="13"/>
      </c>
      <c r="GJ225" s="91" t="str">
        <f t="shared" si="13"/>
      </c>
      <c r="GK225" s="91" t="str">
        <f t="shared" si="13"/>
      </c>
      <c r="GL225" s="91" t="str">
        <f t="shared" si="13"/>
      </c>
      <c r="GM225" s="91" t="str">
        <f t="shared" si="13"/>
      </c>
      <c r="GN225" s="91" t="str">
        <f t="shared" si="13"/>
      </c>
      <c r="GO225" s="91" t="str">
        <f t="shared" si="13"/>
      </c>
      <c r="GP225" s="91" t="str">
        <f t="shared" si="13"/>
      </c>
      <c r="GQ225" s="91" t="str">
        <f t="shared" si="13"/>
      </c>
      <c r="GR225" s="91" t="str">
        <f t="shared" si="13"/>
      </c>
      <c r="GS225" s="91" t="str">
        <f t="shared" si="13"/>
      </c>
      <c r="GT225" s="91" t="str">
        <f t="shared" si="13"/>
      </c>
      <c r="GU225" s="91" t="str">
        <f t="shared" si="13"/>
      </c>
      <c r="GV225" s="91" t="str">
        <f t="shared" si="13"/>
      </c>
      <c r="GW225" s="91" t="str">
        <f t="shared" si="13"/>
      </c>
      <c r="GX225" s="91" t="str">
        <f t="shared" si="13"/>
      </c>
      <c r="GY225" s="91" t="str">
        <f t="shared" si="13"/>
      </c>
      <c r="GZ225" s="91" t="str">
        <f t="shared" si="13"/>
      </c>
      <c r="HA225" s="91" t="str">
        <f t="shared" si="13"/>
      </c>
      <c r="HB225" s="91" t="str">
        <f t="shared" si="13"/>
      </c>
      <c r="HC225" s="91" t="str">
        <f t="shared" si="13"/>
      </c>
      <c r="HD225" s="91" t="str">
        <f t="shared" si="13"/>
      </c>
      <c r="HE225" s="91" t="str">
        <f t="shared" si="13"/>
      </c>
      <c r="HF225" s="91" t="str">
        <f t="shared" si="13"/>
      </c>
      <c r="HG225" s="91" t="str">
        <f t="shared" si="13"/>
      </c>
      <c r="HH225" s="91" t="str">
        <f t="shared" si="13"/>
      </c>
      <c r="HI225" s="91" t="str">
        <f t="shared" si="13"/>
      </c>
      <c r="HJ225" s="91" t="str">
        <f t="shared" si="13"/>
      </c>
      <c r="HK225" s="91" t="str">
        <f t="shared" si="13"/>
      </c>
      <c r="HL225" s="91" t="str">
        <f t="shared" si="13"/>
      </c>
      <c r="HM225" s="91" t="str">
        <f ref="HM225:IV225" t="shared" si="14">IF(SUM(HM206:HM224)&lt;&gt;0,SUM(HM206:HM224),"")</f>
      </c>
      <c r="HN225" s="91" t="str">
        <f t="shared" si="14"/>
      </c>
      <c r="HO225" s="91" t="str">
        <f t="shared" si="14"/>
      </c>
      <c r="HP225" s="91" t="str">
        <f t="shared" si="14"/>
      </c>
      <c r="HQ225" s="91" t="str">
        <f t="shared" si="14"/>
      </c>
      <c r="HR225" s="91" t="str">
        <f t="shared" si="14"/>
      </c>
      <c r="HS225" s="91" t="str">
        <f t="shared" si="14"/>
      </c>
      <c r="HT225" s="91" t="str">
        <f t="shared" si="14"/>
      </c>
      <c r="HU225" s="91" t="str">
        <f t="shared" si="14"/>
      </c>
      <c r="HV225" s="91" t="str">
        <f t="shared" si="14"/>
      </c>
      <c r="HW225" s="91" t="str">
        <f t="shared" si="14"/>
      </c>
      <c r="HX225" s="91" t="str">
        <f t="shared" si="14"/>
      </c>
      <c r="HY225" s="91" t="str">
        <f t="shared" si="14"/>
      </c>
      <c r="HZ225" s="91" t="str">
        <f t="shared" si="14"/>
      </c>
      <c r="IA225" s="91" t="str">
        <f t="shared" si="14"/>
      </c>
      <c r="IB225" s="91" t="str">
        <f t="shared" si="14"/>
      </c>
      <c r="IC225" s="91" t="str">
        <f t="shared" si="14"/>
      </c>
      <c r="ID225" s="91" t="str">
        <f t="shared" si="14"/>
      </c>
      <c r="IE225" s="91" t="str">
        <f t="shared" si="14"/>
      </c>
      <c r="IF225" s="91" t="str">
        <f t="shared" si="14"/>
      </c>
      <c r="IG225" s="91" t="str">
        <f t="shared" si="14"/>
      </c>
      <c r="IH225" s="91" t="str">
        <f t="shared" si="14"/>
      </c>
      <c r="II225" s="91" t="str">
        <f t="shared" si="14"/>
      </c>
      <c r="IJ225" s="91" t="str">
        <f t="shared" si="14"/>
      </c>
      <c r="IK225" s="91" t="str">
        <f t="shared" si="14"/>
      </c>
      <c r="IL225" s="91" t="str">
        <f t="shared" si="14"/>
      </c>
      <c r="IM225" s="91" t="str">
        <f t="shared" si="14"/>
      </c>
      <c r="IN225" s="91" t="str">
        <f t="shared" si="14"/>
      </c>
      <c r="IO225" s="91" t="str">
        <f t="shared" si="14"/>
      </c>
      <c r="IP225" s="91" t="str">
        <f t="shared" si="14"/>
      </c>
      <c r="IQ225" s="91" t="str">
        <f t="shared" si="14"/>
      </c>
      <c r="IR225" s="91" t="str">
        <f t="shared" si="14"/>
      </c>
      <c r="IS225" s="91" t="str">
        <f t="shared" si="14"/>
      </c>
      <c r="IT225" s="91" t="str">
        <f t="shared" si="14"/>
      </c>
      <c r="IU225" s="91" t="str">
        <f t="shared" si="14"/>
      </c>
      <c r="IV225" s="91" t="str">
        <f t="shared" si="14"/>
      </c>
    </row>
    <row r="226" hidden="1" ht="15">
      <c r="B226" s="215"/>
      <c r="C226" s="219"/>
      <c r="D226" s="219"/>
      <c r="E226" s="219"/>
      <c r="F226" s="219"/>
      <c r="G226" s="219"/>
      <c r="H226" s="219"/>
      <c r="I226" s="219"/>
      <c r="J226" s="219"/>
      <c r="K226" s="219"/>
      <c r="L226" s="50"/>
      <c r="P226" s="91"/>
      <c r="Q226" s="91"/>
      <c r="Y226" s="50"/>
      <c r="Z226" s="50"/>
    </row>
    <row r="227" hidden="1" ht="13.5">
      <c r="B227" s="162"/>
      <c r="L227" s="50"/>
      <c r="Y227" s="50"/>
      <c r="Z227" s="50"/>
    </row>
    <row r="228" hidden="1" ht="12.75" customHeight="1">
      <c r="B228" s="162"/>
      <c r="C228" s="617" t="s">
        <v>241</v>
      </c>
      <c r="D228" s="618"/>
      <c r="E228" s="618"/>
      <c r="F228" s="618"/>
      <c r="G228" s="618"/>
      <c r="H228" s="618"/>
      <c r="I228" s="618"/>
      <c r="J228" s="618"/>
      <c r="K228" s="618"/>
      <c r="L228" s="618"/>
      <c r="M228" s="618"/>
      <c r="N228" s="618"/>
      <c r="O228" s="618"/>
      <c r="P228" s="618"/>
      <c r="Q228" s="618"/>
      <c r="R228" s="618"/>
      <c r="S228" s="618"/>
      <c r="T228" s="618"/>
      <c r="U228" s="618"/>
      <c r="V228" s="618"/>
      <c r="W228" s="618"/>
      <c r="X228" s="618"/>
      <c r="Y228" s="618"/>
      <c r="Z228" s="618"/>
      <c r="AA228" s="618"/>
      <c r="AB228" s="619"/>
    </row>
    <row r="229" hidden="1" ht="13.5">
      <c r="C229" s="435" t="str">
        <f> IF(C249&lt;&gt;"",TEXT(AUX!G$1,"dd-MMM-aa"),"")</f>
      </c>
      <c r="D229" s="435" t="str">
        <f> IF(D249&lt;&gt;"",TEXT(AUX!H$1,"dd-MMM-aa"),"")</f>
      </c>
      <c r="E229" s="435" t="str">
        <f> IF(E249&lt;&gt;"",TEXT(AUX!I$1,"dd-MMM-aa"),"")</f>
      </c>
      <c r="F229" s="435" t="str">
        <f> IF(F249&lt;&gt;"",TEXT(AUX!J$1,"dd-MMM-aa"),"")</f>
      </c>
      <c r="G229" s="435" t="str">
        <f> IF(G249&lt;&gt;"",TEXT(AUX!K$1,"dd-MMM-aa"),"")</f>
      </c>
      <c r="H229" s="435" t="str">
        <f> IF(H249&lt;&gt;"",TEXT(AUX!L$1,"dd-MMM-aa"),"")</f>
      </c>
      <c r="I229" s="435" t="str">
        <f> IF(I249&lt;&gt;"",TEXT(AUX!M$1,"dd-MMM-aa"),"")</f>
      </c>
      <c r="J229" s="435" t="str">
        <f> IF(J249&lt;&gt;"",TEXT(AUX!N$1,"dd-MMM-aa"),"")</f>
      </c>
      <c r="K229" s="435" t="str">
        <f> IF(K249&lt;&gt;"",TEXT(AUX!O$1,"dd-MMM-aa"),"")</f>
      </c>
      <c r="L229" s="435" t="str">
        <f> IF(L249&lt;&gt;"",TEXT(AUX!P$1,"dd-MMM-aa"),"")</f>
      </c>
      <c r="M229" s="435" t="str">
        <f> IF(M249&lt;&gt;"",TEXT(AUX!Q$1,"dd-MMM-aa"),"")</f>
      </c>
      <c r="N229" s="435" t="str">
        <f> IF(N249&lt;&gt;"",TEXT(AUX!R$1,"dd-MMM-aa"),"")</f>
      </c>
      <c r="O229" s="435" t="str">
        <f> IF(O249&lt;&gt;"",TEXT(AUX!S$1,"dd-MMM-aa"),"")</f>
      </c>
      <c r="P229" s="435" t="str">
        <f> IF(P249&lt;&gt;"",TEXT(AUX!T$1,"dd-MMM-aa"),"")</f>
      </c>
      <c r="Q229" s="435" t="str">
        <f> IF(Q249&lt;&gt;"",TEXT(AUX!U$1,"dd-MMM-aa"),"")</f>
      </c>
      <c r="R229" s="435" t="str">
        <f> IF(R249&lt;&gt;"",TEXT(AUX!V$1,"dd-MMM-aa"),"")</f>
      </c>
      <c r="S229" s="435" t="str">
        <f> IF(S249&lt;&gt;"",TEXT(AUX!W$1,"dd-MMM-aa"),"")</f>
      </c>
      <c r="T229" s="435" t="str">
        <f> IF(T249&lt;&gt;"",TEXT(AUX!X$1,"dd-MMM-aa"),"")</f>
      </c>
      <c r="U229" s="435" t="str">
        <f> IF(U249&lt;&gt;"",TEXT(AUX!Y$1,"dd-MMM-aa"),"")</f>
      </c>
      <c r="V229" s="435" t="str">
        <f> IF(V249&lt;&gt;"",TEXT(AUX!Z$1,"dd-MMM-aa"),"")</f>
      </c>
      <c r="W229" s="435" t="str">
        <f> IF(W249&lt;&gt;"",TEXT(AUX!AA$1,"dd-MMM-aa"),"")</f>
      </c>
      <c r="X229" s="435" t="str">
        <f> IF(X249&lt;&gt;"",TEXT(AUX!AB$1,"dd-MMM-aa"),"")</f>
      </c>
      <c r="Y229" s="435" t="str">
        <f> IF(Y249&lt;&gt;"",TEXT(AUX!AC$1,"dd-MMM-aa"),"")</f>
      </c>
      <c r="Z229" s="435" t="str">
        <f> IF(Z249&lt;&gt;"",TEXT(AUX!AD$1,"dd-MMM-aa"),"")</f>
      </c>
      <c r="AA229" s="435" t="str">
        <f> IF(AA249&lt;&gt;"",TEXT(AUX!AE$1,"dd-MMM-aa"),"")</f>
      </c>
      <c r="AB229" s="497" t="str">
        <f> IF(AB249&lt;&gt;"",TEXT(AUX!AF$1,"dd-MMM-aa"),"")</f>
      </c>
      <c r="AC229" s="496" t="str">
        <f> IF(AC249&lt;&gt;"",TEXT(AUX!AG$1,"dd-MMM-aa"),"")</f>
      </c>
      <c r="AD229" s="496" t="str">
        <f> IF(AD249&lt;&gt;"",TEXT(AUX!AH$1,"dd-MMM-aa"),"")</f>
      </c>
      <c r="AE229" s="496" t="str">
        <f> IF(AE249&lt;&gt;"",TEXT(AUX!AI$1,"dd-MMM-aa"),"")</f>
      </c>
      <c r="AF229" s="496" t="str">
        <f> IF(AF249&lt;&gt;"",TEXT(AUX!AJ$1,"dd-MMM-aa"),"")</f>
      </c>
      <c r="AG229" s="496" t="str">
        <f> IF(AG249&lt;&gt;"",TEXT(AUX!AK$1,"dd-MMM-aa"),"")</f>
      </c>
      <c r="AH229" s="496" t="str">
        <f> IF(AH249&lt;&gt;"",TEXT(AUX!AL$1,"dd-MMM-aa"),"")</f>
      </c>
      <c r="AI229" s="496" t="str">
        <f> IF(AI249&lt;&gt;"",TEXT(AUX!AM$1,"dd-MMM-aa"),"")</f>
      </c>
      <c r="AJ229" s="496" t="str">
        <f> IF(AJ249&lt;&gt;"",TEXT(AUX!AN$1,"dd-MMM-aa"),"")</f>
      </c>
      <c r="AK229" s="496" t="str">
        <f> IF(AK249&lt;&gt;"",TEXT(AUX!AO$1,"dd-MMM-aa"),"")</f>
      </c>
      <c r="AL229" s="496" t="str">
        <f> IF(AL249&lt;&gt;"",TEXT(AUX!AP$1,"dd-MMM-aa"),"")</f>
      </c>
      <c r="AM229" s="496" t="str">
        <f> IF(AM249&lt;&gt;"",TEXT(AUX!AQ$1,"dd-MMM-aa"),"")</f>
      </c>
      <c r="AN229" s="496" t="str">
        <f> IF(AN249&lt;&gt;"",TEXT(AUX!AR$1,"dd-MMM-aa"),"")</f>
      </c>
      <c r="AO229" s="496" t="str">
        <f> IF(AO249&lt;&gt;"",TEXT(AUX!AS$1,"dd-MMM-aa"),"")</f>
      </c>
      <c r="AP229" s="496" t="str">
        <f> IF(AP249&lt;&gt;"",TEXT(AUX!AT$1,"dd-MMM-aa"),"")</f>
      </c>
      <c r="AQ229" s="496" t="str">
        <f> IF(AQ249&lt;&gt;"",TEXT(AUX!AU$1,"dd-MMM-aa"),"")</f>
      </c>
      <c r="AR229" s="496" t="str">
        <f> IF(AR249&lt;&gt;"",TEXT(AUX!AV$1,"dd-MMM-aa"),"")</f>
      </c>
      <c r="AS229" s="496" t="str">
        <f> IF(AS249&lt;&gt;"",TEXT(AUX!AW$1,"dd-MMM-aa"),"")</f>
      </c>
      <c r="AT229" s="496" t="str">
        <f> IF(AT249&lt;&gt;"",TEXT(AUX!AX$1,"dd-MMM-aa"),"")</f>
      </c>
      <c r="AU229" s="496" t="str">
        <f> IF(AU249&lt;&gt;"",TEXT(AUX!AY$1,"dd-MMM-aa"),"")</f>
      </c>
      <c r="AV229" s="496" t="str">
        <f> IF(AV249&lt;&gt;"",TEXT(AUX!AZ$1,"dd-MMM-aa"),"")</f>
      </c>
      <c r="AW229" s="496" t="str">
        <f> IF(AW249&lt;&gt;"",TEXT(AUX!BA$1,"dd-MMM-aa"),"")</f>
      </c>
      <c r="AX229" s="496" t="str">
        <f> IF(AX249&lt;&gt;"",TEXT(AUX!BB$1,"dd-MMM-aa"),"")</f>
      </c>
      <c r="AY229" s="496" t="str">
        <f> IF(AY249&lt;&gt;"",TEXT(AUX!BC$1,"dd-MMM-aa"),"")</f>
      </c>
      <c r="AZ229" s="496" t="str">
        <f> IF(AZ249&lt;&gt;"",TEXT(AUX!BD$1,"dd-MMM-aa"),"")</f>
      </c>
      <c r="BA229" s="496" t="str">
        <f> IF(BA249&lt;&gt;"",TEXT(AUX!BE$1,"dd-MMM-aa"),"")</f>
      </c>
      <c r="BB229" s="496" t="str">
        <f> IF(BB249&lt;&gt;"",TEXT(AUX!BF$1,"dd-MMM-aa"),"")</f>
      </c>
      <c r="BC229" s="496" t="str">
        <f> IF(BC249&lt;&gt;"",TEXT(AUX!BG$1,"dd-MMM-aa"),"")</f>
      </c>
      <c r="BD229" s="496" t="str">
        <f> IF(BD249&lt;&gt;"",TEXT(AUX!BH$1,"dd-MMM-aa"),"")</f>
      </c>
      <c r="BE229" s="496" t="str">
        <f> IF(BE249&lt;&gt;"",TEXT(AUX!BI$1,"dd-MMM-aa"),"")</f>
      </c>
      <c r="BF229" s="496" t="str">
        <f> IF(BF249&lt;&gt;"",TEXT(AUX!BJ$1,"dd-MMM-aa"),"")</f>
      </c>
      <c r="BG229" s="496" t="str">
        <f> IF(BG249&lt;&gt;"",TEXT(AUX!BK$1,"dd-MMM-aa"),"")</f>
      </c>
      <c r="BH229" s="496" t="str">
        <f> IF(BH249&lt;&gt;"",TEXT(AUX!BL$1,"dd-MMM-aa"),"")</f>
      </c>
      <c r="BI229" s="496" t="str">
        <f> IF(BI249&lt;&gt;"",TEXT(AUX!BM$1,"dd-MMM-aa"),"")</f>
      </c>
      <c r="BJ229" s="496" t="str">
        <f> IF(BJ249&lt;&gt;"",TEXT(AUX!BN$1,"dd-MMM-aa"),"")</f>
      </c>
      <c r="BK229" s="496" t="str">
        <f> IF(BK249&lt;&gt;"",TEXT(AUX!BO$1,"dd-MMM-aa"),"")</f>
      </c>
      <c r="BL229" s="496" t="str">
        <f> IF(BL249&lt;&gt;"",TEXT(AUX!BP$1,"dd-MMM-aa"),"")</f>
      </c>
      <c r="BM229" s="496" t="str">
        <f> IF(BM249&lt;&gt;"",TEXT(AUX!BQ$1,"dd-MMM-aa"),"")</f>
      </c>
      <c r="BN229" s="496" t="str">
        <f> IF(BN249&lt;&gt;"",TEXT(AUX!BR$1,"dd-MMM-aa"),"")</f>
      </c>
      <c r="BO229" s="496" t="str">
        <f> IF(BO249&lt;&gt;"",TEXT(AUX!BS$1,"dd-MMM-aa"),"")</f>
      </c>
      <c r="BP229" s="496" t="str">
        <f> IF(BP249&lt;&gt;"",TEXT(AUX!BT$1,"dd-MMM-aa"),"")</f>
      </c>
      <c r="BQ229" s="496" t="str">
        <f> IF(BQ249&lt;&gt;"",TEXT(AUX!BU$1,"dd-MMM-aa"),"")</f>
      </c>
      <c r="BR229" s="496" t="str">
        <f> IF(BR249&lt;&gt;"",TEXT(AUX!BV$1,"dd-MMM-aa"),"")</f>
      </c>
      <c r="BS229" s="496" t="str">
        <f> IF(BS249&lt;&gt;"",TEXT(AUX!BW$1,"dd-MMM-aa"),"")</f>
      </c>
      <c r="BT229" s="496" t="str">
        <f> IF(BT249&lt;&gt;"",TEXT(AUX!BX$1,"dd-MMM-aa"),"")</f>
      </c>
      <c r="BU229" s="496" t="str">
        <f> IF(BU249&lt;&gt;"",TEXT(AUX!BY$1,"dd-MMM-aa"),"")</f>
      </c>
      <c r="BV229" s="496" t="str">
        <f> IF(BV249&lt;&gt;"",TEXT(AUX!BZ$1,"dd-MMM-aa"),"")</f>
      </c>
      <c r="BW229" s="496" t="str">
        <f> IF(BW249&lt;&gt;"",TEXT(AUX!CA$1,"dd-MMM-aa"),"")</f>
      </c>
      <c r="BX229" s="496" t="str">
        <f> IF(BX249&lt;&gt;"",TEXT(AUX!CB$1,"dd-MMM-aa"),"")</f>
      </c>
      <c r="BY229" s="496" t="str">
        <f> IF(BY249&lt;&gt;"",TEXT(AUX!CC$1,"dd-MMM-aa"),"")</f>
      </c>
      <c r="BZ229" s="496" t="str">
        <f> IF(BZ249&lt;&gt;"",TEXT(AUX!CD$1,"dd-MMM-aa"),"")</f>
      </c>
      <c r="CA229" s="496" t="str">
        <f> IF(CA249&lt;&gt;"",TEXT(AUX!CE$1,"dd-MMM-aa"),"")</f>
      </c>
      <c r="CB229" s="496" t="str">
        <f> IF(CB249&lt;&gt;"",TEXT(AUX!CF$1,"dd-MMM-aa"),"")</f>
      </c>
      <c r="CC229" s="496" t="str">
        <f> IF(CC249&lt;&gt;"",TEXT(AUX!CG$1,"dd-MMM-aa"),"")</f>
      </c>
      <c r="CD229" s="496" t="str">
        <f> IF(CD249&lt;&gt;"",TEXT(AUX!CH$1,"dd-MMM-aa"),"")</f>
      </c>
      <c r="CE229" s="496" t="str">
        <f> IF(CE249&lt;&gt;"",TEXT(AUX!CI$1,"dd-MMM-aa"),"")</f>
      </c>
      <c r="CF229" s="496" t="str">
        <f> IF(CF249&lt;&gt;"",TEXT(AUX!CJ$1,"dd-MMM-aa"),"")</f>
      </c>
      <c r="CG229" s="496" t="str">
        <f> IF(CG249&lt;&gt;"",TEXT(AUX!CK$1,"dd-MMM-aa"),"")</f>
      </c>
      <c r="CH229" s="496" t="str">
        <f> IF(CH249&lt;&gt;"",TEXT(AUX!CL$1,"dd-MMM-aa"),"")</f>
      </c>
      <c r="CI229" s="496" t="str">
        <f> IF(CI249&lt;&gt;"",TEXT(AUX!CM$1,"dd-MMM-aa"),"")</f>
      </c>
      <c r="CJ229" s="496" t="str">
        <f> IF(CJ249&lt;&gt;"",TEXT(AUX!CN$1,"dd-MMM-aa"),"")</f>
      </c>
      <c r="CK229" s="496" t="str">
        <f> IF(CK249&lt;&gt;"",TEXT(AUX!CO$1,"dd-MMM-aa"),"")</f>
      </c>
      <c r="CL229" s="496" t="str">
        <f> IF(CL249&lt;&gt;"",TEXT(AUX!CP$1,"dd-MMM-aa"),"")</f>
      </c>
      <c r="CM229" s="496" t="str">
        <f> IF(CM249&lt;&gt;"",TEXT(AUX!CQ$1,"dd-MMM-aa"),"")</f>
      </c>
      <c r="CN229" s="496" t="str">
        <f> IF(CN249&lt;&gt;"",TEXT(AUX!CR$1,"dd-MMM-aa"),"")</f>
      </c>
      <c r="CO229" s="496" t="str">
        <f> IF(CO249&lt;&gt;"",TEXT(AUX!CS$1,"dd-MMM-aa"),"")</f>
      </c>
      <c r="CP229" s="496" t="str">
        <f> IF(CP249&lt;&gt;"",TEXT(AUX!CT$1,"dd-MMM-aa"),"")</f>
      </c>
      <c r="CQ229" s="496" t="str">
        <f> IF(CQ249&lt;&gt;"",TEXT(AUX!CU$1,"dd-MMM-aa"),"")</f>
      </c>
      <c r="CR229" s="496" t="str">
        <f> IF(CR249&lt;&gt;"",TEXT(AUX!CV$1,"dd-MMM-aa"),"")</f>
      </c>
      <c r="CS229" s="496" t="str">
        <f> IF(CS249&lt;&gt;"",TEXT(AUX!CW$1,"dd-MMM-aa"),"")</f>
      </c>
      <c r="CT229" s="496" t="str">
        <f> IF(CT249&lt;&gt;"",TEXT(AUX!CX$1,"dd-MMM-aa"),"")</f>
      </c>
      <c r="CU229" s="496" t="str">
        <f> IF(CU249&lt;&gt;"",TEXT(AUX!CY$1,"dd-MMM-aa"),"")</f>
      </c>
      <c r="CV229" s="496" t="str">
        <f> IF(CV249&lt;&gt;"",TEXT(AUX!CZ$1,"dd-MMM-aa"),"")</f>
      </c>
      <c r="CW229" s="496" t="str">
        <f> IF(CW249&lt;&gt;"",TEXT(AUX!DA$1,"dd-MMM-aa"),"")</f>
      </c>
      <c r="CX229" s="496" t="str">
        <f> IF(CX249&lt;&gt;"",TEXT(AUX!DB$1,"dd-MMM-aa"),"")</f>
      </c>
      <c r="CY229" s="496" t="str">
        <f> IF(CY249&lt;&gt;"",TEXT(AUX!DC$1,"dd-MMM-aa"),"")</f>
      </c>
      <c r="CZ229" s="496" t="str">
        <f> IF(CZ249&lt;&gt;"",TEXT(AUX!DD$1,"dd-MMM-aa"),"")</f>
      </c>
      <c r="DA229" s="496" t="str">
        <f> IF(DA249&lt;&gt;"",TEXT(AUX!DE$1,"dd-MMM-aa"),"")</f>
      </c>
      <c r="DB229" s="496" t="str">
        <f> IF(DB249&lt;&gt;"",TEXT(AUX!DF$1,"dd-MMM-aa"),"")</f>
      </c>
      <c r="DC229" s="496" t="str">
        <f> IF(DC249&lt;&gt;"",TEXT(AUX!DG$1,"dd-MMM-aa"),"")</f>
      </c>
      <c r="DD229" s="496" t="str">
        <f> IF(DD249&lt;&gt;"",TEXT(AUX!DH$1,"dd-MMM-aa"),"")</f>
      </c>
      <c r="DE229" s="496" t="str">
        <f> IF(DE249&lt;&gt;"",TEXT(AUX!DI$1,"dd-MMM-aa"),"")</f>
      </c>
      <c r="DF229" s="496" t="str">
        <f> IF(DF249&lt;&gt;"",TEXT(AUX!DJ$1,"dd-MMM-aa"),"")</f>
      </c>
      <c r="DG229" s="496" t="str">
        <f> IF(DG249&lt;&gt;"",TEXT(AUX!DK$1,"dd-MMM-aa"),"")</f>
      </c>
      <c r="DH229" s="496" t="str">
        <f> IF(DH249&lt;&gt;"",TEXT(AUX!DL$1,"dd-MMM-aa"),"")</f>
      </c>
      <c r="DI229" s="496" t="str">
        <f> IF(DI249&lt;&gt;"",TEXT(AUX!DM$1,"dd-MMM-aa"),"")</f>
      </c>
      <c r="DJ229" s="496" t="str">
        <f> IF(DJ249&lt;&gt;"",TEXT(AUX!DN$1,"dd-MMM-aa"),"")</f>
      </c>
      <c r="DK229" s="496" t="str">
        <f> IF(DK249&lt;&gt;"",TEXT(AUX!DO$1,"dd-MMM-aa"),"")</f>
      </c>
      <c r="DL229" s="496" t="str">
        <f> IF(DL249&lt;&gt;"",TEXT(AUX!DP$1,"dd-MMM-aa"),"")</f>
      </c>
      <c r="DM229" s="496" t="str">
        <f> IF(DM249&lt;&gt;"",TEXT(AUX!DQ$1,"dd-MMM-aa"),"")</f>
      </c>
      <c r="DN229" s="496" t="str">
        <f> IF(DN249&lt;&gt;"",TEXT(AUX!DR$1,"dd-MMM-aa"),"")</f>
      </c>
      <c r="DO229" s="496" t="str">
        <f> IF(DO249&lt;&gt;"",TEXT(AUX!DS$1,"dd-MMM-aa"),"")</f>
      </c>
      <c r="DP229" s="496" t="str">
        <f> IF(DP249&lt;&gt;"",TEXT(AUX!DT$1,"dd-MMM-aa"),"")</f>
      </c>
      <c r="DQ229" s="496" t="str">
        <f> IF(DQ249&lt;&gt;"",TEXT(AUX!DU$1,"dd-MMM-aa"),"")</f>
      </c>
      <c r="DR229" s="496" t="str">
        <f> IF(DR249&lt;&gt;"",TEXT(AUX!DV$1,"dd-MMM-aa"),"")</f>
      </c>
      <c r="DS229" s="496" t="str">
        <f> IF(DS249&lt;&gt;"",TEXT(AUX!DW$1,"dd-MMM-aa"),"")</f>
      </c>
      <c r="DT229" s="496" t="str">
        <f> IF(DT249&lt;&gt;"",TEXT(AUX!DX$1,"dd-MMM-aa"),"")</f>
      </c>
      <c r="DU229" s="496" t="str">
        <f> IF(DU249&lt;&gt;"",TEXT(AUX!DY$1,"dd-MMM-aa"),"")</f>
      </c>
      <c r="DV229" s="496" t="str">
        <f> IF(DV249&lt;&gt;"",TEXT(AUX!DZ$1,"dd-MMM-aa"),"")</f>
      </c>
      <c r="DW229" s="496" t="str">
        <f> IF(DW249&lt;&gt;"",TEXT(AUX!EA$1,"dd-MMM-aa"),"")</f>
      </c>
      <c r="DX229" s="496" t="str">
        <f> IF(DX249&lt;&gt;"",TEXT(AUX!EB$1,"dd-MMM-aa"),"")</f>
      </c>
      <c r="DY229" s="496" t="str">
        <f> IF(DY249&lt;&gt;"",TEXT(AUX!EC$1,"dd-MMM-aa"),"")</f>
      </c>
      <c r="DZ229" s="496" t="str">
        <f> IF(DZ249&lt;&gt;"",TEXT(AUX!ED$1,"dd-MMM-aa"),"")</f>
      </c>
      <c r="EA229" s="496" t="str">
        <f> IF(EA249&lt;&gt;"",TEXT(AUX!EE$1,"dd-MMM-aa"),"")</f>
      </c>
      <c r="EB229" s="496" t="str">
        <f> IF(EB249&lt;&gt;"",TEXT(AUX!EF$1,"dd-MMM-aa"),"")</f>
      </c>
      <c r="EC229" s="496" t="str">
        <f> IF(EC249&lt;&gt;"",TEXT(AUX!EG$1,"dd-MMM-aa"),"")</f>
      </c>
      <c r="ED229" s="496" t="str">
        <f> IF(ED249&lt;&gt;"",TEXT(AUX!EH$1,"dd-MMM-aa"),"")</f>
      </c>
      <c r="EE229" s="496" t="str">
        <f> IF(EE249&lt;&gt;"",TEXT(AUX!EI$1,"dd-MMM-aa"),"")</f>
      </c>
      <c r="EF229" s="496" t="str">
        <f> IF(EF249&lt;&gt;"",TEXT(AUX!EJ$1,"dd-MMM-aa"),"")</f>
      </c>
      <c r="EG229" s="496" t="str">
        <f> IF(EG249&lt;&gt;"",TEXT(AUX!EK$1,"dd-MMM-aa"),"")</f>
      </c>
      <c r="EH229" s="496" t="str">
        <f> IF(EH249&lt;&gt;"",TEXT(AUX!EL$1,"dd-MMM-aa"),"")</f>
      </c>
      <c r="EI229" s="496" t="str">
        <f> IF(EI249&lt;&gt;"",TEXT(AUX!EM$1,"dd-MMM-aa"),"")</f>
      </c>
      <c r="EJ229" s="496" t="str">
        <f> IF(EJ249&lt;&gt;"",TEXT(AUX!EN$1,"dd-MMM-aa"),"")</f>
      </c>
      <c r="EK229" s="496" t="str">
        <f> IF(EK249&lt;&gt;"",TEXT(AUX!EO$1,"dd-MMM-aa"),"")</f>
      </c>
      <c r="EL229" s="496" t="str">
        <f> IF(EL249&lt;&gt;"",TEXT(AUX!EP$1,"dd-MMM-aa"),"")</f>
      </c>
      <c r="EM229" s="496" t="str">
        <f> IF(EM249&lt;&gt;"",TEXT(AUX!EQ$1,"dd-MMM-aa"),"")</f>
      </c>
      <c r="EN229" s="496" t="str">
        <f> IF(EN249&lt;&gt;"",TEXT(AUX!ER$1,"dd-MMM-aa"),"")</f>
      </c>
      <c r="EO229" s="496" t="str">
        <f> IF(EO249&lt;&gt;"",TEXT(AUX!ES$1,"dd-MMM-aa"),"")</f>
      </c>
      <c r="EP229" s="496" t="str">
        <f> IF(EP249&lt;&gt;"",TEXT(AUX!ET$1,"dd-MMM-aa"),"")</f>
      </c>
      <c r="EQ229" s="496" t="str">
        <f> IF(EQ249&lt;&gt;"",TEXT(AUX!EU$1,"dd-MMM-aa"),"")</f>
      </c>
      <c r="ER229" s="496" t="str">
        <f> IF(ER249&lt;&gt;"",TEXT(AUX!EV$1,"dd-MMM-aa"),"")</f>
      </c>
      <c r="ES229" s="496" t="str">
        <f> IF(ES249&lt;&gt;"",TEXT(AUX!EW$1,"dd-MMM-aa"),"")</f>
      </c>
      <c r="ET229" s="496" t="str">
        <f> IF(ET249&lt;&gt;"",TEXT(AUX!EX$1,"dd-MMM-aa"),"")</f>
      </c>
      <c r="EU229" s="496" t="str">
        <f> IF(EU249&lt;&gt;"",TEXT(AUX!EY$1,"dd-MMM-aa"),"")</f>
      </c>
      <c r="EV229" s="496" t="str">
        <f> IF(EV249&lt;&gt;"",TEXT(AUX!EZ$1,"dd-MMM-aa"),"")</f>
      </c>
      <c r="EW229" s="496" t="str">
        <f> IF(EW249&lt;&gt;"",TEXT(AUX!FA$1,"dd-MMM-aa"),"")</f>
      </c>
      <c r="EX229" s="496" t="str">
        <f> IF(EX249&lt;&gt;"",TEXT(AUX!FB$1,"dd-MMM-aa"),"")</f>
      </c>
      <c r="EY229" s="496" t="str">
        <f> IF(EY249&lt;&gt;"",TEXT(AUX!FC$1,"dd-MMM-aa"),"")</f>
      </c>
      <c r="EZ229" s="496" t="str">
        <f> IF(EZ249&lt;&gt;"",TEXT(AUX!FD$1,"dd-MMM-aa"),"")</f>
      </c>
      <c r="FA229" s="496" t="str">
        <f> IF(FA249&lt;&gt;"",TEXT(AUX!FE$1,"dd-MMM-aa"),"")</f>
      </c>
      <c r="FB229" s="496" t="str">
        <f> IF(FB249&lt;&gt;"",TEXT(AUX!FF$1,"dd-MMM-aa"),"")</f>
      </c>
      <c r="FC229" s="496" t="str">
        <f> IF(FC249&lt;&gt;"",TEXT(AUX!FG$1,"dd-MMM-aa"),"")</f>
      </c>
      <c r="FD229" s="496" t="str">
        <f> IF(FD249&lt;&gt;"",TEXT(AUX!FH$1,"dd-MMM-aa"),"")</f>
      </c>
      <c r="FE229" s="496" t="str">
        <f> IF(FE249&lt;&gt;"",TEXT(AUX!FI$1,"dd-MMM-aa"),"")</f>
      </c>
      <c r="FF229" s="496" t="str">
        <f> IF(FF249&lt;&gt;"",TEXT(AUX!FJ$1,"dd-MMM-aa"),"")</f>
      </c>
      <c r="FG229" s="496" t="str">
        <f> IF(FG249&lt;&gt;"",TEXT(AUX!FK$1,"dd-MMM-aa"),"")</f>
      </c>
      <c r="FH229" s="496" t="str">
        <f> IF(FH249&lt;&gt;"",TEXT(AUX!FL$1,"dd-MMM-aa"),"")</f>
      </c>
      <c r="FI229" s="496" t="str">
        <f> IF(FI249&lt;&gt;"",TEXT(AUX!FM$1,"dd-MMM-aa"),"")</f>
      </c>
      <c r="FJ229" s="496" t="str">
        <f> IF(FJ249&lt;&gt;"",TEXT(AUX!FN$1,"dd-MMM-aa"),"")</f>
      </c>
      <c r="FK229" s="496" t="str">
        <f> IF(FK249&lt;&gt;"",TEXT(AUX!FO$1,"dd-MMM-aa"),"")</f>
      </c>
      <c r="FL229" s="496" t="str">
        <f> IF(FL249&lt;&gt;"",TEXT(AUX!FP$1,"dd-MMM-aa"),"")</f>
      </c>
      <c r="FM229" s="496" t="str">
        <f> IF(FM249&lt;&gt;"",TEXT(AUX!FQ$1,"dd-MMM-aa"),"")</f>
      </c>
      <c r="FN229" s="496" t="str">
        <f> IF(FN249&lt;&gt;"",TEXT(AUX!FR$1,"dd-MMM-aa"),"")</f>
      </c>
      <c r="FO229" s="496" t="str">
        <f> IF(FO249&lt;&gt;"",TEXT(AUX!FS$1,"dd-MMM-aa"),"")</f>
      </c>
      <c r="FP229" s="496" t="str">
        <f> IF(FP249&lt;&gt;"",TEXT(AUX!FT$1,"dd-MMM-aa"),"")</f>
      </c>
      <c r="FQ229" s="496" t="str">
        <f> IF(FQ249&lt;&gt;"",TEXT(AUX!FU$1,"dd-MMM-aa"),"")</f>
      </c>
      <c r="FR229" s="496" t="str">
        <f> IF(FR249&lt;&gt;"",TEXT(AUX!FV$1,"dd-MMM-aa"),"")</f>
      </c>
      <c r="FS229" s="496" t="str">
        <f> IF(FS249&lt;&gt;"",TEXT(AUX!FW$1,"dd-MMM-aa"),"")</f>
      </c>
      <c r="FT229" s="496" t="str">
        <f> IF(FT249&lt;&gt;"",TEXT(AUX!FX$1,"dd-MMM-aa"),"")</f>
      </c>
      <c r="FU229" s="496" t="str">
        <f> IF(FU249&lt;&gt;"",TEXT(AUX!FY$1,"dd-MMM-aa"),"")</f>
      </c>
      <c r="FV229" s="496" t="str">
        <f> IF(FV249&lt;&gt;"",TEXT(AUX!FZ$1,"dd-MMM-aa"),"")</f>
      </c>
      <c r="FW229" s="496" t="str">
        <f> IF(FW249&lt;&gt;"",TEXT(AUX!GA$1,"dd-MMM-aa"),"")</f>
      </c>
      <c r="FX229" s="496" t="str">
        <f> IF(FX249&lt;&gt;"",TEXT(AUX!GB$1,"dd-MMM-aa"),"")</f>
      </c>
      <c r="FY229" s="496" t="str">
        <f> IF(FY249&lt;&gt;"",TEXT(AUX!GC$1,"dd-MMM-aa"),"")</f>
      </c>
      <c r="FZ229" s="496" t="str">
        <f> IF(FZ249&lt;&gt;"",TEXT(AUX!GD$1,"dd-MMM-aa"),"")</f>
      </c>
      <c r="GA229" s="496" t="str">
        <f> IF(GA249&lt;&gt;"",TEXT(AUX!GE$1,"dd-MMM-aa"),"")</f>
      </c>
      <c r="GB229" s="496" t="str">
        <f> IF(GB249&lt;&gt;"",TEXT(AUX!GF$1,"dd-MMM-aa"),"")</f>
      </c>
      <c r="GC229" s="496" t="str">
        <f> IF(GC249&lt;&gt;"",TEXT(AUX!GG$1,"dd-MMM-aa"),"")</f>
      </c>
      <c r="GD229" s="496" t="str">
        <f> IF(GD249&lt;&gt;"",TEXT(AUX!GH$1,"dd-MMM-aa"),"")</f>
      </c>
      <c r="GE229" s="496" t="str">
        <f> IF(GE249&lt;&gt;"",TEXT(AUX!GI$1,"dd-MMM-aa"),"")</f>
      </c>
      <c r="GF229" s="496" t="str">
        <f> IF(GF249&lt;&gt;"",TEXT(AUX!GJ$1,"dd-MMM-aa"),"")</f>
      </c>
      <c r="GG229" s="496" t="str">
        <f> IF(GG249&lt;&gt;"",TEXT(AUX!GK$1,"dd-MMM-aa"),"")</f>
      </c>
      <c r="GH229" s="496" t="str">
        <f> IF(GH249&lt;&gt;"",TEXT(AUX!GL$1,"dd-MMM-aa"),"")</f>
      </c>
      <c r="GI229" s="496" t="str">
        <f> IF(GI249&lt;&gt;"",TEXT(AUX!GM$1,"dd-MMM-aa"),"")</f>
      </c>
      <c r="GJ229" s="496" t="str">
        <f> IF(GJ249&lt;&gt;"",TEXT(AUX!GN$1,"dd-MMM-aa"),"")</f>
      </c>
      <c r="GK229" s="496" t="str">
        <f> IF(GK249&lt;&gt;"",TEXT(AUX!GO$1,"dd-MMM-aa"),"")</f>
      </c>
      <c r="GL229" s="496" t="str">
        <f> IF(GL249&lt;&gt;"",TEXT(AUX!GP$1,"dd-MMM-aa"),"")</f>
      </c>
      <c r="GM229" s="496" t="str">
        <f> IF(GM249&lt;&gt;"",TEXT(AUX!GQ$1,"dd-MMM-aa"),"")</f>
      </c>
      <c r="GN229" s="496" t="str">
        <f> IF(GN249&lt;&gt;"",TEXT(AUX!GR$1,"dd-MMM-aa"),"")</f>
      </c>
      <c r="GO229" s="496" t="str">
        <f> IF(GO249&lt;&gt;"",TEXT(AUX!GS$1,"dd-MMM-aa"),"")</f>
      </c>
      <c r="GP229" s="496" t="str">
        <f> IF(GP249&lt;&gt;"",TEXT(AUX!GT$1,"dd-MMM-aa"),"")</f>
      </c>
      <c r="GQ229" s="496" t="str">
        <f> IF(GQ249&lt;&gt;"",TEXT(AUX!GU$1,"dd-MMM-aa"),"")</f>
      </c>
      <c r="GR229" s="496" t="str">
        <f> IF(GR249&lt;&gt;"",TEXT(AUX!GV$1,"dd-MMM-aa"),"")</f>
      </c>
      <c r="GS229" s="496" t="str">
        <f> IF(GS249&lt;&gt;"",TEXT(AUX!GW$1,"dd-MMM-aa"),"")</f>
      </c>
      <c r="GT229" s="496" t="str">
        <f> IF(GT249&lt;&gt;"",TEXT(AUX!GX$1,"dd-MMM-aa"),"")</f>
      </c>
      <c r="GU229" s="496" t="str">
        <f> IF(GU249&lt;&gt;"",TEXT(AUX!GY$1,"dd-MMM-aa"),"")</f>
      </c>
      <c r="GV229" s="496" t="str">
        <f> IF(GV249&lt;&gt;"",TEXT(AUX!GZ$1,"dd-MMM-aa"),"")</f>
      </c>
      <c r="GW229" s="496" t="str">
        <f> IF(GW249&lt;&gt;"",TEXT(AUX!HA$1,"dd-MMM-aa"),"")</f>
      </c>
      <c r="GX229" s="496" t="str">
        <f> IF(GX249&lt;&gt;"",TEXT(AUX!HB$1,"dd-MMM-aa"),"")</f>
      </c>
      <c r="GY229" s="496" t="str">
        <f> IF(GY249&lt;&gt;"",TEXT(AUX!HC$1,"dd-MMM-aa"),"")</f>
      </c>
      <c r="GZ229" s="496" t="str">
        <f> IF(GZ249&lt;&gt;"",TEXT(AUX!HD$1,"dd-MMM-aa"),"")</f>
      </c>
      <c r="HA229" s="496" t="str">
        <f> IF(HA249&lt;&gt;"",TEXT(AUX!HE$1,"dd-MMM-aa"),"")</f>
      </c>
      <c r="HB229" s="496" t="str">
        <f> IF(HB249&lt;&gt;"",TEXT(AUX!HF$1,"dd-MMM-aa"),"")</f>
      </c>
      <c r="HC229" s="496" t="str">
        <f> IF(HC249&lt;&gt;"",TEXT(AUX!HG$1,"dd-MMM-aa"),"")</f>
      </c>
      <c r="HD229" s="496" t="str">
        <f> IF(HD249&lt;&gt;"",TEXT(AUX!HH$1,"dd-MMM-aa"),"")</f>
      </c>
      <c r="HE229" s="496" t="str">
        <f> IF(HE249&lt;&gt;"",TEXT(AUX!HI$1,"dd-MMM-aa"),"")</f>
      </c>
      <c r="HF229" s="496" t="str">
        <f> IF(HF249&lt;&gt;"",TEXT(AUX!HJ$1,"dd-MMM-aa"),"")</f>
      </c>
      <c r="HG229" s="496" t="str">
        <f> IF(HG249&lt;&gt;"",TEXT(AUX!HK$1,"dd-MMM-aa"),"")</f>
      </c>
      <c r="HH229" s="496" t="str">
        <f> IF(HH249&lt;&gt;"",TEXT(AUX!HL$1,"dd-MMM-aa"),"")</f>
      </c>
      <c r="HI229" s="496" t="str">
        <f> IF(HI249&lt;&gt;"",TEXT(AUX!HM$1,"dd-MMM-aa"),"")</f>
      </c>
      <c r="HJ229" s="496" t="str">
        <f> IF(HJ249&lt;&gt;"",TEXT(AUX!HN$1,"dd-MMM-aa"),"")</f>
      </c>
      <c r="HK229" s="496" t="str">
        <f> IF(HK249&lt;&gt;"",TEXT(AUX!HO$1,"dd-MMM-aa"),"")</f>
      </c>
      <c r="HL229" s="496" t="str">
        <f> IF(HL249&lt;&gt;"",TEXT(AUX!HP$1,"dd-MMM-aa"),"")</f>
      </c>
      <c r="HM229" s="496" t="str">
        <f> IF(HM249&lt;&gt;"",TEXT(AUX!HQ$1,"dd-MMM-aa"),"")</f>
      </c>
      <c r="HN229" s="496" t="str">
        <f> IF(HN249&lt;&gt;"",TEXT(AUX!HR$1,"dd-MMM-aa"),"")</f>
      </c>
      <c r="HO229" s="496" t="str">
        <f> IF(HO249&lt;&gt;"",TEXT(AUX!HS$1,"dd-MMM-aa"),"")</f>
      </c>
      <c r="HP229" s="496" t="str">
        <f> IF(HP249&lt;&gt;"",TEXT(AUX!HT$1,"dd-MMM-aa"),"")</f>
      </c>
      <c r="HQ229" s="496" t="str">
        <f> IF(HQ249&lt;&gt;"",TEXT(AUX!HU$1,"dd-MMM-aa"),"")</f>
      </c>
      <c r="HR229" s="496" t="str">
        <f> IF(HR249&lt;&gt;"",TEXT(AUX!HV$1,"dd-MMM-aa"),"")</f>
      </c>
      <c r="HS229" s="496" t="str">
        <f> IF(HS249&lt;&gt;"",TEXT(AUX!HW$1,"dd-MMM-aa"),"")</f>
      </c>
      <c r="HT229" s="496" t="str">
        <f> IF(HT249&lt;&gt;"",TEXT(AUX!HX$1,"dd-MMM-aa"),"")</f>
      </c>
      <c r="HU229" s="496" t="str">
        <f> IF(HU249&lt;&gt;"",TEXT(AUX!HY$1,"dd-MMM-aa"),"")</f>
      </c>
      <c r="HV229" s="496" t="str">
        <f> IF(HV249&lt;&gt;"",TEXT(AUX!HZ$1,"dd-MMM-aa"),"")</f>
      </c>
      <c r="HW229" s="496" t="str">
        <f> IF(HW249&lt;&gt;"",TEXT(AUX!IA$1,"dd-MMM-aa"),"")</f>
      </c>
      <c r="HX229" s="496" t="str">
        <f> IF(HX249&lt;&gt;"",TEXT(AUX!IB$1,"dd-MMM-aa"),"")</f>
      </c>
      <c r="HY229" s="496" t="str">
        <f> IF(HY249&lt;&gt;"",TEXT(AUX!IC$1,"dd-MMM-aa"),"")</f>
      </c>
      <c r="HZ229" s="496" t="str">
        <f> IF(HZ249&lt;&gt;"",TEXT(AUX!ID$1,"dd-MMM-aa"),"")</f>
      </c>
      <c r="IA229" s="496" t="str">
        <f> IF(IA249&lt;&gt;"",TEXT(AUX!IE$1,"dd-MMM-aa"),"")</f>
      </c>
      <c r="IB229" s="496" t="str">
        <f> IF(IB249&lt;&gt;"",TEXT(AUX!IF$1,"dd-MMM-aa"),"")</f>
      </c>
      <c r="IC229" s="496" t="str">
        <f> IF(IC249&lt;&gt;"",TEXT(AUX!IG$1,"dd-MMM-aa"),"")</f>
      </c>
      <c r="ID229" s="496" t="str">
        <f> IF(ID249&lt;&gt;"",TEXT(AUX!IH$1,"dd-MMM-aa"),"")</f>
      </c>
      <c r="IE229" s="496" t="str">
        <f> IF(IE249&lt;&gt;"",TEXT(AUX!II$1,"dd-MMM-aa"),"")</f>
      </c>
      <c r="IF229" s="496" t="str">
        <f> IF(IF249&lt;&gt;"",TEXT(AUX!IJ$1,"dd-MMM-aa"),"")</f>
      </c>
      <c r="IG229" s="496" t="str">
        <f> IF(IG249&lt;&gt;"",TEXT(AUX!IK$1,"dd-MMM-aa"),"")</f>
      </c>
      <c r="IH229" s="496" t="str">
        <f> IF(IH249&lt;&gt;"",TEXT(AUX!IL$1,"dd-MMM-aa"),"")</f>
      </c>
      <c r="II229" s="496" t="str">
        <f> IF(II249&lt;&gt;"",TEXT(AUX!IM$1,"dd-MMM-aa"),"")</f>
      </c>
      <c r="IJ229" s="496" t="str">
        <f> IF(IJ249&lt;&gt;"",TEXT(AUX!IN$1,"dd-MMM-aa"),"")</f>
      </c>
      <c r="IK229" s="496" t="str">
        <f> IF(IK249&lt;&gt;"",TEXT(AUX!IO$1,"dd-MMM-aa"),"")</f>
      </c>
      <c r="IL229" s="496" t="str">
        <f> IF(IL249&lt;&gt;"",TEXT(AUX!IP$1,"dd-MMM-aa"),"")</f>
      </c>
      <c r="IM229" s="496" t="str">
        <f> IF(IM249&lt;&gt;"",TEXT(AUX!IQ$1,"dd-MMM-aa"),"")</f>
      </c>
      <c r="IN229" s="496" t="str">
        <f> IF(IN249&lt;&gt;"",TEXT(AUX!IR$1,"dd-MMM-aa"),"")</f>
      </c>
      <c r="IO229" s="496" t="str">
        <f> IF(IO249&lt;&gt;"",TEXT(AUX!IS$1,"dd-MMM-aa"),"")</f>
      </c>
      <c r="IP229" s="496" t="str">
        <f> IF(IP249&lt;&gt;"",TEXT(AUX!IT$1,"dd-MMM-aa"),"")</f>
      </c>
      <c r="IQ229" s="496" t="str">
        <f> IF(IQ249&lt;&gt;"",TEXT(AUX!IU$1,"dd-MMM-aa"),"")</f>
      </c>
      <c r="IR229" s="496" t="str">
        <f> IF(IR249&lt;&gt;"",TEXT(AUX!IV$1,"dd-MMM-aa"),"")</f>
      </c>
      <c r="IS229" s="496" t="str">
        <f> IF(IS249&lt;&gt;"",TEXT(AUX!#REF!,"dd-MMM-aa"),"")</f>
      </c>
      <c r="IT229" s="496" t="str">
        <f> IF(IT249&lt;&gt;"",TEXT(AUX!#REF!,"dd-MMM-aa"),"")</f>
      </c>
      <c r="IU229" s="496" t="str">
        <f> IF(IU249&lt;&gt;"",TEXT(AUX!#REF!,"dd-MMM-aa"),"")</f>
      </c>
      <c r="IV229" s="496" t="str">
        <f> IF(IV249&lt;&gt;"",TEXT(AUX!#REF!,"dd-MMM-aa"),"")</f>
      </c>
    </row>
    <row r="230" hidden="1">
      <c r="B230" s="822" t="s">
        <v>8</v>
      </c>
      <c r="C230" s="823">
        <v>1082</v>
      </c>
      <c r="D230" s="823">
        <v>1067</v>
      </c>
      <c r="E230" s="823">
        <v>1049</v>
      </c>
      <c r="F230" s="823">
        <v>1048</v>
      </c>
      <c r="G230" s="823">
        <v>957</v>
      </c>
      <c r="H230" s="823">
        <v>958</v>
      </c>
      <c r="I230" s="823">
        <v>939</v>
      </c>
      <c r="J230" s="823">
        <v>859</v>
      </c>
      <c r="K230" s="823">
        <v>807</v>
      </c>
      <c r="L230" s="823">
        <v>809</v>
      </c>
      <c r="M230" s="823">
        <v>789</v>
      </c>
      <c r="N230" s="823">
        <v>769</v>
      </c>
      <c r="O230" s="823">
        <v>727</v>
      </c>
      <c r="P230" s="823">
        <v>723</v>
      </c>
      <c r="Q230" s="823">
        <v>724</v>
      </c>
      <c r="R230" s="823">
        <v>718</v>
      </c>
      <c r="S230" s="823">
        <v>713</v>
      </c>
      <c r="T230" s="823">
        <v>694</v>
      </c>
      <c r="U230" s="823">
        <v>128</v>
      </c>
      <c r="V230" s="823">
        <v>126</v>
      </c>
      <c r="W230" s="823">
        <v>121</v>
      </c>
      <c r="X230" s="823">
        <v>85</v>
      </c>
      <c r="Y230" s="823">
        <v>120</v>
      </c>
      <c r="Z230" s="823">
        <v>120</v>
      </c>
      <c r="AA230" s="823">
        <v>118</v>
      </c>
      <c r="AB230" s="824">
        <v>119</v>
      </c>
      <c r="AC230" s="825">
        <v>110</v>
      </c>
      <c r="AD230" s="825">
        <v>108</v>
      </c>
      <c r="AE230" s="825">
        <v>112</v>
      </c>
      <c r="AF230" s="825">
        <v>105</v>
      </c>
      <c r="AG230" s="825">
        <v>99</v>
      </c>
      <c r="AH230" s="825">
        <v>96</v>
      </c>
      <c r="AI230" s="825">
        <v>92</v>
      </c>
      <c r="AJ230" s="825">
        <v>87</v>
      </c>
      <c r="AK230" s="825">
        <v>64</v>
      </c>
      <c r="AL230" s="825">
        <v>61</v>
      </c>
      <c r="AM230" s="825">
        <v>47</v>
      </c>
      <c r="AN230" s="825">
        <v>46</v>
      </c>
      <c r="AO230" s="825">
        <v>42</v>
      </c>
      <c r="AP230" s="825">
        <v>42</v>
      </c>
    </row>
    <row r="231" hidden="1">
      <c r="B231" s="826" t="s">
        <v>9</v>
      </c>
      <c r="C231" s="827">
        <v>2</v>
      </c>
      <c r="D231" s="827">
        <v>4</v>
      </c>
      <c r="E231" s="827">
        <v>3</v>
      </c>
      <c r="F231" s="827">
        <v>3</v>
      </c>
      <c r="G231" s="827">
        <v>4</v>
      </c>
      <c r="H231" s="827">
        <v>4</v>
      </c>
      <c r="I231" s="827">
        <v>3</v>
      </c>
      <c r="J231" s="827">
        <v>3</v>
      </c>
      <c r="K231" s="827">
        <v>3</v>
      </c>
      <c r="L231" s="827">
        <v>4</v>
      </c>
      <c r="M231" s="827">
        <v>5</v>
      </c>
      <c r="N231" s="827">
        <v>4</v>
      </c>
      <c r="O231" s="827">
        <v>4</v>
      </c>
      <c r="P231" s="827">
        <v>298</v>
      </c>
      <c r="Q231" s="827">
        <v>285</v>
      </c>
      <c r="R231" s="827">
        <v>284</v>
      </c>
      <c r="S231" s="827">
        <v>280</v>
      </c>
      <c r="T231" s="827">
        <v>276</v>
      </c>
      <c r="U231" s="827">
        <v>276</v>
      </c>
      <c r="V231" s="827">
        <v>285</v>
      </c>
      <c r="W231" s="827">
        <v>278</v>
      </c>
      <c r="X231" s="827">
        <v>205</v>
      </c>
      <c r="Y231" s="827">
        <v>192</v>
      </c>
      <c r="Z231" s="827">
        <v>188</v>
      </c>
      <c r="AA231" s="827">
        <v>183</v>
      </c>
      <c r="AB231" s="827">
        <v>178</v>
      </c>
      <c r="AC231" s="828">
        <v>169</v>
      </c>
      <c r="AD231" s="828">
        <v>165</v>
      </c>
      <c r="AE231" s="828">
        <v>161</v>
      </c>
      <c r="AF231" s="828">
        <v>158</v>
      </c>
      <c r="AG231" s="828">
        <v>144</v>
      </c>
      <c r="AH231" s="828">
        <v>139</v>
      </c>
      <c r="AI231" s="828">
        <v>129</v>
      </c>
      <c r="AJ231" s="828">
        <v>124</v>
      </c>
      <c r="AK231" s="828">
        <v>119</v>
      </c>
      <c r="AL231" s="828">
        <v>116</v>
      </c>
      <c r="AM231" s="828">
        <v>104</v>
      </c>
      <c r="AN231" s="828">
        <v>98</v>
      </c>
      <c r="AO231" s="828">
        <v>96</v>
      </c>
      <c r="AP231" s="828">
        <v>92</v>
      </c>
    </row>
    <row r="232" hidden="1">
      <c r="B232" s="829" t="s">
        <v>10</v>
      </c>
      <c r="C232" s="823">
        <v>359</v>
      </c>
      <c r="D232" s="823">
        <v>360</v>
      </c>
      <c r="E232" s="823">
        <v>354</v>
      </c>
      <c r="F232" s="823">
        <v>351</v>
      </c>
      <c r="G232" s="823">
        <v>348</v>
      </c>
      <c r="H232" s="823">
        <v>352</v>
      </c>
      <c r="I232" s="823">
        <v>351</v>
      </c>
      <c r="J232" s="823">
        <v>351</v>
      </c>
      <c r="K232" s="823">
        <v>348</v>
      </c>
      <c r="L232" s="823">
        <v>349</v>
      </c>
      <c r="M232" s="823">
        <v>347</v>
      </c>
      <c r="N232" s="823">
        <v>349</v>
      </c>
      <c r="O232" s="823">
        <v>347</v>
      </c>
      <c r="P232" s="823">
        <v>414</v>
      </c>
      <c r="Q232" s="823">
        <v>520</v>
      </c>
      <c r="R232" s="823">
        <v>555</v>
      </c>
      <c r="S232" s="823">
        <v>555</v>
      </c>
      <c r="T232" s="823">
        <v>571</v>
      </c>
      <c r="U232" s="823">
        <v>574</v>
      </c>
      <c r="V232" s="823">
        <v>588</v>
      </c>
      <c r="W232" s="823">
        <v>603</v>
      </c>
      <c r="X232" s="823">
        <v>604</v>
      </c>
      <c r="Y232" s="823">
        <v>615</v>
      </c>
      <c r="Z232" s="823">
        <v>627</v>
      </c>
      <c r="AA232" s="823">
        <v>631</v>
      </c>
      <c r="AB232" s="823">
        <v>626</v>
      </c>
      <c r="AC232" s="825">
        <v>644</v>
      </c>
      <c r="AD232" s="825">
        <v>641</v>
      </c>
      <c r="AE232" s="825">
        <v>649</v>
      </c>
      <c r="AF232" s="825">
        <v>651</v>
      </c>
      <c r="AG232" s="825">
        <v>655</v>
      </c>
      <c r="AH232" s="825">
        <v>656</v>
      </c>
      <c r="AI232" s="825">
        <v>669</v>
      </c>
      <c r="AJ232" s="825">
        <v>665</v>
      </c>
      <c r="AK232" s="825">
        <v>226</v>
      </c>
      <c r="AL232" s="825">
        <v>221</v>
      </c>
      <c r="AM232" s="825">
        <v>221</v>
      </c>
      <c r="AN232" s="825">
        <v>221</v>
      </c>
      <c r="AO232" s="825">
        <v>223</v>
      </c>
      <c r="AP232" s="825">
        <v>224</v>
      </c>
    </row>
    <row r="233" hidden="1">
      <c r="B233" s="826" t="s">
        <v>11</v>
      </c>
      <c r="C233" s="827">
        <v>139</v>
      </c>
      <c r="D233" s="827">
        <v>35</v>
      </c>
      <c r="E233" s="827">
        <v>30</v>
      </c>
      <c r="F233" s="827">
        <v>19</v>
      </c>
      <c r="G233" s="827">
        <v>18</v>
      </c>
      <c r="H233" s="827">
        <v>15</v>
      </c>
      <c r="I233" s="827">
        <v>13</v>
      </c>
      <c r="J233" s="827">
        <v>13</v>
      </c>
      <c r="K233" s="827">
        <v>12</v>
      </c>
      <c r="L233" s="827">
        <v>12</v>
      </c>
      <c r="M233" s="827">
        <v>13</v>
      </c>
      <c r="N233" s="827">
        <v>13</v>
      </c>
      <c r="O233" s="827">
        <v>13</v>
      </c>
      <c r="P233" s="827">
        <v>14</v>
      </c>
      <c r="Q233" s="827">
        <v>13</v>
      </c>
      <c r="R233" s="827">
        <v>13</v>
      </c>
      <c r="S233" s="827">
        <v>14</v>
      </c>
      <c r="T233" s="827">
        <v>14</v>
      </c>
      <c r="U233" s="827">
        <v>14</v>
      </c>
      <c r="V233" s="827">
        <v>23</v>
      </c>
      <c r="W233" s="827">
        <v>33</v>
      </c>
      <c r="X233" s="827">
        <v>36</v>
      </c>
      <c r="Y233" s="827">
        <v>36</v>
      </c>
      <c r="Z233" s="827">
        <v>41</v>
      </c>
      <c r="AA233" s="827">
        <v>40</v>
      </c>
      <c r="AB233" s="827">
        <v>40</v>
      </c>
      <c r="AC233" s="828">
        <v>38</v>
      </c>
      <c r="AD233" s="828">
        <v>35</v>
      </c>
      <c r="AE233" s="828">
        <v>32</v>
      </c>
      <c r="AF233" s="828">
        <v>32</v>
      </c>
      <c r="AG233" s="828">
        <v>33</v>
      </c>
      <c r="AH233" s="828">
        <v>33</v>
      </c>
      <c r="AI233" s="828">
        <v>32</v>
      </c>
      <c r="AJ233" s="828">
        <v>29</v>
      </c>
      <c r="AK233" s="828">
        <v>40</v>
      </c>
      <c r="AL233" s="828">
        <v>40</v>
      </c>
      <c r="AM233" s="828">
        <v>42</v>
      </c>
      <c r="AN233" s="828">
        <v>40</v>
      </c>
      <c r="AO233" s="828">
        <v>33</v>
      </c>
      <c r="AP233" s="828">
        <v>35</v>
      </c>
    </row>
    <row r="234" hidden="1">
      <c r="B234" s="829" t="s">
        <v>12</v>
      </c>
      <c r="C234" s="823">
        <v>1299</v>
      </c>
      <c r="D234" s="823">
        <v>1304</v>
      </c>
      <c r="E234" s="823">
        <v>1301</v>
      </c>
      <c r="F234" s="823">
        <v>966</v>
      </c>
      <c r="G234" s="823">
        <v>970</v>
      </c>
      <c r="H234" s="823">
        <v>993</v>
      </c>
      <c r="I234" s="823">
        <v>867</v>
      </c>
      <c r="J234" s="823">
        <v>874</v>
      </c>
      <c r="K234" s="823">
        <v>838</v>
      </c>
      <c r="L234" s="823">
        <v>846</v>
      </c>
      <c r="M234" s="823">
        <v>847</v>
      </c>
      <c r="N234" s="823">
        <v>847</v>
      </c>
      <c r="O234" s="823">
        <v>878</v>
      </c>
      <c r="P234" s="823">
        <v>872</v>
      </c>
      <c r="Q234" s="823">
        <v>874</v>
      </c>
      <c r="R234" s="823">
        <v>859</v>
      </c>
      <c r="S234" s="823">
        <v>835</v>
      </c>
      <c r="T234" s="823">
        <v>819</v>
      </c>
      <c r="U234" s="823">
        <v>798</v>
      </c>
      <c r="V234" s="823">
        <v>786</v>
      </c>
      <c r="W234" s="823">
        <v>752</v>
      </c>
      <c r="X234" s="823">
        <v>742</v>
      </c>
      <c r="Y234" s="823">
        <v>715</v>
      </c>
      <c r="Z234" s="823">
        <v>670</v>
      </c>
      <c r="AA234" s="823">
        <v>637</v>
      </c>
      <c r="AB234" s="823">
        <v>623</v>
      </c>
      <c r="AC234" s="825">
        <v>621</v>
      </c>
      <c r="AD234" s="825">
        <v>614</v>
      </c>
      <c r="AE234" s="825">
        <v>601</v>
      </c>
      <c r="AF234" s="825">
        <v>578</v>
      </c>
      <c r="AG234" s="825">
        <v>561</v>
      </c>
      <c r="AH234" s="825">
        <v>528</v>
      </c>
      <c r="AI234" s="825">
        <v>481</v>
      </c>
      <c r="AJ234" s="825">
        <v>467</v>
      </c>
      <c r="AK234" s="825">
        <v>455</v>
      </c>
      <c r="AL234" s="825">
        <v>254</v>
      </c>
      <c r="AM234" s="825">
        <v>180</v>
      </c>
      <c r="AN234" s="825">
        <v>156</v>
      </c>
      <c r="AO234" s="825">
        <v>123</v>
      </c>
      <c r="AP234" s="825">
        <v>102</v>
      </c>
    </row>
    <row r="235" hidden="1">
      <c r="B235" s="826" t="s">
        <v>13</v>
      </c>
      <c r="C235" s="827">
        <v>4230</v>
      </c>
      <c r="D235" s="827">
        <v>4204</v>
      </c>
      <c r="E235" s="827">
        <v>4115</v>
      </c>
      <c r="F235" s="827">
        <v>3431</v>
      </c>
      <c r="G235" s="827">
        <v>3365</v>
      </c>
      <c r="H235" s="827">
        <v>3332</v>
      </c>
      <c r="I235" s="827">
        <v>2520</v>
      </c>
      <c r="J235" s="827">
        <v>2500</v>
      </c>
      <c r="K235" s="827">
        <v>2435</v>
      </c>
      <c r="L235" s="827">
        <v>2418</v>
      </c>
      <c r="M235" s="827">
        <v>2391</v>
      </c>
      <c r="N235" s="827">
        <v>2385</v>
      </c>
      <c r="O235" s="827">
        <v>2370</v>
      </c>
      <c r="P235" s="827">
        <v>2381</v>
      </c>
      <c r="Q235" s="827">
        <v>2390</v>
      </c>
      <c r="R235" s="827">
        <v>2390</v>
      </c>
      <c r="S235" s="827">
        <v>2391</v>
      </c>
      <c r="T235" s="827">
        <v>2393</v>
      </c>
      <c r="U235" s="827">
        <v>3846</v>
      </c>
      <c r="V235" s="827">
        <v>3835</v>
      </c>
      <c r="W235" s="827">
        <v>3795</v>
      </c>
      <c r="X235" s="827">
        <v>3373</v>
      </c>
      <c r="Y235" s="827">
        <v>3361</v>
      </c>
      <c r="Z235" s="827">
        <v>3310</v>
      </c>
      <c r="AA235" s="827">
        <v>3246</v>
      </c>
      <c r="AB235" s="827">
        <v>3216</v>
      </c>
      <c r="AC235" s="828">
        <v>3197</v>
      </c>
      <c r="AD235" s="828">
        <v>3174</v>
      </c>
      <c r="AE235" s="828">
        <v>3165</v>
      </c>
      <c r="AF235" s="828">
        <v>3149</v>
      </c>
      <c r="AG235" s="828">
        <v>3140</v>
      </c>
      <c r="AH235" s="828">
        <v>3123</v>
      </c>
      <c r="AI235" s="828">
        <v>3113</v>
      </c>
      <c r="AJ235" s="828">
        <v>3095</v>
      </c>
      <c r="AK235" s="828">
        <v>1339</v>
      </c>
      <c r="AL235" s="828">
        <v>496</v>
      </c>
      <c r="AM235" s="828">
        <v>483</v>
      </c>
      <c r="AN235" s="828">
        <v>482</v>
      </c>
      <c r="AO235" s="828">
        <v>469</v>
      </c>
      <c r="AP235" s="828">
        <v>450</v>
      </c>
    </row>
    <row r="236" hidden="1">
      <c r="B236" s="829" t="s">
        <v>109</v>
      </c>
      <c r="C236" s="823">
        <v>208</v>
      </c>
      <c r="D236" s="823">
        <v>195</v>
      </c>
      <c r="E236" s="823">
        <v>177</v>
      </c>
      <c r="F236" s="823">
        <v>170</v>
      </c>
      <c r="G236" s="823">
        <v>170</v>
      </c>
      <c r="H236" s="823">
        <v>167</v>
      </c>
      <c r="I236" s="823">
        <v>154</v>
      </c>
      <c r="J236" s="823">
        <v>156</v>
      </c>
      <c r="K236" s="823">
        <v>88</v>
      </c>
      <c r="L236" s="823">
        <v>7</v>
      </c>
      <c r="M236" s="823">
        <v>2</v>
      </c>
      <c r="N236" s="823">
        <v>2</v>
      </c>
      <c r="O236" s="823">
        <v>4</v>
      </c>
      <c r="P236" s="823">
        <v>4</v>
      </c>
      <c r="Q236" s="823">
        <v>8</v>
      </c>
      <c r="R236" s="823">
        <v>7</v>
      </c>
      <c r="S236" s="823">
        <v>8</v>
      </c>
      <c r="T236" s="823">
        <v>10</v>
      </c>
      <c r="U236" s="823">
        <v>12</v>
      </c>
      <c r="V236" s="823">
        <v>14</v>
      </c>
      <c r="W236" s="823">
        <v>14</v>
      </c>
      <c r="X236" s="823">
        <v>13</v>
      </c>
      <c r="Y236" s="823">
        <v>2</v>
      </c>
      <c r="Z236" s="823">
        <v>2</v>
      </c>
      <c r="AA236" s="823">
        <v>2</v>
      </c>
      <c r="AB236" s="823">
        <v>2</v>
      </c>
      <c r="AC236" s="825">
        <v>2</v>
      </c>
      <c r="AD236" s="825">
        <v>2</v>
      </c>
      <c r="AE236" s="825">
        <v>2</v>
      </c>
      <c r="AF236" s="825">
        <v>2</v>
      </c>
      <c r="AG236" s="825">
        <v>3</v>
      </c>
      <c r="AH236" s="825">
        <v>3</v>
      </c>
      <c r="AI236" s="825">
        <v>3</v>
      </c>
      <c r="AJ236" s="825">
        <v>3</v>
      </c>
      <c r="AK236" s="825">
        <v>3</v>
      </c>
      <c r="AL236" s="825">
        <v>3</v>
      </c>
      <c r="AM236" s="825">
        <v>3</v>
      </c>
      <c r="AN236" s="825">
        <v>3</v>
      </c>
      <c r="AO236" s="825">
        <v>3</v>
      </c>
      <c r="AP236" s="825">
        <v>3</v>
      </c>
    </row>
    <row r="237" hidden="1">
      <c r="B237" s="826" t="s">
        <v>110</v>
      </c>
      <c r="C237" s="827">
        <v>1905</v>
      </c>
      <c r="D237" s="827">
        <v>1875</v>
      </c>
      <c r="E237" s="827">
        <v>1792</v>
      </c>
      <c r="F237" s="827">
        <v>1751</v>
      </c>
      <c r="G237" s="827">
        <v>1675</v>
      </c>
      <c r="H237" s="827">
        <v>1656</v>
      </c>
      <c r="I237" s="827">
        <v>1271</v>
      </c>
      <c r="J237" s="827">
        <v>1233</v>
      </c>
      <c r="K237" s="827">
        <v>1202</v>
      </c>
      <c r="L237" s="827">
        <v>1168</v>
      </c>
      <c r="M237" s="827">
        <v>1136</v>
      </c>
      <c r="N237" s="827">
        <v>1055</v>
      </c>
      <c r="O237" s="827">
        <v>1015</v>
      </c>
      <c r="P237" s="827">
        <v>949</v>
      </c>
      <c r="Q237" s="827">
        <v>936</v>
      </c>
      <c r="R237" s="827">
        <v>902</v>
      </c>
      <c r="S237" s="827">
        <v>888</v>
      </c>
      <c r="T237" s="827">
        <v>849</v>
      </c>
      <c r="U237" s="827">
        <v>841</v>
      </c>
      <c r="V237" s="827">
        <v>817</v>
      </c>
      <c r="W237" s="827">
        <v>680</v>
      </c>
      <c r="X237" s="827">
        <v>658</v>
      </c>
      <c r="Y237" s="827">
        <v>616</v>
      </c>
      <c r="Z237" s="827">
        <v>544</v>
      </c>
      <c r="AA237" s="827">
        <v>521</v>
      </c>
      <c r="AB237" s="827">
        <v>504</v>
      </c>
      <c r="AC237" s="828">
        <v>487</v>
      </c>
      <c r="AD237" s="828">
        <v>472</v>
      </c>
      <c r="AE237" s="828">
        <v>461</v>
      </c>
      <c r="AF237" s="828">
        <v>447</v>
      </c>
      <c r="AG237" s="828">
        <v>442</v>
      </c>
      <c r="AH237" s="828">
        <v>417</v>
      </c>
      <c r="AI237" s="828">
        <v>396</v>
      </c>
      <c r="AJ237" s="828">
        <v>387</v>
      </c>
      <c r="AK237" s="828">
        <v>336</v>
      </c>
      <c r="AL237" s="828">
        <v>322</v>
      </c>
      <c r="AM237" s="828">
        <v>300</v>
      </c>
      <c r="AN237" s="828">
        <v>286</v>
      </c>
      <c r="AO237" s="828">
        <v>263</v>
      </c>
      <c r="AP237" s="828">
        <v>253</v>
      </c>
    </row>
    <row r="238" hidden="1">
      <c r="B238" s="829" t="s">
        <v>16</v>
      </c>
      <c r="C238" s="823">
        <v>80</v>
      </c>
      <c r="D238" s="823">
        <v>78</v>
      </c>
      <c r="E238" s="823">
        <v>70</v>
      </c>
      <c r="F238" s="823">
        <v>71</v>
      </c>
      <c r="G238" s="823">
        <v>63</v>
      </c>
      <c r="H238" s="823">
        <v>63</v>
      </c>
      <c r="I238" s="823">
        <v>63</v>
      </c>
      <c r="J238" s="823">
        <v>61</v>
      </c>
      <c r="K238" s="823">
        <v>60</v>
      </c>
      <c r="L238" s="823">
        <v>58</v>
      </c>
      <c r="M238" s="823">
        <v>56</v>
      </c>
      <c r="N238" s="823">
        <v>54</v>
      </c>
      <c r="O238" s="823">
        <v>46</v>
      </c>
      <c r="P238" s="823">
        <v>46</v>
      </c>
      <c r="Q238" s="823">
        <v>45</v>
      </c>
      <c r="R238" s="823">
        <v>40</v>
      </c>
      <c r="S238" s="823">
        <v>33</v>
      </c>
      <c r="T238" s="823">
        <v>33</v>
      </c>
      <c r="U238" s="823">
        <v>31</v>
      </c>
      <c r="V238" s="823">
        <v>32</v>
      </c>
      <c r="W238" s="823">
        <v>30</v>
      </c>
      <c r="X238" s="823">
        <v>32</v>
      </c>
      <c r="Y238" s="823">
        <v>33</v>
      </c>
      <c r="Z238" s="823">
        <v>30</v>
      </c>
      <c r="AA238" s="823">
        <v>30</v>
      </c>
      <c r="AB238" s="823">
        <v>19</v>
      </c>
      <c r="AC238" s="825">
        <v>21</v>
      </c>
      <c r="AD238" s="825">
        <v>23</v>
      </c>
      <c r="AE238" s="825">
        <v>25</v>
      </c>
      <c r="AF238" s="825">
        <v>24</v>
      </c>
      <c r="AG238" s="825">
        <v>23</v>
      </c>
      <c r="AH238" s="825">
        <v>24</v>
      </c>
      <c r="AI238" s="825">
        <v>23</v>
      </c>
      <c r="AJ238" s="825">
        <v>23</v>
      </c>
      <c r="AK238" s="825">
        <v>23</v>
      </c>
      <c r="AL238" s="825">
        <v>23</v>
      </c>
      <c r="AM238" s="825">
        <v>23</v>
      </c>
      <c r="AN238" s="825">
        <v>23</v>
      </c>
      <c r="AO238" s="825">
        <v>21</v>
      </c>
      <c r="AP238" s="825">
        <v>20</v>
      </c>
    </row>
    <row r="239" hidden="1">
      <c r="B239" s="826" t="s">
        <v>17</v>
      </c>
      <c r="C239" s="827">
        <v>4</v>
      </c>
      <c r="D239" s="827">
        <v>6</v>
      </c>
      <c r="E239" s="827">
        <v>7</v>
      </c>
      <c r="F239" s="827">
        <v>7</v>
      </c>
      <c r="G239" s="827">
        <v>7</v>
      </c>
      <c r="H239" s="827">
        <v>10</v>
      </c>
      <c r="I239" s="827">
        <v>5</v>
      </c>
      <c r="J239" s="827">
        <v>5</v>
      </c>
      <c r="K239" s="827">
        <v>6</v>
      </c>
      <c r="L239" s="827">
        <v>6</v>
      </c>
      <c r="M239" s="827">
        <v>7</v>
      </c>
      <c r="N239" s="827">
        <v>10</v>
      </c>
      <c r="O239" s="827">
        <v>12</v>
      </c>
      <c r="P239" s="827">
        <v>24</v>
      </c>
      <c r="Q239" s="827">
        <v>35</v>
      </c>
      <c r="R239" s="827">
        <v>42</v>
      </c>
      <c r="S239" s="827">
        <v>42</v>
      </c>
      <c r="T239" s="827">
        <v>43</v>
      </c>
      <c r="U239" s="827">
        <v>44</v>
      </c>
      <c r="V239" s="827">
        <v>43</v>
      </c>
      <c r="W239" s="827">
        <v>38</v>
      </c>
      <c r="X239" s="827">
        <v>35</v>
      </c>
      <c r="Y239" s="827">
        <v>36</v>
      </c>
      <c r="Z239" s="827">
        <v>35</v>
      </c>
      <c r="AA239" s="827">
        <v>36</v>
      </c>
      <c r="AB239" s="827">
        <v>37</v>
      </c>
      <c r="AC239" s="828">
        <v>38</v>
      </c>
      <c r="AD239" s="828">
        <v>40</v>
      </c>
      <c r="AE239" s="828">
        <v>42</v>
      </c>
      <c r="AF239" s="828">
        <v>42</v>
      </c>
      <c r="AG239" s="828">
        <v>42</v>
      </c>
      <c r="AH239" s="828">
        <v>45</v>
      </c>
      <c r="AI239" s="828">
        <v>46</v>
      </c>
      <c r="AJ239" s="828">
        <v>45</v>
      </c>
      <c r="AK239" s="828">
        <v>46</v>
      </c>
      <c r="AL239" s="828">
        <v>48</v>
      </c>
      <c r="AM239" s="828">
        <v>56</v>
      </c>
      <c r="AN239" s="828">
        <v>57</v>
      </c>
      <c r="AO239" s="828">
        <v>56</v>
      </c>
      <c r="AP239" s="828">
        <v>56</v>
      </c>
    </row>
    <row r="240" hidden="1">
      <c r="B240" s="829" t="s">
        <v>18</v>
      </c>
      <c r="C240" s="823">
        <v>6621</v>
      </c>
      <c r="D240" s="823">
        <v>6445</v>
      </c>
      <c r="E240" s="823">
        <v>5699</v>
      </c>
      <c r="F240" s="823">
        <v>4927</v>
      </c>
      <c r="G240" s="823">
        <v>3296</v>
      </c>
      <c r="H240" s="823">
        <v>3229</v>
      </c>
      <c r="I240" s="823">
        <v>2819</v>
      </c>
      <c r="J240" s="823">
        <v>2721</v>
      </c>
      <c r="K240" s="823">
        <v>2612</v>
      </c>
      <c r="L240" s="823">
        <v>2503</v>
      </c>
      <c r="M240" s="823">
        <v>2391</v>
      </c>
      <c r="N240" s="823">
        <v>2315</v>
      </c>
      <c r="O240" s="823">
        <v>2052</v>
      </c>
      <c r="P240" s="823">
        <v>2007</v>
      </c>
      <c r="Q240" s="823">
        <v>2028</v>
      </c>
      <c r="R240" s="823">
        <v>1635</v>
      </c>
      <c r="S240" s="823">
        <v>1219</v>
      </c>
      <c r="T240" s="823">
        <v>1008</v>
      </c>
      <c r="U240" s="823">
        <v>1065</v>
      </c>
      <c r="V240" s="823">
        <v>958</v>
      </c>
      <c r="W240" s="823">
        <v>505</v>
      </c>
      <c r="X240" s="823">
        <v>512</v>
      </c>
      <c r="Y240" s="823">
        <v>475</v>
      </c>
      <c r="Z240" s="823">
        <v>488</v>
      </c>
      <c r="AA240" s="823">
        <v>456</v>
      </c>
      <c r="AB240" s="823">
        <v>451</v>
      </c>
      <c r="AC240" s="825">
        <v>438</v>
      </c>
      <c r="AD240" s="825">
        <v>428</v>
      </c>
      <c r="AE240" s="825">
        <v>432</v>
      </c>
      <c r="AF240" s="825">
        <v>462</v>
      </c>
      <c r="AG240" s="825">
        <v>465</v>
      </c>
      <c r="AH240" s="825">
        <v>460</v>
      </c>
      <c r="AI240" s="825">
        <v>399</v>
      </c>
      <c r="AJ240" s="825">
        <v>390</v>
      </c>
      <c r="AK240" s="825">
        <v>378</v>
      </c>
      <c r="AL240" s="825">
        <v>374</v>
      </c>
      <c r="AM240" s="825">
        <v>373</v>
      </c>
      <c r="AN240" s="825">
        <v>365</v>
      </c>
      <c r="AO240" s="825">
        <v>354</v>
      </c>
      <c r="AP240" s="825">
        <v>329</v>
      </c>
    </row>
    <row r="241" hidden="1">
      <c r="B241" s="826" t="s">
        <v>19</v>
      </c>
      <c r="C241" s="827">
        <v>42</v>
      </c>
      <c r="D241" s="827">
        <v>40</v>
      </c>
      <c r="E241" s="827">
        <v>38</v>
      </c>
      <c r="F241" s="827">
        <v>38</v>
      </c>
      <c r="G241" s="827">
        <v>37</v>
      </c>
      <c r="H241" s="827">
        <v>37</v>
      </c>
      <c r="I241" s="827">
        <v>34</v>
      </c>
      <c r="J241" s="827">
        <v>34</v>
      </c>
      <c r="K241" s="827">
        <v>34</v>
      </c>
      <c r="L241" s="827">
        <v>35</v>
      </c>
      <c r="M241" s="827">
        <v>28</v>
      </c>
      <c r="N241" s="827">
        <v>27</v>
      </c>
      <c r="O241" s="827">
        <v>27</v>
      </c>
      <c r="P241" s="827">
        <v>27</v>
      </c>
      <c r="Q241" s="827">
        <v>30</v>
      </c>
      <c r="R241" s="827">
        <v>30</v>
      </c>
      <c r="S241" s="827">
        <v>31</v>
      </c>
      <c r="T241" s="827">
        <v>31</v>
      </c>
      <c r="U241" s="827">
        <v>32</v>
      </c>
      <c r="V241" s="827">
        <v>32</v>
      </c>
      <c r="W241" s="827">
        <v>35</v>
      </c>
      <c r="X241" s="827">
        <v>36</v>
      </c>
      <c r="Y241" s="827">
        <v>36</v>
      </c>
      <c r="Z241" s="827">
        <v>36</v>
      </c>
      <c r="AA241" s="827">
        <v>35</v>
      </c>
      <c r="AB241" s="827">
        <v>35</v>
      </c>
      <c r="AC241" s="828">
        <v>35</v>
      </c>
      <c r="AD241" s="828">
        <v>35</v>
      </c>
      <c r="AE241" s="828">
        <v>35</v>
      </c>
      <c r="AF241" s="828">
        <v>35</v>
      </c>
      <c r="AG241" s="828">
        <v>36</v>
      </c>
      <c r="AH241" s="828">
        <v>36</v>
      </c>
      <c r="AI241" s="828">
        <v>36</v>
      </c>
      <c r="AJ241" s="828">
        <v>36</v>
      </c>
      <c r="AK241" s="828">
        <v>22</v>
      </c>
      <c r="AL241" s="828">
        <v>22</v>
      </c>
      <c r="AM241" s="828">
        <v>23</v>
      </c>
      <c r="AN241" s="828">
        <v>23</v>
      </c>
      <c r="AO241" s="828">
        <v>23</v>
      </c>
      <c r="AP241" s="828">
        <v>20</v>
      </c>
    </row>
    <row r="242" hidden="1">
      <c r="B242" s="829" t="s">
        <v>20</v>
      </c>
      <c r="C242" s="823">
        <v>13</v>
      </c>
      <c r="D242" s="823">
        <v>13</v>
      </c>
      <c r="E242" s="823">
        <v>12</v>
      </c>
      <c r="F242" s="823">
        <v>11</v>
      </c>
      <c r="G242" s="823">
        <v>7</v>
      </c>
      <c r="H242" s="823">
        <v>7</v>
      </c>
      <c r="I242" s="823">
        <v>7</v>
      </c>
      <c r="J242" s="823">
        <v>7</v>
      </c>
      <c r="K242" s="823">
        <v>6</v>
      </c>
      <c r="L242" s="823">
        <v>6</v>
      </c>
      <c r="M242" s="823">
        <v>6</v>
      </c>
      <c r="N242" s="823">
        <v>6</v>
      </c>
      <c r="O242" s="823">
        <v>6</v>
      </c>
      <c r="P242" s="823">
        <v>6</v>
      </c>
      <c r="Q242" s="823">
        <v>6</v>
      </c>
      <c r="R242" s="823">
        <v>6</v>
      </c>
      <c r="S242" s="823">
        <v>5</v>
      </c>
      <c r="T242" s="823">
        <v>6</v>
      </c>
      <c r="U242" s="823">
        <v>6</v>
      </c>
      <c r="V242" s="823">
        <v>6</v>
      </c>
      <c r="W242" s="823">
        <v>6</v>
      </c>
      <c r="X242" s="823">
        <v>5</v>
      </c>
      <c r="Y242" s="823">
        <v>5</v>
      </c>
      <c r="Z242" s="823">
        <v>5</v>
      </c>
      <c r="AA242" s="823">
        <v>5</v>
      </c>
      <c r="AB242" s="823">
        <v>5</v>
      </c>
      <c r="AC242" s="825">
        <v>5</v>
      </c>
      <c r="AD242" s="825">
        <v>5</v>
      </c>
      <c r="AE242" s="825">
        <v>5</v>
      </c>
      <c r="AF242" s="825">
        <v>5</v>
      </c>
      <c r="AG242" s="825">
        <v>3</v>
      </c>
      <c r="AH242" s="825">
        <v>3</v>
      </c>
      <c r="AI242" s="825">
        <v>3</v>
      </c>
      <c r="AJ242" s="825">
        <v>3</v>
      </c>
      <c r="AK242" s="825">
        <v>3</v>
      </c>
      <c r="AL242" s="825">
        <v>3</v>
      </c>
      <c r="AM242" s="825">
        <v>3</v>
      </c>
      <c r="AN242" s="825">
        <v>4</v>
      </c>
      <c r="AO242" s="825">
        <v>4</v>
      </c>
      <c r="AP242" s="825">
        <v>4</v>
      </c>
    </row>
    <row r="243" hidden="1">
      <c r="B243" s="826" t="s">
        <v>21</v>
      </c>
      <c r="C243" s="827">
        <v>12</v>
      </c>
      <c r="D243" s="827">
        <v>11</v>
      </c>
      <c r="E243" s="827">
        <v>11</v>
      </c>
      <c r="F243" s="827">
        <v>11</v>
      </c>
      <c r="G243" s="827">
        <v>1</v>
      </c>
      <c r="H243" s="827">
        <v>0</v>
      </c>
      <c r="I243" s="827">
        <v>0</v>
      </c>
      <c r="J243" s="827">
        <v>1</v>
      </c>
      <c r="K243" s="827">
        <v>1</v>
      </c>
      <c r="L243" s="827">
        <v>1</v>
      </c>
      <c r="M243" s="827">
        <v>1</v>
      </c>
      <c r="N243" s="827">
        <v>1</v>
      </c>
      <c r="O243" s="827">
        <v>1</v>
      </c>
      <c r="P243" s="827">
        <v>1</v>
      </c>
      <c r="Q243" s="827">
        <v>2</v>
      </c>
      <c r="R243" s="827">
        <v>0</v>
      </c>
      <c r="S243" s="827">
        <v>0</v>
      </c>
      <c r="T243" s="827">
        <v>17</v>
      </c>
      <c r="U243" s="827">
        <v>13</v>
      </c>
      <c r="V243" s="827">
        <v>14</v>
      </c>
      <c r="W243" s="827">
        <v>15</v>
      </c>
      <c r="X243" s="827">
        <v>14</v>
      </c>
      <c r="Y243" s="827">
        <v>13</v>
      </c>
      <c r="Z243" s="827">
        <v>11</v>
      </c>
      <c r="AA243" s="827">
        <v>10</v>
      </c>
      <c r="AB243" s="827">
        <v>9</v>
      </c>
      <c r="AC243" s="828">
        <v>0</v>
      </c>
      <c r="AD243" s="828">
        <v>0</v>
      </c>
      <c r="AE243" s="828">
        <v>0</v>
      </c>
      <c r="AF243" s="828">
        <v>0</v>
      </c>
      <c r="AG243" s="828">
        <v>0</v>
      </c>
      <c r="AH243" s="828">
        <v>0</v>
      </c>
      <c r="AI243" s="828">
        <v>0</v>
      </c>
      <c r="AJ243" s="828">
        <v>0</v>
      </c>
      <c r="AK243" s="828">
        <v>3</v>
      </c>
      <c r="AL243" s="828">
        <v>4</v>
      </c>
      <c r="AM243" s="828">
        <v>4</v>
      </c>
      <c r="AN243" s="828">
        <v>6</v>
      </c>
      <c r="AO243" s="828">
        <v>6</v>
      </c>
      <c r="AP243" s="828">
        <v>9</v>
      </c>
    </row>
    <row r="244" hidden="1">
      <c r="B244" s="829" t="s">
        <v>22</v>
      </c>
      <c r="C244" s="823">
        <v>1048</v>
      </c>
      <c r="D244" s="823">
        <v>1058</v>
      </c>
      <c r="E244" s="823">
        <v>1061</v>
      </c>
      <c r="F244" s="823">
        <v>1064</v>
      </c>
      <c r="G244" s="823">
        <v>1108</v>
      </c>
      <c r="H244" s="823">
        <v>1110</v>
      </c>
      <c r="I244" s="823">
        <v>1073</v>
      </c>
      <c r="J244" s="823">
        <v>1083</v>
      </c>
      <c r="K244" s="823">
        <v>991</v>
      </c>
      <c r="L244" s="823">
        <v>1013</v>
      </c>
      <c r="M244" s="823">
        <v>537</v>
      </c>
      <c r="N244" s="823">
        <v>541</v>
      </c>
      <c r="O244" s="823">
        <v>549</v>
      </c>
      <c r="P244" s="823">
        <v>552</v>
      </c>
      <c r="Q244" s="823">
        <v>507</v>
      </c>
      <c r="R244" s="823">
        <v>508</v>
      </c>
      <c r="S244" s="823">
        <v>501</v>
      </c>
      <c r="T244" s="823">
        <v>463</v>
      </c>
      <c r="U244" s="823">
        <v>137</v>
      </c>
      <c r="V244" s="823">
        <v>78</v>
      </c>
      <c r="W244" s="823">
        <v>84</v>
      </c>
      <c r="X244" s="823">
        <v>86</v>
      </c>
      <c r="Y244" s="823">
        <v>51</v>
      </c>
      <c r="Z244" s="823">
        <v>51</v>
      </c>
      <c r="AA244" s="823">
        <v>54</v>
      </c>
      <c r="AB244" s="823">
        <v>47</v>
      </c>
      <c r="AC244" s="825">
        <v>56</v>
      </c>
      <c r="AD244" s="825">
        <v>60</v>
      </c>
      <c r="AE244" s="825">
        <v>45</v>
      </c>
      <c r="AF244" s="825">
        <v>47</v>
      </c>
      <c r="AG244" s="825">
        <v>46</v>
      </c>
      <c r="AH244" s="825">
        <v>49</v>
      </c>
      <c r="AI244" s="825">
        <v>48</v>
      </c>
      <c r="AJ244" s="825">
        <v>46</v>
      </c>
      <c r="AK244" s="825">
        <v>43</v>
      </c>
      <c r="AL244" s="825">
        <v>39</v>
      </c>
      <c r="AM244" s="825">
        <v>41</v>
      </c>
      <c r="AN244" s="825">
        <v>36</v>
      </c>
      <c r="AO244" s="825">
        <v>38</v>
      </c>
      <c r="AP244" s="825">
        <v>38</v>
      </c>
    </row>
    <row r="245" hidden="1">
      <c r="B245" s="826" t="s">
        <v>23</v>
      </c>
      <c r="C245" s="827">
        <v>3</v>
      </c>
      <c r="D245" s="827">
        <v>3</v>
      </c>
      <c r="E245" s="827">
        <v>3</v>
      </c>
      <c r="F245" s="827">
        <v>3</v>
      </c>
      <c r="G245" s="827">
        <v>4</v>
      </c>
      <c r="H245" s="827">
        <v>5</v>
      </c>
      <c r="I245" s="827">
        <v>4</v>
      </c>
      <c r="J245" s="827">
        <v>4</v>
      </c>
      <c r="K245" s="827">
        <v>4</v>
      </c>
      <c r="L245" s="827">
        <v>4</v>
      </c>
      <c r="M245" s="827">
        <v>3</v>
      </c>
      <c r="N245" s="827">
        <v>3</v>
      </c>
      <c r="O245" s="827">
        <v>3</v>
      </c>
      <c r="P245" s="827">
        <v>3</v>
      </c>
      <c r="Q245" s="827">
        <v>2</v>
      </c>
      <c r="R245" s="827">
        <v>0</v>
      </c>
      <c r="S245" s="827">
        <v>0</v>
      </c>
      <c r="T245" s="827">
        <v>0</v>
      </c>
      <c r="U245" s="827">
        <v>0</v>
      </c>
      <c r="V245" s="827">
        <v>0</v>
      </c>
      <c r="W245" s="827">
        <v>0</v>
      </c>
      <c r="X245" s="827">
        <v>0</v>
      </c>
      <c r="Y245" s="827">
        <v>0</v>
      </c>
      <c r="Z245" s="827">
        <v>0</v>
      </c>
      <c r="AA245" s="827">
        <v>1</v>
      </c>
      <c r="AB245" s="827">
        <v>2</v>
      </c>
      <c r="AC245" s="828">
        <v>2</v>
      </c>
      <c r="AD245" s="828">
        <v>2</v>
      </c>
      <c r="AE245" s="828">
        <v>2</v>
      </c>
      <c r="AF245" s="828">
        <v>2</v>
      </c>
      <c r="AG245" s="828">
        <v>2</v>
      </c>
      <c r="AH245" s="828">
        <v>2</v>
      </c>
      <c r="AI245" s="828">
        <v>2</v>
      </c>
      <c r="AJ245" s="828">
        <v>2</v>
      </c>
      <c r="AK245" s="828">
        <v>2</v>
      </c>
      <c r="AL245" s="828">
        <v>1</v>
      </c>
      <c r="AM245" s="828">
        <v>1</v>
      </c>
      <c r="AN245" s="828">
        <v>1</v>
      </c>
      <c r="AO245" s="828">
        <v>1</v>
      </c>
      <c r="AP245" s="828">
        <v>1</v>
      </c>
    </row>
    <row r="246" hidden="1">
      <c r="B246" s="830" t="s">
        <v>24</v>
      </c>
      <c r="C246" s="823">
        <v>3</v>
      </c>
      <c r="D246" s="823">
        <v>3</v>
      </c>
      <c r="E246" s="823">
        <v>3</v>
      </c>
      <c r="F246" s="823">
        <v>4</v>
      </c>
      <c r="G246" s="823">
        <v>2</v>
      </c>
      <c r="H246" s="823">
        <v>4</v>
      </c>
      <c r="I246" s="823">
        <v>5</v>
      </c>
      <c r="J246" s="823">
        <v>5</v>
      </c>
      <c r="K246" s="823">
        <v>8</v>
      </c>
      <c r="L246" s="823">
        <v>7</v>
      </c>
      <c r="M246" s="823">
        <v>6</v>
      </c>
      <c r="N246" s="823">
        <v>6</v>
      </c>
      <c r="O246" s="823">
        <v>7</v>
      </c>
      <c r="P246" s="823">
        <v>6</v>
      </c>
      <c r="Q246" s="823">
        <v>6</v>
      </c>
      <c r="R246" s="823">
        <v>4</v>
      </c>
      <c r="S246" s="823">
        <v>4</v>
      </c>
      <c r="T246" s="823">
        <v>4</v>
      </c>
      <c r="U246" s="823">
        <v>4</v>
      </c>
      <c r="V246" s="823">
        <v>4</v>
      </c>
      <c r="W246" s="823">
        <v>5</v>
      </c>
      <c r="X246" s="823">
        <v>6</v>
      </c>
      <c r="Y246" s="823">
        <v>6</v>
      </c>
      <c r="Z246" s="823">
        <v>6</v>
      </c>
      <c r="AA246" s="823">
        <v>6</v>
      </c>
      <c r="AB246" s="823">
        <v>6</v>
      </c>
      <c r="AC246" s="825">
        <v>6</v>
      </c>
      <c r="AD246" s="825">
        <v>6</v>
      </c>
      <c r="AE246" s="825">
        <v>6</v>
      </c>
      <c r="AF246" s="825">
        <v>6</v>
      </c>
      <c r="AG246" s="825">
        <v>6</v>
      </c>
      <c r="AH246" s="825">
        <v>6</v>
      </c>
      <c r="AI246" s="825">
        <v>3</v>
      </c>
      <c r="AJ246" s="825">
        <v>3</v>
      </c>
      <c r="AK246" s="825">
        <v>1</v>
      </c>
      <c r="AL246" s="825">
        <v>1</v>
      </c>
      <c r="AM246" s="825">
        <v>0</v>
      </c>
      <c r="AN246" s="825">
        <v>0</v>
      </c>
      <c r="AO246" s="825">
        <v>0</v>
      </c>
      <c r="AP246" s="825">
        <v>0</v>
      </c>
    </row>
    <row r="247" hidden="1">
      <c r="B247" s="826" t="s">
        <v>25</v>
      </c>
      <c r="C247" s="827">
        <v>0</v>
      </c>
      <c r="D247" s="827">
        <v>0</v>
      </c>
      <c r="E247" s="827">
        <v>0</v>
      </c>
      <c r="F247" s="827">
        <v>0</v>
      </c>
      <c r="G247" s="827">
        <v>0</v>
      </c>
      <c r="H247" s="827">
        <v>0</v>
      </c>
      <c r="I247" s="827">
        <v>0</v>
      </c>
      <c r="J247" s="827">
        <v>0</v>
      </c>
      <c r="K247" s="827">
        <v>0</v>
      </c>
      <c r="L247" s="827">
        <v>0</v>
      </c>
      <c r="M247" s="827">
        <v>0</v>
      </c>
      <c r="N247" s="827">
        <v>0</v>
      </c>
      <c r="O247" s="827">
        <v>0</v>
      </c>
      <c r="P247" s="827">
        <v>0</v>
      </c>
      <c r="Q247" s="827">
        <v>0</v>
      </c>
      <c r="R247" s="827">
        <v>0</v>
      </c>
      <c r="S247" s="827">
        <v>0</v>
      </c>
      <c r="T247" s="827">
        <v>0</v>
      </c>
      <c r="U247" s="827">
        <v>0</v>
      </c>
      <c r="V247" s="827">
        <v>0</v>
      </c>
      <c r="W247" s="827">
        <v>0</v>
      </c>
      <c r="X247" s="827">
        <v>0</v>
      </c>
      <c r="Y247" s="827">
        <v>0</v>
      </c>
      <c r="Z247" s="827">
        <v>0</v>
      </c>
      <c r="AA247" s="827">
        <v>0</v>
      </c>
      <c r="AB247" s="827">
        <v>0</v>
      </c>
      <c r="AC247" s="828">
        <v>0</v>
      </c>
      <c r="AD247" s="828">
        <v>0</v>
      </c>
      <c r="AE247" s="828">
        <v>0</v>
      </c>
      <c r="AF247" s="828">
        <v>0</v>
      </c>
      <c r="AG247" s="828">
        <v>0</v>
      </c>
      <c r="AH247" s="828">
        <v>0</v>
      </c>
      <c r="AI247" s="828">
        <v>0</v>
      </c>
      <c r="AJ247" s="828">
        <v>0</v>
      </c>
      <c r="AK247" s="828">
        <v>0</v>
      </c>
      <c r="AL247" s="828">
        <v>0</v>
      </c>
      <c r="AM247" s="828">
        <v>0</v>
      </c>
      <c r="AN247" s="828">
        <v>0</v>
      </c>
      <c r="AO247" s="828">
        <v>0</v>
      </c>
      <c r="AP247" s="828">
        <v>0</v>
      </c>
    </row>
    <row r="248" hidden="1" ht="13.5">
      <c r="B248" s="831" t="s">
        <v>26</v>
      </c>
      <c r="C248" s="823">
        <v>0</v>
      </c>
      <c r="D248" s="823">
        <v>0</v>
      </c>
      <c r="E248" s="823">
        <v>0</v>
      </c>
      <c r="F248" s="823">
        <v>0</v>
      </c>
      <c r="G248" s="823">
        <v>0</v>
      </c>
      <c r="H248" s="823">
        <v>0</v>
      </c>
      <c r="I248" s="823">
        <v>0</v>
      </c>
      <c r="J248" s="823">
        <v>0</v>
      </c>
      <c r="K248" s="823">
        <v>0</v>
      </c>
      <c r="L248" s="823">
        <v>0</v>
      </c>
      <c r="M248" s="823">
        <v>0</v>
      </c>
      <c r="N248" s="823">
        <v>0</v>
      </c>
      <c r="O248" s="823">
        <v>0</v>
      </c>
      <c r="P248" s="823">
        <v>0</v>
      </c>
      <c r="Q248" s="823">
        <v>0</v>
      </c>
      <c r="R248" s="823">
        <v>0</v>
      </c>
      <c r="S248" s="823">
        <v>0</v>
      </c>
      <c r="T248" s="823">
        <v>0</v>
      </c>
      <c r="U248" s="823">
        <v>0</v>
      </c>
      <c r="V248" s="823">
        <v>0</v>
      </c>
      <c r="W248" s="823">
        <v>0</v>
      </c>
      <c r="X248" s="823">
        <v>0</v>
      </c>
      <c r="Y248" s="823">
        <v>0</v>
      </c>
      <c r="Z248" s="823">
        <v>0</v>
      </c>
      <c r="AA248" s="823">
        <v>0</v>
      </c>
      <c r="AB248" s="832">
        <v>0</v>
      </c>
      <c r="AC248" s="825">
        <v>0</v>
      </c>
      <c r="AD248" s="825">
        <v>0</v>
      </c>
      <c r="AE248" s="825">
        <v>0</v>
      </c>
      <c r="AF248" s="825">
        <v>0</v>
      </c>
      <c r="AG248" s="825">
        <v>0</v>
      </c>
      <c r="AH248" s="825">
        <v>0</v>
      </c>
      <c r="AI248" s="825">
        <v>0</v>
      </c>
      <c r="AJ248" s="825">
        <v>0</v>
      </c>
      <c r="AK248" s="825">
        <v>0</v>
      </c>
      <c r="AL248" s="825">
        <v>0</v>
      </c>
      <c r="AM248" s="825">
        <v>0</v>
      </c>
      <c r="AN248" s="825">
        <v>0</v>
      </c>
      <c r="AO248" s="825">
        <v>0</v>
      </c>
      <c r="AP248" s="825">
        <v>0</v>
      </c>
    </row>
    <row r="249" hidden="1" ht="13.5">
      <c r="B249" s="128" t="s">
        <v>7</v>
      </c>
      <c r="C249" s="129" t="str">
        <f>IF(SUM(C230:C248)&lt;&gt;0,SUM(C230:C248),"")</f>
      </c>
      <c r="D249" s="129" t="str">
        <f ref="D249:AA249" t="shared" si="15">IF(SUM(D230:D248)&lt;&gt;0,SUM(D230:D248),"")</f>
      </c>
      <c r="E249" s="129" t="str">
        <f t="shared" si="15"/>
      </c>
      <c r="F249" s="129" t="str">
        <f t="shared" si="15"/>
      </c>
      <c r="G249" s="129" t="str">
        <f t="shared" si="15"/>
      </c>
      <c r="H249" s="129" t="str">
        <f t="shared" si="15"/>
      </c>
      <c r="I249" s="129" t="str">
        <f t="shared" si="15"/>
      </c>
      <c r="J249" s="129" t="str">
        <f t="shared" si="15"/>
      </c>
      <c r="K249" s="129" t="str">
        <f t="shared" si="15"/>
      </c>
      <c r="L249" s="129" t="str">
        <f t="shared" si="15"/>
      </c>
      <c r="M249" s="129" t="str">
        <f t="shared" si="15"/>
      </c>
      <c r="N249" s="129" t="str">
        <f t="shared" si="15"/>
      </c>
      <c r="O249" s="129" t="str">
        <f t="shared" si="15"/>
      </c>
      <c r="P249" s="129" t="str">
        <f t="shared" si="15"/>
      </c>
      <c r="Q249" s="129" t="str">
        <f t="shared" si="15"/>
      </c>
      <c r="R249" s="129" t="str">
        <f t="shared" si="15"/>
      </c>
      <c r="S249" s="129" t="str">
        <f t="shared" si="15"/>
      </c>
      <c r="T249" s="129" t="str">
        <f t="shared" si="15"/>
      </c>
      <c r="U249" s="129" t="str">
        <f t="shared" si="15"/>
      </c>
      <c r="V249" s="129" t="str">
        <f t="shared" si="15"/>
      </c>
      <c r="W249" s="129" t="str">
        <f t="shared" si="15"/>
      </c>
      <c r="X249" s="129" t="str">
        <f t="shared" si="15"/>
      </c>
      <c r="Y249" s="129" t="str">
        <f t="shared" si="15"/>
      </c>
      <c r="Z249" s="129" t="str">
        <f t="shared" si="15"/>
      </c>
      <c r="AA249" s="129" t="str">
        <f t="shared" si="15"/>
      </c>
      <c r="AB249" s="130" t="str">
        <f>IF(SUM(AB230:AB248)&lt;&gt;0,SUM(AB230:AB248),"")</f>
      </c>
      <c r="AC249" s="91" t="str">
        <f ref="AC249:CN249" t="shared" si="16">IF(SUM(AC230:AC248)&lt;&gt;0,SUM(AC230:AC248),"")</f>
      </c>
      <c r="AD249" s="91" t="str">
        <f t="shared" si="16"/>
      </c>
      <c r="AE249" s="91" t="str">
        <f t="shared" si="16"/>
      </c>
      <c r="AF249" s="91" t="str">
        <f t="shared" si="16"/>
      </c>
      <c r="AG249" s="91" t="str">
        <f t="shared" si="16"/>
      </c>
      <c r="AH249" s="91" t="str">
        <f t="shared" si="16"/>
      </c>
      <c r="AI249" s="91" t="str">
        <f t="shared" si="16"/>
      </c>
      <c r="AJ249" s="91" t="str">
        <f t="shared" si="16"/>
      </c>
      <c r="AK249" s="91" t="str">
        <f t="shared" si="16"/>
      </c>
      <c r="AL249" s="91" t="str">
        <f t="shared" si="16"/>
      </c>
      <c r="AM249" s="91" t="str">
        <f t="shared" si="16"/>
      </c>
      <c r="AN249" s="91" t="str">
        <f t="shared" si="16"/>
      </c>
      <c r="AO249" s="91" t="str">
        <f t="shared" si="16"/>
      </c>
      <c r="AP249" s="91" t="str">
        <f t="shared" si="16"/>
      </c>
      <c r="AQ249" s="91" t="str">
        <f t="shared" si="16"/>
      </c>
      <c r="AR249" s="91" t="str">
        <f t="shared" si="16"/>
      </c>
      <c r="AS249" s="91" t="str">
        <f t="shared" si="16"/>
      </c>
      <c r="AT249" s="91" t="str">
        <f t="shared" si="16"/>
      </c>
      <c r="AU249" s="91" t="str">
        <f t="shared" si="16"/>
      </c>
      <c r="AV249" s="91" t="str">
        <f t="shared" si="16"/>
      </c>
      <c r="AW249" s="91" t="str">
        <f t="shared" si="16"/>
      </c>
      <c r="AX249" s="91" t="str">
        <f t="shared" si="16"/>
      </c>
      <c r="AY249" s="91" t="str">
        <f t="shared" si="16"/>
      </c>
      <c r="AZ249" s="91" t="str">
        <f t="shared" si="16"/>
      </c>
      <c r="BA249" s="91" t="str">
        <f t="shared" si="16"/>
      </c>
      <c r="BB249" s="91" t="str">
        <f t="shared" si="16"/>
      </c>
      <c r="BC249" s="91" t="str">
        <f t="shared" si="16"/>
      </c>
      <c r="BD249" s="91" t="str">
        <f t="shared" si="16"/>
      </c>
      <c r="BE249" s="91" t="str">
        <f t="shared" si="16"/>
      </c>
      <c r="BF249" s="91" t="str">
        <f t="shared" si="16"/>
      </c>
      <c r="BG249" s="91" t="str">
        <f t="shared" si="16"/>
      </c>
      <c r="BH249" s="91" t="str">
        <f t="shared" si="16"/>
      </c>
      <c r="BI249" s="91" t="str">
        <f t="shared" si="16"/>
      </c>
      <c r="BJ249" s="91" t="str">
        <f t="shared" si="16"/>
      </c>
      <c r="BK249" s="91" t="str">
        <f t="shared" si="16"/>
      </c>
      <c r="BL249" s="91" t="str">
        <f t="shared" si="16"/>
      </c>
      <c r="BM249" s="91" t="str">
        <f t="shared" si="16"/>
      </c>
      <c r="BN249" s="91" t="str">
        <f t="shared" si="16"/>
      </c>
      <c r="BO249" s="91" t="str">
        <f t="shared" si="16"/>
      </c>
      <c r="BP249" s="91" t="str">
        <f t="shared" si="16"/>
      </c>
      <c r="BQ249" s="91" t="str">
        <f t="shared" si="16"/>
      </c>
      <c r="BR249" s="91" t="str">
        <f t="shared" si="16"/>
      </c>
      <c r="BS249" s="91" t="str">
        <f t="shared" si="16"/>
      </c>
      <c r="BT249" s="91" t="str">
        <f t="shared" si="16"/>
      </c>
      <c r="BU249" s="91" t="str">
        <f t="shared" si="16"/>
      </c>
      <c r="BV249" s="91" t="str">
        <f t="shared" si="16"/>
      </c>
      <c r="BW249" s="91" t="str">
        <f t="shared" si="16"/>
      </c>
      <c r="BX249" s="91" t="str">
        <f t="shared" si="16"/>
      </c>
      <c r="BY249" s="91" t="str">
        <f t="shared" si="16"/>
      </c>
      <c r="BZ249" s="91" t="str">
        <f t="shared" si="16"/>
      </c>
      <c r="CA249" s="91" t="str">
        <f t="shared" si="16"/>
      </c>
      <c r="CB249" s="91" t="str">
        <f t="shared" si="16"/>
      </c>
      <c r="CC249" s="91" t="str">
        <f t="shared" si="16"/>
      </c>
      <c r="CD249" s="91" t="str">
        <f t="shared" si="16"/>
      </c>
      <c r="CE249" s="91" t="str">
        <f t="shared" si="16"/>
      </c>
      <c r="CF249" s="91" t="str">
        <f t="shared" si="16"/>
      </c>
      <c r="CG249" s="91" t="str">
        <f t="shared" si="16"/>
      </c>
      <c r="CH249" s="91" t="str">
        <f t="shared" si="16"/>
      </c>
      <c r="CI249" s="91" t="str">
        <f t="shared" si="16"/>
      </c>
      <c r="CJ249" s="91" t="str">
        <f t="shared" si="16"/>
      </c>
      <c r="CK249" s="91" t="str">
        <f t="shared" si="16"/>
      </c>
      <c r="CL249" s="91" t="str">
        <f t="shared" si="16"/>
      </c>
      <c r="CM249" s="91" t="str">
        <f t="shared" si="16"/>
      </c>
      <c r="CN249" s="91" t="str">
        <f t="shared" si="16"/>
      </c>
      <c r="CO249" s="91" t="str">
        <f ref="CO249:EZ249" t="shared" si="17">IF(SUM(CO230:CO248)&lt;&gt;0,SUM(CO230:CO248),"")</f>
      </c>
      <c r="CP249" s="91" t="str">
        <f t="shared" si="17"/>
      </c>
      <c r="CQ249" s="91" t="str">
        <f t="shared" si="17"/>
      </c>
      <c r="CR249" s="91" t="str">
        <f t="shared" si="17"/>
      </c>
      <c r="CS249" s="91" t="str">
        <f t="shared" si="17"/>
      </c>
      <c r="CT249" s="91" t="str">
        <f t="shared" si="17"/>
      </c>
      <c r="CU249" s="91" t="str">
        <f t="shared" si="17"/>
      </c>
      <c r="CV249" s="91" t="str">
        <f t="shared" si="17"/>
      </c>
      <c r="CW249" s="91" t="str">
        <f t="shared" si="17"/>
      </c>
      <c r="CX249" s="91" t="str">
        <f t="shared" si="17"/>
      </c>
      <c r="CY249" s="91" t="str">
        <f t="shared" si="17"/>
      </c>
      <c r="CZ249" s="91" t="str">
        <f t="shared" si="17"/>
      </c>
      <c r="DA249" s="91" t="str">
        <f t="shared" si="17"/>
      </c>
      <c r="DB249" s="91" t="str">
        <f t="shared" si="17"/>
      </c>
      <c r="DC249" s="91" t="str">
        <f t="shared" si="17"/>
      </c>
      <c r="DD249" s="91" t="str">
        <f t="shared" si="17"/>
      </c>
      <c r="DE249" s="91" t="str">
        <f t="shared" si="17"/>
      </c>
      <c r="DF249" s="91" t="str">
        <f t="shared" si="17"/>
      </c>
      <c r="DG249" s="91" t="str">
        <f t="shared" si="17"/>
      </c>
      <c r="DH249" s="91" t="str">
        <f t="shared" si="17"/>
      </c>
      <c r="DI249" s="91" t="str">
        <f t="shared" si="17"/>
      </c>
      <c r="DJ249" s="91" t="str">
        <f t="shared" si="17"/>
      </c>
      <c r="DK249" s="91" t="str">
        <f t="shared" si="17"/>
      </c>
      <c r="DL249" s="91" t="str">
        <f t="shared" si="17"/>
      </c>
      <c r="DM249" s="91" t="str">
        <f t="shared" si="17"/>
      </c>
      <c r="DN249" s="91" t="str">
        <f t="shared" si="17"/>
      </c>
      <c r="DO249" s="91" t="str">
        <f t="shared" si="17"/>
      </c>
      <c r="DP249" s="91" t="str">
        <f t="shared" si="17"/>
      </c>
      <c r="DQ249" s="91" t="str">
        <f t="shared" si="17"/>
      </c>
      <c r="DR249" s="91" t="str">
        <f t="shared" si="17"/>
      </c>
      <c r="DS249" s="91" t="str">
        <f t="shared" si="17"/>
      </c>
      <c r="DT249" s="91" t="str">
        <f t="shared" si="17"/>
      </c>
      <c r="DU249" s="91" t="str">
        <f t="shared" si="17"/>
      </c>
      <c r="DV249" s="91" t="str">
        <f t="shared" si="17"/>
      </c>
      <c r="DW249" s="91" t="str">
        <f t="shared" si="17"/>
      </c>
      <c r="DX249" s="91" t="str">
        <f t="shared" si="17"/>
      </c>
      <c r="DY249" s="91" t="str">
        <f t="shared" si="17"/>
      </c>
      <c r="DZ249" s="91" t="str">
        <f t="shared" si="17"/>
      </c>
      <c r="EA249" s="91" t="str">
        <f t="shared" si="17"/>
      </c>
      <c r="EB249" s="91" t="str">
        <f t="shared" si="17"/>
      </c>
      <c r="EC249" s="91" t="str">
        <f t="shared" si="17"/>
      </c>
      <c r="ED249" s="91" t="str">
        <f t="shared" si="17"/>
      </c>
      <c r="EE249" s="91" t="str">
        <f t="shared" si="17"/>
      </c>
      <c r="EF249" s="91" t="str">
        <f t="shared" si="17"/>
      </c>
      <c r="EG249" s="91" t="str">
        <f t="shared" si="17"/>
      </c>
      <c r="EH249" s="91" t="str">
        <f t="shared" si="17"/>
      </c>
      <c r="EI249" s="91" t="str">
        <f t="shared" si="17"/>
      </c>
      <c r="EJ249" s="91" t="str">
        <f t="shared" si="17"/>
      </c>
      <c r="EK249" s="91" t="str">
        <f t="shared" si="17"/>
      </c>
      <c r="EL249" s="91" t="str">
        <f t="shared" si="17"/>
      </c>
      <c r="EM249" s="91" t="str">
        <f t="shared" si="17"/>
      </c>
      <c r="EN249" s="91" t="str">
        <f t="shared" si="17"/>
      </c>
      <c r="EO249" s="91" t="str">
        <f t="shared" si="17"/>
      </c>
      <c r="EP249" s="91" t="str">
        <f t="shared" si="17"/>
      </c>
      <c r="EQ249" s="91" t="str">
        <f t="shared" si="17"/>
      </c>
      <c r="ER249" s="91" t="str">
        <f t="shared" si="17"/>
      </c>
      <c r="ES249" s="91" t="str">
        <f t="shared" si="17"/>
      </c>
      <c r="ET249" s="91" t="str">
        <f t="shared" si="17"/>
      </c>
      <c r="EU249" s="91" t="str">
        <f t="shared" si="17"/>
      </c>
      <c r="EV249" s="91" t="str">
        <f t="shared" si="17"/>
      </c>
      <c r="EW249" s="91" t="str">
        <f t="shared" si="17"/>
      </c>
      <c r="EX249" s="91" t="str">
        <f t="shared" si="17"/>
      </c>
      <c r="EY249" s="91" t="str">
        <f t="shared" si="17"/>
      </c>
      <c r="EZ249" s="91" t="str">
        <f t="shared" si="17"/>
      </c>
      <c r="FA249" s="91" t="str">
        <f ref="FA249:HL249" t="shared" si="18">IF(SUM(FA230:FA248)&lt;&gt;0,SUM(FA230:FA248),"")</f>
      </c>
      <c r="FB249" s="91" t="str">
        <f t="shared" si="18"/>
      </c>
      <c r="FC249" s="91" t="str">
        <f t="shared" si="18"/>
      </c>
      <c r="FD249" s="91" t="str">
        <f t="shared" si="18"/>
      </c>
      <c r="FE249" s="91" t="str">
        <f t="shared" si="18"/>
      </c>
      <c r="FF249" s="91" t="str">
        <f t="shared" si="18"/>
      </c>
      <c r="FG249" s="91" t="str">
        <f t="shared" si="18"/>
      </c>
      <c r="FH249" s="91" t="str">
        <f t="shared" si="18"/>
      </c>
      <c r="FI249" s="91" t="str">
        <f t="shared" si="18"/>
      </c>
      <c r="FJ249" s="91" t="str">
        <f t="shared" si="18"/>
      </c>
      <c r="FK249" s="91" t="str">
        <f t="shared" si="18"/>
      </c>
      <c r="FL249" s="91" t="str">
        <f t="shared" si="18"/>
      </c>
      <c r="FM249" s="91" t="str">
        <f t="shared" si="18"/>
      </c>
      <c r="FN249" s="91" t="str">
        <f t="shared" si="18"/>
      </c>
      <c r="FO249" s="91" t="str">
        <f t="shared" si="18"/>
      </c>
      <c r="FP249" s="91" t="str">
        <f t="shared" si="18"/>
      </c>
      <c r="FQ249" s="91" t="str">
        <f t="shared" si="18"/>
      </c>
      <c r="FR249" s="91" t="str">
        <f t="shared" si="18"/>
      </c>
      <c r="FS249" s="91" t="str">
        <f t="shared" si="18"/>
      </c>
      <c r="FT249" s="91" t="str">
        <f t="shared" si="18"/>
      </c>
      <c r="FU249" s="91" t="str">
        <f t="shared" si="18"/>
      </c>
      <c r="FV249" s="91" t="str">
        <f t="shared" si="18"/>
      </c>
      <c r="FW249" s="91" t="str">
        <f t="shared" si="18"/>
      </c>
      <c r="FX249" s="91" t="str">
        <f t="shared" si="18"/>
      </c>
      <c r="FY249" s="91" t="str">
        <f t="shared" si="18"/>
      </c>
      <c r="FZ249" s="91" t="str">
        <f t="shared" si="18"/>
      </c>
      <c r="GA249" s="91" t="str">
        <f t="shared" si="18"/>
      </c>
      <c r="GB249" s="91" t="str">
        <f t="shared" si="18"/>
      </c>
      <c r="GC249" s="91" t="str">
        <f t="shared" si="18"/>
      </c>
      <c r="GD249" s="91" t="str">
        <f t="shared" si="18"/>
      </c>
      <c r="GE249" s="91" t="str">
        <f t="shared" si="18"/>
      </c>
      <c r="GF249" s="91" t="str">
        <f t="shared" si="18"/>
      </c>
      <c r="GG249" s="91" t="str">
        <f t="shared" si="18"/>
      </c>
      <c r="GH249" s="91" t="str">
        <f t="shared" si="18"/>
      </c>
      <c r="GI249" s="91" t="str">
        <f t="shared" si="18"/>
      </c>
      <c r="GJ249" s="91" t="str">
        <f t="shared" si="18"/>
      </c>
      <c r="GK249" s="91" t="str">
        <f t="shared" si="18"/>
      </c>
      <c r="GL249" s="91" t="str">
        <f t="shared" si="18"/>
      </c>
      <c r="GM249" s="91" t="str">
        <f t="shared" si="18"/>
      </c>
      <c r="GN249" s="91" t="str">
        <f t="shared" si="18"/>
      </c>
      <c r="GO249" s="91" t="str">
        <f t="shared" si="18"/>
      </c>
      <c r="GP249" s="91" t="str">
        <f t="shared" si="18"/>
      </c>
      <c r="GQ249" s="91" t="str">
        <f t="shared" si="18"/>
      </c>
      <c r="GR249" s="91" t="str">
        <f t="shared" si="18"/>
      </c>
      <c r="GS249" s="91" t="str">
        <f t="shared" si="18"/>
      </c>
      <c r="GT249" s="91" t="str">
        <f t="shared" si="18"/>
      </c>
      <c r="GU249" s="91" t="str">
        <f t="shared" si="18"/>
      </c>
      <c r="GV249" s="91" t="str">
        <f t="shared" si="18"/>
      </c>
      <c r="GW249" s="91" t="str">
        <f t="shared" si="18"/>
      </c>
      <c r="GX249" s="91" t="str">
        <f t="shared" si="18"/>
      </c>
      <c r="GY249" s="91" t="str">
        <f t="shared" si="18"/>
      </c>
      <c r="GZ249" s="91" t="str">
        <f t="shared" si="18"/>
      </c>
      <c r="HA249" s="91" t="str">
        <f t="shared" si="18"/>
      </c>
      <c r="HB249" s="91" t="str">
        <f t="shared" si="18"/>
      </c>
      <c r="HC249" s="91" t="str">
        <f t="shared" si="18"/>
      </c>
      <c r="HD249" s="91" t="str">
        <f t="shared" si="18"/>
      </c>
      <c r="HE249" s="91" t="str">
        <f t="shared" si="18"/>
      </c>
      <c r="HF249" s="91" t="str">
        <f t="shared" si="18"/>
      </c>
      <c r="HG249" s="91" t="str">
        <f t="shared" si="18"/>
      </c>
      <c r="HH249" s="91" t="str">
        <f t="shared" si="18"/>
      </c>
      <c r="HI249" s="91" t="str">
        <f t="shared" si="18"/>
      </c>
      <c r="HJ249" s="91" t="str">
        <f t="shared" si="18"/>
      </c>
      <c r="HK249" s="91" t="str">
        <f t="shared" si="18"/>
      </c>
      <c r="HL249" s="91" t="str">
        <f t="shared" si="18"/>
      </c>
      <c r="HM249" s="91" t="str">
        <f ref="HM249:IV249" t="shared" si="19">IF(SUM(HM230:HM248)&lt;&gt;0,SUM(HM230:HM248),"")</f>
      </c>
      <c r="HN249" s="91" t="str">
        <f t="shared" si="19"/>
      </c>
      <c r="HO249" s="91" t="str">
        <f t="shared" si="19"/>
      </c>
      <c r="HP249" s="91" t="str">
        <f t="shared" si="19"/>
      </c>
      <c r="HQ249" s="91" t="str">
        <f t="shared" si="19"/>
      </c>
      <c r="HR249" s="91" t="str">
        <f t="shared" si="19"/>
      </c>
      <c r="HS249" s="91" t="str">
        <f t="shared" si="19"/>
      </c>
      <c r="HT249" s="91" t="str">
        <f t="shared" si="19"/>
      </c>
      <c r="HU249" s="91" t="str">
        <f t="shared" si="19"/>
      </c>
      <c r="HV249" s="91" t="str">
        <f t="shared" si="19"/>
      </c>
      <c r="HW249" s="91" t="str">
        <f t="shared" si="19"/>
      </c>
      <c r="HX249" s="91" t="str">
        <f t="shared" si="19"/>
      </c>
      <c r="HY249" s="91" t="str">
        <f t="shared" si="19"/>
      </c>
      <c r="HZ249" s="91" t="str">
        <f t="shared" si="19"/>
      </c>
      <c r="IA249" s="91" t="str">
        <f t="shared" si="19"/>
      </c>
      <c r="IB249" s="91" t="str">
        <f t="shared" si="19"/>
      </c>
      <c r="IC249" s="91" t="str">
        <f t="shared" si="19"/>
      </c>
      <c r="ID249" s="91" t="str">
        <f t="shared" si="19"/>
      </c>
      <c r="IE249" s="91" t="str">
        <f t="shared" si="19"/>
      </c>
      <c r="IF249" s="91" t="str">
        <f t="shared" si="19"/>
      </c>
      <c r="IG249" s="91" t="str">
        <f t="shared" si="19"/>
      </c>
      <c r="IH249" s="91" t="str">
        <f t="shared" si="19"/>
      </c>
      <c r="II249" s="91" t="str">
        <f t="shared" si="19"/>
      </c>
      <c r="IJ249" s="91" t="str">
        <f t="shared" si="19"/>
      </c>
      <c r="IK249" s="91" t="str">
        <f t="shared" si="19"/>
      </c>
      <c r="IL249" s="91" t="str">
        <f t="shared" si="19"/>
      </c>
      <c r="IM249" s="91" t="str">
        <f t="shared" si="19"/>
      </c>
      <c r="IN249" s="91" t="str">
        <f t="shared" si="19"/>
      </c>
      <c r="IO249" s="91" t="str">
        <f t="shared" si="19"/>
      </c>
      <c r="IP249" s="91" t="str">
        <f t="shared" si="19"/>
      </c>
      <c r="IQ249" s="91" t="str">
        <f t="shared" si="19"/>
      </c>
      <c r="IR249" s="91" t="str">
        <f t="shared" si="19"/>
      </c>
      <c r="IS249" s="91" t="str">
        <f t="shared" si="19"/>
      </c>
      <c r="IT249" s="91" t="str">
        <f t="shared" si="19"/>
      </c>
      <c r="IU249" s="91" t="str">
        <f t="shared" si="19"/>
      </c>
      <c r="IV249" s="91" t="str">
        <f t="shared" si="19"/>
      </c>
    </row>
    <row r="250" hidden="1" ht="15">
      <c r="B250" s="215"/>
      <c r="C250" s="219"/>
      <c r="D250" s="219"/>
      <c r="E250" s="219"/>
      <c r="F250" s="219"/>
      <c r="G250" s="219"/>
      <c r="H250" s="219"/>
      <c r="I250" s="219"/>
      <c r="J250" s="219"/>
      <c r="K250" s="219"/>
      <c r="L250" s="50"/>
      <c r="P250" s="91"/>
      <c r="Q250" s="91"/>
      <c r="Y250" s="50"/>
      <c r="Z250" s="50"/>
    </row>
    <row r="251" hidden="1" ht="13.5">
      <c r="B251" s="162"/>
    </row>
    <row r="252" hidden="1" ht="13.5" customHeight="1">
      <c r="B252" s="162"/>
      <c r="C252" s="617" t="s">
        <v>258</v>
      </c>
      <c r="D252" s="618"/>
      <c r="E252" s="618"/>
      <c r="F252" s="618"/>
      <c r="G252" s="618"/>
      <c r="H252" s="618"/>
      <c r="I252" s="618"/>
      <c r="J252" s="618"/>
      <c r="K252" s="618"/>
      <c r="L252" s="618"/>
      <c r="M252" s="618"/>
      <c r="N252" s="618"/>
      <c r="O252" s="618"/>
      <c r="P252" s="618"/>
      <c r="Q252" s="618"/>
      <c r="R252" s="618"/>
      <c r="S252" s="618"/>
      <c r="T252" s="618"/>
      <c r="U252" s="618"/>
      <c r="V252" s="618"/>
      <c r="W252" s="618"/>
      <c r="X252" s="618"/>
      <c r="Y252" s="618"/>
      <c r="Z252" s="618"/>
      <c r="AA252" s="618"/>
      <c r="AB252" s="619"/>
    </row>
    <row r="253" hidden="1" ht="13.5">
      <c r="C253" s="435" t="str">
        <f> IF(C273&lt;&gt;"",TEXT(AUX!G$1,"dd-MMM-aa"),"")</f>
      </c>
      <c r="D253" s="435" t="str">
        <f> IF(D273&lt;&gt;"",TEXT(AUX!H$1,"dd-MMM-aa"),"")</f>
      </c>
      <c r="E253" s="435" t="str">
        <f> IF(E273&lt;&gt;"",TEXT(AUX!I$1,"dd-MMM-aa"),"")</f>
      </c>
      <c r="F253" s="435" t="str">
        <f> IF(F273&lt;&gt;"",TEXT(AUX!J$1,"dd-MMM-aa"),"")</f>
      </c>
      <c r="G253" s="435" t="str">
        <f> IF(G273&lt;&gt;"",TEXT(AUX!K$1,"dd-MMM-aa"),"")</f>
      </c>
      <c r="H253" s="435" t="str">
        <f> IF(H273&lt;&gt;"",TEXT(AUX!L$1,"dd-MMM-aa"),"")</f>
      </c>
      <c r="I253" s="435" t="str">
        <f> IF(I273&lt;&gt;"",TEXT(AUX!M$1,"dd-MMM-aa"),"")</f>
      </c>
      <c r="J253" s="435" t="str">
        <f> IF(J273&lt;&gt;"",TEXT(AUX!N$1,"dd-MMM-aa"),"")</f>
      </c>
      <c r="K253" s="435" t="str">
        <f> IF(K273&lt;&gt;"",TEXT(AUX!O$1,"dd-MMM-aa"),"")</f>
      </c>
      <c r="L253" s="435" t="str">
        <f> IF(L273&lt;&gt;"",TEXT(AUX!P$1,"dd-MMM-aa"),"")</f>
      </c>
      <c r="M253" s="435" t="str">
        <f> IF(M273&lt;&gt;"",TEXT(AUX!Q$1,"dd-MMM-aa"),"")</f>
      </c>
      <c r="N253" s="435" t="str">
        <f> IF(N273&lt;&gt;"",TEXT(AUX!R$1,"dd-MMM-aa"),"")</f>
      </c>
      <c r="O253" s="435" t="str">
        <f> IF(O273&lt;&gt;"",TEXT(AUX!S$1,"dd-MMM-aa"),"")</f>
      </c>
      <c r="P253" s="435" t="str">
        <f> IF(P273&lt;&gt;"",TEXT(AUX!T$1,"dd-MMM-aa"),"")</f>
      </c>
      <c r="Q253" s="435" t="str">
        <f> IF(Q273&lt;&gt;"",TEXT(AUX!U$1,"dd-MMM-aa"),"")</f>
      </c>
      <c r="R253" s="435" t="str">
        <f> IF(R273&lt;&gt;"",TEXT(AUX!V$1,"dd-MMM-aa"),"")</f>
      </c>
      <c r="S253" s="435" t="str">
        <f> IF(S273&lt;&gt;"",TEXT(AUX!W$1,"dd-MMM-aa"),"")</f>
      </c>
      <c r="T253" s="435" t="str">
        <f> IF(T273&lt;&gt;"",TEXT(AUX!X$1,"dd-MMM-aa"),"")</f>
      </c>
      <c r="U253" s="435" t="str">
        <f> IF(U273&lt;&gt;"",TEXT(AUX!Y$1,"dd-MMM-aa"),"")</f>
      </c>
      <c r="V253" s="435" t="str">
        <f> IF(V273&lt;&gt;"",TEXT(AUX!Z$1,"dd-MMM-aa"),"")</f>
      </c>
      <c r="W253" s="435" t="str">
        <f> IF(W273&lt;&gt;"",TEXT(AUX!AA$1,"dd-MMM-aa"),"")</f>
      </c>
      <c r="X253" s="435" t="str">
        <f> IF(X273&lt;&gt;"",TEXT(AUX!AB$1,"dd-MMM-aa"),"")</f>
      </c>
      <c r="Y253" s="435" t="str">
        <f> IF(Y273&lt;&gt;"",TEXT(AUX!AC$1,"dd-MMM-aa"),"")</f>
      </c>
      <c r="Z253" s="435" t="str">
        <f> IF(Z273&lt;&gt;"",TEXT(AUX!AD$1,"dd-MMM-aa"),"")</f>
      </c>
      <c r="AA253" s="435" t="str">
        <f> IF(AA273&lt;&gt;"",TEXT(AUX!AE$1,"dd-MMM-aa"),"")</f>
      </c>
      <c r="AB253" s="497" t="str">
        <f> IF(AB273&lt;&gt;"",TEXT(AUX!AF$1,"dd-MMM-aa"),"")</f>
      </c>
      <c r="AC253" s="496" t="str">
        <f> IF(AC273&lt;&gt;"",TEXT(AUX!AG$1,"dd-MMM-aa"),"")</f>
      </c>
      <c r="AD253" s="496" t="str">
        <f> IF(AD273&lt;&gt;"",TEXT(AUX!AH$1,"dd-MMM-aa"),"")</f>
      </c>
      <c r="AE253" s="496" t="str">
        <f> IF(AE273&lt;&gt;"",TEXT(AUX!AI$1,"dd-MMM-aa"),"")</f>
      </c>
      <c r="AF253" s="496" t="str">
        <f> IF(AF273&lt;&gt;"",TEXT(AUX!AJ$1,"dd-MMM-aa"),"")</f>
      </c>
      <c r="AG253" s="496" t="str">
        <f> IF(AG273&lt;&gt;"",TEXT(AUX!AK$1,"dd-MMM-aa"),"")</f>
      </c>
      <c r="AH253" s="496" t="str">
        <f> IF(AH273&lt;&gt;"",TEXT(AUX!AL$1,"dd-MMM-aa"),"")</f>
      </c>
      <c r="AI253" s="496" t="str">
        <f> IF(AI273&lt;&gt;"",TEXT(AUX!AM$1,"dd-MMM-aa"),"")</f>
      </c>
      <c r="AJ253" s="496" t="str">
        <f> IF(AJ273&lt;&gt;"",TEXT(AUX!AN$1,"dd-MMM-aa"),"")</f>
      </c>
      <c r="AK253" s="496" t="str">
        <f> IF(AK273&lt;&gt;"",TEXT(AUX!AO$1,"dd-MMM-aa"),"")</f>
      </c>
      <c r="AL253" s="496" t="str">
        <f> IF(AL273&lt;&gt;"",TEXT(AUX!AP$1,"dd-MMM-aa"),"")</f>
      </c>
      <c r="AM253" s="496" t="str">
        <f> IF(AM273&lt;&gt;"",TEXT(AUX!AQ$1,"dd-MMM-aa"),"")</f>
      </c>
      <c r="AN253" s="496" t="str">
        <f> IF(AN273&lt;&gt;"",TEXT(AUX!AR$1,"dd-MMM-aa"),"")</f>
      </c>
      <c r="AO253" s="496" t="str">
        <f> IF(AO273&lt;&gt;"",TEXT(AUX!AS$1,"dd-MMM-aa"),"")</f>
      </c>
      <c r="AP253" s="496" t="str">
        <f> IF(AP273&lt;&gt;"",TEXT(AUX!AT$1,"dd-MMM-aa"),"")</f>
      </c>
      <c r="AQ253" s="496" t="str">
        <f> IF(AQ273&lt;&gt;"",TEXT(AUX!AU$1,"dd-MMM-aa"),"")</f>
      </c>
      <c r="AR253" s="496" t="str">
        <f> IF(AR273&lt;&gt;"",TEXT(AUX!AV$1,"dd-MMM-aa"),"")</f>
      </c>
      <c r="AS253" s="496" t="str">
        <f> IF(AS273&lt;&gt;"",TEXT(AUX!AW$1,"dd-MMM-aa"),"")</f>
      </c>
      <c r="AT253" s="496" t="str">
        <f> IF(AT273&lt;&gt;"",TEXT(AUX!AX$1,"dd-MMM-aa"),"")</f>
      </c>
      <c r="AU253" s="496" t="str">
        <f> IF(AU273&lt;&gt;"",TEXT(AUX!AY$1,"dd-MMM-aa"),"")</f>
      </c>
      <c r="AV253" s="496" t="str">
        <f> IF(AV273&lt;&gt;"",TEXT(AUX!AZ$1,"dd-MMM-aa"),"")</f>
      </c>
      <c r="AW253" s="496" t="str">
        <f> IF(AW273&lt;&gt;"",TEXT(AUX!BA$1,"dd-MMM-aa"),"")</f>
      </c>
      <c r="AX253" s="496" t="str">
        <f> IF(AX273&lt;&gt;"",TEXT(AUX!BB$1,"dd-MMM-aa"),"")</f>
      </c>
      <c r="AY253" s="496" t="str">
        <f> IF(AY273&lt;&gt;"",TEXT(AUX!BC$1,"dd-MMM-aa"),"")</f>
      </c>
      <c r="AZ253" s="496" t="str">
        <f> IF(AZ273&lt;&gt;"",TEXT(AUX!BD$1,"dd-MMM-aa"),"")</f>
      </c>
      <c r="BA253" s="496" t="str">
        <f> IF(BA273&lt;&gt;"",TEXT(AUX!BE$1,"dd-MMM-aa"),"")</f>
      </c>
      <c r="BB253" s="496" t="str">
        <f> IF(BB273&lt;&gt;"",TEXT(AUX!BF$1,"dd-MMM-aa"),"")</f>
      </c>
      <c r="BC253" s="496" t="str">
        <f> IF(BC273&lt;&gt;"",TEXT(AUX!BG$1,"dd-MMM-aa"),"")</f>
      </c>
      <c r="BD253" s="496" t="str">
        <f> IF(BD273&lt;&gt;"",TEXT(AUX!BH$1,"dd-MMM-aa"),"")</f>
      </c>
      <c r="BE253" s="496" t="str">
        <f> IF(BE273&lt;&gt;"",TEXT(AUX!BI$1,"dd-MMM-aa"),"")</f>
      </c>
      <c r="BF253" s="496" t="str">
        <f> IF(BF273&lt;&gt;"",TEXT(AUX!BJ$1,"dd-MMM-aa"),"")</f>
      </c>
      <c r="BG253" s="496" t="str">
        <f> IF(BG273&lt;&gt;"",TEXT(AUX!BK$1,"dd-MMM-aa"),"")</f>
      </c>
      <c r="BH253" s="496" t="str">
        <f> IF(BH273&lt;&gt;"",TEXT(AUX!BL$1,"dd-MMM-aa"),"")</f>
      </c>
      <c r="BI253" s="496" t="str">
        <f> IF(BI273&lt;&gt;"",TEXT(AUX!BM$1,"dd-MMM-aa"),"")</f>
      </c>
      <c r="BJ253" s="496" t="str">
        <f> IF(BJ273&lt;&gt;"",TEXT(AUX!BN$1,"dd-MMM-aa"),"")</f>
      </c>
      <c r="BK253" s="496" t="str">
        <f> IF(BK273&lt;&gt;"",TEXT(AUX!BO$1,"dd-MMM-aa"),"")</f>
      </c>
      <c r="BL253" s="496" t="str">
        <f> IF(BL273&lt;&gt;"",TEXT(AUX!BP$1,"dd-MMM-aa"),"")</f>
      </c>
      <c r="BM253" s="496" t="str">
        <f> IF(BM273&lt;&gt;"",TEXT(AUX!BQ$1,"dd-MMM-aa"),"")</f>
      </c>
      <c r="BN253" s="496" t="str">
        <f> IF(BN273&lt;&gt;"",TEXT(AUX!BR$1,"dd-MMM-aa"),"")</f>
      </c>
      <c r="BO253" s="496" t="str">
        <f> IF(BO273&lt;&gt;"",TEXT(AUX!BS$1,"dd-MMM-aa"),"")</f>
      </c>
      <c r="BP253" s="496" t="str">
        <f> IF(BP273&lt;&gt;"",TEXT(AUX!BT$1,"dd-MMM-aa"),"")</f>
      </c>
      <c r="BQ253" s="496" t="str">
        <f> IF(BQ273&lt;&gt;"",TEXT(AUX!BU$1,"dd-MMM-aa"),"")</f>
      </c>
      <c r="BR253" s="496" t="str">
        <f> IF(BR273&lt;&gt;"",TEXT(AUX!BV$1,"dd-MMM-aa"),"")</f>
      </c>
      <c r="BS253" s="496" t="str">
        <f> IF(BS273&lt;&gt;"",TEXT(AUX!BW$1,"dd-MMM-aa"),"")</f>
      </c>
      <c r="BT253" s="496" t="str">
        <f> IF(BT273&lt;&gt;"",TEXT(AUX!BX$1,"dd-MMM-aa"),"")</f>
      </c>
      <c r="BU253" s="496" t="str">
        <f> IF(BU273&lt;&gt;"",TEXT(AUX!BY$1,"dd-MMM-aa"),"")</f>
      </c>
      <c r="BV253" s="496" t="str">
        <f> IF(BV273&lt;&gt;"",TEXT(AUX!BZ$1,"dd-MMM-aa"),"")</f>
      </c>
      <c r="BW253" s="496" t="str">
        <f> IF(BW273&lt;&gt;"",TEXT(AUX!CA$1,"dd-MMM-aa"),"")</f>
      </c>
      <c r="BX253" s="496" t="str">
        <f> IF(BX273&lt;&gt;"",TEXT(AUX!CB$1,"dd-MMM-aa"),"")</f>
      </c>
      <c r="BY253" s="496" t="str">
        <f> IF(BY273&lt;&gt;"",TEXT(AUX!CC$1,"dd-MMM-aa"),"")</f>
      </c>
      <c r="BZ253" s="496" t="str">
        <f> IF(BZ273&lt;&gt;"",TEXT(AUX!CD$1,"dd-MMM-aa"),"")</f>
      </c>
      <c r="CA253" s="496" t="str">
        <f> IF(CA273&lt;&gt;"",TEXT(AUX!CE$1,"dd-MMM-aa"),"")</f>
      </c>
      <c r="CB253" s="496" t="str">
        <f> IF(CB273&lt;&gt;"",TEXT(AUX!CF$1,"dd-MMM-aa"),"")</f>
      </c>
      <c r="CC253" s="496" t="str">
        <f> IF(CC273&lt;&gt;"",TEXT(AUX!CG$1,"dd-MMM-aa"),"")</f>
      </c>
      <c r="CD253" s="496" t="str">
        <f> IF(CD273&lt;&gt;"",TEXT(AUX!CH$1,"dd-MMM-aa"),"")</f>
      </c>
      <c r="CE253" s="496" t="str">
        <f> IF(CE273&lt;&gt;"",TEXT(AUX!CI$1,"dd-MMM-aa"),"")</f>
      </c>
      <c r="CF253" s="496" t="str">
        <f> IF(CF273&lt;&gt;"",TEXT(AUX!CJ$1,"dd-MMM-aa"),"")</f>
      </c>
      <c r="CG253" s="496" t="str">
        <f> IF(CG273&lt;&gt;"",TEXT(AUX!CK$1,"dd-MMM-aa"),"")</f>
      </c>
      <c r="CH253" s="496" t="str">
        <f> IF(CH273&lt;&gt;"",TEXT(AUX!CL$1,"dd-MMM-aa"),"")</f>
      </c>
      <c r="CI253" s="496" t="str">
        <f> IF(CI273&lt;&gt;"",TEXT(AUX!CM$1,"dd-MMM-aa"),"")</f>
      </c>
      <c r="CJ253" s="496" t="str">
        <f> IF(CJ273&lt;&gt;"",TEXT(AUX!CN$1,"dd-MMM-aa"),"")</f>
      </c>
      <c r="CK253" s="496" t="str">
        <f> IF(CK273&lt;&gt;"",TEXT(AUX!CO$1,"dd-MMM-aa"),"")</f>
      </c>
      <c r="CL253" s="496" t="str">
        <f> IF(CL273&lt;&gt;"",TEXT(AUX!CP$1,"dd-MMM-aa"),"")</f>
      </c>
      <c r="CM253" s="496" t="str">
        <f> IF(CM273&lt;&gt;"",TEXT(AUX!CQ$1,"dd-MMM-aa"),"")</f>
      </c>
      <c r="CN253" s="496" t="str">
        <f> IF(CN273&lt;&gt;"",TEXT(AUX!CR$1,"dd-MMM-aa"),"")</f>
      </c>
      <c r="CO253" s="496" t="str">
        <f> IF(CO273&lt;&gt;"",TEXT(AUX!CS$1,"dd-MMM-aa"),"")</f>
      </c>
      <c r="CP253" s="496" t="str">
        <f> IF(CP273&lt;&gt;"",TEXT(AUX!CT$1,"dd-MMM-aa"),"")</f>
      </c>
      <c r="CQ253" s="496" t="str">
        <f> IF(CQ273&lt;&gt;"",TEXT(AUX!CU$1,"dd-MMM-aa"),"")</f>
      </c>
      <c r="CR253" s="496" t="str">
        <f> IF(CR273&lt;&gt;"",TEXT(AUX!CV$1,"dd-MMM-aa"),"")</f>
      </c>
      <c r="CS253" s="496" t="str">
        <f> IF(CS273&lt;&gt;"",TEXT(AUX!CW$1,"dd-MMM-aa"),"")</f>
      </c>
      <c r="CT253" s="496" t="str">
        <f> IF(CT273&lt;&gt;"",TEXT(AUX!CX$1,"dd-MMM-aa"),"")</f>
      </c>
      <c r="CU253" s="496" t="str">
        <f> IF(CU273&lt;&gt;"",TEXT(AUX!CY$1,"dd-MMM-aa"),"")</f>
      </c>
      <c r="CV253" s="496" t="str">
        <f> IF(CV273&lt;&gt;"",TEXT(AUX!CZ$1,"dd-MMM-aa"),"")</f>
      </c>
      <c r="CW253" s="496" t="str">
        <f> IF(CW273&lt;&gt;"",TEXT(AUX!DA$1,"dd-MMM-aa"),"")</f>
      </c>
      <c r="CX253" s="496" t="str">
        <f> IF(CX273&lt;&gt;"",TEXT(AUX!DB$1,"dd-MMM-aa"),"")</f>
      </c>
      <c r="CY253" s="496" t="str">
        <f> IF(CY273&lt;&gt;"",TEXT(AUX!DC$1,"dd-MMM-aa"),"")</f>
      </c>
      <c r="CZ253" s="496" t="str">
        <f> IF(CZ273&lt;&gt;"",TEXT(AUX!DD$1,"dd-MMM-aa"),"")</f>
      </c>
      <c r="DA253" s="496" t="str">
        <f> IF(DA273&lt;&gt;"",TEXT(AUX!DE$1,"dd-MMM-aa"),"")</f>
      </c>
      <c r="DB253" s="496" t="str">
        <f> IF(DB273&lt;&gt;"",TEXT(AUX!DF$1,"dd-MMM-aa"),"")</f>
      </c>
      <c r="DC253" s="496" t="str">
        <f> IF(DC273&lt;&gt;"",TEXT(AUX!DG$1,"dd-MMM-aa"),"")</f>
      </c>
      <c r="DD253" s="496" t="str">
        <f> IF(DD273&lt;&gt;"",TEXT(AUX!DH$1,"dd-MMM-aa"),"")</f>
      </c>
      <c r="DE253" s="496" t="str">
        <f> IF(DE273&lt;&gt;"",TEXT(AUX!DI$1,"dd-MMM-aa"),"")</f>
      </c>
      <c r="DF253" s="496" t="str">
        <f> IF(DF273&lt;&gt;"",TEXT(AUX!DJ$1,"dd-MMM-aa"),"")</f>
      </c>
      <c r="DG253" s="496" t="str">
        <f> IF(DG273&lt;&gt;"",TEXT(AUX!DK$1,"dd-MMM-aa"),"")</f>
      </c>
      <c r="DH253" s="496" t="str">
        <f> IF(DH273&lt;&gt;"",TEXT(AUX!DL$1,"dd-MMM-aa"),"")</f>
      </c>
      <c r="DI253" s="496" t="str">
        <f> IF(DI273&lt;&gt;"",TEXT(AUX!DM$1,"dd-MMM-aa"),"")</f>
      </c>
      <c r="DJ253" s="496" t="str">
        <f> IF(DJ273&lt;&gt;"",TEXT(AUX!DN$1,"dd-MMM-aa"),"")</f>
      </c>
      <c r="DK253" s="496" t="str">
        <f> IF(DK273&lt;&gt;"",TEXT(AUX!DO$1,"dd-MMM-aa"),"")</f>
      </c>
      <c r="DL253" s="496" t="str">
        <f> IF(DL273&lt;&gt;"",TEXT(AUX!DP$1,"dd-MMM-aa"),"")</f>
      </c>
      <c r="DM253" s="496" t="str">
        <f> IF(DM273&lt;&gt;"",TEXT(AUX!DQ$1,"dd-MMM-aa"),"")</f>
      </c>
      <c r="DN253" s="496" t="str">
        <f> IF(DN273&lt;&gt;"",TEXT(AUX!DR$1,"dd-MMM-aa"),"")</f>
      </c>
      <c r="DO253" s="496" t="str">
        <f> IF(DO273&lt;&gt;"",TEXT(AUX!DS$1,"dd-MMM-aa"),"")</f>
      </c>
      <c r="DP253" s="496" t="str">
        <f> IF(DP273&lt;&gt;"",TEXT(AUX!DT$1,"dd-MMM-aa"),"")</f>
      </c>
      <c r="DQ253" s="496" t="str">
        <f> IF(DQ273&lt;&gt;"",TEXT(AUX!DU$1,"dd-MMM-aa"),"")</f>
      </c>
      <c r="DR253" s="496" t="str">
        <f> IF(DR273&lt;&gt;"",TEXT(AUX!DV$1,"dd-MMM-aa"),"")</f>
      </c>
      <c r="DS253" s="496" t="str">
        <f> IF(DS273&lt;&gt;"",TEXT(AUX!DW$1,"dd-MMM-aa"),"")</f>
      </c>
      <c r="DT253" s="496" t="str">
        <f> IF(DT273&lt;&gt;"",TEXT(AUX!DX$1,"dd-MMM-aa"),"")</f>
      </c>
      <c r="DU253" s="496" t="str">
        <f> IF(DU273&lt;&gt;"",TEXT(AUX!DY$1,"dd-MMM-aa"),"")</f>
      </c>
      <c r="DV253" s="496" t="str">
        <f> IF(DV273&lt;&gt;"",TEXT(AUX!DZ$1,"dd-MMM-aa"),"")</f>
      </c>
      <c r="DW253" s="496" t="str">
        <f> IF(DW273&lt;&gt;"",TEXT(AUX!EA$1,"dd-MMM-aa"),"")</f>
      </c>
      <c r="DX253" s="496" t="str">
        <f> IF(DX273&lt;&gt;"",TEXT(AUX!EB$1,"dd-MMM-aa"),"")</f>
      </c>
      <c r="DY253" s="496" t="str">
        <f> IF(DY273&lt;&gt;"",TEXT(AUX!EC$1,"dd-MMM-aa"),"")</f>
      </c>
      <c r="DZ253" s="496" t="str">
        <f> IF(DZ273&lt;&gt;"",TEXT(AUX!ED$1,"dd-MMM-aa"),"")</f>
      </c>
      <c r="EA253" s="496" t="str">
        <f> IF(EA273&lt;&gt;"",TEXT(AUX!EE$1,"dd-MMM-aa"),"")</f>
      </c>
      <c r="EB253" s="496" t="str">
        <f> IF(EB273&lt;&gt;"",TEXT(AUX!EF$1,"dd-MMM-aa"),"")</f>
      </c>
      <c r="EC253" s="496" t="str">
        <f> IF(EC273&lt;&gt;"",TEXT(AUX!EG$1,"dd-MMM-aa"),"")</f>
      </c>
      <c r="ED253" s="496" t="str">
        <f> IF(ED273&lt;&gt;"",TEXT(AUX!EH$1,"dd-MMM-aa"),"")</f>
      </c>
      <c r="EE253" s="496" t="str">
        <f> IF(EE273&lt;&gt;"",TEXT(AUX!EI$1,"dd-MMM-aa"),"")</f>
      </c>
      <c r="EF253" s="496" t="str">
        <f> IF(EF273&lt;&gt;"",TEXT(AUX!EJ$1,"dd-MMM-aa"),"")</f>
      </c>
      <c r="EG253" s="496" t="str">
        <f> IF(EG273&lt;&gt;"",TEXT(AUX!EK$1,"dd-MMM-aa"),"")</f>
      </c>
      <c r="EH253" s="496" t="str">
        <f> IF(EH273&lt;&gt;"",TEXT(AUX!EL$1,"dd-MMM-aa"),"")</f>
      </c>
      <c r="EI253" s="496" t="str">
        <f> IF(EI273&lt;&gt;"",TEXT(AUX!EM$1,"dd-MMM-aa"),"")</f>
      </c>
      <c r="EJ253" s="496" t="str">
        <f> IF(EJ273&lt;&gt;"",TEXT(AUX!EN$1,"dd-MMM-aa"),"")</f>
      </c>
      <c r="EK253" s="496" t="str">
        <f> IF(EK273&lt;&gt;"",TEXT(AUX!EO$1,"dd-MMM-aa"),"")</f>
      </c>
      <c r="EL253" s="496" t="str">
        <f> IF(EL273&lt;&gt;"",TEXT(AUX!EP$1,"dd-MMM-aa"),"")</f>
      </c>
      <c r="EM253" s="496" t="str">
        <f> IF(EM273&lt;&gt;"",TEXT(AUX!EQ$1,"dd-MMM-aa"),"")</f>
      </c>
      <c r="EN253" s="496" t="str">
        <f> IF(EN273&lt;&gt;"",TEXT(AUX!ER$1,"dd-MMM-aa"),"")</f>
      </c>
      <c r="EO253" s="496" t="str">
        <f> IF(EO273&lt;&gt;"",TEXT(AUX!ES$1,"dd-MMM-aa"),"")</f>
      </c>
      <c r="EP253" s="496" t="str">
        <f> IF(EP273&lt;&gt;"",TEXT(AUX!ET$1,"dd-MMM-aa"),"")</f>
      </c>
      <c r="EQ253" s="496" t="str">
        <f> IF(EQ273&lt;&gt;"",TEXT(AUX!EU$1,"dd-MMM-aa"),"")</f>
      </c>
      <c r="ER253" s="496" t="str">
        <f> IF(ER273&lt;&gt;"",TEXT(AUX!EV$1,"dd-MMM-aa"),"")</f>
      </c>
      <c r="ES253" s="496" t="str">
        <f> IF(ES273&lt;&gt;"",TEXT(AUX!EW$1,"dd-MMM-aa"),"")</f>
      </c>
      <c r="ET253" s="496" t="str">
        <f> IF(ET273&lt;&gt;"",TEXT(AUX!EX$1,"dd-MMM-aa"),"")</f>
      </c>
      <c r="EU253" s="496" t="str">
        <f> IF(EU273&lt;&gt;"",TEXT(AUX!EY$1,"dd-MMM-aa"),"")</f>
      </c>
      <c r="EV253" s="496" t="str">
        <f> IF(EV273&lt;&gt;"",TEXT(AUX!EZ$1,"dd-MMM-aa"),"")</f>
      </c>
      <c r="EW253" s="496" t="str">
        <f> IF(EW273&lt;&gt;"",TEXT(AUX!FA$1,"dd-MMM-aa"),"")</f>
      </c>
      <c r="EX253" s="496" t="str">
        <f> IF(EX273&lt;&gt;"",TEXT(AUX!FB$1,"dd-MMM-aa"),"")</f>
      </c>
      <c r="EY253" s="496" t="str">
        <f> IF(EY273&lt;&gt;"",TEXT(AUX!FC$1,"dd-MMM-aa"),"")</f>
      </c>
      <c r="EZ253" s="496" t="str">
        <f> IF(EZ273&lt;&gt;"",TEXT(AUX!FD$1,"dd-MMM-aa"),"")</f>
      </c>
      <c r="FA253" s="496" t="str">
        <f> IF(FA273&lt;&gt;"",TEXT(AUX!FE$1,"dd-MMM-aa"),"")</f>
      </c>
      <c r="FB253" s="496" t="str">
        <f> IF(FB273&lt;&gt;"",TEXT(AUX!FF$1,"dd-MMM-aa"),"")</f>
      </c>
      <c r="FC253" s="496" t="str">
        <f> IF(FC273&lt;&gt;"",TEXT(AUX!FG$1,"dd-MMM-aa"),"")</f>
      </c>
      <c r="FD253" s="496" t="str">
        <f> IF(FD273&lt;&gt;"",TEXT(AUX!FH$1,"dd-MMM-aa"),"")</f>
      </c>
      <c r="FE253" s="496" t="str">
        <f> IF(FE273&lt;&gt;"",TEXT(AUX!FI$1,"dd-MMM-aa"),"")</f>
      </c>
      <c r="FF253" s="496" t="str">
        <f> IF(FF273&lt;&gt;"",TEXT(AUX!FJ$1,"dd-MMM-aa"),"")</f>
      </c>
      <c r="FG253" s="496" t="str">
        <f> IF(FG273&lt;&gt;"",TEXT(AUX!FK$1,"dd-MMM-aa"),"")</f>
      </c>
      <c r="FH253" s="496" t="str">
        <f> IF(FH273&lt;&gt;"",TEXT(AUX!FL$1,"dd-MMM-aa"),"")</f>
      </c>
      <c r="FI253" s="496" t="str">
        <f> IF(FI273&lt;&gt;"",TEXT(AUX!FM$1,"dd-MMM-aa"),"")</f>
      </c>
      <c r="FJ253" s="496" t="str">
        <f> IF(FJ273&lt;&gt;"",TEXT(AUX!FN$1,"dd-MMM-aa"),"")</f>
      </c>
      <c r="FK253" s="496" t="str">
        <f> IF(FK273&lt;&gt;"",TEXT(AUX!FO$1,"dd-MMM-aa"),"")</f>
      </c>
      <c r="FL253" s="496" t="str">
        <f> IF(FL273&lt;&gt;"",TEXT(AUX!FP$1,"dd-MMM-aa"),"")</f>
      </c>
      <c r="FM253" s="496" t="str">
        <f> IF(FM273&lt;&gt;"",TEXT(AUX!FQ$1,"dd-MMM-aa"),"")</f>
      </c>
      <c r="FN253" s="496" t="str">
        <f> IF(FN273&lt;&gt;"",TEXT(AUX!FR$1,"dd-MMM-aa"),"")</f>
      </c>
      <c r="FO253" s="496" t="str">
        <f> IF(FO273&lt;&gt;"",TEXT(AUX!FS$1,"dd-MMM-aa"),"")</f>
      </c>
      <c r="FP253" s="496" t="str">
        <f> IF(FP273&lt;&gt;"",TEXT(AUX!FT$1,"dd-MMM-aa"),"")</f>
      </c>
      <c r="FQ253" s="496" t="str">
        <f> IF(FQ273&lt;&gt;"",TEXT(AUX!FU$1,"dd-MMM-aa"),"")</f>
      </c>
      <c r="FR253" s="496" t="str">
        <f> IF(FR273&lt;&gt;"",TEXT(AUX!FV$1,"dd-MMM-aa"),"")</f>
      </c>
      <c r="FS253" s="496" t="str">
        <f> IF(FS273&lt;&gt;"",TEXT(AUX!FW$1,"dd-MMM-aa"),"")</f>
      </c>
      <c r="FT253" s="496" t="str">
        <f> IF(FT273&lt;&gt;"",TEXT(AUX!FX$1,"dd-MMM-aa"),"")</f>
      </c>
      <c r="FU253" s="496" t="str">
        <f> IF(FU273&lt;&gt;"",TEXT(AUX!FY$1,"dd-MMM-aa"),"")</f>
      </c>
      <c r="FV253" s="496" t="str">
        <f> IF(FV273&lt;&gt;"",TEXT(AUX!FZ$1,"dd-MMM-aa"),"")</f>
      </c>
      <c r="FW253" s="496" t="str">
        <f> IF(FW273&lt;&gt;"",TEXT(AUX!GA$1,"dd-MMM-aa"),"")</f>
      </c>
      <c r="FX253" s="496" t="str">
        <f> IF(FX273&lt;&gt;"",TEXT(AUX!GB$1,"dd-MMM-aa"),"")</f>
      </c>
      <c r="FY253" s="496" t="str">
        <f> IF(FY273&lt;&gt;"",TEXT(AUX!GC$1,"dd-MMM-aa"),"")</f>
      </c>
      <c r="FZ253" s="496" t="str">
        <f> IF(FZ273&lt;&gt;"",TEXT(AUX!GD$1,"dd-MMM-aa"),"")</f>
      </c>
      <c r="GA253" s="496" t="str">
        <f> IF(GA273&lt;&gt;"",TEXT(AUX!GE$1,"dd-MMM-aa"),"")</f>
      </c>
      <c r="GB253" s="496" t="str">
        <f> IF(GB273&lt;&gt;"",TEXT(AUX!GF$1,"dd-MMM-aa"),"")</f>
      </c>
      <c r="GC253" s="496" t="str">
        <f> IF(GC273&lt;&gt;"",TEXT(AUX!GG$1,"dd-MMM-aa"),"")</f>
      </c>
      <c r="GD253" s="496" t="str">
        <f> IF(GD273&lt;&gt;"",TEXT(AUX!GH$1,"dd-MMM-aa"),"")</f>
      </c>
      <c r="GE253" s="496" t="str">
        <f> IF(GE273&lt;&gt;"",TEXT(AUX!GI$1,"dd-MMM-aa"),"")</f>
      </c>
      <c r="GF253" s="496" t="str">
        <f> IF(GF273&lt;&gt;"",TEXT(AUX!GJ$1,"dd-MMM-aa"),"")</f>
      </c>
      <c r="GG253" s="496" t="str">
        <f> IF(GG273&lt;&gt;"",TEXT(AUX!GK$1,"dd-MMM-aa"),"")</f>
      </c>
      <c r="GH253" s="496" t="str">
        <f> IF(GH273&lt;&gt;"",TEXT(AUX!GL$1,"dd-MMM-aa"),"")</f>
      </c>
      <c r="GI253" s="496" t="str">
        <f> IF(GI273&lt;&gt;"",TEXT(AUX!GM$1,"dd-MMM-aa"),"")</f>
      </c>
      <c r="GJ253" s="496" t="str">
        <f> IF(GJ273&lt;&gt;"",TEXT(AUX!GN$1,"dd-MMM-aa"),"")</f>
      </c>
      <c r="GK253" s="496" t="str">
        <f> IF(GK273&lt;&gt;"",TEXT(AUX!GO$1,"dd-MMM-aa"),"")</f>
      </c>
      <c r="GL253" s="496" t="str">
        <f> IF(GL273&lt;&gt;"",TEXT(AUX!GP$1,"dd-MMM-aa"),"")</f>
      </c>
      <c r="GM253" s="496" t="str">
        <f> IF(GM273&lt;&gt;"",TEXT(AUX!GQ$1,"dd-MMM-aa"),"")</f>
      </c>
      <c r="GN253" s="496" t="str">
        <f> IF(GN273&lt;&gt;"",TEXT(AUX!GR$1,"dd-MMM-aa"),"")</f>
      </c>
      <c r="GO253" s="496" t="str">
        <f> IF(GO273&lt;&gt;"",TEXT(AUX!GS$1,"dd-MMM-aa"),"")</f>
      </c>
      <c r="GP253" s="496" t="str">
        <f> IF(GP273&lt;&gt;"",TEXT(AUX!GT$1,"dd-MMM-aa"),"")</f>
      </c>
      <c r="GQ253" s="496" t="str">
        <f> IF(GQ273&lt;&gt;"",TEXT(AUX!GU$1,"dd-MMM-aa"),"")</f>
      </c>
      <c r="GR253" s="496" t="str">
        <f> IF(GR273&lt;&gt;"",TEXT(AUX!GV$1,"dd-MMM-aa"),"")</f>
      </c>
      <c r="GS253" s="496" t="str">
        <f> IF(GS273&lt;&gt;"",TEXT(AUX!GW$1,"dd-MMM-aa"),"")</f>
      </c>
      <c r="GT253" s="496" t="str">
        <f> IF(GT273&lt;&gt;"",TEXT(AUX!GX$1,"dd-MMM-aa"),"")</f>
      </c>
      <c r="GU253" s="496" t="str">
        <f> IF(GU273&lt;&gt;"",TEXT(AUX!GY$1,"dd-MMM-aa"),"")</f>
      </c>
      <c r="GV253" s="496" t="str">
        <f> IF(GV273&lt;&gt;"",TEXT(AUX!GZ$1,"dd-MMM-aa"),"")</f>
      </c>
      <c r="GW253" s="496" t="str">
        <f> IF(GW273&lt;&gt;"",TEXT(AUX!HA$1,"dd-MMM-aa"),"")</f>
      </c>
      <c r="GX253" s="496" t="str">
        <f> IF(GX273&lt;&gt;"",TEXT(AUX!HB$1,"dd-MMM-aa"),"")</f>
      </c>
      <c r="GY253" s="496" t="str">
        <f> IF(GY273&lt;&gt;"",TEXT(AUX!HC$1,"dd-MMM-aa"),"")</f>
      </c>
      <c r="GZ253" s="496" t="str">
        <f> IF(GZ273&lt;&gt;"",TEXT(AUX!HD$1,"dd-MMM-aa"),"")</f>
      </c>
      <c r="HA253" s="496" t="str">
        <f> IF(HA273&lt;&gt;"",TEXT(AUX!HE$1,"dd-MMM-aa"),"")</f>
      </c>
      <c r="HB253" s="496" t="str">
        <f> IF(HB273&lt;&gt;"",TEXT(AUX!HF$1,"dd-MMM-aa"),"")</f>
      </c>
      <c r="HC253" s="496" t="str">
        <f> IF(HC273&lt;&gt;"",TEXT(AUX!HG$1,"dd-MMM-aa"),"")</f>
      </c>
      <c r="HD253" s="496" t="str">
        <f> IF(HD273&lt;&gt;"",TEXT(AUX!HH$1,"dd-MMM-aa"),"")</f>
      </c>
      <c r="HE253" s="496" t="str">
        <f> IF(HE273&lt;&gt;"",TEXT(AUX!HI$1,"dd-MMM-aa"),"")</f>
      </c>
      <c r="HF253" s="496" t="str">
        <f> IF(HF273&lt;&gt;"",TEXT(AUX!HJ$1,"dd-MMM-aa"),"")</f>
      </c>
      <c r="HG253" s="496" t="str">
        <f> IF(HG273&lt;&gt;"",TEXT(AUX!HK$1,"dd-MMM-aa"),"")</f>
      </c>
      <c r="HH253" s="496" t="str">
        <f> IF(HH273&lt;&gt;"",TEXT(AUX!HL$1,"dd-MMM-aa"),"")</f>
      </c>
      <c r="HI253" s="496" t="str">
        <f> IF(HI273&lt;&gt;"",TEXT(AUX!HM$1,"dd-MMM-aa"),"")</f>
      </c>
      <c r="HJ253" s="496" t="str">
        <f> IF(HJ273&lt;&gt;"",TEXT(AUX!HN$1,"dd-MMM-aa"),"")</f>
      </c>
      <c r="HK253" s="496" t="str">
        <f> IF(HK273&lt;&gt;"",TEXT(AUX!HO$1,"dd-MMM-aa"),"")</f>
      </c>
      <c r="HL253" s="496" t="str">
        <f> IF(HL273&lt;&gt;"",TEXT(AUX!HP$1,"dd-MMM-aa"),"")</f>
      </c>
      <c r="HM253" s="496" t="str">
        <f> IF(HM273&lt;&gt;"",TEXT(AUX!HQ$1,"dd-MMM-aa"),"")</f>
      </c>
      <c r="HN253" s="496" t="str">
        <f> IF(HN273&lt;&gt;"",TEXT(AUX!HR$1,"dd-MMM-aa"),"")</f>
      </c>
      <c r="HO253" s="496" t="str">
        <f> IF(HO273&lt;&gt;"",TEXT(AUX!HS$1,"dd-MMM-aa"),"")</f>
      </c>
      <c r="HP253" s="496" t="str">
        <f> IF(HP273&lt;&gt;"",TEXT(AUX!HT$1,"dd-MMM-aa"),"")</f>
      </c>
      <c r="HQ253" s="496" t="str">
        <f> IF(HQ273&lt;&gt;"",TEXT(AUX!HU$1,"dd-MMM-aa"),"")</f>
      </c>
      <c r="HR253" s="496" t="str">
        <f> IF(HR273&lt;&gt;"",TEXT(AUX!HV$1,"dd-MMM-aa"),"")</f>
      </c>
      <c r="HS253" s="496" t="str">
        <f> IF(HS273&lt;&gt;"",TEXT(AUX!HW$1,"dd-MMM-aa"),"")</f>
      </c>
      <c r="HT253" s="496" t="str">
        <f> IF(HT273&lt;&gt;"",TEXT(AUX!HX$1,"dd-MMM-aa"),"")</f>
      </c>
      <c r="HU253" s="496" t="str">
        <f> IF(HU273&lt;&gt;"",TEXT(AUX!HY$1,"dd-MMM-aa"),"")</f>
      </c>
      <c r="HV253" s="496" t="str">
        <f> IF(HV273&lt;&gt;"",TEXT(AUX!HZ$1,"dd-MMM-aa"),"")</f>
      </c>
      <c r="HW253" s="496" t="str">
        <f> IF(HW273&lt;&gt;"",TEXT(AUX!IA$1,"dd-MMM-aa"),"")</f>
      </c>
      <c r="HX253" s="496" t="str">
        <f> IF(HX273&lt;&gt;"",TEXT(AUX!IB$1,"dd-MMM-aa"),"")</f>
      </c>
      <c r="HY253" s="496" t="str">
        <f> IF(HY273&lt;&gt;"",TEXT(AUX!IC$1,"dd-MMM-aa"),"")</f>
      </c>
      <c r="HZ253" s="496" t="str">
        <f> IF(HZ273&lt;&gt;"",TEXT(AUX!ID$1,"dd-MMM-aa"),"")</f>
      </c>
      <c r="IA253" s="496" t="str">
        <f> IF(IA273&lt;&gt;"",TEXT(AUX!IE$1,"dd-MMM-aa"),"")</f>
      </c>
      <c r="IB253" s="496" t="str">
        <f> IF(IB273&lt;&gt;"",TEXT(AUX!IF$1,"dd-MMM-aa"),"")</f>
      </c>
      <c r="IC253" s="496" t="str">
        <f> IF(IC273&lt;&gt;"",TEXT(AUX!IG$1,"dd-MMM-aa"),"")</f>
      </c>
      <c r="ID253" s="496" t="str">
        <f> IF(ID273&lt;&gt;"",TEXT(AUX!IH$1,"dd-MMM-aa"),"")</f>
      </c>
      <c r="IE253" s="496" t="str">
        <f> IF(IE273&lt;&gt;"",TEXT(AUX!II$1,"dd-MMM-aa"),"")</f>
      </c>
      <c r="IF253" s="496" t="str">
        <f> IF(IF273&lt;&gt;"",TEXT(AUX!IJ$1,"dd-MMM-aa"),"")</f>
      </c>
      <c r="IG253" s="496" t="str">
        <f> IF(IG273&lt;&gt;"",TEXT(AUX!IK$1,"dd-MMM-aa"),"")</f>
      </c>
      <c r="IH253" s="496" t="str">
        <f> IF(IH273&lt;&gt;"",TEXT(AUX!IL$1,"dd-MMM-aa"),"")</f>
      </c>
      <c r="II253" s="496" t="str">
        <f> IF(II273&lt;&gt;"",TEXT(AUX!IM$1,"dd-MMM-aa"),"")</f>
      </c>
      <c r="IJ253" s="496" t="str">
        <f> IF(IJ273&lt;&gt;"",TEXT(AUX!IN$1,"dd-MMM-aa"),"")</f>
      </c>
      <c r="IK253" s="496" t="str">
        <f> IF(IK273&lt;&gt;"",TEXT(AUX!IO$1,"dd-MMM-aa"),"")</f>
      </c>
      <c r="IL253" s="496" t="str">
        <f> IF(IL273&lt;&gt;"",TEXT(AUX!IP$1,"dd-MMM-aa"),"")</f>
      </c>
      <c r="IM253" s="496" t="str">
        <f> IF(IM273&lt;&gt;"",TEXT(AUX!IQ$1,"dd-MMM-aa"),"")</f>
      </c>
      <c r="IN253" s="496" t="str">
        <f> IF(IN273&lt;&gt;"",TEXT(AUX!IR$1,"dd-MMM-aa"),"")</f>
      </c>
      <c r="IO253" s="496" t="str">
        <f> IF(IO273&lt;&gt;"",TEXT(AUX!IS$1,"dd-MMM-aa"),"")</f>
      </c>
      <c r="IP253" s="496" t="str">
        <f> IF(IP273&lt;&gt;"",TEXT(AUX!IT$1,"dd-MMM-aa"),"")</f>
      </c>
      <c r="IQ253" s="496" t="str">
        <f> IF(IQ273&lt;&gt;"",TEXT(AUX!IU$1,"dd-MMM-aa"),"")</f>
      </c>
      <c r="IR253" s="496" t="str">
        <f> IF(IR273&lt;&gt;"",TEXT(AUX!IV$1,"dd-MMM-aa"),"")</f>
      </c>
      <c r="IS253" s="496" t="str">
        <f> IF(IS273&lt;&gt;"",TEXT(AUX!#REF!,"dd-MMM-aa"),"")</f>
      </c>
      <c r="IT253" s="496" t="str">
        <f> IF(IT273&lt;&gt;"",TEXT(AUX!#REF!,"dd-MMM-aa"),"")</f>
      </c>
      <c r="IU253" s="496" t="str">
        <f> IF(IU273&lt;&gt;"",TEXT(AUX!#REF!,"dd-MMM-aa"),"")</f>
      </c>
      <c r="IV253" s="496" t="str">
        <f> IF(IV273&lt;&gt;"",TEXT(AUX!#REF!,"dd-MMM-aa"),"")</f>
      </c>
    </row>
    <row r="254" hidden="1">
      <c r="B254" s="822" t="s">
        <v>8</v>
      </c>
      <c r="C254" s="823">
        <v>856</v>
      </c>
      <c r="D254" s="823">
        <v>827</v>
      </c>
      <c r="E254" s="823">
        <v>795</v>
      </c>
      <c r="F254" s="823">
        <v>764</v>
      </c>
      <c r="G254" s="823">
        <v>578</v>
      </c>
      <c r="H254" s="823">
        <v>567</v>
      </c>
      <c r="I254" s="823">
        <v>539</v>
      </c>
      <c r="J254" s="823">
        <v>530</v>
      </c>
      <c r="K254" s="823">
        <v>518</v>
      </c>
      <c r="L254" s="823">
        <v>507</v>
      </c>
      <c r="M254" s="823">
        <v>479</v>
      </c>
      <c r="N254" s="823">
        <v>462</v>
      </c>
      <c r="O254" s="823">
        <v>106</v>
      </c>
      <c r="P254" s="823">
        <v>34</v>
      </c>
      <c r="Q254" s="823">
        <v>30</v>
      </c>
      <c r="R254" s="823">
        <v>23</v>
      </c>
      <c r="S254" s="823">
        <v>23</v>
      </c>
      <c r="T254" s="823">
        <v>21</v>
      </c>
      <c r="U254" s="823">
        <v>6</v>
      </c>
      <c r="V254" s="823">
        <v>6</v>
      </c>
      <c r="W254" s="823">
        <v>6</v>
      </c>
      <c r="X254" s="823">
        <v>6</v>
      </c>
      <c r="Y254" s="823">
        <v>4</v>
      </c>
      <c r="Z254" s="823">
        <v>4</v>
      </c>
      <c r="AA254" s="823">
        <v>4</v>
      </c>
      <c r="AB254" s="824">
        <v>4</v>
      </c>
      <c r="AC254" s="825">
        <v>4</v>
      </c>
      <c r="AD254" s="825">
        <v>4</v>
      </c>
      <c r="AE254" s="825">
        <v>3</v>
      </c>
      <c r="AF254" s="825">
        <v>1</v>
      </c>
      <c r="AG254" s="825">
        <v>1</v>
      </c>
      <c r="AH254" s="825">
        <v>1</v>
      </c>
      <c r="AI254" s="825">
        <v>1</v>
      </c>
      <c r="AJ254" s="825">
        <v>1</v>
      </c>
      <c r="AK254" s="825">
        <v>1</v>
      </c>
      <c r="AL254" s="825">
        <v>1</v>
      </c>
      <c r="AM254" s="825">
        <v>1</v>
      </c>
      <c r="AN254" s="825">
        <v>1</v>
      </c>
      <c r="AO254" s="825">
        <v>1</v>
      </c>
      <c r="AP254" s="825">
        <v>1</v>
      </c>
    </row>
    <row r="255" hidden="1">
      <c r="B255" s="826" t="s">
        <v>9</v>
      </c>
      <c r="C255" s="827">
        <v>318</v>
      </c>
      <c r="D255" s="827">
        <v>325</v>
      </c>
      <c r="E255" s="827">
        <v>328</v>
      </c>
      <c r="F255" s="827">
        <v>321</v>
      </c>
      <c r="G255" s="827">
        <v>317</v>
      </c>
      <c r="H255" s="827">
        <v>315</v>
      </c>
      <c r="I255" s="827">
        <v>321</v>
      </c>
      <c r="J255" s="827">
        <v>321</v>
      </c>
      <c r="K255" s="827">
        <v>322</v>
      </c>
      <c r="L255" s="827">
        <v>320</v>
      </c>
      <c r="M255" s="827">
        <v>305</v>
      </c>
      <c r="N255" s="827">
        <v>300</v>
      </c>
      <c r="O255" s="827">
        <v>288</v>
      </c>
      <c r="P255" s="827">
        <v>1</v>
      </c>
      <c r="Q255" s="827">
        <v>1</v>
      </c>
      <c r="R255" s="827">
        <v>2</v>
      </c>
      <c r="S255" s="827">
        <v>3</v>
      </c>
      <c r="T255" s="827">
        <v>4</v>
      </c>
      <c r="U255" s="827">
        <v>4</v>
      </c>
      <c r="V255" s="827">
        <v>0</v>
      </c>
      <c r="W255" s="827">
        <v>0</v>
      </c>
      <c r="X255" s="827">
        <v>0</v>
      </c>
      <c r="Y255" s="827">
        <v>0</v>
      </c>
      <c r="Z255" s="827">
        <v>0</v>
      </c>
      <c r="AA255" s="827">
        <v>0</v>
      </c>
      <c r="AB255" s="827">
        <v>0</v>
      </c>
      <c r="AC255" s="828">
        <v>0</v>
      </c>
      <c r="AD255" s="828">
        <v>0</v>
      </c>
      <c r="AE255" s="828">
        <v>0</v>
      </c>
      <c r="AF255" s="828">
        <v>0</v>
      </c>
      <c r="AG255" s="828">
        <v>0</v>
      </c>
      <c r="AH255" s="828">
        <v>0</v>
      </c>
      <c r="AI255" s="828">
        <v>0</v>
      </c>
      <c r="AJ255" s="828">
        <v>0</v>
      </c>
      <c r="AK255" s="828">
        <v>0</v>
      </c>
      <c r="AL255" s="828">
        <v>0</v>
      </c>
      <c r="AM255" s="828">
        <v>0</v>
      </c>
      <c r="AN255" s="828">
        <v>0</v>
      </c>
      <c r="AO255" s="828">
        <v>0</v>
      </c>
      <c r="AP255" s="828">
        <v>0</v>
      </c>
    </row>
    <row r="256" hidden="1">
      <c r="B256" s="829" t="s">
        <v>10</v>
      </c>
      <c r="C256" s="823">
        <v>0</v>
      </c>
      <c r="D256" s="823">
        <v>0</v>
      </c>
      <c r="E256" s="823">
        <v>0</v>
      </c>
      <c r="F256" s="823">
        <v>0</v>
      </c>
      <c r="G256" s="823">
        <v>0</v>
      </c>
      <c r="H256" s="823">
        <v>0</v>
      </c>
      <c r="I256" s="823">
        <v>0</v>
      </c>
      <c r="J256" s="823">
        <v>0</v>
      </c>
      <c r="K256" s="823">
        <v>0</v>
      </c>
      <c r="L256" s="823">
        <v>0</v>
      </c>
      <c r="M256" s="823">
        <v>0</v>
      </c>
      <c r="N256" s="823">
        <v>0</v>
      </c>
      <c r="O256" s="823">
        <v>0</v>
      </c>
      <c r="P256" s="823">
        <v>0</v>
      </c>
      <c r="Q256" s="823">
        <v>0</v>
      </c>
      <c r="R256" s="823">
        <v>0</v>
      </c>
      <c r="S256" s="823">
        <v>0</v>
      </c>
      <c r="T256" s="823">
        <v>0</v>
      </c>
      <c r="U256" s="823">
        <v>0</v>
      </c>
      <c r="V256" s="823">
        <v>0</v>
      </c>
      <c r="W256" s="823">
        <v>0</v>
      </c>
      <c r="X256" s="823">
        <v>0</v>
      </c>
      <c r="Y256" s="823">
        <v>0</v>
      </c>
      <c r="Z256" s="823">
        <v>0</v>
      </c>
      <c r="AA256" s="823">
        <v>0</v>
      </c>
      <c r="AB256" s="823">
        <v>0</v>
      </c>
      <c r="AC256" s="825">
        <v>0</v>
      </c>
      <c r="AD256" s="825">
        <v>0</v>
      </c>
      <c r="AE256" s="825">
        <v>0</v>
      </c>
      <c r="AF256" s="825">
        <v>0</v>
      </c>
      <c r="AG256" s="825">
        <v>0</v>
      </c>
      <c r="AH256" s="825">
        <v>0</v>
      </c>
      <c r="AI256" s="825">
        <v>0</v>
      </c>
      <c r="AJ256" s="825">
        <v>0</v>
      </c>
      <c r="AK256" s="825">
        <v>0</v>
      </c>
      <c r="AL256" s="825">
        <v>0</v>
      </c>
      <c r="AM256" s="825">
        <v>0</v>
      </c>
      <c r="AN256" s="825">
        <v>0</v>
      </c>
      <c r="AO256" s="825">
        <v>0</v>
      </c>
      <c r="AP256" s="825">
        <v>0</v>
      </c>
    </row>
    <row r="257" hidden="1">
      <c r="B257" s="826" t="s">
        <v>11</v>
      </c>
      <c r="C257" s="827">
        <v>0</v>
      </c>
      <c r="D257" s="827">
        <v>1</v>
      </c>
      <c r="E257" s="827">
        <v>2</v>
      </c>
      <c r="F257" s="827">
        <v>2</v>
      </c>
      <c r="G257" s="827">
        <v>2</v>
      </c>
      <c r="H257" s="827">
        <v>2</v>
      </c>
      <c r="I257" s="827">
        <v>1</v>
      </c>
      <c r="J257" s="827">
        <v>1</v>
      </c>
      <c r="K257" s="827">
        <v>1</v>
      </c>
      <c r="L257" s="827">
        <v>2</v>
      </c>
      <c r="M257" s="827">
        <v>2</v>
      </c>
      <c r="N257" s="827">
        <v>2</v>
      </c>
      <c r="O257" s="827">
        <v>1</v>
      </c>
      <c r="P257" s="827">
        <v>1</v>
      </c>
      <c r="Q257" s="827">
        <v>1</v>
      </c>
      <c r="R257" s="827">
        <v>1</v>
      </c>
      <c r="S257" s="827">
        <v>1</v>
      </c>
      <c r="T257" s="827">
        <v>1</v>
      </c>
      <c r="U257" s="827">
        <v>2</v>
      </c>
      <c r="V257" s="827">
        <v>0</v>
      </c>
      <c r="W257" s="827">
        <v>0</v>
      </c>
      <c r="X257" s="827">
        <v>0</v>
      </c>
      <c r="Y257" s="827">
        <v>0</v>
      </c>
      <c r="Z257" s="827">
        <v>0</v>
      </c>
      <c r="AA257" s="827">
        <v>1</v>
      </c>
      <c r="AB257" s="827">
        <v>0</v>
      </c>
      <c r="AC257" s="828">
        <v>0</v>
      </c>
      <c r="AD257" s="828">
        <v>1</v>
      </c>
      <c r="AE257" s="828">
        <v>0</v>
      </c>
      <c r="AF257" s="828">
        <v>0</v>
      </c>
      <c r="AG257" s="828">
        <v>0</v>
      </c>
      <c r="AH257" s="828">
        <v>0</v>
      </c>
      <c r="AI257" s="828">
        <v>0</v>
      </c>
      <c r="AJ257" s="828">
        <v>1</v>
      </c>
      <c r="AK257" s="828">
        <v>1</v>
      </c>
      <c r="AL257" s="828">
        <v>1</v>
      </c>
      <c r="AM257" s="828">
        <v>0</v>
      </c>
      <c r="AN257" s="828">
        <v>0</v>
      </c>
      <c r="AO257" s="828">
        <v>0</v>
      </c>
      <c r="AP257" s="828">
        <v>0</v>
      </c>
    </row>
    <row r="258" hidden="1">
      <c r="B258" s="829" t="s">
        <v>12</v>
      </c>
      <c r="C258" s="823">
        <v>95</v>
      </c>
      <c r="D258" s="823">
        <v>104</v>
      </c>
      <c r="E258" s="823">
        <v>104</v>
      </c>
      <c r="F258" s="823">
        <v>26</v>
      </c>
      <c r="G258" s="823">
        <v>30</v>
      </c>
      <c r="H258" s="823">
        <v>29</v>
      </c>
      <c r="I258" s="823">
        <v>28</v>
      </c>
      <c r="J258" s="823">
        <v>28</v>
      </c>
      <c r="K258" s="823">
        <v>27</v>
      </c>
      <c r="L258" s="823">
        <v>44</v>
      </c>
      <c r="M258" s="823">
        <v>58</v>
      </c>
      <c r="N258" s="823">
        <v>63</v>
      </c>
      <c r="O258" s="823">
        <v>20</v>
      </c>
      <c r="P258" s="823">
        <v>21</v>
      </c>
      <c r="Q258" s="823">
        <v>21</v>
      </c>
      <c r="R258" s="823">
        <v>21</v>
      </c>
      <c r="S258" s="823">
        <v>22</v>
      </c>
      <c r="T258" s="823">
        <v>22</v>
      </c>
      <c r="U258" s="823">
        <v>22</v>
      </c>
      <c r="V258" s="823">
        <v>23</v>
      </c>
      <c r="W258" s="823">
        <v>24</v>
      </c>
      <c r="X258" s="823">
        <v>28</v>
      </c>
      <c r="Y258" s="823">
        <v>34</v>
      </c>
      <c r="Z258" s="823">
        <v>35</v>
      </c>
      <c r="AA258" s="823">
        <v>39</v>
      </c>
      <c r="AB258" s="823">
        <v>41</v>
      </c>
      <c r="AC258" s="825">
        <v>41</v>
      </c>
      <c r="AD258" s="825">
        <v>41</v>
      </c>
      <c r="AE258" s="825">
        <v>44</v>
      </c>
      <c r="AF258" s="825">
        <v>44</v>
      </c>
      <c r="AG258" s="825">
        <v>44</v>
      </c>
      <c r="AH258" s="825">
        <v>46</v>
      </c>
      <c r="AI258" s="825">
        <v>49</v>
      </c>
      <c r="AJ258" s="825">
        <v>48</v>
      </c>
      <c r="AK258" s="825">
        <v>47</v>
      </c>
      <c r="AL258" s="825">
        <v>43</v>
      </c>
      <c r="AM258" s="825">
        <v>30</v>
      </c>
      <c r="AN258" s="825">
        <v>8</v>
      </c>
      <c r="AO258" s="825">
        <v>9</v>
      </c>
      <c r="AP258" s="825">
        <v>10</v>
      </c>
    </row>
    <row r="259" hidden="1">
      <c r="B259" s="826" t="s">
        <v>13</v>
      </c>
      <c r="C259" s="827">
        <v>0</v>
      </c>
      <c r="D259" s="827">
        <v>0</v>
      </c>
      <c r="E259" s="827">
        <v>1</v>
      </c>
      <c r="F259" s="827">
        <v>0</v>
      </c>
      <c r="G259" s="827">
        <v>0</v>
      </c>
      <c r="H259" s="827">
        <v>1</v>
      </c>
      <c r="I259" s="827">
        <v>1</v>
      </c>
      <c r="J259" s="827">
        <v>2</v>
      </c>
      <c r="K259" s="827">
        <v>6</v>
      </c>
      <c r="L259" s="827">
        <v>10</v>
      </c>
      <c r="M259" s="827">
        <v>11</v>
      </c>
      <c r="N259" s="827">
        <v>13</v>
      </c>
      <c r="O259" s="827">
        <v>12</v>
      </c>
      <c r="P259" s="827">
        <v>0</v>
      </c>
      <c r="Q259" s="827">
        <v>1</v>
      </c>
      <c r="R259" s="827">
        <v>2</v>
      </c>
      <c r="S259" s="827">
        <v>3</v>
      </c>
      <c r="T259" s="827">
        <v>3</v>
      </c>
      <c r="U259" s="827">
        <v>4</v>
      </c>
      <c r="V259" s="827">
        <v>4</v>
      </c>
      <c r="W259" s="827">
        <v>6</v>
      </c>
      <c r="X259" s="827">
        <v>6</v>
      </c>
      <c r="Y259" s="827">
        <v>6</v>
      </c>
      <c r="Z259" s="827">
        <v>6</v>
      </c>
      <c r="AA259" s="827">
        <v>6</v>
      </c>
      <c r="AB259" s="827">
        <v>6</v>
      </c>
      <c r="AC259" s="828">
        <v>6</v>
      </c>
      <c r="AD259" s="828">
        <v>6</v>
      </c>
      <c r="AE259" s="828">
        <v>7</v>
      </c>
      <c r="AF259" s="828">
        <v>7</v>
      </c>
      <c r="AG259" s="828">
        <v>7</v>
      </c>
      <c r="AH259" s="828">
        <v>7</v>
      </c>
      <c r="AI259" s="828">
        <v>7</v>
      </c>
      <c r="AJ259" s="828">
        <v>7</v>
      </c>
      <c r="AK259" s="828">
        <v>4</v>
      </c>
      <c r="AL259" s="828">
        <v>4</v>
      </c>
      <c r="AM259" s="828">
        <v>4</v>
      </c>
      <c r="AN259" s="828">
        <v>1</v>
      </c>
      <c r="AO259" s="828">
        <v>1</v>
      </c>
      <c r="AP259" s="828">
        <v>1</v>
      </c>
    </row>
    <row r="260" hidden="1">
      <c r="B260" s="829" t="s">
        <v>109</v>
      </c>
      <c r="C260" s="823">
        <v>424</v>
      </c>
      <c r="D260" s="823">
        <v>405</v>
      </c>
      <c r="E260" s="823">
        <v>396</v>
      </c>
      <c r="F260" s="823">
        <v>384</v>
      </c>
      <c r="G260" s="823">
        <v>375</v>
      </c>
      <c r="H260" s="823">
        <v>100</v>
      </c>
      <c r="I260" s="823">
        <v>8</v>
      </c>
      <c r="J260" s="823">
        <v>0</v>
      </c>
      <c r="K260" s="823">
        <v>0</v>
      </c>
      <c r="L260" s="823">
        <v>0</v>
      </c>
      <c r="M260" s="823">
        <v>0</v>
      </c>
      <c r="N260" s="823">
        <v>0</v>
      </c>
      <c r="O260" s="823">
        <v>0</v>
      </c>
      <c r="P260" s="823">
        <v>0</v>
      </c>
      <c r="Q260" s="823">
        <v>0</v>
      </c>
      <c r="R260" s="823">
        <v>0</v>
      </c>
      <c r="S260" s="823">
        <v>0</v>
      </c>
      <c r="T260" s="823">
        <v>0</v>
      </c>
      <c r="U260" s="823">
        <v>0</v>
      </c>
      <c r="V260" s="823">
        <v>0</v>
      </c>
      <c r="W260" s="823">
        <v>0</v>
      </c>
      <c r="X260" s="823">
        <v>0</v>
      </c>
      <c r="Y260" s="823">
        <v>0</v>
      </c>
      <c r="Z260" s="823">
        <v>0</v>
      </c>
      <c r="AA260" s="823">
        <v>0</v>
      </c>
      <c r="AB260" s="823">
        <v>0</v>
      </c>
      <c r="AC260" s="825">
        <v>0</v>
      </c>
      <c r="AD260" s="825">
        <v>0</v>
      </c>
      <c r="AE260" s="825">
        <v>0</v>
      </c>
      <c r="AF260" s="825">
        <v>0</v>
      </c>
      <c r="AG260" s="825">
        <v>0</v>
      </c>
      <c r="AH260" s="825">
        <v>0</v>
      </c>
      <c r="AI260" s="825">
        <v>0</v>
      </c>
      <c r="AJ260" s="825">
        <v>0</v>
      </c>
      <c r="AK260" s="825">
        <v>0</v>
      </c>
      <c r="AL260" s="825">
        <v>0</v>
      </c>
      <c r="AM260" s="825">
        <v>0</v>
      </c>
      <c r="AN260" s="825">
        <v>0</v>
      </c>
      <c r="AO260" s="825">
        <v>0</v>
      </c>
      <c r="AP260" s="825">
        <v>0</v>
      </c>
    </row>
    <row r="261" hidden="1">
      <c r="B261" s="826" t="s">
        <v>110</v>
      </c>
      <c r="C261" s="827">
        <v>7822</v>
      </c>
      <c r="D261" s="827">
        <v>7774</v>
      </c>
      <c r="E261" s="827">
        <v>7587</v>
      </c>
      <c r="F261" s="827">
        <v>7287</v>
      </c>
      <c r="G261" s="827">
        <v>7066</v>
      </c>
      <c r="H261" s="827">
        <v>6986</v>
      </c>
      <c r="I261" s="827">
        <v>5858</v>
      </c>
      <c r="J261" s="827">
        <v>5734</v>
      </c>
      <c r="K261" s="827">
        <v>5677</v>
      </c>
      <c r="L261" s="827">
        <v>5565</v>
      </c>
      <c r="M261" s="827">
        <v>5469</v>
      </c>
      <c r="N261" s="827">
        <v>5340</v>
      </c>
      <c r="O261" s="827">
        <v>0</v>
      </c>
      <c r="P261" s="827">
        <v>0</v>
      </c>
      <c r="Q261" s="827">
        <v>0</v>
      </c>
      <c r="R261" s="827">
        <v>0</v>
      </c>
      <c r="S261" s="827">
        <v>0</v>
      </c>
      <c r="T261" s="827">
        <v>0</v>
      </c>
      <c r="U261" s="827">
        <v>0</v>
      </c>
      <c r="V261" s="827">
        <v>0</v>
      </c>
      <c r="W261" s="827">
        <v>0</v>
      </c>
      <c r="X261" s="827">
        <v>0</v>
      </c>
      <c r="Y261" s="827">
        <v>0</v>
      </c>
      <c r="Z261" s="827">
        <v>0</v>
      </c>
      <c r="AA261" s="827">
        <v>0</v>
      </c>
      <c r="AB261" s="827">
        <v>0</v>
      </c>
      <c r="AC261" s="828">
        <v>0</v>
      </c>
      <c r="AD261" s="828">
        <v>0</v>
      </c>
      <c r="AE261" s="828">
        <v>0</v>
      </c>
      <c r="AF261" s="828">
        <v>0</v>
      </c>
      <c r="AG261" s="828">
        <v>0</v>
      </c>
      <c r="AH261" s="828">
        <v>0</v>
      </c>
      <c r="AI261" s="828">
        <v>0</v>
      </c>
      <c r="AJ261" s="828">
        <v>0</v>
      </c>
      <c r="AK261" s="828">
        <v>0</v>
      </c>
      <c r="AL261" s="828">
        <v>0</v>
      </c>
      <c r="AM261" s="828">
        <v>0</v>
      </c>
      <c r="AN261" s="828">
        <v>0</v>
      </c>
      <c r="AO261" s="828">
        <v>0</v>
      </c>
      <c r="AP261" s="828">
        <v>0</v>
      </c>
    </row>
    <row r="262" hidden="1">
      <c r="B262" s="829" t="s">
        <v>16</v>
      </c>
      <c r="C262" s="823">
        <v>2</v>
      </c>
      <c r="D262" s="823">
        <v>1</v>
      </c>
      <c r="E262" s="823">
        <v>1</v>
      </c>
      <c r="F262" s="823">
        <v>1</v>
      </c>
      <c r="G262" s="823">
        <v>1</v>
      </c>
      <c r="H262" s="823">
        <v>2</v>
      </c>
      <c r="I262" s="823">
        <v>2</v>
      </c>
      <c r="J262" s="823">
        <v>2</v>
      </c>
      <c r="K262" s="823">
        <v>1</v>
      </c>
      <c r="L262" s="823">
        <v>2</v>
      </c>
      <c r="M262" s="823">
        <v>2</v>
      </c>
      <c r="N262" s="823">
        <v>2</v>
      </c>
      <c r="O262" s="823">
        <v>2</v>
      </c>
      <c r="P262" s="823">
        <v>2</v>
      </c>
      <c r="Q262" s="823">
        <v>2</v>
      </c>
      <c r="R262" s="823">
        <v>2</v>
      </c>
      <c r="S262" s="823">
        <v>2</v>
      </c>
      <c r="T262" s="823">
        <v>2</v>
      </c>
      <c r="U262" s="823">
        <v>2</v>
      </c>
      <c r="V262" s="823">
        <v>2</v>
      </c>
      <c r="W262" s="823">
        <v>2</v>
      </c>
      <c r="X262" s="823">
        <v>2</v>
      </c>
      <c r="Y262" s="823">
        <v>2</v>
      </c>
      <c r="Z262" s="823">
        <v>2</v>
      </c>
      <c r="AA262" s="823">
        <v>2</v>
      </c>
      <c r="AB262" s="823">
        <v>2</v>
      </c>
      <c r="AC262" s="825">
        <v>2</v>
      </c>
      <c r="AD262" s="825">
        <v>2</v>
      </c>
      <c r="AE262" s="825">
        <v>2</v>
      </c>
      <c r="AF262" s="825">
        <v>2</v>
      </c>
      <c r="AG262" s="825">
        <v>2</v>
      </c>
      <c r="AH262" s="825">
        <v>1</v>
      </c>
      <c r="AI262" s="825">
        <v>1</v>
      </c>
      <c r="AJ262" s="825">
        <v>1</v>
      </c>
      <c r="AK262" s="825">
        <v>0</v>
      </c>
      <c r="AL262" s="825">
        <v>0</v>
      </c>
      <c r="AM262" s="825">
        <v>0</v>
      </c>
      <c r="AN262" s="825">
        <v>0</v>
      </c>
      <c r="AO262" s="825">
        <v>0</v>
      </c>
      <c r="AP262" s="825">
        <v>0</v>
      </c>
    </row>
    <row r="263" hidden="1">
      <c r="B263" s="826" t="s">
        <v>17</v>
      </c>
      <c r="C263" s="827">
        <v>84</v>
      </c>
      <c r="D263" s="827">
        <v>76</v>
      </c>
      <c r="E263" s="827">
        <v>75</v>
      </c>
      <c r="F263" s="827">
        <v>75</v>
      </c>
      <c r="G263" s="827">
        <v>52</v>
      </c>
      <c r="H263" s="827">
        <v>50</v>
      </c>
      <c r="I263" s="827">
        <v>3</v>
      </c>
      <c r="J263" s="827">
        <v>5</v>
      </c>
      <c r="K263" s="827">
        <v>5</v>
      </c>
      <c r="L263" s="827">
        <v>6</v>
      </c>
      <c r="M263" s="827">
        <v>6</v>
      </c>
      <c r="N263" s="827">
        <v>5</v>
      </c>
      <c r="O263" s="827">
        <v>3</v>
      </c>
      <c r="P263" s="827">
        <v>3</v>
      </c>
      <c r="Q263" s="827">
        <v>5</v>
      </c>
      <c r="R263" s="827">
        <v>6</v>
      </c>
      <c r="S263" s="827">
        <v>5</v>
      </c>
      <c r="T263" s="827">
        <v>5</v>
      </c>
      <c r="U263" s="827">
        <v>6</v>
      </c>
      <c r="V263" s="827">
        <v>4</v>
      </c>
      <c r="W263" s="827">
        <v>4</v>
      </c>
      <c r="X263" s="827">
        <v>3</v>
      </c>
      <c r="Y263" s="827">
        <v>3</v>
      </c>
      <c r="Z263" s="827">
        <v>3</v>
      </c>
      <c r="AA263" s="827">
        <v>3</v>
      </c>
      <c r="AB263" s="827">
        <v>3</v>
      </c>
      <c r="AC263" s="828">
        <v>2</v>
      </c>
      <c r="AD263" s="828">
        <v>2</v>
      </c>
      <c r="AE263" s="828">
        <v>2</v>
      </c>
      <c r="AF263" s="828">
        <v>2</v>
      </c>
      <c r="AG263" s="828">
        <v>2</v>
      </c>
      <c r="AH263" s="828">
        <v>3</v>
      </c>
      <c r="AI263" s="828">
        <v>3</v>
      </c>
      <c r="AJ263" s="828">
        <v>3</v>
      </c>
      <c r="AK263" s="828">
        <v>4</v>
      </c>
      <c r="AL263" s="828">
        <v>6</v>
      </c>
      <c r="AM263" s="828">
        <v>0</v>
      </c>
      <c r="AN263" s="828">
        <v>0</v>
      </c>
      <c r="AO263" s="828">
        <v>0</v>
      </c>
      <c r="AP263" s="828">
        <v>0</v>
      </c>
    </row>
    <row r="264" hidden="1">
      <c r="B264" s="829" t="s">
        <v>18</v>
      </c>
      <c r="C264" s="823">
        <v>0</v>
      </c>
      <c r="D264" s="823">
        <v>0</v>
      </c>
      <c r="E264" s="823">
        <v>0</v>
      </c>
      <c r="F264" s="823">
        <v>0</v>
      </c>
      <c r="G264" s="823">
        <v>0</v>
      </c>
      <c r="H264" s="823">
        <v>0</v>
      </c>
      <c r="I264" s="823">
        <v>0</v>
      </c>
      <c r="J264" s="823">
        <v>0</v>
      </c>
      <c r="K264" s="823">
        <v>0</v>
      </c>
      <c r="L264" s="823">
        <v>0</v>
      </c>
      <c r="M264" s="823">
        <v>0</v>
      </c>
      <c r="N264" s="823">
        <v>0</v>
      </c>
      <c r="O264" s="823">
        <v>0</v>
      </c>
      <c r="P264" s="823">
        <v>0</v>
      </c>
      <c r="Q264" s="823">
        <v>0</v>
      </c>
      <c r="R264" s="823">
        <v>0</v>
      </c>
      <c r="S264" s="823">
        <v>0</v>
      </c>
      <c r="T264" s="823">
        <v>0</v>
      </c>
      <c r="U264" s="823">
        <v>0</v>
      </c>
      <c r="V264" s="823">
        <v>0</v>
      </c>
      <c r="W264" s="823">
        <v>0</v>
      </c>
      <c r="X264" s="823">
        <v>0</v>
      </c>
      <c r="Y264" s="823">
        <v>1</v>
      </c>
      <c r="Z264" s="823">
        <v>0</v>
      </c>
      <c r="AA264" s="823">
        <v>1</v>
      </c>
      <c r="AB264" s="823">
        <v>2</v>
      </c>
      <c r="AC264" s="825">
        <v>1</v>
      </c>
      <c r="AD264" s="825">
        <v>0</v>
      </c>
      <c r="AE264" s="825">
        <v>0</v>
      </c>
      <c r="AF264" s="825">
        <v>1</v>
      </c>
      <c r="AG264" s="825">
        <v>0</v>
      </c>
      <c r="AH264" s="825">
        <v>0</v>
      </c>
      <c r="AI264" s="825">
        <v>0</v>
      </c>
      <c r="AJ264" s="825">
        <v>0</v>
      </c>
      <c r="AK264" s="825">
        <v>0</v>
      </c>
      <c r="AL264" s="825">
        <v>0</v>
      </c>
      <c r="AM264" s="825">
        <v>0</v>
      </c>
      <c r="AN264" s="825">
        <v>1</v>
      </c>
      <c r="AO264" s="825">
        <v>0</v>
      </c>
      <c r="AP264" s="825">
        <v>0</v>
      </c>
    </row>
    <row r="265" hidden="1">
      <c r="B265" s="826" t="s">
        <v>19</v>
      </c>
      <c r="C265" s="827">
        <v>278</v>
      </c>
      <c r="D265" s="827">
        <v>272</v>
      </c>
      <c r="E265" s="827">
        <v>267</v>
      </c>
      <c r="F265" s="827">
        <v>263</v>
      </c>
      <c r="G265" s="827">
        <v>260</v>
      </c>
      <c r="H265" s="827">
        <v>249</v>
      </c>
      <c r="I265" s="827">
        <v>204</v>
      </c>
      <c r="J265" s="827">
        <v>3</v>
      </c>
      <c r="K265" s="827">
        <v>3</v>
      </c>
      <c r="L265" s="827">
        <v>3</v>
      </c>
      <c r="M265" s="827">
        <v>3</v>
      </c>
      <c r="N265" s="827">
        <v>2</v>
      </c>
      <c r="O265" s="827">
        <v>1</v>
      </c>
      <c r="P265" s="827">
        <v>1</v>
      </c>
      <c r="Q265" s="827">
        <v>0</v>
      </c>
      <c r="R265" s="827">
        <v>0</v>
      </c>
      <c r="S265" s="827">
        <v>0</v>
      </c>
      <c r="T265" s="827">
        <v>0</v>
      </c>
      <c r="U265" s="827">
        <v>0</v>
      </c>
      <c r="V265" s="827">
        <v>1</v>
      </c>
      <c r="W265" s="827">
        <v>1</v>
      </c>
      <c r="X265" s="827">
        <v>1</v>
      </c>
      <c r="Y265" s="827">
        <v>1</v>
      </c>
      <c r="Z265" s="827">
        <v>2</v>
      </c>
      <c r="AA265" s="827">
        <v>2</v>
      </c>
      <c r="AB265" s="827">
        <v>2</v>
      </c>
      <c r="AC265" s="828">
        <v>2</v>
      </c>
      <c r="AD265" s="828">
        <v>2</v>
      </c>
      <c r="AE265" s="828">
        <v>2</v>
      </c>
      <c r="AF265" s="828">
        <v>3</v>
      </c>
      <c r="AG265" s="828">
        <v>3</v>
      </c>
      <c r="AH265" s="828">
        <v>3</v>
      </c>
      <c r="AI265" s="828">
        <v>3</v>
      </c>
      <c r="AJ265" s="828">
        <v>3</v>
      </c>
      <c r="AK265" s="828">
        <v>4</v>
      </c>
      <c r="AL265" s="828">
        <v>4</v>
      </c>
      <c r="AM265" s="828">
        <v>1</v>
      </c>
      <c r="AN265" s="828">
        <v>1</v>
      </c>
      <c r="AO265" s="828">
        <v>1</v>
      </c>
      <c r="AP265" s="828">
        <v>1</v>
      </c>
    </row>
    <row r="266" hidden="1">
      <c r="B266" s="829" t="s">
        <v>20</v>
      </c>
      <c r="C266" s="823">
        <v>0</v>
      </c>
      <c r="D266" s="823">
        <v>0</v>
      </c>
      <c r="E266" s="823">
        <v>0</v>
      </c>
      <c r="F266" s="823">
        <v>0</v>
      </c>
      <c r="G266" s="823">
        <v>1</v>
      </c>
      <c r="H266" s="823">
        <v>0</v>
      </c>
      <c r="I266" s="823">
        <v>0</v>
      </c>
      <c r="J266" s="823">
        <v>0</v>
      </c>
      <c r="K266" s="823">
        <v>0</v>
      </c>
      <c r="L266" s="823">
        <v>0</v>
      </c>
      <c r="M266" s="823">
        <v>0</v>
      </c>
      <c r="N266" s="823">
        <v>0</v>
      </c>
      <c r="O266" s="823">
        <v>0</v>
      </c>
      <c r="P266" s="823">
        <v>0</v>
      </c>
      <c r="Q266" s="823">
        <v>0</v>
      </c>
      <c r="R266" s="823">
        <v>0</v>
      </c>
      <c r="S266" s="823">
        <v>0</v>
      </c>
      <c r="T266" s="823">
        <v>0</v>
      </c>
      <c r="U266" s="823">
        <v>0</v>
      </c>
      <c r="V266" s="823">
        <v>0</v>
      </c>
      <c r="W266" s="823">
        <v>0</v>
      </c>
      <c r="X266" s="823">
        <v>0</v>
      </c>
      <c r="Y266" s="823">
        <v>0</v>
      </c>
      <c r="Z266" s="823">
        <v>0</v>
      </c>
      <c r="AA266" s="823">
        <v>0</v>
      </c>
      <c r="AB266" s="823">
        <v>0</v>
      </c>
      <c r="AC266" s="825">
        <v>0</v>
      </c>
      <c r="AD266" s="825">
        <v>0</v>
      </c>
      <c r="AE266" s="825">
        <v>0</v>
      </c>
      <c r="AF266" s="825">
        <v>0</v>
      </c>
      <c r="AG266" s="825">
        <v>0</v>
      </c>
      <c r="AH266" s="825">
        <v>0</v>
      </c>
      <c r="AI266" s="825">
        <v>0</v>
      </c>
      <c r="AJ266" s="825">
        <v>0</v>
      </c>
      <c r="AK266" s="825">
        <v>0</v>
      </c>
      <c r="AL266" s="825">
        <v>0</v>
      </c>
      <c r="AM266" s="825">
        <v>0</v>
      </c>
      <c r="AN266" s="825">
        <v>0</v>
      </c>
      <c r="AO266" s="825">
        <v>0</v>
      </c>
      <c r="AP266" s="825">
        <v>0</v>
      </c>
    </row>
    <row r="267" hidden="1">
      <c r="B267" s="826" t="s">
        <v>21</v>
      </c>
      <c r="C267" s="827">
        <v>0</v>
      </c>
      <c r="D267" s="827">
        <v>0</v>
      </c>
      <c r="E267" s="827">
        <v>0</v>
      </c>
      <c r="F267" s="827">
        <v>0</v>
      </c>
      <c r="G267" s="827">
        <v>0</v>
      </c>
      <c r="H267" s="827">
        <v>1</v>
      </c>
      <c r="I267" s="827">
        <v>0</v>
      </c>
      <c r="J267" s="827">
        <v>0</v>
      </c>
      <c r="K267" s="827">
        <v>0</v>
      </c>
      <c r="L267" s="827">
        <v>0</v>
      </c>
      <c r="M267" s="827">
        <v>0</v>
      </c>
      <c r="N267" s="827">
        <v>0</v>
      </c>
      <c r="O267" s="827">
        <v>0</v>
      </c>
      <c r="P267" s="827">
        <v>0</v>
      </c>
      <c r="Q267" s="827">
        <v>0</v>
      </c>
      <c r="R267" s="827">
        <v>0</v>
      </c>
      <c r="S267" s="827">
        <v>0</v>
      </c>
      <c r="T267" s="827">
        <v>0</v>
      </c>
      <c r="U267" s="827">
        <v>0</v>
      </c>
      <c r="V267" s="827">
        <v>0</v>
      </c>
      <c r="W267" s="827">
        <v>0</v>
      </c>
      <c r="X267" s="827">
        <v>0</v>
      </c>
      <c r="Y267" s="827">
        <v>0</v>
      </c>
      <c r="Z267" s="827">
        <v>0</v>
      </c>
      <c r="AA267" s="827">
        <v>0</v>
      </c>
      <c r="AB267" s="827">
        <v>0</v>
      </c>
      <c r="AC267" s="828">
        <v>0</v>
      </c>
      <c r="AD267" s="828">
        <v>0</v>
      </c>
      <c r="AE267" s="828">
        <v>0</v>
      </c>
      <c r="AF267" s="828">
        <v>0</v>
      </c>
      <c r="AG267" s="828">
        <v>0</v>
      </c>
      <c r="AH267" s="828">
        <v>0</v>
      </c>
      <c r="AI267" s="828">
        <v>0</v>
      </c>
      <c r="AJ267" s="828">
        <v>0</v>
      </c>
      <c r="AK267" s="828">
        <v>0</v>
      </c>
      <c r="AL267" s="828">
        <v>0</v>
      </c>
      <c r="AM267" s="828">
        <v>0</v>
      </c>
      <c r="AN267" s="828">
        <v>0</v>
      </c>
      <c r="AO267" s="828">
        <v>0</v>
      </c>
      <c r="AP267" s="828">
        <v>0</v>
      </c>
    </row>
    <row r="268" hidden="1">
      <c r="B268" s="829" t="s">
        <v>22</v>
      </c>
      <c r="C268" s="823">
        <v>4</v>
      </c>
      <c r="D268" s="823">
        <v>5</v>
      </c>
      <c r="E268" s="823">
        <v>5</v>
      </c>
      <c r="F268" s="823">
        <v>6</v>
      </c>
      <c r="G268" s="823">
        <v>6</v>
      </c>
      <c r="H268" s="823">
        <v>9</v>
      </c>
      <c r="I268" s="823">
        <v>8</v>
      </c>
      <c r="J268" s="823">
        <v>11</v>
      </c>
      <c r="K268" s="823">
        <v>14</v>
      </c>
      <c r="L268" s="823">
        <v>16</v>
      </c>
      <c r="M268" s="823">
        <v>14</v>
      </c>
      <c r="N268" s="823">
        <v>16</v>
      </c>
      <c r="O268" s="823">
        <v>0</v>
      </c>
      <c r="P268" s="823">
        <v>0</v>
      </c>
      <c r="Q268" s="823">
        <v>0</v>
      </c>
      <c r="R268" s="823">
        <v>0</v>
      </c>
      <c r="S268" s="823">
        <v>0</v>
      </c>
      <c r="T268" s="823">
        <v>0</v>
      </c>
      <c r="U268" s="823">
        <v>1</v>
      </c>
      <c r="V268" s="823">
        <v>2</v>
      </c>
      <c r="W268" s="823">
        <v>3</v>
      </c>
      <c r="X268" s="823">
        <v>5</v>
      </c>
      <c r="Y268" s="823">
        <v>3</v>
      </c>
      <c r="Z268" s="823">
        <v>3</v>
      </c>
      <c r="AA268" s="823">
        <v>4</v>
      </c>
      <c r="AB268" s="823">
        <v>4</v>
      </c>
      <c r="AC268" s="825">
        <v>6</v>
      </c>
      <c r="AD268" s="825">
        <v>6</v>
      </c>
      <c r="AE268" s="825">
        <v>6</v>
      </c>
      <c r="AF268" s="825">
        <v>7</v>
      </c>
      <c r="AG268" s="825">
        <v>8</v>
      </c>
      <c r="AH268" s="825">
        <v>0</v>
      </c>
      <c r="AI268" s="825">
        <v>2</v>
      </c>
      <c r="AJ268" s="825">
        <v>2</v>
      </c>
      <c r="AK268" s="825">
        <v>2</v>
      </c>
      <c r="AL268" s="825">
        <v>2</v>
      </c>
      <c r="AM268" s="825">
        <v>0</v>
      </c>
      <c r="AN268" s="825">
        <v>0</v>
      </c>
      <c r="AO268" s="825">
        <v>0</v>
      </c>
      <c r="AP268" s="825">
        <v>0</v>
      </c>
    </row>
    <row r="269" hidden="1">
      <c r="B269" s="826" t="s">
        <v>23</v>
      </c>
      <c r="C269" s="827">
        <v>0</v>
      </c>
      <c r="D269" s="827">
        <v>0</v>
      </c>
      <c r="E269" s="827">
        <v>0</v>
      </c>
      <c r="F269" s="827">
        <v>0</v>
      </c>
      <c r="G269" s="827">
        <v>0</v>
      </c>
      <c r="H269" s="827">
        <v>0</v>
      </c>
      <c r="I269" s="827">
        <v>0</v>
      </c>
      <c r="J269" s="827">
        <v>0</v>
      </c>
      <c r="K269" s="827">
        <v>0</v>
      </c>
      <c r="L269" s="827">
        <v>0</v>
      </c>
      <c r="M269" s="827">
        <v>0</v>
      </c>
      <c r="N269" s="827">
        <v>0</v>
      </c>
      <c r="O269" s="827">
        <v>0</v>
      </c>
      <c r="P269" s="827">
        <v>0</v>
      </c>
      <c r="Q269" s="827">
        <v>0</v>
      </c>
      <c r="R269" s="827">
        <v>0</v>
      </c>
      <c r="S269" s="827">
        <v>0</v>
      </c>
      <c r="T269" s="827">
        <v>0</v>
      </c>
      <c r="U269" s="827">
        <v>0</v>
      </c>
      <c r="V269" s="827">
        <v>0</v>
      </c>
      <c r="W269" s="827">
        <v>0</v>
      </c>
      <c r="X269" s="827">
        <v>0</v>
      </c>
      <c r="Y269" s="827">
        <v>0</v>
      </c>
      <c r="Z269" s="827">
        <v>0</v>
      </c>
      <c r="AA269" s="827">
        <v>0</v>
      </c>
      <c r="AB269" s="827">
        <v>0</v>
      </c>
      <c r="AC269" s="828">
        <v>0</v>
      </c>
      <c r="AD269" s="828">
        <v>0</v>
      </c>
      <c r="AE269" s="828">
        <v>0</v>
      </c>
      <c r="AF269" s="828">
        <v>0</v>
      </c>
      <c r="AG269" s="828">
        <v>0</v>
      </c>
      <c r="AH269" s="828">
        <v>0</v>
      </c>
      <c r="AI269" s="828">
        <v>0</v>
      </c>
      <c r="AJ269" s="828">
        <v>0</v>
      </c>
      <c r="AK269" s="828">
        <v>0</v>
      </c>
      <c r="AL269" s="828">
        <v>0</v>
      </c>
      <c r="AM269" s="828">
        <v>0</v>
      </c>
      <c r="AN269" s="828">
        <v>0</v>
      </c>
      <c r="AO269" s="828">
        <v>0</v>
      </c>
      <c r="AP269" s="828">
        <v>0</v>
      </c>
    </row>
    <row r="270" hidden="1">
      <c r="B270" s="830" t="s">
        <v>24</v>
      </c>
      <c r="C270" s="823">
        <v>7</v>
      </c>
      <c r="D270" s="823">
        <v>8</v>
      </c>
      <c r="E270" s="823">
        <v>6</v>
      </c>
      <c r="F270" s="823">
        <v>6</v>
      </c>
      <c r="G270" s="823">
        <v>6</v>
      </c>
      <c r="H270" s="823">
        <v>5</v>
      </c>
      <c r="I270" s="823">
        <v>5</v>
      </c>
      <c r="J270" s="823">
        <v>5</v>
      </c>
      <c r="K270" s="823">
        <v>3</v>
      </c>
      <c r="L270" s="823">
        <v>2</v>
      </c>
      <c r="M270" s="823">
        <v>2</v>
      </c>
      <c r="N270" s="823">
        <v>2</v>
      </c>
      <c r="O270" s="823">
        <v>0</v>
      </c>
      <c r="P270" s="823">
        <v>0</v>
      </c>
      <c r="Q270" s="823">
        <v>0</v>
      </c>
      <c r="R270" s="823">
        <v>1</v>
      </c>
      <c r="S270" s="823">
        <v>0</v>
      </c>
      <c r="T270" s="823">
        <v>0</v>
      </c>
      <c r="U270" s="823">
        <v>0</v>
      </c>
      <c r="V270" s="823">
        <v>0</v>
      </c>
      <c r="W270" s="823">
        <v>0</v>
      </c>
      <c r="X270" s="823">
        <v>0</v>
      </c>
      <c r="Y270" s="823">
        <v>0</v>
      </c>
      <c r="Z270" s="823">
        <v>0</v>
      </c>
      <c r="AA270" s="823">
        <v>0</v>
      </c>
      <c r="AB270" s="823">
        <v>0</v>
      </c>
      <c r="AC270" s="825">
        <v>0</v>
      </c>
      <c r="AD270" s="825">
        <v>0</v>
      </c>
      <c r="AE270" s="825">
        <v>0</v>
      </c>
      <c r="AF270" s="825">
        <v>0</v>
      </c>
      <c r="AG270" s="825">
        <v>0</v>
      </c>
      <c r="AH270" s="825">
        <v>0</v>
      </c>
      <c r="AI270" s="825">
        <v>0</v>
      </c>
      <c r="AJ270" s="825">
        <v>0</v>
      </c>
      <c r="AK270" s="825">
        <v>0</v>
      </c>
      <c r="AL270" s="825">
        <v>0</v>
      </c>
      <c r="AM270" s="825">
        <v>0</v>
      </c>
      <c r="AN270" s="825">
        <v>0</v>
      </c>
      <c r="AO270" s="825">
        <v>0</v>
      </c>
      <c r="AP270" s="825">
        <v>0</v>
      </c>
    </row>
    <row r="271" hidden="1">
      <c r="B271" s="826" t="s">
        <v>25</v>
      </c>
      <c r="C271" s="827">
        <v>0</v>
      </c>
      <c r="D271" s="827">
        <v>0</v>
      </c>
      <c r="E271" s="827">
        <v>0</v>
      </c>
      <c r="F271" s="827">
        <v>0</v>
      </c>
      <c r="G271" s="827">
        <v>0</v>
      </c>
      <c r="H271" s="827">
        <v>0</v>
      </c>
      <c r="I271" s="827">
        <v>0</v>
      </c>
      <c r="J271" s="827">
        <v>0</v>
      </c>
      <c r="K271" s="827">
        <v>0</v>
      </c>
      <c r="L271" s="827">
        <v>0</v>
      </c>
      <c r="M271" s="827">
        <v>0</v>
      </c>
      <c r="N271" s="827">
        <v>0</v>
      </c>
      <c r="O271" s="827">
        <v>0</v>
      </c>
      <c r="P271" s="827">
        <v>0</v>
      </c>
      <c r="Q271" s="827">
        <v>0</v>
      </c>
      <c r="R271" s="827">
        <v>0</v>
      </c>
      <c r="S271" s="827">
        <v>0</v>
      </c>
      <c r="T271" s="827">
        <v>0</v>
      </c>
      <c r="U271" s="827">
        <v>0</v>
      </c>
      <c r="V271" s="827">
        <v>0</v>
      </c>
      <c r="W271" s="827">
        <v>0</v>
      </c>
      <c r="X271" s="827">
        <v>0</v>
      </c>
      <c r="Y271" s="827">
        <v>0</v>
      </c>
      <c r="Z271" s="827">
        <v>0</v>
      </c>
      <c r="AA271" s="827">
        <v>0</v>
      </c>
      <c r="AB271" s="827">
        <v>0</v>
      </c>
      <c r="AC271" s="828">
        <v>0</v>
      </c>
      <c r="AD271" s="828">
        <v>0</v>
      </c>
      <c r="AE271" s="828">
        <v>0</v>
      </c>
      <c r="AF271" s="828">
        <v>0</v>
      </c>
      <c r="AG271" s="828">
        <v>0</v>
      </c>
      <c r="AH271" s="828">
        <v>0</v>
      </c>
      <c r="AI271" s="828">
        <v>0</v>
      </c>
      <c r="AJ271" s="828">
        <v>0</v>
      </c>
      <c r="AK271" s="828">
        <v>0</v>
      </c>
      <c r="AL271" s="828">
        <v>0</v>
      </c>
      <c r="AM271" s="828">
        <v>0</v>
      </c>
      <c r="AN271" s="828">
        <v>0</v>
      </c>
      <c r="AO271" s="828">
        <v>0</v>
      </c>
      <c r="AP271" s="828">
        <v>0</v>
      </c>
    </row>
    <row r="272" hidden="1" ht="13.5">
      <c r="B272" s="831" t="s">
        <v>26</v>
      </c>
      <c r="C272" s="823">
        <v>0</v>
      </c>
      <c r="D272" s="823">
        <v>0</v>
      </c>
      <c r="E272" s="823">
        <v>0</v>
      </c>
      <c r="F272" s="823">
        <v>0</v>
      </c>
      <c r="G272" s="823">
        <v>0</v>
      </c>
      <c r="H272" s="823">
        <v>0</v>
      </c>
      <c r="I272" s="823">
        <v>0</v>
      </c>
      <c r="J272" s="823">
        <v>0</v>
      </c>
      <c r="K272" s="823">
        <v>0</v>
      </c>
      <c r="L272" s="823">
        <v>0</v>
      </c>
      <c r="M272" s="823">
        <v>0</v>
      </c>
      <c r="N272" s="823">
        <v>0</v>
      </c>
      <c r="O272" s="823">
        <v>0</v>
      </c>
      <c r="P272" s="823">
        <v>0</v>
      </c>
      <c r="Q272" s="823">
        <v>0</v>
      </c>
      <c r="R272" s="823">
        <v>0</v>
      </c>
      <c r="S272" s="823">
        <v>0</v>
      </c>
      <c r="T272" s="823">
        <v>0</v>
      </c>
      <c r="U272" s="823">
        <v>0</v>
      </c>
      <c r="V272" s="823">
        <v>0</v>
      </c>
      <c r="W272" s="823">
        <v>0</v>
      </c>
      <c r="X272" s="823">
        <v>0</v>
      </c>
      <c r="Y272" s="823">
        <v>0</v>
      </c>
      <c r="Z272" s="823">
        <v>0</v>
      </c>
      <c r="AA272" s="823">
        <v>0</v>
      </c>
      <c r="AB272" s="832">
        <v>0</v>
      </c>
      <c r="AC272" s="825">
        <v>0</v>
      </c>
      <c r="AD272" s="825">
        <v>0</v>
      </c>
      <c r="AE272" s="825">
        <v>0</v>
      </c>
      <c r="AF272" s="825">
        <v>0</v>
      </c>
      <c r="AG272" s="825">
        <v>0</v>
      </c>
      <c r="AH272" s="825">
        <v>0</v>
      </c>
      <c r="AI272" s="825">
        <v>0</v>
      </c>
      <c r="AJ272" s="825">
        <v>0</v>
      </c>
      <c r="AK272" s="825">
        <v>0</v>
      </c>
      <c r="AL272" s="825">
        <v>0</v>
      </c>
      <c r="AM272" s="825">
        <v>0</v>
      </c>
      <c r="AN272" s="825">
        <v>0</v>
      </c>
      <c r="AO272" s="825">
        <v>0</v>
      </c>
      <c r="AP272" s="825">
        <v>0</v>
      </c>
    </row>
    <row r="273" hidden="1" ht="13.5">
      <c r="B273" s="128" t="s">
        <v>7</v>
      </c>
      <c r="C273" s="129" t="str">
        <f>IF(SUM(C254:C272)&lt;&gt;0,SUM(C254:C272),"")</f>
      </c>
      <c r="D273" s="129" t="str">
        <f ref="D273:AA273" t="shared" si="20">IF(SUM(D254:D272)&lt;&gt;0,SUM(D254:D272),"")</f>
      </c>
      <c r="E273" s="129" t="str">
        <f t="shared" si="20"/>
      </c>
      <c r="F273" s="129" t="str">
        <f t="shared" si="20"/>
      </c>
      <c r="G273" s="129" t="str">
        <f t="shared" si="20"/>
      </c>
      <c r="H273" s="129" t="str">
        <f t="shared" si="20"/>
      </c>
      <c r="I273" s="129" t="str">
        <f t="shared" si="20"/>
      </c>
      <c r="J273" s="129" t="str">
        <f t="shared" si="20"/>
      </c>
      <c r="K273" s="129" t="str">
        <f t="shared" si="20"/>
      </c>
      <c r="L273" s="129" t="str">
        <f t="shared" si="20"/>
      </c>
      <c r="M273" s="129" t="str">
        <f t="shared" si="20"/>
      </c>
      <c r="N273" s="129" t="str">
        <f t="shared" si="20"/>
      </c>
      <c r="O273" s="129" t="str">
        <f t="shared" si="20"/>
      </c>
      <c r="P273" s="129" t="str">
        <f t="shared" si="20"/>
      </c>
      <c r="Q273" s="129" t="str">
        <f t="shared" si="20"/>
      </c>
      <c r="R273" s="129" t="str">
        <f t="shared" si="20"/>
      </c>
      <c r="S273" s="129" t="str">
        <f t="shared" si="20"/>
      </c>
      <c r="T273" s="129" t="str">
        <f t="shared" si="20"/>
      </c>
      <c r="U273" s="129" t="str">
        <f t="shared" si="20"/>
      </c>
      <c r="V273" s="129" t="str">
        <f t="shared" si="20"/>
      </c>
      <c r="W273" s="129" t="str">
        <f t="shared" si="20"/>
      </c>
      <c r="X273" s="129" t="str">
        <f t="shared" si="20"/>
      </c>
      <c r="Y273" s="129" t="str">
        <f t="shared" si="20"/>
      </c>
      <c r="Z273" s="129" t="str">
        <f t="shared" si="20"/>
      </c>
      <c r="AA273" s="129" t="str">
        <f t="shared" si="20"/>
      </c>
      <c r="AB273" s="130" t="str">
        <f>IF(SUM(AB254:AB272)&lt;&gt;0,SUM(AB254:AB272),"")</f>
      </c>
      <c r="AC273" s="91" t="str">
        <f ref="AC273:CN273" t="shared" si="21">IF(SUM(AC254:AC272)&lt;&gt;0,SUM(AC254:AC272),"")</f>
      </c>
      <c r="AD273" s="91" t="str">
        <f t="shared" si="21"/>
      </c>
      <c r="AE273" s="91" t="str">
        <f t="shared" si="21"/>
      </c>
      <c r="AF273" s="91" t="str">
        <f t="shared" si="21"/>
      </c>
      <c r="AG273" s="91" t="str">
        <f t="shared" si="21"/>
      </c>
      <c r="AH273" s="91" t="str">
        <f t="shared" si="21"/>
      </c>
      <c r="AI273" s="91" t="str">
        <f t="shared" si="21"/>
      </c>
      <c r="AJ273" s="91" t="str">
        <f t="shared" si="21"/>
      </c>
      <c r="AK273" s="91" t="str">
        <f t="shared" si="21"/>
      </c>
      <c r="AL273" s="91" t="str">
        <f t="shared" si="21"/>
      </c>
      <c r="AM273" s="91" t="str">
        <f t="shared" si="21"/>
      </c>
      <c r="AN273" s="91" t="str">
        <f t="shared" si="21"/>
      </c>
      <c r="AO273" s="91" t="str">
        <f t="shared" si="21"/>
      </c>
      <c r="AP273" s="91" t="str">
        <f t="shared" si="21"/>
      </c>
      <c r="AQ273" s="91" t="str">
        <f t="shared" si="21"/>
      </c>
      <c r="AR273" s="91" t="str">
        <f t="shared" si="21"/>
      </c>
      <c r="AS273" s="91" t="str">
        <f t="shared" si="21"/>
      </c>
      <c r="AT273" s="91" t="str">
        <f t="shared" si="21"/>
      </c>
      <c r="AU273" s="91" t="str">
        <f t="shared" si="21"/>
      </c>
      <c r="AV273" s="91" t="str">
        <f t="shared" si="21"/>
      </c>
      <c r="AW273" s="91" t="str">
        <f t="shared" si="21"/>
      </c>
      <c r="AX273" s="91" t="str">
        <f t="shared" si="21"/>
      </c>
      <c r="AY273" s="91" t="str">
        <f t="shared" si="21"/>
      </c>
      <c r="AZ273" s="91" t="str">
        <f t="shared" si="21"/>
      </c>
      <c r="BA273" s="91" t="str">
        <f t="shared" si="21"/>
      </c>
      <c r="BB273" s="91" t="str">
        <f t="shared" si="21"/>
      </c>
      <c r="BC273" s="91" t="str">
        <f t="shared" si="21"/>
      </c>
      <c r="BD273" s="91" t="str">
        <f t="shared" si="21"/>
      </c>
      <c r="BE273" s="91" t="str">
        <f t="shared" si="21"/>
      </c>
      <c r="BF273" s="91" t="str">
        <f t="shared" si="21"/>
      </c>
      <c r="BG273" s="91" t="str">
        <f t="shared" si="21"/>
      </c>
      <c r="BH273" s="91" t="str">
        <f t="shared" si="21"/>
      </c>
      <c r="BI273" s="91" t="str">
        <f t="shared" si="21"/>
      </c>
      <c r="BJ273" s="91" t="str">
        <f t="shared" si="21"/>
      </c>
      <c r="BK273" s="91" t="str">
        <f t="shared" si="21"/>
      </c>
      <c r="BL273" s="91" t="str">
        <f t="shared" si="21"/>
      </c>
      <c r="BM273" s="91" t="str">
        <f t="shared" si="21"/>
      </c>
      <c r="BN273" s="91" t="str">
        <f t="shared" si="21"/>
      </c>
      <c r="BO273" s="91" t="str">
        <f t="shared" si="21"/>
      </c>
      <c r="BP273" s="91" t="str">
        <f t="shared" si="21"/>
      </c>
      <c r="BQ273" s="91" t="str">
        <f t="shared" si="21"/>
      </c>
      <c r="BR273" s="91" t="str">
        <f t="shared" si="21"/>
      </c>
      <c r="BS273" s="91" t="str">
        <f t="shared" si="21"/>
      </c>
      <c r="BT273" s="91" t="str">
        <f t="shared" si="21"/>
      </c>
      <c r="BU273" s="91" t="str">
        <f t="shared" si="21"/>
      </c>
      <c r="BV273" s="91" t="str">
        <f t="shared" si="21"/>
      </c>
      <c r="BW273" s="91" t="str">
        <f t="shared" si="21"/>
      </c>
      <c r="BX273" s="91" t="str">
        <f t="shared" si="21"/>
      </c>
      <c r="BY273" s="91" t="str">
        <f t="shared" si="21"/>
      </c>
      <c r="BZ273" s="91" t="str">
        <f t="shared" si="21"/>
      </c>
      <c r="CA273" s="91" t="str">
        <f t="shared" si="21"/>
      </c>
      <c r="CB273" s="91" t="str">
        <f t="shared" si="21"/>
      </c>
      <c r="CC273" s="91" t="str">
        <f t="shared" si="21"/>
      </c>
      <c r="CD273" s="91" t="str">
        <f t="shared" si="21"/>
      </c>
      <c r="CE273" s="91" t="str">
        <f t="shared" si="21"/>
      </c>
      <c r="CF273" s="91" t="str">
        <f t="shared" si="21"/>
      </c>
      <c r="CG273" s="91" t="str">
        <f t="shared" si="21"/>
      </c>
      <c r="CH273" s="91" t="str">
        <f t="shared" si="21"/>
      </c>
      <c r="CI273" s="91" t="str">
        <f t="shared" si="21"/>
      </c>
      <c r="CJ273" s="91" t="str">
        <f t="shared" si="21"/>
      </c>
      <c r="CK273" s="91" t="str">
        <f t="shared" si="21"/>
      </c>
      <c r="CL273" s="91" t="str">
        <f t="shared" si="21"/>
      </c>
      <c r="CM273" s="91" t="str">
        <f t="shared" si="21"/>
      </c>
      <c r="CN273" s="91" t="str">
        <f t="shared" si="21"/>
      </c>
      <c r="CO273" s="91" t="str">
        <f ref="CO273:EZ273" t="shared" si="22">IF(SUM(CO254:CO272)&lt;&gt;0,SUM(CO254:CO272),"")</f>
      </c>
      <c r="CP273" s="91" t="str">
        <f t="shared" si="22"/>
      </c>
      <c r="CQ273" s="91" t="str">
        <f t="shared" si="22"/>
      </c>
      <c r="CR273" s="91" t="str">
        <f t="shared" si="22"/>
      </c>
      <c r="CS273" s="91" t="str">
        <f t="shared" si="22"/>
      </c>
      <c r="CT273" s="91" t="str">
        <f t="shared" si="22"/>
      </c>
      <c r="CU273" s="91" t="str">
        <f t="shared" si="22"/>
      </c>
      <c r="CV273" s="91" t="str">
        <f t="shared" si="22"/>
      </c>
      <c r="CW273" s="91" t="str">
        <f t="shared" si="22"/>
      </c>
      <c r="CX273" s="91" t="str">
        <f t="shared" si="22"/>
      </c>
      <c r="CY273" s="91" t="str">
        <f t="shared" si="22"/>
      </c>
      <c r="CZ273" s="91" t="str">
        <f t="shared" si="22"/>
      </c>
      <c r="DA273" s="91" t="str">
        <f t="shared" si="22"/>
      </c>
      <c r="DB273" s="91" t="str">
        <f t="shared" si="22"/>
      </c>
      <c r="DC273" s="91" t="str">
        <f t="shared" si="22"/>
      </c>
      <c r="DD273" s="91" t="str">
        <f t="shared" si="22"/>
      </c>
      <c r="DE273" s="91" t="str">
        <f t="shared" si="22"/>
      </c>
      <c r="DF273" s="91" t="str">
        <f t="shared" si="22"/>
      </c>
      <c r="DG273" s="91" t="str">
        <f t="shared" si="22"/>
      </c>
      <c r="DH273" s="91" t="str">
        <f t="shared" si="22"/>
      </c>
      <c r="DI273" s="91" t="str">
        <f t="shared" si="22"/>
      </c>
      <c r="DJ273" s="91" t="str">
        <f t="shared" si="22"/>
      </c>
      <c r="DK273" s="91" t="str">
        <f t="shared" si="22"/>
      </c>
      <c r="DL273" s="91" t="str">
        <f t="shared" si="22"/>
      </c>
      <c r="DM273" s="91" t="str">
        <f t="shared" si="22"/>
      </c>
      <c r="DN273" s="91" t="str">
        <f t="shared" si="22"/>
      </c>
      <c r="DO273" s="91" t="str">
        <f t="shared" si="22"/>
      </c>
      <c r="DP273" s="91" t="str">
        <f t="shared" si="22"/>
      </c>
      <c r="DQ273" s="91" t="str">
        <f t="shared" si="22"/>
      </c>
      <c r="DR273" s="91" t="str">
        <f t="shared" si="22"/>
      </c>
      <c r="DS273" s="91" t="str">
        <f t="shared" si="22"/>
      </c>
      <c r="DT273" s="91" t="str">
        <f t="shared" si="22"/>
      </c>
      <c r="DU273" s="91" t="str">
        <f t="shared" si="22"/>
      </c>
      <c r="DV273" s="91" t="str">
        <f t="shared" si="22"/>
      </c>
      <c r="DW273" s="91" t="str">
        <f t="shared" si="22"/>
      </c>
      <c r="DX273" s="91" t="str">
        <f t="shared" si="22"/>
      </c>
      <c r="DY273" s="91" t="str">
        <f t="shared" si="22"/>
      </c>
      <c r="DZ273" s="91" t="str">
        <f t="shared" si="22"/>
      </c>
      <c r="EA273" s="91" t="str">
        <f t="shared" si="22"/>
      </c>
      <c r="EB273" s="91" t="str">
        <f t="shared" si="22"/>
      </c>
      <c r="EC273" s="91" t="str">
        <f t="shared" si="22"/>
      </c>
      <c r="ED273" s="91" t="str">
        <f t="shared" si="22"/>
      </c>
      <c r="EE273" s="91" t="str">
        <f t="shared" si="22"/>
      </c>
      <c r="EF273" s="91" t="str">
        <f t="shared" si="22"/>
      </c>
      <c r="EG273" s="91" t="str">
        <f t="shared" si="22"/>
      </c>
      <c r="EH273" s="91" t="str">
        <f t="shared" si="22"/>
      </c>
      <c r="EI273" s="91" t="str">
        <f t="shared" si="22"/>
      </c>
      <c r="EJ273" s="91" t="str">
        <f t="shared" si="22"/>
      </c>
      <c r="EK273" s="91" t="str">
        <f t="shared" si="22"/>
      </c>
      <c r="EL273" s="91" t="str">
        <f t="shared" si="22"/>
      </c>
      <c r="EM273" s="91" t="str">
        <f t="shared" si="22"/>
      </c>
      <c r="EN273" s="91" t="str">
        <f t="shared" si="22"/>
      </c>
      <c r="EO273" s="91" t="str">
        <f t="shared" si="22"/>
      </c>
      <c r="EP273" s="91" t="str">
        <f t="shared" si="22"/>
      </c>
      <c r="EQ273" s="91" t="str">
        <f t="shared" si="22"/>
      </c>
      <c r="ER273" s="91" t="str">
        <f t="shared" si="22"/>
      </c>
      <c r="ES273" s="91" t="str">
        <f t="shared" si="22"/>
      </c>
      <c r="ET273" s="91" t="str">
        <f t="shared" si="22"/>
      </c>
      <c r="EU273" s="91" t="str">
        <f t="shared" si="22"/>
      </c>
      <c r="EV273" s="91" t="str">
        <f t="shared" si="22"/>
      </c>
      <c r="EW273" s="91" t="str">
        <f t="shared" si="22"/>
      </c>
      <c r="EX273" s="91" t="str">
        <f t="shared" si="22"/>
      </c>
      <c r="EY273" s="91" t="str">
        <f t="shared" si="22"/>
      </c>
      <c r="EZ273" s="91" t="str">
        <f t="shared" si="22"/>
      </c>
      <c r="FA273" s="91" t="str">
        <f ref="FA273:HL273" t="shared" si="23">IF(SUM(FA254:FA272)&lt;&gt;0,SUM(FA254:FA272),"")</f>
      </c>
      <c r="FB273" s="91" t="str">
        <f t="shared" si="23"/>
      </c>
      <c r="FC273" s="91" t="str">
        <f t="shared" si="23"/>
      </c>
      <c r="FD273" s="91" t="str">
        <f t="shared" si="23"/>
      </c>
      <c r="FE273" s="91" t="str">
        <f t="shared" si="23"/>
      </c>
      <c r="FF273" s="91" t="str">
        <f t="shared" si="23"/>
      </c>
      <c r="FG273" s="91" t="str">
        <f t="shared" si="23"/>
      </c>
      <c r="FH273" s="91" t="str">
        <f t="shared" si="23"/>
      </c>
      <c r="FI273" s="91" t="str">
        <f t="shared" si="23"/>
      </c>
      <c r="FJ273" s="91" t="str">
        <f t="shared" si="23"/>
      </c>
      <c r="FK273" s="91" t="str">
        <f t="shared" si="23"/>
      </c>
      <c r="FL273" s="91" t="str">
        <f t="shared" si="23"/>
      </c>
      <c r="FM273" s="91" t="str">
        <f t="shared" si="23"/>
      </c>
      <c r="FN273" s="91" t="str">
        <f t="shared" si="23"/>
      </c>
      <c r="FO273" s="91" t="str">
        <f t="shared" si="23"/>
      </c>
      <c r="FP273" s="91" t="str">
        <f t="shared" si="23"/>
      </c>
      <c r="FQ273" s="91" t="str">
        <f t="shared" si="23"/>
      </c>
      <c r="FR273" s="91" t="str">
        <f t="shared" si="23"/>
      </c>
      <c r="FS273" s="91" t="str">
        <f t="shared" si="23"/>
      </c>
      <c r="FT273" s="91" t="str">
        <f t="shared" si="23"/>
      </c>
      <c r="FU273" s="91" t="str">
        <f t="shared" si="23"/>
      </c>
      <c r="FV273" s="91" t="str">
        <f t="shared" si="23"/>
      </c>
      <c r="FW273" s="91" t="str">
        <f t="shared" si="23"/>
      </c>
      <c r="FX273" s="91" t="str">
        <f t="shared" si="23"/>
      </c>
      <c r="FY273" s="91" t="str">
        <f t="shared" si="23"/>
      </c>
      <c r="FZ273" s="91" t="str">
        <f t="shared" si="23"/>
      </c>
      <c r="GA273" s="91" t="str">
        <f t="shared" si="23"/>
      </c>
      <c r="GB273" s="91" t="str">
        <f t="shared" si="23"/>
      </c>
      <c r="GC273" s="91" t="str">
        <f t="shared" si="23"/>
      </c>
      <c r="GD273" s="91" t="str">
        <f t="shared" si="23"/>
      </c>
      <c r="GE273" s="91" t="str">
        <f t="shared" si="23"/>
      </c>
      <c r="GF273" s="91" t="str">
        <f t="shared" si="23"/>
      </c>
      <c r="GG273" s="91" t="str">
        <f t="shared" si="23"/>
      </c>
      <c r="GH273" s="91" t="str">
        <f t="shared" si="23"/>
      </c>
      <c r="GI273" s="91" t="str">
        <f t="shared" si="23"/>
      </c>
      <c r="GJ273" s="91" t="str">
        <f t="shared" si="23"/>
      </c>
      <c r="GK273" s="91" t="str">
        <f t="shared" si="23"/>
      </c>
      <c r="GL273" s="91" t="str">
        <f t="shared" si="23"/>
      </c>
      <c r="GM273" s="91" t="str">
        <f t="shared" si="23"/>
      </c>
      <c r="GN273" s="91" t="str">
        <f t="shared" si="23"/>
      </c>
      <c r="GO273" s="91" t="str">
        <f t="shared" si="23"/>
      </c>
      <c r="GP273" s="91" t="str">
        <f t="shared" si="23"/>
      </c>
      <c r="GQ273" s="91" t="str">
        <f t="shared" si="23"/>
      </c>
      <c r="GR273" s="91" t="str">
        <f t="shared" si="23"/>
      </c>
      <c r="GS273" s="91" t="str">
        <f t="shared" si="23"/>
      </c>
      <c r="GT273" s="91" t="str">
        <f t="shared" si="23"/>
      </c>
      <c r="GU273" s="91" t="str">
        <f t="shared" si="23"/>
      </c>
      <c r="GV273" s="91" t="str">
        <f t="shared" si="23"/>
      </c>
      <c r="GW273" s="91" t="str">
        <f t="shared" si="23"/>
      </c>
      <c r="GX273" s="91" t="str">
        <f t="shared" si="23"/>
      </c>
      <c r="GY273" s="91" t="str">
        <f t="shared" si="23"/>
      </c>
      <c r="GZ273" s="91" t="str">
        <f t="shared" si="23"/>
      </c>
      <c r="HA273" s="91" t="str">
        <f t="shared" si="23"/>
      </c>
      <c r="HB273" s="91" t="str">
        <f t="shared" si="23"/>
      </c>
      <c r="HC273" s="91" t="str">
        <f t="shared" si="23"/>
      </c>
      <c r="HD273" s="91" t="str">
        <f t="shared" si="23"/>
      </c>
      <c r="HE273" s="91" t="str">
        <f t="shared" si="23"/>
      </c>
      <c r="HF273" s="91" t="str">
        <f t="shared" si="23"/>
      </c>
      <c r="HG273" s="91" t="str">
        <f t="shared" si="23"/>
      </c>
      <c r="HH273" s="91" t="str">
        <f t="shared" si="23"/>
      </c>
      <c r="HI273" s="91" t="str">
        <f t="shared" si="23"/>
      </c>
      <c r="HJ273" s="91" t="str">
        <f t="shared" si="23"/>
      </c>
      <c r="HK273" s="91" t="str">
        <f t="shared" si="23"/>
      </c>
      <c r="HL273" s="91" t="str">
        <f t="shared" si="23"/>
      </c>
      <c r="HM273" s="91" t="str">
        <f ref="HM273:IV273" t="shared" si="24">IF(SUM(HM254:HM272)&lt;&gt;0,SUM(HM254:HM272),"")</f>
      </c>
      <c r="HN273" s="91" t="str">
        <f t="shared" si="24"/>
      </c>
      <c r="HO273" s="91" t="str">
        <f t="shared" si="24"/>
      </c>
      <c r="HP273" s="91" t="str">
        <f t="shared" si="24"/>
      </c>
      <c r="HQ273" s="91" t="str">
        <f t="shared" si="24"/>
      </c>
      <c r="HR273" s="91" t="str">
        <f t="shared" si="24"/>
      </c>
      <c r="HS273" s="91" t="str">
        <f t="shared" si="24"/>
      </c>
      <c r="HT273" s="91" t="str">
        <f t="shared" si="24"/>
      </c>
      <c r="HU273" s="91" t="str">
        <f t="shared" si="24"/>
      </c>
      <c r="HV273" s="91" t="str">
        <f t="shared" si="24"/>
      </c>
      <c r="HW273" s="91" t="str">
        <f t="shared" si="24"/>
      </c>
      <c r="HX273" s="91" t="str">
        <f t="shared" si="24"/>
      </c>
      <c r="HY273" s="91" t="str">
        <f t="shared" si="24"/>
      </c>
      <c r="HZ273" s="91" t="str">
        <f t="shared" si="24"/>
      </c>
      <c r="IA273" s="91" t="str">
        <f t="shared" si="24"/>
      </c>
      <c r="IB273" s="91" t="str">
        <f t="shared" si="24"/>
      </c>
      <c r="IC273" s="91" t="str">
        <f t="shared" si="24"/>
      </c>
      <c r="ID273" s="91" t="str">
        <f t="shared" si="24"/>
      </c>
      <c r="IE273" s="91" t="str">
        <f t="shared" si="24"/>
      </c>
      <c r="IF273" s="91" t="str">
        <f t="shared" si="24"/>
      </c>
      <c r="IG273" s="91" t="str">
        <f t="shared" si="24"/>
      </c>
      <c r="IH273" s="91" t="str">
        <f t="shared" si="24"/>
      </c>
      <c r="II273" s="91" t="str">
        <f t="shared" si="24"/>
      </c>
      <c r="IJ273" s="91" t="str">
        <f t="shared" si="24"/>
      </c>
      <c r="IK273" s="91" t="str">
        <f t="shared" si="24"/>
      </c>
      <c r="IL273" s="91" t="str">
        <f t="shared" si="24"/>
      </c>
      <c r="IM273" s="91" t="str">
        <f t="shared" si="24"/>
      </c>
      <c r="IN273" s="91" t="str">
        <f t="shared" si="24"/>
      </c>
      <c r="IO273" s="91" t="str">
        <f t="shared" si="24"/>
      </c>
      <c r="IP273" s="91" t="str">
        <f t="shared" si="24"/>
      </c>
      <c r="IQ273" s="91" t="str">
        <f t="shared" si="24"/>
      </c>
      <c r="IR273" s="91" t="str">
        <f t="shared" si="24"/>
      </c>
      <c r="IS273" s="91" t="str">
        <f t="shared" si="24"/>
      </c>
      <c r="IT273" s="91" t="str">
        <f t="shared" si="24"/>
      </c>
      <c r="IU273" s="91" t="str">
        <f t="shared" si="24"/>
      </c>
      <c r="IV273" s="91" t="str">
        <f t="shared" si="24"/>
      </c>
    </row>
    <row r="274" hidden="1" ht="15">
      <c r="B274" s="215"/>
      <c r="C274" s="219"/>
      <c r="D274" s="219"/>
      <c r="E274" s="219"/>
      <c r="F274" s="219"/>
      <c r="G274" s="219"/>
      <c r="H274" s="219"/>
      <c r="I274" s="219"/>
      <c r="J274" s="219"/>
      <c r="K274" s="219"/>
      <c r="L274" s="50"/>
      <c r="P274" s="91"/>
      <c r="Q274" s="91"/>
      <c r="Y274" s="50"/>
      <c r="Z274" s="50"/>
    </row>
    <row r="275" hidden="1" ht="13.5"/>
    <row r="276" hidden="1" ht="13.5">
      <c r="B276" s="162"/>
      <c r="C276" s="617" t="s">
        <v>259</v>
      </c>
      <c r="D276" s="618"/>
      <c r="E276" s="618"/>
      <c r="F276" s="618"/>
      <c r="G276" s="618"/>
      <c r="H276" s="618"/>
      <c r="I276" s="618"/>
      <c r="J276" s="618"/>
      <c r="K276" s="618"/>
      <c r="L276" s="618"/>
      <c r="M276" s="618"/>
      <c r="N276" s="618"/>
      <c r="O276" s="618"/>
      <c r="P276" s="618"/>
      <c r="Q276" s="618"/>
      <c r="R276" s="618"/>
      <c r="S276" s="618"/>
      <c r="T276" s="618"/>
      <c r="U276" s="618"/>
      <c r="V276" s="618"/>
      <c r="W276" s="618"/>
      <c r="X276" s="618"/>
      <c r="Y276" s="618"/>
      <c r="Z276" s="618"/>
      <c r="AA276" s="618"/>
      <c r="AB276" s="619"/>
    </row>
    <row r="277" hidden="1" ht="13.5">
      <c r="C277" s="435" t="str">
        <f> IF(C297&lt;&gt;"",TEXT(AUX!G$1,"dd-MMM-aa"),"")</f>
      </c>
      <c r="D277" s="435" t="str">
        <f> IF(D297&lt;&gt;"",TEXT(AUX!H$1,"dd-MMM-aa"),"")</f>
      </c>
      <c r="E277" s="435" t="str">
        <f> IF(E297&lt;&gt;"",TEXT(AUX!I$1,"dd-MMM-aa"),"")</f>
      </c>
      <c r="F277" s="435" t="str">
        <f> IF(F297&lt;&gt;"",TEXT(AUX!J$1,"dd-MMM-aa"),"")</f>
      </c>
      <c r="G277" s="435" t="str">
        <f> IF(G297&lt;&gt;"",TEXT(AUX!K$1,"dd-MMM-aa"),"")</f>
      </c>
      <c r="H277" s="435" t="str">
        <f> IF(H297&lt;&gt;"",TEXT(AUX!L$1,"dd-MMM-aa"),"")</f>
      </c>
      <c r="I277" s="435" t="str">
        <f> IF(I297&lt;&gt;"",TEXT(AUX!M$1,"dd-MMM-aa"),"")</f>
      </c>
      <c r="J277" s="435" t="str">
        <f> IF(J297&lt;&gt;"",TEXT(AUX!N$1,"dd-MMM-aa"),"")</f>
      </c>
      <c r="K277" s="435" t="str">
        <f> IF(K297&lt;&gt;"",TEXT(AUX!O$1,"dd-MMM-aa"),"")</f>
      </c>
      <c r="L277" s="435" t="str">
        <f> IF(L297&lt;&gt;"",TEXT(AUX!P$1,"dd-MMM-aa"),"")</f>
      </c>
      <c r="M277" s="435" t="str">
        <f> IF(M297&lt;&gt;"",TEXT(AUX!Q$1,"dd-MMM-aa"),"")</f>
      </c>
      <c r="N277" s="435" t="str">
        <f> IF(N297&lt;&gt;"",TEXT(AUX!R$1,"dd-MMM-aa"),"")</f>
      </c>
      <c r="O277" s="435" t="str">
        <f> IF(O297&lt;&gt;"",TEXT(AUX!S$1,"dd-MMM-aa"),"")</f>
      </c>
      <c r="P277" s="435" t="str">
        <f> IF(P297&lt;&gt;"",TEXT(AUX!T$1,"dd-MMM-aa"),"")</f>
      </c>
      <c r="Q277" s="435" t="str">
        <f> IF(Q297&lt;&gt;"",TEXT(AUX!U$1,"dd-MMM-aa"),"")</f>
      </c>
      <c r="R277" s="435" t="str">
        <f> IF(R297&lt;&gt;"",TEXT(AUX!V$1,"dd-MMM-aa"),"")</f>
      </c>
      <c r="S277" s="435" t="str">
        <f> IF(S297&lt;&gt;"",TEXT(AUX!W$1,"dd-MMM-aa"),"")</f>
      </c>
      <c r="T277" s="435" t="str">
        <f> IF(T297&lt;&gt;"",TEXT(AUX!X$1,"dd-MMM-aa"),"")</f>
      </c>
      <c r="U277" s="435" t="str">
        <f> IF(U297&lt;&gt;"",TEXT(AUX!Y$1,"dd-MMM-aa"),"")</f>
      </c>
      <c r="V277" s="435" t="str">
        <f> IF(V297&lt;&gt;"",TEXT(AUX!Z$1,"dd-MMM-aa"),"")</f>
      </c>
      <c r="W277" s="435" t="str">
        <f> IF(W297&lt;&gt;"",TEXT(AUX!AA$1,"dd-MMM-aa"),"")</f>
      </c>
      <c r="X277" s="435" t="str">
        <f> IF(X297&lt;&gt;"",TEXT(AUX!AB$1,"dd-MMM-aa"),"")</f>
      </c>
      <c r="Y277" s="435" t="str">
        <f> IF(Y297&lt;&gt;"",TEXT(AUX!AC$1,"dd-MMM-aa"),"")</f>
      </c>
      <c r="Z277" s="435" t="str">
        <f> IF(Z297&lt;&gt;"",TEXT(AUX!AD$1,"dd-MMM-aa"),"")</f>
      </c>
      <c r="AA277" s="435" t="str">
        <f> IF(AA297&lt;&gt;"",TEXT(AUX!AE$1,"dd-MMM-aa"),"")</f>
      </c>
      <c r="AB277" s="497" t="str">
        <f> IF(AB297&lt;&gt;"",TEXT(AUX!AF$1,"dd-MMM-aa"),"")</f>
      </c>
      <c r="AC277" s="496" t="str">
        <f> IF(AC297&lt;&gt;"",TEXT(AUX!AG$1,"dd-MMM-aa"),"")</f>
      </c>
      <c r="AD277" s="496" t="str">
        <f> IF(AD297&lt;&gt;"",TEXT(AUX!AH$1,"dd-MMM-aa"),"")</f>
      </c>
      <c r="AE277" s="496" t="str">
        <f> IF(AE297&lt;&gt;"",TEXT(AUX!AI$1,"dd-MMM-aa"),"")</f>
      </c>
      <c r="AF277" s="496" t="str">
        <f> IF(AF297&lt;&gt;"",TEXT(AUX!AJ$1,"dd-MMM-aa"),"")</f>
      </c>
      <c r="AG277" s="496" t="str">
        <f> IF(AG297&lt;&gt;"",TEXT(AUX!AK$1,"dd-MMM-aa"),"")</f>
      </c>
      <c r="AH277" s="496" t="str">
        <f> IF(AH297&lt;&gt;"",TEXT(AUX!AL$1,"dd-MMM-aa"),"")</f>
      </c>
      <c r="AI277" s="496" t="str">
        <f> IF(AI297&lt;&gt;"",TEXT(AUX!AM$1,"dd-MMM-aa"),"")</f>
      </c>
      <c r="AJ277" s="496" t="str">
        <f> IF(AJ297&lt;&gt;"",TEXT(AUX!AN$1,"dd-MMM-aa"),"")</f>
      </c>
      <c r="AK277" s="496" t="str">
        <f> IF(AK297&lt;&gt;"",TEXT(AUX!AO$1,"dd-MMM-aa"),"")</f>
      </c>
      <c r="AL277" s="496" t="str">
        <f> IF(AL297&lt;&gt;"",TEXT(AUX!AP$1,"dd-MMM-aa"),"")</f>
      </c>
      <c r="AM277" s="496" t="str">
        <f> IF(AM297&lt;&gt;"",TEXT(AUX!AQ$1,"dd-MMM-aa"),"")</f>
      </c>
      <c r="AN277" s="496" t="str">
        <f> IF(AN297&lt;&gt;"",TEXT(AUX!AR$1,"dd-MMM-aa"),"")</f>
      </c>
      <c r="AO277" s="496" t="str">
        <f> IF(AO297&lt;&gt;"",TEXT(AUX!AS$1,"dd-MMM-aa"),"")</f>
      </c>
      <c r="AP277" s="496" t="str">
        <f> IF(AP297&lt;&gt;"",TEXT(AUX!AT$1,"dd-MMM-aa"),"")</f>
      </c>
      <c r="AQ277" s="496" t="str">
        <f> IF(AQ297&lt;&gt;"",TEXT(AUX!AU$1,"dd-MMM-aa"),"")</f>
      </c>
      <c r="AR277" s="496" t="str">
        <f> IF(AR297&lt;&gt;"",TEXT(AUX!AV$1,"dd-MMM-aa"),"")</f>
      </c>
      <c r="AS277" s="496" t="str">
        <f> IF(AS297&lt;&gt;"",TEXT(AUX!AW$1,"dd-MMM-aa"),"")</f>
      </c>
      <c r="AT277" s="496" t="str">
        <f> IF(AT297&lt;&gt;"",TEXT(AUX!AX$1,"dd-MMM-aa"),"")</f>
      </c>
      <c r="AU277" s="496" t="str">
        <f> IF(AU297&lt;&gt;"",TEXT(AUX!AY$1,"dd-MMM-aa"),"")</f>
      </c>
      <c r="AV277" s="496" t="str">
        <f> IF(AV297&lt;&gt;"",TEXT(AUX!AZ$1,"dd-MMM-aa"),"")</f>
      </c>
      <c r="AW277" s="496" t="str">
        <f> IF(AW297&lt;&gt;"",TEXT(AUX!BA$1,"dd-MMM-aa"),"")</f>
      </c>
      <c r="AX277" s="496" t="str">
        <f> IF(AX297&lt;&gt;"",TEXT(AUX!BB$1,"dd-MMM-aa"),"")</f>
      </c>
      <c r="AY277" s="496" t="str">
        <f> IF(AY297&lt;&gt;"",TEXT(AUX!BC$1,"dd-MMM-aa"),"")</f>
      </c>
      <c r="AZ277" s="496" t="str">
        <f> IF(AZ297&lt;&gt;"",TEXT(AUX!BD$1,"dd-MMM-aa"),"")</f>
      </c>
      <c r="BA277" s="496" t="str">
        <f> IF(BA297&lt;&gt;"",TEXT(AUX!BE$1,"dd-MMM-aa"),"")</f>
      </c>
      <c r="BB277" s="496" t="str">
        <f> IF(BB297&lt;&gt;"",TEXT(AUX!BF$1,"dd-MMM-aa"),"")</f>
      </c>
      <c r="BC277" s="496" t="str">
        <f> IF(BC297&lt;&gt;"",TEXT(AUX!BG$1,"dd-MMM-aa"),"")</f>
      </c>
      <c r="BD277" s="496" t="str">
        <f> IF(BD297&lt;&gt;"",TEXT(AUX!BH$1,"dd-MMM-aa"),"")</f>
      </c>
      <c r="BE277" s="496" t="str">
        <f> IF(BE297&lt;&gt;"",TEXT(AUX!BI$1,"dd-MMM-aa"),"")</f>
      </c>
      <c r="BF277" s="496" t="str">
        <f> IF(BF297&lt;&gt;"",TEXT(AUX!BJ$1,"dd-MMM-aa"),"")</f>
      </c>
      <c r="BG277" s="496" t="str">
        <f> IF(BG297&lt;&gt;"",TEXT(AUX!BK$1,"dd-MMM-aa"),"")</f>
      </c>
      <c r="BH277" s="496" t="str">
        <f> IF(BH297&lt;&gt;"",TEXT(AUX!BL$1,"dd-MMM-aa"),"")</f>
      </c>
      <c r="BI277" s="496" t="str">
        <f> IF(BI297&lt;&gt;"",TEXT(AUX!BM$1,"dd-MMM-aa"),"")</f>
      </c>
      <c r="BJ277" s="496" t="str">
        <f> IF(BJ297&lt;&gt;"",TEXT(AUX!BN$1,"dd-MMM-aa"),"")</f>
      </c>
      <c r="BK277" s="496" t="str">
        <f> IF(BK297&lt;&gt;"",TEXT(AUX!BO$1,"dd-MMM-aa"),"")</f>
      </c>
      <c r="BL277" s="496" t="str">
        <f> IF(BL297&lt;&gt;"",TEXT(AUX!BP$1,"dd-MMM-aa"),"")</f>
      </c>
      <c r="BM277" s="496" t="str">
        <f> IF(BM297&lt;&gt;"",TEXT(AUX!BQ$1,"dd-MMM-aa"),"")</f>
      </c>
      <c r="BN277" s="496" t="str">
        <f> IF(BN297&lt;&gt;"",TEXT(AUX!BR$1,"dd-MMM-aa"),"")</f>
      </c>
      <c r="BO277" s="496" t="str">
        <f> IF(BO297&lt;&gt;"",TEXT(AUX!BS$1,"dd-MMM-aa"),"")</f>
      </c>
      <c r="BP277" s="496" t="str">
        <f> IF(BP297&lt;&gt;"",TEXT(AUX!BT$1,"dd-MMM-aa"),"")</f>
      </c>
      <c r="BQ277" s="496" t="str">
        <f> IF(BQ297&lt;&gt;"",TEXT(AUX!BU$1,"dd-MMM-aa"),"")</f>
      </c>
      <c r="BR277" s="496" t="str">
        <f> IF(BR297&lt;&gt;"",TEXT(AUX!BV$1,"dd-MMM-aa"),"")</f>
      </c>
      <c r="BS277" s="496" t="str">
        <f> IF(BS297&lt;&gt;"",TEXT(AUX!BW$1,"dd-MMM-aa"),"")</f>
      </c>
      <c r="BT277" s="496" t="str">
        <f> IF(BT297&lt;&gt;"",TEXT(AUX!BX$1,"dd-MMM-aa"),"")</f>
      </c>
      <c r="BU277" s="496" t="str">
        <f> IF(BU297&lt;&gt;"",TEXT(AUX!BY$1,"dd-MMM-aa"),"")</f>
      </c>
      <c r="BV277" s="496" t="str">
        <f> IF(BV297&lt;&gt;"",TEXT(AUX!BZ$1,"dd-MMM-aa"),"")</f>
      </c>
      <c r="BW277" s="496" t="str">
        <f> IF(BW297&lt;&gt;"",TEXT(AUX!CA$1,"dd-MMM-aa"),"")</f>
      </c>
      <c r="BX277" s="496" t="str">
        <f> IF(BX297&lt;&gt;"",TEXT(AUX!CB$1,"dd-MMM-aa"),"")</f>
      </c>
      <c r="BY277" s="496" t="str">
        <f> IF(BY297&lt;&gt;"",TEXT(AUX!CC$1,"dd-MMM-aa"),"")</f>
      </c>
      <c r="BZ277" s="496" t="str">
        <f> IF(BZ297&lt;&gt;"",TEXT(AUX!CD$1,"dd-MMM-aa"),"")</f>
      </c>
      <c r="CA277" s="496" t="str">
        <f> IF(CA297&lt;&gt;"",TEXT(AUX!CE$1,"dd-MMM-aa"),"")</f>
      </c>
      <c r="CB277" s="496" t="str">
        <f> IF(CB297&lt;&gt;"",TEXT(AUX!CF$1,"dd-MMM-aa"),"")</f>
      </c>
      <c r="CC277" s="496" t="str">
        <f> IF(CC297&lt;&gt;"",TEXT(AUX!CG$1,"dd-MMM-aa"),"")</f>
      </c>
      <c r="CD277" s="496" t="str">
        <f> IF(CD297&lt;&gt;"",TEXT(AUX!CH$1,"dd-MMM-aa"),"")</f>
      </c>
      <c r="CE277" s="496" t="str">
        <f> IF(CE297&lt;&gt;"",TEXT(AUX!CI$1,"dd-MMM-aa"),"")</f>
      </c>
      <c r="CF277" s="496" t="str">
        <f> IF(CF297&lt;&gt;"",TEXT(AUX!CJ$1,"dd-MMM-aa"),"")</f>
      </c>
      <c r="CG277" s="496" t="str">
        <f> IF(CG297&lt;&gt;"",TEXT(AUX!CK$1,"dd-MMM-aa"),"")</f>
      </c>
      <c r="CH277" s="496" t="str">
        <f> IF(CH297&lt;&gt;"",TEXT(AUX!CL$1,"dd-MMM-aa"),"")</f>
      </c>
      <c r="CI277" s="496" t="str">
        <f> IF(CI297&lt;&gt;"",TEXT(AUX!CM$1,"dd-MMM-aa"),"")</f>
      </c>
      <c r="CJ277" s="496" t="str">
        <f> IF(CJ297&lt;&gt;"",TEXT(AUX!CN$1,"dd-MMM-aa"),"")</f>
      </c>
      <c r="CK277" s="496" t="str">
        <f> IF(CK297&lt;&gt;"",TEXT(AUX!CO$1,"dd-MMM-aa"),"")</f>
      </c>
      <c r="CL277" s="496" t="str">
        <f> IF(CL297&lt;&gt;"",TEXT(AUX!CP$1,"dd-MMM-aa"),"")</f>
      </c>
      <c r="CM277" s="496" t="str">
        <f> IF(CM297&lt;&gt;"",TEXT(AUX!CQ$1,"dd-MMM-aa"),"")</f>
      </c>
      <c r="CN277" s="496" t="str">
        <f> IF(CN297&lt;&gt;"",TEXT(AUX!CR$1,"dd-MMM-aa"),"")</f>
      </c>
      <c r="CO277" s="496" t="str">
        <f> IF(CO297&lt;&gt;"",TEXT(AUX!CS$1,"dd-MMM-aa"),"")</f>
      </c>
      <c r="CP277" s="496" t="str">
        <f> IF(CP297&lt;&gt;"",TEXT(AUX!CT$1,"dd-MMM-aa"),"")</f>
      </c>
      <c r="CQ277" s="496" t="str">
        <f> IF(CQ297&lt;&gt;"",TEXT(AUX!CU$1,"dd-MMM-aa"),"")</f>
      </c>
      <c r="CR277" s="496" t="str">
        <f> IF(CR297&lt;&gt;"",TEXT(AUX!CV$1,"dd-MMM-aa"),"")</f>
      </c>
      <c r="CS277" s="496" t="str">
        <f> IF(CS297&lt;&gt;"",TEXT(AUX!CW$1,"dd-MMM-aa"),"")</f>
      </c>
      <c r="CT277" s="496" t="str">
        <f> IF(CT297&lt;&gt;"",TEXT(AUX!CX$1,"dd-MMM-aa"),"")</f>
      </c>
      <c r="CU277" s="496" t="str">
        <f> IF(CU297&lt;&gt;"",TEXT(AUX!CY$1,"dd-MMM-aa"),"")</f>
      </c>
      <c r="CV277" s="496" t="str">
        <f> IF(CV297&lt;&gt;"",TEXT(AUX!CZ$1,"dd-MMM-aa"),"")</f>
      </c>
      <c r="CW277" s="496" t="str">
        <f> IF(CW297&lt;&gt;"",TEXT(AUX!DA$1,"dd-MMM-aa"),"")</f>
      </c>
      <c r="CX277" s="496" t="str">
        <f> IF(CX297&lt;&gt;"",TEXT(AUX!DB$1,"dd-MMM-aa"),"")</f>
      </c>
      <c r="CY277" s="496" t="str">
        <f> IF(CY297&lt;&gt;"",TEXT(AUX!DC$1,"dd-MMM-aa"),"")</f>
      </c>
      <c r="CZ277" s="496" t="str">
        <f> IF(CZ297&lt;&gt;"",TEXT(AUX!DD$1,"dd-MMM-aa"),"")</f>
      </c>
      <c r="DA277" s="496" t="str">
        <f> IF(DA297&lt;&gt;"",TEXT(AUX!DE$1,"dd-MMM-aa"),"")</f>
      </c>
      <c r="DB277" s="496" t="str">
        <f> IF(DB297&lt;&gt;"",TEXT(AUX!DF$1,"dd-MMM-aa"),"")</f>
      </c>
      <c r="DC277" s="496" t="str">
        <f> IF(DC297&lt;&gt;"",TEXT(AUX!DG$1,"dd-MMM-aa"),"")</f>
      </c>
      <c r="DD277" s="496" t="str">
        <f> IF(DD297&lt;&gt;"",TEXT(AUX!DH$1,"dd-MMM-aa"),"")</f>
      </c>
      <c r="DE277" s="496" t="str">
        <f> IF(DE297&lt;&gt;"",TEXT(AUX!DI$1,"dd-MMM-aa"),"")</f>
      </c>
      <c r="DF277" s="496" t="str">
        <f> IF(DF297&lt;&gt;"",TEXT(AUX!DJ$1,"dd-MMM-aa"),"")</f>
      </c>
      <c r="DG277" s="496" t="str">
        <f> IF(DG297&lt;&gt;"",TEXT(AUX!DK$1,"dd-MMM-aa"),"")</f>
      </c>
      <c r="DH277" s="496" t="str">
        <f> IF(DH297&lt;&gt;"",TEXT(AUX!DL$1,"dd-MMM-aa"),"")</f>
      </c>
      <c r="DI277" s="496" t="str">
        <f> IF(DI297&lt;&gt;"",TEXT(AUX!DM$1,"dd-MMM-aa"),"")</f>
      </c>
      <c r="DJ277" s="496" t="str">
        <f> IF(DJ297&lt;&gt;"",TEXT(AUX!DN$1,"dd-MMM-aa"),"")</f>
      </c>
      <c r="DK277" s="496" t="str">
        <f> IF(DK297&lt;&gt;"",TEXT(AUX!DO$1,"dd-MMM-aa"),"")</f>
      </c>
      <c r="DL277" s="496" t="str">
        <f> IF(DL297&lt;&gt;"",TEXT(AUX!DP$1,"dd-MMM-aa"),"")</f>
      </c>
      <c r="DM277" s="496" t="str">
        <f> IF(DM297&lt;&gt;"",TEXT(AUX!DQ$1,"dd-MMM-aa"),"")</f>
      </c>
      <c r="DN277" s="496" t="str">
        <f> IF(DN297&lt;&gt;"",TEXT(AUX!DR$1,"dd-MMM-aa"),"")</f>
      </c>
      <c r="DO277" s="496" t="str">
        <f> IF(DO297&lt;&gt;"",TEXT(AUX!DS$1,"dd-MMM-aa"),"")</f>
      </c>
      <c r="DP277" s="496" t="str">
        <f> IF(DP297&lt;&gt;"",TEXT(AUX!DT$1,"dd-MMM-aa"),"")</f>
      </c>
      <c r="DQ277" s="496" t="str">
        <f> IF(DQ297&lt;&gt;"",TEXT(AUX!DU$1,"dd-MMM-aa"),"")</f>
      </c>
      <c r="DR277" s="496" t="str">
        <f> IF(DR297&lt;&gt;"",TEXT(AUX!DV$1,"dd-MMM-aa"),"")</f>
      </c>
      <c r="DS277" s="496" t="str">
        <f> IF(DS297&lt;&gt;"",TEXT(AUX!DW$1,"dd-MMM-aa"),"")</f>
      </c>
      <c r="DT277" s="496" t="str">
        <f> IF(DT297&lt;&gt;"",TEXT(AUX!DX$1,"dd-MMM-aa"),"")</f>
      </c>
      <c r="DU277" s="496" t="str">
        <f> IF(DU297&lt;&gt;"",TEXT(AUX!DY$1,"dd-MMM-aa"),"")</f>
      </c>
      <c r="DV277" s="496" t="str">
        <f> IF(DV297&lt;&gt;"",TEXT(AUX!DZ$1,"dd-MMM-aa"),"")</f>
      </c>
      <c r="DW277" s="496" t="str">
        <f> IF(DW297&lt;&gt;"",TEXT(AUX!EA$1,"dd-MMM-aa"),"")</f>
      </c>
      <c r="DX277" s="496" t="str">
        <f> IF(DX297&lt;&gt;"",TEXT(AUX!EB$1,"dd-MMM-aa"),"")</f>
      </c>
      <c r="DY277" s="496" t="str">
        <f> IF(DY297&lt;&gt;"",TEXT(AUX!EC$1,"dd-MMM-aa"),"")</f>
      </c>
      <c r="DZ277" s="496" t="str">
        <f> IF(DZ297&lt;&gt;"",TEXT(AUX!ED$1,"dd-MMM-aa"),"")</f>
      </c>
      <c r="EA277" s="496" t="str">
        <f> IF(EA297&lt;&gt;"",TEXT(AUX!EE$1,"dd-MMM-aa"),"")</f>
      </c>
      <c r="EB277" s="496" t="str">
        <f> IF(EB297&lt;&gt;"",TEXT(AUX!EF$1,"dd-MMM-aa"),"")</f>
      </c>
      <c r="EC277" s="496" t="str">
        <f> IF(EC297&lt;&gt;"",TEXT(AUX!EG$1,"dd-MMM-aa"),"")</f>
      </c>
      <c r="ED277" s="496" t="str">
        <f> IF(ED297&lt;&gt;"",TEXT(AUX!EH$1,"dd-MMM-aa"),"")</f>
      </c>
      <c r="EE277" s="496" t="str">
        <f> IF(EE297&lt;&gt;"",TEXT(AUX!EI$1,"dd-MMM-aa"),"")</f>
      </c>
      <c r="EF277" s="496" t="str">
        <f> IF(EF297&lt;&gt;"",TEXT(AUX!EJ$1,"dd-MMM-aa"),"")</f>
      </c>
      <c r="EG277" s="496" t="str">
        <f> IF(EG297&lt;&gt;"",TEXT(AUX!EK$1,"dd-MMM-aa"),"")</f>
      </c>
      <c r="EH277" s="496" t="str">
        <f> IF(EH297&lt;&gt;"",TEXT(AUX!EL$1,"dd-MMM-aa"),"")</f>
      </c>
      <c r="EI277" s="496" t="str">
        <f> IF(EI297&lt;&gt;"",TEXT(AUX!EM$1,"dd-MMM-aa"),"")</f>
      </c>
      <c r="EJ277" s="496" t="str">
        <f> IF(EJ297&lt;&gt;"",TEXT(AUX!EN$1,"dd-MMM-aa"),"")</f>
      </c>
      <c r="EK277" s="496" t="str">
        <f> IF(EK297&lt;&gt;"",TEXT(AUX!EO$1,"dd-MMM-aa"),"")</f>
      </c>
      <c r="EL277" s="496" t="str">
        <f> IF(EL297&lt;&gt;"",TEXT(AUX!EP$1,"dd-MMM-aa"),"")</f>
      </c>
      <c r="EM277" s="496" t="str">
        <f> IF(EM297&lt;&gt;"",TEXT(AUX!EQ$1,"dd-MMM-aa"),"")</f>
      </c>
      <c r="EN277" s="496" t="str">
        <f> IF(EN297&lt;&gt;"",TEXT(AUX!ER$1,"dd-MMM-aa"),"")</f>
      </c>
      <c r="EO277" s="496" t="str">
        <f> IF(EO297&lt;&gt;"",TEXT(AUX!ES$1,"dd-MMM-aa"),"")</f>
      </c>
      <c r="EP277" s="496" t="str">
        <f> IF(EP297&lt;&gt;"",TEXT(AUX!ET$1,"dd-MMM-aa"),"")</f>
      </c>
      <c r="EQ277" s="496" t="str">
        <f> IF(EQ297&lt;&gt;"",TEXT(AUX!EU$1,"dd-MMM-aa"),"")</f>
      </c>
      <c r="ER277" s="496" t="str">
        <f> IF(ER297&lt;&gt;"",TEXT(AUX!EV$1,"dd-MMM-aa"),"")</f>
      </c>
      <c r="ES277" s="496" t="str">
        <f> IF(ES297&lt;&gt;"",TEXT(AUX!EW$1,"dd-MMM-aa"),"")</f>
      </c>
      <c r="ET277" s="496" t="str">
        <f> IF(ET297&lt;&gt;"",TEXT(AUX!EX$1,"dd-MMM-aa"),"")</f>
      </c>
      <c r="EU277" s="496" t="str">
        <f> IF(EU297&lt;&gt;"",TEXT(AUX!EY$1,"dd-MMM-aa"),"")</f>
      </c>
      <c r="EV277" s="496" t="str">
        <f> IF(EV297&lt;&gt;"",TEXT(AUX!EZ$1,"dd-MMM-aa"),"")</f>
      </c>
      <c r="EW277" s="496" t="str">
        <f> IF(EW297&lt;&gt;"",TEXT(AUX!FA$1,"dd-MMM-aa"),"")</f>
      </c>
      <c r="EX277" s="496" t="str">
        <f> IF(EX297&lt;&gt;"",TEXT(AUX!FB$1,"dd-MMM-aa"),"")</f>
      </c>
      <c r="EY277" s="496" t="str">
        <f> IF(EY297&lt;&gt;"",TEXT(AUX!FC$1,"dd-MMM-aa"),"")</f>
      </c>
      <c r="EZ277" s="496" t="str">
        <f> IF(EZ297&lt;&gt;"",TEXT(AUX!FD$1,"dd-MMM-aa"),"")</f>
      </c>
      <c r="FA277" s="496" t="str">
        <f> IF(FA297&lt;&gt;"",TEXT(AUX!FE$1,"dd-MMM-aa"),"")</f>
      </c>
      <c r="FB277" s="496" t="str">
        <f> IF(FB297&lt;&gt;"",TEXT(AUX!FF$1,"dd-MMM-aa"),"")</f>
      </c>
      <c r="FC277" s="496" t="str">
        <f> IF(FC297&lt;&gt;"",TEXT(AUX!FG$1,"dd-MMM-aa"),"")</f>
      </c>
      <c r="FD277" s="496" t="str">
        <f> IF(FD297&lt;&gt;"",TEXT(AUX!FH$1,"dd-MMM-aa"),"")</f>
      </c>
      <c r="FE277" s="496" t="str">
        <f> IF(FE297&lt;&gt;"",TEXT(AUX!FI$1,"dd-MMM-aa"),"")</f>
      </c>
      <c r="FF277" s="496" t="str">
        <f> IF(FF297&lt;&gt;"",TEXT(AUX!FJ$1,"dd-MMM-aa"),"")</f>
      </c>
      <c r="FG277" s="496" t="str">
        <f> IF(FG297&lt;&gt;"",TEXT(AUX!FK$1,"dd-MMM-aa"),"")</f>
      </c>
      <c r="FH277" s="496" t="str">
        <f> IF(FH297&lt;&gt;"",TEXT(AUX!FL$1,"dd-MMM-aa"),"")</f>
      </c>
      <c r="FI277" s="496" t="str">
        <f> IF(FI297&lt;&gt;"",TEXT(AUX!FM$1,"dd-MMM-aa"),"")</f>
      </c>
      <c r="FJ277" s="496" t="str">
        <f> IF(FJ297&lt;&gt;"",TEXT(AUX!FN$1,"dd-MMM-aa"),"")</f>
      </c>
      <c r="FK277" s="496" t="str">
        <f> IF(FK297&lt;&gt;"",TEXT(AUX!FO$1,"dd-MMM-aa"),"")</f>
      </c>
      <c r="FL277" s="496" t="str">
        <f> IF(FL297&lt;&gt;"",TEXT(AUX!FP$1,"dd-MMM-aa"),"")</f>
      </c>
      <c r="FM277" s="496" t="str">
        <f> IF(FM297&lt;&gt;"",TEXT(AUX!FQ$1,"dd-MMM-aa"),"")</f>
      </c>
      <c r="FN277" s="496" t="str">
        <f> IF(FN297&lt;&gt;"",TEXT(AUX!FR$1,"dd-MMM-aa"),"")</f>
      </c>
      <c r="FO277" s="496" t="str">
        <f> IF(FO297&lt;&gt;"",TEXT(AUX!FS$1,"dd-MMM-aa"),"")</f>
      </c>
      <c r="FP277" s="496" t="str">
        <f> IF(FP297&lt;&gt;"",TEXT(AUX!FT$1,"dd-MMM-aa"),"")</f>
      </c>
      <c r="FQ277" s="496" t="str">
        <f> IF(FQ297&lt;&gt;"",TEXT(AUX!FU$1,"dd-MMM-aa"),"")</f>
      </c>
      <c r="FR277" s="496" t="str">
        <f> IF(FR297&lt;&gt;"",TEXT(AUX!FV$1,"dd-MMM-aa"),"")</f>
      </c>
      <c r="FS277" s="496" t="str">
        <f> IF(FS297&lt;&gt;"",TEXT(AUX!FW$1,"dd-MMM-aa"),"")</f>
      </c>
      <c r="FT277" s="496" t="str">
        <f> IF(FT297&lt;&gt;"",TEXT(AUX!FX$1,"dd-MMM-aa"),"")</f>
      </c>
      <c r="FU277" s="496" t="str">
        <f> IF(FU297&lt;&gt;"",TEXT(AUX!FY$1,"dd-MMM-aa"),"")</f>
      </c>
      <c r="FV277" s="496" t="str">
        <f> IF(FV297&lt;&gt;"",TEXT(AUX!FZ$1,"dd-MMM-aa"),"")</f>
      </c>
      <c r="FW277" s="496" t="str">
        <f> IF(FW297&lt;&gt;"",TEXT(AUX!GA$1,"dd-MMM-aa"),"")</f>
      </c>
      <c r="FX277" s="496" t="str">
        <f> IF(FX297&lt;&gt;"",TEXT(AUX!GB$1,"dd-MMM-aa"),"")</f>
      </c>
      <c r="FY277" s="496" t="str">
        <f> IF(FY297&lt;&gt;"",TEXT(AUX!GC$1,"dd-MMM-aa"),"")</f>
      </c>
      <c r="FZ277" s="496" t="str">
        <f> IF(FZ297&lt;&gt;"",TEXT(AUX!GD$1,"dd-MMM-aa"),"")</f>
      </c>
      <c r="GA277" s="496" t="str">
        <f> IF(GA297&lt;&gt;"",TEXT(AUX!GE$1,"dd-MMM-aa"),"")</f>
      </c>
      <c r="GB277" s="496" t="str">
        <f> IF(GB297&lt;&gt;"",TEXT(AUX!GF$1,"dd-MMM-aa"),"")</f>
      </c>
      <c r="GC277" s="496" t="str">
        <f> IF(GC297&lt;&gt;"",TEXT(AUX!GG$1,"dd-MMM-aa"),"")</f>
      </c>
      <c r="GD277" s="496" t="str">
        <f> IF(GD297&lt;&gt;"",TEXT(AUX!GH$1,"dd-MMM-aa"),"")</f>
      </c>
      <c r="GE277" s="496" t="str">
        <f> IF(GE297&lt;&gt;"",TEXT(AUX!GI$1,"dd-MMM-aa"),"")</f>
      </c>
      <c r="GF277" s="496" t="str">
        <f> IF(GF297&lt;&gt;"",TEXT(AUX!GJ$1,"dd-MMM-aa"),"")</f>
      </c>
      <c r="GG277" s="496" t="str">
        <f> IF(GG297&lt;&gt;"",TEXT(AUX!GK$1,"dd-MMM-aa"),"")</f>
      </c>
      <c r="GH277" s="496" t="str">
        <f> IF(GH297&lt;&gt;"",TEXT(AUX!GL$1,"dd-MMM-aa"),"")</f>
      </c>
      <c r="GI277" s="496" t="str">
        <f> IF(GI297&lt;&gt;"",TEXT(AUX!GM$1,"dd-MMM-aa"),"")</f>
      </c>
      <c r="GJ277" s="496" t="str">
        <f> IF(GJ297&lt;&gt;"",TEXT(AUX!GN$1,"dd-MMM-aa"),"")</f>
      </c>
      <c r="GK277" s="496" t="str">
        <f> IF(GK297&lt;&gt;"",TEXT(AUX!GO$1,"dd-MMM-aa"),"")</f>
      </c>
      <c r="GL277" s="496" t="str">
        <f> IF(GL297&lt;&gt;"",TEXT(AUX!GP$1,"dd-MMM-aa"),"")</f>
      </c>
      <c r="GM277" s="496" t="str">
        <f> IF(GM297&lt;&gt;"",TEXT(AUX!GQ$1,"dd-MMM-aa"),"")</f>
      </c>
      <c r="GN277" s="496" t="str">
        <f> IF(GN297&lt;&gt;"",TEXT(AUX!GR$1,"dd-MMM-aa"),"")</f>
      </c>
      <c r="GO277" s="496" t="str">
        <f> IF(GO297&lt;&gt;"",TEXT(AUX!GS$1,"dd-MMM-aa"),"")</f>
      </c>
      <c r="GP277" s="496" t="str">
        <f> IF(GP297&lt;&gt;"",TEXT(AUX!GT$1,"dd-MMM-aa"),"")</f>
      </c>
      <c r="GQ277" s="496" t="str">
        <f> IF(GQ297&lt;&gt;"",TEXT(AUX!GU$1,"dd-MMM-aa"),"")</f>
      </c>
      <c r="GR277" s="496" t="str">
        <f> IF(GR297&lt;&gt;"",TEXT(AUX!GV$1,"dd-MMM-aa"),"")</f>
      </c>
      <c r="GS277" s="496" t="str">
        <f> IF(GS297&lt;&gt;"",TEXT(AUX!GW$1,"dd-MMM-aa"),"")</f>
      </c>
      <c r="GT277" s="496" t="str">
        <f> IF(GT297&lt;&gt;"",TEXT(AUX!GX$1,"dd-MMM-aa"),"")</f>
      </c>
      <c r="GU277" s="496" t="str">
        <f> IF(GU297&lt;&gt;"",TEXT(AUX!GY$1,"dd-MMM-aa"),"")</f>
      </c>
      <c r="GV277" s="496" t="str">
        <f> IF(GV297&lt;&gt;"",TEXT(AUX!GZ$1,"dd-MMM-aa"),"")</f>
      </c>
      <c r="GW277" s="496" t="str">
        <f> IF(GW297&lt;&gt;"",TEXT(AUX!HA$1,"dd-MMM-aa"),"")</f>
      </c>
      <c r="GX277" s="496" t="str">
        <f> IF(GX297&lt;&gt;"",TEXT(AUX!HB$1,"dd-MMM-aa"),"")</f>
      </c>
      <c r="GY277" s="496" t="str">
        <f> IF(GY297&lt;&gt;"",TEXT(AUX!HC$1,"dd-MMM-aa"),"")</f>
      </c>
      <c r="GZ277" s="496" t="str">
        <f> IF(GZ297&lt;&gt;"",TEXT(AUX!HD$1,"dd-MMM-aa"),"")</f>
      </c>
      <c r="HA277" s="496" t="str">
        <f> IF(HA297&lt;&gt;"",TEXT(AUX!HE$1,"dd-MMM-aa"),"")</f>
      </c>
      <c r="HB277" s="496" t="str">
        <f> IF(HB297&lt;&gt;"",TEXT(AUX!HF$1,"dd-MMM-aa"),"")</f>
      </c>
      <c r="HC277" s="496" t="str">
        <f> IF(HC297&lt;&gt;"",TEXT(AUX!HG$1,"dd-MMM-aa"),"")</f>
      </c>
      <c r="HD277" s="496" t="str">
        <f> IF(HD297&lt;&gt;"",TEXT(AUX!HH$1,"dd-MMM-aa"),"")</f>
      </c>
      <c r="HE277" s="496" t="str">
        <f> IF(HE297&lt;&gt;"",TEXT(AUX!HI$1,"dd-MMM-aa"),"")</f>
      </c>
      <c r="HF277" s="496" t="str">
        <f> IF(HF297&lt;&gt;"",TEXT(AUX!HJ$1,"dd-MMM-aa"),"")</f>
      </c>
      <c r="HG277" s="496" t="str">
        <f> IF(HG297&lt;&gt;"",TEXT(AUX!HK$1,"dd-MMM-aa"),"")</f>
      </c>
      <c r="HH277" s="496" t="str">
        <f> IF(HH297&lt;&gt;"",TEXT(AUX!HL$1,"dd-MMM-aa"),"")</f>
      </c>
      <c r="HI277" s="496" t="str">
        <f> IF(HI297&lt;&gt;"",TEXT(AUX!HM$1,"dd-MMM-aa"),"")</f>
      </c>
      <c r="HJ277" s="496" t="str">
        <f> IF(HJ297&lt;&gt;"",TEXT(AUX!HN$1,"dd-MMM-aa"),"")</f>
      </c>
      <c r="HK277" s="496" t="str">
        <f> IF(HK297&lt;&gt;"",TEXT(AUX!HO$1,"dd-MMM-aa"),"")</f>
      </c>
      <c r="HL277" s="496" t="str">
        <f> IF(HL297&lt;&gt;"",TEXT(AUX!HP$1,"dd-MMM-aa"),"")</f>
      </c>
      <c r="HM277" s="496" t="str">
        <f> IF(HM297&lt;&gt;"",TEXT(AUX!HQ$1,"dd-MMM-aa"),"")</f>
      </c>
      <c r="HN277" s="496" t="str">
        <f> IF(HN297&lt;&gt;"",TEXT(AUX!HR$1,"dd-MMM-aa"),"")</f>
      </c>
      <c r="HO277" s="496" t="str">
        <f> IF(HO297&lt;&gt;"",TEXT(AUX!HS$1,"dd-MMM-aa"),"")</f>
      </c>
      <c r="HP277" s="496" t="str">
        <f> IF(HP297&lt;&gt;"",TEXT(AUX!HT$1,"dd-MMM-aa"),"")</f>
      </c>
      <c r="HQ277" s="496" t="str">
        <f> IF(HQ297&lt;&gt;"",TEXT(AUX!HU$1,"dd-MMM-aa"),"")</f>
      </c>
      <c r="HR277" s="496" t="str">
        <f> IF(HR297&lt;&gt;"",TEXT(AUX!HV$1,"dd-MMM-aa"),"")</f>
      </c>
      <c r="HS277" s="496" t="str">
        <f> IF(HS297&lt;&gt;"",TEXT(AUX!HW$1,"dd-MMM-aa"),"")</f>
      </c>
      <c r="HT277" s="496" t="str">
        <f> IF(HT297&lt;&gt;"",TEXT(AUX!HX$1,"dd-MMM-aa"),"")</f>
      </c>
      <c r="HU277" s="496" t="str">
        <f> IF(HU297&lt;&gt;"",TEXT(AUX!HY$1,"dd-MMM-aa"),"")</f>
      </c>
      <c r="HV277" s="496" t="str">
        <f> IF(HV297&lt;&gt;"",TEXT(AUX!HZ$1,"dd-MMM-aa"),"")</f>
      </c>
      <c r="HW277" s="496" t="str">
        <f> IF(HW297&lt;&gt;"",TEXT(AUX!IA$1,"dd-MMM-aa"),"")</f>
      </c>
      <c r="HX277" s="496" t="str">
        <f> IF(HX297&lt;&gt;"",TEXT(AUX!IB$1,"dd-MMM-aa"),"")</f>
      </c>
      <c r="HY277" s="496" t="str">
        <f> IF(HY297&lt;&gt;"",TEXT(AUX!IC$1,"dd-MMM-aa"),"")</f>
      </c>
      <c r="HZ277" s="496" t="str">
        <f> IF(HZ297&lt;&gt;"",TEXT(AUX!ID$1,"dd-MMM-aa"),"")</f>
      </c>
      <c r="IA277" s="496" t="str">
        <f> IF(IA297&lt;&gt;"",TEXT(AUX!IE$1,"dd-MMM-aa"),"")</f>
      </c>
      <c r="IB277" s="496" t="str">
        <f> IF(IB297&lt;&gt;"",TEXT(AUX!IF$1,"dd-MMM-aa"),"")</f>
      </c>
      <c r="IC277" s="496" t="str">
        <f> IF(IC297&lt;&gt;"",TEXT(AUX!IG$1,"dd-MMM-aa"),"")</f>
      </c>
      <c r="ID277" s="496" t="str">
        <f> IF(ID297&lt;&gt;"",TEXT(AUX!IH$1,"dd-MMM-aa"),"")</f>
      </c>
      <c r="IE277" s="496" t="str">
        <f> IF(IE297&lt;&gt;"",TEXT(AUX!II$1,"dd-MMM-aa"),"")</f>
      </c>
      <c r="IF277" s="496" t="str">
        <f> IF(IF297&lt;&gt;"",TEXT(AUX!IJ$1,"dd-MMM-aa"),"")</f>
      </c>
      <c r="IG277" s="496" t="str">
        <f> IF(IG297&lt;&gt;"",TEXT(AUX!IK$1,"dd-MMM-aa"),"")</f>
      </c>
      <c r="IH277" s="496" t="str">
        <f> IF(IH297&lt;&gt;"",TEXT(AUX!IL$1,"dd-MMM-aa"),"")</f>
      </c>
      <c r="II277" s="496" t="str">
        <f> IF(II297&lt;&gt;"",TEXT(AUX!IM$1,"dd-MMM-aa"),"")</f>
      </c>
      <c r="IJ277" s="496" t="str">
        <f> IF(IJ297&lt;&gt;"",TEXT(AUX!IN$1,"dd-MMM-aa"),"")</f>
      </c>
      <c r="IK277" s="496" t="str">
        <f> IF(IK297&lt;&gt;"",TEXT(AUX!IO$1,"dd-MMM-aa"),"")</f>
      </c>
      <c r="IL277" s="496" t="str">
        <f> IF(IL297&lt;&gt;"",TEXT(AUX!IP$1,"dd-MMM-aa"),"")</f>
      </c>
      <c r="IM277" s="496" t="str">
        <f> IF(IM297&lt;&gt;"",TEXT(AUX!IQ$1,"dd-MMM-aa"),"")</f>
      </c>
      <c r="IN277" s="496" t="str">
        <f> IF(IN297&lt;&gt;"",TEXT(AUX!IR$1,"dd-MMM-aa"),"")</f>
      </c>
      <c r="IO277" s="496" t="str">
        <f> IF(IO297&lt;&gt;"",TEXT(AUX!IS$1,"dd-MMM-aa"),"")</f>
      </c>
      <c r="IP277" s="496" t="str">
        <f> IF(IP297&lt;&gt;"",TEXT(AUX!IT$1,"dd-MMM-aa"),"")</f>
      </c>
      <c r="IQ277" s="496" t="str">
        <f> IF(IQ297&lt;&gt;"",TEXT(AUX!IU$1,"dd-MMM-aa"),"")</f>
      </c>
      <c r="IR277" s="496" t="str">
        <f> IF(IR297&lt;&gt;"",TEXT(AUX!IV$1,"dd-MMM-aa"),"")</f>
      </c>
      <c r="IS277" s="496" t="str">
        <f> IF(IS297&lt;&gt;"",TEXT(AUX!#REF!,"dd-MMM-aa"),"")</f>
      </c>
      <c r="IT277" s="496" t="str">
        <f> IF(IT297&lt;&gt;"",TEXT(AUX!#REF!,"dd-MMM-aa"),"")</f>
      </c>
      <c r="IU277" s="496" t="str">
        <f> IF(IU297&lt;&gt;"",TEXT(AUX!#REF!,"dd-MMM-aa"),"")</f>
      </c>
      <c r="IV277" s="496" t="str">
        <f> IF(IV297&lt;&gt;"",TEXT(AUX!#REF!,"dd-MMM-aa"),"")</f>
      </c>
    </row>
    <row r="278" hidden="1">
      <c r="B278" s="822" t="s">
        <v>8</v>
      </c>
      <c r="C278" s="823">
        <v>22</v>
      </c>
      <c r="D278" s="823">
        <v>25</v>
      </c>
      <c r="E278" s="823">
        <v>25</v>
      </c>
      <c r="F278" s="823">
        <v>26</v>
      </c>
      <c r="G278" s="823">
        <v>27</v>
      </c>
      <c r="H278" s="823">
        <v>28</v>
      </c>
      <c r="I278" s="823">
        <v>25</v>
      </c>
      <c r="J278" s="823">
        <v>24</v>
      </c>
      <c r="K278" s="823">
        <v>23</v>
      </c>
      <c r="L278" s="823">
        <v>23</v>
      </c>
      <c r="M278" s="823">
        <v>21</v>
      </c>
      <c r="N278" s="823">
        <v>15</v>
      </c>
      <c r="O278" s="823">
        <v>10</v>
      </c>
      <c r="P278" s="823">
        <v>10</v>
      </c>
      <c r="Q278" s="823">
        <v>8</v>
      </c>
      <c r="R278" s="823">
        <v>11</v>
      </c>
      <c r="S278" s="823">
        <v>9</v>
      </c>
      <c r="T278" s="823">
        <v>10</v>
      </c>
      <c r="U278" s="823">
        <v>8</v>
      </c>
      <c r="V278" s="823">
        <v>8</v>
      </c>
      <c r="W278" s="823">
        <v>8</v>
      </c>
      <c r="X278" s="823">
        <v>6</v>
      </c>
      <c r="Y278" s="823">
        <v>4</v>
      </c>
      <c r="Z278" s="823">
        <v>4</v>
      </c>
      <c r="AA278" s="823">
        <v>4</v>
      </c>
      <c r="AB278" s="824">
        <v>2</v>
      </c>
      <c r="AC278" s="825">
        <v>0</v>
      </c>
      <c r="AD278" s="825">
        <v>0</v>
      </c>
      <c r="AE278" s="825">
        <v>0</v>
      </c>
      <c r="AF278" s="825">
        <v>0</v>
      </c>
      <c r="AG278" s="825">
        <v>0</v>
      </c>
      <c r="AH278" s="825">
        <v>0</v>
      </c>
      <c r="AI278" s="825">
        <v>0</v>
      </c>
      <c r="AJ278" s="825">
        <v>0</v>
      </c>
      <c r="AK278" s="825">
        <v>0</v>
      </c>
      <c r="AL278" s="825">
        <v>0</v>
      </c>
      <c r="AM278" s="825">
        <v>0</v>
      </c>
      <c r="AN278" s="825">
        <v>0</v>
      </c>
      <c r="AO278" s="825">
        <v>0</v>
      </c>
      <c r="AP278" s="825">
        <v>0</v>
      </c>
    </row>
    <row r="279" hidden="1">
      <c r="B279" s="826" t="s">
        <v>9</v>
      </c>
      <c r="C279" s="827">
        <v>4</v>
      </c>
      <c r="D279" s="827">
        <v>5</v>
      </c>
      <c r="E279" s="827">
        <v>9</v>
      </c>
      <c r="F279" s="827">
        <v>15</v>
      </c>
      <c r="G279" s="827">
        <v>16</v>
      </c>
      <c r="H279" s="827">
        <v>17</v>
      </c>
      <c r="I279" s="827">
        <v>19</v>
      </c>
      <c r="J279" s="827">
        <v>20</v>
      </c>
      <c r="K279" s="827">
        <v>23</v>
      </c>
      <c r="L279" s="827">
        <v>25</v>
      </c>
      <c r="M279" s="827">
        <v>25</v>
      </c>
      <c r="N279" s="827">
        <v>26</v>
      </c>
      <c r="O279" s="827">
        <v>24</v>
      </c>
      <c r="P279" s="827">
        <v>26</v>
      </c>
      <c r="Q279" s="827">
        <v>0</v>
      </c>
      <c r="R279" s="827">
        <v>0</v>
      </c>
      <c r="S279" s="827">
        <v>0</v>
      </c>
      <c r="T279" s="827">
        <v>0</v>
      </c>
      <c r="U279" s="827">
        <v>0</v>
      </c>
      <c r="V279" s="827">
        <v>0</v>
      </c>
      <c r="W279" s="827">
        <v>0</v>
      </c>
      <c r="X279" s="827">
        <v>0</v>
      </c>
      <c r="Y279" s="827">
        <v>0</v>
      </c>
      <c r="Z279" s="827">
        <v>0</v>
      </c>
      <c r="AA279" s="827">
        <v>0</v>
      </c>
      <c r="AB279" s="827">
        <v>0</v>
      </c>
      <c r="AC279" s="828">
        <v>0</v>
      </c>
      <c r="AD279" s="828">
        <v>0</v>
      </c>
      <c r="AE279" s="828">
        <v>0</v>
      </c>
      <c r="AF279" s="828">
        <v>0</v>
      </c>
      <c r="AG279" s="828">
        <v>0</v>
      </c>
      <c r="AH279" s="828">
        <v>0</v>
      </c>
      <c r="AI279" s="828">
        <v>0</v>
      </c>
      <c r="AJ279" s="828">
        <v>0</v>
      </c>
      <c r="AK279" s="828">
        <v>0</v>
      </c>
      <c r="AL279" s="828">
        <v>0</v>
      </c>
      <c r="AM279" s="828">
        <v>0</v>
      </c>
      <c r="AN279" s="828">
        <v>0</v>
      </c>
      <c r="AO279" s="828">
        <v>0</v>
      </c>
      <c r="AP279" s="828">
        <v>0</v>
      </c>
    </row>
    <row r="280" hidden="1">
      <c r="B280" s="829" t="s">
        <v>10</v>
      </c>
      <c r="C280" s="823">
        <v>0</v>
      </c>
      <c r="D280" s="823">
        <v>0</v>
      </c>
      <c r="E280" s="823">
        <v>0</v>
      </c>
      <c r="F280" s="823">
        <v>0</v>
      </c>
      <c r="G280" s="823">
        <v>0</v>
      </c>
      <c r="H280" s="823">
        <v>1</v>
      </c>
      <c r="I280" s="823">
        <v>1</v>
      </c>
      <c r="J280" s="823">
        <v>1</v>
      </c>
      <c r="K280" s="823">
        <v>1</v>
      </c>
      <c r="L280" s="823">
        <v>1</v>
      </c>
      <c r="M280" s="823">
        <v>1</v>
      </c>
      <c r="N280" s="823">
        <v>1</v>
      </c>
      <c r="O280" s="823">
        <v>1</v>
      </c>
      <c r="P280" s="823">
        <v>1</v>
      </c>
      <c r="Q280" s="823">
        <v>1</v>
      </c>
      <c r="R280" s="823">
        <v>1</v>
      </c>
      <c r="S280" s="823">
        <v>1</v>
      </c>
      <c r="T280" s="823">
        <v>1</v>
      </c>
      <c r="U280" s="823">
        <v>1</v>
      </c>
      <c r="V280" s="823">
        <v>1</v>
      </c>
      <c r="W280" s="823">
        <v>1</v>
      </c>
      <c r="X280" s="823">
        <v>1</v>
      </c>
      <c r="Y280" s="823">
        <v>1</v>
      </c>
      <c r="Z280" s="823">
        <v>1</v>
      </c>
      <c r="AA280" s="823">
        <v>0</v>
      </c>
      <c r="AB280" s="823">
        <v>0</v>
      </c>
      <c r="AC280" s="825">
        <v>0</v>
      </c>
      <c r="AD280" s="825">
        <v>0</v>
      </c>
      <c r="AE280" s="825">
        <v>0</v>
      </c>
      <c r="AF280" s="825">
        <v>0</v>
      </c>
      <c r="AG280" s="825">
        <v>0</v>
      </c>
      <c r="AH280" s="825">
        <v>0</v>
      </c>
      <c r="AI280" s="825">
        <v>0</v>
      </c>
      <c r="AJ280" s="825">
        <v>0</v>
      </c>
      <c r="AK280" s="825">
        <v>0</v>
      </c>
      <c r="AL280" s="825">
        <v>0</v>
      </c>
      <c r="AM280" s="825">
        <v>0</v>
      </c>
      <c r="AN280" s="825">
        <v>0</v>
      </c>
      <c r="AO280" s="825">
        <v>0</v>
      </c>
      <c r="AP280" s="825">
        <v>0</v>
      </c>
    </row>
    <row r="281" hidden="1">
      <c r="B281" s="826" t="s">
        <v>11</v>
      </c>
      <c r="C281" s="827">
        <v>1</v>
      </c>
      <c r="D281" s="827">
        <v>2</v>
      </c>
      <c r="E281" s="827">
        <v>2</v>
      </c>
      <c r="F281" s="827">
        <v>2</v>
      </c>
      <c r="G281" s="827">
        <v>1</v>
      </c>
      <c r="H281" s="827">
        <v>2</v>
      </c>
      <c r="I281" s="827">
        <v>3</v>
      </c>
      <c r="J281" s="827">
        <v>3</v>
      </c>
      <c r="K281" s="827">
        <v>2</v>
      </c>
      <c r="L281" s="827">
        <v>2</v>
      </c>
      <c r="M281" s="827">
        <v>1</v>
      </c>
      <c r="N281" s="827">
        <v>1</v>
      </c>
      <c r="O281" s="827">
        <v>0</v>
      </c>
      <c r="P281" s="827">
        <v>0</v>
      </c>
      <c r="Q281" s="827">
        <v>0</v>
      </c>
      <c r="R281" s="827">
        <v>0</v>
      </c>
      <c r="S281" s="827">
        <v>0</v>
      </c>
      <c r="T281" s="827">
        <v>0</v>
      </c>
      <c r="U281" s="827">
        <v>0</v>
      </c>
      <c r="V281" s="827">
        <v>0</v>
      </c>
      <c r="W281" s="827">
        <v>0</v>
      </c>
      <c r="X281" s="827">
        <v>0</v>
      </c>
      <c r="Y281" s="827">
        <v>0</v>
      </c>
      <c r="Z281" s="827">
        <v>0</v>
      </c>
      <c r="AA281" s="827">
        <v>0</v>
      </c>
      <c r="AB281" s="827">
        <v>0</v>
      </c>
      <c r="AC281" s="828">
        <v>0</v>
      </c>
      <c r="AD281" s="828">
        <v>0</v>
      </c>
      <c r="AE281" s="828">
        <v>0</v>
      </c>
      <c r="AF281" s="828">
        <v>0</v>
      </c>
      <c r="AG281" s="828">
        <v>0</v>
      </c>
      <c r="AH281" s="828">
        <v>0</v>
      </c>
      <c r="AI281" s="828">
        <v>0</v>
      </c>
      <c r="AJ281" s="828">
        <v>0</v>
      </c>
      <c r="AK281" s="828">
        <v>0</v>
      </c>
      <c r="AL281" s="828">
        <v>0</v>
      </c>
      <c r="AM281" s="828">
        <v>0</v>
      </c>
      <c r="AN281" s="828">
        <v>0</v>
      </c>
      <c r="AO281" s="828">
        <v>0</v>
      </c>
      <c r="AP281" s="828">
        <v>0</v>
      </c>
    </row>
    <row r="282" hidden="1">
      <c r="B282" s="829" t="s">
        <v>12</v>
      </c>
      <c r="C282" s="823">
        <v>1</v>
      </c>
      <c r="D282" s="823">
        <v>1</v>
      </c>
      <c r="E282" s="823">
        <v>1</v>
      </c>
      <c r="F282" s="823">
        <v>0</v>
      </c>
      <c r="G282" s="823">
        <v>0</v>
      </c>
      <c r="H282" s="823">
        <v>0</v>
      </c>
      <c r="I282" s="823">
        <v>0</v>
      </c>
      <c r="J282" s="823">
        <v>0</v>
      </c>
      <c r="K282" s="823">
        <v>0</v>
      </c>
      <c r="L282" s="823">
        <v>0</v>
      </c>
      <c r="M282" s="823">
        <v>0</v>
      </c>
      <c r="N282" s="823">
        <v>0</v>
      </c>
      <c r="O282" s="823">
        <v>0</v>
      </c>
      <c r="P282" s="823">
        <v>0</v>
      </c>
      <c r="Q282" s="823">
        <v>0</v>
      </c>
      <c r="R282" s="823">
        <v>0</v>
      </c>
      <c r="S282" s="823">
        <v>0</v>
      </c>
      <c r="T282" s="823">
        <v>0</v>
      </c>
      <c r="U282" s="823">
        <v>0</v>
      </c>
      <c r="V282" s="823">
        <v>0</v>
      </c>
      <c r="W282" s="823">
        <v>0</v>
      </c>
      <c r="X282" s="823">
        <v>0</v>
      </c>
      <c r="Y282" s="823">
        <v>0</v>
      </c>
      <c r="Z282" s="823">
        <v>0</v>
      </c>
      <c r="AA282" s="823">
        <v>0</v>
      </c>
      <c r="AB282" s="823">
        <v>0</v>
      </c>
      <c r="AC282" s="825">
        <v>0</v>
      </c>
      <c r="AD282" s="825">
        <v>0</v>
      </c>
      <c r="AE282" s="825">
        <v>0</v>
      </c>
      <c r="AF282" s="825">
        <v>0</v>
      </c>
      <c r="AG282" s="825">
        <v>0</v>
      </c>
      <c r="AH282" s="825">
        <v>0</v>
      </c>
      <c r="AI282" s="825">
        <v>0</v>
      </c>
      <c r="AJ282" s="825">
        <v>0</v>
      </c>
      <c r="AK282" s="825">
        <v>0</v>
      </c>
      <c r="AL282" s="825">
        <v>0</v>
      </c>
      <c r="AM282" s="825">
        <v>0</v>
      </c>
      <c r="AN282" s="825">
        <v>0</v>
      </c>
      <c r="AO282" s="825">
        <v>0</v>
      </c>
      <c r="AP282" s="825">
        <v>0</v>
      </c>
    </row>
    <row r="283" hidden="1">
      <c r="B283" s="826" t="s">
        <v>13</v>
      </c>
      <c r="C283" s="827">
        <v>1</v>
      </c>
      <c r="D283" s="827">
        <v>1</v>
      </c>
      <c r="E283" s="827">
        <v>1</v>
      </c>
      <c r="F283" s="827">
        <v>1</v>
      </c>
      <c r="G283" s="827">
        <v>1</v>
      </c>
      <c r="H283" s="827">
        <v>0</v>
      </c>
      <c r="I283" s="827">
        <v>0</v>
      </c>
      <c r="J283" s="827">
        <v>0</v>
      </c>
      <c r="K283" s="827">
        <v>0</v>
      </c>
      <c r="L283" s="827">
        <v>0</v>
      </c>
      <c r="M283" s="827">
        <v>0</v>
      </c>
      <c r="N283" s="827">
        <v>0</v>
      </c>
      <c r="O283" s="827">
        <v>0</v>
      </c>
      <c r="P283" s="827">
        <v>0</v>
      </c>
      <c r="Q283" s="827">
        <v>0</v>
      </c>
      <c r="R283" s="827">
        <v>0</v>
      </c>
      <c r="S283" s="827">
        <v>0</v>
      </c>
      <c r="T283" s="827">
        <v>0</v>
      </c>
      <c r="U283" s="827">
        <v>0</v>
      </c>
      <c r="V283" s="827">
        <v>0</v>
      </c>
      <c r="W283" s="827">
        <v>0</v>
      </c>
      <c r="X283" s="827">
        <v>0</v>
      </c>
      <c r="Y283" s="827">
        <v>0</v>
      </c>
      <c r="Z283" s="827">
        <v>0</v>
      </c>
      <c r="AA283" s="827">
        <v>0</v>
      </c>
      <c r="AB283" s="827">
        <v>0</v>
      </c>
      <c r="AC283" s="828">
        <v>0</v>
      </c>
      <c r="AD283" s="828">
        <v>0</v>
      </c>
      <c r="AE283" s="828">
        <v>0</v>
      </c>
      <c r="AF283" s="828">
        <v>0</v>
      </c>
      <c r="AG283" s="828">
        <v>0</v>
      </c>
      <c r="AH283" s="828">
        <v>0</v>
      </c>
      <c r="AI283" s="828">
        <v>0</v>
      </c>
      <c r="AJ283" s="828">
        <v>0</v>
      </c>
      <c r="AK283" s="828">
        <v>0</v>
      </c>
      <c r="AL283" s="828">
        <v>0</v>
      </c>
      <c r="AM283" s="828">
        <v>0</v>
      </c>
      <c r="AN283" s="828">
        <v>0</v>
      </c>
      <c r="AO283" s="828">
        <v>0</v>
      </c>
      <c r="AP283" s="828">
        <v>0</v>
      </c>
    </row>
    <row r="284" hidden="1">
      <c r="B284" s="829" t="s">
        <v>109</v>
      </c>
      <c r="C284" s="823">
        <v>26</v>
      </c>
      <c r="D284" s="823">
        <v>18</v>
      </c>
      <c r="E284" s="823">
        <v>20</v>
      </c>
      <c r="F284" s="823">
        <v>22</v>
      </c>
      <c r="G284" s="823">
        <v>22</v>
      </c>
      <c r="H284" s="823">
        <v>20</v>
      </c>
      <c r="I284" s="823">
        <v>18</v>
      </c>
      <c r="J284" s="823">
        <v>19</v>
      </c>
      <c r="K284" s="823">
        <v>18</v>
      </c>
      <c r="L284" s="823">
        <v>20</v>
      </c>
      <c r="M284" s="823">
        <v>18</v>
      </c>
      <c r="N284" s="823">
        <v>2</v>
      </c>
      <c r="O284" s="823">
        <v>2</v>
      </c>
      <c r="P284" s="823">
        <v>1</v>
      </c>
      <c r="Q284" s="823">
        <v>0</v>
      </c>
      <c r="R284" s="823">
        <v>0</v>
      </c>
      <c r="S284" s="823">
        <v>1</v>
      </c>
      <c r="T284" s="823">
        <v>0</v>
      </c>
      <c r="U284" s="823">
        <v>0</v>
      </c>
      <c r="V284" s="823">
        <v>0</v>
      </c>
      <c r="W284" s="823">
        <v>0</v>
      </c>
      <c r="X284" s="823">
        <v>0</v>
      </c>
      <c r="Y284" s="823">
        <v>0</v>
      </c>
      <c r="Z284" s="823">
        <v>0</v>
      </c>
      <c r="AA284" s="823">
        <v>0</v>
      </c>
      <c r="AB284" s="823">
        <v>0</v>
      </c>
      <c r="AC284" s="825">
        <v>0</v>
      </c>
      <c r="AD284" s="825">
        <v>0</v>
      </c>
      <c r="AE284" s="825">
        <v>0</v>
      </c>
      <c r="AF284" s="825">
        <v>0</v>
      </c>
      <c r="AG284" s="825">
        <v>0</v>
      </c>
      <c r="AH284" s="825">
        <v>0</v>
      </c>
      <c r="AI284" s="825">
        <v>0</v>
      </c>
      <c r="AJ284" s="825">
        <v>0</v>
      </c>
      <c r="AK284" s="825">
        <v>0</v>
      </c>
      <c r="AL284" s="825">
        <v>0</v>
      </c>
      <c r="AM284" s="825">
        <v>1</v>
      </c>
      <c r="AN284" s="825">
        <v>0</v>
      </c>
      <c r="AO284" s="825">
        <v>0</v>
      </c>
      <c r="AP284" s="825">
        <v>0</v>
      </c>
    </row>
    <row r="285" hidden="1">
      <c r="B285" s="826" t="s">
        <v>110</v>
      </c>
      <c r="C285" s="827">
        <v>13</v>
      </c>
      <c r="D285" s="827">
        <v>18</v>
      </c>
      <c r="E285" s="827">
        <v>19</v>
      </c>
      <c r="F285" s="827">
        <v>24</v>
      </c>
      <c r="G285" s="827">
        <v>26</v>
      </c>
      <c r="H285" s="827">
        <v>25</v>
      </c>
      <c r="I285" s="827">
        <v>25</v>
      </c>
      <c r="J285" s="827">
        <v>27</v>
      </c>
      <c r="K285" s="827">
        <v>29</v>
      </c>
      <c r="L285" s="827">
        <v>33</v>
      </c>
      <c r="M285" s="827">
        <v>35</v>
      </c>
      <c r="N285" s="827">
        <v>0</v>
      </c>
      <c r="O285" s="827">
        <v>0</v>
      </c>
      <c r="P285" s="827">
        <v>0</v>
      </c>
      <c r="Q285" s="827">
        <v>0</v>
      </c>
      <c r="R285" s="827">
        <v>0</v>
      </c>
      <c r="S285" s="827">
        <v>0</v>
      </c>
      <c r="T285" s="827">
        <v>0</v>
      </c>
      <c r="U285" s="827">
        <v>0</v>
      </c>
      <c r="V285" s="827">
        <v>0</v>
      </c>
      <c r="W285" s="827">
        <v>0</v>
      </c>
      <c r="X285" s="827">
        <v>0</v>
      </c>
      <c r="Y285" s="827">
        <v>0</v>
      </c>
      <c r="Z285" s="827">
        <v>0</v>
      </c>
      <c r="AA285" s="827">
        <v>0</v>
      </c>
      <c r="AB285" s="827">
        <v>0</v>
      </c>
      <c r="AC285" s="828">
        <v>0</v>
      </c>
      <c r="AD285" s="828">
        <v>0</v>
      </c>
      <c r="AE285" s="828">
        <v>0</v>
      </c>
      <c r="AF285" s="828">
        <v>0</v>
      </c>
      <c r="AG285" s="828">
        <v>0</v>
      </c>
      <c r="AH285" s="828">
        <v>0</v>
      </c>
      <c r="AI285" s="828">
        <v>0</v>
      </c>
      <c r="AJ285" s="828">
        <v>0</v>
      </c>
      <c r="AK285" s="828">
        <v>0</v>
      </c>
      <c r="AL285" s="828">
        <v>0</v>
      </c>
      <c r="AM285" s="828">
        <v>0</v>
      </c>
      <c r="AN285" s="828">
        <v>0</v>
      </c>
      <c r="AO285" s="828">
        <v>0</v>
      </c>
      <c r="AP285" s="828">
        <v>0</v>
      </c>
    </row>
    <row r="286" hidden="1">
      <c r="B286" s="829" t="s">
        <v>16</v>
      </c>
      <c r="C286" s="823">
        <v>105</v>
      </c>
      <c r="D286" s="823">
        <v>109</v>
      </c>
      <c r="E286" s="823">
        <v>110</v>
      </c>
      <c r="F286" s="823">
        <v>106</v>
      </c>
      <c r="G286" s="823">
        <v>103</v>
      </c>
      <c r="H286" s="823">
        <v>105</v>
      </c>
      <c r="I286" s="823">
        <v>108</v>
      </c>
      <c r="J286" s="823">
        <v>105</v>
      </c>
      <c r="K286" s="823">
        <v>99</v>
      </c>
      <c r="L286" s="823">
        <v>100</v>
      </c>
      <c r="M286" s="823">
        <v>101</v>
      </c>
      <c r="N286" s="823">
        <v>97</v>
      </c>
      <c r="O286" s="823">
        <v>5</v>
      </c>
      <c r="P286" s="823">
        <v>3</v>
      </c>
      <c r="Q286" s="823">
        <v>4</v>
      </c>
      <c r="R286" s="823">
        <v>7</v>
      </c>
      <c r="S286" s="823">
        <v>8</v>
      </c>
      <c r="T286" s="823">
        <v>9</v>
      </c>
      <c r="U286" s="823">
        <v>10</v>
      </c>
      <c r="V286" s="823">
        <v>13</v>
      </c>
      <c r="W286" s="823">
        <v>16</v>
      </c>
      <c r="X286" s="823">
        <v>20</v>
      </c>
      <c r="Y286" s="823">
        <v>23</v>
      </c>
      <c r="Z286" s="823">
        <v>25</v>
      </c>
      <c r="AA286" s="823">
        <v>26</v>
      </c>
      <c r="AB286" s="823">
        <v>29</v>
      </c>
      <c r="AC286" s="825">
        <v>30</v>
      </c>
      <c r="AD286" s="825">
        <v>29</v>
      </c>
      <c r="AE286" s="825">
        <v>31</v>
      </c>
      <c r="AF286" s="825">
        <v>28</v>
      </c>
      <c r="AG286" s="825">
        <v>16</v>
      </c>
      <c r="AH286" s="825">
        <v>10</v>
      </c>
      <c r="AI286" s="825">
        <v>2</v>
      </c>
      <c r="AJ286" s="825">
        <v>0</v>
      </c>
      <c r="AK286" s="825">
        <v>0</v>
      </c>
      <c r="AL286" s="825">
        <v>0</v>
      </c>
      <c r="AM286" s="825">
        <v>0</v>
      </c>
      <c r="AN286" s="825">
        <v>0</v>
      </c>
      <c r="AO286" s="825">
        <v>0</v>
      </c>
      <c r="AP286" s="825">
        <v>0</v>
      </c>
    </row>
    <row r="287" hidden="1">
      <c r="B287" s="826" t="s">
        <v>17</v>
      </c>
      <c r="C287" s="827">
        <v>2</v>
      </c>
      <c r="D287" s="827">
        <v>4</v>
      </c>
      <c r="E287" s="827">
        <v>4</v>
      </c>
      <c r="F287" s="827">
        <v>4</v>
      </c>
      <c r="G287" s="827">
        <v>4</v>
      </c>
      <c r="H287" s="827">
        <v>6</v>
      </c>
      <c r="I287" s="827">
        <v>4</v>
      </c>
      <c r="J287" s="827">
        <v>4</v>
      </c>
      <c r="K287" s="827">
        <v>4</v>
      </c>
      <c r="L287" s="827">
        <v>4</v>
      </c>
      <c r="M287" s="827">
        <v>3</v>
      </c>
      <c r="N287" s="827">
        <v>3</v>
      </c>
      <c r="O287" s="827">
        <v>4</v>
      </c>
      <c r="P287" s="827">
        <v>2</v>
      </c>
      <c r="Q287" s="827">
        <v>2</v>
      </c>
      <c r="R287" s="827">
        <v>2</v>
      </c>
      <c r="S287" s="827">
        <v>2</v>
      </c>
      <c r="T287" s="827">
        <v>2</v>
      </c>
      <c r="U287" s="827">
        <v>2</v>
      </c>
      <c r="V287" s="827">
        <v>2</v>
      </c>
      <c r="W287" s="827">
        <v>2</v>
      </c>
      <c r="X287" s="827">
        <v>3</v>
      </c>
      <c r="Y287" s="827">
        <v>3</v>
      </c>
      <c r="Z287" s="827">
        <v>3</v>
      </c>
      <c r="AA287" s="827">
        <v>1</v>
      </c>
      <c r="AB287" s="827">
        <v>1</v>
      </c>
      <c r="AC287" s="828">
        <v>0</v>
      </c>
      <c r="AD287" s="828">
        <v>0</v>
      </c>
      <c r="AE287" s="828">
        <v>0</v>
      </c>
      <c r="AF287" s="828">
        <v>0</v>
      </c>
      <c r="AG287" s="828">
        <v>0</v>
      </c>
      <c r="AH287" s="828">
        <v>0</v>
      </c>
      <c r="AI287" s="828">
        <v>0</v>
      </c>
      <c r="AJ287" s="828">
        <v>0</v>
      </c>
      <c r="AK287" s="828">
        <v>0</v>
      </c>
      <c r="AL287" s="828">
        <v>0</v>
      </c>
      <c r="AM287" s="828">
        <v>0</v>
      </c>
      <c r="AN287" s="828">
        <v>0</v>
      </c>
      <c r="AO287" s="828">
        <v>0</v>
      </c>
      <c r="AP287" s="828">
        <v>0</v>
      </c>
    </row>
    <row r="288" hidden="1">
      <c r="B288" s="829" t="s">
        <v>18</v>
      </c>
      <c r="C288" s="823">
        <v>23</v>
      </c>
      <c r="D288" s="823">
        <v>25</v>
      </c>
      <c r="E288" s="823">
        <v>26</v>
      </c>
      <c r="F288" s="823">
        <v>30</v>
      </c>
      <c r="G288" s="823">
        <v>36</v>
      </c>
      <c r="H288" s="823">
        <v>39</v>
      </c>
      <c r="I288" s="823">
        <v>30</v>
      </c>
      <c r="J288" s="823">
        <v>30</v>
      </c>
      <c r="K288" s="823">
        <v>41</v>
      </c>
      <c r="L288" s="823">
        <v>39</v>
      </c>
      <c r="M288" s="823">
        <v>38</v>
      </c>
      <c r="N288" s="823">
        <v>0</v>
      </c>
      <c r="O288" s="823">
        <v>1</v>
      </c>
      <c r="P288" s="823">
        <v>1</v>
      </c>
      <c r="Q288" s="823">
        <v>0</v>
      </c>
      <c r="R288" s="823">
        <v>0</v>
      </c>
      <c r="S288" s="823">
        <v>0</v>
      </c>
      <c r="T288" s="823">
        <v>0</v>
      </c>
      <c r="U288" s="823">
        <v>0</v>
      </c>
      <c r="V288" s="823">
        <v>0</v>
      </c>
      <c r="W288" s="823">
        <v>0</v>
      </c>
      <c r="X288" s="823">
        <v>0</v>
      </c>
      <c r="Y288" s="823">
        <v>0</v>
      </c>
      <c r="Z288" s="823">
        <v>0</v>
      </c>
      <c r="AA288" s="823">
        <v>0</v>
      </c>
      <c r="AB288" s="823">
        <v>0</v>
      </c>
      <c r="AC288" s="825">
        <v>0</v>
      </c>
      <c r="AD288" s="825">
        <v>0</v>
      </c>
      <c r="AE288" s="825">
        <v>0</v>
      </c>
      <c r="AF288" s="825">
        <v>0</v>
      </c>
      <c r="AG288" s="825">
        <v>0</v>
      </c>
      <c r="AH288" s="825">
        <v>0</v>
      </c>
      <c r="AI288" s="825">
        <v>0</v>
      </c>
      <c r="AJ288" s="825">
        <v>0</v>
      </c>
      <c r="AK288" s="825">
        <v>0</v>
      </c>
      <c r="AL288" s="825">
        <v>0</v>
      </c>
      <c r="AM288" s="825">
        <v>0</v>
      </c>
      <c r="AN288" s="825">
        <v>0</v>
      </c>
      <c r="AO288" s="825">
        <v>0</v>
      </c>
      <c r="AP288" s="825">
        <v>0</v>
      </c>
    </row>
    <row r="289" hidden="1">
      <c r="B289" s="826" t="s">
        <v>19</v>
      </c>
      <c r="C289" s="827">
        <v>0</v>
      </c>
      <c r="D289" s="827">
        <v>0</v>
      </c>
      <c r="E289" s="827">
        <v>0</v>
      </c>
      <c r="F289" s="827">
        <v>1</v>
      </c>
      <c r="G289" s="827">
        <v>1</v>
      </c>
      <c r="H289" s="827">
        <v>1</v>
      </c>
      <c r="I289" s="827">
        <v>1</v>
      </c>
      <c r="J289" s="827">
        <v>1</v>
      </c>
      <c r="K289" s="827">
        <v>1</v>
      </c>
      <c r="L289" s="827">
        <v>1</v>
      </c>
      <c r="M289" s="827">
        <v>0</v>
      </c>
      <c r="N289" s="827">
        <v>0</v>
      </c>
      <c r="O289" s="827">
        <v>1</v>
      </c>
      <c r="P289" s="827">
        <v>1</v>
      </c>
      <c r="Q289" s="827">
        <v>1</v>
      </c>
      <c r="R289" s="827">
        <v>1</v>
      </c>
      <c r="S289" s="827">
        <v>1</v>
      </c>
      <c r="T289" s="827">
        <v>1</v>
      </c>
      <c r="U289" s="827">
        <v>1</v>
      </c>
      <c r="V289" s="827">
        <v>1</v>
      </c>
      <c r="W289" s="827">
        <v>1</v>
      </c>
      <c r="X289" s="827">
        <v>1</v>
      </c>
      <c r="Y289" s="827">
        <v>1</v>
      </c>
      <c r="Z289" s="827">
        <v>1</v>
      </c>
      <c r="AA289" s="827">
        <v>1</v>
      </c>
      <c r="AB289" s="827">
        <v>1</v>
      </c>
      <c r="AC289" s="828">
        <v>1</v>
      </c>
      <c r="AD289" s="828">
        <v>1</v>
      </c>
      <c r="AE289" s="828">
        <v>1</v>
      </c>
      <c r="AF289" s="828">
        <v>1</v>
      </c>
      <c r="AG289" s="828">
        <v>1</v>
      </c>
      <c r="AH289" s="828">
        <v>1</v>
      </c>
      <c r="AI289" s="828">
        <v>1</v>
      </c>
      <c r="AJ289" s="828">
        <v>1</v>
      </c>
      <c r="AK289" s="828">
        <v>1</v>
      </c>
      <c r="AL289" s="828">
        <v>1</v>
      </c>
      <c r="AM289" s="828">
        <v>1</v>
      </c>
      <c r="AN289" s="828">
        <v>1</v>
      </c>
      <c r="AO289" s="828">
        <v>1</v>
      </c>
      <c r="AP289" s="828">
        <v>0</v>
      </c>
    </row>
    <row r="290" hidden="1">
      <c r="B290" s="829" t="s">
        <v>20</v>
      </c>
      <c r="C290" s="823">
        <v>0</v>
      </c>
      <c r="D290" s="823">
        <v>0</v>
      </c>
      <c r="E290" s="823">
        <v>0</v>
      </c>
      <c r="F290" s="823">
        <v>0</v>
      </c>
      <c r="G290" s="823">
        <v>0</v>
      </c>
      <c r="H290" s="823">
        <v>0</v>
      </c>
      <c r="I290" s="823">
        <v>0</v>
      </c>
      <c r="J290" s="823">
        <v>0</v>
      </c>
      <c r="K290" s="823">
        <v>0</v>
      </c>
      <c r="L290" s="823">
        <v>0</v>
      </c>
      <c r="M290" s="823">
        <v>0</v>
      </c>
      <c r="N290" s="823">
        <v>0</v>
      </c>
      <c r="O290" s="823">
        <v>0</v>
      </c>
      <c r="P290" s="823">
        <v>0</v>
      </c>
      <c r="Q290" s="823">
        <v>0</v>
      </c>
      <c r="R290" s="823">
        <v>0</v>
      </c>
      <c r="S290" s="823">
        <v>0</v>
      </c>
      <c r="T290" s="823">
        <v>0</v>
      </c>
      <c r="U290" s="823">
        <v>0</v>
      </c>
      <c r="V290" s="823">
        <v>0</v>
      </c>
      <c r="W290" s="823">
        <v>0</v>
      </c>
      <c r="X290" s="823">
        <v>0</v>
      </c>
      <c r="Y290" s="823">
        <v>0</v>
      </c>
      <c r="Z290" s="823">
        <v>0</v>
      </c>
      <c r="AA290" s="823">
        <v>0</v>
      </c>
      <c r="AB290" s="823">
        <v>0</v>
      </c>
      <c r="AC290" s="825">
        <v>0</v>
      </c>
      <c r="AD290" s="825">
        <v>0</v>
      </c>
      <c r="AE290" s="825">
        <v>0</v>
      </c>
      <c r="AF290" s="825">
        <v>0</v>
      </c>
      <c r="AG290" s="825">
        <v>0</v>
      </c>
      <c r="AH290" s="825">
        <v>0</v>
      </c>
      <c r="AI290" s="825">
        <v>0</v>
      </c>
      <c r="AJ290" s="825">
        <v>0</v>
      </c>
      <c r="AK290" s="825">
        <v>0</v>
      </c>
      <c r="AL290" s="825">
        <v>0</v>
      </c>
      <c r="AM290" s="825">
        <v>0</v>
      </c>
      <c r="AN290" s="825">
        <v>0</v>
      </c>
      <c r="AO290" s="825">
        <v>0</v>
      </c>
      <c r="AP290" s="825">
        <v>0</v>
      </c>
    </row>
    <row r="291" hidden="1">
      <c r="B291" s="826" t="s">
        <v>21</v>
      </c>
      <c r="C291" s="827">
        <v>2</v>
      </c>
      <c r="D291" s="827">
        <v>2</v>
      </c>
      <c r="E291" s="827">
        <v>2</v>
      </c>
      <c r="F291" s="827">
        <v>2</v>
      </c>
      <c r="G291" s="827">
        <v>2</v>
      </c>
      <c r="H291" s="827">
        <v>2</v>
      </c>
      <c r="I291" s="827">
        <v>2</v>
      </c>
      <c r="J291" s="827">
        <v>2</v>
      </c>
      <c r="K291" s="827">
        <v>2</v>
      </c>
      <c r="L291" s="827">
        <v>2</v>
      </c>
      <c r="M291" s="827">
        <v>2</v>
      </c>
      <c r="N291" s="827">
        <v>2</v>
      </c>
      <c r="O291" s="827">
        <v>2</v>
      </c>
      <c r="P291" s="827">
        <v>2</v>
      </c>
      <c r="Q291" s="827">
        <v>2</v>
      </c>
      <c r="R291" s="827">
        <v>2</v>
      </c>
      <c r="S291" s="827">
        <v>3</v>
      </c>
      <c r="T291" s="827">
        <v>3</v>
      </c>
      <c r="U291" s="827">
        <v>2</v>
      </c>
      <c r="V291" s="827">
        <v>2</v>
      </c>
      <c r="W291" s="827">
        <v>2</v>
      </c>
      <c r="X291" s="827">
        <v>2</v>
      </c>
      <c r="Y291" s="827">
        <v>2</v>
      </c>
      <c r="Z291" s="827">
        <v>2</v>
      </c>
      <c r="AA291" s="827">
        <v>1</v>
      </c>
      <c r="AB291" s="827">
        <v>1</v>
      </c>
      <c r="AC291" s="828">
        <v>1</v>
      </c>
      <c r="AD291" s="828">
        <v>1</v>
      </c>
      <c r="AE291" s="828">
        <v>0</v>
      </c>
      <c r="AF291" s="828">
        <v>0</v>
      </c>
      <c r="AG291" s="828">
        <v>0</v>
      </c>
      <c r="AH291" s="828">
        <v>0</v>
      </c>
      <c r="AI291" s="828">
        <v>0</v>
      </c>
      <c r="AJ291" s="828">
        <v>0</v>
      </c>
      <c r="AK291" s="828">
        <v>0</v>
      </c>
      <c r="AL291" s="828">
        <v>0</v>
      </c>
      <c r="AM291" s="828">
        <v>0</v>
      </c>
      <c r="AN291" s="828">
        <v>0</v>
      </c>
      <c r="AO291" s="828">
        <v>0</v>
      </c>
      <c r="AP291" s="828">
        <v>0</v>
      </c>
    </row>
    <row r="292" hidden="1">
      <c r="B292" s="829" t="s">
        <v>22</v>
      </c>
      <c r="C292" s="823">
        <v>0</v>
      </c>
      <c r="D292" s="823">
        <v>0</v>
      </c>
      <c r="E292" s="823">
        <v>0</v>
      </c>
      <c r="F292" s="823">
        <v>0</v>
      </c>
      <c r="G292" s="823">
        <v>0</v>
      </c>
      <c r="H292" s="823">
        <v>0</v>
      </c>
      <c r="I292" s="823">
        <v>0</v>
      </c>
      <c r="J292" s="823">
        <v>0</v>
      </c>
      <c r="K292" s="823">
        <v>0</v>
      </c>
      <c r="L292" s="823">
        <v>0</v>
      </c>
      <c r="M292" s="823">
        <v>0</v>
      </c>
      <c r="N292" s="823">
        <v>0</v>
      </c>
      <c r="O292" s="823">
        <v>0</v>
      </c>
      <c r="P292" s="823">
        <v>0</v>
      </c>
      <c r="Q292" s="823">
        <v>0</v>
      </c>
      <c r="R292" s="823">
        <v>0</v>
      </c>
      <c r="S292" s="823">
        <v>0</v>
      </c>
      <c r="T292" s="823">
        <v>0</v>
      </c>
      <c r="U292" s="823">
        <v>0</v>
      </c>
      <c r="V292" s="823">
        <v>1</v>
      </c>
      <c r="W292" s="823">
        <v>1</v>
      </c>
      <c r="X292" s="823">
        <v>1</v>
      </c>
      <c r="Y292" s="823">
        <v>1</v>
      </c>
      <c r="Z292" s="823">
        <v>1</v>
      </c>
      <c r="AA292" s="823">
        <v>0</v>
      </c>
      <c r="AB292" s="823">
        <v>1</v>
      </c>
      <c r="AC292" s="825">
        <v>0</v>
      </c>
      <c r="AD292" s="825">
        <v>0</v>
      </c>
      <c r="AE292" s="825">
        <v>0</v>
      </c>
      <c r="AF292" s="825">
        <v>0</v>
      </c>
      <c r="AG292" s="825">
        <v>0</v>
      </c>
      <c r="AH292" s="825">
        <v>0</v>
      </c>
      <c r="AI292" s="825">
        <v>0</v>
      </c>
      <c r="AJ292" s="825">
        <v>0</v>
      </c>
      <c r="AK292" s="825">
        <v>0</v>
      </c>
      <c r="AL292" s="825">
        <v>0</v>
      </c>
      <c r="AM292" s="825">
        <v>0</v>
      </c>
      <c r="AN292" s="825">
        <v>0</v>
      </c>
      <c r="AO292" s="825">
        <v>0</v>
      </c>
      <c r="AP292" s="825">
        <v>0</v>
      </c>
    </row>
    <row r="293" hidden="1">
      <c r="B293" s="826" t="s">
        <v>23</v>
      </c>
      <c r="C293" s="827">
        <v>0</v>
      </c>
      <c r="D293" s="827">
        <v>0</v>
      </c>
      <c r="E293" s="827">
        <v>0</v>
      </c>
      <c r="F293" s="827">
        <v>0</v>
      </c>
      <c r="G293" s="827">
        <v>0</v>
      </c>
      <c r="H293" s="827">
        <v>0</v>
      </c>
      <c r="I293" s="827">
        <v>0</v>
      </c>
      <c r="J293" s="827">
        <v>0</v>
      </c>
      <c r="K293" s="827">
        <v>0</v>
      </c>
      <c r="L293" s="827">
        <v>0</v>
      </c>
      <c r="M293" s="827">
        <v>0</v>
      </c>
      <c r="N293" s="827">
        <v>0</v>
      </c>
      <c r="O293" s="827">
        <v>0</v>
      </c>
      <c r="P293" s="827">
        <v>0</v>
      </c>
      <c r="Q293" s="827">
        <v>0</v>
      </c>
      <c r="R293" s="827">
        <v>0</v>
      </c>
      <c r="S293" s="827">
        <v>0</v>
      </c>
      <c r="T293" s="827">
        <v>0</v>
      </c>
      <c r="U293" s="827">
        <v>0</v>
      </c>
      <c r="V293" s="827">
        <v>0</v>
      </c>
      <c r="W293" s="827">
        <v>0</v>
      </c>
      <c r="X293" s="827">
        <v>0</v>
      </c>
      <c r="Y293" s="827">
        <v>0</v>
      </c>
      <c r="Z293" s="827">
        <v>0</v>
      </c>
      <c r="AA293" s="827">
        <v>0</v>
      </c>
      <c r="AB293" s="827">
        <v>0</v>
      </c>
      <c r="AC293" s="828">
        <v>0</v>
      </c>
      <c r="AD293" s="828">
        <v>0</v>
      </c>
      <c r="AE293" s="828">
        <v>0</v>
      </c>
      <c r="AF293" s="828">
        <v>0</v>
      </c>
      <c r="AG293" s="828">
        <v>0</v>
      </c>
      <c r="AH293" s="828">
        <v>0</v>
      </c>
      <c r="AI293" s="828">
        <v>0</v>
      </c>
      <c r="AJ293" s="828">
        <v>0</v>
      </c>
      <c r="AK293" s="828">
        <v>0</v>
      </c>
      <c r="AL293" s="828">
        <v>0</v>
      </c>
      <c r="AM293" s="828">
        <v>0</v>
      </c>
      <c r="AN293" s="828">
        <v>0</v>
      </c>
      <c r="AO293" s="828">
        <v>0</v>
      </c>
      <c r="AP293" s="828">
        <v>0</v>
      </c>
    </row>
    <row r="294" hidden="1">
      <c r="B294" s="830" t="s">
        <v>24</v>
      </c>
      <c r="C294" s="823">
        <v>1</v>
      </c>
      <c r="D294" s="823">
        <v>1</v>
      </c>
      <c r="E294" s="823">
        <v>1</v>
      </c>
      <c r="F294" s="823">
        <v>0</v>
      </c>
      <c r="G294" s="823">
        <v>0</v>
      </c>
      <c r="H294" s="823">
        <v>0</v>
      </c>
      <c r="I294" s="823">
        <v>0</v>
      </c>
      <c r="J294" s="823">
        <v>0</v>
      </c>
      <c r="K294" s="823">
        <v>0</v>
      </c>
      <c r="L294" s="823">
        <v>0</v>
      </c>
      <c r="M294" s="823">
        <v>0</v>
      </c>
      <c r="N294" s="823">
        <v>0</v>
      </c>
      <c r="O294" s="823">
        <v>0</v>
      </c>
      <c r="P294" s="823">
        <v>0</v>
      </c>
      <c r="Q294" s="823">
        <v>0</v>
      </c>
      <c r="R294" s="823">
        <v>0</v>
      </c>
      <c r="S294" s="823">
        <v>0</v>
      </c>
      <c r="T294" s="823">
        <v>0</v>
      </c>
      <c r="U294" s="823">
        <v>0</v>
      </c>
      <c r="V294" s="823">
        <v>0</v>
      </c>
      <c r="W294" s="823">
        <v>0</v>
      </c>
      <c r="X294" s="823">
        <v>0</v>
      </c>
      <c r="Y294" s="823">
        <v>0</v>
      </c>
      <c r="Z294" s="823">
        <v>0</v>
      </c>
      <c r="AA294" s="823">
        <v>0</v>
      </c>
      <c r="AB294" s="823">
        <v>0</v>
      </c>
      <c r="AC294" s="825">
        <v>0</v>
      </c>
      <c r="AD294" s="825">
        <v>0</v>
      </c>
      <c r="AE294" s="825">
        <v>0</v>
      </c>
      <c r="AF294" s="825">
        <v>0</v>
      </c>
      <c r="AG294" s="825">
        <v>0</v>
      </c>
      <c r="AH294" s="825">
        <v>0</v>
      </c>
      <c r="AI294" s="825">
        <v>0</v>
      </c>
      <c r="AJ294" s="825">
        <v>0</v>
      </c>
      <c r="AK294" s="825">
        <v>0</v>
      </c>
      <c r="AL294" s="825">
        <v>0</v>
      </c>
      <c r="AM294" s="825">
        <v>0</v>
      </c>
      <c r="AN294" s="825">
        <v>0</v>
      </c>
      <c r="AO294" s="825">
        <v>0</v>
      </c>
      <c r="AP294" s="825">
        <v>0</v>
      </c>
    </row>
    <row r="295" hidden="1">
      <c r="B295" s="826" t="s">
        <v>25</v>
      </c>
      <c r="C295" s="827">
        <v>0</v>
      </c>
      <c r="D295" s="827">
        <v>0</v>
      </c>
      <c r="E295" s="827">
        <v>0</v>
      </c>
      <c r="F295" s="827">
        <v>0</v>
      </c>
      <c r="G295" s="827">
        <v>0</v>
      </c>
      <c r="H295" s="827">
        <v>0</v>
      </c>
      <c r="I295" s="827">
        <v>0</v>
      </c>
      <c r="J295" s="827">
        <v>0</v>
      </c>
      <c r="K295" s="827">
        <v>0</v>
      </c>
      <c r="L295" s="827">
        <v>0</v>
      </c>
      <c r="M295" s="827">
        <v>0</v>
      </c>
      <c r="N295" s="827">
        <v>0</v>
      </c>
      <c r="O295" s="827">
        <v>0</v>
      </c>
      <c r="P295" s="827">
        <v>0</v>
      </c>
      <c r="Q295" s="827">
        <v>0</v>
      </c>
      <c r="R295" s="827">
        <v>0</v>
      </c>
      <c r="S295" s="827">
        <v>0</v>
      </c>
      <c r="T295" s="827">
        <v>0</v>
      </c>
      <c r="U295" s="827">
        <v>0</v>
      </c>
      <c r="V295" s="827">
        <v>0</v>
      </c>
      <c r="W295" s="827">
        <v>0</v>
      </c>
      <c r="X295" s="827">
        <v>0</v>
      </c>
      <c r="Y295" s="827">
        <v>0</v>
      </c>
      <c r="Z295" s="827">
        <v>0</v>
      </c>
      <c r="AA295" s="827">
        <v>0</v>
      </c>
      <c r="AB295" s="827">
        <v>0</v>
      </c>
      <c r="AC295" s="828">
        <v>0</v>
      </c>
      <c r="AD295" s="828">
        <v>0</v>
      </c>
      <c r="AE295" s="828">
        <v>0</v>
      </c>
      <c r="AF295" s="828">
        <v>0</v>
      </c>
      <c r="AG295" s="828">
        <v>0</v>
      </c>
      <c r="AH295" s="828">
        <v>0</v>
      </c>
      <c r="AI295" s="828">
        <v>0</v>
      </c>
      <c r="AJ295" s="828">
        <v>0</v>
      </c>
      <c r="AK295" s="828">
        <v>0</v>
      </c>
      <c r="AL295" s="828">
        <v>0</v>
      </c>
      <c r="AM295" s="828">
        <v>0</v>
      </c>
      <c r="AN295" s="828">
        <v>0</v>
      </c>
      <c r="AO295" s="828">
        <v>0</v>
      </c>
      <c r="AP295" s="828">
        <v>0</v>
      </c>
    </row>
    <row r="296" hidden="1" ht="13.5">
      <c r="B296" s="831" t="s">
        <v>26</v>
      </c>
      <c r="C296" s="823">
        <v>0</v>
      </c>
      <c r="D296" s="823">
        <v>0</v>
      </c>
      <c r="E296" s="823">
        <v>0</v>
      </c>
      <c r="F296" s="823">
        <v>0</v>
      </c>
      <c r="G296" s="823">
        <v>0</v>
      </c>
      <c r="H296" s="823">
        <v>0</v>
      </c>
      <c r="I296" s="823">
        <v>0</v>
      </c>
      <c r="J296" s="823">
        <v>0</v>
      </c>
      <c r="K296" s="823">
        <v>0</v>
      </c>
      <c r="L296" s="823">
        <v>0</v>
      </c>
      <c r="M296" s="823">
        <v>0</v>
      </c>
      <c r="N296" s="823">
        <v>0</v>
      </c>
      <c r="O296" s="823">
        <v>0</v>
      </c>
      <c r="P296" s="823">
        <v>0</v>
      </c>
      <c r="Q296" s="823">
        <v>0</v>
      </c>
      <c r="R296" s="823">
        <v>0</v>
      </c>
      <c r="S296" s="823">
        <v>0</v>
      </c>
      <c r="T296" s="823">
        <v>0</v>
      </c>
      <c r="U296" s="823">
        <v>0</v>
      </c>
      <c r="V296" s="823">
        <v>0</v>
      </c>
      <c r="W296" s="823">
        <v>0</v>
      </c>
      <c r="X296" s="823">
        <v>0</v>
      </c>
      <c r="Y296" s="823">
        <v>0</v>
      </c>
      <c r="Z296" s="823">
        <v>0</v>
      </c>
      <c r="AA296" s="823">
        <v>0</v>
      </c>
      <c r="AB296" s="832">
        <v>0</v>
      </c>
      <c r="AC296" s="825">
        <v>0</v>
      </c>
      <c r="AD296" s="825">
        <v>0</v>
      </c>
      <c r="AE296" s="825">
        <v>0</v>
      </c>
      <c r="AF296" s="825">
        <v>0</v>
      </c>
      <c r="AG296" s="825">
        <v>0</v>
      </c>
      <c r="AH296" s="825">
        <v>0</v>
      </c>
      <c r="AI296" s="825">
        <v>0</v>
      </c>
      <c r="AJ296" s="825">
        <v>0</v>
      </c>
      <c r="AK296" s="825">
        <v>0</v>
      </c>
      <c r="AL296" s="825">
        <v>0</v>
      </c>
      <c r="AM296" s="825">
        <v>0</v>
      </c>
      <c r="AN296" s="825">
        <v>0</v>
      </c>
      <c r="AO296" s="825">
        <v>0</v>
      </c>
      <c r="AP296" s="825">
        <v>0</v>
      </c>
    </row>
    <row r="297" hidden="1" ht="13.5">
      <c r="B297" s="128" t="s">
        <v>7</v>
      </c>
      <c r="C297" s="129" t="str">
        <f>IF(SUM(C278:C296)&lt;&gt;0,SUM(C278:C296),"")</f>
      </c>
      <c r="D297" s="129" t="str">
        <f ref="D297:AA297" t="shared" si="25">IF(SUM(D278:D296)&lt;&gt;0,SUM(D278:D296),"")</f>
      </c>
      <c r="E297" s="129" t="str">
        <f t="shared" si="25"/>
      </c>
      <c r="F297" s="129" t="str">
        <f t="shared" si="25"/>
      </c>
      <c r="G297" s="129" t="str">
        <f t="shared" si="25"/>
      </c>
      <c r="H297" s="129" t="str">
        <f t="shared" si="25"/>
      </c>
      <c r="I297" s="129" t="str">
        <f t="shared" si="25"/>
      </c>
      <c r="J297" s="129" t="str">
        <f t="shared" si="25"/>
      </c>
      <c r="K297" s="129" t="str">
        <f t="shared" si="25"/>
      </c>
      <c r="L297" s="129" t="str">
        <f t="shared" si="25"/>
      </c>
      <c r="M297" s="129" t="str">
        <f t="shared" si="25"/>
      </c>
      <c r="N297" s="129" t="str">
        <f t="shared" si="25"/>
      </c>
      <c r="O297" s="129" t="str">
        <f t="shared" si="25"/>
      </c>
      <c r="P297" s="129" t="str">
        <f t="shared" si="25"/>
      </c>
      <c r="Q297" s="129" t="str">
        <f t="shared" si="25"/>
      </c>
      <c r="R297" s="129" t="str">
        <f t="shared" si="25"/>
      </c>
      <c r="S297" s="129" t="str">
        <f t="shared" si="25"/>
      </c>
      <c r="T297" s="129" t="str">
        <f t="shared" si="25"/>
      </c>
      <c r="U297" s="129" t="str">
        <f t="shared" si="25"/>
      </c>
      <c r="V297" s="129" t="str">
        <f t="shared" si="25"/>
      </c>
      <c r="W297" s="129" t="str">
        <f t="shared" si="25"/>
      </c>
      <c r="X297" s="129" t="str">
        <f t="shared" si="25"/>
      </c>
      <c r="Y297" s="129" t="str">
        <f t="shared" si="25"/>
      </c>
      <c r="Z297" s="129" t="str">
        <f t="shared" si="25"/>
      </c>
      <c r="AA297" s="129" t="str">
        <f t="shared" si="25"/>
      </c>
      <c r="AB297" s="130" t="str">
        <f>IF(SUM(AB278:AB296)&lt;&gt;0,SUM(AB278:AB296),"")</f>
      </c>
      <c r="AC297" s="91" t="str">
        <f ref="AC297:CN297" t="shared" si="26">IF(SUM(AC278:AC296)&lt;&gt;0,SUM(AC278:AC296),"")</f>
      </c>
      <c r="AD297" s="91" t="str">
        <f t="shared" si="26"/>
      </c>
      <c r="AE297" s="91" t="str">
        <f t="shared" si="26"/>
      </c>
      <c r="AF297" s="91" t="str">
        <f t="shared" si="26"/>
      </c>
      <c r="AG297" s="91" t="str">
        <f t="shared" si="26"/>
      </c>
      <c r="AH297" s="91" t="str">
        <f t="shared" si="26"/>
      </c>
      <c r="AI297" s="91" t="str">
        <f t="shared" si="26"/>
      </c>
      <c r="AJ297" s="91" t="str">
        <f t="shared" si="26"/>
      </c>
      <c r="AK297" s="91" t="str">
        <f t="shared" si="26"/>
      </c>
      <c r="AL297" s="91" t="str">
        <f t="shared" si="26"/>
      </c>
      <c r="AM297" s="91" t="str">
        <f t="shared" si="26"/>
      </c>
      <c r="AN297" s="91" t="str">
        <f t="shared" si="26"/>
      </c>
      <c r="AO297" s="91" t="str">
        <f t="shared" si="26"/>
      </c>
      <c r="AP297" s="91" t="str">
        <f t="shared" si="26"/>
      </c>
      <c r="AQ297" s="91" t="str">
        <f t="shared" si="26"/>
      </c>
      <c r="AR297" s="91" t="str">
        <f t="shared" si="26"/>
      </c>
      <c r="AS297" s="91" t="str">
        <f t="shared" si="26"/>
      </c>
      <c r="AT297" s="91" t="str">
        <f t="shared" si="26"/>
      </c>
      <c r="AU297" s="91" t="str">
        <f t="shared" si="26"/>
      </c>
      <c r="AV297" s="91" t="str">
        <f t="shared" si="26"/>
      </c>
      <c r="AW297" s="91" t="str">
        <f t="shared" si="26"/>
      </c>
      <c r="AX297" s="91" t="str">
        <f t="shared" si="26"/>
      </c>
      <c r="AY297" s="91" t="str">
        <f t="shared" si="26"/>
      </c>
      <c r="AZ297" s="91" t="str">
        <f t="shared" si="26"/>
      </c>
      <c r="BA297" s="91" t="str">
        <f t="shared" si="26"/>
      </c>
      <c r="BB297" s="91" t="str">
        <f t="shared" si="26"/>
      </c>
      <c r="BC297" s="91" t="str">
        <f t="shared" si="26"/>
      </c>
      <c r="BD297" s="91" t="str">
        <f t="shared" si="26"/>
      </c>
      <c r="BE297" s="91" t="str">
        <f t="shared" si="26"/>
      </c>
      <c r="BF297" s="91" t="str">
        <f t="shared" si="26"/>
      </c>
      <c r="BG297" s="91" t="str">
        <f t="shared" si="26"/>
      </c>
      <c r="BH297" s="91" t="str">
        <f t="shared" si="26"/>
      </c>
      <c r="BI297" s="91" t="str">
        <f t="shared" si="26"/>
      </c>
      <c r="BJ297" s="91" t="str">
        <f t="shared" si="26"/>
      </c>
      <c r="BK297" s="91" t="str">
        <f t="shared" si="26"/>
      </c>
      <c r="BL297" s="91" t="str">
        <f t="shared" si="26"/>
      </c>
      <c r="BM297" s="91" t="str">
        <f t="shared" si="26"/>
      </c>
      <c r="BN297" s="91" t="str">
        <f t="shared" si="26"/>
      </c>
      <c r="BO297" s="91" t="str">
        <f t="shared" si="26"/>
      </c>
      <c r="BP297" s="91" t="str">
        <f t="shared" si="26"/>
      </c>
      <c r="BQ297" s="91" t="str">
        <f t="shared" si="26"/>
      </c>
      <c r="BR297" s="91" t="str">
        <f t="shared" si="26"/>
      </c>
      <c r="BS297" s="91" t="str">
        <f t="shared" si="26"/>
      </c>
      <c r="BT297" s="91" t="str">
        <f t="shared" si="26"/>
      </c>
      <c r="BU297" s="91" t="str">
        <f t="shared" si="26"/>
      </c>
      <c r="BV297" s="91" t="str">
        <f t="shared" si="26"/>
      </c>
      <c r="BW297" s="91" t="str">
        <f t="shared" si="26"/>
      </c>
      <c r="BX297" s="91" t="str">
        <f t="shared" si="26"/>
      </c>
      <c r="BY297" s="91" t="str">
        <f t="shared" si="26"/>
      </c>
      <c r="BZ297" s="91" t="str">
        <f t="shared" si="26"/>
      </c>
      <c r="CA297" s="91" t="str">
        <f t="shared" si="26"/>
      </c>
      <c r="CB297" s="91" t="str">
        <f t="shared" si="26"/>
      </c>
      <c r="CC297" s="91" t="str">
        <f t="shared" si="26"/>
      </c>
      <c r="CD297" s="91" t="str">
        <f t="shared" si="26"/>
      </c>
      <c r="CE297" s="91" t="str">
        <f t="shared" si="26"/>
      </c>
      <c r="CF297" s="91" t="str">
        <f t="shared" si="26"/>
      </c>
      <c r="CG297" s="91" t="str">
        <f t="shared" si="26"/>
      </c>
      <c r="CH297" s="91" t="str">
        <f t="shared" si="26"/>
      </c>
      <c r="CI297" s="91" t="str">
        <f t="shared" si="26"/>
      </c>
      <c r="CJ297" s="91" t="str">
        <f t="shared" si="26"/>
      </c>
      <c r="CK297" s="91" t="str">
        <f t="shared" si="26"/>
      </c>
      <c r="CL297" s="91" t="str">
        <f t="shared" si="26"/>
      </c>
      <c r="CM297" s="91" t="str">
        <f t="shared" si="26"/>
      </c>
      <c r="CN297" s="91" t="str">
        <f t="shared" si="26"/>
      </c>
      <c r="CO297" s="91" t="str">
        <f ref="CO297:EZ297" t="shared" si="27">IF(SUM(CO278:CO296)&lt;&gt;0,SUM(CO278:CO296),"")</f>
      </c>
      <c r="CP297" s="91" t="str">
        <f t="shared" si="27"/>
      </c>
      <c r="CQ297" s="91" t="str">
        <f t="shared" si="27"/>
      </c>
      <c r="CR297" s="91" t="str">
        <f t="shared" si="27"/>
      </c>
      <c r="CS297" s="91" t="str">
        <f t="shared" si="27"/>
      </c>
      <c r="CT297" s="91" t="str">
        <f t="shared" si="27"/>
      </c>
      <c r="CU297" s="91" t="str">
        <f t="shared" si="27"/>
      </c>
      <c r="CV297" s="91" t="str">
        <f t="shared" si="27"/>
      </c>
      <c r="CW297" s="91" t="str">
        <f t="shared" si="27"/>
      </c>
      <c r="CX297" s="91" t="str">
        <f t="shared" si="27"/>
      </c>
      <c r="CY297" s="91" t="str">
        <f t="shared" si="27"/>
      </c>
      <c r="CZ297" s="91" t="str">
        <f t="shared" si="27"/>
      </c>
      <c r="DA297" s="91" t="str">
        <f t="shared" si="27"/>
      </c>
      <c r="DB297" s="91" t="str">
        <f t="shared" si="27"/>
      </c>
      <c r="DC297" s="91" t="str">
        <f t="shared" si="27"/>
      </c>
      <c r="DD297" s="91" t="str">
        <f t="shared" si="27"/>
      </c>
      <c r="DE297" s="91" t="str">
        <f t="shared" si="27"/>
      </c>
      <c r="DF297" s="91" t="str">
        <f t="shared" si="27"/>
      </c>
      <c r="DG297" s="91" t="str">
        <f t="shared" si="27"/>
      </c>
      <c r="DH297" s="91" t="str">
        <f t="shared" si="27"/>
      </c>
      <c r="DI297" s="91" t="str">
        <f t="shared" si="27"/>
      </c>
      <c r="DJ297" s="91" t="str">
        <f t="shared" si="27"/>
      </c>
      <c r="DK297" s="91" t="str">
        <f t="shared" si="27"/>
      </c>
      <c r="DL297" s="91" t="str">
        <f t="shared" si="27"/>
      </c>
      <c r="DM297" s="91" t="str">
        <f t="shared" si="27"/>
      </c>
      <c r="DN297" s="91" t="str">
        <f t="shared" si="27"/>
      </c>
      <c r="DO297" s="91" t="str">
        <f t="shared" si="27"/>
      </c>
      <c r="DP297" s="91" t="str">
        <f t="shared" si="27"/>
      </c>
      <c r="DQ297" s="91" t="str">
        <f t="shared" si="27"/>
      </c>
      <c r="DR297" s="91" t="str">
        <f t="shared" si="27"/>
      </c>
      <c r="DS297" s="91" t="str">
        <f t="shared" si="27"/>
      </c>
      <c r="DT297" s="91" t="str">
        <f t="shared" si="27"/>
      </c>
      <c r="DU297" s="91" t="str">
        <f t="shared" si="27"/>
      </c>
      <c r="DV297" s="91" t="str">
        <f t="shared" si="27"/>
      </c>
      <c r="DW297" s="91" t="str">
        <f t="shared" si="27"/>
      </c>
      <c r="DX297" s="91" t="str">
        <f t="shared" si="27"/>
      </c>
      <c r="DY297" s="91" t="str">
        <f t="shared" si="27"/>
      </c>
      <c r="DZ297" s="91" t="str">
        <f t="shared" si="27"/>
      </c>
      <c r="EA297" s="91" t="str">
        <f t="shared" si="27"/>
      </c>
      <c r="EB297" s="91" t="str">
        <f t="shared" si="27"/>
      </c>
      <c r="EC297" s="91" t="str">
        <f t="shared" si="27"/>
      </c>
      <c r="ED297" s="91" t="str">
        <f t="shared" si="27"/>
      </c>
      <c r="EE297" s="91" t="str">
        <f t="shared" si="27"/>
      </c>
      <c r="EF297" s="91" t="str">
        <f t="shared" si="27"/>
      </c>
      <c r="EG297" s="91" t="str">
        <f t="shared" si="27"/>
      </c>
      <c r="EH297" s="91" t="str">
        <f t="shared" si="27"/>
      </c>
      <c r="EI297" s="91" t="str">
        <f t="shared" si="27"/>
      </c>
      <c r="EJ297" s="91" t="str">
        <f t="shared" si="27"/>
      </c>
      <c r="EK297" s="91" t="str">
        <f t="shared" si="27"/>
      </c>
      <c r="EL297" s="91" t="str">
        <f t="shared" si="27"/>
      </c>
      <c r="EM297" s="91" t="str">
        <f t="shared" si="27"/>
      </c>
      <c r="EN297" s="91" t="str">
        <f t="shared" si="27"/>
      </c>
      <c r="EO297" s="91" t="str">
        <f t="shared" si="27"/>
      </c>
      <c r="EP297" s="91" t="str">
        <f t="shared" si="27"/>
      </c>
      <c r="EQ297" s="91" t="str">
        <f t="shared" si="27"/>
      </c>
      <c r="ER297" s="91" t="str">
        <f t="shared" si="27"/>
      </c>
      <c r="ES297" s="91" t="str">
        <f t="shared" si="27"/>
      </c>
      <c r="ET297" s="91" t="str">
        <f t="shared" si="27"/>
      </c>
      <c r="EU297" s="91" t="str">
        <f t="shared" si="27"/>
      </c>
      <c r="EV297" s="91" t="str">
        <f t="shared" si="27"/>
      </c>
      <c r="EW297" s="91" t="str">
        <f t="shared" si="27"/>
      </c>
      <c r="EX297" s="91" t="str">
        <f t="shared" si="27"/>
      </c>
      <c r="EY297" s="91" t="str">
        <f t="shared" si="27"/>
      </c>
      <c r="EZ297" s="91" t="str">
        <f t="shared" si="27"/>
      </c>
      <c r="FA297" s="91" t="str">
        <f ref="FA297:HL297" t="shared" si="28">IF(SUM(FA278:FA296)&lt;&gt;0,SUM(FA278:FA296),"")</f>
      </c>
      <c r="FB297" s="91" t="str">
        <f t="shared" si="28"/>
      </c>
      <c r="FC297" s="91" t="str">
        <f t="shared" si="28"/>
      </c>
      <c r="FD297" s="91" t="str">
        <f t="shared" si="28"/>
      </c>
      <c r="FE297" s="91" t="str">
        <f t="shared" si="28"/>
      </c>
      <c r="FF297" s="91" t="str">
        <f t="shared" si="28"/>
      </c>
      <c r="FG297" s="91" t="str">
        <f t="shared" si="28"/>
      </c>
      <c r="FH297" s="91" t="str">
        <f t="shared" si="28"/>
      </c>
      <c r="FI297" s="91" t="str">
        <f t="shared" si="28"/>
      </c>
      <c r="FJ297" s="91" t="str">
        <f t="shared" si="28"/>
      </c>
      <c r="FK297" s="91" t="str">
        <f t="shared" si="28"/>
      </c>
      <c r="FL297" s="91" t="str">
        <f t="shared" si="28"/>
      </c>
      <c r="FM297" s="91" t="str">
        <f t="shared" si="28"/>
      </c>
      <c r="FN297" s="91" t="str">
        <f t="shared" si="28"/>
      </c>
      <c r="FO297" s="91" t="str">
        <f t="shared" si="28"/>
      </c>
      <c r="FP297" s="91" t="str">
        <f t="shared" si="28"/>
      </c>
      <c r="FQ297" s="91" t="str">
        <f t="shared" si="28"/>
      </c>
      <c r="FR297" s="91" t="str">
        <f t="shared" si="28"/>
      </c>
      <c r="FS297" s="91" t="str">
        <f t="shared" si="28"/>
      </c>
      <c r="FT297" s="91" t="str">
        <f t="shared" si="28"/>
      </c>
      <c r="FU297" s="91" t="str">
        <f t="shared" si="28"/>
      </c>
      <c r="FV297" s="91" t="str">
        <f t="shared" si="28"/>
      </c>
      <c r="FW297" s="91" t="str">
        <f t="shared" si="28"/>
      </c>
      <c r="FX297" s="91" t="str">
        <f t="shared" si="28"/>
      </c>
      <c r="FY297" s="91" t="str">
        <f t="shared" si="28"/>
      </c>
      <c r="FZ297" s="91" t="str">
        <f t="shared" si="28"/>
      </c>
      <c r="GA297" s="91" t="str">
        <f t="shared" si="28"/>
      </c>
      <c r="GB297" s="91" t="str">
        <f t="shared" si="28"/>
      </c>
      <c r="GC297" s="91" t="str">
        <f t="shared" si="28"/>
      </c>
      <c r="GD297" s="91" t="str">
        <f t="shared" si="28"/>
      </c>
      <c r="GE297" s="91" t="str">
        <f t="shared" si="28"/>
      </c>
      <c r="GF297" s="91" t="str">
        <f t="shared" si="28"/>
      </c>
      <c r="GG297" s="91" t="str">
        <f t="shared" si="28"/>
      </c>
      <c r="GH297" s="91" t="str">
        <f t="shared" si="28"/>
      </c>
      <c r="GI297" s="91" t="str">
        <f t="shared" si="28"/>
      </c>
      <c r="GJ297" s="91" t="str">
        <f t="shared" si="28"/>
      </c>
      <c r="GK297" s="91" t="str">
        <f t="shared" si="28"/>
      </c>
      <c r="GL297" s="91" t="str">
        <f t="shared" si="28"/>
      </c>
      <c r="GM297" s="91" t="str">
        <f t="shared" si="28"/>
      </c>
      <c r="GN297" s="91" t="str">
        <f t="shared" si="28"/>
      </c>
      <c r="GO297" s="91" t="str">
        <f t="shared" si="28"/>
      </c>
      <c r="GP297" s="91" t="str">
        <f t="shared" si="28"/>
      </c>
      <c r="GQ297" s="91" t="str">
        <f t="shared" si="28"/>
      </c>
      <c r="GR297" s="91" t="str">
        <f t="shared" si="28"/>
      </c>
      <c r="GS297" s="91" t="str">
        <f t="shared" si="28"/>
      </c>
      <c r="GT297" s="91" t="str">
        <f t="shared" si="28"/>
      </c>
      <c r="GU297" s="91" t="str">
        <f t="shared" si="28"/>
      </c>
      <c r="GV297" s="91" t="str">
        <f t="shared" si="28"/>
      </c>
      <c r="GW297" s="91" t="str">
        <f t="shared" si="28"/>
      </c>
      <c r="GX297" s="91" t="str">
        <f t="shared" si="28"/>
      </c>
      <c r="GY297" s="91" t="str">
        <f t="shared" si="28"/>
      </c>
      <c r="GZ297" s="91" t="str">
        <f t="shared" si="28"/>
      </c>
      <c r="HA297" s="91" t="str">
        <f t="shared" si="28"/>
      </c>
      <c r="HB297" s="91" t="str">
        <f t="shared" si="28"/>
      </c>
      <c r="HC297" s="91" t="str">
        <f t="shared" si="28"/>
      </c>
      <c r="HD297" s="91" t="str">
        <f t="shared" si="28"/>
      </c>
      <c r="HE297" s="91" t="str">
        <f t="shared" si="28"/>
      </c>
      <c r="HF297" s="91" t="str">
        <f t="shared" si="28"/>
      </c>
      <c r="HG297" s="91" t="str">
        <f t="shared" si="28"/>
      </c>
      <c r="HH297" s="91" t="str">
        <f t="shared" si="28"/>
      </c>
      <c r="HI297" s="91" t="str">
        <f t="shared" si="28"/>
      </c>
      <c r="HJ297" s="91" t="str">
        <f t="shared" si="28"/>
      </c>
      <c r="HK297" s="91" t="str">
        <f t="shared" si="28"/>
      </c>
      <c r="HL297" s="91" t="str">
        <f t="shared" si="28"/>
      </c>
      <c r="HM297" s="91" t="str">
        <f ref="HM297:IV297" t="shared" si="29">IF(SUM(HM278:HM296)&lt;&gt;0,SUM(HM278:HM296),"")</f>
      </c>
      <c r="HN297" s="91" t="str">
        <f t="shared" si="29"/>
      </c>
      <c r="HO297" s="91" t="str">
        <f t="shared" si="29"/>
      </c>
      <c r="HP297" s="91" t="str">
        <f t="shared" si="29"/>
      </c>
      <c r="HQ297" s="91" t="str">
        <f t="shared" si="29"/>
      </c>
      <c r="HR297" s="91" t="str">
        <f t="shared" si="29"/>
      </c>
      <c r="HS297" s="91" t="str">
        <f t="shared" si="29"/>
      </c>
      <c r="HT297" s="91" t="str">
        <f t="shared" si="29"/>
      </c>
      <c r="HU297" s="91" t="str">
        <f t="shared" si="29"/>
      </c>
      <c r="HV297" s="91" t="str">
        <f t="shared" si="29"/>
      </c>
      <c r="HW297" s="91" t="str">
        <f t="shared" si="29"/>
      </c>
      <c r="HX297" s="91" t="str">
        <f t="shared" si="29"/>
      </c>
      <c r="HY297" s="91" t="str">
        <f t="shared" si="29"/>
      </c>
      <c r="HZ297" s="91" t="str">
        <f t="shared" si="29"/>
      </c>
      <c r="IA297" s="91" t="str">
        <f t="shared" si="29"/>
      </c>
      <c r="IB297" s="91" t="str">
        <f t="shared" si="29"/>
      </c>
      <c r="IC297" s="91" t="str">
        <f t="shared" si="29"/>
      </c>
      <c r="ID297" s="91" t="str">
        <f t="shared" si="29"/>
      </c>
      <c r="IE297" s="91" t="str">
        <f t="shared" si="29"/>
      </c>
      <c r="IF297" s="91" t="str">
        <f t="shared" si="29"/>
      </c>
      <c r="IG297" s="91" t="str">
        <f t="shared" si="29"/>
      </c>
      <c r="IH297" s="91" t="str">
        <f t="shared" si="29"/>
      </c>
      <c r="II297" s="91" t="str">
        <f t="shared" si="29"/>
      </c>
      <c r="IJ297" s="91" t="str">
        <f t="shared" si="29"/>
      </c>
      <c r="IK297" s="91" t="str">
        <f t="shared" si="29"/>
      </c>
      <c r="IL297" s="91" t="str">
        <f t="shared" si="29"/>
      </c>
      <c r="IM297" s="91" t="str">
        <f t="shared" si="29"/>
      </c>
      <c r="IN297" s="91" t="str">
        <f t="shared" si="29"/>
      </c>
      <c r="IO297" s="91" t="str">
        <f t="shared" si="29"/>
      </c>
      <c r="IP297" s="91" t="str">
        <f t="shared" si="29"/>
      </c>
      <c r="IQ297" s="91" t="str">
        <f t="shared" si="29"/>
      </c>
      <c r="IR297" s="91" t="str">
        <f t="shared" si="29"/>
      </c>
      <c r="IS297" s="91" t="str">
        <f t="shared" si="29"/>
      </c>
      <c r="IT297" s="91" t="str">
        <f t="shared" si="29"/>
      </c>
      <c r="IU297" s="91" t="str">
        <f t="shared" si="29"/>
      </c>
      <c r="IV297" s="91" t="str">
        <f t="shared" si="29"/>
      </c>
    </row>
    <row r="298" hidden="1" ht="15">
      <c r="B298" s="215"/>
      <c r="C298" s="219"/>
      <c r="D298" s="219"/>
      <c r="E298" s="219"/>
      <c r="F298" s="219"/>
      <c r="G298" s="219"/>
      <c r="H298" s="219"/>
      <c r="I298" s="219"/>
      <c r="J298" s="219"/>
      <c r="K298" s="219"/>
      <c r="L298" s="50"/>
      <c r="P298" s="91"/>
      <c r="Q298" s="91"/>
      <c r="Y298" s="50"/>
      <c r="Z298" s="50"/>
    </row>
    <row r="299" hidden="1" ht="13.5"/>
    <row r="300" hidden="1" ht="12.75" customHeight="1">
      <c r="B300" s="162"/>
      <c r="C300" s="617" t="s">
        <v>260</v>
      </c>
      <c r="D300" s="618"/>
      <c r="E300" s="618"/>
      <c r="F300" s="618"/>
      <c r="G300" s="618"/>
      <c r="H300" s="618"/>
      <c r="I300" s="618"/>
      <c r="J300" s="618"/>
      <c r="K300" s="618"/>
      <c r="L300" s="618"/>
      <c r="M300" s="618"/>
      <c r="N300" s="618"/>
      <c r="O300" s="618"/>
      <c r="P300" s="618"/>
      <c r="Q300" s="618"/>
      <c r="R300" s="618"/>
      <c r="S300" s="618"/>
      <c r="T300" s="618"/>
      <c r="U300" s="618"/>
      <c r="V300" s="618"/>
      <c r="W300" s="618"/>
      <c r="X300" s="618"/>
      <c r="Y300" s="618"/>
      <c r="Z300" s="618"/>
      <c r="AA300" s="618"/>
      <c r="AB300" s="619"/>
    </row>
    <row r="301" hidden="1" ht="13.5">
      <c r="C301" s="435" t="str">
        <f> IF(C321&lt;&gt;"",TEXT(AUX!G$1,"dd-MMM-aa"),"")</f>
      </c>
      <c r="D301" s="435" t="str">
        <f> IF(D321&lt;&gt;"",TEXT(AUX!H$1,"dd-MMM-aa"),"")</f>
      </c>
      <c r="E301" s="435" t="str">
        <f> IF(E321&lt;&gt;"",TEXT(AUX!I$1,"dd-MMM-aa"),"")</f>
      </c>
      <c r="F301" s="435" t="str">
        <f> IF(F321&lt;&gt;"",TEXT(AUX!J$1,"dd-MMM-aa"),"")</f>
      </c>
      <c r="G301" s="435" t="str">
        <f> IF(G321&lt;&gt;"",TEXT(AUX!K$1,"dd-MMM-aa"),"")</f>
      </c>
      <c r="H301" s="435" t="str">
        <f> IF(H321&lt;&gt;"",TEXT(AUX!L$1,"dd-MMM-aa"),"")</f>
      </c>
      <c r="I301" s="435" t="str">
        <f> IF(I321&lt;&gt;"",TEXT(AUX!M$1,"dd-MMM-aa"),"")</f>
      </c>
      <c r="J301" s="435" t="str">
        <f> IF(J321&lt;&gt;"",TEXT(AUX!N$1,"dd-MMM-aa"),"")</f>
      </c>
      <c r="K301" s="435" t="str">
        <f> IF(K321&lt;&gt;"",TEXT(AUX!O$1,"dd-MMM-aa"),"")</f>
      </c>
      <c r="L301" s="435" t="str">
        <f> IF(L321&lt;&gt;"",TEXT(AUX!P$1,"dd-MMM-aa"),"")</f>
      </c>
      <c r="M301" s="435" t="str">
        <f> IF(M321&lt;&gt;"",TEXT(AUX!Q$1,"dd-MMM-aa"),"")</f>
      </c>
      <c r="N301" s="435" t="str">
        <f> IF(N321&lt;&gt;"",TEXT(AUX!R$1,"dd-MMM-aa"),"")</f>
      </c>
      <c r="O301" s="435" t="str">
        <f> IF(O321&lt;&gt;"",TEXT(AUX!S$1,"dd-MMM-aa"),"")</f>
      </c>
      <c r="P301" s="435" t="str">
        <f> IF(P321&lt;&gt;"",TEXT(AUX!T$1,"dd-MMM-aa"),"")</f>
      </c>
      <c r="Q301" s="435" t="str">
        <f> IF(Q321&lt;&gt;"",TEXT(AUX!U$1,"dd-MMM-aa"),"")</f>
      </c>
      <c r="R301" s="435" t="str">
        <f> IF(R321&lt;&gt;"",TEXT(AUX!V$1,"dd-MMM-aa"),"")</f>
      </c>
      <c r="S301" s="435" t="str">
        <f> IF(S321&lt;&gt;"",TEXT(AUX!W$1,"dd-MMM-aa"),"")</f>
      </c>
      <c r="T301" s="435" t="str">
        <f> IF(T321&lt;&gt;"",TEXT(AUX!X$1,"dd-MMM-aa"),"")</f>
      </c>
      <c r="U301" s="435" t="str">
        <f> IF(U321&lt;&gt;"",TEXT(AUX!Y$1,"dd-MMM-aa"),"")</f>
      </c>
      <c r="V301" s="435" t="str">
        <f> IF(V321&lt;&gt;"",TEXT(AUX!Z$1,"dd-MMM-aa"),"")</f>
      </c>
      <c r="W301" s="435" t="str">
        <f> IF(W321&lt;&gt;"",TEXT(AUX!AA$1,"dd-MMM-aa"),"")</f>
      </c>
      <c r="X301" s="435" t="str">
        <f> IF(X321&lt;&gt;"",TEXT(AUX!AB$1,"dd-MMM-aa"),"")</f>
      </c>
      <c r="Y301" s="435" t="str">
        <f> IF(Y321&lt;&gt;"",TEXT(AUX!AC$1,"dd-MMM-aa"),"")</f>
      </c>
      <c r="Z301" s="435" t="str">
        <f> IF(Z321&lt;&gt;"",TEXT(AUX!AD$1,"dd-MMM-aa"),"")</f>
      </c>
      <c r="AA301" s="435" t="str">
        <f> IF(AA321&lt;&gt;"",TEXT(AUX!AE$1,"dd-MMM-aa"),"")</f>
      </c>
      <c r="AB301" s="497" t="str">
        <f> IF(AB321&lt;&gt;"",TEXT(AUX!AF$1,"dd-MMM-aa"),"")</f>
      </c>
      <c r="AC301" s="496" t="str">
        <f> IF(AC321&lt;&gt;"",TEXT(AUX!AG$1,"dd-MMM-aa"),"")</f>
      </c>
      <c r="AD301" s="496" t="str">
        <f> IF(AD321&lt;&gt;"",TEXT(AUX!AH$1,"dd-MMM-aa"),"")</f>
      </c>
      <c r="AE301" s="496" t="str">
        <f> IF(AE321&lt;&gt;"",TEXT(AUX!AI$1,"dd-MMM-aa"),"")</f>
      </c>
      <c r="AF301" s="496" t="str">
        <f> IF(AF321&lt;&gt;"",TEXT(AUX!AJ$1,"dd-MMM-aa"),"")</f>
      </c>
      <c r="AG301" s="496" t="str">
        <f> IF(AG321&lt;&gt;"",TEXT(AUX!AK$1,"dd-MMM-aa"),"")</f>
      </c>
      <c r="AH301" s="496" t="str">
        <f> IF(AH321&lt;&gt;"",TEXT(AUX!AL$1,"dd-MMM-aa"),"")</f>
      </c>
      <c r="AI301" s="496" t="str">
        <f> IF(AI321&lt;&gt;"",TEXT(AUX!AM$1,"dd-MMM-aa"),"")</f>
      </c>
      <c r="AJ301" s="496" t="str">
        <f> IF(AJ321&lt;&gt;"",TEXT(AUX!AN$1,"dd-MMM-aa"),"")</f>
      </c>
      <c r="AK301" s="496" t="str">
        <f> IF(AK321&lt;&gt;"",TEXT(AUX!AO$1,"dd-MMM-aa"),"")</f>
      </c>
      <c r="AL301" s="496" t="str">
        <f> IF(AL321&lt;&gt;"",TEXT(AUX!AP$1,"dd-MMM-aa"),"")</f>
      </c>
      <c r="AM301" s="496" t="str">
        <f> IF(AM321&lt;&gt;"",TEXT(AUX!AQ$1,"dd-MMM-aa"),"")</f>
      </c>
      <c r="AN301" s="496" t="str">
        <f> IF(AN321&lt;&gt;"",TEXT(AUX!AR$1,"dd-MMM-aa"),"")</f>
      </c>
      <c r="AO301" s="496" t="str">
        <f> IF(AO321&lt;&gt;"",TEXT(AUX!AS$1,"dd-MMM-aa"),"")</f>
      </c>
      <c r="AP301" s="496" t="str">
        <f> IF(AP321&lt;&gt;"",TEXT(AUX!AT$1,"dd-MMM-aa"),"")</f>
      </c>
      <c r="AQ301" s="496" t="str">
        <f> IF(AQ321&lt;&gt;"",TEXT(AUX!AU$1,"dd-MMM-aa"),"")</f>
      </c>
      <c r="AR301" s="496" t="str">
        <f> IF(AR321&lt;&gt;"",TEXT(AUX!AV$1,"dd-MMM-aa"),"")</f>
      </c>
      <c r="AS301" s="496" t="str">
        <f> IF(AS321&lt;&gt;"",TEXT(AUX!AW$1,"dd-MMM-aa"),"")</f>
      </c>
      <c r="AT301" s="496" t="str">
        <f> IF(AT321&lt;&gt;"",TEXT(AUX!AX$1,"dd-MMM-aa"),"")</f>
      </c>
      <c r="AU301" s="496" t="str">
        <f> IF(AU321&lt;&gt;"",TEXT(AUX!AY$1,"dd-MMM-aa"),"")</f>
      </c>
      <c r="AV301" s="496" t="str">
        <f> IF(AV321&lt;&gt;"",TEXT(AUX!AZ$1,"dd-MMM-aa"),"")</f>
      </c>
      <c r="AW301" s="496" t="str">
        <f> IF(AW321&lt;&gt;"",TEXT(AUX!BA$1,"dd-MMM-aa"),"")</f>
      </c>
      <c r="AX301" s="496" t="str">
        <f> IF(AX321&lt;&gt;"",TEXT(AUX!BB$1,"dd-MMM-aa"),"")</f>
      </c>
      <c r="AY301" s="496" t="str">
        <f> IF(AY321&lt;&gt;"",TEXT(AUX!BC$1,"dd-MMM-aa"),"")</f>
      </c>
      <c r="AZ301" s="496" t="str">
        <f> IF(AZ321&lt;&gt;"",TEXT(AUX!BD$1,"dd-MMM-aa"),"")</f>
      </c>
      <c r="BA301" s="496" t="str">
        <f> IF(BA321&lt;&gt;"",TEXT(AUX!BE$1,"dd-MMM-aa"),"")</f>
      </c>
      <c r="BB301" s="496" t="str">
        <f> IF(BB321&lt;&gt;"",TEXT(AUX!BF$1,"dd-MMM-aa"),"")</f>
      </c>
      <c r="BC301" s="496" t="str">
        <f> IF(BC321&lt;&gt;"",TEXT(AUX!BG$1,"dd-MMM-aa"),"")</f>
      </c>
      <c r="BD301" s="496" t="str">
        <f> IF(BD321&lt;&gt;"",TEXT(AUX!BH$1,"dd-MMM-aa"),"")</f>
      </c>
      <c r="BE301" s="496" t="str">
        <f> IF(BE321&lt;&gt;"",TEXT(AUX!BI$1,"dd-MMM-aa"),"")</f>
      </c>
      <c r="BF301" s="496" t="str">
        <f> IF(BF321&lt;&gt;"",TEXT(AUX!BJ$1,"dd-MMM-aa"),"")</f>
      </c>
      <c r="BG301" s="496" t="str">
        <f> IF(BG321&lt;&gt;"",TEXT(AUX!BK$1,"dd-MMM-aa"),"")</f>
      </c>
      <c r="BH301" s="496" t="str">
        <f> IF(BH321&lt;&gt;"",TEXT(AUX!BL$1,"dd-MMM-aa"),"")</f>
      </c>
      <c r="BI301" s="496" t="str">
        <f> IF(BI321&lt;&gt;"",TEXT(AUX!BM$1,"dd-MMM-aa"),"")</f>
      </c>
      <c r="BJ301" s="496" t="str">
        <f> IF(BJ321&lt;&gt;"",TEXT(AUX!BN$1,"dd-MMM-aa"),"")</f>
      </c>
      <c r="BK301" s="496" t="str">
        <f> IF(BK321&lt;&gt;"",TEXT(AUX!BO$1,"dd-MMM-aa"),"")</f>
      </c>
      <c r="BL301" s="496" t="str">
        <f> IF(BL321&lt;&gt;"",TEXT(AUX!BP$1,"dd-MMM-aa"),"")</f>
      </c>
      <c r="BM301" s="496" t="str">
        <f> IF(BM321&lt;&gt;"",TEXT(AUX!BQ$1,"dd-MMM-aa"),"")</f>
      </c>
      <c r="BN301" s="496" t="str">
        <f> IF(BN321&lt;&gt;"",TEXT(AUX!BR$1,"dd-MMM-aa"),"")</f>
      </c>
      <c r="BO301" s="496" t="str">
        <f> IF(BO321&lt;&gt;"",TEXT(AUX!BS$1,"dd-MMM-aa"),"")</f>
      </c>
      <c r="BP301" s="496" t="str">
        <f> IF(BP321&lt;&gt;"",TEXT(AUX!BT$1,"dd-MMM-aa"),"")</f>
      </c>
      <c r="BQ301" s="496" t="str">
        <f> IF(BQ321&lt;&gt;"",TEXT(AUX!BU$1,"dd-MMM-aa"),"")</f>
      </c>
      <c r="BR301" s="496" t="str">
        <f> IF(BR321&lt;&gt;"",TEXT(AUX!BV$1,"dd-MMM-aa"),"")</f>
      </c>
      <c r="BS301" s="496" t="str">
        <f> IF(BS321&lt;&gt;"",TEXT(AUX!BW$1,"dd-MMM-aa"),"")</f>
      </c>
      <c r="BT301" s="496" t="str">
        <f> IF(BT321&lt;&gt;"",TEXT(AUX!BX$1,"dd-MMM-aa"),"")</f>
      </c>
      <c r="BU301" s="496" t="str">
        <f> IF(BU321&lt;&gt;"",TEXT(AUX!BY$1,"dd-MMM-aa"),"")</f>
      </c>
      <c r="BV301" s="496" t="str">
        <f> IF(BV321&lt;&gt;"",TEXT(AUX!BZ$1,"dd-MMM-aa"),"")</f>
      </c>
      <c r="BW301" s="496" t="str">
        <f> IF(BW321&lt;&gt;"",TEXT(AUX!CA$1,"dd-MMM-aa"),"")</f>
      </c>
      <c r="BX301" s="496" t="str">
        <f> IF(BX321&lt;&gt;"",TEXT(AUX!CB$1,"dd-MMM-aa"),"")</f>
      </c>
      <c r="BY301" s="496" t="str">
        <f> IF(BY321&lt;&gt;"",TEXT(AUX!CC$1,"dd-MMM-aa"),"")</f>
      </c>
      <c r="BZ301" s="496" t="str">
        <f> IF(BZ321&lt;&gt;"",TEXT(AUX!CD$1,"dd-MMM-aa"),"")</f>
      </c>
      <c r="CA301" s="496" t="str">
        <f> IF(CA321&lt;&gt;"",TEXT(AUX!CE$1,"dd-MMM-aa"),"")</f>
      </c>
      <c r="CB301" s="496" t="str">
        <f> IF(CB321&lt;&gt;"",TEXT(AUX!CF$1,"dd-MMM-aa"),"")</f>
      </c>
      <c r="CC301" s="496" t="str">
        <f> IF(CC321&lt;&gt;"",TEXT(AUX!CG$1,"dd-MMM-aa"),"")</f>
      </c>
      <c r="CD301" s="496" t="str">
        <f> IF(CD321&lt;&gt;"",TEXT(AUX!CH$1,"dd-MMM-aa"),"")</f>
      </c>
      <c r="CE301" s="496" t="str">
        <f> IF(CE321&lt;&gt;"",TEXT(AUX!CI$1,"dd-MMM-aa"),"")</f>
      </c>
      <c r="CF301" s="496" t="str">
        <f> IF(CF321&lt;&gt;"",TEXT(AUX!CJ$1,"dd-MMM-aa"),"")</f>
      </c>
      <c r="CG301" s="496" t="str">
        <f> IF(CG321&lt;&gt;"",TEXT(AUX!CK$1,"dd-MMM-aa"),"")</f>
      </c>
      <c r="CH301" s="496" t="str">
        <f> IF(CH321&lt;&gt;"",TEXT(AUX!CL$1,"dd-MMM-aa"),"")</f>
      </c>
      <c r="CI301" s="496" t="str">
        <f> IF(CI321&lt;&gt;"",TEXT(AUX!CM$1,"dd-MMM-aa"),"")</f>
      </c>
      <c r="CJ301" s="496" t="str">
        <f> IF(CJ321&lt;&gt;"",TEXT(AUX!CN$1,"dd-MMM-aa"),"")</f>
      </c>
      <c r="CK301" s="496" t="str">
        <f> IF(CK321&lt;&gt;"",TEXT(AUX!CO$1,"dd-MMM-aa"),"")</f>
      </c>
      <c r="CL301" s="496" t="str">
        <f> IF(CL321&lt;&gt;"",TEXT(AUX!CP$1,"dd-MMM-aa"),"")</f>
      </c>
      <c r="CM301" s="496" t="str">
        <f> IF(CM321&lt;&gt;"",TEXT(AUX!CQ$1,"dd-MMM-aa"),"")</f>
      </c>
      <c r="CN301" s="496" t="str">
        <f> IF(CN321&lt;&gt;"",TEXT(AUX!CR$1,"dd-MMM-aa"),"")</f>
      </c>
      <c r="CO301" s="496" t="str">
        <f> IF(CO321&lt;&gt;"",TEXT(AUX!CS$1,"dd-MMM-aa"),"")</f>
      </c>
      <c r="CP301" s="496" t="str">
        <f> IF(CP321&lt;&gt;"",TEXT(AUX!CT$1,"dd-MMM-aa"),"")</f>
      </c>
      <c r="CQ301" s="496" t="str">
        <f> IF(CQ321&lt;&gt;"",TEXT(AUX!CU$1,"dd-MMM-aa"),"")</f>
      </c>
      <c r="CR301" s="496" t="str">
        <f> IF(CR321&lt;&gt;"",TEXT(AUX!CV$1,"dd-MMM-aa"),"")</f>
      </c>
      <c r="CS301" s="496" t="str">
        <f> IF(CS321&lt;&gt;"",TEXT(AUX!CW$1,"dd-MMM-aa"),"")</f>
      </c>
      <c r="CT301" s="496" t="str">
        <f> IF(CT321&lt;&gt;"",TEXT(AUX!CX$1,"dd-MMM-aa"),"")</f>
      </c>
      <c r="CU301" s="496" t="str">
        <f> IF(CU321&lt;&gt;"",TEXT(AUX!CY$1,"dd-MMM-aa"),"")</f>
      </c>
      <c r="CV301" s="496" t="str">
        <f> IF(CV321&lt;&gt;"",TEXT(AUX!CZ$1,"dd-MMM-aa"),"")</f>
      </c>
      <c r="CW301" s="496" t="str">
        <f> IF(CW321&lt;&gt;"",TEXT(AUX!DA$1,"dd-MMM-aa"),"")</f>
      </c>
      <c r="CX301" s="496" t="str">
        <f> IF(CX321&lt;&gt;"",TEXT(AUX!DB$1,"dd-MMM-aa"),"")</f>
      </c>
      <c r="CY301" s="496" t="str">
        <f> IF(CY321&lt;&gt;"",TEXT(AUX!DC$1,"dd-MMM-aa"),"")</f>
      </c>
      <c r="CZ301" s="496" t="str">
        <f> IF(CZ321&lt;&gt;"",TEXT(AUX!DD$1,"dd-MMM-aa"),"")</f>
      </c>
      <c r="DA301" s="496" t="str">
        <f> IF(DA321&lt;&gt;"",TEXT(AUX!DE$1,"dd-MMM-aa"),"")</f>
      </c>
      <c r="DB301" s="496" t="str">
        <f> IF(DB321&lt;&gt;"",TEXT(AUX!DF$1,"dd-MMM-aa"),"")</f>
      </c>
      <c r="DC301" s="496" t="str">
        <f> IF(DC321&lt;&gt;"",TEXT(AUX!DG$1,"dd-MMM-aa"),"")</f>
      </c>
      <c r="DD301" s="496" t="str">
        <f> IF(DD321&lt;&gt;"",TEXT(AUX!DH$1,"dd-MMM-aa"),"")</f>
      </c>
      <c r="DE301" s="496" t="str">
        <f> IF(DE321&lt;&gt;"",TEXT(AUX!DI$1,"dd-MMM-aa"),"")</f>
      </c>
      <c r="DF301" s="496" t="str">
        <f> IF(DF321&lt;&gt;"",TEXT(AUX!DJ$1,"dd-MMM-aa"),"")</f>
      </c>
      <c r="DG301" s="496" t="str">
        <f> IF(DG321&lt;&gt;"",TEXT(AUX!DK$1,"dd-MMM-aa"),"")</f>
      </c>
      <c r="DH301" s="496" t="str">
        <f> IF(DH321&lt;&gt;"",TEXT(AUX!DL$1,"dd-MMM-aa"),"")</f>
      </c>
      <c r="DI301" s="496" t="str">
        <f> IF(DI321&lt;&gt;"",TEXT(AUX!DM$1,"dd-MMM-aa"),"")</f>
      </c>
      <c r="DJ301" s="496" t="str">
        <f> IF(DJ321&lt;&gt;"",TEXT(AUX!DN$1,"dd-MMM-aa"),"")</f>
      </c>
      <c r="DK301" s="496" t="str">
        <f> IF(DK321&lt;&gt;"",TEXT(AUX!DO$1,"dd-MMM-aa"),"")</f>
      </c>
      <c r="DL301" s="496" t="str">
        <f> IF(DL321&lt;&gt;"",TEXT(AUX!DP$1,"dd-MMM-aa"),"")</f>
      </c>
      <c r="DM301" s="496" t="str">
        <f> IF(DM321&lt;&gt;"",TEXT(AUX!DQ$1,"dd-MMM-aa"),"")</f>
      </c>
      <c r="DN301" s="496" t="str">
        <f> IF(DN321&lt;&gt;"",TEXT(AUX!DR$1,"dd-MMM-aa"),"")</f>
      </c>
      <c r="DO301" s="496" t="str">
        <f> IF(DO321&lt;&gt;"",TEXT(AUX!DS$1,"dd-MMM-aa"),"")</f>
      </c>
      <c r="DP301" s="496" t="str">
        <f> IF(DP321&lt;&gt;"",TEXT(AUX!DT$1,"dd-MMM-aa"),"")</f>
      </c>
      <c r="DQ301" s="496" t="str">
        <f> IF(DQ321&lt;&gt;"",TEXT(AUX!DU$1,"dd-MMM-aa"),"")</f>
      </c>
      <c r="DR301" s="496" t="str">
        <f> IF(DR321&lt;&gt;"",TEXT(AUX!DV$1,"dd-MMM-aa"),"")</f>
      </c>
      <c r="DS301" s="496" t="str">
        <f> IF(DS321&lt;&gt;"",TEXT(AUX!DW$1,"dd-MMM-aa"),"")</f>
      </c>
      <c r="DT301" s="496" t="str">
        <f> IF(DT321&lt;&gt;"",TEXT(AUX!DX$1,"dd-MMM-aa"),"")</f>
      </c>
      <c r="DU301" s="496" t="str">
        <f> IF(DU321&lt;&gt;"",TEXT(AUX!DY$1,"dd-MMM-aa"),"")</f>
      </c>
      <c r="DV301" s="496" t="str">
        <f> IF(DV321&lt;&gt;"",TEXT(AUX!DZ$1,"dd-MMM-aa"),"")</f>
      </c>
      <c r="DW301" s="496" t="str">
        <f> IF(DW321&lt;&gt;"",TEXT(AUX!EA$1,"dd-MMM-aa"),"")</f>
      </c>
      <c r="DX301" s="496" t="str">
        <f> IF(DX321&lt;&gt;"",TEXT(AUX!EB$1,"dd-MMM-aa"),"")</f>
      </c>
      <c r="DY301" s="496" t="str">
        <f> IF(DY321&lt;&gt;"",TEXT(AUX!EC$1,"dd-MMM-aa"),"")</f>
      </c>
      <c r="DZ301" s="496" t="str">
        <f> IF(DZ321&lt;&gt;"",TEXT(AUX!ED$1,"dd-MMM-aa"),"")</f>
      </c>
      <c r="EA301" s="496" t="str">
        <f> IF(EA321&lt;&gt;"",TEXT(AUX!EE$1,"dd-MMM-aa"),"")</f>
      </c>
      <c r="EB301" s="496" t="str">
        <f> IF(EB321&lt;&gt;"",TEXT(AUX!EF$1,"dd-MMM-aa"),"")</f>
      </c>
      <c r="EC301" s="496" t="str">
        <f> IF(EC321&lt;&gt;"",TEXT(AUX!EG$1,"dd-MMM-aa"),"")</f>
      </c>
      <c r="ED301" s="496" t="str">
        <f> IF(ED321&lt;&gt;"",TEXT(AUX!EH$1,"dd-MMM-aa"),"")</f>
      </c>
      <c r="EE301" s="496" t="str">
        <f> IF(EE321&lt;&gt;"",TEXT(AUX!EI$1,"dd-MMM-aa"),"")</f>
      </c>
      <c r="EF301" s="496" t="str">
        <f> IF(EF321&lt;&gt;"",TEXT(AUX!EJ$1,"dd-MMM-aa"),"")</f>
      </c>
      <c r="EG301" s="496" t="str">
        <f> IF(EG321&lt;&gt;"",TEXT(AUX!EK$1,"dd-MMM-aa"),"")</f>
      </c>
      <c r="EH301" s="496" t="str">
        <f> IF(EH321&lt;&gt;"",TEXT(AUX!EL$1,"dd-MMM-aa"),"")</f>
      </c>
      <c r="EI301" s="496" t="str">
        <f> IF(EI321&lt;&gt;"",TEXT(AUX!EM$1,"dd-MMM-aa"),"")</f>
      </c>
      <c r="EJ301" s="496" t="str">
        <f> IF(EJ321&lt;&gt;"",TEXT(AUX!EN$1,"dd-MMM-aa"),"")</f>
      </c>
      <c r="EK301" s="496" t="str">
        <f> IF(EK321&lt;&gt;"",TEXT(AUX!EO$1,"dd-MMM-aa"),"")</f>
      </c>
      <c r="EL301" s="496" t="str">
        <f> IF(EL321&lt;&gt;"",TEXT(AUX!EP$1,"dd-MMM-aa"),"")</f>
      </c>
      <c r="EM301" s="496" t="str">
        <f> IF(EM321&lt;&gt;"",TEXT(AUX!EQ$1,"dd-MMM-aa"),"")</f>
      </c>
      <c r="EN301" s="496" t="str">
        <f> IF(EN321&lt;&gt;"",TEXT(AUX!ER$1,"dd-MMM-aa"),"")</f>
      </c>
      <c r="EO301" s="496" t="str">
        <f> IF(EO321&lt;&gt;"",TEXT(AUX!ES$1,"dd-MMM-aa"),"")</f>
      </c>
      <c r="EP301" s="496" t="str">
        <f> IF(EP321&lt;&gt;"",TEXT(AUX!ET$1,"dd-MMM-aa"),"")</f>
      </c>
      <c r="EQ301" s="496" t="str">
        <f> IF(EQ321&lt;&gt;"",TEXT(AUX!EU$1,"dd-MMM-aa"),"")</f>
      </c>
      <c r="ER301" s="496" t="str">
        <f> IF(ER321&lt;&gt;"",TEXT(AUX!EV$1,"dd-MMM-aa"),"")</f>
      </c>
      <c r="ES301" s="496" t="str">
        <f> IF(ES321&lt;&gt;"",TEXT(AUX!EW$1,"dd-MMM-aa"),"")</f>
      </c>
      <c r="ET301" s="496" t="str">
        <f> IF(ET321&lt;&gt;"",TEXT(AUX!EX$1,"dd-MMM-aa"),"")</f>
      </c>
      <c r="EU301" s="496" t="str">
        <f> IF(EU321&lt;&gt;"",TEXT(AUX!EY$1,"dd-MMM-aa"),"")</f>
      </c>
      <c r="EV301" s="496" t="str">
        <f> IF(EV321&lt;&gt;"",TEXT(AUX!EZ$1,"dd-MMM-aa"),"")</f>
      </c>
      <c r="EW301" s="496" t="str">
        <f> IF(EW321&lt;&gt;"",TEXT(AUX!FA$1,"dd-MMM-aa"),"")</f>
      </c>
      <c r="EX301" s="496" t="str">
        <f> IF(EX321&lt;&gt;"",TEXT(AUX!FB$1,"dd-MMM-aa"),"")</f>
      </c>
      <c r="EY301" s="496" t="str">
        <f> IF(EY321&lt;&gt;"",TEXT(AUX!FC$1,"dd-MMM-aa"),"")</f>
      </c>
      <c r="EZ301" s="496" t="str">
        <f> IF(EZ321&lt;&gt;"",TEXT(AUX!FD$1,"dd-MMM-aa"),"")</f>
      </c>
      <c r="FA301" s="496" t="str">
        <f> IF(FA321&lt;&gt;"",TEXT(AUX!FE$1,"dd-MMM-aa"),"")</f>
      </c>
      <c r="FB301" s="496" t="str">
        <f> IF(FB321&lt;&gt;"",TEXT(AUX!FF$1,"dd-MMM-aa"),"")</f>
      </c>
      <c r="FC301" s="496" t="str">
        <f> IF(FC321&lt;&gt;"",TEXT(AUX!FG$1,"dd-MMM-aa"),"")</f>
      </c>
      <c r="FD301" s="496" t="str">
        <f> IF(FD321&lt;&gt;"",TEXT(AUX!FH$1,"dd-MMM-aa"),"")</f>
      </c>
      <c r="FE301" s="496" t="str">
        <f> IF(FE321&lt;&gt;"",TEXT(AUX!FI$1,"dd-MMM-aa"),"")</f>
      </c>
      <c r="FF301" s="496" t="str">
        <f> IF(FF321&lt;&gt;"",TEXT(AUX!FJ$1,"dd-MMM-aa"),"")</f>
      </c>
      <c r="FG301" s="496" t="str">
        <f> IF(FG321&lt;&gt;"",TEXT(AUX!FK$1,"dd-MMM-aa"),"")</f>
      </c>
      <c r="FH301" s="496" t="str">
        <f> IF(FH321&lt;&gt;"",TEXT(AUX!FL$1,"dd-MMM-aa"),"")</f>
      </c>
      <c r="FI301" s="496" t="str">
        <f> IF(FI321&lt;&gt;"",TEXT(AUX!FM$1,"dd-MMM-aa"),"")</f>
      </c>
      <c r="FJ301" s="496" t="str">
        <f> IF(FJ321&lt;&gt;"",TEXT(AUX!FN$1,"dd-MMM-aa"),"")</f>
      </c>
      <c r="FK301" s="496" t="str">
        <f> IF(FK321&lt;&gt;"",TEXT(AUX!FO$1,"dd-MMM-aa"),"")</f>
      </c>
      <c r="FL301" s="496" t="str">
        <f> IF(FL321&lt;&gt;"",TEXT(AUX!FP$1,"dd-MMM-aa"),"")</f>
      </c>
      <c r="FM301" s="496" t="str">
        <f> IF(FM321&lt;&gt;"",TEXT(AUX!FQ$1,"dd-MMM-aa"),"")</f>
      </c>
      <c r="FN301" s="496" t="str">
        <f> IF(FN321&lt;&gt;"",TEXT(AUX!FR$1,"dd-MMM-aa"),"")</f>
      </c>
      <c r="FO301" s="496" t="str">
        <f> IF(FO321&lt;&gt;"",TEXT(AUX!FS$1,"dd-MMM-aa"),"")</f>
      </c>
      <c r="FP301" s="496" t="str">
        <f> IF(FP321&lt;&gt;"",TEXT(AUX!FT$1,"dd-MMM-aa"),"")</f>
      </c>
      <c r="FQ301" s="496" t="str">
        <f> IF(FQ321&lt;&gt;"",TEXT(AUX!FU$1,"dd-MMM-aa"),"")</f>
      </c>
      <c r="FR301" s="496" t="str">
        <f> IF(FR321&lt;&gt;"",TEXT(AUX!FV$1,"dd-MMM-aa"),"")</f>
      </c>
      <c r="FS301" s="496" t="str">
        <f> IF(FS321&lt;&gt;"",TEXT(AUX!FW$1,"dd-MMM-aa"),"")</f>
      </c>
      <c r="FT301" s="496" t="str">
        <f> IF(FT321&lt;&gt;"",TEXT(AUX!FX$1,"dd-MMM-aa"),"")</f>
      </c>
      <c r="FU301" s="496" t="str">
        <f> IF(FU321&lt;&gt;"",TEXT(AUX!FY$1,"dd-MMM-aa"),"")</f>
      </c>
      <c r="FV301" s="496" t="str">
        <f> IF(FV321&lt;&gt;"",TEXT(AUX!FZ$1,"dd-MMM-aa"),"")</f>
      </c>
      <c r="FW301" s="496" t="str">
        <f> IF(FW321&lt;&gt;"",TEXT(AUX!GA$1,"dd-MMM-aa"),"")</f>
      </c>
      <c r="FX301" s="496" t="str">
        <f> IF(FX321&lt;&gt;"",TEXT(AUX!GB$1,"dd-MMM-aa"),"")</f>
      </c>
      <c r="FY301" s="496" t="str">
        <f> IF(FY321&lt;&gt;"",TEXT(AUX!GC$1,"dd-MMM-aa"),"")</f>
      </c>
      <c r="FZ301" s="496" t="str">
        <f> IF(FZ321&lt;&gt;"",TEXT(AUX!GD$1,"dd-MMM-aa"),"")</f>
      </c>
      <c r="GA301" s="496" t="str">
        <f> IF(GA321&lt;&gt;"",TEXT(AUX!GE$1,"dd-MMM-aa"),"")</f>
      </c>
      <c r="GB301" s="496" t="str">
        <f> IF(GB321&lt;&gt;"",TEXT(AUX!GF$1,"dd-MMM-aa"),"")</f>
      </c>
      <c r="GC301" s="496" t="str">
        <f> IF(GC321&lt;&gt;"",TEXT(AUX!GG$1,"dd-MMM-aa"),"")</f>
      </c>
      <c r="GD301" s="496" t="str">
        <f> IF(GD321&lt;&gt;"",TEXT(AUX!GH$1,"dd-MMM-aa"),"")</f>
      </c>
      <c r="GE301" s="496" t="str">
        <f> IF(GE321&lt;&gt;"",TEXT(AUX!GI$1,"dd-MMM-aa"),"")</f>
      </c>
      <c r="GF301" s="496" t="str">
        <f> IF(GF321&lt;&gt;"",TEXT(AUX!GJ$1,"dd-MMM-aa"),"")</f>
      </c>
      <c r="GG301" s="496" t="str">
        <f> IF(GG321&lt;&gt;"",TEXT(AUX!GK$1,"dd-MMM-aa"),"")</f>
      </c>
      <c r="GH301" s="496" t="str">
        <f> IF(GH321&lt;&gt;"",TEXT(AUX!GL$1,"dd-MMM-aa"),"")</f>
      </c>
      <c r="GI301" s="496" t="str">
        <f> IF(GI321&lt;&gt;"",TEXT(AUX!GM$1,"dd-MMM-aa"),"")</f>
      </c>
      <c r="GJ301" s="496" t="str">
        <f> IF(GJ321&lt;&gt;"",TEXT(AUX!GN$1,"dd-MMM-aa"),"")</f>
      </c>
      <c r="GK301" s="496" t="str">
        <f> IF(GK321&lt;&gt;"",TEXT(AUX!GO$1,"dd-MMM-aa"),"")</f>
      </c>
      <c r="GL301" s="496" t="str">
        <f> IF(GL321&lt;&gt;"",TEXT(AUX!GP$1,"dd-MMM-aa"),"")</f>
      </c>
      <c r="GM301" s="496" t="str">
        <f> IF(GM321&lt;&gt;"",TEXT(AUX!GQ$1,"dd-MMM-aa"),"")</f>
      </c>
      <c r="GN301" s="496" t="str">
        <f> IF(GN321&lt;&gt;"",TEXT(AUX!GR$1,"dd-MMM-aa"),"")</f>
      </c>
      <c r="GO301" s="496" t="str">
        <f> IF(GO321&lt;&gt;"",TEXT(AUX!GS$1,"dd-MMM-aa"),"")</f>
      </c>
      <c r="GP301" s="496" t="str">
        <f> IF(GP321&lt;&gt;"",TEXT(AUX!GT$1,"dd-MMM-aa"),"")</f>
      </c>
      <c r="GQ301" s="496" t="str">
        <f> IF(GQ321&lt;&gt;"",TEXT(AUX!GU$1,"dd-MMM-aa"),"")</f>
      </c>
      <c r="GR301" s="496" t="str">
        <f> IF(GR321&lt;&gt;"",TEXT(AUX!GV$1,"dd-MMM-aa"),"")</f>
      </c>
      <c r="GS301" s="496" t="str">
        <f> IF(GS321&lt;&gt;"",TEXT(AUX!GW$1,"dd-MMM-aa"),"")</f>
      </c>
      <c r="GT301" s="496" t="str">
        <f> IF(GT321&lt;&gt;"",TEXT(AUX!GX$1,"dd-MMM-aa"),"")</f>
      </c>
      <c r="GU301" s="496" t="str">
        <f> IF(GU321&lt;&gt;"",TEXT(AUX!GY$1,"dd-MMM-aa"),"")</f>
      </c>
      <c r="GV301" s="496" t="str">
        <f> IF(GV321&lt;&gt;"",TEXT(AUX!GZ$1,"dd-MMM-aa"),"")</f>
      </c>
      <c r="GW301" s="496" t="str">
        <f> IF(GW321&lt;&gt;"",TEXT(AUX!HA$1,"dd-MMM-aa"),"")</f>
      </c>
      <c r="GX301" s="496" t="str">
        <f> IF(GX321&lt;&gt;"",TEXT(AUX!HB$1,"dd-MMM-aa"),"")</f>
      </c>
      <c r="GY301" s="496" t="str">
        <f> IF(GY321&lt;&gt;"",TEXT(AUX!HC$1,"dd-MMM-aa"),"")</f>
      </c>
      <c r="GZ301" s="496" t="str">
        <f> IF(GZ321&lt;&gt;"",TEXT(AUX!HD$1,"dd-MMM-aa"),"")</f>
      </c>
      <c r="HA301" s="496" t="str">
        <f> IF(HA321&lt;&gt;"",TEXT(AUX!HE$1,"dd-MMM-aa"),"")</f>
      </c>
      <c r="HB301" s="496" t="str">
        <f> IF(HB321&lt;&gt;"",TEXT(AUX!HF$1,"dd-MMM-aa"),"")</f>
      </c>
      <c r="HC301" s="496" t="str">
        <f> IF(HC321&lt;&gt;"",TEXT(AUX!HG$1,"dd-MMM-aa"),"")</f>
      </c>
      <c r="HD301" s="496" t="str">
        <f> IF(HD321&lt;&gt;"",TEXT(AUX!HH$1,"dd-MMM-aa"),"")</f>
      </c>
      <c r="HE301" s="496" t="str">
        <f> IF(HE321&lt;&gt;"",TEXT(AUX!HI$1,"dd-MMM-aa"),"")</f>
      </c>
      <c r="HF301" s="496" t="str">
        <f> IF(HF321&lt;&gt;"",TEXT(AUX!HJ$1,"dd-MMM-aa"),"")</f>
      </c>
      <c r="HG301" s="496" t="str">
        <f> IF(HG321&lt;&gt;"",TEXT(AUX!HK$1,"dd-MMM-aa"),"")</f>
      </c>
      <c r="HH301" s="496" t="str">
        <f> IF(HH321&lt;&gt;"",TEXT(AUX!HL$1,"dd-MMM-aa"),"")</f>
      </c>
      <c r="HI301" s="496" t="str">
        <f> IF(HI321&lt;&gt;"",TEXT(AUX!HM$1,"dd-MMM-aa"),"")</f>
      </c>
      <c r="HJ301" s="496" t="str">
        <f> IF(HJ321&lt;&gt;"",TEXT(AUX!HN$1,"dd-MMM-aa"),"")</f>
      </c>
      <c r="HK301" s="496" t="str">
        <f> IF(HK321&lt;&gt;"",TEXT(AUX!HO$1,"dd-MMM-aa"),"")</f>
      </c>
      <c r="HL301" s="496" t="str">
        <f> IF(HL321&lt;&gt;"",TEXT(AUX!HP$1,"dd-MMM-aa"),"")</f>
      </c>
      <c r="HM301" s="496" t="str">
        <f> IF(HM321&lt;&gt;"",TEXT(AUX!HQ$1,"dd-MMM-aa"),"")</f>
      </c>
      <c r="HN301" s="496" t="str">
        <f> IF(HN321&lt;&gt;"",TEXT(AUX!HR$1,"dd-MMM-aa"),"")</f>
      </c>
      <c r="HO301" s="496" t="str">
        <f> IF(HO321&lt;&gt;"",TEXT(AUX!HS$1,"dd-MMM-aa"),"")</f>
      </c>
      <c r="HP301" s="496" t="str">
        <f> IF(HP321&lt;&gt;"",TEXT(AUX!HT$1,"dd-MMM-aa"),"")</f>
      </c>
      <c r="HQ301" s="496" t="str">
        <f> IF(HQ321&lt;&gt;"",TEXT(AUX!HU$1,"dd-MMM-aa"),"")</f>
      </c>
      <c r="HR301" s="496" t="str">
        <f> IF(HR321&lt;&gt;"",TEXT(AUX!HV$1,"dd-MMM-aa"),"")</f>
      </c>
      <c r="HS301" s="496" t="str">
        <f> IF(HS321&lt;&gt;"",TEXT(AUX!HW$1,"dd-MMM-aa"),"")</f>
      </c>
      <c r="HT301" s="496" t="str">
        <f> IF(HT321&lt;&gt;"",TEXT(AUX!HX$1,"dd-MMM-aa"),"")</f>
      </c>
      <c r="HU301" s="496" t="str">
        <f> IF(HU321&lt;&gt;"",TEXT(AUX!HY$1,"dd-MMM-aa"),"")</f>
      </c>
      <c r="HV301" s="496" t="str">
        <f> IF(HV321&lt;&gt;"",TEXT(AUX!HZ$1,"dd-MMM-aa"),"")</f>
      </c>
      <c r="HW301" s="496" t="str">
        <f> IF(HW321&lt;&gt;"",TEXT(AUX!IA$1,"dd-MMM-aa"),"")</f>
      </c>
      <c r="HX301" s="496" t="str">
        <f> IF(HX321&lt;&gt;"",TEXT(AUX!IB$1,"dd-MMM-aa"),"")</f>
      </c>
      <c r="HY301" s="496" t="str">
        <f> IF(HY321&lt;&gt;"",TEXT(AUX!IC$1,"dd-MMM-aa"),"")</f>
      </c>
      <c r="HZ301" s="496" t="str">
        <f> IF(HZ321&lt;&gt;"",TEXT(AUX!ID$1,"dd-MMM-aa"),"")</f>
      </c>
      <c r="IA301" s="496" t="str">
        <f> IF(IA321&lt;&gt;"",TEXT(AUX!IE$1,"dd-MMM-aa"),"")</f>
      </c>
      <c r="IB301" s="496" t="str">
        <f> IF(IB321&lt;&gt;"",TEXT(AUX!IF$1,"dd-MMM-aa"),"")</f>
      </c>
      <c r="IC301" s="496" t="str">
        <f> IF(IC321&lt;&gt;"",TEXT(AUX!IG$1,"dd-MMM-aa"),"")</f>
      </c>
      <c r="ID301" s="496" t="str">
        <f> IF(ID321&lt;&gt;"",TEXT(AUX!IH$1,"dd-MMM-aa"),"")</f>
      </c>
      <c r="IE301" s="496" t="str">
        <f> IF(IE321&lt;&gt;"",TEXT(AUX!II$1,"dd-MMM-aa"),"")</f>
      </c>
      <c r="IF301" s="496" t="str">
        <f> IF(IF321&lt;&gt;"",TEXT(AUX!IJ$1,"dd-MMM-aa"),"")</f>
      </c>
      <c r="IG301" s="496" t="str">
        <f> IF(IG321&lt;&gt;"",TEXT(AUX!IK$1,"dd-MMM-aa"),"")</f>
      </c>
      <c r="IH301" s="496" t="str">
        <f> IF(IH321&lt;&gt;"",TEXT(AUX!IL$1,"dd-MMM-aa"),"")</f>
      </c>
      <c r="II301" s="496" t="str">
        <f> IF(II321&lt;&gt;"",TEXT(AUX!IM$1,"dd-MMM-aa"),"")</f>
      </c>
      <c r="IJ301" s="496" t="str">
        <f> IF(IJ321&lt;&gt;"",TEXT(AUX!IN$1,"dd-MMM-aa"),"")</f>
      </c>
      <c r="IK301" s="496" t="str">
        <f> IF(IK321&lt;&gt;"",TEXT(AUX!IO$1,"dd-MMM-aa"),"")</f>
      </c>
      <c r="IL301" s="496" t="str">
        <f> IF(IL321&lt;&gt;"",TEXT(AUX!IP$1,"dd-MMM-aa"),"")</f>
      </c>
      <c r="IM301" s="496" t="str">
        <f> IF(IM321&lt;&gt;"",TEXT(AUX!IQ$1,"dd-MMM-aa"),"")</f>
      </c>
      <c r="IN301" s="496" t="str">
        <f> IF(IN321&lt;&gt;"",TEXT(AUX!IR$1,"dd-MMM-aa"),"")</f>
      </c>
      <c r="IO301" s="496" t="str">
        <f> IF(IO321&lt;&gt;"",TEXT(AUX!IS$1,"dd-MMM-aa"),"")</f>
      </c>
      <c r="IP301" s="496" t="str">
        <f> IF(IP321&lt;&gt;"",TEXT(AUX!IT$1,"dd-MMM-aa"),"")</f>
      </c>
      <c r="IQ301" s="496" t="str">
        <f> IF(IQ321&lt;&gt;"",TEXT(AUX!IU$1,"dd-MMM-aa"),"")</f>
      </c>
      <c r="IR301" s="496" t="str">
        <f> IF(IR321&lt;&gt;"",TEXT(AUX!IV$1,"dd-MMM-aa"),"")</f>
      </c>
      <c r="IS301" s="496" t="str">
        <f> IF(IS321&lt;&gt;"",TEXT(AUX!#REF!,"dd-MMM-aa"),"")</f>
      </c>
      <c r="IT301" s="496" t="str">
        <f> IF(IT321&lt;&gt;"",TEXT(AUX!#REF!,"dd-MMM-aa"),"")</f>
      </c>
      <c r="IU301" s="496" t="str">
        <f> IF(IU321&lt;&gt;"",TEXT(AUX!#REF!,"dd-MMM-aa"),"")</f>
      </c>
      <c r="IV301" s="496" t="str">
        <f> IF(IV321&lt;&gt;"",TEXT(AUX!#REF!,"dd-MMM-aa"),"")</f>
      </c>
    </row>
    <row r="302" hidden="1">
      <c r="B302" s="822" t="s">
        <v>8</v>
      </c>
      <c r="C302" s="823">
        <v>3</v>
      </c>
      <c r="D302" s="823">
        <v>3</v>
      </c>
      <c r="E302" s="823">
        <v>4</v>
      </c>
      <c r="F302" s="823">
        <v>5</v>
      </c>
      <c r="G302" s="823">
        <v>7</v>
      </c>
      <c r="H302" s="823">
        <v>6</v>
      </c>
      <c r="I302" s="823">
        <v>12</v>
      </c>
      <c r="J302" s="823">
        <v>15</v>
      </c>
      <c r="K302" s="823">
        <v>17</v>
      </c>
      <c r="L302" s="823">
        <v>19</v>
      </c>
      <c r="M302" s="823">
        <v>22</v>
      </c>
      <c r="N302" s="823">
        <v>22</v>
      </c>
      <c r="O302" s="823">
        <v>23</v>
      </c>
      <c r="P302" s="823">
        <v>33</v>
      </c>
      <c r="Q302" s="823">
        <v>39</v>
      </c>
      <c r="R302" s="823">
        <v>41</v>
      </c>
      <c r="S302" s="823">
        <v>50</v>
      </c>
      <c r="T302" s="823">
        <v>52</v>
      </c>
      <c r="U302" s="823">
        <v>52</v>
      </c>
      <c r="V302" s="823">
        <v>55</v>
      </c>
      <c r="W302" s="823">
        <v>56</v>
      </c>
      <c r="X302" s="823">
        <v>55</v>
      </c>
      <c r="Y302" s="823">
        <v>69</v>
      </c>
      <c r="Z302" s="823">
        <v>71</v>
      </c>
      <c r="AA302" s="823">
        <v>75</v>
      </c>
      <c r="AB302" s="824">
        <v>69</v>
      </c>
      <c r="AC302" s="825">
        <v>68</v>
      </c>
      <c r="AD302" s="825">
        <v>71</v>
      </c>
      <c r="AE302" s="825">
        <v>70</v>
      </c>
      <c r="AF302" s="825">
        <v>74</v>
      </c>
      <c r="AG302" s="825">
        <v>54</v>
      </c>
      <c r="AH302" s="825">
        <v>56</v>
      </c>
      <c r="AI302" s="825">
        <v>57</v>
      </c>
      <c r="AJ302" s="825">
        <v>57</v>
      </c>
      <c r="AK302" s="825">
        <v>62</v>
      </c>
      <c r="AL302" s="825">
        <v>62</v>
      </c>
      <c r="AM302" s="825">
        <v>53</v>
      </c>
      <c r="AN302" s="825">
        <v>56</v>
      </c>
      <c r="AO302" s="825">
        <v>51</v>
      </c>
      <c r="AP302" s="825">
        <v>53</v>
      </c>
    </row>
    <row r="303" hidden="1">
      <c r="B303" s="826" t="s">
        <v>9</v>
      </c>
      <c r="C303" s="827">
        <v>0</v>
      </c>
      <c r="D303" s="827">
        <v>1</v>
      </c>
      <c r="E303" s="827">
        <v>1</v>
      </c>
      <c r="F303" s="827">
        <v>1</v>
      </c>
      <c r="G303" s="827">
        <v>2</v>
      </c>
      <c r="H303" s="827">
        <v>2</v>
      </c>
      <c r="I303" s="827">
        <v>3</v>
      </c>
      <c r="J303" s="827">
        <v>4</v>
      </c>
      <c r="K303" s="827">
        <v>3</v>
      </c>
      <c r="L303" s="827">
        <v>2</v>
      </c>
      <c r="M303" s="827">
        <v>7</v>
      </c>
      <c r="N303" s="827">
        <v>7</v>
      </c>
      <c r="O303" s="827">
        <v>7</v>
      </c>
      <c r="P303" s="827">
        <v>4</v>
      </c>
      <c r="Q303" s="827">
        <v>7</v>
      </c>
      <c r="R303" s="827">
        <v>7</v>
      </c>
      <c r="S303" s="827">
        <v>6</v>
      </c>
      <c r="T303" s="827">
        <v>6</v>
      </c>
      <c r="U303" s="827">
        <v>6</v>
      </c>
      <c r="V303" s="827">
        <v>7</v>
      </c>
      <c r="W303" s="827">
        <v>6</v>
      </c>
      <c r="X303" s="827">
        <v>6</v>
      </c>
      <c r="Y303" s="827">
        <v>6</v>
      </c>
      <c r="Z303" s="827">
        <v>6</v>
      </c>
      <c r="AA303" s="827">
        <v>7</v>
      </c>
      <c r="AB303" s="827">
        <v>8</v>
      </c>
      <c r="AC303" s="828">
        <v>8</v>
      </c>
      <c r="AD303" s="828">
        <v>7</v>
      </c>
      <c r="AE303" s="828">
        <v>7</v>
      </c>
      <c r="AF303" s="828">
        <v>7</v>
      </c>
      <c r="AG303" s="828">
        <v>8</v>
      </c>
      <c r="AH303" s="828">
        <v>8</v>
      </c>
      <c r="AI303" s="828">
        <v>8</v>
      </c>
      <c r="AJ303" s="828">
        <v>8</v>
      </c>
      <c r="AK303" s="828">
        <v>7</v>
      </c>
      <c r="AL303" s="828">
        <v>6</v>
      </c>
      <c r="AM303" s="828">
        <v>6</v>
      </c>
      <c r="AN303" s="828">
        <v>7</v>
      </c>
      <c r="AO303" s="828">
        <v>8</v>
      </c>
      <c r="AP303" s="828">
        <v>8</v>
      </c>
    </row>
    <row r="304" hidden="1">
      <c r="B304" s="829" t="s">
        <v>10</v>
      </c>
      <c r="C304" s="823">
        <v>3</v>
      </c>
      <c r="D304" s="823">
        <v>4</v>
      </c>
      <c r="E304" s="823">
        <v>6</v>
      </c>
      <c r="F304" s="823">
        <v>7</v>
      </c>
      <c r="G304" s="823">
        <v>9</v>
      </c>
      <c r="H304" s="823">
        <v>12</v>
      </c>
      <c r="I304" s="823">
        <v>16</v>
      </c>
      <c r="J304" s="823">
        <v>17</v>
      </c>
      <c r="K304" s="823">
        <v>15</v>
      </c>
      <c r="L304" s="823">
        <v>17</v>
      </c>
      <c r="M304" s="823">
        <v>16</v>
      </c>
      <c r="N304" s="823">
        <v>16</v>
      </c>
      <c r="O304" s="823">
        <v>16</v>
      </c>
      <c r="P304" s="823">
        <v>16</v>
      </c>
      <c r="Q304" s="823">
        <v>18</v>
      </c>
      <c r="R304" s="823">
        <v>18</v>
      </c>
      <c r="S304" s="823">
        <v>18</v>
      </c>
      <c r="T304" s="823">
        <v>20</v>
      </c>
      <c r="U304" s="823">
        <v>19</v>
      </c>
      <c r="V304" s="823">
        <v>20</v>
      </c>
      <c r="W304" s="823">
        <v>21</v>
      </c>
      <c r="X304" s="823">
        <v>21</v>
      </c>
      <c r="Y304" s="823">
        <v>24</v>
      </c>
      <c r="Z304" s="823">
        <v>21</v>
      </c>
      <c r="AA304" s="823">
        <v>26</v>
      </c>
      <c r="AB304" s="823">
        <v>26</v>
      </c>
      <c r="AC304" s="825">
        <v>29</v>
      </c>
      <c r="AD304" s="825">
        <v>27</v>
      </c>
      <c r="AE304" s="825">
        <v>27</v>
      </c>
      <c r="AF304" s="825">
        <v>26</v>
      </c>
      <c r="AG304" s="825">
        <v>27</v>
      </c>
      <c r="AH304" s="825">
        <v>29</v>
      </c>
      <c r="AI304" s="825">
        <v>32</v>
      </c>
      <c r="AJ304" s="825">
        <v>32</v>
      </c>
      <c r="AK304" s="825">
        <v>34</v>
      </c>
      <c r="AL304" s="825">
        <v>35</v>
      </c>
      <c r="AM304" s="825">
        <v>35</v>
      </c>
      <c r="AN304" s="825">
        <v>36</v>
      </c>
      <c r="AO304" s="825">
        <v>39</v>
      </c>
      <c r="AP304" s="825">
        <v>37</v>
      </c>
    </row>
    <row r="305" hidden="1">
      <c r="B305" s="826" t="s">
        <v>11</v>
      </c>
      <c r="C305" s="827">
        <v>4</v>
      </c>
      <c r="D305" s="827">
        <v>5</v>
      </c>
      <c r="E305" s="827">
        <v>5</v>
      </c>
      <c r="F305" s="827">
        <v>5</v>
      </c>
      <c r="G305" s="827">
        <v>6</v>
      </c>
      <c r="H305" s="827">
        <v>10</v>
      </c>
      <c r="I305" s="827">
        <v>10</v>
      </c>
      <c r="J305" s="827">
        <v>9</v>
      </c>
      <c r="K305" s="827">
        <v>9</v>
      </c>
      <c r="L305" s="827">
        <v>9</v>
      </c>
      <c r="M305" s="827">
        <v>10</v>
      </c>
      <c r="N305" s="827">
        <v>10</v>
      </c>
      <c r="O305" s="827">
        <v>10</v>
      </c>
      <c r="P305" s="827">
        <v>10</v>
      </c>
      <c r="Q305" s="827">
        <v>10</v>
      </c>
      <c r="R305" s="827">
        <v>11</v>
      </c>
      <c r="S305" s="827">
        <v>13</v>
      </c>
      <c r="T305" s="827">
        <v>14</v>
      </c>
      <c r="U305" s="827">
        <v>12</v>
      </c>
      <c r="V305" s="827">
        <v>12</v>
      </c>
      <c r="W305" s="827">
        <v>13</v>
      </c>
      <c r="X305" s="827">
        <v>14</v>
      </c>
      <c r="Y305" s="827">
        <v>11</v>
      </c>
      <c r="Z305" s="827">
        <v>12</v>
      </c>
      <c r="AA305" s="827">
        <v>11</v>
      </c>
      <c r="AB305" s="827">
        <v>10</v>
      </c>
      <c r="AC305" s="828">
        <v>8</v>
      </c>
      <c r="AD305" s="828">
        <v>9</v>
      </c>
      <c r="AE305" s="828">
        <v>8</v>
      </c>
      <c r="AF305" s="828">
        <v>8</v>
      </c>
      <c r="AG305" s="828">
        <v>8</v>
      </c>
      <c r="AH305" s="828">
        <v>9</v>
      </c>
      <c r="AI305" s="828">
        <v>9</v>
      </c>
      <c r="AJ305" s="828">
        <v>8</v>
      </c>
      <c r="AK305" s="828">
        <v>7</v>
      </c>
      <c r="AL305" s="828">
        <v>8</v>
      </c>
      <c r="AM305" s="828">
        <v>7</v>
      </c>
      <c r="AN305" s="828">
        <v>8</v>
      </c>
      <c r="AO305" s="828">
        <v>7</v>
      </c>
      <c r="AP305" s="828">
        <v>9</v>
      </c>
    </row>
    <row r="306" hidden="1">
      <c r="B306" s="829" t="s">
        <v>12</v>
      </c>
      <c r="C306" s="823">
        <v>2</v>
      </c>
      <c r="D306" s="823">
        <v>2</v>
      </c>
      <c r="E306" s="823">
        <v>3</v>
      </c>
      <c r="F306" s="823">
        <v>0</v>
      </c>
      <c r="G306" s="823">
        <v>0</v>
      </c>
      <c r="H306" s="823">
        <v>0</v>
      </c>
      <c r="I306" s="823">
        <v>0</v>
      </c>
      <c r="J306" s="823">
        <v>0</v>
      </c>
      <c r="K306" s="823">
        <v>0</v>
      </c>
      <c r="L306" s="823">
        <v>0</v>
      </c>
      <c r="M306" s="823">
        <v>2</v>
      </c>
      <c r="N306" s="823">
        <v>2</v>
      </c>
      <c r="O306" s="823">
        <v>2</v>
      </c>
      <c r="P306" s="823">
        <v>2</v>
      </c>
      <c r="Q306" s="823">
        <v>2</v>
      </c>
      <c r="R306" s="823">
        <v>1</v>
      </c>
      <c r="S306" s="823">
        <v>1</v>
      </c>
      <c r="T306" s="823">
        <v>1</v>
      </c>
      <c r="U306" s="823">
        <v>1</v>
      </c>
      <c r="V306" s="823">
        <v>1</v>
      </c>
      <c r="W306" s="823">
        <v>1</v>
      </c>
      <c r="X306" s="823">
        <v>1</v>
      </c>
      <c r="Y306" s="823">
        <v>1</v>
      </c>
      <c r="Z306" s="823">
        <v>1</v>
      </c>
      <c r="AA306" s="823">
        <v>1</v>
      </c>
      <c r="AB306" s="823">
        <v>1</v>
      </c>
      <c r="AC306" s="825">
        <v>1</v>
      </c>
      <c r="AD306" s="825">
        <v>2</v>
      </c>
      <c r="AE306" s="825">
        <v>2</v>
      </c>
      <c r="AF306" s="825">
        <v>3</v>
      </c>
      <c r="AG306" s="825">
        <v>3</v>
      </c>
      <c r="AH306" s="825">
        <v>4</v>
      </c>
      <c r="AI306" s="825">
        <v>4</v>
      </c>
      <c r="AJ306" s="825">
        <v>4</v>
      </c>
      <c r="AK306" s="825">
        <v>4</v>
      </c>
      <c r="AL306" s="825">
        <v>3</v>
      </c>
      <c r="AM306" s="825">
        <v>2</v>
      </c>
      <c r="AN306" s="825">
        <v>3</v>
      </c>
      <c r="AO306" s="825">
        <v>3</v>
      </c>
      <c r="AP306" s="825">
        <v>3</v>
      </c>
    </row>
    <row r="307" hidden="1">
      <c r="B307" s="826" t="s">
        <v>13</v>
      </c>
      <c r="C307" s="827">
        <v>19</v>
      </c>
      <c r="D307" s="827">
        <v>28</v>
      </c>
      <c r="E307" s="827">
        <v>49</v>
      </c>
      <c r="F307" s="827">
        <v>50</v>
      </c>
      <c r="G307" s="827">
        <v>59</v>
      </c>
      <c r="H307" s="827">
        <v>64</v>
      </c>
      <c r="I307" s="827">
        <v>62</v>
      </c>
      <c r="J307" s="827">
        <v>66</v>
      </c>
      <c r="K307" s="827">
        <v>76</v>
      </c>
      <c r="L307" s="827">
        <v>83</v>
      </c>
      <c r="M307" s="827">
        <v>97</v>
      </c>
      <c r="N307" s="827">
        <v>101</v>
      </c>
      <c r="O307" s="827">
        <v>110</v>
      </c>
      <c r="P307" s="827">
        <v>112</v>
      </c>
      <c r="Q307" s="827">
        <v>116</v>
      </c>
      <c r="R307" s="827">
        <v>120</v>
      </c>
      <c r="S307" s="827">
        <v>139</v>
      </c>
      <c r="T307" s="827">
        <v>143</v>
      </c>
      <c r="U307" s="827">
        <v>142</v>
      </c>
      <c r="V307" s="827">
        <v>145</v>
      </c>
      <c r="W307" s="827">
        <v>147</v>
      </c>
      <c r="X307" s="827">
        <v>147</v>
      </c>
      <c r="Y307" s="827">
        <v>150</v>
      </c>
      <c r="Z307" s="827">
        <v>148</v>
      </c>
      <c r="AA307" s="827">
        <v>144</v>
      </c>
      <c r="AB307" s="827">
        <v>139</v>
      </c>
      <c r="AC307" s="828">
        <v>137</v>
      </c>
      <c r="AD307" s="828">
        <v>138</v>
      </c>
      <c r="AE307" s="828">
        <v>137</v>
      </c>
      <c r="AF307" s="828">
        <v>137</v>
      </c>
      <c r="AG307" s="828">
        <v>136</v>
      </c>
      <c r="AH307" s="828">
        <v>136</v>
      </c>
      <c r="AI307" s="828">
        <v>136</v>
      </c>
      <c r="AJ307" s="828">
        <v>134</v>
      </c>
      <c r="AK307" s="828">
        <v>176</v>
      </c>
      <c r="AL307" s="828">
        <v>147</v>
      </c>
      <c r="AM307" s="828">
        <v>149</v>
      </c>
      <c r="AN307" s="828">
        <v>152</v>
      </c>
      <c r="AO307" s="828">
        <v>149</v>
      </c>
      <c r="AP307" s="828">
        <v>151</v>
      </c>
    </row>
    <row r="308" hidden="1">
      <c r="B308" s="829" t="s">
        <v>109</v>
      </c>
      <c r="C308" s="823">
        <v>0</v>
      </c>
      <c r="D308" s="823">
        <v>0</v>
      </c>
      <c r="E308" s="823">
        <v>0</v>
      </c>
      <c r="F308" s="823">
        <v>0</v>
      </c>
      <c r="G308" s="823">
        <v>0</v>
      </c>
      <c r="H308" s="823">
        <v>0</v>
      </c>
      <c r="I308" s="823">
        <v>0</v>
      </c>
      <c r="J308" s="823">
        <v>1</v>
      </c>
      <c r="K308" s="823">
        <v>1</v>
      </c>
      <c r="L308" s="823">
        <v>1</v>
      </c>
      <c r="M308" s="823">
        <v>1</v>
      </c>
      <c r="N308" s="823">
        <v>1</v>
      </c>
      <c r="O308" s="823">
        <v>1</v>
      </c>
      <c r="P308" s="823">
        <v>1</v>
      </c>
      <c r="Q308" s="823">
        <v>1</v>
      </c>
      <c r="R308" s="823">
        <v>1</v>
      </c>
      <c r="S308" s="823">
        <v>0</v>
      </c>
      <c r="T308" s="823">
        <v>1</v>
      </c>
      <c r="U308" s="823">
        <v>1</v>
      </c>
      <c r="V308" s="823">
        <v>1</v>
      </c>
      <c r="W308" s="823">
        <v>2</v>
      </c>
      <c r="X308" s="823">
        <v>1</v>
      </c>
      <c r="Y308" s="823">
        <v>2</v>
      </c>
      <c r="Z308" s="823">
        <v>2</v>
      </c>
      <c r="AA308" s="823">
        <v>2</v>
      </c>
      <c r="AB308" s="823">
        <v>2</v>
      </c>
      <c r="AC308" s="825">
        <v>2</v>
      </c>
      <c r="AD308" s="825">
        <v>2</v>
      </c>
      <c r="AE308" s="825">
        <v>2</v>
      </c>
      <c r="AF308" s="825">
        <v>3</v>
      </c>
      <c r="AG308" s="825">
        <v>3</v>
      </c>
      <c r="AH308" s="825">
        <v>3</v>
      </c>
      <c r="AI308" s="825">
        <v>3</v>
      </c>
      <c r="AJ308" s="825">
        <v>4</v>
      </c>
      <c r="AK308" s="825">
        <v>4</v>
      </c>
      <c r="AL308" s="825">
        <v>4</v>
      </c>
      <c r="AM308" s="825">
        <v>2</v>
      </c>
      <c r="AN308" s="825">
        <v>2</v>
      </c>
      <c r="AO308" s="825">
        <v>2</v>
      </c>
      <c r="AP308" s="825">
        <v>2</v>
      </c>
    </row>
    <row r="309" hidden="1">
      <c r="B309" s="826" t="s">
        <v>110</v>
      </c>
      <c r="C309" s="827">
        <v>6</v>
      </c>
      <c r="D309" s="827">
        <v>7</v>
      </c>
      <c r="E309" s="827">
        <v>7</v>
      </c>
      <c r="F309" s="827">
        <v>7</v>
      </c>
      <c r="G309" s="827">
        <v>7</v>
      </c>
      <c r="H309" s="827">
        <v>12</v>
      </c>
      <c r="I309" s="827">
        <v>12</v>
      </c>
      <c r="J309" s="827">
        <v>9</v>
      </c>
      <c r="K309" s="827">
        <v>10</v>
      </c>
      <c r="L309" s="827">
        <v>7</v>
      </c>
      <c r="M309" s="827">
        <v>7</v>
      </c>
      <c r="N309" s="827">
        <v>8</v>
      </c>
      <c r="O309" s="827">
        <v>9</v>
      </c>
      <c r="P309" s="827">
        <v>9</v>
      </c>
      <c r="Q309" s="827">
        <v>10</v>
      </c>
      <c r="R309" s="827">
        <v>11</v>
      </c>
      <c r="S309" s="827">
        <v>8</v>
      </c>
      <c r="T309" s="827">
        <v>8</v>
      </c>
      <c r="U309" s="827">
        <v>8</v>
      </c>
      <c r="V309" s="827">
        <v>9</v>
      </c>
      <c r="W309" s="827">
        <v>8</v>
      </c>
      <c r="X309" s="827">
        <v>7</v>
      </c>
      <c r="Y309" s="827">
        <v>8</v>
      </c>
      <c r="Z309" s="827">
        <v>8</v>
      </c>
      <c r="AA309" s="827">
        <v>9</v>
      </c>
      <c r="AB309" s="827">
        <v>10</v>
      </c>
      <c r="AC309" s="828">
        <v>10</v>
      </c>
      <c r="AD309" s="828">
        <v>10</v>
      </c>
      <c r="AE309" s="828">
        <v>10</v>
      </c>
      <c r="AF309" s="828">
        <v>12</v>
      </c>
      <c r="AG309" s="828">
        <v>12</v>
      </c>
      <c r="AH309" s="828">
        <v>11</v>
      </c>
      <c r="AI309" s="828">
        <v>12</v>
      </c>
      <c r="AJ309" s="828">
        <v>12</v>
      </c>
      <c r="AK309" s="828">
        <v>10</v>
      </c>
      <c r="AL309" s="828">
        <v>12</v>
      </c>
      <c r="AM309" s="828">
        <v>10</v>
      </c>
      <c r="AN309" s="828">
        <v>9</v>
      </c>
      <c r="AO309" s="828">
        <v>8</v>
      </c>
      <c r="AP309" s="828">
        <v>10</v>
      </c>
    </row>
    <row r="310" hidden="1">
      <c r="B310" s="829" t="s">
        <v>16</v>
      </c>
      <c r="C310" s="823">
        <v>55</v>
      </c>
      <c r="D310" s="823">
        <v>53</v>
      </c>
      <c r="E310" s="823">
        <v>47</v>
      </c>
      <c r="F310" s="823">
        <v>49</v>
      </c>
      <c r="G310" s="823">
        <v>47</v>
      </c>
      <c r="H310" s="823">
        <v>50</v>
      </c>
      <c r="I310" s="823">
        <v>54</v>
      </c>
      <c r="J310" s="823">
        <v>54</v>
      </c>
      <c r="K310" s="823">
        <v>59</v>
      </c>
      <c r="L310" s="823">
        <v>58</v>
      </c>
      <c r="M310" s="823">
        <v>65</v>
      </c>
      <c r="N310" s="823">
        <v>71</v>
      </c>
      <c r="O310" s="823">
        <v>71</v>
      </c>
      <c r="P310" s="823">
        <v>72</v>
      </c>
      <c r="Q310" s="823">
        <v>73</v>
      </c>
      <c r="R310" s="823">
        <v>83</v>
      </c>
      <c r="S310" s="823">
        <v>90</v>
      </c>
      <c r="T310" s="823">
        <v>91</v>
      </c>
      <c r="U310" s="823">
        <v>93</v>
      </c>
      <c r="V310" s="823">
        <v>93</v>
      </c>
      <c r="W310" s="823">
        <v>99</v>
      </c>
      <c r="X310" s="823">
        <v>107</v>
      </c>
      <c r="Y310" s="823">
        <v>107</v>
      </c>
      <c r="Z310" s="823">
        <v>110</v>
      </c>
      <c r="AA310" s="823">
        <v>122</v>
      </c>
      <c r="AB310" s="823">
        <v>120</v>
      </c>
      <c r="AC310" s="825">
        <v>121</v>
      </c>
      <c r="AD310" s="825">
        <v>121</v>
      </c>
      <c r="AE310" s="825">
        <v>116</v>
      </c>
      <c r="AF310" s="825">
        <v>116</v>
      </c>
      <c r="AG310" s="825">
        <v>120</v>
      </c>
      <c r="AH310" s="825">
        <v>119</v>
      </c>
      <c r="AI310" s="825">
        <v>122</v>
      </c>
      <c r="AJ310" s="825">
        <v>127</v>
      </c>
      <c r="AK310" s="825">
        <v>125</v>
      </c>
      <c r="AL310" s="825">
        <v>122</v>
      </c>
      <c r="AM310" s="825">
        <v>121</v>
      </c>
      <c r="AN310" s="825">
        <v>118</v>
      </c>
      <c r="AO310" s="825">
        <v>116</v>
      </c>
      <c r="AP310" s="825">
        <v>113</v>
      </c>
    </row>
    <row r="311" hidden="1">
      <c r="B311" s="826" t="s">
        <v>17</v>
      </c>
      <c r="C311" s="827">
        <v>1</v>
      </c>
      <c r="D311" s="827">
        <v>1</v>
      </c>
      <c r="E311" s="827">
        <v>3</v>
      </c>
      <c r="F311" s="827">
        <v>3</v>
      </c>
      <c r="G311" s="827">
        <v>3</v>
      </c>
      <c r="H311" s="827">
        <v>4</v>
      </c>
      <c r="I311" s="827">
        <v>5</v>
      </c>
      <c r="J311" s="827">
        <v>5</v>
      </c>
      <c r="K311" s="827">
        <v>5</v>
      </c>
      <c r="L311" s="827">
        <v>6</v>
      </c>
      <c r="M311" s="827">
        <v>6</v>
      </c>
      <c r="N311" s="827">
        <v>6</v>
      </c>
      <c r="O311" s="827">
        <v>6</v>
      </c>
      <c r="P311" s="827">
        <v>4</v>
      </c>
      <c r="Q311" s="827">
        <v>4</v>
      </c>
      <c r="R311" s="827">
        <v>4</v>
      </c>
      <c r="S311" s="827">
        <v>3</v>
      </c>
      <c r="T311" s="827">
        <v>3</v>
      </c>
      <c r="U311" s="827">
        <v>3</v>
      </c>
      <c r="V311" s="827">
        <v>3</v>
      </c>
      <c r="W311" s="827">
        <v>3</v>
      </c>
      <c r="X311" s="827">
        <v>3</v>
      </c>
      <c r="Y311" s="827">
        <v>3</v>
      </c>
      <c r="Z311" s="827">
        <v>3</v>
      </c>
      <c r="AA311" s="827">
        <v>4</v>
      </c>
      <c r="AB311" s="827">
        <v>6</v>
      </c>
      <c r="AC311" s="828">
        <v>6</v>
      </c>
      <c r="AD311" s="828">
        <v>6</v>
      </c>
      <c r="AE311" s="828">
        <v>6</v>
      </c>
      <c r="AF311" s="828">
        <v>5</v>
      </c>
      <c r="AG311" s="828">
        <v>5</v>
      </c>
      <c r="AH311" s="828">
        <v>5</v>
      </c>
      <c r="AI311" s="828">
        <v>5</v>
      </c>
      <c r="AJ311" s="828">
        <v>4</v>
      </c>
      <c r="AK311" s="828">
        <v>3</v>
      </c>
      <c r="AL311" s="828">
        <v>3</v>
      </c>
      <c r="AM311" s="828">
        <v>3</v>
      </c>
      <c r="AN311" s="828">
        <v>3</v>
      </c>
      <c r="AO311" s="828">
        <v>3</v>
      </c>
      <c r="AP311" s="828">
        <v>3</v>
      </c>
    </row>
    <row r="312" hidden="1">
      <c r="B312" s="829" t="s">
        <v>18</v>
      </c>
      <c r="C312" s="823">
        <v>1</v>
      </c>
      <c r="D312" s="823">
        <v>2</v>
      </c>
      <c r="E312" s="823">
        <v>4</v>
      </c>
      <c r="F312" s="823">
        <v>5</v>
      </c>
      <c r="G312" s="823">
        <v>10</v>
      </c>
      <c r="H312" s="823">
        <v>13</v>
      </c>
      <c r="I312" s="823">
        <v>14</v>
      </c>
      <c r="J312" s="823">
        <v>15</v>
      </c>
      <c r="K312" s="823">
        <v>19</v>
      </c>
      <c r="L312" s="823">
        <v>21</v>
      </c>
      <c r="M312" s="823">
        <v>23</v>
      </c>
      <c r="N312" s="823">
        <v>27</v>
      </c>
      <c r="O312" s="823">
        <v>33</v>
      </c>
      <c r="P312" s="823">
        <v>35</v>
      </c>
      <c r="Q312" s="823">
        <v>37</v>
      </c>
      <c r="R312" s="823">
        <v>42</v>
      </c>
      <c r="S312" s="823">
        <v>55</v>
      </c>
      <c r="T312" s="823">
        <v>62</v>
      </c>
      <c r="U312" s="823">
        <v>66</v>
      </c>
      <c r="V312" s="823">
        <v>70</v>
      </c>
      <c r="W312" s="823">
        <v>81</v>
      </c>
      <c r="X312" s="823">
        <v>98</v>
      </c>
      <c r="Y312" s="823">
        <v>102</v>
      </c>
      <c r="Z312" s="823">
        <v>101</v>
      </c>
      <c r="AA312" s="823">
        <v>98</v>
      </c>
      <c r="AB312" s="823">
        <v>89</v>
      </c>
      <c r="AC312" s="825">
        <v>97</v>
      </c>
      <c r="AD312" s="825">
        <v>102</v>
      </c>
      <c r="AE312" s="825">
        <v>98</v>
      </c>
      <c r="AF312" s="825">
        <v>104</v>
      </c>
      <c r="AG312" s="825">
        <v>98</v>
      </c>
      <c r="AH312" s="825">
        <v>105</v>
      </c>
      <c r="AI312" s="825">
        <v>105</v>
      </c>
      <c r="AJ312" s="825">
        <v>108</v>
      </c>
      <c r="AK312" s="825">
        <v>102</v>
      </c>
      <c r="AL312" s="825">
        <v>105</v>
      </c>
      <c r="AM312" s="825">
        <v>99</v>
      </c>
      <c r="AN312" s="825">
        <v>95</v>
      </c>
      <c r="AO312" s="825">
        <v>90</v>
      </c>
      <c r="AP312" s="825">
        <v>87</v>
      </c>
    </row>
    <row r="313" hidden="1">
      <c r="B313" s="826" t="s">
        <v>19</v>
      </c>
      <c r="C313" s="827">
        <v>0</v>
      </c>
      <c r="D313" s="827">
        <v>0</v>
      </c>
      <c r="E313" s="827">
        <v>0</v>
      </c>
      <c r="F313" s="827">
        <v>0</v>
      </c>
      <c r="G313" s="827">
        <v>0</v>
      </c>
      <c r="H313" s="827">
        <v>0</v>
      </c>
      <c r="I313" s="827">
        <v>0</v>
      </c>
      <c r="J313" s="827">
        <v>0</v>
      </c>
      <c r="K313" s="827">
        <v>0</v>
      </c>
      <c r="L313" s="827">
        <v>0</v>
      </c>
      <c r="M313" s="827">
        <v>0</v>
      </c>
      <c r="N313" s="827">
        <v>1</v>
      </c>
      <c r="O313" s="827">
        <v>1</v>
      </c>
      <c r="P313" s="827">
        <v>1</v>
      </c>
      <c r="Q313" s="827">
        <v>2</v>
      </c>
      <c r="R313" s="827">
        <v>3</v>
      </c>
      <c r="S313" s="827">
        <v>3</v>
      </c>
      <c r="T313" s="827">
        <v>3</v>
      </c>
      <c r="U313" s="827">
        <v>3</v>
      </c>
      <c r="V313" s="827">
        <v>3</v>
      </c>
      <c r="W313" s="827">
        <v>3</v>
      </c>
      <c r="X313" s="827">
        <v>3</v>
      </c>
      <c r="Y313" s="827">
        <v>3</v>
      </c>
      <c r="Z313" s="827">
        <v>3</v>
      </c>
      <c r="AA313" s="827">
        <v>3</v>
      </c>
      <c r="AB313" s="827">
        <v>3</v>
      </c>
      <c r="AC313" s="828">
        <v>3</v>
      </c>
      <c r="AD313" s="828">
        <v>3</v>
      </c>
      <c r="AE313" s="828">
        <v>4</v>
      </c>
      <c r="AF313" s="828">
        <v>4</v>
      </c>
      <c r="AG313" s="828">
        <v>4</v>
      </c>
      <c r="AH313" s="828">
        <v>4</v>
      </c>
      <c r="AI313" s="828">
        <v>4</v>
      </c>
      <c r="AJ313" s="828">
        <v>4</v>
      </c>
      <c r="AK313" s="828">
        <v>4</v>
      </c>
      <c r="AL313" s="828">
        <v>4</v>
      </c>
      <c r="AM313" s="828">
        <v>4</v>
      </c>
      <c r="AN313" s="828">
        <v>4</v>
      </c>
      <c r="AO313" s="828">
        <v>4</v>
      </c>
      <c r="AP313" s="828">
        <v>5</v>
      </c>
    </row>
    <row r="314" hidden="1">
      <c r="B314" s="829" t="s">
        <v>20</v>
      </c>
      <c r="C314" s="823">
        <v>5</v>
      </c>
      <c r="D314" s="823">
        <v>3</v>
      </c>
      <c r="E314" s="823">
        <v>1</v>
      </c>
      <c r="F314" s="823">
        <v>1</v>
      </c>
      <c r="G314" s="823">
        <v>1</v>
      </c>
      <c r="H314" s="823">
        <v>1</v>
      </c>
      <c r="I314" s="823">
        <v>1</v>
      </c>
      <c r="J314" s="823">
        <v>1</v>
      </c>
      <c r="K314" s="823">
        <v>1</v>
      </c>
      <c r="L314" s="823">
        <v>1</v>
      </c>
      <c r="M314" s="823">
        <v>1</v>
      </c>
      <c r="N314" s="823">
        <v>1</v>
      </c>
      <c r="O314" s="823">
        <v>1</v>
      </c>
      <c r="P314" s="823">
        <v>1</v>
      </c>
      <c r="Q314" s="823">
        <v>1</v>
      </c>
      <c r="R314" s="823">
        <v>1</v>
      </c>
      <c r="S314" s="823">
        <v>1</v>
      </c>
      <c r="T314" s="823">
        <v>1</v>
      </c>
      <c r="U314" s="823">
        <v>1</v>
      </c>
      <c r="V314" s="823">
        <v>2</v>
      </c>
      <c r="W314" s="823">
        <v>2</v>
      </c>
      <c r="X314" s="823">
        <v>2</v>
      </c>
      <c r="Y314" s="823">
        <v>2</v>
      </c>
      <c r="Z314" s="823">
        <v>4</v>
      </c>
      <c r="AA314" s="823">
        <v>4</v>
      </c>
      <c r="AB314" s="823">
        <v>4</v>
      </c>
      <c r="AC314" s="825">
        <v>4</v>
      </c>
      <c r="AD314" s="825">
        <v>4</v>
      </c>
      <c r="AE314" s="825">
        <v>4</v>
      </c>
      <c r="AF314" s="825">
        <v>7</v>
      </c>
      <c r="AG314" s="825">
        <v>7</v>
      </c>
      <c r="AH314" s="825">
        <v>9</v>
      </c>
      <c r="AI314" s="825">
        <v>9</v>
      </c>
      <c r="AJ314" s="825">
        <v>9</v>
      </c>
      <c r="AK314" s="825">
        <v>9</v>
      </c>
      <c r="AL314" s="825">
        <v>8</v>
      </c>
      <c r="AM314" s="825">
        <v>7</v>
      </c>
      <c r="AN314" s="825">
        <v>7</v>
      </c>
      <c r="AO314" s="825">
        <v>7</v>
      </c>
      <c r="AP314" s="825">
        <v>7</v>
      </c>
    </row>
    <row r="315" hidden="1">
      <c r="B315" s="826" t="s">
        <v>21</v>
      </c>
      <c r="C315" s="827">
        <v>2</v>
      </c>
      <c r="D315" s="827">
        <v>2</v>
      </c>
      <c r="E315" s="827">
        <v>2</v>
      </c>
      <c r="F315" s="827">
        <v>5</v>
      </c>
      <c r="G315" s="827">
        <v>5</v>
      </c>
      <c r="H315" s="827">
        <v>4</v>
      </c>
      <c r="I315" s="827">
        <v>4</v>
      </c>
      <c r="J315" s="827">
        <v>5</v>
      </c>
      <c r="K315" s="827">
        <v>5</v>
      </c>
      <c r="L315" s="827">
        <v>7</v>
      </c>
      <c r="M315" s="827">
        <v>7</v>
      </c>
      <c r="N315" s="827">
        <v>5</v>
      </c>
      <c r="O315" s="827">
        <v>5</v>
      </c>
      <c r="P315" s="827">
        <v>5</v>
      </c>
      <c r="Q315" s="827">
        <v>6</v>
      </c>
      <c r="R315" s="827">
        <v>8</v>
      </c>
      <c r="S315" s="827">
        <v>7</v>
      </c>
      <c r="T315" s="827">
        <v>6</v>
      </c>
      <c r="U315" s="827">
        <v>7</v>
      </c>
      <c r="V315" s="827">
        <v>8</v>
      </c>
      <c r="W315" s="827">
        <v>9</v>
      </c>
      <c r="X315" s="827">
        <v>8</v>
      </c>
      <c r="Y315" s="827">
        <v>6</v>
      </c>
      <c r="Z315" s="827">
        <v>8</v>
      </c>
      <c r="AA315" s="827">
        <v>7</v>
      </c>
      <c r="AB315" s="827">
        <v>8</v>
      </c>
      <c r="AC315" s="828">
        <v>9</v>
      </c>
      <c r="AD315" s="828">
        <v>10</v>
      </c>
      <c r="AE315" s="828">
        <v>9</v>
      </c>
      <c r="AF315" s="828">
        <v>9</v>
      </c>
      <c r="AG315" s="828">
        <v>8</v>
      </c>
      <c r="AH315" s="828">
        <v>8</v>
      </c>
      <c r="AI315" s="828">
        <v>8</v>
      </c>
      <c r="AJ315" s="828">
        <v>8</v>
      </c>
      <c r="AK315" s="828">
        <v>7</v>
      </c>
      <c r="AL315" s="828">
        <v>7</v>
      </c>
      <c r="AM315" s="828">
        <v>6</v>
      </c>
      <c r="AN315" s="828">
        <v>6</v>
      </c>
      <c r="AO315" s="828">
        <v>6</v>
      </c>
      <c r="AP315" s="828">
        <v>5</v>
      </c>
    </row>
    <row r="316" hidden="1">
      <c r="B316" s="829" t="s">
        <v>22</v>
      </c>
      <c r="C316" s="823">
        <v>0</v>
      </c>
      <c r="D316" s="823">
        <v>0</v>
      </c>
      <c r="E316" s="823">
        <v>0</v>
      </c>
      <c r="F316" s="823">
        <v>0</v>
      </c>
      <c r="G316" s="823">
        <v>0</v>
      </c>
      <c r="H316" s="823">
        <v>0</v>
      </c>
      <c r="I316" s="823">
        <v>0</v>
      </c>
      <c r="J316" s="823">
        <v>1</v>
      </c>
      <c r="K316" s="823">
        <v>2</v>
      </c>
      <c r="L316" s="823">
        <v>2</v>
      </c>
      <c r="M316" s="823">
        <v>4</v>
      </c>
      <c r="N316" s="823">
        <v>4</v>
      </c>
      <c r="O316" s="823">
        <v>4</v>
      </c>
      <c r="P316" s="823">
        <v>4</v>
      </c>
      <c r="Q316" s="823">
        <v>5</v>
      </c>
      <c r="R316" s="823">
        <v>5</v>
      </c>
      <c r="S316" s="823">
        <v>5</v>
      </c>
      <c r="T316" s="823">
        <v>5</v>
      </c>
      <c r="U316" s="823">
        <v>4</v>
      </c>
      <c r="V316" s="823">
        <v>4</v>
      </c>
      <c r="W316" s="823">
        <v>4</v>
      </c>
      <c r="X316" s="823">
        <v>5</v>
      </c>
      <c r="Y316" s="823">
        <v>5</v>
      </c>
      <c r="Z316" s="823">
        <v>5</v>
      </c>
      <c r="AA316" s="823">
        <v>5</v>
      </c>
      <c r="AB316" s="823">
        <v>5</v>
      </c>
      <c r="AC316" s="825">
        <v>5</v>
      </c>
      <c r="AD316" s="825">
        <v>5</v>
      </c>
      <c r="AE316" s="825">
        <v>5</v>
      </c>
      <c r="AF316" s="825">
        <v>5</v>
      </c>
      <c r="AG316" s="825">
        <v>5</v>
      </c>
      <c r="AH316" s="825">
        <v>5</v>
      </c>
      <c r="AI316" s="825">
        <v>7</v>
      </c>
      <c r="AJ316" s="825">
        <v>8</v>
      </c>
      <c r="AK316" s="825">
        <v>6</v>
      </c>
      <c r="AL316" s="825">
        <v>6</v>
      </c>
      <c r="AM316" s="825">
        <v>9</v>
      </c>
      <c r="AN316" s="825">
        <v>9</v>
      </c>
      <c r="AO316" s="825">
        <v>10</v>
      </c>
      <c r="AP316" s="825">
        <v>10</v>
      </c>
    </row>
    <row r="317" hidden="1">
      <c r="B317" s="826" t="s">
        <v>23</v>
      </c>
      <c r="C317" s="827">
        <v>0</v>
      </c>
      <c r="D317" s="827">
        <v>0</v>
      </c>
      <c r="E317" s="827">
        <v>0</v>
      </c>
      <c r="F317" s="827">
        <v>0</v>
      </c>
      <c r="G317" s="827">
        <v>0</v>
      </c>
      <c r="H317" s="827">
        <v>0</v>
      </c>
      <c r="I317" s="827">
        <v>0</v>
      </c>
      <c r="J317" s="827">
        <v>0</v>
      </c>
      <c r="K317" s="827">
        <v>0</v>
      </c>
      <c r="L317" s="827">
        <v>0</v>
      </c>
      <c r="M317" s="827">
        <v>0</v>
      </c>
      <c r="N317" s="827">
        <v>0</v>
      </c>
      <c r="O317" s="827">
        <v>0</v>
      </c>
      <c r="P317" s="827">
        <v>0</v>
      </c>
      <c r="Q317" s="827">
        <v>0</v>
      </c>
      <c r="R317" s="827">
        <v>0</v>
      </c>
      <c r="S317" s="827">
        <v>0</v>
      </c>
      <c r="T317" s="827">
        <v>0</v>
      </c>
      <c r="U317" s="827">
        <v>0</v>
      </c>
      <c r="V317" s="827">
        <v>0</v>
      </c>
      <c r="W317" s="827">
        <v>0</v>
      </c>
      <c r="X317" s="827">
        <v>0</v>
      </c>
      <c r="Y317" s="827">
        <v>0</v>
      </c>
      <c r="Z317" s="827">
        <v>0</v>
      </c>
      <c r="AA317" s="827">
        <v>0</v>
      </c>
      <c r="AB317" s="827">
        <v>0</v>
      </c>
      <c r="AC317" s="828">
        <v>0</v>
      </c>
      <c r="AD317" s="828">
        <v>0</v>
      </c>
      <c r="AE317" s="828">
        <v>0</v>
      </c>
      <c r="AF317" s="828">
        <v>0</v>
      </c>
      <c r="AG317" s="828">
        <v>0</v>
      </c>
      <c r="AH317" s="828">
        <v>0</v>
      </c>
      <c r="AI317" s="828">
        <v>0</v>
      </c>
      <c r="AJ317" s="828">
        <v>0</v>
      </c>
      <c r="AK317" s="828">
        <v>0</v>
      </c>
      <c r="AL317" s="828">
        <v>0</v>
      </c>
      <c r="AM317" s="828">
        <v>0</v>
      </c>
      <c r="AN317" s="828">
        <v>0</v>
      </c>
      <c r="AO317" s="828">
        <v>0</v>
      </c>
      <c r="AP317" s="828">
        <v>0</v>
      </c>
    </row>
    <row r="318" hidden="1">
      <c r="B318" s="830" t="s">
        <v>24</v>
      </c>
      <c r="C318" s="823">
        <v>0</v>
      </c>
      <c r="D318" s="823">
        <v>0</v>
      </c>
      <c r="E318" s="823">
        <v>0</v>
      </c>
      <c r="F318" s="823">
        <v>0</v>
      </c>
      <c r="G318" s="823">
        <v>0</v>
      </c>
      <c r="H318" s="823">
        <v>0</v>
      </c>
      <c r="I318" s="823">
        <v>1</v>
      </c>
      <c r="J318" s="823">
        <v>1</v>
      </c>
      <c r="K318" s="823">
        <v>0</v>
      </c>
      <c r="L318" s="823">
        <v>0</v>
      </c>
      <c r="M318" s="823">
        <v>0</v>
      </c>
      <c r="N318" s="823">
        <v>0</v>
      </c>
      <c r="O318" s="823">
        <v>0</v>
      </c>
      <c r="P318" s="823">
        <v>0</v>
      </c>
      <c r="Q318" s="823">
        <v>0</v>
      </c>
      <c r="R318" s="823">
        <v>0</v>
      </c>
      <c r="S318" s="823">
        <v>0</v>
      </c>
      <c r="T318" s="823">
        <v>0</v>
      </c>
      <c r="U318" s="823">
        <v>0</v>
      </c>
      <c r="V318" s="823">
        <v>0</v>
      </c>
      <c r="W318" s="823">
        <v>0</v>
      </c>
      <c r="X318" s="823">
        <v>1</v>
      </c>
      <c r="Y318" s="823">
        <v>1</v>
      </c>
      <c r="Z318" s="823">
        <v>1</v>
      </c>
      <c r="AA318" s="823">
        <v>2</v>
      </c>
      <c r="AB318" s="823">
        <v>2</v>
      </c>
      <c r="AC318" s="825">
        <v>2</v>
      </c>
      <c r="AD318" s="825">
        <v>2</v>
      </c>
      <c r="AE318" s="825">
        <v>1</v>
      </c>
      <c r="AF318" s="825">
        <v>1</v>
      </c>
      <c r="AG318" s="825">
        <v>1</v>
      </c>
      <c r="AH318" s="825">
        <v>1</v>
      </c>
      <c r="AI318" s="825">
        <v>1</v>
      </c>
      <c r="AJ318" s="825">
        <v>1</v>
      </c>
      <c r="AK318" s="825">
        <v>2</v>
      </c>
      <c r="AL318" s="825">
        <v>2</v>
      </c>
      <c r="AM318" s="825">
        <v>2</v>
      </c>
      <c r="AN318" s="825">
        <v>2</v>
      </c>
      <c r="AO318" s="825">
        <v>4</v>
      </c>
      <c r="AP318" s="825">
        <v>4</v>
      </c>
    </row>
    <row r="319" hidden="1">
      <c r="B319" s="826" t="s">
        <v>25</v>
      </c>
      <c r="C319" s="827">
        <v>0</v>
      </c>
      <c r="D319" s="827">
        <v>0</v>
      </c>
      <c r="E319" s="827">
        <v>0</v>
      </c>
      <c r="F319" s="827">
        <v>0</v>
      </c>
      <c r="G319" s="827">
        <v>0</v>
      </c>
      <c r="H319" s="827">
        <v>0</v>
      </c>
      <c r="I319" s="827">
        <v>0</v>
      </c>
      <c r="J319" s="827">
        <v>0</v>
      </c>
      <c r="K319" s="827">
        <v>0</v>
      </c>
      <c r="L319" s="827">
        <v>0</v>
      </c>
      <c r="M319" s="827">
        <v>0</v>
      </c>
      <c r="N319" s="827">
        <v>0</v>
      </c>
      <c r="O319" s="827">
        <v>0</v>
      </c>
      <c r="P319" s="827">
        <v>0</v>
      </c>
      <c r="Q319" s="827">
        <v>0</v>
      </c>
      <c r="R319" s="827">
        <v>0</v>
      </c>
      <c r="S319" s="827">
        <v>0</v>
      </c>
      <c r="T319" s="827">
        <v>0</v>
      </c>
      <c r="U319" s="827">
        <v>0</v>
      </c>
      <c r="V319" s="827">
        <v>0</v>
      </c>
      <c r="W319" s="827">
        <v>0</v>
      </c>
      <c r="X319" s="827">
        <v>0</v>
      </c>
      <c r="Y319" s="827">
        <v>0</v>
      </c>
      <c r="Z319" s="827">
        <v>0</v>
      </c>
      <c r="AA319" s="827">
        <v>0</v>
      </c>
      <c r="AB319" s="827">
        <v>0</v>
      </c>
      <c r="AC319" s="828">
        <v>0</v>
      </c>
      <c r="AD319" s="828">
        <v>0</v>
      </c>
      <c r="AE319" s="828">
        <v>0</v>
      </c>
      <c r="AF319" s="828">
        <v>0</v>
      </c>
      <c r="AG319" s="828">
        <v>0</v>
      </c>
      <c r="AH319" s="828">
        <v>0</v>
      </c>
      <c r="AI319" s="828">
        <v>0</v>
      </c>
      <c r="AJ319" s="828">
        <v>0</v>
      </c>
      <c r="AK319" s="828">
        <v>0</v>
      </c>
      <c r="AL319" s="828">
        <v>0</v>
      </c>
      <c r="AM319" s="828">
        <v>0</v>
      </c>
      <c r="AN319" s="828">
        <v>0</v>
      </c>
      <c r="AO319" s="828">
        <v>0</v>
      </c>
      <c r="AP319" s="828">
        <v>0</v>
      </c>
    </row>
    <row r="320" hidden="1" ht="13.5">
      <c r="B320" s="831" t="s">
        <v>26</v>
      </c>
      <c r="C320" s="823">
        <v>0</v>
      </c>
      <c r="D320" s="823">
        <v>0</v>
      </c>
      <c r="E320" s="823">
        <v>0</v>
      </c>
      <c r="F320" s="823">
        <v>0</v>
      </c>
      <c r="G320" s="823">
        <v>0</v>
      </c>
      <c r="H320" s="823">
        <v>0</v>
      </c>
      <c r="I320" s="823">
        <v>0</v>
      </c>
      <c r="J320" s="823">
        <v>0</v>
      </c>
      <c r="K320" s="823">
        <v>0</v>
      </c>
      <c r="L320" s="823">
        <v>0</v>
      </c>
      <c r="M320" s="823">
        <v>0</v>
      </c>
      <c r="N320" s="823">
        <v>0</v>
      </c>
      <c r="O320" s="823">
        <v>0</v>
      </c>
      <c r="P320" s="823">
        <v>0</v>
      </c>
      <c r="Q320" s="823">
        <v>0</v>
      </c>
      <c r="R320" s="823">
        <v>0</v>
      </c>
      <c r="S320" s="823">
        <v>0</v>
      </c>
      <c r="T320" s="823">
        <v>0</v>
      </c>
      <c r="U320" s="823">
        <v>0</v>
      </c>
      <c r="V320" s="823">
        <v>0</v>
      </c>
      <c r="W320" s="823">
        <v>0</v>
      </c>
      <c r="X320" s="823">
        <v>0</v>
      </c>
      <c r="Y320" s="823">
        <v>0</v>
      </c>
      <c r="Z320" s="823">
        <v>0</v>
      </c>
      <c r="AA320" s="823">
        <v>0</v>
      </c>
      <c r="AB320" s="832">
        <v>0</v>
      </c>
      <c r="AC320" s="825">
        <v>0</v>
      </c>
      <c r="AD320" s="825">
        <v>0</v>
      </c>
      <c r="AE320" s="825">
        <v>0</v>
      </c>
      <c r="AF320" s="825">
        <v>0</v>
      </c>
      <c r="AG320" s="825">
        <v>0</v>
      </c>
      <c r="AH320" s="825">
        <v>0</v>
      </c>
      <c r="AI320" s="825">
        <v>0</v>
      </c>
      <c r="AJ320" s="825">
        <v>0</v>
      </c>
      <c r="AK320" s="825">
        <v>0</v>
      </c>
      <c r="AL320" s="825">
        <v>0</v>
      </c>
      <c r="AM320" s="825">
        <v>0</v>
      </c>
      <c r="AN320" s="825">
        <v>0</v>
      </c>
      <c r="AO320" s="825">
        <v>0</v>
      </c>
      <c r="AP320" s="825">
        <v>0</v>
      </c>
    </row>
    <row r="321" hidden="1" ht="13.5">
      <c r="B321" s="128" t="s">
        <v>7</v>
      </c>
      <c r="C321" s="129" t="str">
        <f>IF(SUM(C302:C320)&lt;&gt;0,SUM(C302:C320),"")</f>
      </c>
      <c r="D321" s="129" t="str">
        <f ref="D321:AA321" t="shared" si="30">IF(SUM(D302:D320)&lt;&gt;0,SUM(D302:D320),"")</f>
      </c>
      <c r="E321" s="129" t="str">
        <f t="shared" si="30"/>
      </c>
      <c r="F321" s="129" t="str">
        <f t="shared" si="30"/>
      </c>
      <c r="G321" s="129" t="str">
        <f t="shared" si="30"/>
      </c>
      <c r="H321" s="129" t="str">
        <f t="shared" si="30"/>
      </c>
      <c r="I321" s="129" t="str">
        <f t="shared" si="30"/>
      </c>
      <c r="J321" s="129" t="str">
        <f t="shared" si="30"/>
      </c>
      <c r="K321" s="129" t="str">
        <f t="shared" si="30"/>
      </c>
      <c r="L321" s="129" t="str">
        <f t="shared" si="30"/>
      </c>
      <c r="M321" s="129" t="str">
        <f t="shared" si="30"/>
      </c>
      <c r="N321" s="129" t="str">
        <f t="shared" si="30"/>
      </c>
      <c r="O321" s="129" t="str">
        <f t="shared" si="30"/>
      </c>
      <c r="P321" s="129" t="str">
        <f t="shared" si="30"/>
      </c>
      <c r="Q321" s="129" t="str">
        <f t="shared" si="30"/>
      </c>
      <c r="R321" s="129" t="str">
        <f t="shared" si="30"/>
      </c>
      <c r="S321" s="129" t="str">
        <f t="shared" si="30"/>
      </c>
      <c r="T321" s="129" t="str">
        <f t="shared" si="30"/>
      </c>
      <c r="U321" s="129" t="str">
        <f t="shared" si="30"/>
      </c>
      <c r="V321" s="129" t="str">
        <f t="shared" si="30"/>
      </c>
      <c r="W321" s="129" t="str">
        <f t="shared" si="30"/>
      </c>
      <c r="X321" s="129" t="str">
        <f t="shared" si="30"/>
      </c>
      <c r="Y321" s="129" t="str">
        <f t="shared" si="30"/>
      </c>
      <c r="Z321" s="129" t="str">
        <f t="shared" si="30"/>
      </c>
      <c r="AA321" s="129" t="str">
        <f t="shared" si="30"/>
      </c>
      <c r="AB321" s="130" t="str">
        <f>IF(SUM(AB302:AB320)&lt;&gt;0,SUM(AB302:AB320),"")</f>
      </c>
      <c r="AC321" s="91" t="str">
        <f ref="AC321:CN321" t="shared" si="31">IF(SUM(AC302:AC320)&lt;&gt;0,SUM(AC302:AC320),"")</f>
      </c>
      <c r="AD321" s="91" t="str">
        <f t="shared" si="31"/>
      </c>
      <c r="AE321" s="91" t="str">
        <f t="shared" si="31"/>
      </c>
      <c r="AF321" s="91" t="str">
        <f t="shared" si="31"/>
      </c>
      <c r="AG321" s="91" t="str">
        <f t="shared" si="31"/>
      </c>
      <c r="AH321" s="91" t="str">
        <f t="shared" si="31"/>
      </c>
      <c r="AI321" s="91" t="str">
        <f t="shared" si="31"/>
      </c>
      <c r="AJ321" s="91" t="str">
        <f t="shared" si="31"/>
      </c>
      <c r="AK321" s="91" t="str">
        <f t="shared" si="31"/>
      </c>
      <c r="AL321" s="91" t="str">
        <f t="shared" si="31"/>
      </c>
      <c r="AM321" s="91" t="str">
        <f t="shared" si="31"/>
      </c>
      <c r="AN321" s="91" t="str">
        <f t="shared" si="31"/>
      </c>
      <c r="AO321" s="91" t="str">
        <f t="shared" si="31"/>
      </c>
      <c r="AP321" s="91" t="str">
        <f t="shared" si="31"/>
      </c>
      <c r="AQ321" s="91" t="str">
        <f t="shared" si="31"/>
      </c>
      <c r="AR321" s="91" t="str">
        <f t="shared" si="31"/>
      </c>
      <c r="AS321" s="91" t="str">
        <f t="shared" si="31"/>
      </c>
      <c r="AT321" s="91" t="str">
        <f t="shared" si="31"/>
      </c>
      <c r="AU321" s="91" t="str">
        <f t="shared" si="31"/>
      </c>
      <c r="AV321" s="91" t="str">
        <f t="shared" si="31"/>
      </c>
      <c r="AW321" s="91" t="str">
        <f t="shared" si="31"/>
      </c>
      <c r="AX321" s="91" t="str">
        <f t="shared" si="31"/>
      </c>
      <c r="AY321" s="91" t="str">
        <f t="shared" si="31"/>
      </c>
      <c r="AZ321" s="91" t="str">
        <f t="shared" si="31"/>
      </c>
      <c r="BA321" s="91" t="str">
        <f t="shared" si="31"/>
      </c>
      <c r="BB321" s="91" t="str">
        <f t="shared" si="31"/>
      </c>
      <c r="BC321" s="91" t="str">
        <f t="shared" si="31"/>
      </c>
      <c r="BD321" s="91" t="str">
        <f t="shared" si="31"/>
      </c>
      <c r="BE321" s="91" t="str">
        <f t="shared" si="31"/>
      </c>
      <c r="BF321" s="91" t="str">
        <f t="shared" si="31"/>
      </c>
      <c r="BG321" s="91" t="str">
        <f t="shared" si="31"/>
      </c>
      <c r="BH321" s="91" t="str">
        <f t="shared" si="31"/>
      </c>
      <c r="BI321" s="91" t="str">
        <f t="shared" si="31"/>
      </c>
      <c r="BJ321" s="91" t="str">
        <f t="shared" si="31"/>
      </c>
      <c r="BK321" s="91" t="str">
        <f t="shared" si="31"/>
      </c>
      <c r="BL321" s="91" t="str">
        <f t="shared" si="31"/>
      </c>
      <c r="BM321" s="91" t="str">
        <f t="shared" si="31"/>
      </c>
      <c r="BN321" s="91" t="str">
        <f t="shared" si="31"/>
      </c>
      <c r="BO321" s="91" t="str">
        <f t="shared" si="31"/>
      </c>
      <c r="BP321" s="91" t="str">
        <f t="shared" si="31"/>
      </c>
      <c r="BQ321" s="91" t="str">
        <f t="shared" si="31"/>
      </c>
      <c r="BR321" s="91" t="str">
        <f t="shared" si="31"/>
      </c>
      <c r="BS321" s="91" t="str">
        <f t="shared" si="31"/>
      </c>
      <c r="BT321" s="91" t="str">
        <f t="shared" si="31"/>
      </c>
      <c r="BU321" s="91" t="str">
        <f t="shared" si="31"/>
      </c>
      <c r="BV321" s="91" t="str">
        <f t="shared" si="31"/>
      </c>
      <c r="BW321" s="91" t="str">
        <f t="shared" si="31"/>
      </c>
      <c r="BX321" s="91" t="str">
        <f t="shared" si="31"/>
      </c>
      <c r="BY321" s="91" t="str">
        <f t="shared" si="31"/>
      </c>
      <c r="BZ321" s="91" t="str">
        <f t="shared" si="31"/>
      </c>
      <c r="CA321" s="91" t="str">
        <f t="shared" si="31"/>
      </c>
      <c r="CB321" s="91" t="str">
        <f t="shared" si="31"/>
      </c>
      <c r="CC321" s="91" t="str">
        <f t="shared" si="31"/>
      </c>
      <c r="CD321" s="91" t="str">
        <f t="shared" si="31"/>
      </c>
      <c r="CE321" s="91" t="str">
        <f t="shared" si="31"/>
      </c>
      <c r="CF321" s="91" t="str">
        <f t="shared" si="31"/>
      </c>
      <c r="CG321" s="91" t="str">
        <f t="shared" si="31"/>
      </c>
      <c r="CH321" s="91" t="str">
        <f t="shared" si="31"/>
      </c>
      <c r="CI321" s="91" t="str">
        <f t="shared" si="31"/>
      </c>
      <c r="CJ321" s="91" t="str">
        <f t="shared" si="31"/>
      </c>
      <c r="CK321" s="91" t="str">
        <f t="shared" si="31"/>
      </c>
      <c r="CL321" s="91" t="str">
        <f t="shared" si="31"/>
      </c>
      <c r="CM321" s="91" t="str">
        <f t="shared" si="31"/>
      </c>
      <c r="CN321" s="91" t="str">
        <f t="shared" si="31"/>
      </c>
      <c r="CO321" s="91" t="str">
        <f ref="CO321:EZ321" t="shared" si="32">IF(SUM(CO302:CO320)&lt;&gt;0,SUM(CO302:CO320),"")</f>
      </c>
      <c r="CP321" s="91" t="str">
        <f t="shared" si="32"/>
      </c>
      <c r="CQ321" s="91" t="str">
        <f t="shared" si="32"/>
      </c>
      <c r="CR321" s="91" t="str">
        <f t="shared" si="32"/>
      </c>
      <c r="CS321" s="91" t="str">
        <f t="shared" si="32"/>
      </c>
      <c r="CT321" s="91" t="str">
        <f t="shared" si="32"/>
      </c>
      <c r="CU321" s="91" t="str">
        <f t="shared" si="32"/>
      </c>
      <c r="CV321" s="91" t="str">
        <f t="shared" si="32"/>
      </c>
      <c r="CW321" s="91" t="str">
        <f t="shared" si="32"/>
      </c>
      <c r="CX321" s="91" t="str">
        <f t="shared" si="32"/>
      </c>
      <c r="CY321" s="91" t="str">
        <f t="shared" si="32"/>
      </c>
      <c r="CZ321" s="91" t="str">
        <f t="shared" si="32"/>
      </c>
      <c r="DA321" s="91" t="str">
        <f t="shared" si="32"/>
      </c>
      <c r="DB321" s="91" t="str">
        <f t="shared" si="32"/>
      </c>
      <c r="DC321" s="91" t="str">
        <f t="shared" si="32"/>
      </c>
      <c r="DD321" s="91" t="str">
        <f t="shared" si="32"/>
      </c>
      <c r="DE321" s="91" t="str">
        <f t="shared" si="32"/>
      </c>
      <c r="DF321" s="91" t="str">
        <f t="shared" si="32"/>
      </c>
      <c r="DG321" s="91" t="str">
        <f t="shared" si="32"/>
      </c>
      <c r="DH321" s="91" t="str">
        <f t="shared" si="32"/>
      </c>
      <c r="DI321" s="91" t="str">
        <f t="shared" si="32"/>
      </c>
      <c r="DJ321" s="91" t="str">
        <f t="shared" si="32"/>
      </c>
      <c r="DK321" s="91" t="str">
        <f t="shared" si="32"/>
      </c>
      <c r="DL321" s="91" t="str">
        <f t="shared" si="32"/>
      </c>
      <c r="DM321" s="91" t="str">
        <f t="shared" si="32"/>
      </c>
      <c r="DN321" s="91" t="str">
        <f t="shared" si="32"/>
      </c>
      <c r="DO321" s="91" t="str">
        <f t="shared" si="32"/>
      </c>
      <c r="DP321" s="91" t="str">
        <f t="shared" si="32"/>
      </c>
      <c r="DQ321" s="91" t="str">
        <f t="shared" si="32"/>
      </c>
      <c r="DR321" s="91" t="str">
        <f t="shared" si="32"/>
      </c>
      <c r="DS321" s="91" t="str">
        <f t="shared" si="32"/>
      </c>
      <c r="DT321" s="91" t="str">
        <f t="shared" si="32"/>
      </c>
      <c r="DU321" s="91" t="str">
        <f t="shared" si="32"/>
      </c>
      <c r="DV321" s="91" t="str">
        <f t="shared" si="32"/>
      </c>
      <c r="DW321" s="91" t="str">
        <f t="shared" si="32"/>
      </c>
      <c r="DX321" s="91" t="str">
        <f t="shared" si="32"/>
      </c>
      <c r="DY321" s="91" t="str">
        <f t="shared" si="32"/>
      </c>
      <c r="DZ321" s="91" t="str">
        <f t="shared" si="32"/>
      </c>
      <c r="EA321" s="91" t="str">
        <f t="shared" si="32"/>
      </c>
      <c r="EB321" s="91" t="str">
        <f t="shared" si="32"/>
      </c>
      <c r="EC321" s="91" t="str">
        <f t="shared" si="32"/>
      </c>
      <c r="ED321" s="91" t="str">
        <f t="shared" si="32"/>
      </c>
      <c r="EE321" s="91" t="str">
        <f t="shared" si="32"/>
      </c>
      <c r="EF321" s="91" t="str">
        <f t="shared" si="32"/>
      </c>
      <c r="EG321" s="91" t="str">
        <f t="shared" si="32"/>
      </c>
      <c r="EH321" s="91" t="str">
        <f t="shared" si="32"/>
      </c>
      <c r="EI321" s="91" t="str">
        <f t="shared" si="32"/>
      </c>
      <c r="EJ321" s="91" t="str">
        <f t="shared" si="32"/>
      </c>
      <c r="EK321" s="91" t="str">
        <f t="shared" si="32"/>
      </c>
      <c r="EL321" s="91" t="str">
        <f t="shared" si="32"/>
      </c>
      <c r="EM321" s="91" t="str">
        <f t="shared" si="32"/>
      </c>
      <c r="EN321" s="91" t="str">
        <f t="shared" si="32"/>
      </c>
      <c r="EO321" s="91" t="str">
        <f t="shared" si="32"/>
      </c>
      <c r="EP321" s="91" t="str">
        <f t="shared" si="32"/>
      </c>
      <c r="EQ321" s="91" t="str">
        <f t="shared" si="32"/>
      </c>
      <c r="ER321" s="91" t="str">
        <f t="shared" si="32"/>
      </c>
      <c r="ES321" s="91" t="str">
        <f t="shared" si="32"/>
      </c>
      <c r="ET321" s="91" t="str">
        <f t="shared" si="32"/>
      </c>
      <c r="EU321" s="91" t="str">
        <f t="shared" si="32"/>
      </c>
      <c r="EV321" s="91" t="str">
        <f t="shared" si="32"/>
      </c>
      <c r="EW321" s="91" t="str">
        <f t="shared" si="32"/>
      </c>
      <c r="EX321" s="91" t="str">
        <f t="shared" si="32"/>
      </c>
      <c r="EY321" s="91" t="str">
        <f t="shared" si="32"/>
      </c>
      <c r="EZ321" s="91" t="str">
        <f t="shared" si="32"/>
      </c>
      <c r="FA321" s="91" t="str">
        <f ref="FA321:HL321" t="shared" si="33">IF(SUM(FA302:FA320)&lt;&gt;0,SUM(FA302:FA320),"")</f>
      </c>
      <c r="FB321" s="91" t="str">
        <f t="shared" si="33"/>
      </c>
      <c r="FC321" s="91" t="str">
        <f t="shared" si="33"/>
      </c>
      <c r="FD321" s="91" t="str">
        <f t="shared" si="33"/>
      </c>
      <c r="FE321" s="91" t="str">
        <f t="shared" si="33"/>
      </c>
      <c r="FF321" s="91" t="str">
        <f t="shared" si="33"/>
      </c>
      <c r="FG321" s="91" t="str">
        <f t="shared" si="33"/>
      </c>
      <c r="FH321" s="91" t="str">
        <f t="shared" si="33"/>
      </c>
      <c r="FI321" s="91" t="str">
        <f t="shared" si="33"/>
      </c>
      <c r="FJ321" s="91" t="str">
        <f t="shared" si="33"/>
      </c>
      <c r="FK321" s="91" t="str">
        <f t="shared" si="33"/>
      </c>
      <c r="FL321" s="91" t="str">
        <f t="shared" si="33"/>
      </c>
      <c r="FM321" s="91" t="str">
        <f t="shared" si="33"/>
      </c>
      <c r="FN321" s="91" t="str">
        <f t="shared" si="33"/>
      </c>
      <c r="FO321" s="91" t="str">
        <f t="shared" si="33"/>
      </c>
      <c r="FP321" s="91" t="str">
        <f t="shared" si="33"/>
      </c>
      <c r="FQ321" s="91" t="str">
        <f t="shared" si="33"/>
      </c>
      <c r="FR321" s="91" t="str">
        <f t="shared" si="33"/>
      </c>
      <c r="FS321" s="91" t="str">
        <f t="shared" si="33"/>
      </c>
      <c r="FT321" s="91" t="str">
        <f t="shared" si="33"/>
      </c>
      <c r="FU321" s="91" t="str">
        <f t="shared" si="33"/>
      </c>
      <c r="FV321" s="91" t="str">
        <f t="shared" si="33"/>
      </c>
      <c r="FW321" s="91" t="str">
        <f t="shared" si="33"/>
      </c>
      <c r="FX321" s="91" t="str">
        <f t="shared" si="33"/>
      </c>
      <c r="FY321" s="91" t="str">
        <f t="shared" si="33"/>
      </c>
      <c r="FZ321" s="91" t="str">
        <f t="shared" si="33"/>
      </c>
      <c r="GA321" s="91" t="str">
        <f t="shared" si="33"/>
      </c>
      <c r="GB321" s="91" t="str">
        <f t="shared" si="33"/>
      </c>
      <c r="GC321" s="91" t="str">
        <f t="shared" si="33"/>
      </c>
      <c r="GD321" s="91" t="str">
        <f t="shared" si="33"/>
      </c>
      <c r="GE321" s="91" t="str">
        <f t="shared" si="33"/>
      </c>
      <c r="GF321" s="91" t="str">
        <f t="shared" si="33"/>
      </c>
      <c r="GG321" s="91" t="str">
        <f t="shared" si="33"/>
      </c>
      <c r="GH321" s="91" t="str">
        <f t="shared" si="33"/>
      </c>
      <c r="GI321" s="91" t="str">
        <f t="shared" si="33"/>
      </c>
      <c r="GJ321" s="91" t="str">
        <f t="shared" si="33"/>
      </c>
      <c r="GK321" s="91" t="str">
        <f t="shared" si="33"/>
      </c>
      <c r="GL321" s="91" t="str">
        <f t="shared" si="33"/>
      </c>
      <c r="GM321" s="91" t="str">
        <f t="shared" si="33"/>
      </c>
      <c r="GN321" s="91" t="str">
        <f t="shared" si="33"/>
      </c>
      <c r="GO321" s="91" t="str">
        <f t="shared" si="33"/>
      </c>
      <c r="GP321" s="91" t="str">
        <f t="shared" si="33"/>
      </c>
      <c r="GQ321" s="91" t="str">
        <f t="shared" si="33"/>
      </c>
      <c r="GR321" s="91" t="str">
        <f t="shared" si="33"/>
      </c>
      <c r="GS321" s="91" t="str">
        <f t="shared" si="33"/>
      </c>
      <c r="GT321" s="91" t="str">
        <f t="shared" si="33"/>
      </c>
      <c r="GU321" s="91" t="str">
        <f t="shared" si="33"/>
      </c>
      <c r="GV321" s="91" t="str">
        <f t="shared" si="33"/>
      </c>
      <c r="GW321" s="91" t="str">
        <f t="shared" si="33"/>
      </c>
      <c r="GX321" s="91" t="str">
        <f t="shared" si="33"/>
      </c>
      <c r="GY321" s="91" t="str">
        <f t="shared" si="33"/>
      </c>
      <c r="GZ321" s="91" t="str">
        <f t="shared" si="33"/>
      </c>
      <c r="HA321" s="91" t="str">
        <f t="shared" si="33"/>
      </c>
      <c r="HB321" s="91" t="str">
        <f t="shared" si="33"/>
      </c>
      <c r="HC321" s="91" t="str">
        <f t="shared" si="33"/>
      </c>
      <c r="HD321" s="91" t="str">
        <f t="shared" si="33"/>
      </c>
      <c r="HE321" s="91" t="str">
        <f t="shared" si="33"/>
      </c>
      <c r="HF321" s="91" t="str">
        <f t="shared" si="33"/>
      </c>
      <c r="HG321" s="91" t="str">
        <f t="shared" si="33"/>
      </c>
      <c r="HH321" s="91" t="str">
        <f t="shared" si="33"/>
      </c>
      <c r="HI321" s="91" t="str">
        <f t="shared" si="33"/>
      </c>
      <c r="HJ321" s="91" t="str">
        <f t="shared" si="33"/>
      </c>
      <c r="HK321" s="91" t="str">
        <f t="shared" si="33"/>
      </c>
      <c r="HL321" s="91" t="str">
        <f t="shared" si="33"/>
      </c>
      <c r="HM321" s="91" t="str">
        <f ref="HM321:IV321" t="shared" si="34">IF(SUM(HM302:HM320)&lt;&gt;0,SUM(HM302:HM320),"")</f>
      </c>
      <c r="HN321" s="91" t="str">
        <f t="shared" si="34"/>
      </c>
      <c r="HO321" s="91" t="str">
        <f t="shared" si="34"/>
      </c>
      <c r="HP321" s="91" t="str">
        <f t="shared" si="34"/>
      </c>
      <c r="HQ321" s="91" t="str">
        <f t="shared" si="34"/>
      </c>
      <c r="HR321" s="91" t="str">
        <f t="shared" si="34"/>
      </c>
      <c r="HS321" s="91" t="str">
        <f t="shared" si="34"/>
      </c>
      <c r="HT321" s="91" t="str">
        <f t="shared" si="34"/>
      </c>
      <c r="HU321" s="91" t="str">
        <f t="shared" si="34"/>
      </c>
      <c r="HV321" s="91" t="str">
        <f t="shared" si="34"/>
      </c>
      <c r="HW321" s="91" t="str">
        <f t="shared" si="34"/>
      </c>
      <c r="HX321" s="91" t="str">
        <f t="shared" si="34"/>
      </c>
      <c r="HY321" s="91" t="str">
        <f t="shared" si="34"/>
      </c>
      <c r="HZ321" s="91" t="str">
        <f t="shared" si="34"/>
      </c>
      <c r="IA321" s="91" t="str">
        <f t="shared" si="34"/>
      </c>
      <c r="IB321" s="91" t="str">
        <f t="shared" si="34"/>
      </c>
      <c r="IC321" s="91" t="str">
        <f t="shared" si="34"/>
      </c>
      <c r="ID321" s="91" t="str">
        <f t="shared" si="34"/>
      </c>
      <c r="IE321" s="91" t="str">
        <f t="shared" si="34"/>
      </c>
      <c r="IF321" s="91" t="str">
        <f t="shared" si="34"/>
      </c>
      <c r="IG321" s="91" t="str">
        <f t="shared" si="34"/>
      </c>
      <c r="IH321" s="91" t="str">
        <f t="shared" si="34"/>
      </c>
      <c r="II321" s="91" t="str">
        <f t="shared" si="34"/>
      </c>
      <c r="IJ321" s="91" t="str">
        <f t="shared" si="34"/>
      </c>
      <c r="IK321" s="91" t="str">
        <f t="shared" si="34"/>
      </c>
      <c r="IL321" s="91" t="str">
        <f t="shared" si="34"/>
      </c>
      <c r="IM321" s="91" t="str">
        <f t="shared" si="34"/>
      </c>
      <c r="IN321" s="91" t="str">
        <f t="shared" si="34"/>
      </c>
      <c r="IO321" s="91" t="str">
        <f t="shared" si="34"/>
      </c>
      <c r="IP321" s="91" t="str">
        <f t="shared" si="34"/>
      </c>
      <c r="IQ321" s="91" t="str">
        <f t="shared" si="34"/>
      </c>
      <c r="IR321" s="91" t="str">
        <f t="shared" si="34"/>
      </c>
      <c r="IS321" s="91" t="str">
        <f t="shared" si="34"/>
      </c>
      <c r="IT321" s="91" t="str">
        <f t="shared" si="34"/>
      </c>
      <c r="IU321" s="91" t="str">
        <f t="shared" si="34"/>
      </c>
      <c r="IV321" s="91" t="str">
        <f t="shared" si="34"/>
      </c>
    </row>
    <row r="322" hidden="1" ht="15">
      <c r="B322" s="215"/>
      <c r="C322" s="219"/>
      <c r="D322" s="219"/>
      <c r="E322" s="219"/>
      <c r="F322" s="219"/>
      <c r="G322" s="219"/>
      <c r="H322" s="219"/>
      <c r="I322" s="219"/>
      <c r="J322" s="219"/>
      <c r="K322" s="219"/>
      <c r="L322" s="50"/>
      <c r="P322" s="91"/>
      <c r="Q322" s="91"/>
      <c r="Y322" s="50"/>
      <c r="Z322" s="50"/>
    </row>
    <row r="323" hidden="1" ht="13.5"/>
    <row r="324" hidden="1" ht="13.5">
      <c r="B324" s="162"/>
      <c r="C324" s="617" t="s">
        <v>7</v>
      </c>
      <c r="D324" s="618"/>
      <c r="E324" s="618"/>
      <c r="F324" s="618"/>
      <c r="G324" s="618"/>
      <c r="H324" s="618"/>
      <c r="I324" s="618"/>
      <c r="J324" s="618"/>
      <c r="K324" s="618"/>
      <c r="L324" s="618"/>
      <c r="M324" s="618"/>
      <c r="N324" s="618"/>
      <c r="O324" s="618"/>
      <c r="P324" s="618"/>
      <c r="Q324" s="618"/>
      <c r="R324" s="618"/>
      <c r="S324" s="618"/>
      <c r="T324" s="618"/>
      <c r="U324" s="618"/>
      <c r="V324" s="618"/>
      <c r="W324" s="618"/>
      <c r="X324" s="618"/>
      <c r="Y324" s="618"/>
      <c r="Z324" s="618"/>
      <c r="AA324" s="618"/>
      <c r="AB324" s="619"/>
    </row>
    <row r="325" hidden="1" ht="13.5">
      <c r="C325" s="435" t="str">
        <f> IF(C345&lt;&gt;"",TEXT(AUX!G$1,"dd-MMM-aa"),"")</f>
      </c>
      <c r="D325" s="435" t="str">
        <f> IF(D345&lt;&gt;"",TEXT(AUX!H$1,"dd-MMM-aa"),"")</f>
      </c>
      <c r="E325" s="435" t="str">
        <f> IF(E345&lt;&gt;"",TEXT(AUX!I$1,"dd-MMM-aa"),"")</f>
      </c>
      <c r="F325" s="435" t="str">
        <f> IF(F345&lt;&gt;"",TEXT(AUX!J$1,"dd-MMM-aa"),"")</f>
      </c>
      <c r="G325" s="435" t="str">
        <f> IF(G345&lt;&gt;"",TEXT(AUX!K$1,"dd-MMM-aa"),"")</f>
      </c>
      <c r="H325" s="435" t="str">
        <f> IF(H345&lt;&gt;"",TEXT(AUX!L$1,"dd-MMM-aa"),"")</f>
      </c>
      <c r="I325" s="435" t="str">
        <f> IF(I345&lt;&gt;"",TEXT(AUX!M$1,"dd-MMM-aa"),"")</f>
      </c>
      <c r="J325" s="435" t="str">
        <f> IF(J345&lt;&gt;"",TEXT(AUX!N$1,"dd-MMM-aa"),"")</f>
      </c>
      <c r="K325" s="435" t="str">
        <f> IF(K345&lt;&gt;"",TEXT(AUX!O$1,"dd-MMM-aa"),"")</f>
      </c>
      <c r="L325" s="435" t="str">
        <f> IF(L345&lt;&gt;"",TEXT(AUX!P$1,"dd-MMM-aa"),"")</f>
      </c>
      <c r="M325" s="435" t="str">
        <f> IF(M345&lt;&gt;"",TEXT(AUX!Q$1,"dd-MMM-aa"),"")</f>
      </c>
      <c r="N325" s="435" t="str">
        <f> IF(N345&lt;&gt;"",TEXT(AUX!R$1,"dd-MMM-aa"),"")</f>
      </c>
      <c r="O325" s="435" t="str">
        <f> IF(O345&lt;&gt;"",TEXT(AUX!S$1,"dd-MMM-aa"),"")</f>
      </c>
      <c r="P325" s="435" t="str">
        <f> IF(P345&lt;&gt;"",TEXT(AUX!T$1,"dd-MMM-aa"),"")</f>
      </c>
      <c r="Q325" s="435" t="str">
        <f> IF(Q345&lt;&gt;"",TEXT(AUX!U$1,"dd-MMM-aa"),"")</f>
      </c>
      <c r="R325" s="435" t="str">
        <f> IF(R345&lt;&gt;"",TEXT(AUX!V$1,"dd-MMM-aa"),"")</f>
      </c>
      <c r="S325" s="435" t="str">
        <f> IF(S345&lt;&gt;"",TEXT(AUX!W$1,"dd-MMM-aa"),"")</f>
      </c>
      <c r="T325" s="435" t="str">
        <f> IF(T345&lt;&gt;"",TEXT(AUX!X$1,"dd-MMM-aa"),"")</f>
      </c>
      <c r="U325" s="435" t="str">
        <f> IF(U345&lt;&gt;"",TEXT(AUX!Y$1,"dd-MMM-aa"),"")</f>
      </c>
      <c r="V325" s="435" t="str">
        <f> IF(V345&lt;&gt;"",TEXT(AUX!Z$1,"dd-MMM-aa"),"")</f>
      </c>
      <c r="W325" s="435" t="str">
        <f> IF(W345&lt;&gt;"",TEXT(AUX!AA$1,"dd-MMM-aa"),"")</f>
      </c>
      <c r="X325" s="435" t="str">
        <f> IF(X345&lt;&gt;"",TEXT(AUX!AB$1,"dd-MMM-aa"),"")</f>
      </c>
      <c r="Y325" s="435" t="str">
        <f> IF(Y345&lt;&gt;"",TEXT(AUX!AC$1,"dd-MMM-aa"),"")</f>
      </c>
      <c r="Z325" s="435" t="str">
        <f> IF(Z345&lt;&gt;"",TEXT(AUX!AD$1,"dd-MMM-aa"),"")</f>
      </c>
      <c r="AA325" s="435" t="str">
        <f> IF(AA345&lt;&gt;"",TEXT(AUX!AE$1,"dd-MMM-aa"),"")</f>
      </c>
      <c r="AB325" s="497" t="str">
        <f> IF(AB345&lt;&gt;"",TEXT(AUX!AF$1,"dd-MMM-aa"),"")</f>
      </c>
      <c r="AC325" s="496" t="str">
        <f> IF(AC345&lt;&gt;"",TEXT(AUX!AG$1,"dd-MMM-aa"),"")</f>
      </c>
      <c r="AD325" s="496" t="str">
        <f> IF(AD345&lt;&gt;"",TEXT(AUX!AH$1,"dd-MMM-aa"),"")</f>
      </c>
      <c r="AE325" s="496" t="str">
        <f> IF(AE345&lt;&gt;"",TEXT(AUX!AI$1,"dd-MMM-aa"),"")</f>
      </c>
      <c r="AF325" s="496" t="str">
        <f> IF(AF345&lt;&gt;"",TEXT(AUX!AJ$1,"dd-MMM-aa"),"")</f>
      </c>
      <c r="AG325" s="496" t="str">
        <f> IF(AG345&lt;&gt;"",TEXT(AUX!AK$1,"dd-MMM-aa"),"")</f>
      </c>
      <c r="AH325" s="496" t="str">
        <f> IF(AH345&lt;&gt;"",TEXT(AUX!AL$1,"dd-MMM-aa"),"")</f>
      </c>
      <c r="AI325" s="496" t="str">
        <f> IF(AI345&lt;&gt;"",TEXT(AUX!AM$1,"dd-MMM-aa"),"")</f>
      </c>
      <c r="AJ325" s="496" t="str">
        <f> IF(AJ345&lt;&gt;"",TEXT(AUX!AN$1,"dd-MMM-aa"),"")</f>
      </c>
      <c r="AK325" s="496" t="str">
        <f> IF(AK345&lt;&gt;"",TEXT(AUX!AO$1,"dd-MMM-aa"),"")</f>
      </c>
      <c r="AL325" s="496" t="str">
        <f> IF(AL345&lt;&gt;"",TEXT(AUX!AP$1,"dd-MMM-aa"),"")</f>
      </c>
      <c r="AM325" s="496" t="str">
        <f> IF(AM345&lt;&gt;"",TEXT(AUX!AQ$1,"dd-MMM-aa"),"")</f>
      </c>
      <c r="AN325" s="496" t="str">
        <f> IF(AN345&lt;&gt;"",TEXT(AUX!AR$1,"dd-MMM-aa"),"")</f>
      </c>
      <c r="AO325" s="496" t="str">
        <f> IF(AO345&lt;&gt;"",TEXT(AUX!AS$1,"dd-MMM-aa"),"")</f>
      </c>
      <c r="AP325" s="496" t="str">
        <f> IF(AP345&lt;&gt;"",TEXT(AUX!AT$1,"dd-MMM-aa"),"")</f>
      </c>
      <c r="AQ325" s="496" t="str">
        <f> IF(AQ345&lt;&gt;"",TEXT(AUX!AU$1,"dd-MMM-aa"),"")</f>
      </c>
      <c r="AR325" s="496" t="str">
        <f> IF(AR345&lt;&gt;"",TEXT(AUX!AV$1,"dd-MMM-aa"),"")</f>
      </c>
      <c r="AS325" s="496" t="str">
        <f> IF(AS345&lt;&gt;"",TEXT(AUX!AW$1,"dd-MMM-aa"),"")</f>
      </c>
      <c r="AT325" s="496" t="str">
        <f> IF(AT345&lt;&gt;"",TEXT(AUX!AX$1,"dd-MMM-aa"),"")</f>
      </c>
      <c r="AU325" s="496" t="str">
        <f> IF(AU345&lt;&gt;"",TEXT(AUX!AY$1,"dd-MMM-aa"),"")</f>
      </c>
      <c r="AV325" s="496" t="str">
        <f> IF(AV345&lt;&gt;"",TEXT(AUX!AZ$1,"dd-MMM-aa"),"")</f>
      </c>
      <c r="AW325" s="496" t="str">
        <f> IF(AW345&lt;&gt;"",TEXT(AUX!BA$1,"dd-MMM-aa"),"")</f>
      </c>
      <c r="AX325" s="496" t="str">
        <f> IF(AX345&lt;&gt;"",TEXT(AUX!BB$1,"dd-MMM-aa"),"")</f>
      </c>
      <c r="AY325" s="496" t="str">
        <f> IF(AY345&lt;&gt;"",TEXT(AUX!BC$1,"dd-MMM-aa"),"")</f>
      </c>
      <c r="AZ325" s="496" t="str">
        <f> IF(AZ345&lt;&gt;"",TEXT(AUX!BD$1,"dd-MMM-aa"),"")</f>
      </c>
      <c r="BA325" s="496" t="str">
        <f> IF(BA345&lt;&gt;"",TEXT(AUX!BE$1,"dd-MMM-aa"),"")</f>
      </c>
      <c r="BB325" s="496" t="str">
        <f> IF(BB345&lt;&gt;"",TEXT(AUX!BF$1,"dd-MMM-aa"),"")</f>
      </c>
      <c r="BC325" s="496" t="str">
        <f> IF(BC345&lt;&gt;"",TEXT(AUX!BG$1,"dd-MMM-aa"),"")</f>
      </c>
      <c r="BD325" s="496" t="str">
        <f> IF(BD345&lt;&gt;"",TEXT(AUX!BH$1,"dd-MMM-aa"),"")</f>
      </c>
      <c r="BE325" s="496" t="str">
        <f> IF(BE345&lt;&gt;"",TEXT(AUX!BI$1,"dd-MMM-aa"),"")</f>
      </c>
      <c r="BF325" s="496" t="str">
        <f> IF(BF345&lt;&gt;"",TEXT(AUX!BJ$1,"dd-MMM-aa"),"")</f>
      </c>
      <c r="BG325" s="496" t="str">
        <f> IF(BG345&lt;&gt;"",TEXT(AUX!BK$1,"dd-MMM-aa"),"")</f>
      </c>
      <c r="BH325" s="496" t="str">
        <f> IF(BH345&lt;&gt;"",TEXT(AUX!BL$1,"dd-MMM-aa"),"")</f>
      </c>
      <c r="BI325" s="496" t="str">
        <f> IF(BI345&lt;&gt;"",TEXT(AUX!BM$1,"dd-MMM-aa"),"")</f>
      </c>
      <c r="BJ325" s="496" t="str">
        <f> IF(BJ345&lt;&gt;"",TEXT(AUX!BN$1,"dd-MMM-aa"),"")</f>
      </c>
      <c r="BK325" s="496" t="str">
        <f> IF(BK345&lt;&gt;"",TEXT(AUX!BO$1,"dd-MMM-aa"),"")</f>
      </c>
      <c r="BL325" s="496" t="str">
        <f> IF(BL345&lt;&gt;"",TEXT(AUX!BP$1,"dd-MMM-aa"),"")</f>
      </c>
      <c r="BM325" s="496" t="str">
        <f> IF(BM345&lt;&gt;"",TEXT(AUX!BQ$1,"dd-MMM-aa"),"")</f>
      </c>
      <c r="BN325" s="496" t="str">
        <f> IF(BN345&lt;&gt;"",TEXT(AUX!BR$1,"dd-MMM-aa"),"")</f>
      </c>
      <c r="BO325" s="496" t="str">
        <f> IF(BO345&lt;&gt;"",TEXT(AUX!BS$1,"dd-MMM-aa"),"")</f>
      </c>
      <c r="BP325" s="496" t="str">
        <f> IF(BP345&lt;&gt;"",TEXT(AUX!BT$1,"dd-MMM-aa"),"")</f>
      </c>
      <c r="BQ325" s="496" t="str">
        <f> IF(BQ345&lt;&gt;"",TEXT(AUX!BU$1,"dd-MMM-aa"),"")</f>
      </c>
      <c r="BR325" s="496" t="str">
        <f> IF(BR345&lt;&gt;"",TEXT(AUX!BV$1,"dd-MMM-aa"),"")</f>
      </c>
      <c r="BS325" s="496" t="str">
        <f> IF(BS345&lt;&gt;"",TEXT(AUX!BW$1,"dd-MMM-aa"),"")</f>
      </c>
      <c r="BT325" s="496" t="str">
        <f> IF(BT345&lt;&gt;"",TEXT(AUX!BX$1,"dd-MMM-aa"),"")</f>
      </c>
      <c r="BU325" s="496" t="str">
        <f> IF(BU345&lt;&gt;"",TEXT(AUX!BY$1,"dd-MMM-aa"),"")</f>
      </c>
      <c r="BV325" s="496" t="str">
        <f> IF(BV345&lt;&gt;"",TEXT(AUX!BZ$1,"dd-MMM-aa"),"")</f>
      </c>
      <c r="BW325" s="496" t="str">
        <f> IF(BW345&lt;&gt;"",TEXT(AUX!CA$1,"dd-MMM-aa"),"")</f>
      </c>
      <c r="BX325" s="496" t="str">
        <f> IF(BX345&lt;&gt;"",TEXT(AUX!CB$1,"dd-MMM-aa"),"")</f>
      </c>
      <c r="BY325" s="496" t="str">
        <f> IF(BY345&lt;&gt;"",TEXT(AUX!CC$1,"dd-MMM-aa"),"")</f>
      </c>
      <c r="BZ325" s="496" t="str">
        <f> IF(BZ345&lt;&gt;"",TEXT(AUX!CD$1,"dd-MMM-aa"),"")</f>
      </c>
      <c r="CA325" s="496" t="str">
        <f> IF(CA345&lt;&gt;"",TEXT(AUX!CE$1,"dd-MMM-aa"),"")</f>
      </c>
      <c r="CB325" s="496" t="str">
        <f> IF(CB345&lt;&gt;"",TEXT(AUX!CF$1,"dd-MMM-aa"),"")</f>
      </c>
      <c r="CC325" s="496" t="str">
        <f> IF(CC345&lt;&gt;"",TEXT(AUX!CG$1,"dd-MMM-aa"),"")</f>
      </c>
      <c r="CD325" s="496" t="str">
        <f> IF(CD345&lt;&gt;"",TEXT(AUX!CH$1,"dd-MMM-aa"),"")</f>
      </c>
      <c r="CE325" s="496" t="str">
        <f> IF(CE345&lt;&gt;"",TEXT(AUX!CI$1,"dd-MMM-aa"),"")</f>
      </c>
      <c r="CF325" s="496" t="str">
        <f> IF(CF345&lt;&gt;"",TEXT(AUX!CJ$1,"dd-MMM-aa"),"")</f>
      </c>
      <c r="CG325" s="496" t="str">
        <f> IF(CG345&lt;&gt;"",TEXT(AUX!CK$1,"dd-MMM-aa"),"")</f>
      </c>
      <c r="CH325" s="496" t="str">
        <f> IF(CH345&lt;&gt;"",TEXT(AUX!CL$1,"dd-MMM-aa"),"")</f>
      </c>
      <c r="CI325" s="496" t="str">
        <f> IF(CI345&lt;&gt;"",TEXT(AUX!CM$1,"dd-MMM-aa"),"")</f>
      </c>
      <c r="CJ325" s="496" t="str">
        <f> IF(CJ345&lt;&gt;"",TEXT(AUX!CN$1,"dd-MMM-aa"),"")</f>
      </c>
      <c r="CK325" s="496" t="str">
        <f> IF(CK345&lt;&gt;"",TEXT(AUX!CO$1,"dd-MMM-aa"),"")</f>
      </c>
      <c r="CL325" s="496" t="str">
        <f> IF(CL345&lt;&gt;"",TEXT(AUX!CP$1,"dd-MMM-aa"),"")</f>
      </c>
      <c r="CM325" s="496" t="str">
        <f> IF(CM345&lt;&gt;"",TEXT(AUX!CQ$1,"dd-MMM-aa"),"")</f>
      </c>
      <c r="CN325" s="496" t="str">
        <f> IF(CN345&lt;&gt;"",TEXT(AUX!CR$1,"dd-MMM-aa"),"")</f>
      </c>
      <c r="CO325" s="496" t="str">
        <f> IF(CO345&lt;&gt;"",TEXT(AUX!CS$1,"dd-MMM-aa"),"")</f>
      </c>
      <c r="CP325" s="496" t="str">
        <f> IF(CP345&lt;&gt;"",TEXT(AUX!CT$1,"dd-MMM-aa"),"")</f>
      </c>
      <c r="CQ325" s="496" t="str">
        <f> IF(CQ345&lt;&gt;"",TEXT(AUX!CU$1,"dd-MMM-aa"),"")</f>
      </c>
      <c r="CR325" s="496" t="str">
        <f> IF(CR345&lt;&gt;"",TEXT(AUX!CV$1,"dd-MMM-aa"),"")</f>
      </c>
      <c r="CS325" s="496" t="str">
        <f> IF(CS345&lt;&gt;"",TEXT(AUX!CW$1,"dd-MMM-aa"),"")</f>
      </c>
      <c r="CT325" s="496" t="str">
        <f> IF(CT345&lt;&gt;"",TEXT(AUX!CX$1,"dd-MMM-aa"),"")</f>
      </c>
      <c r="CU325" s="496" t="str">
        <f> IF(CU345&lt;&gt;"",TEXT(AUX!CY$1,"dd-MMM-aa"),"")</f>
      </c>
      <c r="CV325" s="496" t="str">
        <f> IF(CV345&lt;&gt;"",TEXT(AUX!CZ$1,"dd-MMM-aa"),"")</f>
      </c>
      <c r="CW325" s="496" t="str">
        <f> IF(CW345&lt;&gt;"",TEXT(AUX!DA$1,"dd-MMM-aa"),"")</f>
      </c>
      <c r="CX325" s="496" t="str">
        <f> IF(CX345&lt;&gt;"",TEXT(AUX!DB$1,"dd-MMM-aa"),"")</f>
      </c>
      <c r="CY325" s="496" t="str">
        <f> IF(CY345&lt;&gt;"",TEXT(AUX!DC$1,"dd-MMM-aa"),"")</f>
      </c>
      <c r="CZ325" s="496" t="str">
        <f> IF(CZ345&lt;&gt;"",TEXT(AUX!DD$1,"dd-MMM-aa"),"")</f>
      </c>
      <c r="DA325" s="496" t="str">
        <f> IF(DA345&lt;&gt;"",TEXT(AUX!DE$1,"dd-MMM-aa"),"")</f>
      </c>
      <c r="DB325" s="496" t="str">
        <f> IF(DB345&lt;&gt;"",TEXT(AUX!DF$1,"dd-MMM-aa"),"")</f>
      </c>
      <c r="DC325" s="496" t="str">
        <f> IF(DC345&lt;&gt;"",TEXT(AUX!DG$1,"dd-MMM-aa"),"")</f>
      </c>
      <c r="DD325" s="496" t="str">
        <f> IF(DD345&lt;&gt;"",TEXT(AUX!DH$1,"dd-MMM-aa"),"")</f>
      </c>
      <c r="DE325" s="496" t="str">
        <f> IF(DE345&lt;&gt;"",TEXT(AUX!DI$1,"dd-MMM-aa"),"")</f>
      </c>
      <c r="DF325" s="496" t="str">
        <f> IF(DF345&lt;&gt;"",TEXT(AUX!DJ$1,"dd-MMM-aa"),"")</f>
      </c>
      <c r="DG325" s="496" t="str">
        <f> IF(DG345&lt;&gt;"",TEXT(AUX!DK$1,"dd-MMM-aa"),"")</f>
      </c>
      <c r="DH325" s="496" t="str">
        <f> IF(DH345&lt;&gt;"",TEXT(AUX!DL$1,"dd-MMM-aa"),"")</f>
      </c>
      <c r="DI325" s="496" t="str">
        <f> IF(DI345&lt;&gt;"",TEXT(AUX!DM$1,"dd-MMM-aa"),"")</f>
      </c>
      <c r="DJ325" s="496" t="str">
        <f> IF(DJ345&lt;&gt;"",TEXT(AUX!DN$1,"dd-MMM-aa"),"")</f>
      </c>
      <c r="DK325" s="496" t="str">
        <f> IF(DK345&lt;&gt;"",TEXT(AUX!DO$1,"dd-MMM-aa"),"")</f>
      </c>
      <c r="DL325" s="496" t="str">
        <f> IF(DL345&lt;&gt;"",TEXT(AUX!DP$1,"dd-MMM-aa"),"")</f>
      </c>
      <c r="DM325" s="496" t="str">
        <f> IF(DM345&lt;&gt;"",TEXT(AUX!DQ$1,"dd-MMM-aa"),"")</f>
      </c>
      <c r="DN325" s="496" t="str">
        <f> IF(DN345&lt;&gt;"",TEXT(AUX!DR$1,"dd-MMM-aa"),"")</f>
      </c>
      <c r="DO325" s="496" t="str">
        <f> IF(DO345&lt;&gt;"",TEXT(AUX!DS$1,"dd-MMM-aa"),"")</f>
      </c>
      <c r="DP325" s="496" t="str">
        <f> IF(DP345&lt;&gt;"",TEXT(AUX!DT$1,"dd-MMM-aa"),"")</f>
      </c>
      <c r="DQ325" s="496" t="str">
        <f> IF(DQ345&lt;&gt;"",TEXT(AUX!DU$1,"dd-MMM-aa"),"")</f>
      </c>
      <c r="DR325" s="496" t="str">
        <f> IF(DR345&lt;&gt;"",TEXT(AUX!DV$1,"dd-MMM-aa"),"")</f>
      </c>
      <c r="DS325" s="496" t="str">
        <f> IF(DS345&lt;&gt;"",TEXT(AUX!DW$1,"dd-MMM-aa"),"")</f>
      </c>
      <c r="DT325" s="496" t="str">
        <f> IF(DT345&lt;&gt;"",TEXT(AUX!DX$1,"dd-MMM-aa"),"")</f>
      </c>
      <c r="DU325" s="496" t="str">
        <f> IF(DU345&lt;&gt;"",TEXT(AUX!DY$1,"dd-MMM-aa"),"")</f>
      </c>
      <c r="DV325" s="496" t="str">
        <f> IF(DV345&lt;&gt;"",TEXT(AUX!DZ$1,"dd-MMM-aa"),"")</f>
      </c>
      <c r="DW325" s="496" t="str">
        <f> IF(DW345&lt;&gt;"",TEXT(AUX!EA$1,"dd-MMM-aa"),"")</f>
      </c>
      <c r="DX325" s="496" t="str">
        <f> IF(DX345&lt;&gt;"",TEXT(AUX!EB$1,"dd-MMM-aa"),"")</f>
      </c>
      <c r="DY325" s="496" t="str">
        <f> IF(DY345&lt;&gt;"",TEXT(AUX!EC$1,"dd-MMM-aa"),"")</f>
      </c>
      <c r="DZ325" s="496" t="str">
        <f> IF(DZ345&lt;&gt;"",TEXT(AUX!ED$1,"dd-MMM-aa"),"")</f>
      </c>
      <c r="EA325" s="496" t="str">
        <f> IF(EA345&lt;&gt;"",TEXT(AUX!EE$1,"dd-MMM-aa"),"")</f>
      </c>
      <c r="EB325" s="496" t="str">
        <f> IF(EB345&lt;&gt;"",TEXT(AUX!EF$1,"dd-MMM-aa"),"")</f>
      </c>
      <c r="EC325" s="496" t="str">
        <f> IF(EC345&lt;&gt;"",TEXT(AUX!EG$1,"dd-MMM-aa"),"")</f>
      </c>
      <c r="ED325" s="496" t="str">
        <f> IF(ED345&lt;&gt;"",TEXT(AUX!EH$1,"dd-MMM-aa"),"")</f>
      </c>
      <c r="EE325" s="496" t="str">
        <f> IF(EE345&lt;&gt;"",TEXT(AUX!EI$1,"dd-MMM-aa"),"")</f>
      </c>
      <c r="EF325" s="496" t="str">
        <f> IF(EF345&lt;&gt;"",TEXT(AUX!EJ$1,"dd-MMM-aa"),"")</f>
      </c>
      <c r="EG325" s="496" t="str">
        <f> IF(EG345&lt;&gt;"",TEXT(AUX!EK$1,"dd-MMM-aa"),"")</f>
      </c>
      <c r="EH325" s="496" t="str">
        <f> IF(EH345&lt;&gt;"",TEXT(AUX!EL$1,"dd-MMM-aa"),"")</f>
      </c>
      <c r="EI325" s="496" t="str">
        <f> IF(EI345&lt;&gt;"",TEXT(AUX!EM$1,"dd-MMM-aa"),"")</f>
      </c>
      <c r="EJ325" s="496" t="str">
        <f> IF(EJ345&lt;&gt;"",TEXT(AUX!EN$1,"dd-MMM-aa"),"")</f>
      </c>
      <c r="EK325" s="496" t="str">
        <f> IF(EK345&lt;&gt;"",TEXT(AUX!EO$1,"dd-MMM-aa"),"")</f>
      </c>
      <c r="EL325" s="496" t="str">
        <f> IF(EL345&lt;&gt;"",TEXT(AUX!EP$1,"dd-MMM-aa"),"")</f>
      </c>
      <c r="EM325" s="496" t="str">
        <f> IF(EM345&lt;&gt;"",TEXT(AUX!EQ$1,"dd-MMM-aa"),"")</f>
      </c>
      <c r="EN325" s="496" t="str">
        <f> IF(EN345&lt;&gt;"",TEXT(AUX!ER$1,"dd-MMM-aa"),"")</f>
      </c>
      <c r="EO325" s="496" t="str">
        <f> IF(EO345&lt;&gt;"",TEXT(AUX!ES$1,"dd-MMM-aa"),"")</f>
      </c>
      <c r="EP325" s="496" t="str">
        <f> IF(EP345&lt;&gt;"",TEXT(AUX!ET$1,"dd-MMM-aa"),"")</f>
      </c>
      <c r="EQ325" s="496" t="str">
        <f> IF(EQ345&lt;&gt;"",TEXT(AUX!EU$1,"dd-MMM-aa"),"")</f>
      </c>
      <c r="ER325" s="496" t="str">
        <f> IF(ER345&lt;&gt;"",TEXT(AUX!EV$1,"dd-MMM-aa"),"")</f>
      </c>
      <c r="ES325" s="496" t="str">
        <f> IF(ES345&lt;&gt;"",TEXT(AUX!EW$1,"dd-MMM-aa"),"")</f>
      </c>
      <c r="ET325" s="496" t="str">
        <f> IF(ET345&lt;&gt;"",TEXT(AUX!EX$1,"dd-MMM-aa"),"")</f>
      </c>
      <c r="EU325" s="496" t="str">
        <f> IF(EU345&lt;&gt;"",TEXT(AUX!EY$1,"dd-MMM-aa"),"")</f>
      </c>
      <c r="EV325" s="496" t="str">
        <f> IF(EV345&lt;&gt;"",TEXT(AUX!EZ$1,"dd-MMM-aa"),"")</f>
      </c>
      <c r="EW325" s="496" t="str">
        <f> IF(EW345&lt;&gt;"",TEXT(AUX!FA$1,"dd-MMM-aa"),"")</f>
      </c>
      <c r="EX325" s="496" t="str">
        <f> IF(EX345&lt;&gt;"",TEXT(AUX!FB$1,"dd-MMM-aa"),"")</f>
      </c>
      <c r="EY325" s="496" t="str">
        <f> IF(EY345&lt;&gt;"",TEXT(AUX!FC$1,"dd-MMM-aa"),"")</f>
      </c>
      <c r="EZ325" s="496" t="str">
        <f> IF(EZ345&lt;&gt;"",TEXT(AUX!FD$1,"dd-MMM-aa"),"")</f>
      </c>
      <c r="FA325" s="496" t="str">
        <f> IF(FA345&lt;&gt;"",TEXT(AUX!FE$1,"dd-MMM-aa"),"")</f>
      </c>
      <c r="FB325" s="496" t="str">
        <f> IF(FB345&lt;&gt;"",TEXT(AUX!FF$1,"dd-MMM-aa"),"")</f>
      </c>
      <c r="FC325" s="496" t="str">
        <f> IF(FC345&lt;&gt;"",TEXT(AUX!FG$1,"dd-MMM-aa"),"")</f>
      </c>
      <c r="FD325" s="496" t="str">
        <f> IF(FD345&lt;&gt;"",TEXT(AUX!FH$1,"dd-MMM-aa"),"")</f>
      </c>
      <c r="FE325" s="496" t="str">
        <f> IF(FE345&lt;&gt;"",TEXT(AUX!FI$1,"dd-MMM-aa"),"")</f>
      </c>
      <c r="FF325" s="496" t="str">
        <f> IF(FF345&lt;&gt;"",TEXT(AUX!FJ$1,"dd-MMM-aa"),"")</f>
      </c>
      <c r="FG325" s="496" t="str">
        <f> IF(FG345&lt;&gt;"",TEXT(AUX!FK$1,"dd-MMM-aa"),"")</f>
      </c>
      <c r="FH325" s="496" t="str">
        <f> IF(FH345&lt;&gt;"",TEXT(AUX!FL$1,"dd-MMM-aa"),"")</f>
      </c>
      <c r="FI325" s="496" t="str">
        <f> IF(FI345&lt;&gt;"",TEXT(AUX!FM$1,"dd-MMM-aa"),"")</f>
      </c>
      <c r="FJ325" s="496" t="str">
        <f> IF(FJ345&lt;&gt;"",TEXT(AUX!FN$1,"dd-MMM-aa"),"")</f>
      </c>
      <c r="FK325" s="496" t="str">
        <f> IF(FK345&lt;&gt;"",TEXT(AUX!FO$1,"dd-MMM-aa"),"")</f>
      </c>
      <c r="FL325" s="496" t="str">
        <f> IF(FL345&lt;&gt;"",TEXT(AUX!FP$1,"dd-MMM-aa"),"")</f>
      </c>
      <c r="FM325" s="496" t="str">
        <f> IF(FM345&lt;&gt;"",TEXT(AUX!FQ$1,"dd-MMM-aa"),"")</f>
      </c>
      <c r="FN325" s="496" t="str">
        <f> IF(FN345&lt;&gt;"",TEXT(AUX!FR$1,"dd-MMM-aa"),"")</f>
      </c>
      <c r="FO325" s="496" t="str">
        <f> IF(FO345&lt;&gt;"",TEXT(AUX!FS$1,"dd-MMM-aa"),"")</f>
      </c>
      <c r="FP325" s="496" t="str">
        <f> IF(FP345&lt;&gt;"",TEXT(AUX!FT$1,"dd-MMM-aa"),"")</f>
      </c>
      <c r="FQ325" s="496" t="str">
        <f> IF(FQ345&lt;&gt;"",TEXT(AUX!FU$1,"dd-MMM-aa"),"")</f>
      </c>
      <c r="FR325" s="496" t="str">
        <f> IF(FR345&lt;&gt;"",TEXT(AUX!FV$1,"dd-MMM-aa"),"")</f>
      </c>
      <c r="FS325" s="496" t="str">
        <f> IF(FS345&lt;&gt;"",TEXT(AUX!FW$1,"dd-MMM-aa"),"")</f>
      </c>
      <c r="FT325" s="496" t="str">
        <f> IF(FT345&lt;&gt;"",TEXT(AUX!FX$1,"dd-MMM-aa"),"")</f>
      </c>
      <c r="FU325" s="496" t="str">
        <f> IF(FU345&lt;&gt;"",TEXT(AUX!FY$1,"dd-MMM-aa"),"")</f>
      </c>
      <c r="FV325" s="496" t="str">
        <f> IF(FV345&lt;&gt;"",TEXT(AUX!FZ$1,"dd-MMM-aa"),"")</f>
      </c>
      <c r="FW325" s="496" t="str">
        <f> IF(FW345&lt;&gt;"",TEXT(AUX!GA$1,"dd-MMM-aa"),"")</f>
      </c>
      <c r="FX325" s="496" t="str">
        <f> IF(FX345&lt;&gt;"",TEXT(AUX!GB$1,"dd-MMM-aa"),"")</f>
      </c>
      <c r="FY325" s="496" t="str">
        <f> IF(FY345&lt;&gt;"",TEXT(AUX!GC$1,"dd-MMM-aa"),"")</f>
      </c>
      <c r="FZ325" s="496" t="str">
        <f> IF(FZ345&lt;&gt;"",TEXT(AUX!GD$1,"dd-MMM-aa"),"")</f>
      </c>
      <c r="GA325" s="496" t="str">
        <f> IF(GA345&lt;&gt;"",TEXT(AUX!GE$1,"dd-MMM-aa"),"")</f>
      </c>
      <c r="GB325" s="496" t="str">
        <f> IF(GB345&lt;&gt;"",TEXT(AUX!GF$1,"dd-MMM-aa"),"")</f>
      </c>
      <c r="GC325" s="496" t="str">
        <f> IF(GC345&lt;&gt;"",TEXT(AUX!GG$1,"dd-MMM-aa"),"")</f>
      </c>
      <c r="GD325" s="496" t="str">
        <f> IF(GD345&lt;&gt;"",TEXT(AUX!GH$1,"dd-MMM-aa"),"")</f>
      </c>
      <c r="GE325" s="496" t="str">
        <f> IF(GE345&lt;&gt;"",TEXT(AUX!GI$1,"dd-MMM-aa"),"")</f>
      </c>
      <c r="GF325" s="496" t="str">
        <f> IF(GF345&lt;&gt;"",TEXT(AUX!GJ$1,"dd-MMM-aa"),"")</f>
      </c>
      <c r="GG325" s="496" t="str">
        <f> IF(GG345&lt;&gt;"",TEXT(AUX!GK$1,"dd-MMM-aa"),"")</f>
      </c>
      <c r="GH325" s="496" t="str">
        <f> IF(GH345&lt;&gt;"",TEXT(AUX!GL$1,"dd-MMM-aa"),"")</f>
      </c>
      <c r="GI325" s="496" t="str">
        <f> IF(GI345&lt;&gt;"",TEXT(AUX!GM$1,"dd-MMM-aa"),"")</f>
      </c>
      <c r="GJ325" s="496" t="str">
        <f> IF(GJ345&lt;&gt;"",TEXT(AUX!GN$1,"dd-MMM-aa"),"")</f>
      </c>
      <c r="GK325" s="496" t="str">
        <f> IF(GK345&lt;&gt;"",TEXT(AUX!GO$1,"dd-MMM-aa"),"")</f>
      </c>
      <c r="GL325" s="496" t="str">
        <f> IF(GL345&lt;&gt;"",TEXT(AUX!GP$1,"dd-MMM-aa"),"")</f>
      </c>
      <c r="GM325" s="496" t="str">
        <f> IF(GM345&lt;&gt;"",TEXT(AUX!GQ$1,"dd-MMM-aa"),"")</f>
      </c>
      <c r="GN325" s="496" t="str">
        <f> IF(GN345&lt;&gt;"",TEXT(AUX!GR$1,"dd-MMM-aa"),"")</f>
      </c>
      <c r="GO325" s="496" t="str">
        <f> IF(GO345&lt;&gt;"",TEXT(AUX!GS$1,"dd-MMM-aa"),"")</f>
      </c>
      <c r="GP325" s="496" t="str">
        <f> IF(GP345&lt;&gt;"",TEXT(AUX!GT$1,"dd-MMM-aa"),"")</f>
      </c>
      <c r="GQ325" s="496" t="str">
        <f> IF(GQ345&lt;&gt;"",TEXT(AUX!GU$1,"dd-MMM-aa"),"")</f>
      </c>
      <c r="GR325" s="496" t="str">
        <f> IF(GR345&lt;&gt;"",TEXT(AUX!GV$1,"dd-MMM-aa"),"")</f>
      </c>
      <c r="GS325" s="496" t="str">
        <f> IF(GS345&lt;&gt;"",TEXT(AUX!GW$1,"dd-MMM-aa"),"")</f>
      </c>
      <c r="GT325" s="496" t="str">
        <f> IF(GT345&lt;&gt;"",TEXT(AUX!GX$1,"dd-MMM-aa"),"")</f>
      </c>
      <c r="GU325" s="496" t="str">
        <f> IF(GU345&lt;&gt;"",TEXT(AUX!GY$1,"dd-MMM-aa"),"")</f>
      </c>
      <c r="GV325" s="496" t="str">
        <f> IF(GV345&lt;&gt;"",TEXT(AUX!GZ$1,"dd-MMM-aa"),"")</f>
      </c>
      <c r="GW325" s="496" t="str">
        <f> IF(GW345&lt;&gt;"",TEXT(AUX!HA$1,"dd-MMM-aa"),"")</f>
      </c>
      <c r="GX325" s="496" t="str">
        <f> IF(GX345&lt;&gt;"",TEXT(AUX!HB$1,"dd-MMM-aa"),"")</f>
      </c>
      <c r="GY325" s="496" t="str">
        <f> IF(GY345&lt;&gt;"",TEXT(AUX!HC$1,"dd-MMM-aa"),"")</f>
      </c>
      <c r="GZ325" s="496" t="str">
        <f> IF(GZ345&lt;&gt;"",TEXT(AUX!HD$1,"dd-MMM-aa"),"")</f>
      </c>
      <c r="HA325" s="496" t="str">
        <f> IF(HA345&lt;&gt;"",TEXT(AUX!HE$1,"dd-MMM-aa"),"")</f>
      </c>
      <c r="HB325" s="496" t="str">
        <f> IF(HB345&lt;&gt;"",TEXT(AUX!HF$1,"dd-MMM-aa"),"")</f>
      </c>
      <c r="HC325" s="496" t="str">
        <f> IF(HC345&lt;&gt;"",TEXT(AUX!HG$1,"dd-MMM-aa"),"")</f>
      </c>
      <c r="HD325" s="496" t="str">
        <f> IF(HD345&lt;&gt;"",TEXT(AUX!HH$1,"dd-MMM-aa"),"")</f>
      </c>
      <c r="HE325" s="496" t="str">
        <f> IF(HE345&lt;&gt;"",TEXT(AUX!HI$1,"dd-MMM-aa"),"")</f>
      </c>
      <c r="HF325" s="496" t="str">
        <f> IF(HF345&lt;&gt;"",TEXT(AUX!HJ$1,"dd-MMM-aa"),"")</f>
      </c>
      <c r="HG325" s="496" t="str">
        <f> IF(HG345&lt;&gt;"",TEXT(AUX!HK$1,"dd-MMM-aa"),"")</f>
      </c>
      <c r="HH325" s="496" t="str">
        <f> IF(HH345&lt;&gt;"",TEXT(AUX!HL$1,"dd-MMM-aa"),"")</f>
      </c>
      <c r="HI325" s="496" t="str">
        <f> IF(HI345&lt;&gt;"",TEXT(AUX!HM$1,"dd-MMM-aa"),"")</f>
      </c>
      <c r="HJ325" s="496" t="str">
        <f> IF(HJ345&lt;&gt;"",TEXT(AUX!HN$1,"dd-MMM-aa"),"")</f>
      </c>
      <c r="HK325" s="496" t="str">
        <f> IF(HK345&lt;&gt;"",TEXT(AUX!HO$1,"dd-MMM-aa"),"")</f>
      </c>
      <c r="HL325" s="496" t="str">
        <f> IF(HL345&lt;&gt;"",TEXT(AUX!HP$1,"dd-MMM-aa"),"")</f>
      </c>
      <c r="HM325" s="496" t="str">
        <f> IF(HM345&lt;&gt;"",TEXT(AUX!HQ$1,"dd-MMM-aa"),"")</f>
      </c>
      <c r="HN325" s="496" t="str">
        <f> IF(HN345&lt;&gt;"",TEXT(AUX!HR$1,"dd-MMM-aa"),"")</f>
      </c>
      <c r="HO325" s="496" t="str">
        <f> IF(HO345&lt;&gt;"",TEXT(AUX!HS$1,"dd-MMM-aa"),"")</f>
      </c>
      <c r="HP325" s="496" t="str">
        <f> IF(HP345&lt;&gt;"",TEXT(AUX!HT$1,"dd-MMM-aa"),"")</f>
      </c>
      <c r="HQ325" s="496" t="str">
        <f> IF(HQ345&lt;&gt;"",TEXT(AUX!HU$1,"dd-MMM-aa"),"")</f>
      </c>
      <c r="HR325" s="496" t="str">
        <f> IF(HR345&lt;&gt;"",TEXT(AUX!HV$1,"dd-MMM-aa"),"")</f>
      </c>
      <c r="HS325" s="496" t="str">
        <f> IF(HS345&lt;&gt;"",TEXT(AUX!HW$1,"dd-MMM-aa"),"")</f>
      </c>
      <c r="HT325" s="496" t="str">
        <f> IF(HT345&lt;&gt;"",TEXT(AUX!HX$1,"dd-MMM-aa"),"")</f>
      </c>
      <c r="HU325" s="496" t="str">
        <f> IF(HU345&lt;&gt;"",TEXT(AUX!HY$1,"dd-MMM-aa"),"")</f>
      </c>
      <c r="HV325" s="496" t="str">
        <f> IF(HV345&lt;&gt;"",TEXT(AUX!HZ$1,"dd-MMM-aa"),"")</f>
      </c>
      <c r="HW325" s="496" t="str">
        <f> IF(HW345&lt;&gt;"",TEXT(AUX!IA$1,"dd-MMM-aa"),"")</f>
      </c>
      <c r="HX325" s="496" t="str">
        <f> IF(HX345&lt;&gt;"",TEXT(AUX!IB$1,"dd-MMM-aa"),"")</f>
      </c>
      <c r="HY325" s="496" t="str">
        <f> IF(HY345&lt;&gt;"",TEXT(AUX!IC$1,"dd-MMM-aa"),"")</f>
      </c>
      <c r="HZ325" s="496" t="str">
        <f> IF(HZ345&lt;&gt;"",TEXT(AUX!ID$1,"dd-MMM-aa"),"")</f>
      </c>
      <c r="IA325" s="496" t="str">
        <f> IF(IA345&lt;&gt;"",TEXT(AUX!IE$1,"dd-MMM-aa"),"")</f>
      </c>
      <c r="IB325" s="496" t="str">
        <f> IF(IB345&lt;&gt;"",TEXT(AUX!IF$1,"dd-MMM-aa"),"")</f>
      </c>
      <c r="IC325" s="496" t="str">
        <f> IF(IC345&lt;&gt;"",TEXT(AUX!IG$1,"dd-MMM-aa"),"")</f>
      </c>
      <c r="ID325" s="496" t="str">
        <f> IF(ID345&lt;&gt;"",TEXT(AUX!IH$1,"dd-MMM-aa"),"")</f>
      </c>
      <c r="IE325" s="496" t="str">
        <f> IF(IE345&lt;&gt;"",TEXT(AUX!II$1,"dd-MMM-aa"),"")</f>
      </c>
      <c r="IF325" s="496" t="str">
        <f> IF(IF345&lt;&gt;"",TEXT(AUX!IJ$1,"dd-MMM-aa"),"")</f>
      </c>
      <c r="IG325" s="496" t="str">
        <f> IF(IG345&lt;&gt;"",TEXT(AUX!IK$1,"dd-MMM-aa"),"")</f>
      </c>
      <c r="IH325" s="496" t="str">
        <f> IF(IH345&lt;&gt;"",TEXT(AUX!IL$1,"dd-MMM-aa"),"")</f>
      </c>
      <c r="II325" s="496" t="str">
        <f> IF(II345&lt;&gt;"",TEXT(AUX!IM$1,"dd-MMM-aa"),"")</f>
      </c>
      <c r="IJ325" s="496" t="str">
        <f> IF(IJ345&lt;&gt;"",TEXT(AUX!IN$1,"dd-MMM-aa"),"")</f>
      </c>
      <c r="IK325" s="496" t="str">
        <f> IF(IK345&lt;&gt;"",TEXT(AUX!IO$1,"dd-MMM-aa"),"")</f>
      </c>
      <c r="IL325" s="496" t="str">
        <f> IF(IL345&lt;&gt;"",TEXT(AUX!IP$1,"dd-MMM-aa"),"")</f>
      </c>
      <c r="IM325" s="496" t="str">
        <f> IF(IM345&lt;&gt;"",TEXT(AUX!IQ$1,"dd-MMM-aa"),"")</f>
      </c>
      <c r="IN325" s="496" t="str">
        <f> IF(IN345&lt;&gt;"",TEXT(AUX!IR$1,"dd-MMM-aa"),"")</f>
      </c>
      <c r="IO325" s="496" t="str">
        <f> IF(IO345&lt;&gt;"",TEXT(AUX!IS$1,"dd-MMM-aa"),"")</f>
      </c>
      <c r="IP325" s="496" t="str">
        <f> IF(IP345&lt;&gt;"",TEXT(AUX!IT$1,"dd-MMM-aa"),"")</f>
      </c>
      <c r="IQ325" s="496" t="str">
        <f> IF(IQ345&lt;&gt;"",TEXT(AUX!IU$1,"dd-MMM-aa"),"")</f>
      </c>
      <c r="IR325" s="496" t="str">
        <f> IF(IR345&lt;&gt;"",TEXT(AUX!IV$1,"dd-MMM-aa"),"")</f>
      </c>
      <c r="IS325" s="496" t="str">
        <f> IF(IS345&lt;&gt;"",TEXT(AUX!#REF!,"dd-MMM-aa"),"")</f>
      </c>
      <c r="IT325" s="496" t="str">
        <f> IF(IT345&lt;&gt;"",TEXT(AUX!#REF!,"dd-MMM-aa"),"")</f>
      </c>
      <c r="IU325" s="496" t="str">
        <f> IF(IU345&lt;&gt;"",TEXT(AUX!#REF!,"dd-MMM-aa"),"")</f>
      </c>
      <c r="IV325" s="496" t="str">
        <f> IF(IV345&lt;&gt;"",TEXT(AUX!#REF!,"dd-MMM-aa"),"")</f>
      </c>
    </row>
    <row r="326" hidden="1">
      <c r="B326" s="822" t="s">
        <v>8</v>
      </c>
      <c r="C326" s="823">
        <v>13525</v>
      </c>
      <c r="D326" s="823">
        <v>13373</v>
      </c>
      <c r="E326" s="823">
        <v>13108</v>
      </c>
      <c r="F326" s="823">
        <v>12929</v>
      </c>
      <c r="G326" s="823">
        <v>10879</v>
      </c>
      <c r="H326" s="823">
        <v>10854</v>
      </c>
      <c r="I326" s="823">
        <v>10656</v>
      </c>
      <c r="J326" s="823">
        <v>10574</v>
      </c>
      <c r="K326" s="823">
        <v>10319</v>
      </c>
      <c r="L326" s="823">
        <v>10405</v>
      </c>
      <c r="M326" s="823">
        <v>10350</v>
      </c>
      <c r="N326" s="823">
        <v>10401</v>
      </c>
      <c r="O326" s="823">
        <v>10325</v>
      </c>
      <c r="P326" s="823">
        <v>10380</v>
      </c>
      <c r="Q326" s="823">
        <v>10345</v>
      </c>
      <c r="R326" s="823">
        <v>10354</v>
      </c>
      <c r="S326" s="823">
        <v>10344</v>
      </c>
      <c r="T326" s="823">
        <v>10320</v>
      </c>
      <c r="U326" s="823">
        <v>10328</v>
      </c>
      <c r="V326" s="823">
        <v>10400</v>
      </c>
      <c r="W326" s="823">
        <v>10324</v>
      </c>
      <c r="X326" s="823">
        <v>10265</v>
      </c>
      <c r="Y326" s="823">
        <v>10258</v>
      </c>
      <c r="Z326" s="823">
        <v>10257</v>
      </c>
      <c r="AA326" s="823">
        <v>10159</v>
      </c>
      <c r="AB326" s="824">
        <v>9911</v>
      </c>
      <c r="AC326" s="825">
        <v>9901</v>
      </c>
      <c r="AD326" s="825">
        <v>9949</v>
      </c>
      <c r="AE326" s="825">
        <v>9974</v>
      </c>
      <c r="AF326" s="825">
        <v>10007</v>
      </c>
      <c r="AG326" s="825">
        <v>9931</v>
      </c>
      <c r="AH326" s="825">
        <v>9917</v>
      </c>
      <c r="AI326" s="825">
        <v>9792</v>
      </c>
      <c r="AJ326" s="825">
        <v>9810</v>
      </c>
      <c r="AK326" s="825">
        <v>9713</v>
      </c>
      <c r="AL326" s="825">
        <v>9744</v>
      </c>
      <c r="AM326" s="825">
        <v>8685</v>
      </c>
      <c r="AN326" s="825">
        <v>8517</v>
      </c>
      <c r="AO326" s="825">
        <v>8444</v>
      </c>
      <c r="AP326" s="825">
        <v>8415</v>
      </c>
    </row>
    <row r="327" hidden="1">
      <c r="B327" s="826" t="s">
        <v>9</v>
      </c>
      <c r="C327" s="827">
        <v>4383</v>
      </c>
      <c r="D327" s="827">
        <v>4399</v>
      </c>
      <c r="E327" s="827">
        <v>4410</v>
      </c>
      <c r="F327" s="827">
        <v>4404</v>
      </c>
      <c r="G327" s="827">
        <v>4359</v>
      </c>
      <c r="H327" s="827">
        <v>4378</v>
      </c>
      <c r="I327" s="827">
        <v>4255</v>
      </c>
      <c r="J327" s="827">
        <v>4283</v>
      </c>
      <c r="K327" s="827">
        <v>4265</v>
      </c>
      <c r="L327" s="827">
        <v>4280</v>
      </c>
      <c r="M327" s="827">
        <v>4266</v>
      </c>
      <c r="N327" s="827">
        <v>4261</v>
      </c>
      <c r="O327" s="827">
        <v>4206</v>
      </c>
      <c r="P327" s="827">
        <v>4216</v>
      </c>
      <c r="Q327" s="827">
        <v>3902</v>
      </c>
      <c r="R327" s="827">
        <v>3932</v>
      </c>
      <c r="S327" s="827">
        <v>3989</v>
      </c>
      <c r="T327" s="827">
        <v>4040</v>
      </c>
      <c r="U327" s="827">
        <v>4061</v>
      </c>
      <c r="V327" s="827">
        <v>4045</v>
      </c>
      <c r="W327" s="827">
        <v>4082</v>
      </c>
      <c r="X327" s="827">
        <v>4152</v>
      </c>
      <c r="Y327" s="827">
        <v>4174</v>
      </c>
      <c r="Z327" s="827">
        <v>4208</v>
      </c>
      <c r="AA327" s="827">
        <v>4216</v>
      </c>
      <c r="AB327" s="827">
        <v>4215</v>
      </c>
      <c r="AC327" s="828">
        <v>4252</v>
      </c>
      <c r="AD327" s="828">
        <v>4299</v>
      </c>
      <c r="AE327" s="828">
        <v>4316</v>
      </c>
      <c r="AF327" s="828">
        <v>4325</v>
      </c>
      <c r="AG327" s="828">
        <v>4351</v>
      </c>
      <c r="AH327" s="828">
        <v>4380</v>
      </c>
      <c r="AI327" s="828">
        <v>2253</v>
      </c>
      <c r="AJ327" s="828">
        <v>4429</v>
      </c>
      <c r="AK327" s="828">
        <v>4457</v>
      </c>
      <c r="AL327" s="828">
        <v>4531</v>
      </c>
      <c r="AM327" s="828">
        <v>4461</v>
      </c>
      <c r="AN327" s="828">
        <v>4449</v>
      </c>
      <c r="AO327" s="828">
        <v>4456</v>
      </c>
      <c r="AP327" s="828">
        <v>4453</v>
      </c>
    </row>
    <row r="328" hidden="1">
      <c r="B328" s="829" t="s">
        <v>10</v>
      </c>
      <c r="C328" s="823">
        <v>31201</v>
      </c>
      <c r="D328" s="823">
        <v>31094</v>
      </c>
      <c r="E328" s="823">
        <v>24722</v>
      </c>
      <c r="F328" s="823">
        <v>24808</v>
      </c>
      <c r="G328" s="823">
        <v>22732</v>
      </c>
      <c r="H328" s="823">
        <v>22890</v>
      </c>
      <c r="I328" s="823">
        <v>21636</v>
      </c>
      <c r="J328" s="823">
        <v>21728</v>
      </c>
      <c r="K328" s="823">
        <v>20995</v>
      </c>
      <c r="L328" s="823">
        <v>21093</v>
      </c>
      <c r="M328" s="823">
        <v>20285</v>
      </c>
      <c r="N328" s="823">
        <v>20642</v>
      </c>
      <c r="O328" s="823">
        <v>19921</v>
      </c>
      <c r="P328" s="823">
        <v>20057</v>
      </c>
      <c r="Q328" s="823">
        <v>19372</v>
      </c>
      <c r="R328" s="823">
        <v>19553</v>
      </c>
      <c r="S328" s="823">
        <v>18948</v>
      </c>
      <c r="T328" s="823">
        <v>19066</v>
      </c>
      <c r="U328" s="823">
        <v>18592</v>
      </c>
      <c r="V328" s="823">
        <v>18112</v>
      </c>
      <c r="W328" s="823">
        <v>18312</v>
      </c>
      <c r="X328" s="823">
        <v>17765</v>
      </c>
      <c r="Y328" s="823">
        <v>17917</v>
      </c>
      <c r="Z328" s="823">
        <v>17427</v>
      </c>
      <c r="AA328" s="823">
        <v>17569</v>
      </c>
      <c r="AB328" s="823">
        <v>16921</v>
      </c>
      <c r="AC328" s="825">
        <v>17026</v>
      </c>
      <c r="AD328" s="825">
        <v>16451</v>
      </c>
      <c r="AE328" s="825">
        <v>16615</v>
      </c>
      <c r="AF328" s="825">
        <v>16126</v>
      </c>
      <c r="AG328" s="825">
        <v>16324</v>
      </c>
      <c r="AH328" s="825">
        <v>15319</v>
      </c>
      <c r="AI328" s="825">
        <v>15455</v>
      </c>
      <c r="AJ328" s="825">
        <v>15471</v>
      </c>
      <c r="AK328" s="825">
        <v>15592</v>
      </c>
      <c r="AL328" s="825">
        <v>14885</v>
      </c>
      <c r="AM328" s="825">
        <v>15015</v>
      </c>
      <c r="AN328" s="825">
        <v>14006</v>
      </c>
      <c r="AO328" s="825">
        <v>14133</v>
      </c>
      <c r="AP328" s="825">
        <v>13534</v>
      </c>
    </row>
    <row r="329" hidden="1">
      <c r="B329" s="826" t="s">
        <v>11</v>
      </c>
      <c r="C329" s="827">
        <v>1006</v>
      </c>
      <c r="D329" s="827">
        <v>1014</v>
      </c>
      <c r="E329" s="827">
        <v>991</v>
      </c>
      <c r="F329" s="827">
        <v>1007</v>
      </c>
      <c r="G329" s="827">
        <v>949</v>
      </c>
      <c r="H329" s="827">
        <v>947</v>
      </c>
      <c r="I329" s="827">
        <v>929</v>
      </c>
      <c r="J329" s="827">
        <v>912</v>
      </c>
      <c r="K329" s="827">
        <v>889</v>
      </c>
      <c r="L329" s="827">
        <v>904</v>
      </c>
      <c r="M329" s="827">
        <v>897</v>
      </c>
      <c r="N329" s="827">
        <v>915</v>
      </c>
      <c r="O329" s="827">
        <v>926</v>
      </c>
      <c r="P329" s="827">
        <v>937</v>
      </c>
      <c r="Q329" s="827">
        <v>949</v>
      </c>
      <c r="R329" s="827">
        <v>965</v>
      </c>
      <c r="S329" s="827">
        <v>970</v>
      </c>
      <c r="T329" s="827">
        <v>975</v>
      </c>
      <c r="U329" s="827">
        <v>970</v>
      </c>
      <c r="V329" s="827">
        <v>988</v>
      </c>
      <c r="W329" s="827">
        <v>959</v>
      </c>
      <c r="X329" s="827">
        <v>966</v>
      </c>
      <c r="Y329" s="827">
        <v>952</v>
      </c>
      <c r="Z329" s="827">
        <v>970</v>
      </c>
      <c r="AA329" s="827">
        <v>949</v>
      </c>
      <c r="AB329" s="827">
        <v>962</v>
      </c>
      <c r="AC329" s="828">
        <v>967</v>
      </c>
      <c r="AD329" s="828">
        <v>971</v>
      </c>
      <c r="AE329" s="828">
        <v>972</v>
      </c>
      <c r="AF329" s="828">
        <v>984</v>
      </c>
      <c r="AG329" s="828">
        <v>942</v>
      </c>
      <c r="AH329" s="828">
        <v>955</v>
      </c>
      <c r="AI329" s="828">
        <v>787</v>
      </c>
      <c r="AJ329" s="828">
        <v>981</v>
      </c>
      <c r="AK329" s="828">
        <v>975</v>
      </c>
      <c r="AL329" s="828">
        <v>982</v>
      </c>
      <c r="AM329" s="828">
        <v>951</v>
      </c>
      <c r="AN329" s="828">
        <v>937</v>
      </c>
      <c r="AO329" s="828">
        <v>905</v>
      </c>
      <c r="AP329" s="828">
        <v>901</v>
      </c>
    </row>
    <row r="330" hidden="1">
      <c r="B330" s="829" t="s">
        <v>12</v>
      </c>
      <c r="C330" s="823">
        <v>2236</v>
      </c>
      <c r="D330" s="823">
        <v>2231</v>
      </c>
      <c r="E330" s="823">
        <v>2193</v>
      </c>
      <c r="F330" s="823">
        <v>1579</v>
      </c>
      <c r="G330" s="823">
        <v>1590</v>
      </c>
      <c r="H330" s="823">
        <v>1610</v>
      </c>
      <c r="I330" s="823">
        <v>1472</v>
      </c>
      <c r="J330" s="823">
        <v>1468</v>
      </c>
      <c r="K330" s="823">
        <v>1442</v>
      </c>
      <c r="L330" s="823">
        <v>1453</v>
      </c>
      <c r="M330" s="823">
        <v>1452</v>
      </c>
      <c r="N330" s="823">
        <v>1451</v>
      </c>
      <c r="O330" s="823">
        <v>1415</v>
      </c>
      <c r="P330" s="823">
        <v>1417</v>
      </c>
      <c r="Q330" s="823">
        <v>1411</v>
      </c>
      <c r="R330" s="823">
        <v>1383</v>
      </c>
      <c r="S330" s="823">
        <v>1356</v>
      </c>
      <c r="T330" s="823">
        <v>1338</v>
      </c>
      <c r="U330" s="823">
        <v>1308</v>
      </c>
      <c r="V330" s="823">
        <v>1296</v>
      </c>
      <c r="W330" s="823">
        <v>1258</v>
      </c>
      <c r="X330" s="823">
        <v>1249</v>
      </c>
      <c r="Y330" s="823">
        <v>1224</v>
      </c>
      <c r="Z330" s="823">
        <v>1169</v>
      </c>
      <c r="AA330" s="823">
        <v>1128</v>
      </c>
      <c r="AB330" s="823">
        <v>1121</v>
      </c>
      <c r="AC330" s="825">
        <v>1119</v>
      </c>
      <c r="AD330" s="825">
        <v>1103</v>
      </c>
      <c r="AE330" s="825">
        <v>1085</v>
      </c>
      <c r="AF330" s="825">
        <v>1068</v>
      </c>
      <c r="AG330" s="825">
        <v>1051</v>
      </c>
      <c r="AH330" s="825">
        <v>1015</v>
      </c>
      <c r="AI330" s="825">
        <v>999</v>
      </c>
      <c r="AJ330" s="825">
        <v>987</v>
      </c>
      <c r="AK330" s="825">
        <v>970</v>
      </c>
      <c r="AL330" s="825">
        <v>841</v>
      </c>
      <c r="AM330" s="825">
        <v>715</v>
      </c>
      <c r="AN330" s="825">
        <v>691</v>
      </c>
      <c r="AO330" s="825">
        <v>673</v>
      </c>
      <c r="AP330" s="825">
        <v>644</v>
      </c>
    </row>
    <row r="331" hidden="1">
      <c r="B331" s="826" t="s">
        <v>13</v>
      </c>
      <c r="C331" s="827">
        <v>12069</v>
      </c>
      <c r="D331" s="827">
        <v>12115</v>
      </c>
      <c r="E331" s="827">
        <v>12038</v>
      </c>
      <c r="F331" s="827">
        <v>11498</v>
      </c>
      <c r="G331" s="827">
        <v>11461</v>
      </c>
      <c r="H331" s="827">
        <v>11525</v>
      </c>
      <c r="I331" s="827">
        <v>10258</v>
      </c>
      <c r="J331" s="827">
        <v>10344</v>
      </c>
      <c r="K331" s="827">
        <v>10370</v>
      </c>
      <c r="L331" s="827">
        <v>10434</v>
      </c>
      <c r="M331" s="827">
        <v>10467</v>
      </c>
      <c r="N331" s="827">
        <v>10546</v>
      </c>
      <c r="O331" s="827">
        <v>10602</v>
      </c>
      <c r="P331" s="827">
        <v>10650</v>
      </c>
      <c r="Q331" s="827">
        <v>10717</v>
      </c>
      <c r="R331" s="827">
        <v>10787</v>
      </c>
      <c r="S331" s="827">
        <v>10856</v>
      </c>
      <c r="T331" s="827">
        <v>10927</v>
      </c>
      <c r="U331" s="827">
        <v>11002</v>
      </c>
      <c r="V331" s="827">
        <v>11054</v>
      </c>
      <c r="W331" s="827">
        <v>11014</v>
      </c>
      <c r="X331" s="827">
        <v>10532</v>
      </c>
      <c r="Y331" s="827">
        <v>10561</v>
      </c>
      <c r="Z331" s="827">
        <v>10606</v>
      </c>
      <c r="AA331" s="827">
        <v>10644</v>
      </c>
      <c r="AB331" s="827">
        <v>10682</v>
      </c>
      <c r="AC331" s="828">
        <v>10692</v>
      </c>
      <c r="AD331" s="828">
        <v>10732</v>
      </c>
      <c r="AE331" s="828">
        <v>10741</v>
      </c>
      <c r="AF331" s="828">
        <v>10784</v>
      </c>
      <c r="AG331" s="828">
        <v>10825</v>
      </c>
      <c r="AH331" s="828">
        <v>10854</v>
      </c>
      <c r="AI331" s="828">
        <v>10863</v>
      </c>
      <c r="AJ331" s="828">
        <v>10880</v>
      </c>
      <c r="AK331" s="828">
        <v>10885</v>
      </c>
      <c r="AL331" s="828">
        <v>9248</v>
      </c>
      <c r="AM331" s="828">
        <v>9391</v>
      </c>
      <c r="AN331" s="828">
        <v>9486</v>
      </c>
      <c r="AO331" s="828">
        <v>9490</v>
      </c>
      <c r="AP331" s="828">
        <v>9486</v>
      </c>
    </row>
    <row r="332" hidden="1">
      <c r="B332" s="829" t="s">
        <v>109</v>
      </c>
      <c r="C332" s="823">
        <v>5721</v>
      </c>
      <c r="D332" s="823">
        <v>5212</v>
      </c>
      <c r="E332" s="823">
        <v>4956</v>
      </c>
      <c r="F332" s="823">
        <v>4821</v>
      </c>
      <c r="G332" s="823">
        <v>4791</v>
      </c>
      <c r="H332" s="823">
        <v>4614</v>
      </c>
      <c r="I332" s="823">
        <v>4579</v>
      </c>
      <c r="J332" s="823">
        <v>4579</v>
      </c>
      <c r="K332" s="823">
        <v>4535</v>
      </c>
      <c r="L332" s="823">
        <v>4520</v>
      </c>
      <c r="M332" s="823">
        <v>4542</v>
      </c>
      <c r="N332" s="823">
        <v>4502</v>
      </c>
      <c r="O332" s="823">
        <v>4427</v>
      </c>
      <c r="P332" s="823">
        <v>4458</v>
      </c>
      <c r="Q332" s="823">
        <v>4506</v>
      </c>
      <c r="R332" s="823">
        <v>4539</v>
      </c>
      <c r="S332" s="823">
        <v>4511</v>
      </c>
      <c r="T332" s="823">
        <v>4539</v>
      </c>
      <c r="U332" s="823">
        <v>4563</v>
      </c>
      <c r="V332" s="823">
        <v>4573</v>
      </c>
      <c r="W332" s="823">
        <v>4589</v>
      </c>
      <c r="X332" s="823">
        <v>4410</v>
      </c>
      <c r="Y332" s="823">
        <v>4437</v>
      </c>
      <c r="Z332" s="823">
        <v>4420</v>
      </c>
      <c r="AA332" s="823">
        <v>4347</v>
      </c>
      <c r="AB332" s="823">
        <v>4430</v>
      </c>
      <c r="AC332" s="825">
        <v>4253</v>
      </c>
      <c r="AD332" s="825">
        <v>4301</v>
      </c>
      <c r="AE332" s="825">
        <v>4335</v>
      </c>
      <c r="AF332" s="825">
        <v>4363</v>
      </c>
      <c r="AG332" s="825">
        <v>4375</v>
      </c>
      <c r="AH332" s="825">
        <v>4380</v>
      </c>
      <c r="AI332" s="825">
        <v>3317</v>
      </c>
      <c r="AJ332" s="825">
        <v>4203</v>
      </c>
      <c r="AK332" s="825">
        <v>4214</v>
      </c>
      <c r="AL332" s="825">
        <v>4230</v>
      </c>
      <c r="AM332" s="825">
        <v>4030</v>
      </c>
      <c r="AN332" s="825">
        <v>4074</v>
      </c>
      <c r="AO332" s="825">
        <v>4143</v>
      </c>
      <c r="AP332" s="825">
        <v>4194</v>
      </c>
    </row>
    <row r="333" hidden="1">
      <c r="B333" s="826" t="s">
        <v>110</v>
      </c>
      <c r="C333" s="827">
        <v>31086</v>
      </c>
      <c r="D333" s="827">
        <v>31138</v>
      </c>
      <c r="E333" s="827">
        <v>30889</v>
      </c>
      <c r="F333" s="827">
        <v>30798</v>
      </c>
      <c r="G333" s="827">
        <v>30464</v>
      </c>
      <c r="H333" s="827">
        <v>30453</v>
      </c>
      <c r="I333" s="827">
        <v>26093</v>
      </c>
      <c r="J333" s="827">
        <v>25735</v>
      </c>
      <c r="K333" s="827">
        <v>25827</v>
      </c>
      <c r="L333" s="827">
        <v>25601</v>
      </c>
      <c r="M333" s="827">
        <v>25581</v>
      </c>
      <c r="N333" s="827">
        <v>25105</v>
      </c>
      <c r="O333" s="827">
        <v>24921</v>
      </c>
      <c r="P333" s="827">
        <v>24156</v>
      </c>
      <c r="Q333" s="827">
        <v>24351</v>
      </c>
      <c r="R333" s="827">
        <v>24057</v>
      </c>
      <c r="S333" s="827">
        <v>24403</v>
      </c>
      <c r="T333" s="827">
        <v>24128</v>
      </c>
      <c r="U333" s="827">
        <v>24043</v>
      </c>
      <c r="V333" s="827">
        <v>24208</v>
      </c>
      <c r="W333" s="827">
        <v>24043</v>
      </c>
      <c r="X333" s="827">
        <v>24111</v>
      </c>
      <c r="Y333" s="827">
        <v>24125</v>
      </c>
      <c r="Z333" s="827">
        <v>24060</v>
      </c>
      <c r="AA333" s="827">
        <v>23814</v>
      </c>
      <c r="AB333" s="827">
        <v>23909</v>
      </c>
      <c r="AC333" s="828">
        <v>23153</v>
      </c>
      <c r="AD333" s="828">
        <v>23147</v>
      </c>
      <c r="AE333" s="828">
        <v>23180</v>
      </c>
      <c r="AF333" s="828">
        <v>22932</v>
      </c>
      <c r="AG333" s="828">
        <v>23002</v>
      </c>
      <c r="AH333" s="828">
        <v>22974</v>
      </c>
      <c r="AI333" s="828">
        <v>22802</v>
      </c>
      <c r="AJ333" s="828">
        <v>22639</v>
      </c>
      <c r="AK333" s="828">
        <v>22557</v>
      </c>
      <c r="AL333" s="828">
        <v>22420</v>
      </c>
      <c r="AM333" s="828">
        <v>22236</v>
      </c>
      <c r="AN333" s="828">
        <v>22159</v>
      </c>
      <c r="AO333" s="828">
        <v>21913</v>
      </c>
      <c r="AP333" s="828">
        <v>21856</v>
      </c>
    </row>
    <row r="334" hidden="1">
      <c r="B334" s="829" t="s">
        <v>16</v>
      </c>
      <c r="C334" s="823">
        <v>7900</v>
      </c>
      <c r="D334" s="823">
        <v>7875</v>
      </c>
      <c r="E334" s="823">
        <v>7790</v>
      </c>
      <c r="F334" s="823">
        <v>7719</v>
      </c>
      <c r="G334" s="823">
        <v>7544</v>
      </c>
      <c r="H334" s="823">
        <v>7454</v>
      </c>
      <c r="I334" s="823">
        <v>7316</v>
      </c>
      <c r="J334" s="823">
        <v>7071</v>
      </c>
      <c r="K334" s="823">
        <v>7010</v>
      </c>
      <c r="L334" s="823">
        <v>6998</v>
      </c>
      <c r="M334" s="823">
        <v>6968</v>
      </c>
      <c r="N334" s="823">
        <v>6937</v>
      </c>
      <c r="O334" s="823">
        <v>6794</v>
      </c>
      <c r="P334" s="823">
        <v>6761</v>
      </c>
      <c r="Q334" s="823">
        <v>6707</v>
      </c>
      <c r="R334" s="823">
        <v>6619</v>
      </c>
      <c r="S334" s="823">
        <v>6591</v>
      </c>
      <c r="T334" s="823">
        <v>6617</v>
      </c>
      <c r="U334" s="823">
        <v>6591</v>
      </c>
      <c r="V334" s="823">
        <v>6595</v>
      </c>
      <c r="W334" s="823">
        <v>6639</v>
      </c>
      <c r="X334" s="823">
        <v>6631</v>
      </c>
      <c r="Y334" s="823">
        <v>6594</v>
      </c>
      <c r="Z334" s="823">
        <v>6607</v>
      </c>
      <c r="AA334" s="823">
        <v>6634</v>
      </c>
      <c r="AB334" s="823">
        <v>6631</v>
      </c>
      <c r="AC334" s="825">
        <v>6611</v>
      </c>
      <c r="AD334" s="825">
        <v>6591</v>
      </c>
      <c r="AE334" s="825">
        <v>6578</v>
      </c>
      <c r="AF334" s="825">
        <v>6606</v>
      </c>
      <c r="AG334" s="825">
        <v>6618</v>
      </c>
      <c r="AH334" s="825">
        <v>6636</v>
      </c>
      <c r="AI334" s="825">
        <v>4234</v>
      </c>
      <c r="AJ334" s="825">
        <v>6624</v>
      </c>
      <c r="AK334" s="825">
        <v>6639</v>
      </c>
      <c r="AL334" s="825">
        <v>6599</v>
      </c>
      <c r="AM334" s="825">
        <v>6564</v>
      </c>
      <c r="AN334" s="825">
        <v>6574</v>
      </c>
      <c r="AO334" s="825">
        <v>6554</v>
      </c>
      <c r="AP334" s="825">
        <v>6497</v>
      </c>
    </row>
    <row r="335" hidden="1">
      <c r="B335" s="826" t="s">
        <v>17</v>
      </c>
      <c r="C335" s="827">
        <v>17034</v>
      </c>
      <c r="D335" s="827">
        <v>16498</v>
      </c>
      <c r="E335" s="827">
        <v>16367</v>
      </c>
      <c r="F335" s="827">
        <v>16463</v>
      </c>
      <c r="G335" s="827">
        <v>13814</v>
      </c>
      <c r="H335" s="827">
        <v>13978</v>
      </c>
      <c r="I335" s="827">
        <v>12867</v>
      </c>
      <c r="J335" s="827">
        <v>12947</v>
      </c>
      <c r="K335" s="827">
        <v>13102</v>
      </c>
      <c r="L335" s="827">
        <v>13242</v>
      </c>
      <c r="M335" s="827">
        <v>13342</v>
      </c>
      <c r="N335" s="827">
        <v>13462</v>
      </c>
      <c r="O335" s="827">
        <v>13561</v>
      </c>
      <c r="P335" s="827">
        <v>13613</v>
      </c>
      <c r="Q335" s="827">
        <v>13707</v>
      </c>
      <c r="R335" s="827">
        <v>13827</v>
      </c>
      <c r="S335" s="827">
        <v>13102</v>
      </c>
      <c r="T335" s="827">
        <v>13282</v>
      </c>
      <c r="U335" s="827">
        <v>13706</v>
      </c>
      <c r="V335" s="827">
        <v>13989</v>
      </c>
      <c r="W335" s="827">
        <v>13883</v>
      </c>
      <c r="X335" s="827">
        <v>13927</v>
      </c>
      <c r="Y335" s="827">
        <v>14303</v>
      </c>
      <c r="Z335" s="827">
        <v>14515</v>
      </c>
      <c r="AA335" s="827">
        <v>14728</v>
      </c>
      <c r="AB335" s="827">
        <v>14965</v>
      </c>
      <c r="AC335" s="828">
        <v>15130</v>
      </c>
      <c r="AD335" s="828">
        <v>15234</v>
      </c>
      <c r="AE335" s="828">
        <v>15372</v>
      </c>
      <c r="AF335" s="828">
        <v>15499</v>
      </c>
      <c r="AG335" s="828">
        <v>15651</v>
      </c>
      <c r="AH335" s="828">
        <v>15732</v>
      </c>
      <c r="AI335" s="828">
        <v>15728</v>
      </c>
      <c r="AJ335" s="828">
        <v>15876</v>
      </c>
      <c r="AK335" s="828">
        <v>15918</v>
      </c>
      <c r="AL335" s="828">
        <v>15961</v>
      </c>
      <c r="AM335" s="828">
        <v>15991</v>
      </c>
      <c r="AN335" s="828">
        <v>15999</v>
      </c>
      <c r="AO335" s="828">
        <v>16000</v>
      </c>
      <c r="AP335" s="828">
        <v>15994</v>
      </c>
    </row>
    <row r="336" hidden="1">
      <c r="B336" s="829" t="s">
        <v>18</v>
      </c>
      <c r="C336" s="823">
        <v>75784</v>
      </c>
      <c r="D336" s="823">
        <v>63953</v>
      </c>
      <c r="E336" s="823">
        <v>64892</v>
      </c>
      <c r="F336" s="823">
        <v>65315</v>
      </c>
      <c r="G336" s="823">
        <v>59191</v>
      </c>
      <c r="H336" s="823">
        <v>59339</v>
      </c>
      <c r="I336" s="823">
        <v>55277</v>
      </c>
      <c r="J336" s="823">
        <v>54261</v>
      </c>
      <c r="K336" s="823">
        <v>53473</v>
      </c>
      <c r="L336" s="823">
        <v>51672</v>
      </c>
      <c r="M336" s="823">
        <v>50230</v>
      </c>
      <c r="N336" s="823">
        <v>49229</v>
      </c>
      <c r="O336" s="823">
        <v>48153</v>
      </c>
      <c r="P336" s="823">
        <v>47584</v>
      </c>
      <c r="Q336" s="823">
        <v>46843</v>
      </c>
      <c r="R336" s="823">
        <v>46448</v>
      </c>
      <c r="S336" s="823">
        <v>46121</v>
      </c>
      <c r="T336" s="823">
        <v>45431</v>
      </c>
      <c r="U336" s="823">
        <v>44973</v>
      </c>
      <c r="V336" s="823">
        <v>44040</v>
      </c>
      <c r="W336" s="823">
        <v>43434</v>
      </c>
      <c r="X336" s="823">
        <v>43025</v>
      </c>
      <c r="Y336" s="823">
        <v>41053</v>
      </c>
      <c r="Z336" s="823">
        <v>40674</v>
      </c>
      <c r="AA336" s="823">
        <v>39858</v>
      </c>
      <c r="AB336" s="823">
        <v>39635</v>
      </c>
      <c r="AC336" s="825">
        <v>39905</v>
      </c>
      <c r="AD336" s="825">
        <v>39706</v>
      </c>
      <c r="AE336" s="825">
        <v>39987</v>
      </c>
      <c r="AF336" s="825">
        <v>40430</v>
      </c>
      <c r="AG336" s="825">
        <v>40620</v>
      </c>
      <c r="AH336" s="825">
        <v>40610</v>
      </c>
      <c r="AI336" s="825">
        <v>30030</v>
      </c>
      <c r="AJ336" s="825">
        <v>32740</v>
      </c>
      <c r="AK336" s="825">
        <v>30258</v>
      </c>
      <c r="AL336" s="825">
        <v>29897</v>
      </c>
      <c r="AM336" s="825">
        <v>28878</v>
      </c>
      <c r="AN336" s="825">
        <v>28554</v>
      </c>
      <c r="AO336" s="825">
        <v>27022</v>
      </c>
      <c r="AP336" s="825">
        <v>26433</v>
      </c>
    </row>
    <row r="337" hidden="1">
      <c r="B337" s="826" t="s">
        <v>19</v>
      </c>
      <c r="C337" s="827">
        <v>2005</v>
      </c>
      <c r="D337" s="827">
        <v>2051</v>
      </c>
      <c r="E337" s="827">
        <v>2062</v>
      </c>
      <c r="F337" s="827">
        <v>2031</v>
      </c>
      <c r="G337" s="827">
        <v>2082</v>
      </c>
      <c r="H337" s="827">
        <v>2131</v>
      </c>
      <c r="I337" s="827">
        <v>1985</v>
      </c>
      <c r="J337" s="827">
        <v>2018</v>
      </c>
      <c r="K337" s="827">
        <v>2019</v>
      </c>
      <c r="L337" s="827">
        <v>1992</v>
      </c>
      <c r="M337" s="827">
        <v>1755</v>
      </c>
      <c r="N337" s="827">
        <v>1778</v>
      </c>
      <c r="O337" s="827">
        <v>1823</v>
      </c>
      <c r="P337" s="827">
        <v>1815</v>
      </c>
      <c r="Q337" s="827">
        <v>1805</v>
      </c>
      <c r="R337" s="827">
        <v>1834</v>
      </c>
      <c r="S337" s="827">
        <v>1860</v>
      </c>
      <c r="T337" s="827">
        <v>1874</v>
      </c>
      <c r="U337" s="827">
        <v>1920</v>
      </c>
      <c r="V337" s="827">
        <v>1934</v>
      </c>
      <c r="W337" s="827">
        <v>1957</v>
      </c>
      <c r="X337" s="827">
        <v>1951</v>
      </c>
      <c r="Y337" s="827">
        <v>1971</v>
      </c>
      <c r="Z337" s="827">
        <v>2002</v>
      </c>
      <c r="AA337" s="827">
        <v>1981</v>
      </c>
      <c r="AB337" s="827">
        <v>1952</v>
      </c>
      <c r="AC337" s="828">
        <v>2006</v>
      </c>
      <c r="AD337" s="828">
        <v>1979</v>
      </c>
      <c r="AE337" s="828">
        <v>1990</v>
      </c>
      <c r="AF337" s="828">
        <v>2005</v>
      </c>
      <c r="AG337" s="828">
        <v>2030</v>
      </c>
      <c r="AH337" s="828">
        <v>2081</v>
      </c>
      <c r="AI337" s="828">
        <v>2189</v>
      </c>
      <c r="AJ337" s="828">
        <v>2226</v>
      </c>
      <c r="AK337" s="828">
        <v>2252</v>
      </c>
      <c r="AL337" s="828">
        <v>2338</v>
      </c>
      <c r="AM337" s="828">
        <v>2355</v>
      </c>
      <c r="AN337" s="828">
        <v>2377</v>
      </c>
      <c r="AO337" s="828">
        <v>2458</v>
      </c>
      <c r="AP337" s="828">
        <v>2619</v>
      </c>
    </row>
    <row r="338" hidden="1">
      <c r="B338" s="829" t="s">
        <v>20</v>
      </c>
      <c r="C338" s="823">
        <v>677</v>
      </c>
      <c r="D338" s="823">
        <v>677</v>
      </c>
      <c r="E338" s="823">
        <v>679</v>
      </c>
      <c r="F338" s="823">
        <v>612</v>
      </c>
      <c r="G338" s="823">
        <v>567</v>
      </c>
      <c r="H338" s="823">
        <v>571</v>
      </c>
      <c r="I338" s="823">
        <v>584</v>
      </c>
      <c r="J338" s="823">
        <v>594</v>
      </c>
      <c r="K338" s="823">
        <v>595</v>
      </c>
      <c r="L338" s="823">
        <v>573</v>
      </c>
      <c r="M338" s="823">
        <v>581</v>
      </c>
      <c r="N338" s="823">
        <v>524</v>
      </c>
      <c r="O338" s="823">
        <v>533</v>
      </c>
      <c r="P338" s="823">
        <v>543</v>
      </c>
      <c r="Q338" s="823">
        <v>546</v>
      </c>
      <c r="R338" s="823">
        <v>550</v>
      </c>
      <c r="S338" s="823">
        <v>509</v>
      </c>
      <c r="T338" s="823">
        <v>520</v>
      </c>
      <c r="U338" s="823">
        <v>521</v>
      </c>
      <c r="V338" s="823">
        <v>522</v>
      </c>
      <c r="W338" s="823">
        <v>530</v>
      </c>
      <c r="X338" s="823">
        <v>532</v>
      </c>
      <c r="Y338" s="823">
        <v>534</v>
      </c>
      <c r="Z338" s="823">
        <v>537</v>
      </c>
      <c r="AA338" s="823">
        <v>544</v>
      </c>
      <c r="AB338" s="823">
        <v>547</v>
      </c>
      <c r="AC338" s="825">
        <v>554</v>
      </c>
      <c r="AD338" s="825">
        <v>499</v>
      </c>
      <c r="AE338" s="825">
        <v>501</v>
      </c>
      <c r="AF338" s="825">
        <v>502</v>
      </c>
      <c r="AG338" s="825">
        <v>440</v>
      </c>
      <c r="AH338" s="825">
        <v>448</v>
      </c>
      <c r="AI338" s="825">
        <v>450</v>
      </c>
      <c r="AJ338" s="825">
        <v>454</v>
      </c>
      <c r="AK338" s="825">
        <v>452</v>
      </c>
      <c r="AL338" s="825">
        <v>442</v>
      </c>
      <c r="AM338" s="825">
        <v>446</v>
      </c>
      <c r="AN338" s="825">
        <v>454</v>
      </c>
      <c r="AO338" s="825">
        <v>446</v>
      </c>
      <c r="AP338" s="825">
        <v>444</v>
      </c>
    </row>
    <row r="339" hidden="1">
      <c r="B339" s="826" t="s">
        <v>21</v>
      </c>
      <c r="C339" s="827">
        <v>2713</v>
      </c>
      <c r="D339" s="827">
        <v>2399</v>
      </c>
      <c r="E339" s="827">
        <v>2381</v>
      </c>
      <c r="F339" s="827">
        <v>2368</v>
      </c>
      <c r="G339" s="827">
        <v>2344</v>
      </c>
      <c r="H339" s="827">
        <v>2287</v>
      </c>
      <c r="I339" s="827">
        <v>2271</v>
      </c>
      <c r="J339" s="827">
        <v>2288</v>
      </c>
      <c r="K339" s="827">
        <v>2288</v>
      </c>
      <c r="L339" s="827">
        <v>2287</v>
      </c>
      <c r="M339" s="827">
        <v>2288</v>
      </c>
      <c r="N339" s="827">
        <v>2182</v>
      </c>
      <c r="O339" s="827">
        <v>2192</v>
      </c>
      <c r="P339" s="827">
        <v>2185</v>
      </c>
      <c r="Q339" s="827">
        <v>2196</v>
      </c>
      <c r="R339" s="827">
        <v>2191</v>
      </c>
      <c r="S339" s="827">
        <v>2197</v>
      </c>
      <c r="T339" s="827">
        <v>2184</v>
      </c>
      <c r="U339" s="827">
        <v>2159</v>
      </c>
      <c r="V339" s="827">
        <v>2159</v>
      </c>
      <c r="W339" s="827">
        <v>2120</v>
      </c>
      <c r="X339" s="827">
        <v>2177</v>
      </c>
      <c r="Y339" s="827">
        <v>2161</v>
      </c>
      <c r="Z339" s="827">
        <v>2149</v>
      </c>
      <c r="AA339" s="827">
        <v>2114</v>
      </c>
      <c r="AB339" s="827">
        <v>2132</v>
      </c>
      <c r="AC339" s="828">
        <v>2106</v>
      </c>
      <c r="AD339" s="828">
        <v>2139</v>
      </c>
      <c r="AE339" s="828">
        <v>2156</v>
      </c>
      <c r="AF339" s="828">
        <v>2124</v>
      </c>
      <c r="AG339" s="828">
        <v>2114</v>
      </c>
      <c r="AH339" s="828">
        <v>1941</v>
      </c>
      <c r="AI339" s="828">
        <v>1937</v>
      </c>
      <c r="AJ339" s="828">
        <v>2121</v>
      </c>
      <c r="AK339" s="828">
        <v>2089</v>
      </c>
      <c r="AL339" s="828">
        <v>2091</v>
      </c>
      <c r="AM339" s="828">
        <v>2051</v>
      </c>
      <c r="AN339" s="828">
        <v>2090</v>
      </c>
      <c r="AO339" s="828">
        <v>2103</v>
      </c>
      <c r="AP339" s="828">
        <v>2132</v>
      </c>
    </row>
    <row r="340" hidden="1">
      <c r="B340" s="829" t="s">
        <v>22</v>
      </c>
      <c r="C340" s="823">
        <v>10915</v>
      </c>
      <c r="D340" s="823">
        <v>10948</v>
      </c>
      <c r="E340" s="823">
        <v>10987</v>
      </c>
      <c r="F340" s="823">
        <v>11035</v>
      </c>
      <c r="G340" s="823">
        <v>11128</v>
      </c>
      <c r="H340" s="823">
        <v>11166</v>
      </c>
      <c r="I340" s="823">
        <v>9799</v>
      </c>
      <c r="J340" s="823">
        <v>9840</v>
      </c>
      <c r="K340" s="823">
        <v>8817</v>
      </c>
      <c r="L340" s="823">
        <v>8867</v>
      </c>
      <c r="M340" s="823">
        <v>7328</v>
      </c>
      <c r="N340" s="823">
        <v>7384</v>
      </c>
      <c r="O340" s="823">
        <v>7217</v>
      </c>
      <c r="P340" s="823">
        <v>7312</v>
      </c>
      <c r="Q340" s="823">
        <v>6949</v>
      </c>
      <c r="R340" s="823">
        <v>7015</v>
      </c>
      <c r="S340" s="823">
        <v>6982</v>
      </c>
      <c r="T340" s="823">
        <v>7007</v>
      </c>
      <c r="U340" s="823">
        <v>6388</v>
      </c>
      <c r="V340" s="823">
        <v>6501</v>
      </c>
      <c r="W340" s="823">
        <v>6265</v>
      </c>
      <c r="X340" s="823">
        <v>6261</v>
      </c>
      <c r="Y340" s="823">
        <v>6069</v>
      </c>
      <c r="Z340" s="823">
        <v>6137</v>
      </c>
      <c r="AA340" s="823">
        <v>6024</v>
      </c>
      <c r="AB340" s="823">
        <v>5962</v>
      </c>
      <c r="AC340" s="825">
        <v>5820</v>
      </c>
      <c r="AD340" s="825">
        <v>5816</v>
      </c>
      <c r="AE340" s="825">
        <v>5699</v>
      </c>
      <c r="AF340" s="825">
        <v>5742</v>
      </c>
      <c r="AG340" s="825">
        <v>5983</v>
      </c>
      <c r="AH340" s="825">
        <v>5775</v>
      </c>
      <c r="AI340" s="825">
        <v>5581</v>
      </c>
      <c r="AJ340" s="825">
        <v>5622</v>
      </c>
      <c r="AK340" s="825">
        <v>5457</v>
      </c>
      <c r="AL340" s="825">
        <v>5501</v>
      </c>
      <c r="AM340" s="825">
        <v>5352</v>
      </c>
      <c r="AN340" s="825">
        <v>5312</v>
      </c>
      <c r="AO340" s="825">
        <v>5283</v>
      </c>
      <c r="AP340" s="825">
        <v>5287</v>
      </c>
    </row>
    <row r="341" hidden="1">
      <c r="B341" s="826" t="s">
        <v>23</v>
      </c>
      <c r="C341" s="827">
        <v>450</v>
      </c>
      <c r="D341" s="827">
        <v>440</v>
      </c>
      <c r="E341" s="827">
        <v>438</v>
      </c>
      <c r="F341" s="827">
        <v>429</v>
      </c>
      <c r="G341" s="827">
        <v>425</v>
      </c>
      <c r="H341" s="827">
        <v>427</v>
      </c>
      <c r="I341" s="827">
        <v>418</v>
      </c>
      <c r="J341" s="827">
        <v>417</v>
      </c>
      <c r="K341" s="827">
        <v>418</v>
      </c>
      <c r="L341" s="827">
        <v>414</v>
      </c>
      <c r="M341" s="827">
        <v>418</v>
      </c>
      <c r="N341" s="827">
        <v>427</v>
      </c>
      <c r="O341" s="827">
        <v>433</v>
      </c>
      <c r="P341" s="827">
        <v>434</v>
      </c>
      <c r="Q341" s="827">
        <v>436</v>
      </c>
      <c r="R341" s="827">
        <v>439</v>
      </c>
      <c r="S341" s="827">
        <v>445</v>
      </c>
      <c r="T341" s="827">
        <v>446</v>
      </c>
      <c r="U341" s="827">
        <v>453</v>
      </c>
      <c r="V341" s="827">
        <v>454</v>
      </c>
      <c r="W341" s="827">
        <v>455</v>
      </c>
      <c r="X341" s="827">
        <v>458</v>
      </c>
      <c r="Y341" s="827">
        <v>461</v>
      </c>
      <c r="Z341" s="827">
        <v>443</v>
      </c>
      <c r="AA341" s="827">
        <v>445</v>
      </c>
      <c r="AB341" s="827">
        <v>434</v>
      </c>
      <c r="AC341" s="828">
        <v>438</v>
      </c>
      <c r="AD341" s="828">
        <v>433</v>
      </c>
      <c r="AE341" s="828">
        <v>434</v>
      </c>
      <c r="AF341" s="828">
        <v>427</v>
      </c>
      <c r="AG341" s="828">
        <v>446</v>
      </c>
      <c r="AH341" s="828">
        <v>439</v>
      </c>
      <c r="AI341" s="828">
        <v>376</v>
      </c>
      <c r="AJ341" s="828">
        <v>445</v>
      </c>
      <c r="AK341" s="828">
        <v>438</v>
      </c>
      <c r="AL341" s="828">
        <v>485</v>
      </c>
      <c r="AM341" s="828">
        <v>486</v>
      </c>
      <c r="AN341" s="828">
        <v>487</v>
      </c>
      <c r="AO341" s="828">
        <v>486</v>
      </c>
      <c r="AP341" s="828">
        <v>490</v>
      </c>
    </row>
    <row r="342" hidden="1">
      <c r="B342" s="830" t="s">
        <v>24</v>
      </c>
      <c r="C342" s="823">
        <v>1132</v>
      </c>
      <c r="D342" s="823">
        <v>1092</v>
      </c>
      <c r="E342" s="823">
        <v>1028</v>
      </c>
      <c r="F342" s="823">
        <v>991</v>
      </c>
      <c r="G342" s="823">
        <v>964</v>
      </c>
      <c r="H342" s="823">
        <v>959</v>
      </c>
      <c r="I342" s="823">
        <v>956</v>
      </c>
      <c r="J342" s="823">
        <v>957</v>
      </c>
      <c r="K342" s="823">
        <v>951</v>
      </c>
      <c r="L342" s="823">
        <v>946</v>
      </c>
      <c r="M342" s="823">
        <v>952</v>
      </c>
      <c r="N342" s="823">
        <v>1020</v>
      </c>
      <c r="O342" s="823">
        <v>1008</v>
      </c>
      <c r="P342" s="823">
        <v>1008</v>
      </c>
      <c r="Q342" s="823">
        <v>995</v>
      </c>
      <c r="R342" s="823">
        <v>1007</v>
      </c>
      <c r="S342" s="823">
        <v>997</v>
      </c>
      <c r="T342" s="823">
        <v>1019</v>
      </c>
      <c r="U342" s="823">
        <v>996</v>
      </c>
      <c r="V342" s="823">
        <v>1023</v>
      </c>
      <c r="W342" s="823">
        <v>1031</v>
      </c>
      <c r="X342" s="823">
        <v>1048</v>
      </c>
      <c r="Y342" s="823">
        <v>1038</v>
      </c>
      <c r="Z342" s="823">
        <v>1044</v>
      </c>
      <c r="AA342" s="823">
        <v>1031</v>
      </c>
      <c r="AB342" s="823">
        <v>1045</v>
      </c>
      <c r="AC342" s="825">
        <v>1041</v>
      </c>
      <c r="AD342" s="825">
        <v>1045</v>
      </c>
      <c r="AE342" s="825">
        <v>1057</v>
      </c>
      <c r="AF342" s="825">
        <v>1066</v>
      </c>
      <c r="AG342" s="825">
        <v>1065</v>
      </c>
      <c r="AH342" s="825">
        <v>1072</v>
      </c>
      <c r="AI342" s="825">
        <v>1023</v>
      </c>
      <c r="AJ342" s="825">
        <v>1015</v>
      </c>
      <c r="AK342" s="825">
        <v>998</v>
      </c>
      <c r="AL342" s="825">
        <v>980</v>
      </c>
      <c r="AM342" s="825">
        <v>943</v>
      </c>
      <c r="AN342" s="825">
        <v>982</v>
      </c>
      <c r="AO342" s="825">
        <v>990</v>
      </c>
      <c r="AP342" s="825">
        <v>999</v>
      </c>
    </row>
    <row r="343" hidden="1">
      <c r="B343" s="826" t="s">
        <v>25</v>
      </c>
      <c r="C343" s="827">
        <v>0</v>
      </c>
      <c r="D343" s="827">
        <v>0</v>
      </c>
      <c r="E343" s="827">
        <v>0</v>
      </c>
      <c r="F343" s="827">
        <v>0</v>
      </c>
      <c r="G343" s="827">
        <v>0</v>
      </c>
      <c r="H343" s="827">
        <v>4</v>
      </c>
      <c r="I343" s="827">
        <v>4</v>
      </c>
      <c r="J343" s="827">
        <v>4</v>
      </c>
      <c r="K343" s="827">
        <v>4</v>
      </c>
      <c r="L343" s="827">
        <v>4</v>
      </c>
      <c r="M343" s="827">
        <v>4</v>
      </c>
      <c r="N343" s="827">
        <v>4</v>
      </c>
      <c r="O343" s="827">
        <v>4</v>
      </c>
      <c r="P343" s="827">
        <v>4</v>
      </c>
      <c r="Q343" s="827">
        <v>4</v>
      </c>
      <c r="R343" s="827">
        <v>4</v>
      </c>
      <c r="S343" s="827">
        <v>4</v>
      </c>
      <c r="T343" s="827">
        <v>4</v>
      </c>
      <c r="U343" s="827">
        <v>4</v>
      </c>
      <c r="V343" s="827">
        <v>4</v>
      </c>
      <c r="W343" s="827">
        <v>4</v>
      </c>
      <c r="X343" s="827">
        <v>4</v>
      </c>
      <c r="Y343" s="827">
        <v>4</v>
      </c>
      <c r="Z343" s="827">
        <v>4</v>
      </c>
      <c r="AA343" s="827">
        <v>4</v>
      </c>
      <c r="AB343" s="827">
        <v>4</v>
      </c>
      <c r="AC343" s="828">
        <v>4</v>
      </c>
      <c r="AD343" s="828">
        <v>2</v>
      </c>
      <c r="AE343" s="828">
        <v>2</v>
      </c>
      <c r="AF343" s="828">
        <v>2</v>
      </c>
      <c r="AG343" s="828">
        <v>2</v>
      </c>
      <c r="AH343" s="828">
        <v>2</v>
      </c>
      <c r="AI343" s="828">
        <v>2</v>
      </c>
      <c r="AJ343" s="828">
        <v>2</v>
      </c>
      <c r="AK343" s="828">
        <v>2</v>
      </c>
      <c r="AL343" s="828">
        <v>2</v>
      </c>
      <c r="AM343" s="828">
        <v>2</v>
      </c>
      <c r="AN343" s="828">
        <v>2</v>
      </c>
      <c r="AO343" s="828">
        <v>2</v>
      </c>
      <c r="AP343" s="828">
        <v>2</v>
      </c>
    </row>
    <row r="344" hidden="1" ht="13.5">
      <c r="B344" s="831" t="s">
        <v>26</v>
      </c>
      <c r="C344" s="823">
        <v>0</v>
      </c>
      <c r="D344" s="823">
        <v>0</v>
      </c>
      <c r="E344" s="823">
        <v>0</v>
      </c>
      <c r="F344" s="823">
        <v>0</v>
      </c>
      <c r="G344" s="823">
        <v>0</v>
      </c>
      <c r="H344" s="823">
        <v>0</v>
      </c>
      <c r="I344" s="823">
        <v>0</v>
      </c>
      <c r="J344" s="823">
        <v>0</v>
      </c>
      <c r="K344" s="823">
        <v>0</v>
      </c>
      <c r="L344" s="823">
        <v>0</v>
      </c>
      <c r="M344" s="823">
        <v>6</v>
      </c>
      <c r="N344" s="823">
        <v>6</v>
      </c>
      <c r="O344" s="823">
        <v>6</v>
      </c>
      <c r="P344" s="823">
        <v>6</v>
      </c>
      <c r="Q344" s="823">
        <v>6</v>
      </c>
      <c r="R344" s="823">
        <v>6</v>
      </c>
      <c r="S344" s="823">
        <v>5</v>
      </c>
      <c r="T344" s="823">
        <v>5</v>
      </c>
      <c r="U344" s="823">
        <v>5</v>
      </c>
      <c r="V344" s="823">
        <v>5</v>
      </c>
      <c r="W344" s="823">
        <v>5</v>
      </c>
      <c r="X344" s="823">
        <v>5</v>
      </c>
      <c r="Y344" s="823">
        <v>5</v>
      </c>
      <c r="Z344" s="823">
        <v>5</v>
      </c>
      <c r="AA344" s="823">
        <v>6</v>
      </c>
      <c r="AB344" s="832">
        <v>6</v>
      </c>
      <c r="AC344" s="825">
        <v>6</v>
      </c>
      <c r="AD344" s="825">
        <v>6</v>
      </c>
      <c r="AE344" s="825">
        <v>6</v>
      </c>
      <c r="AF344" s="825">
        <v>6</v>
      </c>
      <c r="AG344" s="825">
        <v>6</v>
      </c>
      <c r="AH344" s="825">
        <v>6</v>
      </c>
      <c r="AI344" s="825">
        <v>7</v>
      </c>
      <c r="AJ344" s="825">
        <v>7</v>
      </c>
      <c r="AK344" s="825">
        <v>7</v>
      </c>
      <c r="AL344" s="825">
        <v>7</v>
      </c>
      <c r="AM344" s="825">
        <v>7</v>
      </c>
      <c r="AN344" s="825">
        <v>7</v>
      </c>
      <c r="AO344" s="825">
        <v>7</v>
      </c>
      <c r="AP344" s="825">
        <v>7</v>
      </c>
    </row>
    <row r="345" hidden="1" ht="13.5">
      <c r="B345" s="128" t="s">
        <v>7</v>
      </c>
      <c r="C345" s="129" t="str">
        <f>IF(SUM(C326:C344)&lt;&gt;0,SUM(C326:C344),"")</f>
      </c>
      <c r="D345" s="129" t="str">
        <f ref="D345:AA345" t="shared" si="35">IF(SUM(D326:D344)&lt;&gt;0,SUM(D326:D344),"")</f>
      </c>
      <c r="E345" s="129" t="str">
        <f t="shared" si="35"/>
      </c>
      <c r="F345" s="129" t="str">
        <f t="shared" si="35"/>
      </c>
      <c r="G345" s="129" t="str">
        <f t="shared" si="35"/>
      </c>
      <c r="H345" s="129" t="str">
        <f t="shared" si="35"/>
      </c>
      <c r="I345" s="129" t="str">
        <f t="shared" si="35"/>
      </c>
      <c r="J345" s="129" t="str">
        <f t="shared" si="35"/>
      </c>
      <c r="K345" s="129" t="str">
        <f t="shared" si="35"/>
      </c>
      <c r="L345" s="129" t="str">
        <f t="shared" si="35"/>
      </c>
      <c r="M345" s="129" t="str">
        <f t="shared" si="35"/>
      </c>
      <c r="N345" s="129" t="str">
        <f t="shared" si="35"/>
      </c>
      <c r="O345" s="129" t="str">
        <f t="shared" si="35"/>
      </c>
      <c r="P345" s="129" t="str">
        <f t="shared" si="35"/>
      </c>
      <c r="Q345" s="129" t="str">
        <f t="shared" si="35"/>
      </c>
      <c r="R345" s="129" t="str">
        <f t="shared" si="35"/>
      </c>
      <c r="S345" s="129" t="str">
        <f t="shared" si="35"/>
      </c>
      <c r="T345" s="129" t="str">
        <f t="shared" si="35"/>
      </c>
      <c r="U345" s="129" t="str">
        <f t="shared" si="35"/>
      </c>
      <c r="V345" s="129" t="str">
        <f t="shared" si="35"/>
      </c>
      <c r="W345" s="129" t="str">
        <f t="shared" si="35"/>
      </c>
      <c r="X345" s="129" t="str">
        <f t="shared" si="35"/>
      </c>
      <c r="Y345" s="129" t="str">
        <f t="shared" si="35"/>
      </c>
      <c r="Z345" s="129" t="str">
        <f t="shared" si="35"/>
      </c>
      <c r="AA345" s="129" t="str">
        <f t="shared" si="35"/>
      </c>
      <c r="AB345" s="130" t="str">
        <f>IF(SUM(AB326:AB344)&lt;&gt;0,SUM(AB326:AB344),"")</f>
      </c>
      <c r="AC345" s="91" t="str">
        <f ref="AC345:CN345" t="shared" si="36">IF(SUM(AC326:AC344)&lt;&gt;0,SUM(AC326:AC344),"")</f>
      </c>
      <c r="AD345" s="91" t="str">
        <f t="shared" si="36"/>
      </c>
      <c r="AE345" s="91" t="str">
        <f t="shared" si="36"/>
      </c>
      <c r="AF345" s="91" t="str">
        <f t="shared" si="36"/>
      </c>
      <c r="AG345" s="91" t="str">
        <f t="shared" si="36"/>
      </c>
      <c r="AH345" s="91" t="str">
        <f t="shared" si="36"/>
      </c>
      <c r="AI345" s="91" t="str">
        <f t="shared" si="36"/>
      </c>
      <c r="AJ345" s="91" t="str">
        <f t="shared" si="36"/>
      </c>
      <c r="AK345" s="91" t="str">
        <f t="shared" si="36"/>
      </c>
      <c r="AL345" s="91" t="str">
        <f t="shared" si="36"/>
      </c>
      <c r="AM345" s="91" t="str">
        <f t="shared" si="36"/>
      </c>
      <c r="AN345" s="91" t="str">
        <f t="shared" si="36"/>
      </c>
      <c r="AO345" s="91" t="str">
        <f t="shared" si="36"/>
      </c>
      <c r="AP345" s="91" t="str">
        <f t="shared" si="36"/>
      </c>
      <c r="AQ345" s="91" t="str">
        <f t="shared" si="36"/>
      </c>
      <c r="AR345" s="91" t="str">
        <f t="shared" si="36"/>
      </c>
      <c r="AS345" s="91" t="str">
        <f t="shared" si="36"/>
      </c>
      <c r="AT345" s="91" t="str">
        <f t="shared" si="36"/>
      </c>
      <c r="AU345" s="91" t="str">
        <f t="shared" si="36"/>
      </c>
      <c r="AV345" s="91" t="str">
        <f t="shared" si="36"/>
      </c>
      <c r="AW345" s="91" t="str">
        <f t="shared" si="36"/>
      </c>
      <c r="AX345" s="91" t="str">
        <f t="shared" si="36"/>
      </c>
      <c r="AY345" s="91" t="str">
        <f t="shared" si="36"/>
      </c>
      <c r="AZ345" s="91" t="str">
        <f t="shared" si="36"/>
      </c>
      <c r="BA345" s="91" t="str">
        <f t="shared" si="36"/>
      </c>
      <c r="BB345" s="91" t="str">
        <f t="shared" si="36"/>
      </c>
      <c r="BC345" s="91" t="str">
        <f t="shared" si="36"/>
      </c>
      <c r="BD345" s="91" t="str">
        <f t="shared" si="36"/>
      </c>
      <c r="BE345" s="91" t="str">
        <f t="shared" si="36"/>
      </c>
      <c r="BF345" s="91" t="str">
        <f t="shared" si="36"/>
      </c>
      <c r="BG345" s="91" t="str">
        <f t="shared" si="36"/>
      </c>
      <c r="BH345" s="91" t="str">
        <f t="shared" si="36"/>
      </c>
      <c r="BI345" s="91" t="str">
        <f t="shared" si="36"/>
      </c>
      <c r="BJ345" s="91" t="str">
        <f t="shared" si="36"/>
      </c>
      <c r="BK345" s="91" t="str">
        <f t="shared" si="36"/>
      </c>
      <c r="BL345" s="91" t="str">
        <f t="shared" si="36"/>
      </c>
      <c r="BM345" s="91" t="str">
        <f t="shared" si="36"/>
      </c>
      <c r="BN345" s="91" t="str">
        <f t="shared" si="36"/>
      </c>
      <c r="BO345" s="91" t="str">
        <f t="shared" si="36"/>
      </c>
      <c r="BP345" s="91" t="str">
        <f t="shared" si="36"/>
      </c>
      <c r="BQ345" s="91" t="str">
        <f t="shared" si="36"/>
      </c>
      <c r="BR345" s="91" t="str">
        <f t="shared" si="36"/>
      </c>
      <c r="BS345" s="91" t="str">
        <f t="shared" si="36"/>
      </c>
      <c r="BT345" s="91" t="str">
        <f t="shared" si="36"/>
      </c>
      <c r="BU345" s="91" t="str">
        <f t="shared" si="36"/>
      </c>
      <c r="BV345" s="91" t="str">
        <f t="shared" si="36"/>
      </c>
      <c r="BW345" s="91" t="str">
        <f t="shared" si="36"/>
      </c>
      <c r="BX345" s="91" t="str">
        <f t="shared" si="36"/>
      </c>
      <c r="BY345" s="91" t="str">
        <f t="shared" si="36"/>
      </c>
      <c r="BZ345" s="91" t="str">
        <f t="shared" si="36"/>
      </c>
      <c r="CA345" s="91" t="str">
        <f t="shared" si="36"/>
      </c>
      <c r="CB345" s="91" t="str">
        <f t="shared" si="36"/>
      </c>
      <c r="CC345" s="91" t="str">
        <f t="shared" si="36"/>
      </c>
      <c r="CD345" s="91" t="str">
        <f t="shared" si="36"/>
      </c>
      <c r="CE345" s="91" t="str">
        <f t="shared" si="36"/>
      </c>
      <c r="CF345" s="91" t="str">
        <f t="shared" si="36"/>
      </c>
      <c r="CG345" s="91" t="str">
        <f t="shared" si="36"/>
      </c>
      <c r="CH345" s="91" t="str">
        <f t="shared" si="36"/>
      </c>
      <c r="CI345" s="91" t="str">
        <f t="shared" si="36"/>
      </c>
      <c r="CJ345" s="91" t="str">
        <f t="shared" si="36"/>
      </c>
      <c r="CK345" s="91" t="str">
        <f t="shared" si="36"/>
      </c>
      <c r="CL345" s="91" t="str">
        <f t="shared" si="36"/>
      </c>
      <c r="CM345" s="91" t="str">
        <f t="shared" si="36"/>
      </c>
      <c r="CN345" s="91" t="str">
        <f t="shared" si="36"/>
      </c>
      <c r="CO345" s="91" t="str">
        <f ref="CO345:EZ345" t="shared" si="37">IF(SUM(CO326:CO344)&lt;&gt;0,SUM(CO326:CO344),"")</f>
      </c>
      <c r="CP345" s="91" t="str">
        <f t="shared" si="37"/>
      </c>
      <c r="CQ345" s="91" t="str">
        <f t="shared" si="37"/>
      </c>
      <c r="CR345" s="91" t="str">
        <f t="shared" si="37"/>
      </c>
      <c r="CS345" s="91" t="str">
        <f t="shared" si="37"/>
      </c>
      <c r="CT345" s="91" t="str">
        <f t="shared" si="37"/>
      </c>
      <c r="CU345" s="91" t="str">
        <f t="shared" si="37"/>
      </c>
      <c r="CV345" s="91" t="str">
        <f t="shared" si="37"/>
      </c>
      <c r="CW345" s="91" t="str">
        <f t="shared" si="37"/>
      </c>
      <c r="CX345" s="91" t="str">
        <f t="shared" si="37"/>
      </c>
      <c r="CY345" s="91" t="str">
        <f t="shared" si="37"/>
      </c>
      <c r="CZ345" s="91" t="str">
        <f t="shared" si="37"/>
      </c>
      <c r="DA345" s="91" t="str">
        <f t="shared" si="37"/>
      </c>
      <c r="DB345" s="91" t="str">
        <f t="shared" si="37"/>
      </c>
      <c r="DC345" s="91" t="str">
        <f t="shared" si="37"/>
      </c>
      <c r="DD345" s="91" t="str">
        <f t="shared" si="37"/>
      </c>
      <c r="DE345" s="91" t="str">
        <f t="shared" si="37"/>
      </c>
      <c r="DF345" s="91" t="str">
        <f t="shared" si="37"/>
      </c>
      <c r="DG345" s="91" t="str">
        <f t="shared" si="37"/>
      </c>
      <c r="DH345" s="91" t="str">
        <f t="shared" si="37"/>
      </c>
      <c r="DI345" s="91" t="str">
        <f t="shared" si="37"/>
      </c>
      <c r="DJ345" s="91" t="str">
        <f t="shared" si="37"/>
      </c>
      <c r="DK345" s="91" t="str">
        <f t="shared" si="37"/>
      </c>
      <c r="DL345" s="91" t="str">
        <f t="shared" si="37"/>
      </c>
      <c r="DM345" s="91" t="str">
        <f t="shared" si="37"/>
      </c>
      <c r="DN345" s="91" t="str">
        <f t="shared" si="37"/>
      </c>
      <c r="DO345" s="91" t="str">
        <f t="shared" si="37"/>
      </c>
      <c r="DP345" s="91" t="str">
        <f t="shared" si="37"/>
      </c>
      <c r="DQ345" s="91" t="str">
        <f t="shared" si="37"/>
      </c>
      <c r="DR345" s="91" t="str">
        <f t="shared" si="37"/>
      </c>
      <c r="DS345" s="91" t="str">
        <f t="shared" si="37"/>
      </c>
      <c r="DT345" s="91" t="str">
        <f t="shared" si="37"/>
      </c>
      <c r="DU345" s="91" t="str">
        <f t="shared" si="37"/>
      </c>
      <c r="DV345" s="91" t="str">
        <f t="shared" si="37"/>
      </c>
      <c r="DW345" s="91" t="str">
        <f t="shared" si="37"/>
      </c>
      <c r="DX345" s="91" t="str">
        <f t="shared" si="37"/>
      </c>
      <c r="DY345" s="91" t="str">
        <f t="shared" si="37"/>
      </c>
      <c r="DZ345" s="91" t="str">
        <f t="shared" si="37"/>
      </c>
      <c r="EA345" s="91" t="str">
        <f t="shared" si="37"/>
      </c>
      <c r="EB345" s="91" t="str">
        <f t="shared" si="37"/>
      </c>
      <c r="EC345" s="91" t="str">
        <f t="shared" si="37"/>
      </c>
      <c r="ED345" s="91" t="str">
        <f t="shared" si="37"/>
      </c>
      <c r="EE345" s="91" t="str">
        <f t="shared" si="37"/>
      </c>
      <c r="EF345" s="91" t="str">
        <f t="shared" si="37"/>
      </c>
      <c r="EG345" s="91" t="str">
        <f t="shared" si="37"/>
      </c>
      <c r="EH345" s="91" t="str">
        <f t="shared" si="37"/>
      </c>
      <c r="EI345" s="91" t="str">
        <f t="shared" si="37"/>
      </c>
      <c r="EJ345" s="91" t="str">
        <f t="shared" si="37"/>
      </c>
      <c r="EK345" s="91" t="str">
        <f t="shared" si="37"/>
      </c>
      <c r="EL345" s="91" t="str">
        <f t="shared" si="37"/>
      </c>
      <c r="EM345" s="91" t="str">
        <f t="shared" si="37"/>
      </c>
      <c r="EN345" s="91" t="str">
        <f t="shared" si="37"/>
      </c>
      <c r="EO345" s="91" t="str">
        <f t="shared" si="37"/>
      </c>
      <c r="EP345" s="91" t="str">
        <f t="shared" si="37"/>
      </c>
      <c r="EQ345" s="91" t="str">
        <f t="shared" si="37"/>
      </c>
      <c r="ER345" s="91" t="str">
        <f t="shared" si="37"/>
      </c>
      <c r="ES345" s="91" t="str">
        <f t="shared" si="37"/>
      </c>
      <c r="ET345" s="91" t="str">
        <f t="shared" si="37"/>
      </c>
      <c r="EU345" s="91" t="str">
        <f t="shared" si="37"/>
      </c>
      <c r="EV345" s="91" t="str">
        <f t="shared" si="37"/>
      </c>
      <c r="EW345" s="91" t="str">
        <f t="shared" si="37"/>
      </c>
      <c r="EX345" s="91" t="str">
        <f t="shared" si="37"/>
      </c>
      <c r="EY345" s="91" t="str">
        <f t="shared" si="37"/>
      </c>
      <c r="EZ345" s="91" t="str">
        <f t="shared" si="37"/>
      </c>
      <c r="FA345" s="91" t="str">
        <f ref="FA345:HL345" t="shared" si="38">IF(SUM(FA326:FA344)&lt;&gt;0,SUM(FA326:FA344),"")</f>
      </c>
      <c r="FB345" s="91" t="str">
        <f t="shared" si="38"/>
      </c>
      <c r="FC345" s="91" t="str">
        <f t="shared" si="38"/>
      </c>
      <c r="FD345" s="91" t="str">
        <f t="shared" si="38"/>
      </c>
      <c r="FE345" s="91" t="str">
        <f t="shared" si="38"/>
      </c>
      <c r="FF345" s="91" t="str">
        <f t="shared" si="38"/>
      </c>
      <c r="FG345" s="91" t="str">
        <f t="shared" si="38"/>
      </c>
      <c r="FH345" s="91" t="str">
        <f t="shared" si="38"/>
      </c>
      <c r="FI345" s="91" t="str">
        <f t="shared" si="38"/>
      </c>
      <c r="FJ345" s="91" t="str">
        <f t="shared" si="38"/>
      </c>
      <c r="FK345" s="91" t="str">
        <f t="shared" si="38"/>
      </c>
      <c r="FL345" s="91" t="str">
        <f t="shared" si="38"/>
      </c>
      <c r="FM345" s="91" t="str">
        <f t="shared" si="38"/>
      </c>
      <c r="FN345" s="91" t="str">
        <f t="shared" si="38"/>
      </c>
      <c r="FO345" s="91" t="str">
        <f t="shared" si="38"/>
      </c>
      <c r="FP345" s="91" t="str">
        <f t="shared" si="38"/>
      </c>
      <c r="FQ345" s="91" t="str">
        <f t="shared" si="38"/>
      </c>
      <c r="FR345" s="91" t="str">
        <f t="shared" si="38"/>
      </c>
      <c r="FS345" s="91" t="str">
        <f t="shared" si="38"/>
      </c>
      <c r="FT345" s="91" t="str">
        <f t="shared" si="38"/>
      </c>
      <c r="FU345" s="91" t="str">
        <f t="shared" si="38"/>
      </c>
      <c r="FV345" s="91" t="str">
        <f t="shared" si="38"/>
      </c>
      <c r="FW345" s="91" t="str">
        <f t="shared" si="38"/>
      </c>
      <c r="FX345" s="91" t="str">
        <f t="shared" si="38"/>
      </c>
      <c r="FY345" s="91" t="str">
        <f t="shared" si="38"/>
      </c>
      <c r="FZ345" s="91" t="str">
        <f t="shared" si="38"/>
      </c>
      <c r="GA345" s="91" t="str">
        <f t="shared" si="38"/>
      </c>
      <c r="GB345" s="91" t="str">
        <f t="shared" si="38"/>
      </c>
      <c r="GC345" s="91" t="str">
        <f t="shared" si="38"/>
      </c>
      <c r="GD345" s="91" t="str">
        <f t="shared" si="38"/>
      </c>
      <c r="GE345" s="91" t="str">
        <f t="shared" si="38"/>
      </c>
      <c r="GF345" s="91" t="str">
        <f t="shared" si="38"/>
      </c>
      <c r="GG345" s="91" t="str">
        <f t="shared" si="38"/>
      </c>
      <c r="GH345" s="91" t="str">
        <f t="shared" si="38"/>
      </c>
      <c r="GI345" s="91" t="str">
        <f t="shared" si="38"/>
      </c>
      <c r="GJ345" s="91" t="str">
        <f t="shared" si="38"/>
      </c>
      <c r="GK345" s="91" t="str">
        <f t="shared" si="38"/>
      </c>
      <c r="GL345" s="91" t="str">
        <f t="shared" si="38"/>
      </c>
      <c r="GM345" s="91" t="str">
        <f t="shared" si="38"/>
      </c>
      <c r="GN345" s="91" t="str">
        <f t="shared" si="38"/>
      </c>
      <c r="GO345" s="91" t="str">
        <f t="shared" si="38"/>
      </c>
      <c r="GP345" s="91" t="str">
        <f t="shared" si="38"/>
      </c>
      <c r="GQ345" s="91" t="str">
        <f t="shared" si="38"/>
      </c>
      <c r="GR345" s="91" t="str">
        <f t="shared" si="38"/>
      </c>
      <c r="GS345" s="91" t="str">
        <f t="shared" si="38"/>
      </c>
      <c r="GT345" s="91" t="str">
        <f t="shared" si="38"/>
      </c>
      <c r="GU345" s="91" t="str">
        <f t="shared" si="38"/>
      </c>
      <c r="GV345" s="91" t="str">
        <f t="shared" si="38"/>
      </c>
      <c r="GW345" s="91" t="str">
        <f t="shared" si="38"/>
      </c>
      <c r="GX345" s="91" t="str">
        <f t="shared" si="38"/>
      </c>
      <c r="GY345" s="91" t="str">
        <f t="shared" si="38"/>
      </c>
      <c r="GZ345" s="91" t="str">
        <f t="shared" si="38"/>
      </c>
      <c r="HA345" s="91" t="str">
        <f t="shared" si="38"/>
      </c>
      <c r="HB345" s="91" t="str">
        <f t="shared" si="38"/>
      </c>
      <c r="HC345" s="91" t="str">
        <f t="shared" si="38"/>
      </c>
      <c r="HD345" s="91" t="str">
        <f t="shared" si="38"/>
      </c>
      <c r="HE345" s="91" t="str">
        <f t="shared" si="38"/>
      </c>
      <c r="HF345" s="91" t="str">
        <f t="shared" si="38"/>
      </c>
      <c r="HG345" s="91" t="str">
        <f t="shared" si="38"/>
      </c>
      <c r="HH345" s="91" t="str">
        <f t="shared" si="38"/>
      </c>
      <c r="HI345" s="91" t="str">
        <f t="shared" si="38"/>
      </c>
      <c r="HJ345" s="91" t="str">
        <f t="shared" si="38"/>
      </c>
      <c r="HK345" s="91" t="str">
        <f t="shared" si="38"/>
      </c>
      <c r="HL345" s="91" t="str">
        <f t="shared" si="38"/>
      </c>
      <c r="HM345" s="91" t="str">
        <f ref="HM345:IV345" t="shared" si="39">IF(SUM(HM326:HM344)&lt;&gt;0,SUM(HM326:HM344),"")</f>
      </c>
      <c r="HN345" s="91" t="str">
        <f t="shared" si="39"/>
      </c>
      <c r="HO345" s="91" t="str">
        <f t="shared" si="39"/>
      </c>
      <c r="HP345" s="91" t="str">
        <f t="shared" si="39"/>
      </c>
      <c r="HQ345" s="91" t="str">
        <f t="shared" si="39"/>
      </c>
      <c r="HR345" s="91" t="str">
        <f t="shared" si="39"/>
      </c>
      <c r="HS345" s="91" t="str">
        <f t="shared" si="39"/>
      </c>
      <c r="HT345" s="91" t="str">
        <f t="shared" si="39"/>
      </c>
      <c r="HU345" s="91" t="str">
        <f t="shared" si="39"/>
      </c>
      <c r="HV345" s="91" t="str">
        <f t="shared" si="39"/>
      </c>
      <c r="HW345" s="91" t="str">
        <f t="shared" si="39"/>
      </c>
      <c r="HX345" s="91" t="str">
        <f t="shared" si="39"/>
      </c>
      <c r="HY345" s="91" t="str">
        <f t="shared" si="39"/>
      </c>
      <c r="HZ345" s="91" t="str">
        <f t="shared" si="39"/>
      </c>
      <c r="IA345" s="91" t="str">
        <f t="shared" si="39"/>
      </c>
      <c r="IB345" s="91" t="str">
        <f t="shared" si="39"/>
      </c>
      <c r="IC345" s="91" t="str">
        <f t="shared" si="39"/>
      </c>
      <c r="ID345" s="91" t="str">
        <f t="shared" si="39"/>
      </c>
      <c r="IE345" s="91" t="str">
        <f t="shared" si="39"/>
      </c>
      <c r="IF345" s="91" t="str">
        <f t="shared" si="39"/>
      </c>
      <c r="IG345" s="91" t="str">
        <f t="shared" si="39"/>
      </c>
      <c r="IH345" s="91" t="str">
        <f t="shared" si="39"/>
      </c>
      <c r="II345" s="91" t="str">
        <f t="shared" si="39"/>
      </c>
      <c r="IJ345" s="91" t="str">
        <f t="shared" si="39"/>
      </c>
      <c r="IK345" s="91" t="str">
        <f t="shared" si="39"/>
      </c>
      <c r="IL345" s="91" t="str">
        <f t="shared" si="39"/>
      </c>
      <c r="IM345" s="91" t="str">
        <f t="shared" si="39"/>
      </c>
      <c r="IN345" s="91" t="str">
        <f t="shared" si="39"/>
      </c>
      <c r="IO345" s="91" t="str">
        <f t="shared" si="39"/>
      </c>
      <c r="IP345" s="91" t="str">
        <f t="shared" si="39"/>
      </c>
      <c r="IQ345" s="91" t="str">
        <f t="shared" si="39"/>
      </c>
      <c r="IR345" s="91" t="str">
        <f t="shared" si="39"/>
      </c>
      <c r="IS345" s="91" t="str">
        <f t="shared" si="39"/>
      </c>
      <c r="IT345" s="91" t="str">
        <f t="shared" si="39"/>
      </c>
      <c r="IU345" s="91" t="str">
        <f t="shared" si="39"/>
      </c>
      <c r="IV345" s="91" t="str">
        <f t="shared" si="39"/>
      </c>
    </row>
    <row r="346" hidden="1"/>
    <row r="347" hidden="1">
      <c r="G347" s="98"/>
      <c r="H347" s="98"/>
      <c r="I347" s="98"/>
      <c r="J347" s="98"/>
      <c r="K347" s="98"/>
    </row>
    <row r="348" hidden="1" ht="13.5"/>
    <row r="349" hidden="1" ht="13.5" customHeight="1">
      <c r="B349" s="162"/>
      <c r="C349" s="617" t="s">
        <v>264</v>
      </c>
      <c r="D349" s="618"/>
      <c r="E349" s="618"/>
      <c r="F349" s="618"/>
      <c r="G349" s="618"/>
      <c r="H349" s="618"/>
      <c r="I349" s="618"/>
      <c r="J349" s="618"/>
      <c r="K349" s="618"/>
      <c r="L349" s="618"/>
      <c r="M349" s="618"/>
      <c r="N349" s="618"/>
      <c r="O349" s="618"/>
      <c r="P349" s="618"/>
      <c r="Q349" s="618"/>
      <c r="R349" s="618"/>
      <c r="S349" s="618"/>
      <c r="T349" s="618"/>
      <c r="U349" s="618"/>
      <c r="V349" s="618"/>
      <c r="W349" s="618"/>
      <c r="X349" s="618"/>
      <c r="Y349" s="618"/>
      <c r="Z349" s="618"/>
      <c r="AA349" s="618"/>
      <c r="AB349" s="619"/>
    </row>
    <row r="350" hidden="1" ht="13.5" customHeight="1">
      <c r="C350" s="435" t="str">
        <f> IF(C370&lt;&gt;"",TEXT(AUX!G$1,"dd-MMM-aa"),"")</f>
      </c>
      <c r="D350" s="435" t="str">
        <f> IF(D370&lt;&gt;"",TEXT(AUX!H$1,"dd-MMM-aa"),"")</f>
      </c>
      <c r="E350" s="435" t="str">
        <f> IF(E370&lt;&gt;"",TEXT(AUX!I$1,"dd-MMM-aa"),"")</f>
      </c>
      <c r="F350" s="435" t="str">
        <f> IF(F370&lt;&gt;"",TEXT(AUX!J$1,"dd-MMM-aa"),"")</f>
      </c>
      <c r="G350" s="435" t="str">
        <f> IF(G370&lt;&gt;"",TEXT(AUX!K$1,"dd-MMM-aa"),"")</f>
      </c>
      <c r="H350" s="435" t="str">
        <f> IF(H370&lt;&gt;"",TEXT(AUX!L$1,"dd-MMM-aa"),"")</f>
      </c>
      <c r="I350" s="435" t="str">
        <f> IF(I370&lt;&gt;"",TEXT(AUX!M$1,"dd-MMM-aa"),"")</f>
      </c>
      <c r="J350" s="435" t="str">
        <f> IF(J370&lt;&gt;"",TEXT(AUX!N$1,"dd-MMM-aa"),"")</f>
      </c>
      <c r="K350" s="435" t="str">
        <f> IF(K370&lt;&gt;"",TEXT(AUX!O$1,"dd-MMM-aa"),"")</f>
      </c>
      <c r="L350" s="435" t="str">
        <f> IF(L370&lt;&gt;"",TEXT(AUX!P$1,"dd-MMM-aa"),"")</f>
      </c>
      <c r="M350" s="435" t="str">
        <f> IF(M370&lt;&gt;"",TEXT(AUX!Q$1,"dd-MMM-aa"),"")</f>
      </c>
      <c r="N350" s="435" t="str">
        <f> IF(N370&lt;&gt;"",TEXT(AUX!R$1,"dd-MMM-aa"),"")</f>
      </c>
      <c r="O350" s="435" t="str">
        <f> IF(O370&lt;&gt;"",TEXT(AUX!S$1,"dd-MMM-aa"),"")</f>
      </c>
      <c r="P350" s="435" t="str">
        <f> IF(P370&lt;&gt;"",TEXT(AUX!T$1,"dd-MMM-aa"),"")</f>
      </c>
      <c r="Q350" s="435" t="str">
        <f> IF(Q370&lt;&gt;"",TEXT(AUX!U$1,"dd-MMM-aa"),"")</f>
      </c>
      <c r="R350" s="435" t="str">
        <f> IF(R370&lt;&gt;"",TEXT(AUX!V$1,"dd-MMM-aa"),"")</f>
      </c>
      <c r="S350" s="435" t="str">
        <f> IF(S370&lt;&gt;"",TEXT(AUX!W$1,"dd-MMM-aa"),"")</f>
      </c>
      <c r="T350" s="435" t="str">
        <f> IF(T370&lt;&gt;"",TEXT(AUX!X$1,"dd-MMM-aa"),"")</f>
      </c>
      <c r="U350" s="435" t="str">
        <f> IF(U370&lt;&gt;"",TEXT(AUX!Y$1,"dd-MMM-aa"),"")</f>
      </c>
      <c r="V350" s="435" t="str">
        <f> IF(V370&lt;&gt;"",TEXT(AUX!Z$1,"dd-MMM-aa"),"")</f>
      </c>
      <c r="W350" s="435" t="str">
        <f> IF(W370&lt;&gt;"",TEXT(AUX!AA$1,"dd-MMM-aa"),"")</f>
      </c>
      <c r="X350" s="435" t="str">
        <f> IF(X370&lt;&gt;"",TEXT(AUX!AB$1,"dd-MMM-aa"),"")</f>
      </c>
      <c r="Y350" s="435" t="str">
        <f> IF(Y370&lt;&gt;"",TEXT(AUX!AC$1,"dd-MMM-aa"),"")</f>
      </c>
      <c r="Z350" s="435" t="str">
        <f> IF(Z370&lt;&gt;"",TEXT(AUX!AD$1,"dd-MMM-aa"),"")</f>
      </c>
      <c r="AA350" s="435" t="str">
        <f> IF(AA370&lt;&gt;"",TEXT(AUX!AE$1,"dd-MMM-aa"),"")</f>
      </c>
      <c r="AB350" s="497" t="str">
        <f> IF(AB370&lt;&gt;"",TEXT(AUX!AF$1,"dd-MMM-aa"),"")</f>
      </c>
      <c r="AC350" s="496" t="str">
        <f> IF(AC370&lt;&gt;"",TEXT(AUX!AG$1,"dd-MMM-aa"),"")</f>
      </c>
      <c r="AD350" s="496" t="str">
        <f> IF(AD370&lt;&gt;"",TEXT(AUX!AH$1,"dd-MMM-aa"),"")</f>
      </c>
      <c r="AE350" s="496" t="str">
        <f> IF(AE370&lt;&gt;"",TEXT(AUX!AI$1,"dd-MMM-aa"),"")</f>
      </c>
      <c r="AF350" s="496" t="str">
        <f> IF(AF370&lt;&gt;"",TEXT(AUX!AJ$1,"dd-MMM-aa"),"")</f>
      </c>
      <c r="AG350" s="496" t="str">
        <f> IF(AG370&lt;&gt;"",TEXT(AUX!AK$1,"dd-MMM-aa"),"")</f>
      </c>
      <c r="AH350" s="496" t="str">
        <f> IF(AH370&lt;&gt;"",TEXT(AUX!AL$1,"dd-MMM-aa"),"")</f>
      </c>
      <c r="AI350" s="496" t="str">
        <f> IF(AI370&lt;&gt;"",TEXT(AUX!AM$1,"dd-MMM-aa"),"")</f>
      </c>
      <c r="AJ350" s="496" t="str">
        <f> IF(AJ370&lt;&gt;"",TEXT(AUX!AN$1,"dd-MMM-aa"),"")</f>
      </c>
      <c r="AK350" s="496" t="str">
        <f> IF(AK370&lt;&gt;"",TEXT(AUX!AO$1,"dd-MMM-aa"),"")</f>
      </c>
      <c r="AL350" s="496" t="str">
        <f> IF(AL370&lt;&gt;"",TEXT(AUX!AP$1,"dd-MMM-aa"),"")</f>
      </c>
      <c r="AM350" s="496" t="str">
        <f> IF(AM370&lt;&gt;"",TEXT(AUX!AQ$1,"dd-MMM-aa"),"")</f>
      </c>
      <c r="AN350" s="496" t="str">
        <f> IF(AN370&lt;&gt;"",TEXT(AUX!AR$1,"dd-MMM-aa"),"")</f>
      </c>
      <c r="AO350" s="496" t="str">
        <f> IF(AO370&lt;&gt;"",TEXT(AUX!AS$1,"dd-MMM-aa"),"")</f>
      </c>
      <c r="AP350" s="496" t="str">
        <f> IF(AP370&lt;&gt;"",TEXT(AUX!AT$1,"dd-MMM-aa"),"")</f>
      </c>
      <c r="AQ350" s="496" t="str">
        <f> IF(AQ370&lt;&gt;"",TEXT(AUX!AU$1,"dd-MMM-aa"),"")</f>
      </c>
      <c r="AR350" s="496" t="str">
        <f> IF(AR370&lt;&gt;"",TEXT(AUX!AV$1,"dd-MMM-aa"),"")</f>
      </c>
      <c r="AS350" s="496" t="str">
        <f> IF(AS370&lt;&gt;"",TEXT(AUX!AW$1,"dd-MMM-aa"),"")</f>
      </c>
      <c r="AT350" s="496" t="str">
        <f> IF(AT370&lt;&gt;"",TEXT(AUX!AX$1,"dd-MMM-aa"),"")</f>
      </c>
      <c r="AU350" s="496" t="str">
        <f> IF(AU370&lt;&gt;"",TEXT(AUX!AY$1,"dd-MMM-aa"),"")</f>
      </c>
      <c r="AV350" s="496" t="str">
        <f> IF(AV370&lt;&gt;"",TEXT(AUX!AZ$1,"dd-MMM-aa"),"")</f>
      </c>
      <c r="AW350" s="496" t="str">
        <f> IF(AW370&lt;&gt;"",TEXT(AUX!BA$1,"dd-MMM-aa"),"")</f>
      </c>
      <c r="AX350" s="496" t="str">
        <f> IF(AX370&lt;&gt;"",TEXT(AUX!BB$1,"dd-MMM-aa"),"")</f>
      </c>
      <c r="AY350" s="496" t="str">
        <f> IF(AY370&lt;&gt;"",TEXT(AUX!BC$1,"dd-MMM-aa"),"")</f>
      </c>
      <c r="AZ350" s="496" t="str">
        <f> IF(AZ370&lt;&gt;"",TEXT(AUX!BD$1,"dd-MMM-aa"),"")</f>
      </c>
      <c r="BA350" s="496" t="str">
        <f> IF(BA370&lt;&gt;"",TEXT(AUX!BE$1,"dd-MMM-aa"),"")</f>
      </c>
      <c r="BB350" s="496" t="str">
        <f> IF(BB370&lt;&gt;"",TEXT(AUX!BF$1,"dd-MMM-aa"),"")</f>
      </c>
      <c r="BC350" s="496" t="str">
        <f> IF(BC370&lt;&gt;"",TEXT(AUX!BG$1,"dd-MMM-aa"),"")</f>
      </c>
      <c r="BD350" s="496" t="str">
        <f> IF(BD370&lt;&gt;"",TEXT(AUX!BH$1,"dd-MMM-aa"),"")</f>
      </c>
      <c r="BE350" s="496" t="str">
        <f> IF(BE370&lt;&gt;"",TEXT(AUX!BI$1,"dd-MMM-aa"),"")</f>
      </c>
      <c r="BF350" s="496" t="str">
        <f> IF(BF370&lt;&gt;"",TEXT(AUX!BJ$1,"dd-MMM-aa"),"")</f>
      </c>
      <c r="BG350" s="496" t="str">
        <f> IF(BG370&lt;&gt;"",TEXT(AUX!BK$1,"dd-MMM-aa"),"")</f>
      </c>
      <c r="BH350" s="496" t="str">
        <f> IF(BH370&lt;&gt;"",TEXT(AUX!BL$1,"dd-MMM-aa"),"")</f>
      </c>
      <c r="BI350" s="496" t="str">
        <f> IF(BI370&lt;&gt;"",TEXT(AUX!BM$1,"dd-MMM-aa"),"")</f>
      </c>
      <c r="BJ350" s="496" t="str">
        <f> IF(BJ370&lt;&gt;"",TEXT(AUX!BN$1,"dd-MMM-aa"),"")</f>
      </c>
      <c r="BK350" s="496" t="str">
        <f> IF(BK370&lt;&gt;"",TEXT(AUX!BO$1,"dd-MMM-aa"),"")</f>
      </c>
      <c r="BL350" s="496" t="str">
        <f> IF(BL370&lt;&gt;"",TEXT(AUX!BP$1,"dd-MMM-aa"),"")</f>
      </c>
      <c r="BM350" s="496" t="str">
        <f> IF(BM370&lt;&gt;"",TEXT(AUX!BQ$1,"dd-MMM-aa"),"")</f>
      </c>
      <c r="BN350" s="496" t="str">
        <f> IF(BN370&lt;&gt;"",TEXT(AUX!BR$1,"dd-MMM-aa"),"")</f>
      </c>
      <c r="BO350" s="496" t="str">
        <f> IF(BO370&lt;&gt;"",TEXT(AUX!BS$1,"dd-MMM-aa"),"")</f>
      </c>
      <c r="BP350" s="496" t="str">
        <f> IF(BP370&lt;&gt;"",TEXT(AUX!BT$1,"dd-MMM-aa"),"")</f>
      </c>
      <c r="BQ350" s="496" t="str">
        <f> IF(BQ370&lt;&gt;"",TEXT(AUX!BU$1,"dd-MMM-aa"),"")</f>
      </c>
      <c r="BR350" s="496" t="str">
        <f> IF(BR370&lt;&gt;"",TEXT(AUX!BV$1,"dd-MMM-aa"),"")</f>
      </c>
      <c r="BS350" s="496" t="str">
        <f> IF(BS370&lt;&gt;"",TEXT(AUX!BW$1,"dd-MMM-aa"),"")</f>
      </c>
      <c r="BT350" s="496" t="str">
        <f> IF(BT370&lt;&gt;"",TEXT(AUX!BX$1,"dd-MMM-aa"),"")</f>
      </c>
      <c r="BU350" s="496" t="str">
        <f> IF(BU370&lt;&gt;"",TEXT(AUX!BY$1,"dd-MMM-aa"),"")</f>
      </c>
      <c r="BV350" s="496" t="str">
        <f> IF(BV370&lt;&gt;"",TEXT(AUX!BZ$1,"dd-MMM-aa"),"")</f>
      </c>
      <c r="BW350" s="496" t="str">
        <f> IF(BW370&lt;&gt;"",TEXT(AUX!CA$1,"dd-MMM-aa"),"")</f>
      </c>
      <c r="BX350" s="496" t="str">
        <f> IF(BX370&lt;&gt;"",TEXT(AUX!CB$1,"dd-MMM-aa"),"")</f>
      </c>
      <c r="BY350" s="496" t="str">
        <f> IF(BY370&lt;&gt;"",TEXT(AUX!CC$1,"dd-MMM-aa"),"")</f>
      </c>
      <c r="BZ350" s="496" t="str">
        <f> IF(BZ370&lt;&gt;"",TEXT(AUX!CD$1,"dd-MMM-aa"),"")</f>
      </c>
      <c r="CA350" s="496" t="str">
        <f> IF(CA370&lt;&gt;"",TEXT(AUX!CE$1,"dd-MMM-aa"),"")</f>
      </c>
      <c r="CB350" s="496" t="str">
        <f> IF(CB370&lt;&gt;"",TEXT(AUX!CF$1,"dd-MMM-aa"),"")</f>
      </c>
      <c r="CC350" s="496" t="str">
        <f> IF(CC370&lt;&gt;"",TEXT(AUX!CG$1,"dd-MMM-aa"),"")</f>
      </c>
      <c r="CD350" s="496" t="str">
        <f> IF(CD370&lt;&gt;"",TEXT(AUX!CH$1,"dd-MMM-aa"),"")</f>
      </c>
      <c r="CE350" s="496" t="str">
        <f> IF(CE370&lt;&gt;"",TEXT(AUX!CI$1,"dd-MMM-aa"),"")</f>
      </c>
      <c r="CF350" s="496" t="str">
        <f> IF(CF370&lt;&gt;"",TEXT(AUX!CJ$1,"dd-MMM-aa"),"")</f>
      </c>
      <c r="CG350" s="496" t="str">
        <f> IF(CG370&lt;&gt;"",TEXT(AUX!CK$1,"dd-MMM-aa"),"")</f>
      </c>
      <c r="CH350" s="496" t="str">
        <f> IF(CH370&lt;&gt;"",TEXT(AUX!CL$1,"dd-MMM-aa"),"")</f>
      </c>
      <c r="CI350" s="496" t="str">
        <f> IF(CI370&lt;&gt;"",TEXT(AUX!CM$1,"dd-MMM-aa"),"")</f>
      </c>
      <c r="CJ350" s="496" t="str">
        <f> IF(CJ370&lt;&gt;"",TEXT(AUX!CN$1,"dd-MMM-aa"),"")</f>
      </c>
      <c r="CK350" s="496" t="str">
        <f> IF(CK370&lt;&gt;"",TEXT(AUX!CO$1,"dd-MMM-aa"),"")</f>
      </c>
      <c r="CL350" s="496" t="str">
        <f> IF(CL370&lt;&gt;"",TEXT(AUX!CP$1,"dd-MMM-aa"),"")</f>
      </c>
      <c r="CM350" s="496" t="str">
        <f> IF(CM370&lt;&gt;"",TEXT(AUX!CQ$1,"dd-MMM-aa"),"")</f>
      </c>
      <c r="CN350" s="496" t="str">
        <f> IF(CN370&lt;&gt;"",TEXT(AUX!CR$1,"dd-MMM-aa"),"")</f>
      </c>
      <c r="CO350" s="496" t="str">
        <f> IF(CO370&lt;&gt;"",TEXT(AUX!CS$1,"dd-MMM-aa"),"")</f>
      </c>
      <c r="CP350" s="496" t="str">
        <f> IF(CP370&lt;&gt;"",TEXT(AUX!CT$1,"dd-MMM-aa"),"")</f>
      </c>
      <c r="CQ350" s="496" t="str">
        <f> IF(CQ370&lt;&gt;"",TEXT(AUX!CU$1,"dd-MMM-aa"),"")</f>
      </c>
      <c r="CR350" s="496" t="str">
        <f> IF(CR370&lt;&gt;"",TEXT(AUX!CV$1,"dd-MMM-aa"),"")</f>
      </c>
      <c r="CS350" s="496" t="str">
        <f> IF(CS370&lt;&gt;"",TEXT(AUX!CW$1,"dd-MMM-aa"),"")</f>
      </c>
      <c r="CT350" s="496" t="str">
        <f> IF(CT370&lt;&gt;"",TEXT(AUX!CX$1,"dd-MMM-aa"),"")</f>
      </c>
      <c r="CU350" s="496" t="str">
        <f> IF(CU370&lt;&gt;"",TEXT(AUX!CY$1,"dd-MMM-aa"),"")</f>
      </c>
      <c r="CV350" s="496" t="str">
        <f> IF(CV370&lt;&gt;"",TEXT(AUX!CZ$1,"dd-MMM-aa"),"")</f>
      </c>
      <c r="CW350" s="496" t="str">
        <f> IF(CW370&lt;&gt;"",TEXT(AUX!DA$1,"dd-MMM-aa"),"")</f>
      </c>
      <c r="CX350" s="496" t="str">
        <f> IF(CX370&lt;&gt;"",TEXT(AUX!DB$1,"dd-MMM-aa"),"")</f>
      </c>
      <c r="CY350" s="496" t="str">
        <f> IF(CY370&lt;&gt;"",TEXT(AUX!DC$1,"dd-MMM-aa"),"")</f>
      </c>
      <c r="CZ350" s="496" t="str">
        <f> IF(CZ370&lt;&gt;"",TEXT(AUX!DD$1,"dd-MMM-aa"),"")</f>
      </c>
      <c r="DA350" s="496" t="str">
        <f> IF(DA370&lt;&gt;"",TEXT(AUX!DE$1,"dd-MMM-aa"),"")</f>
      </c>
      <c r="DB350" s="496" t="str">
        <f> IF(DB370&lt;&gt;"",TEXT(AUX!DF$1,"dd-MMM-aa"),"")</f>
      </c>
      <c r="DC350" s="496" t="str">
        <f> IF(DC370&lt;&gt;"",TEXT(AUX!DG$1,"dd-MMM-aa"),"")</f>
      </c>
      <c r="DD350" s="496" t="str">
        <f> IF(DD370&lt;&gt;"",TEXT(AUX!DH$1,"dd-MMM-aa"),"")</f>
      </c>
      <c r="DE350" s="496" t="str">
        <f> IF(DE370&lt;&gt;"",TEXT(AUX!DI$1,"dd-MMM-aa"),"")</f>
      </c>
      <c r="DF350" s="496" t="str">
        <f> IF(DF370&lt;&gt;"",TEXT(AUX!DJ$1,"dd-MMM-aa"),"")</f>
      </c>
      <c r="DG350" s="496" t="str">
        <f> IF(DG370&lt;&gt;"",TEXT(AUX!DK$1,"dd-MMM-aa"),"")</f>
      </c>
      <c r="DH350" s="496" t="str">
        <f> IF(DH370&lt;&gt;"",TEXT(AUX!DL$1,"dd-MMM-aa"),"")</f>
      </c>
      <c r="DI350" s="496" t="str">
        <f> IF(DI370&lt;&gt;"",TEXT(AUX!DM$1,"dd-MMM-aa"),"")</f>
      </c>
      <c r="DJ350" s="496" t="str">
        <f> IF(DJ370&lt;&gt;"",TEXT(AUX!DN$1,"dd-MMM-aa"),"")</f>
      </c>
      <c r="DK350" s="496" t="str">
        <f> IF(DK370&lt;&gt;"",TEXT(AUX!DO$1,"dd-MMM-aa"),"")</f>
      </c>
      <c r="DL350" s="496" t="str">
        <f> IF(DL370&lt;&gt;"",TEXT(AUX!DP$1,"dd-MMM-aa"),"")</f>
      </c>
      <c r="DM350" s="496" t="str">
        <f> IF(DM370&lt;&gt;"",TEXT(AUX!DQ$1,"dd-MMM-aa"),"")</f>
      </c>
      <c r="DN350" s="496" t="str">
        <f> IF(DN370&lt;&gt;"",TEXT(AUX!DR$1,"dd-MMM-aa"),"")</f>
      </c>
      <c r="DO350" s="496" t="str">
        <f> IF(DO370&lt;&gt;"",TEXT(AUX!DS$1,"dd-MMM-aa"),"")</f>
      </c>
      <c r="DP350" s="496" t="str">
        <f> IF(DP370&lt;&gt;"",TEXT(AUX!DT$1,"dd-MMM-aa"),"")</f>
      </c>
      <c r="DQ350" s="496" t="str">
        <f> IF(DQ370&lt;&gt;"",TEXT(AUX!DU$1,"dd-MMM-aa"),"")</f>
      </c>
      <c r="DR350" s="496" t="str">
        <f> IF(DR370&lt;&gt;"",TEXT(AUX!DV$1,"dd-MMM-aa"),"")</f>
      </c>
      <c r="DS350" s="496" t="str">
        <f> IF(DS370&lt;&gt;"",TEXT(AUX!DW$1,"dd-MMM-aa"),"")</f>
      </c>
      <c r="DT350" s="496" t="str">
        <f> IF(DT370&lt;&gt;"",TEXT(AUX!DX$1,"dd-MMM-aa"),"")</f>
      </c>
      <c r="DU350" s="496" t="str">
        <f> IF(DU370&lt;&gt;"",TEXT(AUX!DY$1,"dd-MMM-aa"),"")</f>
      </c>
      <c r="DV350" s="496" t="str">
        <f> IF(DV370&lt;&gt;"",TEXT(AUX!DZ$1,"dd-MMM-aa"),"")</f>
      </c>
      <c r="DW350" s="496" t="str">
        <f> IF(DW370&lt;&gt;"",TEXT(AUX!EA$1,"dd-MMM-aa"),"")</f>
      </c>
      <c r="DX350" s="496" t="str">
        <f> IF(DX370&lt;&gt;"",TEXT(AUX!EB$1,"dd-MMM-aa"),"")</f>
      </c>
      <c r="DY350" s="496" t="str">
        <f> IF(DY370&lt;&gt;"",TEXT(AUX!EC$1,"dd-MMM-aa"),"")</f>
      </c>
      <c r="DZ350" s="496" t="str">
        <f> IF(DZ370&lt;&gt;"",TEXT(AUX!ED$1,"dd-MMM-aa"),"")</f>
      </c>
      <c r="EA350" s="496" t="str">
        <f> IF(EA370&lt;&gt;"",TEXT(AUX!EE$1,"dd-MMM-aa"),"")</f>
      </c>
      <c r="EB350" s="496" t="str">
        <f> IF(EB370&lt;&gt;"",TEXT(AUX!EF$1,"dd-MMM-aa"),"")</f>
      </c>
      <c r="EC350" s="496" t="str">
        <f> IF(EC370&lt;&gt;"",TEXT(AUX!EG$1,"dd-MMM-aa"),"")</f>
      </c>
      <c r="ED350" s="496" t="str">
        <f> IF(ED370&lt;&gt;"",TEXT(AUX!EH$1,"dd-MMM-aa"),"")</f>
      </c>
      <c r="EE350" s="496" t="str">
        <f> IF(EE370&lt;&gt;"",TEXT(AUX!EI$1,"dd-MMM-aa"),"")</f>
      </c>
      <c r="EF350" s="496" t="str">
        <f> IF(EF370&lt;&gt;"",TEXT(AUX!EJ$1,"dd-MMM-aa"),"")</f>
      </c>
      <c r="EG350" s="496" t="str">
        <f> IF(EG370&lt;&gt;"",TEXT(AUX!EK$1,"dd-MMM-aa"),"")</f>
      </c>
      <c r="EH350" s="496" t="str">
        <f> IF(EH370&lt;&gt;"",TEXT(AUX!EL$1,"dd-MMM-aa"),"")</f>
      </c>
      <c r="EI350" s="496" t="str">
        <f> IF(EI370&lt;&gt;"",TEXT(AUX!EM$1,"dd-MMM-aa"),"")</f>
      </c>
      <c r="EJ350" s="496" t="str">
        <f> IF(EJ370&lt;&gt;"",TEXT(AUX!EN$1,"dd-MMM-aa"),"")</f>
      </c>
      <c r="EK350" s="496" t="str">
        <f> IF(EK370&lt;&gt;"",TEXT(AUX!EO$1,"dd-MMM-aa"),"")</f>
      </c>
      <c r="EL350" s="496" t="str">
        <f> IF(EL370&lt;&gt;"",TEXT(AUX!EP$1,"dd-MMM-aa"),"")</f>
      </c>
      <c r="EM350" s="496" t="str">
        <f> IF(EM370&lt;&gt;"",TEXT(AUX!EQ$1,"dd-MMM-aa"),"")</f>
      </c>
      <c r="EN350" s="496" t="str">
        <f> IF(EN370&lt;&gt;"",TEXT(AUX!ER$1,"dd-MMM-aa"),"")</f>
      </c>
      <c r="EO350" s="496" t="str">
        <f> IF(EO370&lt;&gt;"",TEXT(AUX!ES$1,"dd-MMM-aa"),"")</f>
      </c>
      <c r="EP350" s="496" t="str">
        <f> IF(EP370&lt;&gt;"",TEXT(AUX!ET$1,"dd-MMM-aa"),"")</f>
      </c>
      <c r="EQ350" s="496" t="str">
        <f> IF(EQ370&lt;&gt;"",TEXT(AUX!EU$1,"dd-MMM-aa"),"")</f>
      </c>
      <c r="ER350" s="496" t="str">
        <f> IF(ER370&lt;&gt;"",TEXT(AUX!EV$1,"dd-MMM-aa"),"")</f>
      </c>
      <c r="ES350" s="496" t="str">
        <f> IF(ES370&lt;&gt;"",TEXT(AUX!EW$1,"dd-MMM-aa"),"")</f>
      </c>
      <c r="ET350" s="496" t="str">
        <f> IF(ET370&lt;&gt;"",TEXT(AUX!EX$1,"dd-MMM-aa"),"")</f>
      </c>
      <c r="EU350" s="496" t="str">
        <f> IF(EU370&lt;&gt;"",TEXT(AUX!EY$1,"dd-MMM-aa"),"")</f>
      </c>
      <c r="EV350" s="496" t="str">
        <f> IF(EV370&lt;&gt;"",TEXT(AUX!EZ$1,"dd-MMM-aa"),"")</f>
      </c>
      <c r="EW350" s="496" t="str">
        <f> IF(EW370&lt;&gt;"",TEXT(AUX!FA$1,"dd-MMM-aa"),"")</f>
      </c>
      <c r="EX350" s="496" t="str">
        <f> IF(EX370&lt;&gt;"",TEXT(AUX!FB$1,"dd-MMM-aa"),"")</f>
      </c>
      <c r="EY350" s="496" t="str">
        <f> IF(EY370&lt;&gt;"",TEXT(AUX!FC$1,"dd-MMM-aa"),"")</f>
      </c>
      <c r="EZ350" s="496" t="str">
        <f> IF(EZ370&lt;&gt;"",TEXT(AUX!FD$1,"dd-MMM-aa"),"")</f>
      </c>
      <c r="FA350" s="496" t="str">
        <f> IF(FA370&lt;&gt;"",TEXT(AUX!FE$1,"dd-MMM-aa"),"")</f>
      </c>
      <c r="FB350" s="496" t="str">
        <f> IF(FB370&lt;&gt;"",TEXT(AUX!FF$1,"dd-MMM-aa"),"")</f>
      </c>
      <c r="FC350" s="496" t="str">
        <f> IF(FC370&lt;&gt;"",TEXT(AUX!FG$1,"dd-MMM-aa"),"")</f>
      </c>
      <c r="FD350" s="496" t="str">
        <f> IF(FD370&lt;&gt;"",TEXT(AUX!FH$1,"dd-MMM-aa"),"")</f>
      </c>
      <c r="FE350" s="496" t="str">
        <f> IF(FE370&lt;&gt;"",TEXT(AUX!FI$1,"dd-MMM-aa"),"")</f>
      </c>
      <c r="FF350" s="496" t="str">
        <f> IF(FF370&lt;&gt;"",TEXT(AUX!FJ$1,"dd-MMM-aa"),"")</f>
      </c>
      <c r="FG350" s="496" t="str">
        <f> IF(FG370&lt;&gt;"",TEXT(AUX!FK$1,"dd-MMM-aa"),"")</f>
      </c>
      <c r="FH350" s="496" t="str">
        <f> IF(FH370&lt;&gt;"",TEXT(AUX!FL$1,"dd-MMM-aa"),"")</f>
      </c>
      <c r="FI350" s="496" t="str">
        <f> IF(FI370&lt;&gt;"",TEXT(AUX!FM$1,"dd-MMM-aa"),"")</f>
      </c>
      <c r="FJ350" s="496" t="str">
        <f> IF(FJ370&lt;&gt;"",TEXT(AUX!FN$1,"dd-MMM-aa"),"")</f>
      </c>
      <c r="FK350" s="496" t="str">
        <f> IF(FK370&lt;&gt;"",TEXT(AUX!FO$1,"dd-MMM-aa"),"")</f>
      </c>
      <c r="FL350" s="496" t="str">
        <f> IF(FL370&lt;&gt;"",TEXT(AUX!FP$1,"dd-MMM-aa"),"")</f>
      </c>
      <c r="FM350" s="496" t="str">
        <f> IF(FM370&lt;&gt;"",TEXT(AUX!FQ$1,"dd-MMM-aa"),"")</f>
      </c>
      <c r="FN350" s="496" t="str">
        <f> IF(FN370&lt;&gt;"",TEXT(AUX!FR$1,"dd-MMM-aa"),"")</f>
      </c>
      <c r="FO350" s="496" t="str">
        <f> IF(FO370&lt;&gt;"",TEXT(AUX!FS$1,"dd-MMM-aa"),"")</f>
      </c>
      <c r="FP350" s="496" t="str">
        <f> IF(FP370&lt;&gt;"",TEXT(AUX!FT$1,"dd-MMM-aa"),"")</f>
      </c>
      <c r="FQ350" s="496" t="str">
        <f> IF(FQ370&lt;&gt;"",TEXT(AUX!FU$1,"dd-MMM-aa"),"")</f>
      </c>
      <c r="FR350" s="496" t="str">
        <f> IF(FR370&lt;&gt;"",TEXT(AUX!FV$1,"dd-MMM-aa"),"")</f>
      </c>
      <c r="FS350" s="496" t="str">
        <f> IF(FS370&lt;&gt;"",TEXT(AUX!FW$1,"dd-MMM-aa"),"")</f>
      </c>
      <c r="FT350" s="496" t="str">
        <f> IF(FT370&lt;&gt;"",TEXT(AUX!FX$1,"dd-MMM-aa"),"")</f>
      </c>
      <c r="FU350" s="496" t="str">
        <f> IF(FU370&lt;&gt;"",TEXT(AUX!FY$1,"dd-MMM-aa"),"")</f>
      </c>
      <c r="FV350" s="496" t="str">
        <f> IF(FV370&lt;&gt;"",TEXT(AUX!FZ$1,"dd-MMM-aa"),"")</f>
      </c>
      <c r="FW350" s="496" t="str">
        <f> IF(FW370&lt;&gt;"",TEXT(AUX!GA$1,"dd-MMM-aa"),"")</f>
      </c>
      <c r="FX350" s="496" t="str">
        <f> IF(FX370&lt;&gt;"",TEXT(AUX!GB$1,"dd-MMM-aa"),"")</f>
      </c>
      <c r="FY350" s="496" t="str">
        <f> IF(FY370&lt;&gt;"",TEXT(AUX!GC$1,"dd-MMM-aa"),"")</f>
      </c>
      <c r="FZ350" s="496" t="str">
        <f> IF(FZ370&lt;&gt;"",TEXT(AUX!GD$1,"dd-MMM-aa"),"")</f>
      </c>
      <c r="GA350" s="496" t="str">
        <f> IF(GA370&lt;&gt;"",TEXT(AUX!GE$1,"dd-MMM-aa"),"")</f>
      </c>
      <c r="GB350" s="496" t="str">
        <f> IF(GB370&lt;&gt;"",TEXT(AUX!GF$1,"dd-MMM-aa"),"")</f>
      </c>
      <c r="GC350" s="496" t="str">
        <f> IF(GC370&lt;&gt;"",TEXT(AUX!GG$1,"dd-MMM-aa"),"")</f>
      </c>
      <c r="GD350" s="496" t="str">
        <f> IF(GD370&lt;&gt;"",TEXT(AUX!GH$1,"dd-MMM-aa"),"")</f>
      </c>
      <c r="GE350" s="496" t="str">
        <f> IF(GE370&lt;&gt;"",TEXT(AUX!GI$1,"dd-MMM-aa"),"")</f>
      </c>
      <c r="GF350" s="496" t="str">
        <f> IF(GF370&lt;&gt;"",TEXT(AUX!GJ$1,"dd-MMM-aa"),"")</f>
      </c>
      <c r="GG350" s="496" t="str">
        <f> IF(GG370&lt;&gt;"",TEXT(AUX!GK$1,"dd-MMM-aa"),"")</f>
      </c>
      <c r="GH350" s="496" t="str">
        <f> IF(GH370&lt;&gt;"",TEXT(AUX!GL$1,"dd-MMM-aa"),"")</f>
      </c>
      <c r="GI350" s="496" t="str">
        <f> IF(GI370&lt;&gt;"",TEXT(AUX!GM$1,"dd-MMM-aa"),"")</f>
      </c>
      <c r="GJ350" s="496" t="str">
        <f> IF(GJ370&lt;&gt;"",TEXT(AUX!GN$1,"dd-MMM-aa"),"")</f>
      </c>
      <c r="GK350" s="496" t="str">
        <f> IF(GK370&lt;&gt;"",TEXT(AUX!GO$1,"dd-MMM-aa"),"")</f>
      </c>
      <c r="GL350" s="496" t="str">
        <f> IF(GL370&lt;&gt;"",TEXT(AUX!GP$1,"dd-MMM-aa"),"")</f>
      </c>
      <c r="GM350" s="496" t="str">
        <f> IF(GM370&lt;&gt;"",TEXT(AUX!GQ$1,"dd-MMM-aa"),"")</f>
      </c>
      <c r="GN350" s="496" t="str">
        <f> IF(GN370&lt;&gt;"",TEXT(AUX!GR$1,"dd-MMM-aa"),"")</f>
      </c>
      <c r="GO350" s="496" t="str">
        <f> IF(GO370&lt;&gt;"",TEXT(AUX!GS$1,"dd-MMM-aa"),"")</f>
      </c>
      <c r="GP350" s="496" t="str">
        <f> IF(GP370&lt;&gt;"",TEXT(AUX!GT$1,"dd-MMM-aa"),"")</f>
      </c>
      <c r="GQ350" s="496" t="str">
        <f> IF(GQ370&lt;&gt;"",TEXT(AUX!GU$1,"dd-MMM-aa"),"")</f>
      </c>
      <c r="GR350" s="496" t="str">
        <f> IF(GR370&lt;&gt;"",TEXT(AUX!GV$1,"dd-MMM-aa"),"")</f>
      </c>
      <c r="GS350" s="496" t="str">
        <f> IF(GS370&lt;&gt;"",TEXT(AUX!GW$1,"dd-MMM-aa"),"")</f>
      </c>
      <c r="GT350" s="496" t="str">
        <f> IF(GT370&lt;&gt;"",TEXT(AUX!GX$1,"dd-MMM-aa"),"")</f>
      </c>
      <c r="GU350" s="496" t="str">
        <f> IF(GU370&lt;&gt;"",TEXT(AUX!GY$1,"dd-MMM-aa"),"")</f>
      </c>
      <c r="GV350" s="496" t="str">
        <f> IF(GV370&lt;&gt;"",TEXT(AUX!GZ$1,"dd-MMM-aa"),"")</f>
      </c>
      <c r="GW350" s="496" t="str">
        <f> IF(GW370&lt;&gt;"",TEXT(AUX!HA$1,"dd-MMM-aa"),"")</f>
      </c>
      <c r="GX350" s="496" t="str">
        <f> IF(GX370&lt;&gt;"",TEXT(AUX!HB$1,"dd-MMM-aa"),"")</f>
      </c>
      <c r="GY350" s="496" t="str">
        <f> IF(GY370&lt;&gt;"",TEXT(AUX!HC$1,"dd-MMM-aa"),"")</f>
      </c>
      <c r="GZ350" s="496" t="str">
        <f> IF(GZ370&lt;&gt;"",TEXT(AUX!HD$1,"dd-MMM-aa"),"")</f>
      </c>
      <c r="HA350" s="496" t="str">
        <f> IF(HA370&lt;&gt;"",TEXT(AUX!HE$1,"dd-MMM-aa"),"")</f>
      </c>
      <c r="HB350" s="496" t="str">
        <f> IF(HB370&lt;&gt;"",TEXT(AUX!HF$1,"dd-MMM-aa"),"")</f>
      </c>
      <c r="HC350" s="496" t="str">
        <f> IF(HC370&lt;&gt;"",TEXT(AUX!HG$1,"dd-MMM-aa"),"")</f>
      </c>
      <c r="HD350" s="496" t="str">
        <f> IF(HD370&lt;&gt;"",TEXT(AUX!HH$1,"dd-MMM-aa"),"")</f>
      </c>
      <c r="HE350" s="496" t="str">
        <f> IF(HE370&lt;&gt;"",TEXT(AUX!HI$1,"dd-MMM-aa"),"")</f>
      </c>
      <c r="HF350" s="496" t="str">
        <f> IF(HF370&lt;&gt;"",TEXT(AUX!HJ$1,"dd-MMM-aa"),"")</f>
      </c>
      <c r="HG350" s="496" t="str">
        <f> IF(HG370&lt;&gt;"",TEXT(AUX!HK$1,"dd-MMM-aa"),"")</f>
      </c>
      <c r="HH350" s="496" t="str">
        <f> IF(HH370&lt;&gt;"",TEXT(AUX!HL$1,"dd-MMM-aa"),"")</f>
      </c>
      <c r="HI350" s="496" t="str">
        <f> IF(HI370&lt;&gt;"",TEXT(AUX!HM$1,"dd-MMM-aa"),"")</f>
      </c>
      <c r="HJ350" s="496" t="str">
        <f> IF(HJ370&lt;&gt;"",TEXT(AUX!HN$1,"dd-MMM-aa"),"")</f>
      </c>
      <c r="HK350" s="496" t="str">
        <f> IF(HK370&lt;&gt;"",TEXT(AUX!HO$1,"dd-MMM-aa"),"")</f>
      </c>
      <c r="HL350" s="496" t="str">
        <f> IF(HL370&lt;&gt;"",TEXT(AUX!HP$1,"dd-MMM-aa"),"")</f>
      </c>
      <c r="HM350" s="496" t="str">
        <f> IF(HM370&lt;&gt;"",TEXT(AUX!HQ$1,"dd-MMM-aa"),"")</f>
      </c>
      <c r="HN350" s="496" t="str">
        <f> IF(HN370&lt;&gt;"",TEXT(AUX!HR$1,"dd-MMM-aa"),"")</f>
      </c>
      <c r="HO350" s="496" t="str">
        <f> IF(HO370&lt;&gt;"",TEXT(AUX!HS$1,"dd-MMM-aa"),"")</f>
      </c>
      <c r="HP350" s="496" t="str">
        <f> IF(HP370&lt;&gt;"",TEXT(AUX!HT$1,"dd-MMM-aa"),"")</f>
      </c>
      <c r="HQ350" s="496" t="str">
        <f> IF(HQ370&lt;&gt;"",TEXT(AUX!HU$1,"dd-MMM-aa"),"")</f>
      </c>
      <c r="HR350" s="496" t="str">
        <f> IF(HR370&lt;&gt;"",TEXT(AUX!HV$1,"dd-MMM-aa"),"")</f>
      </c>
      <c r="HS350" s="496" t="str">
        <f> IF(HS370&lt;&gt;"",TEXT(AUX!HW$1,"dd-MMM-aa"),"")</f>
      </c>
      <c r="HT350" s="496" t="str">
        <f> IF(HT370&lt;&gt;"",TEXT(AUX!HX$1,"dd-MMM-aa"),"")</f>
      </c>
      <c r="HU350" s="496" t="str">
        <f> IF(HU370&lt;&gt;"",TEXT(AUX!HY$1,"dd-MMM-aa"),"")</f>
      </c>
      <c r="HV350" s="496" t="str">
        <f> IF(HV370&lt;&gt;"",TEXT(AUX!HZ$1,"dd-MMM-aa"),"")</f>
      </c>
      <c r="HW350" s="496" t="str">
        <f> IF(HW370&lt;&gt;"",TEXT(AUX!IA$1,"dd-MMM-aa"),"")</f>
      </c>
      <c r="HX350" s="496" t="str">
        <f> IF(HX370&lt;&gt;"",TEXT(AUX!IB$1,"dd-MMM-aa"),"")</f>
      </c>
      <c r="HY350" s="496" t="str">
        <f> IF(HY370&lt;&gt;"",TEXT(AUX!IC$1,"dd-MMM-aa"),"")</f>
      </c>
      <c r="HZ350" s="496" t="str">
        <f> IF(HZ370&lt;&gt;"",TEXT(AUX!ID$1,"dd-MMM-aa"),"")</f>
      </c>
      <c r="IA350" s="496" t="str">
        <f> IF(IA370&lt;&gt;"",TEXT(AUX!IE$1,"dd-MMM-aa"),"")</f>
      </c>
      <c r="IB350" s="496" t="str">
        <f> IF(IB370&lt;&gt;"",TEXT(AUX!IF$1,"dd-MMM-aa"),"")</f>
      </c>
      <c r="IC350" s="496" t="str">
        <f> IF(IC370&lt;&gt;"",TEXT(AUX!IG$1,"dd-MMM-aa"),"")</f>
      </c>
      <c r="ID350" s="496" t="str">
        <f> IF(ID370&lt;&gt;"",TEXT(AUX!IH$1,"dd-MMM-aa"),"")</f>
      </c>
      <c r="IE350" s="496" t="str">
        <f> IF(IE370&lt;&gt;"",TEXT(AUX!II$1,"dd-MMM-aa"),"")</f>
      </c>
      <c r="IF350" s="496" t="str">
        <f> IF(IF370&lt;&gt;"",TEXT(AUX!IJ$1,"dd-MMM-aa"),"")</f>
      </c>
      <c r="IG350" s="496" t="str">
        <f> IF(IG370&lt;&gt;"",TEXT(AUX!IK$1,"dd-MMM-aa"),"")</f>
      </c>
      <c r="IH350" s="496" t="str">
        <f> IF(IH370&lt;&gt;"",TEXT(AUX!IL$1,"dd-MMM-aa"),"")</f>
      </c>
      <c r="II350" s="496" t="str">
        <f> IF(II370&lt;&gt;"",TEXT(AUX!IM$1,"dd-MMM-aa"),"")</f>
      </c>
      <c r="IJ350" s="496" t="str">
        <f> IF(IJ370&lt;&gt;"",TEXT(AUX!IN$1,"dd-MMM-aa"),"")</f>
      </c>
      <c r="IK350" s="496" t="str">
        <f> IF(IK370&lt;&gt;"",TEXT(AUX!IO$1,"dd-MMM-aa"),"")</f>
      </c>
      <c r="IL350" s="496" t="str">
        <f> IF(IL370&lt;&gt;"",TEXT(AUX!IP$1,"dd-MMM-aa"),"")</f>
      </c>
      <c r="IM350" s="496" t="str">
        <f> IF(IM370&lt;&gt;"",TEXT(AUX!IQ$1,"dd-MMM-aa"),"")</f>
      </c>
      <c r="IN350" s="496" t="str">
        <f> IF(IN370&lt;&gt;"",TEXT(AUX!IR$1,"dd-MMM-aa"),"")</f>
      </c>
      <c r="IO350" s="496" t="str">
        <f> IF(IO370&lt;&gt;"",TEXT(AUX!IS$1,"dd-MMM-aa"),"")</f>
      </c>
      <c r="IP350" s="496" t="str">
        <f> IF(IP370&lt;&gt;"",TEXT(AUX!IT$1,"dd-MMM-aa"),"")</f>
      </c>
      <c r="IQ350" s="496" t="str">
        <f> IF(IQ370&lt;&gt;"",TEXT(AUX!IU$1,"dd-MMM-aa"),"")</f>
      </c>
      <c r="IR350" s="496" t="str">
        <f> IF(IR370&lt;&gt;"",TEXT(AUX!IV$1,"dd-MMM-aa"),"")</f>
      </c>
      <c r="IS350" s="496" t="str">
        <f> IF(IS370&lt;&gt;"",TEXT(AUX!#REF!,"dd-MMM-aa"),"")</f>
      </c>
      <c r="IT350" s="496" t="str">
        <f> IF(IT370&lt;&gt;"",TEXT(AUX!#REF!,"dd-MMM-aa"),"")</f>
      </c>
      <c r="IU350" s="496" t="str">
        <f> IF(IU370&lt;&gt;"",TEXT(AUX!#REF!,"dd-MMM-aa"),"")</f>
      </c>
      <c r="IV350" s="496" t="str">
        <f> IF(IV370&lt;&gt;"",TEXT(AUX!#REF!,"dd-MMM-aa"),"")</f>
      </c>
    </row>
    <row r="351" hidden="1">
      <c r="B351" s="833" t="s">
        <v>8</v>
      </c>
      <c r="C351" s="827">
        <v>7276</v>
      </c>
      <c r="D351" s="827">
        <v>7257</v>
      </c>
      <c r="E351" s="827">
        <v>7182</v>
      </c>
      <c r="F351" s="827">
        <v>7121</v>
      </c>
      <c r="G351" s="827">
        <v>6221</v>
      </c>
      <c r="H351" s="827">
        <v>6228</v>
      </c>
      <c r="I351" s="827">
        <v>6116</v>
      </c>
      <c r="J351" s="827">
        <v>6101</v>
      </c>
      <c r="K351" s="827">
        <v>5909</v>
      </c>
      <c r="L351" s="827">
        <v>5979</v>
      </c>
      <c r="M351" s="827">
        <v>6001</v>
      </c>
      <c r="N351" s="827">
        <v>6067</v>
      </c>
      <c r="O351" s="827">
        <v>6454</v>
      </c>
      <c r="P351" s="827">
        <v>6569</v>
      </c>
      <c r="Q351" s="827">
        <v>6576</v>
      </c>
      <c r="R351" s="827">
        <v>6636</v>
      </c>
      <c r="S351" s="827">
        <v>6621</v>
      </c>
      <c r="T351" s="827">
        <v>6607</v>
      </c>
      <c r="U351" s="827">
        <v>7213</v>
      </c>
      <c r="V351" s="827">
        <v>7251</v>
      </c>
      <c r="W351" s="827">
        <v>7200</v>
      </c>
      <c r="X351" s="827">
        <v>5007</v>
      </c>
      <c r="Y351" s="827">
        <v>7156</v>
      </c>
      <c r="Z351" s="827">
        <v>7170</v>
      </c>
      <c r="AA351" s="827">
        <v>7122</v>
      </c>
      <c r="AB351" s="834">
        <v>6973</v>
      </c>
      <c r="AC351" s="828">
        <v>6970</v>
      </c>
      <c r="AD351" s="828">
        <v>7015</v>
      </c>
      <c r="AE351" s="828">
        <v>7050</v>
      </c>
      <c r="AF351" s="828">
        <v>7116</v>
      </c>
      <c r="AG351" s="828">
        <v>7084</v>
      </c>
      <c r="AH351" s="828">
        <v>7076</v>
      </c>
      <c r="AI351" s="828">
        <v>6944</v>
      </c>
      <c r="AJ351" s="828">
        <v>6950</v>
      </c>
      <c r="AK351" s="828">
        <v>6912</v>
      </c>
      <c r="AL351" s="828">
        <v>6959</v>
      </c>
      <c r="AM351" s="828">
        <v>6231</v>
      </c>
      <c r="AN351" s="828">
        <v>6139</v>
      </c>
      <c r="AO351" s="828">
        <v>6123</v>
      </c>
      <c r="AP351" s="828">
        <v>6115</v>
      </c>
    </row>
    <row r="352" hidden="1">
      <c r="B352" s="829" t="s">
        <v>9</v>
      </c>
      <c r="C352" s="823">
        <v>756</v>
      </c>
      <c r="D352" s="823">
        <v>766</v>
      </c>
      <c r="E352" s="823">
        <v>777</v>
      </c>
      <c r="F352" s="823">
        <v>792</v>
      </c>
      <c r="G352" s="823">
        <v>807</v>
      </c>
      <c r="H352" s="823">
        <v>819</v>
      </c>
      <c r="I352" s="823">
        <v>813</v>
      </c>
      <c r="J352" s="823">
        <v>821</v>
      </c>
      <c r="K352" s="823">
        <v>822</v>
      </c>
      <c r="L352" s="823">
        <v>825</v>
      </c>
      <c r="M352" s="823">
        <v>830</v>
      </c>
      <c r="N352" s="823">
        <v>833</v>
      </c>
      <c r="O352" s="823">
        <v>835</v>
      </c>
      <c r="P352" s="823">
        <v>861</v>
      </c>
      <c r="Q352" s="823">
        <v>837</v>
      </c>
      <c r="R352" s="823">
        <v>860</v>
      </c>
      <c r="S352" s="823">
        <v>887</v>
      </c>
      <c r="T352" s="823">
        <v>904</v>
      </c>
      <c r="U352" s="823">
        <v>928</v>
      </c>
      <c r="V352" s="823">
        <v>931</v>
      </c>
      <c r="W352" s="823">
        <v>955</v>
      </c>
      <c r="X352" s="823">
        <v>1033</v>
      </c>
      <c r="Y352" s="823">
        <v>1048</v>
      </c>
      <c r="Z352" s="823">
        <v>1060</v>
      </c>
      <c r="AA352" s="823">
        <v>1053</v>
      </c>
      <c r="AB352" s="823">
        <v>1063</v>
      </c>
      <c r="AC352" s="825">
        <v>1087</v>
      </c>
      <c r="AD352" s="825">
        <v>1112</v>
      </c>
      <c r="AE352" s="825">
        <v>1119</v>
      </c>
      <c r="AF352" s="825">
        <v>1137</v>
      </c>
      <c r="AG352" s="825">
        <v>1177</v>
      </c>
      <c r="AH352" s="825">
        <v>1198</v>
      </c>
      <c r="AI352" s="825">
        <v>1214</v>
      </c>
      <c r="AJ352" s="825">
        <v>1220</v>
      </c>
      <c r="AK352" s="825">
        <v>1265</v>
      </c>
      <c r="AL352" s="825">
        <v>1289</v>
      </c>
      <c r="AM352" s="825">
        <v>1260</v>
      </c>
      <c r="AN352" s="825">
        <v>1259</v>
      </c>
      <c r="AO352" s="825">
        <v>1261</v>
      </c>
      <c r="AP352" s="825">
        <v>1267</v>
      </c>
    </row>
    <row r="353" hidden="1">
      <c r="B353" s="826" t="s">
        <v>10</v>
      </c>
      <c r="C353" s="827">
        <v>25104</v>
      </c>
      <c r="D353" s="827">
        <v>25014</v>
      </c>
      <c r="E353" s="827">
        <v>19425</v>
      </c>
      <c r="F353" s="827">
        <v>19498</v>
      </c>
      <c r="G353" s="827">
        <v>17656</v>
      </c>
      <c r="H353" s="827">
        <v>17795</v>
      </c>
      <c r="I353" s="827">
        <v>16661</v>
      </c>
      <c r="J353" s="827">
        <v>16759</v>
      </c>
      <c r="K353" s="827">
        <v>16113</v>
      </c>
      <c r="L353" s="827">
        <v>16211</v>
      </c>
      <c r="M353" s="827">
        <v>15522</v>
      </c>
      <c r="N353" s="827">
        <v>15618</v>
      </c>
      <c r="O353" s="827">
        <v>14957</v>
      </c>
      <c r="P353" s="827">
        <v>15185</v>
      </c>
      <c r="Q353" s="827">
        <v>14887</v>
      </c>
      <c r="R353" s="827">
        <v>15131</v>
      </c>
      <c r="S353" s="827">
        <v>14605</v>
      </c>
      <c r="T353" s="827">
        <v>14721</v>
      </c>
      <c r="U353" s="827">
        <v>14288</v>
      </c>
      <c r="V353" s="827">
        <v>13908</v>
      </c>
      <c r="W353" s="827">
        <v>14108</v>
      </c>
      <c r="X353" s="827">
        <v>13672</v>
      </c>
      <c r="Y353" s="827">
        <v>13835</v>
      </c>
      <c r="Z353" s="827">
        <v>13412</v>
      </c>
      <c r="AA353" s="827">
        <v>13577</v>
      </c>
      <c r="AB353" s="827">
        <v>13043</v>
      </c>
      <c r="AC353" s="828">
        <v>13176</v>
      </c>
      <c r="AD353" s="828">
        <v>12687</v>
      </c>
      <c r="AE353" s="828">
        <v>12846</v>
      </c>
      <c r="AF353" s="828">
        <v>12438</v>
      </c>
      <c r="AG353" s="828">
        <v>12642</v>
      </c>
      <c r="AH353" s="828">
        <v>12277</v>
      </c>
      <c r="AI353" s="828">
        <v>12437</v>
      </c>
      <c r="AJ353" s="828">
        <v>11999</v>
      </c>
      <c r="AK353" s="828">
        <v>13110</v>
      </c>
      <c r="AL353" s="828">
        <v>12451</v>
      </c>
      <c r="AM353" s="828">
        <v>12570</v>
      </c>
      <c r="AN353" s="828">
        <v>11912</v>
      </c>
      <c r="AO353" s="828">
        <v>12039</v>
      </c>
      <c r="AP353" s="828">
        <v>11471</v>
      </c>
    </row>
    <row r="354" hidden="1">
      <c r="B354" s="829" t="s">
        <v>11</v>
      </c>
      <c r="C354" s="823">
        <v>295</v>
      </c>
      <c r="D354" s="823">
        <v>352</v>
      </c>
      <c r="E354" s="823">
        <v>346</v>
      </c>
      <c r="F354" s="823">
        <v>369</v>
      </c>
      <c r="G354" s="823">
        <v>350</v>
      </c>
      <c r="H354" s="823">
        <v>365</v>
      </c>
      <c r="I354" s="823">
        <v>374</v>
      </c>
      <c r="J354" s="823">
        <v>373</v>
      </c>
      <c r="K354" s="823">
        <v>361</v>
      </c>
      <c r="L354" s="823">
        <v>367</v>
      </c>
      <c r="M354" s="823">
        <v>356</v>
      </c>
      <c r="N354" s="823">
        <v>365</v>
      </c>
      <c r="O354" s="823">
        <v>370</v>
      </c>
      <c r="P354" s="823">
        <v>377</v>
      </c>
      <c r="Q354" s="823">
        <v>431</v>
      </c>
      <c r="R354" s="823">
        <v>440</v>
      </c>
      <c r="S354" s="823">
        <v>443</v>
      </c>
      <c r="T354" s="823">
        <v>442</v>
      </c>
      <c r="U354" s="823">
        <v>438</v>
      </c>
      <c r="V354" s="823">
        <v>453</v>
      </c>
      <c r="W354" s="823">
        <v>434</v>
      </c>
      <c r="X354" s="823">
        <v>441</v>
      </c>
      <c r="Y354" s="823">
        <v>435</v>
      </c>
      <c r="Z354" s="823">
        <v>433</v>
      </c>
      <c r="AA354" s="823">
        <v>429</v>
      </c>
      <c r="AB354" s="823">
        <v>439</v>
      </c>
      <c r="AC354" s="825">
        <v>398</v>
      </c>
      <c r="AD354" s="825">
        <v>399</v>
      </c>
      <c r="AE354" s="825">
        <v>405</v>
      </c>
      <c r="AF354" s="825">
        <v>417</v>
      </c>
      <c r="AG354" s="825">
        <v>405</v>
      </c>
      <c r="AH354" s="825">
        <v>413</v>
      </c>
      <c r="AI354" s="825">
        <v>421</v>
      </c>
      <c r="AJ354" s="825">
        <v>434</v>
      </c>
      <c r="AK354" s="825">
        <v>502</v>
      </c>
      <c r="AL354" s="825">
        <v>507</v>
      </c>
      <c r="AM354" s="825">
        <v>498</v>
      </c>
      <c r="AN354" s="825">
        <v>497</v>
      </c>
      <c r="AO354" s="825">
        <v>497</v>
      </c>
      <c r="AP354" s="825">
        <v>499</v>
      </c>
    </row>
    <row r="355" hidden="1">
      <c r="B355" s="826" t="s">
        <v>12</v>
      </c>
      <c r="C355" s="827">
        <v>481</v>
      </c>
      <c r="D355" s="827">
        <v>472</v>
      </c>
      <c r="E355" s="827">
        <v>451</v>
      </c>
      <c r="F355" s="827">
        <v>325</v>
      </c>
      <c r="G355" s="827">
        <v>319</v>
      </c>
      <c r="H355" s="827">
        <v>318</v>
      </c>
      <c r="I355" s="827">
        <v>319</v>
      </c>
      <c r="J355" s="827">
        <v>312</v>
      </c>
      <c r="K355" s="827">
        <v>312</v>
      </c>
      <c r="L355" s="827">
        <v>303</v>
      </c>
      <c r="M355" s="827">
        <v>287</v>
      </c>
      <c r="N355" s="827">
        <v>283</v>
      </c>
      <c r="O355" s="827">
        <v>262</v>
      </c>
      <c r="P355" s="827">
        <v>257</v>
      </c>
      <c r="Q355" s="827">
        <v>241</v>
      </c>
      <c r="R355" s="827">
        <v>234</v>
      </c>
      <c r="S355" s="827">
        <v>234</v>
      </c>
      <c r="T355" s="827">
        <v>231</v>
      </c>
      <c r="U355" s="827">
        <v>221</v>
      </c>
      <c r="V355" s="827">
        <v>220</v>
      </c>
      <c r="W355" s="827">
        <v>218</v>
      </c>
      <c r="X355" s="827">
        <v>217</v>
      </c>
      <c r="Y355" s="827">
        <v>217</v>
      </c>
      <c r="Z355" s="827">
        <v>214</v>
      </c>
      <c r="AA355" s="827">
        <v>204</v>
      </c>
      <c r="AB355" s="827">
        <v>207</v>
      </c>
      <c r="AC355" s="828">
        <v>199</v>
      </c>
      <c r="AD355" s="828">
        <v>197</v>
      </c>
      <c r="AE355" s="828">
        <v>191</v>
      </c>
      <c r="AF355" s="828">
        <v>192</v>
      </c>
      <c r="AG355" s="828">
        <v>190</v>
      </c>
      <c r="AH355" s="828">
        <v>192</v>
      </c>
      <c r="AI355" s="828">
        <v>234</v>
      </c>
      <c r="AJ355" s="828">
        <v>244</v>
      </c>
      <c r="AK355" s="828">
        <v>252</v>
      </c>
      <c r="AL355" s="828">
        <v>290</v>
      </c>
      <c r="AM355" s="828">
        <v>304</v>
      </c>
      <c r="AN355" s="828">
        <v>339</v>
      </c>
      <c r="AO355" s="828">
        <v>359</v>
      </c>
      <c r="AP355" s="828">
        <v>365</v>
      </c>
    </row>
    <row r="356" hidden="1">
      <c r="B356" s="829" t="s">
        <v>13</v>
      </c>
      <c r="C356" s="823">
        <v>4107</v>
      </c>
      <c r="D356" s="823">
        <v>4196</v>
      </c>
      <c r="E356" s="823">
        <v>4218</v>
      </c>
      <c r="F356" s="823">
        <v>3191</v>
      </c>
      <c r="G356" s="823">
        <v>3316</v>
      </c>
      <c r="H356" s="823">
        <v>3411</v>
      </c>
      <c r="I356" s="823">
        <v>3199</v>
      </c>
      <c r="J356" s="823">
        <v>3283</v>
      </c>
      <c r="K356" s="823">
        <v>3438</v>
      </c>
      <c r="L356" s="823">
        <v>3519</v>
      </c>
      <c r="M356" s="823">
        <v>3579</v>
      </c>
      <c r="N356" s="823">
        <v>3664</v>
      </c>
      <c r="O356" s="823">
        <v>3764</v>
      </c>
      <c r="P356" s="823">
        <v>3826</v>
      </c>
      <c r="Q356" s="823">
        <v>3915</v>
      </c>
      <c r="R356" s="823">
        <v>4005</v>
      </c>
      <c r="S356" s="823">
        <v>4083</v>
      </c>
      <c r="T356" s="823">
        <v>4149</v>
      </c>
      <c r="U356" s="823">
        <v>4245</v>
      </c>
      <c r="V356" s="823">
        <v>4300</v>
      </c>
      <c r="W356" s="823">
        <v>4327</v>
      </c>
      <c r="X356" s="823">
        <v>4268</v>
      </c>
      <c r="Y356" s="823">
        <v>4328</v>
      </c>
      <c r="Z356" s="823">
        <v>4260</v>
      </c>
      <c r="AA356" s="823">
        <v>4118</v>
      </c>
      <c r="AB356" s="823">
        <v>4178</v>
      </c>
      <c r="AC356" s="825">
        <v>4202</v>
      </c>
      <c r="AD356" s="825">
        <v>4271</v>
      </c>
      <c r="AE356" s="825">
        <v>4288</v>
      </c>
      <c r="AF356" s="825">
        <v>4347</v>
      </c>
      <c r="AG356" s="825">
        <v>4399</v>
      </c>
      <c r="AH356" s="825">
        <v>4440</v>
      </c>
      <c r="AI356" s="825">
        <v>4483</v>
      </c>
      <c r="AJ356" s="825">
        <v>4521</v>
      </c>
      <c r="AK356" s="825">
        <v>6307</v>
      </c>
      <c r="AL356" s="825">
        <v>5561</v>
      </c>
      <c r="AM356" s="825">
        <v>5564</v>
      </c>
      <c r="AN356" s="825">
        <v>5585</v>
      </c>
      <c r="AO356" s="825">
        <v>5618</v>
      </c>
      <c r="AP356" s="825">
        <v>5654</v>
      </c>
    </row>
    <row r="357" hidden="1">
      <c r="B357" s="826" t="s">
        <v>109</v>
      </c>
      <c r="C357" s="827">
        <v>1769</v>
      </c>
      <c r="D357" s="827">
        <v>1618</v>
      </c>
      <c r="E357" s="827">
        <v>1507</v>
      </c>
      <c r="F357" s="827">
        <v>1511</v>
      </c>
      <c r="G357" s="827">
        <v>1514</v>
      </c>
      <c r="H357" s="827">
        <v>1704</v>
      </c>
      <c r="I357" s="827">
        <v>1763</v>
      </c>
      <c r="J357" s="827">
        <v>1792</v>
      </c>
      <c r="K357" s="827">
        <v>1817</v>
      </c>
      <c r="L357" s="827">
        <v>1897</v>
      </c>
      <c r="M357" s="827">
        <v>1921</v>
      </c>
      <c r="N357" s="827">
        <v>1933</v>
      </c>
      <c r="O357" s="827">
        <v>1896</v>
      </c>
      <c r="P357" s="827">
        <v>1921</v>
      </c>
      <c r="Q357" s="827">
        <v>1933</v>
      </c>
      <c r="R357" s="827">
        <v>1940</v>
      </c>
      <c r="S357" s="827">
        <v>1946</v>
      </c>
      <c r="T357" s="827">
        <v>1975</v>
      </c>
      <c r="U357" s="827">
        <v>2012</v>
      </c>
      <c r="V357" s="827">
        <v>2020</v>
      </c>
      <c r="W357" s="827">
        <v>2029</v>
      </c>
      <c r="X357" s="827">
        <v>1999</v>
      </c>
      <c r="Y357" s="827">
        <v>2005</v>
      </c>
      <c r="Z357" s="827">
        <v>2016</v>
      </c>
      <c r="AA357" s="827">
        <v>1999</v>
      </c>
      <c r="AB357" s="827">
        <v>2033</v>
      </c>
      <c r="AC357" s="828">
        <v>1984</v>
      </c>
      <c r="AD357" s="828">
        <v>2003</v>
      </c>
      <c r="AE357" s="828">
        <v>2031</v>
      </c>
      <c r="AF357" s="828">
        <v>2050</v>
      </c>
      <c r="AG357" s="828">
        <v>2059</v>
      </c>
      <c r="AH357" s="828">
        <v>2063</v>
      </c>
      <c r="AI357" s="828">
        <v>2080</v>
      </c>
      <c r="AJ357" s="828">
        <v>2001</v>
      </c>
      <c r="AK357" s="828">
        <v>2002</v>
      </c>
      <c r="AL357" s="828">
        <v>2004</v>
      </c>
      <c r="AM357" s="828">
        <v>1914</v>
      </c>
      <c r="AN357" s="828">
        <v>1929</v>
      </c>
      <c r="AO357" s="828">
        <v>1934</v>
      </c>
      <c r="AP357" s="828">
        <v>1935</v>
      </c>
    </row>
    <row r="358" hidden="1">
      <c r="B358" s="829" t="s">
        <v>110</v>
      </c>
      <c r="C358" s="823">
        <v>8690</v>
      </c>
      <c r="D358" s="823">
        <v>8706</v>
      </c>
      <c r="E358" s="823">
        <v>8695</v>
      </c>
      <c r="F358" s="823">
        <v>8874</v>
      </c>
      <c r="G358" s="823">
        <v>8793</v>
      </c>
      <c r="H358" s="823">
        <v>8829</v>
      </c>
      <c r="I358" s="823">
        <v>7636</v>
      </c>
      <c r="J358" s="823">
        <v>7366</v>
      </c>
      <c r="K358" s="823">
        <v>7432</v>
      </c>
      <c r="L358" s="823">
        <v>7401</v>
      </c>
      <c r="M358" s="823">
        <v>7476</v>
      </c>
      <c r="N358" s="823">
        <v>7345</v>
      </c>
      <c r="O358" s="823">
        <v>12614</v>
      </c>
      <c r="P358" s="823">
        <v>12163</v>
      </c>
      <c r="Q358" s="823">
        <v>12246</v>
      </c>
      <c r="R358" s="823">
        <v>12082</v>
      </c>
      <c r="S358" s="823">
        <v>12214</v>
      </c>
      <c r="T358" s="823">
        <v>12050</v>
      </c>
      <c r="U358" s="823">
        <v>12080</v>
      </c>
      <c r="V358" s="823">
        <v>12191</v>
      </c>
      <c r="W358" s="823">
        <v>12203</v>
      </c>
      <c r="X358" s="823">
        <v>12258</v>
      </c>
      <c r="Y358" s="823">
        <v>12236</v>
      </c>
      <c r="Z358" s="823">
        <v>12204</v>
      </c>
      <c r="AA358" s="823">
        <v>12115</v>
      </c>
      <c r="AB358" s="823">
        <v>12139</v>
      </c>
      <c r="AC358" s="825">
        <v>12078</v>
      </c>
      <c r="AD358" s="825">
        <v>12067</v>
      </c>
      <c r="AE358" s="825">
        <v>12126</v>
      </c>
      <c r="AF358" s="825">
        <v>11978</v>
      </c>
      <c r="AG358" s="825">
        <v>11944</v>
      </c>
      <c r="AH358" s="825">
        <v>11980</v>
      </c>
      <c r="AI358" s="825">
        <v>11880</v>
      </c>
      <c r="AJ358" s="825">
        <v>11832</v>
      </c>
      <c r="AK358" s="825">
        <v>11844</v>
      </c>
      <c r="AL358" s="825">
        <v>11762</v>
      </c>
      <c r="AM358" s="825">
        <v>11571</v>
      </c>
      <c r="AN358" s="825">
        <v>11531</v>
      </c>
      <c r="AO358" s="825">
        <v>11356</v>
      </c>
      <c r="AP358" s="825">
        <v>11288</v>
      </c>
    </row>
    <row r="359" hidden="1">
      <c r="B359" s="826" t="s">
        <v>16</v>
      </c>
      <c r="C359" s="827">
        <v>1988</v>
      </c>
      <c r="D359" s="827">
        <v>1990</v>
      </c>
      <c r="E359" s="827">
        <v>1977</v>
      </c>
      <c r="F359" s="827">
        <v>1964</v>
      </c>
      <c r="G359" s="827">
        <v>1958</v>
      </c>
      <c r="H359" s="827">
        <v>1941</v>
      </c>
      <c r="I359" s="827">
        <v>1907</v>
      </c>
      <c r="J359" s="827">
        <v>1877</v>
      </c>
      <c r="K359" s="827">
        <v>1887</v>
      </c>
      <c r="L359" s="827">
        <v>1899</v>
      </c>
      <c r="M359" s="827">
        <v>1921</v>
      </c>
      <c r="N359" s="827">
        <v>1922</v>
      </c>
      <c r="O359" s="827">
        <v>1923</v>
      </c>
      <c r="P359" s="827">
        <v>1938</v>
      </c>
      <c r="Q359" s="827">
        <v>1921</v>
      </c>
      <c r="R359" s="827">
        <v>1905</v>
      </c>
      <c r="S359" s="827">
        <v>1908</v>
      </c>
      <c r="T359" s="827">
        <v>1940</v>
      </c>
      <c r="U359" s="827">
        <v>1959</v>
      </c>
      <c r="V359" s="827">
        <v>1971</v>
      </c>
      <c r="W359" s="827">
        <v>1988</v>
      </c>
      <c r="X359" s="827">
        <v>1986</v>
      </c>
      <c r="Y359" s="827">
        <v>1983</v>
      </c>
      <c r="Z359" s="827">
        <v>1986</v>
      </c>
      <c r="AA359" s="827">
        <v>2005</v>
      </c>
      <c r="AB359" s="827">
        <v>2030</v>
      </c>
      <c r="AC359" s="828">
        <v>2005</v>
      </c>
      <c r="AD359" s="828">
        <v>2002</v>
      </c>
      <c r="AE359" s="828">
        <v>1996</v>
      </c>
      <c r="AF359" s="828">
        <v>2008</v>
      </c>
      <c r="AG359" s="828">
        <v>2035</v>
      </c>
      <c r="AH359" s="828">
        <v>2038</v>
      </c>
      <c r="AI359" s="828">
        <v>2015</v>
      </c>
      <c r="AJ359" s="828">
        <v>2027</v>
      </c>
      <c r="AK359" s="828">
        <v>2037</v>
      </c>
      <c r="AL359" s="828">
        <v>2023</v>
      </c>
      <c r="AM359" s="828">
        <v>2018</v>
      </c>
      <c r="AN359" s="828">
        <v>2027</v>
      </c>
      <c r="AO359" s="828">
        <v>2012</v>
      </c>
      <c r="AP359" s="828">
        <v>1994</v>
      </c>
    </row>
    <row r="360" hidden="1">
      <c r="B360" s="829" t="s">
        <v>17</v>
      </c>
      <c r="C360" s="823">
        <v>15267</v>
      </c>
      <c r="D360" s="823">
        <v>14926</v>
      </c>
      <c r="E360" s="823">
        <v>14808</v>
      </c>
      <c r="F360" s="823">
        <v>14915</v>
      </c>
      <c r="G360" s="823">
        <v>12657</v>
      </c>
      <c r="H360" s="823">
        <v>12839</v>
      </c>
      <c r="I360" s="823">
        <v>11819</v>
      </c>
      <c r="J360" s="823">
        <v>11891</v>
      </c>
      <c r="K360" s="823">
        <v>12041</v>
      </c>
      <c r="L360" s="823">
        <v>12159</v>
      </c>
      <c r="M360" s="823">
        <v>12262</v>
      </c>
      <c r="N360" s="823">
        <v>12368</v>
      </c>
      <c r="O360" s="823">
        <v>12439</v>
      </c>
      <c r="P360" s="823">
        <v>12500</v>
      </c>
      <c r="Q360" s="823">
        <v>12607</v>
      </c>
      <c r="R360" s="823">
        <v>12705</v>
      </c>
      <c r="S360" s="823">
        <v>12130</v>
      </c>
      <c r="T360" s="823">
        <v>12304</v>
      </c>
      <c r="U360" s="823">
        <v>12718</v>
      </c>
      <c r="V360" s="823">
        <v>12997</v>
      </c>
      <c r="W360" s="823">
        <v>12720</v>
      </c>
      <c r="X360" s="823">
        <v>12777</v>
      </c>
      <c r="Y360" s="823">
        <v>13159</v>
      </c>
      <c r="Z360" s="823">
        <v>13360</v>
      </c>
      <c r="AA360" s="823">
        <v>13577</v>
      </c>
      <c r="AB360" s="823">
        <v>13802</v>
      </c>
      <c r="AC360" s="825">
        <v>13967</v>
      </c>
      <c r="AD360" s="825">
        <v>14072</v>
      </c>
      <c r="AE360" s="825">
        <v>14205</v>
      </c>
      <c r="AF360" s="825">
        <v>14328</v>
      </c>
      <c r="AG360" s="825">
        <v>14487</v>
      </c>
      <c r="AH360" s="825">
        <v>14576</v>
      </c>
      <c r="AI360" s="825">
        <v>14660</v>
      </c>
      <c r="AJ360" s="825">
        <v>14733</v>
      </c>
      <c r="AK360" s="825">
        <v>14784</v>
      </c>
      <c r="AL360" s="825">
        <v>14829</v>
      </c>
      <c r="AM360" s="825">
        <v>14869</v>
      </c>
      <c r="AN360" s="825">
        <v>14879</v>
      </c>
      <c r="AO360" s="825">
        <v>14888</v>
      </c>
      <c r="AP360" s="825">
        <v>14907</v>
      </c>
    </row>
    <row r="361" hidden="1">
      <c r="B361" s="826" t="s">
        <v>18</v>
      </c>
      <c r="C361" s="827">
        <v>28832</v>
      </c>
      <c r="D361" s="827">
        <v>28340</v>
      </c>
      <c r="E361" s="827">
        <v>34019</v>
      </c>
      <c r="F361" s="827">
        <v>34153</v>
      </c>
      <c r="G361" s="827">
        <v>29431</v>
      </c>
      <c r="H361" s="827">
        <v>29278</v>
      </c>
      <c r="I361" s="827">
        <v>27341</v>
      </c>
      <c r="J361" s="827">
        <v>26600</v>
      </c>
      <c r="K361" s="827">
        <v>26018</v>
      </c>
      <c r="L361" s="827">
        <v>24917</v>
      </c>
      <c r="M361" s="827">
        <v>24050</v>
      </c>
      <c r="N361" s="827">
        <v>23348</v>
      </c>
      <c r="O361" s="827">
        <v>22964</v>
      </c>
      <c r="P361" s="827">
        <v>22460</v>
      </c>
      <c r="Q361" s="827">
        <v>22175</v>
      </c>
      <c r="R361" s="827">
        <v>22173</v>
      </c>
      <c r="S361" s="827">
        <v>22489</v>
      </c>
      <c r="T361" s="827">
        <v>22365</v>
      </c>
      <c r="U361" s="827">
        <v>22136</v>
      </c>
      <c r="V361" s="827">
        <v>22429</v>
      </c>
      <c r="W361" s="827">
        <v>24146</v>
      </c>
      <c r="X361" s="827">
        <v>23879</v>
      </c>
      <c r="Y361" s="827">
        <v>23580</v>
      </c>
      <c r="Z361" s="827">
        <v>23313</v>
      </c>
      <c r="AA361" s="827">
        <v>23023</v>
      </c>
      <c r="AB361" s="827">
        <v>22734</v>
      </c>
      <c r="AC361" s="828">
        <v>23017</v>
      </c>
      <c r="AD361" s="828">
        <v>22962</v>
      </c>
      <c r="AE361" s="828">
        <v>23096</v>
      </c>
      <c r="AF361" s="828">
        <v>23224</v>
      </c>
      <c r="AG361" s="828">
        <v>23316</v>
      </c>
      <c r="AH361" s="828">
        <v>23477</v>
      </c>
      <c r="AI361" s="828">
        <v>20027</v>
      </c>
      <c r="AJ361" s="828">
        <v>19582</v>
      </c>
      <c r="AK361" s="828">
        <v>18730</v>
      </c>
      <c r="AL361" s="828">
        <v>18431</v>
      </c>
      <c r="AM361" s="828">
        <v>17911</v>
      </c>
      <c r="AN361" s="828">
        <v>17675</v>
      </c>
      <c r="AO361" s="828">
        <v>17106</v>
      </c>
      <c r="AP361" s="828">
        <v>16811</v>
      </c>
    </row>
    <row r="362" hidden="1">
      <c r="B362" s="829" t="s">
        <v>19</v>
      </c>
      <c r="C362" s="823">
        <v>1182</v>
      </c>
      <c r="D362" s="823">
        <v>1193</v>
      </c>
      <c r="E362" s="823">
        <v>1205</v>
      </c>
      <c r="F362" s="823">
        <v>1210</v>
      </c>
      <c r="G362" s="823">
        <v>1204</v>
      </c>
      <c r="H362" s="823">
        <v>1240</v>
      </c>
      <c r="I362" s="823">
        <v>1280</v>
      </c>
      <c r="J362" s="823">
        <v>1502</v>
      </c>
      <c r="K362" s="823">
        <v>1496</v>
      </c>
      <c r="L362" s="823">
        <v>1494</v>
      </c>
      <c r="M362" s="823">
        <v>1305</v>
      </c>
      <c r="N362" s="823">
        <v>1326</v>
      </c>
      <c r="O362" s="823">
        <v>1351</v>
      </c>
      <c r="P362" s="823">
        <v>1369</v>
      </c>
      <c r="Q362" s="823">
        <v>1358</v>
      </c>
      <c r="R362" s="823">
        <v>1382</v>
      </c>
      <c r="S362" s="823">
        <v>1396</v>
      </c>
      <c r="T362" s="823">
        <v>1419</v>
      </c>
      <c r="U362" s="823">
        <v>1434</v>
      </c>
      <c r="V362" s="823">
        <v>1453</v>
      </c>
      <c r="W362" s="823">
        <v>1463</v>
      </c>
      <c r="X362" s="823">
        <v>1471</v>
      </c>
      <c r="Y362" s="823">
        <v>1481</v>
      </c>
      <c r="Z362" s="823">
        <v>1493</v>
      </c>
      <c r="AA362" s="823">
        <v>1504</v>
      </c>
      <c r="AB362" s="823">
        <v>1507</v>
      </c>
      <c r="AC362" s="825">
        <v>1511</v>
      </c>
      <c r="AD362" s="825">
        <v>1527</v>
      </c>
      <c r="AE362" s="825">
        <v>1537</v>
      </c>
      <c r="AF362" s="825">
        <v>1548</v>
      </c>
      <c r="AG362" s="825">
        <v>1559</v>
      </c>
      <c r="AH362" s="825">
        <v>1576</v>
      </c>
      <c r="AI362" s="825">
        <v>1603</v>
      </c>
      <c r="AJ362" s="825">
        <v>1617</v>
      </c>
      <c r="AK362" s="825">
        <v>1668</v>
      </c>
      <c r="AL362" s="825">
        <v>1680</v>
      </c>
      <c r="AM362" s="825">
        <v>1697</v>
      </c>
      <c r="AN362" s="825">
        <v>1704</v>
      </c>
      <c r="AO362" s="825">
        <v>1702</v>
      </c>
      <c r="AP362" s="825">
        <v>1728</v>
      </c>
    </row>
    <row r="363" hidden="1">
      <c r="B363" s="826" t="s">
        <v>20</v>
      </c>
      <c r="C363" s="827">
        <v>37</v>
      </c>
      <c r="D363" s="827">
        <v>35</v>
      </c>
      <c r="E363" s="827">
        <v>34</v>
      </c>
      <c r="F363" s="827">
        <v>38</v>
      </c>
      <c r="G363" s="827">
        <v>33</v>
      </c>
      <c r="H363" s="827">
        <v>36</v>
      </c>
      <c r="I363" s="827">
        <v>41</v>
      </c>
      <c r="J363" s="827">
        <v>45</v>
      </c>
      <c r="K363" s="827">
        <v>47</v>
      </c>
      <c r="L363" s="827">
        <v>48</v>
      </c>
      <c r="M363" s="827">
        <v>50</v>
      </c>
      <c r="N363" s="827">
        <v>38</v>
      </c>
      <c r="O363" s="827">
        <v>39</v>
      </c>
      <c r="P363" s="827">
        <v>39</v>
      </c>
      <c r="Q363" s="827">
        <v>40</v>
      </c>
      <c r="R363" s="827">
        <v>40</v>
      </c>
      <c r="S363" s="827">
        <v>38</v>
      </c>
      <c r="T363" s="827">
        <v>40</v>
      </c>
      <c r="U363" s="827">
        <v>37</v>
      </c>
      <c r="V363" s="827">
        <v>37</v>
      </c>
      <c r="W363" s="827">
        <v>40</v>
      </c>
      <c r="X363" s="827">
        <v>40</v>
      </c>
      <c r="Y363" s="827">
        <v>41</v>
      </c>
      <c r="Z363" s="827">
        <v>42</v>
      </c>
      <c r="AA363" s="827">
        <v>44</v>
      </c>
      <c r="AB363" s="827">
        <v>44</v>
      </c>
      <c r="AC363" s="828">
        <v>48</v>
      </c>
      <c r="AD363" s="828">
        <v>48</v>
      </c>
      <c r="AE363" s="828">
        <v>49</v>
      </c>
      <c r="AF363" s="828">
        <v>49</v>
      </c>
      <c r="AG363" s="828">
        <v>33</v>
      </c>
      <c r="AH363" s="828">
        <v>36</v>
      </c>
      <c r="AI363" s="828">
        <v>40</v>
      </c>
      <c r="AJ363" s="828">
        <v>36</v>
      </c>
      <c r="AK363" s="828">
        <v>36</v>
      </c>
      <c r="AL363" s="828">
        <v>36</v>
      </c>
      <c r="AM363" s="828">
        <v>37</v>
      </c>
      <c r="AN363" s="828">
        <v>40</v>
      </c>
      <c r="AO363" s="828">
        <v>38</v>
      </c>
      <c r="AP363" s="828">
        <v>36</v>
      </c>
    </row>
    <row r="364" hidden="1">
      <c r="B364" s="829" t="s">
        <v>21</v>
      </c>
      <c r="C364" s="823">
        <v>1686</v>
      </c>
      <c r="D364" s="823">
        <v>1473</v>
      </c>
      <c r="E364" s="823">
        <v>1505</v>
      </c>
      <c r="F364" s="823">
        <v>1489</v>
      </c>
      <c r="G364" s="823">
        <v>1467</v>
      </c>
      <c r="H364" s="823">
        <v>1438</v>
      </c>
      <c r="I364" s="823">
        <v>1418</v>
      </c>
      <c r="J364" s="823">
        <v>1424</v>
      </c>
      <c r="K364" s="823">
        <v>1413</v>
      </c>
      <c r="L364" s="823">
        <v>1408</v>
      </c>
      <c r="M364" s="823">
        <v>1408</v>
      </c>
      <c r="N364" s="823">
        <v>1341</v>
      </c>
      <c r="O364" s="823">
        <v>1344</v>
      </c>
      <c r="P364" s="823">
        <v>1352</v>
      </c>
      <c r="Q364" s="823">
        <v>1358</v>
      </c>
      <c r="R364" s="823">
        <v>1370</v>
      </c>
      <c r="S364" s="823">
        <v>1373</v>
      </c>
      <c r="T364" s="823">
        <v>1361</v>
      </c>
      <c r="U364" s="823">
        <v>1349</v>
      </c>
      <c r="V364" s="823">
        <v>1348</v>
      </c>
      <c r="W364" s="823">
        <v>1327</v>
      </c>
      <c r="X364" s="823">
        <v>1345</v>
      </c>
      <c r="Y364" s="823">
        <v>1343</v>
      </c>
      <c r="Z364" s="823">
        <v>1348</v>
      </c>
      <c r="AA364" s="823">
        <v>1320</v>
      </c>
      <c r="AB364" s="823">
        <v>1329</v>
      </c>
      <c r="AC364" s="825">
        <v>1302</v>
      </c>
      <c r="AD364" s="825">
        <v>1317</v>
      </c>
      <c r="AE364" s="825">
        <v>1333</v>
      </c>
      <c r="AF364" s="825">
        <v>1328</v>
      </c>
      <c r="AG364" s="825">
        <v>1314</v>
      </c>
      <c r="AH364" s="825">
        <v>1315</v>
      </c>
      <c r="AI364" s="825">
        <v>1310</v>
      </c>
      <c r="AJ364" s="825">
        <v>1320</v>
      </c>
      <c r="AK364" s="825">
        <v>1303</v>
      </c>
      <c r="AL364" s="825">
        <v>1309</v>
      </c>
      <c r="AM364" s="825">
        <v>1285</v>
      </c>
      <c r="AN364" s="825">
        <v>1310</v>
      </c>
      <c r="AO364" s="825">
        <v>1325</v>
      </c>
      <c r="AP364" s="825">
        <v>1347</v>
      </c>
    </row>
    <row r="365" hidden="1">
      <c r="B365" s="826" t="s">
        <v>22</v>
      </c>
      <c r="C365" s="827">
        <v>8489</v>
      </c>
      <c r="D365" s="827">
        <v>8486</v>
      </c>
      <c r="E365" s="827">
        <v>8502</v>
      </c>
      <c r="F365" s="827">
        <v>8528</v>
      </c>
      <c r="G365" s="827">
        <v>8584</v>
      </c>
      <c r="H365" s="827">
        <v>8604</v>
      </c>
      <c r="I365" s="827">
        <v>7415</v>
      </c>
      <c r="J365" s="827">
        <v>7428</v>
      </c>
      <c r="K365" s="827">
        <v>6601</v>
      </c>
      <c r="L365" s="827">
        <v>6609</v>
      </c>
      <c r="M365" s="827">
        <v>5850</v>
      </c>
      <c r="N365" s="827">
        <v>5960</v>
      </c>
      <c r="O365" s="827">
        <v>5822</v>
      </c>
      <c r="P365" s="827">
        <v>5880</v>
      </c>
      <c r="Q365" s="827">
        <v>5568</v>
      </c>
      <c r="R365" s="827">
        <v>5622</v>
      </c>
      <c r="S365" s="827">
        <v>5598</v>
      </c>
      <c r="T365" s="827">
        <v>5724</v>
      </c>
      <c r="U365" s="827">
        <v>5420</v>
      </c>
      <c r="V365" s="827">
        <v>5562</v>
      </c>
      <c r="W365" s="827">
        <v>5343</v>
      </c>
      <c r="X365" s="827">
        <v>5344</v>
      </c>
      <c r="Y365" s="827">
        <v>5225</v>
      </c>
      <c r="Z365" s="827">
        <v>5282</v>
      </c>
      <c r="AA365" s="827">
        <v>5161</v>
      </c>
      <c r="AB365" s="827">
        <v>5105</v>
      </c>
      <c r="AC365" s="828">
        <v>4953</v>
      </c>
      <c r="AD365" s="828">
        <v>4937</v>
      </c>
      <c r="AE365" s="828">
        <v>4862</v>
      </c>
      <c r="AF365" s="828">
        <v>4902</v>
      </c>
      <c r="AG365" s="828">
        <v>5148</v>
      </c>
      <c r="AH365" s="828">
        <v>5012</v>
      </c>
      <c r="AI365" s="828">
        <v>4871</v>
      </c>
      <c r="AJ365" s="828">
        <v>4828</v>
      </c>
      <c r="AK365" s="828">
        <v>4782</v>
      </c>
      <c r="AL365" s="828">
        <v>4830</v>
      </c>
      <c r="AM365" s="828">
        <v>4727</v>
      </c>
      <c r="AN365" s="828">
        <v>4679</v>
      </c>
      <c r="AO365" s="828">
        <v>4653</v>
      </c>
      <c r="AP365" s="828">
        <v>4661</v>
      </c>
    </row>
    <row r="366" hidden="1">
      <c r="B366" s="829" t="s">
        <v>23</v>
      </c>
      <c r="C366" s="823">
        <v>248</v>
      </c>
      <c r="D366" s="823">
        <v>243</v>
      </c>
      <c r="E366" s="823">
        <v>244</v>
      </c>
      <c r="F366" s="823">
        <v>242</v>
      </c>
      <c r="G366" s="823">
        <v>242</v>
      </c>
      <c r="H366" s="823">
        <v>240</v>
      </c>
      <c r="I366" s="823">
        <v>235</v>
      </c>
      <c r="J366" s="823">
        <v>231</v>
      </c>
      <c r="K366" s="823">
        <v>236</v>
      </c>
      <c r="L366" s="823">
        <v>236</v>
      </c>
      <c r="M366" s="823">
        <v>238</v>
      </c>
      <c r="N366" s="823">
        <v>240</v>
      </c>
      <c r="O366" s="823">
        <v>244</v>
      </c>
      <c r="P366" s="823">
        <v>244</v>
      </c>
      <c r="Q366" s="823">
        <v>247</v>
      </c>
      <c r="R366" s="823">
        <v>251</v>
      </c>
      <c r="S366" s="823">
        <v>256</v>
      </c>
      <c r="T366" s="823">
        <v>255</v>
      </c>
      <c r="U366" s="823">
        <v>261</v>
      </c>
      <c r="V366" s="823">
        <v>261</v>
      </c>
      <c r="W366" s="823">
        <v>263</v>
      </c>
      <c r="X366" s="823">
        <v>269</v>
      </c>
      <c r="Y366" s="823">
        <v>271</v>
      </c>
      <c r="Z366" s="823">
        <v>261</v>
      </c>
      <c r="AA366" s="823">
        <v>261</v>
      </c>
      <c r="AB366" s="823">
        <v>252</v>
      </c>
      <c r="AC366" s="825">
        <v>256</v>
      </c>
      <c r="AD366" s="825">
        <v>252</v>
      </c>
      <c r="AE366" s="825">
        <v>252</v>
      </c>
      <c r="AF366" s="825">
        <v>252</v>
      </c>
      <c r="AG366" s="825">
        <v>254</v>
      </c>
      <c r="AH366" s="825">
        <v>273</v>
      </c>
      <c r="AI366" s="825">
        <v>277</v>
      </c>
      <c r="AJ366" s="825">
        <v>276</v>
      </c>
      <c r="AK366" s="825">
        <v>278</v>
      </c>
      <c r="AL366" s="825">
        <v>275</v>
      </c>
      <c r="AM366" s="825">
        <v>279</v>
      </c>
      <c r="AN366" s="825">
        <v>280</v>
      </c>
      <c r="AO366" s="825">
        <v>277</v>
      </c>
      <c r="AP366" s="825">
        <v>279</v>
      </c>
    </row>
    <row r="367" hidden="1">
      <c r="B367" s="835" t="s">
        <v>24</v>
      </c>
      <c r="C367" s="827">
        <v>434</v>
      </c>
      <c r="D367" s="827">
        <v>427</v>
      </c>
      <c r="E367" s="827">
        <v>416</v>
      </c>
      <c r="F367" s="827">
        <v>399</v>
      </c>
      <c r="G367" s="827">
        <v>392</v>
      </c>
      <c r="H367" s="827">
        <v>390</v>
      </c>
      <c r="I367" s="827">
        <v>387</v>
      </c>
      <c r="J367" s="827">
        <v>392</v>
      </c>
      <c r="K367" s="827">
        <v>386</v>
      </c>
      <c r="L367" s="827">
        <v>387</v>
      </c>
      <c r="M367" s="827">
        <v>389</v>
      </c>
      <c r="N367" s="827">
        <v>391</v>
      </c>
      <c r="O367" s="827">
        <v>388</v>
      </c>
      <c r="P367" s="827">
        <v>390</v>
      </c>
      <c r="Q367" s="827">
        <v>388</v>
      </c>
      <c r="R367" s="827">
        <v>392</v>
      </c>
      <c r="S367" s="827">
        <v>393</v>
      </c>
      <c r="T367" s="827">
        <v>393</v>
      </c>
      <c r="U367" s="827">
        <v>392</v>
      </c>
      <c r="V367" s="827">
        <v>400</v>
      </c>
      <c r="W367" s="827">
        <v>401</v>
      </c>
      <c r="X367" s="827">
        <v>406</v>
      </c>
      <c r="Y367" s="827">
        <v>404</v>
      </c>
      <c r="Z367" s="827">
        <v>411</v>
      </c>
      <c r="AA367" s="827">
        <v>403</v>
      </c>
      <c r="AB367" s="827">
        <v>407</v>
      </c>
      <c r="AC367" s="828">
        <v>408</v>
      </c>
      <c r="AD367" s="828">
        <v>406</v>
      </c>
      <c r="AE367" s="828">
        <v>407</v>
      </c>
      <c r="AF367" s="828">
        <v>411</v>
      </c>
      <c r="AG367" s="828">
        <v>415</v>
      </c>
      <c r="AH367" s="828">
        <v>416</v>
      </c>
      <c r="AI367" s="828">
        <v>395</v>
      </c>
      <c r="AJ367" s="828">
        <v>397</v>
      </c>
      <c r="AK367" s="828">
        <v>397</v>
      </c>
      <c r="AL367" s="828">
        <v>398</v>
      </c>
      <c r="AM367" s="828">
        <v>394</v>
      </c>
      <c r="AN367" s="828">
        <v>404</v>
      </c>
      <c r="AO367" s="828">
        <v>410</v>
      </c>
      <c r="AP367" s="828">
        <v>413</v>
      </c>
    </row>
    <row r="368" hidden="1">
      <c r="B368" s="829" t="s">
        <v>25</v>
      </c>
      <c r="C368" s="823">
        <v>0</v>
      </c>
      <c r="D368" s="823">
        <v>0</v>
      </c>
      <c r="E368" s="823">
        <v>0</v>
      </c>
      <c r="F368" s="823">
        <v>0</v>
      </c>
      <c r="G368" s="823">
        <v>0</v>
      </c>
      <c r="H368" s="823">
        <v>0</v>
      </c>
      <c r="I368" s="823">
        <v>0</v>
      </c>
      <c r="J368" s="823">
        <v>0</v>
      </c>
      <c r="K368" s="823">
        <v>0</v>
      </c>
      <c r="L368" s="823">
        <v>0</v>
      </c>
      <c r="M368" s="823">
        <v>0</v>
      </c>
      <c r="N368" s="823">
        <v>0</v>
      </c>
      <c r="O368" s="823">
        <v>0</v>
      </c>
      <c r="P368" s="823">
        <v>0</v>
      </c>
      <c r="Q368" s="823">
        <v>0</v>
      </c>
      <c r="R368" s="823">
        <v>0</v>
      </c>
      <c r="S368" s="823">
        <v>0</v>
      </c>
      <c r="T368" s="823">
        <v>0</v>
      </c>
      <c r="U368" s="823">
        <v>0</v>
      </c>
      <c r="V368" s="823">
        <v>0</v>
      </c>
      <c r="W368" s="823">
        <v>0</v>
      </c>
      <c r="X368" s="823">
        <v>0</v>
      </c>
      <c r="Y368" s="823">
        <v>0</v>
      </c>
      <c r="Z368" s="823">
        <v>0</v>
      </c>
      <c r="AA368" s="823">
        <v>0</v>
      </c>
      <c r="AB368" s="823">
        <v>0</v>
      </c>
      <c r="AC368" s="825">
        <v>0</v>
      </c>
      <c r="AD368" s="825">
        <v>0</v>
      </c>
      <c r="AE368" s="825">
        <v>0</v>
      </c>
      <c r="AF368" s="825">
        <v>0</v>
      </c>
      <c r="AG368" s="825">
        <v>0</v>
      </c>
      <c r="AH368" s="825">
        <v>0</v>
      </c>
      <c r="AI368" s="825">
        <v>0</v>
      </c>
      <c r="AJ368" s="825">
        <v>0</v>
      </c>
      <c r="AK368" s="825">
        <v>0</v>
      </c>
      <c r="AL368" s="825">
        <v>0</v>
      </c>
      <c r="AM368" s="825">
        <v>0</v>
      </c>
      <c r="AN368" s="825">
        <v>0</v>
      </c>
      <c r="AO368" s="825">
        <v>0</v>
      </c>
      <c r="AP368" s="825">
        <v>0</v>
      </c>
    </row>
    <row r="369" hidden="1" ht="13.5">
      <c r="B369" s="836" t="s">
        <v>26</v>
      </c>
      <c r="C369" s="827">
        <v>0</v>
      </c>
      <c r="D369" s="827">
        <v>0</v>
      </c>
      <c r="E369" s="827">
        <v>0</v>
      </c>
      <c r="F369" s="827">
        <v>0</v>
      </c>
      <c r="G369" s="827">
        <v>0</v>
      </c>
      <c r="H369" s="827">
        <v>0</v>
      </c>
      <c r="I369" s="827">
        <v>0</v>
      </c>
      <c r="J369" s="827">
        <v>0</v>
      </c>
      <c r="K369" s="827">
        <v>0</v>
      </c>
      <c r="L369" s="827">
        <v>0</v>
      </c>
      <c r="M369" s="827">
        <v>0</v>
      </c>
      <c r="N369" s="827">
        <v>0</v>
      </c>
      <c r="O369" s="827">
        <v>0</v>
      </c>
      <c r="P369" s="827">
        <v>0</v>
      </c>
      <c r="Q369" s="827">
        <v>0</v>
      </c>
      <c r="R369" s="827">
        <v>0</v>
      </c>
      <c r="S369" s="827">
        <v>0</v>
      </c>
      <c r="T369" s="827">
        <v>0</v>
      </c>
      <c r="U369" s="827">
        <v>0</v>
      </c>
      <c r="V369" s="827">
        <v>0</v>
      </c>
      <c r="W369" s="827">
        <v>0</v>
      </c>
      <c r="X369" s="827">
        <v>0</v>
      </c>
      <c r="Y369" s="827">
        <v>0</v>
      </c>
      <c r="Z369" s="827">
        <v>0</v>
      </c>
      <c r="AA369" s="827">
        <v>0</v>
      </c>
      <c r="AB369" s="837">
        <v>0</v>
      </c>
      <c r="AC369" s="828">
        <v>0</v>
      </c>
      <c r="AD369" s="828">
        <v>0</v>
      </c>
      <c r="AE369" s="828">
        <v>0</v>
      </c>
      <c r="AF369" s="828">
        <v>0</v>
      </c>
      <c r="AG369" s="828">
        <v>0</v>
      </c>
      <c r="AH369" s="828">
        <v>0</v>
      </c>
      <c r="AI369" s="828">
        <v>0</v>
      </c>
      <c r="AJ369" s="828">
        <v>0</v>
      </c>
      <c r="AK369" s="828">
        <v>0</v>
      </c>
      <c r="AL369" s="828">
        <v>0</v>
      </c>
      <c r="AM369" s="828">
        <v>0</v>
      </c>
      <c r="AN369" s="828">
        <v>0</v>
      </c>
      <c r="AO369" s="828">
        <v>0</v>
      </c>
      <c r="AP369" s="828">
        <v>0</v>
      </c>
    </row>
    <row r="370" hidden="1" ht="13.5">
      <c r="B370" s="128" t="s">
        <v>7</v>
      </c>
      <c r="C370" s="129" t="str">
        <f>IF(SUM(C351:C369)&lt;&gt;0,SUM(C351:C369),"")</f>
      </c>
      <c r="D370" s="129" t="str">
        <f ref="D370:AA370" t="shared" si="40">IF(SUM(D351:D369)&lt;&gt;0,SUM(D351:D369),"")</f>
      </c>
      <c r="E370" s="129" t="str">
        <f t="shared" si="40"/>
      </c>
      <c r="F370" s="129" t="str">
        <f t="shared" si="40"/>
      </c>
      <c r="G370" s="129" t="str">
        <f t="shared" si="40"/>
      </c>
      <c r="H370" s="129" t="str">
        <f t="shared" si="40"/>
      </c>
      <c r="I370" s="129" t="str">
        <f t="shared" si="40"/>
      </c>
      <c r="J370" s="129" t="str">
        <f t="shared" si="40"/>
      </c>
      <c r="K370" s="129" t="str">
        <f t="shared" si="40"/>
      </c>
      <c r="L370" s="129" t="str">
        <f t="shared" si="40"/>
      </c>
      <c r="M370" s="129" t="str">
        <f t="shared" si="40"/>
      </c>
      <c r="N370" s="129" t="str">
        <f t="shared" si="40"/>
      </c>
      <c r="O370" s="129" t="str">
        <f t="shared" si="40"/>
      </c>
      <c r="P370" s="129" t="str">
        <f t="shared" si="40"/>
      </c>
      <c r="Q370" s="129" t="str">
        <f t="shared" si="40"/>
      </c>
      <c r="R370" s="129" t="str">
        <f t="shared" si="40"/>
      </c>
      <c r="S370" s="129" t="str">
        <f t="shared" si="40"/>
      </c>
      <c r="T370" s="129" t="str">
        <f t="shared" si="40"/>
      </c>
      <c r="U370" s="129" t="str">
        <f t="shared" si="40"/>
      </c>
      <c r="V370" s="129" t="str">
        <f t="shared" si="40"/>
      </c>
      <c r="W370" s="129" t="str">
        <f t="shared" si="40"/>
      </c>
      <c r="X370" s="129" t="str">
        <f t="shared" si="40"/>
      </c>
      <c r="Y370" s="129" t="str">
        <f t="shared" si="40"/>
      </c>
      <c r="Z370" s="129" t="str">
        <f t="shared" si="40"/>
      </c>
      <c r="AA370" s="129" t="str">
        <f t="shared" si="40"/>
      </c>
      <c r="AB370" s="130" t="str">
        <f>IF(SUM(AB351:AB369)&lt;&gt;0,SUM(AB351:AB369),"")</f>
      </c>
      <c r="AC370" s="91" t="str">
        <f ref="AC370:CN370" t="shared" si="41">IF(SUM(AC351:AC369)&lt;&gt;0,SUM(AC351:AC369),"")</f>
      </c>
      <c r="AD370" s="91" t="str">
        <f t="shared" si="41"/>
      </c>
      <c r="AE370" s="91" t="str">
        <f t="shared" si="41"/>
      </c>
      <c r="AF370" s="91" t="str">
        <f t="shared" si="41"/>
      </c>
      <c r="AG370" s="91" t="str">
        <f t="shared" si="41"/>
      </c>
      <c r="AH370" s="91" t="str">
        <f t="shared" si="41"/>
      </c>
      <c r="AI370" s="91" t="str">
        <f t="shared" si="41"/>
      </c>
      <c r="AJ370" s="91" t="str">
        <f t="shared" si="41"/>
      </c>
      <c r="AK370" s="91" t="str">
        <f t="shared" si="41"/>
      </c>
      <c r="AL370" s="91" t="str">
        <f t="shared" si="41"/>
      </c>
      <c r="AM370" s="91" t="str">
        <f t="shared" si="41"/>
      </c>
      <c r="AN370" s="91" t="str">
        <f t="shared" si="41"/>
      </c>
      <c r="AO370" s="91" t="str">
        <f t="shared" si="41"/>
      </c>
      <c r="AP370" s="91" t="str">
        <f t="shared" si="41"/>
      </c>
      <c r="AQ370" s="91" t="str">
        <f t="shared" si="41"/>
      </c>
      <c r="AR370" s="91" t="str">
        <f t="shared" si="41"/>
      </c>
      <c r="AS370" s="91" t="str">
        <f t="shared" si="41"/>
      </c>
      <c r="AT370" s="91" t="str">
        <f t="shared" si="41"/>
      </c>
      <c r="AU370" s="91" t="str">
        <f t="shared" si="41"/>
      </c>
      <c r="AV370" s="91" t="str">
        <f t="shared" si="41"/>
      </c>
      <c r="AW370" s="91" t="str">
        <f t="shared" si="41"/>
      </c>
      <c r="AX370" s="91" t="str">
        <f t="shared" si="41"/>
      </c>
      <c r="AY370" s="91" t="str">
        <f t="shared" si="41"/>
      </c>
      <c r="AZ370" s="91" t="str">
        <f t="shared" si="41"/>
      </c>
      <c r="BA370" s="91" t="str">
        <f t="shared" si="41"/>
      </c>
      <c r="BB370" s="91" t="str">
        <f t="shared" si="41"/>
      </c>
      <c r="BC370" s="91" t="str">
        <f t="shared" si="41"/>
      </c>
      <c r="BD370" s="91" t="str">
        <f t="shared" si="41"/>
      </c>
      <c r="BE370" s="91" t="str">
        <f t="shared" si="41"/>
      </c>
      <c r="BF370" s="91" t="str">
        <f t="shared" si="41"/>
      </c>
      <c r="BG370" s="91" t="str">
        <f t="shared" si="41"/>
      </c>
      <c r="BH370" s="91" t="str">
        <f t="shared" si="41"/>
      </c>
      <c r="BI370" s="91" t="str">
        <f t="shared" si="41"/>
      </c>
      <c r="BJ370" s="91" t="str">
        <f t="shared" si="41"/>
      </c>
      <c r="BK370" s="91" t="str">
        <f t="shared" si="41"/>
      </c>
      <c r="BL370" s="91" t="str">
        <f t="shared" si="41"/>
      </c>
      <c r="BM370" s="91" t="str">
        <f t="shared" si="41"/>
      </c>
      <c r="BN370" s="91" t="str">
        <f t="shared" si="41"/>
      </c>
      <c r="BO370" s="91" t="str">
        <f t="shared" si="41"/>
      </c>
      <c r="BP370" s="91" t="str">
        <f t="shared" si="41"/>
      </c>
      <c r="BQ370" s="91" t="str">
        <f t="shared" si="41"/>
      </c>
      <c r="BR370" s="91" t="str">
        <f t="shared" si="41"/>
      </c>
      <c r="BS370" s="91" t="str">
        <f t="shared" si="41"/>
      </c>
      <c r="BT370" s="91" t="str">
        <f t="shared" si="41"/>
      </c>
      <c r="BU370" s="91" t="str">
        <f t="shared" si="41"/>
      </c>
      <c r="BV370" s="91" t="str">
        <f t="shared" si="41"/>
      </c>
      <c r="BW370" s="91" t="str">
        <f t="shared" si="41"/>
      </c>
      <c r="BX370" s="91" t="str">
        <f t="shared" si="41"/>
      </c>
      <c r="BY370" s="91" t="str">
        <f t="shared" si="41"/>
      </c>
      <c r="BZ370" s="91" t="str">
        <f t="shared" si="41"/>
      </c>
      <c r="CA370" s="91" t="str">
        <f t="shared" si="41"/>
      </c>
      <c r="CB370" s="91" t="str">
        <f t="shared" si="41"/>
      </c>
      <c r="CC370" s="91" t="str">
        <f t="shared" si="41"/>
      </c>
      <c r="CD370" s="91" t="str">
        <f t="shared" si="41"/>
      </c>
      <c r="CE370" s="91" t="str">
        <f t="shared" si="41"/>
      </c>
      <c r="CF370" s="91" t="str">
        <f t="shared" si="41"/>
      </c>
      <c r="CG370" s="91" t="str">
        <f t="shared" si="41"/>
      </c>
      <c r="CH370" s="91" t="str">
        <f t="shared" si="41"/>
      </c>
      <c r="CI370" s="91" t="str">
        <f t="shared" si="41"/>
      </c>
      <c r="CJ370" s="91" t="str">
        <f t="shared" si="41"/>
      </c>
      <c r="CK370" s="91" t="str">
        <f t="shared" si="41"/>
      </c>
      <c r="CL370" s="91" t="str">
        <f t="shared" si="41"/>
      </c>
      <c r="CM370" s="91" t="str">
        <f t="shared" si="41"/>
      </c>
      <c r="CN370" s="91" t="str">
        <f t="shared" si="41"/>
      </c>
      <c r="CO370" s="91" t="str">
        <f ref="CO370:EZ370" t="shared" si="42">IF(SUM(CO351:CO369)&lt;&gt;0,SUM(CO351:CO369),"")</f>
      </c>
      <c r="CP370" s="91" t="str">
        <f t="shared" si="42"/>
      </c>
      <c r="CQ370" s="91" t="str">
        <f t="shared" si="42"/>
      </c>
      <c r="CR370" s="91" t="str">
        <f t="shared" si="42"/>
      </c>
      <c r="CS370" s="91" t="str">
        <f t="shared" si="42"/>
      </c>
      <c r="CT370" s="91" t="str">
        <f t="shared" si="42"/>
      </c>
      <c r="CU370" s="91" t="str">
        <f t="shared" si="42"/>
      </c>
      <c r="CV370" s="91" t="str">
        <f t="shared" si="42"/>
      </c>
      <c r="CW370" s="91" t="str">
        <f t="shared" si="42"/>
      </c>
      <c r="CX370" s="91" t="str">
        <f t="shared" si="42"/>
      </c>
      <c r="CY370" s="91" t="str">
        <f t="shared" si="42"/>
      </c>
      <c r="CZ370" s="91" t="str">
        <f t="shared" si="42"/>
      </c>
      <c r="DA370" s="91" t="str">
        <f t="shared" si="42"/>
      </c>
      <c r="DB370" s="91" t="str">
        <f t="shared" si="42"/>
      </c>
      <c r="DC370" s="91" t="str">
        <f t="shared" si="42"/>
      </c>
      <c r="DD370" s="91" t="str">
        <f t="shared" si="42"/>
      </c>
      <c r="DE370" s="91" t="str">
        <f t="shared" si="42"/>
      </c>
      <c r="DF370" s="91" t="str">
        <f t="shared" si="42"/>
      </c>
      <c r="DG370" s="91" t="str">
        <f t="shared" si="42"/>
      </c>
      <c r="DH370" s="91" t="str">
        <f t="shared" si="42"/>
      </c>
      <c r="DI370" s="91" t="str">
        <f t="shared" si="42"/>
      </c>
      <c r="DJ370" s="91" t="str">
        <f t="shared" si="42"/>
      </c>
      <c r="DK370" s="91" t="str">
        <f t="shared" si="42"/>
      </c>
      <c r="DL370" s="91" t="str">
        <f t="shared" si="42"/>
      </c>
      <c r="DM370" s="91" t="str">
        <f t="shared" si="42"/>
      </c>
      <c r="DN370" s="91" t="str">
        <f t="shared" si="42"/>
      </c>
      <c r="DO370" s="91" t="str">
        <f t="shared" si="42"/>
      </c>
      <c r="DP370" s="91" t="str">
        <f t="shared" si="42"/>
      </c>
      <c r="DQ370" s="91" t="str">
        <f t="shared" si="42"/>
      </c>
      <c r="DR370" s="91" t="str">
        <f t="shared" si="42"/>
      </c>
      <c r="DS370" s="91" t="str">
        <f t="shared" si="42"/>
      </c>
      <c r="DT370" s="91" t="str">
        <f t="shared" si="42"/>
      </c>
      <c r="DU370" s="91" t="str">
        <f t="shared" si="42"/>
      </c>
      <c r="DV370" s="91" t="str">
        <f t="shared" si="42"/>
      </c>
      <c r="DW370" s="91" t="str">
        <f t="shared" si="42"/>
      </c>
      <c r="DX370" s="91" t="str">
        <f t="shared" si="42"/>
      </c>
      <c r="DY370" s="91" t="str">
        <f t="shared" si="42"/>
      </c>
      <c r="DZ370" s="91" t="str">
        <f t="shared" si="42"/>
      </c>
      <c r="EA370" s="91" t="str">
        <f t="shared" si="42"/>
      </c>
      <c r="EB370" s="91" t="str">
        <f t="shared" si="42"/>
      </c>
      <c r="EC370" s="91" t="str">
        <f t="shared" si="42"/>
      </c>
      <c r="ED370" s="91" t="str">
        <f t="shared" si="42"/>
      </c>
      <c r="EE370" s="91" t="str">
        <f t="shared" si="42"/>
      </c>
      <c r="EF370" s="91" t="str">
        <f t="shared" si="42"/>
      </c>
      <c r="EG370" s="91" t="str">
        <f t="shared" si="42"/>
      </c>
      <c r="EH370" s="91" t="str">
        <f t="shared" si="42"/>
      </c>
      <c r="EI370" s="91" t="str">
        <f t="shared" si="42"/>
      </c>
      <c r="EJ370" s="91" t="str">
        <f t="shared" si="42"/>
      </c>
      <c r="EK370" s="91" t="str">
        <f t="shared" si="42"/>
      </c>
      <c r="EL370" s="91" t="str">
        <f t="shared" si="42"/>
      </c>
      <c r="EM370" s="91" t="str">
        <f t="shared" si="42"/>
      </c>
      <c r="EN370" s="91" t="str">
        <f t="shared" si="42"/>
      </c>
      <c r="EO370" s="91" t="str">
        <f t="shared" si="42"/>
      </c>
      <c r="EP370" s="91" t="str">
        <f t="shared" si="42"/>
      </c>
      <c r="EQ370" s="91" t="str">
        <f t="shared" si="42"/>
      </c>
      <c r="ER370" s="91" t="str">
        <f t="shared" si="42"/>
      </c>
      <c r="ES370" s="91" t="str">
        <f t="shared" si="42"/>
      </c>
      <c r="ET370" s="91" t="str">
        <f t="shared" si="42"/>
      </c>
      <c r="EU370" s="91" t="str">
        <f t="shared" si="42"/>
      </c>
      <c r="EV370" s="91" t="str">
        <f t="shared" si="42"/>
      </c>
      <c r="EW370" s="91" t="str">
        <f t="shared" si="42"/>
      </c>
      <c r="EX370" s="91" t="str">
        <f t="shared" si="42"/>
      </c>
      <c r="EY370" s="91" t="str">
        <f t="shared" si="42"/>
      </c>
      <c r="EZ370" s="91" t="str">
        <f t="shared" si="42"/>
      </c>
      <c r="FA370" s="91" t="str">
        <f ref="FA370:HL370" t="shared" si="43">IF(SUM(FA351:FA369)&lt;&gt;0,SUM(FA351:FA369),"")</f>
      </c>
      <c r="FB370" s="91" t="str">
        <f t="shared" si="43"/>
      </c>
      <c r="FC370" s="91" t="str">
        <f t="shared" si="43"/>
      </c>
      <c r="FD370" s="91" t="str">
        <f t="shared" si="43"/>
      </c>
      <c r="FE370" s="91" t="str">
        <f t="shared" si="43"/>
      </c>
      <c r="FF370" s="91" t="str">
        <f t="shared" si="43"/>
      </c>
      <c r="FG370" s="91" t="str">
        <f t="shared" si="43"/>
      </c>
      <c r="FH370" s="91" t="str">
        <f t="shared" si="43"/>
      </c>
      <c r="FI370" s="91" t="str">
        <f t="shared" si="43"/>
      </c>
      <c r="FJ370" s="91" t="str">
        <f t="shared" si="43"/>
      </c>
      <c r="FK370" s="91" t="str">
        <f t="shared" si="43"/>
      </c>
      <c r="FL370" s="91" t="str">
        <f t="shared" si="43"/>
      </c>
      <c r="FM370" s="91" t="str">
        <f t="shared" si="43"/>
      </c>
      <c r="FN370" s="91" t="str">
        <f t="shared" si="43"/>
      </c>
      <c r="FO370" s="91" t="str">
        <f t="shared" si="43"/>
      </c>
      <c r="FP370" s="91" t="str">
        <f t="shared" si="43"/>
      </c>
      <c r="FQ370" s="91" t="str">
        <f t="shared" si="43"/>
      </c>
      <c r="FR370" s="91" t="str">
        <f t="shared" si="43"/>
      </c>
      <c r="FS370" s="91" t="str">
        <f t="shared" si="43"/>
      </c>
      <c r="FT370" s="91" t="str">
        <f t="shared" si="43"/>
      </c>
      <c r="FU370" s="91" t="str">
        <f t="shared" si="43"/>
      </c>
      <c r="FV370" s="91" t="str">
        <f t="shared" si="43"/>
      </c>
      <c r="FW370" s="91" t="str">
        <f t="shared" si="43"/>
      </c>
      <c r="FX370" s="91" t="str">
        <f t="shared" si="43"/>
      </c>
      <c r="FY370" s="91" t="str">
        <f t="shared" si="43"/>
      </c>
      <c r="FZ370" s="91" t="str">
        <f t="shared" si="43"/>
      </c>
      <c r="GA370" s="91" t="str">
        <f t="shared" si="43"/>
      </c>
      <c r="GB370" s="91" t="str">
        <f t="shared" si="43"/>
      </c>
      <c r="GC370" s="91" t="str">
        <f t="shared" si="43"/>
      </c>
      <c r="GD370" s="91" t="str">
        <f t="shared" si="43"/>
      </c>
      <c r="GE370" s="91" t="str">
        <f t="shared" si="43"/>
      </c>
      <c r="GF370" s="91" t="str">
        <f t="shared" si="43"/>
      </c>
      <c r="GG370" s="91" t="str">
        <f t="shared" si="43"/>
      </c>
      <c r="GH370" s="91" t="str">
        <f t="shared" si="43"/>
      </c>
      <c r="GI370" s="91" t="str">
        <f t="shared" si="43"/>
      </c>
      <c r="GJ370" s="91" t="str">
        <f t="shared" si="43"/>
      </c>
      <c r="GK370" s="91" t="str">
        <f t="shared" si="43"/>
      </c>
      <c r="GL370" s="91" t="str">
        <f t="shared" si="43"/>
      </c>
      <c r="GM370" s="91" t="str">
        <f t="shared" si="43"/>
      </c>
      <c r="GN370" s="91" t="str">
        <f t="shared" si="43"/>
      </c>
      <c r="GO370" s="91" t="str">
        <f t="shared" si="43"/>
      </c>
      <c r="GP370" s="91" t="str">
        <f t="shared" si="43"/>
      </c>
      <c r="GQ370" s="91" t="str">
        <f t="shared" si="43"/>
      </c>
      <c r="GR370" s="91" t="str">
        <f t="shared" si="43"/>
      </c>
      <c r="GS370" s="91" t="str">
        <f t="shared" si="43"/>
      </c>
      <c r="GT370" s="91" t="str">
        <f t="shared" si="43"/>
      </c>
      <c r="GU370" s="91" t="str">
        <f t="shared" si="43"/>
      </c>
      <c r="GV370" s="91" t="str">
        <f t="shared" si="43"/>
      </c>
      <c r="GW370" s="91" t="str">
        <f t="shared" si="43"/>
      </c>
      <c r="GX370" s="91" t="str">
        <f t="shared" si="43"/>
      </c>
      <c r="GY370" s="91" t="str">
        <f t="shared" si="43"/>
      </c>
      <c r="GZ370" s="91" t="str">
        <f t="shared" si="43"/>
      </c>
      <c r="HA370" s="91" t="str">
        <f t="shared" si="43"/>
      </c>
      <c r="HB370" s="91" t="str">
        <f t="shared" si="43"/>
      </c>
      <c r="HC370" s="91" t="str">
        <f t="shared" si="43"/>
      </c>
      <c r="HD370" s="91" t="str">
        <f t="shared" si="43"/>
      </c>
      <c r="HE370" s="91" t="str">
        <f t="shared" si="43"/>
      </c>
      <c r="HF370" s="91" t="str">
        <f t="shared" si="43"/>
      </c>
      <c r="HG370" s="91" t="str">
        <f t="shared" si="43"/>
      </c>
      <c r="HH370" s="91" t="str">
        <f t="shared" si="43"/>
      </c>
      <c r="HI370" s="91" t="str">
        <f t="shared" si="43"/>
      </c>
      <c r="HJ370" s="91" t="str">
        <f t="shared" si="43"/>
      </c>
      <c r="HK370" s="91" t="str">
        <f t="shared" si="43"/>
      </c>
      <c r="HL370" s="91" t="str">
        <f t="shared" si="43"/>
      </c>
      <c r="HM370" s="91" t="str">
        <f ref="HM370:IV370" t="shared" si="44">IF(SUM(HM351:HM369)&lt;&gt;0,SUM(HM351:HM369),"")</f>
      </c>
      <c r="HN370" s="91" t="str">
        <f t="shared" si="44"/>
      </c>
      <c r="HO370" s="91" t="str">
        <f t="shared" si="44"/>
      </c>
      <c r="HP370" s="91" t="str">
        <f t="shared" si="44"/>
      </c>
      <c r="HQ370" s="91" t="str">
        <f t="shared" si="44"/>
      </c>
      <c r="HR370" s="91" t="str">
        <f t="shared" si="44"/>
      </c>
      <c r="HS370" s="91" t="str">
        <f t="shared" si="44"/>
      </c>
      <c r="HT370" s="91" t="str">
        <f t="shared" si="44"/>
      </c>
      <c r="HU370" s="91" t="str">
        <f t="shared" si="44"/>
      </c>
      <c r="HV370" s="91" t="str">
        <f t="shared" si="44"/>
      </c>
      <c r="HW370" s="91" t="str">
        <f t="shared" si="44"/>
      </c>
      <c r="HX370" s="91" t="str">
        <f t="shared" si="44"/>
      </c>
      <c r="HY370" s="91" t="str">
        <f t="shared" si="44"/>
      </c>
      <c r="HZ370" s="91" t="str">
        <f t="shared" si="44"/>
      </c>
      <c r="IA370" s="91" t="str">
        <f t="shared" si="44"/>
      </c>
      <c r="IB370" s="91" t="str">
        <f t="shared" si="44"/>
      </c>
      <c r="IC370" s="91" t="str">
        <f t="shared" si="44"/>
      </c>
      <c r="ID370" s="91" t="str">
        <f t="shared" si="44"/>
      </c>
      <c r="IE370" s="91" t="str">
        <f t="shared" si="44"/>
      </c>
      <c r="IF370" s="91" t="str">
        <f t="shared" si="44"/>
      </c>
      <c r="IG370" s="91" t="str">
        <f t="shared" si="44"/>
      </c>
      <c r="IH370" s="91" t="str">
        <f t="shared" si="44"/>
      </c>
      <c r="II370" s="91" t="str">
        <f t="shared" si="44"/>
      </c>
      <c r="IJ370" s="91" t="str">
        <f t="shared" si="44"/>
      </c>
      <c r="IK370" s="91" t="str">
        <f t="shared" si="44"/>
      </c>
      <c r="IL370" s="91" t="str">
        <f t="shared" si="44"/>
      </c>
      <c r="IM370" s="91" t="str">
        <f t="shared" si="44"/>
      </c>
      <c r="IN370" s="91" t="str">
        <f t="shared" si="44"/>
      </c>
      <c r="IO370" s="91" t="str">
        <f t="shared" si="44"/>
      </c>
      <c r="IP370" s="91" t="str">
        <f t="shared" si="44"/>
      </c>
      <c r="IQ370" s="91" t="str">
        <f t="shared" si="44"/>
      </c>
      <c r="IR370" s="91" t="str">
        <f t="shared" si="44"/>
      </c>
      <c r="IS370" s="91" t="str">
        <f t="shared" si="44"/>
      </c>
      <c r="IT370" s="91" t="str">
        <f t="shared" si="44"/>
      </c>
      <c r="IU370" s="91" t="str">
        <f t="shared" si="44"/>
      </c>
      <c r="IV370" s="91" t="str">
        <f t="shared" si="44"/>
      </c>
    </row>
    <row r="371" hidden="1"/>
    <row r="372" hidden="1" ht="19.5" customHeight="1"/>
    <row r="373" hidden="1">
      <c r="B373" s="125" t="s">
        <v>194</v>
      </c>
      <c r="C373" s="510" t="str">
        <f>INDEX($C158:$II$177,$F$8,38)</f>
      </c>
      <c r="D373"/>
    </row>
    <row r="374" hidden="1" ht="18.75">
      <c r="B374" s="126" t="s">
        <v>243</v>
      </c>
      <c r="C374" s="511" t="str">
        <f>INDEX($C182:$II$201,$F$8,38)</f>
      </c>
      <c r="D374"/>
    </row>
    <row r="375" hidden="1" ht="18.75">
      <c r="B375" s="126" t="s">
        <v>244</v>
      </c>
      <c r="C375" s="511" t="str">
        <f>INDEX($C206:$II$225,$F$8,38)</f>
      </c>
      <c r="D375"/>
    </row>
    <row r="376" hidden="1">
      <c r="B376" s="126" t="s">
        <v>241</v>
      </c>
      <c r="C376" s="511" t="str">
        <f>INDEX($C230:$II$249,$F$8,38)</f>
      </c>
      <c r="D376"/>
    </row>
    <row r="377" hidden="1">
      <c r="B377" s="126" t="s">
        <v>259</v>
      </c>
      <c r="C377" s="511" t="str">
        <f>INDEX($C278:$II$297,$F$8,38)</f>
      </c>
      <c r="D377"/>
    </row>
    <row r="378" hidden="1">
      <c r="B378" s="126" t="s">
        <v>260</v>
      </c>
      <c r="C378" s="511" t="str">
        <f>INDEX($C302:$II$321,$F$8,38)</f>
      </c>
      <c r="D378"/>
    </row>
    <row r="379" hidden="1" ht="13.5">
      <c r="B379" s="139" t="s">
        <v>204</v>
      </c>
      <c r="C379" s="512" t="str">
        <f>INDEX($C384:$II$403,$F$8,38)</f>
      </c>
      <c r="D379" s="91"/>
    </row>
    <row r="380" hidden="1">
      <c r="B380" s="215"/>
      <c r="C380" s="91"/>
    </row>
    <row r="381" hidden="1" ht="13.5"/>
    <row r="382" hidden="1" ht="13.5" customHeight="1">
      <c r="B382" s="162"/>
      <c r="C382" s="617" t="s">
        <v>204</v>
      </c>
      <c r="D382" s="618"/>
      <c r="E382" s="618"/>
      <c r="F382" s="618"/>
      <c r="G382" s="618"/>
      <c r="H382" s="618"/>
      <c r="I382" s="618"/>
      <c r="J382" s="618"/>
      <c r="K382" s="618"/>
      <c r="L382" s="618"/>
      <c r="M382" s="618"/>
      <c r="N382" s="618"/>
      <c r="O382" s="618"/>
      <c r="P382" s="618"/>
      <c r="Q382" s="618"/>
      <c r="R382" s="618"/>
      <c r="S382" s="618"/>
      <c r="T382" s="618"/>
      <c r="U382" s="618"/>
      <c r="V382" s="618"/>
      <c r="W382" s="618"/>
      <c r="X382" s="618"/>
      <c r="Y382" s="618"/>
      <c r="Z382" s="618"/>
      <c r="AA382" s="618"/>
      <c r="AB382" s="619"/>
    </row>
    <row r="383" hidden="1" ht="13.5">
      <c r="C383" s="435" t="str">
        <f> IF(C403&lt;&gt;"",TEXT(AUX!G$1,"dd-MMM-aa"),"")</f>
      </c>
      <c r="D383" s="435" t="str">
        <f> IF(D403&lt;&gt;"",TEXT(AUX!H$1,"dd-MMM-aa"),"")</f>
      </c>
      <c r="E383" s="435" t="str">
        <f> IF(E403&lt;&gt;"",TEXT(AUX!I$1,"dd-MMM-aa"),"")</f>
      </c>
      <c r="F383" s="435" t="str">
        <f> IF(F403&lt;&gt;"",TEXT(AUX!J$1,"dd-MMM-aa"),"")</f>
      </c>
      <c r="G383" s="435" t="str">
        <f> IF(G403&lt;&gt;"",TEXT(AUX!K$1,"dd-MMM-aa"),"")</f>
      </c>
      <c r="H383" s="435" t="str">
        <f> IF(H403&lt;&gt;"",TEXT(AUX!L$1,"dd-MMM-aa"),"")</f>
      </c>
      <c r="I383" s="435" t="str">
        <f> IF(I403&lt;&gt;"",TEXT(AUX!M$1,"dd-MMM-aa"),"")</f>
      </c>
      <c r="J383" s="435" t="str">
        <f> IF(J403&lt;&gt;"",TEXT(AUX!N$1,"dd-MMM-aa"),"")</f>
      </c>
      <c r="K383" s="435" t="str">
        <f> IF(K403&lt;&gt;"",TEXT(AUX!O$1,"dd-MMM-aa"),"")</f>
      </c>
      <c r="L383" s="435" t="str">
        <f> IF(L403&lt;&gt;"",TEXT(AUX!P$1,"dd-MMM-aa"),"")</f>
      </c>
      <c r="M383" s="435" t="str">
        <f> IF(M403&lt;&gt;"",TEXT(AUX!Q$1,"dd-MMM-aa"),"")</f>
      </c>
      <c r="N383" s="435" t="str">
        <f> IF(N403&lt;&gt;"",TEXT(AUX!R$1,"dd-MMM-aa"),"")</f>
      </c>
      <c r="O383" s="435" t="str">
        <f> IF(O403&lt;&gt;"",TEXT(AUX!S$1,"dd-MMM-aa"),"")</f>
      </c>
      <c r="P383" s="435" t="str">
        <f> IF(P403&lt;&gt;"",TEXT(AUX!T$1,"dd-MMM-aa"),"")</f>
      </c>
      <c r="Q383" s="435" t="str">
        <f> IF(Q403&lt;&gt;"",TEXT(AUX!U$1,"dd-MMM-aa"),"")</f>
      </c>
      <c r="R383" s="435" t="str">
        <f> IF(R403&lt;&gt;"",TEXT(AUX!V$1,"dd-MMM-aa"),"")</f>
      </c>
      <c r="S383" s="435" t="str">
        <f> IF(S403&lt;&gt;"",TEXT(AUX!W$1,"dd-MMM-aa"),"")</f>
      </c>
      <c r="T383" s="435" t="str">
        <f> IF(T403&lt;&gt;"",TEXT(AUX!X$1,"dd-MMM-aa"),"")</f>
      </c>
      <c r="U383" s="435" t="str">
        <f> IF(U403&lt;&gt;"",TEXT(AUX!Y$1,"dd-MMM-aa"),"")</f>
      </c>
      <c r="V383" s="435" t="str">
        <f> IF(V403&lt;&gt;"",TEXT(AUX!Z$1,"dd-MMM-aa"),"")</f>
      </c>
      <c r="W383" s="435" t="str">
        <f> IF(W403&lt;&gt;"",TEXT(AUX!AA$1,"dd-MMM-aa"),"")</f>
      </c>
      <c r="X383" s="435" t="str">
        <f> IF(X403&lt;&gt;"",TEXT(AUX!AB$1,"dd-MMM-aa"),"")</f>
      </c>
      <c r="Y383" s="435" t="str">
        <f> IF(Y403&lt;&gt;"",TEXT(AUX!AC$1,"dd-MMM-aa"),"")</f>
      </c>
      <c r="Z383" s="435" t="str">
        <f> IF(Z403&lt;&gt;"",TEXT(AUX!AD$1,"dd-MMM-aa"),"")</f>
      </c>
      <c r="AA383" s="435" t="str">
        <f> IF(AA403&lt;&gt;"",TEXT(AUX!AE$1,"dd-MMM-aa"),"")</f>
      </c>
      <c r="AB383" s="497" t="str">
        <f> IF(AB403&lt;&gt;"",TEXT(AUX!AF$1,"dd-MMM-aa"),"")</f>
      </c>
      <c r="AC383" s="496" t="str">
        <f> IF(AC403&lt;&gt;"",TEXT(AUX!AG$1,"dd-MMM-aa"),"")</f>
      </c>
      <c r="AD383" s="496" t="str">
        <f> IF(AD403&lt;&gt;"",TEXT(AUX!AH$1,"dd-MMM-aa"),"")</f>
      </c>
      <c r="AE383" s="496" t="str">
        <f> IF(AE403&lt;&gt;"",TEXT(AUX!AI$1,"dd-MMM-aa"),"")</f>
      </c>
      <c r="AF383" s="496" t="str">
        <f> IF(AF403&lt;&gt;"",TEXT(AUX!AJ$1,"dd-MMM-aa"),"")</f>
      </c>
      <c r="AG383" s="496" t="str">
        <f> IF(AG403&lt;&gt;"",TEXT(AUX!AK$1,"dd-MMM-aa"),"")</f>
      </c>
      <c r="AH383" s="496" t="str">
        <f> IF(AH403&lt;&gt;"",TEXT(AUX!AL$1,"dd-MMM-aa"),"")</f>
      </c>
      <c r="AI383" s="496" t="str">
        <f> IF(AI403&lt;&gt;"",TEXT(AUX!AM$1,"dd-MMM-aa"),"")</f>
      </c>
      <c r="AJ383" s="496" t="str">
        <f> IF(AJ403&lt;&gt;"",TEXT(AUX!AN$1,"dd-MMM-aa"),"")</f>
      </c>
      <c r="AK383" s="496" t="str">
        <f> IF(AK403&lt;&gt;"",TEXT(AUX!AO$1,"dd-MMM-aa"),"")</f>
      </c>
      <c r="AL383" s="496" t="str">
        <f> IF(AL403&lt;&gt;"",TEXT(AUX!AP$1,"dd-MMM-aa"),"")</f>
      </c>
      <c r="AM383" s="496" t="str">
        <f> IF(AM403&lt;&gt;"",TEXT(AUX!AQ$1,"dd-MMM-aa"),"")</f>
      </c>
      <c r="AN383" s="496" t="str">
        <f> IF(AN403&lt;&gt;"",TEXT(AUX!AR$1,"dd-MMM-aa"),"")</f>
      </c>
      <c r="AO383" s="496" t="str">
        <f> IF(AO403&lt;&gt;"",TEXT(AUX!AS$1,"dd-MMM-aa"),"")</f>
      </c>
      <c r="AP383" s="496" t="str">
        <f> IF(AP403&lt;&gt;"",TEXT(AUX!AT$1,"dd-MMM-aa"),"")</f>
      </c>
      <c r="AQ383" s="496" t="str">
        <f> IF(AQ403&lt;&gt;"",TEXT(AUX!AU$1,"dd-MMM-aa"),"")</f>
      </c>
      <c r="AR383" s="496" t="str">
        <f> IF(AR403&lt;&gt;"",TEXT(AUX!AV$1,"dd-MMM-aa"),"")</f>
      </c>
      <c r="AS383" s="496" t="str">
        <f> IF(AS403&lt;&gt;"",TEXT(AUX!AW$1,"dd-MMM-aa"),"")</f>
      </c>
      <c r="AT383" s="496" t="str">
        <f> IF(AT403&lt;&gt;"",TEXT(AUX!AX$1,"dd-MMM-aa"),"")</f>
      </c>
      <c r="AU383" s="496" t="str">
        <f> IF(AU403&lt;&gt;"",TEXT(AUX!AY$1,"dd-MMM-aa"),"")</f>
      </c>
      <c r="AV383" s="496" t="str">
        <f> IF(AV403&lt;&gt;"",TEXT(AUX!AZ$1,"dd-MMM-aa"),"")</f>
      </c>
      <c r="AW383" s="496" t="str">
        <f> IF(AW403&lt;&gt;"",TEXT(AUX!BA$1,"dd-MMM-aa"),"")</f>
      </c>
      <c r="AX383" s="496" t="str">
        <f> IF(AX403&lt;&gt;"",TEXT(AUX!BB$1,"dd-MMM-aa"),"")</f>
      </c>
      <c r="AY383" s="496" t="str">
        <f> IF(AY403&lt;&gt;"",TEXT(AUX!BC$1,"dd-MMM-aa"),"")</f>
      </c>
      <c r="AZ383" s="496" t="str">
        <f> IF(AZ403&lt;&gt;"",TEXT(AUX!BD$1,"dd-MMM-aa"),"")</f>
      </c>
      <c r="BA383" s="496" t="str">
        <f> IF(BA403&lt;&gt;"",TEXT(AUX!BE$1,"dd-MMM-aa"),"")</f>
      </c>
      <c r="BB383" s="496" t="str">
        <f> IF(BB403&lt;&gt;"",TEXT(AUX!BF$1,"dd-MMM-aa"),"")</f>
      </c>
      <c r="BC383" s="496" t="str">
        <f> IF(BC403&lt;&gt;"",TEXT(AUX!BG$1,"dd-MMM-aa"),"")</f>
      </c>
      <c r="BD383" s="496" t="str">
        <f> IF(BD403&lt;&gt;"",TEXT(AUX!BH$1,"dd-MMM-aa"),"")</f>
      </c>
      <c r="BE383" s="496" t="str">
        <f> IF(BE403&lt;&gt;"",TEXT(AUX!BI$1,"dd-MMM-aa"),"")</f>
      </c>
      <c r="BF383" s="496" t="str">
        <f> IF(BF403&lt;&gt;"",TEXT(AUX!BJ$1,"dd-MMM-aa"),"")</f>
      </c>
      <c r="BG383" s="496" t="str">
        <f> IF(BG403&lt;&gt;"",TEXT(AUX!BK$1,"dd-MMM-aa"),"")</f>
      </c>
      <c r="BH383" s="496" t="str">
        <f> IF(BH403&lt;&gt;"",TEXT(AUX!BL$1,"dd-MMM-aa"),"")</f>
      </c>
      <c r="BI383" s="496" t="str">
        <f> IF(BI403&lt;&gt;"",TEXT(AUX!BM$1,"dd-MMM-aa"),"")</f>
      </c>
      <c r="BJ383" s="496" t="str">
        <f> IF(BJ403&lt;&gt;"",TEXT(AUX!BN$1,"dd-MMM-aa"),"")</f>
      </c>
      <c r="BK383" s="496" t="str">
        <f> IF(BK403&lt;&gt;"",TEXT(AUX!BO$1,"dd-MMM-aa"),"")</f>
      </c>
      <c r="BL383" s="496" t="str">
        <f> IF(BL403&lt;&gt;"",TEXT(AUX!BP$1,"dd-MMM-aa"),"")</f>
      </c>
      <c r="BM383" s="496" t="str">
        <f> IF(BM403&lt;&gt;"",TEXT(AUX!BQ$1,"dd-MMM-aa"),"")</f>
      </c>
      <c r="BN383" s="496" t="str">
        <f> IF(BN403&lt;&gt;"",TEXT(AUX!BR$1,"dd-MMM-aa"),"")</f>
      </c>
      <c r="BO383" s="496" t="str">
        <f> IF(BO403&lt;&gt;"",TEXT(AUX!BS$1,"dd-MMM-aa"),"")</f>
      </c>
      <c r="BP383" s="496" t="str">
        <f> IF(BP403&lt;&gt;"",TEXT(AUX!BT$1,"dd-MMM-aa"),"")</f>
      </c>
      <c r="BQ383" s="496" t="str">
        <f> IF(BQ403&lt;&gt;"",TEXT(AUX!BU$1,"dd-MMM-aa"),"")</f>
      </c>
      <c r="BR383" s="496" t="str">
        <f> IF(BR403&lt;&gt;"",TEXT(AUX!BV$1,"dd-MMM-aa"),"")</f>
      </c>
      <c r="BS383" s="496" t="str">
        <f> IF(BS403&lt;&gt;"",TEXT(AUX!BW$1,"dd-MMM-aa"),"")</f>
      </c>
      <c r="BT383" s="496" t="str">
        <f> IF(BT403&lt;&gt;"",TEXT(AUX!BX$1,"dd-MMM-aa"),"")</f>
      </c>
      <c r="BU383" s="496" t="str">
        <f> IF(BU403&lt;&gt;"",TEXT(AUX!BY$1,"dd-MMM-aa"),"")</f>
      </c>
      <c r="BV383" s="496" t="str">
        <f> IF(BV403&lt;&gt;"",TEXT(AUX!BZ$1,"dd-MMM-aa"),"")</f>
      </c>
      <c r="BW383" s="496" t="str">
        <f> IF(BW403&lt;&gt;"",TEXT(AUX!CA$1,"dd-MMM-aa"),"")</f>
      </c>
      <c r="BX383" s="496" t="str">
        <f> IF(BX403&lt;&gt;"",TEXT(AUX!CB$1,"dd-MMM-aa"),"")</f>
      </c>
      <c r="BY383" s="496" t="str">
        <f> IF(BY403&lt;&gt;"",TEXT(AUX!CC$1,"dd-MMM-aa"),"")</f>
      </c>
      <c r="BZ383" s="496" t="str">
        <f> IF(BZ403&lt;&gt;"",TEXT(AUX!CD$1,"dd-MMM-aa"),"")</f>
      </c>
      <c r="CA383" s="496" t="str">
        <f> IF(CA403&lt;&gt;"",TEXT(AUX!CE$1,"dd-MMM-aa"),"")</f>
      </c>
      <c r="CB383" s="496" t="str">
        <f> IF(CB403&lt;&gt;"",TEXT(AUX!CF$1,"dd-MMM-aa"),"")</f>
      </c>
      <c r="CC383" s="496" t="str">
        <f> IF(CC403&lt;&gt;"",TEXT(AUX!CG$1,"dd-MMM-aa"),"")</f>
      </c>
      <c r="CD383" s="496" t="str">
        <f> IF(CD403&lt;&gt;"",TEXT(AUX!CH$1,"dd-MMM-aa"),"")</f>
      </c>
      <c r="CE383" s="496" t="str">
        <f> IF(CE403&lt;&gt;"",TEXT(AUX!CI$1,"dd-MMM-aa"),"")</f>
      </c>
      <c r="CF383" s="496" t="str">
        <f> IF(CF403&lt;&gt;"",TEXT(AUX!CJ$1,"dd-MMM-aa"),"")</f>
      </c>
      <c r="CG383" s="496" t="str">
        <f> IF(CG403&lt;&gt;"",TEXT(AUX!CK$1,"dd-MMM-aa"),"")</f>
      </c>
      <c r="CH383" s="496" t="str">
        <f> IF(CH403&lt;&gt;"",TEXT(AUX!CL$1,"dd-MMM-aa"),"")</f>
      </c>
      <c r="CI383" s="496" t="str">
        <f> IF(CI403&lt;&gt;"",TEXT(AUX!CM$1,"dd-MMM-aa"),"")</f>
      </c>
      <c r="CJ383" s="496" t="str">
        <f> IF(CJ403&lt;&gt;"",TEXT(AUX!CN$1,"dd-MMM-aa"),"")</f>
      </c>
      <c r="CK383" s="496" t="str">
        <f> IF(CK403&lt;&gt;"",TEXT(AUX!CO$1,"dd-MMM-aa"),"")</f>
      </c>
      <c r="CL383" s="496" t="str">
        <f> IF(CL403&lt;&gt;"",TEXT(AUX!CP$1,"dd-MMM-aa"),"")</f>
      </c>
      <c r="CM383" s="496" t="str">
        <f> IF(CM403&lt;&gt;"",TEXT(AUX!CQ$1,"dd-MMM-aa"),"")</f>
      </c>
      <c r="CN383" s="496" t="str">
        <f> IF(CN403&lt;&gt;"",TEXT(AUX!CR$1,"dd-MMM-aa"),"")</f>
      </c>
      <c r="CO383" s="496" t="str">
        <f> IF(CO403&lt;&gt;"",TEXT(AUX!CS$1,"dd-MMM-aa"),"")</f>
      </c>
      <c r="CP383" s="496" t="str">
        <f> IF(CP403&lt;&gt;"",TEXT(AUX!CT$1,"dd-MMM-aa"),"")</f>
      </c>
      <c r="CQ383" s="496" t="str">
        <f> IF(CQ403&lt;&gt;"",TEXT(AUX!CU$1,"dd-MMM-aa"),"")</f>
      </c>
      <c r="CR383" s="496" t="str">
        <f> IF(CR403&lt;&gt;"",TEXT(AUX!CV$1,"dd-MMM-aa"),"")</f>
      </c>
      <c r="CS383" s="496" t="str">
        <f> IF(CS403&lt;&gt;"",TEXT(AUX!CW$1,"dd-MMM-aa"),"")</f>
      </c>
      <c r="CT383" s="496" t="str">
        <f> IF(CT403&lt;&gt;"",TEXT(AUX!CX$1,"dd-MMM-aa"),"")</f>
      </c>
      <c r="CU383" s="496" t="str">
        <f> IF(CU403&lt;&gt;"",TEXT(AUX!CY$1,"dd-MMM-aa"),"")</f>
      </c>
      <c r="CV383" s="496" t="str">
        <f> IF(CV403&lt;&gt;"",TEXT(AUX!CZ$1,"dd-MMM-aa"),"")</f>
      </c>
      <c r="CW383" s="496" t="str">
        <f> IF(CW403&lt;&gt;"",TEXT(AUX!DA$1,"dd-MMM-aa"),"")</f>
      </c>
      <c r="CX383" s="496" t="str">
        <f> IF(CX403&lt;&gt;"",TEXT(AUX!DB$1,"dd-MMM-aa"),"")</f>
      </c>
      <c r="CY383" s="496" t="str">
        <f> IF(CY403&lt;&gt;"",TEXT(AUX!DC$1,"dd-MMM-aa"),"")</f>
      </c>
      <c r="CZ383" s="496" t="str">
        <f> IF(CZ403&lt;&gt;"",TEXT(AUX!DD$1,"dd-MMM-aa"),"")</f>
      </c>
      <c r="DA383" s="496" t="str">
        <f> IF(DA403&lt;&gt;"",TEXT(AUX!DE$1,"dd-MMM-aa"),"")</f>
      </c>
      <c r="DB383" s="496" t="str">
        <f> IF(DB403&lt;&gt;"",TEXT(AUX!DF$1,"dd-MMM-aa"),"")</f>
      </c>
      <c r="DC383" s="496" t="str">
        <f> IF(DC403&lt;&gt;"",TEXT(AUX!DG$1,"dd-MMM-aa"),"")</f>
      </c>
      <c r="DD383" s="496" t="str">
        <f> IF(DD403&lt;&gt;"",TEXT(AUX!DH$1,"dd-MMM-aa"),"")</f>
      </c>
      <c r="DE383" s="496" t="str">
        <f> IF(DE403&lt;&gt;"",TEXT(AUX!DI$1,"dd-MMM-aa"),"")</f>
      </c>
      <c r="DF383" s="496" t="str">
        <f> IF(DF403&lt;&gt;"",TEXT(AUX!DJ$1,"dd-MMM-aa"),"")</f>
      </c>
      <c r="DG383" s="496" t="str">
        <f> IF(DG403&lt;&gt;"",TEXT(AUX!DK$1,"dd-MMM-aa"),"")</f>
      </c>
      <c r="DH383" s="496" t="str">
        <f> IF(DH403&lt;&gt;"",TEXT(AUX!DL$1,"dd-MMM-aa"),"")</f>
      </c>
      <c r="DI383" s="496" t="str">
        <f> IF(DI403&lt;&gt;"",TEXT(AUX!DM$1,"dd-MMM-aa"),"")</f>
      </c>
      <c r="DJ383" s="496" t="str">
        <f> IF(DJ403&lt;&gt;"",TEXT(AUX!DN$1,"dd-MMM-aa"),"")</f>
      </c>
      <c r="DK383" s="496" t="str">
        <f> IF(DK403&lt;&gt;"",TEXT(AUX!DO$1,"dd-MMM-aa"),"")</f>
      </c>
      <c r="DL383" s="496" t="str">
        <f> IF(DL403&lt;&gt;"",TEXT(AUX!DP$1,"dd-MMM-aa"),"")</f>
      </c>
      <c r="DM383" s="496" t="str">
        <f> IF(DM403&lt;&gt;"",TEXT(AUX!DQ$1,"dd-MMM-aa"),"")</f>
      </c>
      <c r="DN383" s="496" t="str">
        <f> IF(DN403&lt;&gt;"",TEXT(AUX!DR$1,"dd-MMM-aa"),"")</f>
      </c>
      <c r="DO383" s="496" t="str">
        <f> IF(DO403&lt;&gt;"",TEXT(AUX!DS$1,"dd-MMM-aa"),"")</f>
      </c>
      <c r="DP383" s="496" t="str">
        <f> IF(DP403&lt;&gt;"",TEXT(AUX!DT$1,"dd-MMM-aa"),"")</f>
      </c>
      <c r="DQ383" s="496" t="str">
        <f> IF(DQ403&lt;&gt;"",TEXT(AUX!DU$1,"dd-MMM-aa"),"")</f>
      </c>
      <c r="DR383" s="496" t="str">
        <f> IF(DR403&lt;&gt;"",TEXT(AUX!DV$1,"dd-MMM-aa"),"")</f>
      </c>
      <c r="DS383" s="496" t="str">
        <f> IF(DS403&lt;&gt;"",TEXT(AUX!DW$1,"dd-MMM-aa"),"")</f>
      </c>
      <c r="DT383" s="496" t="str">
        <f> IF(DT403&lt;&gt;"",TEXT(AUX!DX$1,"dd-MMM-aa"),"")</f>
      </c>
      <c r="DU383" s="496" t="str">
        <f> IF(DU403&lt;&gt;"",TEXT(AUX!DY$1,"dd-MMM-aa"),"")</f>
      </c>
      <c r="DV383" s="496" t="str">
        <f> IF(DV403&lt;&gt;"",TEXT(AUX!DZ$1,"dd-MMM-aa"),"")</f>
      </c>
      <c r="DW383" s="496" t="str">
        <f> IF(DW403&lt;&gt;"",TEXT(AUX!EA$1,"dd-MMM-aa"),"")</f>
      </c>
      <c r="DX383" s="496" t="str">
        <f> IF(DX403&lt;&gt;"",TEXT(AUX!EB$1,"dd-MMM-aa"),"")</f>
      </c>
      <c r="DY383" s="496" t="str">
        <f> IF(DY403&lt;&gt;"",TEXT(AUX!EC$1,"dd-MMM-aa"),"")</f>
      </c>
      <c r="DZ383" s="496" t="str">
        <f> IF(DZ403&lt;&gt;"",TEXT(AUX!ED$1,"dd-MMM-aa"),"")</f>
      </c>
      <c r="EA383" s="496" t="str">
        <f> IF(EA403&lt;&gt;"",TEXT(AUX!EE$1,"dd-MMM-aa"),"")</f>
      </c>
      <c r="EB383" s="496" t="str">
        <f> IF(EB403&lt;&gt;"",TEXT(AUX!EF$1,"dd-MMM-aa"),"")</f>
      </c>
      <c r="EC383" s="496" t="str">
        <f> IF(EC403&lt;&gt;"",TEXT(AUX!EG$1,"dd-MMM-aa"),"")</f>
      </c>
      <c r="ED383" s="496" t="str">
        <f> IF(ED403&lt;&gt;"",TEXT(AUX!EH$1,"dd-MMM-aa"),"")</f>
      </c>
      <c r="EE383" s="496" t="str">
        <f> IF(EE403&lt;&gt;"",TEXT(AUX!EI$1,"dd-MMM-aa"),"")</f>
      </c>
      <c r="EF383" s="496" t="str">
        <f> IF(EF403&lt;&gt;"",TEXT(AUX!EJ$1,"dd-MMM-aa"),"")</f>
      </c>
      <c r="EG383" s="496" t="str">
        <f> IF(EG403&lt;&gt;"",TEXT(AUX!EK$1,"dd-MMM-aa"),"")</f>
      </c>
      <c r="EH383" s="496" t="str">
        <f> IF(EH403&lt;&gt;"",TEXT(AUX!EL$1,"dd-MMM-aa"),"")</f>
      </c>
      <c r="EI383" s="496" t="str">
        <f> IF(EI403&lt;&gt;"",TEXT(AUX!EM$1,"dd-MMM-aa"),"")</f>
      </c>
      <c r="EJ383" s="496" t="str">
        <f> IF(EJ403&lt;&gt;"",TEXT(AUX!EN$1,"dd-MMM-aa"),"")</f>
      </c>
      <c r="EK383" s="496" t="str">
        <f> IF(EK403&lt;&gt;"",TEXT(AUX!EO$1,"dd-MMM-aa"),"")</f>
      </c>
      <c r="EL383" s="496" t="str">
        <f> IF(EL403&lt;&gt;"",TEXT(AUX!EP$1,"dd-MMM-aa"),"")</f>
      </c>
      <c r="EM383" s="496" t="str">
        <f> IF(EM403&lt;&gt;"",TEXT(AUX!EQ$1,"dd-MMM-aa"),"")</f>
      </c>
      <c r="EN383" s="496" t="str">
        <f> IF(EN403&lt;&gt;"",TEXT(AUX!ER$1,"dd-MMM-aa"),"")</f>
      </c>
      <c r="EO383" s="496" t="str">
        <f> IF(EO403&lt;&gt;"",TEXT(AUX!ES$1,"dd-MMM-aa"),"")</f>
      </c>
      <c r="EP383" s="496" t="str">
        <f> IF(EP403&lt;&gt;"",TEXT(AUX!ET$1,"dd-MMM-aa"),"")</f>
      </c>
      <c r="EQ383" s="496" t="str">
        <f> IF(EQ403&lt;&gt;"",TEXT(AUX!EU$1,"dd-MMM-aa"),"")</f>
      </c>
      <c r="ER383" s="496" t="str">
        <f> IF(ER403&lt;&gt;"",TEXT(AUX!EV$1,"dd-MMM-aa"),"")</f>
      </c>
      <c r="ES383" s="496" t="str">
        <f> IF(ES403&lt;&gt;"",TEXT(AUX!EW$1,"dd-MMM-aa"),"")</f>
      </c>
      <c r="ET383" s="496" t="str">
        <f> IF(ET403&lt;&gt;"",TEXT(AUX!EX$1,"dd-MMM-aa"),"")</f>
      </c>
      <c r="EU383" s="496" t="str">
        <f> IF(EU403&lt;&gt;"",TEXT(AUX!EY$1,"dd-MMM-aa"),"")</f>
      </c>
      <c r="EV383" s="496" t="str">
        <f> IF(EV403&lt;&gt;"",TEXT(AUX!EZ$1,"dd-MMM-aa"),"")</f>
      </c>
      <c r="EW383" s="496" t="str">
        <f> IF(EW403&lt;&gt;"",TEXT(AUX!FA$1,"dd-MMM-aa"),"")</f>
      </c>
      <c r="EX383" s="496" t="str">
        <f> IF(EX403&lt;&gt;"",TEXT(AUX!FB$1,"dd-MMM-aa"),"")</f>
      </c>
      <c r="EY383" s="496" t="str">
        <f> IF(EY403&lt;&gt;"",TEXT(AUX!FC$1,"dd-MMM-aa"),"")</f>
      </c>
      <c r="EZ383" s="496" t="str">
        <f> IF(EZ403&lt;&gt;"",TEXT(AUX!FD$1,"dd-MMM-aa"),"")</f>
      </c>
      <c r="FA383" s="496" t="str">
        <f> IF(FA403&lt;&gt;"",TEXT(AUX!FE$1,"dd-MMM-aa"),"")</f>
      </c>
      <c r="FB383" s="496" t="str">
        <f> IF(FB403&lt;&gt;"",TEXT(AUX!FF$1,"dd-MMM-aa"),"")</f>
      </c>
      <c r="FC383" s="496" t="str">
        <f> IF(FC403&lt;&gt;"",TEXT(AUX!FG$1,"dd-MMM-aa"),"")</f>
      </c>
      <c r="FD383" s="496" t="str">
        <f> IF(FD403&lt;&gt;"",TEXT(AUX!FH$1,"dd-MMM-aa"),"")</f>
      </c>
      <c r="FE383" s="496" t="str">
        <f> IF(FE403&lt;&gt;"",TEXT(AUX!FI$1,"dd-MMM-aa"),"")</f>
      </c>
      <c r="FF383" s="496" t="str">
        <f> IF(FF403&lt;&gt;"",TEXT(AUX!FJ$1,"dd-MMM-aa"),"")</f>
      </c>
      <c r="FG383" s="496" t="str">
        <f> IF(FG403&lt;&gt;"",TEXT(AUX!FK$1,"dd-MMM-aa"),"")</f>
      </c>
      <c r="FH383" s="496" t="str">
        <f> IF(FH403&lt;&gt;"",TEXT(AUX!FL$1,"dd-MMM-aa"),"")</f>
      </c>
      <c r="FI383" s="496" t="str">
        <f> IF(FI403&lt;&gt;"",TEXT(AUX!FM$1,"dd-MMM-aa"),"")</f>
      </c>
      <c r="FJ383" s="496" t="str">
        <f> IF(FJ403&lt;&gt;"",TEXT(AUX!FN$1,"dd-MMM-aa"),"")</f>
      </c>
      <c r="FK383" s="496" t="str">
        <f> IF(FK403&lt;&gt;"",TEXT(AUX!FO$1,"dd-MMM-aa"),"")</f>
      </c>
      <c r="FL383" s="496" t="str">
        <f> IF(FL403&lt;&gt;"",TEXT(AUX!FP$1,"dd-MMM-aa"),"")</f>
      </c>
      <c r="FM383" s="496" t="str">
        <f> IF(FM403&lt;&gt;"",TEXT(AUX!FQ$1,"dd-MMM-aa"),"")</f>
      </c>
      <c r="FN383" s="496" t="str">
        <f> IF(FN403&lt;&gt;"",TEXT(AUX!FR$1,"dd-MMM-aa"),"")</f>
      </c>
      <c r="FO383" s="496" t="str">
        <f> IF(FO403&lt;&gt;"",TEXT(AUX!FS$1,"dd-MMM-aa"),"")</f>
      </c>
      <c r="FP383" s="496" t="str">
        <f> IF(FP403&lt;&gt;"",TEXT(AUX!FT$1,"dd-MMM-aa"),"")</f>
      </c>
      <c r="FQ383" s="496" t="str">
        <f> IF(FQ403&lt;&gt;"",TEXT(AUX!FU$1,"dd-MMM-aa"),"")</f>
      </c>
      <c r="FR383" s="496" t="str">
        <f> IF(FR403&lt;&gt;"",TEXT(AUX!FV$1,"dd-MMM-aa"),"")</f>
      </c>
      <c r="FS383" s="496" t="str">
        <f> IF(FS403&lt;&gt;"",TEXT(AUX!FW$1,"dd-MMM-aa"),"")</f>
      </c>
      <c r="FT383" s="496" t="str">
        <f> IF(FT403&lt;&gt;"",TEXT(AUX!FX$1,"dd-MMM-aa"),"")</f>
      </c>
      <c r="FU383" s="496" t="str">
        <f> IF(FU403&lt;&gt;"",TEXT(AUX!FY$1,"dd-MMM-aa"),"")</f>
      </c>
      <c r="FV383" s="496" t="str">
        <f> IF(FV403&lt;&gt;"",TEXT(AUX!FZ$1,"dd-MMM-aa"),"")</f>
      </c>
      <c r="FW383" s="496" t="str">
        <f> IF(FW403&lt;&gt;"",TEXT(AUX!GA$1,"dd-MMM-aa"),"")</f>
      </c>
      <c r="FX383" s="496" t="str">
        <f> IF(FX403&lt;&gt;"",TEXT(AUX!GB$1,"dd-MMM-aa"),"")</f>
      </c>
      <c r="FY383" s="496" t="str">
        <f> IF(FY403&lt;&gt;"",TEXT(AUX!GC$1,"dd-MMM-aa"),"")</f>
      </c>
      <c r="FZ383" s="496" t="str">
        <f> IF(FZ403&lt;&gt;"",TEXT(AUX!GD$1,"dd-MMM-aa"),"")</f>
      </c>
      <c r="GA383" s="496" t="str">
        <f> IF(GA403&lt;&gt;"",TEXT(AUX!GE$1,"dd-MMM-aa"),"")</f>
      </c>
      <c r="GB383" s="496" t="str">
        <f> IF(GB403&lt;&gt;"",TEXT(AUX!GF$1,"dd-MMM-aa"),"")</f>
      </c>
      <c r="GC383" s="496" t="str">
        <f> IF(GC403&lt;&gt;"",TEXT(AUX!GG$1,"dd-MMM-aa"),"")</f>
      </c>
      <c r="GD383" s="496" t="str">
        <f> IF(GD403&lt;&gt;"",TEXT(AUX!GH$1,"dd-MMM-aa"),"")</f>
      </c>
      <c r="GE383" s="496" t="str">
        <f> IF(GE403&lt;&gt;"",TEXT(AUX!GI$1,"dd-MMM-aa"),"")</f>
      </c>
      <c r="GF383" s="496" t="str">
        <f> IF(GF403&lt;&gt;"",TEXT(AUX!GJ$1,"dd-MMM-aa"),"")</f>
      </c>
      <c r="GG383" s="496" t="str">
        <f> IF(GG403&lt;&gt;"",TEXT(AUX!GK$1,"dd-MMM-aa"),"")</f>
      </c>
      <c r="GH383" s="496" t="str">
        <f> IF(GH403&lt;&gt;"",TEXT(AUX!GL$1,"dd-MMM-aa"),"")</f>
      </c>
      <c r="GI383" s="496" t="str">
        <f> IF(GI403&lt;&gt;"",TEXT(AUX!GM$1,"dd-MMM-aa"),"")</f>
      </c>
      <c r="GJ383" s="496" t="str">
        <f> IF(GJ403&lt;&gt;"",TEXT(AUX!GN$1,"dd-MMM-aa"),"")</f>
      </c>
      <c r="GK383" s="496" t="str">
        <f> IF(GK403&lt;&gt;"",TEXT(AUX!GO$1,"dd-MMM-aa"),"")</f>
      </c>
      <c r="GL383" s="496" t="str">
        <f> IF(GL403&lt;&gt;"",TEXT(AUX!GP$1,"dd-MMM-aa"),"")</f>
      </c>
      <c r="GM383" s="496" t="str">
        <f> IF(GM403&lt;&gt;"",TEXT(AUX!GQ$1,"dd-MMM-aa"),"")</f>
      </c>
      <c r="GN383" s="496" t="str">
        <f> IF(GN403&lt;&gt;"",TEXT(AUX!GR$1,"dd-MMM-aa"),"")</f>
      </c>
      <c r="GO383" s="496" t="str">
        <f> IF(GO403&lt;&gt;"",TEXT(AUX!GS$1,"dd-MMM-aa"),"")</f>
      </c>
      <c r="GP383" s="496" t="str">
        <f> IF(GP403&lt;&gt;"",TEXT(AUX!GT$1,"dd-MMM-aa"),"")</f>
      </c>
      <c r="GQ383" s="496" t="str">
        <f> IF(GQ403&lt;&gt;"",TEXT(AUX!GU$1,"dd-MMM-aa"),"")</f>
      </c>
      <c r="GR383" s="496" t="str">
        <f> IF(GR403&lt;&gt;"",TEXT(AUX!GV$1,"dd-MMM-aa"),"")</f>
      </c>
      <c r="GS383" s="496" t="str">
        <f> IF(GS403&lt;&gt;"",TEXT(AUX!GW$1,"dd-MMM-aa"),"")</f>
      </c>
      <c r="GT383" s="496" t="str">
        <f> IF(GT403&lt;&gt;"",TEXT(AUX!GX$1,"dd-MMM-aa"),"")</f>
      </c>
      <c r="GU383" s="496" t="str">
        <f> IF(GU403&lt;&gt;"",TEXT(AUX!GY$1,"dd-MMM-aa"),"")</f>
      </c>
      <c r="GV383" s="496" t="str">
        <f> IF(GV403&lt;&gt;"",TEXT(AUX!GZ$1,"dd-MMM-aa"),"")</f>
      </c>
      <c r="GW383" s="496" t="str">
        <f> IF(GW403&lt;&gt;"",TEXT(AUX!HA$1,"dd-MMM-aa"),"")</f>
      </c>
      <c r="GX383" s="496" t="str">
        <f> IF(GX403&lt;&gt;"",TEXT(AUX!HB$1,"dd-MMM-aa"),"")</f>
      </c>
      <c r="GY383" s="496" t="str">
        <f> IF(GY403&lt;&gt;"",TEXT(AUX!HC$1,"dd-MMM-aa"),"")</f>
      </c>
      <c r="GZ383" s="496" t="str">
        <f> IF(GZ403&lt;&gt;"",TEXT(AUX!HD$1,"dd-MMM-aa"),"")</f>
      </c>
      <c r="HA383" s="496" t="str">
        <f> IF(HA403&lt;&gt;"",TEXT(AUX!HE$1,"dd-MMM-aa"),"")</f>
      </c>
      <c r="HB383" s="496" t="str">
        <f> IF(HB403&lt;&gt;"",TEXT(AUX!HF$1,"dd-MMM-aa"),"")</f>
      </c>
      <c r="HC383" s="496" t="str">
        <f> IF(HC403&lt;&gt;"",TEXT(AUX!HG$1,"dd-MMM-aa"),"")</f>
      </c>
      <c r="HD383" s="496" t="str">
        <f> IF(HD403&lt;&gt;"",TEXT(AUX!HH$1,"dd-MMM-aa"),"")</f>
      </c>
      <c r="HE383" s="496" t="str">
        <f> IF(HE403&lt;&gt;"",TEXT(AUX!HI$1,"dd-MMM-aa"),"")</f>
      </c>
      <c r="HF383" s="496" t="str">
        <f> IF(HF403&lt;&gt;"",TEXT(AUX!HJ$1,"dd-MMM-aa"),"")</f>
      </c>
      <c r="HG383" s="496" t="str">
        <f> IF(HG403&lt;&gt;"",TEXT(AUX!HK$1,"dd-MMM-aa"),"")</f>
      </c>
      <c r="HH383" s="496" t="str">
        <f> IF(HH403&lt;&gt;"",TEXT(AUX!HL$1,"dd-MMM-aa"),"")</f>
      </c>
      <c r="HI383" s="496" t="str">
        <f> IF(HI403&lt;&gt;"",TEXT(AUX!HM$1,"dd-MMM-aa"),"")</f>
      </c>
      <c r="HJ383" s="496" t="str">
        <f> IF(HJ403&lt;&gt;"",TEXT(AUX!HN$1,"dd-MMM-aa"),"")</f>
      </c>
      <c r="HK383" s="496" t="str">
        <f> IF(HK403&lt;&gt;"",TEXT(AUX!HO$1,"dd-MMM-aa"),"")</f>
      </c>
      <c r="HL383" s="496" t="str">
        <f> IF(HL403&lt;&gt;"",TEXT(AUX!HP$1,"dd-MMM-aa"),"")</f>
      </c>
      <c r="HM383" s="496" t="str">
        <f> IF(HM403&lt;&gt;"",TEXT(AUX!HQ$1,"dd-MMM-aa"),"")</f>
      </c>
      <c r="HN383" s="496" t="str">
        <f> IF(HN403&lt;&gt;"",TEXT(AUX!HR$1,"dd-MMM-aa"),"")</f>
      </c>
      <c r="HO383" s="496" t="str">
        <f> IF(HO403&lt;&gt;"",TEXT(AUX!HS$1,"dd-MMM-aa"),"")</f>
      </c>
      <c r="HP383" s="496" t="str">
        <f> IF(HP403&lt;&gt;"",TEXT(AUX!HT$1,"dd-MMM-aa"),"")</f>
      </c>
      <c r="HQ383" s="496" t="str">
        <f> IF(HQ403&lt;&gt;"",TEXT(AUX!HU$1,"dd-MMM-aa"),"")</f>
      </c>
      <c r="HR383" s="496" t="str">
        <f> IF(HR403&lt;&gt;"",TEXT(AUX!HV$1,"dd-MMM-aa"),"")</f>
      </c>
      <c r="HS383" s="496" t="str">
        <f> IF(HS403&lt;&gt;"",TEXT(AUX!HW$1,"dd-MMM-aa"),"")</f>
      </c>
      <c r="HT383" s="496" t="str">
        <f> IF(HT403&lt;&gt;"",TEXT(AUX!HX$1,"dd-MMM-aa"),"")</f>
      </c>
      <c r="HU383" s="496" t="str">
        <f> IF(HU403&lt;&gt;"",TEXT(AUX!HY$1,"dd-MMM-aa"),"")</f>
      </c>
      <c r="HV383" s="496" t="str">
        <f> IF(HV403&lt;&gt;"",TEXT(AUX!HZ$1,"dd-MMM-aa"),"")</f>
      </c>
      <c r="HW383" s="496" t="str">
        <f> IF(HW403&lt;&gt;"",TEXT(AUX!IA$1,"dd-MMM-aa"),"")</f>
      </c>
      <c r="HX383" s="496" t="str">
        <f> IF(HX403&lt;&gt;"",TEXT(AUX!IB$1,"dd-MMM-aa"),"")</f>
      </c>
      <c r="HY383" s="496" t="str">
        <f> IF(HY403&lt;&gt;"",TEXT(AUX!IC$1,"dd-MMM-aa"),"")</f>
      </c>
      <c r="HZ383" s="496" t="str">
        <f> IF(HZ403&lt;&gt;"",TEXT(AUX!ID$1,"dd-MMM-aa"),"")</f>
      </c>
      <c r="IA383" s="496" t="str">
        <f> IF(IA403&lt;&gt;"",TEXT(AUX!IE$1,"dd-MMM-aa"),"")</f>
      </c>
      <c r="IB383" s="496" t="str">
        <f> IF(IB403&lt;&gt;"",TEXT(AUX!IF$1,"dd-MMM-aa"),"")</f>
      </c>
      <c r="IC383" s="496" t="str">
        <f> IF(IC403&lt;&gt;"",TEXT(AUX!IG$1,"dd-MMM-aa"),"")</f>
      </c>
      <c r="ID383" s="496" t="str">
        <f> IF(ID403&lt;&gt;"",TEXT(AUX!IH$1,"dd-MMM-aa"),"")</f>
      </c>
      <c r="IE383" s="496" t="str">
        <f> IF(IE403&lt;&gt;"",TEXT(AUX!II$1,"dd-MMM-aa"),"")</f>
      </c>
      <c r="IF383" s="496" t="str">
        <f> IF(IF403&lt;&gt;"",TEXT(AUX!IJ$1,"dd-MMM-aa"),"")</f>
      </c>
      <c r="IG383" s="496" t="str">
        <f> IF(IG403&lt;&gt;"",TEXT(AUX!IK$1,"dd-MMM-aa"),"")</f>
      </c>
      <c r="IH383" s="496" t="str">
        <f> IF(IH403&lt;&gt;"",TEXT(AUX!IL$1,"dd-MMM-aa"),"")</f>
      </c>
      <c r="II383" s="496" t="str">
        <f> IF(II403&lt;&gt;"",TEXT(AUX!IM$1,"dd-MMM-aa"),"")</f>
      </c>
      <c r="IJ383" s="496" t="str">
        <f> IF(IJ403&lt;&gt;"",TEXT(AUX!IN$1,"dd-MMM-aa"),"")</f>
      </c>
      <c r="IK383" s="496" t="str">
        <f> IF(IK403&lt;&gt;"",TEXT(AUX!IO$1,"dd-MMM-aa"),"")</f>
      </c>
      <c r="IL383" s="496" t="str">
        <f> IF(IL403&lt;&gt;"",TEXT(AUX!IP$1,"dd-MMM-aa"),"")</f>
      </c>
      <c r="IM383" s="496" t="str">
        <f> IF(IM403&lt;&gt;"",TEXT(AUX!IQ$1,"dd-MMM-aa"),"")</f>
      </c>
      <c r="IN383" s="496" t="str">
        <f> IF(IN403&lt;&gt;"",TEXT(AUX!IR$1,"dd-MMM-aa"),"")</f>
      </c>
      <c r="IO383" s="496" t="str">
        <f> IF(IO403&lt;&gt;"",TEXT(AUX!IS$1,"dd-MMM-aa"),"")</f>
      </c>
      <c r="IP383" s="496" t="str">
        <f> IF(IP403&lt;&gt;"",TEXT(AUX!IT$1,"dd-MMM-aa"),"")</f>
      </c>
      <c r="IQ383" s="496" t="str">
        <f> IF(IQ403&lt;&gt;"",TEXT(AUX!IU$1,"dd-MMM-aa"),"")</f>
      </c>
      <c r="IR383" s="496" t="str">
        <f> IF(IR403&lt;&gt;"",TEXT(AUX!IV$1,"dd-MMM-aa"),"")</f>
      </c>
      <c r="IS383" s="496" t="str">
        <f> IF(IS403&lt;&gt;"",TEXT(AUX!#REF!,"dd-MMM-aa"),"")</f>
      </c>
      <c r="IT383" s="496" t="str">
        <f> IF(IT403&lt;&gt;"",TEXT(AUX!#REF!,"dd-MMM-aa"),"")</f>
      </c>
      <c r="IU383" s="496" t="str">
        <f> IF(IU403&lt;&gt;"",TEXT(AUX!#REF!,"dd-MMM-aa"),"")</f>
      </c>
      <c r="IV383" s="496" t="str">
        <f> IF(IV403&lt;&gt;"",TEXT(AUX!#REF!,"dd-MMM-aa"),"")</f>
      </c>
    </row>
    <row r="384" hidden="1">
      <c r="B384" s="822" t="s">
        <v>8</v>
      </c>
      <c r="C384" s="823">
        <v>0</v>
      </c>
      <c r="D384" s="823">
        <v>0</v>
      </c>
      <c r="E384" s="823">
        <v>0</v>
      </c>
      <c r="F384" s="823">
        <v>0</v>
      </c>
      <c r="G384" s="823">
        <v>0</v>
      </c>
      <c r="H384" s="823">
        <v>0</v>
      </c>
      <c r="I384" s="823">
        <v>0</v>
      </c>
      <c r="J384" s="823">
        <v>0</v>
      </c>
      <c r="K384" s="823">
        <v>0</v>
      </c>
      <c r="L384" s="823">
        <v>0</v>
      </c>
      <c r="M384" s="823">
        <v>0</v>
      </c>
      <c r="N384" s="823">
        <v>0</v>
      </c>
      <c r="O384" s="823">
        <v>0</v>
      </c>
      <c r="P384" s="823">
        <v>1053</v>
      </c>
      <c r="Q384" s="823">
        <v>1076</v>
      </c>
      <c r="R384" s="823">
        <v>1100</v>
      </c>
      <c r="S384" s="823">
        <v>1128</v>
      </c>
      <c r="T384" s="823">
        <v>1152</v>
      </c>
      <c r="U384" s="823">
        <v>1185</v>
      </c>
      <c r="V384" s="823">
        <v>1229</v>
      </c>
      <c r="W384" s="823">
        <v>1243</v>
      </c>
      <c r="X384" s="823">
        <v>3890</v>
      </c>
      <c r="Y384" s="823">
        <v>1278</v>
      </c>
      <c r="Z384" s="823">
        <v>1288</v>
      </c>
      <c r="AA384" s="823">
        <v>1294</v>
      </c>
      <c r="AB384" s="824">
        <v>1295</v>
      </c>
      <c r="AC384" s="825">
        <v>1317</v>
      </c>
      <c r="AD384" s="825">
        <v>1331</v>
      </c>
      <c r="AE384" s="825">
        <v>1326</v>
      </c>
      <c r="AF384" s="825">
        <v>1335</v>
      </c>
      <c r="AG384" s="825">
        <v>1333</v>
      </c>
      <c r="AH384" s="825">
        <v>1343</v>
      </c>
      <c r="AI384" s="825">
        <v>1369</v>
      </c>
      <c r="AJ384" s="825">
        <v>1392</v>
      </c>
      <c r="AK384" s="825">
        <v>1414</v>
      </c>
      <c r="AL384" s="825">
        <v>1420</v>
      </c>
      <c r="AM384" s="825">
        <v>1346</v>
      </c>
      <c r="AN384" s="825">
        <v>1338</v>
      </c>
      <c r="AO384" s="825">
        <v>1327</v>
      </c>
      <c r="AP384" s="825">
        <v>1324</v>
      </c>
    </row>
    <row r="385" hidden="1">
      <c r="B385" s="826" t="s">
        <v>9</v>
      </c>
      <c r="C385" s="827">
        <v>0</v>
      </c>
      <c r="D385" s="827">
        <v>0</v>
      </c>
      <c r="E385" s="827">
        <v>0</v>
      </c>
      <c r="F385" s="827">
        <v>0</v>
      </c>
      <c r="G385" s="827">
        <v>0</v>
      </c>
      <c r="H385" s="827">
        <v>0</v>
      </c>
      <c r="I385" s="827">
        <v>0</v>
      </c>
      <c r="J385" s="827">
        <v>0</v>
      </c>
      <c r="K385" s="827">
        <v>0</v>
      </c>
      <c r="L385" s="827">
        <v>0</v>
      </c>
      <c r="M385" s="827">
        <v>0</v>
      </c>
      <c r="N385" s="827">
        <v>0</v>
      </c>
      <c r="O385" s="827">
        <v>0</v>
      </c>
      <c r="P385" s="827">
        <v>808</v>
      </c>
      <c r="Q385" s="827">
        <v>678</v>
      </c>
      <c r="R385" s="827">
        <v>695</v>
      </c>
      <c r="S385" s="827">
        <v>698</v>
      </c>
      <c r="T385" s="827">
        <v>703</v>
      </c>
      <c r="U385" s="827">
        <v>699</v>
      </c>
      <c r="V385" s="827">
        <v>705</v>
      </c>
      <c r="W385" s="827">
        <v>713</v>
      </c>
      <c r="X385" s="827">
        <v>722</v>
      </c>
      <c r="Y385" s="827">
        <v>731</v>
      </c>
      <c r="Z385" s="827">
        <v>747</v>
      </c>
      <c r="AA385" s="827">
        <v>748</v>
      </c>
      <c r="AB385" s="827">
        <v>742</v>
      </c>
      <c r="AC385" s="828">
        <v>744</v>
      </c>
      <c r="AD385" s="828">
        <v>748</v>
      </c>
      <c r="AE385" s="828">
        <v>749</v>
      </c>
      <c r="AF385" s="828">
        <v>753</v>
      </c>
      <c r="AG385" s="828">
        <v>758</v>
      </c>
      <c r="AH385" s="828">
        <v>781</v>
      </c>
      <c r="AI385" s="828">
        <v>792</v>
      </c>
      <c r="AJ385" s="828">
        <v>846</v>
      </c>
      <c r="AK385" s="828">
        <v>865</v>
      </c>
      <c r="AL385" s="828">
        <v>918</v>
      </c>
      <c r="AM385" s="828">
        <v>934</v>
      </c>
      <c r="AN385" s="828">
        <v>957</v>
      </c>
      <c r="AO385" s="828">
        <v>965</v>
      </c>
      <c r="AP385" s="828">
        <v>979</v>
      </c>
    </row>
    <row r="386" hidden="1">
      <c r="B386" s="829" t="s">
        <v>10</v>
      </c>
      <c r="C386" s="823">
        <v>0</v>
      </c>
      <c r="D386" s="823">
        <v>0</v>
      </c>
      <c r="E386" s="823">
        <v>0</v>
      </c>
      <c r="F386" s="823">
        <v>0</v>
      </c>
      <c r="G386" s="823">
        <v>0</v>
      </c>
      <c r="H386" s="823">
        <v>0</v>
      </c>
      <c r="I386" s="823">
        <v>0</v>
      </c>
      <c r="J386" s="823">
        <v>0</v>
      </c>
      <c r="K386" s="823">
        <v>0</v>
      </c>
      <c r="L386" s="823">
        <v>0</v>
      </c>
      <c r="M386" s="823">
        <v>0</v>
      </c>
      <c r="N386" s="823">
        <v>0</v>
      </c>
      <c r="O386" s="823">
        <v>0</v>
      </c>
      <c r="P386" s="823">
        <v>512</v>
      </c>
      <c r="Q386" s="823">
        <v>424</v>
      </c>
      <c r="R386" s="823">
        <v>432</v>
      </c>
      <c r="S386" s="823">
        <v>435</v>
      </c>
      <c r="T386" s="823">
        <v>437</v>
      </c>
      <c r="U386" s="823">
        <v>438</v>
      </c>
      <c r="V386" s="823">
        <v>440</v>
      </c>
      <c r="W386" s="823">
        <v>440</v>
      </c>
      <c r="X386" s="823">
        <v>447</v>
      </c>
      <c r="Y386" s="823">
        <v>449</v>
      </c>
      <c r="Z386" s="823">
        <v>454</v>
      </c>
      <c r="AA386" s="823">
        <v>452</v>
      </c>
      <c r="AB386" s="823">
        <v>447</v>
      </c>
      <c r="AC386" s="825">
        <v>444</v>
      </c>
      <c r="AD386" s="825">
        <v>448</v>
      </c>
      <c r="AE386" s="825">
        <v>455</v>
      </c>
      <c r="AF386" s="825">
        <v>456</v>
      </c>
      <c r="AG386" s="825">
        <v>461</v>
      </c>
      <c r="AH386" s="825">
        <v>460</v>
      </c>
      <c r="AI386" s="825">
        <v>465</v>
      </c>
      <c r="AJ386" s="825">
        <v>468</v>
      </c>
      <c r="AK386" s="825">
        <v>485</v>
      </c>
      <c r="AL386" s="825">
        <v>487</v>
      </c>
      <c r="AM386" s="825">
        <v>501</v>
      </c>
      <c r="AN386" s="825">
        <v>499</v>
      </c>
      <c r="AO386" s="825">
        <v>502</v>
      </c>
      <c r="AP386" s="825">
        <v>503</v>
      </c>
    </row>
    <row r="387" hidden="1">
      <c r="B387" s="826" t="s">
        <v>11</v>
      </c>
      <c r="C387" s="827">
        <v>0</v>
      </c>
      <c r="D387" s="827">
        <v>0</v>
      </c>
      <c r="E387" s="827">
        <v>0</v>
      </c>
      <c r="F387" s="827">
        <v>0</v>
      </c>
      <c r="G387" s="827">
        <v>0</v>
      </c>
      <c r="H387" s="827">
        <v>0</v>
      </c>
      <c r="I387" s="827">
        <v>0</v>
      </c>
      <c r="J387" s="827">
        <v>0</v>
      </c>
      <c r="K387" s="827">
        <v>0</v>
      </c>
      <c r="L387" s="827">
        <v>0</v>
      </c>
      <c r="M387" s="827">
        <v>0</v>
      </c>
      <c r="N387" s="827">
        <v>0</v>
      </c>
      <c r="O387" s="827">
        <v>0</v>
      </c>
      <c r="P387" s="827">
        <v>137</v>
      </c>
      <c r="Q387" s="827">
        <v>59</v>
      </c>
      <c r="R387" s="827">
        <v>57</v>
      </c>
      <c r="S387" s="827">
        <v>60</v>
      </c>
      <c r="T387" s="827">
        <v>58</v>
      </c>
      <c r="U387" s="827">
        <v>56</v>
      </c>
      <c r="V387" s="827">
        <v>56</v>
      </c>
      <c r="W387" s="827">
        <v>59</v>
      </c>
      <c r="X387" s="827">
        <v>60</v>
      </c>
      <c r="Y387" s="827">
        <v>60</v>
      </c>
      <c r="Z387" s="827">
        <v>72</v>
      </c>
      <c r="AA387" s="827">
        <v>72</v>
      </c>
      <c r="AB387" s="827">
        <v>92</v>
      </c>
      <c r="AC387" s="828">
        <v>190</v>
      </c>
      <c r="AD387" s="828">
        <v>194</v>
      </c>
      <c r="AE387" s="828">
        <v>214</v>
      </c>
      <c r="AF387" s="828">
        <v>211</v>
      </c>
      <c r="AG387" s="828">
        <v>197</v>
      </c>
      <c r="AH387" s="828">
        <v>198</v>
      </c>
      <c r="AI387" s="828">
        <v>199</v>
      </c>
      <c r="AJ387" s="828">
        <v>199</v>
      </c>
      <c r="AK387" s="828">
        <v>79</v>
      </c>
      <c r="AL387" s="828">
        <v>79</v>
      </c>
      <c r="AM387" s="828">
        <v>78</v>
      </c>
      <c r="AN387" s="828">
        <v>78</v>
      </c>
      <c r="AO387" s="828">
        <v>77</v>
      </c>
      <c r="AP387" s="828">
        <v>77</v>
      </c>
    </row>
    <row r="388" hidden="1">
      <c r="B388" s="829" t="s">
        <v>12</v>
      </c>
      <c r="C388" s="823">
        <v>0</v>
      </c>
      <c r="D388" s="823">
        <v>0</v>
      </c>
      <c r="E388" s="823">
        <v>0</v>
      </c>
      <c r="F388" s="823">
        <v>0</v>
      </c>
      <c r="G388" s="823">
        <v>0</v>
      </c>
      <c r="H388" s="823">
        <v>0</v>
      </c>
      <c r="I388" s="823">
        <v>0</v>
      </c>
      <c r="J388" s="823">
        <v>0</v>
      </c>
      <c r="K388" s="823">
        <v>0</v>
      </c>
      <c r="L388" s="823">
        <v>0</v>
      </c>
      <c r="M388" s="823">
        <v>0</v>
      </c>
      <c r="N388" s="823">
        <v>0</v>
      </c>
      <c r="O388" s="823">
        <v>0</v>
      </c>
      <c r="P388" s="823">
        <v>12</v>
      </c>
      <c r="Q388" s="823">
        <v>13</v>
      </c>
      <c r="R388" s="823">
        <v>13</v>
      </c>
      <c r="S388" s="823">
        <v>13</v>
      </c>
      <c r="T388" s="823">
        <v>13</v>
      </c>
      <c r="U388" s="823">
        <v>14</v>
      </c>
      <c r="V388" s="823">
        <v>14</v>
      </c>
      <c r="W388" s="823">
        <v>13</v>
      </c>
      <c r="X388" s="823">
        <v>13</v>
      </c>
      <c r="Y388" s="823">
        <v>13</v>
      </c>
      <c r="Z388" s="823">
        <v>13</v>
      </c>
      <c r="AA388" s="823">
        <v>13</v>
      </c>
      <c r="AB388" s="823">
        <v>13</v>
      </c>
      <c r="AC388" s="825">
        <v>15</v>
      </c>
      <c r="AD388" s="825">
        <v>15</v>
      </c>
      <c r="AE388" s="825">
        <v>16</v>
      </c>
      <c r="AF388" s="825">
        <v>18</v>
      </c>
      <c r="AG388" s="825">
        <v>18</v>
      </c>
      <c r="AH388" s="825">
        <v>17</v>
      </c>
      <c r="AI388" s="825">
        <v>17</v>
      </c>
      <c r="AJ388" s="825">
        <v>18</v>
      </c>
      <c r="AK388" s="825">
        <v>18</v>
      </c>
      <c r="AL388" s="825">
        <v>14</v>
      </c>
      <c r="AM388" s="825">
        <v>15</v>
      </c>
      <c r="AN388" s="825">
        <v>15</v>
      </c>
      <c r="AO388" s="825">
        <v>17</v>
      </c>
      <c r="AP388" s="825">
        <v>15</v>
      </c>
    </row>
    <row r="389" hidden="1">
      <c r="B389" s="826" t="s">
        <v>13</v>
      </c>
      <c r="C389" s="827">
        <v>0</v>
      </c>
      <c r="D389" s="827">
        <v>0</v>
      </c>
      <c r="E389" s="827">
        <v>0</v>
      </c>
      <c r="F389" s="827">
        <v>0</v>
      </c>
      <c r="G389" s="827">
        <v>0</v>
      </c>
      <c r="H389" s="827">
        <v>0</v>
      </c>
      <c r="I389" s="827">
        <v>0</v>
      </c>
      <c r="J389" s="827">
        <v>0</v>
      </c>
      <c r="K389" s="827">
        <v>0</v>
      </c>
      <c r="L389" s="827">
        <v>0</v>
      </c>
      <c r="M389" s="827">
        <v>0</v>
      </c>
      <c r="N389" s="827">
        <v>0</v>
      </c>
      <c r="O389" s="827">
        <v>0</v>
      </c>
      <c r="P389" s="827">
        <v>1321</v>
      </c>
      <c r="Q389" s="827">
        <v>1303</v>
      </c>
      <c r="R389" s="827">
        <v>1299</v>
      </c>
      <c r="S389" s="827">
        <v>1288</v>
      </c>
      <c r="T389" s="827">
        <v>1294</v>
      </c>
      <c r="U389" s="827">
        <v>1304</v>
      </c>
      <c r="V389" s="827">
        <v>1314</v>
      </c>
      <c r="W389" s="827">
        <v>1318</v>
      </c>
      <c r="X389" s="827">
        <v>1325</v>
      </c>
      <c r="Y389" s="827">
        <v>1325</v>
      </c>
      <c r="Z389" s="827">
        <v>1504</v>
      </c>
      <c r="AA389" s="827">
        <v>1810</v>
      </c>
      <c r="AB389" s="827">
        <v>1834</v>
      </c>
      <c r="AC389" s="828">
        <v>1867</v>
      </c>
      <c r="AD389" s="828">
        <v>1881</v>
      </c>
      <c r="AE389" s="828">
        <v>1898</v>
      </c>
      <c r="AF389" s="828">
        <v>1922</v>
      </c>
      <c r="AG389" s="828">
        <v>1953</v>
      </c>
      <c r="AH389" s="828">
        <v>1973</v>
      </c>
      <c r="AI389" s="828">
        <v>1988</v>
      </c>
      <c r="AJ389" s="828">
        <v>2003</v>
      </c>
      <c r="AK389" s="828">
        <v>2074</v>
      </c>
      <c r="AL389" s="828">
        <v>2117</v>
      </c>
      <c r="AM389" s="828">
        <v>2282</v>
      </c>
      <c r="AN389" s="828">
        <v>2365</v>
      </c>
      <c r="AO389" s="828">
        <v>2368</v>
      </c>
      <c r="AP389" s="828">
        <v>2359</v>
      </c>
    </row>
    <row r="390" hidden="1">
      <c r="B390" s="829" t="s">
        <v>109</v>
      </c>
      <c r="C390" s="823">
        <v>0</v>
      </c>
      <c r="D390" s="823">
        <v>0</v>
      </c>
      <c r="E390" s="823">
        <v>0</v>
      </c>
      <c r="F390" s="823">
        <v>0</v>
      </c>
      <c r="G390" s="823">
        <v>0</v>
      </c>
      <c r="H390" s="823">
        <v>0</v>
      </c>
      <c r="I390" s="823">
        <v>0</v>
      </c>
      <c r="J390" s="823">
        <v>0</v>
      </c>
      <c r="K390" s="823">
        <v>0</v>
      </c>
      <c r="L390" s="823">
        <v>0</v>
      </c>
      <c r="M390" s="823">
        <v>0</v>
      </c>
      <c r="N390" s="823">
        <v>0</v>
      </c>
      <c r="O390" s="823">
        <v>0</v>
      </c>
      <c r="P390" s="823">
        <v>996</v>
      </c>
      <c r="Q390" s="823">
        <v>1013</v>
      </c>
      <c r="R390" s="823">
        <v>1024</v>
      </c>
      <c r="S390" s="823">
        <v>1022</v>
      </c>
      <c r="T390" s="823">
        <v>1031</v>
      </c>
      <c r="U390" s="823">
        <v>1016</v>
      </c>
      <c r="V390" s="823">
        <v>1018</v>
      </c>
      <c r="W390" s="823">
        <v>1022</v>
      </c>
      <c r="X390" s="823">
        <v>1005</v>
      </c>
      <c r="Y390" s="823">
        <v>1016</v>
      </c>
      <c r="Z390" s="823">
        <v>997</v>
      </c>
      <c r="AA390" s="823">
        <v>965</v>
      </c>
      <c r="AB390" s="823">
        <v>998</v>
      </c>
      <c r="AC390" s="825">
        <v>943</v>
      </c>
      <c r="AD390" s="825">
        <v>963</v>
      </c>
      <c r="AE390" s="825">
        <v>962</v>
      </c>
      <c r="AF390" s="825">
        <v>970</v>
      </c>
      <c r="AG390" s="825">
        <v>975</v>
      </c>
      <c r="AH390" s="825">
        <v>990</v>
      </c>
      <c r="AI390" s="825">
        <v>998</v>
      </c>
      <c r="AJ390" s="825">
        <v>1003</v>
      </c>
      <c r="AK390" s="825">
        <v>1005</v>
      </c>
      <c r="AL390" s="825">
        <v>1009</v>
      </c>
      <c r="AM390" s="825">
        <v>1001</v>
      </c>
      <c r="AN390" s="825">
        <v>1010</v>
      </c>
      <c r="AO390" s="825">
        <v>1062</v>
      </c>
      <c r="AP390" s="825">
        <v>1103</v>
      </c>
    </row>
    <row r="391" hidden="1">
      <c r="B391" s="826" t="s">
        <v>110</v>
      </c>
      <c r="C391" s="827">
        <v>0</v>
      </c>
      <c r="D391" s="827">
        <v>0</v>
      </c>
      <c r="E391" s="827">
        <v>0</v>
      </c>
      <c r="F391" s="827">
        <v>0</v>
      </c>
      <c r="G391" s="827">
        <v>0</v>
      </c>
      <c r="H391" s="827">
        <v>0</v>
      </c>
      <c r="I391" s="827">
        <v>0</v>
      </c>
      <c r="J391" s="827">
        <v>0</v>
      </c>
      <c r="K391" s="827">
        <v>0</v>
      </c>
      <c r="L391" s="827">
        <v>0</v>
      </c>
      <c r="M391" s="827">
        <v>0</v>
      </c>
      <c r="N391" s="827">
        <v>0</v>
      </c>
      <c r="O391" s="827">
        <v>0</v>
      </c>
      <c r="P391" s="827">
        <v>5857</v>
      </c>
      <c r="Q391" s="827">
        <v>5945</v>
      </c>
      <c r="R391" s="827">
        <v>5979</v>
      </c>
      <c r="S391" s="827">
        <v>6142</v>
      </c>
      <c r="T391" s="827">
        <v>6188</v>
      </c>
      <c r="U391" s="827">
        <v>6289</v>
      </c>
      <c r="V391" s="827">
        <v>6395</v>
      </c>
      <c r="W391" s="827">
        <v>6472</v>
      </c>
      <c r="X391" s="827">
        <v>6534</v>
      </c>
      <c r="Y391" s="827">
        <v>6682</v>
      </c>
      <c r="Z391" s="827">
        <v>6764</v>
      </c>
      <c r="AA391" s="827">
        <v>6723</v>
      </c>
      <c r="AB391" s="827">
        <v>6808</v>
      </c>
      <c r="AC391" s="828">
        <v>6201</v>
      </c>
      <c r="AD391" s="828">
        <v>6259</v>
      </c>
      <c r="AE391" s="828">
        <v>6281</v>
      </c>
      <c r="AF391" s="828">
        <v>6329</v>
      </c>
      <c r="AG391" s="828">
        <v>6460</v>
      </c>
      <c r="AH391" s="828">
        <v>6501</v>
      </c>
      <c r="AI391" s="828">
        <v>6569</v>
      </c>
      <c r="AJ391" s="828">
        <v>6575</v>
      </c>
      <c r="AK391" s="828">
        <v>6578</v>
      </c>
      <c r="AL391" s="828">
        <v>6641</v>
      </c>
      <c r="AM391" s="828">
        <v>6816</v>
      </c>
      <c r="AN391" s="828">
        <v>6858</v>
      </c>
      <c r="AO391" s="828">
        <v>6919</v>
      </c>
      <c r="AP391" s="828">
        <v>6963</v>
      </c>
    </row>
    <row r="392" hidden="1">
      <c r="B392" s="829" t="s">
        <v>16</v>
      </c>
      <c r="C392" s="823">
        <v>0</v>
      </c>
      <c r="D392" s="823">
        <v>0</v>
      </c>
      <c r="E392" s="823">
        <v>0</v>
      </c>
      <c r="F392" s="823">
        <v>0</v>
      </c>
      <c r="G392" s="823">
        <v>0</v>
      </c>
      <c r="H392" s="823">
        <v>0</v>
      </c>
      <c r="I392" s="823">
        <v>0</v>
      </c>
      <c r="J392" s="823">
        <v>0</v>
      </c>
      <c r="K392" s="823">
        <v>0</v>
      </c>
      <c r="L392" s="823">
        <v>0</v>
      </c>
      <c r="M392" s="823">
        <v>0</v>
      </c>
      <c r="N392" s="823">
        <v>0</v>
      </c>
      <c r="O392" s="823">
        <v>0</v>
      </c>
      <c r="P392" s="823">
        <v>1225</v>
      </c>
      <c r="Q392" s="823">
        <v>1233</v>
      </c>
      <c r="R392" s="823">
        <v>1246</v>
      </c>
      <c r="S392" s="823">
        <v>1255</v>
      </c>
      <c r="T392" s="823">
        <v>1279</v>
      </c>
      <c r="U392" s="823">
        <v>1284</v>
      </c>
      <c r="V392" s="823">
        <v>1301</v>
      </c>
      <c r="W392" s="823">
        <v>1335</v>
      </c>
      <c r="X392" s="823">
        <v>1347</v>
      </c>
      <c r="Y392" s="823">
        <v>1346</v>
      </c>
      <c r="Z392" s="823">
        <v>1374</v>
      </c>
      <c r="AA392" s="823">
        <v>1406</v>
      </c>
      <c r="AB392" s="823">
        <v>1428</v>
      </c>
      <c r="AC392" s="825">
        <v>1449</v>
      </c>
      <c r="AD392" s="825">
        <v>1447</v>
      </c>
      <c r="AE392" s="825">
        <v>1458</v>
      </c>
      <c r="AF392" s="825">
        <v>1466</v>
      </c>
      <c r="AG392" s="825">
        <v>1479</v>
      </c>
      <c r="AH392" s="825">
        <v>1516</v>
      </c>
      <c r="AI392" s="825">
        <v>1542</v>
      </c>
      <c r="AJ392" s="825">
        <v>1563</v>
      </c>
      <c r="AK392" s="825">
        <v>1615</v>
      </c>
      <c r="AL392" s="825">
        <v>1643</v>
      </c>
      <c r="AM392" s="825">
        <v>1660</v>
      </c>
      <c r="AN392" s="825">
        <v>1669</v>
      </c>
      <c r="AO392" s="825">
        <v>1686</v>
      </c>
      <c r="AP392" s="825">
        <v>1682</v>
      </c>
    </row>
    <row r="393" hidden="1">
      <c r="B393" s="826" t="s">
        <v>17</v>
      </c>
      <c r="C393" s="827">
        <v>0</v>
      </c>
      <c r="D393" s="827">
        <v>0</v>
      </c>
      <c r="E393" s="827">
        <v>0</v>
      </c>
      <c r="F393" s="827">
        <v>0</v>
      </c>
      <c r="G393" s="827">
        <v>0</v>
      </c>
      <c r="H393" s="827">
        <v>0</v>
      </c>
      <c r="I393" s="827">
        <v>0</v>
      </c>
      <c r="J393" s="827">
        <v>0</v>
      </c>
      <c r="K393" s="827">
        <v>0</v>
      </c>
      <c r="L393" s="827">
        <v>0</v>
      </c>
      <c r="M393" s="827">
        <v>0</v>
      </c>
      <c r="N393" s="827">
        <v>0</v>
      </c>
      <c r="O393" s="827">
        <v>0</v>
      </c>
      <c r="P393" s="827">
        <v>61</v>
      </c>
      <c r="Q393" s="827">
        <v>68</v>
      </c>
      <c r="R393" s="827">
        <v>72</v>
      </c>
      <c r="S393" s="827">
        <v>74</v>
      </c>
      <c r="T393" s="827">
        <v>81</v>
      </c>
      <c r="U393" s="827">
        <v>84</v>
      </c>
      <c r="V393" s="827">
        <v>85</v>
      </c>
      <c r="W393" s="827">
        <v>330</v>
      </c>
      <c r="X393" s="827">
        <v>327</v>
      </c>
      <c r="Y393" s="827">
        <v>320</v>
      </c>
      <c r="Z393" s="827">
        <v>325</v>
      </c>
      <c r="AA393" s="827">
        <v>324</v>
      </c>
      <c r="AB393" s="827">
        <v>329</v>
      </c>
      <c r="AC393" s="828">
        <v>330</v>
      </c>
      <c r="AD393" s="828">
        <v>330</v>
      </c>
      <c r="AE393" s="828">
        <v>330</v>
      </c>
      <c r="AF393" s="828">
        <v>329</v>
      </c>
      <c r="AG393" s="828">
        <v>329</v>
      </c>
      <c r="AH393" s="828">
        <v>326</v>
      </c>
      <c r="AI393" s="828">
        <v>326</v>
      </c>
      <c r="AJ393" s="828">
        <v>328</v>
      </c>
      <c r="AK393" s="828">
        <v>329</v>
      </c>
      <c r="AL393" s="828">
        <v>331</v>
      </c>
      <c r="AM393" s="828">
        <v>329</v>
      </c>
      <c r="AN393" s="828">
        <v>330</v>
      </c>
      <c r="AO393" s="828">
        <v>332</v>
      </c>
      <c r="AP393" s="828">
        <v>336</v>
      </c>
    </row>
    <row r="394" hidden="1">
      <c r="B394" s="829" t="s">
        <v>18</v>
      </c>
      <c r="C394" s="823">
        <v>0</v>
      </c>
      <c r="D394" s="823">
        <v>0</v>
      </c>
      <c r="E394" s="823">
        <v>0</v>
      </c>
      <c r="F394" s="823">
        <v>0</v>
      </c>
      <c r="G394" s="823">
        <v>0</v>
      </c>
      <c r="H394" s="823">
        <v>0</v>
      </c>
      <c r="I394" s="823">
        <v>0</v>
      </c>
      <c r="J394" s="823">
        <v>0</v>
      </c>
      <c r="K394" s="823">
        <v>0</v>
      </c>
      <c r="L394" s="823">
        <v>0</v>
      </c>
      <c r="M394" s="823">
        <v>0</v>
      </c>
      <c r="N394" s="823">
        <v>0</v>
      </c>
      <c r="O394" s="823">
        <v>0</v>
      </c>
      <c r="P394" s="823">
        <v>747</v>
      </c>
      <c r="Q394" s="823">
        <v>736</v>
      </c>
      <c r="R394" s="823">
        <v>743</v>
      </c>
      <c r="S394" s="823">
        <v>737</v>
      </c>
      <c r="T394" s="823">
        <v>734</v>
      </c>
      <c r="U394" s="823">
        <v>735</v>
      </c>
      <c r="V394" s="823">
        <v>730</v>
      </c>
      <c r="W394" s="823">
        <v>731</v>
      </c>
      <c r="X394" s="823">
        <v>725</v>
      </c>
      <c r="Y394" s="823">
        <v>721</v>
      </c>
      <c r="Z394" s="823">
        <v>716</v>
      </c>
      <c r="AA394" s="823">
        <v>714</v>
      </c>
      <c r="AB394" s="823">
        <v>711</v>
      </c>
      <c r="AC394" s="825">
        <v>691</v>
      </c>
      <c r="AD394" s="825">
        <v>613</v>
      </c>
      <c r="AE394" s="825">
        <v>603</v>
      </c>
      <c r="AF394" s="825">
        <v>601</v>
      </c>
      <c r="AG394" s="825">
        <v>581</v>
      </c>
      <c r="AH394" s="825">
        <v>565</v>
      </c>
      <c r="AI394" s="825">
        <v>454</v>
      </c>
      <c r="AJ394" s="825">
        <v>448</v>
      </c>
      <c r="AK394" s="825">
        <v>102</v>
      </c>
      <c r="AL394" s="825">
        <v>106</v>
      </c>
      <c r="AM394" s="825">
        <v>110</v>
      </c>
      <c r="AN394" s="825">
        <v>113</v>
      </c>
      <c r="AO394" s="825">
        <v>118</v>
      </c>
      <c r="AP394" s="825">
        <v>118</v>
      </c>
    </row>
    <row r="395" hidden="1" ht="13.5" customHeight="1">
      <c r="B395" s="826" t="s">
        <v>19</v>
      </c>
      <c r="C395" s="827">
        <v>0</v>
      </c>
      <c r="D395" s="827">
        <v>0</v>
      </c>
      <c r="E395" s="827">
        <v>0</v>
      </c>
      <c r="F395" s="827">
        <v>0</v>
      </c>
      <c r="G395" s="827">
        <v>0</v>
      </c>
      <c r="H395" s="827">
        <v>0</v>
      </c>
      <c r="I395" s="827">
        <v>0</v>
      </c>
      <c r="J395" s="827">
        <v>0</v>
      </c>
      <c r="K395" s="827">
        <v>0</v>
      </c>
      <c r="L395" s="827">
        <v>0</v>
      </c>
      <c r="M395" s="827">
        <v>0</v>
      </c>
      <c r="N395" s="827">
        <v>0</v>
      </c>
      <c r="O395" s="827">
        <v>0</v>
      </c>
      <c r="P395" s="827">
        <v>155</v>
      </c>
      <c r="Q395" s="827">
        <v>159</v>
      </c>
      <c r="R395" s="827">
        <v>163</v>
      </c>
      <c r="S395" s="827">
        <v>169</v>
      </c>
      <c r="T395" s="827">
        <v>159</v>
      </c>
      <c r="U395" s="827">
        <v>187</v>
      </c>
      <c r="V395" s="827">
        <v>182</v>
      </c>
      <c r="W395" s="827">
        <v>195</v>
      </c>
      <c r="X395" s="827">
        <v>180</v>
      </c>
      <c r="Y395" s="827">
        <v>194</v>
      </c>
      <c r="Z395" s="827">
        <v>213</v>
      </c>
      <c r="AA395" s="827">
        <v>183</v>
      </c>
      <c r="AB395" s="827">
        <v>152</v>
      </c>
      <c r="AC395" s="828">
        <v>202</v>
      </c>
      <c r="AD395" s="828">
        <v>161</v>
      </c>
      <c r="AE395" s="828">
        <v>164</v>
      </c>
      <c r="AF395" s="828">
        <v>167</v>
      </c>
      <c r="AG395" s="828">
        <v>180</v>
      </c>
      <c r="AH395" s="828">
        <v>221</v>
      </c>
      <c r="AI395" s="828">
        <v>302</v>
      </c>
      <c r="AJ395" s="828">
        <v>327</v>
      </c>
      <c r="AK395" s="828">
        <v>315</v>
      </c>
      <c r="AL395" s="828">
        <v>394</v>
      </c>
      <c r="AM395" s="828">
        <v>399</v>
      </c>
      <c r="AN395" s="828">
        <v>411</v>
      </c>
      <c r="AO395" s="828">
        <v>489</v>
      </c>
      <c r="AP395" s="828">
        <v>628</v>
      </c>
    </row>
    <row r="396" hidden="1">
      <c r="B396" s="829" t="s">
        <v>20</v>
      </c>
      <c r="C396" s="823">
        <v>0</v>
      </c>
      <c r="D396" s="823">
        <v>0</v>
      </c>
      <c r="E396" s="823">
        <v>0</v>
      </c>
      <c r="F396" s="823">
        <v>0</v>
      </c>
      <c r="G396" s="823">
        <v>0</v>
      </c>
      <c r="H396" s="823">
        <v>0</v>
      </c>
      <c r="I396" s="823">
        <v>0</v>
      </c>
      <c r="J396" s="823">
        <v>0</v>
      </c>
      <c r="K396" s="823">
        <v>0</v>
      </c>
      <c r="L396" s="823">
        <v>0</v>
      </c>
      <c r="M396" s="823">
        <v>0</v>
      </c>
      <c r="N396" s="823">
        <v>0</v>
      </c>
      <c r="O396" s="823">
        <v>0</v>
      </c>
      <c r="P396" s="823">
        <v>103</v>
      </c>
      <c r="Q396" s="823">
        <v>104</v>
      </c>
      <c r="R396" s="823">
        <v>104</v>
      </c>
      <c r="S396" s="823">
        <v>104</v>
      </c>
      <c r="T396" s="823">
        <v>105</v>
      </c>
      <c r="U396" s="823">
        <v>105</v>
      </c>
      <c r="V396" s="823">
        <v>105</v>
      </c>
      <c r="W396" s="823">
        <v>106</v>
      </c>
      <c r="X396" s="823">
        <v>105</v>
      </c>
      <c r="Y396" s="823">
        <v>107</v>
      </c>
      <c r="Z396" s="823">
        <v>109</v>
      </c>
      <c r="AA396" s="823">
        <v>109</v>
      </c>
      <c r="AB396" s="823">
        <v>110</v>
      </c>
      <c r="AC396" s="825">
        <v>110</v>
      </c>
      <c r="AD396" s="825">
        <v>53</v>
      </c>
      <c r="AE396" s="825">
        <v>53</v>
      </c>
      <c r="AF396" s="825">
        <v>53</v>
      </c>
      <c r="AG396" s="825">
        <v>53</v>
      </c>
      <c r="AH396" s="825">
        <v>57</v>
      </c>
      <c r="AI396" s="825">
        <v>56</v>
      </c>
      <c r="AJ396" s="825">
        <v>63</v>
      </c>
      <c r="AK396" s="825">
        <v>70</v>
      </c>
      <c r="AL396" s="825">
        <v>71</v>
      </c>
      <c r="AM396" s="825">
        <v>77</v>
      </c>
      <c r="AN396" s="825">
        <v>78</v>
      </c>
      <c r="AO396" s="825">
        <v>79</v>
      </c>
      <c r="AP396" s="825">
        <v>80</v>
      </c>
    </row>
    <row r="397" hidden="1">
      <c r="B397" s="826" t="s">
        <v>21</v>
      </c>
      <c r="C397" s="827">
        <v>0</v>
      </c>
      <c r="D397" s="827">
        <v>0</v>
      </c>
      <c r="E397" s="827">
        <v>0</v>
      </c>
      <c r="F397" s="827">
        <v>0</v>
      </c>
      <c r="G397" s="827">
        <v>0</v>
      </c>
      <c r="H397" s="827">
        <v>0</v>
      </c>
      <c r="I397" s="827">
        <v>0</v>
      </c>
      <c r="J397" s="827">
        <v>0</v>
      </c>
      <c r="K397" s="827">
        <v>0</v>
      </c>
      <c r="L397" s="827">
        <v>0</v>
      </c>
      <c r="M397" s="827">
        <v>0</v>
      </c>
      <c r="N397" s="827">
        <v>0</v>
      </c>
      <c r="O397" s="827">
        <v>0</v>
      </c>
      <c r="P397" s="827">
        <v>403</v>
      </c>
      <c r="Q397" s="827">
        <v>403</v>
      </c>
      <c r="R397" s="827">
        <v>403</v>
      </c>
      <c r="S397" s="827">
        <v>404</v>
      </c>
      <c r="T397" s="827">
        <v>406</v>
      </c>
      <c r="U397" s="827">
        <v>408</v>
      </c>
      <c r="V397" s="827">
        <v>408</v>
      </c>
      <c r="W397" s="827">
        <v>408</v>
      </c>
      <c r="X397" s="827">
        <v>448</v>
      </c>
      <c r="Y397" s="827">
        <v>448</v>
      </c>
      <c r="Z397" s="827">
        <v>448</v>
      </c>
      <c r="AA397" s="827">
        <v>448</v>
      </c>
      <c r="AB397" s="827">
        <v>451</v>
      </c>
      <c r="AC397" s="828">
        <v>453</v>
      </c>
      <c r="AD397" s="828">
        <v>473</v>
      </c>
      <c r="AE397" s="828">
        <v>475</v>
      </c>
      <c r="AF397" s="828">
        <v>475</v>
      </c>
      <c r="AG397" s="828">
        <v>476</v>
      </c>
      <c r="AH397" s="828">
        <v>475</v>
      </c>
      <c r="AI397" s="828">
        <v>477</v>
      </c>
      <c r="AJ397" s="828">
        <v>485</v>
      </c>
      <c r="AK397" s="828">
        <v>485</v>
      </c>
      <c r="AL397" s="828">
        <v>483</v>
      </c>
      <c r="AM397" s="828">
        <v>481</v>
      </c>
      <c r="AN397" s="828">
        <v>489</v>
      </c>
      <c r="AO397" s="828">
        <v>489</v>
      </c>
      <c r="AP397" s="828">
        <v>494</v>
      </c>
    </row>
    <row r="398" hidden="1">
      <c r="B398" s="829" t="s">
        <v>22</v>
      </c>
      <c r="C398" s="823">
        <v>0</v>
      </c>
      <c r="D398" s="823">
        <v>0</v>
      </c>
      <c r="E398" s="823">
        <v>0</v>
      </c>
      <c r="F398" s="823">
        <v>0</v>
      </c>
      <c r="G398" s="823">
        <v>0</v>
      </c>
      <c r="H398" s="823">
        <v>0</v>
      </c>
      <c r="I398" s="823">
        <v>0</v>
      </c>
      <c r="J398" s="823">
        <v>0</v>
      </c>
      <c r="K398" s="823">
        <v>0</v>
      </c>
      <c r="L398" s="823">
        <v>0</v>
      </c>
      <c r="M398" s="823">
        <v>0</v>
      </c>
      <c r="N398" s="823">
        <v>0</v>
      </c>
      <c r="O398" s="823">
        <v>0</v>
      </c>
      <c r="P398" s="823">
        <v>190</v>
      </c>
      <c r="Q398" s="823">
        <v>209</v>
      </c>
      <c r="R398" s="823">
        <v>210</v>
      </c>
      <c r="S398" s="823">
        <v>216</v>
      </c>
      <c r="T398" s="823">
        <v>217</v>
      </c>
      <c r="U398" s="823">
        <v>202</v>
      </c>
      <c r="V398" s="823">
        <v>218</v>
      </c>
      <c r="W398" s="823">
        <v>217</v>
      </c>
      <c r="X398" s="823">
        <v>214</v>
      </c>
      <c r="Y398" s="823">
        <v>223</v>
      </c>
      <c r="Z398" s="823">
        <v>228</v>
      </c>
      <c r="AA398" s="823">
        <v>256</v>
      </c>
      <c r="AB398" s="823">
        <v>270</v>
      </c>
      <c r="AC398" s="825">
        <v>278</v>
      </c>
      <c r="AD398" s="825">
        <v>284</v>
      </c>
      <c r="AE398" s="825">
        <v>285</v>
      </c>
      <c r="AF398" s="825">
        <v>281</v>
      </c>
      <c r="AG398" s="825">
        <v>283</v>
      </c>
      <c r="AH398" s="825">
        <v>288</v>
      </c>
      <c r="AI398" s="825">
        <v>284</v>
      </c>
      <c r="AJ398" s="825">
        <v>282</v>
      </c>
      <c r="AK398" s="825">
        <v>174</v>
      </c>
      <c r="AL398" s="825">
        <v>177</v>
      </c>
      <c r="AM398" s="825">
        <v>139</v>
      </c>
      <c r="AN398" s="825">
        <v>159</v>
      </c>
      <c r="AO398" s="825">
        <v>164</v>
      </c>
      <c r="AP398" s="825">
        <v>164</v>
      </c>
    </row>
    <row r="399" hidden="1">
      <c r="B399" s="826" t="s">
        <v>23</v>
      </c>
      <c r="C399" s="827">
        <v>0</v>
      </c>
      <c r="D399" s="827">
        <v>0</v>
      </c>
      <c r="E399" s="827">
        <v>0</v>
      </c>
      <c r="F399" s="827">
        <v>0</v>
      </c>
      <c r="G399" s="827">
        <v>0</v>
      </c>
      <c r="H399" s="827">
        <v>0</v>
      </c>
      <c r="I399" s="827">
        <v>0</v>
      </c>
      <c r="J399" s="827">
        <v>0</v>
      </c>
      <c r="K399" s="827">
        <v>0</v>
      </c>
      <c r="L399" s="827">
        <v>0</v>
      </c>
      <c r="M399" s="827">
        <v>0</v>
      </c>
      <c r="N399" s="827">
        <v>0</v>
      </c>
      <c r="O399" s="827">
        <v>0</v>
      </c>
      <c r="P399" s="827">
        <v>87</v>
      </c>
      <c r="Q399" s="827">
        <v>91</v>
      </c>
      <c r="R399" s="827">
        <v>93</v>
      </c>
      <c r="S399" s="827">
        <v>95</v>
      </c>
      <c r="T399" s="827">
        <v>95</v>
      </c>
      <c r="U399" s="827">
        <v>95</v>
      </c>
      <c r="V399" s="827">
        <v>95</v>
      </c>
      <c r="W399" s="827">
        <v>95</v>
      </c>
      <c r="X399" s="827">
        <v>95</v>
      </c>
      <c r="Y399" s="827">
        <v>97</v>
      </c>
      <c r="Z399" s="827">
        <v>97</v>
      </c>
      <c r="AA399" s="827">
        <v>98</v>
      </c>
      <c r="AB399" s="827">
        <v>99</v>
      </c>
      <c r="AC399" s="828">
        <v>99</v>
      </c>
      <c r="AD399" s="828">
        <v>99</v>
      </c>
      <c r="AE399" s="828">
        <v>98</v>
      </c>
      <c r="AF399" s="828">
        <v>98</v>
      </c>
      <c r="AG399" s="828">
        <v>109</v>
      </c>
      <c r="AH399" s="828">
        <v>87</v>
      </c>
      <c r="AI399" s="828">
        <v>87</v>
      </c>
      <c r="AJ399" s="828">
        <v>88</v>
      </c>
      <c r="AK399" s="828">
        <v>83</v>
      </c>
      <c r="AL399" s="828">
        <v>139</v>
      </c>
      <c r="AM399" s="828">
        <v>138</v>
      </c>
      <c r="AN399" s="828">
        <v>138</v>
      </c>
      <c r="AO399" s="828">
        <v>138</v>
      </c>
      <c r="AP399" s="828">
        <v>138</v>
      </c>
    </row>
    <row r="400" hidden="1">
      <c r="B400" s="830" t="s">
        <v>24</v>
      </c>
      <c r="C400" s="823">
        <v>0</v>
      </c>
      <c r="D400" s="823">
        <v>0</v>
      </c>
      <c r="E400" s="823">
        <v>0</v>
      </c>
      <c r="F400" s="823">
        <v>0</v>
      </c>
      <c r="G400" s="823">
        <v>0</v>
      </c>
      <c r="H400" s="823">
        <v>0</v>
      </c>
      <c r="I400" s="823">
        <v>0</v>
      </c>
      <c r="J400" s="823">
        <v>0</v>
      </c>
      <c r="K400" s="823">
        <v>0</v>
      </c>
      <c r="L400" s="823">
        <v>0</v>
      </c>
      <c r="M400" s="823">
        <v>0</v>
      </c>
      <c r="N400" s="823">
        <v>0</v>
      </c>
      <c r="O400" s="823">
        <v>0</v>
      </c>
      <c r="P400" s="823">
        <v>413</v>
      </c>
      <c r="Q400" s="823">
        <v>407</v>
      </c>
      <c r="R400" s="823">
        <v>413</v>
      </c>
      <c r="S400" s="823">
        <v>398</v>
      </c>
      <c r="T400" s="823">
        <v>413</v>
      </c>
      <c r="U400" s="823">
        <v>397</v>
      </c>
      <c r="V400" s="823">
        <v>412</v>
      </c>
      <c r="W400" s="823">
        <v>414</v>
      </c>
      <c r="X400" s="823">
        <v>423</v>
      </c>
      <c r="Y400" s="823">
        <v>419</v>
      </c>
      <c r="Z400" s="823">
        <v>420</v>
      </c>
      <c r="AA400" s="823">
        <v>421</v>
      </c>
      <c r="AB400" s="823">
        <v>433</v>
      </c>
      <c r="AC400" s="825">
        <v>432</v>
      </c>
      <c r="AD400" s="825">
        <v>435</v>
      </c>
      <c r="AE400" s="825">
        <v>443</v>
      </c>
      <c r="AF400" s="825">
        <v>444</v>
      </c>
      <c r="AG400" s="825">
        <v>442</v>
      </c>
      <c r="AH400" s="825">
        <v>448</v>
      </c>
      <c r="AI400" s="825">
        <v>443</v>
      </c>
      <c r="AJ400" s="825">
        <v>435</v>
      </c>
      <c r="AK400" s="825">
        <v>436</v>
      </c>
      <c r="AL400" s="825">
        <v>421</v>
      </c>
      <c r="AM400" s="825">
        <v>397</v>
      </c>
      <c r="AN400" s="825">
        <v>428</v>
      </c>
      <c r="AO400" s="825">
        <v>427</v>
      </c>
      <c r="AP400" s="825">
        <v>436</v>
      </c>
    </row>
    <row r="401" hidden="1">
      <c r="B401" s="826" t="s">
        <v>25</v>
      </c>
      <c r="C401" s="827">
        <v>0</v>
      </c>
      <c r="D401" s="827">
        <v>0</v>
      </c>
      <c r="E401" s="827">
        <v>0</v>
      </c>
      <c r="F401" s="827">
        <v>0</v>
      </c>
      <c r="G401" s="827">
        <v>0</v>
      </c>
      <c r="H401" s="827">
        <v>0</v>
      </c>
      <c r="I401" s="827">
        <v>0</v>
      </c>
      <c r="J401" s="827">
        <v>0</v>
      </c>
      <c r="K401" s="827">
        <v>0</v>
      </c>
      <c r="L401" s="827">
        <v>0</v>
      </c>
      <c r="M401" s="827">
        <v>0</v>
      </c>
      <c r="N401" s="827">
        <v>0</v>
      </c>
      <c r="O401" s="827">
        <v>0</v>
      </c>
      <c r="P401" s="827">
        <v>1</v>
      </c>
      <c r="Q401" s="827">
        <v>1</v>
      </c>
      <c r="R401" s="827">
        <v>1</v>
      </c>
      <c r="S401" s="827">
        <v>1</v>
      </c>
      <c r="T401" s="827">
        <v>1</v>
      </c>
      <c r="U401" s="827">
        <v>1</v>
      </c>
      <c r="V401" s="827">
        <v>1</v>
      </c>
      <c r="W401" s="827">
        <v>1</v>
      </c>
      <c r="X401" s="827">
        <v>1</v>
      </c>
      <c r="Y401" s="827">
        <v>1</v>
      </c>
      <c r="Z401" s="827">
        <v>1</v>
      </c>
      <c r="AA401" s="827">
        <v>1</v>
      </c>
      <c r="AB401" s="827">
        <v>1</v>
      </c>
      <c r="AC401" s="828">
        <v>1</v>
      </c>
      <c r="AD401" s="828">
        <v>1</v>
      </c>
      <c r="AE401" s="828">
        <v>1</v>
      </c>
      <c r="AF401" s="828">
        <v>1</v>
      </c>
      <c r="AG401" s="828">
        <v>1</v>
      </c>
      <c r="AH401" s="828">
        <v>1</v>
      </c>
      <c r="AI401" s="828">
        <v>1</v>
      </c>
      <c r="AJ401" s="828">
        <v>1</v>
      </c>
      <c r="AK401" s="828">
        <v>1</v>
      </c>
      <c r="AL401" s="828">
        <v>1</v>
      </c>
      <c r="AM401" s="828">
        <v>1</v>
      </c>
      <c r="AN401" s="828">
        <v>1</v>
      </c>
      <c r="AO401" s="828">
        <v>1</v>
      </c>
      <c r="AP401" s="828">
        <v>1</v>
      </c>
    </row>
    <row r="402" hidden="1" ht="13.5">
      <c r="B402" s="831" t="s">
        <v>26</v>
      </c>
      <c r="C402" s="823">
        <v>0</v>
      </c>
      <c r="D402" s="823">
        <v>0</v>
      </c>
      <c r="E402" s="823">
        <v>0</v>
      </c>
      <c r="F402" s="823">
        <v>0</v>
      </c>
      <c r="G402" s="823">
        <v>0</v>
      </c>
      <c r="H402" s="823">
        <v>0</v>
      </c>
      <c r="I402" s="823">
        <v>0</v>
      </c>
      <c r="J402" s="823">
        <v>0</v>
      </c>
      <c r="K402" s="823">
        <v>0</v>
      </c>
      <c r="L402" s="823">
        <v>0</v>
      </c>
      <c r="M402" s="823">
        <v>0</v>
      </c>
      <c r="N402" s="823">
        <v>0</v>
      </c>
      <c r="O402" s="823">
        <v>0</v>
      </c>
      <c r="P402" s="823">
        <v>6</v>
      </c>
      <c r="Q402" s="823">
        <v>6</v>
      </c>
      <c r="R402" s="823">
        <v>6</v>
      </c>
      <c r="S402" s="823">
        <v>5</v>
      </c>
      <c r="T402" s="823">
        <v>5</v>
      </c>
      <c r="U402" s="823">
        <v>5</v>
      </c>
      <c r="V402" s="823">
        <v>5</v>
      </c>
      <c r="W402" s="823">
        <v>3</v>
      </c>
      <c r="X402" s="823">
        <v>3</v>
      </c>
      <c r="Y402" s="823">
        <v>3</v>
      </c>
      <c r="Z402" s="823">
        <v>3</v>
      </c>
      <c r="AA402" s="823">
        <v>3</v>
      </c>
      <c r="AB402" s="832">
        <v>3</v>
      </c>
      <c r="AC402" s="825">
        <v>3</v>
      </c>
      <c r="AD402" s="825">
        <v>3</v>
      </c>
      <c r="AE402" s="825">
        <v>3</v>
      </c>
      <c r="AF402" s="825">
        <v>3</v>
      </c>
      <c r="AG402" s="825">
        <v>3</v>
      </c>
      <c r="AH402" s="825">
        <v>3</v>
      </c>
      <c r="AI402" s="825">
        <v>3</v>
      </c>
      <c r="AJ402" s="825">
        <v>3</v>
      </c>
      <c r="AK402" s="825">
        <v>3</v>
      </c>
      <c r="AL402" s="825">
        <v>3</v>
      </c>
      <c r="AM402" s="825">
        <v>3</v>
      </c>
      <c r="AN402" s="825">
        <v>3</v>
      </c>
      <c r="AO402" s="825">
        <v>3</v>
      </c>
      <c r="AP402" s="825">
        <v>3</v>
      </c>
    </row>
    <row r="403" hidden="1" ht="13.5">
      <c r="B403" s="128" t="s">
        <v>7</v>
      </c>
      <c r="C403" s="129" t="str">
        <f>IF(SUM(C384:C402)&lt;&gt;0,SUM(C384:C402),"")</f>
      </c>
      <c r="D403" s="129" t="str">
        <f ref="D403:AA403" t="shared" si="45">IF(SUM(D384:D402)&lt;&gt;0,SUM(D384:D402),"")</f>
      </c>
      <c r="E403" s="129" t="str">
        <f t="shared" si="45"/>
      </c>
      <c r="F403" s="129" t="str">
        <f t="shared" si="45"/>
      </c>
      <c r="G403" s="129" t="str">
        <f t="shared" si="45"/>
      </c>
      <c r="H403" s="129" t="str">
        <f t="shared" si="45"/>
      </c>
      <c r="I403" s="129" t="str">
        <f t="shared" si="45"/>
      </c>
      <c r="J403" s="129" t="str">
        <f t="shared" si="45"/>
      </c>
      <c r="K403" s="129" t="str">
        <f t="shared" si="45"/>
      </c>
      <c r="L403" s="129" t="str">
        <f t="shared" si="45"/>
      </c>
      <c r="M403" s="129" t="str">
        <f t="shared" si="45"/>
      </c>
      <c r="N403" s="129" t="str">
        <f t="shared" si="45"/>
      </c>
      <c r="O403" s="129" t="str">
        <f t="shared" si="45"/>
      </c>
      <c r="P403" s="129" t="str">
        <f t="shared" si="45"/>
      </c>
      <c r="Q403" s="129" t="str">
        <f t="shared" si="45"/>
      </c>
      <c r="R403" s="129" t="str">
        <f t="shared" si="45"/>
      </c>
      <c r="S403" s="129" t="str">
        <f t="shared" si="45"/>
      </c>
      <c r="T403" s="129" t="str">
        <f t="shared" si="45"/>
      </c>
      <c r="U403" s="129" t="str">
        <f t="shared" si="45"/>
      </c>
      <c r="V403" s="129" t="str">
        <f t="shared" si="45"/>
      </c>
      <c r="W403" s="129" t="str">
        <f t="shared" si="45"/>
      </c>
      <c r="X403" s="129" t="str">
        <f t="shared" si="45"/>
      </c>
      <c r="Y403" s="129" t="str">
        <f t="shared" si="45"/>
      </c>
      <c r="Z403" s="129" t="str">
        <f t="shared" si="45"/>
      </c>
      <c r="AA403" s="129" t="str">
        <f t="shared" si="45"/>
      </c>
      <c r="AB403" s="130" t="str">
        <f>IF(SUM(AB384:AB402)&lt;&gt;0,SUM(AB384:AB402),"")</f>
      </c>
      <c r="AC403" s="91" t="str">
        <f ref="AC403:CN403" t="shared" si="46">IF(SUM(AC384:AC402)&lt;&gt;0,SUM(AC384:AC402),"")</f>
      </c>
      <c r="AD403" s="91" t="str">
        <f t="shared" si="46"/>
      </c>
      <c r="AE403" s="91" t="str">
        <f t="shared" si="46"/>
      </c>
      <c r="AF403" s="91" t="str">
        <f t="shared" si="46"/>
      </c>
      <c r="AG403" s="91" t="str">
        <f t="shared" si="46"/>
      </c>
      <c r="AH403" s="91" t="str">
        <f t="shared" si="46"/>
      </c>
      <c r="AI403" s="91" t="str">
        <f t="shared" si="46"/>
      </c>
      <c r="AJ403" s="91" t="str">
        <f t="shared" si="46"/>
      </c>
      <c r="AK403" s="91" t="str">
        <f t="shared" si="46"/>
      </c>
      <c r="AL403" s="91" t="str">
        <f t="shared" si="46"/>
      </c>
      <c r="AM403" s="91" t="str">
        <f t="shared" si="46"/>
      </c>
      <c r="AN403" s="91" t="str">
        <f t="shared" si="46"/>
      </c>
      <c r="AO403" s="91" t="str">
        <f t="shared" si="46"/>
      </c>
      <c r="AP403" s="91" t="str">
        <f t="shared" si="46"/>
      </c>
      <c r="AQ403" s="91" t="str">
        <f t="shared" si="46"/>
      </c>
      <c r="AR403" s="91" t="str">
        <f t="shared" si="46"/>
      </c>
      <c r="AS403" s="91" t="str">
        <f t="shared" si="46"/>
      </c>
      <c r="AT403" s="91" t="str">
        <f t="shared" si="46"/>
      </c>
      <c r="AU403" s="91" t="str">
        <f t="shared" si="46"/>
      </c>
      <c r="AV403" s="91" t="str">
        <f t="shared" si="46"/>
      </c>
      <c r="AW403" s="91" t="str">
        <f t="shared" si="46"/>
      </c>
      <c r="AX403" s="91" t="str">
        <f t="shared" si="46"/>
      </c>
      <c r="AY403" s="91" t="str">
        <f t="shared" si="46"/>
      </c>
      <c r="AZ403" s="91" t="str">
        <f t="shared" si="46"/>
      </c>
      <c r="BA403" s="91" t="str">
        <f t="shared" si="46"/>
      </c>
      <c r="BB403" s="91" t="str">
        <f t="shared" si="46"/>
      </c>
      <c r="BC403" s="91" t="str">
        <f t="shared" si="46"/>
      </c>
      <c r="BD403" s="91" t="str">
        <f t="shared" si="46"/>
      </c>
      <c r="BE403" s="91" t="str">
        <f t="shared" si="46"/>
      </c>
      <c r="BF403" s="91" t="str">
        <f t="shared" si="46"/>
      </c>
      <c r="BG403" s="91" t="str">
        <f t="shared" si="46"/>
      </c>
      <c r="BH403" s="91" t="str">
        <f t="shared" si="46"/>
      </c>
      <c r="BI403" s="91" t="str">
        <f t="shared" si="46"/>
      </c>
      <c r="BJ403" s="91" t="str">
        <f t="shared" si="46"/>
      </c>
      <c r="BK403" s="91" t="str">
        <f t="shared" si="46"/>
      </c>
      <c r="BL403" s="91" t="str">
        <f t="shared" si="46"/>
      </c>
      <c r="BM403" s="91" t="str">
        <f t="shared" si="46"/>
      </c>
      <c r="BN403" s="91" t="str">
        <f t="shared" si="46"/>
      </c>
      <c r="BO403" s="91" t="str">
        <f t="shared" si="46"/>
      </c>
      <c r="BP403" s="91" t="str">
        <f t="shared" si="46"/>
      </c>
      <c r="BQ403" s="91" t="str">
        <f t="shared" si="46"/>
      </c>
      <c r="BR403" s="91" t="str">
        <f t="shared" si="46"/>
      </c>
      <c r="BS403" s="91" t="str">
        <f t="shared" si="46"/>
      </c>
      <c r="BT403" s="91" t="str">
        <f t="shared" si="46"/>
      </c>
      <c r="BU403" s="91" t="str">
        <f t="shared" si="46"/>
      </c>
      <c r="BV403" s="91" t="str">
        <f t="shared" si="46"/>
      </c>
      <c r="BW403" s="91" t="str">
        <f t="shared" si="46"/>
      </c>
      <c r="BX403" s="91" t="str">
        <f t="shared" si="46"/>
      </c>
      <c r="BY403" s="91" t="str">
        <f t="shared" si="46"/>
      </c>
      <c r="BZ403" s="91" t="str">
        <f t="shared" si="46"/>
      </c>
      <c r="CA403" s="91" t="str">
        <f t="shared" si="46"/>
      </c>
      <c r="CB403" s="91" t="str">
        <f t="shared" si="46"/>
      </c>
      <c r="CC403" s="91" t="str">
        <f t="shared" si="46"/>
      </c>
      <c r="CD403" s="91" t="str">
        <f t="shared" si="46"/>
      </c>
      <c r="CE403" s="91" t="str">
        <f t="shared" si="46"/>
      </c>
      <c r="CF403" s="91" t="str">
        <f t="shared" si="46"/>
      </c>
      <c r="CG403" s="91" t="str">
        <f t="shared" si="46"/>
      </c>
      <c r="CH403" s="91" t="str">
        <f t="shared" si="46"/>
      </c>
      <c r="CI403" s="91" t="str">
        <f t="shared" si="46"/>
      </c>
      <c r="CJ403" s="91" t="str">
        <f t="shared" si="46"/>
      </c>
      <c r="CK403" s="91" t="str">
        <f t="shared" si="46"/>
      </c>
      <c r="CL403" s="91" t="str">
        <f t="shared" si="46"/>
      </c>
      <c r="CM403" s="91" t="str">
        <f t="shared" si="46"/>
      </c>
      <c r="CN403" s="91" t="str">
        <f t="shared" si="46"/>
      </c>
      <c r="CO403" s="91" t="str">
        <f ref="CO403:EZ403" t="shared" si="47">IF(SUM(CO384:CO402)&lt;&gt;0,SUM(CO384:CO402),"")</f>
      </c>
      <c r="CP403" s="91" t="str">
        <f t="shared" si="47"/>
      </c>
      <c r="CQ403" s="91" t="str">
        <f t="shared" si="47"/>
      </c>
      <c r="CR403" s="91" t="str">
        <f t="shared" si="47"/>
      </c>
      <c r="CS403" s="91" t="str">
        <f t="shared" si="47"/>
      </c>
      <c r="CT403" s="91" t="str">
        <f t="shared" si="47"/>
      </c>
      <c r="CU403" s="91" t="str">
        <f t="shared" si="47"/>
      </c>
      <c r="CV403" s="91" t="str">
        <f t="shared" si="47"/>
      </c>
      <c r="CW403" s="91" t="str">
        <f t="shared" si="47"/>
      </c>
      <c r="CX403" s="91" t="str">
        <f t="shared" si="47"/>
      </c>
      <c r="CY403" s="91" t="str">
        <f t="shared" si="47"/>
      </c>
      <c r="CZ403" s="91" t="str">
        <f t="shared" si="47"/>
      </c>
      <c r="DA403" s="91" t="str">
        <f t="shared" si="47"/>
      </c>
      <c r="DB403" s="91" t="str">
        <f t="shared" si="47"/>
      </c>
      <c r="DC403" s="91" t="str">
        <f t="shared" si="47"/>
      </c>
      <c r="DD403" s="91" t="str">
        <f t="shared" si="47"/>
      </c>
      <c r="DE403" s="91" t="str">
        <f t="shared" si="47"/>
      </c>
      <c r="DF403" s="91" t="str">
        <f t="shared" si="47"/>
      </c>
      <c r="DG403" s="91" t="str">
        <f t="shared" si="47"/>
      </c>
      <c r="DH403" s="91" t="str">
        <f t="shared" si="47"/>
      </c>
      <c r="DI403" s="91" t="str">
        <f t="shared" si="47"/>
      </c>
      <c r="DJ403" s="91" t="str">
        <f t="shared" si="47"/>
      </c>
      <c r="DK403" s="91" t="str">
        <f t="shared" si="47"/>
      </c>
      <c r="DL403" s="91" t="str">
        <f t="shared" si="47"/>
      </c>
      <c r="DM403" s="91" t="str">
        <f t="shared" si="47"/>
      </c>
      <c r="DN403" s="91" t="str">
        <f t="shared" si="47"/>
      </c>
      <c r="DO403" s="91" t="str">
        <f t="shared" si="47"/>
      </c>
      <c r="DP403" s="91" t="str">
        <f t="shared" si="47"/>
      </c>
      <c r="DQ403" s="91" t="str">
        <f t="shared" si="47"/>
      </c>
      <c r="DR403" s="91" t="str">
        <f t="shared" si="47"/>
      </c>
      <c r="DS403" s="91" t="str">
        <f t="shared" si="47"/>
      </c>
      <c r="DT403" s="91" t="str">
        <f t="shared" si="47"/>
      </c>
      <c r="DU403" s="91" t="str">
        <f t="shared" si="47"/>
      </c>
      <c r="DV403" s="91" t="str">
        <f t="shared" si="47"/>
      </c>
      <c r="DW403" s="91" t="str">
        <f t="shared" si="47"/>
      </c>
      <c r="DX403" s="91" t="str">
        <f t="shared" si="47"/>
      </c>
      <c r="DY403" s="91" t="str">
        <f t="shared" si="47"/>
      </c>
      <c r="DZ403" s="91" t="str">
        <f t="shared" si="47"/>
      </c>
      <c r="EA403" s="91" t="str">
        <f t="shared" si="47"/>
      </c>
      <c r="EB403" s="91" t="str">
        <f t="shared" si="47"/>
      </c>
      <c r="EC403" s="91" t="str">
        <f t="shared" si="47"/>
      </c>
      <c r="ED403" s="91" t="str">
        <f t="shared" si="47"/>
      </c>
      <c r="EE403" s="91" t="str">
        <f t="shared" si="47"/>
      </c>
      <c r="EF403" s="91" t="str">
        <f t="shared" si="47"/>
      </c>
      <c r="EG403" s="91" t="str">
        <f t="shared" si="47"/>
      </c>
      <c r="EH403" s="91" t="str">
        <f t="shared" si="47"/>
      </c>
      <c r="EI403" s="91" t="str">
        <f t="shared" si="47"/>
      </c>
      <c r="EJ403" s="91" t="str">
        <f t="shared" si="47"/>
      </c>
      <c r="EK403" s="91" t="str">
        <f t="shared" si="47"/>
      </c>
      <c r="EL403" s="91" t="str">
        <f t="shared" si="47"/>
      </c>
      <c r="EM403" s="91" t="str">
        <f t="shared" si="47"/>
      </c>
      <c r="EN403" s="91" t="str">
        <f t="shared" si="47"/>
      </c>
      <c r="EO403" s="91" t="str">
        <f t="shared" si="47"/>
      </c>
      <c r="EP403" s="91" t="str">
        <f t="shared" si="47"/>
      </c>
      <c r="EQ403" s="91" t="str">
        <f t="shared" si="47"/>
      </c>
      <c r="ER403" s="91" t="str">
        <f t="shared" si="47"/>
      </c>
      <c r="ES403" s="91" t="str">
        <f t="shared" si="47"/>
      </c>
      <c r="ET403" s="91" t="str">
        <f t="shared" si="47"/>
      </c>
      <c r="EU403" s="91" t="str">
        <f t="shared" si="47"/>
      </c>
      <c r="EV403" s="91" t="str">
        <f t="shared" si="47"/>
      </c>
      <c r="EW403" s="91" t="str">
        <f t="shared" si="47"/>
      </c>
      <c r="EX403" s="91" t="str">
        <f t="shared" si="47"/>
      </c>
      <c r="EY403" s="91" t="str">
        <f t="shared" si="47"/>
      </c>
      <c r="EZ403" s="91" t="str">
        <f t="shared" si="47"/>
      </c>
      <c r="FA403" s="91" t="str">
        <f ref="FA403:HL403" t="shared" si="48">IF(SUM(FA384:FA402)&lt;&gt;0,SUM(FA384:FA402),"")</f>
      </c>
      <c r="FB403" s="91" t="str">
        <f t="shared" si="48"/>
      </c>
      <c r="FC403" s="91" t="str">
        <f t="shared" si="48"/>
      </c>
      <c r="FD403" s="91" t="str">
        <f t="shared" si="48"/>
      </c>
      <c r="FE403" s="91" t="str">
        <f t="shared" si="48"/>
      </c>
      <c r="FF403" s="91" t="str">
        <f t="shared" si="48"/>
      </c>
      <c r="FG403" s="91" t="str">
        <f t="shared" si="48"/>
      </c>
      <c r="FH403" s="91" t="str">
        <f t="shared" si="48"/>
      </c>
      <c r="FI403" s="91" t="str">
        <f t="shared" si="48"/>
      </c>
      <c r="FJ403" s="91" t="str">
        <f t="shared" si="48"/>
      </c>
      <c r="FK403" s="91" t="str">
        <f t="shared" si="48"/>
      </c>
      <c r="FL403" s="91" t="str">
        <f t="shared" si="48"/>
      </c>
      <c r="FM403" s="91" t="str">
        <f t="shared" si="48"/>
      </c>
      <c r="FN403" s="91" t="str">
        <f t="shared" si="48"/>
      </c>
      <c r="FO403" s="91" t="str">
        <f t="shared" si="48"/>
      </c>
      <c r="FP403" s="91" t="str">
        <f t="shared" si="48"/>
      </c>
      <c r="FQ403" s="91" t="str">
        <f t="shared" si="48"/>
      </c>
      <c r="FR403" s="91" t="str">
        <f t="shared" si="48"/>
      </c>
      <c r="FS403" s="91" t="str">
        <f t="shared" si="48"/>
      </c>
      <c r="FT403" s="91" t="str">
        <f t="shared" si="48"/>
      </c>
      <c r="FU403" s="91" t="str">
        <f t="shared" si="48"/>
      </c>
      <c r="FV403" s="91" t="str">
        <f t="shared" si="48"/>
      </c>
      <c r="FW403" s="91" t="str">
        <f t="shared" si="48"/>
      </c>
      <c r="FX403" s="91" t="str">
        <f t="shared" si="48"/>
      </c>
      <c r="FY403" s="91" t="str">
        <f t="shared" si="48"/>
      </c>
      <c r="FZ403" s="91" t="str">
        <f t="shared" si="48"/>
      </c>
      <c r="GA403" s="91" t="str">
        <f t="shared" si="48"/>
      </c>
      <c r="GB403" s="91" t="str">
        <f t="shared" si="48"/>
      </c>
      <c r="GC403" s="91" t="str">
        <f t="shared" si="48"/>
      </c>
      <c r="GD403" s="91" t="str">
        <f t="shared" si="48"/>
      </c>
      <c r="GE403" s="91" t="str">
        <f t="shared" si="48"/>
      </c>
      <c r="GF403" s="91" t="str">
        <f t="shared" si="48"/>
      </c>
      <c r="GG403" s="91" t="str">
        <f t="shared" si="48"/>
      </c>
      <c r="GH403" s="91" t="str">
        <f t="shared" si="48"/>
      </c>
      <c r="GI403" s="91" t="str">
        <f t="shared" si="48"/>
      </c>
      <c r="GJ403" s="91" t="str">
        <f t="shared" si="48"/>
      </c>
      <c r="GK403" s="91" t="str">
        <f t="shared" si="48"/>
      </c>
      <c r="GL403" s="91" t="str">
        <f t="shared" si="48"/>
      </c>
      <c r="GM403" s="91" t="str">
        <f t="shared" si="48"/>
      </c>
      <c r="GN403" s="91" t="str">
        <f t="shared" si="48"/>
      </c>
      <c r="GO403" s="91" t="str">
        <f t="shared" si="48"/>
      </c>
      <c r="GP403" s="91" t="str">
        <f t="shared" si="48"/>
      </c>
      <c r="GQ403" s="91" t="str">
        <f t="shared" si="48"/>
      </c>
      <c r="GR403" s="91" t="str">
        <f t="shared" si="48"/>
      </c>
      <c r="GS403" s="91" t="str">
        <f t="shared" si="48"/>
      </c>
      <c r="GT403" s="91" t="str">
        <f t="shared" si="48"/>
      </c>
      <c r="GU403" s="91" t="str">
        <f t="shared" si="48"/>
      </c>
      <c r="GV403" s="91" t="str">
        <f t="shared" si="48"/>
      </c>
      <c r="GW403" s="91" t="str">
        <f t="shared" si="48"/>
      </c>
      <c r="GX403" s="91" t="str">
        <f t="shared" si="48"/>
      </c>
      <c r="GY403" s="91" t="str">
        <f t="shared" si="48"/>
      </c>
      <c r="GZ403" s="91" t="str">
        <f t="shared" si="48"/>
      </c>
      <c r="HA403" s="91" t="str">
        <f t="shared" si="48"/>
      </c>
      <c r="HB403" s="91" t="str">
        <f t="shared" si="48"/>
      </c>
      <c r="HC403" s="91" t="str">
        <f t="shared" si="48"/>
      </c>
      <c r="HD403" s="91" t="str">
        <f t="shared" si="48"/>
      </c>
      <c r="HE403" s="91" t="str">
        <f t="shared" si="48"/>
      </c>
      <c r="HF403" s="91" t="str">
        <f t="shared" si="48"/>
      </c>
      <c r="HG403" s="91" t="str">
        <f t="shared" si="48"/>
      </c>
      <c r="HH403" s="91" t="str">
        <f t="shared" si="48"/>
      </c>
      <c r="HI403" s="91" t="str">
        <f t="shared" si="48"/>
      </c>
      <c r="HJ403" s="91" t="str">
        <f t="shared" si="48"/>
      </c>
      <c r="HK403" s="91" t="str">
        <f t="shared" si="48"/>
      </c>
      <c r="HL403" s="91" t="str">
        <f t="shared" si="48"/>
      </c>
      <c r="HM403" s="91" t="str">
        <f ref="HM403:IV403" t="shared" si="49">IF(SUM(HM384:HM402)&lt;&gt;0,SUM(HM384:HM402),"")</f>
      </c>
      <c r="HN403" s="91" t="str">
        <f t="shared" si="49"/>
      </c>
      <c r="HO403" s="91" t="str">
        <f t="shared" si="49"/>
      </c>
      <c r="HP403" s="91" t="str">
        <f t="shared" si="49"/>
      </c>
      <c r="HQ403" s="91" t="str">
        <f t="shared" si="49"/>
      </c>
      <c r="HR403" s="91" t="str">
        <f t="shared" si="49"/>
      </c>
      <c r="HS403" s="91" t="str">
        <f t="shared" si="49"/>
      </c>
      <c r="HT403" s="91" t="str">
        <f t="shared" si="49"/>
      </c>
      <c r="HU403" s="91" t="str">
        <f t="shared" si="49"/>
      </c>
      <c r="HV403" s="91" t="str">
        <f t="shared" si="49"/>
      </c>
      <c r="HW403" s="91" t="str">
        <f t="shared" si="49"/>
      </c>
      <c r="HX403" s="91" t="str">
        <f t="shared" si="49"/>
      </c>
      <c r="HY403" s="91" t="str">
        <f t="shared" si="49"/>
      </c>
      <c r="HZ403" s="91" t="str">
        <f t="shared" si="49"/>
      </c>
      <c r="IA403" s="91" t="str">
        <f t="shared" si="49"/>
      </c>
      <c r="IB403" s="91" t="str">
        <f t="shared" si="49"/>
      </c>
      <c r="IC403" s="91" t="str">
        <f t="shared" si="49"/>
      </c>
      <c r="ID403" s="91" t="str">
        <f t="shared" si="49"/>
      </c>
      <c r="IE403" s="91" t="str">
        <f t="shared" si="49"/>
      </c>
      <c r="IF403" s="91" t="str">
        <f t="shared" si="49"/>
      </c>
      <c r="IG403" s="91" t="str">
        <f t="shared" si="49"/>
      </c>
      <c r="IH403" s="91" t="str">
        <f t="shared" si="49"/>
      </c>
      <c r="II403" s="91" t="str">
        <f t="shared" si="49"/>
      </c>
      <c r="IJ403" s="91" t="str">
        <f t="shared" si="49"/>
      </c>
      <c r="IK403" s="91" t="str">
        <f t="shared" si="49"/>
      </c>
      <c r="IL403" s="91" t="str">
        <f t="shared" si="49"/>
      </c>
      <c r="IM403" s="91" t="str">
        <f t="shared" si="49"/>
      </c>
      <c r="IN403" s="91" t="str">
        <f t="shared" si="49"/>
      </c>
      <c r="IO403" s="91" t="str">
        <f t="shared" si="49"/>
      </c>
      <c r="IP403" s="91" t="str">
        <f t="shared" si="49"/>
      </c>
      <c r="IQ403" s="91" t="str">
        <f t="shared" si="49"/>
      </c>
      <c r="IR403" s="91" t="str">
        <f t="shared" si="49"/>
      </c>
      <c r="IS403" s="91" t="str">
        <f t="shared" si="49"/>
      </c>
      <c r="IT403" s="91" t="str">
        <f t="shared" si="49"/>
      </c>
      <c r="IU403" s="91" t="str">
        <f t="shared" si="49"/>
      </c>
      <c r="IV403" s="91" t="str">
        <f t="shared" si="49"/>
      </c>
    </row>
    <row r="404" hidden="1"/>
    <row r="416" ht="13.5" customHeight="1"/>
    <row r="437" ht="19.5" customHeight="1"/>
  </sheetData>
  <sheetProtection sheet="1" autoFilter="0" objects="1" scenarios="1" sort="0" password="ed66"/>
  <mergeCells>
    <mergeCell ref="C31:M31"/>
    <mergeCell ref="C35:M35"/>
    <mergeCell ref="C33:M33"/>
    <mergeCell ref="C21:M21"/>
    <mergeCell ref="C23:M23"/>
    <mergeCell ref="C25:M25"/>
    <mergeCell ref="C27:M27"/>
    <mergeCell ref="C29:M29"/>
    <mergeCell ref="B9:E9"/>
    <mergeCell ref="C13:M13"/>
    <mergeCell ref="C14:M14"/>
    <mergeCell ref="C17:M17"/>
    <mergeCell ref="C19:M19"/>
    <mergeCell ref="C300:AB300"/>
    <mergeCell ref="C324:AB324"/>
    <mergeCell ref="C349:AB349"/>
    <mergeCell ref="C382:AB382"/>
    <mergeCell ref="C156:AB156"/>
    <mergeCell ref="C180:AB180"/>
    <mergeCell ref="C204:AB204"/>
    <mergeCell ref="C228:AB228"/>
    <mergeCell ref="C252:AB252"/>
    <mergeCell ref="C276:AB276"/>
  </mergeCells>
  <phoneticPr fontId="3" type="noConversion"/>
  <printOptions horizontalCentered="1"/>
  <pageMargins left="0.23622047244094491" right="0.23622047244094491" top="0.98425196850393704" bottom="0.98425196850393704" header="0" footer="0"/>
  <pageSetup paperSize="9" scale="60" orientation="portrait"/>
  <headerFooter alignWithMargins="0"/>
  <rowBreaks count="1" manualBreakCount="1">
    <brk id="85" max="1048575" man="1"/>
  </rowBreaks>
  <drawing r:id="rId2"/>
  <legacyDrawing r:id="rId3"/>
  <mc:AlternateContent xmlns:mc="http://schemas.openxmlformats.org/markup-compatibility/2006">
    <mc:Choice Requires="x14">
      <controls>
        <mc:AlternateContent xmlns:mc="http://schemas.openxmlformats.org/markup-compatibility/2006">
          <mc:Choice Requires="x14">
            <control shapeId="19457" r:id="rId4" name="Drop Down 1">
              <controlPr defaultSize="0" autoLine="0" autoPict="0">
                <anchor moveWithCells="1">
                  <from>
                    <xdr:col>5</xdr:col>
                    <xdr:colOff>0</xdr:colOff>
                    <xdr:row>7</xdr:row>
                    <xdr:rowOff>9525</xdr:rowOff>
                  </from>
                  <to>
                    <xdr:col>7</xdr:col>
                    <xdr:colOff>200025</xdr:colOff>
                    <xdr:row>9</xdr:row>
                    <xdr:rowOff>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ontainsText" priority="20" operator="containsText" id="{63D47473-33AD-48D9-9B0F-779EB84FD017}">
            <xm:f>NOT(ISERROR(SEARCH("",AC297)))</xm:f>
            <xm:f>""</xm:f>
            <x14:dxf>
              <numFmt numFmtId="3" formatCode="#,##0"/>
              <border>
                <left style="thin">
                  <color auto="1"/>
                </left>
                <right style="thin">
                  <color auto="1"/>
                </right>
                <top style="thin">
                  <color auto="1"/>
                </top>
                <bottom style="thin">
                  <color auto="1"/>
                </bottom>
                <vertical/>
                <horizontal/>
              </border>
            </x14:dxf>
          </x14:cfRule>
          <xm:sqref>AC297:IV297</xm:sqref>
        </x14:conditionalFormatting>
        <x14:conditionalFormatting xmlns:xm="http://schemas.microsoft.com/office/excel/2006/main">
          <x14:cfRule type="containsText" priority="19" operator="containsText" id="{1FDFFDFF-05A1-4BFF-B3B4-BAA0190E521E}">
            <xm:f>NOT(ISERROR(SEARCH("",C278)))</xm:f>
            <xm:f>""</xm:f>
            <x14:dxf>
              <numFmt numFmtId="3" formatCode="#,##0"/>
              <border>
                <right style="thin">
                  <color auto="1"/>
                </right>
                <top style="thin">
                  <color auto="1"/>
                </top>
                <bottom style="thin">
                  <color auto="1"/>
                </bottom>
                <vertical/>
                <horizontal/>
              </border>
            </x14:dxf>
          </x14:cfRule>
          <xm:sqref>C278:IV296</xm:sqref>
        </x14:conditionalFormatting>
        <x14:conditionalFormatting xmlns:xm="http://schemas.microsoft.com/office/excel/2006/main">
          <x14:cfRule type="containsText" priority="22" operator="containsText" id="{2DB1FA0C-C70C-445D-81B3-FE3DE8898E38}">
            <xm:f>NOT(ISERROR(SEARCH("",AD253)))</xm:f>
            <xm:f>""</xm:f>
            <x14:dxf>
              <numFmt numFmtId="3" formatCode="#,##0"/>
              <border>
                <left style="thin">
                  <color auto="1"/>
                </left>
                <right style="thin">
                  <color auto="1"/>
                </right>
                <top style="thin">
                  <color auto="1"/>
                </top>
                <bottom style="thin">
                  <color auto="1"/>
                </bottom>
                <vertical/>
                <horizontal/>
              </border>
            </x14:dxf>
          </x14:cfRule>
          <xm:sqref>AD253:AG253 AI253:AL253 AN253:AQ253 AS253:AV253 AX253:BA253 BC253:BF253 BH253:BK253 BM253:BP253 BR253:BU253 BW253:BZ253 CB253:CE253 CG253:CJ253 CL253:CO253 CQ253:CT253 CV253:CY253 DA253:DD253 DF253:DI253 DK253:DN253 DP253:DS253 DU253:DX253 DZ253:EC253 EE253:EH253 EJ253:EM253 EO253:ER253 ET253:EW253 EY253:FB253 FD253:FG253 FI253:FL253 FN253:FQ253 FS253:FV253 FX253:GA253 GC253:GF253 GH253:GK253 GM253:GP253 GR253:GU253 GW253:GZ253 HB253:HE253 HG253:HJ253 HL253:HO253 HQ253:HT253 HV253:HY253 IA253:ID253 IF253:II253 IK253:IN253 IP253:IS253 IU253:IV253</xm:sqref>
        </x14:conditionalFormatting>
        <x14:conditionalFormatting xmlns:xm="http://schemas.microsoft.com/office/excel/2006/main">
          <x14:cfRule type="containsText" priority="24" operator="containsText" id="{1B083AD1-68DC-4AEC-AE90-7A4251FF4A88}">
            <xm:f>NOT(ISERROR(SEARCH("",AC273)))</xm:f>
            <xm:f>""</xm:f>
            <x14:dxf>
              <numFmt numFmtId="3" formatCode="#,##0"/>
              <border>
                <left style="thin">
                  <color auto="1"/>
                </left>
                <right style="thin">
                  <color auto="1"/>
                </right>
                <top style="thin">
                  <color auto="1"/>
                </top>
                <bottom style="thin">
                  <color auto="1"/>
                </bottom>
                <vertical/>
                <horizontal/>
              </border>
            </x14:dxf>
          </x14:cfRule>
          <xm:sqref>AC273:IV273</xm:sqref>
        </x14:conditionalFormatting>
        <x14:conditionalFormatting xmlns:xm="http://schemas.microsoft.com/office/excel/2006/main">
          <x14:cfRule type="containsText" priority="23" operator="containsText" id="{34BA66B5-0047-4DF6-AE53-75BC5DCFB9DA}">
            <xm:f>NOT(ISERROR(SEARCH("",C254)))</xm:f>
            <xm:f>""</xm:f>
            <x14:dxf>
              <numFmt numFmtId="3" formatCode="#,##0"/>
              <border>
                <right style="thin">
                  <color auto="1"/>
                </right>
                <top style="thin">
                  <color auto="1"/>
                </top>
                <bottom style="thin">
                  <color auto="1"/>
                </bottom>
                <vertical/>
                <horizontal/>
              </border>
            </x14:dxf>
          </x14:cfRule>
          <xm:sqref>C254:IV272</xm:sqref>
        </x14:conditionalFormatting>
        <x14:conditionalFormatting xmlns:xm="http://schemas.microsoft.com/office/excel/2006/main">
          <x14:cfRule type="containsText" priority="26" operator="containsText" id="{94C366FE-3580-4C51-92C1-CE9C51046DC3}">
            <xm:f>NOT(ISERROR(SEARCH("",AD229)))</xm:f>
            <xm:f>""</xm:f>
            <x14:dxf>
              <numFmt numFmtId="3" formatCode="#,##0"/>
              <border>
                <left style="thin">
                  <color auto="1"/>
                </left>
                <right style="thin">
                  <color auto="1"/>
                </right>
                <top style="thin">
                  <color auto="1"/>
                </top>
                <bottom style="thin">
                  <color auto="1"/>
                </bottom>
                <vertical/>
                <horizontal/>
              </border>
            </x14:dxf>
          </x14:cfRule>
          <xm:sqref>AD229:AG229 AI229:AL229 AN229:AQ229 AS229:AV229 AX229:BA229 BC229:BF229 BH229:BK229 BM229:BP229 BR229:BU229 BW229:BZ229 CB229:CE229 CG229:CJ229 CL229:CO229 CQ229:CT229 CV229:CY229 DA229:DD229 DF229:DI229 DK229:DN229 DP229:DS229 DU229:DX229 DZ229:EC229 EE229:EH229 EJ229:EM229 EO229:ER229 ET229:EW229 EY229:FB229 FD229:FG229 FI229:FL229 FN229:FQ229 FS229:FV229 FX229:GA229 GC229:GF229 GH229:GK229 GM229:GP229 GR229:GU229 GW229:GZ229 HB229:HE229 HG229:HJ229 HL229:HO229 HQ229:HT229 HV229:HY229 IA229:ID229 IF229:II229 IK229:IN229 IP229:IS229 IU229:IV229</xm:sqref>
        </x14:conditionalFormatting>
        <x14:conditionalFormatting xmlns:xm="http://schemas.microsoft.com/office/excel/2006/main">
          <x14:cfRule type="containsText" priority="28" operator="containsText" id="{D1A8C65B-ECEC-4D99-BC04-7CA4AC1BBBCB}">
            <xm:f>NOT(ISERROR(SEARCH("",AC249)))</xm:f>
            <xm:f>""</xm:f>
            <x14:dxf>
              <numFmt numFmtId="3" formatCode="#,##0"/>
              <border>
                <left style="thin">
                  <color auto="1"/>
                </left>
                <right style="thin">
                  <color auto="1"/>
                </right>
                <top style="thin">
                  <color auto="1"/>
                </top>
                <bottom style="thin">
                  <color auto="1"/>
                </bottom>
                <vertical/>
                <horizontal/>
              </border>
            </x14:dxf>
          </x14:cfRule>
          <xm:sqref>AC249:IV249</xm:sqref>
        </x14:conditionalFormatting>
        <x14:conditionalFormatting xmlns:xm="http://schemas.microsoft.com/office/excel/2006/main">
          <x14:cfRule type="containsText" priority="27" operator="containsText" id="{372F5055-5B8D-4EAB-8D47-F31965886DC1}">
            <xm:f>NOT(ISERROR(SEARCH("",C230)))</xm:f>
            <xm:f>""</xm:f>
            <x14:dxf>
              <numFmt numFmtId="3" formatCode="#,##0"/>
              <border>
                <right style="thin">
                  <color auto="1"/>
                </right>
                <top style="thin">
                  <color auto="1"/>
                </top>
                <bottom style="thin">
                  <color auto="1"/>
                </bottom>
                <vertical/>
                <horizontal/>
              </border>
            </x14:dxf>
          </x14:cfRule>
          <xm:sqref>C230:IV248</xm:sqref>
        </x14:conditionalFormatting>
        <x14:conditionalFormatting xmlns:xm="http://schemas.microsoft.com/office/excel/2006/main">
          <x14:cfRule type="containsText" priority="30" operator="containsText" id="{B1014495-4862-42AB-B945-BE17FF08882C}">
            <xm:f>NOT(ISERROR(SEARCH("",AD205)))</xm:f>
            <xm:f>""</xm:f>
            <x14:dxf>
              <numFmt numFmtId="3" formatCode="#,##0"/>
              <border>
                <left style="thin">
                  <color auto="1"/>
                </left>
                <right style="thin">
                  <color auto="1"/>
                </right>
                <top style="thin">
                  <color auto="1"/>
                </top>
                <bottom style="thin">
                  <color auto="1"/>
                </bottom>
                <vertical/>
                <horizontal/>
              </border>
            </x14:dxf>
          </x14:cfRule>
          <xm:sqref>AD205:AG205 AI205:AL205 AN205:AQ205 AS205:AV205 AX205:BA205 BC205:BF205 BH205:BK205 BM205:BP205 BR205:BU205 BW205:BZ205 CB205:CE205 CG205:CJ205 CL205:CO205 CQ205:CT205 CV205:CY205 DA205:DD205 DF205:DI205 DK205:DN205 DP205:DS205 DU205:DX205 DZ205:EC205 EE205:EH205 EJ205:EM205 EO205:ER205 ET205:EW205 EY205:FB205 FD205:FG205 FI205:FL205 FN205:FQ205 FS205:FV205 FX205:GA205 GC205:GF205 GH205:GK205 GM205:GP205 GR205:GU205 GW205:GZ205 HB205:HE205 HG205:HJ205 HL205:HO205 HQ205:HT205 HV205:HY205 IA205:ID205 IF205:II205 IK205:IN205 IP205:IS205 IU205:IV205</xm:sqref>
        </x14:conditionalFormatting>
        <x14:conditionalFormatting xmlns:xm="http://schemas.microsoft.com/office/excel/2006/main">
          <x14:cfRule type="containsText" priority="32" operator="containsText" id="{B3506D60-009E-4DB3-B3E2-7E32C4D25BA3}">
            <xm:f>NOT(ISERROR(SEARCH("",AC225)))</xm:f>
            <xm:f>""</xm:f>
            <x14:dxf>
              <numFmt numFmtId="3" formatCode="#,##0"/>
              <border>
                <left style="thin">
                  <color auto="1"/>
                </left>
                <right style="thin">
                  <color auto="1"/>
                </right>
                <top style="thin">
                  <color auto="1"/>
                </top>
                <bottom style="thin">
                  <color auto="1"/>
                </bottom>
                <vertical/>
                <horizontal/>
              </border>
            </x14:dxf>
          </x14:cfRule>
          <xm:sqref>AC225:IV225</xm:sqref>
        </x14:conditionalFormatting>
        <x14:conditionalFormatting xmlns:xm="http://schemas.microsoft.com/office/excel/2006/main">
          <x14:cfRule type="containsText" priority="31" operator="containsText" id="{CA236CF6-C87E-4089-B19E-8D0E7AF55CE9}">
            <xm:f>NOT(ISERROR(SEARCH("",C206)))</xm:f>
            <xm:f>""</xm:f>
            <x14:dxf>
              <numFmt numFmtId="3" formatCode="#,##0"/>
              <border>
                <right style="thin">
                  <color auto="1"/>
                </right>
                <top style="thin">
                  <color auto="1"/>
                </top>
                <bottom style="thin">
                  <color auto="1"/>
                </bottom>
                <vertical/>
                <horizontal/>
              </border>
            </x14:dxf>
          </x14:cfRule>
          <xm:sqref>C206:IV224</xm:sqref>
        </x14:conditionalFormatting>
        <x14:conditionalFormatting xmlns:xm="http://schemas.microsoft.com/office/excel/2006/main">
          <x14:cfRule type="containsText" priority="34" operator="containsText" id="{497A4894-A6AF-414C-8DDB-E7C4B513B643}">
            <xm:f>NOT(ISERROR(SEARCH("",AD181)))</xm:f>
            <xm:f>""</xm:f>
            <x14:dxf>
              <numFmt numFmtId="3" formatCode="#,##0"/>
              <border>
                <left style="thin">
                  <color auto="1"/>
                </left>
                <right style="thin">
                  <color auto="1"/>
                </right>
                <top style="thin">
                  <color auto="1"/>
                </top>
                <bottom style="thin">
                  <color auto="1"/>
                </bottom>
                <vertical/>
                <horizontal/>
              </border>
            </x14:dxf>
          </x14:cfRule>
          <xm:sqref>AD181:AG181 AI181:AL181 AN181:AQ181 AS181:AV181 AX181:BA181 BC181:BF181 BH181:BK181 BM181:BP181 BR181:BU181 BW181:BZ181 CB181:CE181 CG181:CJ181 CL181:CO181 CQ181:CT181 CV181:CY181 DA181:DD181 DF181:DI181 DK181:DN181 DP181:DS181 DU181:DX181 DZ181:EC181 EE181:EH181 EJ181:EM181 EO181:ER181 ET181:EW181 EY181:FB181 FD181:FG181 FI181:FL181 FN181:FQ181 FS181:FV181 FX181:GA181 GC181:GF181 GH181:GK181 GM181:GP181 GR181:GU181 GW181:GZ181 HB181:HE181 HG181:HJ181 HL181:HO181 HQ181:HT181 HV181:HY181 IA181:ID181 IF181:II181 IK181:IN181 IP181:IS181 IU181:IV181</xm:sqref>
        </x14:conditionalFormatting>
        <x14:conditionalFormatting xmlns:xm="http://schemas.microsoft.com/office/excel/2006/main">
          <x14:cfRule type="containsText" priority="36" operator="containsText" id="{42B1CCB5-FA0B-4CC3-B1FA-A5A4A7203DB6}">
            <xm:f>NOT(ISERROR(SEARCH("",AC201)))</xm:f>
            <xm:f>""</xm:f>
            <x14:dxf>
              <numFmt numFmtId="3" formatCode="#,##0"/>
              <border>
                <left style="thin">
                  <color auto="1"/>
                </left>
                <right style="thin">
                  <color auto="1"/>
                </right>
                <top style="thin">
                  <color auto="1"/>
                </top>
                <bottom style="thin">
                  <color auto="1"/>
                </bottom>
                <vertical/>
                <horizontal/>
              </border>
            </x14:dxf>
          </x14:cfRule>
          <xm:sqref>AC201:IV201</xm:sqref>
        </x14:conditionalFormatting>
        <x14:conditionalFormatting xmlns:xm="http://schemas.microsoft.com/office/excel/2006/main">
          <x14:cfRule type="containsText" priority="35" operator="containsText" id="{658A4765-DB78-4AE3-BDD2-0D415F2FB4E4}">
            <xm:f>NOT(ISERROR(SEARCH("",C182)))</xm:f>
            <xm:f>""</xm:f>
            <x14:dxf>
              <numFmt numFmtId="3" formatCode="#,##0"/>
              <border>
                <right style="thin">
                  <color auto="1"/>
                </right>
                <top style="thin">
                  <color auto="1"/>
                </top>
                <bottom style="thin">
                  <color auto="1"/>
                </bottom>
                <vertical/>
                <horizontal/>
              </border>
            </x14:dxf>
          </x14:cfRule>
          <xm:sqref>C182:IV200</xm:sqref>
        </x14:conditionalFormatting>
        <x14:conditionalFormatting xmlns:xm="http://schemas.microsoft.com/office/excel/2006/main">
          <x14:cfRule type="containsText" priority="38" operator="containsText" id="{C85E296D-7FB2-4730-A40A-6B40C3DB4873}">
            <xm:f>NOT(ISERROR(SEARCH("",AD157)))</xm:f>
            <xm:f>""</xm:f>
            <x14:dxf>
              <numFmt numFmtId="3" formatCode="#,##0"/>
              <border>
                <left style="thin">
                  <color auto="1"/>
                </left>
                <right style="thin">
                  <color auto="1"/>
                </right>
                <top style="thin">
                  <color auto="1"/>
                </top>
                <bottom style="thin">
                  <color auto="1"/>
                </bottom>
                <vertical/>
                <horizontal/>
              </border>
            </x14:dxf>
          </x14:cfRule>
          <xm:sqref>AD157:AG157 AI157:AL157 AN157:AQ157 AS157:AV157 AX157:BA157 BC157:BF157 BH157:BK157 BM157:BP157 BR157:BU157 BW157:BZ157 CB157:CE157 CG157:CJ157 CL157:CO157 CQ157:CT157 CV157:CY157 DA157:DD157 DF157:DI157 DK157:DN157 DP157:DS157 DU157:DX157 DZ157:EC157 EE157:EH157 EJ157:EM157 EO157:ER157 ET157:EW157 EY157:FB157 FD157:FG157 FI157:FL157 FN157:FQ157 FS157:FV157 FX157:GA157 GC157:GF157 GH157:GK157 GM157:GP157 GR157:GU157 GW157:GZ157 HB157:HE157 HG157:HJ157 HL157:HO157 HQ157:HT157 HV157:HY157 IA157:ID157 IF157:II157 IK157:IN157 IP157:IS157 IU157:IV157</xm:sqref>
        </x14:conditionalFormatting>
        <x14:conditionalFormatting xmlns:xm="http://schemas.microsoft.com/office/excel/2006/main">
          <x14:cfRule type="containsText" priority="40" operator="containsText" id="{902F6E44-75CA-4902-8B97-314FB2E20779}">
            <xm:f>NOT(ISERROR(SEARCH("",AC177)))</xm:f>
            <xm:f>""</xm:f>
            <x14:dxf>
              <numFmt numFmtId="3" formatCode="#,##0"/>
              <border>
                <left style="thin">
                  <color auto="1"/>
                </left>
                <right style="thin">
                  <color auto="1"/>
                </right>
                <top style="thin">
                  <color auto="1"/>
                </top>
                <bottom style="thin">
                  <color auto="1"/>
                </bottom>
                <vertical/>
                <horizontal/>
              </border>
            </x14:dxf>
          </x14:cfRule>
          <xm:sqref>AC177:IV177</xm:sqref>
        </x14:conditionalFormatting>
        <x14:conditionalFormatting xmlns:xm="http://schemas.microsoft.com/office/excel/2006/main">
          <x14:cfRule type="containsText" priority="39" operator="containsText" id="{DEE9B267-9E77-45FC-BD04-243432B7B4CD}">
            <xm:f>NOT(ISERROR(SEARCH("",C158)))</xm:f>
            <xm:f>""</xm:f>
            <x14:dxf>
              <numFmt numFmtId="3" formatCode="#,##0"/>
              <border>
                <right style="thin">
                  <color auto="1"/>
                </right>
                <top style="thin">
                  <color auto="1"/>
                </top>
                <bottom style="thin">
                  <color auto="1"/>
                </bottom>
                <vertical/>
                <horizontal/>
              </border>
            </x14:dxf>
          </x14:cfRule>
          <xm:sqref>C158:IV176</xm:sqref>
        </x14:conditionalFormatting>
        <x14:conditionalFormatting xmlns:xm="http://schemas.microsoft.com/office/excel/2006/main">
          <x14:cfRule type="containsText" priority="37" operator="containsText" id="{6496D2D1-A23C-4AA9-8B88-60E41E94AC4F}">
            <xm:f>NOT(ISERROR(SEARCH("",AC157)))</xm:f>
            <xm:f>""</xm:f>
            <x14:dxf>
              <numFmt numFmtId="3" formatCode="#,##0"/>
              <border>
                <left style="thin">
                  <color auto="1"/>
                </left>
                <right style="thin">
                  <color auto="1"/>
                </right>
                <top style="thin">
                  <color auto="1"/>
                </top>
                <bottom style="thin">
                  <color auto="1"/>
                </bottom>
                <vertical/>
                <horizontal/>
              </border>
            </x14:dxf>
          </x14:cfRule>
          <xm:sqref>AC157 AH157 AM157 AR157 AW157 BB157 BG157 BL157 BQ157 BV157 CA157 CF157 CK157 CP157 CU157 CZ157 DE157 DJ157 DO157 DT157 DY157 ED157 EI157 EN157 ES157 EX157 FC157 FH157 FM157 FR157 FW157 GB157 GG157 GL157 GQ157 GV157 HA157 HF157 HK157 HP157 HU157 HZ157 IE157 IJ157 IO157 IT157</xm:sqref>
        </x14:conditionalFormatting>
        <x14:conditionalFormatting xmlns:xm="http://schemas.microsoft.com/office/excel/2006/main">
          <x14:cfRule type="containsText" priority="33" operator="containsText" id="{6F6763C9-E9E8-4CAE-AFFF-C1D666364B87}">
            <xm:f>NOT(ISERROR(SEARCH("",AC181)))</xm:f>
            <xm:f>""</xm:f>
            <x14:dxf>
              <numFmt numFmtId="3" formatCode="#,##0"/>
              <border>
                <left style="thin">
                  <color auto="1"/>
                </left>
                <right style="thin">
                  <color auto="1"/>
                </right>
                <top style="thin">
                  <color auto="1"/>
                </top>
                <bottom style="thin">
                  <color auto="1"/>
                </bottom>
                <vertical/>
                <horizontal/>
              </border>
            </x14:dxf>
          </x14:cfRule>
          <xm:sqref>AC181 AH181 AM181 AR181 AW181 BB181 BG181 BL181 BQ181 BV181 CA181 CF181 CK181 CP181 CU181 CZ181 DE181 DJ181 DO181 DT181 DY181 ED181 EI181 EN181 ES181 EX181 FC181 FH181 FM181 FR181 FW181 GB181 GG181 GL181 GQ181 GV181 HA181 HF181 HK181 HP181 HU181 HZ181 IE181 IJ181 IO181 IT181</xm:sqref>
        </x14:conditionalFormatting>
        <x14:conditionalFormatting xmlns:xm="http://schemas.microsoft.com/office/excel/2006/main">
          <x14:cfRule type="containsText" priority="29" operator="containsText" id="{131A4530-AC57-45DF-9973-295E4BF40FFF}">
            <xm:f>NOT(ISERROR(SEARCH("",AC205)))</xm:f>
            <xm:f>""</xm:f>
            <x14:dxf>
              <numFmt numFmtId="3" formatCode="#,##0"/>
              <border>
                <left style="thin">
                  <color auto="1"/>
                </left>
                <right style="thin">
                  <color auto="1"/>
                </right>
                <top style="thin">
                  <color auto="1"/>
                </top>
                <bottom style="thin">
                  <color auto="1"/>
                </bottom>
                <vertical/>
                <horizontal/>
              </border>
            </x14:dxf>
          </x14:cfRule>
          <xm:sqref>AC205 AH205 AM205 AR205 AW205 BB205 BG205 BL205 BQ205 BV205 CA205 CF205 CK205 CP205 CU205 CZ205 DE205 DJ205 DO205 DT205 DY205 ED205 EI205 EN205 ES205 EX205 FC205 FH205 FM205 FR205 FW205 GB205 GG205 GL205 GQ205 GV205 HA205 HF205 HK205 HP205 HU205 HZ205 IE205 IJ205 IO205 IT205</xm:sqref>
        </x14:conditionalFormatting>
        <x14:conditionalFormatting xmlns:xm="http://schemas.microsoft.com/office/excel/2006/main">
          <x14:cfRule type="containsText" priority="25" operator="containsText" id="{4031386C-3C3E-4408-8B85-B1221650A764}">
            <xm:f>NOT(ISERROR(SEARCH("",AC229)))</xm:f>
            <xm:f>""</xm:f>
            <x14:dxf>
              <numFmt numFmtId="3" formatCode="#,##0"/>
              <border>
                <left style="thin">
                  <color auto="1"/>
                </left>
                <right style="thin">
                  <color auto="1"/>
                </right>
                <top style="thin">
                  <color auto="1"/>
                </top>
                <bottom style="thin">
                  <color auto="1"/>
                </bottom>
                <vertical/>
                <horizontal/>
              </border>
            </x14:dxf>
          </x14:cfRule>
          <xm:sqref>AC229 AH229 AM229 AR229 AW229 BB229 BG229 BL229 BQ229 BV229 CA229 CF229 CK229 CP229 CU229 CZ229 DE229 DJ229 DO229 DT229 DY229 ED229 EI229 EN229 ES229 EX229 FC229 FH229 FM229 FR229 FW229 GB229 GG229 GL229 GQ229 GV229 HA229 HF229 HK229 HP229 HU229 HZ229 IE229 IJ229 IO229 IT229</xm:sqref>
        </x14:conditionalFormatting>
        <x14:conditionalFormatting xmlns:xm="http://schemas.microsoft.com/office/excel/2006/main">
          <x14:cfRule type="containsText" priority="21" operator="containsText" id="{8AFE52EB-7AF8-431A-90E9-D5C0164A3B0A}">
            <xm:f>NOT(ISERROR(SEARCH("",AC253)))</xm:f>
            <xm:f>""</xm:f>
            <x14:dxf>
              <numFmt numFmtId="3" formatCode="#,##0"/>
              <border>
                <left style="thin">
                  <color auto="1"/>
                </left>
                <right style="thin">
                  <color auto="1"/>
                </right>
                <top style="thin">
                  <color auto="1"/>
                </top>
                <bottom style="thin">
                  <color auto="1"/>
                </bottom>
                <vertical/>
                <horizontal/>
              </border>
            </x14:dxf>
          </x14:cfRule>
          <xm:sqref>AC253 AH253 AM253 AR253 AW253 BB253 BG253 BL253 BQ253 BV253 CA253 CF253 CK253 CP253 CU253 CZ253 DE253 DJ253 DO253 DT253 DY253 ED253 EI253 EN253 ES253 EX253 FC253 FH253 FM253 FR253 FW253 GB253 GG253 GL253 GQ253 GV253 HA253 HF253 HK253 HP253 HU253 HZ253 IE253 IJ253 IO253 IT253</xm:sqref>
        </x14:conditionalFormatting>
        <x14:conditionalFormatting xmlns:xm="http://schemas.microsoft.com/office/excel/2006/main">
          <x14:cfRule type="containsText" priority="18" operator="containsText" id="{20C268C7-4278-4871-BF04-42EC43DC24ED}">
            <xm:f>NOT(ISERROR(SEARCH("",AD277)))</xm:f>
            <xm:f>""</xm:f>
            <x14:dxf>
              <numFmt numFmtId="3" formatCode="#,##0"/>
              <border>
                <left style="thin">
                  <color auto="1"/>
                </left>
                <right style="thin">
                  <color auto="1"/>
                </right>
                <top style="thin">
                  <color auto="1"/>
                </top>
                <bottom style="thin">
                  <color auto="1"/>
                </bottom>
                <vertical/>
                <horizontal/>
              </border>
            </x14:dxf>
          </x14:cfRule>
          <xm:sqref>AD277:AG277 AI277:AL277 AN277:AQ277 AS277:AV277 AX277:BA277 BC277:BF277 BH277:BK277 BM277:BP277 BR277:BU277 BW277:BZ277 CB277:CE277 CG277:CJ277 CL277:CO277 CQ277:CT277 CV277:CY277 DA277:DD277 DF277:DI277 DK277:DN277 DP277:DS277 DU277:DX277 DZ277:EC277 EE277:EH277 EJ277:EM277 EO277:ER277 ET277:EW277 EY277:FB277 FD277:FG277 FI277:FL277 FN277:FQ277 FS277:FV277 FX277:GA277 GC277:GF277 GH277:GK277 GM277:GP277 GR277:GU277 GW277:GZ277 HB277:HE277 HG277:HJ277 HL277:HO277 HQ277:HT277 HV277:HY277 IA277:ID277 IF277:II277 IK277:IN277 IP277:IS277 IU277:IV277</xm:sqref>
        </x14:conditionalFormatting>
        <x14:conditionalFormatting xmlns:xm="http://schemas.microsoft.com/office/excel/2006/main">
          <x14:cfRule type="containsText" priority="17" operator="containsText" id="{3941D85C-4AD7-432B-B7C3-A1452809A4C6}">
            <xm:f>NOT(ISERROR(SEARCH("",AC277)))</xm:f>
            <xm:f>""</xm:f>
            <x14:dxf>
              <numFmt numFmtId="3" formatCode="#,##0"/>
              <border>
                <left style="thin">
                  <color auto="1"/>
                </left>
                <right style="thin">
                  <color auto="1"/>
                </right>
                <top style="thin">
                  <color auto="1"/>
                </top>
                <bottom style="thin">
                  <color auto="1"/>
                </bottom>
                <vertical/>
                <horizontal/>
              </border>
            </x14:dxf>
          </x14:cfRule>
          <xm:sqref>AC277 AH277 AM277 AR277 AW277 BB277 BG277 BL277 BQ277 BV277 CA277 CF277 CK277 CP277 CU277 CZ277 DE277 DJ277 DO277 DT277 DY277 ED277 EI277 EN277 ES277 EX277 FC277 FH277 FM277 FR277 FW277 GB277 GG277 GL277 GQ277 GV277 HA277 HF277 HK277 HP277 HU277 HZ277 IE277 IJ277 IO277 IT277</xm:sqref>
        </x14:conditionalFormatting>
        <x14:conditionalFormatting xmlns:xm="http://schemas.microsoft.com/office/excel/2006/main">
          <x14:cfRule type="containsText" priority="16" operator="containsText" id="{BFD7152E-7B0A-4FAC-804D-F452D643AFE7}">
            <xm:f>NOT(ISERROR(SEARCH("",AC321)))</xm:f>
            <xm:f>""</xm:f>
            <x14:dxf>
              <numFmt numFmtId="3" formatCode="#,##0"/>
              <border>
                <left style="thin">
                  <color auto="1"/>
                </left>
                <right style="thin">
                  <color auto="1"/>
                </right>
                <top style="thin">
                  <color auto="1"/>
                </top>
                <bottom style="thin">
                  <color auto="1"/>
                </bottom>
                <vertical/>
                <horizontal/>
              </border>
            </x14:dxf>
          </x14:cfRule>
          <xm:sqref>AC321:IV321</xm:sqref>
        </x14:conditionalFormatting>
        <x14:conditionalFormatting xmlns:xm="http://schemas.microsoft.com/office/excel/2006/main">
          <x14:cfRule type="containsText" priority="15" operator="containsText" id="{0A36EDC1-05D6-45CB-A5A3-B9682939AC88}">
            <xm:f>NOT(ISERROR(SEARCH("",C302)))</xm:f>
            <xm:f>""</xm:f>
            <x14:dxf>
              <numFmt numFmtId="3" formatCode="#,##0"/>
              <border>
                <right style="thin">
                  <color auto="1"/>
                </right>
                <top style="thin">
                  <color auto="1"/>
                </top>
                <bottom style="thin">
                  <color auto="1"/>
                </bottom>
                <vertical/>
                <horizontal/>
              </border>
            </x14:dxf>
          </x14:cfRule>
          <xm:sqref>C302:IV320</xm:sqref>
        </x14:conditionalFormatting>
        <x14:conditionalFormatting xmlns:xm="http://schemas.microsoft.com/office/excel/2006/main">
          <x14:cfRule type="containsText" priority="14" operator="containsText" id="{FE5472D3-E100-46CA-A088-E807AD7214E2}">
            <xm:f>NOT(ISERROR(SEARCH("",AD301)))</xm:f>
            <xm:f>""</xm:f>
            <x14:dxf>
              <numFmt numFmtId="3" formatCode="#,##0"/>
              <border>
                <left style="thin">
                  <color auto="1"/>
                </left>
                <right style="thin">
                  <color auto="1"/>
                </right>
                <top style="thin">
                  <color auto="1"/>
                </top>
                <bottom style="thin">
                  <color auto="1"/>
                </bottom>
                <vertical/>
                <horizontal/>
              </border>
            </x14:dxf>
          </x14:cfRule>
          <xm:sqref>AD301:AG301 AI301:AL301 AN301:AQ301 AS301:AV301 AX301:BA301 BC301:BF301 BH301:BK301 BM301:BP301 BR301:BU301 BW301:BZ301 CB301:CE301 CG301:CJ301 CL301:CO301 CQ301:CT301 CV301:CY301 DA301:DD301 DF301:DI301 DK301:DN301 DP301:DS301 DU301:DX301 DZ301:EC301 EE301:EH301 EJ301:EM301 EO301:ER301 ET301:EW301 EY301:FB301 FD301:FG301 FI301:FL301 FN301:FQ301 FS301:FV301 FX301:GA301 GC301:GF301 GH301:GK301 GM301:GP301 GR301:GU301 GW301:GZ301 HB301:HE301 HG301:HJ301 HL301:HO301 HQ301:HT301 HV301:HY301 IA301:ID301 IF301:II301 IK301:IN301 IP301:IS301 IU301:IV301</xm:sqref>
        </x14:conditionalFormatting>
        <x14:conditionalFormatting xmlns:xm="http://schemas.microsoft.com/office/excel/2006/main">
          <x14:cfRule type="containsText" priority="13" operator="containsText" id="{9AE0F2A8-665C-48DC-B88E-0BAF8E6D25C1}">
            <xm:f>NOT(ISERROR(SEARCH("",AC301)))</xm:f>
            <xm:f>""</xm:f>
            <x14:dxf>
              <numFmt numFmtId="3" formatCode="#,##0"/>
              <border>
                <left style="thin">
                  <color auto="1"/>
                </left>
                <right style="thin">
                  <color auto="1"/>
                </right>
                <top style="thin">
                  <color auto="1"/>
                </top>
                <bottom style="thin">
                  <color auto="1"/>
                </bottom>
                <vertical/>
                <horizontal/>
              </border>
            </x14:dxf>
          </x14:cfRule>
          <xm:sqref>AC301 AH301 AM301 AR301 AW301 BB301 BG301 BL301 BQ301 BV301 CA301 CF301 CK301 CP301 CU301 CZ301 DE301 DJ301 DO301 DT301 DY301 ED301 EI301 EN301 ES301 EX301 FC301 FH301 FM301 FR301 FW301 GB301 GG301 GL301 GQ301 GV301 HA301 HF301 HK301 HP301 HU301 HZ301 IE301 IJ301 IO301 IT301</xm:sqref>
        </x14:conditionalFormatting>
        <x14:conditionalFormatting xmlns:xm="http://schemas.microsoft.com/office/excel/2006/main">
          <x14:cfRule type="containsText" priority="12" operator="containsText" id="{84FDD045-1458-490C-A964-615A079497F7}">
            <xm:f>NOT(ISERROR(SEARCH("",AC345)))</xm:f>
            <xm:f>""</xm:f>
            <x14:dxf>
              <numFmt numFmtId="3" formatCode="#,##0"/>
              <border>
                <left style="thin">
                  <color auto="1"/>
                </left>
                <right style="thin">
                  <color auto="1"/>
                </right>
                <top style="thin">
                  <color auto="1"/>
                </top>
                <bottom style="thin">
                  <color auto="1"/>
                </bottom>
                <vertical/>
                <horizontal/>
              </border>
            </x14:dxf>
          </x14:cfRule>
          <xm:sqref>AC345:IV345</xm:sqref>
        </x14:conditionalFormatting>
        <x14:conditionalFormatting xmlns:xm="http://schemas.microsoft.com/office/excel/2006/main">
          <x14:cfRule type="containsText" priority="11" operator="containsText" id="{0A2A95A7-53B8-44C7-BA55-884EF1E7320C}">
            <xm:f>NOT(ISERROR(SEARCH("",C326)))</xm:f>
            <xm:f>""</xm:f>
            <x14:dxf>
              <numFmt numFmtId="3" formatCode="#,##0"/>
              <border>
                <right style="thin">
                  <color auto="1"/>
                </right>
                <top style="thin">
                  <color auto="1"/>
                </top>
                <bottom style="thin">
                  <color auto="1"/>
                </bottom>
                <vertical/>
                <horizontal/>
              </border>
            </x14:dxf>
          </x14:cfRule>
          <xm:sqref>C326:IV344</xm:sqref>
        </x14:conditionalFormatting>
        <x14:conditionalFormatting xmlns:xm="http://schemas.microsoft.com/office/excel/2006/main">
          <x14:cfRule type="containsText" priority="10" operator="containsText" id="{ADD36704-BCF0-4E68-BA75-F654713A2E5A}">
            <xm:f>NOT(ISERROR(SEARCH("",AD325)))</xm:f>
            <xm:f>""</xm:f>
            <x14:dxf>
              <numFmt numFmtId="3" formatCode="#,##0"/>
              <border>
                <left style="thin">
                  <color auto="1"/>
                </left>
                <right style="thin">
                  <color auto="1"/>
                </right>
                <top style="thin">
                  <color auto="1"/>
                </top>
                <bottom style="thin">
                  <color auto="1"/>
                </bottom>
                <vertical/>
                <horizontal/>
              </border>
            </x14:dxf>
          </x14:cfRule>
          <xm:sqref>AD325:AG325 AI325:AL325 AN325:AQ325 AS325:AV325 AX325:BA325 BC325:BF325 BH325:BK325 BM325:BP325 BR325:BU325 BW325:BZ325 CB325:CE325 CG325:CJ325 CL325:CO325 CQ325:CT325 CV325:CY325 DA325:DD325 DF325:DI325 DK325:DN325 DP325:DS325 DU325:DX325 DZ325:EC325 EE325:EH325 EJ325:EM325 EO325:ER325 ET325:EW325 EY325:FB325 FD325:FG325 FI325:FL325 FN325:FQ325 FS325:FV325 FX325:GA325 GC325:GF325 GH325:GK325 GM325:GP325 GR325:GU325 GW325:GZ325 HB325:HE325 HG325:HJ325 HL325:HO325 HQ325:HT325 HV325:HY325 IA325:ID325 IF325:II325 IK325:IN325 IP325:IS325 IU325:IV325</xm:sqref>
        </x14:conditionalFormatting>
        <x14:conditionalFormatting xmlns:xm="http://schemas.microsoft.com/office/excel/2006/main">
          <x14:cfRule type="containsText" priority="9" operator="containsText" id="{22D25344-B3D2-440A-A618-537B7FBEB812}">
            <xm:f>NOT(ISERROR(SEARCH("",AC325)))</xm:f>
            <xm:f>""</xm:f>
            <x14:dxf>
              <numFmt numFmtId="3" formatCode="#,##0"/>
              <border>
                <left style="thin">
                  <color auto="1"/>
                </left>
                <right style="thin">
                  <color auto="1"/>
                </right>
                <top style="thin">
                  <color auto="1"/>
                </top>
                <bottom style="thin">
                  <color auto="1"/>
                </bottom>
                <vertical/>
                <horizontal/>
              </border>
            </x14:dxf>
          </x14:cfRule>
          <xm:sqref>AC325 AH325 AM325 AR325 AW325 BB325 BG325 BL325 BQ325 BV325 CA325 CF325 CK325 CP325 CU325 CZ325 DE325 DJ325 DO325 DT325 DY325 ED325 EI325 EN325 ES325 EX325 FC325 FH325 FM325 FR325 FW325 GB325 GG325 GL325 GQ325 GV325 HA325 HF325 HK325 HP325 HU325 HZ325 IE325 IJ325 IO325 IT325</xm:sqref>
        </x14:conditionalFormatting>
        <x14:conditionalFormatting xmlns:xm="http://schemas.microsoft.com/office/excel/2006/main">
          <x14:cfRule type="containsText" priority="8" operator="containsText" id="{8E689ADD-5A5D-4842-B84A-B9E6900DF7B6}">
            <xm:f>NOT(ISERROR(SEARCH("",AC370)))</xm:f>
            <xm:f>""</xm:f>
            <x14:dxf>
              <numFmt numFmtId="3" formatCode="#,##0"/>
              <border>
                <left style="thin">
                  <color auto="1"/>
                </left>
                <right style="thin">
                  <color auto="1"/>
                </right>
                <top style="thin">
                  <color auto="1"/>
                </top>
                <bottom style="thin">
                  <color auto="1"/>
                </bottom>
                <vertical/>
                <horizontal/>
              </border>
            </x14:dxf>
          </x14:cfRule>
          <xm:sqref>AC370:IV370</xm:sqref>
        </x14:conditionalFormatting>
        <x14:conditionalFormatting xmlns:xm="http://schemas.microsoft.com/office/excel/2006/main">
          <x14:cfRule type="containsText" priority="7" operator="containsText" id="{B4AE4240-CA25-46B1-A610-4E486E468986}">
            <xm:f>NOT(ISERROR(SEARCH("",C351)))</xm:f>
            <xm:f>""</xm:f>
            <x14:dxf>
              <numFmt numFmtId="3" formatCode="#,##0"/>
              <border>
                <right style="thin">
                  <color auto="1"/>
                </right>
                <top style="thin">
                  <color auto="1"/>
                </top>
                <bottom style="thin">
                  <color auto="1"/>
                </bottom>
                <vertical/>
                <horizontal/>
              </border>
            </x14:dxf>
          </x14:cfRule>
          <xm:sqref>C351:IV369</xm:sqref>
        </x14:conditionalFormatting>
        <x14:conditionalFormatting xmlns:xm="http://schemas.microsoft.com/office/excel/2006/main">
          <x14:cfRule type="containsText" priority="6" operator="containsText" id="{DA4854E6-787B-4A3B-A96D-DEA342C3D9FA}">
            <xm:f>NOT(ISERROR(SEARCH("",AD350)))</xm:f>
            <xm:f>""</xm:f>
            <x14:dxf>
              <numFmt numFmtId="3" formatCode="#,##0"/>
              <border>
                <left style="thin">
                  <color auto="1"/>
                </left>
                <right style="thin">
                  <color auto="1"/>
                </right>
                <top style="thin">
                  <color auto="1"/>
                </top>
                <bottom style="thin">
                  <color auto="1"/>
                </bottom>
                <vertical/>
                <horizontal/>
              </border>
            </x14:dxf>
          </x14:cfRule>
          <xm:sqref>AD350:AG350 AI350:AL350 AN350:AQ350 AS350:AV350 AX350:BA350 BC350:BF350 BH350:BK350 BM350:BP350 BR350:BU350 BW350:BZ350 CB350:CE350 CG350:CJ350 CL350:CO350 CQ350:CT350 CV350:CY350 DA350:DD350 DF350:DI350 DK350:DN350 DP350:DS350 DU350:DX350 DZ350:EC350 EE350:EH350 EJ350:EM350 EO350:ER350 ET350:EW350 EY350:FB350 FD350:FG350 FI350:FL350 FN350:FQ350 FS350:FV350 FX350:GA350 GC350:GF350 GH350:GK350 GM350:GP350 GR350:GU350 GW350:GZ350 HB350:HE350 HG350:HJ350 HL350:HO350 HQ350:HT350 HV350:HY350 IA350:ID350 IF350:II350 IK350:IN350 IP350:IS350 IU350:IV350</xm:sqref>
        </x14:conditionalFormatting>
        <x14:conditionalFormatting xmlns:xm="http://schemas.microsoft.com/office/excel/2006/main">
          <x14:cfRule type="containsText" priority="5" operator="containsText" id="{CABB3EE8-F71A-40B7-9A0E-40164455FB9E}">
            <xm:f>NOT(ISERROR(SEARCH("",AC350)))</xm:f>
            <xm:f>""</xm:f>
            <x14:dxf>
              <numFmt numFmtId="3" formatCode="#,##0"/>
              <border>
                <left style="thin">
                  <color auto="1"/>
                </left>
                <right style="thin">
                  <color auto="1"/>
                </right>
                <top style="thin">
                  <color auto="1"/>
                </top>
                <bottom style="thin">
                  <color auto="1"/>
                </bottom>
                <vertical/>
                <horizontal/>
              </border>
            </x14:dxf>
          </x14:cfRule>
          <xm:sqref>AC350 AH350 AM350 AR350 AW350 BB350 BG350 BL350 BQ350 BV350 CA350 CF350 CK350 CP350 CU350 CZ350 DE350 DJ350 DO350 DT350 DY350 ED350 EI350 EN350 ES350 EX350 FC350 FH350 FM350 FR350 FW350 GB350 GG350 GL350 GQ350 GV350 HA350 HF350 HK350 HP350 HU350 HZ350 IE350 IJ350 IO350 IT350</xm:sqref>
        </x14:conditionalFormatting>
        <x14:conditionalFormatting xmlns:xm="http://schemas.microsoft.com/office/excel/2006/main">
          <x14:cfRule type="containsText" priority="4" operator="containsText" id="{FFAB5AE5-F7E6-4D99-99D7-5CA28CC4C7D1}">
            <xm:f>NOT(ISERROR(SEARCH("",AC403)))</xm:f>
            <xm:f>""</xm:f>
            <x14:dxf>
              <numFmt numFmtId="3" formatCode="#,##0"/>
              <border>
                <left style="thin">
                  <color auto="1"/>
                </left>
                <right style="thin">
                  <color auto="1"/>
                </right>
                <top style="thin">
                  <color auto="1"/>
                </top>
                <bottom style="thin">
                  <color auto="1"/>
                </bottom>
                <vertical/>
                <horizontal/>
              </border>
            </x14:dxf>
          </x14:cfRule>
          <xm:sqref>AC403:IV403</xm:sqref>
        </x14:conditionalFormatting>
        <x14:conditionalFormatting xmlns:xm="http://schemas.microsoft.com/office/excel/2006/main">
          <x14:cfRule type="containsText" priority="3" operator="containsText" id="{51A04704-BFFD-457B-8049-DA8B8F77601A}">
            <xm:f>NOT(ISERROR(SEARCH("",C384)))</xm:f>
            <xm:f>""</xm:f>
            <x14:dxf>
              <numFmt numFmtId="3" formatCode="#,##0"/>
              <border>
                <right style="thin">
                  <color auto="1"/>
                </right>
                <top style="thin">
                  <color auto="1"/>
                </top>
                <bottom style="thin">
                  <color auto="1"/>
                </bottom>
                <vertical/>
                <horizontal/>
              </border>
            </x14:dxf>
          </x14:cfRule>
          <xm:sqref>C384:IV402</xm:sqref>
        </x14:conditionalFormatting>
        <x14:conditionalFormatting xmlns:xm="http://schemas.microsoft.com/office/excel/2006/main">
          <x14:cfRule type="containsText" priority="2" operator="containsText" id="{E9BD2172-3469-42AC-B094-E5372B7210E8}">
            <xm:f>NOT(ISERROR(SEARCH("",AD383)))</xm:f>
            <xm:f>""</xm:f>
            <x14:dxf>
              <numFmt numFmtId="3" formatCode="#,##0"/>
              <border>
                <left style="thin">
                  <color auto="1"/>
                </left>
                <right style="thin">
                  <color auto="1"/>
                </right>
                <top style="thin">
                  <color auto="1"/>
                </top>
                <bottom style="thin">
                  <color auto="1"/>
                </bottom>
                <vertical/>
                <horizontal/>
              </border>
            </x14:dxf>
          </x14:cfRule>
          <xm:sqref>AD383:AG383 AI383:AL383 AN383:AQ383 AS383:AV383 AX383:BA383 BC383:BF383 BH383:BK383 BM383:BP383 BR383:BU383 BW383:BZ383 CB383:CE383 CG383:CJ383 CL383:CO383 CQ383:CT383 CV383:CY383 DA383:DD383 DF383:DI383 DK383:DN383 DP383:DS383 DU383:DX383 DZ383:EC383 EE383:EH383 EJ383:EM383 EO383:ER383 ET383:EW383 EY383:FB383 FD383:FG383 FI383:FL383 FN383:FQ383 FS383:FV383 FX383:GA383 GC383:GF383 GH383:GK383 GM383:GP383 GR383:GU383 GW383:GZ383 HB383:HE383 HG383:HJ383 HL383:HO383 HQ383:HT383 HV383:HY383 IA383:ID383 IF383:II383 IK383:IN383 IP383:IS383 IU383:IV383</xm:sqref>
        </x14:conditionalFormatting>
        <x14:conditionalFormatting xmlns:xm="http://schemas.microsoft.com/office/excel/2006/main">
          <x14:cfRule type="containsText" priority="1" operator="containsText" id="{3DE3668E-ABA1-4483-BC93-E9B3C9DA4895}">
            <xm:f>NOT(ISERROR(SEARCH("",AC383)))</xm:f>
            <xm:f>""</xm:f>
            <x14:dxf>
              <numFmt numFmtId="3" formatCode="#,##0"/>
              <border>
                <left style="thin">
                  <color auto="1"/>
                </left>
                <right style="thin">
                  <color auto="1"/>
                </right>
                <top style="thin">
                  <color auto="1"/>
                </top>
                <bottom style="thin">
                  <color auto="1"/>
                </bottom>
                <vertical/>
                <horizontal/>
              </border>
            </x14:dxf>
          </x14:cfRule>
          <xm:sqref>AC383 AH383 AM383 AR383 AW383 BB383 BG383 BL383 BQ383 BV383 CA383 CF383 CK383 CP383 CU383 CZ383 DE383 DJ383 DO383 DT383 DY383 ED383 EI383 EN383 ES383 EX383 FC383 FH383 FM383 FR383 FW383 GB383 GG383 GL383 GQ383 GV383 HA383 HF383 HK383 HP383 HU383 HZ383 IE383 IJ383 IO383 IT383</xm:sqref>
        </x14:conditionalFormatting>
      </x14:conditionalFormattings>
    </ext>
  </extLst>
</worksheet>
</file>

<file path=EPPlusLicense.txt>This workbook was created with the EPPlus library, licensed to Ministerio de Agricultura,Pesca y Alimentaci&#243;n (MAPA) under the Polyform Noncommercial license, see https://polyformproject.org/licenses/noncommercial/1.0.0
For more information about EPPlus, see https://epplussoftware.com/

</file>

<file path=customXml/_rels/item1.xml.rels><?xml version="1.0" encoding="UTF-8" standalone="yes"?><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32987079A268BE4FBB4FEC01AA3765BC" ma:contentTypeVersion="0" ma:contentTypeDescription="Crear nuevo documento." ma:contentTypeScope="" ma:versionID="d003115be1c9f4cfe4d23b82165c5526">
  <xsd:schema xmlns:xsd="http://www.w3.org/2001/XMLSchema" xmlns:p="http://schemas.microsoft.com/office/2006/metadata/properties" targetNamespace="http://schemas.microsoft.com/office/2006/metadata/properties" ma:root="true" ma:fieldsID="b004d877ca112f136821ba8115f64728">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ma:readOnly="true"/>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CFDBE09-6DD7-4699-B97C-01D1783A4B1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2.xml><?xml version="1.0" encoding="utf-8"?>
<ds:datastoreItem xmlns:ds="http://schemas.openxmlformats.org/officeDocument/2006/customXml" ds:itemID="{9818B8C2-0BF2-46C5-8F6B-A45E2C3E8FB7}">
  <ds:schemaRefs>
    <ds:schemaRef ds:uri="http://schemas.microsoft.com/office/2006/documentManagement/types"/>
    <ds:schemaRef ds:uri="http://purl.org/dc/terms/"/>
    <ds:schemaRef ds:uri="http://schemas.microsoft.com/office/2006/metadata/properties"/>
    <ds:schemaRef ds:uri="http://purl.org/dc/elements/1.1/"/>
    <ds:schemaRef ds:uri="http://purl.org/dc/dcmitype/"/>
    <ds:schemaRef ds:uri="http://www.w3.org/XML/1998/namespace"/>
    <ds:schemaRef ds:uri="http://schemas.openxmlformats.org/package/2006/metadata/core-properties"/>
    <ds:schemaRef ds:uri="http://schemas.microsoft.com/office/infopath/2007/PartnerControls"/>
  </ds:schemaRefs>
</ds:datastoreItem>
</file>

<file path=customXml/itemProps3.xml><?xml version="1.0" encoding="utf-8"?>
<ds:datastoreItem xmlns:ds="http://schemas.openxmlformats.org/officeDocument/2006/customXml" ds:itemID="{AA725ED1-8874-4F7A-A6AB-1855D3E21C84}">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EPPlus</Application>
  <DocSecurity>0</DocSecurity>
  <ScaleCrop>false</ScaleCrop>
  <HeadingPairs>
    <vt:vector size="4" baseType="variant">
      <vt:variant>
        <vt:lpstr>Hojas de cálculo</vt:lpstr>
      </vt:variant>
      <vt:variant>
        <vt:i4>27</vt:i4>
      </vt:variant>
      <vt:variant>
        <vt:lpstr>Rangos con nombre</vt:lpstr>
      </vt:variant>
      <vt:variant>
        <vt:i4>48</vt:i4>
      </vt:variant>
    </vt:vector>
  </HeadingPairs>
  <TitlesOfParts>
    <vt:vector size="75" baseType="lpstr">
      <vt:lpstr>Portada</vt:lpstr>
      <vt:lpstr>Evolucion datos</vt:lpstr>
      <vt:lpstr>Índice</vt:lpstr>
      <vt:lpstr>1- Introducción</vt:lpstr>
      <vt:lpstr>2- Tablas Resumen</vt:lpstr>
      <vt:lpstr>3- Nº Explot. por CA</vt:lpstr>
      <vt:lpstr>4- Nº Explot. por CA y Tipo</vt:lpstr>
      <vt:lpstr>5.1- BOVINO (CENSO)</vt:lpstr>
      <vt:lpstr>5.2- BOVINO (SUBEXPLOT)</vt:lpstr>
      <vt:lpstr>6.1- PORCINO (CENSO)</vt:lpstr>
      <vt:lpstr>6.2- PORCINO (SUBEXPLOT)</vt:lpstr>
      <vt:lpstr>7.1- CAPRINO (CENSO)</vt:lpstr>
      <vt:lpstr>7.2- CAPRINO (SUBEXPLOT)</vt:lpstr>
      <vt:lpstr>8.1- OVINO (CENSO)</vt:lpstr>
      <vt:lpstr>8.2- OVINO (SUBEXPLOT)</vt:lpstr>
      <vt:lpstr>9.1- APICULTURA (CENSO)</vt:lpstr>
      <vt:lpstr>9.2- APICULTURA (SUBEXPLOT)</vt:lpstr>
      <vt:lpstr>10.1- EQUINO (CENSO)</vt:lpstr>
      <vt:lpstr>10.2- EQUINO (SUBEXPLOT)</vt:lpstr>
      <vt:lpstr>11.1- GALLINAS (CENSO)</vt:lpstr>
      <vt:lpstr>11.2- GALLINAS (SUBEXPLOT)</vt:lpstr>
      <vt:lpstr>12.1- PAVOS (CENSO)</vt:lpstr>
      <vt:lpstr>12.2- PAVOS (SUBEXPLOT)</vt:lpstr>
      <vt:lpstr>13.1- PATOS (CENSO)</vt:lpstr>
      <vt:lpstr>13.2- PATOS (SUBEXPLOT)</vt:lpstr>
      <vt:lpstr>14.1- CONEJOS (CENSO)</vt:lpstr>
      <vt:lpstr>14.2- CONEJOS (SUBEXPLOT)</vt:lpstr>
      <vt:lpstr>'10.1- EQUINO (CENSO)'!Área_de_impresión</vt:lpstr>
      <vt:lpstr>'10.2- EQUINO (SUBEXPLOT)'!Área_de_impresión</vt:lpstr>
      <vt:lpstr>'11.1- GALLINAS (CENSO)'!Área_de_impresión</vt:lpstr>
      <vt:lpstr>'11.2- GALLINAS (SUBEXPLOT)'!Área_de_impresión</vt:lpstr>
      <vt:lpstr>'12.1- PAVOS (CENSO)'!Área_de_impresión</vt:lpstr>
      <vt:lpstr>'12.2- PAVOS (SUBEXPLOT)'!Área_de_impresión</vt:lpstr>
      <vt:lpstr>'13.1- PATOS (CENSO)'!Área_de_impresión</vt:lpstr>
      <vt:lpstr>'13.2- PATOS (SUBEXPLOT)'!Área_de_impresión</vt:lpstr>
      <vt:lpstr>'14.1- CONEJOS (CENSO)'!Área_de_impresión</vt:lpstr>
      <vt:lpstr>'14.2- CONEJOS (SUBEXPLOT)'!Área_de_impresión</vt:lpstr>
      <vt:lpstr>'2- Tablas Resumen'!Área_de_impresión</vt:lpstr>
      <vt:lpstr>'3- Nº Explot. por CA'!Área_de_impresión</vt:lpstr>
      <vt:lpstr>'4- Nº Explot. por CA y Tipo'!Área_de_impresión</vt:lpstr>
      <vt:lpstr>'5.1- BOVINO (CENSO)'!Área_de_impresión</vt:lpstr>
      <vt:lpstr>'5.2- BOVINO (SUBEXPLOT)'!Área_de_impresión</vt:lpstr>
      <vt:lpstr>'6.1- PORCINO (CENSO)'!Área_de_impresión</vt:lpstr>
      <vt:lpstr>'6.2- PORCINO (SUBEXPLOT)'!Área_de_impresión</vt:lpstr>
      <vt:lpstr>'7.1- CAPRINO (CENSO)'!Área_de_impresión</vt:lpstr>
      <vt:lpstr>'7.2- CAPRINO (SUBEXPLOT)'!Área_de_impresión</vt:lpstr>
      <vt:lpstr>'8.1- OVINO (CENSO)'!Área_de_impresión</vt:lpstr>
      <vt:lpstr>'8.2- OVINO (SUBEXPLOT)'!Área_de_impresión</vt:lpstr>
      <vt:lpstr>'9.1- APICULTURA (CENSO)'!Área_de_impresión</vt:lpstr>
      <vt:lpstr>'9.2- APICULTURA (SUBEXPLOT)'!Área_de_impresión</vt:lpstr>
      <vt:lpstr>'Evolucion datos'!Área_de_impresión</vt:lpstr>
      <vt:lpstr>Índice!Área_de_impresión</vt:lpstr>
      <vt:lpstr>Portada!Área_de_impresión</vt:lpstr>
      <vt:lpstr>'1- Introducción'!Títulos_a_imprimir</vt:lpstr>
      <vt:lpstr>'10.1- EQUINO (CENSO)'!Títulos_a_imprimir</vt:lpstr>
      <vt:lpstr>'10.2- EQUINO (SUBEXPLOT)'!Títulos_a_imprimir</vt:lpstr>
      <vt:lpstr>'11.1- GALLINAS (CENSO)'!Títulos_a_imprimir</vt:lpstr>
      <vt:lpstr>'11.2- GALLINAS (SUBEXPLOT)'!Títulos_a_imprimir</vt:lpstr>
      <vt:lpstr>'12.1- PAVOS (CENSO)'!Títulos_a_imprimir</vt:lpstr>
      <vt:lpstr>'12.2- PAVOS (SUBEXPLOT)'!Títulos_a_imprimir</vt:lpstr>
      <vt:lpstr>'13.1- PATOS (CENSO)'!Títulos_a_imprimir</vt:lpstr>
      <vt:lpstr>'13.2- PATOS (SUBEXPLOT)'!Títulos_a_imprimir</vt:lpstr>
      <vt:lpstr>'14.1- CONEJOS (CENSO)'!Títulos_a_imprimir</vt:lpstr>
      <vt:lpstr>'14.2- CONEJOS (SUBEXPLOT)'!Títulos_a_imprimir</vt:lpstr>
      <vt:lpstr>'2- Tablas Resumen'!Títulos_a_imprimir</vt:lpstr>
      <vt:lpstr>'4- Nº Explot. por CA y Tipo'!Títulos_a_imprimir</vt:lpstr>
      <vt:lpstr>'5.1- BOVINO (CENSO)'!Títulos_a_imprimir</vt:lpstr>
      <vt:lpstr>'5.2- BOVINO (SUBEXPLOT)'!Títulos_a_imprimir</vt:lpstr>
      <vt:lpstr>'6.1- PORCINO (CENSO)'!Títulos_a_imprimir</vt:lpstr>
      <vt:lpstr>'7.1- CAPRINO (CENSO)'!Títulos_a_imprimir</vt:lpstr>
      <vt:lpstr>'7.2- CAPRINO (SUBEXPLOT)'!Títulos_a_imprimir</vt:lpstr>
      <vt:lpstr>'8.1- OVINO (CENSO)'!Títulos_a_imprimir</vt:lpstr>
      <vt:lpstr>'8.2- OVINO (SUBEXPLOT)'!Títulos_a_imprimir</vt:lpstr>
      <vt:lpstr>'9.1- APICULTURA (CENSO)'!Títulos_a_imprimir</vt:lpstr>
      <vt:lpstr>'9.2- APICULTURA (SUBEXPLOT)'!Títulos_a_imprimir</vt:lpstr>
    </vt:vector>
  </TitlesOfParts>
  <Company>Ministerio de Agricultura,Pesca y Alimentación (MAPA)</Company>
  <LinksUpToDate>false</LinksUpToDate>
  <SharedDoc>false</SharedDoc>
  <HyperlinksChanged>false</HyperlinksChanged>
  <AppVersion>8.0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rrubio</dc:creator>
  <cp:lastModifiedBy>Roldan Perez, Juan De Dios</cp:lastModifiedBy>
  <cp:lastPrinted>2012-04-11T14:50:13Z</cp:lastPrinted>
  <dcterms:created xsi:type="dcterms:W3CDTF">2011-01-25T09:04:16Z</dcterms:created>
  <dcterms:modified xsi:type="dcterms:W3CDTF">2025-02-19T08:49:13Z</dcterms:modified>
  <cp:keywords>EPPlus noncommercial use</cp:keywords>
  <dc:description>This workbook has been created with EPPlus licensed to Ministerio de Agricultura,Pesca y Alimentación (MAPA) under The Polyform Noncommercial License: See https://polyformproject.org/licenses/noncommercial/1.0.0</dc:description>
</cp:coreProperties>
</file>

<file path=docProps/custom.xml><?xml version="1.0" encoding="utf-8"?>
<Properties xmlns:vt="http://schemas.openxmlformats.org/officeDocument/2006/docPropsVTypes" xmlns="http://schemas.openxmlformats.org/officeDocument/2006/custom-properties"/>
</file>